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defaultThemeVersion="166925"/>
  <mc:AlternateContent xmlns:mc="http://schemas.openxmlformats.org/markup-compatibility/2006">
    <mc:Choice Requires="x15">
      <x15ac:absPath xmlns:x15ac="http://schemas.microsoft.com/office/spreadsheetml/2010/11/ac" url="G:\My Drive\22-18 Indicator Report 2023\"/>
    </mc:Choice>
  </mc:AlternateContent>
  <xr:revisionPtr revIDLastSave="0" documentId="13_ncr:1_{5C9E8BFF-085A-4900-92AD-CDF6E6E8D3F9}" xr6:coauthVersionLast="47" xr6:coauthVersionMax="47" xr10:uidLastSave="{00000000-0000-0000-0000-000000000000}"/>
  <bookViews>
    <workbookView xWindow="30105" yWindow="555" windowWidth="26220" windowHeight="15075" tabRatio="701" firstSheet="1" activeTab="1" xr2:uid="{8637D474-7FBC-4F84-8663-23D3AE592176}"/>
  </bookViews>
  <sheets>
    <sheet name="Intro" sheetId="9" state="hidden" r:id="rId1"/>
    <sheet name="Table of Contents" sheetId="1" r:id="rId2"/>
    <sheet name="Datasheet" sheetId="3" r:id="rId3"/>
    <sheet name="Indicators" sheetId="4" r:id="rId4"/>
    <sheet name="BuildingPermits" sheetId="11" state="hidden" r:id="rId5"/>
    <sheet name="ConsevationBuildoutTracker" sheetId="2" state="hidden" r:id="rId6"/>
    <sheet name="BuildoutAssumptions" sheetId="8" state="hidden" r:id="rId7"/>
  </sheets>
  <definedNames>
    <definedName name="_xlnm._FilterDatabase" localSheetId="4" hidden="1">BuildingPermits!$A$23:$AT$7526</definedName>
    <definedName name="_xlnm._FilterDatabase" localSheetId="5" hidden="1">ConsevationBuildoutTracker!$A$18:$AG$286</definedName>
    <definedName name="DaACSHsgChar">Datasheet!$A$627:$A$666</definedName>
    <definedName name="DaACSVac">Datasheet!$A$666:$A$709</definedName>
    <definedName name="DaActiveMode">Datasheet!$A$709:$A$723</definedName>
    <definedName name="DaATRs">Datasheet!$A$1092:$A$1169</definedName>
    <definedName name="DaBEAIncome">Datasheet!$A$326:$A$363</definedName>
    <definedName name="DaBEAJobs">Datasheet!$A$232:$A$279</definedName>
    <definedName name="DaBTNFcamp">Datasheet!$A$989:$A$1031</definedName>
    <definedName name="DaCoL">Datasheet!$A$859:$A$871</definedName>
    <definedName name="DaCompPlan">Datasheet!$A$1410:$A$1480</definedName>
    <definedName name="DaCTNFcamp">Datasheet!$A$1031:$A$1040</definedName>
    <definedName name="DaEdFac">Datasheet!$A$1381:$A$1410</definedName>
    <definedName name="DaEnplane">Datasheet!$A$1348:$A$1381</definedName>
    <definedName name="DaGDP">Datasheet!$A$279:$A$326</definedName>
    <definedName name="DaGrowthLoc">Datasheet!$A$137:$A$232</definedName>
    <definedName name="DaGrowthUse">Datasheet!$A$54:$A$137</definedName>
    <definedName name="DaGTNPovernight">Datasheet!$A$1040:$A$1061</definedName>
    <definedName name="DaHHIncome">Datasheet!$A$723:$A$771</definedName>
    <definedName name="DaHHsFams">Datasheet!$A$584:$A$594</definedName>
    <definedName name="DaHomePrice">Datasheet!$A$844:$A$859</definedName>
    <definedName name="DaHUDFMR">Datasheet!$A$780:$A$793</definedName>
    <definedName name="DaHUDMFI">Datasheet!$A$771:$A$780</definedName>
    <definedName name="DaHwyVMT">Datasheet!$A$1083:$A$1092</definedName>
    <definedName name="DaJTCHDrent">Datasheet!$A$793:$A$821</definedName>
    <definedName name="DaLAUS">Datasheet!$A$391:$A$429</definedName>
    <definedName name="DaLdgOcc">Datasheet!$A$966:$A$989</definedName>
    <definedName name="DaLEHDDest">Datasheet!$A$523:$A$584</definedName>
    <definedName name="DaLEHDProfile">Datasheet!$A$429:$A$523</definedName>
    <definedName name="DaLVE">Datasheet!$A$1286:$A$1348</definedName>
    <definedName name="DaNetBuildout">Datasheet!$A$3:$A$54</definedName>
    <definedName name="DaPermPop">Datasheet!$A$615:$A$627</definedName>
    <definedName name="DaPipeline">Datasheet!$A$901:$A$966</definedName>
    <definedName name="DaQCEW">Datasheet!$A$363:$A$391</definedName>
    <definedName name="DaRestricted">Datasheet!$A$871:$A$901</definedName>
    <definedName name="DaSTART">Datasheet!$A$1249:$A$1269</definedName>
    <definedName name="DaSUBPrice">Datasheet!$A$835:$A$844</definedName>
    <definedName name="DaTravelTime">Datasheet!$A$1169:$A$1249</definedName>
    <definedName name="DaWorkersbyGeo">Datasheet!$A$594:$A$615</definedName>
    <definedName name="DaWVCs">Datasheet!$A$1269:$A$1286</definedName>
    <definedName name="DaWyDEArent">Datasheet!$A$821:$A$835</definedName>
    <definedName name="DaYNPovernight">Datasheet!$A$1061:$A$1083</definedName>
    <definedName name="InAccesstoNat">Indicators!$A$99:$A$110</definedName>
    <definedName name="InActiveShare">Indicators!$A$955:$A$986</definedName>
    <definedName name="InAirQual">Indicators!$A$86:$A$99</definedName>
    <definedName name="InAmtPotential">Indicators!$A$252:$A$276</definedName>
    <definedName name="InConsSubRA">Indicators!$A$14:$A$73</definedName>
    <definedName name="InEffPop">Indicators!$A$621:$A$822</definedName>
    <definedName name="InGHGEmissions">Indicators!$A$110:$A$189</definedName>
    <definedName name="InGrowthRate">Indicators!$A$528:$A$621</definedName>
    <definedName name="InHsgStock">Indicators!$A$473:$A$528</definedName>
    <definedName name="InITPBenchmarks">Indicators!$A$986:$A$1068</definedName>
    <definedName name="InJobsbyInd">Indicators!$A$852:$A$900</definedName>
    <definedName name="InLdgOcc">Indicators!$A$822:$A$852</definedName>
    <definedName name="InLocalWF">Indicators!$A$356:$A$473</definedName>
    <definedName name="InLocGrowth">Indicators!$A$189:$A$218</definedName>
    <definedName name="InLocPotential">Indicators!$A$218:$A$252</definedName>
    <definedName name="InLOS">Indicators!$A$1097:$A$1108</definedName>
    <definedName name="InNatSpecHealth">Indicators!$A$3:$A$14</definedName>
    <definedName name="InSTART">Indicators!$A$911:$A$955</definedName>
    <definedName name="InTownPctg">Indicators!$A$311:$A$356</definedName>
    <definedName name="InTravelTime">Indicators!$A$900:$A$911</definedName>
    <definedName name="InWaterQual">Indicators!$A$73:$A$86</definedName>
    <definedName name="InWHPipeline">Indicators!$A$276:$A$311</definedName>
    <definedName name="InWVCs">Indicators!$A$1068:$A$1097</definedName>
    <definedName name="InYrlyImp">Indicators!$A$1108:$A$1119</definedName>
    <definedName name="RtrdAfford">Indicators!$A$1457:$A$1492</definedName>
    <definedName name="RtrdEffPop">Indicators!$A$1327:$A$1418</definedName>
    <definedName name="RtrdEnergyLoad">Indicators!$A$1119:$A$1154</definedName>
    <definedName name="RtrdGrowthbyUse">Indicators!$A$1154:$A$1327</definedName>
    <definedName name="RtrdLocalWF">Indicators!$A$1418:$A$1457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879" i="4" l="1"/>
  <c r="AD879" i="4"/>
  <c r="AC880" i="4"/>
  <c r="AD880" i="4"/>
  <c r="AC881" i="4"/>
  <c r="AD881" i="4"/>
  <c r="AC882" i="4"/>
  <c r="AD882" i="4"/>
  <c r="AC883" i="4"/>
  <c r="AD883" i="4"/>
  <c r="AC884" i="4"/>
  <c r="AD884" i="4"/>
  <c r="AC885" i="4"/>
  <c r="AD885" i="4"/>
  <c r="AC886" i="4"/>
  <c r="AD886" i="4"/>
  <c r="AC887" i="4"/>
  <c r="AD887" i="4"/>
  <c r="AC888" i="4"/>
  <c r="AD888" i="4"/>
  <c r="AC889" i="4"/>
  <c r="AD889" i="4"/>
  <c r="AC890" i="4"/>
  <c r="AD890" i="4"/>
  <c r="AC891" i="4"/>
  <c r="AD891" i="4"/>
  <c r="AC892" i="4"/>
  <c r="AD892" i="4"/>
  <c r="AC893" i="4"/>
  <c r="AD893" i="4"/>
  <c r="AC894" i="4"/>
  <c r="AD894" i="4"/>
  <c r="AC895" i="4"/>
  <c r="AD895" i="4"/>
  <c r="AC896" i="4"/>
  <c r="AD896" i="4"/>
  <c r="AC897" i="4"/>
  <c r="AD897" i="4"/>
  <c r="AC898" i="4"/>
  <c r="AD898" i="4"/>
  <c r="AC899" i="4"/>
  <c r="AD899" i="4"/>
  <c r="Q172" i="3"/>
  <c r="R172" i="3"/>
  <c r="S172" i="3"/>
  <c r="T172" i="3"/>
  <c r="AD172" i="3"/>
  <c r="AE172" i="3"/>
  <c r="AF172" i="3"/>
  <c r="AG172" i="3"/>
  <c r="AH172" i="3"/>
  <c r="AI172" i="3"/>
  <c r="AJ172" i="3"/>
  <c r="AK172" i="3"/>
  <c r="AD173" i="3"/>
  <c r="AE173" i="3"/>
  <c r="AF173" i="3"/>
  <c r="AG173" i="3"/>
  <c r="AH173" i="3"/>
  <c r="AI173" i="3"/>
  <c r="AJ173" i="3"/>
  <c r="AK173" i="3"/>
  <c r="AD174" i="3"/>
  <c r="AE174" i="3"/>
  <c r="AF174" i="3"/>
  <c r="AG174" i="3"/>
  <c r="AH174" i="3"/>
  <c r="AI174" i="3"/>
  <c r="AJ174" i="3"/>
  <c r="AK174" i="3"/>
  <c r="Q175" i="3"/>
  <c r="AE175" i="3"/>
  <c r="AF175" i="3"/>
  <c r="AG175" i="3"/>
  <c r="AH175" i="3"/>
  <c r="AI175" i="3"/>
  <c r="AJ175" i="3"/>
  <c r="AK175" i="3"/>
  <c r="AD176" i="3"/>
  <c r="AE176" i="3"/>
  <c r="AF176" i="3"/>
  <c r="AG176" i="3"/>
  <c r="AH176" i="3"/>
  <c r="AI176" i="3"/>
  <c r="AJ176" i="3"/>
  <c r="AK176" i="3"/>
  <c r="AD177" i="3"/>
  <c r="AE177" i="3"/>
  <c r="AF177" i="3"/>
  <c r="AG177" i="3"/>
  <c r="AH177" i="3"/>
  <c r="AI177" i="3"/>
  <c r="AJ177" i="3"/>
  <c r="AK177" i="3"/>
  <c r="T178" i="3"/>
  <c r="AD178" i="3"/>
  <c r="AE178" i="3"/>
  <c r="AF178" i="3"/>
  <c r="AG178" i="3"/>
  <c r="AH178" i="3"/>
  <c r="AI178" i="3"/>
  <c r="AJ178" i="3"/>
  <c r="AK178" i="3"/>
  <c r="Q179" i="3"/>
  <c r="T179" i="3"/>
  <c r="X179" i="3"/>
  <c r="AC179" i="3"/>
  <c r="AD179" i="3"/>
  <c r="AE179" i="3"/>
  <c r="AF179" i="3"/>
  <c r="AG179" i="3"/>
  <c r="AH179" i="3"/>
  <c r="AI179" i="3"/>
  <c r="AJ179" i="3"/>
  <c r="AK179" i="3"/>
  <c r="AD180" i="3"/>
  <c r="AE180" i="3"/>
  <c r="AF180" i="3"/>
  <c r="AG180" i="3"/>
  <c r="AH180" i="3"/>
  <c r="AI180" i="3"/>
  <c r="AJ180" i="3"/>
  <c r="AK180" i="3"/>
  <c r="AD181" i="3"/>
  <c r="AE181" i="3"/>
  <c r="AF181" i="3"/>
  <c r="AG181" i="3"/>
  <c r="AH181" i="3"/>
  <c r="AI181" i="3"/>
  <c r="AJ181" i="3"/>
  <c r="AK181" i="3"/>
  <c r="AD182" i="3"/>
  <c r="AE182" i="3"/>
  <c r="AF182" i="3"/>
  <c r="AG182" i="3"/>
  <c r="AH182" i="3"/>
  <c r="AI182" i="3"/>
  <c r="AJ182" i="3"/>
  <c r="AK182" i="3"/>
  <c r="R183" i="3"/>
  <c r="S183" i="3"/>
  <c r="AD183" i="3"/>
  <c r="AE183" i="3"/>
  <c r="AF183" i="3"/>
  <c r="AG183" i="3"/>
  <c r="AH183" i="3"/>
  <c r="AI183" i="3"/>
  <c r="AJ183" i="3"/>
  <c r="AK183" i="3"/>
  <c r="L172" i="3"/>
  <c r="K172" i="3"/>
  <c r="AD185" i="3"/>
  <c r="AE185" i="3"/>
  <c r="AF185" i="3"/>
  <c r="AG185" i="3"/>
  <c r="AH185" i="3"/>
  <c r="AI185" i="3"/>
  <c r="AJ185" i="3"/>
  <c r="AK185" i="3"/>
  <c r="AE186" i="3"/>
  <c r="AF186" i="3"/>
  <c r="AG186" i="3"/>
  <c r="AH186" i="3"/>
  <c r="AI186" i="3"/>
  <c r="AJ186" i="3"/>
  <c r="AK186" i="3"/>
  <c r="AD187" i="3"/>
  <c r="AE187" i="3"/>
  <c r="AF187" i="3"/>
  <c r="AG187" i="3"/>
  <c r="AH187" i="3"/>
  <c r="AI187" i="3"/>
  <c r="AJ187" i="3"/>
  <c r="AK187" i="3"/>
  <c r="AD188" i="3"/>
  <c r="AE188" i="3"/>
  <c r="AF188" i="3"/>
  <c r="AG188" i="3"/>
  <c r="AH188" i="3"/>
  <c r="AI188" i="3"/>
  <c r="AJ188" i="3"/>
  <c r="AK188" i="3"/>
  <c r="AD189" i="3"/>
  <c r="AE189" i="3"/>
  <c r="AF189" i="3"/>
  <c r="AG189" i="3"/>
  <c r="AH189" i="3"/>
  <c r="AI189" i="3"/>
  <c r="AJ189" i="3"/>
  <c r="AK189" i="3"/>
  <c r="I179" i="3"/>
  <c r="I172" i="3"/>
  <c r="AE166" i="3"/>
  <c r="AF166" i="3"/>
  <c r="AG166" i="3"/>
  <c r="AH166" i="3"/>
  <c r="AI166" i="3"/>
  <c r="AJ166" i="3"/>
  <c r="AK166" i="3"/>
  <c r="AD167" i="3"/>
  <c r="AE167" i="3"/>
  <c r="AF167" i="3"/>
  <c r="AG167" i="3"/>
  <c r="AH167" i="3"/>
  <c r="AI167" i="3"/>
  <c r="AJ167" i="3"/>
  <c r="AK167" i="3"/>
  <c r="AD168" i="3"/>
  <c r="AE168" i="3"/>
  <c r="AF168" i="3"/>
  <c r="AG168" i="3"/>
  <c r="AH168" i="3"/>
  <c r="AI168" i="3"/>
  <c r="AJ168" i="3"/>
  <c r="AK168" i="3"/>
  <c r="AD169" i="3"/>
  <c r="AE169" i="3"/>
  <c r="AF169" i="3"/>
  <c r="AG169" i="3"/>
  <c r="AH169" i="3"/>
  <c r="AI169" i="3"/>
  <c r="AJ169" i="3"/>
  <c r="AK169" i="3"/>
  <c r="L152" i="3"/>
  <c r="Q152" i="3"/>
  <c r="R152" i="3"/>
  <c r="S152" i="3"/>
  <c r="T152" i="3"/>
  <c r="AD152" i="3"/>
  <c r="AE152" i="3"/>
  <c r="AF152" i="3"/>
  <c r="AG152" i="3"/>
  <c r="AH152" i="3"/>
  <c r="AI152" i="3"/>
  <c r="AJ152" i="3"/>
  <c r="AK152" i="3"/>
  <c r="AD153" i="3"/>
  <c r="AE153" i="3"/>
  <c r="AF153" i="3"/>
  <c r="AG153" i="3"/>
  <c r="AH153" i="3"/>
  <c r="AI153" i="3"/>
  <c r="AJ153" i="3"/>
  <c r="AK153" i="3"/>
  <c r="AD154" i="3"/>
  <c r="AE154" i="3"/>
  <c r="AF154" i="3"/>
  <c r="AG154" i="3"/>
  <c r="AH154" i="3"/>
  <c r="AI154" i="3"/>
  <c r="AJ154" i="3"/>
  <c r="AK154" i="3"/>
  <c r="Q155" i="3"/>
  <c r="AE155" i="3"/>
  <c r="AF155" i="3"/>
  <c r="AG155" i="3"/>
  <c r="AH155" i="3"/>
  <c r="AI155" i="3"/>
  <c r="AJ155" i="3"/>
  <c r="AK155" i="3"/>
  <c r="AD156" i="3"/>
  <c r="AE156" i="3"/>
  <c r="AF156" i="3"/>
  <c r="AG156" i="3"/>
  <c r="AH156" i="3"/>
  <c r="AI156" i="3"/>
  <c r="AJ156" i="3"/>
  <c r="AK156" i="3"/>
  <c r="AD157" i="3"/>
  <c r="AE157" i="3"/>
  <c r="AF157" i="3"/>
  <c r="AG157" i="3"/>
  <c r="AH157" i="3"/>
  <c r="AI157" i="3"/>
  <c r="AJ157" i="3"/>
  <c r="AK157" i="3"/>
  <c r="T158" i="3"/>
  <c r="AD158" i="3"/>
  <c r="AE158" i="3"/>
  <c r="AF158" i="3"/>
  <c r="AG158" i="3"/>
  <c r="AH158" i="3"/>
  <c r="AI158" i="3"/>
  <c r="AJ158" i="3"/>
  <c r="AK158" i="3"/>
  <c r="Q159" i="3"/>
  <c r="T159" i="3"/>
  <c r="X159" i="3"/>
  <c r="AC159" i="3"/>
  <c r="AD159" i="3"/>
  <c r="AD165" i="3" s="1"/>
  <c r="AE159" i="3"/>
  <c r="AE165" i="3" s="1"/>
  <c r="AF159" i="3"/>
  <c r="AF165" i="3" s="1"/>
  <c r="AG159" i="3"/>
  <c r="AG165" i="3" s="1"/>
  <c r="AH159" i="3"/>
  <c r="AH165" i="3" s="1"/>
  <c r="AI159" i="3"/>
  <c r="AI165" i="3" s="1"/>
  <c r="AJ159" i="3"/>
  <c r="AJ165" i="3" s="1"/>
  <c r="AK159" i="3"/>
  <c r="AK165" i="3" s="1"/>
  <c r="AD160" i="3"/>
  <c r="AE160" i="3"/>
  <c r="AF160" i="3"/>
  <c r="AG160" i="3"/>
  <c r="AH160" i="3"/>
  <c r="AI160" i="3"/>
  <c r="AJ160" i="3"/>
  <c r="AK160" i="3"/>
  <c r="AD161" i="3"/>
  <c r="AE161" i="3"/>
  <c r="AF161" i="3"/>
  <c r="AG161" i="3"/>
  <c r="AH161" i="3"/>
  <c r="AI161" i="3"/>
  <c r="AJ161" i="3"/>
  <c r="AK161" i="3"/>
  <c r="AD162" i="3"/>
  <c r="AE162" i="3"/>
  <c r="AF162" i="3"/>
  <c r="AG162" i="3"/>
  <c r="AH162" i="3"/>
  <c r="AI162" i="3"/>
  <c r="AJ162" i="3"/>
  <c r="AK162" i="3"/>
  <c r="R163" i="3"/>
  <c r="S163" i="3"/>
  <c r="AD163" i="3"/>
  <c r="AE163" i="3"/>
  <c r="AF163" i="3"/>
  <c r="AG163" i="3"/>
  <c r="AH163" i="3"/>
  <c r="AI163" i="3"/>
  <c r="AJ163" i="3"/>
  <c r="AK163" i="3"/>
  <c r="K152" i="3"/>
  <c r="I159" i="3"/>
  <c r="I152" i="3"/>
  <c r="AU25" i="11"/>
  <c r="AV25" i="11"/>
  <c r="AU26" i="11"/>
  <c r="AV26" i="11"/>
  <c r="AU27" i="11"/>
  <c r="AV27" i="11"/>
  <c r="AU28" i="11"/>
  <c r="AV28" i="11"/>
  <c r="AU29" i="11"/>
  <c r="AV29" i="11"/>
  <c r="AU30" i="11"/>
  <c r="AV30" i="11"/>
  <c r="AU31" i="11"/>
  <c r="AV31" i="11"/>
  <c r="AU32" i="11"/>
  <c r="AV32" i="11"/>
  <c r="AU33" i="11"/>
  <c r="AV33" i="11"/>
  <c r="AU34" i="11"/>
  <c r="AV34" i="11"/>
  <c r="AU35" i="11"/>
  <c r="AV35" i="11"/>
  <c r="AU36" i="11"/>
  <c r="AV36" i="11"/>
  <c r="AU37" i="11"/>
  <c r="AV37" i="11"/>
  <c r="AU38" i="11"/>
  <c r="AV38" i="11"/>
  <c r="AU39" i="11"/>
  <c r="AV39" i="11"/>
  <c r="AU40" i="11"/>
  <c r="AV40" i="11"/>
  <c r="AU41" i="11"/>
  <c r="AV41" i="11"/>
  <c r="AU42" i="11"/>
  <c r="AV42" i="11"/>
  <c r="AU43" i="11"/>
  <c r="AV43" i="11"/>
  <c r="AU44" i="11"/>
  <c r="AV44" i="11"/>
  <c r="AU45" i="11"/>
  <c r="AV45" i="11"/>
  <c r="AU46" i="11"/>
  <c r="AV46" i="11"/>
  <c r="AU47" i="11"/>
  <c r="AV47" i="11"/>
  <c r="AU48" i="11"/>
  <c r="AV48" i="11"/>
  <c r="AU49" i="11"/>
  <c r="AV49" i="11"/>
  <c r="AU50" i="11"/>
  <c r="AV50" i="11"/>
  <c r="AU51" i="11"/>
  <c r="AV51" i="11"/>
  <c r="AU52" i="11"/>
  <c r="AV52" i="11"/>
  <c r="AU53" i="11"/>
  <c r="AV53" i="11"/>
  <c r="AU54" i="11"/>
  <c r="AV54" i="11"/>
  <c r="AU55" i="11"/>
  <c r="AV55" i="11"/>
  <c r="AU56" i="11"/>
  <c r="AV56" i="11"/>
  <c r="AU57" i="11"/>
  <c r="AV57" i="11"/>
  <c r="AU58" i="11"/>
  <c r="AV58" i="11"/>
  <c r="AU59" i="11"/>
  <c r="AV59" i="11"/>
  <c r="AU60" i="11"/>
  <c r="AV60" i="11"/>
  <c r="AU61" i="11"/>
  <c r="AV61" i="11"/>
  <c r="AU62" i="11"/>
  <c r="AV62" i="11"/>
  <c r="AU63" i="11"/>
  <c r="AV63" i="11"/>
  <c r="AU64" i="11"/>
  <c r="AV64" i="11"/>
  <c r="AU65" i="11"/>
  <c r="AV65" i="11"/>
  <c r="AU66" i="11"/>
  <c r="AV66" i="11"/>
  <c r="AU67" i="11"/>
  <c r="AV67" i="11"/>
  <c r="AU68" i="11"/>
  <c r="AV68" i="11"/>
  <c r="AU69" i="11"/>
  <c r="AV69" i="11"/>
  <c r="AU70" i="11"/>
  <c r="AV70" i="11"/>
  <c r="AU71" i="11"/>
  <c r="AV71" i="11"/>
  <c r="AU72" i="11"/>
  <c r="AV72" i="11"/>
  <c r="AU73" i="11"/>
  <c r="AV73" i="11"/>
  <c r="AU74" i="11"/>
  <c r="AV74" i="11"/>
  <c r="AU75" i="11"/>
  <c r="AV75" i="11"/>
  <c r="AU76" i="11"/>
  <c r="AV76" i="11"/>
  <c r="AU77" i="11"/>
  <c r="AV77" i="11"/>
  <c r="AU78" i="11"/>
  <c r="AV78" i="11"/>
  <c r="AU79" i="11"/>
  <c r="AV79" i="11"/>
  <c r="AU80" i="11"/>
  <c r="AV80" i="11"/>
  <c r="AU81" i="11"/>
  <c r="AV81" i="11"/>
  <c r="AU82" i="11"/>
  <c r="AV82" i="11"/>
  <c r="AU83" i="11"/>
  <c r="AV83" i="11"/>
  <c r="AU84" i="11"/>
  <c r="AV84" i="11"/>
  <c r="AU85" i="11"/>
  <c r="AV85" i="11"/>
  <c r="AU86" i="11"/>
  <c r="AV86" i="11"/>
  <c r="AU87" i="11"/>
  <c r="AV87" i="11"/>
  <c r="AU88" i="11"/>
  <c r="AV88" i="11"/>
  <c r="AU89" i="11"/>
  <c r="AV89" i="11"/>
  <c r="AU90" i="11"/>
  <c r="AV90" i="11"/>
  <c r="AU91" i="11"/>
  <c r="AV91" i="11"/>
  <c r="AU92" i="11"/>
  <c r="AV92" i="11"/>
  <c r="AU93" i="11"/>
  <c r="AV93" i="11"/>
  <c r="AU94" i="11"/>
  <c r="AV94" i="11"/>
  <c r="AU95" i="11"/>
  <c r="AV95" i="11"/>
  <c r="AU96" i="11"/>
  <c r="AV96" i="11"/>
  <c r="AU97" i="11"/>
  <c r="AV97" i="11"/>
  <c r="AU98" i="11"/>
  <c r="AV98" i="11"/>
  <c r="AU99" i="11"/>
  <c r="AV99" i="11"/>
  <c r="AU100" i="11"/>
  <c r="AV100" i="11"/>
  <c r="AU101" i="11"/>
  <c r="AV101" i="11"/>
  <c r="AU102" i="11"/>
  <c r="AV102" i="11"/>
  <c r="AU103" i="11"/>
  <c r="AV103" i="11"/>
  <c r="AU104" i="11"/>
  <c r="AV104" i="11"/>
  <c r="AU105" i="11"/>
  <c r="AV105" i="11"/>
  <c r="AU106" i="11"/>
  <c r="AV106" i="11"/>
  <c r="AU107" i="11"/>
  <c r="AV107" i="11"/>
  <c r="AU108" i="11"/>
  <c r="AV108" i="11"/>
  <c r="AU109" i="11"/>
  <c r="AV109" i="11"/>
  <c r="AU110" i="11"/>
  <c r="AV110" i="11"/>
  <c r="AU111" i="11"/>
  <c r="AV111" i="11"/>
  <c r="AU112" i="11"/>
  <c r="AV112" i="11"/>
  <c r="AU113" i="11"/>
  <c r="AV113" i="11"/>
  <c r="AU114" i="11"/>
  <c r="AV114" i="11"/>
  <c r="AU115" i="11"/>
  <c r="AV115" i="11"/>
  <c r="AU116" i="11"/>
  <c r="AV116" i="11"/>
  <c r="AU117" i="11"/>
  <c r="AV117" i="11"/>
  <c r="AU118" i="11"/>
  <c r="AV118" i="11"/>
  <c r="AU119" i="11"/>
  <c r="AV119" i="11"/>
  <c r="AU120" i="11"/>
  <c r="AV120" i="11"/>
  <c r="AU121" i="11"/>
  <c r="AV121" i="11"/>
  <c r="AU122" i="11"/>
  <c r="AV122" i="11"/>
  <c r="AU123" i="11"/>
  <c r="AV123" i="11"/>
  <c r="AU124" i="11"/>
  <c r="AV124" i="11"/>
  <c r="AU125" i="11"/>
  <c r="AV125" i="11"/>
  <c r="AU126" i="11"/>
  <c r="AV126" i="11"/>
  <c r="AU127" i="11"/>
  <c r="AV127" i="11"/>
  <c r="AU128" i="11"/>
  <c r="AV128" i="11"/>
  <c r="AU129" i="11"/>
  <c r="AV129" i="11"/>
  <c r="AU130" i="11"/>
  <c r="AV130" i="11"/>
  <c r="AU131" i="11"/>
  <c r="AV131" i="11"/>
  <c r="AU132" i="11"/>
  <c r="AV132" i="11"/>
  <c r="AU133" i="11"/>
  <c r="AV133" i="11"/>
  <c r="AU134" i="11"/>
  <c r="AV134" i="11"/>
  <c r="AU135" i="11"/>
  <c r="AV135" i="11"/>
  <c r="AU136" i="11"/>
  <c r="AV136" i="11"/>
  <c r="AU137" i="11"/>
  <c r="AV137" i="11"/>
  <c r="AU138" i="11"/>
  <c r="AV138" i="11"/>
  <c r="AU139" i="11"/>
  <c r="AV139" i="11"/>
  <c r="AU140" i="11"/>
  <c r="AV140" i="11"/>
  <c r="AU141" i="11"/>
  <c r="AV141" i="11"/>
  <c r="AU142" i="11"/>
  <c r="AV142" i="11"/>
  <c r="AU143" i="11"/>
  <c r="AV143" i="11"/>
  <c r="AU144" i="11"/>
  <c r="AV144" i="11"/>
  <c r="AU145" i="11"/>
  <c r="AV145" i="11"/>
  <c r="AU146" i="11"/>
  <c r="AV146" i="11"/>
  <c r="AU147" i="11"/>
  <c r="AV147" i="11"/>
  <c r="AU148" i="11"/>
  <c r="AV148" i="11"/>
  <c r="AU149" i="11"/>
  <c r="AV149" i="11"/>
  <c r="AU150" i="11"/>
  <c r="AV150" i="11"/>
  <c r="AU151" i="11"/>
  <c r="AV151" i="11"/>
  <c r="AU152" i="11"/>
  <c r="AV152" i="11"/>
  <c r="AU153" i="11"/>
  <c r="AV153" i="11"/>
  <c r="AU154" i="11"/>
  <c r="AV154" i="11"/>
  <c r="AU155" i="11"/>
  <c r="AV155" i="11"/>
  <c r="AU156" i="11"/>
  <c r="AV156" i="11"/>
  <c r="AU157" i="11"/>
  <c r="AV157" i="11"/>
  <c r="AU158" i="11"/>
  <c r="AV158" i="11"/>
  <c r="AU159" i="11"/>
  <c r="AV159" i="11"/>
  <c r="AU160" i="11"/>
  <c r="AV160" i="11"/>
  <c r="AU161" i="11"/>
  <c r="AV161" i="11"/>
  <c r="AU162" i="11"/>
  <c r="AV162" i="11"/>
  <c r="AU163" i="11"/>
  <c r="AV163" i="11"/>
  <c r="AU164" i="11"/>
  <c r="AV164" i="11"/>
  <c r="AU165" i="11"/>
  <c r="AV165" i="11"/>
  <c r="AU166" i="11"/>
  <c r="AV166" i="11"/>
  <c r="AU167" i="11"/>
  <c r="AV167" i="11"/>
  <c r="AU168" i="11"/>
  <c r="AV168" i="11"/>
  <c r="AU169" i="11"/>
  <c r="AV169" i="11"/>
  <c r="AU170" i="11"/>
  <c r="AV170" i="11"/>
  <c r="AU171" i="11"/>
  <c r="AV171" i="11"/>
  <c r="AU172" i="11"/>
  <c r="AV172" i="11"/>
  <c r="AU173" i="11"/>
  <c r="AV173" i="11"/>
  <c r="AU174" i="11"/>
  <c r="AV174" i="11"/>
  <c r="AU175" i="11"/>
  <c r="AV175" i="11"/>
  <c r="AU176" i="11"/>
  <c r="AV176" i="11"/>
  <c r="AU177" i="11"/>
  <c r="AV177" i="11"/>
  <c r="AU178" i="11"/>
  <c r="AV178" i="11"/>
  <c r="AU179" i="11"/>
  <c r="AV179" i="11"/>
  <c r="AU180" i="11"/>
  <c r="AV180" i="11"/>
  <c r="AU181" i="11"/>
  <c r="AV181" i="11"/>
  <c r="AU182" i="11"/>
  <c r="AV182" i="11"/>
  <c r="AU183" i="11"/>
  <c r="AV183" i="11"/>
  <c r="AU184" i="11"/>
  <c r="AV184" i="11"/>
  <c r="AU185" i="11"/>
  <c r="AV185" i="11"/>
  <c r="AU186" i="11"/>
  <c r="AV186" i="11"/>
  <c r="AU187" i="11"/>
  <c r="AV187" i="11"/>
  <c r="AU188" i="11"/>
  <c r="AV188" i="11"/>
  <c r="AU189" i="11"/>
  <c r="AV189" i="11"/>
  <c r="AU190" i="11"/>
  <c r="AV190" i="11"/>
  <c r="AU191" i="11"/>
  <c r="AV191" i="11"/>
  <c r="AU192" i="11"/>
  <c r="AV192" i="11"/>
  <c r="AU193" i="11"/>
  <c r="AV193" i="11"/>
  <c r="AU194" i="11"/>
  <c r="AV194" i="11"/>
  <c r="AU195" i="11"/>
  <c r="AV195" i="11"/>
  <c r="AU196" i="11"/>
  <c r="AV196" i="11"/>
  <c r="AU197" i="11"/>
  <c r="AV197" i="11"/>
  <c r="AU198" i="11"/>
  <c r="AV198" i="11"/>
  <c r="AU199" i="11"/>
  <c r="AV199" i="11"/>
  <c r="AU200" i="11"/>
  <c r="AV200" i="11"/>
  <c r="AU201" i="11"/>
  <c r="AV201" i="11"/>
  <c r="AU202" i="11"/>
  <c r="AV202" i="11"/>
  <c r="AU203" i="11"/>
  <c r="AV203" i="11"/>
  <c r="AU204" i="11"/>
  <c r="AV204" i="11"/>
  <c r="AU205" i="11"/>
  <c r="AV205" i="11"/>
  <c r="AU206" i="11"/>
  <c r="AV206" i="11"/>
  <c r="AU207" i="11"/>
  <c r="AV207" i="11"/>
  <c r="AU208" i="11"/>
  <c r="AV208" i="11"/>
  <c r="AU209" i="11"/>
  <c r="AV209" i="11"/>
  <c r="AU210" i="11"/>
  <c r="AV210" i="11"/>
  <c r="AU211" i="11"/>
  <c r="AV211" i="11"/>
  <c r="AU212" i="11"/>
  <c r="AV212" i="11"/>
  <c r="AU213" i="11"/>
  <c r="AV213" i="11"/>
  <c r="AU214" i="11"/>
  <c r="AV214" i="11"/>
  <c r="AU215" i="11"/>
  <c r="AV215" i="11"/>
  <c r="AU216" i="11"/>
  <c r="AV216" i="11"/>
  <c r="AU217" i="11"/>
  <c r="AV217" i="11"/>
  <c r="AU218" i="11"/>
  <c r="AV218" i="11"/>
  <c r="AU219" i="11"/>
  <c r="AV219" i="11"/>
  <c r="AU220" i="11"/>
  <c r="AV220" i="11"/>
  <c r="AU221" i="11"/>
  <c r="AV221" i="11"/>
  <c r="AU222" i="11"/>
  <c r="AV222" i="11"/>
  <c r="AU223" i="11"/>
  <c r="AV223" i="11"/>
  <c r="AU224" i="11"/>
  <c r="AV224" i="11"/>
  <c r="AU225" i="11"/>
  <c r="AV225" i="11"/>
  <c r="AU226" i="11"/>
  <c r="AV226" i="11"/>
  <c r="AU227" i="11"/>
  <c r="AV227" i="11"/>
  <c r="AU228" i="11"/>
  <c r="AV228" i="11"/>
  <c r="AU229" i="11"/>
  <c r="AV229" i="11"/>
  <c r="AU230" i="11"/>
  <c r="AV230" i="11"/>
  <c r="AU231" i="11"/>
  <c r="AV231" i="11"/>
  <c r="AU232" i="11"/>
  <c r="AV232" i="11"/>
  <c r="AU233" i="11"/>
  <c r="AV233" i="11"/>
  <c r="AU234" i="11"/>
  <c r="AV234" i="11"/>
  <c r="AU235" i="11"/>
  <c r="AV235" i="11"/>
  <c r="AU236" i="11"/>
  <c r="AV236" i="11"/>
  <c r="AU237" i="11"/>
  <c r="AV237" i="11"/>
  <c r="AU238" i="11"/>
  <c r="AV238" i="11"/>
  <c r="AU239" i="11"/>
  <c r="AV239" i="11"/>
  <c r="AU240" i="11"/>
  <c r="AV240" i="11"/>
  <c r="AU241" i="11"/>
  <c r="AV241" i="11"/>
  <c r="AU242" i="11"/>
  <c r="AV242" i="11"/>
  <c r="AU243" i="11"/>
  <c r="AV243" i="11"/>
  <c r="AU244" i="11"/>
  <c r="AV244" i="11"/>
  <c r="AU245" i="11"/>
  <c r="AV245" i="11"/>
  <c r="AU246" i="11"/>
  <c r="AV246" i="11"/>
  <c r="AU247" i="11"/>
  <c r="AV247" i="11"/>
  <c r="AU248" i="11"/>
  <c r="AV248" i="11"/>
  <c r="AU249" i="11"/>
  <c r="AV249" i="11"/>
  <c r="AU250" i="11"/>
  <c r="AV250" i="11"/>
  <c r="AU251" i="11"/>
  <c r="AV251" i="11"/>
  <c r="AU252" i="11"/>
  <c r="AV252" i="11"/>
  <c r="AU253" i="11"/>
  <c r="AV253" i="11"/>
  <c r="AU254" i="11"/>
  <c r="AV254" i="11"/>
  <c r="AU255" i="11"/>
  <c r="AV255" i="11"/>
  <c r="AU256" i="11"/>
  <c r="AV256" i="11"/>
  <c r="AU257" i="11"/>
  <c r="AV257" i="11"/>
  <c r="AU258" i="11"/>
  <c r="AV258" i="11"/>
  <c r="AU259" i="11"/>
  <c r="AV259" i="11"/>
  <c r="AU260" i="11"/>
  <c r="AV260" i="11"/>
  <c r="AU261" i="11"/>
  <c r="AV261" i="11"/>
  <c r="AU262" i="11"/>
  <c r="AV262" i="11"/>
  <c r="AU263" i="11"/>
  <c r="AV263" i="11"/>
  <c r="AU264" i="11"/>
  <c r="AV264" i="11"/>
  <c r="AU265" i="11"/>
  <c r="AV265" i="11"/>
  <c r="AU266" i="11"/>
  <c r="AV266" i="11"/>
  <c r="AU267" i="11"/>
  <c r="AV267" i="11"/>
  <c r="AU268" i="11"/>
  <c r="AV268" i="11"/>
  <c r="AU269" i="11"/>
  <c r="AV269" i="11"/>
  <c r="AU270" i="11"/>
  <c r="AV270" i="11"/>
  <c r="AU271" i="11"/>
  <c r="AV271" i="11"/>
  <c r="AU272" i="11"/>
  <c r="AV272" i="11"/>
  <c r="AU273" i="11"/>
  <c r="AV273" i="11"/>
  <c r="AU274" i="11"/>
  <c r="AV274" i="11"/>
  <c r="AU275" i="11"/>
  <c r="AV275" i="11"/>
  <c r="AU276" i="11"/>
  <c r="AV276" i="11"/>
  <c r="AU277" i="11"/>
  <c r="AV277" i="11"/>
  <c r="AU278" i="11"/>
  <c r="AV278" i="11"/>
  <c r="AU279" i="11"/>
  <c r="AV279" i="11"/>
  <c r="AU280" i="11"/>
  <c r="AV280" i="11"/>
  <c r="AU281" i="11"/>
  <c r="AV281" i="11"/>
  <c r="AU282" i="11"/>
  <c r="AV282" i="11"/>
  <c r="AU283" i="11"/>
  <c r="AV283" i="11"/>
  <c r="AU284" i="11"/>
  <c r="AV284" i="11"/>
  <c r="AU285" i="11"/>
  <c r="AV285" i="11"/>
  <c r="AU286" i="11"/>
  <c r="AV286" i="11"/>
  <c r="AU287" i="11"/>
  <c r="AV287" i="11"/>
  <c r="AU288" i="11"/>
  <c r="AV288" i="11"/>
  <c r="AU289" i="11"/>
  <c r="AV289" i="11"/>
  <c r="AU290" i="11"/>
  <c r="AV290" i="11"/>
  <c r="AU291" i="11"/>
  <c r="AV291" i="11"/>
  <c r="AU292" i="11"/>
  <c r="AV292" i="11"/>
  <c r="AU293" i="11"/>
  <c r="AV293" i="11"/>
  <c r="AU294" i="11"/>
  <c r="AV294" i="11"/>
  <c r="AU295" i="11"/>
  <c r="AV295" i="11"/>
  <c r="AU296" i="11"/>
  <c r="AV296" i="11"/>
  <c r="AU297" i="11"/>
  <c r="AV297" i="11"/>
  <c r="AU298" i="11"/>
  <c r="AV298" i="11"/>
  <c r="AU299" i="11"/>
  <c r="AV299" i="11"/>
  <c r="AU300" i="11"/>
  <c r="AV300" i="11"/>
  <c r="AU301" i="11"/>
  <c r="AV301" i="11"/>
  <c r="AU302" i="11"/>
  <c r="AV302" i="11"/>
  <c r="AU303" i="11"/>
  <c r="AV303" i="11"/>
  <c r="AU304" i="11"/>
  <c r="AV304" i="11"/>
  <c r="AU305" i="11"/>
  <c r="AV305" i="11"/>
  <c r="AU306" i="11"/>
  <c r="AV306" i="11"/>
  <c r="AU307" i="11"/>
  <c r="AV307" i="11"/>
  <c r="AU308" i="11"/>
  <c r="AV308" i="11"/>
  <c r="AU309" i="11"/>
  <c r="AV309" i="11"/>
  <c r="AU310" i="11"/>
  <c r="AV310" i="11"/>
  <c r="AU311" i="11"/>
  <c r="AV311" i="11"/>
  <c r="AU312" i="11"/>
  <c r="AV312" i="11"/>
  <c r="AU313" i="11"/>
  <c r="AV313" i="11"/>
  <c r="AU314" i="11"/>
  <c r="AV314" i="11"/>
  <c r="AU315" i="11"/>
  <c r="AV315" i="11"/>
  <c r="AU316" i="11"/>
  <c r="AV316" i="11"/>
  <c r="AU317" i="11"/>
  <c r="AV317" i="11"/>
  <c r="AU318" i="11"/>
  <c r="AV318" i="11"/>
  <c r="AU319" i="11"/>
  <c r="AV319" i="11"/>
  <c r="AU320" i="11"/>
  <c r="AV320" i="11"/>
  <c r="AU321" i="11"/>
  <c r="AV321" i="11"/>
  <c r="AU322" i="11"/>
  <c r="AV322" i="11"/>
  <c r="AU323" i="11"/>
  <c r="AV323" i="11"/>
  <c r="AU324" i="11"/>
  <c r="AV324" i="11"/>
  <c r="AU325" i="11"/>
  <c r="AV325" i="11"/>
  <c r="AU326" i="11"/>
  <c r="AV326" i="11"/>
  <c r="AU327" i="11"/>
  <c r="AV327" i="11"/>
  <c r="AU328" i="11"/>
  <c r="AV328" i="11"/>
  <c r="AU329" i="11"/>
  <c r="AV329" i="11"/>
  <c r="AU330" i="11"/>
  <c r="AV330" i="11"/>
  <c r="AU331" i="11"/>
  <c r="AV331" i="11"/>
  <c r="AU332" i="11"/>
  <c r="AV332" i="11"/>
  <c r="AU333" i="11"/>
  <c r="AV333" i="11"/>
  <c r="AU334" i="11"/>
  <c r="AV334" i="11"/>
  <c r="AU335" i="11"/>
  <c r="AV335" i="11"/>
  <c r="AU336" i="11"/>
  <c r="AV336" i="11"/>
  <c r="AU337" i="11"/>
  <c r="AV337" i="11"/>
  <c r="AU338" i="11"/>
  <c r="AV338" i="11"/>
  <c r="AU339" i="11"/>
  <c r="AV339" i="11"/>
  <c r="AU340" i="11"/>
  <c r="AV340" i="11"/>
  <c r="AU341" i="11"/>
  <c r="AV341" i="11"/>
  <c r="AU342" i="11"/>
  <c r="AV342" i="11"/>
  <c r="AU343" i="11"/>
  <c r="AV343" i="11"/>
  <c r="AU344" i="11"/>
  <c r="AV344" i="11"/>
  <c r="AU345" i="11"/>
  <c r="AV345" i="11"/>
  <c r="AU346" i="11"/>
  <c r="AV346" i="11"/>
  <c r="AU347" i="11"/>
  <c r="AV347" i="11"/>
  <c r="AU348" i="11"/>
  <c r="AV348" i="11"/>
  <c r="AU349" i="11"/>
  <c r="AV349" i="11"/>
  <c r="AU350" i="11"/>
  <c r="AV350" i="11"/>
  <c r="AU351" i="11"/>
  <c r="AV351" i="11"/>
  <c r="AU352" i="11"/>
  <c r="AV352" i="11"/>
  <c r="AU353" i="11"/>
  <c r="AV353" i="11"/>
  <c r="AU354" i="11"/>
  <c r="AV354" i="11"/>
  <c r="AU355" i="11"/>
  <c r="AV355" i="11"/>
  <c r="AU356" i="11"/>
  <c r="AV356" i="11"/>
  <c r="AU357" i="11"/>
  <c r="AV357" i="11"/>
  <c r="AU358" i="11"/>
  <c r="AV358" i="11"/>
  <c r="AU359" i="11"/>
  <c r="AV359" i="11"/>
  <c r="AU360" i="11"/>
  <c r="AV360" i="11"/>
  <c r="AU361" i="11"/>
  <c r="AV361" i="11"/>
  <c r="AU362" i="11"/>
  <c r="AV362" i="11"/>
  <c r="AU363" i="11"/>
  <c r="AV363" i="11"/>
  <c r="AU364" i="11"/>
  <c r="AV364" i="11"/>
  <c r="AU365" i="11"/>
  <c r="AV365" i="11"/>
  <c r="AU366" i="11"/>
  <c r="AV366" i="11"/>
  <c r="AU367" i="11"/>
  <c r="AV367" i="11"/>
  <c r="AU368" i="11"/>
  <c r="AV368" i="11"/>
  <c r="AU369" i="11"/>
  <c r="AV369" i="11"/>
  <c r="AU370" i="11"/>
  <c r="AV370" i="11"/>
  <c r="AU371" i="11"/>
  <c r="AV371" i="11"/>
  <c r="AU372" i="11"/>
  <c r="AV372" i="11"/>
  <c r="AU373" i="11"/>
  <c r="AV373" i="11"/>
  <c r="AU374" i="11"/>
  <c r="AV374" i="11"/>
  <c r="AU375" i="11"/>
  <c r="AV375" i="11"/>
  <c r="AU376" i="11"/>
  <c r="AV376" i="11"/>
  <c r="AU377" i="11"/>
  <c r="AV377" i="11"/>
  <c r="AU378" i="11"/>
  <c r="AV378" i="11"/>
  <c r="AU379" i="11"/>
  <c r="AV379" i="11"/>
  <c r="AU380" i="11"/>
  <c r="AV380" i="11"/>
  <c r="AU381" i="11"/>
  <c r="AV381" i="11"/>
  <c r="AU382" i="11"/>
  <c r="AV382" i="11"/>
  <c r="AU383" i="11"/>
  <c r="AV383" i="11"/>
  <c r="AU384" i="11"/>
  <c r="AV384" i="11"/>
  <c r="AU385" i="11"/>
  <c r="AV385" i="11"/>
  <c r="AU386" i="11"/>
  <c r="AV386" i="11"/>
  <c r="AU387" i="11"/>
  <c r="AV387" i="11"/>
  <c r="AU388" i="11"/>
  <c r="AV388" i="11"/>
  <c r="AU389" i="11"/>
  <c r="AV389" i="11"/>
  <c r="AU390" i="11"/>
  <c r="AV390" i="11"/>
  <c r="AU391" i="11"/>
  <c r="AV391" i="11"/>
  <c r="AU392" i="11"/>
  <c r="AV392" i="11"/>
  <c r="AU393" i="11"/>
  <c r="AV393" i="11"/>
  <c r="AU394" i="11"/>
  <c r="AV394" i="11"/>
  <c r="AU395" i="11"/>
  <c r="AV395" i="11"/>
  <c r="AU396" i="11"/>
  <c r="AV396" i="11"/>
  <c r="AU397" i="11"/>
  <c r="AV397" i="11"/>
  <c r="AU398" i="11"/>
  <c r="AV398" i="11"/>
  <c r="AU399" i="11"/>
  <c r="AV399" i="11"/>
  <c r="AU400" i="11"/>
  <c r="AV400" i="11"/>
  <c r="AU401" i="11"/>
  <c r="AV401" i="11"/>
  <c r="AU402" i="11"/>
  <c r="AV402" i="11"/>
  <c r="AU403" i="11"/>
  <c r="AV403" i="11"/>
  <c r="AU404" i="11"/>
  <c r="AV404" i="11"/>
  <c r="AU405" i="11"/>
  <c r="AV405" i="11"/>
  <c r="AU406" i="11"/>
  <c r="AV406" i="11"/>
  <c r="AU407" i="11"/>
  <c r="AV407" i="11"/>
  <c r="AU408" i="11"/>
  <c r="AV408" i="11"/>
  <c r="AU409" i="11"/>
  <c r="AV409" i="11"/>
  <c r="AU410" i="11"/>
  <c r="AV410" i="11"/>
  <c r="AU411" i="11"/>
  <c r="AV411" i="11"/>
  <c r="AU412" i="11"/>
  <c r="AV412" i="11"/>
  <c r="AU413" i="11"/>
  <c r="AV413" i="11"/>
  <c r="AU414" i="11"/>
  <c r="AV414" i="11"/>
  <c r="AU415" i="11"/>
  <c r="AV415" i="11"/>
  <c r="AU416" i="11"/>
  <c r="AV416" i="11"/>
  <c r="AU417" i="11"/>
  <c r="AV417" i="11"/>
  <c r="AU418" i="11"/>
  <c r="AV418" i="11"/>
  <c r="AU419" i="11"/>
  <c r="AV419" i="11"/>
  <c r="AU420" i="11"/>
  <c r="AV420" i="11"/>
  <c r="AU421" i="11"/>
  <c r="AV421" i="11"/>
  <c r="AU422" i="11"/>
  <c r="AV422" i="11"/>
  <c r="AU423" i="11"/>
  <c r="AV423" i="11"/>
  <c r="AU424" i="11"/>
  <c r="AV424" i="11"/>
  <c r="AU425" i="11"/>
  <c r="AV425" i="11"/>
  <c r="AU426" i="11"/>
  <c r="AV426" i="11"/>
  <c r="AU427" i="11"/>
  <c r="AV427" i="11"/>
  <c r="AU428" i="11"/>
  <c r="AV428" i="11"/>
  <c r="AU429" i="11"/>
  <c r="AV429" i="11"/>
  <c r="AU430" i="11"/>
  <c r="AV430" i="11"/>
  <c r="AU431" i="11"/>
  <c r="AV431" i="11"/>
  <c r="AU432" i="11"/>
  <c r="AV432" i="11"/>
  <c r="AU433" i="11"/>
  <c r="AV433" i="11"/>
  <c r="AU434" i="11"/>
  <c r="AV434" i="11"/>
  <c r="AU435" i="11"/>
  <c r="AV435" i="11"/>
  <c r="AU436" i="11"/>
  <c r="AV436" i="11"/>
  <c r="AU437" i="11"/>
  <c r="AV437" i="11"/>
  <c r="AU438" i="11"/>
  <c r="AV438" i="11"/>
  <c r="AU439" i="11"/>
  <c r="AV439" i="11"/>
  <c r="AU440" i="11"/>
  <c r="AV440" i="11"/>
  <c r="AU441" i="11"/>
  <c r="AV441" i="11"/>
  <c r="AU442" i="11"/>
  <c r="AV442" i="11"/>
  <c r="AU443" i="11"/>
  <c r="AV443" i="11"/>
  <c r="AU444" i="11"/>
  <c r="AV444" i="11"/>
  <c r="AU445" i="11"/>
  <c r="AV445" i="11"/>
  <c r="AU446" i="11"/>
  <c r="AV446" i="11"/>
  <c r="AU447" i="11"/>
  <c r="AV447" i="11"/>
  <c r="AU448" i="11"/>
  <c r="AV448" i="11"/>
  <c r="AU449" i="11"/>
  <c r="AV449" i="11"/>
  <c r="AU450" i="11"/>
  <c r="AV450" i="11"/>
  <c r="AU451" i="11"/>
  <c r="AV451" i="11"/>
  <c r="AU452" i="11"/>
  <c r="AV452" i="11"/>
  <c r="AU453" i="11"/>
  <c r="AV453" i="11"/>
  <c r="AU454" i="11"/>
  <c r="AV454" i="11"/>
  <c r="AU455" i="11"/>
  <c r="AV455" i="11"/>
  <c r="AU456" i="11"/>
  <c r="AV456" i="11"/>
  <c r="AU457" i="11"/>
  <c r="AV457" i="11"/>
  <c r="AU458" i="11"/>
  <c r="AV458" i="11"/>
  <c r="AU459" i="11"/>
  <c r="AV459" i="11"/>
  <c r="AU460" i="11"/>
  <c r="AV460" i="11"/>
  <c r="AU461" i="11"/>
  <c r="AV461" i="11"/>
  <c r="AU462" i="11"/>
  <c r="AV462" i="11"/>
  <c r="AU463" i="11"/>
  <c r="AV463" i="11"/>
  <c r="AU464" i="11"/>
  <c r="AV464" i="11"/>
  <c r="AU465" i="11"/>
  <c r="AV465" i="11"/>
  <c r="AU466" i="11"/>
  <c r="AV466" i="11"/>
  <c r="AU467" i="11"/>
  <c r="AV467" i="11"/>
  <c r="AU468" i="11"/>
  <c r="AV468" i="11"/>
  <c r="AU469" i="11"/>
  <c r="AV469" i="11"/>
  <c r="AU470" i="11"/>
  <c r="AV470" i="11"/>
  <c r="AU471" i="11"/>
  <c r="AV471" i="11"/>
  <c r="AU472" i="11"/>
  <c r="AV472" i="11"/>
  <c r="AU473" i="11"/>
  <c r="AV473" i="11"/>
  <c r="AU474" i="11"/>
  <c r="AV474" i="11"/>
  <c r="AU475" i="11"/>
  <c r="AV475" i="11"/>
  <c r="AU476" i="11"/>
  <c r="AV476" i="11"/>
  <c r="AU477" i="11"/>
  <c r="AV477" i="11"/>
  <c r="AU478" i="11"/>
  <c r="AV478" i="11"/>
  <c r="AU479" i="11"/>
  <c r="AV479" i="11"/>
  <c r="AU480" i="11"/>
  <c r="AV480" i="11"/>
  <c r="AU481" i="11"/>
  <c r="AV481" i="11"/>
  <c r="AU482" i="11"/>
  <c r="AV482" i="11"/>
  <c r="AU483" i="11"/>
  <c r="AV483" i="11"/>
  <c r="AU484" i="11"/>
  <c r="AV484" i="11"/>
  <c r="AU485" i="11"/>
  <c r="AV485" i="11"/>
  <c r="AU486" i="11"/>
  <c r="AV486" i="11"/>
  <c r="AU487" i="11"/>
  <c r="AV487" i="11"/>
  <c r="AU488" i="11"/>
  <c r="AV488" i="11"/>
  <c r="AU489" i="11"/>
  <c r="AV489" i="11"/>
  <c r="AU490" i="11"/>
  <c r="AV490" i="11"/>
  <c r="AU491" i="11"/>
  <c r="AV491" i="11"/>
  <c r="AU492" i="11"/>
  <c r="AV492" i="11"/>
  <c r="AU493" i="11"/>
  <c r="AV493" i="11"/>
  <c r="AU494" i="11"/>
  <c r="AV494" i="11"/>
  <c r="AU495" i="11"/>
  <c r="AV495" i="11"/>
  <c r="AU496" i="11"/>
  <c r="AV496" i="11"/>
  <c r="AU497" i="11"/>
  <c r="AV497" i="11"/>
  <c r="AU498" i="11"/>
  <c r="AV498" i="11"/>
  <c r="AU499" i="11"/>
  <c r="AV499" i="11"/>
  <c r="AU500" i="11"/>
  <c r="AV500" i="11"/>
  <c r="AU501" i="11"/>
  <c r="AV501" i="11"/>
  <c r="AU502" i="11"/>
  <c r="AV502" i="11"/>
  <c r="AU503" i="11"/>
  <c r="AV503" i="11"/>
  <c r="AU504" i="11"/>
  <c r="AV504" i="11"/>
  <c r="AU505" i="11"/>
  <c r="AV505" i="11"/>
  <c r="AU506" i="11"/>
  <c r="AV506" i="11"/>
  <c r="AU507" i="11"/>
  <c r="AV507" i="11"/>
  <c r="AU508" i="11"/>
  <c r="AV508" i="11"/>
  <c r="AU509" i="11"/>
  <c r="AV509" i="11"/>
  <c r="AU510" i="11"/>
  <c r="AV510" i="11"/>
  <c r="AU511" i="11"/>
  <c r="AV511" i="11"/>
  <c r="AU512" i="11"/>
  <c r="AV512" i="11"/>
  <c r="AU513" i="11"/>
  <c r="AV513" i="11"/>
  <c r="AU514" i="11"/>
  <c r="AV514" i="11"/>
  <c r="AU515" i="11"/>
  <c r="AV515" i="11"/>
  <c r="AU516" i="11"/>
  <c r="AV516" i="11"/>
  <c r="AU517" i="11"/>
  <c r="AV517" i="11"/>
  <c r="AU518" i="11"/>
  <c r="AV518" i="11"/>
  <c r="AU519" i="11"/>
  <c r="AV519" i="11"/>
  <c r="AU520" i="11"/>
  <c r="AV520" i="11"/>
  <c r="AU521" i="11"/>
  <c r="AV521" i="11"/>
  <c r="AU522" i="11"/>
  <c r="AV522" i="11"/>
  <c r="AU523" i="11"/>
  <c r="AV523" i="11"/>
  <c r="AU524" i="11"/>
  <c r="AV524" i="11"/>
  <c r="AU525" i="11"/>
  <c r="AV525" i="11"/>
  <c r="AU526" i="11"/>
  <c r="AV526" i="11"/>
  <c r="AU527" i="11"/>
  <c r="AV527" i="11"/>
  <c r="AU528" i="11"/>
  <c r="AV528" i="11"/>
  <c r="AU529" i="11"/>
  <c r="AV529" i="11"/>
  <c r="AU530" i="11"/>
  <c r="AV530" i="11"/>
  <c r="AU531" i="11"/>
  <c r="AV531" i="11"/>
  <c r="AU532" i="11"/>
  <c r="AV532" i="11"/>
  <c r="AU533" i="11"/>
  <c r="AV533" i="11"/>
  <c r="AU534" i="11"/>
  <c r="AV534" i="11"/>
  <c r="AU535" i="11"/>
  <c r="AV535" i="11"/>
  <c r="AU536" i="11"/>
  <c r="AV536" i="11"/>
  <c r="AU537" i="11"/>
  <c r="AV537" i="11"/>
  <c r="AU538" i="11"/>
  <c r="AV538" i="11"/>
  <c r="AU539" i="11"/>
  <c r="AV539" i="11"/>
  <c r="AU540" i="11"/>
  <c r="AV540" i="11"/>
  <c r="AU541" i="11"/>
  <c r="AV541" i="11"/>
  <c r="AU542" i="11"/>
  <c r="AV542" i="11"/>
  <c r="AU543" i="11"/>
  <c r="AV543" i="11"/>
  <c r="AU544" i="11"/>
  <c r="AV544" i="11"/>
  <c r="AU545" i="11"/>
  <c r="AV545" i="11"/>
  <c r="AU546" i="11"/>
  <c r="AV546" i="11"/>
  <c r="AU547" i="11"/>
  <c r="AV547" i="11"/>
  <c r="AU548" i="11"/>
  <c r="AV548" i="11"/>
  <c r="AU549" i="11"/>
  <c r="AV549" i="11"/>
  <c r="AU550" i="11"/>
  <c r="AV550" i="11"/>
  <c r="AU551" i="11"/>
  <c r="AV551" i="11"/>
  <c r="AU552" i="11"/>
  <c r="AV552" i="11"/>
  <c r="AU553" i="11"/>
  <c r="AV553" i="11"/>
  <c r="AU554" i="11"/>
  <c r="AV554" i="11"/>
  <c r="AU555" i="11"/>
  <c r="AV555" i="11"/>
  <c r="AU556" i="11"/>
  <c r="AV556" i="11"/>
  <c r="AU557" i="11"/>
  <c r="AV557" i="11"/>
  <c r="AU558" i="11"/>
  <c r="AV558" i="11"/>
  <c r="AU559" i="11"/>
  <c r="AV559" i="11"/>
  <c r="AU560" i="11"/>
  <c r="AV560" i="11"/>
  <c r="AU561" i="11"/>
  <c r="AV561" i="11"/>
  <c r="AU562" i="11"/>
  <c r="AV562" i="11"/>
  <c r="AU563" i="11"/>
  <c r="AV563" i="11"/>
  <c r="AU564" i="11"/>
  <c r="AV564" i="11"/>
  <c r="AU565" i="11"/>
  <c r="AV565" i="11"/>
  <c r="AU566" i="11"/>
  <c r="AV566" i="11"/>
  <c r="AU567" i="11"/>
  <c r="AV567" i="11"/>
  <c r="AU568" i="11"/>
  <c r="AV568" i="11"/>
  <c r="AU569" i="11"/>
  <c r="AV569" i="11"/>
  <c r="AU570" i="11"/>
  <c r="AV570" i="11"/>
  <c r="AU571" i="11"/>
  <c r="AV571" i="11"/>
  <c r="AU572" i="11"/>
  <c r="AV572" i="11"/>
  <c r="AU573" i="11"/>
  <c r="AV573" i="11"/>
  <c r="AU574" i="11"/>
  <c r="AV574" i="11"/>
  <c r="AU575" i="11"/>
  <c r="AV575" i="11"/>
  <c r="AU576" i="11"/>
  <c r="AV576" i="11"/>
  <c r="AU577" i="11"/>
  <c r="AV577" i="11"/>
  <c r="AU578" i="11"/>
  <c r="AV578" i="11"/>
  <c r="AU579" i="11"/>
  <c r="AV579" i="11"/>
  <c r="AU580" i="11"/>
  <c r="AV580" i="11"/>
  <c r="AU581" i="11"/>
  <c r="AV581" i="11"/>
  <c r="AU582" i="11"/>
  <c r="AV582" i="11"/>
  <c r="AU583" i="11"/>
  <c r="AV583" i="11"/>
  <c r="AU584" i="11"/>
  <c r="AV584" i="11"/>
  <c r="AU585" i="11"/>
  <c r="AV585" i="11"/>
  <c r="AU586" i="11"/>
  <c r="AV586" i="11"/>
  <c r="AU587" i="11"/>
  <c r="AV587" i="11"/>
  <c r="AU588" i="11"/>
  <c r="AV588" i="11"/>
  <c r="AU589" i="11"/>
  <c r="AV589" i="11"/>
  <c r="AU590" i="11"/>
  <c r="AV590" i="11"/>
  <c r="AU591" i="11"/>
  <c r="AV591" i="11"/>
  <c r="AU592" i="11"/>
  <c r="AV592" i="11"/>
  <c r="AU593" i="11"/>
  <c r="AV593" i="11"/>
  <c r="AU594" i="11"/>
  <c r="AV594" i="11"/>
  <c r="AU595" i="11"/>
  <c r="AV595" i="11"/>
  <c r="AU596" i="11"/>
  <c r="AV596" i="11"/>
  <c r="AU597" i="11"/>
  <c r="AV597" i="11"/>
  <c r="AU598" i="11"/>
  <c r="AV598" i="11"/>
  <c r="AU599" i="11"/>
  <c r="AV599" i="11"/>
  <c r="AU600" i="11"/>
  <c r="AV600" i="11"/>
  <c r="AU601" i="11"/>
  <c r="AV601" i="11"/>
  <c r="AU602" i="11"/>
  <c r="AV602" i="11"/>
  <c r="AU603" i="11"/>
  <c r="AV603" i="11"/>
  <c r="AU604" i="11"/>
  <c r="AV604" i="11"/>
  <c r="AU605" i="11"/>
  <c r="AV605" i="11"/>
  <c r="AU606" i="11"/>
  <c r="AV606" i="11"/>
  <c r="AU607" i="11"/>
  <c r="AV607" i="11"/>
  <c r="AU608" i="11"/>
  <c r="AV608" i="11"/>
  <c r="AU609" i="11"/>
  <c r="AV609" i="11"/>
  <c r="AU610" i="11"/>
  <c r="AV610" i="11"/>
  <c r="AU611" i="11"/>
  <c r="AV611" i="11"/>
  <c r="AU612" i="11"/>
  <c r="AV612" i="11"/>
  <c r="AU613" i="11"/>
  <c r="AV613" i="11"/>
  <c r="AU614" i="11"/>
  <c r="AV614" i="11"/>
  <c r="AU615" i="11"/>
  <c r="AV615" i="11"/>
  <c r="AU616" i="11"/>
  <c r="AV616" i="11"/>
  <c r="AU617" i="11"/>
  <c r="AV617" i="11"/>
  <c r="AU618" i="11"/>
  <c r="AV618" i="11"/>
  <c r="AU619" i="11"/>
  <c r="AV619" i="11"/>
  <c r="AU620" i="11"/>
  <c r="AV620" i="11"/>
  <c r="AU621" i="11"/>
  <c r="AV621" i="11"/>
  <c r="AU622" i="11"/>
  <c r="AV622" i="11"/>
  <c r="AU623" i="11"/>
  <c r="AV623" i="11"/>
  <c r="AU624" i="11"/>
  <c r="AV624" i="11"/>
  <c r="AU625" i="11"/>
  <c r="AV625" i="11"/>
  <c r="AU626" i="11"/>
  <c r="AV626" i="11"/>
  <c r="AU627" i="11"/>
  <c r="AV627" i="11"/>
  <c r="AU628" i="11"/>
  <c r="AV628" i="11"/>
  <c r="AU629" i="11"/>
  <c r="AV629" i="11"/>
  <c r="AU630" i="11"/>
  <c r="AV630" i="11"/>
  <c r="AU631" i="11"/>
  <c r="AV631" i="11"/>
  <c r="AU632" i="11"/>
  <c r="AV632" i="11"/>
  <c r="AU633" i="11"/>
  <c r="AV633" i="11"/>
  <c r="AU634" i="11"/>
  <c r="AV634" i="11"/>
  <c r="AU635" i="11"/>
  <c r="AV635" i="11"/>
  <c r="AU636" i="11"/>
  <c r="AV636" i="11"/>
  <c r="AU637" i="11"/>
  <c r="AV637" i="11"/>
  <c r="AU638" i="11"/>
  <c r="AV638" i="11"/>
  <c r="AU639" i="11"/>
  <c r="AV639" i="11"/>
  <c r="AU640" i="11"/>
  <c r="AV640" i="11"/>
  <c r="AU641" i="11"/>
  <c r="AV641" i="11"/>
  <c r="AU642" i="11"/>
  <c r="AV642" i="11"/>
  <c r="AU643" i="11"/>
  <c r="AV643" i="11"/>
  <c r="AU644" i="11"/>
  <c r="AV644" i="11"/>
  <c r="AU645" i="11"/>
  <c r="AV645" i="11"/>
  <c r="AU646" i="11"/>
  <c r="AV646" i="11"/>
  <c r="AU647" i="11"/>
  <c r="AV647" i="11"/>
  <c r="AU648" i="11"/>
  <c r="AV648" i="11"/>
  <c r="AU649" i="11"/>
  <c r="AV649" i="11"/>
  <c r="AU650" i="11"/>
  <c r="AV650" i="11"/>
  <c r="AU651" i="11"/>
  <c r="AV651" i="11"/>
  <c r="AU652" i="11"/>
  <c r="AV652" i="11"/>
  <c r="AU653" i="11"/>
  <c r="AV653" i="11"/>
  <c r="AU654" i="11"/>
  <c r="AV654" i="11"/>
  <c r="AU655" i="11"/>
  <c r="AV655" i="11"/>
  <c r="AU656" i="11"/>
  <c r="AV656" i="11"/>
  <c r="AU657" i="11"/>
  <c r="AV657" i="11"/>
  <c r="AU658" i="11"/>
  <c r="AV658" i="11"/>
  <c r="AU659" i="11"/>
  <c r="AV659" i="11"/>
  <c r="AU660" i="11"/>
  <c r="AV660" i="11"/>
  <c r="AU661" i="11"/>
  <c r="AV661" i="11"/>
  <c r="AU662" i="11"/>
  <c r="AV662" i="11"/>
  <c r="AU663" i="11"/>
  <c r="AV663" i="11"/>
  <c r="AU664" i="11"/>
  <c r="AV664" i="11"/>
  <c r="AU665" i="11"/>
  <c r="AV665" i="11"/>
  <c r="AU666" i="11"/>
  <c r="AV666" i="11"/>
  <c r="AU667" i="11"/>
  <c r="AV667" i="11"/>
  <c r="AU668" i="11"/>
  <c r="AV668" i="11"/>
  <c r="AU669" i="11"/>
  <c r="AV669" i="11"/>
  <c r="AU670" i="11"/>
  <c r="AV670" i="11"/>
  <c r="AU671" i="11"/>
  <c r="AV671" i="11"/>
  <c r="AU672" i="11"/>
  <c r="AV672" i="11"/>
  <c r="AU673" i="11"/>
  <c r="AV673" i="11"/>
  <c r="AU674" i="11"/>
  <c r="AV674" i="11"/>
  <c r="AU675" i="11"/>
  <c r="AV675" i="11"/>
  <c r="AU676" i="11"/>
  <c r="AV676" i="11"/>
  <c r="AU677" i="11"/>
  <c r="AV677" i="11"/>
  <c r="AU678" i="11"/>
  <c r="AV678" i="11"/>
  <c r="AU679" i="11"/>
  <c r="AV679" i="11"/>
  <c r="AU680" i="11"/>
  <c r="AV680" i="11"/>
  <c r="AU681" i="11"/>
  <c r="AV681" i="11"/>
  <c r="AU682" i="11"/>
  <c r="AV682" i="11"/>
  <c r="AU683" i="11"/>
  <c r="AV683" i="11"/>
  <c r="AU684" i="11"/>
  <c r="AV684" i="11"/>
  <c r="AU685" i="11"/>
  <c r="AV685" i="11"/>
  <c r="AU686" i="11"/>
  <c r="AV686" i="11"/>
  <c r="AU687" i="11"/>
  <c r="AV687" i="11"/>
  <c r="AU688" i="11"/>
  <c r="AV688" i="11"/>
  <c r="AU689" i="11"/>
  <c r="AV689" i="11"/>
  <c r="AU690" i="11"/>
  <c r="AV690" i="11"/>
  <c r="AU691" i="11"/>
  <c r="AV691" i="11"/>
  <c r="AU692" i="11"/>
  <c r="AV692" i="11"/>
  <c r="AU693" i="11"/>
  <c r="AV693" i="11"/>
  <c r="AU694" i="11"/>
  <c r="AV694" i="11"/>
  <c r="AU695" i="11"/>
  <c r="AV695" i="11"/>
  <c r="AU696" i="11"/>
  <c r="AV696" i="11"/>
  <c r="AU697" i="11"/>
  <c r="AV697" i="11"/>
  <c r="AU698" i="11"/>
  <c r="AV698" i="11"/>
  <c r="AU699" i="11"/>
  <c r="AV699" i="11"/>
  <c r="AU700" i="11"/>
  <c r="AV700" i="11"/>
  <c r="AU701" i="11"/>
  <c r="AV701" i="11"/>
  <c r="AU702" i="11"/>
  <c r="AV702" i="11"/>
  <c r="AU703" i="11"/>
  <c r="AV703" i="11"/>
  <c r="AU704" i="11"/>
  <c r="AV704" i="11"/>
  <c r="AU705" i="11"/>
  <c r="AV705" i="11"/>
  <c r="AU706" i="11"/>
  <c r="AV706" i="11"/>
  <c r="AU707" i="11"/>
  <c r="AV707" i="11"/>
  <c r="AU708" i="11"/>
  <c r="AV708" i="11"/>
  <c r="AU709" i="11"/>
  <c r="AV709" i="11"/>
  <c r="AU710" i="11"/>
  <c r="AV710" i="11"/>
  <c r="AU711" i="11"/>
  <c r="AV711" i="11"/>
  <c r="AU712" i="11"/>
  <c r="AV712" i="11"/>
  <c r="AU713" i="11"/>
  <c r="AV713" i="11"/>
  <c r="AU714" i="11"/>
  <c r="AV714" i="11"/>
  <c r="AU715" i="11"/>
  <c r="AV715" i="11"/>
  <c r="AU716" i="11"/>
  <c r="AV716" i="11"/>
  <c r="AU717" i="11"/>
  <c r="AV717" i="11"/>
  <c r="AU718" i="11"/>
  <c r="AV718" i="11"/>
  <c r="AU719" i="11"/>
  <c r="AV719" i="11"/>
  <c r="AU720" i="11"/>
  <c r="AV720" i="11"/>
  <c r="AU721" i="11"/>
  <c r="AV721" i="11"/>
  <c r="AU722" i="11"/>
  <c r="AV722" i="11"/>
  <c r="AU723" i="11"/>
  <c r="AV723" i="11"/>
  <c r="AU724" i="11"/>
  <c r="AV724" i="11"/>
  <c r="AU725" i="11"/>
  <c r="AV725" i="11"/>
  <c r="AU726" i="11"/>
  <c r="AV726" i="11"/>
  <c r="AU727" i="11"/>
  <c r="AV727" i="11"/>
  <c r="AU728" i="11"/>
  <c r="AV728" i="11"/>
  <c r="AU729" i="11"/>
  <c r="AV729" i="11"/>
  <c r="AU730" i="11"/>
  <c r="AV730" i="11"/>
  <c r="AU731" i="11"/>
  <c r="AV731" i="11"/>
  <c r="AU732" i="11"/>
  <c r="AV732" i="11"/>
  <c r="AU733" i="11"/>
  <c r="AV733" i="11"/>
  <c r="AU734" i="11"/>
  <c r="AV734" i="11"/>
  <c r="AU735" i="11"/>
  <c r="AV735" i="11"/>
  <c r="AU736" i="11"/>
  <c r="AV736" i="11"/>
  <c r="AU737" i="11"/>
  <c r="AV737" i="11"/>
  <c r="AU738" i="11"/>
  <c r="AV738" i="11"/>
  <c r="AU739" i="11"/>
  <c r="AV739" i="11"/>
  <c r="AU740" i="11"/>
  <c r="AV740" i="11"/>
  <c r="AU741" i="11"/>
  <c r="AV741" i="11"/>
  <c r="AU742" i="11"/>
  <c r="AV742" i="11"/>
  <c r="AU743" i="11"/>
  <c r="AV743" i="11"/>
  <c r="AU744" i="11"/>
  <c r="AV744" i="11"/>
  <c r="AU745" i="11"/>
  <c r="AV745" i="11"/>
  <c r="AU746" i="11"/>
  <c r="AV746" i="11"/>
  <c r="AU747" i="11"/>
  <c r="AV747" i="11"/>
  <c r="AU748" i="11"/>
  <c r="AV748" i="11"/>
  <c r="AU749" i="11"/>
  <c r="AV749" i="11"/>
  <c r="AU750" i="11"/>
  <c r="AV750" i="11"/>
  <c r="AU751" i="11"/>
  <c r="AV751" i="11"/>
  <c r="AU752" i="11"/>
  <c r="AV752" i="11"/>
  <c r="AU753" i="11"/>
  <c r="AV753" i="11"/>
  <c r="AU754" i="11"/>
  <c r="AV754" i="11"/>
  <c r="AU755" i="11"/>
  <c r="AV755" i="11"/>
  <c r="AU756" i="11"/>
  <c r="AV756" i="11"/>
  <c r="AU757" i="11"/>
  <c r="AV757" i="11"/>
  <c r="AU758" i="11"/>
  <c r="AV758" i="11"/>
  <c r="AU759" i="11"/>
  <c r="AV759" i="11"/>
  <c r="AU760" i="11"/>
  <c r="AV760" i="11"/>
  <c r="AU761" i="11"/>
  <c r="AV761" i="11"/>
  <c r="AU762" i="11"/>
  <c r="AV762" i="11"/>
  <c r="AU763" i="11"/>
  <c r="AV763" i="11"/>
  <c r="AU764" i="11"/>
  <c r="AV764" i="11"/>
  <c r="AU765" i="11"/>
  <c r="AV765" i="11"/>
  <c r="AU766" i="11"/>
  <c r="AV766" i="11"/>
  <c r="AU767" i="11"/>
  <c r="AV767" i="11"/>
  <c r="AU768" i="11"/>
  <c r="AV768" i="11"/>
  <c r="AU769" i="11"/>
  <c r="AV769" i="11"/>
  <c r="AU770" i="11"/>
  <c r="AV770" i="11"/>
  <c r="AU771" i="11"/>
  <c r="AV771" i="11"/>
  <c r="AU772" i="11"/>
  <c r="AV772" i="11"/>
  <c r="AU773" i="11"/>
  <c r="AV773" i="11"/>
  <c r="AU774" i="11"/>
  <c r="AV774" i="11"/>
  <c r="AU775" i="11"/>
  <c r="AV775" i="11"/>
  <c r="AU776" i="11"/>
  <c r="AV776" i="11"/>
  <c r="AU777" i="11"/>
  <c r="AV777" i="11"/>
  <c r="AU778" i="11"/>
  <c r="AV778" i="11"/>
  <c r="AU779" i="11"/>
  <c r="AV779" i="11"/>
  <c r="AU780" i="11"/>
  <c r="AV780" i="11"/>
  <c r="AU781" i="11"/>
  <c r="AV781" i="11"/>
  <c r="AU782" i="11"/>
  <c r="AV782" i="11"/>
  <c r="AU783" i="11"/>
  <c r="AV783" i="11"/>
  <c r="AU784" i="11"/>
  <c r="AV784" i="11"/>
  <c r="AU785" i="11"/>
  <c r="AV785" i="11"/>
  <c r="AU786" i="11"/>
  <c r="AV786" i="11"/>
  <c r="AU787" i="11"/>
  <c r="AV787" i="11"/>
  <c r="AU788" i="11"/>
  <c r="AV788" i="11"/>
  <c r="AU789" i="11"/>
  <c r="AV789" i="11"/>
  <c r="AU790" i="11"/>
  <c r="AV790" i="11"/>
  <c r="AU791" i="11"/>
  <c r="AV791" i="11"/>
  <c r="AU792" i="11"/>
  <c r="AV792" i="11"/>
  <c r="AU793" i="11"/>
  <c r="AV793" i="11"/>
  <c r="AU794" i="11"/>
  <c r="AV794" i="11"/>
  <c r="AU795" i="11"/>
  <c r="AV795" i="11"/>
  <c r="AU796" i="11"/>
  <c r="AV796" i="11"/>
  <c r="AU797" i="11"/>
  <c r="AV797" i="11"/>
  <c r="AU798" i="11"/>
  <c r="AV798" i="11"/>
  <c r="AU799" i="11"/>
  <c r="AV799" i="11"/>
  <c r="AU800" i="11"/>
  <c r="AV800" i="11"/>
  <c r="AU801" i="11"/>
  <c r="AV801" i="11"/>
  <c r="AU802" i="11"/>
  <c r="AV802" i="11"/>
  <c r="AU803" i="11"/>
  <c r="AV803" i="11"/>
  <c r="AU804" i="11"/>
  <c r="AV804" i="11"/>
  <c r="AU805" i="11"/>
  <c r="AV805" i="11"/>
  <c r="AU806" i="11"/>
  <c r="AV806" i="11"/>
  <c r="AU807" i="11"/>
  <c r="AV807" i="11"/>
  <c r="AU808" i="11"/>
  <c r="AV808" i="11"/>
  <c r="AU809" i="11"/>
  <c r="AV809" i="11"/>
  <c r="AU810" i="11"/>
  <c r="AV810" i="11"/>
  <c r="AU811" i="11"/>
  <c r="AV811" i="11"/>
  <c r="AU812" i="11"/>
  <c r="AV812" i="11"/>
  <c r="AU813" i="11"/>
  <c r="AV813" i="11"/>
  <c r="AU814" i="11"/>
  <c r="AV814" i="11"/>
  <c r="AU815" i="11"/>
  <c r="AV815" i="11"/>
  <c r="AU816" i="11"/>
  <c r="AV816" i="11"/>
  <c r="AU817" i="11"/>
  <c r="AV817" i="11"/>
  <c r="AU818" i="11"/>
  <c r="AV818" i="11"/>
  <c r="AU819" i="11"/>
  <c r="AV819" i="11"/>
  <c r="AU820" i="11"/>
  <c r="AV820" i="11"/>
  <c r="AU821" i="11"/>
  <c r="AV821" i="11"/>
  <c r="AU822" i="11"/>
  <c r="AV822" i="11"/>
  <c r="AU823" i="11"/>
  <c r="AV823" i="11"/>
  <c r="AU824" i="11"/>
  <c r="AV824" i="11"/>
  <c r="AU825" i="11"/>
  <c r="AV825" i="11"/>
  <c r="AU826" i="11"/>
  <c r="AV826" i="11"/>
  <c r="AU827" i="11"/>
  <c r="AV827" i="11"/>
  <c r="AU828" i="11"/>
  <c r="AV828" i="11"/>
  <c r="AU829" i="11"/>
  <c r="AV829" i="11"/>
  <c r="AU830" i="11"/>
  <c r="AV830" i="11"/>
  <c r="AU831" i="11"/>
  <c r="AV831" i="11"/>
  <c r="AU832" i="11"/>
  <c r="AV832" i="11"/>
  <c r="AU833" i="11"/>
  <c r="AV833" i="11"/>
  <c r="AU834" i="11"/>
  <c r="AV834" i="11"/>
  <c r="AU835" i="11"/>
  <c r="AV835" i="11"/>
  <c r="AU836" i="11"/>
  <c r="AV836" i="11"/>
  <c r="AU837" i="11"/>
  <c r="AV837" i="11"/>
  <c r="AU838" i="11"/>
  <c r="AV838" i="11"/>
  <c r="AU839" i="11"/>
  <c r="AV839" i="11"/>
  <c r="AU840" i="11"/>
  <c r="AV840" i="11"/>
  <c r="AU841" i="11"/>
  <c r="AV841" i="11"/>
  <c r="AU842" i="11"/>
  <c r="AV842" i="11"/>
  <c r="AU843" i="11"/>
  <c r="AV843" i="11"/>
  <c r="AU844" i="11"/>
  <c r="AV844" i="11"/>
  <c r="AU845" i="11"/>
  <c r="AV845" i="11"/>
  <c r="AU846" i="11"/>
  <c r="AV846" i="11"/>
  <c r="AU847" i="11"/>
  <c r="AV847" i="11"/>
  <c r="AU848" i="11"/>
  <c r="AV848" i="11"/>
  <c r="AU849" i="11"/>
  <c r="AV849" i="11"/>
  <c r="AU850" i="11"/>
  <c r="AV850" i="11"/>
  <c r="AU851" i="11"/>
  <c r="AV851" i="11"/>
  <c r="AU852" i="11"/>
  <c r="AV852" i="11"/>
  <c r="AU853" i="11"/>
  <c r="AV853" i="11"/>
  <c r="AU854" i="11"/>
  <c r="AV854" i="11"/>
  <c r="AU855" i="11"/>
  <c r="AV855" i="11"/>
  <c r="AU856" i="11"/>
  <c r="AV856" i="11"/>
  <c r="AU857" i="11"/>
  <c r="AV857" i="11"/>
  <c r="AU858" i="11"/>
  <c r="AV858" i="11"/>
  <c r="AU859" i="11"/>
  <c r="AV859" i="11"/>
  <c r="AU860" i="11"/>
  <c r="AV860" i="11"/>
  <c r="AU861" i="11"/>
  <c r="AV861" i="11"/>
  <c r="AU862" i="11"/>
  <c r="AV862" i="11"/>
  <c r="AU863" i="11"/>
  <c r="AV863" i="11"/>
  <c r="AU864" i="11"/>
  <c r="AV864" i="11"/>
  <c r="AU865" i="11"/>
  <c r="AV865" i="11"/>
  <c r="AU866" i="11"/>
  <c r="AV866" i="11"/>
  <c r="AU867" i="11"/>
  <c r="AV867" i="11"/>
  <c r="AU868" i="11"/>
  <c r="AV868" i="11"/>
  <c r="AU869" i="11"/>
  <c r="AV869" i="11"/>
  <c r="AU870" i="11"/>
  <c r="AV870" i="11"/>
  <c r="AU871" i="11"/>
  <c r="AV871" i="11"/>
  <c r="AU872" i="11"/>
  <c r="AV872" i="11"/>
  <c r="AU873" i="11"/>
  <c r="AV873" i="11"/>
  <c r="AU874" i="11"/>
  <c r="AV874" i="11"/>
  <c r="AU875" i="11"/>
  <c r="AV875" i="11"/>
  <c r="AU876" i="11"/>
  <c r="AV876" i="11"/>
  <c r="AU877" i="11"/>
  <c r="AV877" i="11"/>
  <c r="AU878" i="11"/>
  <c r="AV878" i="11"/>
  <c r="AU879" i="11"/>
  <c r="AV879" i="11"/>
  <c r="AU880" i="11"/>
  <c r="AV880" i="11"/>
  <c r="AU881" i="11"/>
  <c r="AV881" i="11"/>
  <c r="AU882" i="11"/>
  <c r="AV882" i="11"/>
  <c r="AU883" i="11"/>
  <c r="AV883" i="11"/>
  <c r="AU884" i="11"/>
  <c r="AV884" i="11"/>
  <c r="AU885" i="11"/>
  <c r="AV885" i="11"/>
  <c r="AU886" i="11"/>
  <c r="AV886" i="11"/>
  <c r="AU887" i="11"/>
  <c r="AV887" i="11"/>
  <c r="AU888" i="11"/>
  <c r="AV888" i="11"/>
  <c r="AU889" i="11"/>
  <c r="AV889" i="11"/>
  <c r="AU890" i="11"/>
  <c r="AV890" i="11"/>
  <c r="AU891" i="11"/>
  <c r="AV891" i="11"/>
  <c r="AU892" i="11"/>
  <c r="AV892" i="11"/>
  <c r="AU893" i="11"/>
  <c r="AV893" i="11"/>
  <c r="AU894" i="11"/>
  <c r="AV894" i="11"/>
  <c r="AU895" i="11"/>
  <c r="AV895" i="11"/>
  <c r="AU896" i="11"/>
  <c r="AV896" i="11"/>
  <c r="AU897" i="11"/>
  <c r="AV897" i="11"/>
  <c r="AU898" i="11"/>
  <c r="AV898" i="11"/>
  <c r="AU899" i="11"/>
  <c r="AV899" i="11"/>
  <c r="AU900" i="11"/>
  <c r="AV900" i="11"/>
  <c r="AU901" i="11"/>
  <c r="AV901" i="11"/>
  <c r="AU902" i="11"/>
  <c r="AV902" i="11"/>
  <c r="AU903" i="11"/>
  <c r="AV903" i="11"/>
  <c r="AU904" i="11"/>
  <c r="AV904" i="11"/>
  <c r="AU905" i="11"/>
  <c r="AV905" i="11"/>
  <c r="AU906" i="11"/>
  <c r="AV906" i="11"/>
  <c r="AU907" i="11"/>
  <c r="AV907" i="11"/>
  <c r="AU908" i="11"/>
  <c r="AV908" i="11"/>
  <c r="AU909" i="11"/>
  <c r="AV909" i="11"/>
  <c r="AU910" i="11"/>
  <c r="AV910" i="11"/>
  <c r="AU911" i="11"/>
  <c r="AV911" i="11"/>
  <c r="AU912" i="11"/>
  <c r="AV912" i="11"/>
  <c r="AU913" i="11"/>
  <c r="AV913" i="11"/>
  <c r="AU914" i="11"/>
  <c r="AV914" i="11"/>
  <c r="AU915" i="11"/>
  <c r="AV915" i="11"/>
  <c r="AU916" i="11"/>
  <c r="AV916" i="11"/>
  <c r="AU917" i="11"/>
  <c r="AV917" i="11"/>
  <c r="AU918" i="11"/>
  <c r="AV918" i="11"/>
  <c r="AU919" i="11"/>
  <c r="AV919" i="11"/>
  <c r="AU920" i="11"/>
  <c r="AV920" i="11"/>
  <c r="AU921" i="11"/>
  <c r="AV921" i="11"/>
  <c r="AU922" i="11"/>
  <c r="AV922" i="11"/>
  <c r="AU923" i="11"/>
  <c r="AV923" i="11"/>
  <c r="AU924" i="11"/>
  <c r="AV924" i="11"/>
  <c r="AU925" i="11"/>
  <c r="AV925" i="11"/>
  <c r="AU926" i="11"/>
  <c r="AV926" i="11"/>
  <c r="AU927" i="11"/>
  <c r="AV927" i="11"/>
  <c r="AU928" i="11"/>
  <c r="AV928" i="11"/>
  <c r="AU929" i="11"/>
  <c r="AV929" i="11"/>
  <c r="AU930" i="11"/>
  <c r="AV930" i="11"/>
  <c r="AU931" i="11"/>
  <c r="AV931" i="11"/>
  <c r="AU932" i="11"/>
  <c r="AV932" i="11"/>
  <c r="AU933" i="11"/>
  <c r="AV933" i="11"/>
  <c r="AU934" i="11"/>
  <c r="AV934" i="11"/>
  <c r="AU935" i="11"/>
  <c r="AV935" i="11"/>
  <c r="AU936" i="11"/>
  <c r="AV936" i="11"/>
  <c r="AU937" i="11"/>
  <c r="AV937" i="11"/>
  <c r="AU938" i="11"/>
  <c r="AV938" i="11"/>
  <c r="AU939" i="11"/>
  <c r="AV939" i="11"/>
  <c r="AU940" i="11"/>
  <c r="AV940" i="11"/>
  <c r="AU941" i="11"/>
  <c r="AV941" i="11"/>
  <c r="AU942" i="11"/>
  <c r="AV942" i="11"/>
  <c r="AU943" i="11"/>
  <c r="AV943" i="11"/>
  <c r="AU944" i="11"/>
  <c r="AV944" i="11"/>
  <c r="AU945" i="11"/>
  <c r="AV945" i="11"/>
  <c r="AU946" i="11"/>
  <c r="AV946" i="11"/>
  <c r="AU947" i="11"/>
  <c r="AV947" i="11"/>
  <c r="AU948" i="11"/>
  <c r="AV948" i="11"/>
  <c r="AU949" i="11"/>
  <c r="AV949" i="11"/>
  <c r="AU950" i="11"/>
  <c r="AV950" i="11"/>
  <c r="AU951" i="11"/>
  <c r="AV951" i="11"/>
  <c r="AU952" i="11"/>
  <c r="AV952" i="11"/>
  <c r="AU953" i="11"/>
  <c r="AV953" i="11"/>
  <c r="AU954" i="11"/>
  <c r="AV954" i="11"/>
  <c r="AU955" i="11"/>
  <c r="AV955" i="11"/>
  <c r="AU956" i="11"/>
  <c r="AV956" i="11"/>
  <c r="AU957" i="11"/>
  <c r="AV957" i="11"/>
  <c r="AU958" i="11"/>
  <c r="AV958" i="11"/>
  <c r="AU959" i="11"/>
  <c r="AV959" i="11"/>
  <c r="AU960" i="11"/>
  <c r="AV960" i="11"/>
  <c r="AU961" i="11"/>
  <c r="AV961" i="11"/>
  <c r="AU962" i="11"/>
  <c r="AV962" i="11"/>
  <c r="AU963" i="11"/>
  <c r="AV963" i="11"/>
  <c r="AU964" i="11"/>
  <c r="AV964" i="11"/>
  <c r="AU965" i="11"/>
  <c r="AV965" i="11"/>
  <c r="AU966" i="11"/>
  <c r="AV966" i="11"/>
  <c r="AU967" i="11"/>
  <c r="AV967" i="11"/>
  <c r="AU968" i="11"/>
  <c r="AV968" i="11"/>
  <c r="AU969" i="11"/>
  <c r="AV969" i="11"/>
  <c r="AU970" i="11"/>
  <c r="AV970" i="11"/>
  <c r="AU971" i="11"/>
  <c r="AV971" i="11"/>
  <c r="AU972" i="11"/>
  <c r="AV972" i="11"/>
  <c r="AU973" i="11"/>
  <c r="AV973" i="11"/>
  <c r="AU974" i="11"/>
  <c r="AV974" i="11"/>
  <c r="AU975" i="11"/>
  <c r="AV975" i="11"/>
  <c r="AU976" i="11"/>
  <c r="AV976" i="11"/>
  <c r="AU977" i="11"/>
  <c r="AV977" i="11"/>
  <c r="AU978" i="11"/>
  <c r="AV978" i="11"/>
  <c r="AU979" i="11"/>
  <c r="AV979" i="11"/>
  <c r="AU980" i="11"/>
  <c r="AV980" i="11"/>
  <c r="AU981" i="11"/>
  <c r="AV981" i="11"/>
  <c r="AU982" i="11"/>
  <c r="AV982" i="11"/>
  <c r="AU983" i="11"/>
  <c r="AV983" i="11"/>
  <c r="AU984" i="11"/>
  <c r="AV984" i="11"/>
  <c r="AU985" i="11"/>
  <c r="AV985" i="11"/>
  <c r="AU986" i="11"/>
  <c r="AV986" i="11"/>
  <c r="AU987" i="11"/>
  <c r="AV987" i="11"/>
  <c r="AU988" i="11"/>
  <c r="AV988" i="11"/>
  <c r="AU989" i="11"/>
  <c r="AV989" i="11"/>
  <c r="AU990" i="11"/>
  <c r="AV990" i="11"/>
  <c r="AU991" i="11"/>
  <c r="AV991" i="11"/>
  <c r="AU992" i="11"/>
  <c r="AV992" i="11"/>
  <c r="AU993" i="11"/>
  <c r="AV993" i="11"/>
  <c r="AU994" i="11"/>
  <c r="AV994" i="11"/>
  <c r="AU995" i="11"/>
  <c r="AV995" i="11"/>
  <c r="AU996" i="11"/>
  <c r="AV996" i="11"/>
  <c r="AU997" i="11"/>
  <c r="AV997" i="11"/>
  <c r="AU998" i="11"/>
  <c r="AV998" i="11"/>
  <c r="AU999" i="11"/>
  <c r="AV999" i="11"/>
  <c r="AU1000" i="11"/>
  <c r="AV1000" i="11"/>
  <c r="AU1001" i="11"/>
  <c r="AV1001" i="11"/>
  <c r="AU1002" i="11"/>
  <c r="AV1002" i="11"/>
  <c r="AU1003" i="11"/>
  <c r="AV1003" i="11"/>
  <c r="AU1004" i="11"/>
  <c r="AV1004" i="11"/>
  <c r="AU1005" i="11"/>
  <c r="AV1005" i="11"/>
  <c r="AU1006" i="11"/>
  <c r="AV1006" i="11"/>
  <c r="AU1007" i="11"/>
  <c r="AV1007" i="11"/>
  <c r="AU1008" i="11"/>
  <c r="AV1008" i="11"/>
  <c r="AU1009" i="11"/>
  <c r="AV1009" i="11"/>
  <c r="AU1010" i="11"/>
  <c r="AV1010" i="11"/>
  <c r="AU1011" i="11"/>
  <c r="AV1011" i="11"/>
  <c r="AU1012" i="11"/>
  <c r="AV1012" i="11"/>
  <c r="AU1013" i="11"/>
  <c r="AV1013" i="11"/>
  <c r="AU1014" i="11"/>
  <c r="AV1014" i="11"/>
  <c r="AU1015" i="11"/>
  <c r="AV1015" i="11"/>
  <c r="AU1016" i="11"/>
  <c r="AV1016" i="11"/>
  <c r="AU1017" i="11"/>
  <c r="AV1017" i="11"/>
  <c r="AU1018" i="11"/>
  <c r="AV1018" i="11"/>
  <c r="AU1019" i="11"/>
  <c r="AV1019" i="11"/>
  <c r="AU1020" i="11"/>
  <c r="AV1020" i="11"/>
  <c r="AU1021" i="11"/>
  <c r="AV1021" i="11"/>
  <c r="AU1022" i="11"/>
  <c r="AV1022" i="11"/>
  <c r="AU1023" i="11"/>
  <c r="AV1023" i="11"/>
  <c r="AU1024" i="11"/>
  <c r="AV1024" i="11"/>
  <c r="AU1025" i="11"/>
  <c r="AV1025" i="11"/>
  <c r="AU1026" i="11"/>
  <c r="AV1026" i="11"/>
  <c r="AU1027" i="11"/>
  <c r="AV1027" i="11"/>
  <c r="AU1028" i="11"/>
  <c r="AV1028" i="11"/>
  <c r="AU1029" i="11"/>
  <c r="AV1029" i="11"/>
  <c r="AU1030" i="11"/>
  <c r="AV1030" i="11"/>
  <c r="AU1031" i="11"/>
  <c r="AV1031" i="11"/>
  <c r="AU1032" i="11"/>
  <c r="AV1032" i="11"/>
  <c r="AU1033" i="11"/>
  <c r="AV1033" i="11"/>
  <c r="AU1034" i="11"/>
  <c r="AV1034" i="11"/>
  <c r="AU1035" i="11"/>
  <c r="AV1035" i="11"/>
  <c r="AU1036" i="11"/>
  <c r="AV1036" i="11"/>
  <c r="AU1037" i="11"/>
  <c r="AV1037" i="11"/>
  <c r="AU1038" i="11"/>
  <c r="AV1038" i="11"/>
  <c r="AU1039" i="11"/>
  <c r="AV1039" i="11"/>
  <c r="AU1040" i="11"/>
  <c r="AV1040" i="11"/>
  <c r="AU1041" i="11"/>
  <c r="AV1041" i="11"/>
  <c r="AU1042" i="11"/>
  <c r="AV1042" i="11"/>
  <c r="AU1043" i="11"/>
  <c r="AV1043" i="11"/>
  <c r="AU1044" i="11"/>
  <c r="AV1044" i="11"/>
  <c r="AU1045" i="11"/>
  <c r="AV1045" i="11"/>
  <c r="AU1046" i="11"/>
  <c r="AV1046" i="11"/>
  <c r="AU1047" i="11"/>
  <c r="AV1047" i="11"/>
  <c r="AU1048" i="11"/>
  <c r="AV1048" i="11"/>
  <c r="AU1049" i="11"/>
  <c r="AV1049" i="11"/>
  <c r="AU1050" i="11"/>
  <c r="AV1050" i="11"/>
  <c r="AU1051" i="11"/>
  <c r="AV1051" i="11"/>
  <c r="AU1052" i="11"/>
  <c r="AV1052" i="11"/>
  <c r="AU1053" i="11"/>
  <c r="AV1053" i="11"/>
  <c r="AU1054" i="11"/>
  <c r="AV1054" i="11"/>
  <c r="AU1055" i="11"/>
  <c r="AV1055" i="11"/>
  <c r="AU1056" i="11"/>
  <c r="AV1056" i="11"/>
  <c r="AU1057" i="11"/>
  <c r="AV1057" i="11"/>
  <c r="AU1058" i="11"/>
  <c r="AV1058" i="11"/>
  <c r="AU1059" i="11"/>
  <c r="AV1059" i="11"/>
  <c r="AU1060" i="11"/>
  <c r="AV1060" i="11"/>
  <c r="AU1061" i="11"/>
  <c r="AV1061" i="11"/>
  <c r="AU1062" i="11"/>
  <c r="AV1062" i="11"/>
  <c r="AU1063" i="11"/>
  <c r="AV1063" i="11"/>
  <c r="K183" i="3" s="1"/>
  <c r="AU1064" i="11"/>
  <c r="AV1064" i="11"/>
  <c r="AU1065" i="11"/>
  <c r="AV1065" i="11"/>
  <c r="AU1066" i="11"/>
  <c r="AV1066" i="11"/>
  <c r="AU1067" i="11"/>
  <c r="AV1067" i="11"/>
  <c r="AU1068" i="11"/>
  <c r="AV1068" i="11"/>
  <c r="AU1069" i="11"/>
  <c r="AV1069" i="11"/>
  <c r="AU1070" i="11"/>
  <c r="AV1070" i="11"/>
  <c r="AU1071" i="11"/>
  <c r="AV1071" i="11"/>
  <c r="AU1072" i="11"/>
  <c r="AV1072" i="11"/>
  <c r="AU1073" i="11"/>
  <c r="AV1073" i="11"/>
  <c r="AU1074" i="11"/>
  <c r="AV1074" i="11"/>
  <c r="AU1075" i="11"/>
  <c r="AV1075" i="11"/>
  <c r="AU1076" i="11"/>
  <c r="AV1076" i="11"/>
  <c r="AU1077" i="11"/>
  <c r="AV1077" i="11"/>
  <c r="AU1078" i="11"/>
  <c r="AV1078" i="11"/>
  <c r="AU1079" i="11"/>
  <c r="AV1079" i="11"/>
  <c r="AU1080" i="11"/>
  <c r="AV1080" i="11"/>
  <c r="AU1081" i="11"/>
  <c r="AV1081" i="11"/>
  <c r="AU1082" i="11"/>
  <c r="AV1082" i="11"/>
  <c r="AU1083" i="11"/>
  <c r="AV1083" i="11"/>
  <c r="AU1084" i="11"/>
  <c r="AV1084" i="11"/>
  <c r="AU1085" i="11"/>
  <c r="AV1085" i="11"/>
  <c r="AU1086" i="11"/>
  <c r="AV1086" i="11"/>
  <c r="AU1087" i="11"/>
  <c r="AV1087" i="11"/>
  <c r="AU1088" i="11"/>
  <c r="AV1088" i="11"/>
  <c r="AU1089" i="11"/>
  <c r="AV1089" i="11"/>
  <c r="AU1090" i="11"/>
  <c r="AV1090" i="11"/>
  <c r="AU1091" i="11"/>
  <c r="AV1091" i="11"/>
  <c r="AU1092" i="11"/>
  <c r="AV1092" i="11"/>
  <c r="AU1093" i="11"/>
  <c r="AV1093" i="11"/>
  <c r="AU1094" i="11"/>
  <c r="AV1094" i="11"/>
  <c r="AU1095" i="11"/>
  <c r="AV1095" i="11"/>
  <c r="AU1096" i="11"/>
  <c r="AV1096" i="11"/>
  <c r="AU1097" i="11"/>
  <c r="AV1097" i="11"/>
  <c r="AU1098" i="11"/>
  <c r="AV1098" i="11"/>
  <c r="AU1099" i="11"/>
  <c r="AV1099" i="11"/>
  <c r="AU1100" i="11"/>
  <c r="AV1100" i="11"/>
  <c r="AU1101" i="11"/>
  <c r="AV1101" i="11"/>
  <c r="AU1102" i="11"/>
  <c r="AV1102" i="11"/>
  <c r="AU1103" i="11"/>
  <c r="AV1103" i="11"/>
  <c r="AU1104" i="11"/>
  <c r="AV1104" i="11"/>
  <c r="AU1105" i="11"/>
  <c r="AV1105" i="11"/>
  <c r="AU1106" i="11"/>
  <c r="AV1106" i="11"/>
  <c r="AU1107" i="11"/>
  <c r="AV1107" i="11"/>
  <c r="AU1108" i="11"/>
  <c r="AV1108" i="11"/>
  <c r="AU1109" i="11"/>
  <c r="AV1109" i="11"/>
  <c r="AU1110" i="11"/>
  <c r="AV1110" i="11"/>
  <c r="AU1111" i="11"/>
  <c r="AV1111" i="11"/>
  <c r="AU1112" i="11"/>
  <c r="AV1112" i="11"/>
  <c r="AU1113" i="11"/>
  <c r="AV1113" i="11"/>
  <c r="AU1114" i="11"/>
  <c r="AV1114" i="11"/>
  <c r="AU1115" i="11"/>
  <c r="AV1115" i="11"/>
  <c r="AU1116" i="11"/>
  <c r="AV1116" i="11"/>
  <c r="AU1117" i="11"/>
  <c r="AV1117" i="11"/>
  <c r="AU1118" i="11"/>
  <c r="AV1118" i="11"/>
  <c r="AU1119" i="11"/>
  <c r="AV1119" i="11"/>
  <c r="AU1120" i="11"/>
  <c r="AV1120" i="11"/>
  <c r="AU1121" i="11"/>
  <c r="AV1121" i="11"/>
  <c r="AU1122" i="11"/>
  <c r="AV1122" i="11"/>
  <c r="AU1123" i="11"/>
  <c r="AV1123" i="11"/>
  <c r="AU1124" i="11"/>
  <c r="AV1124" i="11"/>
  <c r="AU1125" i="11"/>
  <c r="AV1125" i="11"/>
  <c r="AU1126" i="11"/>
  <c r="AV1126" i="11"/>
  <c r="AU1127" i="11"/>
  <c r="AV1127" i="11"/>
  <c r="AU1128" i="11"/>
  <c r="AV1128" i="11"/>
  <c r="AU1129" i="11"/>
  <c r="AV1129" i="11"/>
  <c r="AU1130" i="11"/>
  <c r="AV1130" i="11"/>
  <c r="AU1131" i="11"/>
  <c r="AV1131" i="11"/>
  <c r="AU1132" i="11"/>
  <c r="AV1132" i="11"/>
  <c r="AU1133" i="11"/>
  <c r="AV1133" i="11"/>
  <c r="AU1134" i="11"/>
  <c r="AV1134" i="11"/>
  <c r="AU1135" i="11"/>
  <c r="AV1135" i="11"/>
  <c r="AU1136" i="11"/>
  <c r="AV1136" i="11"/>
  <c r="AU1137" i="11"/>
  <c r="AV1137" i="11"/>
  <c r="AU1138" i="11"/>
  <c r="AV1138" i="11"/>
  <c r="AU1139" i="11"/>
  <c r="AV1139" i="11"/>
  <c r="AU1140" i="11"/>
  <c r="AV1140" i="11"/>
  <c r="AU1141" i="11"/>
  <c r="AV1141" i="11"/>
  <c r="AU1142" i="11"/>
  <c r="AV1142" i="11"/>
  <c r="AU1143" i="11"/>
  <c r="AV1143" i="11"/>
  <c r="AU1144" i="11"/>
  <c r="AV1144" i="11"/>
  <c r="AU1145" i="11"/>
  <c r="AV1145" i="11"/>
  <c r="AU1146" i="11"/>
  <c r="AV1146" i="11"/>
  <c r="AU1147" i="11"/>
  <c r="AV1147" i="11"/>
  <c r="AU1148" i="11"/>
  <c r="AV1148" i="11"/>
  <c r="AU1149" i="11"/>
  <c r="AV1149" i="11"/>
  <c r="AU1150" i="11"/>
  <c r="AV1150" i="11"/>
  <c r="AU1151" i="11"/>
  <c r="AV1151" i="11"/>
  <c r="AU1152" i="11"/>
  <c r="AV1152" i="11"/>
  <c r="AU1153" i="11"/>
  <c r="AV1153" i="11"/>
  <c r="AU1154" i="11"/>
  <c r="AV1154" i="11"/>
  <c r="AU1155" i="11"/>
  <c r="AV1155" i="11"/>
  <c r="AU1156" i="11"/>
  <c r="AV1156" i="11"/>
  <c r="AU1157" i="11"/>
  <c r="AV1157" i="11"/>
  <c r="AU1158" i="11"/>
  <c r="AV1158" i="11"/>
  <c r="AU1159" i="11"/>
  <c r="AV1159" i="11"/>
  <c r="AU1160" i="11"/>
  <c r="AV1160" i="11"/>
  <c r="AU1161" i="11"/>
  <c r="AV1161" i="11"/>
  <c r="AU1162" i="11"/>
  <c r="AV1162" i="11"/>
  <c r="AU1163" i="11"/>
  <c r="AV1163" i="11"/>
  <c r="AU1164" i="11"/>
  <c r="AV1164" i="11"/>
  <c r="AU1165" i="11"/>
  <c r="AV1165" i="11"/>
  <c r="AU1166" i="11"/>
  <c r="AV1166" i="11"/>
  <c r="AU1167" i="11"/>
  <c r="AV1167" i="11"/>
  <c r="AU1168" i="11"/>
  <c r="AV1168" i="11"/>
  <c r="AU1169" i="11"/>
  <c r="AV1169" i="11"/>
  <c r="AU1170" i="11"/>
  <c r="AV1170" i="11"/>
  <c r="AU1171" i="11"/>
  <c r="AV1171" i="11"/>
  <c r="AU1172" i="11"/>
  <c r="AV1172" i="11"/>
  <c r="AU1173" i="11"/>
  <c r="AV1173" i="11"/>
  <c r="AU1174" i="11"/>
  <c r="AV1174" i="11"/>
  <c r="AU1175" i="11"/>
  <c r="AV1175" i="11"/>
  <c r="AU1176" i="11"/>
  <c r="AV1176" i="11"/>
  <c r="AU1177" i="11"/>
  <c r="AV1177" i="11"/>
  <c r="AU1178" i="11"/>
  <c r="AV1178" i="11"/>
  <c r="AU1179" i="11"/>
  <c r="AV1179" i="11"/>
  <c r="AU1180" i="11"/>
  <c r="AV1180" i="11"/>
  <c r="AU1181" i="11"/>
  <c r="AV1181" i="11"/>
  <c r="AU1182" i="11"/>
  <c r="AV1182" i="11"/>
  <c r="AU1183" i="11"/>
  <c r="AV1183" i="11"/>
  <c r="AU1184" i="11"/>
  <c r="AV1184" i="11"/>
  <c r="AU1185" i="11"/>
  <c r="AV1185" i="11"/>
  <c r="AU1186" i="11"/>
  <c r="AV1186" i="11"/>
  <c r="AU1187" i="11"/>
  <c r="AV1187" i="11"/>
  <c r="AU1188" i="11"/>
  <c r="AV1188" i="11"/>
  <c r="AU1189" i="11"/>
  <c r="AV1189" i="11"/>
  <c r="AU1190" i="11"/>
  <c r="AV1190" i="11"/>
  <c r="AU1191" i="11"/>
  <c r="AV1191" i="11"/>
  <c r="AU1192" i="11"/>
  <c r="AV1192" i="11"/>
  <c r="AU1193" i="11"/>
  <c r="AV1193" i="11"/>
  <c r="AU1194" i="11"/>
  <c r="AV1194" i="11"/>
  <c r="AU1195" i="11"/>
  <c r="AV1195" i="11"/>
  <c r="AU1196" i="11"/>
  <c r="AV1196" i="11"/>
  <c r="AU1197" i="11"/>
  <c r="AV1197" i="11"/>
  <c r="AU1198" i="11"/>
  <c r="AV1198" i="11"/>
  <c r="AU1199" i="11"/>
  <c r="AV1199" i="11"/>
  <c r="AU1200" i="11"/>
  <c r="AV1200" i="11"/>
  <c r="AU1201" i="11"/>
  <c r="AV1201" i="11"/>
  <c r="AU1202" i="11"/>
  <c r="AV1202" i="11"/>
  <c r="AU1203" i="11"/>
  <c r="AV1203" i="11"/>
  <c r="AU1204" i="11"/>
  <c r="AV1204" i="11"/>
  <c r="AU1205" i="11"/>
  <c r="AV1205" i="11"/>
  <c r="AU1206" i="11"/>
  <c r="AV1206" i="11"/>
  <c r="AU1207" i="11"/>
  <c r="AV1207" i="11"/>
  <c r="AU1208" i="11"/>
  <c r="AV1208" i="11"/>
  <c r="AU1209" i="11"/>
  <c r="AV1209" i="11"/>
  <c r="AU1210" i="11"/>
  <c r="AV1210" i="11"/>
  <c r="AU1211" i="11"/>
  <c r="AV1211" i="11"/>
  <c r="AU1212" i="11"/>
  <c r="AV1212" i="11"/>
  <c r="AU1213" i="11"/>
  <c r="AV1213" i="11"/>
  <c r="AU1214" i="11"/>
  <c r="AV1214" i="11"/>
  <c r="AU1215" i="11"/>
  <c r="AV1215" i="11"/>
  <c r="AU1216" i="11"/>
  <c r="AV1216" i="11"/>
  <c r="AU1217" i="11"/>
  <c r="AV1217" i="11"/>
  <c r="AU1218" i="11"/>
  <c r="AV1218" i="11"/>
  <c r="AU1219" i="11"/>
  <c r="AV1219" i="11"/>
  <c r="AU1220" i="11"/>
  <c r="AV1220" i="11"/>
  <c r="AU1221" i="11"/>
  <c r="AV1221" i="11"/>
  <c r="AU1222" i="11"/>
  <c r="AV1222" i="11"/>
  <c r="AU1223" i="11"/>
  <c r="AV1223" i="11"/>
  <c r="AU1224" i="11"/>
  <c r="AV1224" i="11"/>
  <c r="AU1225" i="11"/>
  <c r="AV1225" i="11"/>
  <c r="AU1226" i="11"/>
  <c r="AV1226" i="11"/>
  <c r="AU1227" i="11"/>
  <c r="AV1227" i="11"/>
  <c r="AU1228" i="11"/>
  <c r="AV1228" i="11"/>
  <c r="AU1229" i="11"/>
  <c r="AV1229" i="11"/>
  <c r="AU1230" i="11"/>
  <c r="AV1230" i="11"/>
  <c r="AU1231" i="11"/>
  <c r="AV1231" i="11"/>
  <c r="AU1232" i="11"/>
  <c r="AV1232" i="11"/>
  <c r="AU1233" i="11"/>
  <c r="AV1233" i="11"/>
  <c r="AU1234" i="11"/>
  <c r="AV1234" i="11"/>
  <c r="AU1235" i="11"/>
  <c r="AV1235" i="11"/>
  <c r="AU1236" i="11"/>
  <c r="AV1236" i="11"/>
  <c r="AU1237" i="11"/>
  <c r="AV1237" i="11"/>
  <c r="AU1238" i="11"/>
  <c r="AV1238" i="11"/>
  <c r="AU1239" i="11"/>
  <c r="AV1239" i="11"/>
  <c r="AU1240" i="11"/>
  <c r="AV1240" i="11"/>
  <c r="AU1241" i="11"/>
  <c r="AV1241" i="11"/>
  <c r="AU1242" i="11"/>
  <c r="AV1242" i="11"/>
  <c r="AU1243" i="11"/>
  <c r="AV1243" i="11"/>
  <c r="AU1244" i="11"/>
  <c r="AV1244" i="11"/>
  <c r="AU1245" i="11"/>
  <c r="AV1245" i="11"/>
  <c r="AU1246" i="11"/>
  <c r="AV1246" i="11"/>
  <c r="AU1247" i="11"/>
  <c r="AV1247" i="11"/>
  <c r="AU1248" i="11"/>
  <c r="AV1248" i="11"/>
  <c r="AU1249" i="11"/>
  <c r="AV1249" i="11"/>
  <c r="AU1250" i="11"/>
  <c r="AV1250" i="11"/>
  <c r="AU1251" i="11"/>
  <c r="AV1251" i="11"/>
  <c r="AU1252" i="11"/>
  <c r="AV1252" i="11"/>
  <c r="AU1253" i="11"/>
  <c r="AV1253" i="11"/>
  <c r="AU1254" i="11"/>
  <c r="AV1254" i="11"/>
  <c r="AU1255" i="11"/>
  <c r="AV1255" i="11"/>
  <c r="AU1256" i="11"/>
  <c r="AV1256" i="11"/>
  <c r="AU1257" i="11"/>
  <c r="AV1257" i="11"/>
  <c r="AU1258" i="11"/>
  <c r="AV1258" i="11"/>
  <c r="AU1259" i="11"/>
  <c r="AV1259" i="11"/>
  <c r="AU1260" i="11"/>
  <c r="AV1260" i="11"/>
  <c r="AU1261" i="11"/>
  <c r="AV1261" i="11"/>
  <c r="AU1262" i="11"/>
  <c r="AV1262" i="11"/>
  <c r="AU1263" i="11"/>
  <c r="AV1263" i="11"/>
  <c r="AU1264" i="11"/>
  <c r="AV1264" i="11"/>
  <c r="AU1265" i="11"/>
  <c r="AV1265" i="11"/>
  <c r="AU1266" i="11"/>
  <c r="AV1266" i="11"/>
  <c r="AU1267" i="11"/>
  <c r="AV1267" i="11"/>
  <c r="AU1268" i="11"/>
  <c r="AV1268" i="11"/>
  <c r="AU1269" i="11"/>
  <c r="AV1269" i="11"/>
  <c r="AU1270" i="11"/>
  <c r="AV1270" i="11"/>
  <c r="AU1271" i="11"/>
  <c r="AV1271" i="11"/>
  <c r="AU1272" i="11"/>
  <c r="AV1272" i="11"/>
  <c r="AU1273" i="11"/>
  <c r="AV1273" i="11"/>
  <c r="AU1274" i="11"/>
  <c r="AV1274" i="11"/>
  <c r="AU1275" i="11"/>
  <c r="AV1275" i="11"/>
  <c r="AU1276" i="11"/>
  <c r="AV1276" i="11"/>
  <c r="AU1277" i="11"/>
  <c r="AV1277" i="11"/>
  <c r="AU1278" i="11"/>
  <c r="AV1278" i="11"/>
  <c r="AU1279" i="11"/>
  <c r="AV1279" i="11"/>
  <c r="AU1280" i="11"/>
  <c r="AV1280" i="11"/>
  <c r="AU1281" i="11"/>
  <c r="AV1281" i="11"/>
  <c r="AU1282" i="11"/>
  <c r="AV1282" i="11"/>
  <c r="AU1283" i="11"/>
  <c r="AV1283" i="11"/>
  <c r="AU1284" i="11"/>
  <c r="AV1284" i="11"/>
  <c r="AU1285" i="11"/>
  <c r="AV1285" i="11"/>
  <c r="AU1286" i="11"/>
  <c r="AV1286" i="11"/>
  <c r="AU1287" i="11"/>
  <c r="AV1287" i="11"/>
  <c r="AU1288" i="11"/>
  <c r="AV1288" i="11"/>
  <c r="AU1289" i="11"/>
  <c r="AV1289" i="11"/>
  <c r="AU1290" i="11"/>
  <c r="AV1290" i="11"/>
  <c r="AU1291" i="11"/>
  <c r="AV1291" i="11"/>
  <c r="AU1292" i="11"/>
  <c r="AV1292" i="11"/>
  <c r="AU1293" i="11"/>
  <c r="AV1293" i="11"/>
  <c r="AU1294" i="11"/>
  <c r="AV1294" i="11"/>
  <c r="AU1295" i="11"/>
  <c r="AV1295" i="11"/>
  <c r="AU1296" i="11"/>
  <c r="AV1296" i="11"/>
  <c r="AU1297" i="11"/>
  <c r="AV1297" i="11"/>
  <c r="AU1298" i="11"/>
  <c r="AV1298" i="11"/>
  <c r="AU1299" i="11"/>
  <c r="AV1299" i="11"/>
  <c r="AU1300" i="11"/>
  <c r="AV1300" i="11"/>
  <c r="AU1301" i="11"/>
  <c r="AV1301" i="11"/>
  <c r="AU1302" i="11"/>
  <c r="AV1302" i="11"/>
  <c r="AU1303" i="11"/>
  <c r="AV1303" i="11"/>
  <c r="AU1304" i="11"/>
  <c r="AV1304" i="11"/>
  <c r="AU1305" i="11"/>
  <c r="AV1305" i="11"/>
  <c r="AU1306" i="11"/>
  <c r="AV1306" i="11"/>
  <c r="AU1307" i="11"/>
  <c r="AV1307" i="11"/>
  <c r="AU1308" i="11"/>
  <c r="AV1308" i="11"/>
  <c r="AU1309" i="11"/>
  <c r="AV1309" i="11"/>
  <c r="AU1310" i="11"/>
  <c r="AV1310" i="11"/>
  <c r="AU1311" i="11"/>
  <c r="AV1311" i="11"/>
  <c r="AU1312" i="11"/>
  <c r="AV1312" i="11"/>
  <c r="AU1313" i="11"/>
  <c r="AV1313" i="11"/>
  <c r="AU1314" i="11"/>
  <c r="AV1314" i="11"/>
  <c r="AU1315" i="11"/>
  <c r="AV1315" i="11"/>
  <c r="AU1316" i="11"/>
  <c r="AV1316" i="11"/>
  <c r="AU1317" i="11"/>
  <c r="AV1317" i="11"/>
  <c r="AU1318" i="11"/>
  <c r="AV1318" i="11"/>
  <c r="AU1319" i="11"/>
  <c r="AV1319" i="11"/>
  <c r="AU1320" i="11"/>
  <c r="AV1320" i="11"/>
  <c r="AU1321" i="11"/>
  <c r="AV1321" i="11"/>
  <c r="AU1322" i="11"/>
  <c r="AV1322" i="11"/>
  <c r="AU1323" i="11"/>
  <c r="AV1323" i="11"/>
  <c r="AU1324" i="11"/>
  <c r="AV1324" i="11"/>
  <c r="AU1325" i="11"/>
  <c r="AV1325" i="11"/>
  <c r="AU1326" i="11"/>
  <c r="AV1326" i="11"/>
  <c r="AU1327" i="11"/>
  <c r="AV1327" i="11"/>
  <c r="AU1328" i="11"/>
  <c r="AV1328" i="11"/>
  <c r="AU1329" i="11"/>
  <c r="AV1329" i="11"/>
  <c r="AU1330" i="11"/>
  <c r="AV1330" i="11"/>
  <c r="AU1331" i="11"/>
  <c r="AV1331" i="11"/>
  <c r="AU1332" i="11"/>
  <c r="AV1332" i="11"/>
  <c r="AU1333" i="11"/>
  <c r="AV1333" i="11"/>
  <c r="AU1334" i="11"/>
  <c r="AV1334" i="11"/>
  <c r="AU1335" i="11"/>
  <c r="AV1335" i="11"/>
  <c r="AU1336" i="11"/>
  <c r="AV1336" i="11"/>
  <c r="AU1337" i="11"/>
  <c r="AV1337" i="11"/>
  <c r="AU1338" i="11"/>
  <c r="AV1338" i="11"/>
  <c r="AU1339" i="11"/>
  <c r="AV1339" i="11"/>
  <c r="AU1340" i="11"/>
  <c r="AV1340" i="11"/>
  <c r="AU1341" i="11"/>
  <c r="AV1341" i="11"/>
  <c r="AU1342" i="11"/>
  <c r="AV1342" i="11"/>
  <c r="AU1343" i="11"/>
  <c r="AV1343" i="11"/>
  <c r="AU1344" i="11"/>
  <c r="AV1344" i="11"/>
  <c r="AU1345" i="11"/>
  <c r="AV1345" i="11"/>
  <c r="AU1346" i="11"/>
  <c r="AV1346" i="11"/>
  <c r="AU1347" i="11"/>
  <c r="AV1347" i="11"/>
  <c r="AU1348" i="11"/>
  <c r="AV1348" i="11"/>
  <c r="AU1349" i="11"/>
  <c r="AV1349" i="11"/>
  <c r="AU1350" i="11"/>
  <c r="AV1350" i="11"/>
  <c r="AU1351" i="11"/>
  <c r="AV1351" i="11"/>
  <c r="AU1352" i="11"/>
  <c r="AV1352" i="11"/>
  <c r="AU1353" i="11"/>
  <c r="AV1353" i="11"/>
  <c r="AU1354" i="11"/>
  <c r="AV1354" i="11"/>
  <c r="AU1355" i="11"/>
  <c r="AV1355" i="11"/>
  <c r="AU1356" i="11"/>
  <c r="AV1356" i="11"/>
  <c r="AU1357" i="11"/>
  <c r="AV1357" i="11"/>
  <c r="AU1358" i="11"/>
  <c r="AV1358" i="11"/>
  <c r="AU1359" i="11"/>
  <c r="AV1359" i="11"/>
  <c r="AU1360" i="11"/>
  <c r="AV1360" i="11"/>
  <c r="AU1361" i="11"/>
  <c r="AV1361" i="11"/>
  <c r="AU1362" i="11"/>
  <c r="AV1362" i="11"/>
  <c r="AU1363" i="11"/>
  <c r="AV1363" i="11"/>
  <c r="AU1364" i="11"/>
  <c r="AV1364" i="11"/>
  <c r="AU1365" i="11"/>
  <c r="AV1365" i="11"/>
  <c r="AU1366" i="11"/>
  <c r="AV1366" i="11"/>
  <c r="AU1367" i="11"/>
  <c r="AV1367" i="11"/>
  <c r="AU1368" i="11"/>
  <c r="AV1368" i="11"/>
  <c r="AU1369" i="11"/>
  <c r="AV1369" i="11"/>
  <c r="AU1370" i="11"/>
  <c r="AV1370" i="11"/>
  <c r="AU1371" i="11"/>
  <c r="AV1371" i="11"/>
  <c r="AU1372" i="11"/>
  <c r="AV1372" i="11"/>
  <c r="AU1373" i="11"/>
  <c r="AV1373" i="11"/>
  <c r="AU1374" i="11"/>
  <c r="AV1374" i="11"/>
  <c r="AU1375" i="11"/>
  <c r="L159" i="3" s="1"/>
  <c r="AV1375" i="11"/>
  <c r="L179" i="3" s="1"/>
  <c r="AU1376" i="11"/>
  <c r="AV1376" i="11"/>
  <c r="AU1377" i="11"/>
  <c r="AV1377" i="11"/>
  <c r="AU1378" i="11"/>
  <c r="AV1378" i="11"/>
  <c r="AU1379" i="11"/>
  <c r="AV1379" i="11"/>
  <c r="AU1380" i="11"/>
  <c r="AV1380" i="11"/>
  <c r="AU1381" i="11"/>
  <c r="AV1381" i="11"/>
  <c r="AU1382" i="11"/>
  <c r="AV1382" i="11"/>
  <c r="AU1383" i="11"/>
  <c r="AV1383" i="11"/>
  <c r="AU1384" i="11"/>
  <c r="AV1384" i="11"/>
  <c r="AU1385" i="11"/>
  <c r="AV1385" i="11"/>
  <c r="AU1386" i="11"/>
  <c r="AV1386" i="11"/>
  <c r="AU1387" i="11"/>
  <c r="AV1387" i="11"/>
  <c r="AU1388" i="11"/>
  <c r="AV1388" i="11"/>
  <c r="AU1389" i="11"/>
  <c r="AV1389" i="11"/>
  <c r="AU1390" i="11"/>
  <c r="AV1390" i="11"/>
  <c r="AU1391" i="11"/>
  <c r="AV1391" i="11"/>
  <c r="AU1392" i="11"/>
  <c r="AV1392" i="11"/>
  <c r="AU1393" i="11"/>
  <c r="AV1393" i="11"/>
  <c r="AU1394" i="11"/>
  <c r="AV1394" i="11"/>
  <c r="AU1395" i="11"/>
  <c r="AV1395" i="11"/>
  <c r="AU1396" i="11"/>
  <c r="AV1396" i="11"/>
  <c r="AU1397" i="11"/>
  <c r="AV1397" i="11"/>
  <c r="AU1398" i="11"/>
  <c r="AV1398" i="11"/>
  <c r="AU1399" i="11"/>
  <c r="AV1399" i="11"/>
  <c r="AU1400" i="11"/>
  <c r="AV1400" i="11"/>
  <c r="AU1401" i="11"/>
  <c r="AV1401" i="11"/>
  <c r="AU1402" i="11"/>
  <c r="AV1402" i="11"/>
  <c r="AU1403" i="11"/>
  <c r="AV1403" i="11"/>
  <c r="AU1404" i="11"/>
  <c r="AV1404" i="11"/>
  <c r="AU1405" i="11"/>
  <c r="AV1405" i="11"/>
  <c r="AU1406" i="11"/>
  <c r="AV1406" i="11"/>
  <c r="AU1407" i="11"/>
  <c r="AV1407" i="11"/>
  <c r="AU1408" i="11"/>
  <c r="AV1408" i="11"/>
  <c r="AU1409" i="11"/>
  <c r="AV1409" i="11"/>
  <c r="AU1410" i="11"/>
  <c r="AV1410" i="11"/>
  <c r="AU1411" i="11"/>
  <c r="AV1411" i="11"/>
  <c r="AU1412" i="11"/>
  <c r="AV1412" i="11"/>
  <c r="AU1413" i="11"/>
  <c r="AV1413" i="11"/>
  <c r="AU1414" i="11"/>
  <c r="AV1414" i="11"/>
  <c r="AU1415" i="11"/>
  <c r="AV1415" i="11"/>
  <c r="AU1416" i="11"/>
  <c r="AV1416" i="11"/>
  <c r="AU1417" i="11"/>
  <c r="AV1417" i="11"/>
  <c r="AU1418" i="11"/>
  <c r="AV1418" i="11"/>
  <c r="AU1419" i="11"/>
  <c r="AV1419" i="11"/>
  <c r="AU1420" i="11"/>
  <c r="AV1420" i="11"/>
  <c r="AU1421" i="11"/>
  <c r="AV1421" i="11"/>
  <c r="AU1422" i="11"/>
  <c r="AV1422" i="11"/>
  <c r="AU1423" i="11"/>
  <c r="AV1423" i="11"/>
  <c r="AU1424" i="11"/>
  <c r="AV1424" i="11"/>
  <c r="AU1425" i="11"/>
  <c r="AV1425" i="11"/>
  <c r="AU1426" i="11"/>
  <c r="AV1426" i="11"/>
  <c r="AU1427" i="11"/>
  <c r="AV1427" i="11"/>
  <c r="AU1428" i="11"/>
  <c r="AV1428" i="11"/>
  <c r="AU1429" i="11"/>
  <c r="AV1429" i="11"/>
  <c r="AU1430" i="11"/>
  <c r="AV1430" i="11"/>
  <c r="AU1431" i="11"/>
  <c r="AV1431" i="11"/>
  <c r="AU1432" i="11"/>
  <c r="AV1432" i="11"/>
  <c r="AU1433" i="11"/>
  <c r="AV1433" i="11"/>
  <c r="AU1434" i="11"/>
  <c r="AV1434" i="11"/>
  <c r="AU1435" i="11"/>
  <c r="AV1435" i="11"/>
  <c r="AU1436" i="11"/>
  <c r="AV1436" i="11"/>
  <c r="AU1437" i="11"/>
  <c r="AV1437" i="11"/>
  <c r="AU1438" i="11"/>
  <c r="AV1438" i="11"/>
  <c r="AU1439" i="11"/>
  <c r="AV1439" i="11"/>
  <c r="AU1440" i="11"/>
  <c r="AV1440" i="11"/>
  <c r="AU1441" i="11"/>
  <c r="AV1441" i="11"/>
  <c r="AU1442" i="11"/>
  <c r="AV1442" i="11"/>
  <c r="AU1443" i="11"/>
  <c r="AV1443" i="11"/>
  <c r="AU1444" i="11"/>
  <c r="AV1444" i="11"/>
  <c r="AU1445" i="11"/>
  <c r="AV1445" i="11"/>
  <c r="AU1446" i="11"/>
  <c r="AV1446" i="11"/>
  <c r="AU1447" i="11"/>
  <c r="AV1447" i="11"/>
  <c r="AU1448" i="11"/>
  <c r="AV1448" i="11"/>
  <c r="AU1449" i="11"/>
  <c r="AV1449" i="11"/>
  <c r="AU1450" i="11"/>
  <c r="AV1450" i="11"/>
  <c r="AU1451" i="11"/>
  <c r="AV1451" i="11"/>
  <c r="AU1452" i="11"/>
  <c r="AV1452" i="11"/>
  <c r="AU1453" i="11"/>
  <c r="AV1453" i="11"/>
  <c r="AU1454" i="11"/>
  <c r="AV1454" i="11"/>
  <c r="AU1455" i="11"/>
  <c r="AV1455" i="11"/>
  <c r="AU1456" i="11"/>
  <c r="AV1456" i="11"/>
  <c r="AU1457" i="11"/>
  <c r="AV1457" i="11"/>
  <c r="AU1458" i="11"/>
  <c r="AV1458" i="11"/>
  <c r="AU1459" i="11"/>
  <c r="AV1459" i="11"/>
  <c r="AU1460" i="11"/>
  <c r="AV1460" i="11"/>
  <c r="AU1461" i="11"/>
  <c r="AV1461" i="11"/>
  <c r="AU1462" i="11"/>
  <c r="AV1462" i="11"/>
  <c r="AU1463" i="11"/>
  <c r="AV1463" i="11"/>
  <c r="AU1464" i="11"/>
  <c r="AV1464" i="11"/>
  <c r="AU1465" i="11"/>
  <c r="AV1465" i="11"/>
  <c r="AU1466" i="11"/>
  <c r="AV1466" i="11"/>
  <c r="AU1467" i="11"/>
  <c r="AV1467" i="11"/>
  <c r="AU1468" i="11"/>
  <c r="AV1468" i="11"/>
  <c r="AU1469" i="11"/>
  <c r="AV1469" i="11"/>
  <c r="AU1470" i="11"/>
  <c r="AV1470" i="11"/>
  <c r="AU1471" i="11"/>
  <c r="AV1471" i="11"/>
  <c r="AU1472" i="11"/>
  <c r="AV1472" i="11"/>
  <c r="AU1473" i="11"/>
  <c r="AV1473" i="11"/>
  <c r="AU1474" i="11"/>
  <c r="AV1474" i="11"/>
  <c r="AU1475" i="11"/>
  <c r="AV1475" i="11"/>
  <c r="AU1476" i="11"/>
  <c r="AV1476" i="11"/>
  <c r="AU1477" i="11"/>
  <c r="AV1477" i="11"/>
  <c r="AU1478" i="11"/>
  <c r="AV1478" i="11"/>
  <c r="AU1479" i="11"/>
  <c r="AV1479" i="11"/>
  <c r="AU1480" i="11"/>
  <c r="AV1480" i="11"/>
  <c r="AU1481" i="11"/>
  <c r="AV1481" i="11"/>
  <c r="AU1482" i="11"/>
  <c r="AV1482" i="11"/>
  <c r="AU1483" i="11"/>
  <c r="AV1483" i="11"/>
  <c r="AU1484" i="11"/>
  <c r="AV1484" i="11"/>
  <c r="AU1485" i="11"/>
  <c r="AV1485" i="11"/>
  <c r="AU1486" i="11"/>
  <c r="AV1486" i="11"/>
  <c r="AU1487" i="11"/>
  <c r="AV1487" i="11"/>
  <c r="AU1488" i="11"/>
  <c r="AV1488" i="11"/>
  <c r="AU1489" i="11"/>
  <c r="AV1489" i="11"/>
  <c r="AU1490" i="11"/>
  <c r="AV1490" i="11"/>
  <c r="AU1491" i="11"/>
  <c r="AV1491" i="11"/>
  <c r="AU1492" i="11"/>
  <c r="AV1492" i="11"/>
  <c r="AU1493" i="11"/>
  <c r="AV1493" i="11"/>
  <c r="AU1494" i="11"/>
  <c r="AV1494" i="11"/>
  <c r="AU1495" i="11"/>
  <c r="AV1495" i="11"/>
  <c r="AU1496" i="11"/>
  <c r="AV1496" i="11"/>
  <c r="AU1497" i="11"/>
  <c r="AV1497" i="11"/>
  <c r="AU1498" i="11"/>
  <c r="AV1498" i="11"/>
  <c r="AU1499" i="11"/>
  <c r="AV1499" i="11"/>
  <c r="AU1500" i="11"/>
  <c r="AV1500" i="11"/>
  <c r="AU1501" i="11"/>
  <c r="AV1501" i="11"/>
  <c r="AU1502" i="11"/>
  <c r="AV1502" i="11"/>
  <c r="AU1503" i="11"/>
  <c r="AV1503" i="11"/>
  <c r="AU1504" i="11"/>
  <c r="AV1504" i="11"/>
  <c r="AU1505" i="11"/>
  <c r="AV1505" i="11"/>
  <c r="AU1506" i="11"/>
  <c r="AV1506" i="11"/>
  <c r="AU1507" i="11"/>
  <c r="AV1507" i="11"/>
  <c r="AU1508" i="11"/>
  <c r="AV1508" i="11"/>
  <c r="AU1509" i="11"/>
  <c r="AV1509" i="11"/>
  <c r="AU1510" i="11"/>
  <c r="AV1510" i="11"/>
  <c r="AU1511" i="11"/>
  <c r="AV1511" i="11"/>
  <c r="AU1512" i="11"/>
  <c r="AV1512" i="11"/>
  <c r="AU1513" i="11"/>
  <c r="AV1513" i="11"/>
  <c r="AU1514" i="11"/>
  <c r="AV1514" i="11"/>
  <c r="AU1515" i="11"/>
  <c r="AV1515" i="11"/>
  <c r="AU1516" i="11"/>
  <c r="AV1516" i="11"/>
  <c r="AU1517" i="11"/>
  <c r="AV1517" i="11"/>
  <c r="AU1518" i="11"/>
  <c r="AV1518" i="11"/>
  <c r="AU1519" i="11"/>
  <c r="AV1519" i="11"/>
  <c r="AU1520" i="11"/>
  <c r="AV1520" i="11"/>
  <c r="AU1521" i="11"/>
  <c r="AV1521" i="11"/>
  <c r="AU1522" i="11"/>
  <c r="AV1522" i="11"/>
  <c r="AU1523" i="11"/>
  <c r="AV1523" i="11"/>
  <c r="AU1524" i="11"/>
  <c r="AV1524" i="11"/>
  <c r="AU1525" i="11"/>
  <c r="AV1525" i="11"/>
  <c r="AU1526" i="11"/>
  <c r="AV1526" i="11"/>
  <c r="AU1527" i="11"/>
  <c r="AV1527" i="11"/>
  <c r="AU1528" i="11"/>
  <c r="AV1528" i="11"/>
  <c r="AU1529" i="11"/>
  <c r="AV1529" i="11"/>
  <c r="AU1530" i="11"/>
  <c r="AV1530" i="11"/>
  <c r="AU1531" i="11"/>
  <c r="AV1531" i="11"/>
  <c r="AU1532" i="11"/>
  <c r="AV1532" i="11"/>
  <c r="AU1533" i="11"/>
  <c r="AV1533" i="11"/>
  <c r="AU1534" i="11"/>
  <c r="AV1534" i="11"/>
  <c r="AU1535" i="11"/>
  <c r="AV1535" i="11"/>
  <c r="AU1536" i="11"/>
  <c r="AV1536" i="11"/>
  <c r="AU1537" i="11"/>
  <c r="AV1537" i="11"/>
  <c r="AU1538" i="11"/>
  <c r="AV1538" i="11"/>
  <c r="AU1539" i="11"/>
  <c r="AV1539" i="11"/>
  <c r="AU1540" i="11"/>
  <c r="AV1540" i="11"/>
  <c r="AU1541" i="11"/>
  <c r="AV1541" i="11"/>
  <c r="AU1542" i="11"/>
  <c r="AV1542" i="11"/>
  <c r="AU1543" i="11"/>
  <c r="AV1543" i="11"/>
  <c r="AU1544" i="11"/>
  <c r="AV1544" i="11"/>
  <c r="AU1545" i="11"/>
  <c r="AV1545" i="11"/>
  <c r="AU1546" i="11"/>
  <c r="AV1546" i="11"/>
  <c r="AU1547" i="11"/>
  <c r="AV1547" i="11"/>
  <c r="AU1548" i="11"/>
  <c r="AV1548" i="11"/>
  <c r="AU1549" i="11"/>
  <c r="AV1549" i="11"/>
  <c r="AU1550" i="11"/>
  <c r="AV1550" i="11"/>
  <c r="AU1551" i="11"/>
  <c r="AV1551" i="11"/>
  <c r="AU1552" i="11"/>
  <c r="AV1552" i="11"/>
  <c r="AU1553" i="11"/>
  <c r="AV1553" i="11"/>
  <c r="AU1554" i="11"/>
  <c r="AV1554" i="11"/>
  <c r="AU1555" i="11"/>
  <c r="AV1555" i="11"/>
  <c r="AU1556" i="11"/>
  <c r="AV1556" i="11"/>
  <c r="AU1557" i="11"/>
  <c r="AV1557" i="11"/>
  <c r="AU1558" i="11"/>
  <c r="AV1558" i="11"/>
  <c r="AU1559" i="11"/>
  <c r="AV1559" i="11"/>
  <c r="AU1560" i="11"/>
  <c r="AV1560" i="11"/>
  <c r="AU1561" i="11"/>
  <c r="AV1561" i="11"/>
  <c r="AU1562" i="11"/>
  <c r="AV1562" i="11"/>
  <c r="AU1563" i="11"/>
  <c r="AV1563" i="11"/>
  <c r="AU1564" i="11"/>
  <c r="AV1564" i="11"/>
  <c r="AU1565" i="11"/>
  <c r="AV1565" i="11"/>
  <c r="AU1566" i="11"/>
  <c r="AV1566" i="11"/>
  <c r="AU1567" i="11"/>
  <c r="AV1567" i="11"/>
  <c r="AU1568" i="11"/>
  <c r="AV1568" i="11"/>
  <c r="AU1569" i="11"/>
  <c r="AV1569" i="11"/>
  <c r="AU1570" i="11"/>
  <c r="AV1570" i="11"/>
  <c r="AU1571" i="11"/>
  <c r="AV1571" i="11"/>
  <c r="AU1572" i="11"/>
  <c r="AV1572" i="11"/>
  <c r="AU1573" i="11"/>
  <c r="AV1573" i="11"/>
  <c r="AU1574" i="11"/>
  <c r="AV1574" i="11"/>
  <c r="AU1575" i="11"/>
  <c r="AV1575" i="11"/>
  <c r="AU1576" i="11"/>
  <c r="AV1576" i="11"/>
  <c r="AU1577" i="11"/>
  <c r="AV1577" i="11"/>
  <c r="AU1578" i="11"/>
  <c r="AV1578" i="11"/>
  <c r="AU1579" i="11"/>
  <c r="AV1579" i="11"/>
  <c r="AU1580" i="11"/>
  <c r="AV1580" i="11"/>
  <c r="AU1581" i="11"/>
  <c r="AV1581" i="11"/>
  <c r="AU1582" i="11"/>
  <c r="AV1582" i="11"/>
  <c r="AU1583" i="11"/>
  <c r="AV1583" i="11"/>
  <c r="AU1584" i="11"/>
  <c r="AV1584" i="11"/>
  <c r="AU1585" i="11"/>
  <c r="AV1585" i="11"/>
  <c r="AU1586" i="11"/>
  <c r="AV1586" i="11"/>
  <c r="AU1587" i="11"/>
  <c r="AV1587" i="11"/>
  <c r="AU1588" i="11"/>
  <c r="AV1588" i="11"/>
  <c r="AU1589" i="11"/>
  <c r="AV1589" i="11"/>
  <c r="AU1590" i="11"/>
  <c r="AV1590" i="11"/>
  <c r="AU1591" i="11"/>
  <c r="AV1591" i="11"/>
  <c r="AU1592" i="11"/>
  <c r="AV1592" i="11"/>
  <c r="AU1593" i="11"/>
  <c r="AV1593" i="11"/>
  <c r="AU1594" i="11"/>
  <c r="AV1594" i="11"/>
  <c r="AU1595" i="11"/>
  <c r="AV1595" i="11"/>
  <c r="AU1596" i="11"/>
  <c r="AV1596" i="11"/>
  <c r="AU1597" i="11"/>
  <c r="AV1597" i="11"/>
  <c r="AU1598" i="11"/>
  <c r="AV1598" i="11"/>
  <c r="AU1599" i="11"/>
  <c r="AV1599" i="11"/>
  <c r="AU1600" i="11"/>
  <c r="AV1600" i="11"/>
  <c r="AU1601" i="11"/>
  <c r="AV1601" i="11"/>
  <c r="AU1602" i="11"/>
  <c r="AV1602" i="11"/>
  <c r="AU1603" i="11"/>
  <c r="AV1603" i="11"/>
  <c r="AU1604" i="11"/>
  <c r="AV1604" i="11"/>
  <c r="AU1605" i="11"/>
  <c r="AV1605" i="11"/>
  <c r="AU1606" i="11"/>
  <c r="AV1606" i="11"/>
  <c r="AU1607" i="11"/>
  <c r="AV1607" i="11"/>
  <c r="AU1608" i="11"/>
  <c r="AV1608" i="11"/>
  <c r="AU1609" i="11"/>
  <c r="AV1609" i="11"/>
  <c r="AU1610" i="11"/>
  <c r="AV1610" i="11"/>
  <c r="AU1611" i="11"/>
  <c r="AV1611" i="11"/>
  <c r="AU1612" i="11"/>
  <c r="AV1612" i="11"/>
  <c r="AU1613" i="11"/>
  <c r="AV1613" i="11"/>
  <c r="AU1614" i="11"/>
  <c r="AV1614" i="11"/>
  <c r="AU1615" i="11"/>
  <c r="AV1615" i="11"/>
  <c r="AU1616" i="11"/>
  <c r="AV1616" i="11"/>
  <c r="AU1617" i="11"/>
  <c r="AV1617" i="11"/>
  <c r="AU1618" i="11"/>
  <c r="AV1618" i="11"/>
  <c r="AU1619" i="11"/>
  <c r="AV1619" i="11"/>
  <c r="AU1620" i="11"/>
  <c r="AV1620" i="11"/>
  <c r="AU1621" i="11"/>
  <c r="AV1621" i="11"/>
  <c r="AU1622" i="11"/>
  <c r="AV1622" i="11"/>
  <c r="AU1623" i="11"/>
  <c r="AV1623" i="11"/>
  <c r="AU1624" i="11"/>
  <c r="AV1624" i="11"/>
  <c r="AU1625" i="11"/>
  <c r="AV1625" i="11"/>
  <c r="AU1626" i="11"/>
  <c r="AV1626" i="11"/>
  <c r="AU1627" i="11"/>
  <c r="AV1627" i="11"/>
  <c r="AU1628" i="11"/>
  <c r="AV1628" i="11"/>
  <c r="AU1629" i="11"/>
  <c r="AV1629" i="11"/>
  <c r="AU1630" i="11"/>
  <c r="AV1630" i="11"/>
  <c r="AU1631" i="11"/>
  <c r="AV1631" i="11"/>
  <c r="AU1632" i="11"/>
  <c r="AV1632" i="11"/>
  <c r="AU1633" i="11"/>
  <c r="AV1633" i="11"/>
  <c r="AU1634" i="11"/>
  <c r="AV1634" i="11"/>
  <c r="AU1635" i="11"/>
  <c r="AV1635" i="11"/>
  <c r="AU1636" i="11"/>
  <c r="AV1636" i="11"/>
  <c r="AU1637" i="11"/>
  <c r="AV1637" i="11"/>
  <c r="AU1638" i="11"/>
  <c r="AV1638" i="11"/>
  <c r="AU1639" i="11"/>
  <c r="AV1639" i="11"/>
  <c r="AU1640" i="11"/>
  <c r="AV1640" i="11"/>
  <c r="AU1641" i="11"/>
  <c r="AV1641" i="11"/>
  <c r="AU1642" i="11"/>
  <c r="AV1642" i="11"/>
  <c r="AU1643" i="11"/>
  <c r="AV1643" i="11"/>
  <c r="AU1644" i="11"/>
  <c r="AV1644" i="11"/>
  <c r="AU1645" i="11"/>
  <c r="AV1645" i="11"/>
  <c r="AU1646" i="11"/>
  <c r="AV1646" i="11"/>
  <c r="AU1647" i="11"/>
  <c r="AV1647" i="11"/>
  <c r="AU1648" i="11"/>
  <c r="AV1648" i="11"/>
  <c r="AU1649" i="11"/>
  <c r="AV1649" i="11"/>
  <c r="AU1650" i="11"/>
  <c r="AV1650" i="11"/>
  <c r="AU1651" i="11"/>
  <c r="AV1651" i="11"/>
  <c r="AU1652" i="11"/>
  <c r="AV1652" i="11"/>
  <c r="AU1653" i="11"/>
  <c r="AV1653" i="11"/>
  <c r="AU1654" i="11"/>
  <c r="AV1654" i="11"/>
  <c r="AU1655" i="11"/>
  <c r="AV1655" i="11"/>
  <c r="AU1656" i="11"/>
  <c r="AV1656" i="11"/>
  <c r="AU1657" i="11"/>
  <c r="AV1657" i="11"/>
  <c r="AU1658" i="11"/>
  <c r="AV1658" i="11"/>
  <c r="AU1659" i="11"/>
  <c r="AV1659" i="11"/>
  <c r="AU1660" i="11"/>
  <c r="AV1660" i="11"/>
  <c r="AU1661" i="11"/>
  <c r="AV1661" i="11"/>
  <c r="AU1662" i="11"/>
  <c r="AV1662" i="11"/>
  <c r="AU1663" i="11"/>
  <c r="AV1663" i="11"/>
  <c r="AU1664" i="11"/>
  <c r="AV1664" i="11"/>
  <c r="AU1665" i="11"/>
  <c r="AV1665" i="11"/>
  <c r="AU1666" i="11"/>
  <c r="AV1666" i="11"/>
  <c r="AU1667" i="11"/>
  <c r="AV1667" i="11"/>
  <c r="AU1668" i="11"/>
  <c r="AV1668" i="11"/>
  <c r="AU1669" i="11"/>
  <c r="AV1669" i="11"/>
  <c r="AU1670" i="11"/>
  <c r="AV1670" i="11"/>
  <c r="AU1671" i="11"/>
  <c r="AV1671" i="11"/>
  <c r="AU1672" i="11"/>
  <c r="AV1672" i="11"/>
  <c r="AU1673" i="11"/>
  <c r="AV1673" i="11"/>
  <c r="AU1674" i="11"/>
  <c r="AV1674" i="11"/>
  <c r="AU1675" i="11"/>
  <c r="AV1675" i="11"/>
  <c r="AU1676" i="11"/>
  <c r="AV1676" i="11"/>
  <c r="AU1677" i="11"/>
  <c r="AV1677" i="11"/>
  <c r="AU1678" i="11"/>
  <c r="AV1678" i="11"/>
  <c r="AU1679" i="11"/>
  <c r="AV1679" i="11"/>
  <c r="AU1680" i="11"/>
  <c r="AV1680" i="11"/>
  <c r="AU1681" i="11"/>
  <c r="AV1681" i="11"/>
  <c r="AU1682" i="11"/>
  <c r="AV1682" i="11"/>
  <c r="AU1683" i="11"/>
  <c r="AV1683" i="11"/>
  <c r="AU1684" i="11"/>
  <c r="AV1684" i="11"/>
  <c r="AU1685" i="11"/>
  <c r="AV1685" i="11"/>
  <c r="AU1686" i="11"/>
  <c r="AV1686" i="11"/>
  <c r="AU1687" i="11"/>
  <c r="AV1687" i="11"/>
  <c r="AU1688" i="11"/>
  <c r="AV1688" i="11"/>
  <c r="AU1689" i="11"/>
  <c r="AV1689" i="11"/>
  <c r="AU1690" i="11"/>
  <c r="AV1690" i="11"/>
  <c r="AU1691" i="11"/>
  <c r="AV1691" i="11"/>
  <c r="AU1692" i="11"/>
  <c r="AV1692" i="11"/>
  <c r="AU1693" i="11"/>
  <c r="AV1693" i="11"/>
  <c r="AU1694" i="11"/>
  <c r="AV1694" i="11"/>
  <c r="AU1695" i="11"/>
  <c r="AV1695" i="11"/>
  <c r="AU1696" i="11"/>
  <c r="AV1696" i="11"/>
  <c r="AU1697" i="11"/>
  <c r="AV1697" i="11"/>
  <c r="AU1698" i="11"/>
  <c r="AV1698" i="11"/>
  <c r="AU1699" i="11"/>
  <c r="AV1699" i="11"/>
  <c r="AU1700" i="11"/>
  <c r="AV1700" i="11"/>
  <c r="AU1701" i="11"/>
  <c r="AV1701" i="11"/>
  <c r="AU1702" i="11"/>
  <c r="AV1702" i="11"/>
  <c r="AU1703" i="11"/>
  <c r="AV1703" i="11"/>
  <c r="AU1704" i="11"/>
  <c r="AV1704" i="11"/>
  <c r="AU1705" i="11"/>
  <c r="AV1705" i="11"/>
  <c r="AU1706" i="11"/>
  <c r="AV1706" i="11"/>
  <c r="AU1707" i="11"/>
  <c r="AV1707" i="11"/>
  <c r="AU1708" i="11"/>
  <c r="AV1708" i="11"/>
  <c r="AU1709" i="11"/>
  <c r="AV1709" i="11"/>
  <c r="AU1710" i="11"/>
  <c r="AV1710" i="11"/>
  <c r="AU1711" i="11"/>
  <c r="AV1711" i="11"/>
  <c r="AU1712" i="11"/>
  <c r="AV1712" i="11"/>
  <c r="AU1713" i="11"/>
  <c r="AV1713" i="11"/>
  <c r="AU1714" i="11"/>
  <c r="AV1714" i="11"/>
  <c r="AU1715" i="11"/>
  <c r="AV1715" i="11"/>
  <c r="AU1716" i="11"/>
  <c r="AV1716" i="11"/>
  <c r="AU1717" i="11"/>
  <c r="AV1717" i="11"/>
  <c r="AU1718" i="11"/>
  <c r="AV1718" i="11"/>
  <c r="AU1719" i="11"/>
  <c r="AV1719" i="11"/>
  <c r="AU1720" i="11"/>
  <c r="AV1720" i="11"/>
  <c r="AU1721" i="11"/>
  <c r="AV1721" i="11"/>
  <c r="AU1722" i="11"/>
  <c r="AV1722" i="11"/>
  <c r="AU1723" i="11"/>
  <c r="AV1723" i="11"/>
  <c r="AU1724" i="11"/>
  <c r="AV1724" i="11"/>
  <c r="AU1725" i="11"/>
  <c r="AV1725" i="11"/>
  <c r="AU1726" i="11"/>
  <c r="AV1726" i="11"/>
  <c r="AU1727" i="11"/>
  <c r="AV1727" i="11"/>
  <c r="AU1728" i="11"/>
  <c r="AV1728" i="11"/>
  <c r="AU1729" i="11"/>
  <c r="AV1729" i="11"/>
  <c r="AU1730" i="11"/>
  <c r="AV1730" i="11"/>
  <c r="AU1731" i="11"/>
  <c r="AV1731" i="11"/>
  <c r="AU1732" i="11"/>
  <c r="AV1732" i="11"/>
  <c r="AU1733" i="11"/>
  <c r="AV1733" i="11"/>
  <c r="AU1734" i="11"/>
  <c r="AV1734" i="11"/>
  <c r="AU1735" i="11"/>
  <c r="AV1735" i="11"/>
  <c r="AU1736" i="11"/>
  <c r="AV1736" i="11"/>
  <c r="AU1737" i="11"/>
  <c r="AV1737" i="11"/>
  <c r="AU1738" i="11"/>
  <c r="AV1738" i="11"/>
  <c r="AU1739" i="11"/>
  <c r="AV1739" i="11"/>
  <c r="AU1740" i="11"/>
  <c r="AV1740" i="11"/>
  <c r="AU1741" i="11"/>
  <c r="AV1741" i="11"/>
  <c r="AU1742" i="11"/>
  <c r="AV1742" i="11"/>
  <c r="AU1743" i="11"/>
  <c r="AV1743" i="11"/>
  <c r="AU1744" i="11"/>
  <c r="AV1744" i="11"/>
  <c r="AU1745" i="11"/>
  <c r="AV1745" i="11"/>
  <c r="AU1746" i="11"/>
  <c r="AV1746" i="11"/>
  <c r="AU1747" i="11"/>
  <c r="AV1747" i="11"/>
  <c r="AU1748" i="11"/>
  <c r="AV1748" i="11"/>
  <c r="AU1749" i="11"/>
  <c r="AV1749" i="11"/>
  <c r="AU1750" i="11"/>
  <c r="AV1750" i="11"/>
  <c r="AU1751" i="11"/>
  <c r="AV1751" i="11"/>
  <c r="AU1752" i="11"/>
  <c r="AV1752" i="11"/>
  <c r="AU1753" i="11"/>
  <c r="AV1753" i="11"/>
  <c r="AU1754" i="11"/>
  <c r="AV1754" i="11"/>
  <c r="AU1755" i="11"/>
  <c r="AV1755" i="11"/>
  <c r="AU1756" i="11"/>
  <c r="AV1756" i="11"/>
  <c r="AU1757" i="11"/>
  <c r="AV1757" i="11"/>
  <c r="AU1758" i="11"/>
  <c r="AV1758" i="11"/>
  <c r="AU1759" i="11"/>
  <c r="AV1759" i="11"/>
  <c r="AU1760" i="11"/>
  <c r="AV1760" i="11"/>
  <c r="AU1761" i="11"/>
  <c r="AV1761" i="11"/>
  <c r="AU1762" i="11"/>
  <c r="AV1762" i="11"/>
  <c r="AU1763" i="11"/>
  <c r="AV1763" i="11"/>
  <c r="AU1764" i="11"/>
  <c r="AV1764" i="11"/>
  <c r="AU1765" i="11"/>
  <c r="AV1765" i="11"/>
  <c r="AU1766" i="11"/>
  <c r="AV1766" i="11"/>
  <c r="AU1767" i="11"/>
  <c r="AV1767" i="11"/>
  <c r="AU1768" i="11"/>
  <c r="AV1768" i="11"/>
  <c r="AU1769" i="11"/>
  <c r="AV1769" i="11"/>
  <c r="AU1770" i="11"/>
  <c r="AV1770" i="11"/>
  <c r="AU1771" i="11"/>
  <c r="AV1771" i="11"/>
  <c r="AU1772" i="11"/>
  <c r="AV1772" i="11"/>
  <c r="AU1773" i="11"/>
  <c r="AV1773" i="11"/>
  <c r="AU1774" i="11"/>
  <c r="AV1774" i="11"/>
  <c r="AU1775" i="11"/>
  <c r="AV1775" i="11"/>
  <c r="AU1776" i="11"/>
  <c r="AV1776" i="11"/>
  <c r="AU1777" i="11"/>
  <c r="AV1777" i="11"/>
  <c r="AU1778" i="11"/>
  <c r="AV1778" i="11"/>
  <c r="AU1779" i="11"/>
  <c r="AV1779" i="11"/>
  <c r="AU1780" i="11"/>
  <c r="AV1780" i="11"/>
  <c r="AU1781" i="11"/>
  <c r="AV1781" i="11"/>
  <c r="AU1782" i="11"/>
  <c r="AV1782" i="11"/>
  <c r="AU1783" i="11"/>
  <c r="AV1783" i="11"/>
  <c r="AU1784" i="11"/>
  <c r="AV1784" i="11"/>
  <c r="AU1785" i="11"/>
  <c r="AV1785" i="11"/>
  <c r="AU1786" i="11"/>
  <c r="AV1786" i="11"/>
  <c r="AU1787" i="11"/>
  <c r="AV1787" i="11"/>
  <c r="AU1788" i="11"/>
  <c r="AV1788" i="11"/>
  <c r="AU1789" i="11"/>
  <c r="AV1789" i="11"/>
  <c r="AU1790" i="11"/>
  <c r="AV1790" i="11"/>
  <c r="AU1791" i="11"/>
  <c r="AV1791" i="11"/>
  <c r="AU1792" i="11"/>
  <c r="AV1792" i="11"/>
  <c r="AU1793" i="11"/>
  <c r="AV1793" i="11"/>
  <c r="AU1794" i="11"/>
  <c r="AV1794" i="11"/>
  <c r="AU1795" i="11"/>
  <c r="AV1795" i="11"/>
  <c r="AU1796" i="11"/>
  <c r="AV1796" i="11"/>
  <c r="AU1797" i="11"/>
  <c r="AV1797" i="11"/>
  <c r="AU1798" i="11"/>
  <c r="AV1798" i="11"/>
  <c r="AU1799" i="11"/>
  <c r="AV1799" i="11"/>
  <c r="AU1800" i="11"/>
  <c r="AV1800" i="11"/>
  <c r="AU1801" i="11"/>
  <c r="AV1801" i="11"/>
  <c r="AU1802" i="11"/>
  <c r="AV1802" i="11"/>
  <c r="AU1803" i="11"/>
  <c r="AV1803" i="11"/>
  <c r="AU1804" i="11"/>
  <c r="AV1804" i="11"/>
  <c r="AU1805" i="11"/>
  <c r="AV1805" i="11"/>
  <c r="AU1806" i="11"/>
  <c r="AV1806" i="11"/>
  <c r="AU1807" i="11"/>
  <c r="AV1807" i="11"/>
  <c r="AU1808" i="11"/>
  <c r="AV1808" i="11"/>
  <c r="AU1809" i="11"/>
  <c r="AV1809" i="11"/>
  <c r="AU1810" i="11"/>
  <c r="AV1810" i="11"/>
  <c r="AU1811" i="11"/>
  <c r="AV1811" i="11"/>
  <c r="AU1812" i="11"/>
  <c r="AV1812" i="11"/>
  <c r="AU1813" i="11"/>
  <c r="AV1813" i="11"/>
  <c r="AU1814" i="11"/>
  <c r="AV1814" i="11"/>
  <c r="AU1815" i="11"/>
  <c r="AV1815" i="11"/>
  <c r="AU1816" i="11"/>
  <c r="AV1816" i="11"/>
  <c r="AU1817" i="11"/>
  <c r="AV1817" i="11"/>
  <c r="AU1818" i="11"/>
  <c r="AV1818" i="11"/>
  <c r="AU1819" i="11"/>
  <c r="AV1819" i="11"/>
  <c r="AU1820" i="11"/>
  <c r="AV1820" i="11"/>
  <c r="AU1821" i="11"/>
  <c r="AV1821" i="11"/>
  <c r="AU1822" i="11"/>
  <c r="AV1822" i="11"/>
  <c r="AU1823" i="11"/>
  <c r="AV1823" i="11"/>
  <c r="AU1824" i="11"/>
  <c r="AV1824" i="11"/>
  <c r="AU1825" i="11"/>
  <c r="AV1825" i="11"/>
  <c r="AU1826" i="11"/>
  <c r="AV1826" i="11"/>
  <c r="AU1827" i="11"/>
  <c r="AV1827" i="11"/>
  <c r="AU1828" i="11"/>
  <c r="AV1828" i="11"/>
  <c r="AU1829" i="11"/>
  <c r="AV1829" i="11"/>
  <c r="AU1830" i="11"/>
  <c r="AV1830" i="11"/>
  <c r="AU1831" i="11"/>
  <c r="AV1831" i="11"/>
  <c r="AU1832" i="11"/>
  <c r="AV1832" i="11"/>
  <c r="AU1833" i="11"/>
  <c r="AV1833" i="11"/>
  <c r="AU1834" i="11"/>
  <c r="AV1834" i="11"/>
  <c r="AU1835" i="11"/>
  <c r="AV1835" i="11"/>
  <c r="AU1836" i="11"/>
  <c r="AV1836" i="11"/>
  <c r="AU1837" i="11"/>
  <c r="AV1837" i="11"/>
  <c r="AU1838" i="11"/>
  <c r="AV1838" i="11"/>
  <c r="AU1839" i="11"/>
  <c r="AV1839" i="11"/>
  <c r="AU1840" i="11"/>
  <c r="AV1840" i="11"/>
  <c r="AU1841" i="11"/>
  <c r="AV1841" i="11"/>
  <c r="AU1842" i="11"/>
  <c r="AV1842" i="11"/>
  <c r="AU1843" i="11"/>
  <c r="AV1843" i="11"/>
  <c r="AU1844" i="11"/>
  <c r="AV1844" i="11"/>
  <c r="AU1845" i="11"/>
  <c r="AV1845" i="11"/>
  <c r="AU1846" i="11"/>
  <c r="AV1846" i="11"/>
  <c r="AU1847" i="11"/>
  <c r="AV1847" i="11"/>
  <c r="AU1848" i="11"/>
  <c r="AV1848" i="11"/>
  <c r="AU1849" i="11"/>
  <c r="AV1849" i="11"/>
  <c r="AU1850" i="11"/>
  <c r="AV1850" i="11"/>
  <c r="AU1851" i="11"/>
  <c r="AV1851" i="11"/>
  <c r="AU1852" i="11"/>
  <c r="AV1852" i="11"/>
  <c r="AU1853" i="11"/>
  <c r="AV1853" i="11"/>
  <c r="AU1854" i="11"/>
  <c r="AV1854" i="11"/>
  <c r="AU1855" i="11"/>
  <c r="AV1855" i="11"/>
  <c r="AU1856" i="11"/>
  <c r="AV1856" i="11"/>
  <c r="AU1857" i="11"/>
  <c r="AV1857" i="11"/>
  <c r="AU1858" i="11"/>
  <c r="AV1858" i="11"/>
  <c r="AU1859" i="11"/>
  <c r="AV1859" i="11"/>
  <c r="AU1860" i="11"/>
  <c r="AV1860" i="11"/>
  <c r="AU1861" i="11"/>
  <c r="AV1861" i="11"/>
  <c r="AU1862" i="11"/>
  <c r="AV1862" i="11"/>
  <c r="AU1863" i="11"/>
  <c r="AV1863" i="11"/>
  <c r="AU1864" i="11"/>
  <c r="AV1864" i="11"/>
  <c r="AU1865" i="11"/>
  <c r="AV1865" i="11"/>
  <c r="AU1866" i="11"/>
  <c r="AV1866" i="11"/>
  <c r="AU1867" i="11"/>
  <c r="AV1867" i="11"/>
  <c r="AU1868" i="11"/>
  <c r="AV1868" i="11"/>
  <c r="AU1869" i="11"/>
  <c r="AV1869" i="11"/>
  <c r="AU1870" i="11"/>
  <c r="AV1870" i="11"/>
  <c r="AU1871" i="11"/>
  <c r="AV1871" i="11"/>
  <c r="AU1872" i="11"/>
  <c r="AV1872" i="11"/>
  <c r="AU1873" i="11"/>
  <c r="AV1873" i="11"/>
  <c r="AU1874" i="11"/>
  <c r="AV1874" i="11"/>
  <c r="AU1875" i="11"/>
  <c r="AV1875" i="11"/>
  <c r="AU1876" i="11"/>
  <c r="AV1876" i="11"/>
  <c r="AU1877" i="11"/>
  <c r="AV1877" i="11"/>
  <c r="AU1878" i="11"/>
  <c r="AV1878" i="11"/>
  <c r="AU1879" i="11"/>
  <c r="AV1879" i="11"/>
  <c r="AU1880" i="11"/>
  <c r="AV1880" i="11"/>
  <c r="AU1881" i="11"/>
  <c r="AV1881" i="11"/>
  <c r="AU1882" i="11"/>
  <c r="AV1882" i="11"/>
  <c r="AU1883" i="11"/>
  <c r="AV1883" i="11"/>
  <c r="AU1884" i="11"/>
  <c r="AV1884" i="11"/>
  <c r="AU1885" i="11"/>
  <c r="AV1885" i="11"/>
  <c r="AU1886" i="11"/>
  <c r="AV1886" i="11"/>
  <c r="AU1887" i="11"/>
  <c r="AV1887" i="11"/>
  <c r="AU1888" i="11"/>
  <c r="AV1888" i="11"/>
  <c r="AU1889" i="11"/>
  <c r="AV1889" i="11"/>
  <c r="AU1890" i="11"/>
  <c r="AV1890" i="11"/>
  <c r="AU1891" i="11"/>
  <c r="AV1891" i="11"/>
  <c r="AU1892" i="11"/>
  <c r="AV1892" i="11"/>
  <c r="AU1893" i="11"/>
  <c r="AV1893" i="11"/>
  <c r="AU1894" i="11"/>
  <c r="AV1894" i="11"/>
  <c r="AU1895" i="11"/>
  <c r="AV1895" i="11"/>
  <c r="AU1896" i="11"/>
  <c r="AV1896" i="11"/>
  <c r="AU1897" i="11"/>
  <c r="AV1897" i="11"/>
  <c r="AU1898" i="11"/>
  <c r="AV1898" i="11"/>
  <c r="AU1899" i="11"/>
  <c r="AV1899" i="11"/>
  <c r="AU1900" i="11"/>
  <c r="AV1900" i="11"/>
  <c r="AU1901" i="11"/>
  <c r="AV1901" i="11"/>
  <c r="AU1902" i="11"/>
  <c r="AV1902" i="11"/>
  <c r="AU1903" i="11"/>
  <c r="AV1903" i="11"/>
  <c r="AU1904" i="11"/>
  <c r="AV1904" i="11"/>
  <c r="AU1905" i="11"/>
  <c r="AV1905" i="11"/>
  <c r="AU1906" i="11"/>
  <c r="AV1906" i="11"/>
  <c r="AU1907" i="11"/>
  <c r="AV1907" i="11"/>
  <c r="AU1908" i="11"/>
  <c r="AV1908" i="11"/>
  <c r="AU1909" i="11"/>
  <c r="AV1909" i="11"/>
  <c r="AU1910" i="11"/>
  <c r="AV1910" i="11"/>
  <c r="AU1911" i="11"/>
  <c r="AV1911" i="11"/>
  <c r="AU1912" i="11"/>
  <c r="AV1912" i="11"/>
  <c r="AU1913" i="11"/>
  <c r="AV1913" i="11"/>
  <c r="AU1914" i="11"/>
  <c r="AV1914" i="11"/>
  <c r="AU1915" i="11"/>
  <c r="AV1915" i="11"/>
  <c r="AU1916" i="11"/>
  <c r="AV1916" i="11"/>
  <c r="AU1917" i="11"/>
  <c r="AV1917" i="11"/>
  <c r="AU1918" i="11"/>
  <c r="AV1918" i="11"/>
  <c r="AU1919" i="11"/>
  <c r="AV1919" i="11"/>
  <c r="AU1920" i="11"/>
  <c r="AV1920" i="11"/>
  <c r="AU1921" i="11"/>
  <c r="AV1921" i="11"/>
  <c r="AU1922" i="11"/>
  <c r="AV1922" i="11"/>
  <c r="AU1923" i="11"/>
  <c r="AV1923" i="11"/>
  <c r="AU1924" i="11"/>
  <c r="AV1924" i="11"/>
  <c r="AU1925" i="11"/>
  <c r="AV1925" i="11"/>
  <c r="AU1926" i="11"/>
  <c r="AV1926" i="11"/>
  <c r="AU1927" i="11"/>
  <c r="AV1927" i="11"/>
  <c r="AU1928" i="11"/>
  <c r="AV1928" i="11"/>
  <c r="AU1929" i="11"/>
  <c r="AV1929" i="11"/>
  <c r="AU1930" i="11"/>
  <c r="AV1930" i="11"/>
  <c r="AU1931" i="11"/>
  <c r="AV1931" i="11"/>
  <c r="AU1932" i="11"/>
  <c r="AV1932" i="11"/>
  <c r="AU1933" i="11"/>
  <c r="AV1933" i="11"/>
  <c r="AU1934" i="11"/>
  <c r="AV1934" i="11"/>
  <c r="AU1935" i="11"/>
  <c r="AV1935" i="11"/>
  <c r="AU1936" i="11"/>
  <c r="AV1936" i="11"/>
  <c r="AU1937" i="11"/>
  <c r="AV1937" i="11"/>
  <c r="AU1938" i="11"/>
  <c r="AV1938" i="11"/>
  <c r="AU1939" i="11"/>
  <c r="AV1939" i="11"/>
  <c r="AU1940" i="11"/>
  <c r="AV1940" i="11"/>
  <c r="AU1941" i="11"/>
  <c r="AV1941" i="11"/>
  <c r="AU1942" i="11"/>
  <c r="AV1942" i="11"/>
  <c r="AU1943" i="11"/>
  <c r="AV1943" i="11"/>
  <c r="AU1944" i="11"/>
  <c r="AV1944" i="11"/>
  <c r="AU1945" i="11"/>
  <c r="AV1945" i="11"/>
  <c r="AU1946" i="11"/>
  <c r="AV1946" i="11"/>
  <c r="AU1947" i="11"/>
  <c r="AV1947" i="11"/>
  <c r="AU1948" i="11"/>
  <c r="AV1948" i="11"/>
  <c r="AU1949" i="11"/>
  <c r="AV1949" i="11"/>
  <c r="AU1950" i="11"/>
  <c r="AV1950" i="11"/>
  <c r="AU1951" i="11"/>
  <c r="AV1951" i="11"/>
  <c r="AU1952" i="11"/>
  <c r="AV1952" i="11"/>
  <c r="AU1953" i="11"/>
  <c r="AV1953" i="11"/>
  <c r="AU1954" i="11"/>
  <c r="AV1954" i="11"/>
  <c r="AU1955" i="11"/>
  <c r="AV1955" i="11"/>
  <c r="AU1956" i="11"/>
  <c r="AV1956" i="11"/>
  <c r="AU1957" i="11"/>
  <c r="AV1957" i="11"/>
  <c r="AU1958" i="11"/>
  <c r="AV1958" i="11"/>
  <c r="AU1959" i="11"/>
  <c r="AV1959" i="11"/>
  <c r="AU1960" i="11"/>
  <c r="AV1960" i="11"/>
  <c r="AU1961" i="11"/>
  <c r="AV1961" i="11"/>
  <c r="AU1962" i="11"/>
  <c r="AV1962" i="11"/>
  <c r="AU1963" i="11"/>
  <c r="AV1963" i="11"/>
  <c r="AU1964" i="11"/>
  <c r="AV1964" i="11"/>
  <c r="AU1965" i="11"/>
  <c r="AV1965" i="11"/>
  <c r="AU1966" i="11"/>
  <c r="AV1966" i="11"/>
  <c r="AU1967" i="11"/>
  <c r="AV1967" i="11"/>
  <c r="AU1968" i="11"/>
  <c r="AV1968" i="11"/>
  <c r="AU1969" i="11"/>
  <c r="AV1969" i="11"/>
  <c r="AU1970" i="11"/>
  <c r="AV1970" i="11"/>
  <c r="AU1971" i="11"/>
  <c r="AV1971" i="11"/>
  <c r="AU1972" i="11"/>
  <c r="AV1972" i="11"/>
  <c r="AU1973" i="11"/>
  <c r="AV1973" i="11"/>
  <c r="AU1974" i="11"/>
  <c r="AV1974" i="11"/>
  <c r="AU1975" i="11"/>
  <c r="AV1975" i="11"/>
  <c r="AU1976" i="11"/>
  <c r="AV1976" i="11"/>
  <c r="AU1977" i="11"/>
  <c r="AV1977" i="11"/>
  <c r="AU1978" i="11"/>
  <c r="AV1978" i="11"/>
  <c r="AU1979" i="11"/>
  <c r="AV1979" i="11"/>
  <c r="AU1980" i="11"/>
  <c r="AV1980" i="11"/>
  <c r="AU1981" i="11"/>
  <c r="AV1981" i="11"/>
  <c r="AU1982" i="11"/>
  <c r="AV1982" i="11"/>
  <c r="AU1983" i="11"/>
  <c r="AV1983" i="11"/>
  <c r="AU1984" i="11"/>
  <c r="AV1984" i="11"/>
  <c r="AU1985" i="11"/>
  <c r="AV1985" i="11"/>
  <c r="AU1986" i="11"/>
  <c r="AV1986" i="11"/>
  <c r="AU1987" i="11"/>
  <c r="AV1987" i="11"/>
  <c r="AU1988" i="11"/>
  <c r="AV1988" i="11"/>
  <c r="AU1989" i="11"/>
  <c r="AV1989" i="11"/>
  <c r="AU1990" i="11"/>
  <c r="AV1990" i="11"/>
  <c r="AU1991" i="11"/>
  <c r="AV1991" i="11"/>
  <c r="AU1992" i="11"/>
  <c r="AV1992" i="11"/>
  <c r="AU1993" i="11"/>
  <c r="AV1993" i="11"/>
  <c r="AU1994" i="11"/>
  <c r="AV1994" i="11"/>
  <c r="AU1995" i="11"/>
  <c r="AV1995" i="11"/>
  <c r="AU1996" i="11"/>
  <c r="AV1996" i="11"/>
  <c r="AU1997" i="11"/>
  <c r="AV1997" i="11"/>
  <c r="AU1998" i="11"/>
  <c r="AV1998" i="11"/>
  <c r="AU1999" i="11"/>
  <c r="AV1999" i="11"/>
  <c r="AU2000" i="11"/>
  <c r="AV2000" i="11"/>
  <c r="AU2001" i="11"/>
  <c r="AV2001" i="11"/>
  <c r="AU2002" i="11"/>
  <c r="AV2002" i="11"/>
  <c r="AU2003" i="11"/>
  <c r="AV2003" i="11"/>
  <c r="AU2004" i="11"/>
  <c r="AV2004" i="11"/>
  <c r="AU2005" i="11"/>
  <c r="AV2005" i="11"/>
  <c r="AU2006" i="11"/>
  <c r="AV2006" i="11"/>
  <c r="AU2007" i="11"/>
  <c r="AV2007" i="11"/>
  <c r="AU2008" i="11"/>
  <c r="AV2008" i="11"/>
  <c r="AU2009" i="11"/>
  <c r="AV2009" i="11"/>
  <c r="AU2010" i="11"/>
  <c r="AV2010" i="11"/>
  <c r="AU2011" i="11"/>
  <c r="AV2011" i="11"/>
  <c r="AU2012" i="11"/>
  <c r="AV2012" i="11"/>
  <c r="AU2013" i="11"/>
  <c r="AV2013" i="11"/>
  <c r="AU2014" i="11"/>
  <c r="AV2014" i="11"/>
  <c r="AU2015" i="11"/>
  <c r="AV2015" i="11"/>
  <c r="AU2016" i="11"/>
  <c r="AV2016" i="11"/>
  <c r="AU2017" i="11"/>
  <c r="AV2017" i="11"/>
  <c r="AU2018" i="11"/>
  <c r="AV2018" i="11"/>
  <c r="AU2019" i="11"/>
  <c r="AV2019" i="11"/>
  <c r="AU2020" i="11"/>
  <c r="AV2020" i="11"/>
  <c r="AU2021" i="11"/>
  <c r="AV2021" i="11"/>
  <c r="AU2022" i="11"/>
  <c r="AV2022" i="11"/>
  <c r="AU2023" i="11"/>
  <c r="AV2023" i="11"/>
  <c r="AU2024" i="11"/>
  <c r="AV2024" i="11"/>
  <c r="AU2025" i="11"/>
  <c r="AV2025" i="11"/>
  <c r="AU2026" i="11"/>
  <c r="AV2026" i="11"/>
  <c r="AU2027" i="11"/>
  <c r="AV2027" i="11"/>
  <c r="AU2028" i="11"/>
  <c r="AV2028" i="11"/>
  <c r="AU2029" i="11"/>
  <c r="AV2029" i="11"/>
  <c r="AU2030" i="11"/>
  <c r="AV2030" i="11"/>
  <c r="AU2031" i="11"/>
  <c r="AV2031" i="11"/>
  <c r="AU2032" i="11"/>
  <c r="AV2032" i="11"/>
  <c r="AU2033" i="11"/>
  <c r="AV2033" i="11"/>
  <c r="AU2034" i="11"/>
  <c r="AV2034" i="11"/>
  <c r="AU2035" i="11"/>
  <c r="AV2035" i="11"/>
  <c r="AU2036" i="11"/>
  <c r="AV2036" i="11"/>
  <c r="AU2037" i="11"/>
  <c r="AV2037" i="11"/>
  <c r="AU2038" i="11"/>
  <c r="AV2038" i="11"/>
  <c r="AU2039" i="11"/>
  <c r="N159" i="3" s="1"/>
  <c r="AV2039" i="11"/>
  <c r="N179" i="3" s="1"/>
  <c r="AU2040" i="11"/>
  <c r="AV2040" i="11"/>
  <c r="AU2041" i="11"/>
  <c r="AV2041" i="11"/>
  <c r="AU2042" i="11"/>
  <c r="AV2042" i="11"/>
  <c r="AU2043" i="11"/>
  <c r="AV2043" i="11"/>
  <c r="AU2044" i="11"/>
  <c r="AV2044" i="11"/>
  <c r="AU2045" i="11"/>
  <c r="AV2045" i="11"/>
  <c r="AU2046" i="11"/>
  <c r="AV2046" i="11"/>
  <c r="AU2047" i="11"/>
  <c r="AV2047" i="11"/>
  <c r="AU2048" i="11"/>
  <c r="AV2048" i="11"/>
  <c r="AU2049" i="11"/>
  <c r="AV2049" i="11"/>
  <c r="AU2050" i="11"/>
  <c r="AV2050" i="11"/>
  <c r="AU2051" i="11"/>
  <c r="AV2051" i="11"/>
  <c r="AU2052" i="11"/>
  <c r="AV2052" i="11"/>
  <c r="AU2053" i="11"/>
  <c r="AV2053" i="11"/>
  <c r="AU2054" i="11"/>
  <c r="AV2054" i="11"/>
  <c r="AU2055" i="11"/>
  <c r="AV2055" i="11"/>
  <c r="AU2056" i="11"/>
  <c r="AV2056" i="11"/>
  <c r="AU2057" i="11"/>
  <c r="AV2057" i="11"/>
  <c r="AU2058" i="11"/>
  <c r="AV2058" i="11"/>
  <c r="AU2059" i="11"/>
  <c r="AV2059" i="11"/>
  <c r="AU2060" i="11"/>
  <c r="AV2060" i="11"/>
  <c r="AU2061" i="11"/>
  <c r="AV2061" i="11"/>
  <c r="AU2062" i="11"/>
  <c r="AV2062" i="11"/>
  <c r="AU2063" i="11"/>
  <c r="AV2063" i="11"/>
  <c r="AU2064" i="11"/>
  <c r="AV2064" i="11"/>
  <c r="AU2065" i="11"/>
  <c r="AV2065" i="11"/>
  <c r="AU2066" i="11"/>
  <c r="AV2066" i="11"/>
  <c r="AU2067" i="11"/>
  <c r="AV2067" i="11"/>
  <c r="AU2068" i="11"/>
  <c r="AV2068" i="11"/>
  <c r="AU2069" i="11"/>
  <c r="AV2069" i="11"/>
  <c r="AU2070" i="11"/>
  <c r="AV2070" i="11"/>
  <c r="AU2071" i="11"/>
  <c r="AV2071" i="11"/>
  <c r="AU2072" i="11"/>
  <c r="AV2072" i="11"/>
  <c r="AU2073" i="11"/>
  <c r="AV2073" i="11"/>
  <c r="AU2074" i="11"/>
  <c r="AV2074" i="11"/>
  <c r="AU2075" i="11"/>
  <c r="AV2075" i="11"/>
  <c r="AU2076" i="11"/>
  <c r="AV2076" i="11"/>
  <c r="AU2077" i="11"/>
  <c r="AV2077" i="11"/>
  <c r="AU2078" i="11"/>
  <c r="AV2078" i="11"/>
  <c r="AU2079" i="11"/>
  <c r="AV2079" i="11"/>
  <c r="AU2080" i="11"/>
  <c r="AV2080" i="11"/>
  <c r="AU2081" i="11"/>
  <c r="AV2081" i="11"/>
  <c r="AU2082" i="11"/>
  <c r="AV2082" i="11"/>
  <c r="AU2083" i="11"/>
  <c r="AV2083" i="11"/>
  <c r="AU2084" i="11"/>
  <c r="AV2084" i="11"/>
  <c r="AU2085" i="11"/>
  <c r="AV2085" i="11"/>
  <c r="AU2086" i="11"/>
  <c r="AV2086" i="11"/>
  <c r="AU2087" i="11"/>
  <c r="AV2087" i="11"/>
  <c r="AU2088" i="11"/>
  <c r="AV2088" i="11"/>
  <c r="AU2089" i="11"/>
  <c r="AV2089" i="11"/>
  <c r="AU2090" i="11"/>
  <c r="AV2090" i="11"/>
  <c r="AU2091" i="11"/>
  <c r="AV2091" i="11"/>
  <c r="AU2092" i="11"/>
  <c r="AV2092" i="11"/>
  <c r="AU2093" i="11"/>
  <c r="AV2093" i="11"/>
  <c r="AU2094" i="11"/>
  <c r="AV2094" i="11"/>
  <c r="AU2095" i="11"/>
  <c r="AV2095" i="11"/>
  <c r="AU2096" i="11"/>
  <c r="AV2096" i="11"/>
  <c r="AU2097" i="11"/>
  <c r="AV2097" i="11"/>
  <c r="AU2098" i="11"/>
  <c r="AV2098" i="11"/>
  <c r="AU2099" i="11"/>
  <c r="AV2099" i="11"/>
  <c r="AU2100" i="11"/>
  <c r="AV2100" i="11"/>
  <c r="AU2101" i="11"/>
  <c r="AV2101" i="11"/>
  <c r="AU2102" i="11"/>
  <c r="AV2102" i="11"/>
  <c r="AU2103" i="11"/>
  <c r="AV2103" i="11"/>
  <c r="AU2104" i="11"/>
  <c r="AV2104" i="11"/>
  <c r="AU2105" i="11"/>
  <c r="AV2105" i="11"/>
  <c r="AU2106" i="11"/>
  <c r="AV2106" i="11"/>
  <c r="AU2107" i="11"/>
  <c r="AV2107" i="11"/>
  <c r="AU2108" i="11"/>
  <c r="AV2108" i="11"/>
  <c r="AU2109" i="11"/>
  <c r="AV2109" i="11"/>
  <c r="AU2110" i="11"/>
  <c r="AV2110" i="11"/>
  <c r="AU2111" i="11"/>
  <c r="AV2111" i="11"/>
  <c r="AU2112" i="11"/>
  <c r="AV2112" i="11"/>
  <c r="AU2113" i="11"/>
  <c r="AV2113" i="11"/>
  <c r="AU2114" i="11"/>
  <c r="AV2114" i="11"/>
  <c r="AU2115" i="11"/>
  <c r="AV2115" i="11"/>
  <c r="AU2116" i="11"/>
  <c r="AV2116" i="11"/>
  <c r="AU2117" i="11"/>
  <c r="AV2117" i="11"/>
  <c r="AU2118" i="11"/>
  <c r="AV2118" i="11"/>
  <c r="AU2119" i="11"/>
  <c r="AV2119" i="11"/>
  <c r="AU2120" i="11"/>
  <c r="AV2120" i="11"/>
  <c r="AU2121" i="11"/>
  <c r="AV2121" i="11"/>
  <c r="AU2122" i="11"/>
  <c r="AV2122" i="11"/>
  <c r="AU2123" i="11"/>
  <c r="AV2123" i="11"/>
  <c r="AU2124" i="11"/>
  <c r="AV2124" i="11"/>
  <c r="AU2125" i="11"/>
  <c r="AV2125" i="11"/>
  <c r="AU2126" i="11"/>
  <c r="AV2126" i="11"/>
  <c r="AU2127" i="11"/>
  <c r="AV2127" i="11"/>
  <c r="AU2128" i="11"/>
  <c r="AV2128" i="11"/>
  <c r="AU2129" i="11"/>
  <c r="AV2129" i="11"/>
  <c r="AU2130" i="11"/>
  <c r="AV2130" i="11"/>
  <c r="AU2131" i="11"/>
  <c r="AV2131" i="11"/>
  <c r="AU2132" i="11"/>
  <c r="AV2132" i="11"/>
  <c r="AU2133" i="11"/>
  <c r="AV2133" i="11"/>
  <c r="AU2134" i="11"/>
  <c r="AV2134" i="11"/>
  <c r="AU2135" i="11"/>
  <c r="AV2135" i="11"/>
  <c r="AU2136" i="11"/>
  <c r="AV2136" i="11"/>
  <c r="AU2137" i="11"/>
  <c r="AV2137" i="11"/>
  <c r="AU2138" i="11"/>
  <c r="AV2138" i="11"/>
  <c r="AU2139" i="11"/>
  <c r="AV2139" i="11"/>
  <c r="AU2140" i="11"/>
  <c r="AV2140" i="11"/>
  <c r="AU2141" i="11"/>
  <c r="AV2141" i="11"/>
  <c r="AU2142" i="11"/>
  <c r="AV2142" i="11"/>
  <c r="AU2143" i="11"/>
  <c r="AV2143" i="11"/>
  <c r="AU2144" i="11"/>
  <c r="AV2144" i="11"/>
  <c r="AU2145" i="11"/>
  <c r="AV2145" i="11"/>
  <c r="AU2146" i="11"/>
  <c r="AV2146" i="11"/>
  <c r="AU2147" i="11"/>
  <c r="AV2147" i="11"/>
  <c r="AU2148" i="11"/>
  <c r="AV2148" i="11"/>
  <c r="AU2149" i="11"/>
  <c r="AV2149" i="11"/>
  <c r="AU2150" i="11"/>
  <c r="AV2150" i="11"/>
  <c r="AU2151" i="11"/>
  <c r="AV2151" i="11"/>
  <c r="AU2152" i="11"/>
  <c r="AV2152" i="11"/>
  <c r="AU2153" i="11"/>
  <c r="AV2153" i="11"/>
  <c r="AU2154" i="11"/>
  <c r="AV2154" i="11"/>
  <c r="AU2155" i="11"/>
  <c r="AV2155" i="11"/>
  <c r="AU2156" i="11"/>
  <c r="AV2156" i="11"/>
  <c r="AU2157" i="11"/>
  <c r="AV2157" i="11"/>
  <c r="AU2158" i="11"/>
  <c r="AV2158" i="11"/>
  <c r="AU2159" i="11"/>
  <c r="AV2159" i="11"/>
  <c r="AU2160" i="11"/>
  <c r="AV2160" i="11"/>
  <c r="AU2161" i="11"/>
  <c r="AV2161" i="11"/>
  <c r="AU2162" i="11"/>
  <c r="AV2162" i="11"/>
  <c r="AU2163" i="11"/>
  <c r="AV2163" i="11"/>
  <c r="AU2164" i="11"/>
  <c r="AV2164" i="11"/>
  <c r="AU2165" i="11"/>
  <c r="AV2165" i="11"/>
  <c r="AU2166" i="11"/>
  <c r="AV2166" i="11"/>
  <c r="AU2167" i="11"/>
  <c r="AV2167" i="11"/>
  <c r="AU2168" i="11"/>
  <c r="AV2168" i="11"/>
  <c r="AU2169" i="11"/>
  <c r="AV2169" i="11"/>
  <c r="AU2170" i="11"/>
  <c r="AV2170" i="11"/>
  <c r="AU2171" i="11"/>
  <c r="AV2171" i="11"/>
  <c r="AU2172" i="11"/>
  <c r="AV2172" i="11"/>
  <c r="AU2173" i="11"/>
  <c r="AV2173" i="11"/>
  <c r="AU2174" i="11"/>
  <c r="AV2174" i="11"/>
  <c r="AU2175" i="11"/>
  <c r="AV2175" i="11"/>
  <c r="AU2176" i="11"/>
  <c r="AV2176" i="11"/>
  <c r="AU2177" i="11"/>
  <c r="AV2177" i="11"/>
  <c r="AU2178" i="11"/>
  <c r="AV2178" i="11"/>
  <c r="AU2179" i="11"/>
  <c r="AV2179" i="11"/>
  <c r="AU2180" i="11"/>
  <c r="AV2180" i="11"/>
  <c r="AU2181" i="11"/>
  <c r="AV2181" i="11"/>
  <c r="AU2182" i="11"/>
  <c r="AV2182" i="11"/>
  <c r="AU2183" i="11"/>
  <c r="AV2183" i="11"/>
  <c r="AU2184" i="11"/>
  <c r="AV2184" i="11"/>
  <c r="AU2185" i="11"/>
  <c r="AV2185" i="11"/>
  <c r="AU2186" i="11"/>
  <c r="AV2186" i="11"/>
  <c r="AU2187" i="11"/>
  <c r="AV2187" i="11"/>
  <c r="AU2188" i="11"/>
  <c r="AV2188" i="11"/>
  <c r="AU2189" i="11"/>
  <c r="AV2189" i="11"/>
  <c r="AU2190" i="11"/>
  <c r="AV2190" i="11"/>
  <c r="AU2191" i="11"/>
  <c r="AV2191" i="11"/>
  <c r="AU2192" i="11"/>
  <c r="AV2192" i="11"/>
  <c r="AU2193" i="11"/>
  <c r="AV2193" i="11"/>
  <c r="AU2194" i="11"/>
  <c r="AV2194" i="11"/>
  <c r="AU2195" i="11"/>
  <c r="AV2195" i="11"/>
  <c r="AU2196" i="11"/>
  <c r="AV2196" i="11"/>
  <c r="AU2197" i="11"/>
  <c r="AV2197" i="11"/>
  <c r="AU2198" i="11"/>
  <c r="AV2198" i="11"/>
  <c r="AU2199" i="11"/>
  <c r="AV2199" i="11"/>
  <c r="AU2200" i="11"/>
  <c r="AV2200" i="11"/>
  <c r="AU2201" i="11"/>
  <c r="AV2201" i="11"/>
  <c r="AU2202" i="11"/>
  <c r="AV2202" i="11"/>
  <c r="AU2203" i="11"/>
  <c r="AV2203" i="11"/>
  <c r="AU2204" i="11"/>
  <c r="AV2204" i="11"/>
  <c r="AU2205" i="11"/>
  <c r="AV2205" i="11"/>
  <c r="AU2206" i="11"/>
  <c r="AV2206" i="11"/>
  <c r="AU2207" i="11"/>
  <c r="AV2207" i="11"/>
  <c r="AU2208" i="11"/>
  <c r="AV2208" i="11"/>
  <c r="AU2209" i="11"/>
  <c r="AV2209" i="11"/>
  <c r="AU2210" i="11"/>
  <c r="AV2210" i="11"/>
  <c r="AU2211" i="11"/>
  <c r="AV2211" i="11"/>
  <c r="AU2212" i="11"/>
  <c r="AV2212" i="11"/>
  <c r="AU2213" i="11"/>
  <c r="AV2213" i="11"/>
  <c r="AU2214" i="11"/>
  <c r="AV2214" i="11"/>
  <c r="AU2215" i="11"/>
  <c r="AV2215" i="11"/>
  <c r="AU2216" i="11"/>
  <c r="AV2216" i="11"/>
  <c r="AU2217" i="11"/>
  <c r="AV2217" i="11"/>
  <c r="AU2218" i="11"/>
  <c r="AV2218" i="11"/>
  <c r="AU2219" i="11"/>
  <c r="AV2219" i="11"/>
  <c r="AU2220" i="11"/>
  <c r="AV2220" i="11"/>
  <c r="AU2221" i="11"/>
  <c r="AV2221" i="11"/>
  <c r="AU2222" i="11"/>
  <c r="AV2222" i="11"/>
  <c r="AU2223" i="11"/>
  <c r="AV2223" i="11"/>
  <c r="AU2224" i="11"/>
  <c r="AV2224" i="11"/>
  <c r="AU2225" i="11"/>
  <c r="AV2225" i="11"/>
  <c r="AU2226" i="11"/>
  <c r="AV2226" i="11"/>
  <c r="AU2227" i="11"/>
  <c r="AV2227" i="11"/>
  <c r="AU2228" i="11"/>
  <c r="AV2228" i="11"/>
  <c r="AU2229" i="11"/>
  <c r="AV2229" i="11"/>
  <c r="AU2230" i="11"/>
  <c r="AV2230" i="11"/>
  <c r="AU2231" i="11"/>
  <c r="AV2231" i="11"/>
  <c r="AU2232" i="11"/>
  <c r="AV2232" i="11"/>
  <c r="AU2233" i="11"/>
  <c r="AV2233" i="11"/>
  <c r="AU2234" i="11"/>
  <c r="AV2234" i="11"/>
  <c r="AU2235" i="11"/>
  <c r="AV2235" i="11"/>
  <c r="AU2236" i="11"/>
  <c r="AV2236" i="11"/>
  <c r="AU2237" i="11"/>
  <c r="AV2237" i="11"/>
  <c r="AU2238" i="11"/>
  <c r="AV2238" i="11"/>
  <c r="AU2239" i="11"/>
  <c r="AV2239" i="11"/>
  <c r="AU2240" i="11"/>
  <c r="AV2240" i="11"/>
  <c r="AU2241" i="11"/>
  <c r="AV2241" i="11"/>
  <c r="AU2242" i="11"/>
  <c r="AV2242" i="11"/>
  <c r="AU2243" i="11"/>
  <c r="AV2243" i="11"/>
  <c r="AU2244" i="11"/>
  <c r="AV2244" i="11"/>
  <c r="AU2245" i="11"/>
  <c r="AV2245" i="11"/>
  <c r="AU2246" i="11"/>
  <c r="AV2246" i="11"/>
  <c r="AU2247" i="11"/>
  <c r="AV2247" i="11"/>
  <c r="AU2248" i="11"/>
  <c r="AV2248" i="11"/>
  <c r="AU2249" i="11"/>
  <c r="AV2249" i="11"/>
  <c r="AU2250" i="11"/>
  <c r="AV2250" i="11"/>
  <c r="AU2251" i="11"/>
  <c r="AV2251" i="11"/>
  <c r="AU2252" i="11"/>
  <c r="AV2252" i="11"/>
  <c r="AU2253" i="11"/>
  <c r="AV2253" i="11"/>
  <c r="AU2254" i="11"/>
  <c r="AV2254" i="11"/>
  <c r="AU2255" i="11"/>
  <c r="AV2255" i="11"/>
  <c r="AU2256" i="11"/>
  <c r="AV2256" i="11"/>
  <c r="AU2257" i="11"/>
  <c r="AV2257" i="11"/>
  <c r="AU2258" i="11"/>
  <c r="AV2258" i="11"/>
  <c r="AU2259" i="11"/>
  <c r="AV2259" i="11"/>
  <c r="AU2260" i="11"/>
  <c r="AV2260" i="11"/>
  <c r="AU2261" i="11"/>
  <c r="AV2261" i="11"/>
  <c r="AU2262" i="11"/>
  <c r="AV2262" i="11"/>
  <c r="AU2263" i="11"/>
  <c r="AV2263" i="11"/>
  <c r="AU2264" i="11"/>
  <c r="AV2264" i="11"/>
  <c r="AU2265" i="11"/>
  <c r="AV2265" i="11"/>
  <c r="AU2266" i="11"/>
  <c r="AV2266" i="11"/>
  <c r="AU2267" i="11"/>
  <c r="AV2267" i="11"/>
  <c r="AU2268" i="11"/>
  <c r="AV2268" i="11"/>
  <c r="AU2269" i="11"/>
  <c r="AV2269" i="11"/>
  <c r="AU2270" i="11"/>
  <c r="AV2270" i="11"/>
  <c r="AU2271" i="11"/>
  <c r="AV2271" i="11"/>
  <c r="AU2272" i="11"/>
  <c r="AV2272" i="11"/>
  <c r="AU2273" i="11"/>
  <c r="AV2273" i="11"/>
  <c r="AU2274" i="11"/>
  <c r="AV2274" i="11"/>
  <c r="AU2275" i="11"/>
  <c r="AV2275" i="11"/>
  <c r="AU2276" i="11"/>
  <c r="AV2276" i="11"/>
  <c r="AU2277" i="11"/>
  <c r="AV2277" i="11"/>
  <c r="AU2278" i="11"/>
  <c r="AV2278" i="11"/>
  <c r="AU2279" i="11"/>
  <c r="AV2279" i="11"/>
  <c r="AU2280" i="11"/>
  <c r="AV2280" i="11"/>
  <c r="AU2281" i="11"/>
  <c r="AV2281" i="11"/>
  <c r="AU2282" i="11"/>
  <c r="AV2282" i="11"/>
  <c r="AU2283" i="11"/>
  <c r="AV2283" i="11"/>
  <c r="AU2284" i="11"/>
  <c r="AV2284" i="11"/>
  <c r="AU2285" i="11"/>
  <c r="AV2285" i="11"/>
  <c r="AU2286" i="11"/>
  <c r="AV2286" i="11"/>
  <c r="AU2287" i="11"/>
  <c r="AV2287" i="11"/>
  <c r="AU2288" i="11"/>
  <c r="AV2288" i="11"/>
  <c r="AU2289" i="11"/>
  <c r="AV2289" i="11"/>
  <c r="AU2290" i="11"/>
  <c r="AV2290" i="11"/>
  <c r="AU2291" i="11"/>
  <c r="AV2291" i="11"/>
  <c r="AU2292" i="11"/>
  <c r="AV2292" i="11"/>
  <c r="AU2293" i="11"/>
  <c r="AV2293" i="11"/>
  <c r="AU2294" i="11"/>
  <c r="AV2294" i="11"/>
  <c r="AU2295" i="11"/>
  <c r="AV2295" i="11"/>
  <c r="AU2296" i="11"/>
  <c r="AV2296" i="11"/>
  <c r="AU2297" i="11"/>
  <c r="AV2297" i="11"/>
  <c r="AU2298" i="11"/>
  <c r="AV2298" i="11"/>
  <c r="AU2299" i="11"/>
  <c r="AV2299" i="11"/>
  <c r="AU2300" i="11"/>
  <c r="AV2300" i="11"/>
  <c r="AU2301" i="11"/>
  <c r="AV2301" i="11"/>
  <c r="AU2302" i="11"/>
  <c r="AV2302" i="11"/>
  <c r="AU2303" i="11"/>
  <c r="AV2303" i="11"/>
  <c r="AU2304" i="11"/>
  <c r="AV2304" i="11"/>
  <c r="AU2305" i="11"/>
  <c r="AV2305" i="11"/>
  <c r="AU2306" i="11"/>
  <c r="AV2306" i="11"/>
  <c r="AU2307" i="11"/>
  <c r="AV2307" i="11"/>
  <c r="AU2308" i="11"/>
  <c r="AV2308" i="11"/>
  <c r="AU2309" i="11"/>
  <c r="AV2309" i="11"/>
  <c r="AU2310" i="11"/>
  <c r="AV2310" i="11"/>
  <c r="AU2311" i="11"/>
  <c r="AV2311" i="11"/>
  <c r="AU2312" i="11"/>
  <c r="AV2312" i="11"/>
  <c r="AU2313" i="11"/>
  <c r="AV2313" i="11"/>
  <c r="AU2314" i="11"/>
  <c r="AV2314" i="11"/>
  <c r="AU2315" i="11"/>
  <c r="AV2315" i="11"/>
  <c r="AU2316" i="11"/>
  <c r="AV2316" i="11"/>
  <c r="AU2317" i="11"/>
  <c r="AV2317" i="11"/>
  <c r="AU2318" i="11"/>
  <c r="AV2318" i="11"/>
  <c r="AU2319" i="11"/>
  <c r="AV2319" i="11"/>
  <c r="AU2320" i="11"/>
  <c r="AV2320" i="11"/>
  <c r="AU2321" i="11"/>
  <c r="AV2321" i="11"/>
  <c r="AU2322" i="11"/>
  <c r="AV2322" i="11"/>
  <c r="AU2323" i="11"/>
  <c r="AV2323" i="11"/>
  <c r="AU2324" i="11"/>
  <c r="AV2324" i="11"/>
  <c r="AU2325" i="11"/>
  <c r="AV2325" i="11"/>
  <c r="AU2326" i="11"/>
  <c r="AV2326" i="11"/>
  <c r="AU2327" i="11"/>
  <c r="AV2327" i="11"/>
  <c r="AU2328" i="11"/>
  <c r="AV2328" i="11"/>
  <c r="AU2329" i="11"/>
  <c r="AV2329" i="11"/>
  <c r="AU2330" i="11"/>
  <c r="AV2330" i="11"/>
  <c r="AU2331" i="11"/>
  <c r="AV2331" i="11"/>
  <c r="AU2332" i="11"/>
  <c r="AV2332" i="11"/>
  <c r="AU2333" i="11"/>
  <c r="AV2333" i="11"/>
  <c r="AU2334" i="11"/>
  <c r="AV2334" i="11"/>
  <c r="AU2335" i="11"/>
  <c r="AV2335" i="11"/>
  <c r="AU2336" i="11"/>
  <c r="AV2336" i="11"/>
  <c r="AU2337" i="11"/>
  <c r="AV2337" i="11"/>
  <c r="AU2338" i="11"/>
  <c r="AV2338" i="11"/>
  <c r="AU2339" i="11"/>
  <c r="AV2339" i="11"/>
  <c r="AU2340" i="11"/>
  <c r="AV2340" i="11"/>
  <c r="AU2341" i="11"/>
  <c r="AV2341" i="11"/>
  <c r="AU2342" i="11"/>
  <c r="AV2342" i="11"/>
  <c r="AU2343" i="11"/>
  <c r="AV2343" i="11"/>
  <c r="AU2344" i="11"/>
  <c r="AV2344" i="11"/>
  <c r="AU2345" i="11"/>
  <c r="AV2345" i="11"/>
  <c r="AU2346" i="11"/>
  <c r="AV2346" i="11"/>
  <c r="AU2347" i="11"/>
  <c r="AV2347" i="11"/>
  <c r="AU2348" i="11"/>
  <c r="AV2348" i="11"/>
  <c r="AU2349" i="11"/>
  <c r="AV2349" i="11"/>
  <c r="AU2350" i="11"/>
  <c r="AV2350" i="11"/>
  <c r="AU2351" i="11"/>
  <c r="AV2351" i="11"/>
  <c r="AU2352" i="11"/>
  <c r="AV2352" i="11"/>
  <c r="AU2353" i="11"/>
  <c r="AV2353" i="11"/>
  <c r="AU2354" i="11"/>
  <c r="AV2354" i="11"/>
  <c r="AU2355" i="11"/>
  <c r="AV2355" i="11"/>
  <c r="AU2356" i="11"/>
  <c r="AV2356" i="11"/>
  <c r="AU2357" i="11"/>
  <c r="AV2357" i="11"/>
  <c r="AU2358" i="11"/>
  <c r="AV2358" i="11"/>
  <c r="AU2359" i="11"/>
  <c r="AV2359" i="11"/>
  <c r="AU2360" i="11"/>
  <c r="AV2360" i="11"/>
  <c r="AU2361" i="11"/>
  <c r="AV2361" i="11"/>
  <c r="AU2362" i="11"/>
  <c r="AV2362" i="11"/>
  <c r="AU2363" i="11"/>
  <c r="AV2363" i="11"/>
  <c r="AU2364" i="11"/>
  <c r="AV2364" i="11"/>
  <c r="AU2365" i="11"/>
  <c r="AV2365" i="11"/>
  <c r="AU2366" i="11"/>
  <c r="AV2366" i="11"/>
  <c r="AU2367" i="11"/>
  <c r="AV2367" i="11"/>
  <c r="AU2368" i="11"/>
  <c r="AV2368" i="11"/>
  <c r="AU2369" i="11"/>
  <c r="AV2369" i="11"/>
  <c r="AU2370" i="11"/>
  <c r="AV2370" i="11"/>
  <c r="AU2371" i="11"/>
  <c r="AV2371" i="11"/>
  <c r="AU2372" i="11"/>
  <c r="AV2372" i="11"/>
  <c r="AU2373" i="11"/>
  <c r="AV2373" i="11"/>
  <c r="AU2374" i="11"/>
  <c r="AV2374" i="11"/>
  <c r="AU2375" i="11"/>
  <c r="AV2375" i="11"/>
  <c r="AU2376" i="11"/>
  <c r="AV2376" i="11"/>
  <c r="AU2377" i="11"/>
  <c r="AV2377" i="11"/>
  <c r="AU2378" i="11"/>
  <c r="AV2378" i="11"/>
  <c r="AU2379" i="11"/>
  <c r="AV2379" i="11"/>
  <c r="AU2380" i="11"/>
  <c r="AV2380" i="11"/>
  <c r="AU2381" i="11"/>
  <c r="AV2381" i="11"/>
  <c r="AU2382" i="11"/>
  <c r="AV2382" i="11"/>
  <c r="AU2383" i="11"/>
  <c r="AV2383" i="11"/>
  <c r="AU2384" i="11"/>
  <c r="AV2384" i="11"/>
  <c r="AU2385" i="11"/>
  <c r="AV2385" i="11"/>
  <c r="AU2386" i="11"/>
  <c r="AV2386" i="11"/>
  <c r="AU2387" i="11"/>
  <c r="AV2387" i="11"/>
  <c r="AU2388" i="11"/>
  <c r="AV2388" i="11"/>
  <c r="AU2389" i="11"/>
  <c r="AV2389" i="11"/>
  <c r="AU2390" i="11"/>
  <c r="AV2390" i="11"/>
  <c r="AU2391" i="11"/>
  <c r="AV2391" i="11"/>
  <c r="AU2392" i="11"/>
  <c r="AV2392" i="11"/>
  <c r="AU2393" i="11"/>
  <c r="AV2393" i="11"/>
  <c r="AU2394" i="11"/>
  <c r="AV2394" i="11"/>
  <c r="AU2395" i="11"/>
  <c r="AV2395" i="11"/>
  <c r="AU2396" i="11"/>
  <c r="AV2396" i="11"/>
  <c r="AU2397" i="11"/>
  <c r="AV2397" i="11"/>
  <c r="AU2398" i="11"/>
  <c r="AV2398" i="11"/>
  <c r="AU2399" i="11"/>
  <c r="AV2399" i="11"/>
  <c r="AU2400" i="11"/>
  <c r="AV2400" i="11"/>
  <c r="AU2401" i="11"/>
  <c r="AV2401" i="11"/>
  <c r="AU2402" i="11"/>
  <c r="AV2402" i="11"/>
  <c r="AU2403" i="11"/>
  <c r="AV2403" i="11"/>
  <c r="AU2404" i="11"/>
  <c r="AV2404" i="11"/>
  <c r="AU2405" i="11"/>
  <c r="AV2405" i="11"/>
  <c r="AU2406" i="11"/>
  <c r="AV2406" i="11"/>
  <c r="AU2407" i="11"/>
  <c r="AV2407" i="11"/>
  <c r="AU2408" i="11"/>
  <c r="AV2408" i="11"/>
  <c r="AU2409" i="11"/>
  <c r="AV2409" i="11"/>
  <c r="AU2410" i="11"/>
  <c r="AV2410" i="11"/>
  <c r="AU2411" i="11"/>
  <c r="AV2411" i="11"/>
  <c r="AU2412" i="11"/>
  <c r="AV2412" i="11"/>
  <c r="AU2413" i="11"/>
  <c r="AV2413" i="11"/>
  <c r="AU2414" i="11"/>
  <c r="AV2414" i="11"/>
  <c r="AU2415" i="11"/>
  <c r="AV2415" i="11"/>
  <c r="AU2416" i="11"/>
  <c r="AV2416" i="11"/>
  <c r="AU2417" i="11"/>
  <c r="AV2417" i="11"/>
  <c r="AU2418" i="11"/>
  <c r="AV2418" i="11"/>
  <c r="AU2419" i="11"/>
  <c r="AV2419" i="11"/>
  <c r="AU2420" i="11"/>
  <c r="AV2420" i="11"/>
  <c r="AU2421" i="11"/>
  <c r="AV2421" i="11"/>
  <c r="AU2422" i="11"/>
  <c r="AV2422" i="11"/>
  <c r="AU2423" i="11"/>
  <c r="AV2423" i="11"/>
  <c r="AU2424" i="11"/>
  <c r="AV2424" i="11"/>
  <c r="AU2425" i="11"/>
  <c r="AV2425" i="11"/>
  <c r="AU2426" i="11"/>
  <c r="AV2426" i="11"/>
  <c r="AU2427" i="11"/>
  <c r="AV2427" i="11"/>
  <c r="AU2428" i="11"/>
  <c r="AV2428" i="11"/>
  <c r="AU2429" i="11"/>
  <c r="AV2429" i="11"/>
  <c r="AU2430" i="11"/>
  <c r="AV2430" i="11"/>
  <c r="AU2431" i="11"/>
  <c r="AV2431" i="11"/>
  <c r="AU2432" i="11"/>
  <c r="AV2432" i="11"/>
  <c r="AU2433" i="11"/>
  <c r="AV2433" i="11"/>
  <c r="AU2434" i="11"/>
  <c r="AV2434" i="11"/>
  <c r="AU2435" i="11"/>
  <c r="AV2435" i="11"/>
  <c r="AU2436" i="11"/>
  <c r="AV2436" i="11"/>
  <c r="AU2437" i="11"/>
  <c r="AV2437" i="11"/>
  <c r="AU2438" i="11"/>
  <c r="AV2438" i="11"/>
  <c r="AU2439" i="11"/>
  <c r="AV2439" i="11"/>
  <c r="AU2440" i="11"/>
  <c r="AV2440" i="11"/>
  <c r="AU2441" i="11"/>
  <c r="AV2441" i="11"/>
  <c r="AU2442" i="11"/>
  <c r="AV2442" i="11"/>
  <c r="AU2443" i="11"/>
  <c r="AV2443" i="11"/>
  <c r="AU2444" i="11"/>
  <c r="AV2444" i="11"/>
  <c r="AU2445" i="11"/>
  <c r="AV2445" i="11"/>
  <c r="AU2446" i="11"/>
  <c r="AV2446" i="11"/>
  <c r="AU2447" i="11"/>
  <c r="AV2447" i="11"/>
  <c r="AU2448" i="11"/>
  <c r="AV2448" i="11"/>
  <c r="AU2449" i="11"/>
  <c r="AV2449" i="11"/>
  <c r="AU2450" i="11"/>
  <c r="AV2450" i="11"/>
  <c r="AU2451" i="11"/>
  <c r="AV2451" i="11"/>
  <c r="AU2452" i="11"/>
  <c r="AV2452" i="11"/>
  <c r="AU2453" i="11"/>
  <c r="AV2453" i="11"/>
  <c r="AU2454" i="11"/>
  <c r="AV2454" i="11"/>
  <c r="AU2455" i="11"/>
  <c r="AV2455" i="11"/>
  <c r="AU2456" i="11"/>
  <c r="AV2456" i="11"/>
  <c r="AU2457" i="11"/>
  <c r="AV2457" i="11"/>
  <c r="AU2458" i="11"/>
  <c r="AV2458" i="11"/>
  <c r="AU2459" i="11"/>
  <c r="AV2459" i="11"/>
  <c r="AU2460" i="11"/>
  <c r="AV2460" i="11"/>
  <c r="AU2461" i="11"/>
  <c r="AV2461" i="11"/>
  <c r="AU2462" i="11"/>
  <c r="AV2462" i="11"/>
  <c r="AU2463" i="11"/>
  <c r="AV2463" i="11"/>
  <c r="AU2464" i="11"/>
  <c r="AV2464" i="11"/>
  <c r="AU2465" i="11"/>
  <c r="AV2465" i="11"/>
  <c r="AU2466" i="11"/>
  <c r="AV2466" i="11"/>
  <c r="AU2467" i="11"/>
  <c r="AV2467" i="11"/>
  <c r="AU2468" i="11"/>
  <c r="AV2468" i="11"/>
  <c r="AU2469" i="11"/>
  <c r="AV2469" i="11"/>
  <c r="AU2470" i="11"/>
  <c r="AV2470" i="11"/>
  <c r="AU2471" i="11"/>
  <c r="AV2471" i="11"/>
  <c r="AU2472" i="11"/>
  <c r="AV2472" i="11"/>
  <c r="AU2473" i="11"/>
  <c r="AV2473" i="11"/>
  <c r="AU2474" i="11"/>
  <c r="AV2474" i="11"/>
  <c r="AU2475" i="11"/>
  <c r="AV2475" i="11"/>
  <c r="AU2476" i="11"/>
  <c r="AV2476" i="11"/>
  <c r="AU2477" i="11"/>
  <c r="AV2477" i="11"/>
  <c r="AU2478" i="11"/>
  <c r="AV2478" i="11"/>
  <c r="AU2479" i="11"/>
  <c r="AV2479" i="11"/>
  <c r="AU2480" i="11"/>
  <c r="AV2480" i="11"/>
  <c r="AU2481" i="11"/>
  <c r="AV2481" i="11"/>
  <c r="AU2482" i="11"/>
  <c r="AV2482" i="11"/>
  <c r="AU2483" i="11"/>
  <c r="AV2483" i="11"/>
  <c r="AU2484" i="11"/>
  <c r="AV2484" i="11"/>
  <c r="AU2485" i="11"/>
  <c r="AV2485" i="11"/>
  <c r="AU2486" i="11"/>
  <c r="AV2486" i="11"/>
  <c r="AU2487" i="11"/>
  <c r="AV2487" i="11"/>
  <c r="AU2488" i="11"/>
  <c r="AV2488" i="11"/>
  <c r="AU2489" i="11"/>
  <c r="AV2489" i="11"/>
  <c r="AU2490" i="11"/>
  <c r="AV2490" i="11"/>
  <c r="AU2491" i="11"/>
  <c r="AV2491" i="11"/>
  <c r="AU2492" i="11"/>
  <c r="AV2492" i="11"/>
  <c r="AU2493" i="11"/>
  <c r="AV2493" i="11"/>
  <c r="AU2494" i="11"/>
  <c r="AV2494" i="11"/>
  <c r="AU2495" i="11"/>
  <c r="AV2495" i="11"/>
  <c r="AU2496" i="11"/>
  <c r="AV2496" i="11"/>
  <c r="AU2497" i="11"/>
  <c r="AV2497" i="11"/>
  <c r="AU2498" i="11"/>
  <c r="AV2498" i="11"/>
  <c r="AU2499" i="11"/>
  <c r="AV2499" i="11"/>
  <c r="AU2500" i="11"/>
  <c r="AV2500" i="11"/>
  <c r="AU2501" i="11"/>
  <c r="AV2501" i="11"/>
  <c r="AU2502" i="11"/>
  <c r="AV2502" i="11"/>
  <c r="AU2503" i="11"/>
  <c r="AV2503" i="11"/>
  <c r="AU2504" i="11"/>
  <c r="AV2504" i="11"/>
  <c r="AU2505" i="11"/>
  <c r="AV2505" i="11"/>
  <c r="AU2506" i="11"/>
  <c r="AV2506" i="11"/>
  <c r="AU2507" i="11"/>
  <c r="AV2507" i="11"/>
  <c r="AU2508" i="11"/>
  <c r="AV2508" i="11"/>
  <c r="AU2509" i="11"/>
  <c r="AV2509" i="11"/>
  <c r="AU2510" i="11"/>
  <c r="AV2510" i="11"/>
  <c r="AU2511" i="11"/>
  <c r="AV2511" i="11"/>
  <c r="AU2512" i="11"/>
  <c r="AV2512" i="11"/>
  <c r="AU2513" i="11"/>
  <c r="AV2513" i="11"/>
  <c r="AU2514" i="11"/>
  <c r="AV2514" i="11"/>
  <c r="AU2515" i="11"/>
  <c r="AV2515" i="11"/>
  <c r="AU2516" i="11"/>
  <c r="AV2516" i="11"/>
  <c r="AU2517" i="11"/>
  <c r="AV2517" i="11"/>
  <c r="AU2518" i="11"/>
  <c r="AV2518" i="11"/>
  <c r="AU2519" i="11"/>
  <c r="AV2519" i="11"/>
  <c r="AU2520" i="11"/>
  <c r="AV2520" i="11"/>
  <c r="AU2521" i="11"/>
  <c r="AV2521" i="11"/>
  <c r="AU2522" i="11"/>
  <c r="AV2522" i="11"/>
  <c r="AU2523" i="11"/>
  <c r="AV2523" i="11"/>
  <c r="AU2524" i="11"/>
  <c r="AV2524" i="11"/>
  <c r="AU2525" i="11"/>
  <c r="AV2525" i="11"/>
  <c r="AU2526" i="11"/>
  <c r="AV2526" i="11"/>
  <c r="AU2527" i="11"/>
  <c r="AV2527" i="11"/>
  <c r="AU2528" i="11"/>
  <c r="AV2528" i="11"/>
  <c r="AU2529" i="11"/>
  <c r="AV2529" i="11"/>
  <c r="AU2530" i="11"/>
  <c r="AV2530" i="11"/>
  <c r="AU2531" i="11"/>
  <c r="AV2531" i="11"/>
  <c r="AU2532" i="11"/>
  <c r="AV2532" i="11"/>
  <c r="AU2533" i="11"/>
  <c r="AV2533" i="11"/>
  <c r="AU2534" i="11"/>
  <c r="AV2534" i="11"/>
  <c r="AU2535" i="11"/>
  <c r="AV2535" i="11"/>
  <c r="AU2536" i="11"/>
  <c r="AV2536" i="11"/>
  <c r="AU2537" i="11"/>
  <c r="AV2537" i="11"/>
  <c r="AU2538" i="11"/>
  <c r="AV2538" i="11"/>
  <c r="AU2539" i="11"/>
  <c r="AV2539" i="11"/>
  <c r="AU2540" i="11"/>
  <c r="AV2540" i="11"/>
  <c r="AU2541" i="11"/>
  <c r="AV2541" i="11"/>
  <c r="AU2542" i="11"/>
  <c r="AV2542" i="11"/>
  <c r="AU2543" i="11"/>
  <c r="AV2543" i="11"/>
  <c r="AU2544" i="11"/>
  <c r="AV2544" i="11"/>
  <c r="AU2545" i="11"/>
  <c r="AV2545" i="11"/>
  <c r="AU2546" i="11"/>
  <c r="AV2546" i="11"/>
  <c r="AU2547" i="11"/>
  <c r="AV2547" i="11"/>
  <c r="AU2548" i="11"/>
  <c r="AV2548" i="11"/>
  <c r="AU2549" i="11"/>
  <c r="AV2549" i="11"/>
  <c r="AU2550" i="11"/>
  <c r="AV2550" i="11"/>
  <c r="AU2551" i="11"/>
  <c r="AV2551" i="11"/>
  <c r="AU2552" i="11"/>
  <c r="AV2552" i="11"/>
  <c r="AU2553" i="11"/>
  <c r="AV2553" i="11"/>
  <c r="AU2554" i="11"/>
  <c r="AV2554" i="11"/>
  <c r="AU2555" i="11"/>
  <c r="AV2555" i="11"/>
  <c r="AU2556" i="11"/>
  <c r="AV2556" i="11"/>
  <c r="AU2557" i="11"/>
  <c r="AV2557" i="11"/>
  <c r="AU2558" i="11"/>
  <c r="AV2558" i="11"/>
  <c r="AU2559" i="11"/>
  <c r="AV2559" i="11"/>
  <c r="AU2560" i="11"/>
  <c r="AV2560" i="11"/>
  <c r="AU2561" i="11"/>
  <c r="AV2561" i="11"/>
  <c r="AU2562" i="11"/>
  <c r="AV2562" i="11"/>
  <c r="AU2563" i="11"/>
  <c r="AV2563" i="11"/>
  <c r="AU2564" i="11"/>
  <c r="AV2564" i="11"/>
  <c r="AU2565" i="11"/>
  <c r="AV2565" i="11"/>
  <c r="AU2566" i="11"/>
  <c r="AV2566" i="11"/>
  <c r="AU2567" i="11"/>
  <c r="AV2567" i="11"/>
  <c r="AU2568" i="11"/>
  <c r="AV2568" i="11"/>
  <c r="AU2569" i="11"/>
  <c r="AV2569" i="11"/>
  <c r="AU2570" i="11"/>
  <c r="AV2570" i="11"/>
  <c r="AU2571" i="11"/>
  <c r="AV2571" i="11"/>
  <c r="AU2572" i="11"/>
  <c r="AV2572" i="11"/>
  <c r="AU2573" i="11"/>
  <c r="AV2573" i="11"/>
  <c r="AU2574" i="11"/>
  <c r="AV2574" i="11"/>
  <c r="AU2575" i="11"/>
  <c r="AV2575" i="11"/>
  <c r="AU2576" i="11"/>
  <c r="AV2576" i="11"/>
  <c r="AU2577" i="11"/>
  <c r="AV2577" i="11"/>
  <c r="AU2578" i="11"/>
  <c r="AV2578" i="11"/>
  <c r="AU2579" i="11"/>
  <c r="AV2579" i="11"/>
  <c r="AU2580" i="11"/>
  <c r="AV2580" i="11"/>
  <c r="AU2581" i="11"/>
  <c r="AV2581" i="11"/>
  <c r="AU2582" i="11"/>
  <c r="AV2582" i="11"/>
  <c r="AU2583" i="11"/>
  <c r="AV2583" i="11"/>
  <c r="AU2584" i="11"/>
  <c r="AV2584" i="11"/>
  <c r="AU2585" i="11"/>
  <c r="AV2585" i="11"/>
  <c r="AU2586" i="11"/>
  <c r="AV2586" i="11"/>
  <c r="AU2587" i="11"/>
  <c r="AV2587" i="11"/>
  <c r="AU2588" i="11"/>
  <c r="AV2588" i="11"/>
  <c r="AU2589" i="11"/>
  <c r="AV2589" i="11"/>
  <c r="AU2590" i="11"/>
  <c r="AV2590" i="11"/>
  <c r="AU2591" i="11"/>
  <c r="AV2591" i="11"/>
  <c r="AU2592" i="11"/>
  <c r="AV2592" i="11"/>
  <c r="AU2593" i="11"/>
  <c r="AV2593" i="11"/>
  <c r="AU2594" i="11"/>
  <c r="AV2594" i="11"/>
  <c r="AU2595" i="11"/>
  <c r="AV2595" i="11"/>
  <c r="AU2596" i="11"/>
  <c r="AV2596" i="11"/>
  <c r="AU2597" i="11"/>
  <c r="AV2597" i="11"/>
  <c r="AU2598" i="11"/>
  <c r="AV2598" i="11"/>
  <c r="AU2599" i="11"/>
  <c r="AV2599" i="11"/>
  <c r="AU2600" i="11"/>
  <c r="AV2600" i="11"/>
  <c r="AU2601" i="11"/>
  <c r="AV2601" i="11"/>
  <c r="AU2602" i="11"/>
  <c r="AV2602" i="11"/>
  <c r="AU2603" i="11"/>
  <c r="AV2603" i="11"/>
  <c r="AU2604" i="11"/>
  <c r="AV2604" i="11"/>
  <c r="AU2605" i="11"/>
  <c r="AV2605" i="11"/>
  <c r="AU2606" i="11"/>
  <c r="AV2606" i="11"/>
  <c r="AU2607" i="11"/>
  <c r="AV2607" i="11"/>
  <c r="AU2608" i="11"/>
  <c r="AV2608" i="11"/>
  <c r="AU2609" i="11"/>
  <c r="AV2609" i="11"/>
  <c r="AU2610" i="11"/>
  <c r="AV2610" i="11"/>
  <c r="AU2611" i="11"/>
  <c r="AV2611" i="11"/>
  <c r="AU2612" i="11"/>
  <c r="AV2612" i="11"/>
  <c r="AU2613" i="11"/>
  <c r="AV2613" i="11"/>
  <c r="AU2614" i="11"/>
  <c r="AV2614" i="11"/>
  <c r="AU2615" i="11"/>
  <c r="AV2615" i="11"/>
  <c r="AU2616" i="11"/>
  <c r="AV2616" i="11"/>
  <c r="AU2617" i="11"/>
  <c r="AV2617" i="11"/>
  <c r="AU2618" i="11"/>
  <c r="AV2618" i="11"/>
  <c r="AU2619" i="11"/>
  <c r="AV2619" i="11"/>
  <c r="AU2620" i="11"/>
  <c r="AV2620" i="11"/>
  <c r="AU2621" i="11"/>
  <c r="AV2621" i="11"/>
  <c r="AU2622" i="11"/>
  <c r="AV2622" i="11"/>
  <c r="AU2623" i="11"/>
  <c r="AV2623" i="11"/>
  <c r="AU2624" i="11"/>
  <c r="AV2624" i="11"/>
  <c r="AU2625" i="11"/>
  <c r="AV2625" i="11"/>
  <c r="AU2626" i="11"/>
  <c r="AV2626" i="11"/>
  <c r="AU2627" i="11"/>
  <c r="AV2627" i="11"/>
  <c r="AU2628" i="11"/>
  <c r="AV2628" i="11"/>
  <c r="AU2629" i="11"/>
  <c r="AV2629" i="11"/>
  <c r="AU2630" i="11"/>
  <c r="AV2630" i="11"/>
  <c r="AU2631" i="11"/>
  <c r="AV2631" i="11"/>
  <c r="AU2632" i="11"/>
  <c r="AV2632" i="11"/>
  <c r="AU2633" i="11"/>
  <c r="AV2633" i="11"/>
  <c r="AU2634" i="11"/>
  <c r="AV2634" i="11"/>
  <c r="AU2635" i="11"/>
  <c r="AV2635" i="11"/>
  <c r="AU2636" i="11"/>
  <c r="AV2636" i="11"/>
  <c r="AU2637" i="11"/>
  <c r="AV2637" i="11"/>
  <c r="AU2638" i="11"/>
  <c r="AV2638" i="11"/>
  <c r="AU2639" i="11"/>
  <c r="AV2639" i="11"/>
  <c r="AU2640" i="11"/>
  <c r="AV2640" i="11"/>
  <c r="AU2641" i="11"/>
  <c r="AV2641" i="11"/>
  <c r="AU2642" i="11"/>
  <c r="AV2642" i="11"/>
  <c r="AU2643" i="11"/>
  <c r="AV2643" i="11"/>
  <c r="AU2644" i="11"/>
  <c r="AV2644" i="11"/>
  <c r="AU2645" i="11"/>
  <c r="AV2645" i="11"/>
  <c r="AU2646" i="11"/>
  <c r="AV2646" i="11"/>
  <c r="AU2647" i="11"/>
  <c r="AV2647" i="11"/>
  <c r="AU2648" i="11"/>
  <c r="AV2648" i="11"/>
  <c r="AU2649" i="11"/>
  <c r="AV2649" i="11"/>
  <c r="AU2650" i="11"/>
  <c r="AV2650" i="11"/>
  <c r="AU2651" i="11"/>
  <c r="AV2651" i="11"/>
  <c r="AU2652" i="11"/>
  <c r="AV2652" i="11"/>
  <c r="AU2653" i="11"/>
  <c r="AV2653" i="11"/>
  <c r="AU2654" i="11"/>
  <c r="AV2654" i="11"/>
  <c r="AU2655" i="11"/>
  <c r="AV2655" i="11"/>
  <c r="AU2656" i="11"/>
  <c r="AV2656" i="11"/>
  <c r="AU2657" i="11"/>
  <c r="AV2657" i="11"/>
  <c r="AU2658" i="11"/>
  <c r="AV2658" i="11"/>
  <c r="AU2659" i="11"/>
  <c r="AV2659" i="11"/>
  <c r="AU2660" i="11"/>
  <c r="AV2660" i="11"/>
  <c r="AU2661" i="11"/>
  <c r="AV2661" i="11"/>
  <c r="AU2662" i="11"/>
  <c r="AV2662" i="11"/>
  <c r="AU2663" i="11"/>
  <c r="AV2663" i="11"/>
  <c r="AU2664" i="11"/>
  <c r="AV2664" i="11"/>
  <c r="AU2665" i="11"/>
  <c r="AV2665" i="11"/>
  <c r="AU2666" i="11"/>
  <c r="AV2666" i="11"/>
  <c r="AU2667" i="11"/>
  <c r="AV2667" i="11"/>
  <c r="AU2668" i="11"/>
  <c r="AV2668" i="11"/>
  <c r="AU2669" i="11"/>
  <c r="AV2669" i="11"/>
  <c r="AU2670" i="11"/>
  <c r="AV2670" i="11"/>
  <c r="AU2671" i="11"/>
  <c r="AV2671" i="11"/>
  <c r="AU2672" i="11"/>
  <c r="AV2672" i="11"/>
  <c r="AU2673" i="11"/>
  <c r="AV2673" i="11"/>
  <c r="AU2674" i="11"/>
  <c r="AV2674" i="11"/>
  <c r="AU2675" i="11"/>
  <c r="AV2675" i="11"/>
  <c r="AU2676" i="11"/>
  <c r="AV2676" i="11"/>
  <c r="AU2677" i="11"/>
  <c r="AV2677" i="11"/>
  <c r="AU2678" i="11"/>
  <c r="AV2678" i="11"/>
  <c r="AU2679" i="11"/>
  <c r="AV2679" i="11"/>
  <c r="AU2680" i="11"/>
  <c r="AV2680" i="11"/>
  <c r="AU2681" i="11"/>
  <c r="AV2681" i="11"/>
  <c r="AU2682" i="11"/>
  <c r="AV2682" i="11"/>
  <c r="AU2683" i="11"/>
  <c r="AV2683" i="11"/>
  <c r="AU2684" i="11"/>
  <c r="AV2684" i="11"/>
  <c r="AU2685" i="11"/>
  <c r="AV2685" i="11"/>
  <c r="AU2686" i="11"/>
  <c r="AV2686" i="11"/>
  <c r="AU2687" i="11"/>
  <c r="AV2687" i="11"/>
  <c r="AU2688" i="11"/>
  <c r="AV2688" i="11"/>
  <c r="AU2689" i="11"/>
  <c r="AV2689" i="11"/>
  <c r="AU2690" i="11"/>
  <c r="AV2690" i="11"/>
  <c r="AU2691" i="11"/>
  <c r="AV2691" i="11"/>
  <c r="AU2692" i="11"/>
  <c r="AV2692" i="11"/>
  <c r="AU2693" i="11"/>
  <c r="AV2693" i="11"/>
  <c r="AU2694" i="11"/>
  <c r="AV2694" i="11"/>
  <c r="AU2695" i="11"/>
  <c r="AV2695" i="11"/>
  <c r="AU2696" i="11"/>
  <c r="AV2696" i="11"/>
  <c r="AU2697" i="11"/>
  <c r="AV2697" i="11"/>
  <c r="AU2698" i="11"/>
  <c r="AV2698" i="11"/>
  <c r="AU2699" i="11"/>
  <c r="AV2699" i="11"/>
  <c r="AU2700" i="11"/>
  <c r="AV2700" i="11"/>
  <c r="AU2701" i="11"/>
  <c r="AV2701" i="11"/>
  <c r="AU2702" i="11"/>
  <c r="AV2702" i="11"/>
  <c r="AU2703" i="11"/>
  <c r="AV2703" i="11"/>
  <c r="AU2704" i="11"/>
  <c r="AV2704" i="11"/>
  <c r="AU2705" i="11"/>
  <c r="AV2705" i="11"/>
  <c r="AU2706" i="11"/>
  <c r="AV2706" i="11"/>
  <c r="AU2707" i="11"/>
  <c r="AV2707" i="11"/>
  <c r="AU2708" i="11"/>
  <c r="AV2708" i="11"/>
  <c r="AU2709" i="11"/>
  <c r="AV2709" i="11"/>
  <c r="AU2710" i="11"/>
  <c r="AV2710" i="11"/>
  <c r="AU2711" i="11"/>
  <c r="AV2711" i="11"/>
  <c r="AU2712" i="11"/>
  <c r="AV2712" i="11"/>
  <c r="AU2713" i="11"/>
  <c r="AV2713" i="11"/>
  <c r="AU2714" i="11"/>
  <c r="AV2714" i="11"/>
  <c r="AU2715" i="11"/>
  <c r="AV2715" i="11"/>
  <c r="AU2716" i="11"/>
  <c r="AV2716" i="11"/>
  <c r="AU2717" i="11"/>
  <c r="AV2717" i="11"/>
  <c r="AU2718" i="11"/>
  <c r="AV2718" i="11"/>
  <c r="AU2719" i="11"/>
  <c r="AV2719" i="11"/>
  <c r="AU2720" i="11"/>
  <c r="AV2720" i="11"/>
  <c r="AU2721" i="11"/>
  <c r="AV2721" i="11"/>
  <c r="AU2722" i="11"/>
  <c r="AV2722" i="11"/>
  <c r="AU2723" i="11"/>
  <c r="AV2723" i="11"/>
  <c r="AU2724" i="11"/>
  <c r="AV2724" i="11"/>
  <c r="AU2725" i="11"/>
  <c r="AV2725" i="11"/>
  <c r="AU2726" i="11"/>
  <c r="AV2726" i="11"/>
  <c r="AU2727" i="11"/>
  <c r="AV2727" i="11"/>
  <c r="AU2728" i="11"/>
  <c r="AV2728" i="11"/>
  <c r="AU2729" i="11"/>
  <c r="AV2729" i="11"/>
  <c r="AU2730" i="11"/>
  <c r="AV2730" i="11"/>
  <c r="AU2731" i="11"/>
  <c r="AV2731" i="11"/>
  <c r="AU2732" i="11"/>
  <c r="AV2732" i="11"/>
  <c r="AU2733" i="11"/>
  <c r="AV2733" i="11"/>
  <c r="AU2734" i="11"/>
  <c r="AV2734" i="11"/>
  <c r="AU2735" i="11"/>
  <c r="AV2735" i="11"/>
  <c r="AU2736" i="11"/>
  <c r="AV2736" i="11"/>
  <c r="AU2737" i="11"/>
  <c r="AV2737" i="11"/>
  <c r="AU2738" i="11"/>
  <c r="AV2738" i="11"/>
  <c r="AU2739" i="11"/>
  <c r="AV2739" i="11"/>
  <c r="AU2740" i="11"/>
  <c r="AV2740" i="11"/>
  <c r="AU2741" i="11"/>
  <c r="AV2741" i="11"/>
  <c r="AU2742" i="11"/>
  <c r="AV2742" i="11"/>
  <c r="AU2743" i="11"/>
  <c r="AV2743" i="11"/>
  <c r="AU2744" i="11"/>
  <c r="AV2744" i="11"/>
  <c r="AU2745" i="11"/>
  <c r="AV2745" i="11"/>
  <c r="AU2746" i="11"/>
  <c r="AV2746" i="11"/>
  <c r="AU2747" i="11"/>
  <c r="AV2747" i="11"/>
  <c r="AU2748" i="11"/>
  <c r="AV2748" i="11"/>
  <c r="AU2749" i="11"/>
  <c r="AV2749" i="11"/>
  <c r="AU2750" i="11"/>
  <c r="AV2750" i="11"/>
  <c r="AU2751" i="11"/>
  <c r="AV2751" i="11"/>
  <c r="AU2752" i="11"/>
  <c r="AV2752" i="11"/>
  <c r="AU2753" i="11"/>
  <c r="AV2753" i="11"/>
  <c r="AU2754" i="11"/>
  <c r="AV2754" i="11"/>
  <c r="AU2755" i="11"/>
  <c r="AV2755" i="11"/>
  <c r="AU2756" i="11"/>
  <c r="AV2756" i="11"/>
  <c r="AU2757" i="11"/>
  <c r="AV2757" i="11"/>
  <c r="AU2758" i="11"/>
  <c r="AV2758" i="11"/>
  <c r="AU2759" i="11"/>
  <c r="AV2759" i="11"/>
  <c r="AU2760" i="11"/>
  <c r="AV2760" i="11"/>
  <c r="AU2761" i="11"/>
  <c r="AV2761" i="11"/>
  <c r="AU2762" i="11"/>
  <c r="AV2762" i="11"/>
  <c r="AU2763" i="11"/>
  <c r="AV2763" i="11"/>
  <c r="AU2764" i="11"/>
  <c r="AV2764" i="11"/>
  <c r="AU2765" i="11"/>
  <c r="AV2765" i="11"/>
  <c r="AU2766" i="11"/>
  <c r="AV2766" i="11"/>
  <c r="AU2767" i="11"/>
  <c r="AV2767" i="11"/>
  <c r="AU2768" i="11"/>
  <c r="AV2768" i="11"/>
  <c r="AU2769" i="11"/>
  <c r="AV2769" i="11"/>
  <c r="AU2770" i="11"/>
  <c r="AV2770" i="11"/>
  <c r="AU2771" i="11"/>
  <c r="AV2771" i="11"/>
  <c r="AU2772" i="11"/>
  <c r="AV2772" i="11"/>
  <c r="AU2773" i="11"/>
  <c r="AV2773" i="11"/>
  <c r="AU2774" i="11"/>
  <c r="AV2774" i="11"/>
  <c r="AU2775" i="11"/>
  <c r="AV2775" i="11"/>
  <c r="AU2776" i="11"/>
  <c r="AV2776" i="11"/>
  <c r="AU2777" i="11"/>
  <c r="AV2777" i="11"/>
  <c r="AU2778" i="11"/>
  <c r="AV2778" i="11"/>
  <c r="AU2779" i="11"/>
  <c r="AV2779" i="11"/>
  <c r="AU2780" i="11"/>
  <c r="AV2780" i="11"/>
  <c r="AU2781" i="11"/>
  <c r="AV2781" i="11"/>
  <c r="AU2782" i="11"/>
  <c r="AV2782" i="11"/>
  <c r="AU2783" i="11"/>
  <c r="AV2783" i="11"/>
  <c r="AU2784" i="11"/>
  <c r="AV2784" i="11"/>
  <c r="AU2785" i="11"/>
  <c r="AV2785" i="11"/>
  <c r="AU2786" i="11"/>
  <c r="AV2786" i="11"/>
  <c r="AU2787" i="11"/>
  <c r="AV2787" i="11"/>
  <c r="AU2788" i="11"/>
  <c r="AV2788" i="11"/>
  <c r="AU2789" i="11"/>
  <c r="AV2789" i="11"/>
  <c r="AU2790" i="11"/>
  <c r="AV2790" i="11"/>
  <c r="AU2791" i="11"/>
  <c r="AV2791" i="11"/>
  <c r="AU2792" i="11"/>
  <c r="AV2792" i="11"/>
  <c r="AU2793" i="11"/>
  <c r="AV2793" i="11"/>
  <c r="AU2794" i="11"/>
  <c r="AV2794" i="11"/>
  <c r="AU2795" i="11"/>
  <c r="AV2795" i="11"/>
  <c r="AU2796" i="11"/>
  <c r="AV2796" i="11"/>
  <c r="AU2797" i="11"/>
  <c r="AV2797" i="11"/>
  <c r="AU2798" i="11"/>
  <c r="AV2798" i="11"/>
  <c r="AU2799" i="11"/>
  <c r="AV2799" i="11"/>
  <c r="AU2800" i="11"/>
  <c r="AV2800" i="11"/>
  <c r="AU2801" i="11"/>
  <c r="AV2801" i="11"/>
  <c r="AU2802" i="11"/>
  <c r="AV2802" i="11"/>
  <c r="AU2803" i="11"/>
  <c r="AV2803" i="11"/>
  <c r="AU2804" i="11"/>
  <c r="AV2804" i="11"/>
  <c r="AU2805" i="11"/>
  <c r="AV2805" i="11"/>
  <c r="AU2806" i="11"/>
  <c r="AV2806" i="11"/>
  <c r="AU2807" i="11"/>
  <c r="AV2807" i="11"/>
  <c r="AU2808" i="11"/>
  <c r="AV2808" i="11"/>
  <c r="AU2809" i="11"/>
  <c r="AV2809" i="11"/>
  <c r="AU2810" i="11"/>
  <c r="AV2810" i="11"/>
  <c r="AU2811" i="11"/>
  <c r="AV2811" i="11"/>
  <c r="AU2812" i="11"/>
  <c r="AV2812" i="11"/>
  <c r="AU2813" i="11"/>
  <c r="AV2813" i="11"/>
  <c r="AU2814" i="11"/>
  <c r="AV2814" i="11"/>
  <c r="AU2815" i="11"/>
  <c r="AV2815" i="11"/>
  <c r="AU2816" i="11"/>
  <c r="AV2816" i="11"/>
  <c r="AU2817" i="11"/>
  <c r="AV2817" i="11"/>
  <c r="AU2818" i="11"/>
  <c r="AV2818" i="11"/>
  <c r="AU2819" i="11"/>
  <c r="AV2819" i="11"/>
  <c r="AU2820" i="11"/>
  <c r="AV2820" i="11"/>
  <c r="AU2821" i="11"/>
  <c r="AV2821" i="11"/>
  <c r="AU2822" i="11"/>
  <c r="AV2822" i="11"/>
  <c r="AU2823" i="11"/>
  <c r="AV2823" i="11"/>
  <c r="AU2824" i="11"/>
  <c r="AV2824" i="11"/>
  <c r="AU2825" i="11"/>
  <c r="AV2825" i="11"/>
  <c r="AU2826" i="11"/>
  <c r="AV2826" i="11"/>
  <c r="AU2827" i="11"/>
  <c r="AV2827" i="11"/>
  <c r="AU2828" i="11"/>
  <c r="AV2828" i="11"/>
  <c r="AU2829" i="11"/>
  <c r="AV2829" i="11"/>
  <c r="AU2830" i="11"/>
  <c r="AV2830" i="11"/>
  <c r="AU2831" i="11"/>
  <c r="AV2831" i="11"/>
  <c r="AU2832" i="11"/>
  <c r="AV2832" i="11"/>
  <c r="AU2833" i="11"/>
  <c r="AV2833" i="11"/>
  <c r="AU2834" i="11"/>
  <c r="AV2834" i="11"/>
  <c r="AU2835" i="11"/>
  <c r="AV2835" i="11"/>
  <c r="AU2836" i="11"/>
  <c r="AV2836" i="11"/>
  <c r="AU2837" i="11"/>
  <c r="AV2837" i="11"/>
  <c r="AU2838" i="11"/>
  <c r="AV2838" i="11"/>
  <c r="AU2839" i="11"/>
  <c r="AV2839" i="11"/>
  <c r="AU2840" i="11"/>
  <c r="AV2840" i="11"/>
  <c r="AU2841" i="11"/>
  <c r="AV2841" i="11"/>
  <c r="AU2842" i="11"/>
  <c r="AV2842" i="11"/>
  <c r="AU2843" i="11"/>
  <c r="AV2843" i="11"/>
  <c r="AU2844" i="11"/>
  <c r="AV2844" i="11"/>
  <c r="AU2845" i="11"/>
  <c r="AV2845" i="11"/>
  <c r="AU2846" i="11"/>
  <c r="AV2846" i="11"/>
  <c r="AU2847" i="11"/>
  <c r="AV2847" i="11"/>
  <c r="AU2848" i="11"/>
  <c r="AV2848" i="11"/>
  <c r="AU2849" i="11"/>
  <c r="AV2849" i="11"/>
  <c r="AU2850" i="11"/>
  <c r="AV2850" i="11"/>
  <c r="AU2851" i="11"/>
  <c r="AV2851" i="11"/>
  <c r="AU2852" i="11"/>
  <c r="AV2852" i="11"/>
  <c r="AU2853" i="11"/>
  <c r="AV2853" i="11"/>
  <c r="AU2854" i="11"/>
  <c r="AV2854" i="11"/>
  <c r="AU2855" i="11"/>
  <c r="AV2855" i="11"/>
  <c r="AU2856" i="11"/>
  <c r="AV2856" i="11"/>
  <c r="AU2857" i="11"/>
  <c r="AV2857" i="11"/>
  <c r="AU2858" i="11"/>
  <c r="AV2858" i="11"/>
  <c r="AU2859" i="11"/>
  <c r="AV2859" i="11"/>
  <c r="AU2860" i="11"/>
  <c r="AV2860" i="11"/>
  <c r="AU2861" i="11"/>
  <c r="AV2861" i="11"/>
  <c r="AU2862" i="11"/>
  <c r="AV2862" i="11"/>
  <c r="AU2863" i="11"/>
  <c r="AV2863" i="11"/>
  <c r="AU2864" i="11"/>
  <c r="AV2864" i="11"/>
  <c r="AU2865" i="11"/>
  <c r="AV2865" i="11"/>
  <c r="AU2866" i="11"/>
  <c r="AV2866" i="11"/>
  <c r="AU2867" i="11"/>
  <c r="AV2867" i="11"/>
  <c r="AU2868" i="11"/>
  <c r="AV2868" i="11"/>
  <c r="AU2869" i="11"/>
  <c r="AV2869" i="11"/>
  <c r="AU2870" i="11"/>
  <c r="AV2870" i="11"/>
  <c r="AU2871" i="11"/>
  <c r="AV2871" i="11"/>
  <c r="AU2872" i="11"/>
  <c r="AV2872" i="11"/>
  <c r="AU2873" i="11"/>
  <c r="AV2873" i="11"/>
  <c r="AU2874" i="11"/>
  <c r="AV2874" i="11"/>
  <c r="AU2875" i="11"/>
  <c r="AV2875" i="11"/>
  <c r="AU2876" i="11"/>
  <c r="AV2876" i="11"/>
  <c r="AU2877" i="11"/>
  <c r="AV2877" i="11"/>
  <c r="AU2878" i="11"/>
  <c r="AV2878" i="11"/>
  <c r="AU2879" i="11"/>
  <c r="AV2879" i="11"/>
  <c r="AU2880" i="11"/>
  <c r="AV2880" i="11"/>
  <c r="AU2881" i="11"/>
  <c r="AV2881" i="11"/>
  <c r="AU2882" i="11"/>
  <c r="AV2882" i="11"/>
  <c r="AU2883" i="11"/>
  <c r="AV2883" i="11"/>
  <c r="AU2884" i="11"/>
  <c r="AV2884" i="11"/>
  <c r="AU2885" i="11"/>
  <c r="AV2885" i="11"/>
  <c r="AU2886" i="11"/>
  <c r="AV2886" i="11"/>
  <c r="AU2887" i="11"/>
  <c r="AV2887" i="11"/>
  <c r="AU2888" i="11"/>
  <c r="AV2888" i="11"/>
  <c r="AU2889" i="11"/>
  <c r="AV2889" i="11"/>
  <c r="AU2890" i="11"/>
  <c r="AV2890" i="11"/>
  <c r="AU2891" i="11"/>
  <c r="AV2891" i="11"/>
  <c r="AU2892" i="11"/>
  <c r="AV2892" i="11"/>
  <c r="AU2893" i="11"/>
  <c r="AV2893" i="11"/>
  <c r="AU2894" i="11"/>
  <c r="AV2894" i="11"/>
  <c r="AU2895" i="11"/>
  <c r="AV2895" i="11"/>
  <c r="AU2896" i="11"/>
  <c r="AV2896" i="11"/>
  <c r="AU2897" i="11"/>
  <c r="AV2897" i="11"/>
  <c r="AU2898" i="11"/>
  <c r="AV2898" i="11"/>
  <c r="AU2899" i="11"/>
  <c r="AV2899" i="11"/>
  <c r="AU2900" i="11"/>
  <c r="AV2900" i="11"/>
  <c r="AU2901" i="11"/>
  <c r="AV2901" i="11"/>
  <c r="AU2902" i="11"/>
  <c r="AV2902" i="11"/>
  <c r="AU2903" i="11"/>
  <c r="AV2903" i="11"/>
  <c r="AU2904" i="11"/>
  <c r="AV2904" i="11"/>
  <c r="AU2905" i="11"/>
  <c r="AV2905" i="11"/>
  <c r="AU2906" i="11"/>
  <c r="AV2906" i="11"/>
  <c r="AU2907" i="11"/>
  <c r="AV2907" i="11"/>
  <c r="AU2908" i="11"/>
  <c r="AV2908" i="11"/>
  <c r="AU2909" i="11"/>
  <c r="AV2909" i="11"/>
  <c r="AU2910" i="11"/>
  <c r="AV2910" i="11"/>
  <c r="AU2911" i="11"/>
  <c r="AV2911" i="11"/>
  <c r="AU2912" i="11"/>
  <c r="AV2912" i="11"/>
  <c r="AU2913" i="11"/>
  <c r="AV2913" i="11"/>
  <c r="AU2914" i="11"/>
  <c r="AV2914" i="11"/>
  <c r="AU2915" i="11"/>
  <c r="AV2915" i="11"/>
  <c r="AU2916" i="11"/>
  <c r="AV2916" i="11"/>
  <c r="AU2917" i="11"/>
  <c r="AV2917" i="11"/>
  <c r="AU2918" i="11"/>
  <c r="AV2918" i="11"/>
  <c r="AU2919" i="11"/>
  <c r="AV2919" i="11"/>
  <c r="AU2920" i="11"/>
  <c r="AV2920" i="11"/>
  <c r="AU2921" i="11"/>
  <c r="AV2921" i="11"/>
  <c r="AU2922" i="11"/>
  <c r="AV2922" i="11"/>
  <c r="AU2923" i="11"/>
  <c r="AV2923" i="11"/>
  <c r="AU2924" i="11"/>
  <c r="AV2924" i="11"/>
  <c r="AU2925" i="11"/>
  <c r="AV2925" i="11"/>
  <c r="AU2926" i="11"/>
  <c r="AV2926" i="11"/>
  <c r="AU2927" i="11"/>
  <c r="AV2927" i="11"/>
  <c r="AU2928" i="11"/>
  <c r="AV2928" i="11"/>
  <c r="AU2929" i="11"/>
  <c r="AV2929" i="11"/>
  <c r="AU2930" i="11"/>
  <c r="AV2930" i="11"/>
  <c r="AU2931" i="11"/>
  <c r="AV2931" i="11"/>
  <c r="AU2932" i="11"/>
  <c r="AV2932" i="11"/>
  <c r="AU2933" i="11"/>
  <c r="AV2933" i="11"/>
  <c r="AU2934" i="11"/>
  <c r="AV2934" i="11"/>
  <c r="AU2935" i="11"/>
  <c r="AV2935" i="11"/>
  <c r="AU2936" i="11"/>
  <c r="AV2936" i="11"/>
  <c r="AU2937" i="11"/>
  <c r="AV2937" i="11"/>
  <c r="AU2938" i="11"/>
  <c r="AV2938" i="11"/>
  <c r="AU2939" i="11"/>
  <c r="AV2939" i="11"/>
  <c r="AU2940" i="11"/>
  <c r="AV2940" i="11"/>
  <c r="AU2941" i="11"/>
  <c r="AV2941" i="11"/>
  <c r="AU2942" i="11"/>
  <c r="AV2942" i="11"/>
  <c r="AU2943" i="11"/>
  <c r="AV2943" i="11"/>
  <c r="AU2944" i="11"/>
  <c r="AV2944" i="11"/>
  <c r="AU2945" i="11"/>
  <c r="AV2945" i="11"/>
  <c r="AU2946" i="11"/>
  <c r="AV2946" i="11"/>
  <c r="AU2947" i="11"/>
  <c r="AV2947" i="11"/>
  <c r="AU2948" i="11"/>
  <c r="AV2948" i="11"/>
  <c r="AU2949" i="11"/>
  <c r="AV2949" i="11"/>
  <c r="AU2950" i="11"/>
  <c r="AV2950" i="11"/>
  <c r="AU2951" i="11"/>
  <c r="AV2951" i="11"/>
  <c r="AU2952" i="11"/>
  <c r="AV2952" i="11"/>
  <c r="AU2953" i="11"/>
  <c r="AV2953" i="11"/>
  <c r="AU2954" i="11"/>
  <c r="AV2954" i="11"/>
  <c r="AU2955" i="11"/>
  <c r="AV2955" i="11"/>
  <c r="AU2956" i="11"/>
  <c r="AV2956" i="11"/>
  <c r="AU2957" i="11"/>
  <c r="AV2957" i="11"/>
  <c r="AU2958" i="11"/>
  <c r="AV2958" i="11"/>
  <c r="AU2959" i="11"/>
  <c r="AV2959" i="11"/>
  <c r="AU2960" i="11"/>
  <c r="AV2960" i="11"/>
  <c r="AU2961" i="11"/>
  <c r="AV2961" i="11"/>
  <c r="AU2962" i="11"/>
  <c r="AV2962" i="11"/>
  <c r="AU2963" i="11"/>
  <c r="AV2963" i="11"/>
  <c r="AU2964" i="11"/>
  <c r="AV2964" i="11"/>
  <c r="AU2965" i="11"/>
  <c r="AV2965" i="11"/>
  <c r="AU2966" i="11"/>
  <c r="AV2966" i="11"/>
  <c r="AU2967" i="11"/>
  <c r="AV2967" i="11"/>
  <c r="AU2968" i="11"/>
  <c r="AV2968" i="11"/>
  <c r="AU2969" i="11"/>
  <c r="AV2969" i="11"/>
  <c r="AU2970" i="11"/>
  <c r="AV2970" i="11"/>
  <c r="AU2971" i="11"/>
  <c r="AV2971" i="11"/>
  <c r="AU2972" i="11"/>
  <c r="AV2972" i="11"/>
  <c r="AU2973" i="11"/>
  <c r="AV2973" i="11"/>
  <c r="AU2974" i="11"/>
  <c r="AV2974" i="11"/>
  <c r="AU2975" i="11"/>
  <c r="AV2975" i="11"/>
  <c r="AU2976" i="11"/>
  <c r="AV2976" i="11"/>
  <c r="AU2977" i="11"/>
  <c r="AV2977" i="11"/>
  <c r="AU2978" i="11"/>
  <c r="AV2978" i="11"/>
  <c r="AU2979" i="11"/>
  <c r="AV2979" i="11"/>
  <c r="AU2980" i="11"/>
  <c r="AV2980" i="11"/>
  <c r="AU2981" i="11"/>
  <c r="AV2981" i="11"/>
  <c r="AU2982" i="11"/>
  <c r="AV2982" i="11"/>
  <c r="AU2983" i="11"/>
  <c r="AV2983" i="11"/>
  <c r="AU2984" i="11"/>
  <c r="AV2984" i="11"/>
  <c r="AU2985" i="11"/>
  <c r="AV2985" i="11"/>
  <c r="AU2986" i="11"/>
  <c r="AV2986" i="11"/>
  <c r="AU2987" i="11"/>
  <c r="AV2987" i="11"/>
  <c r="AU2988" i="11"/>
  <c r="AV2988" i="11"/>
  <c r="AU2989" i="11"/>
  <c r="AV2989" i="11"/>
  <c r="AU2990" i="11"/>
  <c r="AV2990" i="11"/>
  <c r="AU2991" i="11"/>
  <c r="AV2991" i="11"/>
  <c r="AU2992" i="11"/>
  <c r="AV2992" i="11"/>
  <c r="AU2993" i="11"/>
  <c r="AV2993" i="11"/>
  <c r="AU2994" i="11"/>
  <c r="AV2994" i="11"/>
  <c r="AU2995" i="11"/>
  <c r="AV2995" i="11"/>
  <c r="AU2996" i="11"/>
  <c r="AV2996" i="11"/>
  <c r="AU2997" i="11"/>
  <c r="AV2997" i="11"/>
  <c r="AU2998" i="11"/>
  <c r="AV2998" i="11"/>
  <c r="AU2999" i="11"/>
  <c r="AV2999" i="11"/>
  <c r="AU3000" i="11"/>
  <c r="AV3000" i="11"/>
  <c r="AU3001" i="11"/>
  <c r="AV3001" i="11"/>
  <c r="AU3002" i="11"/>
  <c r="AV3002" i="11"/>
  <c r="AU3003" i="11"/>
  <c r="AV3003" i="11"/>
  <c r="AU3004" i="11"/>
  <c r="AV3004" i="11"/>
  <c r="AU3005" i="11"/>
  <c r="AV3005" i="11"/>
  <c r="AU3006" i="11"/>
  <c r="AV3006" i="11"/>
  <c r="AU3007" i="11"/>
  <c r="AV3007" i="11"/>
  <c r="AU3008" i="11"/>
  <c r="AV3008" i="11"/>
  <c r="AU3009" i="11"/>
  <c r="AV3009" i="11"/>
  <c r="AU3010" i="11"/>
  <c r="AV3010" i="11"/>
  <c r="AU3011" i="11"/>
  <c r="AV3011" i="11"/>
  <c r="AU3012" i="11"/>
  <c r="AV3012" i="11"/>
  <c r="AU3013" i="11"/>
  <c r="AV3013" i="11"/>
  <c r="AU3014" i="11"/>
  <c r="AV3014" i="11"/>
  <c r="AU3015" i="11"/>
  <c r="AV3015" i="11"/>
  <c r="AU3016" i="11"/>
  <c r="AV3016" i="11"/>
  <c r="AU3017" i="11"/>
  <c r="AV3017" i="11"/>
  <c r="AU3018" i="11"/>
  <c r="AV3018" i="11"/>
  <c r="AU3019" i="11"/>
  <c r="AV3019" i="11"/>
  <c r="AU3020" i="11"/>
  <c r="AV3020" i="11"/>
  <c r="AU3021" i="11"/>
  <c r="AV3021" i="11"/>
  <c r="AU3022" i="11"/>
  <c r="AV3022" i="11"/>
  <c r="AU3023" i="11"/>
  <c r="AV3023" i="11"/>
  <c r="AU3024" i="11"/>
  <c r="AV3024" i="11"/>
  <c r="AU3025" i="11"/>
  <c r="AV3025" i="11"/>
  <c r="AU3026" i="11"/>
  <c r="AV3026" i="11"/>
  <c r="AU3027" i="11"/>
  <c r="AV3027" i="11"/>
  <c r="AU3028" i="11"/>
  <c r="AV3028" i="11"/>
  <c r="AU3029" i="11"/>
  <c r="AV3029" i="11"/>
  <c r="AU3030" i="11"/>
  <c r="AV3030" i="11"/>
  <c r="AU3031" i="11"/>
  <c r="AV3031" i="11"/>
  <c r="AU3032" i="11"/>
  <c r="AV3032" i="11"/>
  <c r="AU3033" i="11"/>
  <c r="AV3033" i="11"/>
  <c r="AU3034" i="11"/>
  <c r="AV3034" i="11"/>
  <c r="AU3035" i="11"/>
  <c r="AV3035" i="11"/>
  <c r="AU3036" i="11"/>
  <c r="AV3036" i="11"/>
  <c r="AU3037" i="11"/>
  <c r="AV3037" i="11"/>
  <c r="AU3038" i="11"/>
  <c r="AV3038" i="11"/>
  <c r="AU3039" i="11"/>
  <c r="AV3039" i="11"/>
  <c r="AU3040" i="11"/>
  <c r="AV3040" i="11"/>
  <c r="AU3041" i="11"/>
  <c r="AV3041" i="11"/>
  <c r="AU3042" i="11"/>
  <c r="AV3042" i="11"/>
  <c r="AU3043" i="11"/>
  <c r="AV3043" i="11"/>
  <c r="AU3044" i="11"/>
  <c r="AV3044" i="11"/>
  <c r="AU3045" i="11"/>
  <c r="AV3045" i="11"/>
  <c r="AU3046" i="11"/>
  <c r="AV3046" i="11"/>
  <c r="AU3047" i="11"/>
  <c r="AV3047" i="11"/>
  <c r="AU3048" i="11"/>
  <c r="AV3048" i="11"/>
  <c r="AU3049" i="11"/>
  <c r="AV3049" i="11"/>
  <c r="AU3050" i="11"/>
  <c r="AV3050" i="11"/>
  <c r="AU3051" i="11"/>
  <c r="AV3051" i="11"/>
  <c r="AU3052" i="11"/>
  <c r="AV3052" i="11"/>
  <c r="AU3053" i="11"/>
  <c r="AV3053" i="11"/>
  <c r="AU3054" i="11"/>
  <c r="AV3054" i="11"/>
  <c r="AU3055" i="11"/>
  <c r="AV3055" i="11"/>
  <c r="AU3056" i="11"/>
  <c r="AV3056" i="11"/>
  <c r="AU3057" i="11"/>
  <c r="AV3057" i="11"/>
  <c r="AU3058" i="11"/>
  <c r="AV3058" i="11"/>
  <c r="AU3059" i="11"/>
  <c r="AV3059" i="11"/>
  <c r="AU3060" i="11"/>
  <c r="AV3060" i="11"/>
  <c r="AU3061" i="11"/>
  <c r="AV3061" i="11"/>
  <c r="AU3062" i="11"/>
  <c r="AV3062" i="11"/>
  <c r="AU3063" i="11"/>
  <c r="AV3063" i="11"/>
  <c r="AU3064" i="11"/>
  <c r="AV3064" i="11"/>
  <c r="AU3065" i="11"/>
  <c r="AV3065" i="11"/>
  <c r="AU3066" i="11"/>
  <c r="AV3066" i="11"/>
  <c r="AU3067" i="11"/>
  <c r="AV3067" i="11"/>
  <c r="AU3068" i="11"/>
  <c r="AV3068" i="11"/>
  <c r="AU3069" i="11"/>
  <c r="AV3069" i="11"/>
  <c r="AU3070" i="11"/>
  <c r="AV3070" i="11"/>
  <c r="AU3071" i="11"/>
  <c r="AV3071" i="11"/>
  <c r="AU3072" i="11"/>
  <c r="AV3072" i="11"/>
  <c r="AU3073" i="11"/>
  <c r="AV3073" i="11"/>
  <c r="AU3074" i="11"/>
  <c r="AV3074" i="11"/>
  <c r="AU3075" i="11"/>
  <c r="AV3075" i="11"/>
  <c r="AU3076" i="11"/>
  <c r="AV3076" i="11"/>
  <c r="AU3077" i="11"/>
  <c r="AV3077" i="11"/>
  <c r="AU3078" i="11"/>
  <c r="AV3078" i="11"/>
  <c r="AU3079" i="11"/>
  <c r="AV3079" i="11"/>
  <c r="AU3080" i="11"/>
  <c r="AV3080" i="11"/>
  <c r="AU3081" i="11"/>
  <c r="AV3081" i="11"/>
  <c r="AU3082" i="11"/>
  <c r="AV3082" i="11"/>
  <c r="AU3083" i="11"/>
  <c r="AV3083" i="11"/>
  <c r="AU3084" i="11"/>
  <c r="AV3084" i="11"/>
  <c r="AU3085" i="11"/>
  <c r="AV3085" i="11"/>
  <c r="AU3086" i="11"/>
  <c r="AV3086" i="11"/>
  <c r="AU3087" i="11"/>
  <c r="AV3087" i="11"/>
  <c r="AU3088" i="11"/>
  <c r="AV3088" i="11"/>
  <c r="AU3089" i="11"/>
  <c r="AV3089" i="11"/>
  <c r="AU3090" i="11"/>
  <c r="AV3090" i="11"/>
  <c r="AU3091" i="11"/>
  <c r="AV3091" i="11"/>
  <c r="AU3092" i="11"/>
  <c r="AV3092" i="11"/>
  <c r="AU3093" i="11"/>
  <c r="AV3093" i="11"/>
  <c r="AU3094" i="11"/>
  <c r="AV3094" i="11"/>
  <c r="AU3095" i="11"/>
  <c r="AV3095" i="11"/>
  <c r="AU3096" i="11"/>
  <c r="AV3096" i="11"/>
  <c r="AU3097" i="11"/>
  <c r="AV3097" i="11"/>
  <c r="AU3098" i="11"/>
  <c r="AV3098" i="11"/>
  <c r="AU3099" i="11"/>
  <c r="AV3099" i="11"/>
  <c r="AU3100" i="11"/>
  <c r="AV3100" i="11"/>
  <c r="AU3101" i="11"/>
  <c r="AV3101" i="11"/>
  <c r="AU3102" i="11"/>
  <c r="AV3102" i="11"/>
  <c r="AU3103" i="11"/>
  <c r="AV3103" i="11"/>
  <c r="AU3104" i="11"/>
  <c r="AV3104" i="11"/>
  <c r="AU3105" i="11"/>
  <c r="AV3105" i="11"/>
  <c r="AU3106" i="11"/>
  <c r="AV3106" i="11"/>
  <c r="AU3107" i="11"/>
  <c r="AV3107" i="11"/>
  <c r="AU3108" i="11"/>
  <c r="AV3108" i="11"/>
  <c r="AU3109" i="11"/>
  <c r="AV3109" i="11"/>
  <c r="AU3110" i="11"/>
  <c r="AV3110" i="11"/>
  <c r="AU3111" i="11"/>
  <c r="AV3111" i="11"/>
  <c r="AU3112" i="11"/>
  <c r="AV3112" i="11"/>
  <c r="AU3113" i="11"/>
  <c r="AV3113" i="11"/>
  <c r="AU3114" i="11"/>
  <c r="AV3114" i="11"/>
  <c r="AU3115" i="11"/>
  <c r="AV3115" i="11"/>
  <c r="AU3116" i="11"/>
  <c r="AV3116" i="11"/>
  <c r="AU3117" i="11"/>
  <c r="AV3117" i="11"/>
  <c r="AU3118" i="11"/>
  <c r="AV3118" i="11"/>
  <c r="AU3119" i="11"/>
  <c r="AV3119" i="11"/>
  <c r="AU3120" i="11"/>
  <c r="AV3120" i="11"/>
  <c r="AU3121" i="11"/>
  <c r="AV3121" i="11"/>
  <c r="AU3122" i="11"/>
  <c r="AV3122" i="11"/>
  <c r="AU3123" i="11"/>
  <c r="AV3123" i="11"/>
  <c r="AU3124" i="11"/>
  <c r="AV3124" i="11"/>
  <c r="AU3125" i="11"/>
  <c r="AV3125" i="11"/>
  <c r="AU3126" i="11"/>
  <c r="AV3126" i="11"/>
  <c r="AU3127" i="11"/>
  <c r="AV3127" i="11"/>
  <c r="AU3128" i="11"/>
  <c r="AV3128" i="11"/>
  <c r="AU3129" i="11"/>
  <c r="AV3129" i="11"/>
  <c r="AU3130" i="11"/>
  <c r="AV3130" i="11"/>
  <c r="AU3131" i="11"/>
  <c r="AV3131" i="11"/>
  <c r="AU3132" i="11"/>
  <c r="AV3132" i="11"/>
  <c r="AU3133" i="11"/>
  <c r="AV3133" i="11"/>
  <c r="AU3134" i="11"/>
  <c r="AV3134" i="11"/>
  <c r="AU3135" i="11"/>
  <c r="AV3135" i="11"/>
  <c r="AU3136" i="11"/>
  <c r="AV3136" i="11"/>
  <c r="AU3137" i="11"/>
  <c r="AV3137" i="11"/>
  <c r="AU3138" i="11"/>
  <c r="AV3138" i="11"/>
  <c r="AU3139" i="11"/>
  <c r="AV3139" i="11"/>
  <c r="AU3140" i="11"/>
  <c r="AV3140" i="11"/>
  <c r="AU3141" i="11"/>
  <c r="AV3141" i="11"/>
  <c r="AU3142" i="11"/>
  <c r="AV3142" i="11"/>
  <c r="AU3143" i="11"/>
  <c r="AV3143" i="11"/>
  <c r="AU3144" i="11"/>
  <c r="AV3144" i="11"/>
  <c r="AU3145" i="11"/>
  <c r="AV3145" i="11"/>
  <c r="AU3146" i="11"/>
  <c r="AV3146" i="11"/>
  <c r="AU3147" i="11"/>
  <c r="AV3147" i="11"/>
  <c r="AU3148" i="11"/>
  <c r="AV3148" i="11"/>
  <c r="AU3149" i="11"/>
  <c r="AV3149" i="11"/>
  <c r="AU3150" i="11"/>
  <c r="AV3150" i="11"/>
  <c r="AU3151" i="11"/>
  <c r="AV3151" i="11"/>
  <c r="AU3152" i="11"/>
  <c r="AV3152" i="11"/>
  <c r="AU3153" i="11"/>
  <c r="AV3153" i="11"/>
  <c r="AU3154" i="11"/>
  <c r="AV3154" i="11"/>
  <c r="AU3155" i="11"/>
  <c r="AV3155" i="11"/>
  <c r="AU3156" i="11"/>
  <c r="AV3156" i="11"/>
  <c r="AU3157" i="11"/>
  <c r="R159" i="3" s="1"/>
  <c r="AV3157" i="11"/>
  <c r="R179" i="3" s="1"/>
  <c r="AU3158" i="11"/>
  <c r="AV3158" i="11"/>
  <c r="AU3159" i="11"/>
  <c r="AV3159" i="11"/>
  <c r="AU3160" i="11"/>
  <c r="AV3160" i="11"/>
  <c r="AU3161" i="11"/>
  <c r="AV3161" i="11"/>
  <c r="AU3162" i="11"/>
  <c r="AV3162" i="11"/>
  <c r="AU3163" i="11"/>
  <c r="AV3163" i="11"/>
  <c r="AU3164" i="11"/>
  <c r="AV3164" i="11"/>
  <c r="AU3165" i="11"/>
  <c r="AV3165" i="11"/>
  <c r="AU3166" i="11"/>
  <c r="AV3166" i="11"/>
  <c r="AU3167" i="11"/>
  <c r="AV3167" i="11"/>
  <c r="AU3168" i="11"/>
  <c r="AV3168" i="11"/>
  <c r="AU3169" i="11"/>
  <c r="AV3169" i="11"/>
  <c r="AU3170" i="11"/>
  <c r="AV3170" i="11"/>
  <c r="AU3171" i="11"/>
  <c r="AV3171" i="11"/>
  <c r="AU3172" i="11"/>
  <c r="AV3172" i="11"/>
  <c r="AU3173" i="11"/>
  <c r="AV3173" i="11"/>
  <c r="AU3174" i="11"/>
  <c r="AV3174" i="11"/>
  <c r="AU3175" i="11"/>
  <c r="AV3175" i="11"/>
  <c r="AU3176" i="11"/>
  <c r="AV3176" i="11"/>
  <c r="AU3177" i="11"/>
  <c r="AV3177" i="11"/>
  <c r="AU3178" i="11"/>
  <c r="AV3178" i="11"/>
  <c r="AU3179" i="11"/>
  <c r="AV3179" i="11"/>
  <c r="AU3180" i="11"/>
  <c r="AV3180" i="11"/>
  <c r="AU3181" i="11"/>
  <c r="AV3181" i="11"/>
  <c r="AU3182" i="11"/>
  <c r="AV3182" i="11"/>
  <c r="AU3183" i="11"/>
  <c r="AV3183" i="11"/>
  <c r="AU3184" i="11"/>
  <c r="AV3184" i="11"/>
  <c r="AU3185" i="11"/>
  <c r="AV3185" i="11"/>
  <c r="AU3186" i="11"/>
  <c r="AV3186" i="11"/>
  <c r="AU3187" i="11"/>
  <c r="AV3187" i="11"/>
  <c r="AU3188" i="11"/>
  <c r="AV3188" i="11"/>
  <c r="AU3189" i="11"/>
  <c r="AV3189" i="11"/>
  <c r="AU3190" i="11"/>
  <c r="AV3190" i="11"/>
  <c r="AU3191" i="11"/>
  <c r="AV3191" i="11"/>
  <c r="AU3192" i="11"/>
  <c r="AV3192" i="11"/>
  <c r="AU3193" i="11"/>
  <c r="AV3193" i="11"/>
  <c r="AU3194" i="11"/>
  <c r="AV3194" i="11"/>
  <c r="AU3195" i="11"/>
  <c r="AV3195" i="11"/>
  <c r="AU3196" i="11"/>
  <c r="AV3196" i="11"/>
  <c r="AU3197" i="11"/>
  <c r="AV3197" i="11"/>
  <c r="AU3198" i="11"/>
  <c r="AV3198" i="11"/>
  <c r="AU3199" i="11"/>
  <c r="AV3199" i="11"/>
  <c r="AU3200" i="11"/>
  <c r="AV3200" i="11"/>
  <c r="AU3201" i="11"/>
  <c r="AV3201" i="11"/>
  <c r="AU3202" i="11"/>
  <c r="AV3202" i="11"/>
  <c r="AU3203" i="11"/>
  <c r="AV3203" i="11"/>
  <c r="AU3204" i="11"/>
  <c r="AV3204" i="11"/>
  <c r="AU3205" i="11"/>
  <c r="AV3205" i="11"/>
  <c r="AU3206" i="11"/>
  <c r="AV3206" i="11"/>
  <c r="AU3207" i="11"/>
  <c r="AV3207" i="11"/>
  <c r="AU3208" i="11"/>
  <c r="AV3208" i="11"/>
  <c r="AU3209" i="11"/>
  <c r="AV3209" i="11"/>
  <c r="AU3210" i="11"/>
  <c r="AV3210" i="11"/>
  <c r="AU3211" i="11"/>
  <c r="AV3211" i="11"/>
  <c r="AU3212" i="11"/>
  <c r="AV3212" i="11"/>
  <c r="AU3213" i="11"/>
  <c r="AV3213" i="11"/>
  <c r="AU3214" i="11"/>
  <c r="AV3214" i="11"/>
  <c r="AU3215" i="11"/>
  <c r="AV3215" i="11"/>
  <c r="AU3216" i="11"/>
  <c r="AV3216" i="11"/>
  <c r="AU3217" i="11"/>
  <c r="AV3217" i="11"/>
  <c r="AU3218" i="11"/>
  <c r="AV3218" i="11"/>
  <c r="AU3219" i="11"/>
  <c r="AV3219" i="11"/>
  <c r="AU3220" i="11"/>
  <c r="AV3220" i="11"/>
  <c r="AU3221" i="11"/>
  <c r="AV3221" i="11"/>
  <c r="AU3222" i="11"/>
  <c r="AV3222" i="11"/>
  <c r="AU3223" i="11"/>
  <c r="AV3223" i="11"/>
  <c r="AU3224" i="11"/>
  <c r="AV3224" i="11"/>
  <c r="AU3225" i="11"/>
  <c r="AV3225" i="11"/>
  <c r="AU3226" i="11"/>
  <c r="AV3226" i="11"/>
  <c r="AU3227" i="11"/>
  <c r="AV3227" i="11"/>
  <c r="AU3228" i="11"/>
  <c r="AV3228" i="11"/>
  <c r="AU3229" i="11"/>
  <c r="AV3229" i="11"/>
  <c r="AU3230" i="11"/>
  <c r="AV3230" i="11"/>
  <c r="AU3231" i="11"/>
  <c r="AV3231" i="11"/>
  <c r="AU3232" i="11"/>
  <c r="AV3232" i="11"/>
  <c r="AU3233" i="11"/>
  <c r="AV3233" i="11"/>
  <c r="AU3234" i="11"/>
  <c r="AV3234" i="11"/>
  <c r="AU3235" i="11"/>
  <c r="AV3235" i="11"/>
  <c r="AU3236" i="11"/>
  <c r="AV3236" i="11"/>
  <c r="AU3237" i="11"/>
  <c r="AV3237" i="11"/>
  <c r="AU3238" i="11"/>
  <c r="AV3238" i="11"/>
  <c r="AU3239" i="11"/>
  <c r="AV3239" i="11"/>
  <c r="AU3240" i="11"/>
  <c r="AV3240" i="11"/>
  <c r="AU3241" i="11"/>
  <c r="AV3241" i="11"/>
  <c r="AU3242" i="11"/>
  <c r="AV3242" i="11"/>
  <c r="AU3243" i="11"/>
  <c r="AV3243" i="11"/>
  <c r="AU3244" i="11"/>
  <c r="AV3244" i="11"/>
  <c r="AU3245" i="11"/>
  <c r="AV3245" i="11"/>
  <c r="AU3246" i="11"/>
  <c r="AV3246" i="11"/>
  <c r="AU3247" i="11"/>
  <c r="AV3247" i="11"/>
  <c r="AU3248" i="11"/>
  <c r="AV3248" i="11"/>
  <c r="AU3249" i="11"/>
  <c r="AV3249" i="11"/>
  <c r="AU3250" i="11"/>
  <c r="AV3250" i="11"/>
  <c r="AU3251" i="11"/>
  <c r="AV3251" i="11"/>
  <c r="AU3252" i="11"/>
  <c r="AV3252" i="11"/>
  <c r="AU3253" i="11"/>
  <c r="AV3253" i="11"/>
  <c r="AU3254" i="11"/>
  <c r="AV3254" i="11"/>
  <c r="AU3255" i="11"/>
  <c r="AV3255" i="11"/>
  <c r="AU3256" i="11"/>
  <c r="AV3256" i="11"/>
  <c r="AU3257" i="11"/>
  <c r="AV3257" i="11"/>
  <c r="AU3258" i="11"/>
  <c r="AV3258" i="11"/>
  <c r="AU3259" i="11"/>
  <c r="AV3259" i="11"/>
  <c r="AU3260" i="11"/>
  <c r="AV3260" i="11"/>
  <c r="AU3261" i="11"/>
  <c r="AV3261" i="11"/>
  <c r="AU3262" i="11"/>
  <c r="AV3262" i="11"/>
  <c r="AU3263" i="11"/>
  <c r="AV3263" i="11"/>
  <c r="AU3264" i="11"/>
  <c r="AV3264" i="11"/>
  <c r="AU3265" i="11"/>
  <c r="AV3265" i="11"/>
  <c r="AU3266" i="11"/>
  <c r="AV3266" i="11"/>
  <c r="AU3267" i="11"/>
  <c r="AV3267" i="11"/>
  <c r="AU3268" i="11"/>
  <c r="AV3268" i="11"/>
  <c r="AU3269" i="11"/>
  <c r="AV3269" i="11"/>
  <c r="AU3270" i="11"/>
  <c r="AV3270" i="11"/>
  <c r="AU3271" i="11"/>
  <c r="AV3271" i="11"/>
  <c r="AU3272" i="11"/>
  <c r="AV3272" i="11"/>
  <c r="AU3273" i="11"/>
  <c r="AV3273" i="11"/>
  <c r="AU3274" i="11"/>
  <c r="AV3274" i="11"/>
  <c r="AU3275" i="11"/>
  <c r="AV3275" i="11"/>
  <c r="AU3276" i="11"/>
  <c r="AV3276" i="11"/>
  <c r="AU3277" i="11"/>
  <c r="AV3277" i="11"/>
  <c r="AU3278" i="11"/>
  <c r="AV3278" i="11"/>
  <c r="AU3279" i="11"/>
  <c r="AV3279" i="11"/>
  <c r="AU3280" i="11"/>
  <c r="AV3280" i="11"/>
  <c r="AU3281" i="11"/>
  <c r="AV3281" i="11"/>
  <c r="AU3282" i="11"/>
  <c r="AV3282" i="11"/>
  <c r="AU3283" i="11"/>
  <c r="AV3283" i="11"/>
  <c r="AU3284" i="11"/>
  <c r="AV3284" i="11"/>
  <c r="AU3285" i="11"/>
  <c r="AV3285" i="11"/>
  <c r="AU3286" i="11"/>
  <c r="AV3286" i="11"/>
  <c r="AU3287" i="11"/>
  <c r="AV3287" i="11"/>
  <c r="AU3288" i="11"/>
  <c r="AV3288" i="11"/>
  <c r="AU3289" i="11"/>
  <c r="AV3289" i="11"/>
  <c r="AU3290" i="11"/>
  <c r="AV3290" i="11"/>
  <c r="AU3291" i="11"/>
  <c r="AV3291" i="11"/>
  <c r="AU3292" i="11"/>
  <c r="AV3292" i="11"/>
  <c r="AU3293" i="11"/>
  <c r="AV3293" i="11"/>
  <c r="AU3294" i="11"/>
  <c r="AV3294" i="11"/>
  <c r="AU3295" i="11"/>
  <c r="AV3295" i="11"/>
  <c r="AU3296" i="11"/>
  <c r="AV3296" i="11"/>
  <c r="AU3297" i="11"/>
  <c r="AV3297" i="11"/>
  <c r="AU3298" i="11"/>
  <c r="AV3298" i="11"/>
  <c r="AU3299" i="11"/>
  <c r="AV3299" i="11"/>
  <c r="AU3300" i="11"/>
  <c r="AV3300" i="11"/>
  <c r="AU3301" i="11"/>
  <c r="AV3301" i="11"/>
  <c r="AU3302" i="11"/>
  <c r="AV3302" i="11"/>
  <c r="AU3303" i="11"/>
  <c r="AV3303" i="11"/>
  <c r="AU3304" i="11"/>
  <c r="AV3304" i="11"/>
  <c r="AU3305" i="11"/>
  <c r="AV3305" i="11"/>
  <c r="AU3306" i="11"/>
  <c r="AV3306" i="11"/>
  <c r="AU3307" i="11"/>
  <c r="AV3307" i="11"/>
  <c r="AU3308" i="11"/>
  <c r="AV3308" i="11"/>
  <c r="AU3309" i="11"/>
  <c r="AV3309" i="11"/>
  <c r="AU3310" i="11"/>
  <c r="AV3310" i="11"/>
  <c r="AU3311" i="11"/>
  <c r="AV3311" i="11"/>
  <c r="AU3312" i="11"/>
  <c r="AV3312" i="11"/>
  <c r="AU3313" i="11"/>
  <c r="AV3313" i="11"/>
  <c r="AU3314" i="11"/>
  <c r="AV3314" i="11"/>
  <c r="AU3315" i="11"/>
  <c r="AV3315" i="11"/>
  <c r="AU3316" i="11"/>
  <c r="AV3316" i="11"/>
  <c r="AU3317" i="11"/>
  <c r="AV3317" i="11"/>
  <c r="AU3318" i="11"/>
  <c r="AV3318" i="11"/>
  <c r="AU3319" i="11"/>
  <c r="AV3319" i="11"/>
  <c r="AU3320" i="11"/>
  <c r="AV3320" i="11"/>
  <c r="AU3321" i="11"/>
  <c r="AV3321" i="11"/>
  <c r="AU3322" i="11"/>
  <c r="AV3322" i="11"/>
  <c r="AU3323" i="11"/>
  <c r="AV3323" i="11"/>
  <c r="AU3324" i="11"/>
  <c r="AV3324" i="11"/>
  <c r="AU3325" i="11"/>
  <c r="AV3325" i="11"/>
  <c r="AU3326" i="11"/>
  <c r="AV3326" i="11"/>
  <c r="AU3327" i="11"/>
  <c r="AV3327" i="11"/>
  <c r="AU3328" i="11"/>
  <c r="AV3328" i="11"/>
  <c r="AU3329" i="11"/>
  <c r="AV3329" i="11"/>
  <c r="AU3330" i="11"/>
  <c r="AV3330" i="11"/>
  <c r="AU3331" i="11"/>
  <c r="AV3331" i="11"/>
  <c r="AU3332" i="11"/>
  <c r="AV3332" i="11"/>
  <c r="AU3333" i="11"/>
  <c r="AV3333" i="11"/>
  <c r="AU3334" i="11"/>
  <c r="AV3334" i="11"/>
  <c r="AU3335" i="11"/>
  <c r="AV3335" i="11"/>
  <c r="AU3336" i="11"/>
  <c r="AV3336" i="11"/>
  <c r="AU3337" i="11"/>
  <c r="AV3337" i="11"/>
  <c r="AU3338" i="11"/>
  <c r="AV3338" i="11"/>
  <c r="AU3339" i="11"/>
  <c r="AV3339" i="11"/>
  <c r="AU3340" i="11"/>
  <c r="AV3340" i="11"/>
  <c r="AU3341" i="11"/>
  <c r="AV3341" i="11"/>
  <c r="AU3342" i="11"/>
  <c r="AV3342" i="11"/>
  <c r="AU3343" i="11"/>
  <c r="AV3343" i="11"/>
  <c r="AU3344" i="11"/>
  <c r="AV3344" i="11"/>
  <c r="AU3345" i="11"/>
  <c r="AV3345" i="11"/>
  <c r="AU3346" i="11"/>
  <c r="AV3346" i="11"/>
  <c r="AU3347" i="11"/>
  <c r="AV3347" i="11"/>
  <c r="AU3348" i="11"/>
  <c r="AV3348" i="11"/>
  <c r="AU3349" i="11"/>
  <c r="AV3349" i="11"/>
  <c r="AU3350" i="11"/>
  <c r="AV3350" i="11"/>
  <c r="AU3351" i="11"/>
  <c r="AV3351" i="11"/>
  <c r="AU3352" i="11"/>
  <c r="AV3352" i="11"/>
  <c r="AU3353" i="11"/>
  <c r="AV3353" i="11"/>
  <c r="AU3354" i="11"/>
  <c r="AV3354" i="11"/>
  <c r="AU3355" i="11"/>
  <c r="AV3355" i="11"/>
  <c r="AU3356" i="11"/>
  <c r="AV3356" i="11"/>
  <c r="AU3357" i="11"/>
  <c r="AV3357" i="11"/>
  <c r="AU3358" i="11"/>
  <c r="AV3358" i="11"/>
  <c r="AU3359" i="11"/>
  <c r="AV3359" i="11"/>
  <c r="AU3360" i="11"/>
  <c r="AV3360" i="11"/>
  <c r="AU3361" i="11"/>
  <c r="AV3361" i="11"/>
  <c r="AU3362" i="11"/>
  <c r="AV3362" i="11"/>
  <c r="AU3363" i="11"/>
  <c r="AV3363" i="11"/>
  <c r="AU3364" i="11"/>
  <c r="AV3364" i="11"/>
  <c r="AU3365" i="11"/>
  <c r="AV3365" i="11"/>
  <c r="AU3366" i="11"/>
  <c r="AV3366" i="11"/>
  <c r="AU3367" i="11"/>
  <c r="AV3367" i="11"/>
  <c r="AU3368" i="11"/>
  <c r="AV3368" i="11"/>
  <c r="AU3369" i="11"/>
  <c r="AV3369" i="11"/>
  <c r="AU3370" i="11"/>
  <c r="AV3370" i="11"/>
  <c r="AU3371" i="11"/>
  <c r="AV3371" i="11"/>
  <c r="AU3372" i="11"/>
  <c r="AV3372" i="11"/>
  <c r="AU3373" i="11"/>
  <c r="AV3373" i="11"/>
  <c r="AU3374" i="11"/>
  <c r="AV3374" i="11"/>
  <c r="AU3375" i="11"/>
  <c r="AV3375" i="11"/>
  <c r="AU3376" i="11"/>
  <c r="AV3376" i="11"/>
  <c r="AU3377" i="11"/>
  <c r="AV3377" i="11"/>
  <c r="AU3378" i="11"/>
  <c r="AV3378" i="11"/>
  <c r="AU3379" i="11"/>
  <c r="AV3379" i="11"/>
  <c r="AU3380" i="11"/>
  <c r="AV3380" i="11"/>
  <c r="AU3381" i="11"/>
  <c r="AV3381" i="11"/>
  <c r="AU3382" i="11"/>
  <c r="AV3382" i="11"/>
  <c r="AU3383" i="11"/>
  <c r="AV3383" i="11"/>
  <c r="AU3384" i="11"/>
  <c r="AV3384" i="11"/>
  <c r="AU3385" i="11"/>
  <c r="AV3385" i="11"/>
  <c r="AU3386" i="11"/>
  <c r="AV3386" i="11"/>
  <c r="AU3387" i="11"/>
  <c r="AV3387" i="11"/>
  <c r="AU3388" i="11"/>
  <c r="AV3388" i="11"/>
  <c r="AU3389" i="11"/>
  <c r="AV3389" i="11"/>
  <c r="AU3390" i="11"/>
  <c r="AV3390" i="11"/>
  <c r="AU3391" i="11"/>
  <c r="AV3391" i="11"/>
  <c r="AU3392" i="11"/>
  <c r="AV3392" i="11"/>
  <c r="AU3393" i="11"/>
  <c r="AV3393" i="11"/>
  <c r="AU3394" i="11"/>
  <c r="AV3394" i="11"/>
  <c r="AU3395" i="11"/>
  <c r="AV3395" i="11"/>
  <c r="AU3396" i="11"/>
  <c r="AV3396" i="11"/>
  <c r="AU3397" i="11"/>
  <c r="AV3397" i="11"/>
  <c r="AU3398" i="11"/>
  <c r="AV3398" i="11"/>
  <c r="AU3399" i="11"/>
  <c r="AV3399" i="11"/>
  <c r="AU3400" i="11"/>
  <c r="AV3400" i="11"/>
  <c r="AU3401" i="11"/>
  <c r="AV3401" i="11"/>
  <c r="AU3402" i="11"/>
  <c r="AV3402" i="11"/>
  <c r="AU3403" i="11"/>
  <c r="AV3403" i="11"/>
  <c r="AU3404" i="11"/>
  <c r="AV3404" i="11"/>
  <c r="AU3405" i="11"/>
  <c r="AV3405" i="11"/>
  <c r="AU3406" i="11"/>
  <c r="AV3406" i="11"/>
  <c r="AU3407" i="11"/>
  <c r="AV3407" i="11"/>
  <c r="AU3408" i="11"/>
  <c r="AV3408" i="11"/>
  <c r="AU3409" i="11"/>
  <c r="AV3409" i="11"/>
  <c r="AU3410" i="11"/>
  <c r="AV3410" i="11"/>
  <c r="AU3411" i="11"/>
  <c r="AV3411" i="11"/>
  <c r="AU3412" i="11"/>
  <c r="AV3412" i="11"/>
  <c r="AU3413" i="11"/>
  <c r="AV3413" i="11"/>
  <c r="AU3414" i="11"/>
  <c r="AV3414" i="11"/>
  <c r="AU3415" i="11"/>
  <c r="AV3415" i="11"/>
  <c r="AU3416" i="11"/>
  <c r="AV3416" i="11"/>
  <c r="AU3417" i="11"/>
  <c r="AV3417" i="11"/>
  <c r="AU3418" i="11"/>
  <c r="AV3418" i="11"/>
  <c r="AU3419" i="11"/>
  <c r="AV3419" i="11"/>
  <c r="AU3420" i="11"/>
  <c r="AV3420" i="11"/>
  <c r="AU3421" i="11"/>
  <c r="AV3421" i="11"/>
  <c r="AU3422" i="11"/>
  <c r="AV3422" i="11"/>
  <c r="AU3423" i="11"/>
  <c r="AV3423" i="11"/>
  <c r="AU3424" i="11"/>
  <c r="AV3424" i="11"/>
  <c r="AU3425" i="11"/>
  <c r="AV3425" i="11"/>
  <c r="AU3426" i="11"/>
  <c r="AV3426" i="11"/>
  <c r="AU3427" i="11"/>
  <c r="AV3427" i="11"/>
  <c r="AU3428" i="11"/>
  <c r="AV3428" i="11"/>
  <c r="AU3429" i="11"/>
  <c r="AV3429" i="11"/>
  <c r="AU3430" i="11"/>
  <c r="AV3430" i="11"/>
  <c r="AU3431" i="11"/>
  <c r="AV3431" i="11"/>
  <c r="AU3432" i="11"/>
  <c r="AV3432" i="11"/>
  <c r="AU3433" i="11"/>
  <c r="AV3433" i="11"/>
  <c r="AU3434" i="11"/>
  <c r="AV3434" i="11"/>
  <c r="AU3435" i="11"/>
  <c r="AV3435" i="11"/>
  <c r="AU3436" i="11"/>
  <c r="AV3436" i="11"/>
  <c r="AU3437" i="11"/>
  <c r="AV3437" i="11"/>
  <c r="AU3438" i="11"/>
  <c r="AV3438" i="11"/>
  <c r="AU3439" i="11"/>
  <c r="AV3439" i="11"/>
  <c r="AU3440" i="11"/>
  <c r="AV3440" i="11"/>
  <c r="AU3441" i="11"/>
  <c r="AV3441" i="11"/>
  <c r="AU3442" i="11"/>
  <c r="AV3442" i="11"/>
  <c r="AU3443" i="11"/>
  <c r="AV3443" i="11"/>
  <c r="AU3444" i="11"/>
  <c r="AV3444" i="11"/>
  <c r="AU3445" i="11"/>
  <c r="AV3445" i="11"/>
  <c r="AU3446" i="11"/>
  <c r="AV3446" i="11"/>
  <c r="AU3447" i="11"/>
  <c r="AV3447" i="11"/>
  <c r="AU3448" i="11"/>
  <c r="AV3448" i="11"/>
  <c r="AU3449" i="11"/>
  <c r="AV3449" i="11"/>
  <c r="AU3450" i="11"/>
  <c r="AV3450" i="11"/>
  <c r="AU3451" i="11"/>
  <c r="AV3451" i="11"/>
  <c r="AU3452" i="11"/>
  <c r="AV3452" i="11"/>
  <c r="AU3453" i="11"/>
  <c r="AV3453" i="11"/>
  <c r="AU3454" i="11"/>
  <c r="AV3454" i="11"/>
  <c r="AU3455" i="11"/>
  <c r="AV3455" i="11"/>
  <c r="AU3456" i="11"/>
  <c r="AV3456" i="11"/>
  <c r="AU3457" i="11"/>
  <c r="AV3457" i="11"/>
  <c r="AU3458" i="11"/>
  <c r="AV3458" i="11"/>
  <c r="AU3459" i="11"/>
  <c r="AV3459" i="11"/>
  <c r="AU3460" i="11"/>
  <c r="AV3460" i="11"/>
  <c r="AU3461" i="11"/>
  <c r="AV3461" i="11"/>
  <c r="AU3462" i="11"/>
  <c r="AV3462" i="11"/>
  <c r="AU3463" i="11"/>
  <c r="AV3463" i="11"/>
  <c r="AU3464" i="11"/>
  <c r="AV3464" i="11"/>
  <c r="AU3465" i="11"/>
  <c r="AV3465" i="11"/>
  <c r="AU3466" i="11"/>
  <c r="AV3466" i="11"/>
  <c r="AU3467" i="11"/>
  <c r="AV3467" i="11"/>
  <c r="AU3468" i="11"/>
  <c r="AV3468" i="11"/>
  <c r="AU3469" i="11"/>
  <c r="AV3469" i="11"/>
  <c r="AU3470" i="11"/>
  <c r="AV3470" i="11"/>
  <c r="AU3471" i="11"/>
  <c r="AV3471" i="11"/>
  <c r="AU3472" i="11"/>
  <c r="AV3472" i="11"/>
  <c r="AU3473" i="11"/>
  <c r="AV3473" i="11"/>
  <c r="AU3474" i="11"/>
  <c r="AV3474" i="11"/>
  <c r="AU3475" i="11"/>
  <c r="AV3475" i="11"/>
  <c r="AU3476" i="11"/>
  <c r="AV3476" i="11"/>
  <c r="AU3477" i="11"/>
  <c r="AV3477" i="11"/>
  <c r="AU3478" i="11"/>
  <c r="AV3478" i="11"/>
  <c r="AU3479" i="11"/>
  <c r="AV3479" i="11"/>
  <c r="AU3480" i="11"/>
  <c r="AV3480" i="11"/>
  <c r="AU3481" i="11"/>
  <c r="AV3481" i="11"/>
  <c r="AU3482" i="11"/>
  <c r="AV3482" i="11"/>
  <c r="AU3483" i="11"/>
  <c r="AV3483" i="11"/>
  <c r="AU3484" i="11"/>
  <c r="AV3484" i="11"/>
  <c r="AU3485" i="11"/>
  <c r="AV3485" i="11"/>
  <c r="AU3486" i="11"/>
  <c r="AV3486" i="11"/>
  <c r="AU3487" i="11"/>
  <c r="AV3487" i="11"/>
  <c r="AU3488" i="11"/>
  <c r="AV3488" i="11"/>
  <c r="AU3489" i="11"/>
  <c r="AV3489" i="11"/>
  <c r="AU3490" i="11"/>
  <c r="AV3490" i="11"/>
  <c r="AU3491" i="11"/>
  <c r="AV3491" i="11"/>
  <c r="AU3492" i="11"/>
  <c r="AV3492" i="11"/>
  <c r="AU3493" i="11"/>
  <c r="AV3493" i="11"/>
  <c r="AU3494" i="11"/>
  <c r="AV3494" i="11"/>
  <c r="AU3495" i="11"/>
  <c r="AV3495" i="11"/>
  <c r="AU3496" i="11"/>
  <c r="AV3496" i="11"/>
  <c r="AU3497" i="11"/>
  <c r="AV3497" i="11"/>
  <c r="AU3498" i="11"/>
  <c r="AV3498" i="11"/>
  <c r="AU3499" i="11"/>
  <c r="AV3499" i="11"/>
  <c r="AU3500" i="11"/>
  <c r="AV3500" i="11"/>
  <c r="AU3501" i="11"/>
  <c r="AV3501" i="11"/>
  <c r="AU3502" i="11"/>
  <c r="AV3502" i="11"/>
  <c r="AU3503" i="11"/>
  <c r="AV3503" i="11"/>
  <c r="AU3504" i="11"/>
  <c r="AV3504" i="11"/>
  <c r="AU3505" i="11"/>
  <c r="AV3505" i="11"/>
  <c r="AU3506" i="11"/>
  <c r="AV3506" i="11"/>
  <c r="AU3507" i="11"/>
  <c r="AV3507" i="11"/>
  <c r="AU3508" i="11"/>
  <c r="AV3508" i="11"/>
  <c r="AU3509" i="11"/>
  <c r="AV3509" i="11"/>
  <c r="AU3510" i="11"/>
  <c r="AV3510" i="11"/>
  <c r="AU3511" i="11"/>
  <c r="AV3511" i="11"/>
  <c r="AU3512" i="11"/>
  <c r="AV3512" i="11"/>
  <c r="AU3513" i="11"/>
  <c r="AV3513" i="11"/>
  <c r="AU3514" i="11"/>
  <c r="AV3514" i="11"/>
  <c r="AU3515" i="11"/>
  <c r="AV3515" i="11"/>
  <c r="AU3516" i="11"/>
  <c r="AV3516" i="11"/>
  <c r="AU3517" i="11"/>
  <c r="AV3517" i="11"/>
  <c r="AU3518" i="11"/>
  <c r="AV3518" i="11"/>
  <c r="AU3519" i="11"/>
  <c r="AV3519" i="11"/>
  <c r="AU3520" i="11"/>
  <c r="AV3520" i="11"/>
  <c r="AU3521" i="11"/>
  <c r="AV3521" i="11"/>
  <c r="AU3522" i="11"/>
  <c r="AV3522" i="11"/>
  <c r="AU3523" i="11"/>
  <c r="AV3523" i="11"/>
  <c r="AU3524" i="11"/>
  <c r="AV3524" i="11"/>
  <c r="AU3525" i="11"/>
  <c r="AV3525" i="11"/>
  <c r="AU3526" i="11"/>
  <c r="AV3526" i="11"/>
  <c r="AU3527" i="11"/>
  <c r="AV3527" i="11"/>
  <c r="AU3528" i="11"/>
  <c r="AV3528" i="11"/>
  <c r="AU3529" i="11"/>
  <c r="AV3529" i="11"/>
  <c r="AU3530" i="11"/>
  <c r="AV3530" i="11"/>
  <c r="AU3531" i="11"/>
  <c r="AV3531" i="11"/>
  <c r="AU3532" i="11"/>
  <c r="AV3532" i="11"/>
  <c r="AU3533" i="11"/>
  <c r="AV3533" i="11"/>
  <c r="AU3534" i="11"/>
  <c r="AV3534" i="11"/>
  <c r="AU3535" i="11"/>
  <c r="AV3535" i="11"/>
  <c r="AU3536" i="11"/>
  <c r="AV3536" i="11"/>
  <c r="AU3537" i="11"/>
  <c r="AV3537" i="11"/>
  <c r="AU3538" i="11"/>
  <c r="AV3538" i="11"/>
  <c r="AU3539" i="11"/>
  <c r="AV3539" i="11"/>
  <c r="AU3540" i="11"/>
  <c r="AV3540" i="11"/>
  <c r="AU3541" i="11"/>
  <c r="AV3541" i="11"/>
  <c r="AU3542" i="11"/>
  <c r="AV3542" i="11"/>
  <c r="AU3543" i="11"/>
  <c r="AV3543" i="11"/>
  <c r="AU3544" i="11"/>
  <c r="AV3544" i="11"/>
  <c r="AU3545" i="11"/>
  <c r="AV3545" i="11"/>
  <c r="AU3546" i="11"/>
  <c r="AV3546" i="11"/>
  <c r="AU3547" i="11"/>
  <c r="AV3547" i="11"/>
  <c r="AU3548" i="11"/>
  <c r="AV3548" i="11"/>
  <c r="AU3549" i="11"/>
  <c r="AV3549" i="11"/>
  <c r="AU3550" i="11"/>
  <c r="AV3550" i="11"/>
  <c r="AU3551" i="11"/>
  <c r="AV3551" i="11"/>
  <c r="AU3552" i="11"/>
  <c r="AV3552" i="11"/>
  <c r="AU3553" i="11"/>
  <c r="AV3553" i="11"/>
  <c r="AU3554" i="11"/>
  <c r="AV3554" i="11"/>
  <c r="AU3555" i="11"/>
  <c r="AV3555" i="11"/>
  <c r="AU3556" i="11"/>
  <c r="AV3556" i="11"/>
  <c r="AU3557" i="11"/>
  <c r="AV3557" i="11"/>
  <c r="AU3558" i="11"/>
  <c r="AV3558" i="11"/>
  <c r="AU3559" i="11"/>
  <c r="AV3559" i="11"/>
  <c r="AU3560" i="11"/>
  <c r="AV3560" i="11"/>
  <c r="AU3561" i="11"/>
  <c r="AV3561" i="11"/>
  <c r="AU3562" i="11"/>
  <c r="AV3562" i="11"/>
  <c r="AU3563" i="11"/>
  <c r="AV3563" i="11"/>
  <c r="AU3564" i="11"/>
  <c r="AV3564" i="11"/>
  <c r="AU3565" i="11"/>
  <c r="AV3565" i="11"/>
  <c r="AU3566" i="11"/>
  <c r="AV3566" i="11"/>
  <c r="AU3567" i="11"/>
  <c r="AV3567" i="11"/>
  <c r="AU3568" i="11"/>
  <c r="AV3568" i="11"/>
  <c r="AU3569" i="11"/>
  <c r="AV3569" i="11"/>
  <c r="AU3570" i="11"/>
  <c r="AV3570" i="11"/>
  <c r="AU3571" i="11"/>
  <c r="AV3571" i="11"/>
  <c r="AU3572" i="11"/>
  <c r="AV3572" i="11"/>
  <c r="AU3573" i="11"/>
  <c r="AV3573" i="11"/>
  <c r="AU3574" i="11"/>
  <c r="AV3574" i="11"/>
  <c r="AU3575" i="11"/>
  <c r="AV3575" i="11"/>
  <c r="AU3576" i="11"/>
  <c r="AV3576" i="11"/>
  <c r="AU3577" i="11"/>
  <c r="AV3577" i="11"/>
  <c r="AU3578" i="11"/>
  <c r="AV3578" i="11"/>
  <c r="AU3579" i="11"/>
  <c r="AV3579" i="11"/>
  <c r="AU3580" i="11"/>
  <c r="AV3580" i="11"/>
  <c r="AU3581" i="11"/>
  <c r="AV3581" i="11"/>
  <c r="AU3582" i="11"/>
  <c r="AV3582" i="11"/>
  <c r="AU3583" i="11"/>
  <c r="AV3583" i="11"/>
  <c r="AU3584" i="11"/>
  <c r="AV3584" i="11"/>
  <c r="AU3585" i="11"/>
  <c r="AV3585" i="11"/>
  <c r="AU3586" i="11"/>
  <c r="AV3586" i="11"/>
  <c r="AU3587" i="11"/>
  <c r="AV3587" i="11"/>
  <c r="AU3588" i="11"/>
  <c r="AV3588" i="11"/>
  <c r="AU3589" i="11"/>
  <c r="AV3589" i="11"/>
  <c r="AU3590" i="11"/>
  <c r="AV3590" i="11"/>
  <c r="AU3591" i="11"/>
  <c r="AV3591" i="11"/>
  <c r="AU3592" i="11"/>
  <c r="AV3592" i="11"/>
  <c r="AU3593" i="11"/>
  <c r="AV3593" i="11"/>
  <c r="AU3594" i="11"/>
  <c r="AV3594" i="11"/>
  <c r="AU3595" i="11"/>
  <c r="AV3595" i="11"/>
  <c r="AU3596" i="11"/>
  <c r="AV3596" i="11"/>
  <c r="AU3597" i="11"/>
  <c r="AV3597" i="11"/>
  <c r="AU3598" i="11"/>
  <c r="AV3598" i="11"/>
  <c r="AU3599" i="11"/>
  <c r="AV3599" i="11"/>
  <c r="AU3600" i="11"/>
  <c r="AV3600" i="11"/>
  <c r="AU3601" i="11"/>
  <c r="AV3601" i="11"/>
  <c r="AU3602" i="11"/>
  <c r="AV3602" i="11"/>
  <c r="AU3603" i="11"/>
  <c r="AV3603" i="11"/>
  <c r="AU3604" i="11"/>
  <c r="AV3604" i="11"/>
  <c r="AU3605" i="11"/>
  <c r="AV3605" i="11"/>
  <c r="AU3606" i="11"/>
  <c r="AV3606" i="11"/>
  <c r="AU3607" i="11"/>
  <c r="AV3607" i="11"/>
  <c r="AU3608" i="11"/>
  <c r="AV3608" i="11"/>
  <c r="AU3609" i="11"/>
  <c r="AV3609" i="11"/>
  <c r="AU3610" i="11"/>
  <c r="AV3610" i="11"/>
  <c r="AU3611" i="11"/>
  <c r="AV3611" i="11"/>
  <c r="AU3612" i="11"/>
  <c r="AV3612" i="11"/>
  <c r="AU3613" i="11"/>
  <c r="AV3613" i="11"/>
  <c r="AU3614" i="11"/>
  <c r="AV3614" i="11"/>
  <c r="AU3615" i="11"/>
  <c r="AV3615" i="11"/>
  <c r="AU3616" i="11"/>
  <c r="AV3616" i="11"/>
  <c r="AU3617" i="11"/>
  <c r="AV3617" i="11"/>
  <c r="AU3618" i="11"/>
  <c r="AV3618" i="11"/>
  <c r="AU3619" i="11"/>
  <c r="AV3619" i="11"/>
  <c r="AU3620" i="11"/>
  <c r="AV3620" i="11"/>
  <c r="AU3621" i="11"/>
  <c r="AV3621" i="11"/>
  <c r="AU3622" i="11"/>
  <c r="AV3622" i="11"/>
  <c r="AU3623" i="11"/>
  <c r="AV3623" i="11"/>
  <c r="AU3624" i="11"/>
  <c r="AV3624" i="11"/>
  <c r="AU3625" i="11"/>
  <c r="AV3625" i="11"/>
  <c r="AU3626" i="11"/>
  <c r="AV3626" i="11"/>
  <c r="AU3627" i="11"/>
  <c r="AV3627" i="11"/>
  <c r="AU3628" i="11"/>
  <c r="AV3628" i="11"/>
  <c r="AU3629" i="11"/>
  <c r="AV3629" i="11"/>
  <c r="AU3630" i="11"/>
  <c r="AV3630" i="11"/>
  <c r="AU3631" i="11"/>
  <c r="AV3631" i="11"/>
  <c r="AU3632" i="11"/>
  <c r="AV3632" i="11"/>
  <c r="AU3633" i="11"/>
  <c r="AV3633" i="11"/>
  <c r="AU3634" i="11"/>
  <c r="AV3634" i="11"/>
  <c r="AU3635" i="11"/>
  <c r="AV3635" i="11"/>
  <c r="AU3636" i="11"/>
  <c r="AV3636" i="11"/>
  <c r="AU3637" i="11"/>
  <c r="AV3637" i="11"/>
  <c r="AU3638" i="11"/>
  <c r="AV3638" i="11"/>
  <c r="AU3639" i="11"/>
  <c r="AV3639" i="11"/>
  <c r="AU3640" i="11"/>
  <c r="AV3640" i="11"/>
  <c r="AU3641" i="11"/>
  <c r="AV3641" i="11"/>
  <c r="AU3642" i="11"/>
  <c r="AV3642" i="11"/>
  <c r="AU3643" i="11"/>
  <c r="AV3643" i="11"/>
  <c r="AU3644" i="11"/>
  <c r="AV3644" i="11"/>
  <c r="AU3645" i="11"/>
  <c r="AV3645" i="11"/>
  <c r="AU3646" i="11"/>
  <c r="AV3646" i="11"/>
  <c r="AU3647" i="11"/>
  <c r="AV3647" i="11"/>
  <c r="AU3648" i="11"/>
  <c r="AV3648" i="11"/>
  <c r="AU3649" i="11"/>
  <c r="AV3649" i="11"/>
  <c r="AU3650" i="11"/>
  <c r="AV3650" i="11"/>
  <c r="AU3651" i="11"/>
  <c r="AV3651" i="11"/>
  <c r="AU3652" i="11"/>
  <c r="AV3652" i="11"/>
  <c r="AU3653" i="11"/>
  <c r="AV3653" i="11"/>
  <c r="AU3654" i="11"/>
  <c r="AV3654" i="11"/>
  <c r="AU3655" i="11"/>
  <c r="AV3655" i="11"/>
  <c r="AU3656" i="11"/>
  <c r="AV3656" i="11"/>
  <c r="AU3657" i="11"/>
  <c r="AV3657" i="11"/>
  <c r="AU3658" i="11"/>
  <c r="AV3658" i="11"/>
  <c r="AU3659" i="11"/>
  <c r="AV3659" i="11"/>
  <c r="AU3660" i="11"/>
  <c r="AV3660" i="11"/>
  <c r="AU3661" i="11"/>
  <c r="AV3661" i="11"/>
  <c r="AU3662" i="11"/>
  <c r="AV3662" i="11"/>
  <c r="AU3663" i="11"/>
  <c r="AV3663" i="11"/>
  <c r="AU3664" i="11"/>
  <c r="AV3664" i="11"/>
  <c r="AU3665" i="11"/>
  <c r="AV3665" i="11"/>
  <c r="AU3666" i="11"/>
  <c r="AV3666" i="11"/>
  <c r="AU3667" i="11"/>
  <c r="AV3667" i="11"/>
  <c r="AU3668" i="11"/>
  <c r="AV3668" i="11"/>
  <c r="AU3669" i="11"/>
  <c r="AV3669" i="11"/>
  <c r="AU3670" i="11"/>
  <c r="AV3670" i="11"/>
  <c r="AU3671" i="11"/>
  <c r="AV3671" i="11"/>
  <c r="AU3672" i="11"/>
  <c r="AV3672" i="11"/>
  <c r="AU3673" i="11"/>
  <c r="AV3673" i="11"/>
  <c r="AU3674" i="11"/>
  <c r="AV3674" i="11"/>
  <c r="AU3675" i="11"/>
  <c r="AV3675" i="11"/>
  <c r="AU3676" i="11"/>
  <c r="AV3676" i="11"/>
  <c r="AU3677" i="11"/>
  <c r="AV3677" i="11"/>
  <c r="AU3678" i="11"/>
  <c r="AV3678" i="11"/>
  <c r="AU3679" i="11"/>
  <c r="AV3679" i="11"/>
  <c r="AU3680" i="11"/>
  <c r="AV3680" i="11"/>
  <c r="AU3681" i="11"/>
  <c r="AV3681" i="11"/>
  <c r="AU3682" i="11"/>
  <c r="AV3682" i="11"/>
  <c r="AU3683" i="11"/>
  <c r="AV3683" i="11"/>
  <c r="AU3684" i="11"/>
  <c r="AV3684" i="11"/>
  <c r="AU3685" i="11"/>
  <c r="AV3685" i="11"/>
  <c r="AU3686" i="11"/>
  <c r="AV3686" i="11"/>
  <c r="AU3687" i="11"/>
  <c r="AV3687" i="11"/>
  <c r="AU3688" i="11"/>
  <c r="AV3688" i="11"/>
  <c r="AU3689" i="11"/>
  <c r="AV3689" i="11"/>
  <c r="AU3690" i="11"/>
  <c r="AV3690" i="11"/>
  <c r="AU3691" i="11"/>
  <c r="AV3691" i="11"/>
  <c r="AU3692" i="11"/>
  <c r="AV3692" i="11"/>
  <c r="AU3693" i="11"/>
  <c r="AV3693" i="11"/>
  <c r="AU3694" i="11"/>
  <c r="AV3694" i="11"/>
  <c r="AU3695" i="11"/>
  <c r="AV3695" i="11"/>
  <c r="AU3696" i="11"/>
  <c r="AV3696" i="11"/>
  <c r="AU3697" i="11"/>
  <c r="AV3697" i="11"/>
  <c r="AU3698" i="11"/>
  <c r="AV3698" i="11"/>
  <c r="AU3699" i="11"/>
  <c r="AV3699" i="11"/>
  <c r="AU3700" i="11"/>
  <c r="AV3700" i="11"/>
  <c r="AU3701" i="11"/>
  <c r="AV3701" i="11"/>
  <c r="AU3702" i="11"/>
  <c r="AV3702" i="11"/>
  <c r="AU3703" i="11"/>
  <c r="AV3703" i="11"/>
  <c r="AU3704" i="11"/>
  <c r="AV3704" i="11"/>
  <c r="AU3705" i="11"/>
  <c r="AV3705" i="11"/>
  <c r="AU3706" i="11"/>
  <c r="AV3706" i="11"/>
  <c r="AU3707" i="11"/>
  <c r="AV3707" i="11"/>
  <c r="AU3708" i="11"/>
  <c r="AV3708" i="11"/>
  <c r="AU3709" i="11"/>
  <c r="AV3709" i="11"/>
  <c r="AU3710" i="11"/>
  <c r="AV3710" i="11"/>
  <c r="AU3711" i="11"/>
  <c r="AV3711" i="11"/>
  <c r="AU3712" i="11"/>
  <c r="AV3712" i="11"/>
  <c r="AU3713" i="11"/>
  <c r="AV3713" i="11"/>
  <c r="AU3714" i="11"/>
  <c r="AV3714" i="11"/>
  <c r="AU3715" i="11"/>
  <c r="AV3715" i="11"/>
  <c r="AU3716" i="11"/>
  <c r="AV3716" i="11"/>
  <c r="AU3717" i="11"/>
  <c r="AV3717" i="11"/>
  <c r="AU3718" i="11"/>
  <c r="AV3718" i="11"/>
  <c r="AU3719" i="11"/>
  <c r="AV3719" i="11"/>
  <c r="AU3720" i="11"/>
  <c r="AV3720" i="11"/>
  <c r="AU3721" i="11"/>
  <c r="AV3721" i="11"/>
  <c r="AU3722" i="11"/>
  <c r="AV3722" i="11"/>
  <c r="AU3723" i="11"/>
  <c r="AV3723" i="11"/>
  <c r="AU3724" i="11"/>
  <c r="AV3724" i="11"/>
  <c r="AU3725" i="11"/>
  <c r="AV3725" i="11"/>
  <c r="AU3726" i="11"/>
  <c r="AV3726" i="11"/>
  <c r="AU3727" i="11"/>
  <c r="AV3727" i="11"/>
  <c r="AU3728" i="11"/>
  <c r="AV3728" i="11"/>
  <c r="AU3729" i="11"/>
  <c r="AV3729" i="11"/>
  <c r="AU3730" i="11"/>
  <c r="AV3730" i="11"/>
  <c r="AU3731" i="11"/>
  <c r="AV3731" i="11"/>
  <c r="AU3732" i="11"/>
  <c r="AV3732" i="11"/>
  <c r="AU3733" i="11"/>
  <c r="AV3733" i="11"/>
  <c r="AU3734" i="11"/>
  <c r="AV3734" i="11"/>
  <c r="AU3735" i="11"/>
  <c r="AV3735" i="11"/>
  <c r="AU3736" i="11"/>
  <c r="AV3736" i="11"/>
  <c r="AU3737" i="11"/>
  <c r="AV3737" i="11"/>
  <c r="AU3738" i="11"/>
  <c r="AV3738" i="11"/>
  <c r="AU3739" i="11"/>
  <c r="AV3739" i="11"/>
  <c r="AU3740" i="11"/>
  <c r="AV3740" i="11"/>
  <c r="AU3741" i="11"/>
  <c r="AV3741" i="11"/>
  <c r="AU3742" i="11"/>
  <c r="AV3742" i="11"/>
  <c r="AU3743" i="11"/>
  <c r="AV3743" i="11"/>
  <c r="AU3744" i="11"/>
  <c r="AV3744" i="11"/>
  <c r="AU3745" i="11"/>
  <c r="AV3745" i="11"/>
  <c r="AU3746" i="11"/>
  <c r="AV3746" i="11"/>
  <c r="AU3747" i="11"/>
  <c r="AV3747" i="11"/>
  <c r="AU3748" i="11"/>
  <c r="AV3748" i="11"/>
  <c r="AU3749" i="11"/>
  <c r="AV3749" i="11"/>
  <c r="AU3750" i="11"/>
  <c r="AV3750" i="11"/>
  <c r="AU3751" i="11"/>
  <c r="AV3751" i="11"/>
  <c r="AU3752" i="11"/>
  <c r="AV3752" i="11"/>
  <c r="AU3753" i="11"/>
  <c r="AV3753" i="11"/>
  <c r="AU3754" i="11"/>
  <c r="AV3754" i="11"/>
  <c r="AU3755" i="11"/>
  <c r="AV3755" i="11"/>
  <c r="AU3756" i="11"/>
  <c r="AV3756" i="11"/>
  <c r="AU3757" i="11"/>
  <c r="AV3757" i="11"/>
  <c r="AU3758" i="11"/>
  <c r="AV3758" i="11"/>
  <c r="AU3759" i="11"/>
  <c r="AV3759" i="11"/>
  <c r="AU3760" i="11"/>
  <c r="AV3760" i="11"/>
  <c r="AU3761" i="11"/>
  <c r="AV3761" i="11"/>
  <c r="AU3762" i="11"/>
  <c r="AV3762" i="11"/>
  <c r="AU3763" i="11"/>
  <c r="AV3763" i="11"/>
  <c r="AU3764" i="11"/>
  <c r="AV3764" i="11"/>
  <c r="AU3765" i="11"/>
  <c r="AV3765" i="11"/>
  <c r="AU3766" i="11"/>
  <c r="AV3766" i="11"/>
  <c r="AU3767" i="11"/>
  <c r="AV3767" i="11"/>
  <c r="AU3768" i="11"/>
  <c r="AV3768" i="11"/>
  <c r="AU3769" i="11"/>
  <c r="AV3769" i="11"/>
  <c r="AU3770" i="11"/>
  <c r="AV3770" i="11"/>
  <c r="AU3771" i="11"/>
  <c r="AV3771" i="11"/>
  <c r="AU3772" i="11"/>
  <c r="AV3772" i="11"/>
  <c r="AU3773" i="11"/>
  <c r="AV3773" i="11"/>
  <c r="AU3774" i="11"/>
  <c r="AV3774" i="11"/>
  <c r="AU3775" i="11"/>
  <c r="AV3775" i="11"/>
  <c r="AU3776" i="11"/>
  <c r="AV3776" i="11"/>
  <c r="AU3777" i="11"/>
  <c r="AV3777" i="11"/>
  <c r="AU3778" i="11"/>
  <c r="AV3778" i="11"/>
  <c r="AU3779" i="11"/>
  <c r="AV3779" i="11"/>
  <c r="AU3780" i="11"/>
  <c r="AV3780" i="11"/>
  <c r="AU3781" i="11"/>
  <c r="AV3781" i="11"/>
  <c r="AU3782" i="11"/>
  <c r="AV3782" i="11"/>
  <c r="AU3783" i="11"/>
  <c r="AV3783" i="11"/>
  <c r="AU3784" i="11"/>
  <c r="AV3784" i="11"/>
  <c r="AU3785" i="11"/>
  <c r="AV3785" i="11"/>
  <c r="AU3786" i="11"/>
  <c r="AV3786" i="11"/>
  <c r="AU3787" i="11"/>
  <c r="AV3787" i="11"/>
  <c r="AU3788" i="11"/>
  <c r="AV3788" i="11"/>
  <c r="AU3789" i="11"/>
  <c r="AV3789" i="11"/>
  <c r="AU3790" i="11"/>
  <c r="AV3790" i="11"/>
  <c r="AU3791" i="11"/>
  <c r="AV3791" i="11"/>
  <c r="AU3792" i="11"/>
  <c r="AV3792" i="11"/>
  <c r="AU3793" i="11"/>
  <c r="AV3793" i="11"/>
  <c r="AU3794" i="11"/>
  <c r="AV3794" i="11"/>
  <c r="AU3795" i="11"/>
  <c r="AV3795" i="11"/>
  <c r="AU3796" i="11"/>
  <c r="AV3796" i="11"/>
  <c r="AU3797" i="11"/>
  <c r="AV3797" i="11"/>
  <c r="AU3798" i="11"/>
  <c r="AV3798" i="11"/>
  <c r="AU3799" i="11"/>
  <c r="AV3799" i="11"/>
  <c r="AU3800" i="11"/>
  <c r="AV3800" i="11"/>
  <c r="AU3801" i="11"/>
  <c r="AV3801" i="11"/>
  <c r="AU3802" i="11"/>
  <c r="AV3802" i="11"/>
  <c r="AU3803" i="11"/>
  <c r="AV3803" i="11"/>
  <c r="AU3804" i="11"/>
  <c r="AV3804" i="11"/>
  <c r="AU3805" i="11"/>
  <c r="AV3805" i="11"/>
  <c r="AU3806" i="11"/>
  <c r="AV3806" i="11"/>
  <c r="AU3807" i="11"/>
  <c r="AV3807" i="11"/>
  <c r="AU3808" i="11"/>
  <c r="AV3808" i="11"/>
  <c r="AU3809" i="11"/>
  <c r="AV3809" i="11"/>
  <c r="AU3810" i="11"/>
  <c r="AV3810" i="11"/>
  <c r="AU3811" i="11"/>
  <c r="AV3811" i="11"/>
  <c r="AU3812" i="11"/>
  <c r="AV3812" i="11"/>
  <c r="AU3813" i="11"/>
  <c r="AV3813" i="11"/>
  <c r="AU3814" i="11"/>
  <c r="AV3814" i="11"/>
  <c r="AU3815" i="11"/>
  <c r="AV3815" i="11"/>
  <c r="AU3816" i="11"/>
  <c r="AV3816" i="11"/>
  <c r="AU3817" i="11"/>
  <c r="AV3817" i="11"/>
  <c r="AU3818" i="11"/>
  <c r="AV3818" i="11"/>
  <c r="AU3819" i="11"/>
  <c r="AV3819" i="11"/>
  <c r="AU3820" i="11"/>
  <c r="AV3820" i="11"/>
  <c r="AU3821" i="11"/>
  <c r="AV3821" i="11"/>
  <c r="AU3822" i="11"/>
  <c r="AV3822" i="11"/>
  <c r="AU3823" i="11"/>
  <c r="AV3823" i="11"/>
  <c r="L175" i="3" s="1"/>
  <c r="AU3824" i="11"/>
  <c r="AV3824" i="11"/>
  <c r="AU3825" i="11"/>
  <c r="AV3825" i="11"/>
  <c r="AU3826" i="11"/>
  <c r="AV3826" i="11"/>
  <c r="AU3827" i="11"/>
  <c r="AV3827" i="11"/>
  <c r="AU3828" i="11"/>
  <c r="AV3828" i="11"/>
  <c r="AU3829" i="11"/>
  <c r="AV3829" i="11"/>
  <c r="AU3830" i="11"/>
  <c r="AV3830" i="11"/>
  <c r="AU3831" i="11"/>
  <c r="AV3831" i="11"/>
  <c r="AU3832" i="11"/>
  <c r="AV3832" i="11"/>
  <c r="AU3833" i="11"/>
  <c r="AV3833" i="11"/>
  <c r="AU3834" i="11"/>
  <c r="AV3834" i="11"/>
  <c r="AU3835" i="11"/>
  <c r="AV3835" i="11"/>
  <c r="AU3836" i="11"/>
  <c r="AV3836" i="11"/>
  <c r="AU3837" i="11"/>
  <c r="AV3837" i="11"/>
  <c r="AU3838" i="11"/>
  <c r="AV3838" i="11"/>
  <c r="AU3839" i="11"/>
  <c r="AV3839" i="11"/>
  <c r="AU3840" i="11"/>
  <c r="AV3840" i="11"/>
  <c r="AU3841" i="11"/>
  <c r="AV3841" i="11"/>
  <c r="AU3842" i="11"/>
  <c r="AV3842" i="11"/>
  <c r="AU3843" i="11"/>
  <c r="AV3843" i="11"/>
  <c r="AU3844" i="11"/>
  <c r="AV3844" i="11"/>
  <c r="AU3845" i="11"/>
  <c r="AV3845" i="11"/>
  <c r="AU3846" i="11"/>
  <c r="AV3846" i="11"/>
  <c r="AU3847" i="11"/>
  <c r="AV3847" i="11"/>
  <c r="AU3848" i="11"/>
  <c r="AV3848" i="11"/>
  <c r="AU3849" i="11"/>
  <c r="AV3849" i="11"/>
  <c r="AU3850" i="11"/>
  <c r="AV3850" i="11"/>
  <c r="AU3851" i="11"/>
  <c r="AV3851" i="11"/>
  <c r="AU3852" i="11"/>
  <c r="AV3852" i="11"/>
  <c r="AU3853" i="11"/>
  <c r="AV3853" i="11"/>
  <c r="AU3854" i="11"/>
  <c r="AV3854" i="11"/>
  <c r="AU3855" i="11"/>
  <c r="AV3855" i="11"/>
  <c r="AU3856" i="11"/>
  <c r="AV3856" i="11"/>
  <c r="AU3857" i="11"/>
  <c r="AV3857" i="11"/>
  <c r="AU3858" i="11"/>
  <c r="AV3858" i="11"/>
  <c r="AU3859" i="11"/>
  <c r="AV3859" i="11"/>
  <c r="AU3860" i="11"/>
  <c r="AV3860" i="11"/>
  <c r="AU3861" i="11"/>
  <c r="AV3861" i="11"/>
  <c r="AU3862" i="11"/>
  <c r="AV3862" i="11"/>
  <c r="AU3863" i="11"/>
  <c r="AV3863" i="11"/>
  <c r="AU3864" i="11"/>
  <c r="AV3864" i="11"/>
  <c r="AU3865" i="11"/>
  <c r="AV3865" i="11"/>
  <c r="AU3866" i="11"/>
  <c r="AV3866" i="11"/>
  <c r="AU3867" i="11"/>
  <c r="AV3867" i="11"/>
  <c r="AU3868" i="11"/>
  <c r="AV3868" i="11"/>
  <c r="AU3869" i="11"/>
  <c r="AV3869" i="11"/>
  <c r="AU3870" i="11"/>
  <c r="AV3870" i="11"/>
  <c r="AU3871" i="11"/>
  <c r="AV3871" i="11"/>
  <c r="AU3872" i="11"/>
  <c r="AV3872" i="11"/>
  <c r="AU3873" i="11"/>
  <c r="AV3873" i="11"/>
  <c r="AU3874" i="11"/>
  <c r="AV3874" i="11"/>
  <c r="AU3875" i="11"/>
  <c r="AV3875" i="11"/>
  <c r="AU3876" i="11"/>
  <c r="AV3876" i="11"/>
  <c r="AU3877" i="11"/>
  <c r="AV3877" i="11"/>
  <c r="AU3878" i="11"/>
  <c r="AV3878" i="11"/>
  <c r="AU3879" i="11"/>
  <c r="AV3879" i="11"/>
  <c r="AU3880" i="11"/>
  <c r="AV3880" i="11"/>
  <c r="AU3881" i="11"/>
  <c r="AV3881" i="11"/>
  <c r="AU3882" i="11"/>
  <c r="AV3882" i="11"/>
  <c r="AU3883" i="11"/>
  <c r="AV3883" i="11"/>
  <c r="AU3884" i="11"/>
  <c r="AV3884" i="11"/>
  <c r="AU3885" i="11"/>
  <c r="AV3885" i="11"/>
  <c r="AU3886" i="11"/>
  <c r="AV3886" i="11"/>
  <c r="AU3887" i="11"/>
  <c r="AV3887" i="11"/>
  <c r="AU3888" i="11"/>
  <c r="AV3888" i="11"/>
  <c r="AU3889" i="11"/>
  <c r="AV3889" i="11"/>
  <c r="AU3890" i="11"/>
  <c r="AV3890" i="11"/>
  <c r="AU3891" i="11"/>
  <c r="AV3891" i="11"/>
  <c r="AU3892" i="11"/>
  <c r="AV3892" i="11"/>
  <c r="AU3893" i="11"/>
  <c r="AV3893" i="11"/>
  <c r="AU3894" i="11"/>
  <c r="AV3894" i="11"/>
  <c r="AU3895" i="11"/>
  <c r="AV3895" i="11"/>
  <c r="AU3896" i="11"/>
  <c r="AV3896" i="11"/>
  <c r="AU3897" i="11"/>
  <c r="AV3897" i="11"/>
  <c r="AU3898" i="11"/>
  <c r="AV3898" i="11"/>
  <c r="AU3899" i="11"/>
  <c r="AV3899" i="11"/>
  <c r="AU3900" i="11"/>
  <c r="AV3900" i="11"/>
  <c r="AU3901" i="11"/>
  <c r="AV3901" i="11"/>
  <c r="AU3902" i="11"/>
  <c r="AV3902" i="11"/>
  <c r="AU3903" i="11"/>
  <c r="AV3903" i="11"/>
  <c r="AU3904" i="11"/>
  <c r="AV3904" i="11"/>
  <c r="AU3905" i="11"/>
  <c r="AV3905" i="11"/>
  <c r="AU3906" i="11"/>
  <c r="AV3906" i="11"/>
  <c r="AU3907" i="11"/>
  <c r="AV3907" i="11"/>
  <c r="AU3908" i="11"/>
  <c r="AV3908" i="11"/>
  <c r="AU3909" i="11"/>
  <c r="AV3909" i="11"/>
  <c r="AU3910" i="11"/>
  <c r="AV3910" i="11"/>
  <c r="AU3911" i="11"/>
  <c r="AV3911" i="11"/>
  <c r="AU3912" i="11"/>
  <c r="AV3912" i="11"/>
  <c r="AU3913" i="11"/>
  <c r="AV3913" i="11"/>
  <c r="AU3914" i="11"/>
  <c r="AV3914" i="11"/>
  <c r="AU3915" i="11"/>
  <c r="AV3915" i="11"/>
  <c r="AU3916" i="11"/>
  <c r="AV3916" i="11"/>
  <c r="AU3917" i="11"/>
  <c r="AV3917" i="11"/>
  <c r="AU3918" i="11"/>
  <c r="AV3918" i="11"/>
  <c r="AU3919" i="11"/>
  <c r="AV3919" i="11"/>
  <c r="AU3920" i="11"/>
  <c r="AV3920" i="11"/>
  <c r="AU3921" i="11"/>
  <c r="AV3921" i="11"/>
  <c r="AU3922" i="11"/>
  <c r="AV3922" i="11"/>
  <c r="AU3923" i="11"/>
  <c r="AV3923" i="11"/>
  <c r="AU3924" i="11"/>
  <c r="AV3924" i="11"/>
  <c r="AU3925" i="11"/>
  <c r="AV3925" i="11"/>
  <c r="AU3926" i="11"/>
  <c r="AV3926" i="11"/>
  <c r="AU3927" i="11"/>
  <c r="AV3927" i="11"/>
  <c r="AU3928" i="11"/>
  <c r="AV3928" i="11"/>
  <c r="AU3929" i="11"/>
  <c r="AV3929" i="11"/>
  <c r="AU3930" i="11"/>
  <c r="AV3930" i="11"/>
  <c r="AU3931" i="11"/>
  <c r="AV3931" i="11"/>
  <c r="AU3932" i="11"/>
  <c r="AV3932" i="11"/>
  <c r="AU3933" i="11"/>
  <c r="AV3933" i="11"/>
  <c r="AU3934" i="11"/>
  <c r="AV3934" i="11"/>
  <c r="AU3935" i="11"/>
  <c r="AV3935" i="11"/>
  <c r="AU3936" i="11"/>
  <c r="AV3936" i="11"/>
  <c r="AU3937" i="11"/>
  <c r="AV3937" i="11"/>
  <c r="AU3938" i="11"/>
  <c r="AV3938" i="11"/>
  <c r="AU3939" i="11"/>
  <c r="AV3939" i="11"/>
  <c r="AU3940" i="11"/>
  <c r="AV3940" i="11"/>
  <c r="AU3941" i="11"/>
  <c r="AV3941" i="11"/>
  <c r="AU3942" i="11"/>
  <c r="AV3942" i="11"/>
  <c r="AU3943" i="11"/>
  <c r="AV3943" i="11"/>
  <c r="AU3944" i="11"/>
  <c r="AV3944" i="11"/>
  <c r="AU3945" i="11"/>
  <c r="AV3945" i="11"/>
  <c r="AU3946" i="11"/>
  <c r="AV3946" i="11"/>
  <c r="AU3947" i="11"/>
  <c r="AV3947" i="11"/>
  <c r="AU3948" i="11"/>
  <c r="AV3948" i="11"/>
  <c r="AU3949" i="11"/>
  <c r="AV3949" i="11"/>
  <c r="AU3950" i="11"/>
  <c r="AV3950" i="11"/>
  <c r="AU3951" i="11"/>
  <c r="AV3951" i="11"/>
  <c r="AU3952" i="11"/>
  <c r="AV3952" i="11"/>
  <c r="AU3953" i="11"/>
  <c r="AV3953" i="11"/>
  <c r="AU3954" i="11"/>
  <c r="AV3954" i="11"/>
  <c r="AU3955" i="11"/>
  <c r="AV3955" i="11"/>
  <c r="AU3956" i="11"/>
  <c r="AV3956" i="11"/>
  <c r="AU3957" i="11"/>
  <c r="AV3957" i="11"/>
  <c r="AU3958" i="11"/>
  <c r="AV3958" i="11"/>
  <c r="AU3959" i="11"/>
  <c r="AV3959" i="11"/>
  <c r="AU3960" i="11"/>
  <c r="AV3960" i="11"/>
  <c r="AU3961" i="11"/>
  <c r="AV3961" i="11"/>
  <c r="AU3962" i="11"/>
  <c r="AV3962" i="11"/>
  <c r="AU3963" i="11"/>
  <c r="AV3963" i="11"/>
  <c r="AU3964" i="11"/>
  <c r="AV3964" i="11"/>
  <c r="AU3965" i="11"/>
  <c r="AV3965" i="11"/>
  <c r="AU3966" i="11"/>
  <c r="AV3966" i="11"/>
  <c r="AU3967" i="11"/>
  <c r="AV3967" i="11"/>
  <c r="AU3968" i="11"/>
  <c r="AV3968" i="11"/>
  <c r="AU3969" i="11"/>
  <c r="AV3969" i="11"/>
  <c r="AU3970" i="11"/>
  <c r="AV3970" i="11"/>
  <c r="AU3971" i="11"/>
  <c r="AV3971" i="11"/>
  <c r="V183" i="3" s="1"/>
  <c r="AU3972" i="11"/>
  <c r="AV3972" i="11"/>
  <c r="AU3973" i="11"/>
  <c r="AV3973" i="11"/>
  <c r="AU3974" i="11"/>
  <c r="AV3974" i="11"/>
  <c r="AU3975" i="11"/>
  <c r="AV3975" i="11"/>
  <c r="AU3976" i="11"/>
  <c r="AV3976" i="11"/>
  <c r="AU3977" i="11"/>
  <c r="AV3977" i="11"/>
  <c r="AU3978" i="11"/>
  <c r="AV3978" i="11"/>
  <c r="AU3979" i="11"/>
  <c r="AV3979" i="11"/>
  <c r="AU3980" i="11"/>
  <c r="AV3980" i="11"/>
  <c r="AU3981" i="11"/>
  <c r="AV3981" i="11"/>
  <c r="AU3982" i="11"/>
  <c r="AV3982" i="11"/>
  <c r="AU3983" i="11"/>
  <c r="AV3983" i="11"/>
  <c r="AU3984" i="11"/>
  <c r="AV3984" i="11"/>
  <c r="AU3985" i="11"/>
  <c r="AV3985" i="11"/>
  <c r="AU3986" i="11"/>
  <c r="AV3986" i="11"/>
  <c r="AU3987" i="11"/>
  <c r="AV3987" i="11"/>
  <c r="AU3988" i="11"/>
  <c r="AV3988" i="11"/>
  <c r="AU3989" i="11"/>
  <c r="AV3989" i="11"/>
  <c r="AU3990" i="11"/>
  <c r="AV3990" i="11"/>
  <c r="AU3991" i="11"/>
  <c r="AV3991" i="11"/>
  <c r="AU3992" i="11"/>
  <c r="AV3992" i="11"/>
  <c r="AU3993" i="11"/>
  <c r="AV3993" i="11"/>
  <c r="AU3994" i="11"/>
  <c r="AV3994" i="11"/>
  <c r="AU3995" i="11"/>
  <c r="AV3995" i="11"/>
  <c r="AU3996" i="11"/>
  <c r="AV3996" i="11"/>
  <c r="AU3997" i="11"/>
  <c r="AV3997" i="11"/>
  <c r="AU3998" i="11"/>
  <c r="AV3998" i="11"/>
  <c r="AU3999" i="11"/>
  <c r="AV3999" i="11"/>
  <c r="AU4000" i="11"/>
  <c r="AV4000" i="11"/>
  <c r="AU4001" i="11"/>
  <c r="AV4001" i="11"/>
  <c r="AU4002" i="11"/>
  <c r="AV4002" i="11"/>
  <c r="AU4003" i="11"/>
  <c r="AV4003" i="11"/>
  <c r="AU4004" i="11"/>
  <c r="AV4004" i="11"/>
  <c r="AU4005" i="11"/>
  <c r="AV4005" i="11"/>
  <c r="AU4006" i="11"/>
  <c r="AV4006" i="11"/>
  <c r="AU4007" i="11"/>
  <c r="AV4007" i="11"/>
  <c r="AU4008" i="11"/>
  <c r="AV4008" i="11"/>
  <c r="AU4009" i="11"/>
  <c r="AV4009" i="11"/>
  <c r="AU4010" i="11"/>
  <c r="AV4010" i="11"/>
  <c r="AU4011" i="11"/>
  <c r="AV4011" i="11"/>
  <c r="AU4012" i="11"/>
  <c r="AV4012" i="11"/>
  <c r="AU4013" i="11"/>
  <c r="AV4013" i="11"/>
  <c r="AU4014" i="11"/>
  <c r="AV4014" i="11"/>
  <c r="AU4015" i="11"/>
  <c r="AV4015" i="11"/>
  <c r="AU4016" i="11"/>
  <c r="AV4016" i="11"/>
  <c r="AU4017" i="11"/>
  <c r="AV4017" i="11"/>
  <c r="AU4018" i="11"/>
  <c r="AV4018" i="11"/>
  <c r="AU4019" i="11"/>
  <c r="AV4019" i="11"/>
  <c r="AU4020" i="11"/>
  <c r="AV4020" i="11"/>
  <c r="AU4021" i="11"/>
  <c r="AV4021" i="11"/>
  <c r="AU4022" i="11"/>
  <c r="AV4022" i="11"/>
  <c r="AU4023" i="11"/>
  <c r="AV4023" i="11"/>
  <c r="AU4024" i="11"/>
  <c r="AV4024" i="11"/>
  <c r="AU4025" i="11"/>
  <c r="AV4025" i="11"/>
  <c r="AU4026" i="11"/>
  <c r="AV4026" i="11"/>
  <c r="AU4027" i="11"/>
  <c r="AV4027" i="11"/>
  <c r="AU4028" i="11"/>
  <c r="AV4028" i="11"/>
  <c r="AU4029" i="11"/>
  <c r="AV4029" i="11"/>
  <c r="AU4030" i="11"/>
  <c r="AV4030" i="11"/>
  <c r="AU4031" i="11"/>
  <c r="AV4031" i="11"/>
  <c r="AU4032" i="11"/>
  <c r="AV4032" i="11"/>
  <c r="AU4033" i="11"/>
  <c r="AV4033" i="11"/>
  <c r="AU4034" i="11"/>
  <c r="AV4034" i="11"/>
  <c r="AU4035" i="11"/>
  <c r="AV4035" i="11"/>
  <c r="AU4036" i="11"/>
  <c r="AV4036" i="11"/>
  <c r="AU4037" i="11"/>
  <c r="AV4037" i="11"/>
  <c r="AU4038" i="11"/>
  <c r="AV4038" i="11"/>
  <c r="AU4039" i="11"/>
  <c r="AV4039" i="11"/>
  <c r="AU4040" i="11"/>
  <c r="AV4040" i="11"/>
  <c r="AU4041" i="11"/>
  <c r="AV4041" i="11"/>
  <c r="AU4042" i="11"/>
  <c r="AV4042" i="11"/>
  <c r="AU4043" i="11"/>
  <c r="AV4043" i="11"/>
  <c r="AU4044" i="11"/>
  <c r="AV4044" i="11"/>
  <c r="AU4045" i="11"/>
  <c r="AV4045" i="11"/>
  <c r="AU4046" i="11"/>
  <c r="AV4046" i="11"/>
  <c r="AU4047" i="11"/>
  <c r="AV4047" i="11"/>
  <c r="AU4048" i="11"/>
  <c r="AV4048" i="11"/>
  <c r="AU4049" i="11"/>
  <c r="AV4049" i="11"/>
  <c r="AU4050" i="11"/>
  <c r="AV4050" i="11"/>
  <c r="AU4051" i="11"/>
  <c r="AV4051" i="11"/>
  <c r="AU4052" i="11"/>
  <c r="AV4052" i="11"/>
  <c r="AU4053" i="11"/>
  <c r="AV4053" i="11"/>
  <c r="AU4054" i="11"/>
  <c r="AV4054" i="11"/>
  <c r="AU4055" i="11"/>
  <c r="AV4055" i="11"/>
  <c r="AU4056" i="11"/>
  <c r="AV4056" i="11"/>
  <c r="AU4057" i="11"/>
  <c r="AV4057" i="11"/>
  <c r="AU4058" i="11"/>
  <c r="AV4058" i="11"/>
  <c r="AU4059" i="11"/>
  <c r="AV4059" i="11"/>
  <c r="AU4060" i="11"/>
  <c r="AV4060" i="11"/>
  <c r="AU4061" i="11"/>
  <c r="AV4061" i="11"/>
  <c r="AU4062" i="11"/>
  <c r="AV4062" i="11"/>
  <c r="AU4063" i="11"/>
  <c r="AV4063" i="11"/>
  <c r="AU4064" i="11"/>
  <c r="AV4064" i="11"/>
  <c r="AU4065" i="11"/>
  <c r="AV4065" i="11"/>
  <c r="AU4066" i="11"/>
  <c r="AV4066" i="11"/>
  <c r="AU4067" i="11"/>
  <c r="AV4067" i="11"/>
  <c r="AU4068" i="11"/>
  <c r="AV4068" i="11"/>
  <c r="AU4069" i="11"/>
  <c r="AV4069" i="11"/>
  <c r="AU4070" i="11"/>
  <c r="AV4070" i="11"/>
  <c r="AU4071" i="11"/>
  <c r="AV4071" i="11"/>
  <c r="AU4072" i="11"/>
  <c r="AV4072" i="11"/>
  <c r="AU4073" i="11"/>
  <c r="AV4073" i="11"/>
  <c r="AU4074" i="11"/>
  <c r="AV4074" i="11"/>
  <c r="AU4075" i="11"/>
  <c r="AV4075" i="11"/>
  <c r="AU4076" i="11"/>
  <c r="AV4076" i="11"/>
  <c r="AU4077" i="11"/>
  <c r="AV4077" i="11"/>
  <c r="AU4078" i="11"/>
  <c r="AV4078" i="11"/>
  <c r="AU4079" i="11"/>
  <c r="AV4079" i="11"/>
  <c r="AU4080" i="11"/>
  <c r="AV4080" i="11"/>
  <c r="AU4081" i="11"/>
  <c r="AV4081" i="11"/>
  <c r="AU4082" i="11"/>
  <c r="AV4082" i="11"/>
  <c r="AU4083" i="11"/>
  <c r="AV4083" i="11"/>
  <c r="AU4084" i="11"/>
  <c r="AV4084" i="11"/>
  <c r="AU4085" i="11"/>
  <c r="AV4085" i="11"/>
  <c r="AU4086" i="11"/>
  <c r="AV4086" i="11"/>
  <c r="AU4087" i="11"/>
  <c r="AV4087" i="11"/>
  <c r="AU4088" i="11"/>
  <c r="AV4088" i="11"/>
  <c r="AU4089" i="11"/>
  <c r="AV4089" i="11"/>
  <c r="AU4090" i="11"/>
  <c r="AV4090" i="11"/>
  <c r="AU4091" i="11"/>
  <c r="AV4091" i="11"/>
  <c r="AU4092" i="11"/>
  <c r="AV4092" i="11"/>
  <c r="AU4093" i="11"/>
  <c r="AV4093" i="11"/>
  <c r="AU4094" i="11"/>
  <c r="AV4094" i="11"/>
  <c r="AU4095" i="11"/>
  <c r="AV4095" i="11"/>
  <c r="AU4096" i="11"/>
  <c r="AV4096" i="11"/>
  <c r="AU4097" i="11"/>
  <c r="AV4097" i="11"/>
  <c r="AU4098" i="11"/>
  <c r="AV4098" i="11"/>
  <c r="AU4099" i="11"/>
  <c r="AV4099" i="11"/>
  <c r="AU4100" i="11"/>
  <c r="AV4100" i="11"/>
  <c r="AU4101" i="11"/>
  <c r="AV4101" i="11"/>
  <c r="AU4102" i="11"/>
  <c r="AV4102" i="11"/>
  <c r="AU4103" i="11"/>
  <c r="AV4103" i="11"/>
  <c r="AU4104" i="11"/>
  <c r="AV4104" i="11"/>
  <c r="AU4105" i="11"/>
  <c r="AV4105" i="11"/>
  <c r="AU4106" i="11"/>
  <c r="AV4106" i="11"/>
  <c r="AU4107" i="11"/>
  <c r="AV4107" i="11"/>
  <c r="AU4108" i="11"/>
  <c r="AV4108" i="11"/>
  <c r="AU4109" i="11"/>
  <c r="AV4109" i="11"/>
  <c r="AU4110" i="11"/>
  <c r="AV4110" i="11"/>
  <c r="AU4111" i="11"/>
  <c r="AV4111" i="11"/>
  <c r="AU4112" i="11"/>
  <c r="AV4112" i="11"/>
  <c r="AU4113" i="11"/>
  <c r="AV4113" i="11"/>
  <c r="AU4114" i="11"/>
  <c r="AV4114" i="11"/>
  <c r="AU4115" i="11"/>
  <c r="AV4115" i="11"/>
  <c r="AU4116" i="11"/>
  <c r="AV4116" i="11"/>
  <c r="AU4117" i="11"/>
  <c r="AV4117" i="11"/>
  <c r="AU4118" i="11"/>
  <c r="AV4118" i="11"/>
  <c r="AU4119" i="11"/>
  <c r="AV4119" i="11"/>
  <c r="AU4120" i="11"/>
  <c r="AV4120" i="11"/>
  <c r="AU4121" i="11"/>
  <c r="AV4121" i="11"/>
  <c r="AU4122" i="11"/>
  <c r="AV4122" i="11"/>
  <c r="AU4123" i="11"/>
  <c r="AV4123" i="11"/>
  <c r="AU4124" i="11"/>
  <c r="AV4124" i="11"/>
  <c r="AU4125" i="11"/>
  <c r="AV4125" i="11"/>
  <c r="AU4126" i="11"/>
  <c r="AV4126" i="11"/>
  <c r="AU4127" i="11"/>
  <c r="AV4127" i="11"/>
  <c r="AU4128" i="11"/>
  <c r="AV4128" i="11"/>
  <c r="AU4129" i="11"/>
  <c r="AV4129" i="11"/>
  <c r="AU4130" i="11"/>
  <c r="AV4130" i="11"/>
  <c r="AU4131" i="11"/>
  <c r="AV4131" i="11"/>
  <c r="AU4132" i="11"/>
  <c r="AV4132" i="11"/>
  <c r="AU4133" i="11"/>
  <c r="AV4133" i="11"/>
  <c r="AU4134" i="11"/>
  <c r="AV4134" i="11"/>
  <c r="AU4135" i="11"/>
  <c r="AV4135" i="11"/>
  <c r="AU4136" i="11"/>
  <c r="AV4136" i="11"/>
  <c r="AU4137" i="11"/>
  <c r="AV4137" i="11"/>
  <c r="AU4138" i="11"/>
  <c r="AV4138" i="11"/>
  <c r="AU4139" i="11"/>
  <c r="AV4139" i="11"/>
  <c r="AU4140" i="11"/>
  <c r="AV4140" i="11"/>
  <c r="AU4141" i="11"/>
  <c r="AV4141" i="11"/>
  <c r="AU4142" i="11"/>
  <c r="AV4142" i="11"/>
  <c r="AU4143" i="11"/>
  <c r="AV4143" i="11"/>
  <c r="AU4144" i="11"/>
  <c r="AV4144" i="11"/>
  <c r="AU4145" i="11"/>
  <c r="AV4145" i="11"/>
  <c r="AU4146" i="11"/>
  <c r="AV4146" i="11"/>
  <c r="AU4147" i="11"/>
  <c r="AV4147" i="11"/>
  <c r="AU4148" i="11"/>
  <c r="AV4148" i="11"/>
  <c r="AU4149" i="11"/>
  <c r="AV4149" i="11"/>
  <c r="AU4150" i="11"/>
  <c r="AV4150" i="11"/>
  <c r="AU4151" i="11"/>
  <c r="AV4151" i="11"/>
  <c r="AU4152" i="11"/>
  <c r="AV4152" i="11"/>
  <c r="AU4153" i="11"/>
  <c r="AV4153" i="11"/>
  <c r="AU4154" i="11"/>
  <c r="AV4154" i="11"/>
  <c r="AU4155" i="11"/>
  <c r="AV4155" i="11"/>
  <c r="AU4156" i="11"/>
  <c r="AV4156" i="11"/>
  <c r="AU4157" i="11"/>
  <c r="AV4157" i="11"/>
  <c r="AU4158" i="11"/>
  <c r="AV4158" i="11"/>
  <c r="AU4159" i="11"/>
  <c r="AV4159" i="11"/>
  <c r="AU4160" i="11"/>
  <c r="AV4160" i="11"/>
  <c r="AU4161" i="11"/>
  <c r="AV4161" i="11"/>
  <c r="AU4162" i="11"/>
  <c r="AV4162" i="11"/>
  <c r="AU4163" i="11"/>
  <c r="AV4163" i="11"/>
  <c r="AU4164" i="11"/>
  <c r="AV4164" i="11"/>
  <c r="AU4165" i="11"/>
  <c r="AV4165" i="11"/>
  <c r="AU4166" i="11"/>
  <c r="AV4166" i="11"/>
  <c r="AU4167" i="11"/>
  <c r="AV4167" i="11"/>
  <c r="AU4168" i="11"/>
  <c r="AV4168" i="11"/>
  <c r="AU4169" i="11"/>
  <c r="AV4169" i="11"/>
  <c r="AU4170" i="11"/>
  <c r="AV4170" i="11"/>
  <c r="AU4171" i="11"/>
  <c r="AV4171" i="11"/>
  <c r="AU4172" i="11"/>
  <c r="AV4172" i="11"/>
  <c r="AU4173" i="11"/>
  <c r="AV4173" i="11"/>
  <c r="AU4174" i="11"/>
  <c r="AV4174" i="11"/>
  <c r="AU4175" i="11"/>
  <c r="AV4175" i="11"/>
  <c r="AU4176" i="11"/>
  <c r="AV4176" i="11"/>
  <c r="AU4177" i="11"/>
  <c r="AV4177" i="11"/>
  <c r="AU4178" i="11"/>
  <c r="AV4178" i="11"/>
  <c r="AU4179" i="11"/>
  <c r="AV4179" i="11"/>
  <c r="AU4180" i="11"/>
  <c r="AV4180" i="11"/>
  <c r="AU4181" i="11"/>
  <c r="AV4181" i="11"/>
  <c r="AU4182" i="11"/>
  <c r="AV4182" i="11"/>
  <c r="AU4183" i="11"/>
  <c r="AV4183" i="11"/>
  <c r="AU4184" i="11"/>
  <c r="AV4184" i="11"/>
  <c r="AU4185" i="11"/>
  <c r="AV4185" i="11"/>
  <c r="AU4186" i="11"/>
  <c r="AV4186" i="11"/>
  <c r="AU4187" i="11"/>
  <c r="AV4187" i="11"/>
  <c r="AU4188" i="11"/>
  <c r="AV4188" i="11"/>
  <c r="AU4189" i="11"/>
  <c r="AV4189" i="11"/>
  <c r="AU4190" i="11"/>
  <c r="AV4190" i="11"/>
  <c r="AU4191" i="11"/>
  <c r="AV4191" i="11"/>
  <c r="AU4192" i="11"/>
  <c r="AV4192" i="11"/>
  <c r="AU4193" i="11"/>
  <c r="AV4193" i="11"/>
  <c r="AU4194" i="11"/>
  <c r="AV4194" i="11"/>
  <c r="AU4195" i="11"/>
  <c r="AV4195" i="11"/>
  <c r="AU4196" i="11"/>
  <c r="AV4196" i="11"/>
  <c r="AU4197" i="11"/>
  <c r="AV4197" i="11"/>
  <c r="AU4198" i="11"/>
  <c r="AV4198" i="11"/>
  <c r="AU4199" i="11"/>
  <c r="AV4199" i="11"/>
  <c r="AU4200" i="11"/>
  <c r="AV4200" i="11"/>
  <c r="AU4201" i="11"/>
  <c r="AV4201" i="11"/>
  <c r="AU4202" i="11"/>
  <c r="AV4202" i="11"/>
  <c r="AU4203" i="11"/>
  <c r="AV4203" i="11"/>
  <c r="AU4204" i="11"/>
  <c r="AV4204" i="11"/>
  <c r="AU4205" i="11"/>
  <c r="AV4205" i="11"/>
  <c r="AU4206" i="11"/>
  <c r="AV4206" i="11"/>
  <c r="AU4207" i="11"/>
  <c r="AV4207" i="11"/>
  <c r="AU4208" i="11"/>
  <c r="AV4208" i="11"/>
  <c r="AU4209" i="11"/>
  <c r="AV4209" i="11"/>
  <c r="AU4210" i="11"/>
  <c r="AV4210" i="11"/>
  <c r="AU4211" i="11"/>
  <c r="AV4211" i="11"/>
  <c r="AU4212" i="11"/>
  <c r="AV4212" i="11"/>
  <c r="AU4213" i="11"/>
  <c r="AV4213" i="11"/>
  <c r="AU4214" i="11"/>
  <c r="AV4214" i="11"/>
  <c r="AU4215" i="11"/>
  <c r="AV4215" i="11"/>
  <c r="AU4216" i="11"/>
  <c r="AV4216" i="11"/>
  <c r="AU4217" i="11"/>
  <c r="AV4217" i="11"/>
  <c r="AU4218" i="11"/>
  <c r="AV4218" i="11"/>
  <c r="AU4219" i="11"/>
  <c r="AV4219" i="11"/>
  <c r="AU4220" i="11"/>
  <c r="AV4220" i="11"/>
  <c r="AU4221" i="11"/>
  <c r="AV4221" i="11"/>
  <c r="AU4222" i="11"/>
  <c r="AV4222" i="11"/>
  <c r="AU4223" i="11"/>
  <c r="AV4223" i="11"/>
  <c r="AU4224" i="11"/>
  <c r="AV4224" i="11"/>
  <c r="AU4225" i="11"/>
  <c r="AV4225" i="11"/>
  <c r="AU4226" i="11"/>
  <c r="AV4226" i="11"/>
  <c r="AU4227" i="11"/>
  <c r="AV4227" i="11"/>
  <c r="AU4228" i="11"/>
  <c r="AV4228" i="11"/>
  <c r="AU4229" i="11"/>
  <c r="AV4229" i="11"/>
  <c r="AU4230" i="11"/>
  <c r="AV4230" i="11"/>
  <c r="AU4231" i="11"/>
  <c r="AV4231" i="11"/>
  <c r="AU4232" i="11"/>
  <c r="AV4232" i="11"/>
  <c r="AU4233" i="11"/>
  <c r="AV4233" i="11"/>
  <c r="AU4234" i="11"/>
  <c r="AV4234" i="11"/>
  <c r="AU4235" i="11"/>
  <c r="AV4235" i="11"/>
  <c r="AU4236" i="11"/>
  <c r="AV4236" i="11"/>
  <c r="AU4237" i="11"/>
  <c r="AV4237" i="11"/>
  <c r="AU4238" i="11"/>
  <c r="AV4238" i="11"/>
  <c r="AU4239" i="11"/>
  <c r="AV4239" i="11"/>
  <c r="AU4240" i="11"/>
  <c r="AV4240" i="11"/>
  <c r="AU4241" i="11"/>
  <c r="AV4241" i="11"/>
  <c r="AU4242" i="11"/>
  <c r="AV4242" i="11"/>
  <c r="AU4243" i="11"/>
  <c r="AV4243" i="11"/>
  <c r="AU4244" i="11"/>
  <c r="AV4244" i="11"/>
  <c r="AU4245" i="11"/>
  <c r="AV4245" i="11"/>
  <c r="AU4246" i="11"/>
  <c r="AV4246" i="11"/>
  <c r="AU4247" i="11"/>
  <c r="AV4247" i="11"/>
  <c r="AU4248" i="11"/>
  <c r="AV4248" i="11"/>
  <c r="AU4249" i="11"/>
  <c r="AV4249" i="11"/>
  <c r="AU4250" i="11"/>
  <c r="AV4250" i="11"/>
  <c r="AU4251" i="11"/>
  <c r="AV4251" i="11"/>
  <c r="AU4252" i="11"/>
  <c r="AV4252" i="11"/>
  <c r="AU4253" i="11"/>
  <c r="AV4253" i="11"/>
  <c r="AU4254" i="11"/>
  <c r="AV4254" i="11"/>
  <c r="AU4255" i="11"/>
  <c r="AV4255" i="11"/>
  <c r="AU4256" i="11"/>
  <c r="AV4256" i="11"/>
  <c r="AU4257" i="11"/>
  <c r="AV4257" i="11"/>
  <c r="AU4258" i="11"/>
  <c r="AV4258" i="11"/>
  <c r="AU4259" i="11"/>
  <c r="AV4259" i="11"/>
  <c r="AU4260" i="11"/>
  <c r="AV4260" i="11"/>
  <c r="AU4261" i="11"/>
  <c r="AV4261" i="11"/>
  <c r="AU4262" i="11"/>
  <c r="AV4262" i="11"/>
  <c r="AU4263" i="11"/>
  <c r="AV4263" i="11"/>
  <c r="AU4264" i="11"/>
  <c r="AV4264" i="11"/>
  <c r="AU4265" i="11"/>
  <c r="AV4265" i="11"/>
  <c r="AU4266" i="11"/>
  <c r="AV4266" i="11"/>
  <c r="AU4267" i="11"/>
  <c r="AV4267" i="11"/>
  <c r="AU4268" i="11"/>
  <c r="AV4268" i="11"/>
  <c r="AU4269" i="11"/>
  <c r="AV4269" i="11"/>
  <c r="AU4270" i="11"/>
  <c r="AV4270" i="11"/>
  <c r="AU4271" i="11"/>
  <c r="AV4271" i="11"/>
  <c r="AU4272" i="11"/>
  <c r="AV4272" i="11"/>
  <c r="AU4273" i="11"/>
  <c r="AV4273" i="11"/>
  <c r="AU4274" i="11"/>
  <c r="AV4274" i="11"/>
  <c r="AU4275" i="11"/>
  <c r="AV4275" i="11"/>
  <c r="AU4276" i="11"/>
  <c r="AV4276" i="11"/>
  <c r="AU4277" i="11"/>
  <c r="AV4277" i="11"/>
  <c r="AU4278" i="11"/>
  <c r="AV4278" i="11"/>
  <c r="AU4279" i="11"/>
  <c r="AV4279" i="11"/>
  <c r="AU4280" i="11"/>
  <c r="AV4280" i="11"/>
  <c r="AU4281" i="11"/>
  <c r="AV4281" i="11"/>
  <c r="AU4282" i="11"/>
  <c r="AV4282" i="11"/>
  <c r="AU4283" i="11"/>
  <c r="AV4283" i="11"/>
  <c r="AU4284" i="11"/>
  <c r="AV4284" i="11"/>
  <c r="AU4285" i="11"/>
  <c r="AV4285" i="11"/>
  <c r="AU4286" i="11"/>
  <c r="AV4286" i="11"/>
  <c r="AU4287" i="11"/>
  <c r="AV4287" i="11"/>
  <c r="AU4288" i="11"/>
  <c r="AV4288" i="11"/>
  <c r="AU4289" i="11"/>
  <c r="AV4289" i="11"/>
  <c r="AU4290" i="11"/>
  <c r="AV4290" i="11"/>
  <c r="AU4291" i="11"/>
  <c r="AV4291" i="11"/>
  <c r="AU4292" i="11"/>
  <c r="AV4292" i="11"/>
  <c r="AU4293" i="11"/>
  <c r="AV4293" i="11"/>
  <c r="AU4294" i="11"/>
  <c r="AV4294" i="11"/>
  <c r="AU4295" i="11"/>
  <c r="AV4295" i="11"/>
  <c r="AU4296" i="11"/>
  <c r="AV4296" i="11"/>
  <c r="AU4297" i="11"/>
  <c r="AV4297" i="11"/>
  <c r="AU4298" i="11"/>
  <c r="AV4298" i="11"/>
  <c r="AU4299" i="11"/>
  <c r="AV4299" i="11"/>
  <c r="AU4300" i="11"/>
  <c r="AV4300" i="11"/>
  <c r="AU4301" i="11"/>
  <c r="AV4301" i="11"/>
  <c r="AU4302" i="11"/>
  <c r="AV4302" i="11"/>
  <c r="AU4303" i="11"/>
  <c r="AV4303" i="11"/>
  <c r="AU4304" i="11"/>
  <c r="AV4304" i="11"/>
  <c r="AU4305" i="11"/>
  <c r="AV4305" i="11"/>
  <c r="AU4306" i="11"/>
  <c r="AV4306" i="11"/>
  <c r="AU4307" i="11"/>
  <c r="AV4307" i="11"/>
  <c r="AU4308" i="11"/>
  <c r="AV4308" i="11"/>
  <c r="AU4309" i="11"/>
  <c r="AV4309" i="11"/>
  <c r="AU4310" i="11"/>
  <c r="AV4310" i="11"/>
  <c r="AU4311" i="11"/>
  <c r="AV4311" i="11"/>
  <c r="AU4312" i="11"/>
  <c r="AV4312" i="11"/>
  <c r="AU4313" i="11"/>
  <c r="AV4313" i="11"/>
  <c r="AU4314" i="11"/>
  <c r="AV4314" i="11"/>
  <c r="AU4315" i="11"/>
  <c r="AV4315" i="11"/>
  <c r="AU4316" i="11"/>
  <c r="AV4316" i="11"/>
  <c r="AU4317" i="11"/>
  <c r="AV4317" i="11"/>
  <c r="AU4318" i="11"/>
  <c r="AV4318" i="11"/>
  <c r="AU4319" i="11"/>
  <c r="AV4319" i="11"/>
  <c r="AU4320" i="11"/>
  <c r="AV4320" i="11"/>
  <c r="AU4321" i="11"/>
  <c r="AV4321" i="11"/>
  <c r="AU4322" i="11"/>
  <c r="AV4322" i="11"/>
  <c r="AU4323" i="11"/>
  <c r="AV4323" i="11"/>
  <c r="AU4324" i="11"/>
  <c r="AV4324" i="11"/>
  <c r="AU4325" i="11"/>
  <c r="AV4325" i="11"/>
  <c r="AU4326" i="11"/>
  <c r="AV4326" i="11"/>
  <c r="AU4327" i="11"/>
  <c r="AV4327" i="11"/>
  <c r="AU4328" i="11"/>
  <c r="AV4328" i="11"/>
  <c r="AU4329" i="11"/>
  <c r="AV4329" i="11"/>
  <c r="AU4330" i="11"/>
  <c r="AV4330" i="11"/>
  <c r="AU4331" i="11"/>
  <c r="AV4331" i="11"/>
  <c r="AU4332" i="11"/>
  <c r="AV4332" i="11"/>
  <c r="AU4333" i="11"/>
  <c r="AV4333" i="11"/>
  <c r="AU4334" i="11"/>
  <c r="AV4334" i="11"/>
  <c r="AU4335" i="11"/>
  <c r="AV4335" i="11"/>
  <c r="AU4336" i="11"/>
  <c r="AV4336" i="11"/>
  <c r="AU4337" i="11"/>
  <c r="AV4337" i="11"/>
  <c r="AU4338" i="11"/>
  <c r="AV4338" i="11"/>
  <c r="AU4339" i="11"/>
  <c r="AV4339" i="11"/>
  <c r="AU4340" i="11"/>
  <c r="AV4340" i="11"/>
  <c r="AU4341" i="11"/>
  <c r="AV4341" i="11"/>
  <c r="AU4342" i="11"/>
  <c r="AV4342" i="11"/>
  <c r="AU4343" i="11"/>
  <c r="AV4343" i="11"/>
  <c r="AU4344" i="11"/>
  <c r="AV4344" i="11"/>
  <c r="AU4345" i="11"/>
  <c r="AV4345" i="11"/>
  <c r="AU4346" i="11"/>
  <c r="AV4346" i="11"/>
  <c r="AU4347" i="11"/>
  <c r="AV4347" i="11"/>
  <c r="AU4348" i="11"/>
  <c r="AV4348" i="11"/>
  <c r="AU4349" i="11"/>
  <c r="AV4349" i="11"/>
  <c r="AU4350" i="11"/>
  <c r="AV4350" i="11"/>
  <c r="AU4351" i="11"/>
  <c r="AV4351" i="11"/>
  <c r="AU4352" i="11"/>
  <c r="AV4352" i="11"/>
  <c r="AU4353" i="11"/>
  <c r="AV4353" i="11"/>
  <c r="AU4354" i="11"/>
  <c r="AV4354" i="11"/>
  <c r="AU4355" i="11"/>
  <c r="AV4355" i="11"/>
  <c r="AU4356" i="11"/>
  <c r="AV4356" i="11"/>
  <c r="AU4357" i="11"/>
  <c r="AV4357" i="11"/>
  <c r="AU4358" i="11"/>
  <c r="AV4358" i="11"/>
  <c r="AU4359" i="11"/>
  <c r="AV4359" i="11"/>
  <c r="AU4360" i="11"/>
  <c r="AV4360" i="11"/>
  <c r="AU4361" i="11"/>
  <c r="AV4361" i="11"/>
  <c r="AU4362" i="11"/>
  <c r="AV4362" i="11"/>
  <c r="AU4363" i="11"/>
  <c r="AV4363" i="11"/>
  <c r="AU4364" i="11"/>
  <c r="AV4364" i="11"/>
  <c r="AU4365" i="11"/>
  <c r="AV4365" i="11"/>
  <c r="AU4366" i="11"/>
  <c r="AV4366" i="11"/>
  <c r="AU4367" i="11"/>
  <c r="AV4367" i="11"/>
  <c r="AU4368" i="11"/>
  <c r="AV4368" i="11"/>
  <c r="AU4369" i="11"/>
  <c r="AV4369" i="11"/>
  <c r="AU4370" i="11"/>
  <c r="AV4370" i="11"/>
  <c r="AU4371" i="11"/>
  <c r="AV4371" i="11"/>
  <c r="AU4372" i="11"/>
  <c r="AV4372" i="11"/>
  <c r="AU4373" i="11"/>
  <c r="AV4373" i="11"/>
  <c r="AU4374" i="11"/>
  <c r="AV4374" i="11"/>
  <c r="AU4375" i="11"/>
  <c r="AV4375" i="11"/>
  <c r="AU4376" i="11"/>
  <c r="AV4376" i="11"/>
  <c r="AU4377" i="11"/>
  <c r="AV4377" i="11"/>
  <c r="AU4378" i="11"/>
  <c r="AV4378" i="11"/>
  <c r="AU4379" i="11"/>
  <c r="AV4379" i="11"/>
  <c r="AU4380" i="11"/>
  <c r="AV4380" i="11"/>
  <c r="AU4381" i="11"/>
  <c r="AV4381" i="11"/>
  <c r="AU4382" i="11"/>
  <c r="AV4382" i="11"/>
  <c r="AU4383" i="11"/>
  <c r="AV4383" i="11"/>
  <c r="AU4384" i="11"/>
  <c r="AV4384" i="11"/>
  <c r="AU4385" i="11"/>
  <c r="AV4385" i="11"/>
  <c r="AU4386" i="11"/>
  <c r="AV4386" i="11"/>
  <c r="AU4387" i="11"/>
  <c r="AV4387" i="11"/>
  <c r="AU4388" i="11"/>
  <c r="AV4388" i="11"/>
  <c r="AU4389" i="11"/>
  <c r="AV4389" i="11"/>
  <c r="AU4390" i="11"/>
  <c r="AV4390" i="11"/>
  <c r="AU4391" i="11"/>
  <c r="AV4391" i="11"/>
  <c r="AU4392" i="11"/>
  <c r="AV4392" i="11"/>
  <c r="AU4393" i="11"/>
  <c r="AV4393" i="11"/>
  <c r="AU4394" i="11"/>
  <c r="AV4394" i="11"/>
  <c r="AU4395" i="11"/>
  <c r="AV4395" i="11"/>
  <c r="AU4396" i="11"/>
  <c r="AV4396" i="11"/>
  <c r="AU4397" i="11"/>
  <c r="AV4397" i="11"/>
  <c r="AU4398" i="11"/>
  <c r="AV4398" i="11"/>
  <c r="AU4399" i="11"/>
  <c r="AV4399" i="11"/>
  <c r="AU4400" i="11"/>
  <c r="AV4400" i="11"/>
  <c r="AU4401" i="11"/>
  <c r="AV4401" i="11"/>
  <c r="AU4402" i="11"/>
  <c r="AV4402" i="11"/>
  <c r="AU4403" i="11"/>
  <c r="AV4403" i="11"/>
  <c r="AU4404" i="11"/>
  <c r="AV4404" i="11"/>
  <c r="AU4405" i="11"/>
  <c r="AV4405" i="11"/>
  <c r="AU4406" i="11"/>
  <c r="AV4406" i="11"/>
  <c r="AU4407" i="11"/>
  <c r="AV4407" i="11"/>
  <c r="AU4408" i="11"/>
  <c r="AV4408" i="11"/>
  <c r="AU4409" i="11"/>
  <c r="AV4409" i="11"/>
  <c r="AU4410" i="11"/>
  <c r="AV4410" i="11"/>
  <c r="AU4411" i="11"/>
  <c r="AV4411" i="11"/>
  <c r="AU4412" i="11"/>
  <c r="AV4412" i="11"/>
  <c r="AU4413" i="11"/>
  <c r="AV4413" i="11"/>
  <c r="AU4414" i="11"/>
  <c r="AV4414" i="11"/>
  <c r="AU4415" i="11"/>
  <c r="AV4415" i="11"/>
  <c r="AU4416" i="11"/>
  <c r="AV4416" i="11"/>
  <c r="AU4417" i="11"/>
  <c r="AV4417" i="11"/>
  <c r="AU4418" i="11"/>
  <c r="AV4418" i="11"/>
  <c r="AU4419" i="11"/>
  <c r="AV4419" i="11"/>
  <c r="AU4420" i="11"/>
  <c r="AV4420" i="11"/>
  <c r="AU4421" i="11"/>
  <c r="AV4421" i="11"/>
  <c r="AU4422" i="11"/>
  <c r="AV4422" i="11"/>
  <c r="AU4423" i="11"/>
  <c r="AV4423" i="11"/>
  <c r="AU4424" i="11"/>
  <c r="AV4424" i="11"/>
  <c r="AU4425" i="11"/>
  <c r="AV4425" i="11"/>
  <c r="AU4426" i="11"/>
  <c r="AV4426" i="11"/>
  <c r="AU4427" i="11"/>
  <c r="AV4427" i="11"/>
  <c r="AU4428" i="11"/>
  <c r="AV4428" i="11"/>
  <c r="AU4429" i="11"/>
  <c r="AV4429" i="11"/>
  <c r="AU4430" i="11"/>
  <c r="AV4430" i="11"/>
  <c r="AU4431" i="11"/>
  <c r="AV4431" i="11"/>
  <c r="AU4432" i="11"/>
  <c r="AV4432" i="11"/>
  <c r="AU4433" i="11"/>
  <c r="AV4433" i="11"/>
  <c r="AU4434" i="11"/>
  <c r="AV4434" i="11"/>
  <c r="AU4435" i="11"/>
  <c r="AV4435" i="11"/>
  <c r="AU4436" i="11"/>
  <c r="AV4436" i="11"/>
  <c r="AU4437" i="11"/>
  <c r="AV4437" i="11"/>
  <c r="AU4438" i="11"/>
  <c r="AV4438" i="11"/>
  <c r="AU4439" i="11"/>
  <c r="AV4439" i="11"/>
  <c r="AU4440" i="11"/>
  <c r="AV4440" i="11"/>
  <c r="AU4441" i="11"/>
  <c r="AV4441" i="11"/>
  <c r="AU4442" i="11"/>
  <c r="AV4442" i="11"/>
  <c r="AU4443" i="11"/>
  <c r="AV4443" i="11"/>
  <c r="AU4444" i="11"/>
  <c r="AV4444" i="11"/>
  <c r="AU4445" i="11"/>
  <c r="AV4445" i="11"/>
  <c r="AU4446" i="11"/>
  <c r="AV4446" i="11"/>
  <c r="AU4447" i="11"/>
  <c r="AV4447" i="11"/>
  <c r="AU4448" i="11"/>
  <c r="AV4448" i="11"/>
  <c r="AU4449" i="11"/>
  <c r="AV4449" i="11"/>
  <c r="AU4450" i="11"/>
  <c r="AV4450" i="11"/>
  <c r="AU4451" i="11"/>
  <c r="AV4451" i="11"/>
  <c r="AU4452" i="11"/>
  <c r="AV4452" i="11"/>
  <c r="AU4453" i="11"/>
  <c r="AV4453" i="11"/>
  <c r="AU4454" i="11"/>
  <c r="AV4454" i="11"/>
  <c r="AU4455" i="11"/>
  <c r="AV4455" i="11"/>
  <c r="AU4456" i="11"/>
  <c r="AV4456" i="11"/>
  <c r="AU4457" i="11"/>
  <c r="AV4457" i="11"/>
  <c r="AU4458" i="11"/>
  <c r="AV4458" i="11"/>
  <c r="AU4459" i="11"/>
  <c r="AV4459" i="11"/>
  <c r="AU4460" i="11"/>
  <c r="AV4460" i="11"/>
  <c r="AU4461" i="11"/>
  <c r="AV4461" i="11"/>
  <c r="AU4462" i="11"/>
  <c r="AV4462" i="11"/>
  <c r="AU4463" i="11"/>
  <c r="AV4463" i="11"/>
  <c r="AU4464" i="11"/>
  <c r="AV4464" i="11"/>
  <c r="AU4465" i="11"/>
  <c r="AV4465" i="11"/>
  <c r="AU4466" i="11"/>
  <c r="AV4466" i="11"/>
  <c r="AU4467" i="11"/>
  <c r="AV4467" i="11"/>
  <c r="AU4468" i="11"/>
  <c r="AV4468" i="11"/>
  <c r="AU4469" i="11"/>
  <c r="AV4469" i="11"/>
  <c r="AU4470" i="11"/>
  <c r="AV4470" i="11"/>
  <c r="AU4471" i="11"/>
  <c r="AV4471" i="11"/>
  <c r="AU4472" i="11"/>
  <c r="AV4472" i="11"/>
  <c r="AU4473" i="11"/>
  <c r="AV4473" i="11"/>
  <c r="AU4474" i="11"/>
  <c r="AV4474" i="11"/>
  <c r="AU4475" i="11"/>
  <c r="AV4475" i="11"/>
  <c r="AU4476" i="11"/>
  <c r="AV4476" i="11"/>
  <c r="AU4477" i="11"/>
  <c r="AV4477" i="11"/>
  <c r="AU4478" i="11"/>
  <c r="AV4478" i="11"/>
  <c r="AU4479" i="11"/>
  <c r="AV4479" i="11"/>
  <c r="AU4480" i="11"/>
  <c r="AV4480" i="11"/>
  <c r="AU4481" i="11"/>
  <c r="AV4481" i="11"/>
  <c r="AU4482" i="11"/>
  <c r="AV4482" i="11"/>
  <c r="AU4483" i="11"/>
  <c r="AV4483" i="11"/>
  <c r="AU4484" i="11"/>
  <c r="AV4484" i="11"/>
  <c r="AU4485" i="11"/>
  <c r="AV4485" i="11"/>
  <c r="AU4486" i="11"/>
  <c r="AV4486" i="11"/>
  <c r="AU4487" i="11"/>
  <c r="AV4487" i="11"/>
  <c r="AU4488" i="11"/>
  <c r="AV4488" i="11"/>
  <c r="AU4489" i="11"/>
  <c r="AV4489" i="11"/>
  <c r="AU4490" i="11"/>
  <c r="AV4490" i="11"/>
  <c r="AU4491" i="11"/>
  <c r="AV4491" i="11"/>
  <c r="AU4492" i="11"/>
  <c r="AV4492" i="11"/>
  <c r="AU4493" i="11"/>
  <c r="AV4493" i="11"/>
  <c r="AU4494" i="11"/>
  <c r="AV4494" i="11"/>
  <c r="AU4495" i="11"/>
  <c r="AV4495" i="11"/>
  <c r="AU4496" i="11"/>
  <c r="AV4496" i="11"/>
  <c r="AU4497" i="11"/>
  <c r="AV4497" i="11"/>
  <c r="AU4498" i="11"/>
  <c r="AV4498" i="11"/>
  <c r="AU4499" i="11"/>
  <c r="AV4499" i="11"/>
  <c r="AU4500" i="11"/>
  <c r="AV4500" i="11"/>
  <c r="AU4501" i="11"/>
  <c r="AV4501" i="11"/>
  <c r="AU4502" i="11"/>
  <c r="AV4502" i="11"/>
  <c r="AU4503" i="11"/>
  <c r="AV4503" i="11"/>
  <c r="AU4504" i="11"/>
  <c r="AV4504" i="11"/>
  <c r="AU4505" i="11"/>
  <c r="AV4505" i="11"/>
  <c r="AU4506" i="11"/>
  <c r="AV4506" i="11"/>
  <c r="AU4507" i="11"/>
  <c r="AV4507" i="11"/>
  <c r="AU4508" i="11"/>
  <c r="AV4508" i="11"/>
  <c r="AU4509" i="11"/>
  <c r="AV4509" i="11"/>
  <c r="AU4510" i="11"/>
  <c r="AV4510" i="11"/>
  <c r="AU4511" i="11"/>
  <c r="AV4511" i="11"/>
  <c r="AU4512" i="11"/>
  <c r="AV4512" i="11"/>
  <c r="AU4513" i="11"/>
  <c r="AV4513" i="11"/>
  <c r="AU4514" i="11"/>
  <c r="AV4514" i="11"/>
  <c r="AU4515" i="11"/>
  <c r="AV4515" i="11"/>
  <c r="AU4516" i="11"/>
  <c r="AV4516" i="11"/>
  <c r="AU4517" i="11"/>
  <c r="AV4517" i="11"/>
  <c r="AU4518" i="11"/>
  <c r="AV4518" i="11"/>
  <c r="AU4519" i="11"/>
  <c r="AV4519" i="11"/>
  <c r="AU4520" i="11"/>
  <c r="AV4520" i="11"/>
  <c r="AU4521" i="11"/>
  <c r="AV4521" i="11"/>
  <c r="AU4522" i="11"/>
  <c r="AV4522" i="11"/>
  <c r="AU4523" i="11"/>
  <c r="AV4523" i="11"/>
  <c r="AU4524" i="11"/>
  <c r="AV4524" i="11"/>
  <c r="AU4525" i="11"/>
  <c r="AV4525" i="11"/>
  <c r="AU4526" i="11"/>
  <c r="AV4526" i="11"/>
  <c r="AU4527" i="11"/>
  <c r="AV4527" i="11"/>
  <c r="AU4528" i="11"/>
  <c r="AV4528" i="11"/>
  <c r="AU4529" i="11"/>
  <c r="AV4529" i="11"/>
  <c r="AU4530" i="11"/>
  <c r="AV4530" i="11"/>
  <c r="AU4531" i="11"/>
  <c r="AV4531" i="11"/>
  <c r="AU4532" i="11"/>
  <c r="AV4532" i="11"/>
  <c r="AU4533" i="11"/>
  <c r="AV4533" i="11"/>
  <c r="AU4534" i="11"/>
  <c r="AV4534" i="11"/>
  <c r="AU4535" i="11"/>
  <c r="AV4535" i="11"/>
  <c r="AU4536" i="11"/>
  <c r="AV4536" i="11"/>
  <c r="AU4537" i="11"/>
  <c r="AV4537" i="11"/>
  <c r="AU4538" i="11"/>
  <c r="AV4538" i="11"/>
  <c r="AU4539" i="11"/>
  <c r="AV4539" i="11"/>
  <c r="AU4540" i="11"/>
  <c r="AV4540" i="11"/>
  <c r="AU4541" i="11"/>
  <c r="AV4541" i="11"/>
  <c r="AU4542" i="11"/>
  <c r="AV4542" i="11"/>
  <c r="AU4543" i="11"/>
  <c r="AV4543" i="11"/>
  <c r="AU4544" i="11"/>
  <c r="AV4544" i="11"/>
  <c r="AU4545" i="11"/>
  <c r="AV4545" i="11"/>
  <c r="AU4546" i="11"/>
  <c r="AV4546" i="11"/>
  <c r="AU4547" i="11"/>
  <c r="AV4547" i="11"/>
  <c r="AU4548" i="11"/>
  <c r="AV4548" i="11"/>
  <c r="AU4549" i="11"/>
  <c r="AV4549" i="11"/>
  <c r="AU4550" i="11"/>
  <c r="AV4550" i="11"/>
  <c r="AU4551" i="11"/>
  <c r="AV4551" i="11"/>
  <c r="AU4552" i="11"/>
  <c r="AV4552" i="11"/>
  <c r="AU4553" i="11"/>
  <c r="AV4553" i="11"/>
  <c r="AU4554" i="11"/>
  <c r="AV4554" i="11"/>
  <c r="AU4555" i="11"/>
  <c r="AV4555" i="11"/>
  <c r="AU4556" i="11"/>
  <c r="AV4556" i="11"/>
  <c r="AU4557" i="11"/>
  <c r="AV4557" i="11"/>
  <c r="AU4558" i="11"/>
  <c r="AV4558" i="11"/>
  <c r="AU4559" i="11"/>
  <c r="AV4559" i="11"/>
  <c r="AU4560" i="11"/>
  <c r="AV4560" i="11"/>
  <c r="AU4561" i="11"/>
  <c r="AV4561" i="11"/>
  <c r="AU4562" i="11"/>
  <c r="AV4562" i="11"/>
  <c r="AU4563" i="11"/>
  <c r="AV4563" i="11"/>
  <c r="AU4564" i="11"/>
  <c r="AV4564" i="11"/>
  <c r="AU4565" i="11"/>
  <c r="AV4565" i="11"/>
  <c r="AU4566" i="11"/>
  <c r="AV4566" i="11"/>
  <c r="AU4567" i="11"/>
  <c r="AV4567" i="11"/>
  <c r="AU4568" i="11"/>
  <c r="AV4568" i="11"/>
  <c r="AU4569" i="11"/>
  <c r="AV4569" i="11"/>
  <c r="AU4570" i="11"/>
  <c r="AV4570" i="11"/>
  <c r="AU4571" i="11"/>
  <c r="AV4571" i="11"/>
  <c r="AU4572" i="11"/>
  <c r="AV4572" i="11"/>
  <c r="AU4573" i="11"/>
  <c r="AV4573" i="11"/>
  <c r="AU4574" i="11"/>
  <c r="AV4574" i="11"/>
  <c r="AU4575" i="11"/>
  <c r="AV4575" i="11"/>
  <c r="AU4576" i="11"/>
  <c r="AV4576" i="11"/>
  <c r="AU4577" i="11"/>
  <c r="AV4577" i="11"/>
  <c r="AU4578" i="11"/>
  <c r="AV4578" i="11"/>
  <c r="AU4579" i="11"/>
  <c r="AV4579" i="11"/>
  <c r="AU4580" i="11"/>
  <c r="AV4580" i="11"/>
  <c r="AU4581" i="11"/>
  <c r="AV4581" i="11"/>
  <c r="AU4582" i="11"/>
  <c r="AV4582" i="11"/>
  <c r="AU4583" i="11"/>
  <c r="AV4583" i="11"/>
  <c r="AU4584" i="11"/>
  <c r="AV4584" i="11"/>
  <c r="AU4585" i="11"/>
  <c r="AV4585" i="11"/>
  <c r="AU4586" i="11"/>
  <c r="AV4586" i="11"/>
  <c r="AU4587" i="11"/>
  <c r="AV4587" i="11"/>
  <c r="AU4588" i="11"/>
  <c r="AV4588" i="11"/>
  <c r="AU4589" i="11"/>
  <c r="AV4589" i="11"/>
  <c r="AU4590" i="11"/>
  <c r="AV4590" i="11"/>
  <c r="AU4591" i="11"/>
  <c r="AV4591" i="11"/>
  <c r="AU4592" i="11"/>
  <c r="AV4592" i="11"/>
  <c r="AU4593" i="11"/>
  <c r="AV4593" i="11"/>
  <c r="AU4594" i="11"/>
  <c r="AV4594" i="11"/>
  <c r="AU4595" i="11"/>
  <c r="AV4595" i="11"/>
  <c r="AU4596" i="11"/>
  <c r="AV4596" i="11"/>
  <c r="AU4597" i="11"/>
  <c r="AV4597" i="11"/>
  <c r="AU4598" i="11"/>
  <c r="AV4598" i="11"/>
  <c r="AU4599" i="11"/>
  <c r="AV4599" i="11"/>
  <c r="AU4600" i="11"/>
  <c r="AV4600" i="11"/>
  <c r="AU4601" i="11"/>
  <c r="AV4601" i="11"/>
  <c r="AU4602" i="11"/>
  <c r="AV4602" i="11"/>
  <c r="AU4603" i="11"/>
  <c r="AV4603" i="11"/>
  <c r="AU4604" i="11"/>
  <c r="AV4604" i="11"/>
  <c r="AU4605" i="11"/>
  <c r="AV4605" i="11"/>
  <c r="AU4606" i="11"/>
  <c r="AV4606" i="11"/>
  <c r="AU4607" i="11"/>
  <c r="AV4607" i="11"/>
  <c r="AU4608" i="11"/>
  <c r="AV4608" i="11"/>
  <c r="AU4609" i="11"/>
  <c r="AV4609" i="11"/>
  <c r="AU4610" i="11"/>
  <c r="AV4610" i="11"/>
  <c r="AU4611" i="11"/>
  <c r="AV4611" i="11"/>
  <c r="AU4612" i="11"/>
  <c r="AV4612" i="11"/>
  <c r="AU4613" i="11"/>
  <c r="AV4613" i="11"/>
  <c r="AU4614" i="11"/>
  <c r="AV4614" i="11"/>
  <c r="AU4615" i="11"/>
  <c r="AV4615" i="11"/>
  <c r="AU4616" i="11"/>
  <c r="AV4616" i="11"/>
  <c r="AU4617" i="11"/>
  <c r="AV4617" i="11"/>
  <c r="AU4618" i="11"/>
  <c r="AV4618" i="11"/>
  <c r="AU4619" i="11"/>
  <c r="AV4619" i="11"/>
  <c r="AU4620" i="11"/>
  <c r="AV4620" i="11"/>
  <c r="AU4621" i="11"/>
  <c r="AV4621" i="11"/>
  <c r="AU4622" i="11"/>
  <c r="AV4622" i="11"/>
  <c r="AU4623" i="11"/>
  <c r="AV4623" i="11"/>
  <c r="AU4624" i="11"/>
  <c r="AV4624" i="11"/>
  <c r="AU4625" i="11"/>
  <c r="AV4625" i="11"/>
  <c r="AU4626" i="11"/>
  <c r="AV4626" i="11"/>
  <c r="AU4627" i="11"/>
  <c r="AV4627" i="11"/>
  <c r="AU4628" i="11"/>
  <c r="AV4628" i="11"/>
  <c r="AU4629" i="11"/>
  <c r="AV4629" i="11"/>
  <c r="AU4630" i="11"/>
  <c r="AV4630" i="11"/>
  <c r="AU4631" i="11"/>
  <c r="AV4631" i="11"/>
  <c r="AU4632" i="11"/>
  <c r="AV4632" i="11"/>
  <c r="AU4633" i="11"/>
  <c r="AV4633" i="11"/>
  <c r="AU4634" i="11"/>
  <c r="AV4634" i="11"/>
  <c r="AU4635" i="11"/>
  <c r="AV4635" i="11"/>
  <c r="AU4636" i="11"/>
  <c r="AV4636" i="11"/>
  <c r="AU4637" i="11"/>
  <c r="AV4637" i="11"/>
  <c r="AU4638" i="11"/>
  <c r="AV4638" i="11"/>
  <c r="AU4639" i="11"/>
  <c r="AV4639" i="11"/>
  <c r="AU4640" i="11"/>
  <c r="AV4640" i="11"/>
  <c r="AU4641" i="11"/>
  <c r="AV4641" i="11"/>
  <c r="AU4642" i="11"/>
  <c r="AV4642" i="11"/>
  <c r="AU4643" i="11"/>
  <c r="AV4643" i="11"/>
  <c r="AU4644" i="11"/>
  <c r="AV4644" i="11"/>
  <c r="AU4645" i="11"/>
  <c r="AV4645" i="11"/>
  <c r="AU4646" i="11"/>
  <c r="AV4646" i="11"/>
  <c r="AU4647" i="11"/>
  <c r="AV4647" i="11"/>
  <c r="AU4648" i="11"/>
  <c r="AV4648" i="11"/>
  <c r="AU4649" i="11"/>
  <c r="AV4649" i="11"/>
  <c r="AU4650" i="11"/>
  <c r="AV4650" i="11"/>
  <c r="AU4651" i="11"/>
  <c r="AV4651" i="11"/>
  <c r="AU4652" i="11"/>
  <c r="AV4652" i="11"/>
  <c r="AU4653" i="11"/>
  <c r="AV4653" i="11"/>
  <c r="AU4654" i="11"/>
  <c r="AV4654" i="11"/>
  <c r="AU4655" i="11"/>
  <c r="AV4655" i="11"/>
  <c r="AU4656" i="11"/>
  <c r="AV4656" i="11"/>
  <c r="AU4657" i="11"/>
  <c r="AV4657" i="11"/>
  <c r="AU4658" i="11"/>
  <c r="AV4658" i="11"/>
  <c r="AU4659" i="11"/>
  <c r="AV4659" i="11"/>
  <c r="AU4660" i="11"/>
  <c r="AV4660" i="11"/>
  <c r="AU4661" i="11"/>
  <c r="AV4661" i="11"/>
  <c r="AU4662" i="11"/>
  <c r="AV4662" i="11"/>
  <c r="AU4663" i="11"/>
  <c r="AV4663" i="11"/>
  <c r="AU4664" i="11"/>
  <c r="AV4664" i="11"/>
  <c r="AU4665" i="11"/>
  <c r="AV4665" i="11"/>
  <c r="AU4666" i="11"/>
  <c r="AV4666" i="11"/>
  <c r="AU4667" i="11"/>
  <c r="AV4667" i="11"/>
  <c r="AU4668" i="11"/>
  <c r="AV4668" i="11"/>
  <c r="AU4669" i="11"/>
  <c r="AV4669" i="11"/>
  <c r="AU4670" i="11"/>
  <c r="AV4670" i="11"/>
  <c r="AU4671" i="11"/>
  <c r="AV4671" i="11"/>
  <c r="AU4672" i="11"/>
  <c r="AV4672" i="11"/>
  <c r="AU4673" i="11"/>
  <c r="AV4673" i="11"/>
  <c r="AU4674" i="11"/>
  <c r="AV4674" i="11"/>
  <c r="AU4675" i="11"/>
  <c r="AV4675" i="11"/>
  <c r="AU4676" i="11"/>
  <c r="AV4676" i="11"/>
  <c r="AU4677" i="11"/>
  <c r="AV4677" i="11"/>
  <c r="AU4678" i="11"/>
  <c r="AV4678" i="11"/>
  <c r="AU4679" i="11"/>
  <c r="AV4679" i="11"/>
  <c r="AU4680" i="11"/>
  <c r="AV4680" i="11"/>
  <c r="AU4681" i="11"/>
  <c r="AV4681" i="11"/>
  <c r="AU4682" i="11"/>
  <c r="AV4682" i="11"/>
  <c r="AU4683" i="11"/>
  <c r="AV4683" i="11"/>
  <c r="AU4684" i="11"/>
  <c r="AV4684" i="11"/>
  <c r="AU4685" i="11"/>
  <c r="AV4685" i="11"/>
  <c r="AU4686" i="11"/>
  <c r="AV4686" i="11"/>
  <c r="AU4687" i="11"/>
  <c r="AV4687" i="11"/>
  <c r="AU4688" i="11"/>
  <c r="AV4688" i="11"/>
  <c r="AU4689" i="11"/>
  <c r="AV4689" i="11"/>
  <c r="AU4690" i="11"/>
  <c r="AV4690" i="11"/>
  <c r="AU4691" i="11"/>
  <c r="AV4691" i="11"/>
  <c r="AU4692" i="11"/>
  <c r="AV4692" i="11"/>
  <c r="AU4693" i="11"/>
  <c r="AV4693" i="11"/>
  <c r="AU4694" i="11"/>
  <c r="AV4694" i="11"/>
  <c r="AU4695" i="11"/>
  <c r="AV4695" i="11"/>
  <c r="AU4696" i="11"/>
  <c r="AV4696" i="11"/>
  <c r="AU4697" i="11"/>
  <c r="AV4697" i="11"/>
  <c r="AU4698" i="11"/>
  <c r="AV4698" i="11"/>
  <c r="AU4699" i="11"/>
  <c r="AV4699" i="11"/>
  <c r="AU4700" i="11"/>
  <c r="AV4700" i="11"/>
  <c r="AU4701" i="11"/>
  <c r="AV4701" i="11"/>
  <c r="AU4702" i="11"/>
  <c r="AV4702" i="11"/>
  <c r="AU4703" i="11"/>
  <c r="AV4703" i="11"/>
  <c r="AU4704" i="11"/>
  <c r="AV4704" i="11"/>
  <c r="AU4705" i="11"/>
  <c r="AV4705" i="11"/>
  <c r="AU4706" i="11"/>
  <c r="AV4706" i="11"/>
  <c r="AU4707" i="11"/>
  <c r="AV4707" i="11"/>
  <c r="AU4708" i="11"/>
  <c r="AV4708" i="11"/>
  <c r="AU4709" i="11"/>
  <c r="AV4709" i="11"/>
  <c r="AU4710" i="11"/>
  <c r="AV4710" i="11"/>
  <c r="AU4711" i="11"/>
  <c r="AV4711" i="11"/>
  <c r="AU4712" i="11"/>
  <c r="AV4712" i="11"/>
  <c r="AU4713" i="11"/>
  <c r="AV4713" i="11"/>
  <c r="AU4714" i="11"/>
  <c r="AV4714" i="11"/>
  <c r="AU4715" i="11"/>
  <c r="AV4715" i="11"/>
  <c r="AU4716" i="11"/>
  <c r="AV4716" i="11"/>
  <c r="AU4717" i="11"/>
  <c r="AV4717" i="11"/>
  <c r="AU4718" i="11"/>
  <c r="AV4718" i="11"/>
  <c r="AU4719" i="11"/>
  <c r="AV4719" i="11"/>
  <c r="AU4720" i="11"/>
  <c r="AV4720" i="11"/>
  <c r="AU4721" i="11"/>
  <c r="AV4721" i="11"/>
  <c r="AU4722" i="11"/>
  <c r="AV4722" i="11"/>
  <c r="AU4723" i="11"/>
  <c r="AV4723" i="11"/>
  <c r="AU4724" i="11"/>
  <c r="AV4724" i="11"/>
  <c r="AU4725" i="11"/>
  <c r="AV4725" i="11"/>
  <c r="AU4726" i="11"/>
  <c r="AV4726" i="11"/>
  <c r="AU4727" i="11"/>
  <c r="AV4727" i="11"/>
  <c r="AU4728" i="11"/>
  <c r="AV4728" i="11"/>
  <c r="AU4729" i="11"/>
  <c r="AV4729" i="11"/>
  <c r="AU4730" i="11"/>
  <c r="AV4730" i="11"/>
  <c r="AU4731" i="11"/>
  <c r="AV4731" i="11"/>
  <c r="AU4732" i="11"/>
  <c r="AV4732" i="11"/>
  <c r="AU4733" i="11"/>
  <c r="AV4733" i="11"/>
  <c r="AU4734" i="11"/>
  <c r="AV4734" i="11"/>
  <c r="AU4735" i="11"/>
  <c r="AV4735" i="11"/>
  <c r="AU4736" i="11"/>
  <c r="AV4736" i="11"/>
  <c r="AU4737" i="11"/>
  <c r="AV4737" i="11"/>
  <c r="AU4738" i="11"/>
  <c r="AV4738" i="11"/>
  <c r="AU4739" i="11"/>
  <c r="AV4739" i="11"/>
  <c r="AU4740" i="11"/>
  <c r="AV4740" i="11"/>
  <c r="AU4741" i="11"/>
  <c r="AV4741" i="11"/>
  <c r="AU4742" i="11"/>
  <c r="AV4742" i="11"/>
  <c r="AU4743" i="11"/>
  <c r="AV4743" i="11"/>
  <c r="AU4744" i="11"/>
  <c r="AV4744" i="11"/>
  <c r="AU4745" i="11"/>
  <c r="AV4745" i="11"/>
  <c r="AU4746" i="11"/>
  <c r="AV4746" i="11"/>
  <c r="AU4747" i="11"/>
  <c r="AV4747" i="11"/>
  <c r="AU4748" i="11"/>
  <c r="AV4748" i="11"/>
  <c r="AU4749" i="11"/>
  <c r="AV4749" i="11"/>
  <c r="AU4750" i="11"/>
  <c r="AV4750" i="11"/>
  <c r="AU4751" i="11"/>
  <c r="AV4751" i="11"/>
  <c r="AU4752" i="11"/>
  <c r="AV4752" i="11"/>
  <c r="AU4753" i="11"/>
  <c r="AV4753" i="11"/>
  <c r="AU4754" i="11"/>
  <c r="AV4754" i="11"/>
  <c r="AU4755" i="11"/>
  <c r="AV4755" i="11"/>
  <c r="AU4756" i="11"/>
  <c r="AV4756" i="11"/>
  <c r="AU4757" i="11"/>
  <c r="AV4757" i="11"/>
  <c r="AU4758" i="11"/>
  <c r="AV4758" i="11"/>
  <c r="AU4759" i="11"/>
  <c r="AV4759" i="11"/>
  <c r="AU4760" i="11"/>
  <c r="AV4760" i="11"/>
  <c r="AU4761" i="11"/>
  <c r="AV4761" i="11"/>
  <c r="AU4762" i="11"/>
  <c r="AV4762" i="11"/>
  <c r="AU4763" i="11"/>
  <c r="AV4763" i="11"/>
  <c r="AU4764" i="11"/>
  <c r="AV4764" i="11"/>
  <c r="AU4765" i="11"/>
  <c r="AV4765" i="11"/>
  <c r="AU4766" i="11"/>
  <c r="AV4766" i="11"/>
  <c r="AU4767" i="11"/>
  <c r="AV4767" i="11"/>
  <c r="AU4768" i="11"/>
  <c r="AV4768" i="11"/>
  <c r="AU4769" i="11"/>
  <c r="AV4769" i="11"/>
  <c r="AU4770" i="11"/>
  <c r="AV4770" i="11"/>
  <c r="AU4771" i="11"/>
  <c r="AV4771" i="11"/>
  <c r="AU4772" i="11"/>
  <c r="AV4772" i="11"/>
  <c r="AU4773" i="11"/>
  <c r="AV4773" i="11"/>
  <c r="AU4774" i="11"/>
  <c r="AV4774" i="11"/>
  <c r="AU4775" i="11"/>
  <c r="AV4775" i="11"/>
  <c r="AU4776" i="11"/>
  <c r="AV4776" i="11"/>
  <c r="AU4777" i="11"/>
  <c r="AV4777" i="11"/>
  <c r="AU4778" i="11"/>
  <c r="AV4778" i="11"/>
  <c r="AU4779" i="11"/>
  <c r="AV4779" i="11"/>
  <c r="AU4780" i="11"/>
  <c r="AV4780" i="11"/>
  <c r="AU4781" i="11"/>
  <c r="AV4781" i="11"/>
  <c r="AU4782" i="11"/>
  <c r="AV4782" i="11"/>
  <c r="AU4783" i="11"/>
  <c r="AV4783" i="11"/>
  <c r="AU4784" i="11"/>
  <c r="AV4784" i="11"/>
  <c r="AU4785" i="11"/>
  <c r="AV4785" i="11"/>
  <c r="AU4786" i="11"/>
  <c r="AV4786" i="11"/>
  <c r="AU4787" i="11"/>
  <c r="AV4787" i="11"/>
  <c r="AU4788" i="11"/>
  <c r="AV4788" i="11"/>
  <c r="AU4789" i="11"/>
  <c r="AV4789" i="11"/>
  <c r="AU4790" i="11"/>
  <c r="AV4790" i="11"/>
  <c r="AU4791" i="11"/>
  <c r="AV4791" i="11"/>
  <c r="AU4792" i="11"/>
  <c r="AV4792" i="11"/>
  <c r="AU4793" i="11"/>
  <c r="AV4793" i="11"/>
  <c r="AU4794" i="11"/>
  <c r="AV4794" i="11"/>
  <c r="AU4795" i="11"/>
  <c r="AV4795" i="11"/>
  <c r="AU4796" i="11"/>
  <c r="AV4796" i="11"/>
  <c r="AU4797" i="11"/>
  <c r="AV4797" i="11"/>
  <c r="AU4798" i="11"/>
  <c r="AV4798" i="11"/>
  <c r="AU4799" i="11"/>
  <c r="AV4799" i="11"/>
  <c r="AU4800" i="11"/>
  <c r="AV4800" i="11"/>
  <c r="AU4801" i="11"/>
  <c r="AV4801" i="11"/>
  <c r="AU4802" i="11"/>
  <c r="AV4802" i="11"/>
  <c r="AU4803" i="11"/>
  <c r="AV4803" i="11"/>
  <c r="AU4804" i="11"/>
  <c r="AV4804" i="11"/>
  <c r="AU4805" i="11"/>
  <c r="AV4805" i="11"/>
  <c r="AU4806" i="11"/>
  <c r="AV4806" i="11"/>
  <c r="AU4807" i="11"/>
  <c r="AV4807" i="11"/>
  <c r="AU4808" i="11"/>
  <c r="AV4808" i="11"/>
  <c r="AU4809" i="11"/>
  <c r="AV4809" i="11"/>
  <c r="AU4810" i="11"/>
  <c r="AV4810" i="11"/>
  <c r="AU4811" i="11"/>
  <c r="AV4811" i="11"/>
  <c r="AU4812" i="11"/>
  <c r="AV4812" i="11"/>
  <c r="AU4813" i="11"/>
  <c r="AV4813" i="11"/>
  <c r="AU4814" i="11"/>
  <c r="AV4814" i="11"/>
  <c r="AU4815" i="11"/>
  <c r="AV4815" i="11"/>
  <c r="AU4816" i="11"/>
  <c r="AV4816" i="11"/>
  <c r="AU4817" i="11"/>
  <c r="AV4817" i="11"/>
  <c r="AU4818" i="11"/>
  <c r="AV4818" i="11"/>
  <c r="AU4819" i="11"/>
  <c r="AV4819" i="11"/>
  <c r="AU4820" i="11"/>
  <c r="AV4820" i="11"/>
  <c r="AU4821" i="11"/>
  <c r="AV4821" i="11"/>
  <c r="AU4822" i="11"/>
  <c r="AV4822" i="11"/>
  <c r="AU4823" i="11"/>
  <c r="AV4823" i="11"/>
  <c r="AU4824" i="11"/>
  <c r="AV4824" i="11"/>
  <c r="AU4825" i="11"/>
  <c r="AV4825" i="11"/>
  <c r="AU4826" i="11"/>
  <c r="AV4826" i="11"/>
  <c r="AU4827" i="11"/>
  <c r="AV4827" i="11"/>
  <c r="AU4828" i="11"/>
  <c r="AV4828" i="11"/>
  <c r="AU4829" i="11"/>
  <c r="AV4829" i="11"/>
  <c r="AU4830" i="11"/>
  <c r="AV4830" i="11"/>
  <c r="AU4831" i="11"/>
  <c r="AV4831" i="11"/>
  <c r="AU4832" i="11"/>
  <c r="AV4832" i="11"/>
  <c r="AU4833" i="11"/>
  <c r="AV4833" i="11"/>
  <c r="AU4834" i="11"/>
  <c r="AV4834" i="11"/>
  <c r="AU4835" i="11"/>
  <c r="AV4835" i="11"/>
  <c r="AU4836" i="11"/>
  <c r="AV4836" i="11"/>
  <c r="AU4837" i="11"/>
  <c r="AV4837" i="11"/>
  <c r="AU4838" i="11"/>
  <c r="AV4838" i="11"/>
  <c r="AU4839" i="11"/>
  <c r="AV4839" i="11"/>
  <c r="AU4840" i="11"/>
  <c r="AV4840" i="11"/>
  <c r="AU4841" i="11"/>
  <c r="AV4841" i="11"/>
  <c r="AU4842" i="11"/>
  <c r="AV4842" i="11"/>
  <c r="AU4843" i="11"/>
  <c r="AV4843" i="11"/>
  <c r="AU4844" i="11"/>
  <c r="AV4844" i="11"/>
  <c r="AU4845" i="11"/>
  <c r="AV4845" i="11"/>
  <c r="AU4846" i="11"/>
  <c r="AV4846" i="11"/>
  <c r="AU4847" i="11"/>
  <c r="AV4847" i="11"/>
  <c r="AU4848" i="11"/>
  <c r="AV4848" i="11"/>
  <c r="AU4849" i="11"/>
  <c r="AV4849" i="11"/>
  <c r="AU4850" i="11"/>
  <c r="AV4850" i="11"/>
  <c r="AU4851" i="11"/>
  <c r="AV4851" i="11"/>
  <c r="AU4852" i="11"/>
  <c r="AV4852" i="11"/>
  <c r="AU4853" i="11"/>
  <c r="AV4853" i="11"/>
  <c r="AU4854" i="11"/>
  <c r="AV4854" i="11"/>
  <c r="AU4855" i="11"/>
  <c r="AV4855" i="11"/>
  <c r="AU4856" i="11"/>
  <c r="AV4856" i="11"/>
  <c r="AU4857" i="11"/>
  <c r="AV4857" i="11"/>
  <c r="AU4858" i="11"/>
  <c r="AV4858" i="11"/>
  <c r="AU4859" i="11"/>
  <c r="AV4859" i="11"/>
  <c r="AU4860" i="11"/>
  <c r="AV4860" i="11"/>
  <c r="AU4861" i="11"/>
  <c r="AV4861" i="11"/>
  <c r="AU4862" i="11"/>
  <c r="AV4862" i="11"/>
  <c r="AU4863" i="11"/>
  <c r="AV4863" i="11"/>
  <c r="AU4864" i="11"/>
  <c r="AV4864" i="11"/>
  <c r="AU4865" i="11"/>
  <c r="AV4865" i="11"/>
  <c r="AU4866" i="11"/>
  <c r="AV4866" i="11"/>
  <c r="AU4867" i="11"/>
  <c r="AV4867" i="11"/>
  <c r="AU4868" i="11"/>
  <c r="AV4868" i="11"/>
  <c r="AU4869" i="11"/>
  <c r="AV4869" i="11"/>
  <c r="AU4870" i="11"/>
  <c r="AV4870" i="11"/>
  <c r="AU4871" i="11"/>
  <c r="AV4871" i="11"/>
  <c r="AU4872" i="11"/>
  <c r="AV4872" i="11"/>
  <c r="AU4873" i="11"/>
  <c r="AV4873" i="11"/>
  <c r="AU4874" i="11"/>
  <c r="AV4874" i="11"/>
  <c r="AU4875" i="11"/>
  <c r="AV4875" i="11"/>
  <c r="AU4876" i="11"/>
  <c r="AV4876" i="11"/>
  <c r="AU4877" i="11"/>
  <c r="AV4877" i="11"/>
  <c r="AU4878" i="11"/>
  <c r="AV4878" i="11"/>
  <c r="AU4879" i="11"/>
  <c r="AV4879" i="11"/>
  <c r="AU4880" i="11"/>
  <c r="AV4880" i="11"/>
  <c r="AU4881" i="11"/>
  <c r="AV4881" i="11"/>
  <c r="AU4882" i="11"/>
  <c r="AV4882" i="11"/>
  <c r="AU4883" i="11"/>
  <c r="AV4883" i="11"/>
  <c r="AU4884" i="11"/>
  <c r="AV4884" i="11"/>
  <c r="AU4885" i="11"/>
  <c r="AV4885" i="11"/>
  <c r="AU4886" i="11"/>
  <c r="AV4886" i="11"/>
  <c r="AU4887" i="11"/>
  <c r="AV4887" i="11"/>
  <c r="AU4888" i="11"/>
  <c r="AV4888" i="11"/>
  <c r="AU4889" i="11"/>
  <c r="AV4889" i="11"/>
  <c r="AU4890" i="11"/>
  <c r="AV4890" i="11"/>
  <c r="AU4891" i="11"/>
  <c r="AV4891" i="11"/>
  <c r="AU4892" i="11"/>
  <c r="AV4892" i="11"/>
  <c r="AU4893" i="11"/>
  <c r="AV4893" i="11"/>
  <c r="AU4894" i="11"/>
  <c r="AV4894" i="11"/>
  <c r="AU4895" i="11"/>
  <c r="AV4895" i="11"/>
  <c r="AU4896" i="11"/>
  <c r="AV4896" i="11"/>
  <c r="AU4897" i="11"/>
  <c r="AV4897" i="11"/>
  <c r="AU4898" i="11"/>
  <c r="AV4898" i="11"/>
  <c r="AU4899" i="11"/>
  <c r="AV4899" i="11"/>
  <c r="AU4900" i="11"/>
  <c r="AV4900" i="11"/>
  <c r="AU4901" i="11"/>
  <c r="AV4901" i="11"/>
  <c r="AU4902" i="11"/>
  <c r="AV4902" i="11"/>
  <c r="AU4903" i="11"/>
  <c r="AV4903" i="11"/>
  <c r="AU4904" i="11"/>
  <c r="AV4904" i="11"/>
  <c r="AU4905" i="11"/>
  <c r="AV4905" i="11"/>
  <c r="AU4906" i="11"/>
  <c r="AV4906" i="11"/>
  <c r="AU4907" i="11"/>
  <c r="AV4907" i="11"/>
  <c r="AU4908" i="11"/>
  <c r="AV4908" i="11"/>
  <c r="AU4909" i="11"/>
  <c r="AV4909" i="11"/>
  <c r="AU4910" i="11"/>
  <c r="AV4910" i="11"/>
  <c r="AU4911" i="11"/>
  <c r="AV4911" i="11"/>
  <c r="AU4912" i="11"/>
  <c r="AV4912" i="11"/>
  <c r="AU4913" i="11"/>
  <c r="AV4913" i="11"/>
  <c r="AU4914" i="11"/>
  <c r="AV4914" i="11"/>
  <c r="AU4915" i="11"/>
  <c r="AV4915" i="11"/>
  <c r="AU4916" i="11"/>
  <c r="AV4916" i="11"/>
  <c r="AU4917" i="11"/>
  <c r="AV4917" i="11"/>
  <c r="AU4918" i="11"/>
  <c r="AV4918" i="11"/>
  <c r="AU4919" i="11"/>
  <c r="AV4919" i="11"/>
  <c r="AU4920" i="11"/>
  <c r="AV4920" i="11"/>
  <c r="AU4921" i="11"/>
  <c r="AV4921" i="11"/>
  <c r="AU4922" i="11"/>
  <c r="AV4922" i="11"/>
  <c r="AU4923" i="11"/>
  <c r="AV4923" i="11"/>
  <c r="AU4924" i="11"/>
  <c r="AV4924" i="11"/>
  <c r="AU4925" i="11"/>
  <c r="AV4925" i="11"/>
  <c r="AU4926" i="11"/>
  <c r="AV4926" i="11"/>
  <c r="AU4927" i="11"/>
  <c r="AV4927" i="11"/>
  <c r="AU4928" i="11"/>
  <c r="AV4928" i="11"/>
  <c r="AU4929" i="11"/>
  <c r="AV4929" i="11"/>
  <c r="AU4930" i="11"/>
  <c r="AV4930" i="11"/>
  <c r="AU4931" i="11"/>
  <c r="AV4931" i="11"/>
  <c r="AU4932" i="11"/>
  <c r="AV4932" i="11"/>
  <c r="AU4933" i="11"/>
  <c r="AV4933" i="11"/>
  <c r="AU4934" i="11"/>
  <c r="AV4934" i="11"/>
  <c r="AU4935" i="11"/>
  <c r="AV4935" i="11"/>
  <c r="AU4936" i="11"/>
  <c r="AV4936" i="11"/>
  <c r="AU4937" i="11"/>
  <c r="AV4937" i="11"/>
  <c r="AU4938" i="11"/>
  <c r="AV4938" i="11"/>
  <c r="AU4939" i="11"/>
  <c r="AV4939" i="11"/>
  <c r="AU4940" i="11"/>
  <c r="AV4940" i="11"/>
  <c r="AU4941" i="11"/>
  <c r="AV4941" i="11"/>
  <c r="AU4942" i="11"/>
  <c r="AV4942" i="11"/>
  <c r="AU4943" i="11"/>
  <c r="AV4943" i="11"/>
  <c r="AU4944" i="11"/>
  <c r="AV4944" i="11"/>
  <c r="AU4945" i="11"/>
  <c r="AV4945" i="11"/>
  <c r="AU4946" i="11"/>
  <c r="AV4946" i="11"/>
  <c r="AU4947" i="11"/>
  <c r="AV4947" i="11"/>
  <c r="AU4948" i="11"/>
  <c r="AV4948" i="11"/>
  <c r="AU4949" i="11"/>
  <c r="AV4949" i="11"/>
  <c r="AU4950" i="11"/>
  <c r="AV4950" i="11"/>
  <c r="AU4951" i="11"/>
  <c r="AV4951" i="11"/>
  <c r="AU4952" i="11"/>
  <c r="AV4952" i="11"/>
  <c r="AU4953" i="11"/>
  <c r="AV4953" i="11"/>
  <c r="AU4954" i="11"/>
  <c r="AV4954" i="11"/>
  <c r="AU4955" i="11"/>
  <c r="AV4955" i="11"/>
  <c r="AU4956" i="11"/>
  <c r="AV4956" i="11"/>
  <c r="AU4957" i="11"/>
  <c r="AV4957" i="11"/>
  <c r="AU4958" i="11"/>
  <c r="AV4958" i="11"/>
  <c r="AU4959" i="11"/>
  <c r="AV4959" i="11"/>
  <c r="AU4960" i="11"/>
  <c r="AV4960" i="11"/>
  <c r="AU4961" i="11"/>
  <c r="AV4961" i="11"/>
  <c r="AU4962" i="11"/>
  <c r="AV4962" i="11"/>
  <c r="AU4963" i="11"/>
  <c r="AV4963" i="11"/>
  <c r="AU4964" i="11"/>
  <c r="AV4964" i="11"/>
  <c r="AU4965" i="11"/>
  <c r="AV4965" i="11"/>
  <c r="AU4966" i="11"/>
  <c r="AV4966" i="11"/>
  <c r="AU4967" i="11"/>
  <c r="AV4967" i="11"/>
  <c r="AU4968" i="11"/>
  <c r="AV4968" i="11"/>
  <c r="AU4969" i="11"/>
  <c r="AV4969" i="11"/>
  <c r="AU4970" i="11"/>
  <c r="AV4970" i="11"/>
  <c r="AU4971" i="11"/>
  <c r="AV4971" i="11"/>
  <c r="AU4972" i="11"/>
  <c r="AV4972" i="11"/>
  <c r="AU4973" i="11"/>
  <c r="AV4973" i="11"/>
  <c r="AU4974" i="11"/>
  <c r="AV4974" i="11"/>
  <c r="AU4975" i="11"/>
  <c r="AV4975" i="11"/>
  <c r="AU4976" i="11"/>
  <c r="AV4976" i="11"/>
  <c r="AU4977" i="11"/>
  <c r="AV4977" i="11"/>
  <c r="AU4978" i="11"/>
  <c r="AV4978" i="11"/>
  <c r="AU4979" i="11"/>
  <c r="AV4979" i="11"/>
  <c r="AU4980" i="11"/>
  <c r="AV4980" i="11"/>
  <c r="AU4981" i="11"/>
  <c r="AV4981" i="11"/>
  <c r="AU4982" i="11"/>
  <c r="AV4982" i="11"/>
  <c r="AU4983" i="11"/>
  <c r="AV4983" i="11"/>
  <c r="AU4984" i="11"/>
  <c r="AV4984" i="11"/>
  <c r="AU4985" i="11"/>
  <c r="AV4985" i="11"/>
  <c r="AU4986" i="11"/>
  <c r="AV4986" i="11"/>
  <c r="AU4987" i="11"/>
  <c r="AV4987" i="11"/>
  <c r="AU4988" i="11"/>
  <c r="AV4988" i="11"/>
  <c r="AU4989" i="11"/>
  <c r="AV4989" i="11"/>
  <c r="AU4990" i="11"/>
  <c r="AV4990" i="11"/>
  <c r="AU4991" i="11"/>
  <c r="AV4991" i="11"/>
  <c r="AU4992" i="11"/>
  <c r="AV4992" i="11"/>
  <c r="AU4993" i="11"/>
  <c r="AV4993" i="11"/>
  <c r="AU4994" i="11"/>
  <c r="AV4994" i="11"/>
  <c r="AU4995" i="11"/>
  <c r="AV4995" i="11"/>
  <c r="AU4996" i="11"/>
  <c r="AV4996" i="11"/>
  <c r="AU4997" i="11"/>
  <c r="AV4997" i="11"/>
  <c r="AU4998" i="11"/>
  <c r="AV4998" i="11"/>
  <c r="AU4999" i="11"/>
  <c r="AV4999" i="11"/>
  <c r="AU5000" i="11"/>
  <c r="AV5000" i="11"/>
  <c r="AU5001" i="11"/>
  <c r="AV5001" i="11"/>
  <c r="AU5002" i="11"/>
  <c r="AV5002" i="11"/>
  <c r="AU5003" i="11"/>
  <c r="AV5003" i="11"/>
  <c r="AU5004" i="11"/>
  <c r="AV5004" i="11"/>
  <c r="AU5005" i="11"/>
  <c r="AV5005" i="11"/>
  <c r="AU5006" i="11"/>
  <c r="AV5006" i="11"/>
  <c r="AU5007" i="11"/>
  <c r="AV5007" i="11"/>
  <c r="AU5008" i="11"/>
  <c r="AV5008" i="11"/>
  <c r="AU5009" i="11"/>
  <c r="AV5009" i="11"/>
  <c r="AU5010" i="11"/>
  <c r="AV5010" i="11"/>
  <c r="AU5011" i="11"/>
  <c r="AV5011" i="11"/>
  <c r="AU5012" i="11"/>
  <c r="AV5012" i="11"/>
  <c r="AU5013" i="11"/>
  <c r="AV5013" i="11"/>
  <c r="AU5014" i="11"/>
  <c r="AV5014" i="11"/>
  <c r="AU5015" i="11"/>
  <c r="AV5015" i="11"/>
  <c r="AU5016" i="11"/>
  <c r="AV5016" i="11"/>
  <c r="AU5017" i="11"/>
  <c r="AV5017" i="11"/>
  <c r="AU5018" i="11"/>
  <c r="AV5018" i="11"/>
  <c r="AU5019" i="11"/>
  <c r="AV5019" i="11"/>
  <c r="AU5020" i="11"/>
  <c r="AV5020" i="11"/>
  <c r="AU5021" i="11"/>
  <c r="AV5021" i="11"/>
  <c r="AU5022" i="11"/>
  <c r="AV5022" i="11"/>
  <c r="AU5023" i="11"/>
  <c r="AV5023" i="11"/>
  <c r="AU5024" i="11"/>
  <c r="AV5024" i="11"/>
  <c r="AU5025" i="11"/>
  <c r="AV5025" i="11"/>
  <c r="AU5026" i="11"/>
  <c r="AV5026" i="11"/>
  <c r="AU5027" i="11"/>
  <c r="AV5027" i="11"/>
  <c r="AU5028" i="11"/>
  <c r="AV5028" i="11"/>
  <c r="AU5029" i="11"/>
  <c r="AV5029" i="11"/>
  <c r="AU5030" i="11"/>
  <c r="AV5030" i="11"/>
  <c r="AU5031" i="11"/>
  <c r="AV5031" i="11"/>
  <c r="AU5032" i="11"/>
  <c r="AV5032" i="11"/>
  <c r="AU5033" i="11"/>
  <c r="AV5033" i="11"/>
  <c r="AU5034" i="11"/>
  <c r="AV5034" i="11"/>
  <c r="AU5035" i="11"/>
  <c r="AV5035" i="11"/>
  <c r="AU5036" i="11"/>
  <c r="AV5036" i="11"/>
  <c r="AU5037" i="11"/>
  <c r="AV5037" i="11"/>
  <c r="AU5038" i="11"/>
  <c r="AV5038" i="11"/>
  <c r="AU5039" i="11"/>
  <c r="AV5039" i="11"/>
  <c r="AU5040" i="11"/>
  <c r="AV5040" i="11"/>
  <c r="AU5041" i="11"/>
  <c r="AV5041" i="11"/>
  <c r="AU5042" i="11"/>
  <c r="AV5042" i="11"/>
  <c r="AU5043" i="11"/>
  <c r="AV5043" i="11"/>
  <c r="AU5044" i="11"/>
  <c r="AV5044" i="11"/>
  <c r="AU5045" i="11"/>
  <c r="AV5045" i="11"/>
  <c r="AU5046" i="11"/>
  <c r="AV5046" i="11"/>
  <c r="AU5047" i="11"/>
  <c r="AV5047" i="11"/>
  <c r="AU5048" i="11"/>
  <c r="AV5048" i="11"/>
  <c r="AU5049" i="11"/>
  <c r="AV5049" i="11"/>
  <c r="AU5050" i="11"/>
  <c r="AV5050" i="11"/>
  <c r="AU5051" i="11"/>
  <c r="AV5051" i="11"/>
  <c r="AU5052" i="11"/>
  <c r="AV5052" i="11"/>
  <c r="AU5053" i="11"/>
  <c r="AV5053" i="11"/>
  <c r="AU5054" i="11"/>
  <c r="AV5054" i="11"/>
  <c r="AU5055" i="11"/>
  <c r="AV5055" i="11"/>
  <c r="AU5056" i="11"/>
  <c r="AV5056" i="11"/>
  <c r="AU5057" i="11"/>
  <c r="AV5057" i="11"/>
  <c r="AU5058" i="11"/>
  <c r="AV5058" i="11"/>
  <c r="AU5059" i="11"/>
  <c r="AV5059" i="11"/>
  <c r="AU5060" i="11"/>
  <c r="AV5060" i="11"/>
  <c r="AU5061" i="11"/>
  <c r="AV5061" i="11"/>
  <c r="AU5062" i="11"/>
  <c r="AV5062" i="11"/>
  <c r="AU5063" i="11"/>
  <c r="AV5063" i="11"/>
  <c r="AU5064" i="11"/>
  <c r="AV5064" i="11"/>
  <c r="AU5065" i="11"/>
  <c r="AV5065" i="11"/>
  <c r="AU5066" i="11"/>
  <c r="AV5066" i="11"/>
  <c r="AU5067" i="11"/>
  <c r="AV5067" i="11"/>
  <c r="AU5068" i="11"/>
  <c r="AV5068" i="11"/>
  <c r="AU5069" i="11"/>
  <c r="AV5069" i="11"/>
  <c r="AU5070" i="11"/>
  <c r="AV5070" i="11"/>
  <c r="AU5071" i="11"/>
  <c r="AV5071" i="11"/>
  <c r="AU5072" i="11"/>
  <c r="AV5072" i="11"/>
  <c r="AU5073" i="11"/>
  <c r="AV5073" i="11"/>
  <c r="AU5074" i="11"/>
  <c r="AV5074" i="11"/>
  <c r="AU5075" i="11"/>
  <c r="AV5075" i="11"/>
  <c r="AU5076" i="11"/>
  <c r="AV5076" i="11"/>
  <c r="AU5077" i="11"/>
  <c r="AV5077" i="11"/>
  <c r="AU5078" i="11"/>
  <c r="AV5078" i="11"/>
  <c r="AU5079" i="11"/>
  <c r="AV5079" i="11"/>
  <c r="AU5080" i="11"/>
  <c r="AV5080" i="11"/>
  <c r="AU5081" i="11"/>
  <c r="AV5081" i="11"/>
  <c r="AU5082" i="11"/>
  <c r="AV5082" i="11"/>
  <c r="AU5083" i="11"/>
  <c r="AV5083" i="11"/>
  <c r="AU5084" i="11"/>
  <c r="AV5084" i="11"/>
  <c r="AU5085" i="11"/>
  <c r="AV5085" i="11"/>
  <c r="AU5086" i="11"/>
  <c r="AV5086" i="11"/>
  <c r="AU5087" i="11"/>
  <c r="AV5087" i="11"/>
  <c r="AU5088" i="11"/>
  <c r="AV5088" i="11"/>
  <c r="AU5089" i="11"/>
  <c r="AV5089" i="11"/>
  <c r="AU5090" i="11"/>
  <c r="AV5090" i="11"/>
  <c r="AU5091" i="11"/>
  <c r="AV5091" i="11"/>
  <c r="AU5092" i="11"/>
  <c r="AV5092" i="11"/>
  <c r="AU5093" i="11"/>
  <c r="AV5093" i="11"/>
  <c r="AU5094" i="11"/>
  <c r="AV5094" i="11"/>
  <c r="AU5095" i="11"/>
  <c r="AV5095" i="11"/>
  <c r="AU5096" i="11"/>
  <c r="AV5096" i="11"/>
  <c r="AU5097" i="11"/>
  <c r="AV5097" i="11"/>
  <c r="AU5098" i="11"/>
  <c r="AV5098" i="11"/>
  <c r="AU5099" i="11"/>
  <c r="AV5099" i="11"/>
  <c r="AU5100" i="11"/>
  <c r="AV5100" i="11"/>
  <c r="AU5101" i="11"/>
  <c r="AV5101" i="11"/>
  <c r="AU5102" i="11"/>
  <c r="AV5102" i="11"/>
  <c r="AU5103" i="11"/>
  <c r="AV5103" i="11"/>
  <c r="AU5104" i="11"/>
  <c r="AV5104" i="11"/>
  <c r="AU5105" i="11"/>
  <c r="AV5105" i="11"/>
  <c r="AU5106" i="11"/>
  <c r="AV5106" i="11"/>
  <c r="AU5107" i="11"/>
  <c r="AV5107" i="11"/>
  <c r="AU5108" i="11"/>
  <c r="AV5108" i="11"/>
  <c r="AU5109" i="11"/>
  <c r="AV5109" i="11"/>
  <c r="AU5110" i="11"/>
  <c r="AV5110" i="11"/>
  <c r="AU5111" i="11"/>
  <c r="AV5111" i="11"/>
  <c r="AU5112" i="11"/>
  <c r="AV5112" i="11"/>
  <c r="AU5113" i="11"/>
  <c r="AV5113" i="11"/>
  <c r="AU5114" i="11"/>
  <c r="AV5114" i="11"/>
  <c r="AU5115" i="11"/>
  <c r="AV5115" i="11"/>
  <c r="AU5116" i="11"/>
  <c r="AV5116" i="11"/>
  <c r="AU5117" i="11"/>
  <c r="AV5117" i="11"/>
  <c r="AU5118" i="11"/>
  <c r="AV5118" i="11"/>
  <c r="AU5119" i="11"/>
  <c r="AV5119" i="11"/>
  <c r="AU5120" i="11"/>
  <c r="AV5120" i="11"/>
  <c r="AU5121" i="11"/>
  <c r="AV5121" i="11"/>
  <c r="AU5122" i="11"/>
  <c r="AV5122" i="11"/>
  <c r="AU5123" i="11"/>
  <c r="AV5123" i="11"/>
  <c r="AU5124" i="11"/>
  <c r="AV5124" i="11"/>
  <c r="AU5125" i="11"/>
  <c r="AV5125" i="11"/>
  <c r="AU5126" i="11"/>
  <c r="AV5126" i="11"/>
  <c r="AU5127" i="11"/>
  <c r="AV5127" i="11"/>
  <c r="AU5128" i="11"/>
  <c r="AV5128" i="11"/>
  <c r="AU5129" i="11"/>
  <c r="AV5129" i="11"/>
  <c r="AU5130" i="11"/>
  <c r="AV5130" i="11"/>
  <c r="AU5131" i="11"/>
  <c r="AV5131" i="11"/>
  <c r="AU5132" i="11"/>
  <c r="AV5132" i="11"/>
  <c r="AU5133" i="11"/>
  <c r="AV5133" i="11"/>
  <c r="AU5134" i="11"/>
  <c r="AV5134" i="11"/>
  <c r="AU5135" i="11"/>
  <c r="AV5135" i="11"/>
  <c r="AU5136" i="11"/>
  <c r="AV5136" i="11"/>
  <c r="AU5137" i="11"/>
  <c r="AV5137" i="11"/>
  <c r="AU5138" i="11"/>
  <c r="AV5138" i="11"/>
  <c r="AU5139" i="11"/>
  <c r="AV5139" i="11"/>
  <c r="AU5140" i="11"/>
  <c r="AV5140" i="11"/>
  <c r="AU5141" i="11"/>
  <c r="AV5141" i="11"/>
  <c r="AU5142" i="11"/>
  <c r="AV5142" i="11"/>
  <c r="AU5143" i="11"/>
  <c r="AV5143" i="11"/>
  <c r="AU5144" i="11"/>
  <c r="AV5144" i="11"/>
  <c r="AU5145" i="11"/>
  <c r="AV5145" i="11"/>
  <c r="AU5146" i="11"/>
  <c r="AV5146" i="11"/>
  <c r="AU5147" i="11"/>
  <c r="AV5147" i="11"/>
  <c r="AU5148" i="11"/>
  <c r="AV5148" i="11"/>
  <c r="AU5149" i="11"/>
  <c r="AV5149" i="11"/>
  <c r="AU5150" i="11"/>
  <c r="AV5150" i="11"/>
  <c r="AU5151" i="11"/>
  <c r="AV5151" i="11"/>
  <c r="AU5152" i="11"/>
  <c r="AV5152" i="11"/>
  <c r="AU5153" i="11"/>
  <c r="AV5153" i="11"/>
  <c r="AU5154" i="11"/>
  <c r="AV5154" i="11"/>
  <c r="AU5155" i="11"/>
  <c r="AV5155" i="11"/>
  <c r="AU5156" i="11"/>
  <c r="AV5156" i="11"/>
  <c r="AU5157" i="11"/>
  <c r="AV5157" i="11"/>
  <c r="AU5158" i="11"/>
  <c r="AV5158" i="11"/>
  <c r="AU5159" i="11"/>
  <c r="AV5159" i="11"/>
  <c r="AU5160" i="11"/>
  <c r="AV5160" i="11"/>
  <c r="AU5161" i="11"/>
  <c r="AV5161" i="11"/>
  <c r="AU5162" i="11"/>
  <c r="AV5162" i="11"/>
  <c r="AU5163" i="11"/>
  <c r="AV5163" i="11"/>
  <c r="AU5164" i="11"/>
  <c r="AV5164" i="11"/>
  <c r="AU5165" i="11"/>
  <c r="AV5165" i="11"/>
  <c r="AU5166" i="11"/>
  <c r="AV5166" i="11"/>
  <c r="AU5167" i="11"/>
  <c r="AV5167" i="11"/>
  <c r="AU5168" i="11"/>
  <c r="AV5168" i="11"/>
  <c r="AU5169" i="11"/>
  <c r="AV5169" i="11"/>
  <c r="AU5170" i="11"/>
  <c r="AV5170" i="11"/>
  <c r="AU5171" i="11"/>
  <c r="AV5171" i="11"/>
  <c r="AU5172" i="11"/>
  <c r="AV5172" i="11"/>
  <c r="AU5173" i="11"/>
  <c r="AV5173" i="11"/>
  <c r="AU5174" i="11"/>
  <c r="AV5174" i="11"/>
  <c r="AU5175" i="11"/>
  <c r="AV5175" i="11"/>
  <c r="AU5176" i="11"/>
  <c r="AV5176" i="11"/>
  <c r="AU5177" i="11"/>
  <c r="AV5177" i="11"/>
  <c r="AU5178" i="11"/>
  <c r="AV5178" i="11"/>
  <c r="AU5179" i="11"/>
  <c r="AV5179" i="11"/>
  <c r="AU5180" i="11"/>
  <c r="AV5180" i="11"/>
  <c r="AU5181" i="11"/>
  <c r="AV5181" i="11"/>
  <c r="AU5182" i="11"/>
  <c r="AV5182" i="11"/>
  <c r="AU5183" i="11"/>
  <c r="AV5183" i="11"/>
  <c r="AU5184" i="11"/>
  <c r="AV5184" i="11"/>
  <c r="AU5185" i="11"/>
  <c r="AV5185" i="11"/>
  <c r="AU5186" i="11"/>
  <c r="AV5186" i="11"/>
  <c r="AU5187" i="11"/>
  <c r="AV5187" i="11"/>
  <c r="AU5188" i="11"/>
  <c r="AV5188" i="11"/>
  <c r="AU5189" i="11"/>
  <c r="AV5189" i="11"/>
  <c r="AU5190" i="11"/>
  <c r="AV5190" i="11"/>
  <c r="AU5191" i="11"/>
  <c r="AV5191" i="11"/>
  <c r="AU5192" i="11"/>
  <c r="AV5192" i="11"/>
  <c r="AU5193" i="11"/>
  <c r="AV5193" i="11"/>
  <c r="AU5194" i="11"/>
  <c r="AV5194" i="11"/>
  <c r="AU5195" i="11"/>
  <c r="AV5195" i="11"/>
  <c r="AU5196" i="11"/>
  <c r="AV5196" i="11"/>
  <c r="AU5197" i="11"/>
  <c r="AV5197" i="11"/>
  <c r="AU5198" i="11"/>
  <c r="AV5198" i="11"/>
  <c r="AU5199" i="11"/>
  <c r="AV5199" i="11"/>
  <c r="AU5200" i="11"/>
  <c r="AV5200" i="11"/>
  <c r="AU5201" i="11"/>
  <c r="AV5201" i="11"/>
  <c r="AU5202" i="11"/>
  <c r="AV5202" i="11"/>
  <c r="AU5203" i="11"/>
  <c r="AV5203" i="11"/>
  <c r="AU5204" i="11"/>
  <c r="AV5204" i="11"/>
  <c r="AU5205" i="11"/>
  <c r="AV5205" i="11"/>
  <c r="AU5206" i="11"/>
  <c r="AV5206" i="11"/>
  <c r="AU5207" i="11"/>
  <c r="AV5207" i="11"/>
  <c r="AU5208" i="11"/>
  <c r="AV5208" i="11"/>
  <c r="AU5209" i="11"/>
  <c r="AV5209" i="11"/>
  <c r="AU5210" i="11"/>
  <c r="AV5210" i="11"/>
  <c r="AU5211" i="11"/>
  <c r="AV5211" i="11"/>
  <c r="AU5212" i="11"/>
  <c r="AV5212" i="11"/>
  <c r="AU5213" i="11"/>
  <c r="AV5213" i="11"/>
  <c r="AU5214" i="11"/>
  <c r="AV5214" i="11"/>
  <c r="AU5215" i="11"/>
  <c r="AV5215" i="11"/>
  <c r="AU5216" i="11"/>
  <c r="AV5216" i="11"/>
  <c r="AU5217" i="11"/>
  <c r="AV5217" i="11"/>
  <c r="AU5218" i="11"/>
  <c r="AV5218" i="11"/>
  <c r="AU5219" i="11"/>
  <c r="AV5219" i="11"/>
  <c r="AU5220" i="11"/>
  <c r="AV5220" i="11"/>
  <c r="AU5221" i="11"/>
  <c r="AV5221" i="11"/>
  <c r="AU5222" i="11"/>
  <c r="AV5222" i="11"/>
  <c r="AU5223" i="11"/>
  <c r="AV5223" i="11"/>
  <c r="AU5224" i="11"/>
  <c r="AV5224" i="11"/>
  <c r="AU5225" i="11"/>
  <c r="AV5225" i="11"/>
  <c r="AU5226" i="11"/>
  <c r="AV5226" i="11"/>
  <c r="AU5227" i="11"/>
  <c r="AV5227" i="11"/>
  <c r="AU5228" i="11"/>
  <c r="AV5228" i="11"/>
  <c r="AU5229" i="11"/>
  <c r="AV5229" i="11"/>
  <c r="AU5230" i="11"/>
  <c r="AV5230" i="11"/>
  <c r="AU5231" i="11"/>
  <c r="AV5231" i="11"/>
  <c r="AU5232" i="11"/>
  <c r="AV5232" i="11"/>
  <c r="AU5233" i="11"/>
  <c r="AV5233" i="11"/>
  <c r="AU5234" i="11"/>
  <c r="AV5234" i="11"/>
  <c r="AU5235" i="11"/>
  <c r="AV5235" i="11"/>
  <c r="AU5236" i="11"/>
  <c r="AV5236" i="11"/>
  <c r="AU5237" i="11"/>
  <c r="AV5237" i="11"/>
  <c r="AU5238" i="11"/>
  <c r="AV5238" i="11"/>
  <c r="AU5239" i="11"/>
  <c r="AV5239" i="11"/>
  <c r="AU5240" i="11"/>
  <c r="AV5240" i="11"/>
  <c r="AU5241" i="11"/>
  <c r="AV5241" i="11"/>
  <c r="AU5242" i="11"/>
  <c r="AV5242" i="11"/>
  <c r="AU5243" i="11"/>
  <c r="AV5243" i="11"/>
  <c r="AU5244" i="11"/>
  <c r="AV5244" i="11"/>
  <c r="AU5245" i="11"/>
  <c r="AV5245" i="11"/>
  <c r="AU5246" i="11"/>
  <c r="AV5246" i="11"/>
  <c r="AU5247" i="11"/>
  <c r="AV5247" i="11"/>
  <c r="AU5248" i="11"/>
  <c r="AV5248" i="11"/>
  <c r="AU5249" i="11"/>
  <c r="AV5249" i="11"/>
  <c r="AU5250" i="11"/>
  <c r="AV5250" i="11"/>
  <c r="AU5251" i="11"/>
  <c r="AV5251" i="11"/>
  <c r="AU5252" i="11"/>
  <c r="AV5252" i="11"/>
  <c r="AU5253" i="11"/>
  <c r="AV5253" i="11"/>
  <c r="AU5254" i="11"/>
  <c r="AV5254" i="11"/>
  <c r="AU5255" i="11"/>
  <c r="AV5255" i="11"/>
  <c r="AU5256" i="11"/>
  <c r="AV5256" i="11"/>
  <c r="AU5257" i="11"/>
  <c r="AV5257" i="11"/>
  <c r="AU5258" i="11"/>
  <c r="AV5258" i="11"/>
  <c r="AU5259" i="11"/>
  <c r="AV5259" i="11"/>
  <c r="AU5260" i="11"/>
  <c r="AV5260" i="11"/>
  <c r="AU5261" i="11"/>
  <c r="AV5261" i="11"/>
  <c r="AU5262" i="11"/>
  <c r="AV5262" i="11"/>
  <c r="AU5263" i="11"/>
  <c r="AV5263" i="11"/>
  <c r="AU5264" i="11"/>
  <c r="AV5264" i="11"/>
  <c r="AU5265" i="11"/>
  <c r="AV5265" i="11"/>
  <c r="AU5266" i="11"/>
  <c r="AV5266" i="11"/>
  <c r="AU5267" i="11"/>
  <c r="AV5267" i="11"/>
  <c r="AU5268" i="11"/>
  <c r="AV5268" i="11"/>
  <c r="AU5269" i="11"/>
  <c r="AV5269" i="11"/>
  <c r="AU5270" i="11"/>
  <c r="AV5270" i="11"/>
  <c r="AU5271" i="11"/>
  <c r="AV5271" i="11"/>
  <c r="AU5272" i="11"/>
  <c r="AV5272" i="11"/>
  <c r="AU5273" i="11"/>
  <c r="AV5273" i="11"/>
  <c r="AU5274" i="11"/>
  <c r="AV5274" i="11"/>
  <c r="AU5275" i="11"/>
  <c r="AV5275" i="11"/>
  <c r="AU5276" i="11"/>
  <c r="AV5276" i="11"/>
  <c r="AU5277" i="11"/>
  <c r="AV5277" i="11"/>
  <c r="AU5278" i="11"/>
  <c r="AV5278" i="11"/>
  <c r="AU5279" i="11"/>
  <c r="AV5279" i="11"/>
  <c r="AU5280" i="11"/>
  <c r="AV5280" i="11"/>
  <c r="AU5281" i="11"/>
  <c r="AV5281" i="11"/>
  <c r="AU5282" i="11"/>
  <c r="AV5282" i="11"/>
  <c r="AU5283" i="11"/>
  <c r="AV5283" i="11"/>
  <c r="AU5284" i="11"/>
  <c r="AV5284" i="11"/>
  <c r="AU5285" i="11"/>
  <c r="AV5285" i="11"/>
  <c r="AU5286" i="11"/>
  <c r="AV5286" i="11"/>
  <c r="AU5287" i="11"/>
  <c r="AV5287" i="11"/>
  <c r="AU5288" i="11"/>
  <c r="AV5288" i="11"/>
  <c r="AU5289" i="11"/>
  <c r="AV5289" i="11"/>
  <c r="AU5290" i="11"/>
  <c r="AV5290" i="11"/>
  <c r="AU5291" i="11"/>
  <c r="AV5291" i="11"/>
  <c r="AU5292" i="11"/>
  <c r="AV5292" i="11"/>
  <c r="AU5293" i="11"/>
  <c r="AV5293" i="11"/>
  <c r="AU5294" i="11"/>
  <c r="AV5294" i="11"/>
  <c r="AU5295" i="11"/>
  <c r="AV5295" i="11"/>
  <c r="AU5296" i="11"/>
  <c r="AV5296" i="11"/>
  <c r="AU5297" i="11"/>
  <c r="AV5297" i="11"/>
  <c r="AU5298" i="11"/>
  <c r="AV5298" i="11"/>
  <c r="AU5299" i="11"/>
  <c r="AV5299" i="11"/>
  <c r="AU5300" i="11"/>
  <c r="AV5300" i="11"/>
  <c r="AU5301" i="11"/>
  <c r="AV5301" i="11"/>
  <c r="AU5302" i="11"/>
  <c r="AV5302" i="11"/>
  <c r="AU5303" i="11"/>
  <c r="AV5303" i="11"/>
  <c r="AU5304" i="11"/>
  <c r="AV5304" i="11"/>
  <c r="AU5305" i="11"/>
  <c r="AV5305" i="11"/>
  <c r="AU5306" i="11"/>
  <c r="AV5306" i="11"/>
  <c r="AU5307" i="11"/>
  <c r="AV5307" i="11"/>
  <c r="AU5308" i="11"/>
  <c r="AV5308" i="11"/>
  <c r="AU5309" i="11"/>
  <c r="AV5309" i="11"/>
  <c r="AU5310" i="11"/>
  <c r="AV5310" i="11"/>
  <c r="AU5311" i="11"/>
  <c r="AV5311" i="11"/>
  <c r="AU5312" i="11"/>
  <c r="AV5312" i="11"/>
  <c r="AU5313" i="11"/>
  <c r="AV5313" i="11"/>
  <c r="AU5314" i="11"/>
  <c r="AV5314" i="11"/>
  <c r="AU5315" i="11"/>
  <c r="AV5315" i="11"/>
  <c r="AU5316" i="11"/>
  <c r="AV5316" i="11"/>
  <c r="AU5317" i="11"/>
  <c r="AV5317" i="11"/>
  <c r="AU5318" i="11"/>
  <c r="AV5318" i="11"/>
  <c r="AU5319" i="11"/>
  <c r="AV5319" i="11"/>
  <c r="AU5320" i="11"/>
  <c r="AV5320" i="11"/>
  <c r="AU5321" i="11"/>
  <c r="AV5321" i="11"/>
  <c r="AU5322" i="11"/>
  <c r="AV5322" i="11"/>
  <c r="AU5323" i="11"/>
  <c r="AV5323" i="11"/>
  <c r="AU5324" i="11"/>
  <c r="AV5324" i="11"/>
  <c r="AU5325" i="11"/>
  <c r="AV5325" i="11"/>
  <c r="AU5326" i="11"/>
  <c r="AV5326" i="11"/>
  <c r="AU5327" i="11"/>
  <c r="AV5327" i="11"/>
  <c r="AU5328" i="11"/>
  <c r="AV5328" i="11"/>
  <c r="AU5329" i="11"/>
  <c r="AV5329" i="11"/>
  <c r="AU5330" i="11"/>
  <c r="AV5330" i="11"/>
  <c r="AU5331" i="11"/>
  <c r="AV5331" i="11"/>
  <c r="AU5332" i="11"/>
  <c r="AV5332" i="11"/>
  <c r="AU5333" i="11"/>
  <c r="AV5333" i="11"/>
  <c r="AU5334" i="11"/>
  <c r="AV5334" i="11"/>
  <c r="AU5335" i="11"/>
  <c r="AV5335" i="11"/>
  <c r="AU5336" i="11"/>
  <c r="AV5336" i="11"/>
  <c r="AU5337" i="11"/>
  <c r="AV5337" i="11"/>
  <c r="AU5338" i="11"/>
  <c r="AV5338" i="11"/>
  <c r="AU5339" i="11"/>
  <c r="AV5339" i="11"/>
  <c r="AU5340" i="11"/>
  <c r="AV5340" i="11"/>
  <c r="AU5341" i="11"/>
  <c r="AV5341" i="11"/>
  <c r="AU5342" i="11"/>
  <c r="AV5342" i="11"/>
  <c r="AU5343" i="11"/>
  <c r="AV5343" i="11"/>
  <c r="AU5344" i="11"/>
  <c r="AV5344" i="11"/>
  <c r="AU5345" i="11"/>
  <c r="AV5345" i="11"/>
  <c r="AU5346" i="11"/>
  <c r="AV5346" i="11"/>
  <c r="AU5347" i="11"/>
  <c r="AV5347" i="11"/>
  <c r="AU5348" i="11"/>
  <c r="AV5348" i="11"/>
  <c r="AU5349" i="11"/>
  <c r="AV5349" i="11"/>
  <c r="AU5350" i="11"/>
  <c r="AV5350" i="11"/>
  <c r="AU5351" i="11"/>
  <c r="AV5351" i="11"/>
  <c r="AU5352" i="11"/>
  <c r="AV5352" i="11"/>
  <c r="AU5353" i="11"/>
  <c r="AV5353" i="11"/>
  <c r="AU5354" i="11"/>
  <c r="AV5354" i="11"/>
  <c r="AU5355" i="11"/>
  <c r="AV5355" i="11"/>
  <c r="AU5356" i="11"/>
  <c r="AV5356" i="11"/>
  <c r="AU5357" i="11"/>
  <c r="AV5357" i="11"/>
  <c r="AU5358" i="11"/>
  <c r="AV5358" i="11"/>
  <c r="AU5359" i="11"/>
  <c r="AV5359" i="11"/>
  <c r="AU5360" i="11"/>
  <c r="AV5360" i="11"/>
  <c r="AU5361" i="11"/>
  <c r="AV5361" i="11"/>
  <c r="AU5362" i="11"/>
  <c r="AV5362" i="11"/>
  <c r="AU5363" i="11"/>
  <c r="AV5363" i="11"/>
  <c r="AU5364" i="11"/>
  <c r="AV5364" i="11"/>
  <c r="AU5365" i="11"/>
  <c r="AV5365" i="11"/>
  <c r="AU5366" i="11"/>
  <c r="AV5366" i="11"/>
  <c r="AU5367" i="11"/>
  <c r="AV5367" i="11"/>
  <c r="AU5368" i="11"/>
  <c r="AV5368" i="11"/>
  <c r="AU5369" i="11"/>
  <c r="AV5369" i="11"/>
  <c r="AU5370" i="11"/>
  <c r="AV5370" i="11"/>
  <c r="AU5371" i="11"/>
  <c r="AV5371" i="11"/>
  <c r="AU5372" i="11"/>
  <c r="AV5372" i="11"/>
  <c r="AU5373" i="11"/>
  <c r="AV5373" i="11"/>
  <c r="AU5374" i="11"/>
  <c r="AV5374" i="11"/>
  <c r="AU5375" i="11"/>
  <c r="AV5375" i="11"/>
  <c r="AU5376" i="11"/>
  <c r="AV5376" i="11"/>
  <c r="AU5377" i="11"/>
  <c r="AV5377" i="11"/>
  <c r="AU5378" i="11"/>
  <c r="AV5378" i="11"/>
  <c r="AU5379" i="11"/>
  <c r="AV5379" i="11"/>
  <c r="AU5380" i="11"/>
  <c r="AV5380" i="11"/>
  <c r="AU5381" i="11"/>
  <c r="AV5381" i="11"/>
  <c r="AU5382" i="11"/>
  <c r="AV5382" i="11"/>
  <c r="AU5383" i="11"/>
  <c r="AV5383" i="11"/>
  <c r="AU5384" i="11"/>
  <c r="AV5384" i="11"/>
  <c r="AU5385" i="11"/>
  <c r="AV5385" i="11"/>
  <c r="AU5386" i="11"/>
  <c r="AV5386" i="11"/>
  <c r="AU5387" i="11"/>
  <c r="AV5387" i="11"/>
  <c r="AU5388" i="11"/>
  <c r="AV5388" i="11"/>
  <c r="AU5389" i="11"/>
  <c r="AV5389" i="11"/>
  <c r="AU5390" i="11"/>
  <c r="AV5390" i="11"/>
  <c r="AU5391" i="11"/>
  <c r="AV5391" i="11"/>
  <c r="AU5392" i="11"/>
  <c r="AV5392" i="11"/>
  <c r="AU5393" i="11"/>
  <c r="AV5393" i="11"/>
  <c r="AU5394" i="11"/>
  <c r="AV5394" i="11"/>
  <c r="AU5395" i="11"/>
  <c r="AV5395" i="11"/>
  <c r="AU5396" i="11"/>
  <c r="AV5396" i="11"/>
  <c r="AU5397" i="11"/>
  <c r="AV5397" i="11"/>
  <c r="AU5398" i="11"/>
  <c r="AV5398" i="11"/>
  <c r="AU5399" i="11"/>
  <c r="AV5399" i="11"/>
  <c r="AU5400" i="11"/>
  <c r="AV5400" i="11"/>
  <c r="AU5401" i="11"/>
  <c r="AV5401" i="11"/>
  <c r="AU5402" i="11"/>
  <c r="AV5402" i="11"/>
  <c r="AU5403" i="11"/>
  <c r="AV5403" i="11"/>
  <c r="AU5404" i="11"/>
  <c r="AV5404" i="11"/>
  <c r="AU5405" i="11"/>
  <c r="AV5405" i="11"/>
  <c r="AU5406" i="11"/>
  <c r="AV5406" i="11"/>
  <c r="AU5407" i="11"/>
  <c r="AV5407" i="11"/>
  <c r="AU5408" i="11"/>
  <c r="AV5408" i="11"/>
  <c r="AU5409" i="11"/>
  <c r="AV5409" i="11"/>
  <c r="AU5410" i="11"/>
  <c r="AV5410" i="11"/>
  <c r="AU5411" i="11"/>
  <c r="AV5411" i="11"/>
  <c r="AU5412" i="11"/>
  <c r="AV5412" i="11"/>
  <c r="AU5413" i="11"/>
  <c r="AV5413" i="11"/>
  <c r="AU5414" i="11"/>
  <c r="AV5414" i="11"/>
  <c r="AU5415" i="11"/>
  <c r="AV5415" i="11"/>
  <c r="AU5416" i="11"/>
  <c r="AV5416" i="11"/>
  <c r="AU5417" i="11"/>
  <c r="AV5417" i="11"/>
  <c r="AU5418" i="11"/>
  <c r="AV5418" i="11"/>
  <c r="AU5419" i="11"/>
  <c r="AV5419" i="11"/>
  <c r="AU5420" i="11"/>
  <c r="AV5420" i="11"/>
  <c r="AU5421" i="11"/>
  <c r="AV5421" i="11"/>
  <c r="AU5422" i="11"/>
  <c r="AV5422" i="11"/>
  <c r="AU5423" i="11"/>
  <c r="AV5423" i="11"/>
  <c r="AU5424" i="11"/>
  <c r="AV5424" i="11"/>
  <c r="AU5425" i="11"/>
  <c r="AV5425" i="11"/>
  <c r="AU5426" i="11"/>
  <c r="AV5426" i="11"/>
  <c r="AU5427" i="11"/>
  <c r="AV5427" i="11"/>
  <c r="AU5428" i="11"/>
  <c r="AV5428" i="11"/>
  <c r="AU5429" i="11"/>
  <c r="AV5429" i="11"/>
  <c r="AU5430" i="11"/>
  <c r="AV5430" i="11"/>
  <c r="AU5431" i="11"/>
  <c r="AV5431" i="11"/>
  <c r="AU5432" i="11"/>
  <c r="AV5432" i="11"/>
  <c r="AU5433" i="11"/>
  <c r="AV5433" i="11"/>
  <c r="AU5434" i="11"/>
  <c r="AV5434" i="11"/>
  <c r="AU5435" i="11"/>
  <c r="AV5435" i="11"/>
  <c r="AU5436" i="11"/>
  <c r="AV5436" i="11"/>
  <c r="AU5437" i="11"/>
  <c r="AV5437" i="11"/>
  <c r="AU5438" i="11"/>
  <c r="AV5438" i="11"/>
  <c r="AU5439" i="11"/>
  <c r="AV5439" i="11"/>
  <c r="AU5440" i="11"/>
  <c r="AV5440" i="11"/>
  <c r="AU5441" i="11"/>
  <c r="AV5441" i="11"/>
  <c r="AU5442" i="11"/>
  <c r="AV5442" i="11"/>
  <c r="AU5443" i="11"/>
  <c r="AV5443" i="11"/>
  <c r="AU5444" i="11"/>
  <c r="AV5444" i="11"/>
  <c r="AU5445" i="11"/>
  <c r="AV5445" i="11"/>
  <c r="AU5446" i="11"/>
  <c r="AV5446" i="11"/>
  <c r="AU5447" i="11"/>
  <c r="AV5447" i="11"/>
  <c r="AU5448" i="11"/>
  <c r="AV5448" i="11"/>
  <c r="AU5449" i="11"/>
  <c r="AV5449" i="11"/>
  <c r="AU5450" i="11"/>
  <c r="AV5450" i="11"/>
  <c r="AU5451" i="11"/>
  <c r="AV5451" i="11"/>
  <c r="AU5452" i="11"/>
  <c r="AV5452" i="11"/>
  <c r="AU5453" i="11"/>
  <c r="AV5453" i="11"/>
  <c r="AU5454" i="11"/>
  <c r="AV5454" i="11"/>
  <c r="AU5455" i="11"/>
  <c r="AV5455" i="11"/>
  <c r="AU5456" i="11"/>
  <c r="AV5456" i="11"/>
  <c r="AU5457" i="11"/>
  <c r="AV5457" i="11"/>
  <c r="AU5458" i="11"/>
  <c r="AV5458" i="11"/>
  <c r="AU5459" i="11"/>
  <c r="AV5459" i="11"/>
  <c r="AU5460" i="11"/>
  <c r="AV5460" i="11"/>
  <c r="AU5461" i="11"/>
  <c r="AV5461" i="11"/>
  <c r="AU5462" i="11"/>
  <c r="AV5462" i="11"/>
  <c r="AU5463" i="11"/>
  <c r="AV5463" i="11"/>
  <c r="AU5464" i="11"/>
  <c r="AV5464" i="11"/>
  <c r="AU5465" i="11"/>
  <c r="AV5465" i="11"/>
  <c r="AU5466" i="11"/>
  <c r="AV5466" i="11"/>
  <c r="AU5467" i="11"/>
  <c r="AV5467" i="11"/>
  <c r="AU5468" i="11"/>
  <c r="AV5468" i="11"/>
  <c r="AU5469" i="11"/>
  <c r="AV5469" i="11"/>
  <c r="AU5470" i="11"/>
  <c r="AV5470" i="11"/>
  <c r="AU5471" i="11"/>
  <c r="AV5471" i="11"/>
  <c r="AU5472" i="11"/>
  <c r="AV5472" i="11"/>
  <c r="AU5473" i="11"/>
  <c r="AV5473" i="11"/>
  <c r="AU5474" i="11"/>
  <c r="AV5474" i="11"/>
  <c r="AU5475" i="11"/>
  <c r="AV5475" i="11"/>
  <c r="AU5476" i="11"/>
  <c r="AV5476" i="11"/>
  <c r="AU5477" i="11"/>
  <c r="AV5477" i="11"/>
  <c r="AU5478" i="11"/>
  <c r="AV5478" i="11"/>
  <c r="AU5479" i="11"/>
  <c r="AV5479" i="11"/>
  <c r="AU5480" i="11"/>
  <c r="AV5480" i="11"/>
  <c r="AU5481" i="11"/>
  <c r="AV5481" i="11"/>
  <c r="AU5482" i="11"/>
  <c r="AV5482" i="11"/>
  <c r="AU5483" i="11"/>
  <c r="AV5483" i="11"/>
  <c r="AU5484" i="11"/>
  <c r="AV5484" i="11"/>
  <c r="AU5485" i="11"/>
  <c r="AV5485" i="11"/>
  <c r="AU5486" i="11"/>
  <c r="AV5486" i="11"/>
  <c r="AU5487" i="11"/>
  <c r="AV5487" i="11"/>
  <c r="AU5488" i="11"/>
  <c r="AV5488" i="11"/>
  <c r="AU5489" i="11"/>
  <c r="AV5489" i="11"/>
  <c r="AU5490" i="11"/>
  <c r="AV5490" i="11"/>
  <c r="AU5491" i="11"/>
  <c r="AV5491" i="11"/>
  <c r="AU5492" i="11"/>
  <c r="AV5492" i="11"/>
  <c r="AU5493" i="11"/>
  <c r="AV5493" i="11"/>
  <c r="AU5494" i="11"/>
  <c r="AV5494" i="11"/>
  <c r="AU5495" i="11"/>
  <c r="AV5495" i="11"/>
  <c r="AU5496" i="11"/>
  <c r="AV5496" i="11"/>
  <c r="AU5497" i="11"/>
  <c r="AV5497" i="11"/>
  <c r="AU5498" i="11"/>
  <c r="AV5498" i="11"/>
  <c r="AU5499" i="11"/>
  <c r="AV5499" i="11"/>
  <c r="AU5500" i="11"/>
  <c r="AV5500" i="11"/>
  <c r="AU5501" i="11"/>
  <c r="AV5501" i="11"/>
  <c r="AU5502" i="11"/>
  <c r="AV5502" i="11"/>
  <c r="AU5503" i="11"/>
  <c r="AV5503" i="11"/>
  <c r="AU5504" i="11"/>
  <c r="AV5504" i="11"/>
  <c r="AU5505" i="11"/>
  <c r="AV5505" i="11"/>
  <c r="AU5506" i="11"/>
  <c r="AV5506" i="11"/>
  <c r="AU5507" i="11"/>
  <c r="AV5507" i="11"/>
  <c r="AU5508" i="11"/>
  <c r="AV5508" i="11"/>
  <c r="AU5509" i="11"/>
  <c r="AV5509" i="11"/>
  <c r="AU5510" i="11"/>
  <c r="AV5510" i="11"/>
  <c r="AU5511" i="11"/>
  <c r="AV5511" i="11"/>
  <c r="AU5512" i="11"/>
  <c r="AV5512" i="11"/>
  <c r="AU5513" i="11"/>
  <c r="AV5513" i="11"/>
  <c r="AU5514" i="11"/>
  <c r="AV5514" i="11"/>
  <c r="AU5515" i="11"/>
  <c r="AV5515" i="11"/>
  <c r="AU5516" i="11"/>
  <c r="AV5516" i="11"/>
  <c r="AU5517" i="11"/>
  <c r="AV5517" i="11"/>
  <c r="AU5518" i="11"/>
  <c r="AV5518" i="11"/>
  <c r="AU5519" i="11"/>
  <c r="AV5519" i="11"/>
  <c r="AU5520" i="11"/>
  <c r="AV5520" i="11"/>
  <c r="AU5521" i="11"/>
  <c r="AV5521" i="11"/>
  <c r="AU5522" i="11"/>
  <c r="AV5522" i="11"/>
  <c r="AU5523" i="11"/>
  <c r="AV5523" i="11"/>
  <c r="AU5524" i="11"/>
  <c r="AV5524" i="11"/>
  <c r="AU5525" i="11"/>
  <c r="AV5525" i="11"/>
  <c r="AU5526" i="11"/>
  <c r="AV5526" i="11"/>
  <c r="AU5527" i="11"/>
  <c r="AV5527" i="11"/>
  <c r="AU5528" i="11"/>
  <c r="AV5528" i="11"/>
  <c r="AU5529" i="11"/>
  <c r="AV5529" i="11"/>
  <c r="AU5530" i="11"/>
  <c r="AV5530" i="11"/>
  <c r="AU5531" i="11"/>
  <c r="AV5531" i="11"/>
  <c r="AU5532" i="11"/>
  <c r="AV5532" i="11"/>
  <c r="AU5533" i="11"/>
  <c r="AV5533" i="11"/>
  <c r="AU5534" i="11"/>
  <c r="AV5534" i="11"/>
  <c r="AU5535" i="11"/>
  <c r="AV5535" i="11"/>
  <c r="AU5536" i="11"/>
  <c r="AV5536" i="11"/>
  <c r="AU5537" i="11"/>
  <c r="AV5537" i="11"/>
  <c r="AU5538" i="11"/>
  <c r="AV5538" i="11"/>
  <c r="AU5539" i="11"/>
  <c r="AV5539" i="11"/>
  <c r="AU5540" i="11"/>
  <c r="AV5540" i="11"/>
  <c r="AU5541" i="11"/>
  <c r="AV5541" i="11"/>
  <c r="AU5542" i="11"/>
  <c r="AV5542" i="11"/>
  <c r="AU5543" i="11"/>
  <c r="AV5543" i="11"/>
  <c r="AU5544" i="11"/>
  <c r="AV5544" i="11"/>
  <c r="AU5545" i="11"/>
  <c r="AV5545" i="11"/>
  <c r="AU5546" i="11"/>
  <c r="AV5546" i="11"/>
  <c r="AU5547" i="11"/>
  <c r="AV5547" i="11"/>
  <c r="AU5548" i="11"/>
  <c r="AV5548" i="11"/>
  <c r="AU5549" i="11"/>
  <c r="AV5549" i="11"/>
  <c r="AU5550" i="11"/>
  <c r="AV5550" i="11"/>
  <c r="AU5551" i="11"/>
  <c r="AV5551" i="11"/>
  <c r="AU5552" i="11"/>
  <c r="AV5552" i="11"/>
  <c r="AU5553" i="11"/>
  <c r="AV5553" i="11"/>
  <c r="AU5554" i="11"/>
  <c r="AV5554" i="11"/>
  <c r="AU5555" i="11"/>
  <c r="AV5555" i="11"/>
  <c r="AU5556" i="11"/>
  <c r="AV5556" i="11"/>
  <c r="AU5557" i="11"/>
  <c r="AV5557" i="11"/>
  <c r="AU5558" i="11"/>
  <c r="AV5558" i="11"/>
  <c r="AU5559" i="11"/>
  <c r="AV5559" i="11"/>
  <c r="AU5560" i="11"/>
  <c r="AV5560" i="11"/>
  <c r="AU5561" i="11"/>
  <c r="AV5561" i="11"/>
  <c r="AU5562" i="11"/>
  <c r="AV5562" i="11"/>
  <c r="AU5563" i="11"/>
  <c r="AV5563" i="11"/>
  <c r="AU5564" i="11"/>
  <c r="AV5564" i="11"/>
  <c r="AU5565" i="11"/>
  <c r="AV5565" i="11"/>
  <c r="AU5566" i="11"/>
  <c r="AV5566" i="11"/>
  <c r="AU5567" i="11"/>
  <c r="AV5567" i="11"/>
  <c r="AU5568" i="11"/>
  <c r="AV5568" i="11"/>
  <c r="AU5569" i="11"/>
  <c r="AV5569" i="11"/>
  <c r="AU5570" i="11"/>
  <c r="AV5570" i="11"/>
  <c r="AU5571" i="11"/>
  <c r="AV5571" i="11"/>
  <c r="AU5572" i="11"/>
  <c r="AV5572" i="11"/>
  <c r="AU5573" i="11"/>
  <c r="AV5573" i="11"/>
  <c r="AU5574" i="11"/>
  <c r="AV5574" i="11"/>
  <c r="AU5575" i="11"/>
  <c r="AV5575" i="11"/>
  <c r="AU5576" i="11"/>
  <c r="AV5576" i="11"/>
  <c r="AU5577" i="11"/>
  <c r="AV5577" i="11"/>
  <c r="AU5578" i="11"/>
  <c r="AV5578" i="11"/>
  <c r="AU5579" i="11"/>
  <c r="AV5579" i="11"/>
  <c r="AU5580" i="11"/>
  <c r="AV5580" i="11"/>
  <c r="AU5581" i="11"/>
  <c r="AV5581" i="11"/>
  <c r="AU5582" i="11"/>
  <c r="AV5582" i="11"/>
  <c r="AU5583" i="11"/>
  <c r="AV5583" i="11"/>
  <c r="AU5584" i="11"/>
  <c r="AV5584" i="11"/>
  <c r="AU5585" i="11"/>
  <c r="AV5585" i="11"/>
  <c r="AU5586" i="11"/>
  <c r="AV5586" i="11"/>
  <c r="AU5587" i="11"/>
  <c r="AV5587" i="11"/>
  <c r="AU5588" i="11"/>
  <c r="AV5588" i="11"/>
  <c r="AU5589" i="11"/>
  <c r="AV5589" i="11"/>
  <c r="AU5590" i="11"/>
  <c r="AV5590" i="11"/>
  <c r="AU5591" i="11"/>
  <c r="AV5591" i="11"/>
  <c r="AU5592" i="11"/>
  <c r="AV5592" i="11"/>
  <c r="AU5593" i="11"/>
  <c r="AV5593" i="11"/>
  <c r="AU5594" i="11"/>
  <c r="AV5594" i="11"/>
  <c r="AU5595" i="11"/>
  <c r="AV5595" i="11"/>
  <c r="AU5596" i="11"/>
  <c r="AV5596" i="11"/>
  <c r="AU5597" i="11"/>
  <c r="AV5597" i="11"/>
  <c r="AU5598" i="11"/>
  <c r="AV5598" i="11"/>
  <c r="AU5599" i="11"/>
  <c r="AV5599" i="11"/>
  <c r="AU5600" i="11"/>
  <c r="AV5600" i="11"/>
  <c r="AU5601" i="11"/>
  <c r="AV5601" i="11"/>
  <c r="AU5602" i="11"/>
  <c r="AV5602" i="11"/>
  <c r="AU5603" i="11"/>
  <c r="AV5603" i="11"/>
  <c r="AU5604" i="11"/>
  <c r="AV5604" i="11"/>
  <c r="AU5605" i="11"/>
  <c r="AV5605" i="11"/>
  <c r="AU5606" i="11"/>
  <c r="AV5606" i="11"/>
  <c r="AU5607" i="11"/>
  <c r="AV5607" i="11"/>
  <c r="AU5608" i="11"/>
  <c r="AV5608" i="11"/>
  <c r="AU5609" i="11"/>
  <c r="AV5609" i="11"/>
  <c r="AU5610" i="11"/>
  <c r="AV5610" i="11"/>
  <c r="AU5611" i="11"/>
  <c r="AV5611" i="11"/>
  <c r="AU5612" i="11"/>
  <c r="AV5612" i="11"/>
  <c r="AU5613" i="11"/>
  <c r="AV5613" i="11"/>
  <c r="AU5614" i="11"/>
  <c r="AV5614" i="11"/>
  <c r="AU5615" i="11"/>
  <c r="AV5615" i="11"/>
  <c r="AU5616" i="11"/>
  <c r="AV5616" i="11"/>
  <c r="AU5617" i="11"/>
  <c r="AV5617" i="11"/>
  <c r="AU5618" i="11"/>
  <c r="AV5618" i="11"/>
  <c r="AU5619" i="11"/>
  <c r="AV5619" i="11"/>
  <c r="AU5620" i="11"/>
  <c r="AV5620" i="11"/>
  <c r="AU5621" i="11"/>
  <c r="AV5621" i="11"/>
  <c r="AU5622" i="11"/>
  <c r="AV5622" i="11"/>
  <c r="AU5623" i="11"/>
  <c r="AV5623" i="11"/>
  <c r="AU5624" i="11"/>
  <c r="AV5624" i="11"/>
  <c r="AU5625" i="11"/>
  <c r="AV5625" i="11"/>
  <c r="AU5626" i="11"/>
  <c r="AV5626" i="11"/>
  <c r="AU5627" i="11"/>
  <c r="AV5627" i="11"/>
  <c r="AU5628" i="11"/>
  <c r="AV5628" i="11"/>
  <c r="AU5629" i="11"/>
  <c r="AV5629" i="11"/>
  <c r="AU5630" i="11"/>
  <c r="AV5630" i="11"/>
  <c r="AU5631" i="11"/>
  <c r="AV5631" i="11"/>
  <c r="AU5632" i="11"/>
  <c r="AV5632" i="11"/>
  <c r="AU5633" i="11"/>
  <c r="AV5633" i="11"/>
  <c r="AU5634" i="11"/>
  <c r="AV5634" i="11"/>
  <c r="AU5635" i="11"/>
  <c r="AV5635" i="11"/>
  <c r="AU5636" i="11"/>
  <c r="AV5636" i="11"/>
  <c r="AU5637" i="11"/>
  <c r="AV5637" i="11"/>
  <c r="AU5638" i="11"/>
  <c r="AV5638" i="11"/>
  <c r="AU5639" i="11"/>
  <c r="AV5639" i="11"/>
  <c r="AU5640" i="11"/>
  <c r="AV5640" i="11"/>
  <c r="AU5641" i="11"/>
  <c r="AV5641" i="11"/>
  <c r="AU5642" i="11"/>
  <c r="AV5642" i="11"/>
  <c r="AU5643" i="11"/>
  <c r="AV5643" i="11"/>
  <c r="AU5644" i="11"/>
  <c r="AV5644" i="11"/>
  <c r="AU5645" i="11"/>
  <c r="AV5645" i="11"/>
  <c r="AU5646" i="11"/>
  <c r="AV5646" i="11"/>
  <c r="AU5647" i="11"/>
  <c r="AV5647" i="11"/>
  <c r="AU5648" i="11"/>
  <c r="AV5648" i="11"/>
  <c r="AU5649" i="11"/>
  <c r="AV5649" i="11"/>
  <c r="AU5650" i="11"/>
  <c r="AV5650" i="11"/>
  <c r="AU5651" i="11"/>
  <c r="AV5651" i="11"/>
  <c r="AU5652" i="11"/>
  <c r="AV5652" i="11"/>
  <c r="AU5653" i="11"/>
  <c r="AV5653" i="11"/>
  <c r="AU5654" i="11"/>
  <c r="AV5654" i="11"/>
  <c r="AU5655" i="11"/>
  <c r="AV5655" i="11"/>
  <c r="AU5656" i="11"/>
  <c r="AV5656" i="11"/>
  <c r="AU5657" i="11"/>
  <c r="AV5657" i="11"/>
  <c r="AU5658" i="11"/>
  <c r="AV5658" i="11"/>
  <c r="AU5659" i="11"/>
  <c r="AV5659" i="11"/>
  <c r="AU5660" i="11"/>
  <c r="AV5660" i="11"/>
  <c r="AU5661" i="11"/>
  <c r="AV5661" i="11"/>
  <c r="AU5662" i="11"/>
  <c r="AV5662" i="11"/>
  <c r="AU5663" i="11"/>
  <c r="AV5663" i="11"/>
  <c r="AU5664" i="11"/>
  <c r="AV5664" i="11"/>
  <c r="AU5665" i="11"/>
  <c r="AV5665" i="11"/>
  <c r="AU5666" i="11"/>
  <c r="AV5666" i="11"/>
  <c r="AU5667" i="11"/>
  <c r="AV5667" i="11"/>
  <c r="AU5668" i="11"/>
  <c r="AV5668" i="11"/>
  <c r="AU5669" i="11"/>
  <c r="AV5669" i="11"/>
  <c r="AU5670" i="11"/>
  <c r="AV5670" i="11"/>
  <c r="AU5671" i="11"/>
  <c r="AV5671" i="11"/>
  <c r="AU5672" i="11"/>
  <c r="AV5672" i="11"/>
  <c r="AU5673" i="11"/>
  <c r="AV5673" i="11"/>
  <c r="AU5674" i="11"/>
  <c r="AV5674" i="11"/>
  <c r="AU5675" i="11"/>
  <c r="AV5675" i="11"/>
  <c r="AU5676" i="11"/>
  <c r="AV5676" i="11"/>
  <c r="AU5677" i="11"/>
  <c r="AV5677" i="11"/>
  <c r="AU5678" i="11"/>
  <c r="AV5678" i="11"/>
  <c r="AU5679" i="11"/>
  <c r="AV5679" i="11"/>
  <c r="AU5680" i="11"/>
  <c r="AV5680" i="11"/>
  <c r="AU5681" i="11"/>
  <c r="AV5681" i="11"/>
  <c r="AU5682" i="11"/>
  <c r="AV5682" i="11"/>
  <c r="AU5683" i="11"/>
  <c r="AV5683" i="11"/>
  <c r="AU5684" i="11"/>
  <c r="AV5684" i="11"/>
  <c r="AU5685" i="11"/>
  <c r="AV5685" i="11"/>
  <c r="AU5686" i="11"/>
  <c r="AV5686" i="11"/>
  <c r="AU5687" i="11"/>
  <c r="AV5687" i="11"/>
  <c r="AU5688" i="11"/>
  <c r="AV5688" i="11"/>
  <c r="AU5689" i="11"/>
  <c r="AV5689" i="11"/>
  <c r="AU5690" i="11"/>
  <c r="AV5690" i="11"/>
  <c r="AU5691" i="11"/>
  <c r="AV5691" i="11"/>
  <c r="AU5692" i="11"/>
  <c r="AV5692" i="11"/>
  <c r="AU5693" i="11"/>
  <c r="AV5693" i="11"/>
  <c r="AU5694" i="11"/>
  <c r="AV5694" i="11"/>
  <c r="AU5695" i="11"/>
  <c r="AV5695" i="11"/>
  <c r="AU5696" i="11"/>
  <c r="AV5696" i="11"/>
  <c r="AU5697" i="11"/>
  <c r="AV5697" i="11"/>
  <c r="AU5698" i="11"/>
  <c r="AV5698" i="11"/>
  <c r="AU5699" i="11"/>
  <c r="AV5699" i="11"/>
  <c r="AU5700" i="11"/>
  <c r="AV5700" i="11"/>
  <c r="AU5701" i="11"/>
  <c r="AV5701" i="11"/>
  <c r="AU5702" i="11"/>
  <c r="AV5702" i="11"/>
  <c r="AU5703" i="11"/>
  <c r="AV5703" i="11"/>
  <c r="AU5704" i="11"/>
  <c r="AV5704" i="11"/>
  <c r="AU5705" i="11"/>
  <c r="AV5705" i="11"/>
  <c r="AU5706" i="11"/>
  <c r="AV5706" i="11"/>
  <c r="AU5707" i="11"/>
  <c r="AV5707" i="11"/>
  <c r="AU5708" i="11"/>
  <c r="AV5708" i="11"/>
  <c r="AU5709" i="11"/>
  <c r="AV5709" i="11"/>
  <c r="AU5710" i="11"/>
  <c r="AV5710" i="11"/>
  <c r="AU5711" i="11"/>
  <c r="AV5711" i="11"/>
  <c r="AU5712" i="11"/>
  <c r="AV5712" i="11"/>
  <c r="AU5713" i="11"/>
  <c r="AV5713" i="11"/>
  <c r="AU5714" i="11"/>
  <c r="AV5714" i="11"/>
  <c r="AU5715" i="11"/>
  <c r="AV5715" i="11"/>
  <c r="AU5716" i="11"/>
  <c r="AV5716" i="11"/>
  <c r="AU5717" i="11"/>
  <c r="AV5717" i="11"/>
  <c r="AU5718" i="11"/>
  <c r="AV5718" i="11"/>
  <c r="AU5719" i="11"/>
  <c r="AV5719" i="11"/>
  <c r="AU5720" i="11"/>
  <c r="AV5720" i="11"/>
  <c r="AU5721" i="11"/>
  <c r="AV5721" i="11"/>
  <c r="AU5722" i="11"/>
  <c r="AV5722" i="11"/>
  <c r="AU5723" i="11"/>
  <c r="AV5723" i="11"/>
  <c r="AU5724" i="11"/>
  <c r="AV5724" i="11"/>
  <c r="AU5725" i="11"/>
  <c r="AV5725" i="11"/>
  <c r="AU5726" i="11"/>
  <c r="AV5726" i="11"/>
  <c r="AU5727" i="11"/>
  <c r="AV5727" i="11"/>
  <c r="AU5728" i="11"/>
  <c r="AV5728" i="11"/>
  <c r="AU5729" i="11"/>
  <c r="AV5729" i="11"/>
  <c r="AU5730" i="11"/>
  <c r="AV5730" i="11"/>
  <c r="AU5731" i="11"/>
  <c r="AV5731" i="11"/>
  <c r="AU5732" i="11"/>
  <c r="AV5732" i="11"/>
  <c r="AU5733" i="11"/>
  <c r="AV5733" i="11"/>
  <c r="AU5734" i="11"/>
  <c r="AV5734" i="11"/>
  <c r="AU5735" i="11"/>
  <c r="AV5735" i="11"/>
  <c r="AU5736" i="11"/>
  <c r="AV5736" i="11"/>
  <c r="AU5737" i="11"/>
  <c r="AV5737" i="11"/>
  <c r="AU5738" i="11"/>
  <c r="AV5738" i="11"/>
  <c r="AU5739" i="11"/>
  <c r="AV5739" i="11"/>
  <c r="AU5740" i="11"/>
  <c r="AV5740" i="11"/>
  <c r="AU5741" i="11"/>
  <c r="AV5741" i="11"/>
  <c r="AU5742" i="11"/>
  <c r="AV5742" i="11"/>
  <c r="AU5743" i="11"/>
  <c r="AV5743" i="11"/>
  <c r="AU5744" i="11"/>
  <c r="AV5744" i="11"/>
  <c r="AU5745" i="11"/>
  <c r="AV5745" i="11"/>
  <c r="AU5746" i="11"/>
  <c r="AV5746" i="11"/>
  <c r="AU5747" i="11"/>
  <c r="AV5747" i="11"/>
  <c r="AU5748" i="11"/>
  <c r="AV5748" i="11"/>
  <c r="AU5749" i="11"/>
  <c r="AV5749" i="11"/>
  <c r="AU5750" i="11"/>
  <c r="AV5750" i="11"/>
  <c r="AU5751" i="11"/>
  <c r="AV5751" i="11"/>
  <c r="AU5752" i="11"/>
  <c r="AV5752" i="11"/>
  <c r="AU5753" i="11"/>
  <c r="AV5753" i="11"/>
  <c r="AU5754" i="11"/>
  <c r="AV5754" i="11"/>
  <c r="AU5755" i="11"/>
  <c r="AV5755" i="11"/>
  <c r="AU5756" i="11"/>
  <c r="AV5756" i="11"/>
  <c r="AU5757" i="11"/>
  <c r="AV5757" i="11"/>
  <c r="AU5758" i="11"/>
  <c r="AV5758" i="11"/>
  <c r="AU5759" i="11"/>
  <c r="AV5759" i="11"/>
  <c r="AU5760" i="11"/>
  <c r="AV5760" i="11"/>
  <c r="AU5761" i="11"/>
  <c r="AV5761" i="11"/>
  <c r="AU5762" i="11"/>
  <c r="AV5762" i="11"/>
  <c r="AU5763" i="11"/>
  <c r="AV5763" i="11"/>
  <c r="AU5764" i="11"/>
  <c r="AV5764" i="11"/>
  <c r="AU5765" i="11"/>
  <c r="AV5765" i="11"/>
  <c r="AU5766" i="11"/>
  <c r="AV5766" i="11"/>
  <c r="AU5767" i="11"/>
  <c r="AV5767" i="11"/>
  <c r="AU5768" i="11"/>
  <c r="AV5768" i="11"/>
  <c r="AU5769" i="11"/>
  <c r="AV5769" i="11"/>
  <c r="AU5770" i="11"/>
  <c r="AV5770" i="11"/>
  <c r="AU5771" i="11"/>
  <c r="AV5771" i="11"/>
  <c r="AU5772" i="11"/>
  <c r="AV5772" i="11"/>
  <c r="AU5773" i="11"/>
  <c r="AV5773" i="11"/>
  <c r="AU5774" i="11"/>
  <c r="AV5774" i="11"/>
  <c r="AU5775" i="11"/>
  <c r="AV5775" i="11"/>
  <c r="AU5776" i="11"/>
  <c r="AV5776" i="11"/>
  <c r="AU5777" i="11"/>
  <c r="AV5777" i="11"/>
  <c r="AU5778" i="11"/>
  <c r="AV5778" i="11"/>
  <c r="AU5779" i="11"/>
  <c r="AV5779" i="11"/>
  <c r="AU5780" i="11"/>
  <c r="AV5780" i="11"/>
  <c r="AU5781" i="11"/>
  <c r="AV5781" i="11"/>
  <c r="AU5782" i="11"/>
  <c r="AV5782" i="11"/>
  <c r="AU5783" i="11"/>
  <c r="AV5783" i="11"/>
  <c r="AU5784" i="11"/>
  <c r="AV5784" i="11"/>
  <c r="AU5785" i="11"/>
  <c r="AV5785" i="11"/>
  <c r="AU5786" i="11"/>
  <c r="AV5786" i="11"/>
  <c r="AU5787" i="11"/>
  <c r="AV5787" i="11"/>
  <c r="AU5788" i="11"/>
  <c r="AV5788" i="11"/>
  <c r="AU5789" i="11"/>
  <c r="AV5789" i="11"/>
  <c r="AU5790" i="11"/>
  <c r="AV5790" i="11"/>
  <c r="AU5791" i="11"/>
  <c r="AV5791" i="11"/>
  <c r="AU5792" i="11"/>
  <c r="AV5792" i="11"/>
  <c r="AU5793" i="11"/>
  <c r="AV5793" i="11"/>
  <c r="AU5794" i="11"/>
  <c r="AV5794" i="11"/>
  <c r="AU5795" i="11"/>
  <c r="AV5795" i="11"/>
  <c r="AU5796" i="11"/>
  <c r="AV5796" i="11"/>
  <c r="AU5797" i="11"/>
  <c r="AV5797" i="11"/>
  <c r="AU5798" i="11"/>
  <c r="AV5798" i="11"/>
  <c r="AU5799" i="11"/>
  <c r="AV5799" i="11"/>
  <c r="AU5800" i="11"/>
  <c r="AV5800" i="11"/>
  <c r="AU5801" i="11"/>
  <c r="AV5801" i="11"/>
  <c r="AU5802" i="11"/>
  <c r="AV5802" i="11"/>
  <c r="AU5803" i="11"/>
  <c r="AV5803" i="11"/>
  <c r="AU5804" i="11"/>
  <c r="AV5804" i="11"/>
  <c r="AU5805" i="11"/>
  <c r="AV5805" i="11"/>
  <c r="AU5806" i="11"/>
  <c r="AV5806" i="11"/>
  <c r="AU5807" i="11"/>
  <c r="AV5807" i="11"/>
  <c r="AU5808" i="11"/>
  <c r="AV5808" i="11"/>
  <c r="AU5809" i="11"/>
  <c r="AV5809" i="11"/>
  <c r="AU5810" i="11"/>
  <c r="AV5810" i="11"/>
  <c r="AU5811" i="11"/>
  <c r="AV5811" i="11"/>
  <c r="AU5812" i="11"/>
  <c r="AV5812" i="11"/>
  <c r="AU5813" i="11"/>
  <c r="AV5813" i="11"/>
  <c r="AU5814" i="11"/>
  <c r="AV5814" i="11"/>
  <c r="AU5815" i="11"/>
  <c r="AV5815" i="11"/>
  <c r="AU5816" i="11"/>
  <c r="AV5816" i="11"/>
  <c r="AU5817" i="11"/>
  <c r="AV5817" i="11"/>
  <c r="AU5818" i="11"/>
  <c r="AV5818" i="11"/>
  <c r="AU5819" i="11"/>
  <c r="AV5819" i="11"/>
  <c r="AU5820" i="11"/>
  <c r="AV5820" i="11"/>
  <c r="AU5821" i="11"/>
  <c r="AV5821" i="11"/>
  <c r="AU5822" i="11"/>
  <c r="AV5822" i="11"/>
  <c r="AU5823" i="11"/>
  <c r="AV5823" i="11"/>
  <c r="AU5824" i="11"/>
  <c r="AV5824" i="11"/>
  <c r="AU5825" i="11"/>
  <c r="AV5825" i="11"/>
  <c r="AU5826" i="11"/>
  <c r="AV5826" i="11"/>
  <c r="AU5827" i="11"/>
  <c r="AV5827" i="11"/>
  <c r="AU5828" i="11"/>
  <c r="AV5828" i="11"/>
  <c r="AU5829" i="11"/>
  <c r="AV5829" i="11"/>
  <c r="AU5830" i="11"/>
  <c r="AV5830" i="11"/>
  <c r="AU5831" i="11"/>
  <c r="AV5831" i="11"/>
  <c r="AU5832" i="11"/>
  <c r="AV5832" i="11"/>
  <c r="AU5833" i="11"/>
  <c r="AV5833" i="11"/>
  <c r="AU5834" i="11"/>
  <c r="AV5834" i="11"/>
  <c r="AU5835" i="11"/>
  <c r="AV5835" i="11"/>
  <c r="AU5836" i="11"/>
  <c r="AV5836" i="11"/>
  <c r="AU5837" i="11"/>
  <c r="AV5837" i="11"/>
  <c r="AU5838" i="11"/>
  <c r="AV5838" i="11"/>
  <c r="AU5839" i="11"/>
  <c r="AV5839" i="11"/>
  <c r="AU5840" i="11"/>
  <c r="AV5840" i="11"/>
  <c r="AU5841" i="11"/>
  <c r="AV5841" i="11"/>
  <c r="AU5842" i="11"/>
  <c r="AV5842" i="11"/>
  <c r="AU5843" i="11"/>
  <c r="AV5843" i="11"/>
  <c r="AU5844" i="11"/>
  <c r="AV5844" i="11"/>
  <c r="AU5845" i="11"/>
  <c r="AV5845" i="11"/>
  <c r="AU5846" i="11"/>
  <c r="AV5846" i="11"/>
  <c r="AU5847" i="11"/>
  <c r="AV5847" i="11"/>
  <c r="AU5848" i="11"/>
  <c r="AV5848" i="11"/>
  <c r="AU5849" i="11"/>
  <c r="AV5849" i="11"/>
  <c r="AU5850" i="11"/>
  <c r="AV5850" i="11"/>
  <c r="AU5851" i="11"/>
  <c r="AV5851" i="11"/>
  <c r="AU5852" i="11"/>
  <c r="AV5852" i="11"/>
  <c r="AU5853" i="11"/>
  <c r="AV5853" i="11"/>
  <c r="AU5854" i="11"/>
  <c r="AV5854" i="11"/>
  <c r="AU5855" i="11"/>
  <c r="AV5855" i="11"/>
  <c r="AU5856" i="11"/>
  <c r="AV5856" i="11"/>
  <c r="AU5857" i="11"/>
  <c r="AV5857" i="11"/>
  <c r="AU5858" i="11"/>
  <c r="AV5858" i="11"/>
  <c r="AU5859" i="11"/>
  <c r="AV5859" i="11"/>
  <c r="AU5860" i="11"/>
  <c r="AV5860" i="11"/>
  <c r="AU5861" i="11"/>
  <c r="AV5861" i="11"/>
  <c r="AU5862" i="11"/>
  <c r="AV5862" i="11"/>
  <c r="AU5863" i="11"/>
  <c r="AV5863" i="11"/>
  <c r="AU5864" i="11"/>
  <c r="AV5864" i="11"/>
  <c r="AU5865" i="11"/>
  <c r="AV5865" i="11"/>
  <c r="AU5866" i="11"/>
  <c r="AV5866" i="11"/>
  <c r="AU5867" i="11"/>
  <c r="AV5867" i="11"/>
  <c r="AU5868" i="11"/>
  <c r="AV5868" i="11"/>
  <c r="AU5869" i="11"/>
  <c r="AV5869" i="11"/>
  <c r="AU5870" i="11"/>
  <c r="AV5870" i="11"/>
  <c r="AU5871" i="11"/>
  <c r="AV5871" i="11"/>
  <c r="AU5872" i="11"/>
  <c r="AV5872" i="11"/>
  <c r="AU5873" i="11"/>
  <c r="AV5873" i="11"/>
  <c r="AU5874" i="11"/>
  <c r="AV5874" i="11"/>
  <c r="AU5875" i="11"/>
  <c r="AV5875" i="11"/>
  <c r="AU5876" i="11"/>
  <c r="AV5876" i="11"/>
  <c r="AU5877" i="11"/>
  <c r="AV5877" i="11"/>
  <c r="AU5878" i="11"/>
  <c r="AV5878" i="11"/>
  <c r="AU5879" i="11"/>
  <c r="AV5879" i="11"/>
  <c r="AU5880" i="11"/>
  <c r="AV5880" i="11"/>
  <c r="AU5881" i="11"/>
  <c r="AV5881" i="11"/>
  <c r="AU5882" i="11"/>
  <c r="AV5882" i="11"/>
  <c r="AU5883" i="11"/>
  <c r="AV5883" i="11"/>
  <c r="AU5884" i="11"/>
  <c r="AV5884" i="11"/>
  <c r="AU5885" i="11"/>
  <c r="AV5885" i="11"/>
  <c r="AU5886" i="11"/>
  <c r="AV5886" i="11"/>
  <c r="AU5887" i="11"/>
  <c r="AV5887" i="11"/>
  <c r="AU5888" i="11"/>
  <c r="AV5888" i="11"/>
  <c r="AU5889" i="11"/>
  <c r="AV5889" i="11"/>
  <c r="AU5890" i="11"/>
  <c r="AV5890" i="11"/>
  <c r="AU5891" i="11"/>
  <c r="AV5891" i="11"/>
  <c r="AU5892" i="11"/>
  <c r="AV5892" i="11"/>
  <c r="AU5893" i="11"/>
  <c r="AV5893" i="11"/>
  <c r="AU5894" i="11"/>
  <c r="AV5894" i="11"/>
  <c r="AU5895" i="11"/>
  <c r="AV5895" i="11"/>
  <c r="AU5896" i="11"/>
  <c r="AV5896" i="11"/>
  <c r="AU5897" i="11"/>
  <c r="AV5897" i="11"/>
  <c r="AU5898" i="11"/>
  <c r="AV5898" i="11"/>
  <c r="AU5899" i="11"/>
  <c r="AV5899" i="11"/>
  <c r="AU5900" i="11"/>
  <c r="AV5900" i="11"/>
  <c r="AU5901" i="11"/>
  <c r="AV5901" i="11"/>
  <c r="AU5902" i="11"/>
  <c r="AV5902" i="11"/>
  <c r="AU5903" i="11"/>
  <c r="AV5903" i="11"/>
  <c r="AU5904" i="11"/>
  <c r="AV5904" i="11"/>
  <c r="AU5905" i="11"/>
  <c r="AV5905" i="11"/>
  <c r="AU5906" i="11"/>
  <c r="AV5906" i="11"/>
  <c r="AU5907" i="11"/>
  <c r="AV5907" i="11"/>
  <c r="AU5908" i="11"/>
  <c r="AV5908" i="11"/>
  <c r="AU5909" i="11"/>
  <c r="AV5909" i="11"/>
  <c r="AU5910" i="11"/>
  <c r="AV5910" i="11"/>
  <c r="AU5911" i="11"/>
  <c r="AV5911" i="11"/>
  <c r="AU5912" i="11"/>
  <c r="AV5912" i="11"/>
  <c r="AU5913" i="11"/>
  <c r="AV5913" i="11"/>
  <c r="AU5914" i="11"/>
  <c r="AV5914" i="11"/>
  <c r="AU5915" i="11"/>
  <c r="AV5915" i="11"/>
  <c r="AU5916" i="11"/>
  <c r="AV5916" i="11"/>
  <c r="AU5917" i="11"/>
  <c r="AV5917" i="11"/>
  <c r="AU5918" i="11"/>
  <c r="AV5918" i="11"/>
  <c r="AU5919" i="11"/>
  <c r="AV5919" i="11"/>
  <c r="AU5920" i="11"/>
  <c r="AV5920" i="11"/>
  <c r="AU5921" i="11"/>
  <c r="AV5921" i="11"/>
  <c r="AU5922" i="11"/>
  <c r="AV5922" i="11"/>
  <c r="AU5923" i="11"/>
  <c r="AV5923" i="11"/>
  <c r="AU5924" i="11"/>
  <c r="AV5924" i="11"/>
  <c r="AU5925" i="11"/>
  <c r="AV5925" i="11"/>
  <c r="AU5926" i="11"/>
  <c r="AV5926" i="11"/>
  <c r="AU5927" i="11"/>
  <c r="AV5927" i="11"/>
  <c r="AU5928" i="11"/>
  <c r="AV5928" i="11"/>
  <c r="AU5929" i="11"/>
  <c r="AV5929" i="11"/>
  <c r="AU5930" i="11"/>
  <c r="AV5930" i="11"/>
  <c r="AU5931" i="11"/>
  <c r="AV5931" i="11"/>
  <c r="AU5932" i="11"/>
  <c r="AV5932" i="11"/>
  <c r="AU5933" i="11"/>
  <c r="AV5933" i="11"/>
  <c r="AU5934" i="11"/>
  <c r="AV5934" i="11"/>
  <c r="AU5935" i="11"/>
  <c r="AV5935" i="11"/>
  <c r="AU5936" i="11"/>
  <c r="AV5936" i="11"/>
  <c r="AU5937" i="11"/>
  <c r="AV5937" i="11"/>
  <c r="AU5938" i="11"/>
  <c r="AV5938" i="11"/>
  <c r="AU5939" i="11"/>
  <c r="AV5939" i="11"/>
  <c r="AU5940" i="11"/>
  <c r="AV5940" i="11"/>
  <c r="AU5941" i="11"/>
  <c r="AV5941" i="11"/>
  <c r="AU5942" i="11"/>
  <c r="AV5942" i="11"/>
  <c r="AU5943" i="11"/>
  <c r="AV5943" i="11"/>
  <c r="AU5944" i="11"/>
  <c r="AV5944" i="11"/>
  <c r="AU5945" i="11"/>
  <c r="AV5945" i="11"/>
  <c r="AU5946" i="11"/>
  <c r="AV5946" i="11"/>
  <c r="AU5947" i="11"/>
  <c r="AV5947" i="11"/>
  <c r="AU5948" i="11"/>
  <c r="AV5948" i="11"/>
  <c r="AU5949" i="11"/>
  <c r="AV5949" i="11"/>
  <c r="AU5950" i="11"/>
  <c r="AV5950" i="11"/>
  <c r="AU5951" i="11"/>
  <c r="AV5951" i="11"/>
  <c r="AU5952" i="11"/>
  <c r="AV5952" i="11"/>
  <c r="AU5953" i="11"/>
  <c r="AV5953" i="11"/>
  <c r="AU5954" i="11"/>
  <c r="AV5954" i="11"/>
  <c r="AU5955" i="11"/>
  <c r="AV5955" i="11"/>
  <c r="AU5956" i="11"/>
  <c r="AV5956" i="11"/>
  <c r="AU5957" i="11"/>
  <c r="AV5957" i="11"/>
  <c r="AU5958" i="11"/>
  <c r="AV5958" i="11"/>
  <c r="AU5959" i="11"/>
  <c r="AV5959" i="11"/>
  <c r="AU5960" i="11"/>
  <c r="AV5960" i="11"/>
  <c r="AU5961" i="11"/>
  <c r="AV5961" i="11"/>
  <c r="AU5962" i="11"/>
  <c r="AV5962" i="11"/>
  <c r="AU5963" i="11"/>
  <c r="AV5963" i="11"/>
  <c r="AU5964" i="11"/>
  <c r="AV5964" i="11"/>
  <c r="AU5965" i="11"/>
  <c r="AV5965" i="11"/>
  <c r="AU5966" i="11"/>
  <c r="AV5966" i="11"/>
  <c r="AU5967" i="11"/>
  <c r="AV5967" i="11"/>
  <c r="AU5968" i="11"/>
  <c r="AV5968" i="11"/>
  <c r="AU5969" i="11"/>
  <c r="AV5969" i="11"/>
  <c r="AU5970" i="11"/>
  <c r="AV5970" i="11"/>
  <c r="AU5971" i="11"/>
  <c r="AV5971" i="11"/>
  <c r="AU5972" i="11"/>
  <c r="AV5972" i="11"/>
  <c r="AU5973" i="11"/>
  <c r="AV5973" i="11"/>
  <c r="AU5974" i="11"/>
  <c r="AV5974" i="11"/>
  <c r="AU5975" i="11"/>
  <c r="AV5975" i="11"/>
  <c r="AU5976" i="11"/>
  <c r="AV5976" i="11"/>
  <c r="AU5977" i="11"/>
  <c r="AV5977" i="11"/>
  <c r="AU5978" i="11"/>
  <c r="AV5978" i="11"/>
  <c r="AU5979" i="11"/>
  <c r="AV5979" i="11"/>
  <c r="AU5980" i="11"/>
  <c r="AV5980" i="11"/>
  <c r="AU5981" i="11"/>
  <c r="AV5981" i="11"/>
  <c r="AU5982" i="11"/>
  <c r="AV5982" i="11"/>
  <c r="AU5983" i="11"/>
  <c r="AV5983" i="11"/>
  <c r="AU5984" i="11"/>
  <c r="AV5984" i="11"/>
  <c r="AU5985" i="11"/>
  <c r="AV5985" i="11"/>
  <c r="AU5986" i="11"/>
  <c r="AV5986" i="11"/>
  <c r="AU5987" i="11"/>
  <c r="AV5987" i="11"/>
  <c r="AU5988" i="11"/>
  <c r="AV5988" i="11"/>
  <c r="AU5989" i="11"/>
  <c r="AV5989" i="11"/>
  <c r="AU5990" i="11"/>
  <c r="AV5990" i="11"/>
  <c r="AU5991" i="11"/>
  <c r="AV5991" i="11"/>
  <c r="AU5992" i="11"/>
  <c r="AV5992" i="11"/>
  <c r="R173" i="3" s="1"/>
  <c r="AU5993" i="11"/>
  <c r="AV5993" i="11"/>
  <c r="AU5994" i="11"/>
  <c r="AV5994" i="11"/>
  <c r="AU5995" i="11"/>
  <c r="AV5995" i="11"/>
  <c r="AU5996" i="11"/>
  <c r="AV5996" i="11"/>
  <c r="AU5997" i="11"/>
  <c r="AV5997" i="11"/>
  <c r="AU5998" i="11"/>
  <c r="AV5998" i="11"/>
  <c r="AU5999" i="11"/>
  <c r="AV5999" i="11"/>
  <c r="AU6000" i="11"/>
  <c r="AV6000" i="11"/>
  <c r="AU6001" i="11"/>
  <c r="AV6001" i="11"/>
  <c r="AU6002" i="11"/>
  <c r="AV6002" i="11"/>
  <c r="AU6003" i="11"/>
  <c r="AV6003" i="11"/>
  <c r="AU6004" i="11"/>
  <c r="AV6004" i="11"/>
  <c r="AU6005" i="11"/>
  <c r="AV6005" i="11"/>
  <c r="AU6006" i="11"/>
  <c r="AV6006" i="11"/>
  <c r="AU6007" i="11"/>
  <c r="AV6007" i="11"/>
  <c r="AU6008" i="11"/>
  <c r="AV6008" i="11"/>
  <c r="AU6009" i="11"/>
  <c r="AV6009" i="11"/>
  <c r="AU6010" i="11"/>
  <c r="AV6010" i="11"/>
  <c r="AU6011" i="11"/>
  <c r="AV6011" i="11"/>
  <c r="AU6012" i="11"/>
  <c r="AV6012" i="11"/>
  <c r="AU6013" i="11"/>
  <c r="AV6013" i="11"/>
  <c r="AU6014" i="11"/>
  <c r="AV6014" i="11"/>
  <c r="AU6015" i="11"/>
  <c r="AV6015" i="11"/>
  <c r="AU6016" i="11"/>
  <c r="AV6016" i="11"/>
  <c r="AU6017" i="11"/>
  <c r="AV6017" i="11"/>
  <c r="AU6018" i="11"/>
  <c r="AV6018" i="11"/>
  <c r="AU6019" i="11"/>
  <c r="AV6019" i="11"/>
  <c r="AU6020" i="11"/>
  <c r="AV6020" i="11"/>
  <c r="AU6021" i="11"/>
  <c r="AV6021" i="11"/>
  <c r="AU6022" i="11"/>
  <c r="AV6022" i="11"/>
  <c r="AU6023" i="11"/>
  <c r="AV6023" i="11"/>
  <c r="AU6024" i="11"/>
  <c r="AV6024" i="11"/>
  <c r="AU6025" i="11"/>
  <c r="AV6025" i="11"/>
  <c r="AU6026" i="11"/>
  <c r="AV6026" i="11"/>
  <c r="AU6027" i="11"/>
  <c r="AV6027" i="11"/>
  <c r="AU6028" i="11"/>
  <c r="AV6028" i="11"/>
  <c r="AU6029" i="11"/>
  <c r="AV6029" i="11"/>
  <c r="AU6030" i="11"/>
  <c r="AV6030" i="11"/>
  <c r="AU6031" i="11"/>
  <c r="AV6031" i="11"/>
  <c r="AU6032" i="11"/>
  <c r="AV6032" i="11"/>
  <c r="AU6033" i="11"/>
  <c r="AV6033" i="11"/>
  <c r="AU6034" i="11"/>
  <c r="AV6034" i="11"/>
  <c r="AU6035" i="11"/>
  <c r="AV6035" i="11"/>
  <c r="AU6036" i="11"/>
  <c r="AV6036" i="11"/>
  <c r="AU6037" i="11"/>
  <c r="AV6037" i="11"/>
  <c r="AU6038" i="11"/>
  <c r="AV6038" i="11"/>
  <c r="AU6039" i="11"/>
  <c r="AV6039" i="11"/>
  <c r="AU6040" i="11"/>
  <c r="AV6040" i="11"/>
  <c r="AU6041" i="11"/>
  <c r="AV6041" i="11"/>
  <c r="AU6042" i="11"/>
  <c r="AV6042" i="11"/>
  <c r="AU6043" i="11"/>
  <c r="AV6043" i="11"/>
  <c r="AU6044" i="11"/>
  <c r="AV6044" i="11"/>
  <c r="AU6045" i="11"/>
  <c r="AV6045" i="11"/>
  <c r="AU6046" i="11"/>
  <c r="AV6046" i="11"/>
  <c r="AU6047" i="11"/>
  <c r="AV6047" i="11"/>
  <c r="AU6048" i="11"/>
  <c r="AV6048" i="11"/>
  <c r="AU6049" i="11"/>
  <c r="AV6049" i="11"/>
  <c r="AU6050" i="11"/>
  <c r="AV6050" i="11"/>
  <c r="AU6051" i="11"/>
  <c r="AV6051" i="11"/>
  <c r="AU6052" i="11"/>
  <c r="AV6052" i="11"/>
  <c r="AU6053" i="11"/>
  <c r="AV6053" i="11"/>
  <c r="AU6054" i="11"/>
  <c r="AV6054" i="11"/>
  <c r="AU6055" i="11"/>
  <c r="AV6055" i="11"/>
  <c r="AU6056" i="11"/>
  <c r="AV6056" i="11"/>
  <c r="AU6057" i="11"/>
  <c r="AV6057" i="11"/>
  <c r="AU6058" i="11"/>
  <c r="AV6058" i="11"/>
  <c r="AU6059" i="11"/>
  <c r="AV6059" i="11"/>
  <c r="AU6060" i="11"/>
  <c r="AV6060" i="11"/>
  <c r="AU6061" i="11"/>
  <c r="AV6061" i="11"/>
  <c r="AU6062" i="11"/>
  <c r="AV6062" i="11"/>
  <c r="AU6063" i="11"/>
  <c r="AV6063" i="11"/>
  <c r="AU6064" i="11"/>
  <c r="AV6064" i="11"/>
  <c r="AU6065" i="11"/>
  <c r="AV6065" i="11"/>
  <c r="AU6066" i="11"/>
  <c r="AV6066" i="11"/>
  <c r="AU6067" i="11"/>
  <c r="AV6067" i="11"/>
  <c r="AU6068" i="11"/>
  <c r="AV6068" i="11"/>
  <c r="AU6069" i="11"/>
  <c r="AV6069" i="11"/>
  <c r="AU6070" i="11"/>
  <c r="AV6070" i="11"/>
  <c r="AU6071" i="11"/>
  <c r="AV6071" i="11"/>
  <c r="AU6072" i="11"/>
  <c r="AV6072" i="11"/>
  <c r="AU6073" i="11"/>
  <c r="AV6073" i="11"/>
  <c r="AU6074" i="11"/>
  <c r="AV6074" i="11"/>
  <c r="AU6075" i="11"/>
  <c r="AV6075" i="11"/>
  <c r="AU6076" i="11"/>
  <c r="AV6076" i="11"/>
  <c r="AU6077" i="11"/>
  <c r="AV6077" i="11"/>
  <c r="AU6078" i="11"/>
  <c r="AV6078" i="11"/>
  <c r="AU6079" i="11"/>
  <c r="AV6079" i="11"/>
  <c r="AU6080" i="11"/>
  <c r="AV6080" i="11"/>
  <c r="AU6081" i="11"/>
  <c r="AV6081" i="11"/>
  <c r="AU6082" i="11"/>
  <c r="AV6082" i="11"/>
  <c r="AU6083" i="11"/>
  <c r="AV6083" i="11"/>
  <c r="AU6084" i="11"/>
  <c r="AV6084" i="11"/>
  <c r="AU6085" i="11"/>
  <c r="AV6085" i="11"/>
  <c r="AU6086" i="11"/>
  <c r="AV6086" i="11"/>
  <c r="AU6087" i="11"/>
  <c r="AV6087" i="11"/>
  <c r="AU6088" i="11"/>
  <c r="AV6088" i="11"/>
  <c r="AU6089" i="11"/>
  <c r="AV6089" i="11"/>
  <c r="AU6090" i="11"/>
  <c r="AV6090" i="11"/>
  <c r="AU6091" i="11"/>
  <c r="AV6091" i="11"/>
  <c r="AU6092" i="11"/>
  <c r="AV6092" i="11"/>
  <c r="AU6093" i="11"/>
  <c r="AV6093" i="11"/>
  <c r="AU6094" i="11"/>
  <c r="AV6094" i="11"/>
  <c r="AU6095" i="11"/>
  <c r="AV6095" i="11"/>
  <c r="AU6096" i="11"/>
  <c r="AV6096" i="11"/>
  <c r="AU6097" i="11"/>
  <c r="AV6097" i="11"/>
  <c r="AU6098" i="11"/>
  <c r="AV6098" i="11"/>
  <c r="AU6099" i="11"/>
  <c r="AV6099" i="11"/>
  <c r="AU6100" i="11"/>
  <c r="AV6100" i="11"/>
  <c r="AU6101" i="11"/>
  <c r="AV6101" i="11"/>
  <c r="AU6102" i="11"/>
  <c r="AV6102" i="11"/>
  <c r="AU6103" i="11"/>
  <c r="AV6103" i="11"/>
  <c r="AU6104" i="11"/>
  <c r="AV6104" i="11"/>
  <c r="AU6105" i="11"/>
  <c r="AV6105" i="11"/>
  <c r="AU6106" i="11"/>
  <c r="AV6106" i="11"/>
  <c r="AU6107" i="11"/>
  <c r="AV6107" i="11"/>
  <c r="AU6108" i="11"/>
  <c r="AV6108" i="11"/>
  <c r="AU6109" i="11"/>
  <c r="AV6109" i="11"/>
  <c r="AU6110" i="11"/>
  <c r="AV6110" i="11"/>
  <c r="AU6111" i="11"/>
  <c r="AV6111" i="11"/>
  <c r="AU6112" i="11"/>
  <c r="AV6112" i="11"/>
  <c r="AU6113" i="11"/>
  <c r="AV6113" i="11"/>
  <c r="AU6114" i="11"/>
  <c r="AV6114" i="11"/>
  <c r="AU6115" i="11"/>
  <c r="AV6115" i="11"/>
  <c r="AU6116" i="11"/>
  <c r="AV6116" i="11"/>
  <c r="AU6117" i="11"/>
  <c r="AV6117" i="11"/>
  <c r="AU6118" i="11"/>
  <c r="AV6118" i="11"/>
  <c r="AU6119" i="11"/>
  <c r="AV6119" i="11"/>
  <c r="AU6120" i="11"/>
  <c r="AV6120" i="11"/>
  <c r="AU6121" i="11"/>
  <c r="AV6121" i="11"/>
  <c r="AU6122" i="11"/>
  <c r="AV6122" i="11"/>
  <c r="AU6123" i="11"/>
  <c r="AV6123" i="11"/>
  <c r="AU6124" i="11"/>
  <c r="AV6124" i="11"/>
  <c r="AU6125" i="11"/>
  <c r="AV6125" i="11"/>
  <c r="AU6126" i="11"/>
  <c r="AV6126" i="11"/>
  <c r="AU6127" i="11"/>
  <c r="AV6127" i="11"/>
  <c r="AU6128" i="11"/>
  <c r="AV6128" i="11"/>
  <c r="AU6129" i="11"/>
  <c r="AV6129" i="11"/>
  <c r="AU6130" i="11"/>
  <c r="AV6130" i="11"/>
  <c r="AU6131" i="11"/>
  <c r="AV6131" i="11"/>
  <c r="AU6132" i="11"/>
  <c r="AV6132" i="11"/>
  <c r="AU6133" i="11"/>
  <c r="AV6133" i="11"/>
  <c r="AU6134" i="11"/>
  <c r="AV6134" i="11"/>
  <c r="AU6135" i="11"/>
  <c r="AV6135" i="11"/>
  <c r="AU6136" i="11"/>
  <c r="AV6136" i="11"/>
  <c r="AU6137" i="11"/>
  <c r="AV6137" i="11"/>
  <c r="AU6138" i="11"/>
  <c r="AV6138" i="11"/>
  <c r="AU6139" i="11"/>
  <c r="AV6139" i="11"/>
  <c r="AU6140" i="11"/>
  <c r="AV6140" i="11"/>
  <c r="AU6141" i="11"/>
  <c r="AV6141" i="11"/>
  <c r="AU6142" i="11"/>
  <c r="AV6142" i="11"/>
  <c r="AU6143" i="11"/>
  <c r="AV6143" i="11"/>
  <c r="AU6144" i="11"/>
  <c r="AV6144" i="11"/>
  <c r="AU6145" i="11"/>
  <c r="AV6145" i="11"/>
  <c r="AU6146" i="11"/>
  <c r="AV6146" i="11"/>
  <c r="AU6147" i="11"/>
  <c r="AV6147" i="11"/>
  <c r="AU6148" i="11"/>
  <c r="AV6148" i="11"/>
  <c r="AU6149" i="11"/>
  <c r="AV6149" i="11"/>
  <c r="AU6150" i="11"/>
  <c r="AV6150" i="11"/>
  <c r="AU6151" i="11"/>
  <c r="AV6151" i="11"/>
  <c r="AU6152" i="11"/>
  <c r="AV6152" i="11"/>
  <c r="AU6153" i="11"/>
  <c r="AV6153" i="11"/>
  <c r="AU6154" i="11"/>
  <c r="AV6154" i="11"/>
  <c r="AU6155" i="11"/>
  <c r="AV6155" i="11"/>
  <c r="AU6156" i="11"/>
  <c r="AV6156" i="11"/>
  <c r="AU6157" i="11"/>
  <c r="AV6157" i="11"/>
  <c r="AU6158" i="11"/>
  <c r="AV6158" i="11"/>
  <c r="AU6159" i="11"/>
  <c r="AV6159" i="11"/>
  <c r="AU6160" i="11"/>
  <c r="AV6160" i="11"/>
  <c r="AU6161" i="11"/>
  <c r="AV6161" i="11"/>
  <c r="AU6162" i="11"/>
  <c r="AV6162" i="11"/>
  <c r="AU6163" i="11"/>
  <c r="AV6163" i="11"/>
  <c r="AU6164" i="11"/>
  <c r="AV6164" i="11"/>
  <c r="AU6165" i="11"/>
  <c r="AV6165" i="11"/>
  <c r="AU6166" i="11"/>
  <c r="AV6166" i="11"/>
  <c r="AU6167" i="11"/>
  <c r="AV6167" i="11"/>
  <c r="AU6168" i="11"/>
  <c r="AV6168" i="11"/>
  <c r="AU6169" i="11"/>
  <c r="AV6169" i="11"/>
  <c r="AU6170" i="11"/>
  <c r="AV6170" i="11"/>
  <c r="AU6171" i="11"/>
  <c r="AV6171" i="11"/>
  <c r="AU6172" i="11"/>
  <c r="AV6172" i="11"/>
  <c r="AU6173" i="11"/>
  <c r="AV6173" i="11"/>
  <c r="AU6174" i="11"/>
  <c r="AV6174" i="11"/>
  <c r="AU6175" i="11"/>
  <c r="AV6175" i="11"/>
  <c r="AU6176" i="11"/>
  <c r="AV6176" i="11"/>
  <c r="AU6177" i="11"/>
  <c r="AV6177" i="11"/>
  <c r="AU6178" i="11"/>
  <c r="AV6178" i="11"/>
  <c r="AU6179" i="11"/>
  <c r="AV6179" i="11"/>
  <c r="AU6180" i="11"/>
  <c r="AV6180" i="11"/>
  <c r="AU6181" i="11"/>
  <c r="AV6181" i="11"/>
  <c r="AU6182" i="11"/>
  <c r="AV6182" i="11"/>
  <c r="AU6183" i="11"/>
  <c r="AV6183" i="11"/>
  <c r="AU6184" i="11"/>
  <c r="AV6184" i="11"/>
  <c r="AU6185" i="11"/>
  <c r="AV6185" i="11"/>
  <c r="AU6186" i="11"/>
  <c r="AV6186" i="11"/>
  <c r="AU6187" i="11"/>
  <c r="AV6187" i="11"/>
  <c r="AU6188" i="11"/>
  <c r="AV6188" i="11"/>
  <c r="AU6189" i="11"/>
  <c r="AV6189" i="11"/>
  <c r="AU6190" i="11"/>
  <c r="AV6190" i="11"/>
  <c r="AU6191" i="11"/>
  <c r="AV6191" i="11"/>
  <c r="AU6192" i="11"/>
  <c r="AV6192" i="11"/>
  <c r="AU6193" i="11"/>
  <c r="AV6193" i="11"/>
  <c r="AU6194" i="11"/>
  <c r="AV6194" i="11"/>
  <c r="AU6195" i="11"/>
  <c r="AV6195" i="11"/>
  <c r="AU6196" i="11"/>
  <c r="AV6196" i="11"/>
  <c r="AU6197" i="11"/>
  <c r="AV6197" i="11"/>
  <c r="AU6198" i="11"/>
  <c r="AV6198" i="11"/>
  <c r="AU6199" i="11"/>
  <c r="AV6199" i="11"/>
  <c r="AU6200" i="11"/>
  <c r="AV6200" i="11"/>
  <c r="AU6201" i="11"/>
  <c r="AV6201" i="11"/>
  <c r="AU6202" i="11"/>
  <c r="AV6202" i="11"/>
  <c r="AU6203" i="11"/>
  <c r="AV6203" i="11"/>
  <c r="AU6204" i="11"/>
  <c r="AV6204" i="11"/>
  <c r="AU6205" i="11"/>
  <c r="AV6205" i="11"/>
  <c r="AU6206" i="11"/>
  <c r="AV6206" i="11"/>
  <c r="AU6207" i="11"/>
  <c r="AV6207" i="11"/>
  <c r="AU6208" i="11"/>
  <c r="AV6208" i="11"/>
  <c r="AU6209" i="11"/>
  <c r="AV6209" i="11"/>
  <c r="AU6210" i="11"/>
  <c r="AV6210" i="11"/>
  <c r="AU6211" i="11"/>
  <c r="AV6211" i="11"/>
  <c r="AU6212" i="11"/>
  <c r="AV6212" i="11"/>
  <c r="AU6213" i="11"/>
  <c r="AV6213" i="11"/>
  <c r="AU6214" i="11"/>
  <c r="AV6214" i="11"/>
  <c r="AU6215" i="11"/>
  <c r="AV6215" i="11"/>
  <c r="AU6216" i="11"/>
  <c r="AV6216" i="11"/>
  <c r="AU6217" i="11"/>
  <c r="AV6217" i="11"/>
  <c r="AU6218" i="11"/>
  <c r="AV6218" i="11"/>
  <c r="AU6219" i="11"/>
  <c r="AV6219" i="11"/>
  <c r="AU6220" i="11"/>
  <c r="AV6220" i="11"/>
  <c r="AU6221" i="11"/>
  <c r="AV6221" i="11"/>
  <c r="AU6222" i="11"/>
  <c r="AV6222" i="11"/>
  <c r="AU6223" i="11"/>
  <c r="AV6223" i="11"/>
  <c r="AU6224" i="11"/>
  <c r="AV6224" i="11"/>
  <c r="AU6225" i="11"/>
  <c r="AV6225" i="11"/>
  <c r="AU6226" i="11"/>
  <c r="AV6226" i="11"/>
  <c r="AU6227" i="11"/>
  <c r="AV6227" i="11"/>
  <c r="AU6228" i="11"/>
  <c r="AV6228" i="11"/>
  <c r="AU6229" i="11"/>
  <c r="AV6229" i="11"/>
  <c r="AU6230" i="11"/>
  <c r="AV6230" i="11"/>
  <c r="AU6231" i="11"/>
  <c r="AV6231" i="11"/>
  <c r="AU6232" i="11"/>
  <c r="AV6232" i="11"/>
  <c r="AU6233" i="11"/>
  <c r="AV6233" i="11"/>
  <c r="AU6234" i="11"/>
  <c r="AV6234" i="11"/>
  <c r="AU6235" i="11"/>
  <c r="AV6235" i="11"/>
  <c r="AU6236" i="11"/>
  <c r="AV6236" i="11"/>
  <c r="AU6237" i="11"/>
  <c r="AV6237" i="11"/>
  <c r="AU6238" i="11"/>
  <c r="AV6238" i="11"/>
  <c r="AU6239" i="11"/>
  <c r="AV6239" i="11"/>
  <c r="AU6240" i="11"/>
  <c r="AV6240" i="11"/>
  <c r="AU6241" i="11"/>
  <c r="AV6241" i="11"/>
  <c r="AU6242" i="11"/>
  <c r="AV6242" i="11"/>
  <c r="AU6243" i="11"/>
  <c r="AV6243" i="11"/>
  <c r="AU6244" i="11"/>
  <c r="AV6244" i="11"/>
  <c r="AU6245" i="11"/>
  <c r="AV6245" i="11"/>
  <c r="AU6246" i="11"/>
  <c r="AV6246" i="11"/>
  <c r="AU6247" i="11"/>
  <c r="AV6247" i="11"/>
  <c r="AU6248" i="11"/>
  <c r="AV6248" i="11"/>
  <c r="AU6249" i="11"/>
  <c r="AV6249" i="11"/>
  <c r="AU6250" i="11"/>
  <c r="AV6250" i="11"/>
  <c r="AU6251" i="11"/>
  <c r="AV6251" i="11"/>
  <c r="AU6252" i="11"/>
  <c r="AV6252" i="11"/>
  <c r="AU6253" i="11"/>
  <c r="AV6253" i="11"/>
  <c r="AU6254" i="11"/>
  <c r="AV6254" i="11"/>
  <c r="AU6255" i="11"/>
  <c r="AV6255" i="11"/>
  <c r="AU6256" i="11"/>
  <c r="AV6256" i="11"/>
  <c r="AU6257" i="11"/>
  <c r="AV6257" i="11"/>
  <c r="AU6258" i="11"/>
  <c r="AV6258" i="11"/>
  <c r="AU6259" i="11"/>
  <c r="AV6259" i="11"/>
  <c r="AU6260" i="11"/>
  <c r="AV6260" i="11"/>
  <c r="AU6261" i="11"/>
  <c r="AV6261" i="11"/>
  <c r="AU6262" i="11"/>
  <c r="AV6262" i="11"/>
  <c r="AU6263" i="11"/>
  <c r="AV6263" i="11"/>
  <c r="AU6264" i="11"/>
  <c r="AV6264" i="11"/>
  <c r="AU6265" i="11"/>
  <c r="AV6265" i="11"/>
  <c r="AU6266" i="11"/>
  <c r="AV6266" i="11"/>
  <c r="AU6267" i="11"/>
  <c r="AV6267" i="11"/>
  <c r="AU6268" i="11"/>
  <c r="AV6268" i="11"/>
  <c r="AU6269" i="11"/>
  <c r="AV6269" i="11"/>
  <c r="AU6270" i="11"/>
  <c r="AV6270" i="11"/>
  <c r="AU6271" i="11"/>
  <c r="AV6271" i="11"/>
  <c r="AU6272" i="11"/>
  <c r="AV6272" i="11"/>
  <c r="AU6273" i="11"/>
  <c r="Y159" i="3" s="1"/>
  <c r="AV6273" i="11"/>
  <c r="Y179" i="3" s="1"/>
  <c r="AU6274" i="11"/>
  <c r="AV6274" i="11"/>
  <c r="AU6275" i="11"/>
  <c r="AV6275" i="11"/>
  <c r="AU6276" i="11"/>
  <c r="AV6276" i="11"/>
  <c r="AU6277" i="11"/>
  <c r="AV6277" i="11"/>
  <c r="AU6278" i="11"/>
  <c r="AV6278" i="11"/>
  <c r="AU6279" i="11"/>
  <c r="AV6279" i="11"/>
  <c r="AU6280" i="11"/>
  <c r="AV6280" i="11"/>
  <c r="AU6281" i="11"/>
  <c r="AV6281" i="11"/>
  <c r="AU6282" i="11"/>
  <c r="AV6282" i="11"/>
  <c r="AU6283" i="11"/>
  <c r="AV6283" i="11"/>
  <c r="AU6284" i="11"/>
  <c r="AV6284" i="11"/>
  <c r="AU6285" i="11"/>
  <c r="AV6285" i="11"/>
  <c r="AU6286" i="11"/>
  <c r="AV6286" i="11"/>
  <c r="AU6287" i="11"/>
  <c r="AV6287" i="11"/>
  <c r="AU6288" i="11"/>
  <c r="AV6288" i="11"/>
  <c r="AU6289" i="11"/>
  <c r="AV6289" i="11"/>
  <c r="AU6290" i="11"/>
  <c r="AV6290" i="11"/>
  <c r="AU6291" i="11"/>
  <c r="AV6291" i="11"/>
  <c r="AU6292" i="11"/>
  <c r="AV6292" i="11"/>
  <c r="AU6293" i="11"/>
  <c r="AV6293" i="11"/>
  <c r="AU6294" i="11"/>
  <c r="AV6294" i="11"/>
  <c r="AU6295" i="11"/>
  <c r="AV6295" i="11"/>
  <c r="AU6296" i="11"/>
  <c r="AV6296" i="11"/>
  <c r="AU6297" i="11"/>
  <c r="AV6297" i="11"/>
  <c r="AU6298" i="11"/>
  <c r="AV6298" i="11"/>
  <c r="AU6299" i="11"/>
  <c r="AV6299" i="11"/>
  <c r="AU6300" i="11"/>
  <c r="AV6300" i="11"/>
  <c r="AU6301" i="11"/>
  <c r="AV6301" i="11"/>
  <c r="AU6302" i="11"/>
  <c r="AV6302" i="11"/>
  <c r="AU6303" i="11"/>
  <c r="AV6303" i="11"/>
  <c r="AU6304" i="11"/>
  <c r="AV6304" i="11"/>
  <c r="AU6305" i="11"/>
  <c r="AV6305" i="11"/>
  <c r="AU6306" i="11"/>
  <c r="AV6306" i="11"/>
  <c r="AU6307" i="11"/>
  <c r="AV6307" i="11"/>
  <c r="AU6308" i="11"/>
  <c r="AV6308" i="11"/>
  <c r="AU6309" i="11"/>
  <c r="AV6309" i="11"/>
  <c r="AU6310" i="11"/>
  <c r="AV6310" i="11"/>
  <c r="AU6311" i="11"/>
  <c r="AV6311" i="11"/>
  <c r="AU6312" i="11"/>
  <c r="AV6312" i="11"/>
  <c r="AU6313" i="11"/>
  <c r="AV6313" i="11"/>
  <c r="AU6314" i="11"/>
  <c r="AV6314" i="11"/>
  <c r="AU6315" i="11"/>
  <c r="AV6315" i="11"/>
  <c r="AU6316" i="11"/>
  <c r="AV6316" i="11"/>
  <c r="AU6317" i="11"/>
  <c r="AV6317" i="11"/>
  <c r="AU6318" i="11"/>
  <c r="AV6318" i="11"/>
  <c r="AU6319" i="11"/>
  <c r="AV6319" i="11"/>
  <c r="AU6320" i="11"/>
  <c r="AV6320" i="11"/>
  <c r="AU6321" i="11"/>
  <c r="AV6321" i="11"/>
  <c r="AU6322" i="11"/>
  <c r="AV6322" i="11"/>
  <c r="AU6323" i="11"/>
  <c r="AV6323" i="11"/>
  <c r="AU6324" i="11"/>
  <c r="AV6324" i="11"/>
  <c r="AU6325" i="11"/>
  <c r="AV6325" i="11"/>
  <c r="AU6326" i="11"/>
  <c r="AV6326" i="11"/>
  <c r="AU6327" i="11"/>
  <c r="AV6327" i="11"/>
  <c r="AU6328" i="11"/>
  <c r="AV6328" i="11"/>
  <c r="AU6329" i="11"/>
  <c r="AV6329" i="11"/>
  <c r="AU6330" i="11"/>
  <c r="AV6330" i="11"/>
  <c r="AU6331" i="11"/>
  <c r="AV6331" i="11"/>
  <c r="AU6332" i="11"/>
  <c r="AV6332" i="11"/>
  <c r="AU6333" i="11"/>
  <c r="AV6333" i="11"/>
  <c r="AU6334" i="11"/>
  <c r="AV6334" i="11"/>
  <c r="AU6335" i="11"/>
  <c r="AV6335" i="11"/>
  <c r="AU6336" i="11"/>
  <c r="AV6336" i="11"/>
  <c r="AU6337" i="11"/>
  <c r="AV6337" i="11"/>
  <c r="AU6338" i="11"/>
  <c r="AV6338" i="11"/>
  <c r="AU6339" i="11"/>
  <c r="AV6339" i="11"/>
  <c r="AU6340" i="11"/>
  <c r="AV6340" i="11"/>
  <c r="AU6341" i="11"/>
  <c r="AV6341" i="11"/>
  <c r="AU6342" i="11"/>
  <c r="AV6342" i="11"/>
  <c r="AU6343" i="11"/>
  <c r="AV6343" i="11"/>
  <c r="AU6344" i="11"/>
  <c r="AV6344" i="11"/>
  <c r="AU6345" i="11"/>
  <c r="AV6345" i="11"/>
  <c r="AU6346" i="11"/>
  <c r="AV6346" i="11"/>
  <c r="AU6347" i="11"/>
  <c r="AV6347" i="11"/>
  <c r="AU6348" i="11"/>
  <c r="AV6348" i="11"/>
  <c r="AU6349" i="11"/>
  <c r="AV6349" i="11"/>
  <c r="AU6350" i="11"/>
  <c r="AV6350" i="11"/>
  <c r="AU6351" i="11"/>
  <c r="AV6351" i="11"/>
  <c r="AU6352" i="11"/>
  <c r="AV6352" i="11"/>
  <c r="AU6353" i="11"/>
  <c r="AV6353" i="11"/>
  <c r="AU6354" i="11"/>
  <c r="AV6354" i="11"/>
  <c r="AU6355" i="11"/>
  <c r="AV6355" i="11"/>
  <c r="AU6356" i="11"/>
  <c r="AV6356" i="11"/>
  <c r="AU6357" i="11"/>
  <c r="AV6357" i="11"/>
  <c r="AU6358" i="11"/>
  <c r="AV6358" i="11"/>
  <c r="AU6359" i="11"/>
  <c r="AV6359" i="11"/>
  <c r="AU6360" i="11"/>
  <c r="AV6360" i="11"/>
  <c r="AU6361" i="11"/>
  <c r="AV6361" i="11"/>
  <c r="AU6362" i="11"/>
  <c r="AV6362" i="11"/>
  <c r="AU6363" i="11"/>
  <c r="AV6363" i="11"/>
  <c r="AU6364" i="11"/>
  <c r="AV6364" i="11"/>
  <c r="AU6365" i="11"/>
  <c r="AV6365" i="11"/>
  <c r="AU6366" i="11"/>
  <c r="AV6366" i="11"/>
  <c r="AU6367" i="11"/>
  <c r="AV6367" i="11"/>
  <c r="AU6368" i="11"/>
  <c r="AV6368" i="11"/>
  <c r="AU6369" i="11"/>
  <c r="AV6369" i="11"/>
  <c r="AU6370" i="11"/>
  <c r="AV6370" i="11"/>
  <c r="AU6371" i="11"/>
  <c r="AV6371" i="11"/>
  <c r="AU6372" i="11"/>
  <c r="AV6372" i="11"/>
  <c r="AU6373" i="11"/>
  <c r="AV6373" i="11"/>
  <c r="AU6374" i="11"/>
  <c r="AV6374" i="11"/>
  <c r="AU6375" i="11"/>
  <c r="AV6375" i="11"/>
  <c r="AU6376" i="11"/>
  <c r="AV6376" i="11"/>
  <c r="AU6377" i="11"/>
  <c r="AV6377" i="11"/>
  <c r="AU6378" i="11"/>
  <c r="AV6378" i="11"/>
  <c r="AU6379" i="11"/>
  <c r="AV6379" i="11"/>
  <c r="AU6380" i="11"/>
  <c r="AV6380" i="11"/>
  <c r="AU6381" i="11"/>
  <c r="AV6381" i="11"/>
  <c r="AU6382" i="11"/>
  <c r="AV6382" i="11"/>
  <c r="AU6383" i="11"/>
  <c r="AV6383" i="11"/>
  <c r="AU6384" i="11"/>
  <c r="AV6384" i="11"/>
  <c r="AU6385" i="11"/>
  <c r="AV6385" i="11"/>
  <c r="AU6386" i="11"/>
  <c r="AV6386" i="11"/>
  <c r="AU6387" i="11"/>
  <c r="AV6387" i="11"/>
  <c r="AU6388" i="11"/>
  <c r="AV6388" i="11"/>
  <c r="AU6389" i="11"/>
  <c r="AV6389" i="11"/>
  <c r="AU6390" i="11"/>
  <c r="AV6390" i="11"/>
  <c r="AU6391" i="11"/>
  <c r="AV6391" i="11"/>
  <c r="AU6392" i="11"/>
  <c r="AV6392" i="11"/>
  <c r="AU6393" i="11"/>
  <c r="AV6393" i="11"/>
  <c r="AU6394" i="11"/>
  <c r="AV6394" i="11"/>
  <c r="AU6395" i="11"/>
  <c r="AV6395" i="11"/>
  <c r="AU6396" i="11"/>
  <c r="AV6396" i="11"/>
  <c r="AU6397" i="11"/>
  <c r="AV6397" i="11"/>
  <c r="AU6398" i="11"/>
  <c r="AV6398" i="11"/>
  <c r="AU6399" i="11"/>
  <c r="AV6399" i="11"/>
  <c r="AU6400" i="11"/>
  <c r="AV6400" i="11"/>
  <c r="AU6401" i="11"/>
  <c r="AV6401" i="11"/>
  <c r="AU6402" i="11"/>
  <c r="AV6402" i="11"/>
  <c r="AU6403" i="11"/>
  <c r="AV6403" i="11"/>
  <c r="AU6404" i="11"/>
  <c r="AV6404" i="11"/>
  <c r="AU6405" i="11"/>
  <c r="AV6405" i="11"/>
  <c r="AU6406" i="11"/>
  <c r="AV6406" i="11"/>
  <c r="AU6407" i="11"/>
  <c r="AV6407" i="11"/>
  <c r="AU6408" i="11"/>
  <c r="AV6408" i="11"/>
  <c r="AU6409" i="11"/>
  <c r="AV6409" i="11"/>
  <c r="AU6410" i="11"/>
  <c r="AV6410" i="11"/>
  <c r="AU6411" i="11"/>
  <c r="AV6411" i="11"/>
  <c r="AU6412" i="11"/>
  <c r="AV6412" i="11"/>
  <c r="AU6413" i="11"/>
  <c r="AV6413" i="11"/>
  <c r="AU6414" i="11"/>
  <c r="AV6414" i="11"/>
  <c r="AU6415" i="11"/>
  <c r="AV6415" i="11"/>
  <c r="AU6416" i="11"/>
  <c r="AV6416" i="11"/>
  <c r="AU6417" i="11"/>
  <c r="AV6417" i="11"/>
  <c r="AU6418" i="11"/>
  <c r="AV6418" i="11"/>
  <c r="AU6419" i="11"/>
  <c r="AV6419" i="11"/>
  <c r="AU6420" i="11"/>
  <c r="AV6420" i="11"/>
  <c r="AU6421" i="11"/>
  <c r="AV6421" i="11"/>
  <c r="AU6422" i="11"/>
  <c r="AV6422" i="11"/>
  <c r="AU6423" i="11"/>
  <c r="AV6423" i="11"/>
  <c r="AU6424" i="11"/>
  <c r="AV6424" i="11"/>
  <c r="AU6425" i="11"/>
  <c r="AV6425" i="11"/>
  <c r="AU6426" i="11"/>
  <c r="AV6426" i="11"/>
  <c r="AU6427" i="11"/>
  <c r="AV6427" i="11"/>
  <c r="AU6428" i="11"/>
  <c r="AV6428" i="11"/>
  <c r="AU6429" i="11"/>
  <c r="AV6429" i="11"/>
  <c r="AU6430" i="11"/>
  <c r="AV6430" i="11"/>
  <c r="AU6431" i="11"/>
  <c r="AV6431" i="11"/>
  <c r="AU6432" i="11"/>
  <c r="AV6432" i="11"/>
  <c r="AU6433" i="11"/>
  <c r="AV6433" i="11"/>
  <c r="AU6434" i="11"/>
  <c r="AV6434" i="11"/>
  <c r="AU6435" i="11"/>
  <c r="AV6435" i="11"/>
  <c r="AU6436" i="11"/>
  <c r="AV6436" i="11"/>
  <c r="AU6437" i="11"/>
  <c r="AV6437" i="11"/>
  <c r="AU6438" i="11"/>
  <c r="AV6438" i="11"/>
  <c r="AU6439" i="11"/>
  <c r="AV6439" i="11"/>
  <c r="AU6440" i="11"/>
  <c r="AV6440" i="11"/>
  <c r="AU6441" i="11"/>
  <c r="AV6441" i="11"/>
  <c r="AU6442" i="11"/>
  <c r="AV6442" i="11"/>
  <c r="AU6443" i="11"/>
  <c r="AV6443" i="11"/>
  <c r="AU6444" i="11"/>
  <c r="AV6444" i="11"/>
  <c r="AU6445" i="11"/>
  <c r="AV6445" i="11"/>
  <c r="AU6446" i="11"/>
  <c r="AV6446" i="11"/>
  <c r="AU6447" i="11"/>
  <c r="AV6447" i="11"/>
  <c r="AU6448" i="11"/>
  <c r="AV6448" i="11"/>
  <c r="AU6449" i="11"/>
  <c r="AV6449" i="11"/>
  <c r="AU6450" i="11"/>
  <c r="AV6450" i="11"/>
  <c r="AU6451" i="11"/>
  <c r="AV6451" i="11"/>
  <c r="AU6452" i="11"/>
  <c r="AV6452" i="11"/>
  <c r="AU6453" i="11"/>
  <c r="AV6453" i="11"/>
  <c r="AU6454" i="11"/>
  <c r="AV6454" i="11"/>
  <c r="AU6455" i="11"/>
  <c r="AV6455" i="11"/>
  <c r="AU6456" i="11"/>
  <c r="AV6456" i="11"/>
  <c r="AU6457" i="11"/>
  <c r="AV6457" i="11"/>
  <c r="AU6458" i="11"/>
  <c r="AV6458" i="11"/>
  <c r="AU6459" i="11"/>
  <c r="AV6459" i="11"/>
  <c r="AU6460" i="11"/>
  <c r="AV6460" i="11"/>
  <c r="AU6461" i="11"/>
  <c r="AV6461" i="11"/>
  <c r="AU6462" i="11"/>
  <c r="AV6462" i="11"/>
  <c r="AU6463" i="11"/>
  <c r="AV6463" i="11"/>
  <c r="AU6464" i="11"/>
  <c r="AV6464" i="11"/>
  <c r="AU6465" i="11"/>
  <c r="AV6465" i="11"/>
  <c r="AU6466" i="11"/>
  <c r="AV6466" i="11"/>
  <c r="AU6467" i="11"/>
  <c r="AV6467" i="11"/>
  <c r="AU6468" i="11"/>
  <c r="AV6468" i="11"/>
  <c r="AU6469" i="11"/>
  <c r="AV6469" i="11"/>
  <c r="AU6470" i="11"/>
  <c r="AV6470" i="11"/>
  <c r="AU6471" i="11"/>
  <c r="AV6471" i="11"/>
  <c r="AU6472" i="11"/>
  <c r="AV6472" i="11"/>
  <c r="AU6473" i="11"/>
  <c r="AV6473" i="11"/>
  <c r="AU6474" i="11"/>
  <c r="AV6474" i="11"/>
  <c r="AU6475" i="11"/>
  <c r="AV6475" i="11"/>
  <c r="AU6476" i="11"/>
  <c r="AV6476" i="11"/>
  <c r="AU6477" i="11"/>
  <c r="AV6477" i="11"/>
  <c r="AU6478" i="11"/>
  <c r="AV6478" i="11"/>
  <c r="AU6479" i="11"/>
  <c r="AV6479" i="11"/>
  <c r="AU6480" i="11"/>
  <c r="AV6480" i="11"/>
  <c r="AU6481" i="11"/>
  <c r="AV6481" i="11"/>
  <c r="AU6482" i="11"/>
  <c r="AV6482" i="11"/>
  <c r="AU6483" i="11"/>
  <c r="AV6483" i="11"/>
  <c r="AU6484" i="11"/>
  <c r="AV6484" i="11"/>
  <c r="AU6485" i="11"/>
  <c r="AV6485" i="11"/>
  <c r="AU6486" i="11"/>
  <c r="AV6486" i="11"/>
  <c r="AU6487" i="11"/>
  <c r="AV6487" i="11"/>
  <c r="AU6488" i="11"/>
  <c r="AV6488" i="11"/>
  <c r="AU6489" i="11"/>
  <c r="AV6489" i="11"/>
  <c r="AU6490" i="11"/>
  <c r="AV6490" i="11"/>
  <c r="AU6491" i="11"/>
  <c r="AV6491" i="11"/>
  <c r="AU6492" i="11"/>
  <c r="AV6492" i="11"/>
  <c r="AU6493" i="11"/>
  <c r="AV6493" i="11"/>
  <c r="AU6494" i="11"/>
  <c r="AV6494" i="11"/>
  <c r="AU6495" i="11"/>
  <c r="AV6495" i="11"/>
  <c r="AU6496" i="11"/>
  <c r="AV6496" i="11"/>
  <c r="AU6497" i="11"/>
  <c r="AV6497" i="11"/>
  <c r="AU6498" i="11"/>
  <c r="AV6498" i="11"/>
  <c r="AU6499" i="11"/>
  <c r="AV6499" i="11"/>
  <c r="AU6500" i="11"/>
  <c r="AV6500" i="11"/>
  <c r="AU6501" i="11"/>
  <c r="AV6501" i="11"/>
  <c r="AU6502" i="11"/>
  <c r="AV6502" i="11"/>
  <c r="AU6503" i="11"/>
  <c r="AV6503" i="11"/>
  <c r="AU6504" i="11"/>
  <c r="AV6504" i="11"/>
  <c r="AU6505" i="11"/>
  <c r="AV6505" i="11"/>
  <c r="AU6506" i="11"/>
  <c r="AV6506" i="11"/>
  <c r="AU6507" i="11"/>
  <c r="AV6507" i="11"/>
  <c r="AU6508" i="11"/>
  <c r="AV6508" i="11"/>
  <c r="AU6509" i="11"/>
  <c r="AV6509" i="11"/>
  <c r="AU6510" i="11"/>
  <c r="AV6510" i="11"/>
  <c r="AU6511" i="11"/>
  <c r="AV6511" i="11"/>
  <c r="AU6512" i="11"/>
  <c r="AV6512" i="11"/>
  <c r="AU6513" i="11"/>
  <c r="AV6513" i="11"/>
  <c r="AU6514" i="11"/>
  <c r="AV6514" i="11"/>
  <c r="AU6515" i="11"/>
  <c r="AV6515" i="11"/>
  <c r="AU6516" i="11"/>
  <c r="AV6516" i="11"/>
  <c r="AU6517" i="11"/>
  <c r="AV6517" i="11"/>
  <c r="AU6518" i="11"/>
  <c r="AV6518" i="11"/>
  <c r="AU6519" i="11"/>
  <c r="AV6519" i="11"/>
  <c r="AU6520" i="11"/>
  <c r="AV6520" i="11"/>
  <c r="AU6521" i="11"/>
  <c r="AV6521" i="11"/>
  <c r="AU6522" i="11"/>
  <c r="AV6522" i="11"/>
  <c r="AU6523" i="11"/>
  <c r="AV6523" i="11"/>
  <c r="AU6524" i="11"/>
  <c r="AV6524" i="11"/>
  <c r="AU6525" i="11"/>
  <c r="AV6525" i="11"/>
  <c r="AU6526" i="11"/>
  <c r="AV6526" i="11"/>
  <c r="AU6527" i="11"/>
  <c r="AV6527" i="11"/>
  <c r="AU6528" i="11"/>
  <c r="AV6528" i="11"/>
  <c r="AU6529" i="11"/>
  <c r="AV6529" i="11"/>
  <c r="AU6530" i="11"/>
  <c r="AV6530" i="11"/>
  <c r="AU6531" i="11"/>
  <c r="AV6531" i="11"/>
  <c r="AU6532" i="11"/>
  <c r="AV6532" i="11"/>
  <c r="AU6533" i="11"/>
  <c r="AV6533" i="11"/>
  <c r="AU6534" i="11"/>
  <c r="AV6534" i="11"/>
  <c r="AU6535" i="11"/>
  <c r="AV6535" i="11"/>
  <c r="AU6536" i="11"/>
  <c r="AV6536" i="11"/>
  <c r="AU6537" i="11"/>
  <c r="AV6537" i="11"/>
  <c r="AU6538" i="11"/>
  <c r="AV6538" i="11"/>
  <c r="AU6539" i="11"/>
  <c r="AV6539" i="11"/>
  <c r="AU6540" i="11"/>
  <c r="AV6540" i="11"/>
  <c r="AU6541" i="11"/>
  <c r="AV6541" i="11"/>
  <c r="AU6542" i="11"/>
  <c r="AV6542" i="11"/>
  <c r="AU6543" i="11"/>
  <c r="AV6543" i="11"/>
  <c r="AU6544" i="11"/>
  <c r="AV6544" i="11"/>
  <c r="AU6545" i="11"/>
  <c r="AV6545" i="11"/>
  <c r="AU6546" i="11"/>
  <c r="AV6546" i="11"/>
  <c r="AU6547" i="11"/>
  <c r="AV6547" i="11"/>
  <c r="AU6548" i="11"/>
  <c r="AV6548" i="11"/>
  <c r="AU6549" i="11"/>
  <c r="AV6549" i="11"/>
  <c r="AU6550" i="11"/>
  <c r="AV6550" i="11"/>
  <c r="AU6551" i="11"/>
  <c r="AV6551" i="11"/>
  <c r="AU6552" i="11"/>
  <c r="AV6552" i="11"/>
  <c r="AU6553" i="11"/>
  <c r="AV6553" i="11"/>
  <c r="AU6554" i="11"/>
  <c r="AV6554" i="11"/>
  <c r="AU6555" i="11"/>
  <c r="AV6555" i="11"/>
  <c r="AU6556" i="11"/>
  <c r="AV6556" i="11"/>
  <c r="AU6557" i="11"/>
  <c r="AV6557" i="11"/>
  <c r="AU6558" i="11"/>
  <c r="AV6558" i="11"/>
  <c r="AU6559" i="11"/>
  <c r="AV6559" i="11"/>
  <c r="AU6560" i="11"/>
  <c r="AV6560" i="11"/>
  <c r="AU6561" i="11"/>
  <c r="AV6561" i="11"/>
  <c r="AU6562" i="11"/>
  <c r="AV6562" i="11"/>
  <c r="AU6563" i="11"/>
  <c r="AV6563" i="11"/>
  <c r="AU6564" i="11"/>
  <c r="AV6564" i="11"/>
  <c r="AU6565" i="11"/>
  <c r="AV6565" i="11"/>
  <c r="AU6566" i="11"/>
  <c r="AV6566" i="11"/>
  <c r="AU6567" i="11"/>
  <c r="AV6567" i="11"/>
  <c r="AU6568" i="11"/>
  <c r="AV6568" i="11"/>
  <c r="AU6569" i="11"/>
  <c r="AV6569" i="11"/>
  <c r="AU6570" i="11"/>
  <c r="AV6570" i="11"/>
  <c r="AU6571" i="11"/>
  <c r="AV6571" i="11"/>
  <c r="AU6572" i="11"/>
  <c r="AV6572" i="11"/>
  <c r="AU6573" i="11"/>
  <c r="AV6573" i="11"/>
  <c r="AU6574" i="11"/>
  <c r="AV6574" i="11"/>
  <c r="AU6575" i="11"/>
  <c r="AV6575" i="11"/>
  <c r="AU6576" i="11"/>
  <c r="AV6576" i="11"/>
  <c r="AU6577" i="11"/>
  <c r="AV6577" i="11"/>
  <c r="AU6578" i="11"/>
  <c r="AV6578" i="11"/>
  <c r="AU6579" i="11"/>
  <c r="AV6579" i="11"/>
  <c r="AU6580" i="11"/>
  <c r="AV6580" i="11"/>
  <c r="AU6581" i="11"/>
  <c r="AV6581" i="11"/>
  <c r="AU6582" i="11"/>
  <c r="AV6582" i="11"/>
  <c r="AU6583" i="11"/>
  <c r="AV6583" i="11"/>
  <c r="AU6584" i="11"/>
  <c r="AV6584" i="11"/>
  <c r="AU6585" i="11"/>
  <c r="AV6585" i="11"/>
  <c r="AU6586" i="11"/>
  <c r="AV6586" i="11"/>
  <c r="AU6587" i="11"/>
  <c r="AV6587" i="11"/>
  <c r="AU6588" i="11"/>
  <c r="AV6588" i="11"/>
  <c r="AU6589" i="11"/>
  <c r="AV6589" i="11"/>
  <c r="AU6590" i="11"/>
  <c r="AV6590" i="11"/>
  <c r="AU6591" i="11"/>
  <c r="AV6591" i="11"/>
  <c r="AU6592" i="11"/>
  <c r="AV6592" i="11"/>
  <c r="AU6593" i="11"/>
  <c r="AV6593" i="11"/>
  <c r="AU6594" i="11"/>
  <c r="AV6594" i="11"/>
  <c r="AU6595" i="11"/>
  <c r="AV6595" i="11"/>
  <c r="AU6596" i="11"/>
  <c r="AV6596" i="11"/>
  <c r="AU6597" i="11"/>
  <c r="AV6597" i="11"/>
  <c r="AU6598" i="11"/>
  <c r="AV6598" i="11"/>
  <c r="AU6599" i="11"/>
  <c r="AV6599" i="11"/>
  <c r="AU6600" i="11"/>
  <c r="AV6600" i="11"/>
  <c r="AU6601" i="11"/>
  <c r="AV6601" i="11"/>
  <c r="AU6602" i="11"/>
  <c r="AV6602" i="11"/>
  <c r="AU6603" i="11"/>
  <c r="AV6603" i="11"/>
  <c r="AU6604" i="11"/>
  <c r="AV6604" i="11"/>
  <c r="AU6605" i="11"/>
  <c r="AV6605" i="11"/>
  <c r="AU6606" i="11"/>
  <c r="AV6606" i="11"/>
  <c r="AU6607" i="11"/>
  <c r="AV6607" i="11"/>
  <c r="AU6608" i="11"/>
  <c r="AV6608" i="11"/>
  <c r="AU6609" i="11"/>
  <c r="AV6609" i="11"/>
  <c r="AU6610" i="11"/>
  <c r="AV6610" i="11"/>
  <c r="AU6611" i="11"/>
  <c r="AV6611" i="11"/>
  <c r="AU6612" i="11"/>
  <c r="AV6612" i="11"/>
  <c r="AU6613" i="11"/>
  <c r="AV6613" i="11"/>
  <c r="AU6614" i="11"/>
  <c r="AV6614" i="11"/>
  <c r="AU6615" i="11"/>
  <c r="AV6615" i="11"/>
  <c r="AU6616" i="11"/>
  <c r="AV6616" i="11"/>
  <c r="AU6617" i="11"/>
  <c r="AV6617" i="11"/>
  <c r="AU6618" i="11"/>
  <c r="AV6618" i="11"/>
  <c r="AU6619" i="11"/>
  <c r="AV6619" i="11"/>
  <c r="AU6620" i="11"/>
  <c r="AV6620" i="11"/>
  <c r="AU6621" i="11"/>
  <c r="AV6621" i="11"/>
  <c r="AU6622" i="11"/>
  <c r="AV6622" i="11"/>
  <c r="AU6623" i="11"/>
  <c r="AV6623" i="11"/>
  <c r="AU6624" i="11"/>
  <c r="AV6624" i="11"/>
  <c r="AU6625" i="11"/>
  <c r="AV6625" i="11"/>
  <c r="AU6626" i="11"/>
  <c r="AV6626" i="11"/>
  <c r="AU6627" i="11"/>
  <c r="AV6627" i="11"/>
  <c r="AU6628" i="11"/>
  <c r="AV6628" i="11"/>
  <c r="AU6629" i="11"/>
  <c r="AV6629" i="11"/>
  <c r="AU6630" i="11"/>
  <c r="AV6630" i="11"/>
  <c r="AU6631" i="11"/>
  <c r="AV6631" i="11"/>
  <c r="AU6632" i="11"/>
  <c r="AV6632" i="11"/>
  <c r="AU6633" i="11"/>
  <c r="AV6633" i="11"/>
  <c r="AU6634" i="11"/>
  <c r="AV6634" i="11"/>
  <c r="AU6635" i="11"/>
  <c r="AV6635" i="11"/>
  <c r="AU6636" i="11"/>
  <c r="AV6636" i="11"/>
  <c r="AU6637" i="11"/>
  <c r="AV6637" i="11"/>
  <c r="AU6638" i="11"/>
  <c r="AV6638" i="11"/>
  <c r="AU6639" i="11"/>
  <c r="AV6639" i="11"/>
  <c r="AU6640" i="11"/>
  <c r="AV6640" i="11"/>
  <c r="AU6641" i="11"/>
  <c r="AV6641" i="11"/>
  <c r="AU6642" i="11"/>
  <c r="AV6642" i="11"/>
  <c r="AU6643" i="11"/>
  <c r="AV6643" i="11"/>
  <c r="AU6644" i="11"/>
  <c r="AV6644" i="11"/>
  <c r="AU6645" i="11"/>
  <c r="AV6645" i="11"/>
  <c r="AU6646" i="11"/>
  <c r="AV6646" i="11"/>
  <c r="AU6647" i="11"/>
  <c r="AV6647" i="11"/>
  <c r="AU6648" i="11"/>
  <c r="AV6648" i="11"/>
  <c r="AU6649" i="11"/>
  <c r="AV6649" i="11"/>
  <c r="AU6650" i="11"/>
  <c r="AV6650" i="11"/>
  <c r="AU6651" i="11"/>
  <c r="AV6651" i="11"/>
  <c r="AU6652" i="11"/>
  <c r="AV6652" i="11"/>
  <c r="AU6653" i="11"/>
  <c r="AV6653" i="11"/>
  <c r="AU6654" i="11"/>
  <c r="AV6654" i="11"/>
  <c r="AU6655" i="11"/>
  <c r="AV6655" i="11"/>
  <c r="AU6656" i="11"/>
  <c r="AV6656" i="11"/>
  <c r="AU6657" i="11"/>
  <c r="AV6657" i="11"/>
  <c r="AU6658" i="11"/>
  <c r="AV6658" i="11"/>
  <c r="AU6659" i="11"/>
  <c r="AV6659" i="11"/>
  <c r="AU6660" i="11"/>
  <c r="AV6660" i="11"/>
  <c r="AU6661" i="11"/>
  <c r="AV6661" i="11"/>
  <c r="AU6662" i="11"/>
  <c r="AV6662" i="11"/>
  <c r="AU6663" i="11"/>
  <c r="AV6663" i="11"/>
  <c r="AU6664" i="11"/>
  <c r="AV6664" i="11"/>
  <c r="AU6665" i="11"/>
  <c r="AV6665" i="11"/>
  <c r="AU6666" i="11"/>
  <c r="AV6666" i="11"/>
  <c r="AU6667" i="11"/>
  <c r="AV6667" i="11"/>
  <c r="AU6668" i="11"/>
  <c r="AV6668" i="11"/>
  <c r="AU6669" i="11"/>
  <c r="AV6669" i="11"/>
  <c r="AU6670" i="11"/>
  <c r="AV6670" i="11"/>
  <c r="AU6671" i="11"/>
  <c r="AV6671" i="11"/>
  <c r="AU6672" i="11"/>
  <c r="AV6672" i="11"/>
  <c r="AU6673" i="11"/>
  <c r="AV6673" i="11"/>
  <c r="AU6674" i="11"/>
  <c r="AV6674" i="11"/>
  <c r="AU6675" i="11"/>
  <c r="AV6675" i="11"/>
  <c r="AU6676" i="11"/>
  <c r="AV6676" i="11"/>
  <c r="AU6677" i="11"/>
  <c r="AV6677" i="11"/>
  <c r="AU6678" i="11"/>
  <c r="AV6678" i="11"/>
  <c r="AU6679" i="11"/>
  <c r="AV6679" i="11"/>
  <c r="AU6680" i="11"/>
  <c r="AV6680" i="11"/>
  <c r="AU6681" i="11"/>
  <c r="AV6681" i="11"/>
  <c r="AU6682" i="11"/>
  <c r="AV6682" i="11"/>
  <c r="AU6683" i="11"/>
  <c r="AV6683" i="11"/>
  <c r="AU6684" i="11"/>
  <c r="AV6684" i="11"/>
  <c r="AU6685" i="11"/>
  <c r="AV6685" i="11"/>
  <c r="AU6686" i="11"/>
  <c r="AV6686" i="11"/>
  <c r="AU6687" i="11"/>
  <c r="AV6687" i="11"/>
  <c r="AU6688" i="11"/>
  <c r="AV6688" i="11"/>
  <c r="AU6689" i="11"/>
  <c r="AV6689" i="11"/>
  <c r="AU6690" i="11"/>
  <c r="AV6690" i="11"/>
  <c r="AU6691" i="11"/>
  <c r="AV6691" i="11"/>
  <c r="AU6692" i="11"/>
  <c r="AV6692" i="11"/>
  <c r="AU6693" i="11"/>
  <c r="AV6693" i="11"/>
  <c r="AU6694" i="11"/>
  <c r="AV6694" i="11"/>
  <c r="AU6695" i="11"/>
  <c r="AV6695" i="11"/>
  <c r="AU6696" i="11"/>
  <c r="AV6696" i="11"/>
  <c r="AU6697" i="11"/>
  <c r="AV6697" i="11"/>
  <c r="AU6698" i="11"/>
  <c r="AV6698" i="11"/>
  <c r="AU6699" i="11"/>
  <c r="AV6699" i="11"/>
  <c r="AU6700" i="11"/>
  <c r="AV6700" i="11"/>
  <c r="AU6701" i="11"/>
  <c r="AV6701" i="11"/>
  <c r="AU6702" i="11"/>
  <c r="AV6702" i="11"/>
  <c r="AU6703" i="11"/>
  <c r="AV6703" i="11"/>
  <c r="AU6704" i="11"/>
  <c r="AV6704" i="11"/>
  <c r="AU6705" i="11"/>
  <c r="AV6705" i="11"/>
  <c r="AU6706" i="11"/>
  <c r="AV6706" i="11"/>
  <c r="AU6707" i="11"/>
  <c r="AV6707" i="11"/>
  <c r="AU6708" i="11"/>
  <c r="AV6708" i="11"/>
  <c r="AU6709" i="11"/>
  <c r="AV6709" i="11"/>
  <c r="AU6710" i="11"/>
  <c r="AV6710" i="11"/>
  <c r="AU6711" i="11"/>
  <c r="AV6711" i="11"/>
  <c r="AU6712" i="11"/>
  <c r="AV6712" i="11"/>
  <c r="AU6713" i="11"/>
  <c r="AV6713" i="11"/>
  <c r="AU6714" i="11"/>
  <c r="AV6714" i="11"/>
  <c r="AU6715" i="11"/>
  <c r="AV6715" i="11"/>
  <c r="AU6716" i="11"/>
  <c r="AV6716" i="11"/>
  <c r="AU6717" i="11"/>
  <c r="AV6717" i="11"/>
  <c r="AU6718" i="11"/>
  <c r="AV6718" i="11"/>
  <c r="AU6719" i="11"/>
  <c r="AV6719" i="11"/>
  <c r="AU6720" i="11"/>
  <c r="AV6720" i="11"/>
  <c r="AU6721" i="11"/>
  <c r="AV6721" i="11"/>
  <c r="AU6722" i="11"/>
  <c r="AV6722" i="11"/>
  <c r="AU6723" i="11"/>
  <c r="AV6723" i="11"/>
  <c r="AU6724" i="11"/>
  <c r="AV6724" i="11"/>
  <c r="AU6725" i="11"/>
  <c r="AV6725" i="11"/>
  <c r="AU6726" i="11"/>
  <c r="AV6726" i="11"/>
  <c r="AU6727" i="11"/>
  <c r="AV6727" i="11"/>
  <c r="AU6728" i="11"/>
  <c r="AV6728" i="11"/>
  <c r="AU6729" i="11"/>
  <c r="AV6729" i="11"/>
  <c r="AU6730" i="11"/>
  <c r="AV6730" i="11"/>
  <c r="AU6731" i="11"/>
  <c r="AV6731" i="11"/>
  <c r="AU6732" i="11"/>
  <c r="AV6732" i="11"/>
  <c r="AU6733" i="11"/>
  <c r="AV6733" i="11"/>
  <c r="AU6734" i="11"/>
  <c r="AV6734" i="11"/>
  <c r="AU6735" i="11"/>
  <c r="AV6735" i="11"/>
  <c r="AU6736" i="11"/>
  <c r="AV6736" i="11"/>
  <c r="AU6737" i="11"/>
  <c r="AV6737" i="11"/>
  <c r="AU6738" i="11"/>
  <c r="AV6738" i="11"/>
  <c r="AU6739" i="11"/>
  <c r="AV6739" i="11"/>
  <c r="AU6740" i="11"/>
  <c r="AV6740" i="11"/>
  <c r="AU6741" i="11"/>
  <c r="AV6741" i="11"/>
  <c r="AU6742" i="11"/>
  <c r="AV6742" i="11"/>
  <c r="AU6743" i="11"/>
  <c r="AV6743" i="11"/>
  <c r="AU6744" i="11"/>
  <c r="AV6744" i="11"/>
  <c r="AU6745" i="11"/>
  <c r="AV6745" i="11"/>
  <c r="AU6746" i="11"/>
  <c r="AV6746" i="11"/>
  <c r="AU6747" i="11"/>
  <c r="AV6747" i="11"/>
  <c r="AU6748" i="11"/>
  <c r="AV6748" i="11"/>
  <c r="AU6749" i="11"/>
  <c r="AV6749" i="11"/>
  <c r="AU6750" i="11"/>
  <c r="AV6750" i="11"/>
  <c r="AU6751" i="11"/>
  <c r="AV6751" i="11"/>
  <c r="AU6752" i="11"/>
  <c r="AV6752" i="11"/>
  <c r="AU6753" i="11"/>
  <c r="AV6753" i="11"/>
  <c r="AU6754" i="11"/>
  <c r="AV6754" i="11"/>
  <c r="AU6755" i="11"/>
  <c r="AV6755" i="11"/>
  <c r="AU6756" i="11"/>
  <c r="AV6756" i="11"/>
  <c r="AU6757" i="11"/>
  <c r="AV6757" i="11"/>
  <c r="AU6758" i="11"/>
  <c r="AV6758" i="11"/>
  <c r="AU6759" i="11"/>
  <c r="AV6759" i="11"/>
  <c r="AU6760" i="11"/>
  <c r="AV6760" i="11"/>
  <c r="AU6761" i="11"/>
  <c r="AV6761" i="11"/>
  <c r="AU6762" i="11"/>
  <c r="AV6762" i="11"/>
  <c r="AU6763" i="11"/>
  <c r="AV6763" i="11"/>
  <c r="AU6764" i="11"/>
  <c r="AV6764" i="11"/>
  <c r="AU6765" i="11"/>
  <c r="AV6765" i="11"/>
  <c r="AU6766" i="11"/>
  <c r="AV6766" i="11"/>
  <c r="AU6767" i="11"/>
  <c r="AV6767" i="11"/>
  <c r="AU6768" i="11"/>
  <c r="AV6768" i="11"/>
  <c r="AU6769" i="11"/>
  <c r="AV6769" i="11"/>
  <c r="AU6770" i="11"/>
  <c r="AV6770" i="11"/>
  <c r="AU6771" i="11"/>
  <c r="AV6771" i="11"/>
  <c r="AU6772" i="11"/>
  <c r="AV6772" i="11"/>
  <c r="AU6773" i="11"/>
  <c r="AV6773" i="11"/>
  <c r="AU6774" i="11"/>
  <c r="AV6774" i="11"/>
  <c r="AU6775" i="11"/>
  <c r="AV6775" i="11"/>
  <c r="AU6776" i="11"/>
  <c r="AV6776" i="11"/>
  <c r="AU6777" i="11"/>
  <c r="AV6777" i="11"/>
  <c r="AU6778" i="11"/>
  <c r="AV6778" i="11"/>
  <c r="AU6779" i="11"/>
  <c r="AV6779" i="11"/>
  <c r="AU6780" i="11"/>
  <c r="AV6780" i="11"/>
  <c r="AU6781" i="11"/>
  <c r="AV6781" i="11"/>
  <c r="AU6782" i="11"/>
  <c r="AV6782" i="11"/>
  <c r="AU6783" i="11"/>
  <c r="AV6783" i="11"/>
  <c r="AU6784" i="11"/>
  <c r="AV6784" i="11"/>
  <c r="AU6785" i="11"/>
  <c r="AV6785" i="11"/>
  <c r="AU6786" i="11"/>
  <c r="AV6786" i="11"/>
  <c r="AU6787" i="11"/>
  <c r="AV6787" i="11"/>
  <c r="AU6788" i="11"/>
  <c r="AV6788" i="11"/>
  <c r="AU6789" i="11"/>
  <c r="AV6789" i="11"/>
  <c r="AU6790" i="11"/>
  <c r="AV6790" i="11"/>
  <c r="AU6791" i="11"/>
  <c r="AV6791" i="11"/>
  <c r="AU6792" i="11"/>
  <c r="AV6792" i="11"/>
  <c r="AU6793" i="11"/>
  <c r="AV6793" i="11"/>
  <c r="AU6794" i="11"/>
  <c r="AV6794" i="11"/>
  <c r="AU6795" i="11"/>
  <c r="AV6795" i="11"/>
  <c r="AU6796" i="11"/>
  <c r="AV6796" i="11"/>
  <c r="AU6797" i="11"/>
  <c r="AV6797" i="11"/>
  <c r="AU6798" i="11"/>
  <c r="AV6798" i="11"/>
  <c r="AU6799" i="11"/>
  <c r="AV6799" i="11"/>
  <c r="AU6800" i="11"/>
  <c r="AV6800" i="11"/>
  <c r="AU6801" i="11"/>
  <c r="AV6801" i="11"/>
  <c r="AU6802" i="11"/>
  <c r="AV6802" i="11"/>
  <c r="AU6803" i="11"/>
  <c r="AV6803" i="11"/>
  <c r="AU6804" i="11"/>
  <c r="AV6804" i="11"/>
  <c r="AU6805" i="11"/>
  <c r="AV6805" i="11"/>
  <c r="AU6806" i="11"/>
  <c r="AV6806" i="11"/>
  <c r="AU6807" i="11"/>
  <c r="AV6807" i="11"/>
  <c r="AU6808" i="11"/>
  <c r="AV6808" i="11"/>
  <c r="AU6809" i="11"/>
  <c r="AV6809" i="11"/>
  <c r="AU6810" i="11"/>
  <c r="AV6810" i="11"/>
  <c r="AU6811" i="11"/>
  <c r="AV6811" i="11"/>
  <c r="AU6812" i="11"/>
  <c r="AV6812" i="11"/>
  <c r="AU6813" i="11"/>
  <c r="AV6813" i="11"/>
  <c r="AU6814" i="11"/>
  <c r="AV6814" i="11"/>
  <c r="AU6815" i="11"/>
  <c r="AV6815" i="11"/>
  <c r="AU6816" i="11"/>
  <c r="AV6816" i="11"/>
  <c r="AU6817" i="11"/>
  <c r="AV6817" i="11"/>
  <c r="AU6818" i="11"/>
  <c r="AV6818" i="11"/>
  <c r="AU6819" i="11"/>
  <c r="AV6819" i="11"/>
  <c r="AU6820" i="11"/>
  <c r="AV6820" i="11"/>
  <c r="AU6821" i="11"/>
  <c r="AV6821" i="11"/>
  <c r="AU6822" i="11"/>
  <c r="AV6822" i="11"/>
  <c r="AU6823" i="11"/>
  <c r="AV6823" i="11"/>
  <c r="AU6824" i="11"/>
  <c r="AV6824" i="11"/>
  <c r="AU6825" i="11"/>
  <c r="AV6825" i="11"/>
  <c r="AU6826" i="11"/>
  <c r="AV6826" i="11"/>
  <c r="AU6827" i="11"/>
  <c r="AV6827" i="11"/>
  <c r="AU6828" i="11"/>
  <c r="AV6828" i="11"/>
  <c r="AU6829" i="11"/>
  <c r="AV6829" i="11"/>
  <c r="AU6830" i="11"/>
  <c r="AV6830" i="11"/>
  <c r="AU6831" i="11"/>
  <c r="AV6831" i="11"/>
  <c r="AU6832" i="11"/>
  <c r="AV6832" i="11"/>
  <c r="AU6833" i="11"/>
  <c r="AV6833" i="11"/>
  <c r="AU6834" i="11"/>
  <c r="AV6834" i="11"/>
  <c r="AU6835" i="11"/>
  <c r="AV6835" i="11"/>
  <c r="AU6836" i="11"/>
  <c r="AV6836" i="11"/>
  <c r="AU6837" i="11"/>
  <c r="AV6837" i="11"/>
  <c r="AU6838" i="11"/>
  <c r="AV6838" i="11"/>
  <c r="AU6839" i="11"/>
  <c r="AV6839" i="11"/>
  <c r="AU6840" i="11"/>
  <c r="AV6840" i="11"/>
  <c r="AU6841" i="11"/>
  <c r="AV6841" i="11"/>
  <c r="AU6842" i="11"/>
  <c r="AV6842" i="11"/>
  <c r="AU6843" i="11"/>
  <c r="AV6843" i="11"/>
  <c r="AU6844" i="11"/>
  <c r="AV6844" i="11"/>
  <c r="AU6845" i="11"/>
  <c r="AV6845" i="11"/>
  <c r="AU6846" i="11"/>
  <c r="AV6846" i="11"/>
  <c r="AU6847" i="11"/>
  <c r="AV6847" i="11"/>
  <c r="AU6848" i="11"/>
  <c r="AV6848" i="11"/>
  <c r="AU6849" i="11"/>
  <c r="AV6849" i="11"/>
  <c r="AU6850" i="11"/>
  <c r="AV6850" i="11"/>
  <c r="AU6851" i="11"/>
  <c r="AV6851" i="11"/>
  <c r="AU6852" i="11"/>
  <c r="AV6852" i="11"/>
  <c r="AU6853" i="11"/>
  <c r="AV6853" i="11"/>
  <c r="AU6854" i="11"/>
  <c r="AV6854" i="11"/>
  <c r="AU6855" i="11"/>
  <c r="AV6855" i="11"/>
  <c r="AU6856" i="11"/>
  <c r="AV6856" i="11"/>
  <c r="AU6857" i="11"/>
  <c r="AV6857" i="11"/>
  <c r="AU6858" i="11"/>
  <c r="AV6858" i="11"/>
  <c r="AU6859" i="11"/>
  <c r="AV6859" i="11"/>
  <c r="AU6860" i="11"/>
  <c r="AV6860" i="11"/>
  <c r="AU6861" i="11"/>
  <c r="AV6861" i="11"/>
  <c r="AU6862" i="11"/>
  <c r="AV6862" i="11"/>
  <c r="AU6863" i="11"/>
  <c r="AV6863" i="11"/>
  <c r="AU6864" i="11"/>
  <c r="AV6864" i="11"/>
  <c r="AU6865" i="11"/>
  <c r="AV6865" i="11"/>
  <c r="AU6866" i="11"/>
  <c r="AV6866" i="11"/>
  <c r="AU6867" i="11"/>
  <c r="AV6867" i="11"/>
  <c r="AU6868" i="11"/>
  <c r="AV6868" i="11"/>
  <c r="AU6869" i="11"/>
  <c r="AV6869" i="11"/>
  <c r="AU6870" i="11"/>
  <c r="AV6870" i="11"/>
  <c r="AU6871" i="11"/>
  <c r="AV6871" i="11"/>
  <c r="AU6872" i="11"/>
  <c r="AV6872" i="11"/>
  <c r="AU6873" i="11"/>
  <c r="AV6873" i="11"/>
  <c r="AU6874" i="11"/>
  <c r="AV6874" i="11"/>
  <c r="AU6875" i="11"/>
  <c r="AV6875" i="11"/>
  <c r="AU6876" i="11"/>
  <c r="AV6876" i="11"/>
  <c r="AU6877" i="11"/>
  <c r="AV6877" i="11"/>
  <c r="AU6878" i="11"/>
  <c r="AV6878" i="11"/>
  <c r="AU6879" i="11"/>
  <c r="AV6879" i="11"/>
  <c r="AU6880" i="11"/>
  <c r="AV6880" i="11"/>
  <c r="AU6881" i="11"/>
  <c r="AV6881" i="11"/>
  <c r="AU6882" i="11"/>
  <c r="AV6882" i="11"/>
  <c r="AU6883" i="11"/>
  <c r="AV6883" i="11"/>
  <c r="AU6884" i="11"/>
  <c r="AV6884" i="11"/>
  <c r="AU6885" i="11"/>
  <c r="AV6885" i="11"/>
  <c r="AU6886" i="11"/>
  <c r="AV6886" i="11"/>
  <c r="AU6887" i="11"/>
  <c r="AV6887" i="11"/>
  <c r="AU6888" i="11"/>
  <c r="AV6888" i="11"/>
  <c r="AU6889" i="11"/>
  <c r="AV6889" i="11"/>
  <c r="AU6890" i="11"/>
  <c r="AV6890" i="11"/>
  <c r="AU6891" i="11"/>
  <c r="AV6891" i="11"/>
  <c r="AU6892" i="11"/>
  <c r="AV6892" i="11"/>
  <c r="AU6893" i="11"/>
  <c r="AV6893" i="11"/>
  <c r="AU6894" i="11"/>
  <c r="AV6894" i="11"/>
  <c r="AU6895" i="11"/>
  <c r="AV6895" i="11"/>
  <c r="AU6896" i="11"/>
  <c r="AV6896" i="11"/>
  <c r="AU6897" i="11"/>
  <c r="AV6897" i="11"/>
  <c r="AU6898" i="11"/>
  <c r="AV6898" i="11"/>
  <c r="AU6899" i="11"/>
  <c r="AV6899" i="11"/>
  <c r="AU6900" i="11"/>
  <c r="AV6900" i="11"/>
  <c r="AU6901" i="11"/>
  <c r="AV6901" i="11"/>
  <c r="AU6902" i="11"/>
  <c r="AV6902" i="11"/>
  <c r="AU6903" i="11"/>
  <c r="AV6903" i="11"/>
  <c r="AU6904" i="11"/>
  <c r="AV6904" i="11"/>
  <c r="AU6905" i="11"/>
  <c r="AV6905" i="11"/>
  <c r="AU6906" i="11"/>
  <c r="AV6906" i="11"/>
  <c r="AU6907" i="11"/>
  <c r="AV6907" i="11"/>
  <c r="AU6908" i="11"/>
  <c r="AV6908" i="11"/>
  <c r="AU6909" i="11"/>
  <c r="AV6909" i="11"/>
  <c r="AU6910" i="11"/>
  <c r="AV6910" i="11"/>
  <c r="AU6911" i="11"/>
  <c r="AV6911" i="11"/>
  <c r="AU6912" i="11"/>
  <c r="AV6912" i="11"/>
  <c r="AU6913" i="11"/>
  <c r="AV6913" i="11"/>
  <c r="AU6914" i="11"/>
  <c r="AV6914" i="11"/>
  <c r="AU6915" i="11"/>
  <c r="AV6915" i="11"/>
  <c r="AU6916" i="11"/>
  <c r="AV6916" i="11"/>
  <c r="AU6917" i="11"/>
  <c r="AV6917" i="11"/>
  <c r="AU6918" i="11"/>
  <c r="AV6918" i="11"/>
  <c r="AU6919" i="11"/>
  <c r="AV6919" i="11"/>
  <c r="AU6920" i="11"/>
  <c r="AV6920" i="11"/>
  <c r="AU6921" i="11"/>
  <c r="AV6921" i="11"/>
  <c r="AU6922" i="11"/>
  <c r="AV6922" i="11"/>
  <c r="AU6923" i="11"/>
  <c r="AV6923" i="11"/>
  <c r="AU6924" i="11"/>
  <c r="AV6924" i="11"/>
  <c r="AU6925" i="11"/>
  <c r="AV6925" i="11"/>
  <c r="AU6926" i="11"/>
  <c r="AV6926" i="11"/>
  <c r="AU6927" i="11"/>
  <c r="AV6927" i="11"/>
  <c r="AU6928" i="11"/>
  <c r="AV6928" i="11"/>
  <c r="AU6929" i="11"/>
  <c r="AV6929" i="11"/>
  <c r="AU6930" i="11"/>
  <c r="AV6930" i="11"/>
  <c r="AU6931" i="11"/>
  <c r="AV6931" i="11"/>
  <c r="AU6932" i="11"/>
  <c r="AV6932" i="11"/>
  <c r="AU6933" i="11"/>
  <c r="AV6933" i="11"/>
  <c r="AU6934" i="11"/>
  <c r="AV6934" i="11"/>
  <c r="AU6935" i="11"/>
  <c r="AV6935" i="11"/>
  <c r="AU6936" i="11"/>
  <c r="AV6936" i="11"/>
  <c r="AU6937" i="11"/>
  <c r="AV6937" i="11"/>
  <c r="AU6938" i="11"/>
  <c r="AV6938" i="11"/>
  <c r="AU6939" i="11"/>
  <c r="AV6939" i="11"/>
  <c r="AU6940" i="11"/>
  <c r="AV6940" i="11"/>
  <c r="AU6941" i="11"/>
  <c r="AV6941" i="11"/>
  <c r="AU6942" i="11"/>
  <c r="AV6942" i="11"/>
  <c r="AU6943" i="11"/>
  <c r="AV6943" i="11"/>
  <c r="AU6944" i="11"/>
  <c r="AV6944" i="11"/>
  <c r="AU6945" i="11"/>
  <c r="AV6945" i="11"/>
  <c r="AU6946" i="11"/>
  <c r="AV6946" i="11"/>
  <c r="AU6947" i="11"/>
  <c r="AV6947" i="11"/>
  <c r="AU6948" i="11"/>
  <c r="AV6948" i="11"/>
  <c r="AU6949" i="11"/>
  <c r="AV6949" i="11"/>
  <c r="AU6950" i="11"/>
  <c r="AV6950" i="11"/>
  <c r="AU6951" i="11"/>
  <c r="AV6951" i="11"/>
  <c r="AU6952" i="11"/>
  <c r="AV6952" i="11"/>
  <c r="AU6953" i="11"/>
  <c r="AV6953" i="11"/>
  <c r="AU6954" i="11"/>
  <c r="AV6954" i="11"/>
  <c r="AU6955" i="11"/>
  <c r="AV6955" i="11"/>
  <c r="AU6956" i="11"/>
  <c r="AV6956" i="11"/>
  <c r="AU6957" i="11"/>
  <c r="AV6957" i="11"/>
  <c r="AU6958" i="11"/>
  <c r="AV6958" i="11"/>
  <c r="AU6959" i="11"/>
  <c r="AV6959" i="11"/>
  <c r="AU6960" i="11"/>
  <c r="AV6960" i="11"/>
  <c r="AU6961" i="11"/>
  <c r="AV6961" i="11"/>
  <c r="AU6962" i="11"/>
  <c r="AV6962" i="11"/>
  <c r="AU6963" i="11"/>
  <c r="AV6963" i="11"/>
  <c r="AU6964" i="11"/>
  <c r="AV6964" i="11"/>
  <c r="AU6965" i="11"/>
  <c r="AV6965" i="11"/>
  <c r="AU6966" i="11"/>
  <c r="AV6966" i="11"/>
  <c r="AU6967" i="11"/>
  <c r="AV6967" i="11"/>
  <c r="AU6968" i="11"/>
  <c r="AV6968" i="11"/>
  <c r="AU6969" i="11"/>
  <c r="AV6969" i="11"/>
  <c r="AU6970" i="11"/>
  <c r="AV6970" i="11"/>
  <c r="AU6971" i="11"/>
  <c r="AV6971" i="11"/>
  <c r="AU6972" i="11"/>
  <c r="AV6972" i="11"/>
  <c r="AU6973" i="11"/>
  <c r="AV6973" i="11"/>
  <c r="AU6974" i="11"/>
  <c r="AV6974" i="11"/>
  <c r="AU6975" i="11"/>
  <c r="AV6975" i="11"/>
  <c r="AU6976" i="11"/>
  <c r="AV6976" i="11"/>
  <c r="AU6977" i="11"/>
  <c r="AV6977" i="11"/>
  <c r="AU6978" i="11"/>
  <c r="AV6978" i="11"/>
  <c r="AU6979" i="11"/>
  <c r="AV6979" i="11"/>
  <c r="AU6980" i="11"/>
  <c r="AV6980" i="11"/>
  <c r="AU6981" i="11"/>
  <c r="AV6981" i="11"/>
  <c r="AU6982" i="11"/>
  <c r="AV6982" i="11"/>
  <c r="AU6983" i="11"/>
  <c r="AV6983" i="11"/>
  <c r="AU6984" i="11"/>
  <c r="AV6984" i="11"/>
  <c r="AU6985" i="11"/>
  <c r="AV6985" i="11"/>
  <c r="AU6986" i="11"/>
  <c r="AV6986" i="11"/>
  <c r="AU6987" i="11"/>
  <c r="AV6987" i="11"/>
  <c r="AU6988" i="11"/>
  <c r="AV6988" i="11"/>
  <c r="AU6989" i="11"/>
  <c r="AV6989" i="11"/>
  <c r="AU6990" i="11"/>
  <c r="AV6990" i="11"/>
  <c r="AU6991" i="11"/>
  <c r="AV6991" i="11"/>
  <c r="AU6992" i="11"/>
  <c r="AV6992" i="11"/>
  <c r="AU6993" i="11"/>
  <c r="AV6993" i="11"/>
  <c r="AU6994" i="11"/>
  <c r="AV6994" i="11"/>
  <c r="AU6995" i="11"/>
  <c r="AV6995" i="11"/>
  <c r="AU6996" i="11"/>
  <c r="AV6996" i="11"/>
  <c r="AU6997" i="11"/>
  <c r="AV6997" i="11"/>
  <c r="AU6998" i="11"/>
  <c r="AV6998" i="11"/>
  <c r="AU6999" i="11"/>
  <c r="AV6999" i="11"/>
  <c r="AU7000" i="11"/>
  <c r="AV7000" i="11"/>
  <c r="AU7001" i="11"/>
  <c r="AV7001" i="11"/>
  <c r="AU7002" i="11"/>
  <c r="AV7002" i="11"/>
  <c r="AU7003" i="11"/>
  <c r="AV7003" i="11"/>
  <c r="AU7004" i="11"/>
  <c r="AV7004" i="11"/>
  <c r="AU7005" i="11"/>
  <c r="AV7005" i="11"/>
  <c r="AU7006" i="11"/>
  <c r="AV7006" i="11"/>
  <c r="AU7007" i="11"/>
  <c r="AV7007" i="11"/>
  <c r="AU7008" i="11"/>
  <c r="AV7008" i="11"/>
  <c r="AU7009" i="11"/>
  <c r="AV7009" i="11"/>
  <c r="AU7010" i="11"/>
  <c r="AV7010" i="11"/>
  <c r="AU7011" i="11"/>
  <c r="AV7011" i="11"/>
  <c r="AU7012" i="11"/>
  <c r="AV7012" i="11"/>
  <c r="AU7013" i="11"/>
  <c r="AV7013" i="11"/>
  <c r="AU7014" i="11"/>
  <c r="AV7014" i="11"/>
  <c r="AU7015" i="11"/>
  <c r="AV7015" i="11"/>
  <c r="AU7016" i="11"/>
  <c r="AV7016" i="11"/>
  <c r="AU7017" i="11"/>
  <c r="AV7017" i="11"/>
  <c r="AU7018" i="11"/>
  <c r="AV7018" i="11"/>
  <c r="AU7019" i="11"/>
  <c r="AV7019" i="11"/>
  <c r="AU7020" i="11"/>
  <c r="AV7020" i="11"/>
  <c r="AU7021" i="11"/>
  <c r="AV7021" i="11"/>
  <c r="AU7022" i="11"/>
  <c r="AV7022" i="11"/>
  <c r="AU7023" i="11"/>
  <c r="AV7023" i="11"/>
  <c r="AU7024" i="11"/>
  <c r="AV7024" i="11"/>
  <c r="AU7025" i="11"/>
  <c r="AV7025" i="11"/>
  <c r="AU7026" i="11"/>
  <c r="AV7026" i="11"/>
  <c r="AU7027" i="11"/>
  <c r="AV7027" i="11"/>
  <c r="AU7028" i="11"/>
  <c r="AV7028" i="11"/>
  <c r="AU7029" i="11"/>
  <c r="AV7029" i="11"/>
  <c r="AU7030" i="11"/>
  <c r="AV7030" i="11"/>
  <c r="AU7031" i="11"/>
  <c r="AV7031" i="11"/>
  <c r="AU7032" i="11"/>
  <c r="AV7032" i="11"/>
  <c r="AU7033" i="11"/>
  <c r="AV7033" i="11"/>
  <c r="AU7034" i="11"/>
  <c r="AV7034" i="11"/>
  <c r="AU7035" i="11"/>
  <c r="AV7035" i="11"/>
  <c r="AU7036" i="11"/>
  <c r="AV7036" i="11"/>
  <c r="AU7037" i="11"/>
  <c r="AV7037" i="11"/>
  <c r="AU7038" i="11"/>
  <c r="AV7038" i="11"/>
  <c r="AU7039" i="11"/>
  <c r="AV7039" i="11"/>
  <c r="AU7040" i="11"/>
  <c r="AV7040" i="11"/>
  <c r="AU7041" i="11"/>
  <c r="AV7041" i="11"/>
  <c r="AU7042" i="11"/>
  <c r="AV7042" i="11"/>
  <c r="AU7043" i="11"/>
  <c r="AV7043" i="11"/>
  <c r="AU7044" i="11"/>
  <c r="AV7044" i="11"/>
  <c r="AU7045" i="11"/>
  <c r="AV7045" i="11"/>
  <c r="AU7046" i="11"/>
  <c r="AV7046" i="11"/>
  <c r="AU7047" i="11"/>
  <c r="AV7047" i="11"/>
  <c r="AU7048" i="11"/>
  <c r="AV7048" i="11"/>
  <c r="AU7049" i="11"/>
  <c r="AV7049" i="11"/>
  <c r="AU7050" i="11"/>
  <c r="AV7050" i="11"/>
  <c r="AU7051" i="11"/>
  <c r="AV7051" i="11"/>
  <c r="AU7052" i="11"/>
  <c r="AV7052" i="11"/>
  <c r="AU7053" i="11"/>
  <c r="AV7053" i="11"/>
  <c r="AU7054" i="11"/>
  <c r="AV7054" i="11"/>
  <c r="AU7055" i="11"/>
  <c r="AV7055" i="11"/>
  <c r="AU7056" i="11"/>
  <c r="AV7056" i="11"/>
  <c r="AU7057" i="11"/>
  <c r="AV7057" i="11"/>
  <c r="AU7058" i="11"/>
  <c r="AV7058" i="11"/>
  <c r="AU7059" i="11"/>
  <c r="AV7059" i="11"/>
  <c r="AU7060" i="11"/>
  <c r="AV7060" i="11"/>
  <c r="AU7061" i="11"/>
  <c r="AV7061" i="11"/>
  <c r="AU7062" i="11"/>
  <c r="AV7062" i="11"/>
  <c r="AU7063" i="11"/>
  <c r="AV7063" i="11"/>
  <c r="AU7064" i="11"/>
  <c r="AV7064" i="11"/>
  <c r="AU7065" i="11"/>
  <c r="AV7065" i="11"/>
  <c r="AU7066" i="11"/>
  <c r="AV7066" i="11"/>
  <c r="AU7067" i="11"/>
  <c r="AV7067" i="11"/>
  <c r="AU7068" i="11"/>
  <c r="AV7068" i="11"/>
  <c r="AU7069" i="11"/>
  <c r="AV7069" i="11"/>
  <c r="AU7070" i="11"/>
  <c r="AV7070" i="11"/>
  <c r="AU7071" i="11"/>
  <c r="AV7071" i="11"/>
  <c r="AU7072" i="11"/>
  <c r="AV7072" i="11"/>
  <c r="AU7073" i="11"/>
  <c r="AV7073" i="11"/>
  <c r="AU7074" i="11"/>
  <c r="AV7074" i="11"/>
  <c r="AU7075" i="11"/>
  <c r="AV7075" i="11"/>
  <c r="AU7076" i="11"/>
  <c r="AV7076" i="11"/>
  <c r="AU7077" i="11"/>
  <c r="AV7077" i="11"/>
  <c r="AU7078" i="11"/>
  <c r="AV7078" i="11"/>
  <c r="AU7079" i="11"/>
  <c r="AV7079" i="11"/>
  <c r="AU7080" i="11"/>
  <c r="AV7080" i="11"/>
  <c r="AU7081" i="11"/>
  <c r="AV7081" i="11"/>
  <c r="AU7082" i="11"/>
  <c r="AV7082" i="11"/>
  <c r="AU7083" i="11"/>
  <c r="AV7083" i="11"/>
  <c r="AU7084" i="11"/>
  <c r="AV7084" i="11"/>
  <c r="AU7085" i="11"/>
  <c r="AV7085" i="11"/>
  <c r="AU7086" i="11"/>
  <c r="AV7086" i="11"/>
  <c r="AU7087" i="11"/>
  <c r="AV7087" i="11"/>
  <c r="AU7088" i="11"/>
  <c r="AV7088" i="11"/>
  <c r="AU7089" i="11"/>
  <c r="AV7089" i="11"/>
  <c r="AU7090" i="11"/>
  <c r="AV7090" i="11"/>
  <c r="AU7091" i="11"/>
  <c r="AV7091" i="11"/>
  <c r="AU7092" i="11"/>
  <c r="AV7092" i="11"/>
  <c r="AU7093" i="11"/>
  <c r="AV7093" i="11"/>
  <c r="AU7094" i="11"/>
  <c r="AV7094" i="11"/>
  <c r="AU7095" i="11"/>
  <c r="AV7095" i="11"/>
  <c r="AU7096" i="11"/>
  <c r="AV7096" i="11"/>
  <c r="AU7097" i="11"/>
  <c r="AV7097" i="11"/>
  <c r="AU7098" i="11"/>
  <c r="AV7098" i="11"/>
  <c r="AU7099" i="11"/>
  <c r="AV7099" i="11"/>
  <c r="AU7100" i="11"/>
  <c r="AV7100" i="11"/>
  <c r="AU7101" i="11"/>
  <c r="AV7101" i="11"/>
  <c r="AU7102" i="11"/>
  <c r="AV7102" i="11"/>
  <c r="AU7103" i="11"/>
  <c r="AV7103" i="11"/>
  <c r="AU7104" i="11"/>
  <c r="AV7104" i="11"/>
  <c r="AU7105" i="11"/>
  <c r="AV7105" i="11"/>
  <c r="AU7106" i="11"/>
  <c r="AV7106" i="11"/>
  <c r="AU7107" i="11"/>
  <c r="AV7107" i="11"/>
  <c r="AU7108" i="11"/>
  <c r="AV7108" i="11"/>
  <c r="AU7109" i="11"/>
  <c r="AV7109" i="11"/>
  <c r="AU7110" i="11"/>
  <c r="AV7110" i="11"/>
  <c r="AU7111" i="11"/>
  <c r="AV7111" i="11"/>
  <c r="AU7112" i="11"/>
  <c r="AV7112" i="11"/>
  <c r="AU7113" i="11"/>
  <c r="AV7113" i="11"/>
  <c r="AU7114" i="11"/>
  <c r="AV7114" i="11"/>
  <c r="AU7115" i="11"/>
  <c r="AV7115" i="11"/>
  <c r="AU7116" i="11"/>
  <c r="AV7116" i="11"/>
  <c r="AU7117" i="11"/>
  <c r="AV7117" i="11"/>
  <c r="AU7118" i="11"/>
  <c r="AV7118" i="11"/>
  <c r="AU7119" i="11"/>
  <c r="AV7119" i="11"/>
  <c r="AU7120" i="11"/>
  <c r="AV7120" i="11"/>
  <c r="AU7121" i="11"/>
  <c r="AV7121" i="11"/>
  <c r="AU7122" i="11"/>
  <c r="AV7122" i="11"/>
  <c r="AU7123" i="11"/>
  <c r="AV7123" i="11"/>
  <c r="AU7124" i="11"/>
  <c r="AV7124" i="11"/>
  <c r="AU7125" i="11"/>
  <c r="AV7125" i="11"/>
  <c r="AU7126" i="11"/>
  <c r="AV7126" i="11"/>
  <c r="AU7127" i="11"/>
  <c r="AV7127" i="11"/>
  <c r="AU7128" i="11"/>
  <c r="AV7128" i="11"/>
  <c r="AU7129" i="11"/>
  <c r="AV7129" i="11"/>
  <c r="AU7130" i="11"/>
  <c r="AV7130" i="11"/>
  <c r="AU7131" i="11"/>
  <c r="AV7131" i="11"/>
  <c r="AU7132" i="11"/>
  <c r="AV7132" i="11"/>
  <c r="AU7133" i="11"/>
  <c r="AV7133" i="11"/>
  <c r="AU7134" i="11"/>
  <c r="AV7134" i="11"/>
  <c r="AU7135" i="11"/>
  <c r="AV7135" i="11"/>
  <c r="AU7136" i="11"/>
  <c r="AV7136" i="11"/>
  <c r="AU7137" i="11"/>
  <c r="AV7137" i="11"/>
  <c r="AU7138" i="11"/>
  <c r="AV7138" i="11"/>
  <c r="AU7139" i="11"/>
  <c r="AV7139" i="11"/>
  <c r="AU7140" i="11"/>
  <c r="AV7140" i="11"/>
  <c r="AU7141" i="11"/>
  <c r="AV7141" i="11"/>
  <c r="AU7142" i="11"/>
  <c r="AV7142" i="11"/>
  <c r="AU7143" i="11"/>
  <c r="AV7143" i="11"/>
  <c r="AU7144" i="11"/>
  <c r="AV7144" i="11"/>
  <c r="AU7145" i="11"/>
  <c r="AV7145" i="11"/>
  <c r="AU7146" i="11"/>
  <c r="AV7146" i="11"/>
  <c r="AU7147" i="11"/>
  <c r="AV7147" i="11"/>
  <c r="AU7148" i="11"/>
  <c r="AV7148" i="11"/>
  <c r="AU7149" i="11"/>
  <c r="AV7149" i="11"/>
  <c r="AU7150" i="11"/>
  <c r="AV7150" i="11"/>
  <c r="AU7151" i="11"/>
  <c r="AV7151" i="11"/>
  <c r="AU7152" i="11"/>
  <c r="AV7152" i="11"/>
  <c r="AU7153" i="11"/>
  <c r="AV7153" i="11"/>
  <c r="AU7154" i="11"/>
  <c r="AV7154" i="11"/>
  <c r="AU7155" i="11"/>
  <c r="AV7155" i="11"/>
  <c r="AU7156" i="11"/>
  <c r="AV7156" i="11"/>
  <c r="AU7157" i="11"/>
  <c r="AV7157" i="11"/>
  <c r="AU7158" i="11"/>
  <c r="AV7158" i="11"/>
  <c r="AU7159" i="11"/>
  <c r="AV7159" i="11"/>
  <c r="AU7160" i="11"/>
  <c r="AV7160" i="11"/>
  <c r="AU7161" i="11"/>
  <c r="AV7161" i="11"/>
  <c r="AU7162" i="11"/>
  <c r="AV7162" i="11"/>
  <c r="AU7163" i="11"/>
  <c r="AV7163" i="11"/>
  <c r="AU7164" i="11"/>
  <c r="AV7164" i="11"/>
  <c r="AU7165" i="11"/>
  <c r="AV7165" i="11"/>
  <c r="AU7166" i="11"/>
  <c r="AV7166" i="11"/>
  <c r="AU7167" i="11"/>
  <c r="AV7167" i="11"/>
  <c r="AU7168" i="11"/>
  <c r="AV7168" i="11"/>
  <c r="AU7169" i="11"/>
  <c r="AV7169" i="11"/>
  <c r="AU7170" i="11"/>
  <c r="AV7170" i="11"/>
  <c r="AU7171" i="11"/>
  <c r="AV7171" i="11"/>
  <c r="AU7172" i="11"/>
  <c r="AV7172" i="11"/>
  <c r="AU7173" i="11"/>
  <c r="AV7173" i="11"/>
  <c r="AU7174" i="11"/>
  <c r="AV7174" i="11"/>
  <c r="AU7175" i="11"/>
  <c r="AV7175" i="11"/>
  <c r="AU7176" i="11"/>
  <c r="AV7176" i="11"/>
  <c r="AU7177" i="11"/>
  <c r="AV7177" i="11"/>
  <c r="AU7178" i="11"/>
  <c r="AV7178" i="11"/>
  <c r="AU7179" i="11"/>
  <c r="AV7179" i="11"/>
  <c r="AU7180" i="11"/>
  <c r="AV7180" i="11"/>
  <c r="AU7181" i="11"/>
  <c r="AV7181" i="11"/>
  <c r="AU7182" i="11"/>
  <c r="AV7182" i="11"/>
  <c r="AU7183" i="11"/>
  <c r="AV7183" i="11"/>
  <c r="AU7184" i="11"/>
  <c r="AV7184" i="11"/>
  <c r="AU7185" i="11"/>
  <c r="AV7185" i="11"/>
  <c r="AU7186" i="11"/>
  <c r="AV7186" i="11"/>
  <c r="AU7187" i="11"/>
  <c r="AV7187" i="11"/>
  <c r="AU7188" i="11"/>
  <c r="AV7188" i="11"/>
  <c r="AU7189" i="11"/>
  <c r="AV7189" i="11"/>
  <c r="AU7190" i="11"/>
  <c r="AV7190" i="11"/>
  <c r="AU7191" i="11"/>
  <c r="AV7191" i="11"/>
  <c r="AU7192" i="11"/>
  <c r="AV7192" i="11"/>
  <c r="AU7193" i="11"/>
  <c r="AV7193" i="11"/>
  <c r="AU7194" i="11"/>
  <c r="AV7194" i="11"/>
  <c r="AU7195" i="11"/>
  <c r="AV7195" i="11"/>
  <c r="AU7196" i="11"/>
  <c r="AV7196" i="11"/>
  <c r="AU7197" i="11"/>
  <c r="AV7197" i="11"/>
  <c r="AU7198" i="11"/>
  <c r="AV7198" i="11"/>
  <c r="AU7199" i="11"/>
  <c r="AV7199" i="11"/>
  <c r="AU7200" i="11"/>
  <c r="AV7200" i="11"/>
  <c r="AU7201" i="11"/>
  <c r="AV7201" i="11"/>
  <c r="AU7202" i="11"/>
  <c r="AV7202" i="11"/>
  <c r="AU7203" i="11"/>
  <c r="AV7203" i="11"/>
  <c r="AU7204" i="11"/>
  <c r="AV7204" i="11"/>
  <c r="AU7205" i="11"/>
  <c r="AV7205" i="11"/>
  <c r="AU7206" i="11"/>
  <c r="AV7206" i="11"/>
  <c r="AU7207" i="11"/>
  <c r="AV7207" i="11"/>
  <c r="AU7208" i="11"/>
  <c r="AV7208" i="11"/>
  <c r="AU7209" i="11"/>
  <c r="AV7209" i="11"/>
  <c r="AU7210" i="11"/>
  <c r="AV7210" i="11"/>
  <c r="AU7211" i="11"/>
  <c r="AV7211" i="11"/>
  <c r="AU7212" i="11"/>
  <c r="AV7212" i="11"/>
  <c r="AU7213" i="11"/>
  <c r="AV7213" i="11"/>
  <c r="AU7214" i="11"/>
  <c r="AV7214" i="11"/>
  <c r="AU7215" i="11"/>
  <c r="AV7215" i="11"/>
  <c r="AU7216" i="11"/>
  <c r="AV7216" i="11"/>
  <c r="AU7217" i="11"/>
  <c r="AV7217" i="11"/>
  <c r="AU7218" i="11"/>
  <c r="AV7218" i="11"/>
  <c r="AU7219" i="11"/>
  <c r="AV7219" i="11"/>
  <c r="AU7220" i="11"/>
  <c r="AV7220" i="11"/>
  <c r="AU7221" i="11"/>
  <c r="AV7221" i="11"/>
  <c r="AU7222" i="11"/>
  <c r="AV7222" i="11"/>
  <c r="AU7223" i="11"/>
  <c r="AV7223" i="11"/>
  <c r="AU7224" i="11"/>
  <c r="AV7224" i="11"/>
  <c r="AU7225" i="11"/>
  <c r="AV7225" i="11"/>
  <c r="AU7226" i="11"/>
  <c r="AV7226" i="11"/>
  <c r="AU7227" i="11"/>
  <c r="AV7227" i="11"/>
  <c r="AU7228" i="11"/>
  <c r="AV7228" i="11"/>
  <c r="AU7229" i="11"/>
  <c r="AV7229" i="11"/>
  <c r="AU7230" i="11"/>
  <c r="AV7230" i="11"/>
  <c r="AU7231" i="11"/>
  <c r="AV7231" i="11"/>
  <c r="AU7232" i="11"/>
  <c r="AV7232" i="11"/>
  <c r="AU7233" i="11"/>
  <c r="AV7233" i="11"/>
  <c r="AU7234" i="11"/>
  <c r="AV7234" i="11"/>
  <c r="AU7235" i="11"/>
  <c r="AV7235" i="11"/>
  <c r="AU7236" i="11"/>
  <c r="AV7236" i="11"/>
  <c r="AU7237" i="11"/>
  <c r="AV7237" i="11"/>
  <c r="AU7238" i="11"/>
  <c r="AV7238" i="11"/>
  <c r="AU7239" i="11"/>
  <c r="AV7239" i="11"/>
  <c r="AU7240" i="11"/>
  <c r="AV7240" i="11"/>
  <c r="AU7241" i="11"/>
  <c r="AV7241" i="11"/>
  <c r="AU7242" i="11"/>
  <c r="AV7242" i="11"/>
  <c r="AU7243" i="11"/>
  <c r="AV7243" i="11"/>
  <c r="AU7244" i="11"/>
  <c r="AV7244" i="11"/>
  <c r="AU7245" i="11"/>
  <c r="AV7245" i="11"/>
  <c r="AU7246" i="11"/>
  <c r="AV7246" i="11"/>
  <c r="AU7247" i="11"/>
  <c r="AV7247" i="11"/>
  <c r="AU7248" i="11"/>
  <c r="AV7248" i="11"/>
  <c r="AU7249" i="11"/>
  <c r="AV7249" i="11"/>
  <c r="AU7250" i="11"/>
  <c r="AV7250" i="11"/>
  <c r="AU7251" i="11"/>
  <c r="AV7251" i="11"/>
  <c r="AU7252" i="11"/>
  <c r="AV7252" i="11"/>
  <c r="AU7253" i="11"/>
  <c r="AV7253" i="11"/>
  <c r="AU7254" i="11"/>
  <c r="AV7254" i="11"/>
  <c r="AU7255" i="11"/>
  <c r="AV7255" i="11"/>
  <c r="AU7256" i="11"/>
  <c r="AV7256" i="11"/>
  <c r="AU7257" i="11"/>
  <c r="AV7257" i="11"/>
  <c r="AU7258" i="11"/>
  <c r="AV7258" i="11"/>
  <c r="AU7259" i="11"/>
  <c r="AV7259" i="11"/>
  <c r="AU7260" i="11"/>
  <c r="AV7260" i="11"/>
  <c r="AU7261" i="11"/>
  <c r="AV7261" i="11"/>
  <c r="AU7262" i="11"/>
  <c r="AV7262" i="11"/>
  <c r="AU7263" i="11"/>
  <c r="AV7263" i="11"/>
  <c r="AU7264" i="11"/>
  <c r="AV7264" i="11"/>
  <c r="AU7265" i="11"/>
  <c r="AV7265" i="11"/>
  <c r="AU7266" i="11"/>
  <c r="AV7266" i="11"/>
  <c r="AU7267" i="11"/>
  <c r="AV7267" i="11"/>
  <c r="AU7268" i="11"/>
  <c r="AV7268" i="11"/>
  <c r="AU7269" i="11"/>
  <c r="AV7269" i="11"/>
  <c r="AU7270" i="11"/>
  <c r="AV7270" i="11"/>
  <c r="AU7271" i="11"/>
  <c r="AV7271" i="11"/>
  <c r="AU7272" i="11"/>
  <c r="AV7272" i="11"/>
  <c r="AU7273" i="11"/>
  <c r="AV7273" i="11"/>
  <c r="AU7274" i="11"/>
  <c r="AV7274" i="11"/>
  <c r="AU7275" i="11"/>
  <c r="AV7275" i="11"/>
  <c r="AU7276" i="11"/>
  <c r="AV7276" i="11"/>
  <c r="AU7277" i="11"/>
  <c r="AV7277" i="11"/>
  <c r="AU7278" i="11"/>
  <c r="AV7278" i="11"/>
  <c r="AU7279" i="11"/>
  <c r="AV7279" i="11"/>
  <c r="AU7280" i="11"/>
  <c r="AV7280" i="11"/>
  <c r="AU7281" i="11"/>
  <c r="AV7281" i="11"/>
  <c r="AU7282" i="11"/>
  <c r="AV7282" i="11"/>
  <c r="AU7283" i="11"/>
  <c r="AV7283" i="11"/>
  <c r="AU7284" i="11"/>
  <c r="AV7284" i="11"/>
  <c r="AU7285" i="11"/>
  <c r="AV7285" i="11"/>
  <c r="AU7286" i="11"/>
  <c r="AV7286" i="11"/>
  <c r="AU7287" i="11"/>
  <c r="AV7287" i="11"/>
  <c r="AU7288" i="11"/>
  <c r="AV7288" i="11"/>
  <c r="AU7289" i="11"/>
  <c r="AV7289" i="11"/>
  <c r="AU7290" i="11"/>
  <c r="AV7290" i="11"/>
  <c r="AU7291" i="11"/>
  <c r="AV7291" i="11"/>
  <c r="AU7292" i="11"/>
  <c r="AV7292" i="11"/>
  <c r="AU7293" i="11"/>
  <c r="AV7293" i="11"/>
  <c r="AU7294" i="11"/>
  <c r="AV7294" i="11"/>
  <c r="AU7295" i="11"/>
  <c r="AV7295" i="11"/>
  <c r="AU7296" i="11"/>
  <c r="AV7296" i="11"/>
  <c r="AU7297" i="11"/>
  <c r="AV7297" i="11"/>
  <c r="AU7298" i="11"/>
  <c r="AV7298" i="11"/>
  <c r="AU7299" i="11"/>
  <c r="AV7299" i="11"/>
  <c r="AU7300" i="11"/>
  <c r="AV7300" i="11"/>
  <c r="AU7301" i="11"/>
  <c r="AV7301" i="11"/>
  <c r="AU7302" i="11"/>
  <c r="AV7302" i="11"/>
  <c r="AU7303" i="11"/>
  <c r="AV7303" i="11"/>
  <c r="AU7304" i="11"/>
  <c r="AV7304" i="11"/>
  <c r="AU7305" i="11"/>
  <c r="AV7305" i="11"/>
  <c r="AU7306" i="11"/>
  <c r="AV7306" i="11"/>
  <c r="AU7307" i="11"/>
  <c r="AV7307" i="11"/>
  <c r="AU7308" i="11"/>
  <c r="AV7308" i="11"/>
  <c r="AU7309" i="11"/>
  <c r="AV7309" i="11"/>
  <c r="AU7310" i="11"/>
  <c r="AV7310" i="11"/>
  <c r="AU7311" i="11"/>
  <c r="AV7311" i="11"/>
  <c r="AU7312" i="11"/>
  <c r="AV7312" i="11"/>
  <c r="AU7313" i="11"/>
  <c r="AV7313" i="11"/>
  <c r="AU7314" i="11"/>
  <c r="AV7314" i="11"/>
  <c r="AU7315" i="11"/>
  <c r="AV7315" i="11"/>
  <c r="AU7316" i="11"/>
  <c r="AV7316" i="11"/>
  <c r="AU7317" i="11"/>
  <c r="AV7317" i="11"/>
  <c r="AU7318" i="11"/>
  <c r="AV7318" i="11"/>
  <c r="AU7319" i="11"/>
  <c r="AV7319" i="11"/>
  <c r="AU7320" i="11"/>
  <c r="AV7320" i="11"/>
  <c r="AU7321" i="11"/>
  <c r="AV7321" i="11"/>
  <c r="AU7322" i="11"/>
  <c r="AV7322" i="11"/>
  <c r="AU7323" i="11"/>
  <c r="AV7323" i="11"/>
  <c r="AU7324" i="11"/>
  <c r="AV7324" i="11"/>
  <c r="AU7325" i="11"/>
  <c r="AV7325" i="11"/>
  <c r="AU7326" i="11"/>
  <c r="AV7326" i="11"/>
  <c r="AU7327" i="11"/>
  <c r="AV7327" i="11"/>
  <c r="AU7328" i="11"/>
  <c r="AV7328" i="11"/>
  <c r="AU7329" i="11"/>
  <c r="AV7329" i="11"/>
  <c r="AU7330" i="11"/>
  <c r="AV7330" i="11"/>
  <c r="AU7331" i="11"/>
  <c r="AV7331" i="11"/>
  <c r="AU7332" i="11"/>
  <c r="AV7332" i="11"/>
  <c r="AU7333" i="11"/>
  <c r="AV7333" i="11"/>
  <c r="AU7334" i="11"/>
  <c r="AV7334" i="11"/>
  <c r="AU7335" i="11"/>
  <c r="AV7335" i="11"/>
  <c r="AU7336" i="11"/>
  <c r="AV7336" i="11"/>
  <c r="AU7337" i="11"/>
  <c r="AV7337" i="11"/>
  <c r="AU7338" i="11"/>
  <c r="AV7338" i="11"/>
  <c r="AU7339" i="11"/>
  <c r="AV7339" i="11"/>
  <c r="AU7340" i="11"/>
  <c r="AB158" i="3" s="1"/>
  <c r="AV7340" i="11"/>
  <c r="AB178" i="3" s="1"/>
  <c r="AU7341" i="11"/>
  <c r="AV7341" i="11"/>
  <c r="AU7342" i="11"/>
  <c r="AV7342" i="11"/>
  <c r="AU7343" i="11"/>
  <c r="AV7343" i="11"/>
  <c r="AU7344" i="11"/>
  <c r="AV7344" i="11"/>
  <c r="AU7345" i="11"/>
  <c r="AV7345" i="11"/>
  <c r="AU7346" i="11"/>
  <c r="AV7346" i="11"/>
  <c r="AU7347" i="11"/>
  <c r="AV7347" i="11"/>
  <c r="AU7348" i="11"/>
  <c r="AV7348" i="11"/>
  <c r="AU7349" i="11"/>
  <c r="AV7349" i="11"/>
  <c r="AU7350" i="11"/>
  <c r="AV7350" i="11"/>
  <c r="AU7351" i="11"/>
  <c r="AV7351" i="11"/>
  <c r="AU7352" i="11"/>
  <c r="AV7352" i="11"/>
  <c r="AU7353" i="11"/>
  <c r="AV7353" i="11"/>
  <c r="AU7354" i="11"/>
  <c r="AV7354" i="11"/>
  <c r="AU7355" i="11"/>
  <c r="AV7355" i="11"/>
  <c r="AU7356" i="11"/>
  <c r="AV7356" i="11"/>
  <c r="AU7357" i="11"/>
  <c r="AV7357" i="11"/>
  <c r="AU7358" i="11"/>
  <c r="AV7358" i="11"/>
  <c r="AU7359" i="11"/>
  <c r="AV7359" i="11"/>
  <c r="AU7360" i="11"/>
  <c r="AV7360" i="11"/>
  <c r="AU7361" i="11"/>
  <c r="AV7361" i="11"/>
  <c r="AU7362" i="11"/>
  <c r="AV7362" i="11"/>
  <c r="AU7363" i="11"/>
  <c r="AV7363" i="11"/>
  <c r="AU7364" i="11"/>
  <c r="AV7364" i="11"/>
  <c r="AU7365" i="11"/>
  <c r="AV7365" i="11"/>
  <c r="AU7366" i="11"/>
  <c r="AV7366" i="11"/>
  <c r="AU7367" i="11"/>
  <c r="AV7367" i="11"/>
  <c r="AU7368" i="11"/>
  <c r="AV7368" i="11"/>
  <c r="AU7369" i="11"/>
  <c r="AV7369" i="11"/>
  <c r="AU7370" i="11"/>
  <c r="AV7370" i="11"/>
  <c r="AU7371" i="11"/>
  <c r="AV7371" i="11"/>
  <c r="AU7372" i="11"/>
  <c r="AV7372" i="11"/>
  <c r="AU7373" i="11"/>
  <c r="AV7373" i="11"/>
  <c r="AU7374" i="11"/>
  <c r="AV7374" i="11"/>
  <c r="AU7375" i="11"/>
  <c r="AV7375" i="11"/>
  <c r="AU7376" i="11"/>
  <c r="AV7376" i="11"/>
  <c r="AU7377" i="11"/>
  <c r="AV7377" i="11"/>
  <c r="AU7378" i="11"/>
  <c r="AV7378" i="11"/>
  <c r="AU7379" i="11"/>
  <c r="AV7379" i="11"/>
  <c r="AU7380" i="11"/>
  <c r="AV7380" i="11"/>
  <c r="AU7381" i="11"/>
  <c r="AV7381" i="11"/>
  <c r="AU7382" i="11"/>
  <c r="AV7382" i="11"/>
  <c r="AU7383" i="11"/>
  <c r="AV7383" i="11"/>
  <c r="AU7384" i="11"/>
  <c r="AV7384" i="11"/>
  <c r="AU7385" i="11"/>
  <c r="AV7385" i="11"/>
  <c r="J172" i="3" s="1"/>
  <c r="AU7386" i="11"/>
  <c r="AV7386" i="11"/>
  <c r="AU7387" i="11"/>
  <c r="AV7387" i="11"/>
  <c r="M172" i="3" s="1"/>
  <c r="AU7388" i="11"/>
  <c r="AV7388" i="11"/>
  <c r="AU7389" i="11"/>
  <c r="AV7389" i="11"/>
  <c r="N172" i="3" s="1"/>
  <c r="AU7390" i="11"/>
  <c r="AV7390" i="11"/>
  <c r="AU7391" i="11"/>
  <c r="AV7391" i="11"/>
  <c r="AU7392" i="11"/>
  <c r="AV7392" i="11"/>
  <c r="AU7393" i="11"/>
  <c r="AV7393" i="11"/>
  <c r="AU7394" i="11"/>
  <c r="AV7394" i="11"/>
  <c r="AU7395" i="11"/>
  <c r="AV7395" i="11"/>
  <c r="AU7396" i="11"/>
  <c r="AV7396" i="11"/>
  <c r="AU7397" i="11"/>
  <c r="AV7397" i="11"/>
  <c r="AU7398" i="11"/>
  <c r="AV7398" i="11"/>
  <c r="AU7399" i="11"/>
  <c r="AV7399" i="11"/>
  <c r="V172" i="3" s="1"/>
  <c r="AU7400" i="11"/>
  <c r="AV7400" i="11"/>
  <c r="AU7401" i="11"/>
  <c r="AV7401" i="11"/>
  <c r="AU7402" i="11"/>
  <c r="AV7402" i="11"/>
  <c r="AU7403" i="11"/>
  <c r="AV7403" i="11"/>
  <c r="AU7404" i="11"/>
  <c r="AV7404" i="11"/>
  <c r="AU7405" i="11"/>
  <c r="AV7405" i="11"/>
  <c r="AU7406" i="11"/>
  <c r="AV7406" i="11"/>
  <c r="AU7407" i="11"/>
  <c r="AV7407" i="11"/>
  <c r="AU7408" i="11"/>
  <c r="AV7408" i="11"/>
  <c r="AU7409" i="11"/>
  <c r="AV7409" i="11"/>
  <c r="AU7410" i="11"/>
  <c r="AV7410" i="11"/>
  <c r="AU7411" i="11"/>
  <c r="AV7411" i="11"/>
  <c r="AU7412" i="11"/>
  <c r="AV7412" i="11"/>
  <c r="AU7413" i="11"/>
  <c r="AV7413" i="11"/>
  <c r="AU7414" i="11"/>
  <c r="AV7414" i="11"/>
  <c r="AU7415" i="11"/>
  <c r="AV7415" i="11"/>
  <c r="AU7416" i="11"/>
  <c r="AV7416" i="11"/>
  <c r="AU7417" i="11"/>
  <c r="AV7417" i="11"/>
  <c r="AU7418" i="11"/>
  <c r="AV7418" i="11"/>
  <c r="AU7419" i="11"/>
  <c r="AV7419" i="11"/>
  <c r="AU7420" i="11"/>
  <c r="AV7420" i="11"/>
  <c r="AU7421" i="11"/>
  <c r="AV7421" i="11"/>
  <c r="AU7422" i="11"/>
  <c r="AV7422" i="11"/>
  <c r="AU7423" i="11"/>
  <c r="AV7423" i="11"/>
  <c r="AU7424" i="11"/>
  <c r="AV7424" i="11"/>
  <c r="AU7425" i="11"/>
  <c r="AV7425" i="11"/>
  <c r="AU7426" i="11"/>
  <c r="AV7426" i="11"/>
  <c r="AU7427" i="11"/>
  <c r="AV7427" i="11"/>
  <c r="AU7428" i="11"/>
  <c r="AV7428" i="11"/>
  <c r="AU7429" i="11"/>
  <c r="AV7429" i="11"/>
  <c r="AU7430" i="11"/>
  <c r="AV7430" i="11"/>
  <c r="AU7431" i="11"/>
  <c r="AV7431" i="11"/>
  <c r="AU7432" i="11"/>
  <c r="AV7432" i="11"/>
  <c r="AU7433" i="11"/>
  <c r="AV7433" i="11"/>
  <c r="AU7434" i="11"/>
  <c r="AV7434" i="11"/>
  <c r="AU7435" i="11"/>
  <c r="AV7435" i="11"/>
  <c r="AU7436" i="11"/>
  <c r="AV7436" i="11"/>
  <c r="AU7437" i="11"/>
  <c r="AV7437" i="11"/>
  <c r="AU7438" i="11"/>
  <c r="AV7438" i="11"/>
  <c r="AU7439" i="11"/>
  <c r="AV7439" i="11"/>
  <c r="AU7440" i="11"/>
  <c r="AV7440" i="11"/>
  <c r="AU7441" i="11"/>
  <c r="AV7441" i="11"/>
  <c r="AU7442" i="11"/>
  <c r="AV7442" i="11"/>
  <c r="AU7443" i="11"/>
  <c r="AV7443" i="11"/>
  <c r="AU7444" i="11"/>
  <c r="AV7444" i="11"/>
  <c r="AU7445" i="11"/>
  <c r="AV7445" i="11"/>
  <c r="AU7446" i="11"/>
  <c r="AV7446" i="11"/>
  <c r="AU7447" i="11"/>
  <c r="AV7447" i="11"/>
  <c r="AU7448" i="11"/>
  <c r="AV7448" i="11"/>
  <c r="AU7449" i="11"/>
  <c r="AV7449" i="11"/>
  <c r="AU7450" i="11"/>
  <c r="AV7450" i="11"/>
  <c r="AU7451" i="11"/>
  <c r="AV7451" i="11"/>
  <c r="AU7452" i="11"/>
  <c r="AV7452" i="11"/>
  <c r="AU7453" i="11"/>
  <c r="AV7453" i="11"/>
  <c r="AU7454" i="11"/>
  <c r="AV7454" i="11"/>
  <c r="AU7455" i="11"/>
  <c r="AV7455" i="11"/>
  <c r="AU7456" i="11"/>
  <c r="AV7456" i="11"/>
  <c r="AU7457" i="11"/>
  <c r="AV7457" i="11"/>
  <c r="AU7458" i="11"/>
  <c r="AV7458" i="11"/>
  <c r="AU7459" i="11"/>
  <c r="AV7459" i="11"/>
  <c r="AU7460" i="11"/>
  <c r="AV7460" i="11"/>
  <c r="AU7461" i="11"/>
  <c r="AV7461" i="11"/>
  <c r="AU7462" i="11"/>
  <c r="AV7462" i="11"/>
  <c r="AU7463" i="11"/>
  <c r="AV7463" i="11"/>
  <c r="AU7464" i="11"/>
  <c r="AV7464" i="11"/>
  <c r="AU7465" i="11"/>
  <c r="AV7465" i="11"/>
  <c r="AU7466" i="11"/>
  <c r="AV7466" i="11"/>
  <c r="AU7467" i="11"/>
  <c r="AV7467" i="11"/>
  <c r="AU7468" i="11"/>
  <c r="AV7468" i="11"/>
  <c r="AU7469" i="11"/>
  <c r="AV7469" i="11"/>
  <c r="AU7470" i="11"/>
  <c r="AV7470" i="11"/>
  <c r="AU7471" i="11"/>
  <c r="AV7471" i="11"/>
  <c r="AU7472" i="11"/>
  <c r="AV7472" i="11"/>
  <c r="AU7473" i="11"/>
  <c r="AV7473" i="11"/>
  <c r="AU7474" i="11"/>
  <c r="AV7474" i="11"/>
  <c r="AU7475" i="11"/>
  <c r="AV7475" i="11"/>
  <c r="AU7476" i="11"/>
  <c r="AV7476" i="11"/>
  <c r="AU7477" i="11"/>
  <c r="AV7477" i="11"/>
  <c r="AU7478" i="11"/>
  <c r="AV7478" i="11"/>
  <c r="AU7479" i="11"/>
  <c r="AV7479" i="11"/>
  <c r="AU7480" i="11"/>
  <c r="AV7480" i="11"/>
  <c r="AU7481" i="11"/>
  <c r="AV7481" i="11"/>
  <c r="AU7482" i="11"/>
  <c r="AV7482" i="11"/>
  <c r="AU7483" i="11"/>
  <c r="AV7483" i="11"/>
  <c r="AU7484" i="11"/>
  <c r="AV7484" i="11"/>
  <c r="AU7485" i="11"/>
  <c r="AV7485" i="11"/>
  <c r="AU7486" i="11"/>
  <c r="AV7486" i="11"/>
  <c r="AU7487" i="11"/>
  <c r="AV7487" i="11"/>
  <c r="AU7488" i="11"/>
  <c r="AV7488" i="11"/>
  <c r="AU7489" i="11"/>
  <c r="AV7489" i="11"/>
  <c r="AU7490" i="11"/>
  <c r="AV7490" i="11"/>
  <c r="AU7491" i="11"/>
  <c r="AV7491" i="11"/>
  <c r="AU7492" i="11"/>
  <c r="AV7492" i="11"/>
  <c r="AU7493" i="11"/>
  <c r="AV7493" i="11"/>
  <c r="AU7494" i="11"/>
  <c r="AV7494" i="11"/>
  <c r="AU7495" i="11"/>
  <c r="AV7495" i="11"/>
  <c r="AU7496" i="11"/>
  <c r="AV7496" i="11"/>
  <c r="AU7497" i="11"/>
  <c r="AV7497" i="11"/>
  <c r="AU7498" i="11"/>
  <c r="AV7498" i="11"/>
  <c r="AU7499" i="11"/>
  <c r="AV7499" i="11"/>
  <c r="AU7500" i="11"/>
  <c r="AV7500" i="11"/>
  <c r="AU7501" i="11"/>
  <c r="AV7501" i="11"/>
  <c r="AU7502" i="11"/>
  <c r="AV7502" i="11"/>
  <c r="AU7503" i="11"/>
  <c r="AV7503" i="11"/>
  <c r="AU7504" i="11"/>
  <c r="AV7504" i="11"/>
  <c r="AU7505" i="11"/>
  <c r="AV7505" i="11"/>
  <c r="AU7506" i="11"/>
  <c r="AV7506" i="11"/>
  <c r="AU7507" i="11"/>
  <c r="AV7507" i="11"/>
  <c r="AU7508" i="11"/>
  <c r="AV7508" i="11"/>
  <c r="AU7509" i="11"/>
  <c r="AV7509" i="11"/>
  <c r="AU7510" i="11"/>
  <c r="AV7510" i="11"/>
  <c r="AU7511" i="11"/>
  <c r="AV7511" i="11"/>
  <c r="AU7512" i="11"/>
  <c r="AV7512" i="11"/>
  <c r="AU7513" i="11"/>
  <c r="AV7513" i="11"/>
  <c r="AA172" i="3" s="1"/>
  <c r="AU7514" i="11"/>
  <c r="AV7514" i="11"/>
  <c r="AU7515" i="11"/>
  <c r="AV7515" i="11"/>
  <c r="AU7516" i="11"/>
  <c r="AV7516" i="11"/>
  <c r="AU7517" i="11"/>
  <c r="AV7517" i="11"/>
  <c r="AU7518" i="11"/>
  <c r="AV7518" i="11"/>
  <c r="AU7519" i="11"/>
  <c r="AV7519" i="11"/>
  <c r="AU7520" i="11"/>
  <c r="AV7520" i="11"/>
  <c r="AU7521" i="11"/>
  <c r="AV7521" i="11"/>
  <c r="AU7522" i="11"/>
  <c r="AV7522" i="11"/>
  <c r="AU7523" i="11"/>
  <c r="AV7523" i="11"/>
  <c r="AU7524" i="11"/>
  <c r="AV7524" i="11"/>
  <c r="AU7525" i="11"/>
  <c r="AV7525" i="11"/>
  <c r="AU7526" i="11"/>
  <c r="AV7526" i="11"/>
  <c r="AV24" i="11"/>
  <c r="AU24" i="11"/>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J82" i="3"/>
  <c r="J83" i="3"/>
  <c r="J84" i="3"/>
  <c r="J85" i="3"/>
  <c r="J86" i="3"/>
  <c r="I86" i="3"/>
  <c r="I85" i="3"/>
  <c r="I84" i="3"/>
  <c r="I83" i="3"/>
  <c r="I82" i="3"/>
  <c r="I92" i="3"/>
  <c r="J92" i="3"/>
  <c r="K92" i="3"/>
  <c r="L92" i="3"/>
  <c r="M92" i="3"/>
  <c r="N92" i="3"/>
  <c r="O92" i="3"/>
  <c r="P92" i="3"/>
  <c r="Q92" i="3"/>
  <c r="R92" i="3"/>
  <c r="S92" i="3"/>
  <c r="U92" i="3"/>
  <c r="V92" i="3"/>
  <c r="W92" i="3"/>
  <c r="X92" i="3"/>
  <c r="Y92" i="3"/>
  <c r="Z92" i="3"/>
  <c r="AA92" i="3"/>
  <c r="AB92" i="3"/>
  <c r="AC92" i="3"/>
  <c r="AD92" i="3"/>
  <c r="AE92" i="3"/>
  <c r="AF92" i="3"/>
  <c r="AG92" i="3"/>
  <c r="AH92" i="3"/>
  <c r="AI92" i="3"/>
  <c r="AJ92" i="3"/>
  <c r="AK92" i="3"/>
  <c r="T92"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J97" i="3"/>
  <c r="J98" i="3"/>
  <c r="J99" i="3"/>
  <c r="J100" i="3"/>
  <c r="J101" i="3"/>
  <c r="J102" i="3"/>
  <c r="J103" i="3"/>
  <c r="J104" i="3"/>
  <c r="I104" i="3"/>
  <c r="I103" i="3"/>
  <c r="I102" i="3"/>
  <c r="I101" i="3"/>
  <c r="I100" i="3"/>
  <c r="I99" i="3"/>
  <c r="I98" i="3"/>
  <c r="I97" i="3"/>
  <c r="L89" i="3"/>
  <c r="M89" i="3"/>
  <c r="N89" i="3"/>
  <c r="O89" i="3"/>
  <c r="P89" i="3"/>
  <c r="Q89" i="3"/>
  <c r="R89" i="3"/>
  <c r="S89" i="3"/>
  <c r="T89" i="3"/>
  <c r="U89" i="3"/>
  <c r="V89" i="3"/>
  <c r="W89" i="3"/>
  <c r="X89" i="3"/>
  <c r="Y89" i="3"/>
  <c r="Z89" i="3"/>
  <c r="AA89" i="3"/>
  <c r="AB89" i="3"/>
  <c r="AC89" i="3"/>
  <c r="AD89" i="3"/>
  <c r="AE89" i="3"/>
  <c r="AF89" i="3"/>
  <c r="AG89" i="3"/>
  <c r="AH89" i="3"/>
  <c r="AI89" i="3"/>
  <c r="AJ89" i="3"/>
  <c r="AK89" i="3"/>
  <c r="K89" i="3"/>
  <c r="J89" i="3"/>
  <c r="I89"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I80" i="3"/>
  <c r="I79" i="3"/>
  <c r="I78" i="3"/>
  <c r="I77" i="3"/>
  <c r="I76" i="3"/>
  <c r="I75" i="3"/>
  <c r="U179" i="3" l="1"/>
  <c r="S179" i="3"/>
  <c r="M179" i="3"/>
  <c r="U159" i="3"/>
  <c r="S159" i="3"/>
  <c r="W179" i="3"/>
  <c r="T175" i="3"/>
  <c r="AD175" i="3"/>
  <c r="U178" i="3"/>
  <c r="T183" i="3"/>
  <c r="P179" i="3"/>
  <c r="R176" i="3"/>
  <c r="AD155" i="3"/>
  <c r="W159" i="3"/>
  <c r="U158" i="3"/>
  <c r="T163" i="3"/>
  <c r="P159" i="3"/>
  <c r="L183" i="3"/>
  <c r="J179" i="3"/>
  <c r="I183" i="3"/>
  <c r="U167" i="3"/>
  <c r="Q167" i="3"/>
  <c r="P167" i="3"/>
  <c r="S168" i="3"/>
  <c r="R167" i="3"/>
  <c r="M168" i="3"/>
  <c r="P166" i="3"/>
  <c r="O168" i="3"/>
  <c r="N168" i="3"/>
  <c r="P169" i="3"/>
  <c r="O166" i="3"/>
  <c r="M167" i="3"/>
  <c r="N167" i="3"/>
  <c r="L166" i="3"/>
  <c r="M169" i="3"/>
  <c r="L168" i="3"/>
  <c r="K169" i="3"/>
  <c r="K168" i="3"/>
  <c r="J169" i="3"/>
  <c r="I168" i="3"/>
  <c r="V163" i="3"/>
  <c r="T168" i="3"/>
  <c r="M159" i="3"/>
  <c r="AB183" i="3"/>
  <c r="AB172" i="3"/>
  <c r="AC172" i="3"/>
  <c r="X172" i="3"/>
  <c r="U172" i="3"/>
  <c r="P172" i="3"/>
  <c r="O172" i="3"/>
  <c r="AD186" i="3"/>
  <c r="AA179" i="3"/>
  <c r="AA185" i="3" s="1"/>
  <c r="AA188" i="3"/>
  <c r="Z183" i="3"/>
  <c r="Y183" i="3"/>
  <c r="X187" i="3"/>
  <c r="Y187" i="3"/>
  <c r="Z187" i="3"/>
  <c r="X189" i="3"/>
  <c r="I173" i="3"/>
  <c r="Z173" i="3"/>
  <c r="V173" i="3"/>
  <c r="T173" i="3"/>
  <c r="P173" i="3"/>
  <c r="AC183" i="3"/>
  <c r="N173" i="3"/>
  <c r="AC188" i="3"/>
  <c r="J173" i="3"/>
  <c r="AB180" i="3"/>
  <c r="AB189" i="3"/>
  <c r="AC180" i="3"/>
  <c r="AB181" i="3"/>
  <c r="Z172" i="3"/>
  <c r="Y172" i="3"/>
  <c r="W172" i="3"/>
  <c r="AA183" i="3"/>
  <c r="AA182" i="3"/>
  <c r="Z180" i="3"/>
  <c r="Y188" i="3"/>
  <c r="X183" i="3"/>
  <c r="X180" i="3"/>
  <c r="X188" i="3"/>
  <c r="X178" i="3"/>
  <c r="S173" i="3"/>
  <c r="AC173" i="3"/>
  <c r="AB173" i="3"/>
  <c r="AA173" i="3"/>
  <c r="Y173" i="3"/>
  <c r="AC187" i="3"/>
  <c r="W173" i="3"/>
  <c r="U173" i="3"/>
  <c r="Q173" i="3"/>
  <c r="O173" i="3"/>
  <c r="M173" i="3"/>
  <c r="L173" i="3"/>
  <c r="K173" i="3"/>
  <c r="AC182" i="3"/>
  <c r="AC181" i="3"/>
  <c r="AB188" i="3"/>
  <c r="AA180" i="3"/>
  <c r="AA187" i="3"/>
  <c r="AC186" i="3"/>
  <c r="AB187" i="3"/>
  <c r="Z182" i="3"/>
  <c r="Z179" i="3"/>
  <c r="AA189" i="3"/>
  <c r="Y178" i="3"/>
  <c r="AC185" i="3"/>
  <c r="Y181" i="3"/>
  <c r="Y182" i="3"/>
  <c r="Y180" i="3"/>
  <c r="X174" i="3"/>
  <c r="T174" i="3"/>
  <c r="P174" i="3"/>
  <c r="L174" i="3"/>
  <c r="X182" i="3"/>
  <c r="Z174" i="3"/>
  <c r="AB174" i="3"/>
  <c r="S174" i="3"/>
  <c r="X186" i="3"/>
  <c r="W188" i="3"/>
  <c r="R175" i="3"/>
  <c r="Y175" i="3"/>
  <c r="AB186" i="3"/>
  <c r="AC189" i="3"/>
  <c r="AA178" i="3"/>
  <c r="AA181" i="3"/>
  <c r="AB182" i="3"/>
  <c r="AB179" i="3"/>
  <c r="AB185" i="3" s="1"/>
  <c r="Z189" i="3"/>
  <c r="Y185" i="3"/>
  <c r="O174" i="3"/>
  <c r="N174" i="3"/>
  <c r="Y189" i="3"/>
  <c r="Z178" i="3"/>
  <c r="X181" i="3"/>
  <c r="X185" i="3"/>
  <c r="J174" i="3"/>
  <c r="I174" i="3"/>
  <c r="AC174" i="3"/>
  <c r="AA174" i="3"/>
  <c r="Y174" i="3"/>
  <c r="U174" i="3"/>
  <c r="V174" i="3"/>
  <c r="W174" i="3"/>
  <c r="R174" i="3"/>
  <c r="Q174" i="3"/>
  <c r="M174" i="3"/>
  <c r="K174" i="3"/>
  <c r="W180" i="3"/>
  <c r="V179" i="3"/>
  <c r="X175" i="3"/>
  <c r="Y186" i="3"/>
  <c r="S175" i="3"/>
  <c r="Z175" i="3"/>
  <c r="AA175" i="3"/>
  <c r="O175" i="3"/>
  <c r="V188" i="3"/>
  <c r="W187" i="3"/>
  <c r="K175" i="3"/>
  <c r="W175" i="3"/>
  <c r="V180" i="3"/>
  <c r="U187" i="3"/>
  <c r="U180" i="3"/>
  <c r="V182" i="3"/>
  <c r="S181" i="3"/>
  <c r="T185" i="3"/>
  <c r="W185" i="3"/>
  <c r="T182" i="3"/>
  <c r="R180" i="3"/>
  <c r="AB176" i="3"/>
  <c r="AC176" i="3"/>
  <c r="Z176" i="3"/>
  <c r="Y176" i="3"/>
  <c r="X176" i="3"/>
  <c r="W176" i="3"/>
  <c r="V176" i="3"/>
  <c r="S182" i="3"/>
  <c r="P183" i="3"/>
  <c r="U176" i="3"/>
  <c r="T176" i="3"/>
  <c r="R182" i="3"/>
  <c r="S185" i="3"/>
  <c r="P181" i="3"/>
  <c r="Z188" i="3"/>
  <c r="O176" i="3"/>
  <c r="Q187" i="3"/>
  <c r="P182" i="3"/>
  <c r="P187" i="3"/>
  <c r="S188" i="3"/>
  <c r="O179" i="3"/>
  <c r="Z185" i="3"/>
  <c r="Z181" i="3"/>
  <c r="R187" i="3"/>
  <c r="P185" i="3"/>
  <c r="O188" i="3"/>
  <c r="P189" i="3"/>
  <c r="N187" i="3"/>
  <c r="Q189" i="3"/>
  <c r="M189" i="3"/>
  <c r="L188" i="3"/>
  <c r="K188" i="3"/>
  <c r="I188" i="3"/>
  <c r="P188" i="3"/>
  <c r="M186" i="3"/>
  <c r="L189" i="3"/>
  <c r="I187" i="3"/>
  <c r="Q186" i="3"/>
  <c r="I181" i="3"/>
  <c r="AD166" i="3"/>
  <c r="AA168" i="3"/>
  <c r="X167" i="3"/>
  <c r="Y167" i="3"/>
  <c r="Z167" i="3"/>
  <c r="X169" i="3"/>
  <c r="AC168" i="3"/>
  <c r="AB169" i="3"/>
  <c r="AB166" i="3"/>
  <c r="AC169" i="3"/>
  <c r="Z169" i="3"/>
  <c r="Y169" i="3"/>
  <c r="Y166" i="3"/>
  <c r="V168" i="3"/>
  <c r="W167" i="3"/>
  <c r="Z168" i="3"/>
  <c r="Q169" i="3"/>
  <c r="L167" i="3"/>
  <c r="P168" i="3"/>
  <c r="M166" i="3"/>
  <c r="L169" i="3"/>
  <c r="I167" i="3"/>
  <c r="AA166" i="3"/>
  <c r="Q166" i="3"/>
  <c r="W166" i="3"/>
  <c r="I166" i="3"/>
  <c r="AC178" i="3"/>
  <c r="V178" i="3"/>
  <c r="U175" i="3"/>
  <c r="W183" i="3"/>
  <c r="P175" i="3"/>
  <c r="AC175" i="3"/>
  <c r="AB175" i="3"/>
  <c r="V175" i="3"/>
  <c r="V187" i="3"/>
  <c r="N175" i="3"/>
  <c r="W182" i="3"/>
  <c r="V181" i="3"/>
  <c r="I175" i="3"/>
  <c r="U188" i="3"/>
  <c r="U183" i="3"/>
  <c r="W178" i="3"/>
  <c r="W181" i="3"/>
  <c r="W189" i="3"/>
  <c r="V189" i="3"/>
  <c r="U185" i="3"/>
  <c r="U181" i="3"/>
  <c r="S180" i="3"/>
  <c r="T180" i="3"/>
  <c r="V185" i="3"/>
  <c r="T186" i="3"/>
  <c r="V186" i="3"/>
  <c r="R181" i="3"/>
  <c r="T189" i="3"/>
  <c r="U189" i="3"/>
  <c r="T187" i="3"/>
  <c r="U182" i="3"/>
  <c r="S178" i="3"/>
  <c r="U186" i="3"/>
  <c r="AA176" i="3"/>
  <c r="T188" i="3"/>
  <c r="R178" i="3"/>
  <c r="Q183" i="3"/>
  <c r="S176" i="3"/>
  <c r="Q178" i="3"/>
  <c r="S187" i="3"/>
  <c r="S189" i="3"/>
  <c r="O180" i="3"/>
  <c r="N176" i="3"/>
  <c r="R185" i="3"/>
  <c r="R189" i="3"/>
  <c r="R188" i="3"/>
  <c r="P180" i="3"/>
  <c r="Q176" i="3"/>
  <c r="O182" i="3"/>
  <c r="L185" i="3"/>
  <c r="W177" i="3"/>
  <c r="K176" i="3"/>
  <c r="L178" i="3"/>
  <c r="L176" i="3"/>
  <c r="M180" i="3"/>
  <c r="L180" i="3"/>
  <c r="L181" i="3"/>
  <c r="M176" i="3"/>
  <c r="N186" i="3"/>
  <c r="P178" i="3"/>
  <c r="R186" i="3"/>
  <c r="O187" i="3"/>
  <c r="N180" i="3"/>
  <c r="M181" i="3"/>
  <c r="K177" i="3"/>
  <c r="N189" i="3"/>
  <c r="J178" i="3"/>
  <c r="J175" i="3"/>
  <c r="AB177" i="3"/>
  <c r="K179" i="3"/>
  <c r="K185" i="3" s="1"/>
  <c r="AC177" i="3"/>
  <c r="K181" i="3"/>
  <c r="M185" i="3"/>
  <c r="Q185" i="3"/>
  <c r="O189" i="3"/>
  <c r="Z177" i="3"/>
  <c r="Q181" i="3"/>
  <c r="X177" i="3"/>
  <c r="U177" i="3"/>
  <c r="T177" i="3"/>
  <c r="J188" i="3"/>
  <c r="S177" i="3"/>
  <c r="K186" i="3"/>
  <c r="N177" i="3"/>
  <c r="K187" i="3"/>
  <c r="M177" i="3"/>
  <c r="J186" i="3"/>
  <c r="Q188" i="3"/>
  <c r="I178" i="3"/>
  <c r="J183" i="3"/>
  <c r="L182" i="3"/>
  <c r="J187" i="3"/>
  <c r="J181" i="3"/>
  <c r="I177" i="3"/>
  <c r="Z186" i="3"/>
  <c r="I189" i="3"/>
  <c r="J185" i="3"/>
  <c r="I182" i="3"/>
  <c r="S186" i="3"/>
  <c r="X173" i="3"/>
  <c r="Y168" i="3"/>
  <c r="Y165" i="3"/>
  <c r="X168" i="3"/>
  <c r="AC167" i="3"/>
  <c r="AB168" i="3"/>
  <c r="AA167" i="3"/>
  <c r="AC166" i="3"/>
  <c r="AB167" i="3"/>
  <c r="AA169" i="3"/>
  <c r="X166" i="3"/>
  <c r="W168" i="3"/>
  <c r="U165" i="3"/>
  <c r="V167" i="3"/>
  <c r="U168" i="3"/>
  <c r="W169" i="3"/>
  <c r="S165" i="3"/>
  <c r="V169" i="3"/>
  <c r="R165" i="3"/>
  <c r="T166" i="3"/>
  <c r="V166" i="3"/>
  <c r="T169" i="3"/>
  <c r="U169" i="3"/>
  <c r="T167" i="3"/>
  <c r="U166" i="3"/>
  <c r="S167" i="3"/>
  <c r="S169" i="3"/>
  <c r="N165" i="3"/>
  <c r="M165" i="3"/>
  <c r="R169" i="3"/>
  <c r="R168" i="3"/>
  <c r="L165" i="3"/>
  <c r="N166" i="3"/>
  <c r="R166" i="3"/>
  <c r="O167" i="3"/>
  <c r="N169" i="3"/>
  <c r="O169" i="3"/>
  <c r="J168" i="3"/>
  <c r="K166" i="3"/>
  <c r="K167" i="3"/>
  <c r="J166" i="3"/>
  <c r="Q168" i="3"/>
  <c r="J167" i="3"/>
  <c r="Z166" i="3"/>
  <c r="I169" i="3"/>
  <c r="S166" i="3"/>
  <c r="W165" i="3"/>
  <c r="P165" i="3"/>
  <c r="I165" i="3"/>
  <c r="AC165" i="3"/>
  <c r="I185" i="3"/>
  <c r="X165" i="3"/>
  <c r="T165" i="3"/>
  <c r="O181" i="3"/>
  <c r="Q182" i="3"/>
  <c r="P176" i="3"/>
  <c r="O178" i="3"/>
  <c r="Q180" i="3"/>
  <c r="O183" i="3"/>
  <c r="M175" i="3"/>
  <c r="N181" i="3"/>
  <c r="M182" i="3"/>
  <c r="M188" i="3"/>
  <c r="N183" i="3"/>
  <c r="M178" i="3"/>
  <c r="M183" i="3"/>
  <c r="P186" i="3"/>
  <c r="P177" i="3"/>
  <c r="N182" i="3"/>
  <c r="T181" i="3"/>
  <c r="N185" i="3"/>
  <c r="N188" i="3"/>
  <c r="O186" i="3"/>
  <c r="M187" i="3"/>
  <c r="O185" i="3"/>
  <c r="J176" i="3"/>
  <c r="J180" i="3"/>
  <c r="K178" i="3"/>
  <c r="Y177" i="3"/>
  <c r="L186" i="3"/>
  <c r="K189" i="3"/>
  <c r="AA177" i="3"/>
  <c r="K180" i="3"/>
  <c r="V177" i="3"/>
  <c r="L187" i="3"/>
  <c r="R177" i="3"/>
  <c r="Q177" i="3"/>
  <c r="O177" i="3"/>
  <c r="I176" i="3"/>
  <c r="J189" i="3"/>
  <c r="L177" i="3"/>
  <c r="J177" i="3"/>
  <c r="I180" i="3"/>
  <c r="J182" i="3"/>
  <c r="N178" i="3"/>
  <c r="AA186" i="3"/>
  <c r="W186" i="3"/>
  <c r="I186" i="3"/>
  <c r="K182" i="3"/>
  <c r="Q165" i="3"/>
  <c r="AF150" i="3"/>
  <c r="AK150" i="3"/>
  <c r="AG150" i="3"/>
  <c r="AJ150" i="3"/>
  <c r="AI150" i="3"/>
  <c r="AE150" i="3"/>
  <c r="AH150" i="3"/>
  <c r="AD150" i="3"/>
  <c r="AA152" i="3"/>
  <c r="K163" i="3"/>
  <c r="T155" i="3"/>
  <c r="N152" i="3"/>
  <c r="M152" i="3"/>
  <c r="J152" i="3"/>
  <c r="I160" i="3"/>
  <c r="V152" i="3"/>
  <c r="R153" i="3"/>
  <c r="R156" i="3"/>
  <c r="L155" i="3"/>
  <c r="Q163" i="3"/>
  <c r="O162" i="3"/>
  <c r="K155" i="3"/>
  <c r="I156" i="3"/>
  <c r="S162" i="3"/>
  <c r="M163" i="3"/>
  <c r="J159" i="3"/>
  <c r="J165" i="3" s="1"/>
  <c r="I163" i="3"/>
  <c r="K159" i="3"/>
  <c r="K165" i="3" s="1"/>
  <c r="J155" i="3"/>
  <c r="J163" i="3"/>
  <c r="AB163" i="3"/>
  <c r="AA159" i="3"/>
  <c r="AA165" i="3" s="1"/>
  <c r="Z163" i="3"/>
  <c r="Y163" i="3"/>
  <c r="AC163" i="3"/>
  <c r="AB160" i="3"/>
  <c r="AC156" i="3"/>
  <c r="AC157" i="3"/>
  <c r="AC160" i="3"/>
  <c r="AA158" i="3"/>
  <c r="AA161" i="3"/>
  <c r="AB156" i="3"/>
  <c r="AB162" i="3"/>
  <c r="AB159" i="3"/>
  <c r="AB165" i="3" s="1"/>
  <c r="Z152" i="3"/>
  <c r="AB154" i="3"/>
  <c r="AB157" i="3"/>
  <c r="AB161" i="3"/>
  <c r="AA163" i="3"/>
  <c r="AA162" i="3"/>
  <c r="Z160" i="3"/>
  <c r="X163" i="3"/>
  <c r="X160" i="3"/>
  <c r="X158" i="3"/>
  <c r="AC162" i="3"/>
  <c r="AC161" i="3"/>
  <c r="AC152" i="3"/>
  <c r="AC155" i="3"/>
  <c r="AA160" i="3"/>
  <c r="AB152" i="3"/>
  <c r="Z162" i="3"/>
  <c r="AC153" i="3"/>
  <c r="Z159" i="3"/>
  <c r="Z165" i="3" s="1"/>
  <c r="Z156" i="3"/>
  <c r="AB153" i="3"/>
  <c r="Y158" i="3"/>
  <c r="Y152" i="3"/>
  <c r="Y154" i="3"/>
  <c r="Y157" i="3"/>
  <c r="Y161" i="3"/>
  <c r="Y162" i="3"/>
  <c r="Z154" i="3"/>
  <c r="Y160" i="3"/>
  <c r="AA153" i="3"/>
  <c r="AA157" i="3"/>
  <c r="X162" i="3"/>
  <c r="X157" i="3"/>
  <c r="X156" i="3"/>
  <c r="W152" i="3"/>
  <c r="Z157" i="3"/>
  <c r="W156" i="3"/>
  <c r="W162" i="3"/>
  <c r="U163" i="3"/>
  <c r="Y156" i="3"/>
  <c r="Z155" i="3"/>
  <c r="Y155" i="3"/>
  <c r="AA154" i="3"/>
  <c r="AA155" i="3"/>
  <c r="X152" i="3"/>
  <c r="X155" i="3"/>
  <c r="Z158" i="3"/>
  <c r="X161" i="3"/>
  <c r="AA156" i="3"/>
  <c r="X154" i="3"/>
  <c r="W160" i="3"/>
  <c r="W157" i="3"/>
  <c r="V159" i="3"/>
  <c r="V165" i="3" s="1"/>
  <c r="V153" i="3"/>
  <c r="W153" i="3"/>
  <c r="V154" i="3"/>
  <c r="W155" i="3"/>
  <c r="W154" i="3"/>
  <c r="U156" i="3"/>
  <c r="T153" i="3"/>
  <c r="V160" i="3"/>
  <c r="T157" i="3"/>
  <c r="T156" i="3"/>
  <c r="U160" i="3"/>
  <c r="S156" i="3"/>
  <c r="S157" i="3"/>
  <c r="S153" i="3"/>
  <c r="S154" i="3"/>
  <c r="V162" i="3"/>
  <c r="S161" i="3"/>
  <c r="R154" i="3"/>
  <c r="R157" i="3"/>
  <c r="T162" i="3"/>
  <c r="R160" i="3"/>
  <c r="Q157" i="3"/>
  <c r="P153" i="3"/>
  <c r="P154" i="3"/>
  <c r="P163" i="3"/>
  <c r="R162" i="3"/>
  <c r="P161" i="3"/>
  <c r="O155" i="3"/>
  <c r="O153" i="3"/>
  <c r="O156" i="3"/>
  <c r="P162" i="3"/>
  <c r="N154" i="3"/>
  <c r="O159" i="3"/>
  <c r="O165" i="3" s="1"/>
  <c r="N157" i="3"/>
  <c r="Z161" i="3"/>
  <c r="N155" i="3"/>
  <c r="O161" i="3"/>
  <c r="Q162" i="3"/>
  <c r="P156" i="3"/>
  <c r="O158" i="3"/>
  <c r="Q160" i="3"/>
  <c r="O163" i="3"/>
  <c r="M154" i="3"/>
  <c r="M155" i="3"/>
  <c r="N161" i="3"/>
  <c r="M162" i="3"/>
  <c r="L153" i="3"/>
  <c r="N163" i="3"/>
  <c r="M158" i="3"/>
  <c r="L154" i="3"/>
  <c r="L163" i="3"/>
  <c r="N162" i="3"/>
  <c r="T161" i="3"/>
  <c r="K158" i="3"/>
  <c r="J162" i="3"/>
  <c r="N158" i="3"/>
  <c r="I153" i="3"/>
  <c r="K162" i="3"/>
  <c r="I161" i="3"/>
  <c r="AC158" i="3"/>
  <c r="V158" i="3"/>
  <c r="V156" i="3"/>
  <c r="W163" i="3"/>
  <c r="V155" i="3"/>
  <c r="U152" i="3"/>
  <c r="U157" i="3"/>
  <c r="V161" i="3"/>
  <c r="U154" i="3"/>
  <c r="U153" i="3"/>
  <c r="T154" i="3"/>
  <c r="W158" i="3"/>
  <c r="W161" i="3"/>
  <c r="S155" i="3"/>
  <c r="U161" i="3"/>
  <c r="S160" i="3"/>
  <c r="T160" i="3"/>
  <c r="R161" i="3"/>
  <c r="Q153" i="3"/>
  <c r="U162" i="3"/>
  <c r="S158" i="3"/>
  <c r="P155" i="3"/>
  <c r="P157" i="3"/>
  <c r="P152" i="3"/>
  <c r="R158" i="3"/>
  <c r="Q158" i="3"/>
  <c r="O152" i="3"/>
  <c r="O157" i="3"/>
  <c r="O154" i="3"/>
  <c r="O160" i="3"/>
  <c r="N156" i="3"/>
  <c r="P160" i="3"/>
  <c r="Q156" i="3"/>
  <c r="M153" i="3"/>
  <c r="K156" i="3"/>
  <c r="L158" i="3"/>
  <c r="L156" i="3"/>
  <c r="M160" i="3"/>
  <c r="L160" i="3"/>
  <c r="K153" i="3"/>
  <c r="L161" i="3"/>
  <c r="M156" i="3"/>
  <c r="P158" i="3"/>
  <c r="K157" i="3"/>
  <c r="N160" i="3"/>
  <c r="M161" i="3"/>
  <c r="K160" i="3"/>
  <c r="J158" i="3"/>
  <c r="J160" i="3"/>
  <c r="J153" i="3"/>
  <c r="J157" i="3"/>
  <c r="J154" i="3"/>
  <c r="K161" i="3"/>
  <c r="Q161" i="3"/>
  <c r="I158" i="3"/>
  <c r="L162" i="3"/>
  <c r="J161" i="3"/>
  <c r="I154" i="3"/>
  <c r="I155" i="3"/>
  <c r="I162" i="3"/>
  <c r="I157" i="3"/>
  <c r="K154" i="3"/>
  <c r="L157" i="3"/>
  <c r="AB155" i="3"/>
  <c r="X153" i="3"/>
  <c r="AC154" i="3"/>
  <c r="Q154" i="3"/>
  <c r="J156" i="3"/>
  <c r="V157" i="3"/>
  <c r="R155" i="3"/>
  <c r="Z153" i="3"/>
  <c r="N153" i="3"/>
  <c r="M157" i="3"/>
  <c r="U155" i="3"/>
  <c r="Y153" i="3"/>
  <c r="AC1018" i="3"/>
  <c r="I184" i="3" l="1"/>
  <c r="I150" i="3"/>
  <c r="R150" i="3"/>
  <c r="K150" i="3"/>
  <c r="P150" i="3"/>
  <c r="T150" i="3"/>
  <c r="L150" i="3"/>
  <c r="AB150" i="3"/>
  <c r="V150" i="3"/>
  <c r="N150" i="3"/>
  <c r="O150" i="3"/>
  <c r="Q150" i="3"/>
  <c r="S150" i="3"/>
  <c r="W150" i="3"/>
  <c r="Y150" i="3"/>
  <c r="U150" i="3"/>
  <c r="J150" i="3"/>
  <c r="X150" i="3"/>
  <c r="AC150" i="3"/>
  <c r="Z150" i="3"/>
  <c r="M150" i="3"/>
  <c r="AA150" i="3"/>
  <c r="AC999" i="3"/>
  <c r="Z545" i="3" l="1"/>
  <c r="Z533" i="3" s="1"/>
  <c r="Z401" i="4" s="1"/>
  <c r="Y545" i="3"/>
  <c r="X545" i="3"/>
  <c r="X533" i="3" s="1"/>
  <c r="W545" i="3"/>
  <c r="W533" i="3" s="1"/>
  <c r="W401" i="4" s="1"/>
  <c r="V545" i="3"/>
  <c r="V533" i="3" s="1"/>
  <c r="U545" i="3"/>
  <c r="T545" i="3"/>
  <c r="T533" i="3" s="1"/>
  <c r="S545" i="3"/>
  <c r="S533" i="3" s="1"/>
  <c r="S401" i="4" s="1"/>
  <c r="R545" i="3"/>
  <c r="R533" i="3" s="1"/>
  <c r="Q545" i="3"/>
  <c r="P545" i="3"/>
  <c r="P533" i="3" s="1"/>
  <c r="O545" i="3"/>
  <c r="O533" i="3" s="1"/>
  <c r="O401" i="4" s="1"/>
  <c r="N545" i="3"/>
  <c r="N533" i="3" s="1"/>
  <c r="N401" i="4" s="1"/>
  <c r="M545" i="3"/>
  <c r="L545" i="3"/>
  <c r="L533" i="3" s="1"/>
  <c r="K545" i="3"/>
  <c r="K533" i="3" s="1"/>
  <c r="K401" i="4" s="1"/>
  <c r="J545" i="3"/>
  <c r="J533" i="3" s="1"/>
  <c r="J401" i="4" s="1"/>
  <c r="I545" i="3"/>
  <c r="AA545" i="3"/>
  <c r="AA571" i="3"/>
  <c r="AA423" i="4" s="1"/>
  <c r="AA558" i="3"/>
  <c r="AA546" i="3"/>
  <c r="AA533" i="3"/>
  <c r="AD403" i="3"/>
  <c r="AD1452" i="4" s="1"/>
  <c r="AC386" i="3" a="1"/>
  <c r="AC386" i="3" s="1"/>
  <c r="AC387" i="3" a="1"/>
  <c r="AC387" i="3" s="1"/>
  <c r="AC1383" i="4" s="1"/>
  <c r="AC385" i="3" a="1"/>
  <c r="AC385" i="3" s="1"/>
  <c r="M58" i="8"/>
  <c r="L56" i="8"/>
  <c r="L55" i="8"/>
  <c r="M53" i="8"/>
  <c r="L53" i="8"/>
  <c r="L52" i="8"/>
  <c r="M51" i="8"/>
  <c r="L51" i="8"/>
  <c r="M50" i="8"/>
  <c r="L50" i="8"/>
  <c r="L49" i="8"/>
  <c r="L41" i="8"/>
  <c r="L40" i="8"/>
  <c r="L39" i="8"/>
  <c r="L38" i="8"/>
  <c r="L37" i="8"/>
  <c r="L36" i="8"/>
  <c r="T286" i="2"/>
  <c r="S286" i="2"/>
  <c r="R286" i="2"/>
  <c r="G286" i="2"/>
  <c r="T285" i="2"/>
  <c r="S285" i="2"/>
  <c r="R285" i="2"/>
  <c r="G285" i="2"/>
  <c r="T284" i="2"/>
  <c r="S284" i="2"/>
  <c r="R284" i="2"/>
  <c r="G284" i="2"/>
  <c r="T283" i="2"/>
  <c r="S283" i="2"/>
  <c r="R283" i="2"/>
  <c r="G283" i="2"/>
  <c r="T282" i="2"/>
  <c r="S282" i="2"/>
  <c r="R282" i="2"/>
  <c r="G282" i="2"/>
  <c r="T281" i="2"/>
  <c r="S281" i="2"/>
  <c r="R281" i="2"/>
  <c r="G281" i="2"/>
  <c r="T280" i="2"/>
  <c r="S280" i="2"/>
  <c r="R280" i="2"/>
  <c r="G280" i="2"/>
  <c r="T279" i="2"/>
  <c r="S279" i="2"/>
  <c r="R279" i="2"/>
  <c r="G279" i="2"/>
  <c r="T278" i="2"/>
  <c r="S278" i="2"/>
  <c r="R278" i="2"/>
  <c r="G278" i="2"/>
  <c r="T277" i="2"/>
  <c r="S277" i="2"/>
  <c r="R277" i="2"/>
  <c r="G277" i="2"/>
  <c r="T276" i="2"/>
  <c r="S276" i="2"/>
  <c r="R276" i="2"/>
  <c r="G276" i="2"/>
  <c r="T275" i="2"/>
  <c r="S275" i="2"/>
  <c r="R275" i="2"/>
  <c r="G275" i="2"/>
  <c r="T274" i="2"/>
  <c r="S274" i="2"/>
  <c r="R274" i="2"/>
  <c r="G274" i="2"/>
  <c r="T273" i="2"/>
  <c r="S273" i="2"/>
  <c r="R273" i="2"/>
  <c r="G273" i="2"/>
  <c r="T272" i="2"/>
  <c r="S272" i="2"/>
  <c r="R272" i="2"/>
  <c r="G272" i="2"/>
  <c r="T271" i="2"/>
  <c r="S271" i="2"/>
  <c r="R271" i="2"/>
  <c r="G271" i="2"/>
  <c r="T270" i="2"/>
  <c r="S270" i="2"/>
  <c r="R270" i="2"/>
  <c r="G270" i="2"/>
  <c r="T269" i="2"/>
  <c r="S269" i="2"/>
  <c r="R269" i="2"/>
  <c r="G269" i="2"/>
  <c r="T268" i="2"/>
  <c r="S268" i="2"/>
  <c r="R268" i="2"/>
  <c r="G268" i="2"/>
  <c r="T267" i="2"/>
  <c r="S267" i="2"/>
  <c r="R267" i="2"/>
  <c r="G267" i="2"/>
  <c r="T266" i="2"/>
  <c r="S266" i="2"/>
  <c r="R266" i="2"/>
  <c r="G266" i="2"/>
  <c r="T265" i="2"/>
  <c r="S265" i="2"/>
  <c r="R265" i="2"/>
  <c r="G265" i="2"/>
  <c r="T264" i="2"/>
  <c r="S264" i="2"/>
  <c r="R264" i="2"/>
  <c r="G264" i="2"/>
  <c r="T263" i="2"/>
  <c r="S263" i="2"/>
  <c r="R263" i="2"/>
  <c r="G263" i="2"/>
  <c r="T262" i="2"/>
  <c r="S262" i="2"/>
  <c r="R262" i="2"/>
  <c r="G262" i="2"/>
  <c r="T261" i="2"/>
  <c r="S261" i="2"/>
  <c r="R261" i="2"/>
  <c r="G261" i="2"/>
  <c r="T260" i="2"/>
  <c r="S260" i="2"/>
  <c r="R260" i="2"/>
  <c r="G260" i="2"/>
  <c r="T259" i="2"/>
  <c r="S259" i="2"/>
  <c r="R259" i="2"/>
  <c r="G259" i="2"/>
  <c r="T258" i="2"/>
  <c r="S258" i="2"/>
  <c r="R258" i="2"/>
  <c r="G258" i="2"/>
  <c r="T257" i="2"/>
  <c r="S257" i="2"/>
  <c r="R257" i="2"/>
  <c r="G257" i="2"/>
  <c r="T256" i="2"/>
  <c r="S256" i="2"/>
  <c r="R256" i="2"/>
  <c r="G256" i="2"/>
  <c r="T255" i="2"/>
  <c r="S255" i="2"/>
  <c r="R255" i="2"/>
  <c r="G255" i="2"/>
  <c r="T254" i="2"/>
  <c r="S254" i="2"/>
  <c r="R254" i="2"/>
  <c r="G254" i="2"/>
  <c r="T253" i="2"/>
  <c r="S253" i="2"/>
  <c r="R253" i="2"/>
  <c r="G253" i="2"/>
  <c r="T252" i="2"/>
  <c r="S252" i="2"/>
  <c r="R252" i="2"/>
  <c r="G252" i="2"/>
  <c r="T251" i="2"/>
  <c r="S251" i="2"/>
  <c r="R251" i="2"/>
  <c r="G251" i="2"/>
  <c r="T250" i="2"/>
  <c r="S250" i="2"/>
  <c r="R250" i="2"/>
  <c r="G250" i="2"/>
  <c r="T249" i="2"/>
  <c r="S249" i="2"/>
  <c r="R249" i="2"/>
  <c r="G249" i="2"/>
  <c r="T248" i="2"/>
  <c r="S248" i="2"/>
  <c r="R248" i="2"/>
  <c r="G248" i="2"/>
  <c r="T247" i="2"/>
  <c r="S247" i="2"/>
  <c r="R247" i="2"/>
  <c r="G247" i="2"/>
  <c r="T246" i="2"/>
  <c r="S246" i="2"/>
  <c r="R246" i="2"/>
  <c r="G246" i="2"/>
  <c r="T245" i="2"/>
  <c r="S245" i="2"/>
  <c r="R245" i="2"/>
  <c r="G245" i="2"/>
  <c r="T244" i="2"/>
  <c r="S244" i="2"/>
  <c r="R244" i="2"/>
  <c r="G244" i="2"/>
  <c r="T243" i="2"/>
  <c r="S243" i="2"/>
  <c r="R243" i="2"/>
  <c r="G243" i="2"/>
  <c r="T242" i="2"/>
  <c r="S242" i="2"/>
  <c r="R242" i="2"/>
  <c r="G242" i="2"/>
  <c r="T241" i="2"/>
  <c r="S241" i="2"/>
  <c r="R241" i="2"/>
  <c r="G241" i="2"/>
  <c r="T240" i="2"/>
  <c r="S240" i="2"/>
  <c r="R240" i="2"/>
  <c r="G240" i="2"/>
  <c r="T239" i="2"/>
  <c r="S239" i="2"/>
  <c r="R239" i="2"/>
  <c r="G239" i="2"/>
  <c r="T238" i="2"/>
  <c r="S238" i="2"/>
  <c r="R238" i="2"/>
  <c r="G238" i="2"/>
  <c r="T237" i="2"/>
  <c r="S237" i="2"/>
  <c r="R237" i="2"/>
  <c r="G237" i="2"/>
  <c r="T236" i="2"/>
  <c r="S236" i="2"/>
  <c r="R236" i="2"/>
  <c r="G236" i="2"/>
  <c r="T235" i="2"/>
  <c r="S235" i="2"/>
  <c r="R235" i="2"/>
  <c r="G235" i="2"/>
  <c r="T234" i="2"/>
  <c r="S234" i="2"/>
  <c r="R234" i="2"/>
  <c r="G234" i="2"/>
  <c r="T233" i="2"/>
  <c r="S233" i="2"/>
  <c r="R233" i="2"/>
  <c r="G233" i="2"/>
  <c r="T232" i="2"/>
  <c r="S232" i="2"/>
  <c r="R232" i="2"/>
  <c r="G232" i="2"/>
  <c r="T231" i="2"/>
  <c r="S231" i="2"/>
  <c r="R231" i="2"/>
  <c r="G231" i="2"/>
  <c r="T230" i="2"/>
  <c r="S230" i="2"/>
  <c r="R230" i="2"/>
  <c r="G230" i="2"/>
  <c r="T229" i="2"/>
  <c r="S229" i="2"/>
  <c r="R229" i="2"/>
  <c r="G229" i="2"/>
  <c r="T228" i="2"/>
  <c r="S228" i="2"/>
  <c r="R228" i="2"/>
  <c r="G228" i="2"/>
  <c r="T227" i="2"/>
  <c r="S227" i="2"/>
  <c r="R227" i="2"/>
  <c r="G227" i="2"/>
  <c r="T226" i="2"/>
  <c r="S226" i="2"/>
  <c r="R226" i="2"/>
  <c r="G226" i="2"/>
  <c r="T225" i="2"/>
  <c r="S225" i="2"/>
  <c r="R225" i="2"/>
  <c r="G225" i="2"/>
  <c r="T224" i="2"/>
  <c r="S224" i="2"/>
  <c r="R224" i="2"/>
  <c r="G224" i="2"/>
  <c r="T223" i="2"/>
  <c r="S223" i="2"/>
  <c r="R223" i="2"/>
  <c r="G223" i="2"/>
  <c r="T222" i="2"/>
  <c r="S222" i="2"/>
  <c r="R222" i="2"/>
  <c r="G222" i="2"/>
  <c r="T221" i="2"/>
  <c r="S221" i="2"/>
  <c r="R221" i="2"/>
  <c r="G221" i="2"/>
  <c r="T220" i="2"/>
  <c r="S220" i="2"/>
  <c r="R220" i="2"/>
  <c r="G220" i="2"/>
  <c r="T219" i="2"/>
  <c r="S219" i="2"/>
  <c r="R219" i="2"/>
  <c r="G219" i="2"/>
  <c r="T218" i="2"/>
  <c r="S218" i="2"/>
  <c r="R218" i="2"/>
  <c r="G218" i="2"/>
  <c r="T217" i="2"/>
  <c r="S217" i="2"/>
  <c r="R217" i="2"/>
  <c r="G217" i="2"/>
  <c r="T216" i="2"/>
  <c r="S216" i="2"/>
  <c r="R216" i="2"/>
  <c r="G216" i="2"/>
  <c r="T215" i="2"/>
  <c r="S215" i="2"/>
  <c r="R215" i="2"/>
  <c r="G215" i="2"/>
  <c r="T214" i="2"/>
  <c r="S214" i="2"/>
  <c r="R214" i="2"/>
  <c r="G214" i="2"/>
  <c r="T213" i="2"/>
  <c r="S213" i="2"/>
  <c r="R213" i="2"/>
  <c r="G213" i="2"/>
  <c r="T212" i="2"/>
  <c r="S212" i="2"/>
  <c r="R212" i="2"/>
  <c r="G212" i="2"/>
  <c r="T211" i="2"/>
  <c r="S211" i="2"/>
  <c r="R211" i="2"/>
  <c r="G211" i="2"/>
  <c r="T210" i="2"/>
  <c r="S210" i="2"/>
  <c r="T209" i="2"/>
  <c r="S209" i="2"/>
  <c r="R209" i="2"/>
  <c r="G209" i="2"/>
  <c r="AK50" i="3" s="1"/>
  <c r="T208" i="2"/>
  <c r="S208" i="2"/>
  <c r="R208" i="2"/>
  <c r="G208" i="2"/>
  <c r="T207" i="2"/>
  <c r="S207" i="2"/>
  <c r="R207" i="2"/>
  <c r="G207" i="2"/>
  <c r="T206" i="2"/>
  <c r="S206" i="2"/>
  <c r="R206" i="2"/>
  <c r="G206" i="2"/>
  <c r="AH46" i="3" s="1"/>
  <c r="T205" i="2"/>
  <c r="S205" i="2"/>
  <c r="O205" i="2"/>
  <c r="R205" i="2" s="1"/>
  <c r="I205" i="2"/>
  <c r="G205" i="2"/>
  <c r="T204" i="2"/>
  <c r="S204" i="2"/>
  <c r="R204" i="2"/>
  <c r="G204" i="2"/>
  <c r="G203" i="2"/>
  <c r="T202" i="2"/>
  <c r="S202" i="2"/>
  <c r="R202" i="2"/>
  <c r="G202" i="2"/>
  <c r="T201" i="2"/>
  <c r="S201" i="2"/>
  <c r="G201" i="2"/>
  <c r="T200" i="2"/>
  <c r="S200" i="2"/>
  <c r="R200" i="2"/>
  <c r="G200" i="2"/>
  <c r="T199" i="2"/>
  <c r="S199" i="2"/>
  <c r="R199" i="2"/>
  <c r="G199" i="2"/>
  <c r="T198" i="2"/>
  <c r="S198" i="2"/>
  <c r="AD36" i="3" s="1"/>
  <c r="R198" i="2"/>
  <c r="G198" i="2"/>
  <c r="T197" i="2"/>
  <c r="S197" i="2"/>
  <c r="R197" i="2"/>
  <c r="G197" i="2"/>
  <c r="T196" i="2"/>
  <c r="S196" i="2"/>
  <c r="R196" i="2"/>
  <c r="G196" i="2"/>
  <c r="T195" i="2"/>
  <c r="S195" i="2"/>
  <c r="R195" i="2"/>
  <c r="I195" i="2"/>
  <c r="G195" i="2"/>
  <c r="T194" i="2"/>
  <c r="S194" i="2"/>
  <c r="R194" i="2"/>
  <c r="G194" i="2"/>
  <c r="T193" i="2"/>
  <c r="S193" i="2"/>
  <c r="R193" i="2"/>
  <c r="G193" i="2"/>
  <c r="T192" i="2"/>
  <c r="S192" i="2"/>
  <c r="R192" i="2"/>
  <c r="G192" i="2"/>
  <c r="T191" i="2"/>
  <c r="S191" i="2"/>
  <c r="R191" i="2"/>
  <c r="G191" i="2"/>
  <c r="T190" i="2"/>
  <c r="S190" i="2"/>
  <c r="R190" i="2"/>
  <c r="G190" i="2"/>
  <c r="T189" i="2"/>
  <c r="AC47" i="3" s="1"/>
  <c r="S189" i="2"/>
  <c r="R189" i="2"/>
  <c r="G189" i="2"/>
  <c r="T188" i="2"/>
  <c r="S188" i="2"/>
  <c r="R188" i="2"/>
  <c r="G188" i="2"/>
  <c r="T187" i="2"/>
  <c r="AC50" i="3" s="1"/>
  <c r="S187" i="2"/>
  <c r="R187" i="2"/>
  <c r="G187" i="2"/>
  <c r="T186" i="2"/>
  <c r="S186" i="2"/>
  <c r="R186" i="2"/>
  <c r="G186" i="2"/>
  <c r="T185" i="2"/>
  <c r="S185" i="2"/>
  <c r="R185" i="2"/>
  <c r="G185" i="2"/>
  <c r="T184" i="2"/>
  <c r="S184" i="2"/>
  <c r="R184" i="2"/>
  <c r="G184" i="2"/>
  <c r="T183" i="2"/>
  <c r="S183" i="2"/>
  <c r="R183" i="2"/>
  <c r="G183" i="2"/>
  <c r="T182" i="2"/>
  <c r="AC46" i="3" s="1"/>
  <c r="S182" i="2"/>
  <c r="R182" i="2"/>
  <c r="G182" i="2"/>
  <c r="T181" i="2"/>
  <c r="S181" i="2"/>
  <c r="R181" i="2"/>
  <c r="G181" i="2"/>
  <c r="T180" i="2"/>
  <c r="S180" i="2"/>
  <c r="R180" i="2"/>
  <c r="G180" i="2"/>
  <c r="R179" i="2"/>
  <c r="G179" i="2"/>
  <c r="T178" i="2"/>
  <c r="S178" i="2"/>
  <c r="R178" i="2"/>
  <c r="G178" i="2"/>
  <c r="T177" i="2"/>
  <c r="S177" i="2"/>
  <c r="R177" i="2"/>
  <c r="G177" i="2"/>
  <c r="W176" i="2"/>
  <c r="V176" i="2"/>
  <c r="R176" i="2"/>
  <c r="AB24" i="3" s="1"/>
  <c r="G176" i="2"/>
  <c r="T175" i="2"/>
  <c r="S175" i="2"/>
  <c r="R175" i="2"/>
  <c r="G175" i="2"/>
  <c r="T174" i="2"/>
  <c r="S174" i="2"/>
  <c r="G174" i="2"/>
  <c r="T173" i="2"/>
  <c r="S173" i="2"/>
  <c r="R173" i="2"/>
  <c r="G173" i="2"/>
  <c r="T172" i="2"/>
  <c r="S172" i="2"/>
  <c r="R172" i="2"/>
  <c r="G172" i="2"/>
  <c r="T171" i="2"/>
  <c r="S171" i="2"/>
  <c r="R171" i="2"/>
  <c r="G171" i="2"/>
  <c r="AE67" i="4" s="1"/>
  <c r="T170" i="2"/>
  <c r="S170" i="2"/>
  <c r="G170" i="2"/>
  <c r="T169" i="2"/>
  <c r="S169" i="2"/>
  <c r="R169" i="2"/>
  <c r="G169" i="2"/>
  <c r="AK49" i="4" s="1"/>
  <c r="T168" i="2"/>
  <c r="AB46" i="3" s="1"/>
  <c r="S168" i="2"/>
  <c r="R168" i="2"/>
  <c r="G168" i="2"/>
  <c r="T167" i="2"/>
  <c r="S167" i="2"/>
  <c r="G167" i="2"/>
  <c r="T166" i="2"/>
  <c r="S166" i="2"/>
  <c r="R166" i="2"/>
  <c r="G166" i="2"/>
  <c r="T165" i="2"/>
  <c r="S165" i="2"/>
  <c r="AB37" i="3" s="1"/>
  <c r="G165" i="2"/>
  <c r="T164" i="2"/>
  <c r="S164" i="2"/>
  <c r="R164" i="2"/>
  <c r="G164" i="2"/>
  <c r="T163" i="2"/>
  <c r="S163" i="2"/>
  <c r="R163" i="2"/>
  <c r="I163" i="2"/>
  <c r="G163" i="2"/>
  <c r="T162" i="2"/>
  <c r="S162" i="2"/>
  <c r="AA40" i="3" s="1"/>
  <c r="R162" i="2"/>
  <c r="G162" i="2"/>
  <c r="T161" i="2"/>
  <c r="S161" i="2"/>
  <c r="AA43" i="3" s="1"/>
  <c r="R161" i="2"/>
  <c r="G161" i="2"/>
  <c r="T159" i="2"/>
  <c r="S159" i="2"/>
  <c r="G159" i="2"/>
  <c r="T158" i="2"/>
  <c r="S158" i="2"/>
  <c r="G158" i="2"/>
  <c r="T157" i="2"/>
  <c r="S157" i="2"/>
  <c r="G157" i="2"/>
  <c r="T156" i="2"/>
  <c r="S156" i="2"/>
  <c r="G156" i="2"/>
  <c r="G155" i="2"/>
  <c r="T154" i="2"/>
  <c r="S154" i="2"/>
  <c r="R154" i="2"/>
  <c r="G154" i="2"/>
  <c r="G153" i="2"/>
  <c r="AJ29" i="3" s="1"/>
  <c r="S152" i="2"/>
  <c r="R152" i="2"/>
  <c r="Q152" i="2"/>
  <c r="T152" i="2" s="1"/>
  <c r="O152" i="2"/>
  <c r="M152" i="2"/>
  <c r="G152" i="2"/>
  <c r="G151" i="2"/>
  <c r="T150" i="2"/>
  <c r="S150" i="2"/>
  <c r="R150" i="2"/>
  <c r="G150" i="2"/>
  <c r="T149" i="2"/>
  <c r="S149" i="2"/>
  <c r="R149" i="2"/>
  <c r="G149" i="2"/>
  <c r="G148" i="2"/>
  <c r="G147" i="2"/>
  <c r="G146" i="2"/>
  <c r="G145" i="2"/>
  <c r="G144" i="2"/>
  <c r="G143" i="2"/>
  <c r="G142" i="2"/>
  <c r="T141" i="2"/>
  <c r="S141" i="2"/>
  <c r="R141" i="2"/>
  <c r="G141" i="2"/>
  <c r="G140" i="2"/>
  <c r="G139" i="2"/>
  <c r="G138" i="2"/>
  <c r="G137" i="2"/>
  <c r="G136" i="2"/>
  <c r="G135" i="2"/>
  <c r="G134" i="2"/>
  <c r="M133" i="2"/>
  <c r="G133" i="2"/>
  <c r="G132" i="2"/>
  <c r="G131" i="2"/>
  <c r="G130" i="2"/>
  <c r="G129" i="2"/>
  <c r="G128" i="2"/>
  <c r="G127" i="2"/>
  <c r="G126" i="2"/>
  <c r="G125" i="2"/>
  <c r="G124" i="2"/>
  <c r="G123" i="2"/>
  <c r="G122" i="2"/>
  <c r="G121" i="2"/>
  <c r="G120" i="2"/>
  <c r="R119" i="2"/>
  <c r="K119" i="2"/>
  <c r="G119" i="2"/>
  <c r="G118" i="2"/>
  <c r="AG117" i="2"/>
  <c r="G117" i="2"/>
  <c r="G116" i="2"/>
  <c r="G115" i="2"/>
  <c r="T114" i="2"/>
  <c r="S114" i="2"/>
  <c r="R114" i="2"/>
  <c r="M114" i="2"/>
  <c r="K114" i="2"/>
  <c r="G114" i="2"/>
  <c r="T113" i="2"/>
  <c r="S113" i="2"/>
  <c r="R113" i="2"/>
  <c r="G113" i="2"/>
  <c r="G112" i="2"/>
  <c r="T111" i="2"/>
  <c r="S111" i="2"/>
  <c r="R111" i="2"/>
  <c r="G111" i="2"/>
  <c r="AI53" i="3" s="1"/>
  <c r="S110" i="2"/>
  <c r="R110" i="2"/>
  <c r="Q110" i="2"/>
  <c r="T110" i="2" s="1"/>
  <c r="O110" i="2"/>
  <c r="M110" i="2"/>
  <c r="G110" i="2"/>
  <c r="S109" i="2"/>
  <c r="Q109" i="2"/>
  <c r="T109" i="2" s="1"/>
  <c r="O109" i="2"/>
  <c r="R109" i="2" s="1"/>
  <c r="M109" i="2"/>
  <c r="G109" i="2"/>
  <c r="T108" i="2"/>
  <c r="S108" i="2"/>
  <c r="R108" i="2"/>
  <c r="G108" i="2"/>
  <c r="T107" i="2"/>
  <c r="S107" i="2"/>
  <c r="R107" i="2"/>
  <c r="G107" i="2"/>
  <c r="G106" i="2"/>
  <c r="T105" i="2"/>
  <c r="S105" i="2"/>
  <c r="K105" i="2"/>
  <c r="R105" i="2" s="1"/>
  <c r="G105" i="2"/>
  <c r="T104" i="2"/>
  <c r="S104" i="2"/>
  <c r="G104" i="2"/>
  <c r="T103" i="2"/>
  <c r="W53" i="3" s="1"/>
  <c r="S103" i="2"/>
  <c r="R103" i="2"/>
  <c r="G103" i="2"/>
  <c r="T102" i="2"/>
  <c r="S102" i="2"/>
  <c r="M102" i="2"/>
  <c r="K102" i="2"/>
  <c r="R102" i="2" s="1"/>
  <c r="I102" i="2"/>
  <c r="G102" i="2"/>
  <c r="T101" i="2"/>
  <c r="S101" i="2"/>
  <c r="R101" i="2"/>
  <c r="G101" i="2"/>
  <c r="T100" i="2"/>
  <c r="S100" i="2"/>
  <c r="K100" i="2"/>
  <c r="I100" i="2"/>
  <c r="O100" i="2" s="1"/>
  <c r="G100" i="2"/>
  <c r="T99" i="2"/>
  <c r="S99" i="2"/>
  <c r="R99" i="2"/>
  <c r="G99" i="2"/>
  <c r="T98" i="2"/>
  <c r="S98" i="2"/>
  <c r="G98" i="2"/>
  <c r="T97" i="2"/>
  <c r="S97" i="2"/>
  <c r="G97" i="2"/>
  <c r="AH48" i="4" s="1"/>
  <c r="T96" i="2"/>
  <c r="S96" i="2"/>
  <c r="R96" i="2"/>
  <c r="G96" i="2"/>
  <c r="T95" i="2"/>
  <c r="S95" i="2"/>
  <c r="R95" i="2"/>
  <c r="G95" i="2"/>
  <c r="G94" i="2"/>
  <c r="T93" i="2"/>
  <c r="S93" i="2"/>
  <c r="R93" i="2"/>
  <c r="G93" i="2"/>
  <c r="T92" i="2"/>
  <c r="S92" i="2"/>
  <c r="R92" i="2"/>
  <c r="G92" i="2"/>
  <c r="T91" i="2"/>
  <c r="S91" i="2"/>
  <c r="R91" i="2"/>
  <c r="G91" i="2"/>
  <c r="T90" i="2"/>
  <c r="S90" i="2"/>
  <c r="R90" i="2"/>
  <c r="G90" i="2"/>
  <c r="T89" i="2"/>
  <c r="S89" i="2"/>
  <c r="R89" i="2"/>
  <c r="G89" i="2"/>
  <c r="T88" i="2"/>
  <c r="S88" i="2"/>
  <c r="R88" i="2"/>
  <c r="G88" i="2"/>
  <c r="G87" i="2"/>
  <c r="G86" i="2"/>
  <c r="T85" i="2"/>
  <c r="S85" i="2"/>
  <c r="R85" i="2"/>
  <c r="G85" i="2"/>
  <c r="T84" i="2"/>
  <c r="S84" i="2"/>
  <c r="R84" i="2"/>
  <c r="G84" i="2"/>
  <c r="T83" i="2"/>
  <c r="S83" i="2"/>
  <c r="R83" i="2"/>
  <c r="G83" i="2"/>
  <c r="T82" i="2"/>
  <c r="S82" i="2"/>
  <c r="R82" i="2"/>
  <c r="G82" i="2"/>
  <c r="T81" i="2"/>
  <c r="S81" i="2"/>
  <c r="R81" i="2"/>
  <c r="G81" i="2"/>
  <c r="T80" i="2"/>
  <c r="S80" i="2"/>
  <c r="R80" i="2"/>
  <c r="G80" i="2"/>
  <c r="T79" i="2"/>
  <c r="S79" i="2"/>
  <c r="R79" i="2"/>
  <c r="G79" i="2"/>
  <c r="T78" i="2"/>
  <c r="S78" i="2"/>
  <c r="R78" i="2"/>
  <c r="G78" i="2"/>
  <c r="T77" i="2"/>
  <c r="S77" i="2"/>
  <c r="R77" i="2"/>
  <c r="G77" i="2"/>
  <c r="T76" i="2"/>
  <c r="S76" i="2"/>
  <c r="R76" i="2"/>
  <c r="G76" i="2"/>
  <c r="G75" i="2"/>
  <c r="G74" i="2"/>
  <c r="T73" i="2"/>
  <c r="S73" i="2"/>
  <c r="R73" i="2"/>
  <c r="G73" i="2"/>
  <c r="G72" i="2"/>
  <c r="T71" i="2"/>
  <c r="S71" i="2"/>
  <c r="R71" i="2"/>
  <c r="G71" i="2"/>
  <c r="T70" i="2"/>
  <c r="S70" i="2"/>
  <c r="R70" i="2"/>
  <c r="G70" i="2"/>
  <c r="T69" i="2"/>
  <c r="S69" i="2"/>
  <c r="R69" i="2"/>
  <c r="G69" i="2"/>
  <c r="T68" i="2"/>
  <c r="S68" i="2"/>
  <c r="R68" i="2"/>
  <c r="G68" i="2"/>
  <c r="T67" i="2"/>
  <c r="S67" i="2"/>
  <c r="R67" i="2"/>
  <c r="G67" i="2"/>
  <c r="G66" i="2"/>
  <c r="G65" i="2"/>
  <c r="G64" i="2"/>
  <c r="T63" i="2"/>
  <c r="S63" i="2"/>
  <c r="R63" i="2"/>
  <c r="G63" i="2"/>
  <c r="T62" i="2"/>
  <c r="S62" i="2"/>
  <c r="R62" i="2"/>
  <c r="G62" i="2"/>
  <c r="T61" i="2"/>
  <c r="S61" i="2"/>
  <c r="R61" i="2"/>
  <c r="G61" i="2"/>
  <c r="T60" i="2"/>
  <c r="S60" i="2"/>
  <c r="R60" i="2"/>
  <c r="G60" i="2"/>
  <c r="T59" i="2"/>
  <c r="S59" i="2"/>
  <c r="R59" i="2"/>
  <c r="G59" i="2"/>
  <c r="T58" i="2"/>
  <c r="S58" i="2"/>
  <c r="R58" i="2"/>
  <c r="G58" i="2"/>
  <c r="G57" i="2"/>
  <c r="T56" i="2"/>
  <c r="S56" i="2"/>
  <c r="R56" i="2"/>
  <c r="G56" i="2"/>
  <c r="T55" i="2"/>
  <c r="S55" i="2"/>
  <c r="R55" i="2"/>
  <c r="G55" i="2"/>
  <c r="T54" i="2"/>
  <c r="S54" i="2"/>
  <c r="R54" i="2"/>
  <c r="G54" i="2"/>
  <c r="G53" i="2"/>
  <c r="T52" i="2"/>
  <c r="S52" i="2"/>
  <c r="R52" i="2"/>
  <c r="G52" i="2"/>
  <c r="T51" i="2"/>
  <c r="S51" i="2"/>
  <c r="R51" i="2"/>
  <c r="G51" i="2"/>
  <c r="T50" i="2"/>
  <c r="S50" i="2"/>
  <c r="R50" i="2"/>
  <c r="G50" i="2"/>
  <c r="G49" i="2"/>
  <c r="G48" i="2"/>
  <c r="G47" i="2"/>
  <c r="T46" i="2"/>
  <c r="S46" i="2"/>
  <c r="R46" i="2"/>
  <c r="G46" i="2"/>
  <c r="T45" i="2"/>
  <c r="S45" i="2"/>
  <c r="R45" i="2"/>
  <c r="G45" i="2"/>
  <c r="T44" i="2"/>
  <c r="S44" i="2"/>
  <c r="R44" i="2"/>
  <c r="G44" i="2"/>
  <c r="T43" i="2"/>
  <c r="S43" i="2"/>
  <c r="R43" i="2"/>
  <c r="G43" i="2"/>
  <c r="T42" i="2"/>
  <c r="S42" i="2"/>
  <c r="R42" i="2"/>
  <c r="G42" i="2"/>
  <c r="T41" i="2"/>
  <c r="S41" i="2"/>
  <c r="R41" i="2"/>
  <c r="G41" i="2"/>
  <c r="T40" i="2"/>
  <c r="S40" i="2"/>
  <c r="R40" i="2"/>
  <c r="G40" i="2"/>
  <c r="T39" i="2"/>
  <c r="S39" i="2"/>
  <c r="R39" i="2"/>
  <c r="G39" i="2"/>
  <c r="T38" i="2"/>
  <c r="S38" i="2"/>
  <c r="R38" i="2"/>
  <c r="G38" i="2"/>
  <c r="T37" i="2"/>
  <c r="S37" i="2"/>
  <c r="R37" i="2"/>
  <c r="G37" i="2"/>
  <c r="T36" i="2"/>
  <c r="S36" i="2"/>
  <c r="R36" i="2"/>
  <c r="G36" i="2"/>
  <c r="T35" i="2"/>
  <c r="S35" i="2"/>
  <c r="R35" i="2"/>
  <c r="G35" i="2"/>
  <c r="T34" i="2"/>
  <c r="S34" i="2"/>
  <c r="R34" i="2"/>
  <c r="G34" i="2"/>
  <c r="T33" i="2"/>
  <c r="S33" i="2"/>
  <c r="R33" i="2"/>
  <c r="G33" i="2"/>
  <c r="T32" i="2"/>
  <c r="S32" i="2"/>
  <c r="R32" i="2"/>
  <c r="G32" i="2"/>
  <c r="T31" i="2"/>
  <c r="S31" i="2"/>
  <c r="R31" i="2"/>
  <c r="G31" i="2"/>
  <c r="T30" i="2"/>
  <c r="S30" i="2"/>
  <c r="R30" i="2"/>
  <c r="G30" i="2"/>
  <c r="T29" i="2"/>
  <c r="S29" i="2"/>
  <c r="R29" i="2"/>
  <c r="G29" i="2"/>
  <c r="T28" i="2"/>
  <c r="S28" i="2"/>
  <c r="R28" i="2"/>
  <c r="G28" i="2"/>
  <c r="T27" i="2"/>
  <c r="S27" i="2"/>
  <c r="R27" i="2"/>
  <c r="G27" i="2"/>
  <c r="T26" i="2"/>
  <c r="S26" i="2"/>
  <c r="R26" i="2"/>
  <c r="G26" i="2"/>
  <c r="T25" i="2"/>
  <c r="S25" i="2"/>
  <c r="R25" i="2"/>
  <c r="G25" i="2"/>
  <c r="T24" i="2"/>
  <c r="S24" i="2"/>
  <c r="R24" i="2"/>
  <c r="G24" i="2"/>
  <c r="T23" i="2"/>
  <c r="S23" i="2"/>
  <c r="R23" i="2"/>
  <c r="G23" i="2"/>
  <c r="T22" i="2"/>
  <c r="S22" i="2"/>
  <c r="R22" i="2"/>
  <c r="G22" i="2"/>
  <c r="T21" i="2"/>
  <c r="S21" i="2"/>
  <c r="R21" i="2"/>
  <c r="G21" i="2"/>
  <c r="AK1488" i="4"/>
  <c r="AJ1488" i="4"/>
  <c r="AI1488" i="4"/>
  <c r="AH1488" i="4"/>
  <c r="AG1488" i="4"/>
  <c r="AF1488" i="4"/>
  <c r="AE1488" i="4"/>
  <c r="AD1488" i="4"/>
  <c r="AC1488" i="4"/>
  <c r="AB1488" i="4"/>
  <c r="AA1488" i="4"/>
  <c r="Z1488" i="4"/>
  <c r="Y1488" i="4"/>
  <c r="X1488" i="4"/>
  <c r="W1488" i="4"/>
  <c r="V1488" i="4"/>
  <c r="U1488" i="4"/>
  <c r="T1488" i="4"/>
  <c r="S1488" i="4"/>
  <c r="R1488" i="4"/>
  <c r="Q1488" i="4"/>
  <c r="P1488" i="4"/>
  <c r="O1488" i="4"/>
  <c r="N1488" i="4"/>
  <c r="M1488" i="4"/>
  <c r="L1488" i="4"/>
  <c r="K1488" i="4"/>
  <c r="J1488" i="4"/>
  <c r="I1488" i="4"/>
  <c r="AK1487" i="4"/>
  <c r="AJ1487" i="4"/>
  <c r="AI1487" i="4"/>
  <c r="AH1487" i="4"/>
  <c r="AG1487" i="4"/>
  <c r="AF1487" i="4"/>
  <c r="AE1487" i="4"/>
  <c r="AD1487" i="4"/>
  <c r="AC1487" i="4"/>
  <c r="AB1487" i="4"/>
  <c r="AA1487" i="4"/>
  <c r="Z1487" i="4"/>
  <c r="Y1487" i="4"/>
  <c r="X1487" i="4"/>
  <c r="W1487" i="4"/>
  <c r="V1487" i="4"/>
  <c r="U1487" i="4"/>
  <c r="T1487" i="4"/>
  <c r="S1487" i="4"/>
  <c r="R1487" i="4"/>
  <c r="Q1487" i="4"/>
  <c r="P1487" i="4"/>
  <c r="O1487" i="4"/>
  <c r="N1487" i="4"/>
  <c r="M1487" i="4"/>
  <c r="L1487" i="4"/>
  <c r="K1487" i="4"/>
  <c r="J1487" i="4"/>
  <c r="AK1486" i="4"/>
  <c r="AJ1486" i="4"/>
  <c r="AI1486" i="4"/>
  <c r="AH1486" i="4"/>
  <c r="AG1486" i="4"/>
  <c r="AF1486" i="4"/>
  <c r="AE1486" i="4"/>
  <c r="AD1486" i="4"/>
  <c r="AC1486" i="4"/>
  <c r="AB1486" i="4"/>
  <c r="AA1486" i="4"/>
  <c r="Z1486" i="4"/>
  <c r="Y1486" i="4"/>
  <c r="X1486" i="4"/>
  <c r="W1486" i="4"/>
  <c r="V1486" i="4"/>
  <c r="U1486" i="4"/>
  <c r="T1486" i="4"/>
  <c r="S1486" i="4"/>
  <c r="R1486" i="4"/>
  <c r="Q1486" i="4"/>
  <c r="P1486" i="4"/>
  <c r="O1486" i="4"/>
  <c r="N1486" i="4"/>
  <c r="M1486" i="4"/>
  <c r="L1486" i="4"/>
  <c r="K1486" i="4"/>
  <c r="J1486" i="4"/>
  <c r="I1486" i="4"/>
  <c r="AK1451" i="4"/>
  <c r="AJ1451" i="4"/>
  <c r="AI1451" i="4"/>
  <c r="AH1451" i="4"/>
  <c r="AG1451" i="4"/>
  <c r="AF1451" i="4"/>
  <c r="AE1451" i="4"/>
  <c r="AD1451" i="4"/>
  <c r="AC1451" i="4"/>
  <c r="AB1451" i="4"/>
  <c r="AA1451" i="4"/>
  <c r="Y1451" i="4"/>
  <c r="X1451" i="4"/>
  <c r="W1451" i="4"/>
  <c r="V1451" i="4"/>
  <c r="U1451" i="4"/>
  <c r="T1451" i="4"/>
  <c r="S1451" i="4"/>
  <c r="R1451" i="4"/>
  <c r="Q1451" i="4"/>
  <c r="P1451" i="4"/>
  <c r="O1451" i="4"/>
  <c r="N1451" i="4"/>
  <c r="M1451" i="4"/>
  <c r="L1451" i="4"/>
  <c r="K1451" i="4"/>
  <c r="J1451" i="4"/>
  <c r="I1451" i="4"/>
  <c r="AK1413" i="4"/>
  <c r="AJ1413" i="4"/>
  <c r="AI1413" i="4"/>
  <c r="AH1413" i="4"/>
  <c r="AG1413" i="4"/>
  <c r="AF1413" i="4"/>
  <c r="AE1413" i="4"/>
  <c r="AD1413" i="4"/>
  <c r="AC1413" i="4"/>
  <c r="AA1413" i="4"/>
  <c r="Z1413" i="4"/>
  <c r="Y1413" i="4"/>
  <c r="X1413" i="4"/>
  <c r="W1413" i="4"/>
  <c r="V1413" i="4"/>
  <c r="U1413" i="4"/>
  <c r="T1413" i="4"/>
  <c r="S1413" i="4"/>
  <c r="R1413" i="4"/>
  <c r="Q1413" i="4"/>
  <c r="AK1412" i="4"/>
  <c r="AJ1412" i="4"/>
  <c r="AI1412" i="4"/>
  <c r="AH1412" i="4"/>
  <c r="AG1412" i="4"/>
  <c r="AF1412" i="4"/>
  <c r="AE1412" i="4"/>
  <c r="AD1412" i="4"/>
  <c r="AC1412" i="4"/>
  <c r="AB1412" i="4"/>
  <c r="AA1412" i="4"/>
  <c r="Z1412" i="4"/>
  <c r="Y1412" i="4"/>
  <c r="X1412" i="4"/>
  <c r="W1412" i="4"/>
  <c r="V1412" i="4"/>
  <c r="U1412" i="4"/>
  <c r="T1412" i="4"/>
  <c r="S1412" i="4"/>
  <c r="R1412" i="4"/>
  <c r="Q1412" i="4"/>
  <c r="AK1411" i="4"/>
  <c r="AJ1411" i="4"/>
  <c r="AI1411" i="4"/>
  <c r="AH1411" i="4"/>
  <c r="AG1411" i="4"/>
  <c r="AF1411" i="4"/>
  <c r="AE1411" i="4"/>
  <c r="AD1411" i="4"/>
  <c r="AC1411" i="4"/>
  <c r="AB1411" i="4"/>
  <c r="AA1411" i="4"/>
  <c r="Z1411" i="4"/>
  <c r="Y1411" i="4"/>
  <c r="X1411" i="4"/>
  <c r="W1411" i="4"/>
  <c r="V1411" i="4"/>
  <c r="U1411" i="4"/>
  <c r="T1411" i="4"/>
  <c r="S1411" i="4"/>
  <c r="R1411" i="4"/>
  <c r="Q1411" i="4"/>
  <c r="AK1409" i="4"/>
  <c r="AJ1409" i="4"/>
  <c r="AI1409" i="4"/>
  <c r="AH1409" i="4"/>
  <c r="AG1409" i="4"/>
  <c r="AF1409" i="4"/>
  <c r="AE1409" i="4"/>
  <c r="AD1409" i="4"/>
  <c r="AC1409" i="4"/>
  <c r="AA1409" i="4"/>
  <c r="Z1409" i="4"/>
  <c r="Y1409" i="4"/>
  <c r="X1409" i="4"/>
  <c r="W1409" i="4"/>
  <c r="V1409" i="4"/>
  <c r="U1409" i="4"/>
  <c r="T1409" i="4"/>
  <c r="S1409" i="4"/>
  <c r="R1409" i="4"/>
  <c r="Q1409" i="4"/>
  <c r="AK1408" i="4"/>
  <c r="AJ1408" i="4"/>
  <c r="AI1408" i="4"/>
  <c r="AH1408" i="4"/>
  <c r="AG1408" i="4"/>
  <c r="AF1408" i="4"/>
  <c r="AE1408" i="4"/>
  <c r="AD1408" i="4"/>
  <c r="AC1408" i="4"/>
  <c r="AB1408" i="4"/>
  <c r="AA1408" i="4"/>
  <c r="Z1408" i="4"/>
  <c r="Y1408" i="4"/>
  <c r="X1408" i="4"/>
  <c r="W1408" i="4"/>
  <c r="V1408" i="4"/>
  <c r="U1408" i="4"/>
  <c r="T1408" i="4"/>
  <c r="S1408" i="4"/>
  <c r="R1408" i="4"/>
  <c r="Q1408" i="4"/>
  <c r="AK1407" i="4"/>
  <c r="AJ1407" i="4"/>
  <c r="AI1407" i="4"/>
  <c r="AH1407" i="4"/>
  <c r="AG1407" i="4"/>
  <c r="AF1407" i="4"/>
  <c r="AE1407" i="4"/>
  <c r="AD1407" i="4"/>
  <c r="AC1407" i="4"/>
  <c r="AA1407" i="4"/>
  <c r="Z1407" i="4"/>
  <c r="Y1407" i="4"/>
  <c r="X1407" i="4"/>
  <c r="W1407" i="4"/>
  <c r="V1407" i="4"/>
  <c r="U1407" i="4"/>
  <c r="T1407" i="4"/>
  <c r="S1407" i="4"/>
  <c r="R1407" i="4"/>
  <c r="Q1407" i="4"/>
  <c r="W1399" i="4"/>
  <c r="V1399" i="4"/>
  <c r="U1399" i="4"/>
  <c r="T1399" i="4"/>
  <c r="S1399" i="4"/>
  <c r="R1399" i="4"/>
  <c r="Q1399" i="4"/>
  <c r="AK1397" i="4"/>
  <c r="AJ1397" i="4"/>
  <c r="AI1397" i="4"/>
  <c r="AH1397" i="4"/>
  <c r="AG1397" i="4"/>
  <c r="AF1397" i="4"/>
  <c r="AE1397" i="4"/>
  <c r="AD1397" i="4"/>
  <c r="AC1397" i="4"/>
  <c r="AB1397" i="4"/>
  <c r="AA1397" i="4"/>
  <c r="Z1397" i="4"/>
  <c r="Y1397" i="4"/>
  <c r="X1397" i="4"/>
  <c r="W1397" i="4"/>
  <c r="V1397" i="4"/>
  <c r="U1397" i="4"/>
  <c r="T1397" i="4"/>
  <c r="S1397" i="4"/>
  <c r="R1397" i="4"/>
  <c r="Q1397" i="4"/>
  <c r="AK1396" i="4"/>
  <c r="AJ1396" i="4"/>
  <c r="AI1396" i="4"/>
  <c r="AH1396" i="4"/>
  <c r="AG1396" i="4"/>
  <c r="AF1396" i="4"/>
  <c r="AE1396" i="4"/>
  <c r="AD1396" i="4"/>
  <c r="AC1396" i="4"/>
  <c r="AB1396" i="4"/>
  <c r="AA1396" i="4"/>
  <c r="Z1396" i="4"/>
  <c r="Y1396" i="4"/>
  <c r="X1396" i="4"/>
  <c r="W1396" i="4"/>
  <c r="V1396" i="4"/>
  <c r="U1396" i="4"/>
  <c r="T1396" i="4"/>
  <c r="S1396" i="4"/>
  <c r="R1396" i="4"/>
  <c r="Q1396" i="4"/>
  <c r="AK1395" i="4"/>
  <c r="AJ1395" i="4"/>
  <c r="AI1395" i="4"/>
  <c r="AH1395" i="4"/>
  <c r="AG1395" i="4"/>
  <c r="AF1395" i="4"/>
  <c r="AE1395" i="4"/>
  <c r="AD1395" i="4"/>
  <c r="AC1395" i="4"/>
  <c r="AB1395" i="4"/>
  <c r="AA1395" i="4"/>
  <c r="Z1395" i="4"/>
  <c r="Y1395" i="4"/>
  <c r="X1395" i="4"/>
  <c r="W1395" i="4"/>
  <c r="V1395" i="4"/>
  <c r="U1395" i="4"/>
  <c r="T1395" i="4"/>
  <c r="S1395" i="4"/>
  <c r="R1395" i="4"/>
  <c r="Q1395" i="4"/>
  <c r="U1392" i="4"/>
  <c r="V1392" i="4" s="1"/>
  <c r="W1392" i="4" s="1"/>
  <c r="X1392" i="4" s="1"/>
  <c r="Y1392" i="4" s="1"/>
  <c r="Z1392" i="4" s="1"/>
  <c r="AA1392" i="4" s="1"/>
  <c r="AB1392" i="4" s="1"/>
  <c r="AC1392" i="4" s="1"/>
  <c r="AD1392" i="4" s="1"/>
  <c r="AE1392" i="4" s="1"/>
  <c r="AF1392" i="4" s="1"/>
  <c r="AG1392" i="4" s="1"/>
  <c r="AH1392" i="4" s="1"/>
  <c r="AI1392" i="4" s="1"/>
  <c r="AJ1392" i="4" s="1"/>
  <c r="AK1392" i="4" s="1"/>
  <c r="S1392" i="4"/>
  <c r="R1392" i="4" s="1"/>
  <c r="Q1392" i="4" s="1"/>
  <c r="U1390" i="4"/>
  <c r="V1390" i="4" s="1"/>
  <c r="W1390" i="4" s="1"/>
  <c r="X1390" i="4" s="1"/>
  <c r="Y1390" i="4" s="1"/>
  <c r="Z1390" i="4" s="1"/>
  <c r="AA1390" i="4" s="1"/>
  <c r="AB1390" i="4" s="1"/>
  <c r="AC1390" i="4" s="1"/>
  <c r="AD1390" i="4" s="1"/>
  <c r="AE1390" i="4" s="1"/>
  <c r="AF1390" i="4" s="1"/>
  <c r="AG1390" i="4" s="1"/>
  <c r="AH1390" i="4" s="1"/>
  <c r="AI1390" i="4" s="1"/>
  <c r="AJ1390" i="4" s="1"/>
  <c r="AK1390" i="4" s="1"/>
  <c r="S1390" i="4"/>
  <c r="R1390" i="4" s="1"/>
  <c r="Q1390" i="4" s="1"/>
  <c r="AK1384" i="4"/>
  <c r="AJ1384" i="4"/>
  <c r="AI1384" i="4"/>
  <c r="AH1384" i="4"/>
  <c r="AG1384" i="4"/>
  <c r="AF1384" i="4"/>
  <c r="AE1384" i="4"/>
  <c r="AD1384" i="4"/>
  <c r="AB1384" i="4"/>
  <c r="AA1384" i="4"/>
  <c r="Z1384" i="4"/>
  <c r="Y1384" i="4"/>
  <c r="X1384" i="4"/>
  <c r="W1384" i="4"/>
  <c r="V1384" i="4"/>
  <c r="U1384" i="4"/>
  <c r="T1384" i="4"/>
  <c r="S1384" i="4"/>
  <c r="R1384" i="4"/>
  <c r="Q1384" i="4"/>
  <c r="AK1383" i="4"/>
  <c r="AJ1383" i="4"/>
  <c r="AI1383" i="4"/>
  <c r="AH1383" i="4"/>
  <c r="AG1383" i="4"/>
  <c r="AF1383" i="4"/>
  <c r="AE1383" i="4"/>
  <c r="AD1383" i="4"/>
  <c r="AB1383" i="4"/>
  <c r="AA1383" i="4"/>
  <c r="Z1383" i="4"/>
  <c r="Y1383" i="4"/>
  <c r="X1383" i="4"/>
  <c r="W1383" i="4"/>
  <c r="V1383" i="4"/>
  <c r="U1383" i="4"/>
  <c r="T1383" i="4"/>
  <c r="S1383" i="4"/>
  <c r="R1383" i="4"/>
  <c r="Q1383" i="4"/>
  <c r="AK1382" i="4"/>
  <c r="AJ1382" i="4"/>
  <c r="AI1382" i="4"/>
  <c r="AH1382" i="4"/>
  <c r="AG1382" i="4"/>
  <c r="AF1382" i="4"/>
  <c r="AE1382" i="4"/>
  <c r="AD1382" i="4"/>
  <c r="AB1382" i="4"/>
  <c r="AA1382" i="4"/>
  <c r="Z1382" i="4"/>
  <c r="Y1382" i="4"/>
  <c r="X1382" i="4"/>
  <c r="W1382" i="4"/>
  <c r="V1382" i="4"/>
  <c r="U1382" i="4"/>
  <c r="T1382" i="4"/>
  <c r="S1382" i="4"/>
  <c r="R1382" i="4"/>
  <c r="Q1382" i="4"/>
  <c r="AK1378" i="4"/>
  <c r="AJ1378" i="4"/>
  <c r="AI1378" i="4"/>
  <c r="AH1378" i="4"/>
  <c r="AG1378" i="4"/>
  <c r="AF1378" i="4"/>
  <c r="AE1378" i="4"/>
  <c r="AD1378" i="4"/>
  <c r="AC1378" i="4"/>
  <c r="AB1378" i="4"/>
  <c r="AA1378" i="4"/>
  <c r="Z1378" i="4"/>
  <c r="Y1378" i="4"/>
  <c r="X1378" i="4"/>
  <c r="W1378" i="4"/>
  <c r="V1378" i="4"/>
  <c r="U1378" i="4"/>
  <c r="T1378" i="4"/>
  <c r="S1378" i="4"/>
  <c r="R1378" i="4"/>
  <c r="Q1378" i="4"/>
  <c r="AK1377" i="4"/>
  <c r="AJ1377" i="4"/>
  <c r="AI1377" i="4"/>
  <c r="AH1377" i="4"/>
  <c r="AG1377" i="4"/>
  <c r="AF1377" i="4"/>
  <c r="AE1377" i="4"/>
  <c r="AD1377" i="4"/>
  <c r="AC1377" i="4"/>
  <c r="AB1377" i="4"/>
  <c r="AA1377" i="4"/>
  <c r="Y1377" i="4"/>
  <c r="X1377" i="4"/>
  <c r="W1377" i="4"/>
  <c r="V1377" i="4"/>
  <c r="U1377" i="4"/>
  <c r="T1377" i="4"/>
  <c r="S1377" i="4"/>
  <c r="R1377" i="4"/>
  <c r="Q1377" i="4"/>
  <c r="AK1374" i="4"/>
  <c r="AJ1374" i="4"/>
  <c r="AI1374" i="4"/>
  <c r="AH1374" i="4"/>
  <c r="AG1374" i="4"/>
  <c r="AF1374" i="4"/>
  <c r="AE1374" i="4"/>
  <c r="AD1374" i="4"/>
  <c r="AC1374" i="4"/>
  <c r="AB1374" i="4"/>
  <c r="AA1374" i="4"/>
  <c r="Y1374" i="4"/>
  <c r="X1374" i="4"/>
  <c r="W1374" i="4"/>
  <c r="V1374" i="4"/>
  <c r="U1374" i="4"/>
  <c r="T1374" i="4"/>
  <c r="S1374" i="4"/>
  <c r="R1374" i="4"/>
  <c r="Q1374" i="4"/>
  <c r="AK1371" i="4"/>
  <c r="AK1364" i="4" s="1"/>
  <c r="AJ1371" i="4"/>
  <c r="AJ1364" i="4" s="1"/>
  <c r="AI1371" i="4"/>
  <c r="AH1371" i="4"/>
  <c r="AH1352" i="4" s="1"/>
  <c r="AG1371" i="4"/>
  <c r="AG1364" i="4" s="1"/>
  <c r="AF1371" i="4"/>
  <c r="AF1352" i="4" s="1"/>
  <c r="AE1371" i="4"/>
  <c r="AD1371" i="4"/>
  <c r="AD1364" i="4" s="1"/>
  <c r="AC1371" i="4"/>
  <c r="AC1364" i="4" s="1"/>
  <c r="AB1371" i="4"/>
  <c r="AB1364" i="4" s="1"/>
  <c r="AA1371" i="4"/>
  <c r="Z1371" i="4"/>
  <c r="Z1364" i="4" s="1"/>
  <c r="Y1371" i="4"/>
  <c r="Y1358" i="4" s="1"/>
  <c r="X1371" i="4"/>
  <c r="X1352" i="4" s="1"/>
  <c r="W1371" i="4"/>
  <c r="V1371" i="4"/>
  <c r="V1358" i="4" s="1"/>
  <c r="U1371" i="4"/>
  <c r="U1364" i="4" s="1"/>
  <c r="T1371" i="4"/>
  <c r="T1364" i="4" s="1"/>
  <c r="S1371" i="4"/>
  <c r="R1371" i="4"/>
  <c r="R1352" i="4" s="1"/>
  <c r="Q1371" i="4"/>
  <c r="Q1364" i="4" s="1"/>
  <c r="AK1241" i="4"/>
  <c r="AJ1241" i="4"/>
  <c r="AI1241" i="4"/>
  <c r="AH1241" i="4"/>
  <c r="AG1241" i="4"/>
  <c r="AF1241" i="4"/>
  <c r="AE1241" i="4"/>
  <c r="AD1241" i="4"/>
  <c r="AC1241" i="4"/>
  <c r="AB1241" i="4"/>
  <c r="AA1241" i="4"/>
  <c r="Z1241" i="4"/>
  <c r="Y1241" i="4"/>
  <c r="X1241" i="4"/>
  <c r="W1241" i="4"/>
  <c r="V1241" i="4"/>
  <c r="U1241" i="4"/>
  <c r="T1241" i="4"/>
  <c r="T1323" i="4" s="1"/>
  <c r="S1241" i="4"/>
  <c r="R1241" i="4"/>
  <c r="Q1241" i="4"/>
  <c r="P1241" i="4"/>
  <c r="O1241" i="4"/>
  <c r="N1241" i="4"/>
  <c r="M1241" i="4"/>
  <c r="L1241" i="4"/>
  <c r="K1241" i="4"/>
  <c r="J1241" i="4"/>
  <c r="I1241" i="4"/>
  <c r="AK1236" i="4"/>
  <c r="AJ1236" i="4"/>
  <c r="AI1236" i="4"/>
  <c r="AH1236" i="4"/>
  <c r="AG1236" i="4"/>
  <c r="AF1236" i="4"/>
  <c r="AE1236" i="4"/>
  <c r="AD1236" i="4"/>
  <c r="AC1236" i="4"/>
  <c r="AC1318" i="4" s="1"/>
  <c r="AB1236" i="4"/>
  <c r="AA1236" i="4"/>
  <c r="Z1236" i="4"/>
  <c r="Y1236" i="4"/>
  <c r="X1236" i="4"/>
  <c r="W1236" i="4"/>
  <c r="V1236" i="4"/>
  <c r="U1236" i="4"/>
  <c r="T1236" i="4"/>
  <c r="T1318" i="4" s="1"/>
  <c r="S1236" i="4"/>
  <c r="R1236" i="4"/>
  <c r="Q1236" i="4"/>
  <c r="P1236" i="4"/>
  <c r="O1236" i="4"/>
  <c r="N1236" i="4"/>
  <c r="M1236" i="4"/>
  <c r="L1236" i="4"/>
  <c r="K1236" i="4"/>
  <c r="J1236" i="4"/>
  <c r="I1236" i="4"/>
  <c r="AK1231" i="4"/>
  <c r="AJ1231" i="4"/>
  <c r="AI1231" i="4"/>
  <c r="AH1231" i="4"/>
  <c r="AG1231" i="4"/>
  <c r="AF1231" i="4"/>
  <c r="AE1231" i="4"/>
  <c r="AD1231" i="4"/>
  <c r="AC1231" i="4"/>
  <c r="AC1313" i="4" s="1"/>
  <c r="AB1231" i="4"/>
  <c r="AA1231" i="4"/>
  <c r="Z1231" i="4"/>
  <c r="Y1231" i="4"/>
  <c r="X1231" i="4"/>
  <c r="W1231" i="4"/>
  <c r="V1231" i="4"/>
  <c r="U1231" i="4"/>
  <c r="T1231" i="4"/>
  <c r="S1231" i="4"/>
  <c r="R1231" i="4"/>
  <c r="Q1231" i="4"/>
  <c r="P1231" i="4"/>
  <c r="O1231" i="4"/>
  <c r="N1231" i="4"/>
  <c r="M1231" i="4"/>
  <c r="L1231" i="4"/>
  <c r="K1231" i="4"/>
  <c r="J1231" i="4"/>
  <c r="I1231" i="4"/>
  <c r="AK1226" i="4"/>
  <c r="AJ1226" i="4"/>
  <c r="AI1226" i="4"/>
  <c r="AH1226" i="4"/>
  <c r="AG1226" i="4"/>
  <c r="AF1226" i="4"/>
  <c r="AE1226" i="4"/>
  <c r="AD1226" i="4"/>
  <c r="AC1226" i="4"/>
  <c r="AC1308" i="4" s="1"/>
  <c r="AB1226" i="4"/>
  <c r="AA1226" i="4"/>
  <c r="Z1226" i="4"/>
  <c r="Y1226" i="4"/>
  <c r="X1226" i="4"/>
  <c r="W1226" i="4"/>
  <c r="V1226" i="4"/>
  <c r="U1226" i="4"/>
  <c r="T1226" i="4"/>
  <c r="S1226" i="4"/>
  <c r="R1226" i="4"/>
  <c r="Q1226" i="4"/>
  <c r="P1226" i="4"/>
  <c r="O1226" i="4"/>
  <c r="N1226" i="4"/>
  <c r="M1226" i="4"/>
  <c r="L1226" i="4"/>
  <c r="K1226" i="4"/>
  <c r="J1226" i="4"/>
  <c r="I1226" i="4"/>
  <c r="AK1221" i="4"/>
  <c r="AJ1221" i="4"/>
  <c r="AI1221" i="4"/>
  <c r="AH1221" i="4"/>
  <c r="AG1221" i="4"/>
  <c r="AF1221" i="4"/>
  <c r="AE1221" i="4"/>
  <c r="AD1221" i="4"/>
  <c r="AC1221" i="4"/>
  <c r="AB1221" i="4"/>
  <c r="AA1221" i="4"/>
  <c r="Z1221" i="4"/>
  <c r="Y1221" i="4"/>
  <c r="X1221" i="4"/>
  <c r="W1221" i="4"/>
  <c r="V1221" i="4"/>
  <c r="U1221" i="4"/>
  <c r="T1221" i="4"/>
  <c r="T1303" i="4" s="1"/>
  <c r="S1221" i="4"/>
  <c r="R1221" i="4"/>
  <c r="Q1221" i="4"/>
  <c r="P1221" i="4"/>
  <c r="O1221" i="4"/>
  <c r="N1221" i="4"/>
  <c r="M1221" i="4"/>
  <c r="L1221" i="4"/>
  <c r="K1221" i="4"/>
  <c r="J1221" i="4"/>
  <c r="I1221" i="4"/>
  <c r="AK1216" i="4"/>
  <c r="AJ1216" i="4"/>
  <c r="AI1216" i="4"/>
  <c r="AH1216" i="4"/>
  <c r="AG1216" i="4"/>
  <c r="AF1216" i="4"/>
  <c r="AE1216" i="4"/>
  <c r="AD1216" i="4"/>
  <c r="AC1216" i="4"/>
  <c r="AB1216" i="4"/>
  <c r="AB1298" i="4" s="1"/>
  <c r="AA1216" i="4"/>
  <c r="Z1216" i="4"/>
  <c r="Y1216" i="4"/>
  <c r="X1216" i="4"/>
  <c r="W1216" i="4"/>
  <c r="V1216" i="4"/>
  <c r="U1216" i="4"/>
  <c r="T1216" i="4"/>
  <c r="T1218" i="4" s="1"/>
  <c r="T1300" i="4" s="1"/>
  <c r="S1216" i="4"/>
  <c r="R1216" i="4"/>
  <c r="Q1216" i="4"/>
  <c r="P1216" i="4"/>
  <c r="O1216" i="4"/>
  <c r="N1216" i="4"/>
  <c r="M1216" i="4"/>
  <c r="L1216" i="4"/>
  <c r="K1216" i="4"/>
  <c r="J1216" i="4"/>
  <c r="I1216" i="4"/>
  <c r="AK1206" i="4"/>
  <c r="AJ1206" i="4"/>
  <c r="AI1206" i="4"/>
  <c r="AH1206" i="4"/>
  <c r="AG1206" i="4"/>
  <c r="AF1206" i="4"/>
  <c r="AE1206" i="4"/>
  <c r="AD1206" i="4"/>
  <c r="AC1206" i="4"/>
  <c r="AB1206" i="4"/>
  <c r="AA1206" i="4"/>
  <c r="Z1206" i="4"/>
  <c r="Y1206" i="4"/>
  <c r="X1206" i="4"/>
  <c r="W1206" i="4"/>
  <c r="V1206" i="4"/>
  <c r="U1206" i="4"/>
  <c r="T1206" i="4"/>
  <c r="S1206" i="4"/>
  <c r="R1206" i="4"/>
  <c r="Q1206" i="4"/>
  <c r="P1206" i="4"/>
  <c r="O1206" i="4"/>
  <c r="N1206" i="4"/>
  <c r="M1206" i="4"/>
  <c r="L1206" i="4"/>
  <c r="K1206" i="4"/>
  <c r="J1206" i="4"/>
  <c r="I1206" i="4"/>
  <c r="AK1200" i="4"/>
  <c r="AJ1200" i="4"/>
  <c r="AI1200" i="4"/>
  <c r="AH1200" i="4"/>
  <c r="AG1200" i="4"/>
  <c r="AF1200" i="4"/>
  <c r="AE1200" i="4"/>
  <c r="AD1200" i="4"/>
  <c r="AC1200" i="4"/>
  <c r="AC1282" i="4" s="1"/>
  <c r="AB1200" i="4"/>
  <c r="AA1200" i="4"/>
  <c r="Z1200" i="4"/>
  <c r="Y1200" i="4"/>
  <c r="X1200" i="4"/>
  <c r="W1200" i="4"/>
  <c r="V1200" i="4"/>
  <c r="U1200" i="4"/>
  <c r="T1200" i="4"/>
  <c r="T1282" i="4" s="1"/>
  <c r="S1200" i="4"/>
  <c r="R1200" i="4"/>
  <c r="Q1200" i="4"/>
  <c r="P1200" i="4"/>
  <c r="O1200" i="4"/>
  <c r="N1200" i="4"/>
  <c r="M1200" i="4"/>
  <c r="L1200" i="4"/>
  <c r="K1200" i="4"/>
  <c r="J1200" i="4"/>
  <c r="I1200" i="4"/>
  <c r="AK1195" i="4"/>
  <c r="AJ1195" i="4"/>
  <c r="AI1195" i="4"/>
  <c r="AH1195" i="4"/>
  <c r="AG1195" i="4"/>
  <c r="AF1195" i="4"/>
  <c r="AE1195" i="4"/>
  <c r="AD1195" i="4"/>
  <c r="AC1195" i="4"/>
  <c r="AB1195" i="4"/>
  <c r="AA1195" i="4"/>
  <c r="Z1195" i="4"/>
  <c r="Y1195" i="4"/>
  <c r="X1195" i="4"/>
  <c r="W1195" i="4"/>
  <c r="V1195" i="4"/>
  <c r="U1195" i="4"/>
  <c r="T1195" i="4"/>
  <c r="T1277" i="4" s="1"/>
  <c r="S1195" i="4"/>
  <c r="R1195" i="4"/>
  <c r="Q1195" i="4"/>
  <c r="P1195" i="4"/>
  <c r="O1195" i="4"/>
  <c r="N1195" i="4"/>
  <c r="M1195" i="4"/>
  <c r="L1195" i="4"/>
  <c r="K1195" i="4"/>
  <c r="J1195" i="4"/>
  <c r="I1195" i="4"/>
  <c r="AK1190" i="4"/>
  <c r="AJ1190" i="4"/>
  <c r="AI1190" i="4"/>
  <c r="AH1190" i="4"/>
  <c r="AG1190" i="4"/>
  <c r="AF1190" i="4"/>
  <c r="AE1190" i="4"/>
  <c r="AD1190" i="4"/>
  <c r="AC1190" i="4"/>
  <c r="AC1272" i="4" s="1"/>
  <c r="AB1190" i="4"/>
  <c r="AA1190" i="4"/>
  <c r="Z1190" i="4"/>
  <c r="Y1190" i="4"/>
  <c r="X1190" i="4"/>
  <c r="W1190" i="4"/>
  <c r="V1190" i="4"/>
  <c r="U1190" i="4"/>
  <c r="T1190" i="4"/>
  <c r="S1190" i="4"/>
  <c r="R1190" i="4"/>
  <c r="Q1190" i="4"/>
  <c r="P1190" i="4"/>
  <c r="O1190" i="4"/>
  <c r="N1190" i="4"/>
  <c r="M1190" i="4"/>
  <c r="L1190" i="4"/>
  <c r="K1190" i="4"/>
  <c r="J1190" i="4"/>
  <c r="I1190" i="4"/>
  <c r="AK1185" i="4"/>
  <c r="AJ1185" i="4"/>
  <c r="AI1185" i="4"/>
  <c r="AH1185" i="4"/>
  <c r="AG1185" i="4"/>
  <c r="AF1185" i="4"/>
  <c r="AE1185" i="4"/>
  <c r="AD1185" i="4"/>
  <c r="AC1185" i="4"/>
  <c r="AC1267" i="4" s="1"/>
  <c r="AB1185" i="4"/>
  <c r="AA1185" i="4"/>
  <c r="Z1185" i="4"/>
  <c r="Y1185" i="4"/>
  <c r="X1185" i="4"/>
  <c r="W1185" i="4"/>
  <c r="V1185" i="4"/>
  <c r="U1185" i="4"/>
  <c r="T1185" i="4"/>
  <c r="S1185" i="4"/>
  <c r="R1185" i="4"/>
  <c r="Q1185" i="4"/>
  <c r="P1185" i="4"/>
  <c r="O1185" i="4"/>
  <c r="N1185" i="4"/>
  <c r="M1185" i="4"/>
  <c r="L1185" i="4"/>
  <c r="K1185" i="4"/>
  <c r="J1185" i="4"/>
  <c r="I1185" i="4"/>
  <c r="AK1180" i="4"/>
  <c r="AJ1180" i="4"/>
  <c r="AI1180" i="4"/>
  <c r="AH1180" i="4"/>
  <c r="AG1180" i="4"/>
  <c r="AF1180" i="4"/>
  <c r="AE1180" i="4"/>
  <c r="AD1180" i="4"/>
  <c r="AC1180" i="4"/>
  <c r="AC1262" i="4" s="1"/>
  <c r="AB1180" i="4"/>
  <c r="AA1180" i="4"/>
  <c r="Z1180" i="4"/>
  <c r="Y1180" i="4"/>
  <c r="X1180" i="4"/>
  <c r="W1180" i="4"/>
  <c r="V1180" i="4"/>
  <c r="U1180" i="4"/>
  <c r="T1180" i="4"/>
  <c r="T1262" i="4" s="1"/>
  <c r="S1180" i="4"/>
  <c r="R1180" i="4"/>
  <c r="Q1180" i="4"/>
  <c r="P1180" i="4"/>
  <c r="O1180" i="4"/>
  <c r="N1180" i="4"/>
  <c r="M1180" i="4"/>
  <c r="L1180" i="4"/>
  <c r="K1180" i="4"/>
  <c r="J1180" i="4"/>
  <c r="I1180" i="4"/>
  <c r="AK1175" i="4"/>
  <c r="AJ1175" i="4"/>
  <c r="AI1175" i="4"/>
  <c r="AH1175" i="4"/>
  <c r="AG1175" i="4"/>
  <c r="AF1175" i="4"/>
  <c r="AE1175" i="4"/>
  <c r="AD1175" i="4"/>
  <c r="AC1175" i="4"/>
  <c r="AC1257" i="4" s="1"/>
  <c r="AB1175" i="4"/>
  <c r="AA1175" i="4"/>
  <c r="Z1175" i="4"/>
  <c r="Y1175" i="4"/>
  <c r="X1175" i="4"/>
  <c r="W1175" i="4"/>
  <c r="V1175" i="4"/>
  <c r="U1175" i="4"/>
  <c r="T1175" i="4"/>
  <c r="S1175" i="4"/>
  <c r="R1175" i="4"/>
  <c r="Q1175" i="4"/>
  <c r="P1175" i="4"/>
  <c r="O1175" i="4"/>
  <c r="N1175" i="4"/>
  <c r="M1175" i="4"/>
  <c r="L1175" i="4"/>
  <c r="K1175" i="4"/>
  <c r="J1175" i="4"/>
  <c r="I1175" i="4"/>
  <c r="AK1170" i="4"/>
  <c r="AJ1170" i="4"/>
  <c r="AI1170" i="4"/>
  <c r="AH1170" i="4"/>
  <c r="AG1170" i="4"/>
  <c r="AF1170" i="4"/>
  <c r="AE1170" i="4"/>
  <c r="AD1170" i="4"/>
  <c r="AC1170" i="4"/>
  <c r="AC1252" i="4" s="1"/>
  <c r="AB1170" i="4"/>
  <c r="AA1170" i="4"/>
  <c r="Z1170" i="4"/>
  <c r="Y1170" i="4"/>
  <c r="X1170" i="4"/>
  <c r="W1170" i="4"/>
  <c r="V1170" i="4"/>
  <c r="U1170" i="4"/>
  <c r="T1170" i="4"/>
  <c r="S1170" i="4"/>
  <c r="R1170" i="4"/>
  <c r="Q1170" i="4"/>
  <c r="P1170" i="4"/>
  <c r="O1170" i="4"/>
  <c r="N1170" i="4"/>
  <c r="M1170" i="4"/>
  <c r="L1170" i="4"/>
  <c r="K1170" i="4"/>
  <c r="J1170" i="4"/>
  <c r="I1170" i="4"/>
  <c r="AK1149" i="4"/>
  <c r="AJ1149" i="4"/>
  <c r="AI1149" i="4"/>
  <c r="AH1149" i="4"/>
  <c r="AG1149" i="4"/>
  <c r="AF1149" i="4"/>
  <c r="AE1149" i="4"/>
  <c r="AD1149" i="4"/>
  <c r="AC1149" i="4"/>
  <c r="AB1149" i="4"/>
  <c r="AA1149" i="4"/>
  <c r="Z1149" i="4"/>
  <c r="Y1149" i="4"/>
  <c r="X1149" i="4"/>
  <c r="W1149" i="4"/>
  <c r="V1149" i="4"/>
  <c r="U1149" i="4"/>
  <c r="T1149" i="4"/>
  <c r="S1149" i="4"/>
  <c r="R1149" i="4"/>
  <c r="Q1149" i="4"/>
  <c r="P1149" i="4"/>
  <c r="O1149" i="4"/>
  <c r="N1149" i="4"/>
  <c r="AK1148" i="4"/>
  <c r="AJ1148" i="4"/>
  <c r="AI1148" i="4"/>
  <c r="AH1148" i="4"/>
  <c r="AG1148" i="4"/>
  <c r="AF1148" i="4"/>
  <c r="AE1148" i="4"/>
  <c r="AD1148" i="4"/>
  <c r="AC1148" i="4"/>
  <c r="AB1148" i="4"/>
  <c r="AA1148" i="4"/>
  <c r="Z1148" i="4"/>
  <c r="Y1148" i="4"/>
  <c r="X1148" i="4"/>
  <c r="W1148" i="4"/>
  <c r="V1148" i="4"/>
  <c r="U1148" i="4"/>
  <c r="T1148" i="4"/>
  <c r="S1148" i="4"/>
  <c r="R1148" i="4"/>
  <c r="Q1148" i="4"/>
  <c r="P1148" i="4"/>
  <c r="O1148" i="4"/>
  <c r="N1148" i="4"/>
  <c r="AK1147" i="4"/>
  <c r="AJ1147" i="4"/>
  <c r="AI1147" i="4"/>
  <c r="AH1147" i="4"/>
  <c r="AG1147" i="4"/>
  <c r="AF1147" i="4"/>
  <c r="AE1147" i="4"/>
  <c r="AD1147" i="4"/>
  <c r="AC1147" i="4"/>
  <c r="AB1147" i="4"/>
  <c r="AA1147" i="4"/>
  <c r="Z1147" i="4"/>
  <c r="Y1147" i="4"/>
  <c r="X1147" i="4"/>
  <c r="W1147" i="4"/>
  <c r="V1147" i="4"/>
  <c r="U1147" i="4"/>
  <c r="T1147" i="4"/>
  <c r="S1147" i="4"/>
  <c r="R1147" i="4"/>
  <c r="Q1147" i="4"/>
  <c r="P1147" i="4"/>
  <c r="O1147" i="4"/>
  <c r="N1147" i="4"/>
  <c r="AK1146" i="4"/>
  <c r="AK1079" i="4"/>
  <c r="AJ1079" i="4"/>
  <c r="AI1079" i="4"/>
  <c r="AH1079" i="4"/>
  <c r="AG1079" i="4"/>
  <c r="AF1079" i="4"/>
  <c r="AE1079" i="4"/>
  <c r="AD1079" i="4"/>
  <c r="AC1079" i="4"/>
  <c r="AB1079" i="4"/>
  <c r="AA1079" i="4"/>
  <c r="Z1079" i="4"/>
  <c r="Y1079" i="4"/>
  <c r="X1079" i="4"/>
  <c r="W1079" i="4"/>
  <c r="V1079" i="4"/>
  <c r="U1079" i="4"/>
  <c r="T1079" i="4"/>
  <c r="S1079" i="4"/>
  <c r="R1079" i="4"/>
  <c r="Q1079" i="4"/>
  <c r="P1079" i="4"/>
  <c r="O1079" i="4"/>
  <c r="N1079" i="4"/>
  <c r="M1079" i="4"/>
  <c r="L1079" i="4"/>
  <c r="K1079" i="4"/>
  <c r="J1079" i="4"/>
  <c r="I1079" i="4"/>
  <c r="AK1067" i="4"/>
  <c r="AJ1067" i="4"/>
  <c r="AI1067" i="4"/>
  <c r="AH1067" i="4"/>
  <c r="AG1067" i="4"/>
  <c r="AF1067" i="4"/>
  <c r="AE1067" i="4"/>
  <c r="AD1067" i="4"/>
  <c r="AC1067" i="4"/>
  <c r="AB1067" i="4"/>
  <c r="AA1067" i="4"/>
  <c r="Z1067" i="4"/>
  <c r="Y1067" i="4"/>
  <c r="X1067" i="4"/>
  <c r="W1067" i="4"/>
  <c r="V1067" i="4"/>
  <c r="U1067" i="4"/>
  <c r="T1067" i="4"/>
  <c r="S1067" i="4"/>
  <c r="O1067" i="4"/>
  <c r="N1067" i="4"/>
  <c r="M1067" i="4"/>
  <c r="L1067" i="4"/>
  <c r="K1067" i="4"/>
  <c r="J1067" i="4"/>
  <c r="I1067" i="4"/>
  <c r="AK1066" i="4"/>
  <c r="AJ1066" i="4"/>
  <c r="AI1066" i="4"/>
  <c r="AH1066" i="4"/>
  <c r="AG1066" i="4"/>
  <c r="AF1066" i="4"/>
  <c r="AE1066" i="4"/>
  <c r="AD1066" i="4"/>
  <c r="AC1066" i="4"/>
  <c r="AB1066" i="4"/>
  <c r="AA1066" i="4"/>
  <c r="Z1066" i="4"/>
  <c r="Y1066" i="4"/>
  <c r="X1066" i="4"/>
  <c r="W1066" i="4"/>
  <c r="AK1065" i="4"/>
  <c r="AJ1065" i="4"/>
  <c r="AI1065" i="4"/>
  <c r="AH1065" i="4"/>
  <c r="AG1065" i="4"/>
  <c r="AF1065" i="4"/>
  <c r="AE1065" i="4"/>
  <c r="AD1065" i="4"/>
  <c r="AC1065" i="4"/>
  <c r="AB1065" i="4"/>
  <c r="AA1065" i="4"/>
  <c r="Z1065" i="4"/>
  <c r="Y1065" i="4"/>
  <c r="X1065" i="4"/>
  <c r="W1065" i="4"/>
  <c r="V1065" i="4"/>
  <c r="U1065" i="4"/>
  <c r="T1065" i="4"/>
  <c r="S1065" i="4"/>
  <c r="R1065" i="4"/>
  <c r="Q1065" i="4"/>
  <c r="P1065" i="4"/>
  <c r="AK1063" i="4"/>
  <c r="AJ1063" i="4"/>
  <c r="AI1063" i="4"/>
  <c r="AH1063" i="4"/>
  <c r="AG1063" i="4"/>
  <c r="AF1063" i="4"/>
  <c r="AE1063" i="4"/>
  <c r="AD1063" i="4"/>
  <c r="AC1063" i="4"/>
  <c r="AB1063" i="4"/>
  <c r="AA1063" i="4"/>
  <c r="Z1063" i="4"/>
  <c r="Y1063" i="4"/>
  <c r="X1063" i="4"/>
  <c r="W1063" i="4"/>
  <c r="V1063" i="4"/>
  <c r="U1063" i="4"/>
  <c r="T1063" i="4"/>
  <c r="S1063" i="4"/>
  <c r="R1063" i="4"/>
  <c r="Q1063" i="4"/>
  <c r="P1063" i="4"/>
  <c r="O1063" i="4"/>
  <c r="N1063" i="4"/>
  <c r="M1063" i="4"/>
  <c r="L1063" i="4"/>
  <c r="K1063" i="4"/>
  <c r="J1063" i="4"/>
  <c r="I1063" i="4"/>
  <c r="AK1044" i="4"/>
  <c r="AJ1044" i="4"/>
  <c r="AI1044" i="4"/>
  <c r="AH1044" i="4"/>
  <c r="AG1044" i="4"/>
  <c r="AF1044" i="4"/>
  <c r="AE1044" i="4"/>
  <c r="AD1044" i="4"/>
  <c r="AC1044" i="4"/>
  <c r="AB1044" i="4"/>
  <c r="AA1044" i="4"/>
  <c r="Z1044" i="4"/>
  <c r="Y1044" i="4"/>
  <c r="W1044" i="4"/>
  <c r="V1044" i="4"/>
  <c r="U1044" i="4"/>
  <c r="T1044" i="4"/>
  <c r="S1044" i="4"/>
  <c r="R1044" i="4"/>
  <c r="Q1044" i="4"/>
  <c r="O1044" i="4"/>
  <c r="N1044" i="4"/>
  <c r="M1044" i="4"/>
  <c r="L1044" i="4"/>
  <c r="K1044" i="4"/>
  <c r="J1044" i="4"/>
  <c r="I1044" i="4"/>
  <c r="AK1043" i="4"/>
  <c r="AJ1043" i="4"/>
  <c r="AI1043" i="4"/>
  <c r="AH1043" i="4"/>
  <c r="AG1043" i="4"/>
  <c r="AF1043" i="4"/>
  <c r="AE1043" i="4"/>
  <c r="AD1043" i="4"/>
  <c r="AC1043" i="4"/>
  <c r="AB1043" i="4"/>
  <c r="AA1043" i="4"/>
  <c r="Z1043" i="4"/>
  <c r="Y1043" i="4"/>
  <c r="X1043" i="4"/>
  <c r="W1043" i="4"/>
  <c r="AK1042" i="4"/>
  <c r="AJ1042" i="4"/>
  <c r="AI1042" i="4"/>
  <c r="AH1042" i="4"/>
  <c r="AG1042" i="4"/>
  <c r="AF1042" i="4"/>
  <c r="AE1042" i="4"/>
  <c r="AD1042" i="4"/>
  <c r="AC1042" i="4"/>
  <c r="AB1042" i="4"/>
  <c r="AA1042" i="4"/>
  <c r="Z1042" i="4"/>
  <c r="Y1042" i="4"/>
  <c r="X1042" i="4"/>
  <c r="W1042" i="4"/>
  <c r="V1042" i="4"/>
  <c r="U1042" i="4"/>
  <c r="T1042" i="4"/>
  <c r="S1042" i="4"/>
  <c r="R1042" i="4"/>
  <c r="Q1042" i="4"/>
  <c r="P1042" i="4"/>
  <c r="AK1040" i="4"/>
  <c r="AJ1040" i="4"/>
  <c r="AI1040" i="4"/>
  <c r="AH1040" i="4"/>
  <c r="AG1040" i="4"/>
  <c r="AF1040" i="4"/>
  <c r="AE1040" i="4"/>
  <c r="AD1040" i="4"/>
  <c r="AC1040" i="4"/>
  <c r="AB1040" i="4"/>
  <c r="AA1040" i="4"/>
  <c r="Z1040" i="4"/>
  <c r="Y1040" i="4"/>
  <c r="X1040" i="4"/>
  <c r="W1040" i="4"/>
  <c r="V1040" i="4"/>
  <c r="U1040" i="4"/>
  <c r="T1040" i="4"/>
  <c r="S1040" i="4"/>
  <c r="R1040" i="4"/>
  <c r="Q1040" i="4"/>
  <c r="P1040" i="4"/>
  <c r="O1040" i="4"/>
  <c r="N1040" i="4"/>
  <c r="M1040" i="4"/>
  <c r="L1040" i="4"/>
  <c r="K1040" i="4"/>
  <c r="J1040" i="4"/>
  <c r="I1040" i="4"/>
  <c r="AK1021" i="4"/>
  <c r="AJ1021" i="4"/>
  <c r="AI1021" i="4"/>
  <c r="AH1021" i="4"/>
  <c r="AG1021" i="4"/>
  <c r="AF1021" i="4"/>
  <c r="AE1021" i="4"/>
  <c r="AD1021" i="4"/>
  <c r="AC1021" i="4"/>
  <c r="AB1021" i="4"/>
  <c r="AA1021" i="4"/>
  <c r="Z1021" i="4"/>
  <c r="Y1021" i="4"/>
  <c r="X1021" i="4"/>
  <c r="W1021" i="4"/>
  <c r="V1021" i="4"/>
  <c r="U1021" i="4"/>
  <c r="T1021" i="4"/>
  <c r="S1021" i="4"/>
  <c r="R1021" i="4"/>
  <c r="Q1021" i="4"/>
  <c r="P1021" i="4"/>
  <c r="O1021" i="4"/>
  <c r="N1021" i="4"/>
  <c r="M1021" i="4"/>
  <c r="L1021" i="4"/>
  <c r="K1021" i="4"/>
  <c r="J1021" i="4"/>
  <c r="I1021" i="4"/>
  <c r="AK1020" i="4"/>
  <c r="AJ1020" i="4"/>
  <c r="AI1020" i="4"/>
  <c r="AH1020" i="4"/>
  <c r="AG1020" i="4"/>
  <c r="AF1020" i="4"/>
  <c r="AE1020" i="4"/>
  <c r="AD1020" i="4"/>
  <c r="AC1020" i="4"/>
  <c r="AB1020" i="4"/>
  <c r="AA1020" i="4"/>
  <c r="Z1020" i="4"/>
  <c r="Y1020" i="4"/>
  <c r="X1020" i="4"/>
  <c r="W1020" i="4"/>
  <c r="AK1019" i="4"/>
  <c r="AJ1019" i="4"/>
  <c r="AI1019" i="4"/>
  <c r="AH1019" i="4"/>
  <c r="AG1019" i="4"/>
  <c r="AF1019" i="4"/>
  <c r="AE1019" i="4"/>
  <c r="AD1019" i="4"/>
  <c r="AC1019" i="4"/>
  <c r="AB1019" i="4"/>
  <c r="AA1019" i="4"/>
  <c r="Z1019" i="4"/>
  <c r="Y1019" i="4"/>
  <c r="X1019" i="4"/>
  <c r="W1019" i="4"/>
  <c r="V1019" i="4"/>
  <c r="U1019" i="4"/>
  <c r="T1019" i="4"/>
  <c r="S1019" i="4"/>
  <c r="R1019" i="4"/>
  <c r="Q1019" i="4"/>
  <c r="P1019" i="4"/>
  <c r="AK1017" i="4"/>
  <c r="AJ1017" i="4"/>
  <c r="AI1017" i="4"/>
  <c r="AH1017" i="4"/>
  <c r="AG1017" i="4"/>
  <c r="AF1017" i="4"/>
  <c r="AE1017" i="4"/>
  <c r="AD1017" i="4"/>
  <c r="AC1017" i="4"/>
  <c r="AB1017" i="4"/>
  <c r="AA1017" i="4"/>
  <c r="Z1017" i="4"/>
  <c r="Y1017" i="4"/>
  <c r="X1017" i="4"/>
  <c r="W1017" i="4"/>
  <c r="V1017" i="4"/>
  <c r="U1017" i="4"/>
  <c r="T1017" i="4"/>
  <c r="S1017" i="4"/>
  <c r="R1017" i="4"/>
  <c r="Q1017" i="4"/>
  <c r="P1017" i="4"/>
  <c r="O1017" i="4"/>
  <c r="N1017" i="4"/>
  <c r="M1017" i="4"/>
  <c r="L1017" i="4"/>
  <c r="K1017" i="4"/>
  <c r="J1017" i="4"/>
  <c r="I1017" i="4"/>
  <c r="AK984" i="4"/>
  <c r="AJ984" i="4"/>
  <c r="AI984" i="4"/>
  <c r="AH984" i="4"/>
  <c r="AG984" i="4"/>
  <c r="AF984" i="4"/>
  <c r="AE984" i="4"/>
  <c r="AD984" i="4"/>
  <c r="AC984" i="4"/>
  <c r="AB984" i="4"/>
  <c r="AA984" i="4"/>
  <c r="Z984" i="4"/>
  <c r="Y984" i="4"/>
  <c r="X984" i="4"/>
  <c r="W984" i="4"/>
  <c r="V984" i="4"/>
  <c r="U984" i="4"/>
  <c r="T984" i="4"/>
  <c r="S984" i="4"/>
  <c r="R984" i="4"/>
  <c r="Q984" i="4"/>
  <c r="AF983" i="4"/>
  <c r="AK899" i="4"/>
  <c r="AJ899" i="4"/>
  <c r="AI899" i="4"/>
  <c r="AH899" i="4"/>
  <c r="AG899" i="4"/>
  <c r="AF899" i="4"/>
  <c r="AE899" i="4"/>
  <c r="AB899" i="4"/>
  <c r="AA899" i="4"/>
  <c r="Z899" i="4"/>
  <c r="Y899" i="4"/>
  <c r="X899" i="4"/>
  <c r="W899" i="4"/>
  <c r="V899" i="4"/>
  <c r="U899" i="4"/>
  <c r="T899" i="4"/>
  <c r="S899" i="4"/>
  <c r="R899" i="4"/>
  <c r="Q899" i="4"/>
  <c r="P899" i="4"/>
  <c r="O899" i="4"/>
  <c r="N899" i="4"/>
  <c r="M899" i="4"/>
  <c r="L899" i="4"/>
  <c r="K899" i="4"/>
  <c r="J899" i="4"/>
  <c r="I899" i="4"/>
  <c r="C899" i="4"/>
  <c r="AK898" i="4"/>
  <c r="AJ898" i="4"/>
  <c r="AI898" i="4"/>
  <c r="AH898" i="4"/>
  <c r="AG898" i="4"/>
  <c r="AF898" i="4"/>
  <c r="AE898" i="4"/>
  <c r="AB898" i="4"/>
  <c r="AA898" i="4"/>
  <c r="Z898" i="4"/>
  <c r="Y898" i="4"/>
  <c r="X898" i="4"/>
  <c r="W898" i="4"/>
  <c r="V898" i="4"/>
  <c r="U898" i="4"/>
  <c r="T898" i="4"/>
  <c r="S898" i="4"/>
  <c r="R898" i="4"/>
  <c r="Q898" i="4"/>
  <c r="P898" i="4"/>
  <c r="O898" i="4"/>
  <c r="N898" i="4"/>
  <c r="M898" i="4"/>
  <c r="L898" i="4"/>
  <c r="K898" i="4"/>
  <c r="J898" i="4"/>
  <c r="I898" i="4"/>
  <c r="C898" i="4"/>
  <c r="AK897" i="4"/>
  <c r="AJ897" i="4"/>
  <c r="AI897" i="4"/>
  <c r="AH897" i="4"/>
  <c r="AG897" i="4"/>
  <c r="AF897" i="4"/>
  <c r="AE897" i="4"/>
  <c r="AB897" i="4"/>
  <c r="AA897" i="4"/>
  <c r="Z897" i="4"/>
  <c r="Y897" i="4"/>
  <c r="X897" i="4"/>
  <c r="W897" i="4"/>
  <c r="V897" i="4"/>
  <c r="U897" i="4"/>
  <c r="T897" i="4"/>
  <c r="S897" i="4"/>
  <c r="R897" i="4"/>
  <c r="Q897" i="4"/>
  <c r="P897" i="4"/>
  <c r="O897" i="4"/>
  <c r="N897" i="4"/>
  <c r="M897" i="4"/>
  <c r="L897" i="4"/>
  <c r="K897" i="4"/>
  <c r="J897" i="4"/>
  <c r="I897" i="4"/>
  <c r="C897" i="4"/>
  <c r="AK896" i="4"/>
  <c r="AJ896" i="4"/>
  <c r="AI896" i="4"/>
  <c r="AH896" i="4"/>
  <c r="AG896" i="4"/>
  <c r="AF896" i="4"/>
  <c r="AE896" i="4"/>
  <c r="AB896" i="4"/>
  <c r="AA896" i="4"/>
  <c r="Z896" i="4"/>
  <c r="Y896" i="4"/>
  <c r="X896" i="4"/>
  <c r="W896" i="4"/>
  <c r="V896" i="4"/>
  <c r="U896" i="4"/>
  <c r="T896" i="4"/>
  <c r="S896" i="4"/>
  <c r="R896" i="4"/>
  <c r="Q896" i="4"/>
  <c r="P896" i="4"/>
  <c r="O896" i="4"/>
  <c r="N896" i="4"/>
  <c r="M896" i="4"/>
  <c r="L896" i="4"/>
  <c r="K896" i="4"/>
  <c r="J896" i="4"/>
  <c r="I896" i="4"/>
  <c r="C896" i="4"/>
  <c r="AK895" i="4"/>
  <c r="AJ895" i="4"/>
  <c r="AI895" i="4"/>
  <c r="AH895" i="4"/>
  <c r="AG895" i="4"/>
  <c r="AF895" i="4"/>
  <c r="AE895" i="4"/>
  <c r="AB895" i="4"/>
  <c r="AA895" i="4"/>
  <c r="Z895" i="4"/>
  <c r="Y895" i="4"/>
  <c r="X895" i="4"/>
  <c r="W895" i="4"/>
  <c r="V895" i="4"/>
  <c r="U895" i="4"/>
  <c r="T895" i="4"/>
  <c r="S895" i="4"/>
  <c r="R895" i="4"/>
  <c r="Q895" i="4"/>
  <c r="P895" i="4"/>
  <c r="O895" i="4"/>
  <c r="N895" i="4"/>
  <c r="M895" i="4"/>
  <c r="L895" i="4"/>
  <c r="K895" i="4"/>
  <c r="J895" i="4"/>
  <c r="I895" i="4"/>
  <c r="C895" i="4"/>
  <c r="AK894" i="4"/>
  <c r="AJ894" i="4"/>
  <c r="AI894" i="4"/>
  <c r="AH894" i="4"/>
  <c r="AG894" i="4"/>
  <c r="AF894" i="4"/>
  <c r="AE894" i="4"/>
  <c r="AB894" i="4"/>
  <c r="AA894" i="4"/>
  <c r="Z894" i="4"/>
  <c r="Y894" i="4"/>
  <c r="X894" i="4"/>
  <c r="W894" i="4"/>
  <c r="V894" i="4"/>
  <c r="U894" i="4"/>
  <c r="T894" i="4"/>
  <c r="S894" i="4"/>
  <c r="R894" i="4"/>
  <c r="Q894" i="4"/>
  <c r="P894" i="4"/>
  <c r="O894" i="4"/>
  <c r="N894" i="4"/>
  <c r="M894" i="4"/>
  <c r="L894" i="4"/>
  <c r="K894" i="4"/>
  <c r="J894" i="4"/>
  <c r="I894" i="4"/>
  <c r="C894" i="4"/>
  <c r="AK893" i="4"/>
  <c r="AJ893" i="4"/>
  <c r="AI893" i="4"/>
  <c r="AH893" i="4"/>
  <c r="AG893" i="4"/>
  <c r="AF893" i="4"/>
  <c r="AE893" i="4"/>
  <c r="AB893" i="4"/>
  <c r="AA893" i="4"/>
  <c r="Z893" i="4"/>
  <c r="Y893" i="4"/>
  <c r="X893" i="4"/>
  <c r="W893" i="4"/>
  <c r="V893" i="4"/>
  <c r="U893" i="4"/>
  <c r="T893" i="4"/>
  <c r="S893" i="4"/>
  <c r="R893" i="4"/>
  <c r="Q893" i="4"/>
  <c r="P893" i="4"/>
  <c r="O893" i="4"/>
  <c r="N893" i="4"/>
  <c r="M893" i="4"/>
  <c r="L893" i="4"/>
  <c r="K893" i="4"/>
  <c r="J893" i="4"/>
  <c r="I893" i="4"/>
  <c r="C893" i="4"/>
  <c r="AK892" i="4"/>
  <c r="AJ892" i="4"/>
  <c r="AI892" i="4"/>
  <c r="AH892" i="4"/>
  <c r="AG892" i="4"/>
  <c r="AF892" i="4"/>
  <c r="AE892" i="4"/>
  <c r="AB892" i="4"/>
  <c r="AA892" i="4"/>
  <c r="Z892" i="4"/>
  <c r="Y892" i="4"/>
  <c r="X892" i="4"/>
  <c r="W892" i="4"/>
  <c r="V892" i="4"/>
  <c r="U892" i="4"/>
  <c r="T892" i="4"/>
  <c r="S892" i="4"/>
  <c r="R892" i="4"/>
  <c r="Q892" i="4"/>
  <c r="P892" i="4"/>
  <c r="O892" i="4"/>
  <c r="N892" i="4"/>
  <c r="M892" i="4"/>
  <c r="L892" i="4"/>
  <c r="K892" i="4"/>
  <c r="J892" i="4"/>
  <c r="I892" i="4"/>
  <c r="C892" i="4"/>
  <c r="AK891" i="4"/>
  <c r="AJ891" i="4"/>
  <c r="AI891" i="4"/>
  <c r="AH891" i="4"/>
  <c r="AG891" i="4"/>
  <c r="AF891" i="4"/>
  <c r="AE891" i="4"/>
  <c r="AB891" i="4"/>
  <c r="AA891" i="4"/>
  <c r="Z891" i="4"/>
  <c r="Y891" i="4"/>
  <c r="X891" i="4"/>
  <c r="W891" i="4"/>
  <c r="V891" i="4"/>
  <c r="U891" i="4"/>
  <c r="T891" i="4"/>
  <c r="S891" i="4"/>
  <c r="R891" i="4"/>
  <c r="Q891" i="4"/>
  <c r="P891" i="4"/>
  <c r="O891" i="4"/>
  <c r="N891" i="4"/>
  <c r="M891" i="4"/>
  <c r="L891" i="4"/>
  <c r="K891" i="4"/>
  <c r="J891" i="4"/>
  <c r="I891" i="4"/>
  <c r="C891" i="4"/>
  <c r="AK890" i="4"/>
  <c r="AJ890" i="4"/>
  <c r="AI890" i="4"/>
  <c r="AH890" i="4"/>
  <c r="AG890" i="4"/>
  <c r="AF890" i="4"/>
  <c r="AE890" i="4"/>
  <c r="AB890" i="4"/>
  <c r="AA890" i="4"/>
  <c r="Z890" i="4"/>
  <c r="Y890" i="4"/>
  <c r="X890" i="4"/>
  <c r="W890" i="4"/>
  <c r="V890" i="4"/>
  <c r="U890" i="4"/>
  <c r="T890" i="4"/>
  <c r="S890" i="4"/>
  <c r="R890" i="4"/>
  <c r="Q890" i="4"/>
  <c r="P890" i="4"/>
  <c r="O890" i="4"/>
  <c r="N890" i="4"/>
  <c r="M890" i="4"/>
  <c r="L890" i="4"/>
  <c r="K890" i="4"/>
  <c r="J890" i="4"/>
  <c r="I890" i="4"/>
  <c r="C890" i="4"/>
  <c r="AK889" i="4"/>
  <c r="AJ889" i="4"/>
  <c r="AI889" i="4"/>
  <c r="AH889" i="4"/>
  <c r="AG889" i="4"/>
  <c r="AF889" i="4"/>
  <c r="AE889" i="4"/>
  <c r="AB889" i="4"/>
  <c r="AA889" i="4"/>
  <c r="Z889" i="4"/>
  <c r="Y889" i="4"/>
  <c r="X889" i="4"/>
  <c r="W889" i="4"/>
  <c r="V889" i="4"/>
  <c r="U889" i="4"/>
  <c r="T889" i="4"/>
  <c r="S889" i="4"/>
  <c r="R889" i="4"/>
  <c r="Q889" i="4"/>
  <c r="P889" i="4"/>
  <c r="O889" i="4"/>
  <c r="N889" i="4"/>
  <c r="M889" i="4"/>
  <c r="L889" i="4"/>
  <c r="K889" i="4"/>
  <c r="J889" i="4"/>
  <c r="I889" i="4"/>
  <c r="C889" i="4"/>
  <c r="AK888" i="4"/>
  <c r="AJ888" i="4"/>
  <c r="AI888" i="4"/>
  <c r="AH888" i="4"/>
  <c r="AG888" i="4"/>
  <c r="AF888" i="4"/>
  <c r="AE888" i="4"/>
  <c r="AB888" i="4"/>
  <c r="AA888" i="4"/>
  <c r="Z888" i="4"/>
  <c r="Y888" i="4"/>
  <c r="X888" i="4"/>
  <c r="W888" i="4"/>
  <c r="V888" i="4"/>
  <c r="U888" i="4"/>
  <c r="T888" i="4"/>
  <c r="S888" i="4"/>
  <c r="R888" i="4"/>
  <c r="Q888" i="4"/>
  <c r="P888" i="4"/>
  <c r="O888" i="4"/>
  <c r="N888" i="4"/>
  <c r="M888" i="4"/>
  <c r="L888" i="4"/>
  <c r="K888" i="4"/>
  <c r="J888" i="4"/>
  <c r="I888" i="4"/>
  <c r="C888" i="4"/>
  <c r="AK887" i="4"/>
  <c r="AJ887" i="4"/>
  <c r="AI887" i="4"/>
  <c r="AH887" i="4"/>
  <c r="AG887" i="4"/>
  <c r="AF887" i="4"/>
  <c r="AE887" i="4"/>
  <c r="AB887" i="4"/>
  <c r="AA887" i="4"/>
  <c r="Z887" i="4"/>
  <c r="Y887" i="4"/>
  <c r="X887" i="4"/>
  <c r="W887" i="4"/>
  <c r="V887" i="4"/>
  <c r="U887" i="4"/>
  <c r="T887" i="4"/>
  <c r="S887" i="4"/>
  <c r="R887" i="4"/>
  <c r="Q887" i="4"/>
  <c r="P887" i="4"/>
  <c r="O887" i="4"/>
  <c r="N887" i="4"/>
  <c r="M887" i="4"/>
  <c r="L887" i="4"/>
  <c r="K887" i="4"/>
  <c r="J887" i="4"/>
  <c r="I887" i="4"/>
  <c r="C887" i="4"/>
  <c r="AK886" i="4"/>
  <c r="AJ886" i="4"/>
  <c r="AI886" i="4"/>
  <c r="AH886" i="4"/>
  <c r="AG886" i="4"/>
  <c r="AF886" i="4"/>
  <c r="AE886" i="4"/>
  <c r="AB886" i="4"/>
  <c r="AA886" i="4"/>
  <c r="Z886" i="4"/>
  <c r="Y886" i="4"/>
  <c r="X886" i="4"/>
  <c r="W886" i="4"/>
  <c r="V886" i="4"/>
  <c r="U886" i="4"/>
  <c r="T886" i="4"/>
  <c r="S886" i="4"/>
  <c r="R886" i="4"/>
  <c r="Q886" i="4"/>
  <c r="P886" i="4"/>
  <c r="O886" i="4"/>
  <c r="N886" i="4"/>
  <c r="M886" i="4"/>
  <c r="L886" i="4"/>
  <c r="K886" i="4"/>
  <c r="J886" i="4"/>
  <c r="I886" i="4"/>
  <c r="C886" i="4"/>
  <c r="AK885" i="4"/>
  <c r="AJ885" i="4"/>
  <c r="AI885" i="4"/>
  <c r="AH885" i="4"/>
  <c r="AG885" i="4"/>
  <c r="AF885" i="4"/>
  <c r="AE885" i="4"/>
  <c r="AB885" i="4"/>
  <c r="AA885" i="4"/>
  <c r="Z885" i="4"/>
  <c r="Y885" i="4"/>
  <c r="X885" i="4"/>
  <c r="W885" i="4"/>
  <c r="V885" i="4"/>
  <c r="U885" i="4"/>
  <c r="T885" i="4"/>
  <c r="S885" i="4"/>
  <c r="R885" i="4"/>
  <c r="Q885" i="4"/>
  <c r="P885" i="4"/>
  <c r="O885" i="4"/>
  <c r="N885" i="4"/>
  <c r="M885" i="4"/>
  <c r="L885" i="4"/>
  <c r="K885" i="4"/>
  <c r="J885" i="4"/>
  <c r="I885" i="4"/>
  <c r="C885" i="4"/>
  <c r="AK884" i="4"/>
  <c r="AJ884" i="4"/>
  <c r="AI884" i="4"/>
  <c r="AH884" i="4"/>
  <c r="AG884" i="4"/>
  <c r="AF884" i="4"/>
  <c r="AE884" i="4"/>
  <c r="AB884" i="4"/>
  <c r="AA884" i="4"/>
  <c r="Z884" i="4"/>
  <c r="Y884" i="4"/>
  <c r="X884" i="4"/>
  <c r="W884" i="4"/>
  <c r="V884" i="4"/>
  <c r="U884" i="4"/>
  <c r="T884" i="4"/>
  <c r="S884" i="4"/>
  <c r="R884" i="4"/>
  <c r="Q884" i="4"/>
  <c r="P884" i="4"/>
  <c r="O884" i="4"/>
  <c r="N884" i="4"/>
  <c r="M884" i="4"/>
  <c r="L884" i="4"/>
  <c r="K884" i="4"/>
  <c r="J884" i="4"/>
  <c r="I884" i="4"/>
  <c r="C884" i="4"/>
  <c r="AK883" i="4"/>
  <c r="AJ883" i="4"/>
  <c r="AI883" i="4"/>
  <c r="AH883" i="4"/>
  <c r="AG883" i="4"/>
  <c r="AF883" i="4"/>
  <c r="AE883" i="4"/>
  <c r="AB883" i="4"/>
  <c r="AA883" i="4"/>
  <c r="Z883" i="4"/>
  <c r="Y883" i="4"/>
  <c r="X883" i="4"/>
  <c r="W883" i="4"/>
  <c r="V883" i="4"/>
  <c r="U883" i="4"/>
  <c r="T883" i="4"/>
  <c r="S883" i="4"/>
  <c r="R883" i="4"/>
  <c r="Q883" i="4"/>
  <c r="P883" i="4"/>
  <c r="O883" i="4"/>
  <c r="N883" i="4"/>
  <c r="M883" i="4"/>
  <c r="L883" i="4"/>
  <c r="K883" i="4"/>
  <c r="J883" i="4"/>
  <c r="I883" i="4"/>
  <c r="C883" i="4"/>
  <c r="AK882" i="4"/>
  <c r="AJ882" i="4"/>
  <c r="AI882" i="4"/>
  <c r="AH882" i="4"/>
  <c r="AG882" i="4"/>
  <c r="AF882" i="4"/>
  <c r="AE882" i="4"/>
  <c r="AB882" i="4"/>
  <c r="AA882" i="4"/>
  <c r="Z882" i="4"/>
  <c r="Y882" i="4"/>
  <c r="X882" i="4"/>
  <c r="W882" i="4"/>
  <c r="V882" i="4"/>
  <c r="U882" i="4"/>
  <c r="T882" i="4"/>
  <c r="S882" i="4"/>
  <c r="R882" i="4"/>
  <c r="Q882" i="4"/>
  <c r="P882" i="4"/>
  <c r="O882" i="4"/>
  <c r="N882" i="4"/>
  <c r="M882" i="4"/>
  <c r="L882" i="4"/>
  <c r="K882" i="4"/>
  <c r="J882" i="4"/>
  <c r="I882" i="4"/>
  <c r="C882" i="4"/>
  <c r="AK881" i="4"/>
  <c r="AJ881" i="4"/>
  <c r="AI881" i="4"/>
  <c r="AH881" i="4"/>
  <c r="AG881" i="4"/>
  <c r="AF881" i="4"/>
  <c r="AE881" i="4"/>
  <c r="AB881" i="4"/>
  <c r="AA881" i="4"/>
  <c r="Z881" i="4"/>
  <c r="Y881" i="4"/>
  <c r="X881" i="4"/>
  <c r="W881" i="4"/>
  <c r="V881" i="4"/>
  <c r="U881" i="4"/>
  <c r="T881" i="4"/>
  <c r="S881" i="4"/>
  <c r="R881" i="4"/>
  <c r="Q881" i="4"/>
  <c r="P881" i="4"/>
  <c r="O881" i="4"/>
  <c r="N881" i="4"/>
  <c r="M881" i="4"/>
  <c r="L881" i="4"/>
  <c r="K881" i="4"/>
  <c r="J881" i="4"/>
  <c r="I881" i="4"/>
  <c r="C881" i="4"/>
  <c r="AK880" i="4"/>
  <c r="AJ880" i="4"/>
  <c r="AI880" i="4"/>
  <c r="AH880" i="4"/>
  <c r="AG880" i="4"/>
  <c r="AF880" i="4"/>
  <c r="AE880" i="4"/>
  <c r="AB880" i="4"/>
  <c r="AA880" i="4"/>
  <c r="Z880" i="4"/>
  <c r="Y880" i="4"/>
  <c r="X880" i="4"/>
  <c r="W880" i="4"/>
  <c r="V880" i="4"/>
  <c r="U880" i="4"/>
  <c r="T880" i="4"/>
  <c r="S880" i="4"/>
  <c r="R880" i="4"/>
  <c r="Q880" i="4"/>
  <c r="P880" i="4"/>
  <c r="O880" i="4"/>
  <c r="N880" i="4"/>
  <c r="M880" i="4"/>
  <c r="L880" i="4"/>
  <c r="K880" i="4"/>
  <c r="J880" i="4"/>
  <c r="I880" i="4"/>
  <c r="C880" i="4"/>
  <c r="AK879" i="4"/>
  <c r="AJ879" i="4"/>
  <c r="AI879" i="4"/>
  <c r="AH879" i="4"/>
  <c r="AG879" i="4"/>
  <c r="AF879" i="4"/>
  <c r="AE879" i="4"/>
  <c r="AB879" i="4"/>
  <c r="AA879" i="4"/>
  <c r="Z879" i="4"/>
  <c r="Y879" i="4"/>
  <c r="X879" i="4"/>
  <c r="W879" i="4"/>
  <c r="V879" i="4"/>
  <c r="U879" i="4"/>
  <c r="T879" i="4"/>
  <c r="S879" i="4"/>
  <c r="R879" i="4"/>
  <c r="Q879" i="4"/>
  <c r="P879" i="4"/>
  <c r="O879" i="4"/>
  <c r="N879" i="4"/>
  <c r="M879" i="4"/>
  <c r="L879" i="4"/>
  <c r="K879" i="4"/>
  <c r="J879" i="4"/>
  <c r="I879" i="4"/>
  <c r="C879" i="4"/>
  <c r="AK851" i="4"/>
  <c r="AJ851" i="4"/>
  <c r="AI851" i="4"/>
  <c r="AH851" i="4"/>
  <c r="AG851" i="4"/>
  <c r="AF851" i="4"/>
  <c r="AE851" i="4"/>
  <c r="AD851" i="4"/>
  <c r="AC851" i="4"/>
  <c r="AB851" i="4"/>
  <c r="AA851" i="4"/>
  <c r="Z851" i="4"/>
  <c r="Y851" i="4"/>
  <c r="X851" i="4"/>
  <c r="W851" i="4"/>
  <c r="V851" i="4"/>
  <c r="U851" i="4"/>
  <c r="T851" i="4"/>
  <c r="S851" i="4"/>
  <c r="R851" i="4"/>
  <c r="Q851" i="4"/>
  <c r="P851" i="4"/>
  <c r="O851" i="4"/>
  <c r="N851" i="4"/>
  <c r="AK850" i="4"/>
  <c r="AJ850" i="4"/>
  <c r="AI850" i="4"/>
  <c r="AH850" i="4"/>
  <c r="AG850" i="4"/>
  <c r="AF850" i="4"/>
  <c r="AE850" i="4"/>
  <c r="AD850" i="4"/>
  <c r="AC850" i="4"/>
  <c r="AB850" i="4"/>
  <c r="AA850" i="4"/>
  <c r="Z850" i="4"/>
  <c r="Y850" i="4"/>
  <c r="X850" i="4"/>
  <c r="W850" i="4"/>
  <c r="V850" i="4"/>
  <c r="U850" i="4"/>
  <c r="T850" i="4"/>
  <c r="S850" i="4"/>
  <c r="R850" i="4"/>
  <c r="Q850" i="4"/>
  <c r="P850" i="4"/>
  <c r="O850" i="4"/>
  <c r="N850" i="4"/>
  <c r="AK849" i="4"/>
  <c r="AJ849" i="4"/>
  <c r="AI849" i="4"/>
  <c r="AH849" i="4"/>
  <c r="AG849" i="4"/>
  <c r="AF849" i="4"/>
  <c r="AE849" i="4"/>
  <c r="AD849" i="4"/>
  <c r="AC849" i="4"/>
  <c r="AB849" i="4"/>
  <c r="AA849" i="4"/>
  <c r="Z849" i="4"/>
  <c r="Y849" i="4"/>
  <c r="X849" i="4"/>
  <c r="W849" i="4"/>
  <c r="V849" i="4"/>
  <c r="U849" i="4"/>
  <c r="T849" i="4"/>
  <c r="S849" i="4"/>
  <c r="R849" i="4"/>
  <c r="Q849" i="4"/>
  <c r="P849" i="4"/>
  <c r="O849" i="4"/>
  <c r="N849" i="4"/>
  <c r="AK848" i="4"/>
  <c r="AJ848" i="4"/>
  <c r="AI848" i="4"/>
  <c r="AH848" i="4"/>
  <c r="AG848" i="4"/>
  <c r="AF848" i="4"/>
  <c r="AE848" i="4"/>
  <c r="AD848" i="4"/>
  <c r="AC848" i="4"/>
  <c r="AB848" i="4"/>
  <c r="AA848" i="4"/>
  <c r="Z848" i="4"/>
  <c r="Y848" i="4"/>
  <c r="X848" i="4"/>
  <c r="W848" i="4"/>
  <c r="V848" i="4"/>
  <c r="U848" i="4"/>
  <c r="T848" i="4"/>
  <c r="S848" i="4"/>
  <c r="R848" i="4"/>
  <c r="Q848" i="4"/>
  <c r="P848" i="4"/>
  <c r="O848" i="4"/>
  <c r="N848" i="4"/>
  <c r="AK816" i="4"/>
  <c r="AJ816" i="4"/>
  <c r="AI816" i="4"/>
  <c r="AH816" i="4"/>
  <c r="AG816" i="4"/>
  <c r="AF816" i="4"/>
  <c r="AE816" i="4"/>
  <c r="AD816" i="4"/>
  <c r="AC816" i="4"/>
  <c r="AB816" i="4"/>
  <c r="AA816" i="4"/>
  <c r="Z816" i="4"/>
  <c r="Y816" i="4"/>
  <c r="X816" i="4"/>
  <c r="W816" i="4"/>
  <c r="V816" i="4"/>
  <c r="U816" i="4"/>
  <c r="T816" i="4"/>
  <c r="S816" i="4"/>
  <c r="R816" i="4"/>
  <c r="Q816" i="4"/>
  <c r="AK815" i="4"/>
  <c r="AJ815" i="4"/>
  <c r="AI815" i="4"/>
  <c r="AH815" i="4"/>
  <c r="AG815" i="4"/>
  <c r="AF815" i="4"/>
  <c r="AE815" i="4"/>
  <c r="AD815" i="4"/>
  <c r="AC815" i="4"/>
  <c r="AA815" i="4"/>
  <c r="Z815" i="4"/>
  <c r="Y815" i="4"/>
  <c r="X815" i="4"/>
  <c r="W815" i="4"/>
  <c r="V815" i="4"/>
  <c r="U815" i="4"/>
  <c r="T815" i="4"/>
  <c r="S815" i="4"/>
  <c r="R815" i="4"/>
  <c r="Q815" i="4"/>
  <c r="AK814" i="4"/>
  <c r="AJ814" i="4"/>
  <c r="AI814" i="4"/>
  <c r="AH814" i="4"/>
  <c r="AG814" i="4"/>
  <c r="AF814" i="4"/>
  <c r="AE814" i="4"/>
  <c r="AD814" i="4"/>
  <c r="AC814" i="4"/>
  <c r="AB814" i="4"/>
  <c r="AA814" i="4"/>
  <c r="Z814" i="4"/>
  <c r="Y814" i="4"/>
  <c r="X814" i="4"/>
  <c r="W814" i="4"/>
  <c r="V814" i="4"/>
  <c r="U814" i="4"/>
  <c r="T814" i="4"/>
  <c r="S814" i="4"/>
  <c r="R814" i="4"/>
  <c r="Q814" i="4"/>
  <c r="AK813" i="4"/>
  <c r="AJ813" i="4"/>
  <c r="AI813" i="4"/>
  <c r="AH813" i="4"/>
  <c r="AG813" i="4"/>
  <c r="AF813" i="4"/>
  <c r="AE813" i="4"/>
  <c r="AD813" i="4"/>
  <c r="AC813" i="4"/>
  <c r="AB813" i="4"/>
  <c r="AA813" i="4"/>
  <c r="Z813" i="4"/>
  <c r="Y813" i="4"/>
  <c r="X813" i="4"/>
  <c r="W813" i="4"/>
  <c r="V813" i="4"/>
  <c r="U813" i="4"/>
  <c r="T813" i="4"/>
  <c r="S813" i="4"/>
  <c r="R813" i="4"/>
  <c r="Q813" i="4"/>
  <c r="AK812" i="4"/>
  <c r="AJ812" i="4"/>
  <c r="AI812" i="4"/>
  <c r="AH812" i="4"/>
  <c r="AG812" i="4"/>
  <c r="AF812" i="4"/>
  <c r="AE812" i="4"/>
  <c r="AD812" i="4"/>
  <c r="AC812" i="4"/>
  <c r="AB812" i="4"/>
  <c r="AA812" i="4"/>
  <c r="Z812" i="4"/>
  <c r="Y812" i="4"/>
  <c r="X812" i="4"/>
  <c r="W812" i="4"/>
  <c r="V812" i="4"/>
  <c r="U812" i="4"/>
  <c r="T812" i="4"/>
  <c r="S812" i="4"/>
  <c r="R812" i="4"/>
  <c r="Q812" i="4"/>
  <c r="AK811" i="4"/>
  <c r="AJ811" i="4"/>
  <c r="AI811" i="4"/>
  <c r="AH811" i="4"/>
  <c r="AG811" i="4"/>
  <c r="AF811" i="4"/>
  <c r="AE811" i="4"/>
  <c r="AD811" i="4"/>
  <c r="AC811" i="4"/>
  <c r="AB811" i="4"/>
  <c r="AA811" i="4"/>
  <c r="Z811" i="4"/>
  <c r="Y811" i="4"/>
  <c r="X811" i="4"/>
  <c r="W811" i="4"/>
  <c r="V811" i="4"/>
  <c r="U811" i="4"/>
  <c r="T811" i="4"/>
  <c r="S811" i="4"/>
  <c r="R811" i="4"/>
  <c r="Q811" i="4"/>
  <c r="AK810" i="4"/>
  <c r="AJ810" i="4"/>
  <c r="AI810" i="4"/>
  <c r="AH810" i="4"/>
  <c r="AG810" i="4"/>
  <c r="AF810" i="4"/>
  <c r="AE810" i="4"/>
  <c r="AD810" i="4"/>
  <c r="AC810" i="4"/>
  <c r="AB810" i="4"/>
  <c r="AA810" i="4"/>
  <c r="Z810" i="4"/>
  <c r="Y810" i="4"/>
  <c r="X810" i="4"/>
  <c r="W810" i="4"/>
  <c r="V810" i="4"/>
  <c r="U810" i="4"/>
  <c r="T810" i="4"/>
  <c r="S810" i="4"/>
  <c r="R810" i="4"/>
  <c r="Q810" i="4"/>
  <c r="AK809" i="4"/>
  <c r="AJ809" i="4"/>
  <c r="AI809" i="4"/>
  <c r="AH809" i="4"/>
  <c r="AG809" i="4"/>
  <c r="AF809" i="4"/>
  <c r="AE809" i="4"/>
  <c r="AD809" i="4"/>
  <c r="AC809" i="4"/>
  <c r="AB809" i="4"/>
  <c r="AA809" i="4"/>
  <c r="Z809" i="4"/>
  <c r="Y809" i="4"/>
  <c r="X809" i="4"/>
  <c r="W809" i="4"/>
  <c r="V809" i="4"/>
  <c r="U809" i="4"/>
  <c r="T809" i="4"/>
  <c r="S809" i="4"/>
  <c r="R809" i="4"/>
  <c r="Q809" i="4"/>
  <c r="AK808" i="4"/>
  <c r="AJ808" i="4"/>
  <c r="AI808" i="4"/>
  <c r="AH808" i="4"/>
  <c r="AG808" i="4"/>
  <c r="AF808" i="4"/>
  <c r="AE808" i="4"/>
  <c r="AD808" i="4"/>
  <c r="AC808" i="4"/>
  <c r="AB808" i="4"/>
  <c r="AA808" i="4"/>
  <c r="Z808" i="4"/>
  <c r="Y808" i="4"/>
  <c r="X808" i="4"/>
  <c r="W808" i="4"/>
  <c r="V808" i="4"/>
  <c r="U808" i="4"/>
  <c r="T808" i="4"/>
  <c r="S808" i="4"/>
  <c r="R808" i="4"/>
  <c r="Q808" i="4"/>
  <c r="AK807" i="4"/>
  <c r="AJ807" i="4"/>
  <c r="AI807" i="4"/>
  <c r="AH807" i="4"/>
  <c r="AG807" i="4"/>
  <c r="AF807" i="4"/>
  <c r="AE807" i="4"/>
  <c r="AD807" i="4"/>
  <c r="AC807" i="4"/>
  <c r="AB807" i="4"/>
  <c r="AA807" i="4"/>
  <c r="Z807" i="4"/>
  <c r="Y807" i="4"/>
  <c r="X807" i="4"/>
  <c r="W807" i="4"/>
  <c r="V807" i="4"/>
  <c r="U807" i="4"/>
  <c r="T807" i="4"/>
  <c r="S807" i="4"/>
  <c r="R807" i="4"/>
  <c r="Q807" i="4"/>
  <c r="AK806" i="4"/>
  <c r="AJ806" i="4"/>
  <c r="AI806" i="4"/>
  <c r="AH806" i="4"/>
  <c r="AG806" i="4"/>
  <c r="AF806" i="4"/>
  <c r="AE806" i="4"/>
  <c r="AD806" i="4"/>
  <c r="AC806" i="4"/>
  <c r="AB806" i="4"/>
  <c r="AA806" i="4"/>
  <c r="Z806" i="4"/>
  <c r="Y806" i="4"/>
  <c r="X806" i="4"/>
  <c r="W806" i="4"/>
  <c r="V806" i="4"/>
  <c r="U806" i="4"/>
  <c r="T806" i="4"/>
  <c r="S806" i="4"/>
  <c r="R806" i="4"/>
  <c r="Q806" i="4"/>
  <c r="AK805" i="4"/>
  <c r="AJ805" i="4"/>
  <c r="AI805" i="4"/>
  <c r="AH805" i="4"/>
  <c r="AG805" i="4"/>
  <c r="AF805" i="4"/>
  <c r="AE805" i="4"/>
  <c r="AD805" i="4"/>
  <c r="AC805" i="4"/>
  <c r="AB805" i="4"/>
  <c r="AA805" i="4"/>
  <c r="Z805" i="4"/>
  <c r="Y805" i="4"/>
  <c r="X805" i="4"/>
  <c r="W805" i="4"/>
  <c r="V805" i="4"/>
  <c r="U805" i="4"/>
  <c r="T805" i="4"/>
  <c r="S805" i="4"/>
  <c r="R805" i="4"/>
  <c r="Q805" i="4"/>
  <c r="AK803" i="4"/>
  <c r="AJ803" i="4"/>
  <c r="AI803" i="4"/>
  <c r="AH803" i="4"/>
  <c r="AG803" i="4"/>
  <c r="AF803" i="4"/>
  <c r="AE803" i="4"/>
  <c r="AD803" i="4"/>
  <c r="AC803" i="4"/>
  <c r="AB803" i="4"/>
  <c r="AA803" i="4"/>
  <c r="Z803" i="4"/>
  <c r="Y803" i="4"/>
  <c r="X803" i="4"/>
  <c r="W803" i="4"/>
  <c r="V803" i="4"/>
  <c r="U803" i="4"/>
  <c r="T803" i="4"/>
  <c r="S803" i="4"/>
  <c r="R803" i="4"/>
  <c r="Q803" i="4"/>
  <c r="P803" i="4"/>
  <c r="O803" i="4"/>
  <c r="N803" i="4"/>
  <c r="M803" i="4"/>
  <c r="L803" i="4"/>
  <c r="K803" i="4"/>
  <c r="J803" i="4"/>
  <c r="I803" i="4"/>
  <c r="AK802" i="4"/>
  <c r="AJ802" i="4"/>
  <c r="AI802" i="4"/>
  <c r="AH802" i="4"/>
  <c r="AG802" i="4"/>
  <c r="AF802" i="4"/>
  <c r="AE802" i="4"/>
  <c r="AD802" i="4"/>
  <c r="AC802" i="4"/>
  <c r="AB802" i="4"/>
  <c r="AA802" i="4"/>
  <c r="Z802" i="4"/>
  <c r="Y802" i="4"/>
  <c r="X802" i="4"/>
  <c r="W802" i="4"/>
  <c r="V802" i="4"/>
  <c r="U802" i="4"/>
  <c r="T802" i="4"/>
  <c r="S802" i="4"/>
  <c r="R802" i="4"/>
  <c r="Q802" i="4"/>
  <c r="P802" i="4"/>
  <c r="O802" i="4"/>
  <c r="N802" i="4"/>
  <c r="M802" i="4"/>
  <c r="L802" i="4"/>
  <c r="K802" i="4"/>
  <c r="J802" i="4"/>
  <c r="I802" i="4"/>
  <c r="AK801" i="4"/>
  <c r="AJ801" i="4"/>
  <c r="AI801" i="4"/>
  <c r="AH801" i="4"/>
  <c r="AG801" i="4"/>
  <c r="AF801" i="4"/>
  <c r="AE801" i="4"/>
  <c r="AD801" i="4"/>
  <c r="AC801" i="4"/>
  <c r="AA801" i="4"/>
  <c r="Z801" i="4"/>
  <c r="Y801" i="4"/>
  <c r="X801" i="4"/>
  <c r="W801" i="4"/>
  <c r="V801" i="4"/>
  <c r="U801" i="4"/>
  <c r="T801" i="4"/>
  <c r="S801" i="4"/>
  <c r="R801" i="4"/>
  <c r="Q801" i="4"/>
  <c r="P801" i="4"/>
  <c r="O801" i="4"/>
  <c r="N801" i="4"/>
  <c r="M801" i="4"/>
  <c r="L801" i="4"/>
  <c r="K801" i="4"/>
  <c r="J801" i="4"/>
  <c r="I801" i="4"/>
  <c r="AK800" i="4"/>
  <c r="AJ800" i="4"/>
  <c r="AI800" i="4"/>
  <c r="AH800" i="4"/>
  <c r="AG800" i="4"/>
  <c r="AF800" i="4"/>
  <c r="AE800" i="4"/>
  <c r="AD800" i="4"/>
  <c r="AC800" i="4"/>
  <c r="AA800" i="4"/>
  <c r="Z800" i="4"/>
  <c r="Y800" i="4"/>
  <c r="X800" i="4"/>
  <c r="W800" i="4"/>
  <c r="V800" i="4"/>
  <c r="U800" i="4"/>
  <c r="T800" i="4"/>
  <c r="S800" i="4"/>
  <c r="R800" i="4"/>
  <c r="Q800" i="4"/>
  <c r="P800" i="4"/>
  <c r="O800" i="4"/>
  <c r="N800" i="4"/>
  <c r="M800" i="4"/>
  <c r="L800" i="4"/>
  <c r="K800" i="4"/>
  <c r="J800" i="4"/>
  <c r="I800" i="4"/>
  <c r="AK799" i="4"/>
  <c r="AJ799" i="4"/>
  <c r="AI799" i="4"/>
  <c r="AH799" i="4"/>
  <c r="AG799" i="4"/>
  <c r="AF799" i="4"/>
  <c r="AE799" i="4"/>
  <c r="AD799" i="4"/>
  <c r="AC799" i="4"/>
  <c r="AA799" i="4"/>
  <c r="Z799" i="4"/>
  <c r="Y799" i="4"/>
  <c r="X799" i="4"/>
  <c r="W799" i="4"/>
  <c r="V799" i="4"/>
  <c r="U799" i="4"/>
  <c r="T799" i="4"/>
  <c r="S799" i="4"/>
  <c r="R799" i="4"/>
  <c r="Q799" i="4"/>
  <c r="P799" i="4"/>
  <c r="O799" i="4"/>
  <c r="N799" i="4"/>
  <c r="M799" i="4"/>
  <c r="L799" i="4"/>
  <c r="K799" i="4"/>
  <c r="J799" i="4"/>
  <c r="I799" i="4"/>
  <c r="AK798" i="4"/>
  <c r="AJ798" i="4"/>
  <c r="AI798" i="4"/>
  <c r="AH798" i="4"/>
  <c r="AG798" i="4"/>
  <c r="AF798" i="4"/>
  <c r="AE798" i="4"/>
  <c r="AD798" i="4"/>
  <c r="AC798" i="4"/>
  <c r="AA798" i="4"/>
  <c r="Z798" i="4"/>
  <c r="Y798" i="4"/>
  <c r="X798" i="4"/>
  <c r="W798" i="4"/>
  <c r="V798" i="4"/>
  <c r="U798" i="4"/>
  <c r="T798" i="4"/>
  <c r="S798" i="4"/>
  <c r="R798" i="4"/>
  <c r="Q798" i="4"/>
  <c r="P798" i="4"/>
  <c r="O798" i="4"/>
  <c r="N798" i="4"/>
  <c r="M798" i="4"/>
  <c r="L798" i="4"/>
  <c r="K798" i="4"/>
  <c r="J798" i="4"/>
  <c r="I798" i="4"/>
  <c r="AK797" i="4"/>
  <c r="AJ797" i="4"/>
  <c r="AI797" i="4"/>
  <c r="AH797" i="4"/>
  <c r="AG797" i="4"/>
  <c r="AF797" i="4"/>
  <c r="AE797" i="4"/>
  <c r="AD797" i="4"/>
  <c r="AC797" i="4"/>
  <c r="AA797" i="4"/>
  <c r="Z797" i="4"/>
  <c r="Y797" i="4"/>
  <c r="X797" i="4"/>
  <c r="W797" i="4"/>
  <c r="V797" i="4"/>
  <c r="U797" i="4"/>
  <c r="T797" i="4"/>
  <c r="S797" i="4"/>
  <c r="R797" i="4"/>
  <c r="Q797" i="4"/>
  <c r="P797" i="4"/>
  <c r="O797" i="4"/>
  <c r="N797" i="4"/>
  <c r="M797" i="4"/>
  <c r="L797" i="4"/>
  <c r="K797" i="4"/>
  <c r="J797" i="4"/>
  <c r="I797" i="4"/>
  <c r="AK796" i="4"/>
  <c r="AJ796" i="4"/>
  <c r="AI796" i="4"/>
  <c r="AH796" i="4"/>
  <c r="AG796" i="4"/>
  <c r="AF796" i="4"/>
  <c r="AE796" i="4"/>
  <c r="AD796" i="4"/>
  <c r="AC796" i="4"/>
  <c r="AA796" i="4"/>
  <c r="Z796" i="4"/>
  <c r="Y796" i="4"/>
  <c r="X796" i="4"/>
  <c r="W796" i="4"/>
  <c r="V796" i="4"/>
  <c r="U796" i="4"/>
  <c r="T796" i="4"/>
  <c r="S796" i="4"/>
  <c r="R796" i="4"/>
  <c r="Q796" i="4"/>
  <c r="P796" i="4"/>
  <c r="O796" i="4"/>
  <c r="N796" i="4"/>
  <c r="M796" i="4"/>
  <c r="L796" i="4"/>
  <c r="K796" i="4"/>
  <c r="J796" i="4"/>
  <c r="I796" i="4"/>
  <c r="AK795" i="4"/>
  <c r="AJ795" i="4"/>
  <c r="AI795" i="4"/>
  <c r="AH795" i="4"/>
  <c r="AG795" i="4"/>
  <c r="AF795" i="4"/>
  <c r="AE795" i="4"/>
  <c r="AD795" i="4"/>
  <c r="AC795" i="4"/>
  <c r="AA795" i="4"/>
  <c r="Z795" i="4"/>
  <c r="Y795" i="4"/>
  <c r="X795" i="4"/>
  <c r="W795" i="4"/>
  <c r="V795" i="4"/>
  <c r="U795" i="4"/>
  <c r="T795" i="4"/>
  <c r="S795" i="4"/>
  <c r="R795" i="4"/>
  <c r="Q795" i="4"/>
  <c r="P795" i="4"/>
  <c r="O795" i="4"/>
  <c r="N795" i="4"/>
  <c r="M795" i="4"/>
  <c r="L795" i="4"/>
  <c r="K795" i="4"/>
  <c r="J795" i="4"/>
  <c r="I795" i="4"/>
  <c r="AK794" i="4"/>
  <c r="AJ794" i="4"/>
  <c r="AI794" i="4"/>
  <c r="AH794" i="4"/>
  <c r="AG794" i="4"/>
  <c r="AF794" i="4"/>
  <c r="AE794" i="4"/>
  <c r="AD794" i="4"/>
  <c r="AC794" i="4"/>
  <c r="AB794" i="4"/>
  <c r="AA794" i="4"/>
  <c r="Z794" i="4"/>
  <c r="Y794" i="4"/>
  <c r="X794" i="4"/>
  <c r="W794" i="4"/>
  <c r="V794" i="4"/>
  <c r="U794" i="4"/>
  <c r="T794" i="4"/>
  <c r="S794" i="4"/>
  <c r="R794" i="4"/>
  <c r="Q794" i="4"/>
  <c r="P794" i="4"/>
  <c r="O794" i="4"/>
  <c r="N794" i="4"/>
  <c r="M794" i="4"/>
  <c r="L794" i="4"/>
  <c r="K794" i="4"/>
  <c r="J794" i="4"/>
  <c r="I794" i="4"/>
  <c r="AK793" i="4"/>
  <c r="AJ793" i="4"/>
  <c r="AI793" i="4"/>
  <c r="AH793" i="4"/>
  <c r="AG793" i="4"/>
  <c r="AF793" i="4"/>
  <c r="AE793" i="4"/>
  <c r="AD793" i="4"/>
  <c r="AC793" i="4"/>
  <c r="AB793" i="4"/>
  <c r="AA793" i="4"/>
  <c r="Z793" i="4"/>
  <c r="Y793" i="4"/>
  <c r="X793" i="4"/>
  <c r="W793" i="4"/>
  <c r="V793" i="4"/>
  <c r="U793" i="4"/>
  <c r="T793" i="4"/>
  <c r="S793" i="4"/>
  <c r="R793" i="4"/>
  <c r="Q793" i="4"/>
  <c r="P793" i="4"/>
  <c r="O793" i="4"/>
  <c r="N793" i="4"/>
  <c r="M793" i="4"/>
  <c r="L793" i="4"/>
  <c r="K793" i="4"/>
  <c r="J793" i="4"/>
  <c r="I793" i="4"/>
  <c r="AK792" i="4"/>
  <c r="AJ792" i="4"/>
  <c r="AI792" i="4"/>
  <c r="AH792" i="4"/>
  <c r="AG792" i="4"/>
  <c r="AF792" i="4"/>
  <c r="AE792" i="4"/>
  <c r="AD792" i="4"/>
  <c r="AC792" i="4"/>
  <c r="AB792" i="4"/>
  <c r="AA792" i="4"/>
  <c r="Z792" i="4"/>
  <c r="Y792" i="4"/>
  <c r="X792" i="4"/>
  <c r="W792" i="4"/>
  <c r="V792" i="4"/>
  <c r="U792" i="4"/>
  <c r="T792" i="4"/>
  <c r="S792" i="4"/>
  <c r="R792" i="4"/>
  <c r="Q792" i="4"/>
  <c r="P792" i="4"/>
  <c r="O792" i="4"/>
  <c r="N792" i="4"/>
  <c r="M792" i="4"/>
  <c r="L792" i="4"/>
  <c r="K792" i="4"/>
  <c r="J792" i="4"/>
  <c r="I792" i="4"/>
  <c r="W774" i="4"/>
  <c r="V774" i="4"/>
  <c r="U774" i="4"/>
  <c r="T774" i="4"/>
  <c r="S774" i="4"/>
  <c r="R774" i="4"/>
  <c r="Q774" i="4"/>
  <c r="W773" i="4"/>
  <c r="V773" i="4"/>
  <c r="U773" i="4"/>
  <c r="T773" i="4"/>
  <c r="S773" i="4"/>
  <c r="R773" i="4"/>
  <c r="Q773" i="4"/>
  <c r="W772" i="4"/>
  <c r="V772" i="4"/>
  <c r="U772" i="4"/>
  <c r="T772" i="4"/>
  <c r="S772" i="4"/>
  <c r="R772" i="4"/>
  <c r="Q772" i="4"/>
  <c r="W771" i="4"/>
  <c r="V771" i="4"/>
  <c r="U771" i="4"/>
  <c r="T771" i="4"/>
  <c r="S771" i="4"/>
  <c r="R771" i="4"/>
  <c r="Q771" i="4"/>
  <c r="AK764" i="4"/>
  <c r="AJ764" i="4"/>
  <c r="AI764" i="4"/>
  <c r="AH764" i="4"/>
  <c r="AG764" i="4"/>
  <c r="AF764" i="4"/>
  <c r="AE764" i="4"/>
  <c r="AD764" i="4"/>
  <c r="AC764" i="4"/>
  <c r="AB764" i="4"/>
  <c r="AA764" i="4"/>
  <c r="Z764" i="4"/>
  <c r="Y764" i="4"/>
  <c r="X764" i="4"/>
  <c r="W764" i="4"/>
  <c r="V764" i="4"/>
  <c r="U764" i="4"/>
  <c r="T764" i="4"/>
  <c r="S764" i="4"/>
  <c r="R764" i="4"/>
  <c r="Q764" i="4"/>
  <c r="AK763" i="4"/>
  <c r="AJ763" i="4"/>
  <c r="AI763" i="4"/>
  <c r="AH763" i="4"/>
  <c r="AG763" i="4"/>
  <c r="AF763" i="4"/>
  <c r="AE763" i="4"/>
  <c r="AD763" i="4"/>
  <c r="AC763" i="4"/>
  <c r="AB763" i="4"/>
  <c r="AA763" i="4"/>
  <c r="Z763" i="4"/>
  <c r="Y763" i="4"/>
  <c r="X763" i="4"/>
  <c r="W763" i="4"/>
  <c r="V763" i="4"/>
  <c r="U763" i="4"/>
  <c r="T763" i="4"/>
  <c r="S763" i="4"/>
  <c r="R763" i="4"/>
  <c r="Q763" i="4"/>
  <c r="AK762" i="4"/>
  <c r="AJ762" i="4"/>
  <c r="AI762" i="4"/>
  <c r="AH762" i="4"/>
  <c r="AG762" i="4"/>
  <c r="AF762" i="4"/>
  <c r="AE762" i="4"/>
  <c r="AD762" i="4"/>
  <c r="AC762" i="4"/>
  <c r="AB762" i="4"/>
  <c r="AA762" i="4"/>
  <c r="Z762" i="4"/>
  <c r="Y762" i="4"/>
  <c r="X762" i="4"/>
  <c r="W762" i="4"/>
  <c r="V762" i="4"/>
  <c r="U762" i="4"/>
  <c r="T762" i="4"/>
  <c r="S762" i="4"/>
  <c r="R762" i="4"/>
  <c r="Q762" i="4"/>
  <c r="AK761" i="4"/>
  <c r="AJ761" i="4"/>
  <c r="AI761" i="4"/>
  <c r="AH761" i="4"/>
  <c r="AG761" i="4"/>
  <c r="AF761" i="4"/>
  <c r="AE761" i="4"/>
  <c r="AD761" i="4"/>
  <c r="AC761" i="4"/>
  <c r="AB761" i="4"/>
  <c r="AA761" i="4"/>
  <c r="Z761" i="4"/>
  <c r="Y761" i="4"/>
  <c r="X761" i="4"/>
  <c r="W761" i="4"/>
  <c r="V761" i="4"/>
  <c r="U761" i="4"/>
  <c r="T761" i="4"/>
  <c r="S761" i="4"/>
  <c r="R761" i="4"/>
  <c r="Q761" i="4"/>
  <c r="AK760" i="4"/>
  <c r="AJ760" i="4"/>
  <c r="AI760" i="4"/>
  <c r="AH760" i="4"/>
  <c r="AG760" i="4"/>
  <c r="AF760" i="4"/>
  <c r="AE760" i="4"/>
  <c r="AD760" i="4"/>
  <c r="AC760" i="4"/>
  <c r="AB760" i="4"/>
  <c r="AA760" i="4"/>
  <c r="Z760" i="4"/>
  <c r="Y760" i="4"/>
  <c r="X760" i="4"/>
  <c r="W760" i="4"/>
  <c r="V760" i="4"/>
  <c r="U760" i="4"/>
  <c r="T760" i="4"/>
  <c r="S760" i="4"/>
  <c r="R760" i="4"/>
  <c r="Q760" i="4"/>
  <c r="AK759" i="4"/>
  <c r="AJ759" i="4"/>
  <c r="AI759" i="4"/>
  <c r="AH759" i="4"/>
  <c r="AG759" i="4"/>
  <c r="AF759" i="4"/>
  <c r="AE759" i="4"/>
  <c r="AD759" i="4"/>
  <c r="AC759" i="4"/>
  <c r="AB759" i="4"/>
  <c r="AA759" i="4"/>
  <c r="Z759" i="4"/>
  <c r="Y759" i="4"/>
  <c r="X759" i="4"/>
  <c r="W759" i="4"/>
  <c r="V759" i="4"/>
  <c r="U759" i="4"/>
  <c r="T759" i="4"/>
  <c r="S759" i="4"/>
  <c r="R759" i="4"/>
  <c r="Q759" i="4"/>
  <c r="AK758" i="4"/>
  <c r="AJ758" i="4"/>
  <c r="AI758" i="4"/>
  <c r="AH758" i="4"/>
  <c r="AG758" i="4"/>
  <c r="AF758" i="4"/>
  <c r="AE758" i="4"/>
  <c r="AD758" i="4"/>
  <c r="AC758" i="4"/>
  <c r="AB758" i="4"/>
  <c r="AA758" i="4"/>
  <c r="Z758" i="4"/>
  <c r="Y758" i="4"/>
  <c r="X758" i="4"/>
  <c r="W758" i="4"/>
  <c r="V758" i="4"/>
  <c r="U758" i="4"/>
  <c r="T758" i="4"/>
  <c r="S758" i="4"/>
  <c r="R758" i="4"/>
  <c r="Q758" i="4"/>
  <c r="AK757" i="4"/>
  <c r="AJ757" i="4"/>
  <c r="AI757" i="4"/>
  <c r="AH757" i="4"/>
  <c r="AG757" i="4"/>
  <c r="AF757" i="4"/>
  <c r="AE757" i="4"/>
  <c r="AD757" i="4"/>
  <c r="AC757" i="4"/>
  <c r="AB757" i="4"/>
  <c r="AA757" i="4"/>
  <c r="Z757" i="4"/>
  <c r="Y757" i="4"/>
  <c r="X757" i="4"/>
  <c r="W757" i="4"/>
  <c r="V757" i="4"/>
  <c r="U757" i="4"/>
  <c r="T757" i="4"/>
  <c r="S757" i="4"/>
  <c r="R757" i="4"/>
  <c r="Q757" i="4"/>
  <c r="AK756" i="4"/>
  <c r="AJ756" i="4"/>
  <c r="AI756" i="4"/>
  <c r="AH756" i="4"/>
  <c r="AG756" i="4"/>
  <c r="AF756" i="4"/>
  <c r="AE756" i="4"/>
  <c r="AD756" i="4"/>
  <c r="AC756" i="4"/>
  <c r="AB756" i="4"/>
  <c r="AA756" i="4"/>
  <c r="Z756" i="4"/>
  <c r="Y756" i="4"/>
  <c r="X756" i="4"/>
  <c r="W756" i="4"/>
  <c r="V756" i="4"/>
  <c r="U756" i="4"/>
  <c r="T756" i="4"/>
  <c r="S756" i="4"/>
  <c r="R756" i="4"/>
  <c r="Q756" i="4"/>
  <c r="AK755" i="4"/>
  <c r="AJ755" i="4"/>
  <c r="AI755" i="4"/>
  <c r="AH755" i="4"/>
  <c r="AG755" i="4"/>
  <c r="AF755" i="4"/>
  <c r="AE755" i="4"/>
  <c r="AD755" i="4"/>
  <c r="AC755" i="4"/>
  <c r="AB755" i="4"/>
  <c r="AA755" i="4"/>
  <c r="Z755" i="4"/>
  <c r="Y755" i="4"/>
  <c r="X755" i="4"/>
  <c r="W755" i="4"/>
  <c r="V755" i="4"/>
  <c r="U755" i="4"/>
  <c r="T755" i="4"/>
  <c r="S755" i="4"/>
  <c r="R755" i="4"/>
  <c r="Q755" i="4"/>
  <c r="AK754" i="4"/>
  <c r="AJ754" i="4"/>
  <c r="AI754" i="4"/>
  <c r="AH754" i="4"/>
  <c r="AG754" i="4"/>
  <c r="AF754" i="4"/>
  <c r="AE754" i="4"/>
  <c r="AD754" i="4"/>
  <c r="AC754" i="4"/>
  <c r="AB754" i="4"/>
  <c r="AA754" i="4"/>
  <c r="Z754" i="4"/>
  <c r="Y754" i="4"/>
  <c r="X754" i="4"/>
  <c r="W754" i="4"/>
  <c r="V754" i="4"/>
  <c r="U754" i="4"/>
  <c r="T754" i="4"/>
  <c r="S754" i="4"/>
  <c r="R754" i="4"/>
  <c r="Q754" i="4"/>
  <c r="AK753" i="4"/>
  <c r="AJ753" i="4"/>
  <c r="AI753" i="4"/>
  <c r="AH753" i="4"/>
  <c r="AG753" i="4"/>
  <c r="AF753" i="4"/>
  <c r="AE753" i="4"/>
  <c r="AD753" i="4"/>
  <c r="AC753" i="4"/>
  <c r="AB753" i="4"/>
  <c r="AA753" i="4"/>
  <c r="Z753" i="4"/>
  <c r="Y753" i="4"/>
  <c r="X753" i="4"/>
  <c r="W753" i="4"/>
  <c r="V753" i="4"/>
  <c r="U753" i="4"/>
  <c r="T753" i="4"/>
  <c r="S753" i="4"/>
  <c r="R753" i="4"/>
  <c r="Q753" i="4"/>
  <c r="AB751" i="4"/>
  <c r="AA751" i="4"/>
  <c r="Z751" i="4"/>
  <c r="Y751" i="4"/>
  <c r="X751" i="4"/>
  <c r="W751" i="4"/>
  <c r="V751" i="4"/>
  <c r="U751" i="4"/>
  <c r="T751" i="4"/>
  <c r="S751" i="4"/>
  <c r="R751" i="4"/>
  <c r="Q751" i="4"/>
  <c r="U750" i="4"/>
  <c r="V750" i="4" s="1"/>
  <c r="W750" i="4" s="1"/>
  <c r="X750" i="4" s="1"/>
  <c r="Y750" i="4" s="1"/>
  <c r="Z750" i="4" s="1"/>
  <c r="AA750" i="4" s="1"/>
  <c r="AB750" i="4" s="1"/>
  <c r="AC750" i="4" s="1"/>
  <c r="AD750" i="4" s="1"/>
  <c r="AE750" i="4" s="1"/>
  <c r="AF750" i="4" s="1"/>
  <c r="AG750" i="4" s="1"/>
  <c r="AH750" i="4" s="1"/>
  <c r="AI750" i="4" s="1"/>
  <c r="AJ750" i="4" s="1"/>
  <c r="AK750" i="4" s="1"/>
  <c r="S750" i="4"/>
  <c r="R750" i="4" s="1"/>
  <c r="Q750" i="4" s="1"/>
  <c r="AB749" i="4"/>
  <c r="AA749" i="4"/>
  <c r="Z749" i="4"/>
  <c r="Y749" i="4"/>
  <c r="X749" i="4"/>
  <c r="W749" i="4"/>
  <c r="V749" i="4"/>
  <c r="U749" i="4"/>
  <c r="T749" i="4"/>
  <c r="S749" i="4"/>
  <c r="R749" i="4"/>
  <c r="Q749" i="4"/>
  <c r="U748" i="4"/>
  <c r="V748" i="4" s="1"/>
  <c r="W748" i="4" s="1"/>
  <c r="S748" i="4"/>
  <c r="S511" i="4" s="1"/>
  <c r="AB741" i="4"/>
  <c r="AA741" i="4"/>
  <c r="Z741" i="4"/>
  <c r="Y741" i="4"/>
  <c r="X741" i="4"/>
  <c r="W741" i="4"/>
  <c r="V741" i="4"/>
  <c r="U741" i="4"/>
  <c r="T741" i="4"/>
  <c r="S741" i="4"/>
  <c r="R741" i="4"/>
  <c r="Q741" i="4"/>
  <c r="AB738" i="4"/>
  <c r="AA738" i="4"/>
  <c r="Z738" i="4"/>
  <c r="Y738" i="4"/>
  <c r="X738" i="4"/>
  <c r="W738" i="4"/>
  <c r="V738" i="4"/>
  <c r="U738" i="4"/>
  <c r="T738" i="4"/>
  <c r="S738" i="4"/>
  <c r="R738" i="4"/>
  <c r="Q738" i="4"/>
  <c r="Q730" i="4"/>
  <c r="Q512" i="4" s="1"/>
  <c r="AB729" i="4"/>
  <c r="AB512" i="4" s="1"/>
  <c r="AA729" i="4"/>
  <c r="Z729" i="4"/>
  <c r="Y729" i="4"/>
  <c r="X729" i="4"/>
  <c r="W729" i="4"/>
  <c r="V729" i="4"/>
  <c r="U729" i="4"/>
  <c r="T729" i="4"/>
  <c r="S729" i="4"/>
  <c r="R729" i="4"/>
  <c r="Q729" i="4"/>
  <c r="AB689" i="4"/>
  <c r="AA689" i="4"/>
  <c r="AA688" i="4" s="1"/>
  <c r="Z689" i="4"/>
  <c r="Z688" i="4" s="1"/>
  <c r="Y689" i="4"/>
  <c r="Y688" i="4" s="1"/>
  <c r="X689" i="4"/>
  <c r="X688" i="4" s="1"/>
  <c r="W689" i="4"/>
  <c r="W688" i="4" s="1"/>
  <c r="V689" i="4"/>
  <c r="V688" i="4" s="1"/>
  <c r="U689" i="4"/>
  <c r="U688" i="4" s="1"/>
  <c r="T689" i="4"/>
  <c r="T688" i="4" s="1"/>
  <c r="S689" i="4"/>
  <c r="S688" i="4" s="1"/>
  <c r="R689" i="4"/>
  <c r="R688" i="4" s="1"/>
  <c r="Q689" i="4"/>
  <c r="Q688" i="4" s="1"/>
  <c r="P689" i="4"/>
  <c r="P688" i="4" s="1"/>
  <c r="O689" i="4"/>
  <c r="O688" i="4" s="1"/>
  <c r="N689" i="4"/>
  <c r="N688" i="4" s="1"/>
  <c r="M689" i="4"/>
  <c r="M688" i="4" s="1"/>
  <c r="L689" i="4"/>
  <c r="L688" i="4" s="1"/>
  <c r="K689" i="4"/>
  <c r="K688" i="4" s="1"/>
  <c r="J689" i="4"/>
  <c r="J688" i="4" s="1"/>
  <c r="I689" i="4"/>
  <c r="I688" i="4" s="1"/>
  <c r="AB688" i="4"/>
  <c r="AK618" i="4"/>
  <c r="AJ618" i="4"/>
  <c r="AI618" i="4"/>
  <c r="AH618" i="4"/>
  <c r="AG618" i="4"/>
  <c r="AF618" i="4"/>
  <c r="AE618" i="4"/>
  <c r="AD618" i="4"/>
  <c r="AC618" i="4"/>
  <c r="AB618" i="4"/>
  <c r="AA618" i="4"/>
  <c r="Z618" i="4"/>
  <c r="Y618" i="4"/>
  <c r="X618" i="4"/>
  <c r="W618" i="4"/>
  <c r="V618" i="4"/>
  <c r="U618" i="4"/>
  <c r="T618" i="4"/>
  <c r="S618" i="4"/>
  <c r="R618" i="4"/>
  <c r="Q618" i="4"/>
  <c r="P618" i="4"/>
  <c r="O618" i="4"/>
  <c r="N618" i="4"/>
  <c r="M618" i="4"/>
  <c r="L618" i="4"/>
  <c r="K618" i="4"/>
  <c r="J618" i="4"/>
  <c r="AB603" i="4"/>
  <c r="AA603" i="4"/>
  <c r="Z603" i="4"/>
  <c r="Y603" i="4"/>
  <c r="X603" i="4"/>
  <c r="W603" i="4"/>
  <c r="V603" i="4"/>
  <c r="U603" i="4"/>
  <c r="T603" i="4"/>
  <c r="S603" i="4"/>
  <c r="R603" i="4"/>
  <c r="Q603" i="4"/>
  <c r="P603" i="4"/>
  <c r="P602" i="4" s="1"/>
  <c r="O603" i="4"/>
  <c r="N603" i="4"/>
  <c r="M603" i="4"/>
  <c r="L603" i="4"/>
  <c r="L602" i="4" s="1"/>
  <c r="K603" i="4"/>
  <c r="J603" i="4"/>
  <c r="I603" i="4"/>
  <c r="AK595" i="4"/>
  <c r="AK599" i="4" s="1"/>
  <c r="AJ595" i="4"/>
  <c r="AJ599" i="4" s="1"/>
  <c r="AI595" i="4"/>
  <c r="AI599" i="4" s="1"/>
  <c r="AH595" i="4"/>
  <c r="AH599" i="4" s="1"/>
  <c r="AG595" i="4"/>
  <c r="AG599" i="4" s="1"/>
  <c r="AF595" i="4"/>
  <c r="AF599" i="4" s="1"/>
  <c r="AE595" i="4"/>
  <c r="AE599" i="4" s="1"/>
  <c r="AD595" i="4"/>
  <c r="AD599" i="4" s="1"/>
  <c r="AC595" i="4"/>
  <c r="AB595" i="4"/>
  <c r="AA595" i="4"/>
  <c r="AA599" i="4" s="1"/>
  <c r="Z595" i="4"/>
  <c r="Z599" i="4" s="1"/>
  <c r="Y595" i="4"/>
  <c r="Y599" i="4" s="1"/>
  <c r="X595" i="4"/>
  <c r="W595" i="4"/>
  <c r="W599" i="4" s="1"/>
  <c r="V595" i="4"/>
  <c r="V599" i="4" s="1"/>
  <c r="U595" i="4"/>
  <c r="U599" i="4" s="1"/>
  <c r="T595" i="4"/>
  <c r="S595" i="4"/>
  <c r="S599" i="4" s="1"/>
  <c r="R595" i="4"/>
  <c r="R599" i="4" s="1"/>
  <c r="Q595" i="4"/>
  <c r="Q599" i="4" s="1"/>
  <c r="P595" i="4"/>
  <c r="O595" i="4"/>
  <c r="O599" i="4" s="1"/>
  <c r="N595" i="4"/>
  <c r="N599" i="4" s="1"/>
  <c r="M595" i="4"/>
  <c r="M599" i="4" s="1"/>
  <c r="L595" i="4"/>
  <c r="K595" i="4"/>
  <c r="K599" i="4" s="1"/>
  <c r="J595" i="4"/>
  <c r="J599" i="4" s="1"/>
  <c r="I595" i="4"/>
  <c r="I599" i="4" s="1"/>
  <c r="AK594" i="4"/>
  <c r="AJ594" i="4"/>
  <c r="AJ598" i="4" s="1"/>
  <c r="AI594" i="4"/>
  <c r="AI598" i="4" s="1"/>
  <c r="AH594" i="4"/>
  <c r="AF594" i="4"/>
  <c r="AF598" i="4" s="1"/>
  <c r="AE594" i="4"/>
  <c r="AE598" i="4" s="1"/>
  <c r="AD594" i="4"/>
  <c r="AC594" i="4"/>
  <c r="AB594" i="4"/>
  <c r="AB596" i="4" s="1"/>
  <c r="AA594" i="4"/>
  <c r="AA600" i="4" s="1"/>
  <c r="Z594" i="4"/>
  <c r="Y594" i="4"/>
  <c r="Y600" i="4" s="1"/>
  <c r="X594" i="4"/>
  <c r="X596" i="4" s="1"/>
  <c r="W594" i="4"/>
  <c r="V594" i="4"/>
  <c r="V596" i="4" s="1"/>
  <c r="U594" i="4"/>
  <c r="U600" i="4" s="1"/>
  <c r="T594" i="4"/>
  <c r="T596" i="4" s="1"/>
  <c r="S594" i="4"/>
  <c r="S600" i="4" s="1"/>
  <c r="R594" i="4"/>
  <c r="Q594" i="4"/>
  <c r="P594" i="4"/>
  <c r="P596" i="4" s="1"/>
  <c r="O594" i="4"/>
  <c r="N594" i="4"/>
  <c r="M594" i="4"/>
  <c r="M600" i="4" s="1"/>
  <c r="L594" i="4"/>
  <c r="L596" i="4" s="1"/>
  <c r="K594" i="4"/>
  <c r="K600" i="4" s="1"/>
  <c r="J594" i="4"/>
  <c r="I594" i="4"/>
  <c r="I600" i="4" s="1"/>
  <c r="AK592" i="4"/>
  <c r="AJ592" i="4"/>
  <c r="AI592" i="4"/>
  <c r="AH592" i="4"/>
  <c r="AG592" i="4"/>
  <c r="AF592" i="4"/>
  <c r="AE592" i="4"/>
  <c r="AD592" i="4"/>
  <c r="AC592" i="4"/>
  <c r="AB592" i="4"/>
  <c r="AA592" i="4"/>
  <c r="Z592" i="4"/>
  <c r="Y592" i="4"/>
  <c r="X592" i="4"/>
  <c r="W592" i="4"/>
  <c r="V592" i="4"/>
  <c r="U592" i="4"/>
  <c r="T592" i="4"/>
  <c r="S592" i="4"/>
  <c r="R592" i="4"/>
  <c r="Q592" i="4"/>
  <c r="P592" i="4"/>
  <c r="O592" i="4"/>
  <c r="N592" i="4"/>
  <c r="M592" i="4"/>
  <c r="L592" i="4"/>
  <c r="K592" i="4"/>
  <c r="J592" i="4"/>
  <c r="I592" i="4"/>
  <c r="AK591" i="4"/>
  <c r="AJ591" i="4"/>
  <c r="AI591" i="4"/>
  <c r="AH591" i="4"/>
  <c r="AG591" i="4"/>
  <c r="AF591" i="4"/>
  <c r="AE591" i="4"/>
  <c r="AD591" i="4"/>
  <c r="AC591" i="4"/>
  <c r="AB591" i="4"/>
  <c r="AA591" i="4"/>
  <c r="Z591" i="4"/>
  <c r="Y591" i="4"/>
  <c r="X591" i="4"/>
  <c r="W591" i="4"/>
  <c r="V591" i="4"/>
  <c r="U591" i="4"/>
  <c r="T591" i="4"/>
  <c r="S591" i="4"/>
  <c r="R591" i="4"/>
  <c r="Q591" i="4"/>
  <c r="P591" i="4"/>
  <c r="O591" i="4"/>
  <c r="N591" i="4"/>
  <c r="M591" i="4"/>
  <c r="L591" i="4"/>
  <c r="K591" i="4"/>
  <c r="J591" i="4"/>
  <c r="I591" i="4"/>
  <c r="AK590" i="4"/>
  <c r="AJ590" i="4"/>
  <c r="AI590" i="4"/>
  <c r="AH590" i="4"/>
  <c r="AG590" i="4"/>
  <c r="AF590" i="4"/>
  <c r="AE590" i="4"/>
  <c r="AD590" i="4"/>
  <c r="AC590" i="4"/>
  <c r="AB590" i="4"/>
  <c r="AA590" i="4"/>
  <c r="Z590" i="4"/>
  <c r="Y590" i="4"/>
  <c r="X590" i="4"/>
  <c r="W590" i="4"/>
  <c r="V590" i="4"/>
  <c r="U590" i="4"/>
  <c r="T590" i="4"/>
  <c r="S590" i="4"/>
  <c r="R590" i="4"/>
  <c r="Q590" i="4"/>
  <c r="P590" i="4"/>
  <c r="O590" i="4"/>
  <c r="N590" i="4"/>
  <c r="M590" i="4"/>
  <c r="L590" i="4"/>
  <c r="K590" i="4"/>
  <c r="J590" i="4"/>
  <c r="I590" i="4"/>
  <c r="P588" i="4"/>
  <c r="O588" i="4"/>
  <c r="N588" i="4"/>
  <c r="M588" i="4"/>
  <c r="L588" i="4"/>
  <c r="K588" i="4"/>
  <c r="J588" i="4"/>
  <c r="I588" i="4"/>
  <c r="P587" i="4"/>
  <c r="O587" i="4"/>
  <c r="N587" i="4"/>
  <c r="M587" i="4"/>
  <c r="L587" i="4"/>
  <c r="L611" i="4" s="1"/>
  <c r="K587" i="4"/>
  <c r="J587" i="4"/>
  <c r="I587" i="4"/>
  <c r="P586" i="4"/>
  <c r="O586" i="4"/>
  <c r="N586" i="4"/>
  <c r="M586" i="4"/>
  <c r="L586" i="4"/>
  <c r="K586" i="4"/>
  <c r="J586" i="4"/>
  <c r="I586" i="4"/>
  <c r="AB585" i="4"/>
  <c r="S585" i="4"/>
  <c r="AB517" i="4"/>
  <c r="AA517" i="4"/>
  <c r="Z517" i="4"/>
  <c r="Y517" i="4"/>
  <c r="X517" i="4"/>
  <c r="W517" i="4"/>
  <c r="V517" i="4"/>
  <c r="U517" i="4"/>
  <c r="T517" i="4"/>
  <c r="S517" i="4"/>
  <c r="R517" i="4"/>
  <c r="Q517" i="4"/>
  <c r="AB514" i="4"/>
  <c r="AA514" i="4"/>
  <c r="Z514" i="4"/>
  <c r="Y514" i="4"/>
  <c r="X514" i="4"/>
  <c r="W514" i="4"/>
  <c r="V514" i="4"/>
  <c r="U514" i="4"/>
  <c r="T514" i="4"/>
  <c r="S514" i="4"/>
  <c r="R514" i="4"/>
  <c r="Q514" i="4"/>
  <c r="AB513" i="4"/>
  <c r="AA513" i="4"/>
  <c r="Z513" i="4"/>
  <c r="Y513" i="4"/>
  <c r="X513" i="4"/>
  <c r="W513" i="4"/>
  <c r="V513" i="4"/>
  <c r="U513" i="4"/>
  <c r="T513" i="4"/>
  <c r="S513" i="4"/>
  <c r="R513" i="4"/>
  <c r="Q513" i="4"/>
  <c r="AA512" i="4"/>
  <c r="AK423" i="4"/>
  <c r="AJ423" i="4"/>
  <c r="AI423" i="4"/>
  <c r="AH423" i="4"/>
  <c r="AG423" i="4"/>
  <c r="AF423" i="4"/>
  <c r="AE423" i="4"/>
  <c r="AD423" i="4"/>
  <c r="AC423" i="4"/>
  <c r="AB423" i="4"/>
  <c r="AE420" i="4"/>
  <c r="AD420" i="4"/>
  <c r="AC420" i="4"/>
  <c r="AB420" i="4"/>
  <c r="AA420" i="4"/>
  <c r="Z420" i="4"/>
  <c r="Y420" i="4"/>
  <c r="X420" i="4"/>
  <c r="W420" i="4"/>
  <c r="V420" i="4"/>
  <c r="U420" i="4"/>
  <c r="T420" i="4"/>
  <c r="S420" i="4"/>
  <c r="R420" i="4"/>
  <c r="Q420" i="4"/>
  <c r="AK413" i="4"/>
  <c r="AJ413" i="4"/>
  <c r="AI413" i="4"/>
  <c r="AH413" i="4"/>
  <c r="AG413" i="4"/>
  <c r="AF413" i="4"/>
  <c r="AE413" i="4"/>
  <c r="AD413" i="4"/>
  <c r="AC413" i="4"/>
  <c r="AB413" i="4"/>
  <c r="AA413" i="4"/>
  <c r="AK412" i="4"/>
  <c r="AJ412" i="4"/>
  <c r="AI412" i="4"/>
  <c r="AH412" i="4"/>
  <c r="AG412" i="4"/>
  <c r="AF412" i="4"/>
  <c r="AE412" i="4"/>
  <c r="AD412" i="4"/>
  <c r="AC412" i="4"/>
  <c r="AB412" i="4"/>
  <c r="AA412" i="4"/>
  <c r="Z412" i="4"/>
  <c r="Y412" i="4"/>
  <c r="X412" i="4"/>
  <c r="W412" i="4"/>
  <c r="V412" i="4"/>
  <c r="U412" i="4"/>
  <c r="T412" i="4"/>
  <c r="S412" i="4"/>
  <c r="R412" i="4"/>
  <c r="Q412" i="4"/>
  <c r="AK409" i="4"/>
  <c r="AJ409" i="4"/>
  <c r="AI409" i="4"/>
  <c r="AH409" i="4"/>
  <c r="AG409" i="4"/>
  <c r="AF409" i="4"/>
  <c r="AE409" i="4"/>
  <c r="AD409" i="4"/>
  <c r="AC409" i="4"/>
  <c r="AB409" i="4"/>
  <c r="AA409" i="4"/>
  <c r="Z409" i="4"/>
  <c r="Y409" i="4"/>
  <c r="X409" i="4"/>
  <c r="W409" i="4"/>
  <c r="V409" i="4"/>
  <c r="U409" i="4"/>
  <c r="T409" i="4"/>
  <c r="S409" i="4"/>
  <c r="R409" i="4"/>
  <c r="Q409" i="4"/>
  <c r="P409" i="4"/>
  <c r="O409" i="4"/>
  <c r="N409" i="4"/>
  <c r="M409" i="4"/>
  <c r="L409" i="4"/>
  <c r="K409" i="4"/>
  <c r="J409" i="4"/>
  <c r="I409" i="4"/>
  <c r="AK407" i="4"/>
  <c r="AJ407" i="4"/>
  <c r="AI407" i="4"/>
  <c r="AH407" i="4"/>
  <c r="AG407" i="4"/>
  <c r="AF407" i="4"/>
  <c r="AE407" i="4"/>
  <c r="AD407" i="4"/>
  <c r="AC407" i="4"/>
  <c r="AB407" i="4"/>
  <c r="AK402" i="4"/>
  <c r="AJ402" i="4"/>
  <c r="AI402" i="4"/>
  <c r="AH402" i="4"/>
  <c r="AG402" i="4"/>
  <c r="AF402" i="4"/>
  <c r="AE402" i="4"/>
  <c r="AD402" i="4"/>
  <c r="AB402" i="4"/>
  <c r="AB401" i="4" s="1"/>
  <c r="AA402" i="4"/>
  <c r="Z402" i="4"/>
  <c r="Y402" i="4"/>
  <c r="X402" i="4"/>
  <c r="W402" i="4"/>
  <c r="V402" i="4"/>
  <c r="U402" i="4"/>
  <c r="T402" i="4"/>
  <c r="S402" i="4"/>
  <c r="R402" i="4"/>
  <c r="Q402" i="4"/>
  <c r="P402" i="4"/>
  <c r="O402" i="4"/>
  <c r="N402" i="4"/>
  <c r="M402" i="4"/>
  <c r="L402" i="4"/>
  <c r="K402" i="4"/>
  <c r="J402" i="4"/>
  <c r="I402" i="4"/>
  <c r="AK401" i="4"/>
  <c r="AJ401" i="4"/>
  <c r="AI401" i="4"/>
  <c r="AH401" i="4"/>
  <c r="AG401" i="4"/>
  <c r="AF401" i="4"/>
  <c r="AE401" i="4"/>
  <c r="AD401" i="4"/>
  <c r="AK350" i="4"/>
  <c r="AJ350" i="4"/>
  <c r="AI350" i="4"/>
  <c r="AH350" i="4"/>
  <c r="AG350" i="4"/>
  <c r="AF350" i="4"/>
  <c r="AE350" i="4"/>
  <c r="AD350" i="4"/>
  <c r="AC350" i="4"/>
  <c r="AB350" i="4"/>
  <c r="AA350" i="4"/>
  <c r="Z350" i="4"/>
  <c r="Y350" i="4"/>
  <c r="X350" i="4"/>
  <c r="W350" i="4"/>
  <c r="V350" i="4"/>
  <c r="U350" i="4"/>
  <c r="T350" i="4"/>
  <c r="S350" i="4"/>
  <c r="R350" i="4"/>
  <c r="Q350" i="4"/>
  <c r="P350" i="4"/>
  <c r="O350" i="4"/>
  <c r="N350" i="4"/>
  <c r="M350" i="4"/>
  <c r="L350" i="4"/>
  <c r="K350" i="4"/>
  <c r="J350" i="4"/>
  <c r="I350" i="4"/>
  <c r="AK349" i="4"/>
  <c r="AJ349" i="4"/>
  <c r="AI349" i="4"/>
  <c r="AH349" i="4"/>
  <c r="AG349" i="4"/>
  <c r="AF349" i="4"/>
  <c r="AE349" i="4"/>
  <c r="AD349" i="4"/>
  <c r="AC349" i="4"/>
  <c r="AB349" i="4"/>
  <c r="AA349" i="4"/>
  <c r="Z349" i="4"/>
  <c r="Y349" i="4"/>
  <c r="X349" i="4"/>
  <c r="W349" i="4"/>
  <c r="V349" i="4"/>
  <c r="U349" i="4"/>
  <c r="T349" i="4"/>
  <c r="S349" i="4"/>
  <c r="R349" i="4"/>
  <c r="Q349" i="4"/>
  <c r="P349" i="4"/>
  <c r="O349" i="4"/>
  <c r="N349" i="4"/>
  <c r="M349" i="4"/>
  <c r="L349" i="4"/>
  <c r="K349" i="4"/>
  <c r="J349" i="4"/>
  <c r="I349" i="4"/>
  <c r="AK345" i="4"/>
  <c r="AJ345" i="4"/>
  <c r="AI345" i="4"/>
  <c r="AH345" i="4"/>
  <c r="AG345" i="4"/>
  <c r="AF345" i="4"/>
  <c r="AE345" i="4"/>
  <c r="AD345" i="4"/>
  <c r="AC345" i="4"/>
  <c r="AB345" i="4"/>
  <c r="AA345" i="4"/>
  <c r="Z345" i="4"/>
  <c r="Y345" i="4"/>
  <c r="X345" i="4"/>
  <c r="W345" i="4"/>
  <c r="V345" i="4"/>
  <c r="U345" i="4"/>
  <c r="T345" i="4"/>
  <c r="S345" i="4"/>
  <c r="R345" i="4"/>
  <c r="Q345" i="4"/>
  <c r="P345" i="4"/>
  <c r="O345" i="4"/>
  <c r="N345" i="4"/>
  <c r="M345" i="4"/>
  <c r="L345" i="4"/>
  <c r="K345" i="4"/>
  <c r="J345" i="4"/>
  <c r="I345" i="4"/>
  <c r="AK307" i="4"/>
  <c r="AJ307" i="4"/>
  <c r="AI307" i="4"/>
  <c r="AH307" i="4"/>
  <c r="AG307" i="4"/>
  <c r="AF307" i="4"/>
  <c r="AE307" i="4"/>
  <c r="AD307" i="4"/>
  <c r="AC307" i="4"/>
  <c r="AB307" i="4"/>
  <c r="AA307" i="4"/>
  <c r="Z307" i="4"/>
  <c r="W307" i="4"/>
  <c r="R251" i="4"/>
  <c r="Y175" i="4"/>
  <c r="O175" i="4"/>
  <c r="Y173" i="4"/>
  <c r="O173" i="4"/>
  <c r="AK154" i="4"/>
  <c r="AJ154" i="4"/>
  <c r="AI154" i="4"/>
  <c r="AH154" i="4"/>
  <c r="AG154" i="4"/>
  <c r="AF154" i="4"/>
  <c r="AE154" i="4"/>
  <c r="AD154" i="4"/>
  <c r="AC154" i="4"/>
  <c r="AB154" i="4"/>
  <c r="AA154" i="4"/>
  <c r="Z154" i="4"/>
  <c r="Y154" i="4"/>
  <c r="X154" i="4"/>
  <c r="W154" i="4"/>
  <c r="V154" i="4"/>
  <c r="U154" i="4"/>
  <c r="T154" i="4"/>
  <c r="S154" i="4"/>
  <c r="R154" i="4"/>
  <c r="Q154" i="4"/>
  <c r="P154" i="4"/>
  <c r="O154" i="4"/>
  <c r="O156" i="4" s="1"/>
  <c r="Z67" i="4"/>
  <c r="AE66" i="4"/>
  <c r="AJ65" i="4"/>
  <c r="T65" i="4"/>
  <c r="AC64" i="4"/>
  <c r="R64" i="4"/>
  <c r="AF62" i="4"/>
  <c r="AB62" i="4"/>
  <c r="U62" i="4"/>
  <c r="Q62" i="4"/>
  <c r="AF61" i="4"/>
  <c r="AB61" i="4"/>
  <c r="U61" i="4"/>
  <c r="Q61" i="4"/>
  <c r="AA60" i="4"/>
  <c r="Q60" i="4"/>
  <c r="L58" i="4"/>
  <c r="AG53" i="4"/>
  <c r="Y53" i="4"/>
  <c r="Y57" i="4" s="1"/>
  <c r="Q53" i="4"/>
  <c r="AH52" i="4"/>
  <c r="Z52" i="4"/>
  <c r="R52" i="4"/>
  <c r="AI51" i="4"/>
  <c r="AA51" i="4"/>
  <c r="S51" i="4"/>
  <c r="AJ50" i="4"/>
  <c r="AD50" i="4"/>
  <c r="Y50" i="4"/>
  <c r="Y54" i="4" s="1"/>
  <c r="U50" i="4"/>
  <c r="Q50" i="4"/>
  <c r="M50" i="4"/>
  <c r="AI49" i="4"/>
  <c r="AH49" i="4"/>
  <c r="AE49" i="4"/>
  <c r="AD49" i="4"/>
  <c r="AA49" i="4"/>
  <c r="Z49" i="4"/>
  <c r="W49" i="4"/>
  <c r="V49" i="4"/>
  <c r="S49" i="4"/>
  <c r="R49" i="4"/>
  <c r="O49" i="4"/>
  <c r="N49" i="4"/>
  <c r="AJ48" i="4"/>
  <c r="AI48" i="4"/>
  <c r="AF48" i="4"/>
  <c r="AE48" i="4"/>
  <c r="AB48" i="4"/>
  <c r="AA48" i="4"/>
  <c r="X48" i="4"/>
  <c r="W48" i="4"/>
  <c r="T48" i="4"/>
  <c r="S48" i="4"/>
  <c r="P48" i="4"/>
  <c r="O48" i="4"/>
  <c r="AK47" i="4"/>
  <c r="AJ47" i="4"/>
  <c r="AG47" i="4"/>
  <c r="AF47" i="4"/>
  <c r="AC47" i="4"/>
  <c r="AB47" i="4"/>
  <c r="Y47" i="4"/>
  <c r="X47" i="4"/>
  <c r="U47" i="4"/>
  <c r="T47" i="4"/>
  <c r="Q47" i="4"/>
  <c r="P47" i="4"/>
  <c r="M47" i="4"/>
  <c r="AK46" i="4"/>
  <c r="AG46" i="4"/>
  <c r="AC46" i="4"/>
  <c r="Y46" i="4"/>
  <c r="U46" i="4"/>
  <c r="Q46" i="4"/>
  <c r="M46" i="4"/>
  <c r="I1409" i="3"/>
  <c r="I1399" i="3" s="1"/>
  <c r="L1405" i="3"/>
  <c r="M1405" i="3" s="1"/>
  <c r="M1399" i="3" s="1"/>
  <c r="AA1402" i="3"/>
  <c r="AA1399" i="3" s="1"/>
  <c r="AK1399" i="3"/>
  <c r="AJ1399" i="3"/>
  <c r="AI1399" i="3"/>
  <c r="AH1399" i="3"/>
  <c r="AG1399" i="3"/>
  <c r="AF1399" i="3"/>
  <c r="AE1399" i="3"/>
  <c r="AD1399" i="3"/>
  <c r="AC1399" i="3"/>
  <c r="AB1399" i="3"/>
  <c r="Z1399" i="3"/>
  <c r="Y1399" i="3"/>
  <c r="X1399" i="3"/>
  <c r="W1399" i="3"/>
  <c r="V1399" i="3"/>
  <c r="U1399" i="3"/>
  <c r="T1399" i="3"/>
  <c r="S1399" i="3"/>
  <c r="R1399" i="3"/>
  <c r="Q1399" i="3"/>
  <c r="P1399" i="3"/>
  <c r="O1399" i="3"/>
  <c r="N1399" i="3"/>
  <c r="K1399" i="3"/>
  <c r="J1399" i="3"/>
  <c r="AC1392" i="3"/>
  <c r="AB1392" i="3"/>
  <c r="AA1392" i="3"/>
  <c r="Z1392" i="3"/>
  <c r="Y1392" i="3"/>
  <c r="X1392" i="3"/>
  <c r="W1392" i="3"/>
  <c r="V1392" i="3"/>
  <c r="U1392" i="3"/>
  <c r="T1392" i="3"/>
  <c r="S1392" i="3"/>
  <c r="R1392" i="3"/>
  <c r="Q1392" i="3"/>
  <c r="X1391" i="3"/>
  <c r="W1391" i="3"/>
  <c r="V1391" i="3"/>
  <c r="AK1390" i="3"/>
  <c r="AJ1390" i="3"/>
  <c r="AI1390" i="3"/>
  <c r="AH1390" i="3"/>
  <c r="AG1390" i="3"/>
  <c r="AF1390" i="3"/>
  <c r="AE1390" i="3"/>
  <c r="AD1390" i="3"/>
  <c r="AC1390" i="3"/>
  <c r="AB1390" i="3"/>
  <c r="AA1390" i="3"/>
  <c r="Z1390" i="3"/>
  <c r="Y1390" i="3"/>
  <c r="X1390" i="3"/>
  <c r="W1390" i="3"/>
  <c r="V1390" i="3"/>
  <c r="U1390" i="3"/>
  <c r="T1390" i="3"/>
  <c r="S1390" i="3"/>
  <c r="R1390" i="3"/>
  <c r="Q1390" i="3"/>
  <c r="P1390" i="3"/>
  <c r="O1390" i="3"/>
  <c r="N1390" i="3"/>
  <c r="M1390" i="3"/>
  <c r="L1390" i="3"/>
  <c r="K1390" i="3"/>
  <c r="K353" i="4" s="1"/>
  <c r="K352" i="4" s="1"/>
  <c r="J1390" i="3"/>
  <c r="J353" i="4" s="1"/>
  <c r="J352" i="4" s="1"/>
  <c r="I1390" i="3"/>
  <c r="I353" i="4" s="1"/>
  <c r="I352" i="4" s="1"/>
  <c r="AK1368" i="3"/>
  <c r="AJ1368" i="3"/>
  <c r="AI1368" i="3"/>
  <c r="AH1368" i="3"/>
  <c r="AG1368" i="3"/>
  <c r="AF1368" i="3"/>
  <c r="AE1368" i="3"/>
  <c r="AD1368" i="3"/>
  <c r="AC1368" i="3"/>
  <c r="AB1368" i="3"/>
  <c r="AA1368" i="3"/>
  <c r="Z1368" i="3"/>
  <c r="Y1368" i="3"/>
  <c r="X1368" i="3"/>
  <c r="W1368" i="3"/>
  <c r="V1368" i="3"/>
  <c r="U1368" i="3"/>
  <c r="T1368" i="3"/>
  <c r="S1368" i="3"/>
  <c r="R1368" i="3"/>
  <c r="Q1368" i="3"/>
  <c r="P1368" i="3"/>
  <c r="O1368" i="3"/>
  <c r="N1368" i="3"/>
  <c r="M1368" i="3"/>
  <c r="L1368" i="3"/>
  <c r="K1368" i="3"/>
  <c r="J1368" i="3"/>
  <c r="I1368" i="3"/>
  <c r="AK1355" i="3"/>
  <c r="AK167" i="4" s="1"/>
  <c r="AJ1355" i="3"/>
  <c r="AJ167" i="4" s="1"/>
  <c r="AI1355" i="3"/>
  <c r="AI167" i="4" s="1"/>
  <c r="AH1355" i="3"/>
  <c r="AH167" i="4" s="1"/>
  <c r="AG1355" i="3"/>
  <c r="AG167" i="4" s="1"/>
  <c r="AF1355" i="3"/>
  <c r="AF167" i="4" s="1"/>
  <c r="AE1355" i="3"/>
  <c r="AE167" i="4" s="1"/>
  <c r="AD1355" i="3"/>
  <c r="AD167" i="4" s="1"/>
  <c r="AC1355" i="3"/>
  <c r="AC167" i="4" s="1"/>
  <c r="AB1355" i="3"/>
  <c r="AB167" i="4" s="1"/>
  <c r="AA1355" i="3"/>
  <c r="AA167" i="4" s="1"/>
  <c r="Z1355" i="3"/>
  <c r="Z167" i="4" s="1"/>
  <c r="Y1355" i="3"/>
  <c r="Y167" i="4" s="1"/>
  <c r="Y169" i="4" s="1"/>
  <c r="X1355" i="3"/>
  <c r="X167" i="4" s="1"/>
  <c r="W1355" i="3"/>
  <c r="W167" i="4" s="1"/>
  <c r="V1355" i="3"/>
  <c r="V167" i="4" s="1"/>
  <c r="U1355" i="3"/>
  <c r="U167" i="4" s="1"/>
  <c r="T1355" i="3"/>
  <c r="T167" i="4" s="1"/>
  <c r="S1355" i="3"/>
  <c r="S167" i="4" s="1"/>
  <c r="R1355" i="3"/>
  <c r="R167" i="4" s="1"/>
  <c r="Q1355" i="3"/>
  <c r="Q167" i="4" s="1"/>
  <c r="P1355" i="3"/>
  <c r="P167" i="4" s="1"/>
  <c r="O1355" i="3"/>
  <c r="O167" i="4" s="1"/>
  <c r="O169" i="4" s="1"/>
  <c r="N1355" i="3"/>
  <c r="M1355" i="3"/>
  <c r="L1355" i="3"/>
  <c r="K1355" i="3"/>
  <c r="J1355" i="3"/>
  <c r="I1355" i="3"/>
  <c r="AK1335" i="3"/>
  <c r="AJ1335" i="3"/>
  <c r="AI1335" i="3"/>
  <c r="AH1335" i="3"/>
  <c r="AG1335" i="3"/>
  <c r="AF1335" i="3"/>
  <c r="AE1335" i="3"/>
  <c r="AD1335" i="3"/>
  <c r="AC1335" i="3"/>
  <c r="AB1335" i="3"/>
  <c r="AA1335" i="3"/>
  <c r="Z1335" i="3"/>
  <c r="Y1335" i="3"/>
  <c r="X1335" i="3"/>
  <c r="W1335" i="3"/>
  <c r="V1335" i="3"/>
  <c r="U1335" i="3"/>
  <c r="T1335" i="3"/>
  <c r="S1335" i="3"/>
  <c r="R1335" i="3"/>
  <c r="Q1335" i="3"/>
  <c r="P1335" i="3"/>
  <c r="O1335" i="3"/>
  <c r="N1335" i="3"/>
  <c r="AK1322" i="3"/>
  <c r="AJ1322" i="3"/>
  <c r="AI1322" i="3"/>
  <c r="AH1322" i="3"/>
  <c r="AG1322" i="3"/>
  <c r="AF1322" i="3"/>
  <c r="AE1322" i="3"/>
  <c r="AD1322" i="3"/>
  <c r="AC1322" i="3"/>
  <c r="AB1322" i="3"/>
  <c r="AA1322" i="3"/>
  <c r="Z1322" i="3"/>
  <c r="Y1322" i="3"/>
  <c r="X1322" i="3"/>
  <c r="W1322" i="3"/>
  <c r="V1322" i="3"/>
  <c r="U1322" i="3"/>
  <c r="T1322" i="3"/>
  <c r="S1322" i="3"/>
  <c r="R1322" i="3"/>
  <c r="Q1322" i="3"/>
  <c r="P1322" i="3"/>
  <c r="O1322" i="3"/>
  <c r="N1322" i="3"/>
  <c r="AK1321" i="3"/>
  <c r="AK149" i="4" s="1"/>
  <c r="AJ1321" i="3"/>
  <c r="AJ149" i="4" s="1"/>
  <c r="AI1321" i="3"/>
  <c r="AI149" i="4" s="1"/>
  <c r="AH1321" i="3"/>
  <c r="AH149" i="4" s="1"/>
  <c r="AG1321" i="3"/>
  <c r="AG149" i="4" s="1"/>
  <c r="AF1321" i="3"/>
  <c r="AF149" i="4" s="1"/>
  <c r="AE1321" i="3"/>
  <c r="AE149" i="4" s="1"/>
  <c r="AD1321" i="3"/>
  <c r="AD149" i="4" s="1"/>
  <c r="AC1321" i="3"/>
  <c r="AC149" i="4" s="1"/>
  <c r="AB1321" i="3"/>
  <c r="AB149" i="4" s="1"/>
  <c r="AA1321" i="3"/>
  <c r="AA149" i="4" s="1"/>
  <c r="Z1321" i="3"/>
  <c r="Z149" i="4" s="1"/>
  <c r="Y1321" i="3"/>
  <c r="Y149" i="4" s="1"/>
  <c r="Y151" i="4" s="1"/>
  <c r="X1321" i="3"/>
  <c r="X149" i="4" s="1"/>
  <c r="W1321" i="3"/>
  <c r="W149" i="4" s="1"/>
  <c r="V1321" i="3"/>
  <c r="V149" i="4" s="1"/>
  <c r="U1321" i="3"/>
  <c r="U149" i="4" s="1"/>
  <c r="T1321" i="3"/>
  <c r="T149" i="4" s="1"/>
  <c r="S1321" i="3"/>
  <c r="S149" i="4" s="1"/>
  <c r="R1321" i="3"/>
  <c r="R149" i="4" s="1"/>
  <c r="Q1321" i="3"/>
  <c r="Q149" i="4" s="1"/>
  <c r="P1321" i="3"/>
  <c r="P149" i="4" s="1"/>
  <c r="O1321" i="3"/>
  <c r="O149" i="4" s="1"/>
  <c r="N1321" i="3"/>
  <c r="N149" i="4" s="1"/>
  <c r="AK1308" i="3"/>
  <c r="AJ1308" i="3"/>
  <c r="AI1308" i="3"/>
  <c r="AH1308" i="3"/>
  <c r="AG1308" i="3"/>
  <c r="AF1308" i="3"/>
  <c r="AE1308" i="3"/>
  <c r="AD1308" i="3"/>
  <c r="AC1308" i="3"/>
  <c r="AB1308" i="3"/>
  <c r="AA1308" i="3"/>
  <c r="Z1308" i="3"/>
  <c r="Y1308" i="3"/>
  <c r="X1308" i="3"/>
  <c r="W1308" i="3"/>
  <c r="V1308" i="3"/>
  <c r="U1308" i="3"/>
  <c r="T1308" i="3"/>
  <c r="S1308" i="3"/>
  <c r="R1308" i="3"/>
  <c r="Q1308" i="3"/>
  <c r="P1308" i="3"/>
  <c r="O1308" i="3"/>
  <c r="N1308" i="3"/>
  <c r="AK1295" i="3"/>
  <c r="AJ1295" i="3"/>
  <c r="AI1295" i="3"/>
  <c r="AH1295" i="3"/>
  <c r="AG1295" i="3"/>
  <c r="AF1295" i="3"/>
  <c r="AE1295" i="3"/>
  <c r="AD1295" i="3"/>
  <c r="AC1295" i="3"/>
  <c r="AB1295" i="3"/>
  <c r="AA1295" i="3"/>
  <c r="Z1295" i="3"/>
  <c r="Y1295" i="3"/>
  <c r="X1295" i="3"/>
  <c r="W1295" i="3"/>
  <c r="V1295" i="3"/>
  <c r="U1295" i="3"/>
  <c r="T1295" i="3"/>
  <c r="S1295" i="3"/>
  <c r="R1295" i="3"/>
  <c r="Q1295" i="3"/>
  <c r="P1295" i="3"/>
  <c r="O1295" i="3"/>
  <c r="N1295" i="3"/>
  <c r="AK1294" i="3"/>
  <c r="AK1145" i="4" s="1"/>
  <c r="AJ1294" i="3"/>
  <c r="AI1294" i="3"/>
  <c r="AI1145" i="4" s="1"/>
  <c r="AH1294" i="3"/>
  <c r="AH1145" i="4" s="1"/>
  <c r="AG1294" i="3"/>
  <c r="AG1145" i="4" s="1"/>
  <c r="AF1294" i="3"/>
  <c r="AE1294" i="3"/>
  <c r="AD1294" i="3"/>
  <c r="AD1145" i="4" s="1"/>
  <c r="AC1294" i="3"/>
  <c r="AC1145" i="4" s="1"/>
  <c r="AB1294" i="3"/>
  <c r="AA1294" i="3"/>
  <c r="AA1145" i="4" s="1"/>
  <c r="Z1294" i="3"/>
  <c r="Z1145" i="4" s="1"/>
  <c r="Y1294" i="3"/>
  <c r="Y1145" i="4" s="1"/>
  <c r="X1294" i="3"/>
  <c r="W1294" i="3"/>
  <c r="W1145" i="4" s="1"/>
  <c r="V1294" i="3"/>
  <c r="U1294" i="3"/>
  <c r="U1145" i="4" s="1"/>
  <c r="T1294" i="3"/>
  <c r="S1294" i="3"/>
  <c r="S1145" i="4" s="1"/>
  <c r="R1294" i="3"/>
  <c r="R1145" i="4" s="1"/>
  <c r="Q1294" i="3"/>
  <c r="Q1145" i="4" s="1"/>
  <c r="P1294" i="3"/>
  <c r="O1294" i="3"/>
  <c r="N1294" i="3"/>
  <c r="N1145" i="4" s="1"/>
  <c r="AK1280" i="3"/>
  <c r="AJ1280" i="3"/>
  <c r="AI1280" i="3"/>
  <c r="AH1280" i="3"/>
  <c r="AG1280" i="3"/>
  <c r="AF1280" i="3"/>
  <c r="AE1280" i="3"/>
  <c r="AD1280" i="3"/>
  <c r="AC1280" i="3"/>
  <c r="AB1280" i="3"/>
  <c r="AA1280" i="3"/>
  <c r="Z1280" i="3"/>
  <c r="Y1280" i="3"/>
  <c r="X1280" i="3"/>
  <c r="W1280" i="3"/>
  <c r="V1280" i="3"/>
  <c r="U1280" i="3"/>
  <c r="T1280" i="3"/>
  <c r="S1280" i="3"/>
  <c r="R1280" i="3"/>
  <c r="Q1280" i="3"/>
  <c r="P1280" i="3"/>
  <c r="O1280" i="3"/>
  <c r="N1280" i="3"/>
  <c r="M1280" i="3"/>
  <c r="L1280" i="3"/>
  <c r="K1280" i="3"/>
  <c r="J1280" i="3"/>
  <c r="I1280" i="3"/>
  <c r="AK1256" i="3"/>
  <c r="AK938" i="4" s="1"/>
  <c r="AJ1256" i="3"/>
  <c r="AJ938" i="4" s="1"/>
  <c r="AI1256" i="3"/>
  <c r="AI938" i="4" s="1"/>
  <c r="AH1256" i="3"/>
  <c r="AH938" i="4" s="1"/>
  <c r="AG1256" i="3"/>
  <c r="AG938" i="4" s="1"/>
  <c r="AF1256" i="3"/>
  <c r="AF938" i="4" s="1"/>
  <c r="AE1256" i="3"/>
  <c r="AE938" i="4" s="1"/>
  <c r="AD1256" i="3"/>
  <c r="AD938" i="4" s="1"/>
  <c r="AC1256" i="3"/>
  <c r="AC938" i="4" s="1"/>
  <c r="AB1256" i="3"/>
  <c r="AB938" i="4" s="1"/>
  <c r="AA1256" i="3"/>
  <c r="AA938" i="4" s="1"/>
  <c r="Z1256" i="3"/>
  <c r="Z938" i="4" s="1"/>
  <c r="Y1256" i="3"/>
  <c r="Y938" i="4" s="1"/>
  <c r="X1256" i="3"/>
  <c r="X938" i="4" s="1"/>
  <c r="W1256" i="3"/>
  <c r="W938" i="4" s="1"/>
  <c r="V1256" i="3"/>
  <c r="V938" i="4" s="1"/>
  <c r="U1256" i="3"/>
  <c r="U938" i="4" s="1"/>
  <c r="T1256" i="3"/>
  <c r="T938" i="4" s="1"/>
  <c r="S1256" i="3"/>
  <c r="S938" i="4" s="1"/>
  <c r="R1256" i="3"/>
  <c r="R938" i="4" s="1"/>
  <c r="Q1256" i="3"/>
  <c r="Q938" i="4" s="1"/>
  <c r="P1256" i="3"/>
  <c r="P938" i="4" s="1"/>
  <c r="O1256" i="3"/>
  <c r="O938" i="4" s="1"/>
  <c r="N1256" i="3"/>
  <c r="N938" i="4" s="1"/>
  <c r="M1256" i="3"/>
  <c r="M938" i="4" s="1"/>
  <c r="L1256" i="3"/>
  <c r="L938" i="4" s="1"/>
  <c r="K1256" i="3"/>
  <c r="K938" i="4" s="1"/>
  <c r="J1256" i="3"/>
  <c r="J938" i="4" s="1"/>
  <c r="I1256" i="3"/>
  <c r="I938" i="4" s="1"/>
  <c r="X1164" i="3"/>
  <c r="P1163" i="3"/>
  <c r="P1162" i="3"/>
  <c r="P1161" i="3"/>
  <c r="P1160" i="3"/>
  <c r="P1159" i="3"/>
  <c r="P1158" i="3"/>
  <c r="P1157" i="3"/>
  <c r="AK1156" i="3"/>
  <c r="AJ1156" i="3"/>
  <c r="AI1156" i="3"/>
  <c r="AH1156" i="3"/>
  <c r="AG1156" i="3"/>
  <c r="AF1156" i="3"/>
  <c r="AE1156" i="3"/>
  <c r="AD1156" i="3"/>
  <c r="AC1156" i="3"/>
  <c r="AB1156" i="3"/>
  <c r="AA1156" i="3"/>
  <c r="Z1156" i="3"/>
  <c r="Y1156" i="3"/>
  <c r="W1156" i="3"/>
  <c r="V1156" i="3"/>
  <c r="U1156" i="3"/>
  <c r="T1156" i="3"/>
  <c r="S1156" i="3"/>
  <c r="R1156" i="3"/>
  <c r="Q1156" i="3"/>
  <c r="AB1155" i="3"/>
  <c r="AC1146" i="3"/>
  <c r="AK1143" i="3"/>
  <c r="AJ1143" i="3"/>
  <c r="AI1143" i="3"/>
  <c r="AH1143" i="3"/>
  <c r="AG1143" i="3"/>
  <c r="AF1143" i="3"/>
  <c r="AE1143" i="3"/>
  <c r="AD1143" i="3"/>
  <c r="AA1143" i="3"/>
  <c r="Z1143" i="3"/>
  <c r="Y1143" i="3"/>
  <c r="X1143" i="3"/>
  <c r="W1143" i="3"/>
  <c r="V1143" i="3"/>
  <c r="U1143" i="3"/>
  <c r="T1143" i="3"/>
  <c r="S1143" i="3"/>
  <c r="R1143" i="3"/>
  <c r="Q1143" i="3"/>
  <c r="P1143" i="3"/>
  <c r="R1142" i="3"/>
  <c r="Q1142" i="3"/>
  <c r="P1142" i="3"/>
  <c r="R1141" i="3"/>
  <c r="Q1141" i="3"/>
  <c r="P1141" i="3"/>
  <c r="R1140" i="3"/>
  <c r="Q1140" i="3"/>
  <c r="P1140" i="3"/>
  <c r="R1139" i="3"/>
  <c r="Q1139" i="3"/>
  <c r="P1139" i="3"/>
  <c r="R1138" i="3"/>
  <c r="Q1138" i="3"/>
  <c r="P1138" i="3"/>
  <c r="R1137" i="3"/>
  <c r="Q1137" i="3"/>
  <c r="P1137" i="3"/>
  <c r="R1136" i="3"/>
  <c r="Q1136" i="3"/>
  <c r="P1136" i="3"/>
  <c r="R1135" i="3"/>
  <c r="Q1135" i="3"/>
  <c r="P1135" i="3"/>
  <c r="R1134" i="3"/>
  <c r="Q1134" i="3"/>
  <c r="P1134" i="3"/>
  <c r="R1133" i="3"/>
  <c r="Q1133" i="3"/>
  <c r="P1133" i="3"/>
  <c r="R1132" i="3"/>
  <c r="Q1132" i="3"/>
  <c r="P1132" i="3"/>
  <c r="R1131" i="3"/>
  <c r="Q1131" i="3"/>
  <c r="P1131" i="3"/>
  <c r="AK1130" i="3"/>
  <c r="AJ1130" i="3"/>
  <c r="AI1130" i="3"/>
  <c r="AH1130" i="3"/>
  <c r="AG1130" i="3"/>
  <c r="AF1130" i="3"/>
  <c r="AE1130" i="3"/>
  <c r="AD1130" i="3"/>
  <c r="AC1130" i="3"/>
  <c r="AB1130" i="3"/>
  <c r="AA1130" i="3"/>
  <c r="Z1130" i="3"/>
  <c r="Y1130" i="3"/>
  <c r="X1130" i="3"/>
  <c r="W1130" i="3"/>
  <c r="V1130" i="3"/>
  <c r="U1130" i="3"/>
  <c r="T1130" i="3"/>
  <c r="S1130" i="3"/>
  <c r="AB1129" i="3"/>
  <c r="AB1117" i="3" s="1"/>
  <c r="AC1128" i="3" a="1"/>
  <c r="AC1128" i="3" s="1"/>
  <c r="AC1117" i="3" s="1"/>
  <c r="AA1121" i="3"/>
  <c r="AA1117" i="3" s="1"/>
  <c r="AK1117" i="3"/>
  <c r="AJ1117" i="3"/>
  <c r="AI1117" i="3"/>
  <c r="AH1117" i="3"/>
  <c r="AG1117" i="3"/>
  <c r="AF1117" i="3"/>
  <c r="AE1117" i="3"/>
  <c r="AD1117" i="3"/>
  <c r="Z1117" i="3"/>
  <c r="Y1117" i="3"/>
  <c r="X1117" i="3"/>
  <c r="W1117" i="3"/>
  <c r="V1117" i="3"/>
  <c r="U1117" i="3"/>
  <c r="T1117" i="3"/>
  <c r="S1117" i="3"/>
  <c r="R1117" i="3"/>
  <c r="Q1117" i="3"/>
  <c r="P1117" i="3"/>
  <c r="Y1116" i="3"/>
  <c r="X1116" i="3"/>
  <c r="Y1115" i="3"/>
  <c r="X1115" i="3"/>
  <c r="Y1114" i="3"/>
  <c r="X1114" i="3"/>
  <c r="Z1113" i="3"/>
  <c r="Y1113" i="3"/>
  <c r="X1113" i="3"/>
  <c r="AA1112" i="3"/>
  <c r="Z1112" i="3"/>
  <c r="Y1112" i="3"/>
  <c r="X1112" i="3"/>
  <c r="AA1111" i="3"/>
  <c r="Z1111" i="3"/>
  <c r="Y1111" i="3"/>
  <c r="X1111" i="3"/>
  <c r="AA1110" i="3"/>
  <c r="Z1110" i="3"/>
  <c r="Y1110" i="3"/>
  <c r="X1110" i="3"/>
  <c r="AA1109" i="3"/>
  <c r="AA1104" i="3" s="1"/>
  <c r="Z1109" i="3"/>
  <c r="Y1109" i="3"/>
  <c r="X1109" i="3"/>
  <c r="Z1108" i="3"/>
  <c r="Y1108" i="3"/>
  <c r="X1108" i="3"/>
  <c r="Z1107" i="3"/>
  <c r="Y1107" i="3"/>
  <c r="X1107" i="3"/>
  <c r="Z1106" i="3"/>
  <c r="Y1106" i="3"/>
  <c r="X1106" i="3"/>
  <c r="Z1105" i="3"/>
  <c r="Y1105" i="3"/>
  <c r="X1105" i="3"/>
  <c r="AK1104" i="3"/>
  <c r="AJ1104" i="3"/>
  <c r="AI1104" i="3"/>
  <c r="AH1104" i="3"/>
  <c r="AG1104" i="3"/>
  <c r="AF1104" i="3"/>
  <c r="AE1104" i="3"/>
  <c r="AD1104" i="3"/>
  <c r="AC1104" i="3"/>
  <c r="AB1104" i="3"/>
  <c r="W1104" i="3"/>
  <c r="V1104" i="3"/>
  <c r="U1104" i="3"/>
  <c r="T1104" i="3"/>
  <c r="S1104" i="3"/>
  <c r="R1104" i="3"/>
  <c r="Q1104" i="3"/>
  <c r="P1104" i="3"/>
  <c r="AB1081" i="3"/>
  <c r="AB1070" i="3" s="1"/>
  <c r="AK1070" i="3"/>
  <c r="AJ1070" i="3"/>
  <c r="AI1070" i="3"/>
  <c r="AH1070" i="3"/>
  <c r="AG1070" i="3"/>
  <c r="AF1070" i="3"/>
  <c r="AE1070" i="3"/>
  <c r="AD1070" i="3"/>
  <c r="AC1070" i="3"/>
  <c r="AA1070" i="3"/>
  <c r="Z1070" i="3"/>
  <c r="Y1070" i="3"/>
  <c r="X1070" i="3"/>
  <c r="W1070" i="3"/>
  <c r="V1070" i="3"/>
  <c r="U1070" i="3"/>
  <c r="T1070" i="3"/>
  <c r="S1070" i="3"/>
  <c r="R1070" i="3"/>
  <c r="Q1070" i="3"/>
  <c r="P1070" i="3"/>
  <c r="O1070" i="3"/>
  <c r="N1070" i="3"/>
  <c r="M1070" i="3"/>
  <c r="L1070" i="3"/>
  <c r="K1070" i="3"/>
  <c r="J1070" i="3"/>
  <c r="I1070" i="3"/>
  <c r="AB1058" i="3"/>
  <c r="AB801" i="4" s="1"/>
  <c r="AB1057" i="3"/>
  <c r="AB800" i="4" s="1"/>
  <c r="AB1056" i="3"/>
  <c r="AB799" i="4" s="1"/>
  <c r="AB1055" i="3"/>
  <c r="AB1054" i="3"/>
  <c r="AB1053" i="3"/>
  <c r="AB796" i="4" s="1"/>
  <c r="AB1052" i="3"/>
  <c r="AK1048" i="3"/>
  <c r="AJ1048" i="3"/>
  <c r="AI1048" i="3"/>
  <c r="AH1048" i="3"/>
  <c r="AG1048" i="3"/>
  <c r="AF1048" i="3"/>
  <c r="AE1048" i="3"/>
  <c r="AD1048" i="3"/>
  <c r="AC1048" i="3"/>
  <c r="AA1048" i="3"/>
  <c r="Z1048" i="3"/>
  <c r="Y1048" i="3"/>
  <c r="X1048" i="3"/>
  <c r="W1048" i="3"/>
  <c r="V1048" i="3"/>
  <c r="U1048" i="3"/>
  <c r="T1048" i="3"/>
  <c r="S1048" i="3"/>
  <c r="R1048" i="3"/>
  <c r="Q1048" i="3"/>
  <c r="P1048" i="3"/>
  <c r="O1048" i="3"/>
  <c r="N1048" i="3"/>
  <c r="M1048" i="3"/>
  <c r="L1048" i="3"/>
  <c r="K1048" i="3"/>
  <c r="J1048" i="3"/>
  <c r="I1048" i="3"/>
  <c r="AK999" i="3"/>
  <c r="AJ999" i="3"/>
  <c r="AI999" i="3"/>
  <c r="AI772" i="4" s="1"/>
  <c r="AH999" i="3"/>
  <c r="AG999" i="3"/>
  <c r="AG774" i="4" s="1"/>
  <c r="AF999" i="3"/>
  <c r="AE999" i="3"/>
  <c r="AD999" i="3"/>
  <c r="AB999" i="3"/>
  <c r="AB771" i="4" s="1"/>
  <c r="AA999" i="3"/>
  <c r="Z999" i="3"/>
  <c r="Y999" i="3"/>
  <c r="X999" i="3"/>
  <c r="AK961" i="3"/>
  <c r="AK309" i="4" s="1"/>
  <c r="AJ961" i="3"/>
  <c r="AJ309" i="4" s="1"/>
  <c r="AI961" i="3"/>
  <c r="AI309" i="4" s="1"/>
  <c r="AH961" i="3"/>
  <c r="AH309" i="4" s="1"/>
  <c r="AG961" i="3"/>
  <c r="AG309" i="4" s="1"/>
  <c r="AF961" i="3"/>
  <c r="AF309" i="4" s="1"/>
  <c r="AE961" i="3"/>
  <c r="AE309" i="4" s="1"/>
  <c r="AD961" i="3"/>
  <c r="AD309" i="4" s="1"/>
  <c r="AC961" i="3"/>
  <c r="AC309" i="4" s="1"/>
  <c r="AB961" i="3"/>
  <c r="AB309" i="4" s="1"/>
  <c r="AA961" i="3"/>
  <c r="AA309" i="4" s="1"/>
  <c r="Z961" i="3"/>
  <c r="Z309" i="4" s="1"/>
  <c r="Y961" i="3"/>
  <c r="X961" i="3"/>
  <c r="W961" i="3"/>
  <c r="W309" i="4" s="1"/>
  <c r="V961" i="3"/>
  <c r="U961" i="3"/>
  <c r="T961" i="3"/>
  <c r="S961" i="3"/>
  <c r="R961" i="3"/>
  <c r="Q961" i="3"/>
  <c r="P961" i="3"/>
  <c r="O961" i="3"/>
  <c r="N961" i="3"/>
  <c r="M961" i="3"/>
  <c r="L961" i="3"/>
  <c r="K961" i="3"/>
  <c r="J961" i="3"/>
  <c r="I961" i="3"/>
  <c r="AK958" i="3"/>
  <c r="AK308" i="4" s="1"/>
  <c r="AJ958" i="3"/>
  <c r="AJ308" i="4" s="1"/>
  <c r="AI958" i="3"/>
  <c r="AI308" i="4" s="1"/>
  <c r="AH958" i="3"/>
  <c r="AH308" i="4" s="1"/>
  <c r="AG958" i="3"/>
  <c r="AG308" i="4" s="1"/>
  <c r="AF958" i="3"/>
  <c r="AF308" i="4" s="1"/>
  <c r="AE958" i="3"/>
  <c r="AE308" i="4" s="1"/>
  <c r="AD958" i="3"/>
  <c r="AD308" i="4" s="1"/>
  <c r="AC958" i="3"/>
  <c r="AC308" i="4" s="1"/>
  <c r="AB958" i="3"/>
  <c r="AB308" i="4" s="1"/>
  <c r="AA958" i="3"/>
  <c r="AA308" i="4" s="1"/>
  <c r="Z958" i="3"/>
  <c r="Z308" i="4" s="1"/>
  <c r="Y958" i="3"/>
  <c r="Y308" i="4" s="1"/>
  <c r="X958" i="3"/>
  <c r="X308" i="4" s="1"/>
  <c r="W958" i="3"/>
  <c r="W308" i="4" s="1"/>
  <c r="V958" i="3"/>
  <c r="U958" i="3"/>
  <c r="T958" i="3"/>
  <c r="S958" i="3"/>
  <c r="R958" i="3"/>
  <c r="Q958" i="3"/>
  <c r="P958" i="3"/>
  <c r="O958" i="3"/>
  <c r="N958" i="3"/>
  <c r="M958" i="3"/>
  <c r="L958" i="3"/>
  <c r="K958" i="3"/>
  <c r="J958" i="3"/>
  <c r="I958" i="3"/>
  <c r="Y955" i="3"/>
  <c r="Y954" i="3" s="1"/>
  <c r="X955" i="3"/>
  <c r="X954" i="3" s="1"/>
  <c r="AK954" i="3"/>
  <c r="AJ954" i="3"/>
  <c r="AI954" i="3"/>
  <c r="AH954" i="3"/>
  <c r="AG954" i="3"/>
  <c r="AF954" i="3"/>
  <c r="AE954" i="3"/>
  <c r="AD954" i="3"/>
  <c r="AC954" i="3"/>
  <c r="AB954" i="3"/>
  <c r="AA954" i="3"/>
  <c r="Z954" i="3"/>
  <c r="W954" i="3"/>
  <c r="AC952" i="3"/>
  <c r="AC951" i="3" s="1"/>
  <c r="Z952" i="3"/>
  <c r="Z951" i="3" s="1"/>
  <c r="Y952" i="3"/>
  <c r="Y951" i="3" s="1"/>
  <c r="X952" i="3"/>
  <c r="X951" i="3" s="1"/>
  <c r="W952" i="3"/>
  <c r="W951" i="3" s="1"/>
  <c r="AK951" i="3"/>
  <c r="AJ951" i="3"/>
  <c r="AI951" i="3"/>
  <c r="AH951" i="3"/>
  <c r="AG951" i="3"/>
  <c r="AF951" i="3"/>
  <c r="AE951" i="3"/>
  <c r="AD951" i="3"/>
  <c r="AB951" i="3"/>
  <c r="AA951" i="3"/>
  <c r="Y948" i="3"/>
  <c r="Y307" i="4" s="1"/>
  <c r="X947" i="3"/>
  <c r="AK944" i="3"/>
  <c r="AJ944" i="3"/>
  <c r="AI944" i="3"/>
  <c r="AH944" i="3"/>
  <c r="AG944" i="3"/>
  <c r="AF944" i="3"/>
  <c r="AE944" i="3"/>
  <c r="AD944" i="3"/>
  <c r="AC944" i="3"/>
  <c r="AB944" i="3"/>
  <c r="AA944" i="3"/>
  <c r="Z944" i="3"/>
  <c r="Y944" i="3"/>
  <c r="W944" i="3"/>
  <c r="AK943" i="3"/>
  <c r="AJ943" i="3"/>
  <c r="AI943" i="3"/>
  <c r="AH943" i="3"/>
  <c r="AG943" i="3"/>
  <c r="AF943" i="3"/>
  <c r="AE943" i="3"/>
  <c r="AD943" i="3"/>
  <c r="AC943" i="3"/>
  <c r="AB943" i="3"/>
  <c r="AA943" i="3"/>
  <c r="Z943" i="3"/>
  <c r="Y943" i="3"/>
  <c r="W943" i="3"/>
  <c r="Y942" i="3"/>
  <c r="X940" i="3"/>
  <c r="AK934" i="3"/>
  <c r="AJ934" i="3"/>
  <c r="AI934" i="3"/>
  <c r="AH934" i="3"/>
  <c r="AG934" i="3"/>
  <c r="AF934" i="3"/>
  <c r="AE934" i="3"/>
  <c r="AD934" i="3"/>
  <c r="AC934" i="3"/>
  <c r="AB934" i="3"/>
  <c r="AA934" i="3"/>
  <c r="Z934" i="3"/>
  <c r="Y934" i="3"/>
  <c r="X934" i="3"/>
  <c r="W934" i="3"/>
  <c r="AK933" i="3"/>
  <c r="AJ933" i="3"/>
  <c r="AI933" i="3"/>
  <c r="AH933" i="3"/>
  <c r="AG933" i="3"/>
  <c r="AF933" i="3"/>
  <c r="AE933" i="3"/>
  <c r="AD933" i="3"/>
  <c r="AC933" i="3"/>
  <c r="AB933" i="3"/>
  <c r="AA933" i="3"/>
  <c r="Z933" i="3"/>
  <c r="Y933" i="3"/>
  <c r="W933" i="3"/>
  <c r="AK924" i="3"/>
  <c r="AJ924" i="3"/>
  <c r="AI924" i="3"/>
  <c r="AH924" i="3"/>
  <c r="AG924" i="3"/>
  <c r="AF924" i="3"/>
  <c r="AE924" i="3"/>
  <c r="AD924" i="3"/>
  <c r="AC924" i="3"/>
  <c r="AB924" i="3"/>
  <c r="AA924" i="3"/>
  <c r="Z924" i="3"/>
  <c r="Y924" i="3"/>
  <c r="X924" i="3"/>
  <c r="W924" i="3"/>
  <c r="AK923" i="3"/>
  <c r="AJ923" i="3"/>
  <c r="AI923" i="3"/>
  <c r="AH923" i="3"/>
  <c r="AG923" i="3"/>
  <c r="AF923" i="3"/>
  <c r="AE923" i="3"/>
  <c r="AD923" i="3"/>
  <c r="AC923" i="3"/>
  <c r="AB923" i="3"/>
  <c r="AA923" i="3"/>
  <c r="Z923" i="3"/>
  <c r="Y923" i="3"/>
  <c r="X923" i="3"/>
  <c r="W923" i="3"/>
  <c r="AK914" i="3"/>
  <c r="AJ914" i="3"/>
  <c r="AI914" i="3"/>
  <c r="AH914" i="3"/>
  <c r="AG914" i="3"/>
  <c r="AF914" i="3"/>
  <c r="AE914" i="3"/>
  <c r="AD914" i="3"/>
  <c r="AC914" i="3"/>
  <c r="AB914" i="3"/>
  <c r="AA914" i="3"/>
  <c r="Z914" i="3"/>
  <c r="Y914" i="3"/>
  <c r="X914" i="3"/>
  <c r="W914" i="3"/>
  <c r="AK913" i="3"/>
  <c r="AJ913" i="3"/>
  <c r="AI913" i="3"/>
  <c r="AH913" i="3"/>
  <c r="AG913" i="3"/>
  <c r="AF913" i="3"/>
  <c r="AE913" i="3"/>
  <c r="AD913" i="3"/>
  <c r="AC913" i="3"/>
  <c r="AB913" i="3"/>
  <c r="AA913" i="3"/>
  <c r="Z913" i="3"/>
  <c r="Y913" i="3"/>
  <c r="X913" i="3"/>
  <c r="W913" i="3"/>
  <c r="AK893" i="3"/>
  <c r="AK522" i="4" s="1"/>
  <c r="AJ893" i="3"/>
  <c r="AJ522" i="4" s="1"/>
  <c r="AI893" i="3"/>
  <c r="AI522" i="4" s="1"/>
  <c r="AH893" i="3"/>
  <c r="AH522" i="4" s="1"/>
  <c r="AG893" i="3"/>
  <c r="AG522" i="4" s="1"/>
  <c r="AF893" i="3"/>
  <c r="AF522" i="4" s="1"/>
  <c r="AE893" i="3"/>
  <c r="AE522" i="4" s="1"/>
  <c r="AD893" i="3"/>
  <c r="AD522" i="4" s="1"/>
  <c r="AA893" i="3"/>
  <c r="AA522" i="4" s="1"/>
  <c r="Z893" i="3"/>
  <c r="Z522" i="4" s="1"/>
  <c r="Y893" i="3"/>
  <c r="Y522" i="4" s="1"/>
  <c r="X893" i="3"/>
  <c r="X522" i="4" s="1"/>
  <c r="W893" i="3"/>
  <c r="W522" i="4" s="1"/>
  <c r="V893" i="3"/>
  <c r="V522" i="4" s="1"/>
  <c r="U893" i="3"/>
  <c r="U522" i="4" s="1"/>
  <c r="T893" i="3"/>
  <c r="T522" i="4" s="1"/>
  <c r="S893" i="3"/>
  <c r="S522" i="4" s="1"/>
  <c r="R893" i="3"/>
  <c r="R522" i="4" s="1"/>
  <c r="Q893" i="3"/>
  <c r="Q522" i="4" s="1"/>
  <c r="P893" i="3"/>
  <c r="AK892" i="3"/>
  <c r="AK524" i="4" s="1"/>
  <c r="AJ892" i="3"/>
  <c r="AJ524" i="4" s="1"/>
  <c r="AI892" i="3"/>
  <c r="AI524" i="4" s="1"/>
  <c r="AH892" i="3"/>
  <c r="AH524" i="4" s="1"/>
  <c r="AG892" i="3"/>
  <c r="AG524" i="4" s="1"/>
  <c r="AF892" i="3"/>
  <c r="AF524" i="4" s="1"/>
  <c r="AE892" i="3"/>
  <c r="AE524" i="4" s="1"/>
  <c r="AD892" i="3"/>
  <c r="AD524" i="4" s="1"/>
  <c r="AA892" i="3"/>
  <c r="AA524" i="4" s="1"/>
  <c r="Z892" i="3"/>
  <c r="Z524" i="4" s="1"/>
  <c r="Y892" i="3"/>
  <c r="Y524" i="4" s="1"/>
  <c r="X892" i="3"/>
  <c r="X524" i="4" s="1"/>
  <c r="W892" i="3"/>
  <c r="W524" i="4" s="1"/>
  <c r="V892" i="3"/>
  <c r="V524" i="4" s="1"/>
  <c r="U892" i="3"/>
  <c r="U524" i="4" s="1"/>
  <c r="T892" i="3"/>
  <c r="T524" i="4" s="1"/>
  <c r="S892" i="3"/>
  <c r="S524" i="4" s="1"/>
  <c r="R892" i="3"/>
  <c r="R524" i="4" s="1"/>
  <c r="Q892" i="3"/>
  <c r="Q524" i="4" s="1"/>
  <c r="P892" i="3"/>
  <c r="AB891" i="3"/>
  <c r="AC889" i="3"/>
  <c r="AC888" i="3"/>
  <c r="AC893" i="3" s="1"/>
  <c r="AC522" i="4" s="1"/>
  <c r="AB888" i="3"/>
  <c r="AB893" i="3" s="1"/>
  <c r="AB522" i="4" s="1"/>
  <c r="AC887" i="3"/>
  <c r="AB887" i="3"/>
  <c r="AK886" i="3"/>
  <c r="AK519" i="4" s="1"/>
  <c r="AJ886" i="3"/>
  <c r="AJ519" i="4" s="1"/>
  <c r="AI886" i="3"/>
  <c r="AI519" i="4" s="1"/>
  <c r="AH886" i="3"/>
  <c r="AH519" i="4" s="1"/>
  <c r="AG886" i="3"/>
  <c r="AG519" i="4" s="1"/>
  <c r="AF886" i="3"/>
  <c r="AF519" i="4" s="1"/>
  <c r="AE886" i="3"/>
  <c r="AE519" i="4" s="1"/>
  <c r="AD886" i="3"/>
  <c r="AD519" i="4" s="1"/>
  <c r="AA886" i="3"/>
  <c r="AA519" i="4" s="1"/>
  <c r="Z886" i="3"/>
  <c r="Z519" i="4" s="1"/>
  <c r="Y886" i="3"/>
  <c r="Y519" i="4" s="1"/>
  <c r="X886" i="3"/>
  <c r="X519" i="4" s="1"/>
  <c r="W886" i="3"/>
  <c r="W519" i="4" s="1"/>
  <c r="V886" i="3"/>
  <c r="V519" i="4" s="1"/>
  <c r="U886" i="3"/>
  <c r="U519" i="4" s="1"/>
  <c r="T886" i="3"/>
  <c r="T519" i="4" s="1"/>
  <c r="S886" i="3"/>
  <c r="S519" i="4" s="1"/>
  <c r="R886" i="3"/>
  <c r="R519" i="4" s="1"/>
  <c r="Q886" i="3"/>
  <c r="Q519" i="4" s="1"/>
  <c r="P886" i="3"/>
  <c r="AK883" i="3"/>
  <c r="AK520" i="4" s="1"/>
  <c r="AJ883" i="3"/>
  <c r="AJ520" i="4" s="1"/>
  <c r="AI883" i="3"/>
  <c r="AI520" i="4" s="1"/>
  <c r="AH883" i="3"/>
  <c r="AH520" i="4" s="1"/>
  <c r="AG883" i="3"/>
  <c r="AG520" i="4" s="1"/>
  <c r="AF883" i="3"/>
  <c r="AF520" i="4" s="1"/>
  <c r="AE883" i="3"/>
  <c r="AE520" i="4" s="1"/>
  <c r="AD883" i="3"/>
  <c r="AD520" i="4" s="1"/>
  <c r="AC883" i="3"/>
  <c r="AC520" i="4" s="1"/>
  <c r="AB883" i="3"/>
  <c r="AB520" i="4" s="1"/>
  <c r="AA883" i="3"/>
  <c r="AA520" i="4" s="1"/>
  <c r="Z883" i="3"/>
  <c r="Z520" i="4" s="1"/>
  <c r="Y883" i="3"/>
  <c r="Y520" i="4" s="1"/>
  <c r="X883" i="3"/>
  <c r="X520" i="4" s="1"/>
  <c r="W883" i="3"/>
  <c r="W520" i="4" s="1"/>
  <c r="V883" i="3"/>
  <c r="V520" i="4" s="1"/>
  <c r="U883" i="3"/>
  <c r="U520" i="4" s="1"/>
  <c r="T883" i="3"/>
  <c r="T520" i="4" s="1"/>
  <c r="S883" i="3"/>
  <c r="S520" i="4" s="1"/>
  <c r="R883" i="3"/>
  <c r="R520" i="4" s="1"/>
  <c r="Q883" i="3"/>
  <c r="Q520" i="4" s="1"/>
  <c r="P883" i="3"/>
  <c r="AK882" i="3"/>
  <c r="AJ882" i="3"/>
  <c r="AI882" i="3"/>
  <c r="AH882" i="3"/>
  <c r="AG882" i="3"/>
  <c r="AF882" i="3"/>
  <c r="AE882" i="3"/>
  <c r="AD882" i="3"/>
  <c r="AA882" i="3"/>
  <c r="Z882" i="3"/>
  <c r="Y882" i="3"/>
  <c r="X882" i="3"/>
  <c r="W882" i="3"/>
  <c r="V882" i="3"/>
  <c r="U882" i="3"/>
  <c r="T882" i="3"/>
  <c r="S882" i="3"/>
  <c r="R882" i="3"/>
  <c r="Q882" i="3"/>
  <c r="P882" i="3"/>
  <c r="AG594" i="4"/>
  <c r="AK701" i="3"/>
  <c r="AJ701" i="3"/>
  <c r="AI701" i="3"/>
  <c r="AH701" i="3"/>
  <c r="AG701" i="3"/>
  <c r="AF701" i="3"/>
  <c r="AE701" i="3"/>
  <c r="AD701" i="3"/>
  <c r="AC701" i="3"/>
  <c r="AB701" i="3"/>
  <c r="AA701" i="3"/>
  <c r="Z701" i="3"/>
  <c r="Y701" i="3"/>
  <c r="X701" i="3"/>
  <c r="W701" i="3"/>
  <c r="V701" i="3"/>
  <c r="U701" i="3"/>
  <c r="T701" i="3"/>
  <c r="S701" i="3"/>
  <c r="R701" i="3"/>
  <c r="Q701" i="3"/>
  <c r="AK692" i="3"/>
  <c r="AJ692" i="3"/>
  <c r="AI692" i="3"/>
  <c r="AH692" i="3"/>
  <c r="AG692" i="3"/>
  <c r="AF692" i="3"/>
  <c r="AE692" i="3"/>
  <c r="AD692" i="3"/>
  <c r="AC692" i="3"/>
  <c r="AB692" i="3"/>
  <c r="AA692" i="3"/>
  <c r="Z692" i="3"/>
  <c r="Y692" i="3"/>
  <c r="X692" i="3"/>
  <c r="W692" i="3"/>
  <c r="V692" i="3"/>
  <c r="U692" i="3"/>
  <c r="T692" i="3"/>
  <c r="S692" i="3"/>
  <c r="R692" i="3"/>
  <c r="Q692" i="3"/>
  <c r="AK683" i="3"/>
  <c r="AJ683" i="3"/>
  <c r="AI683" i="3"/>
  <c r="AH683" i="3"/>
  <c r="AG683" i="3"/>
  <c r="AF683" i="3"/>
  <c r="AE683" i="3"/>
  <c r="AD683" i="3"/>
  <c r="AC683" i="3"/>
  <c r="AB683" i="3"/>
  <c r="AA683" i="3"/>
  <c r="Z683" i="3"/>
  <c r="Y683" i="3"/>
  <c r="X683" i="3"/>
  <c r="W683" i="3"/>
  <c r="V683" i="3"/>
  <c r="U683" i="3"/>
  <c r="T683" i="3"/>
  <c r="S683" i="3"/>
  <c r="R683" i="3"/>
  <c r="Q683" i="3"/>
  <c r="AK674" i="3"/>
  <c r="AJ674" i="3"/>
  <c r="AI674" i="3"/>
  <c r="AH674" i="3"/>
  <c r="AG674" i="3"/>
  <c r="AF674" i="3"/>
  <c r="AE674" i="3"/>
  <c r="AD674" i="3"/>
  <c r="AC674" i="3"/>
  <c r="AB674" i="3"/>
  <c r="AB734" i="4" s="1"/>
  <c r="AA674" i="3"/>
  <c r="AA734" i="4" s="1"/>
  <c r="Z674" i="3"/>
  <c r="Z734" i="4" s="1"/>
  <c r="Y674" i="3"/>
  <c r="Y734" i="4" s="1"/>
  <c r="X674" i="3"/>
  <c r="X734" i="4" s="1"/>
  <c r="W674" i="3"/>
  <c r="W734" i="4" s="1"/>
  <c r="V674" i="3"/>
  <c r="V734" i="4" s="1"/>
  <c r="U674" i="3"/>
  <c r="U734" i="4" s="1"/>
  <c r="T674" i="3"/>
  <c r="T734" i="4" s="1"/>
  <c r="S674" i="3"/>
  <c r="S734" i="4" s="1"/>
  <c r="R674" i="3"/>
  <c r="R734" i="4" s="1"/>
  <c r="Q674" i="3"/>
  <c r="Q734" i="4" s="1"/>
  <c r="AA632" i="3"/>
  <c r="Z632" i="3"/>
  <c r="AB631" i="3"/>
  <c r="AB630" i="3"/>
  <c r="AB629" i="3"/>
  <c r="Z629" i="3"/>
  <c r="Z571" i="3"/>
  <c r="Y571" i="3"/>
  <c r="X571" i="3"/>
  <c r="X423" i="4" s="1"/>
  <c r="W571" i="3"/>
  <c r="V571" i="3"/>
  <c r="U571" i="3"/>
  <c r="U423" i="4" s="1"/>
  <c r="T571" i="3"/>
  <c r="T423" i="4" s="1"/>
  <c r="S571" i="3"/>
  <c r="R571" i="3"/>
  <c r="R427" i="4" s="1"/>
  <c r="Q571" i="3"/>
  <c r="P571" i="3"/>
  <c r="P423" i="4" s="1"/>
  <c r="O571" i="3"/>
  <c r="N571" i="3"/>
  <c r="M571" i="3"/>
  <c r="M423" i="4" s="1"/>
  <c r="L571" i="3"/>
  <c r="L423" i="4" s="1"/>
  <c r="K571" i="3"/>
  <c r="J571" i="3"/>
  <c r="J427" i="4" s="1"/>
  <c r="I571" i="3"/>
  <c r="Z558" i="3"/>
  <c r="Y558" i="3"/>
  <c r="X558" i="3"/>
  <c r="W558" i="3"/>
  <c r="V558" i="3"/>
  <c r="U558" i="3"/>
  <c r="T558" i="3"/>
  <c r="S558" i="3"/>
  <c r="R558" i="3"/>
  <c r="Q558" i="3"/>
  <c r="P558" i="3"/>
  <c r="O558" i="3"/>
  <c r="N558" i="3"/>
  <c r="M558" i="3"/>
  <c r="L558" i="3"/>
  <c r="K558" i="3"/>
  <c r="J558" i="3"/>
  <c r="I558" i="3"/>
  <c r="Z546" i="3"/>
  <c r="Z413" i="4" s="1"/>
  <c r="Y546" i="3"/>
  <c r="Y413" i="4" s="1"/>
  <c r="X546" i="3"/>
  <c r="X413" i="4" s="1"/>
  <c r="W546" i="3"/>
  <c r="V546" i="3"/>
  <c r="V413" i="4" s="1"/>
  <c r="U546" i="3"/>
  <c r="U413" i="4" s="1"/>
  <c r="T546" i="3"/>
  <c r="T413" i="4" s="1"/>
  <c r="S546" i="3"/>
  <c r="S413" i="4" s="1"/>
  <c r="R546" i="3"/>
  <c r="R413" i="4" s="1"/>
  <c r="Q546" i="3"/>
  <c r="Q413" i="4" s="1"/>
  <c r="P546" i="3"/>
  <c r="P413" i="4" s="1"/>
  <c r="O546" i="3"/>
  <c r="O413" i="4" s="1"/>
  <c r="N546" i="3"/>
  <c r="N413" i="4" s="1"/>
  <c r="M546" i="3"/>
  <c r="M413" i="4" s="1"/>
  <c r="L546" i="3"/>
  <c r="L413" i="4" s="1"/>
  <c r="K546" i="3"/>
  <c r="K413" i="4" s="1"/>
  <c r="J546" i="3"/>
  <c r="J413" i="4" s="1"/>
  <c r="I546" i="3"/>
  <c r="I413" i="4" s="1"/>
  <c r="Y533" i="3"/>
  <c r="Y401" i="4" s="1"/>
  <c r="U533" i="3"/>
  <c r="U401" i="4" s="1"/>
  <c r="Q533" i="3"/>
  <c r="Q401" i="4" s="1"/>
  <c r="M533" i="3"/>
  <c r="M401" i="4" s="1"/>
  <c r="I533" i="3"/>
  <c r="I401" i="4" s="1"/>
  <c r="AK416" i="3"/>
  <c r="AJ416" i="3"/>
  <c r="AI416" i="3"/>
  <c r="AH416" i="3"/>
  <c r="AG416" i="3"/>
  <c r="AF416" i="3"/>
  <c r="AE416" i="3"/>
  <c r="AD416" i="3"/>
  <c r="AC416" i="3"/>
  <c r="AB416" i="3"/>
  <c r="AA416" i="3"/>
  <c r="Z416" i="3"/>
  <c r="Y416" i="3"/>
  <c r="X416" i="3"/>
  <c r="W416" i="3"/>
  <c r="V416" i="3"/>
  <c r="U416" i="3"/>
  <c r="T416" i="3"/>
  <c r="S416" i="3"/>
  <c r="R416" i="3"/>
  <c r="Q416" i="3"/>
  <c r="P416" i="3"/>
  <c r="O416" i="3"/>
  <c r="N416" i="3"/>
  <c r="M416" i="3"/>
  <c r="L416" i="3"/>
  <c r="K416" i="3"/>
  <c r="J416" i="3"/>
  <c r="I416" i="3"/>
  <c r="AK403" i="3"/>
  <c r="AJ403" i="3"/>
  <c r="AI403" i="3"/>
  <c r="AH403" i="3"/>
  <c r="AH1452" i="4" s="1"/>
  <c r="AG403" i="3"/>
  <c r="AF403" i="3"/>
  <c r="AF1452" i="4" s="1"/>
  <c r="AE403" i="3"/>
  <c r="AE1452" i="4" s="1"/>
  <c r="AC403" i="3"/>
  <c r="AC1452" i="4" s="1"/>
  <c r="AB403" i="3"/>
  <c r="AB1452" i="4" s="1"/>
  <c r="AA403" i="3"/>
  <c r="AA1452" i="4" s="1"/>
  <c r="Z403" i="3"/>
  <c r="Z1452" i="4" s="1"/>
  <c r="Y403" i="3"/>
  <c r="Y1452" i="4" s="1"/>
  <c r="X403" i="3"/>
  <c r="X419" i="4" s="1"/>
  <c r="W403" i="3"/>
  <c r="V403" i="3"/>
  <c r="V1452" i="4" s="1"/>
  <c r="U403" i="3"/>
  <c r="T403" i="3"/>
  <c r="S403" i="3"/>
  <c r="R403" i="3"/>
  <c r="R1452" i="4" s="1"/>
  <c r="Q403" i="3"/>
  <c r="P403" i="3"/>
  <c r="O403" i="3"/>
  <c r="N403" i="3"/>
  <c r="N1452" i="4" s="1"/>
  <c r="M403" i="3"/>
  <c r="L403" i="3"/>
  <c r="L419" i="4" s="1"/>
  <c r="K403" i="3"/>
  <c r="J403" i="3"/>
  <c r="J1452" i="4" s="1"/>
  <c r="I403" i="3"/>
  <c r="AK375" i="3"/>
  <c r="AJ375" i="3"/>
  <c r="AJ400" i="4" s="1"/>
  <c r="AI375" i="3"/>
  <c r="AH375" i="3"/>
  <c r="AG375" i="3"/>
  <c r="AF375" i="3"/>
  <c r="AF589" i="4" s="1"/>
  <c r="AE375" i="3"/>
  <c r="AD375" i="3"/>
  <c r="AB375" i="3"/>
  <c r="AA375" i="3"/>
  <c r="AA589" i="4" s="1"/>
  <c r="Z375" i="3"/>
  <c r="Y375" i="3"/>
  <c r="X375" i="3"/>
  <c r="W375" i="3"/>
  <c r="W400" i="4" s="1"/>
  <c r="V375" i="3"/>
  <c r="V400" i="4" s="1"/>
  <c r="U375" i="3"/>
  <c r="T375" i="3"/>
  <c r="S375" i="3"/>
  <c r="S400" i="4" s="1"/>
  <c r="R375" i="3"/>
  <c r="R400" i="4" s="1"/>
  <c r="Q375" i="3"/>
  <c r="P375" i="3"/>
  <c r="O375" i="3"/>
  <c r="O400" i="4" s="1"/>
  <c r="N375" i="3"/>
  <c r="N400" i="4" s="1"/>
  <c r="M375" i="3"/>
  <c r="L375" i="3"/>
  <c r="K375" i="3"/>
  <c r="K400" i="4" s="1"/>
  <c r="J375" i="3"/>
  <c r="J400" i="4" s="1"/>
  <c r="I375" i="3"/>
  <c r="X231" i="3"/>
  <c r="Y231" i="3" s="1"/>
  <c r="Z231" i="3" s="1"/>
  <c r="AA231" i="3" s="1"/>
  <c r="AB231" i="3" s="1"/>
  <c r="AC231" i="3" s="1"/>
  <c r="AD231" i="3" s="1"/>
  <c r="AE231" i="3" s="1"/>
  <c r="AF231" i="3" s="1"/>
  <c r="AG231" i="3" s="1"/>
  <c r="AH231" i="3" s="1"/>
  <c r="AI231" i="3" s="1"/>
  <c r="AJ231" i="3" s="1"/>
  <c r="AK231" i="3" s="1"/>
  <c r="V231" i="3"/>
  <c r="U231" i="3" s="1"/>
  <c r="T231" i="3" s="1"/>
  <c r="S231" i="3" s="1"/>
  <c r="R231" i="3" s="1"/>
  <c r="Q231" i="3" s="1"/>
  <c r="P231" i="3" s="1"/>
  <c r="O231" i="3" s="1"/>
  <c r="N231" i="3" s="1"/>
  <c r="M231" i="3" s="1"/>
  <c r="L231" i="3" s="1"/>
  <c r="K231" i="3" s="1"/>
  <c r="J231" i="3" s="1"/>
  <c r="I231" i="3" s="1"/>
  <c r="X230" i="3"/>
  <c r="Y230" i="3" s="1"/>
  <c r="Z230" i="3" s="1"/>
  <c r="AA230" i="3" s="1"/>
  <c r="AB230" i="3" s="1"/>
  <c r="AC230" i="3" s="1"/>
  <c r="AD230" i="3" s="1"/>
  <c r="AE230" i="3" s="1"/>
  <c r="AF230" i="3" s="1"/>
  <c r="AG230" i="3" s="1"/>
  <c r="AH230" i="3" s="1"/>
  <c r="AI230" i="3" s="1"/>
  <c r="AJ230" i="3" s="1"/>
  <c r="AK230" i="3" s="1"/>
  <c r="V230" i="3"/>
  <c r="U230" i="3" s="1"/>
  <c r="T230" i="3" s="1"/>
  <c r="S230" i="3" s="1"/>
  <c r="R230" i="3" s="1"/>
  <c r="Q230" i="3" s="1"/>
  <c r="P230" i="3" s="1"/>
  <c r="O230" i="3" s="1"/>
  <c r="N230" i="3" s="1"/>
  <c r="M230" i="3" s="1"/>
  <c r="L230" i="3" s="1"/>
  <c r="K230" i="3" s="1"/>
  <c r="J230" i="3" s="1"/>
  <c r="I230" i="3" s="1"/>
  <c r="X229" i="3"/>
  <c r="Y229" i="3" s="1"/>
  <c r="Z229" i="3" s="1"/>
  <c r="AA229" i="3" s="1"/>
  <c r="AB229" i="3" s="1"/>
  <c r="AC229" i="3" s="1"/>
  <c r="AD229" i="3" s="1"/>
  <c r="AE229" i="3" s="1"/>
  <c r="AF229" i="3" s="1"/>
  <c r="AG229" i="3" s="1"/>
  <c r="AH229" i="3" s="1"/>
  <c r="AI229" i="3" s="1"/>
  <c r="AJ229" i="3" s="1"/>
  <c r="AK229" i="3" s="1"/>
  <c r="V229" i="3"/>
  <c r="X228" i="3"/>
  <c r="Y228" i="3" s="1"/>
  <c r="Z228" i="3" s="1"/>
  <c r="AA228" i="3" s="1"/>
  <c r="AB228" i="3" s="1"/>
  <c r="AC228" i="3" s="1"/>
  <c r="AD228" i="3" s="1"/>
  <c r="AE228" i="3" s="1"/>
  <c r="AF228" i="3" s="1"/>
  <c r="AG228" i="3" s="1"/>
  <c r="AH228" i="3" s="1"/>
  <c r="AI228" i="3" s="1"/>
  <c r="AJ228" i="3" s="1"/>
  <c r="AK228" i="3" s="1"/>
  <c r="V228" i="3"/>
  <c r="U228" i="3" s="1"/>
  <c r="T228" i="3" s="1"/>
  <c r="S228" i="3" s="1"/>
  <c r="R228" i="3" s="1"/>
  <c r="Q228" i="3" s="1"/>
  <c r="P228" i="3" s="1"/>
  <c r="O228" i="3" s="1"/>
  <c r="N228" i="3" s="1"/>
  <c r="M228" i="3" s="1"/>
  <c r="L228" i="3" s="1"/>
  <c r="K228" i="3" s="1"/>
  <c r="J228" i="3" s="1"/>
  <c r="I228" i="3" s="1"/>
  <c r="X227" i="3"/>
  <c r="Y227" i="3" s="1"/>
  <c r="Z227" i="3" s="1"/>
  <c r="V227" i="3"/>
  <c r="U227" i="3" s="1"/>
  <c r="W226" i="3"/>
  <c r="X225" i="3"/>
  <c r="Y225" i="3" s="1"/>
  <c r="Z225" i="3" s="1"/>
  <c r="AA225" i="3" s="1"/>
  <c r="AB225" i="3" s="1"/>
  <c r="AC225" i="3" s="1"/>
  <c r="AD225" i="3" s="1"/>
  <c r="AE225" i="3" s="1"/>
  <c r="AF225" i="3" s="1"/>
  <c r="AG225" i="3" s="1"/>
  <c r="AH225" i="3" s="1"/>
  <c r="AI225" i="3" s="1"/>
  <c r="AJ225" i="3" s="1"/>
  <c r="AK225" i="3" s="1"/>
  <c r="V225" i="3"/>
  <c r="U225" i="3" s="1"/>
  <c r="T225" i="3" s="1"/>
  <c r="S225" i="3" s="1"/>
  <c r="R225" i="3" s="1"/>
  <c r="Q225" i="3" s="1"/>
  <c r="P225" i="3" s="1"/>
  <c r="O225" i="3" s="1"/>
  <c r="N225" i="3" s="1"/>
  <c r="M225" i="3" s="1"/>
  <c r="L225" i="3" s="1"/>
  <c r="K225" i="3" s="1"/>
  <c r="J225" i="3" s="1"/>
  <c r="I225" i="3" s="1"/>
  <c r="X224" i="3"/>
  <c r="Y224" i="3" s="1"/>
  <c r="Z224" i="3" s="1"/>
  <c r="AA224" i="3" s="1"/>
  <c r="AB224" i="3" s="1"/>
  <c r="AC224" i="3" s="1"/>
  <c r="AD224" i="3" s="1"/>
  <c r="AE224" i="3" s="1"/>
  <c r="AF224" i="3" s="1"/>
  <c r="AG224" i="3" s="1"/>
  <c r="AH224" i="3" s="1"/>
  <c r="AI224" i="3" s="1"/>
  <c r="AJ224" i="3" s="1"/>
  <c r="AK224" i="3" s="1"/>
  <c r="V224" i="3"/>
  <c r="U224" i="3" s="1"/>
  <c r="T224" i="3" s="1"/>
  <c r="S224" i="3" s="1"/>
  <c r="R224" i="3" s="1"/>
  <c r="Q224" i="3" s="1"/>
  <c r="P224" i="3" s="1"/>
  <c r="O224" i="3" s="1"/>
  <c r="N224" i="3" s="1"/>
  <c r="M224" i="3" s="1"/>
  <c r="L224" i="3" s="1"/>
  <c r="K224" i="3" s="1"/>
  <c r="J224" i="3" s="1"/>
  <c r="I224" i="3" s="1"/>
  <c r="X223" i="3"/>
  <c r="V223" i="3"/>
  <c r="U223" i="3" s="1"/>
  <c r="T223" i="3" s="1"/>
  <c r="S223" i="3" s="1"/>
  <c r="R223" i="3" s="1"/>
  <c r="Q223" i="3" s="1"/>
  <c r="P223" i="3" s="1"/>
  <c r="O223" i="3" s="1"/>
  <c r="N223" i="3" s="1"/>
  <c r="M223" i="3" s="1"/>
  <c r="L223" i="3" s="1"/>
  <c r="K223" i="3" s="1"/>
  <c r="J223" i="3" s="1"/>
  <c r="I223" i="3" s="1"/>
  <c r="X222" i="3"/>
  <c r="Y222" i="3" s="1"/>
  <c r="Z222" i="3" s="1"/>
  <c r="AA222" i="3" s="1"/>
  <c r="AB222" i="3" s="1"/>
  <c r="AC222" i="3" s="1"/>
  <c r="AD222" i="3" s="1"/>
  <c r="AE222" i="3" s="1"/>
  <c r="AF222" i="3" s="1"/>
  <c r="AG222" i="3" s="1"/>
  <c r="AH222" i="3" s="1"/>
  <c r="AI222" i="3" s="1"/>
  <c r="AJ222" i="3" s="1"/>
  <c r="AK222" i="3" s="1"/>
  <c r="V222" i="3"/>
  <c r="U222" i="3" s="1"/>
  <c r="T222" i="3" s="1"/>
  <c r="S222" i="3" s="1"/>
  <c r="R222" i="3" s="1"/>
  <c r="Q222" i="3" s="1"/>
  <c r="P222" i="3" s="1"/>
  <c r="O222" i="3" s="1"/>
  <c r="N222" i="3" s="1"/>
  <c r="M222" i="3" s="1"/>
  <c r="L222" i="3" s="1"/>
  <c r="K222" i="3" s="1"/>
  <c r="J222" i="3" s="1"/>
  <c r="I222" i="3" s="1"/>
  <c r="X221" i="3"/>
  <c r="Y221" i="3" s="1"/>
  <c r="Z221" i="3" s="1"/>
  <c r="AA221" i="3" s="1"/>
  <c r="AB221" i="3" s="1"/>
  <c r="AC221" i="3" s="1"/>
  <c r="AD221" i="3" s="1"/>
  <c r="AE221" i="3" s="1"/>
  <c r="AF221" i="3" s="1"/>
  <c r="AG221" i="3" s="1"/>
  <c r="AH221" i="3" s="1"/>
  <c r="AI221" i="3" s="1"/>
  <c r="AJ221" i="3" s="1"/>
  <c r="AK221" i="3" s="1"/>
  <c r="V221" i="3"/>
  <c r="U221" i="3" s="1"/>
  <c r="T221" i="3" s="1"/>
  <c r="S221" i="3" s="1"/>
  <c r="R221" i="3" s="1"/>
  <c r="Q221" i="3" s="1"/>
  <c r="P221" i="3" s="1"/>
  <c r="O221" i="3" s="1"/>
  <c r="N221" i="3" s="1"/>
  <c r="M221" i="3" s="1"/>
  <c r="L221" i="3" s="1"/>
  <c r="K221" i="3" s="1"/>
  <c r="J221" i="3" s="1"/>
  <c r="I221" i="3" s="1"/>
  <c r="X220" i="3"/>
  <c r="Y220" i="3" s="1"/>
  <c r="Z220" i="3" s="1"/>
  <c r="AA220" i="3" s="1"/>
  <c r="AB220" i="3" s="1"/>
  <c r="AC220" i="3" s="1"/>
  <c r="AD220" i="3" s="1"/>
  <c r="AE220" i="3" s="1"/>
  <c r="AF220" i="3" s="1"/>
  <c r="AG220" i="3" s="1"/>
  <c r="AH220" i="3" s="1"/>
  <c r="AI220" i="3" s="1"/>
  <c r="AJ220" i="3" s="1"/>
  <c r="AK220" i="3" s="1"/>
  <c r="V220" i="3"/>
  <c r="U220" i="3" s="1"/>
  <c r="T220" i="3" s="1"/>
  <c r="S220" i="3" s="1"/>
  <c r="R220" i="3" s="1"/>
  <c r="Q220" i="3" s="1"/>
  <c r="P220" i="3" s="1"/>
  <c r="O220" i="3" s="1"/>
  <c r="N220" i="3" s="1"/>
  <c r="M220" i="3" s="1"/>
  <c r="L220" i="3" s="1"/>
  <c r="K220" i="3" s="1"/>
  <c r="J220" i="3" s="1"/>
  <c r="I220" i="3" s="1"/>
  <c r="X219" i="3"/>
  <c r="Y219" i="3" s="1"/>
  <c r="Z219" i="3" s="1"/>
  <c r="AA219" i="3" s="1"/>
  <c r="AB219" i="3" s="1"/>
  <c r="AC219" i="3" s="1"/>
  <c r="AD219" i="3" s="1"/>
  <c r="AE219" i="3" s="1"/>
  <c r="AF219" i="3" s="1"/>
  <c r="AG219" i="3" s="1"/>
  <c r="AH219" i="3" s="1"/>
  <c r="AI219" i="3" s="1"/>
  <c r="AJ219" i="3" s="1"/>
  <c r="AK219" i="3" s="1"/>
  <c r="V219" i="3"/>
  <c r="U219" i="3" s="1"/>
  <c r="T219" i="3" s="1"/>
  <c r="S219" i="3" s="1"/>
  <c r="R219" i="3" s="1"/>
  <c r="Q219" i="3" s="1"/>
  <c r="P219" i="3" s="1"/>
  <c r="O219" i="3" s="1"/>
  <c r="N219" i="3" s="1"/>
  <c r="M219" i="3" s="1"/>
  <c r="L219" i="3" s="1"/>
  <c r="K219" i="3" s="1"/>
  <c r="J219" i="3" s="1"/>
  <c r="I219" i="3" s="1"/>
  <c r="X218" i="3"/>
  <c r="Y218" i="3" s="1"/>
  <c r="Z218" i="3" s="1"/>
  <c r="AA218" i="3" s="1"/>
  <c r="AB218" i="3" s="1"/>
  <c r="AC218" i="3" s="1"/>
  <c r="AD218" i="3" s="1"/>
  <c r="AE218" i="3" s="1"/>
  <c r="AF218" i="3" s="1"/>
  <c r="AG218" i="3" s="1"/>
  <c r="AH218" i="3" s="1"/>
  <c r="AI218" i="3" s="1"/>
  <c r="AJ218" i="3" s="1"/>
  <c r="AK218" i="3" s="1"/>
  <c r="V218" i="3"/>
  <c r="U218" i="3" s="1"/>
  <c r="T218" i="3" s="1"/>
  <c r="S218" i="3" s="1"/>
  <c r="R218" i="3" s="1"/>
  <c r="Q218" i="3" s="1"/>
  <c r="P218" i="3" s="1"/>
  <c r="O218" i="3" s="1"/>
  <c r="N218" i="3" s="1"/>
  <c r="M218" i="3" s="1"/>
  <c r="L218" i="3" s="1"/>
  <c r="K218" i="3" s="1"/>
  <c r="J218" i="3" s="1"/>
  <c r="I218" i="3" s="1"/>
  <c r="X217" i="3"/>
  <c r="Y217" i="3" s="1"/>
  <c r="Z217" i="3" s="1"/>
  <c r="AA217" i="3" s="1"/>
  <c r="AB217" i="3" s="1"/>
  <c r="AC217" i="3" s="1"/>
  <c r="AD217" i="3" s="1"/>
  <c r="AE217" i="3" s="1"/>
  <c r="AF217" i="3" s="1"/>
  <c r="AG217" i="3" s="1"/>
  <c r="AH217" i="3" s="1"/>
  <c r="AI217" i="3" s="1"/>
  <c r="AJ217" i="3" s="1"/>
  <c r="AK217" i="3" s="1"/>
  <c r="V217" i="3"/>
  <c r="U217" i="3" s="1"/>
  <c r="T217" i="3" s="1"/>
  <c r="S217" i="3" s="1"/>
  <c r="R217" i="3" s="1"/>
  <c r="Q217" i="3" s="1"/>
  <c r="P217" i="3" s="1"/>
  <c r="O217" i="3" s="1"/>
  <c r="N217" i="3" s="1"/>
  <c r="M217" i="3" s="1"/>
  <c r="L217" i="3" s="1"/>
  <c r="K217" i="3" s="1"/>
  <c r="J217" i="3" s="1"/>
  <c r="I217" i="3" s="1"/>
  <c r="X216" i="3"/>
  <c r="Y216" i="3" s="1"/>
  <c r="Z216" i="3" s="1"/>
  <c r="AA216" i="3" s="1"/>
  <c r="AB216" i="3" s="1"/>
  <c r="AC216" i="3" s="1"/>
  <c r="AD216" i="3" s="1"/>
  <c r="AE216" i="3" s="1"/>
  <c r="AF216" i="3" s="1"/>
  <c r="AG216" i="3" s="1"/>
  <c r="AH216" i="3" s="1"/>
  <c r="AI216" i="3" s="1"/>
  <c r="AJ216" i="3" s="1"/>
  <c r="AK216" i="3" s="1"/>
  <c r="V216" i="3"/>
  <c r="U216" i="3" s="1"/>
  <c r="T216" i="3" s="1"/>
  <c r="S216" i="3" s="1"/>
  <c r="R216" i="3" s="1"/>
  <c r="Q216" i="3" s="1"/>
  <c r="P216" i="3" s="1"/>
  <c r="O216" i="3" s="1"/>
  <c r="N216" i="3" s="1"/>
  <c r="M216" i="3" s="1"/>
  <c r="L216" i="3" s="1"/>
  <c r="K216" i="3" s="1"/>
  <c r="J216" i="3" s="1"/>
  <c r="I216" i="3" s="1"/>
  <c r="X215" i="3"/>
  <c r="Y215" i="3" s="1"/>
  <c r="Z215" i="3" s="1"/>
  <c r="AA215" i="3" s="1"/>
  <c r="AB215" i="3" s="1"/>
  <c r="AC215" i="3" s="1"/>
  <c r="AD215" i="3" s="1"/>
  <c r="AE215" i="3" s="1"/>
  <c r="AF215" i="3" s="1"/>
  <c r="AG215" i="3" s="1"/>
  <c r="AH215" i="3" s="1"/>
  <c r="AI215" i="3" s="1"/>
  <c r="AJ215" i="3" s="1"/>
  <c r="AK215" i="3" s="1"/>
  <c r="V215" i="3"/>
  <c r="U215" i="3" s="1"/>
  <c r="T215" i="3" s="1"/>
  <c r="S215" i="3" s="1"/>
  <c r="R215" i="3" s="1"/>
  <c r="Q215" i="3" s="1"/>
  <c r="P215" i="3" s="1"/>
  <c r="O215" i="3" s="1"/>
  <c r="N215" i="3" s="1"/>
  <c r="M215" i="3" s="1"/>
  <c r="L215" i="3" s="1"/>
  <c r="K215" i="3" s="1"/>
  <c r="J215" i="3" s="1"/>
  <c r="I215" i="3" s="1"/>
  <c r="X214" i="3"/>
  <c r="Y214" i="3" s="1"/>
  <c r="V214" i="3"/>
  <c r="U214" i="3" s="1"/>
  <c r="T214" i="3" s="1"/>
  <c r="W213" i="3"/>
  <c r="W212" i="3"/>
  <c r="X211" i="3"/>
  <c r="Y211" i="3" s="1"/>
  <c r="Z211" i="3" s="1"/>
  <c r="AA211" i="3" s="1"/>
  <c r="AB211" i="3" s="1"/>
  <c r="AC211" i="3" s="1"/>
  <c r="AD211" i="3" s="1"/>
  <c r="AE211" i="3" s="1"/>
  <c r="AF211" i="3" s="1"/>
  <c r="AG211" i="3" s="1"/>
  <c r="AH211" i="3" s="1"/>
  <c r="AI211" i="3" s="1"/>
  <c r="AJ211" i="3" s="1"/>
  <c r="AK211" i="3" s="1"/>
  <c r="V211" i="3"/>
  <c r="U211" i="3" s="1"/>
  <c r="T211" i="3" s="1"/>
  <c r="S211" i="3" s="1"/>
  <c r="R211" i="3" s="1"/>
  <c r="Q211" i="3" s="1"/>
  <c r="P211" i="3" s="1"/>
  <c r="O211" i="3" s="1"/>
  <c r="N211" i="3" s="1"/>
  <c r="M211" i="3" s="1"/>
  <c r="L211" i="3" s="1"/>
  <c r="K211" i="3" s="1"/>
  <c r="J211" i="3" s="1"/>
  <c r="I211" i="3" s="1"/>
  <c r="X210" i="3"/>
  <c r="Y210" i="3" s="1"/>
  <c r="Z210" i="3" s="1"/>
  <c r="AA210" i="3" s="1"/>
  <c r="AB210" i="3" s="1"/>
  <c r="AC210" i="3" s="1"/>
  <c r="AD210" i="3" s="1"/>
  <c r="AE210" i="3" s="1"/>
  <c r="AF210" i="3" s="1"/>
  <c r="AG210" i="3" s="1"/>
  <c r="AH210" i="3" s="1"/>
  <c r="AI210" i="3" s="1"/>
  <c r="AJ210" i="3" s="1"/>
  <c r="AK210" i="3" s="1"/>
  <c r="V210" i="3"/>
  <c r="U210" i="3" s="1"/>
  <c r="T210" i="3" s="1"/>
  <c r="S210" i="3" s="1"/>
  <c r="R210" i="3" s="1"/>
  <c r="Q210" i="3" s="1"/>
  <c r="P210" i="3" s="1"/>
  <c r="O210" i="3" s="1"/>
  <c r="N210" i="3" s="1"/>
  <c r="M210" i="3" s="1"/>
  <c r="L210" i="3" s="1"/>
  <c r="K210" i="3" s="1"/>
  <c r="J210" i="3" s="1"/>
  <c r="I210" i="3" s="1"/>
  <c r="X209" i="3"/>
  <c r="Y209" i="3" s="1"/>
  <c r="Z209" i="3" s="1"/>
  <c r="AA209" i="3" s="1"/>
  <c r="AB209" i="3" s="1"/>
  <c r="AC209" i="3" s="1"/>
  <c r="AD209" i="3" s="1"/>
  <c r="AE209" i="3" s="1"/>
  <c r="AF209" i="3" s="1"/>
  <c r="AG209" i="3" s="1"/>
  <c r="AH209" i="3" s="1"/>
  <c r="AI209" i="3" s="1"/>
  <c r="AJ209" i="3" s="1"/>
  <c r="AK209" i="3" s="1"/>
  <c r="V209" i="3"/>
  <c r="U209" i="3" s="1"/>
  <c r="T209" i="3" s="1"/>
  <c r="S209" i="3" s="1"/>
  <c r="R209" i="3" s="1"/>
  <c r="Q209" i="3" s="1"/>
  <c r="P209" i="3" s="1"/>
  <c r="O209" i="3" s="1"/>
  <c r="N209" i="3" s="1"/>
  <c r="M209" i="3" s="1"/>
  <c r="L209" i="3" s="1"/>
  <c r="K209" i="3" s="1"/>
  <c r="J209" i="3" s="1"/>
  <c r="I209" i="3" s="1"/>
  <c r="X208" i="3"/>
  <c r="V208" i="3"/>
  <c r="U208" i="3" s="1"/>
  <c r="T208" i="3" s="1"/>
  <c r="S208" i="3" s="1"/>
  <c r="R208" i="3" s="1"/>
  <c r="Q208" i="3" s="1"/>
  <c r="P208" i="3" s="1"/>
  <c r="O208" i="3" s="1"/>
  <c r="N208" i="3" s="1"/>
  <c r="M208" i="3" s="1"/>
  <c r="L208" i="3" s="1"/>
  <c r="K208" i="3" s="1"/>
  <c r="J208" i="3" s="1"/>
  <c r="I208" i="3" s="1"/>
  <c r="X207" i="3"/>
  <c r="Y207" i="3" s="1"/>
  <c r="Z207" i="3" s="1"/>
  <c r="AA207" i="3" s="1"/>
  <c r="AB207" i="3" s="1"/>
  <c r="V207" i="3"/>
  <c r="W206" i="3"/>
  <c r="X205" i="3"/>
  <c r="Y205" i="3" s="1"/>
  <c r="Z205" i="3" s="1"/>
  <c r="AA205" i="3" s="1"/>
  <c r="AB205" i="3" s="1"/>
  <c r="AC205" i="3" s="1"/>
  <c r="AD205" i="3" s="1"/>
  <c r="AE205" i="3" s="1"/>
  <c r="AF205" i="3" s="1"/>
  <c r="AG205" i="3" s="1"/>
  <c r="AH205" i="3" s="1"/>
  <c r="AI205" i="3" s="1"/>
  <c r="AJ205" i="3" s="1"/>
  <c r="AK205" i="3" s="1"/>
  <c r="V205" i="3"/>
  <c r="U205" i="3" s="1"/>
  <c r="T205" i="3" s="1"/>
  <c r="S205" i="3" s="1"/>
  <c r="R205" i="3" s="1"/>
  <c r="Q205" i="3" s="1"/>
  <c r="P205" i="3" s="1"/>
  <c r="O205" i="3" s="1"/>
  <c r="N205" i="3" s="1"/>
  <c r="M205" i="3" s="1"/>
  <c r="L205" i="3" s="1"/>
  <c r="K205" i="3" s="1"/>
  <c r="J205" i="3" s="1"/>
  <c r="I205" i="3" s="1"/>
  <c r="X204" i="3"/>
  <c r="Y204" i="3" s="1"/>
  <c r="Z204" i="3" s="1"/>
  <c r="AA204" i="3" s="1"/>
  <c r="AB204" i="3" s="1"/>
  <c r="AC204" i="3" s="1"/>
  <c r="AD204" i="3" s="1"/>
  <c r="AE204" i="3" s="1"/>
  <c r="AF204" i="3" s="1"/>
  <c r="AG204" i="3" s="1"/>
  <c r="AH204" i="3" s="1"/>
  <c r="AI204" i="3" s="1"/>
  <c r="AJ204" i="3" s="1"/>
  <c r="AK204" i="3" s="1"/>
  <c r="V204" i="3"/>
  <c r="U204" i="3" s="1"/>
  <c r="T204" i="3" s="1"/>
  <c r="S204" i="3" s="1"/>
  <c r="R204" i="3" s="1"/>
  <c r="Q204" i="3" s="1"/>
  <c r="P204" i="3" s="1"/>
  <c r="O204" i="3" s="1"/>
  <c r="N204" i="3" s="1"/>
  <c r="M204" i="3" s="1"/>
  <c r="L204" i="3" s="1"/>
  <c r="K204" i="3" s="1"/>
  <c r="J204" i="3" s="1"/>
  <c r="I204" i="3" s="1"/>
  <c r="X203" i="3"/>
  <c r="Y203" i="3" s="1"/>
  <c r="Z203" i="3" s="1"/>
  <c r="AA203" i="3" s="1"/>
  <c r="AB203" i="3" s="1"/>
  <c r="AC203" i="3" s="1"/>
  <c r="AD203" i="3" s="1"/>
  <c r="AE203" i="3" s="1"/>
  <c r="AF203" i="3" s="1"/>
  <c r="AG203" i="3" s="1"/>
  <c r="AH203" i="3" s="1"/>
  <c r="AI203" i="3" s="1"/>
  <c r="AJ203" i="3" s="1"/>
  <c r="AK203" i="3" s="1"/>
  <c r="V203" i="3"/>
  <c r="U203" i="3" s="1"/>
  <c r="T203" i="3" s="1"/>
  <c r="S203" i="3" s="1"/>
  <c r="R203" i="3" s="1"/>
  <c r="Q203" i="3" s="1"/>
  <c r="P203" i="3" s="1"/>
  <c r="O203" i="3" s="1"/>
  <c r="N203" i="3" s="1"/>
  <c r="M203" i="3" s="1"/>
  <c r="L203" i="3" s="1"/>
  <c r="K203" i="3" s="1"/>
  <c r="J203" i="3" s="1"/>
  <c r="I203" i="3" s="1"/>
  <c r="X202" i="3"/>
  <c r="Y202" i="3" s="1"/>
  <c r="Z202" i="3" s="1"/>
  <c r="AA202" i="3" s="1"/>
  <c r="AB202" i="3" s="1"/>
  <c r="AC202" i="3" s="1"/>
  <c r="AD202" i="3" s="1"/>
  <c r="AE202" i="3" s="1"/>
  <c r="AF202" i="3" s="1"/>
  <c r="AG202" i="3" s="1"/>
  <c r="AH202" i="3" s="1"/>
  <c r="AI202" i="3" s="1"/>
  <c r="AJ202" i="3" s="1"/>
  <c r="AK202" i="3" s="1"/>
  <c r="V202" i="3"/>
  <c r="U202" i="3" s="1"/>
  <c r="T202" i="3" s="1"/>
  <c r="S202" i="3" s="1"/>
  <c r="R202" i="3" s="1"/>
  <c r="Q202" i="3" s="1"/>
  <c r="P202" i="3" s="1"/>
  <c r="O202" i="3" s="1"/>
  <c r="N202" i="3" s="1"/>
  <c r="M202" i="3" s="1"/>
  <c r="L202" i="3" s="1"/>
  <c r="K202" i="3" s="1"/>
  <c r="J202" i="3" s="1"/>
  <c r="I202" i="3" s="1"/>
  <c r="X201" i="3"/>
  <c r="Y201" i="3" s="1"/>
  <c r="Z201" i="3" s="1"/>
  <c r="AA201" i="3" s="1"/>
  <c r="AB201" i="3" s="1"/>
  <c r="AC201" i="3" s="1"/>
  <c r="AD201" i="3" s="1"/>
  <c r="AE201" i="3" s="1"/>
  <c r="AF201" i="3" s="1"/>
  <c r="AG201" i="3" s="1"/>
  <c r="AH201" i="3" s="1"/>
  <c r="AI201" i="3" s="1"/>
  <c r="AJ201" i="3" s="1"/>
  <c r="AK201" i="3" s="1"/>
  <c r="V201" i="3"/>
  <c r="U201" i="3" s="1"/>
  <c r="T201" i="3" s="1"/>
  <c r="S201" i="3" s="1"/>
  <c r="R201" i="3" s="1"/>
  <c r="Q201" i="3" s="1"/>
  <c r="P201" i="3" s="1"/>
  <c r="O201" i="3" s="1"/>
  <c r="N201" i="3" s="1"/>
  <c r="M201" i="3" s="1"/>
  <c r="L201" i="3" s="1"/>
  <c r="K201" i="3" s="1"/>
  <c r="J201" i="3" s="1"/>
  <c r="I201" i="3" s="1"/>
  <c r="X200" i="3"/>
  <c r="Y200" i="3" s="1"/>
  <c r="V200" i="3"/>
  <c r="U200" i="3" s="1"/>
  <c r="T200" i="3" s="1"/>
  <c r="S200" i="3" s="1"/>
  <c r="X199" i="3"/>
  <c r="Y199" i="3" s="1"/>
  <c r="Z199" i="3" s="1"/>
  <c r="AA199" i="3" s="1"/>
  <c r="AB199" i="3" s="1"/>
  <c r="AC199" i="3" s="1"/>
  <c r="AD199" i="3" s="1"/>
  <c r="AE199" i="3" s="1"/>
  <c r="AF199" i="3" s="1"/>
  <c r="AG199" i="3" s="1"/>
  <c r="AH199" i="3" s="1"/>
  <c r="AI199" i="3" s="1"/>
  <c r="AJ199" i="3" s="1"/>
  <c r="AK199" i="3" s="1"/>
  <c r="V199" i="3"/>
  <c r="U199" i="3" s="1"/>
  <c r="T199" i="3" s="1"/>
  <c r="S199" i="3" s="1"/>
  <c r="R199" i="3" s="1"/>
  <c r="Q199" i="3" s="1"/>
  <c r="P199" i="3" s="1"/>
  <c r="O199" i="3" s="1"/>
  <c r="N199" i="3" s="1"/>
  <c r="M199" i="3" s="1"/>
  <c r="L199" i="3" s="1"/>
  <c r="K199" i="3" s="1"/>
  <c r="J199" i="3" s="1"/>
  <c r="I199" i="3" s="1"/>
  <c r="X198" i="3"/>
  <c r="Y198" i="3" s="1"/>
  <c r="Z198" i="3" s="1"/>
  <c r="AA198" i="3" s="1"/>
  <c r="AB198" i="3" s="1"/>
  <c r="AC198" i="3" s="1"/>
  <c r="AD198" i="3" s="1"/>
  <c r="AE198" i="3" s="1"/>
  <c r="AF198" i="3" s="1"/>
  <c r="AG198" i="3" s="1"/>
  <c r="AH198" i="3" s="1"/>
  <c r="AI198" i="3" s="1"/>
  <c r="AJ198" i="3" s="1"/>
  <c r="AK198" i="3" s="1"/>
  <c r="V198" i="3"/>
  <c r="U198" i="3" s="1"/>
  <c r="X197" i="3"/>
  <c r="Y197" i="3" s="1"/>
  <c r="Z197" i="3" s="1"/>
  <c r="AA197" i="3" s="1"/>
  <c r="AB197" i="3" s="1"/>
  <c r="AC197" i="3" s="1"/>
  <c r="AD197" i="3" s="1"/>
  <c r="AE197" i="3" s="1"/>
  <c r="AF197" i="3" s="1"/>
  <c r="AG197" i="3" s="1"/>
  <c r="AH197" i="3" s="1"/>
  <c r="AI197" i="3" s="1"/>
  <c r="AJ197" i="3" s="1"/>
  <c r="AK197" i="3" s="1"/>
  <c r="V197" i="3"/>
  <c r="U197" i="3" s="1"/>
  <c r="T197" i="3" s="1"/>
  <c r="S197" i="3" s="1"/>
  <c r="R197" i="3" s="1"/>
  <c r="Q197" i="3" s="1"/>
  <c r="P197" i="3" s="1"/>
  <c r="O197" i="3" s="1"/>
  <c r="N197" i="3" s="1"/>
  <c r="M197" i="3" s="1"/>
  <c r="L197" i="3" s="1"/>
  <c r="K197" i="3" s="1"/>
  <c r="J197" i="3" s="1"/>
  <c r="I197" i="3" s="1"/>
  <c r="X196" i="3"/>
  <c r="Y196" i="3" s="1"/>
  <c r="Z196" i="3" s="1"/>
  <c r="AA196" i="3" s="1"/>
  <c r="AB196" i="3" s="1"/>
  <c r="AC196" i="3" s="1"/>
  <c r="AD196" i="3" s="1"/>
  <c r="AE196" i="3" s="1"/>
  <c r="AF196" i="3" s="1"/>
  <c r="AG196" i="3" s="1"/>
  <c r="AH196" i="3" s="1"/>
  <c r="AI196" i="3" s="1"/>
  <c r="AJ196" i="3" s="1"/>
  <c r="AK196" i="3" s="1"/>
  <c r="V196" i="3"/>
  <c r="U196" i="3" s="1"/>
  <c r="T196" i="3" s="1"/>
  <c r="S196" i="3" s="1"/>
  <c r="R196" i="3" s="1"/>
  <c r="Q196" i="3" s="1"/>
  <c r="P196" i="3" s="1"/>
  <c r="O196" i="3" s="1"/>
  <c r="N196" i="3" s="1"/>
  <c r="M196" i="3" s="1"/>
  <c r="L196" i="3" s="1"/>
  <c r="K196" i="3" s="1"/>
  <c r="J196" i="3" s="1"/>
  <c r="I196" i="3" s="1"/>
  <c r="X195" i="3"/>
  <c r="Y195" i="3" s="1"/>
  <c r="Z195" i="3" s="1"/>
  <c r="AA195" i="3" s="1"/>
  <c r="AB195" i="3" s="1"/>
  <c r="AC195" i="3" s="1"/>
  <c r="AD195" i="3" s="1"/>
  <c r="AE195" i="3" s="1"/>
  <c r="AF195" i="3" s="1"/>
  <c r="AG195" i="3" s="1"/>
  <c r="AH195" i="3" s="1"/>
  <c r="AI195" i="3" s="1"/>
  <c r="AJ195" i="3" s="1"/>
  <c r="AK195" i="3" s="1"/>
  <c r="V195" i="3"/>
  <c r="U195" i="3" s="1"/>
  <c r="T195" i="3" s="1"/>
  <c r="S195" i="3" s="1"/>
  <c r="R195" i="3" s="1"/>
  <c r="Q195" i="3" s="1"/>
  <c r="P195" i="3" s="1"/>
  <c r="O195" i="3" s="1"/>
  <c r="N195" i="3" s="1"/>
  <c r="M195" i="3" s="1"/>
  <c r="L195" i="3" s="1"/>
  <c r="K195" i="3" s="1"/>
  <c r="J195" i="3" s="1"/>
  <c r="I195" i="3" s="1"/>
  <c r="X194" i="3"/>
  <c r="V194" i="3"/>
  <c r="U194" i="3" s="1"/>
  <c r="W193" i="3"/>
  <c r="W192" i="3"/>
  <c r="W347" i="4" s="1"/>
  <c r="W191" i="3"/>
  <c r="W190" i="3"/>
  <c r="W348" i="4" s="1"/>
  <c r="AK184" i="3"/>
  <c r="AJ184" i="3"/>
  <c r="AI184" i="3"/>
  <c r="AH184" i="3"/>
  <c r="AG184" i="3"/>
  <c r="AF184" i="3"/>
  <c r="AE184" i="3"/>
  <c r="AD184" i="3"/>
  <c r="AC184" i="3"/>
  <c r="AB184" i="3"/>
  <c r="AA184" i="3"/>
  <c r="Z184" i="3"/>
  <c r="Y184" i="3"/>
  <c r="X184" i="3"/>
  <c r="W184" i="3"/>
  <c r="V184" i="3"/>
  <c r="U184" i="3"/>
  <c r="T184" i="3"/>
  <c r="S184" i="3"/>
  <c r="R184" i="3"/>
  <c r="Q184" i="3"/>
  <c r="P184" i="3"/>
  <c r="O184" i="3"/>
  <c r="N184" i="3"/>
  <c r="M184" i="3"/>
  <c r="L184" i="3"/>
  <c r="K184" i="3"/>
  <c r="J184" i="3"/>
  <c r="AK171" i="3"/>
  <c r="AJ171" i="3"/>
  <c r="AI171" i="3"/>
  <c r="AH171" i="3"/>
  <c r="AG171" i="3"/>
  <c r="AF171" i="3"/>
  <c r="AE171" i="3"/>
  <c r="AD171" i="3"/>
  <c r="AC171" i="3"/>
  <c r="AB171" i="3"/>
  <c r="AA171" i="3"/>
  <c r="Z171" i="3"/>
  <c r="Y171" i="3"/>
  <c r="X171" i="3"/>
  <c r="W171" i="3"/>
  <c r="V171" i="3"/>
  <c r="U171" i="3"/>
  <c r="T171" i="3"/>
  <c r="S171" i="3"/>
  <c r="R171" i="3"/>
  <c r="Q171" i="3"/>
  <c r="P171" i="3"/>
  <c r="O171" i="3"/>
  <c r="N171" i="3"/>
  <c r="M171" i="3"/>
  <c r="L171" i="3"/>
  <c r="K171" i="3"/>
  <c r="J171" i="3"/>
  <c r="I171" i="3"/>
  <c r="AK170" i="3"/>
  <c r="AJ170" i="3"/>
  <c r="AI170" i="3"/>
  <c r="AH170" i="3"/>
  <c r="AG170" i="3"/>
  <c r="AF170" i="3"/>
  <c r="AE170" i="3"/>
  <c r="AD170" i="3"/>
  <c r="AC170" i="3"/>
  <c r="AB170" i="3"/>
  <c r="AA170" i="3"/>
  <c r="Z170" i="3"/>
  <c r="Y170" i="3"/>
  <c r="X170" i="3"/>
  <c r="W170" i="3"/>
  <c r="V170" i="3"/>
  <c r="U170" i="3"/>
  <c r="T170" i="3"/>
  <c r="S170" i="3"/>
  <c r="R170" i="3"/>
  <c r="Q170" i="3"/>
  <c r="P170" i="3"/>
  <c r="O170" i="3"/>
  <c r="N170" i="3"/>
  <c r="M170" i="3"/>
  <c r="L170" i="3"/>
  <c r="K170" i="3"/>
  <c r="J170" i="3"/>
  <c r="I170" i="3"/>
  <c r="AK164" i="3"/>
  <c r="AJ164" i="3"/>
  <c r="AI164" i="3"/>
  <c r="AH164" i="3"/>
  <c r="AG164" i="3"/>
  <c r="AF164" i="3"/>
  <c r="AE164" i="3"/>
  <c r="AD164" i="3"/>
  <c r="AC164" i="3"/>
  <c r="AB164" i="3"/>
  <c r="AA164" i="3"/>
  <c r="Z164" i="3"/>
  <c r="Y164" i="3"/>
  <c r="X164" i="3"/>
  <c r="W164" i="3"/>
  <c r="V164" i="3"/>
  <c r="U164" i="3"/>
  <c r="T164" i="3"/>
  <c r="S164" i="3"/>
  <c r="R164" i="3"/>
  <c r="Q164" i="3"/>
  <c r="P164" i="3"/>
  <c r="O164" i="3"/>
  <c r="N164" i="3"/>
  <c r="M164" i="3"/>
  <c r="L164" i="3"/>
  <c r="K164" i="3"/>
  <c r="J164" i="3"/>
  <c r="I164" i="3"/>
  <c r="AK151" i="3"/>
  <c r="AJ151" i="3"/>
  <c r="AI151" i="3"/>
  <c r="AH151" i="3"/>
  <c r="AG151" i="3"/>
  <c r="AF151" i="3"/>
  <c r="AE151" i="3"/>
  <c r="AD151" i="3"/>
  <c r="AC151" i="3"/>
  <c r="AB151" i="3"/>
  <c r="AA151" i="3"/>
  <c r="Z151" i="3"/>
  <c r="Y151" i="3"/>
  <c r="X151" i="3"/>
  <c r="W151" i="3"/>
  <c r="V151" i="3"/>
  <c r="U151" i="3"/>
  <c r="T151" i="3"/>
  <c r="S151" i="3"/>
  <c r="R151" i="3"/>
  <c r="Q151" i="3"/>
  <c r="P151" i="3"/>
  <c r="O151" i="3"/>
  <c r="N151" i="3"/>
  <c r="M151" i="3"/>
  <c r="L151" i="3"/>
  <c r="K151" i="3"/>
  <c r="J151" i="3"/>
  <c r="I151" i="3"/>
  <c r="AK149" i="3"/>
  <c r="AJ149" i="3"/>
  <c r="AI149" i="3"/>
  <c r="AH149" i="3"/>
  <c r="AG149" i="3"/>
  <c r="AF149" i="3"/>
  <c r="AE149" i="3"/>
  <c r="AD149" i="3"/>
  <c r="AC149" i="3"/>
  <c r="AB149" i="3"/>
  <c r="AA149" i="3"/>
  <c r="Z149" i="3"/>
  <c r="Y149" i="3"/>
  <c r="X149" i="3"/>
  <c r="W149" i="3"/>
  <c r="V149" i="3"/>
  <c r="U149" i="3"/>
  <c r="T149" i="3"/>
  <c r="S149" i="3"/>
  <c r="R149" i="3"/>
  <c r="Q149" i="3"/>
  <c r="P149" i="3"/>
  <c r="O149" i="3"/>
  <c r="N149" i="3"/>
  <c r="M149" i="3"/>
  <c r="L149" i="3"/>
  <c r="K149" i="3"/>
  <c r="J149" i="3"/>
  <c r="I149" i="3"/>
  <c r="AK148" i="3"/>
  <c r="AK217" i="4" s="1"/>
  <c r="AJ148" i="3"/>
  <c r="AJ217" i="4" s="1"/>
  <c r="AI148" i="3"/>
  <c r="AI217" i="4" s="1"/>
  <c r="AH148" i="3"/>
  <c r="AH217" i="4" s="1"/>
  <c r="AG148" i="3"/>
  <c r="AG217" i="4" s="1"/>
  <c r="AF148" i="3"/>
  <c r="AF217" i="4" s="1"/>
  <c r="AE148" i="3"/>
  <c r="AE217" i="4" s="1"/>
  <c r="AD148" i="3"/>
  <c r="AD217" i="4" s="1"/>
  <c r="AC148" i="3"/>
  <c r="AC217" i="4" s="1"/>
  <c r="AB148" i="3"/>
  <c r="AB217" i="4" s="1"/>
  <c r="AA148" i="3"/>
  <c r="AA217" i="4" s="1"/>
  <c r="Z148" i="3"/>
  <c r="Z217" i="4" s="1"/>
  <c r="Y148" i="3"/>
  <c r="Y217" i="4" s="1"/>
  <c r="X148" i="3"/>
  <c r="X217" i="4" s="1"/>
  <c r="W148" i="3"/>
  <c r="W217" i="4" s="1"/>
  <c r="V148" i="3"/>
  <c r="V217" i="4" s="1"/>
  <c r="U148" i="3"/>
  <c r="U217" i="4" s="1"/>
  <c r="T148" i="3"/>
  <c r="T217" i="4" s="1"/>
  <c r="S148" i="3"/>
  <c r="S217" i="4" s="1"/>
  <c r="R148" i="3"/>
  <c r="R217" i="4" s="1"/>
  <c r="Q148" i="3"/>
  <c r="Q217" i="4" s="1"/>
  <c r="P148" i="3"/>
  <c r="P217" i="4" s="1"/>
  <c r="O148" i="3"/>
  <c r="O217" i="4" s="1"/>
  <c r="N148" i="3"/>
  <c r="N217" i="4" s="1"/>
  <c r="M148" i="3"/>
  <c r="M217" i="4" s="1"/>
  <c r="L148" i="3"/>
  <c r="L217" i="4" s="1"/>
  <c r="K148" i="3"/>
  <c r="K217" i="4" s="1"/>
  <c r="J148" i="3"/>
  <c r="J217" i="4" s="1"/>
  <c r="I148" i="3"/>
  <c r="I217" i="4" s="1"/>
  <c r="AC136" i="3"/>
  <c r="AC585" i="4" s="1"/>
  <c r="T136" i="3"/>
  <c r="T585" i="4" s="1"/>
  <c r="R136" i="3"/>
  <c r="AC135" i="3"/>
  <c r="AD135" i="3" s="1"/>
  <c r="AE135" i="3" s="1"/>
  <c r="AF135" i="3" s="1"/>
  <c r="AG135" i="3" s="1"/>
  <c r="T135" i="3"/>
  <c r="U135" i="3" s="1"/>
  <c r="V135" i="3" s="1"/>
  <c r="W135" i="3" s="1"/>
  <c r="X135" i="3" s="1"/>
  <c r="Y135" i="3" s="1"/>
  <c r="Z135" i="3" s="1"/>
  <c r="AA135" i="3" s="1"/>
  <c r="R135" i="3"/>
  <c r="AC134" i="3"/>
  <c r="AD134" i="3" s="1"/>
  <c r="T134" i="3"/>
  <c r="U134" i="3" s="1"/>
  <c r="V134" i="3" s="1"/>
  <c r="W134" i="3" s="1"/>
  <c r="X134" i="3" s="1"/>
  <c r="Y134" i="3" s="1"/>
  <c r="Z134" i="3" s="1"/>
  <c r="AA134" i="3" s="1"/>
  <c r="R134" i="3"/>
  <c r="Q134" i="3" s="1"/>
  <c r="P134" i="3" s="1"/>
  <c r="O134" i="3" s="1"/>
  <c r="N134" i="3" s="1"/>
  <c r="AC133" i="3"/>
  <c r="AD133" i="3" s="1"/>
  <c r="AE133" i="3" s="1"/>
  <c r="AF133" i="3" s="1"/>
  <c r="AG133" i="3" s="1"/>
  <c r="AH133" i="3" s="1"/>
  <c r="AI133" i="3" s="1"/>
  <c r="AJ133" i="3" s="1"/>
  <c r="AK133" i="3" s="1"/>
  <c r="T133" i="3"/>
  <c r="R133" i="3"/>
  <c r="Q133" i="3" s="1"/>
  <c r="P133" i="3" s="1"/>
  <c r="O133" i="3" s="1"/>
  <c r="N133" i="3" s="1"/>
  <c r="AC132" i="3"/>
  <c r="AD132" i="3" s="1"/>
  <c r="AE132" i="3" s="1"/>
  <c r="AF132" i="3" s="1"/>
  <c r="AG132" i="3" s="1"/>
  <c r="AH132" i="3" s="1"/>
  <c r="AI132" i="3" s="1"/>
  <c r="AJ132" i="3" s="1"/>
  <c r="AK132" i="3" s="1"/>
  <c r="T132" i="3"/>
  <c r="U132" i="3" s="1"/>
  <c r="V132" i="3" s="1"/>
  <c r="W132" i="3" s="1"/>
  <c r="X132" i="3" s="1"/>
  <c r="Y132" i="3" s="1"/>
  <c r="Z132" i="3" s="1"/>
  <c r="R132" i="3"/>
  <c r="AC131" i="3"/>
  <c r="AD131" i="3" s="1"/>
  <c r="AE131" i="3" s="1"/>
  <c r="T131" i="3"/>
  <c r="U131" i="3" s="1"/>
  <c r="R131" i="3"/>
  <c r="Q131" i="3" s="1"/>
  <c r="AC130" i="3"/>
  <c r="AD130" i="3" s="1"/>
  <c r="AE130" i="3" s="1"/>
  <c r="AF130" i="3" s="1"/>
  <c r="AG130" i="3" s="1"/>
  <c r="AH130" i="3" s="1"/>
  <c r="AI130" i="3" s="1"/>
  <c r="AJ130" i="3" s="1"/>
  <c r="AK130" i="3" s="1"/>
  <c r="T130" i="3"/>
  <c r="U130" i="3" s="1"/>
  <c r="V130" i="3" s="1"/>
  <c r="W130" i="3" s="1"/>
  <c r="X130" i="3" s="1"/>
  <c r="Y130" i="3" s="1"/>
  <c r="Z130" i="3" s="1"/>
  <c r="AA130" i="3" s="1"/>
  <c r="R130" i="3"/>
  <c r="Q130" i="3" s="1"/>
  <c r="P130" i="3" s="1"/>
  <c r="O130" i="3" s="1"/>
  <c r="N130" i="3" s="1"/>
  <c r="M130" i="3" s="1"/>
  <c r="L130" i="3" s="1"/>
  <c r="K130" i="3" s="1"/>
  <c r="J130" i="3" s="1"/>
  <c r="I130" i="3" s="1"/>
  <c r="AC129" i="3"/>
  <c r="T129" i="3"/>
  <c r="R129" i="3"/>
  <c r="Q129" i="3" s="1"/>
  <c r="P129" i="3" s="1"/>
  <c r="AB128" i="3"/>
  <c r="AB584" i="4" s="1"/>
  <c r="S128" i="3"/>
  <c r="S584" i="4" s="1"/>
  <c r="AB127" i="3"/>
  <c r="S127" i="3"/>
  <c r="S125" i="3"/>
  <c r="T125" i="3" s="1"/>
  <c r="U125" i="3" s="1"/>
  <c r="V125" i="3" s="1"/>
  <c r="W125" i="3" s="1"/>
  <c r="X125" i="3" s="1"/>
  <c r="Y125" i="3" s="1"/>
  <c r="Z125" i="3" s="1"/>
  <c r="AA125" i="3" s="1"/>
  <c r="AB125" i="3" s="1"/>
  <c r="Q125" i="3"/>
  <c r="P125" i="3" s="1"/>
  <c r="O125" i="3" s="1"/>
  <c r="N125" i="3" s="1"/>
  <c r="M125" i="3" s="1"/>
  <c r="L125" i="3" s="1"/>
  <c r="K125" i="3" s="1"/>
  <c r="J125" i="3" s="1"/>
  <c r="I125" i="3" s="1"/>
  <c r="AC124" i="3"/>
  <c r="AD124" i="3" s="1"/>
  <c r="T124" i="3"/>
  <c r="U124" i="3" s="1"/>
  <c r="V124" i="3" s="1"/>
  <c r="R124" i="3"/>
  <c r="Q124" i="3" s="1"/>
  <c r="P124" i="3" s="1"/>
  <c r="X122" i="3"/>
  <c r="Y122" i="3" s="1"/>
  <c r="Z122" i="3" s="1"/>
  <c r="AA122" i="3" s="1"/>
  <c r="AB122" i="3" s="1"/>
  <c r="AC122" i="3" s="1"/>
  <c r="AD122" i="3" s="1"/>
  <c r="AE122" i="3" s="1"/>
  <c r="AF122" i="3" s="1"/>
  <c r="AG122" i="3" s="1"/>
  <c r="AH122" i="3" s="1"/>
  <c r="AI122" i="3" s="1"/>
  <c r="AJ122" i="3" s="1"/>
  <c r="AK122" i="3" s="1"/>
  <c r="S122" i="3"/>
  <c r="T122" i="3" s="1"/>
  <c r="Q122" i="3"/>
  <c r="P122" i="3" s="1"/>
  <c r="O122" i="3" s="1"/>
  <c r="N122" i="3" s="1"/>
  <c r="M122" i="3" s="1"/>
  <c r="L122" i="3" s="1"/>
  <c r="K122" i="3" s="1"/>
  <c r="J122" i="3" s="1"/>
  <c r="I122" i="3" s="1"/>
  <c r="AC121" i="3"/>
  <c r="T121" i="3"/>
  <c r="U121" i="3" s="1"/>
  <c r="R121" i="3"/>
  <c r="AC118" i="3"/>
  <c r="AD118" i="3" s="1"/>
  <c r="AE118" i="3" s="1"/>
  <c r="AF118" i="3" s="1"/>
  <c r="AG118" i="3" s="1"/>
  <c r="AH118" i="3" s="1"/>
  <c r="AI118" i="3" s="1"/>
  <c r="AJ118" i="3" s="1"/>
  <c r="AK118" i="3" s="1"/>
  <c r="T118" i="3"/>
  <c r="U118" i="3" s="1"/>
  <c r="V118" i="3" s="1"/>
  <c r="W118" i="3" s="1"/>
  <c r="X118" i="3" s="1"/>
  <c r="Y118" i="3" s="1"/>
  <c r="Z118" i="3" s="1"/>
  <c r="AA118" i="3" s="1"/>
  <c r="R118" i="3"/>
  <c r="Q118" i="3" s="1"/>
  <c r="P118" i="3" s="1"/>
  <c r="O118" i="3" s="1"/>
  <c r="N118" i="3" s="1"/>
  <c r="M118" i="3" s="1"/>
  <c r="L118" i="3" s="1"/>
  <c r="K118" i="3" s="1"/>
  <c r="J118" i="3" s="1"/>
  <c r="I118" i="3" s="1"/>
  <c r="AC117" i="3"/>
  <c r="AD117" i="3" s="1"/>
  <c r="AE117" i="3" s="1"/>
  <c r="AF117" i="3" s="1"/>
  <c r="AG117" i="3" s="1"/>
  <c r="AH117" i="3" s="1"/>
  <c r="AI117" i="3" s="1"/>
  <c r="AJ117" i="3" s="1"/>
  <c r="AK117" i="3" s="1"/>
  <c r="T117" i="3"/>
  <c r="U117" i="3" s="1"/>
  <c r="V117" i="3" s="1"/>
  <c r="W117" i="3" s="1"/>
  <c r="X117" i="3" s="1"/>
  <c r="Y117" i="3" s="1"/>
  <c r="Z117" i="3" s="1"/>
  <c r="AA117" i="3" s="1"/>
  <c r="R117" i="3"/>
  <c r="Q117" i="3" s="1"/>
  <c r="P117" i="3" s="1"/>
  <c r="O117" i="3" s="1"/>
  <c r="N117" i="3" s="1"/>
  <c r="M117" i="3" s="1"/>
  <c r="L117" i="3" s="1"/>
  <c r="K117" i="3" s="1"/>
  <c r="J117" i="3" s="1"/>
  <c r="I117" i="3" s="1"/>
  <c r="AC116" i="3"/>
  <c r="AD116" i="3" s="1"/>
  <c r="AE116" i="3" s="1"/>
  <c r="AF116" i="3" s="1"/>
  <c r="AG116" i="3" s="1"/>
  <c r="AH116" i="3" s="1"/>
  <c r="AI116" i="3" s="1"/>
  <c r="AJ116" i="3" s="1"/>
  <c r="AK116" i="3" s="1"/>
  <c r="T116" i="3"/>
  <c r="U116" i="3" s="1"/>
  <c r="V116" i="3" s="1"/>
  <c r="W116" i="3" s="1"/>
  <c r="X116" i="3" s="1"/>
  <c r="Y116" i="3" s="1"/>
  <c r="Z116" i="3" s="1"/>
  <c r="AA116" i="3" s="1"/>
  <c r="R116" i="3"/>
  <c r="Q116" i="3" s="1"/>
  <c r="P116" i="3" s="1"/>
  <c r="O116" i="3" s="1"/>
  <c r="N116" i="3" s="1"/>
  <c r="M116" i="3" s="1"/>
  <c r="L116" i="3" s="1"/>
  <c r="K116" i="3" s="1"/>
  <c r="J116" i="3" s="1"/>
  <c r="I116" i="3" s="1"/>
  <c r="AC115" i="3"/>
  <c r="AD115" i="3" s="1"/>
  <c r="AE115" i="3" s="1"/>
  <c r="AF115" i="3" s="1"/>
  <c r="AG115" i="3" s="1"/>
  <c r="AH115" i="3" s="1"/>
  <c r="AI115" i="3" s="1"/>
  <c r="AJ115" i="3" s="1"/>
  <c r="AK115" i="3" s="1"/>
  <c r="T115" i="3"/>
  <c r="U115" i="3" s="1"/>
  <c r="V115" i="3" s="1"/>
  <c r="W115" i="3" s="1"/>
  <c r="X115" i="3" s="1"/>
  <c r="Y115" i="3" s="1"/>
  <c r="Z115" i="3" s="1"/>
  <c r="AA115" i="3" s="1"/>
  <c r="R115" i="3"/>
  <c r="Q115" i="3" s="1"/>
  <c r="P115" i="3" s="1"/>
  <c r="O115" i="3" s="1"/>
  <c r="N115" i="3" s="1"/>
  <c r="M115" i="3" s="1"/>
  <c r="L115" i="3" s="1"/>
  <c r="K115" i="3" s="1"/>
  <c r="J115" i="3" s="1"/>
  <c r="I115" i="3" s="1"/>
  <c r="AC114" i="3"/>
  <c r="T114" i="3"/>
  <c r="R114" i="3"/>
  <c r="Q114" i="3" s="1"/>
  <c r="P114" i="3" s="1"/>
  <c r="O114" i="3" s="1"/>
  <c r="AB113" i="3"/>
  <c r="S113" i="3"/>
  <c r="AC112" i="3"/>
  <c r="AD112" i="3" s="1"/>
  <c r="AE112" i="3" s="1"/>
  <c r="AF112" i="3" s="1"/>
  <c r="AG112" i="3" s="1"/>
  <c r="AH112" i="3" s="1"/>
  <c r="AI112" i="3" s="1"/>
  <c r="AJ112" i="3" s="1"/>
  <c r="AK112" i="3" s="1"/>
  <c r="T112" i="3"/>
  <c r="U112" i="3" s="1"/>
  <c r="V112" i="3" s="1"/>
  <c r="W112" i="3" s="1"/>
  <c r="X112" i="3" s="1"/>
  <c r="Y112" i="3" s="1"/>
  <c r="Z112" i="3" s="1"/>
  <c r="AA112" i="3" s="1"/>
  <c r="R112" i="3"/>
  <c r="Q112" i="3" s="1"/>
  <c r="P112" i="3" s="1"/>
  <c r="O112" i="3" s="1"/>
  <c r="N112" i="3" s="1"/>
  <c r="M112" i="3" s="1"/>
  <c r="L112" i="3" s="1"/>
  <c r="AC111" i="3"/>
  <c r="AD111" i="3" s="1"/>
  <c r="AE111" i="3" s="1"/>
  <c r="AF111" i="3" s="1"/>
  <c r="AG111" i="3" s="1"/>
  <c r="AH111" i="3" s="1"/>
  <c r="AI111" i="3" s="1"/>
  <c r="AJ111" i="3" s="1"/>
  <c r="AK111" i="3" s="1"/>
  <c r="T111" i="3"/>
  <c r="T511" i="4" s="1"/>
  <c r="R111" i="3"/>
  <c r="AC110" i="3"/>
  <c r="AD110" i="3" s="1"/>
  <c r="AE110" i="3" s="1"/>
  <c r="AF110" i="3" s="1"/>
  <c r="AG110" i="3" s="1"/>
  <c r="AH110" i="3" s="1"/>
  <c r="AI110" i="3" s="1"/>
  <c r="AJ110" i="3" s="1"/>
  <c r="AK110" i="3" s="1"/>
  <c r="T110" i="3"/>
  <c r="R110" i="3"/>
  <c r="Q110" i="3" s="1"/>
  <c r="P110" i="3" s="1"/>
  <c r="O110" i="3" s="1"/>
  <c r="N110" i="3" s="1"/>
  <c r="M110" i="3" s="1"/>
  <c r="L110" i="3" s="1"/>
  <c r="K110" i="3" s="1"/>
  <c r="J110" i="3" s="1"/>
  <c r="I110" i="3" s="1"/>
  <c r="AC109" i="3"/>
  <c r="AD109" i="3" s="1"/>
  <c r="AE109" i="3" s="1"/>
  <c r="AF109" i="3" s="1"/>
  <c r="AG109" i="3" s="1"/>
  <c r="AH109" i="3" s="1"/>
  <c r="AI109" i="3" s="1"/>
  <c r="AJ109" i="3" s="1"/>
  <c r="AK109" i="3" s="1"/>
  <c r="T109" i="3"/>
  <c r="U109" i="3" s="1"/>
  <c r="V109" i="3" s="1"/>
  <c r="W109" i="3" s="1"/>
  <c r="X109" i="3" s="1"/>
  <c r="Y109" i="3" s="1"/>
  <c r="Z109" i="3" s="1"/>
  <c r="AA109" i="3" s="1"/>
  <c r="R109" i="3"/>
  <c r="Q109" i="3" s="1"/>
  <c r="P109" i="3" s="1"/>
  <c r="O109" i="3" s="1"/>
  <c r="N109" i="3" s="1"/>
  <c r="M109" i="3" s="1"/>
  <c r="L109" i="3" s="1"/>
  <c r="K109" i="3" s="1"/>
  <c r="J109" i="3" s="1"/>
  <c r="I109" i="3" s="1"/>
  <c r="AC108" i="3"/>
  <c r="T108" i="3"/>
  <c r="R108" i="3"/>
  <c r="Q108" i="3" s="1"/>
  <c r="P108" i="3" s="1"/>
  <c r="O108" i="3" s="1"/>
  <c r="N108" i="3" s="1"/>
  <c r="M108" i="3" s="1"/>
  <c r="L108" i="3" s="1"/>
  <c r="K108" i="3" s="1"/>
  <c r="AC107" i="3"/>
  <c r="AD107" i="3" s="1"/>
  <c r="AE107" i="3" s="1"/>
  <c r="AF107" i="3" s="1"/>
  <c r="T107" i="3"/>
  <c r="U107" i="3" s="1"/>
  <c r="V107" i="3" s="1"/>
  <c r="W107" i="3" s="1"/>
  <c r="X107" i="3" s="1"/>
  <c r="R107" i="3"/>
  <c r="AB106" i="3"/>
  <c r="AB582" i="4" s="1"/>
  <c r="S106" i="3"/>
  <c r="AK96" i="3"/>
  <c r="AJ96" i="3"/>
  <c r="AI96" i="3"/>
  <c r="AH96" i="3"/>
  <c r="AG96" i="3"/>
  <c r="AF96" i="3"/>
  <c r="AE96" i="3"/>
  <c r="AD96" i="3"/>
  <c r="AC96" i="3"/>
  <c r="AB96" i="3"/>
  <c r="AA96" i="3"/>
  <c r="Z96" i="3"/>
  <c r="Y96" i="3"/>
  <c r="X96" i="3"/>
  <c r="W96" i="3"/>
  <c r="V96" i="3"/>
  <c r="U96" i="3"/>
  <c r="T96" i="3"/>
  <c r="S96" i="3"/>
  <c r="R96" i="3"/>
  <c r="Q96" i="3"/>
  <c r="P96" i="3"/>
  <c r="O96" i="3"/>
  <c r="N96" i="3"/>
  <c r="M96" i="3"/>
  <c r="L96" i="3"/>
  <c r="K96" i="3"/>
  <c r="J96" i="3"/>
  <c r="I96" i="3"/>
  <c r="AK95" i="3"/>
  <c r="AJ95" i="3"/>
  <c r="AI95" i="3"/>
  <c r="AH95" i="3"/>
  <c r="AG95" i="3"/>
  <c r="AF95" i="3"/>
  <c r="AE95" i="3"/>
  <c r="AD95" i="3"/>
  <c r="AC95" i="3"/>
  <c r="AB95" i="3"/>
  <c r="AA95" i="3"/>
  <c r="Z95" i="3"/>
  <c r="Y95" i="3"/>
  <c r="X95" i="3"/>
  <c r="W95" i="3"/>
  <c r="V95" i="3"/>
  <c r="U95" i="3"/>
  <c r="T95" i="3"/>
  <c r="S95" i="3"/>
  <c r="R95" i="3"/>
  <c r="Q95" i="3"/>
  <c r="P95" i="3"/>
  <c r="O95" i="3"/>
  <c r="N95" i="3"/>
  <c r="M95" i="3"/>
  <c r="L95" i="3"/>
  <c r="K95" i="3"/>
  <c r="J95" i="3"/>
  <c r="I95"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AK88" i="3"/>
  <c r="AJ88" i="3"/>
  <c r="AI88" i="3"/>
  <c r="AH88" i="3"/>
  <c r="AG88" i="3"/>
  <c r="AF88" i="3"/>
  <c r="AE88" i="3"/>
  <c r="AD88" i="3"/>
  <c r="AC88" i="3"/>
  <c r="AB88" i="3"/>
  <c r="AA88" i="3"/>
  <c r="Z88" i="3"/>
  <c r="Y88" i="3"/>
  <c r="X88" i="3"/>
  <c r="W88" i="3"/>
  <c r="V88" i="3"/>
  <c r="U88" i="3"/>
  <c r="T88" i="3"/>
  <c r="S88" i="3"/>
  <c r="R88" i="3"/>
  <c r="Q88" i="3"/>
  <c r="P88" i="3"/>
  <c r="O88" i="3"/>
  <c r="N88" i="3"/>
  <c r="M88" i="3"/>
  <c r="L88" i="3"/>
  <c r="K88" i="3"/>
  <c r="J88" i="3"/>
  <c r="I88" i="3"/>
  <c r="AK81" i="3"/>
  <c r="AJ81" i="3"/>
  <c r="AI81" i="3"/>
  <c r="AH81" i="3"/>
  <c r="AG81" i="3"/>
  <c r="AF81" i="3"/>
  <c r="AE81" i="3"/>
  <c r="AD81" i="3"/>
  <c r="AC81" i="3"/>
  <c r="AB81" i="3"/>
  <c r="AA81" i="3"/>
  <c r="Z81" i="3"/>
  <c r="Y81" i="3"/>
  <c r="X81" i="3"/>
  <c r="W81" i="3"/>
  <c r="V81" i="3"/>
  <c r="U81" i="3"/>
  <c r="T81" i="3"/>
  <c r="S81" i="3"/>
  <c r="R81" i="3"/>
  <c r="Q81" i="3"/>
  <c r="P81" i="3"/>
  <c r="O81" i="3"/>
  <c r="N81" i="3"/>
  <c r="M81" i="3"/>
  <c r="L81" i="3"/>
  <c r="K81" i="3"/>
  <c r="J81" i="3"/>
  <c r="I81" i="3"/>
  <c r="AK74" i="3"/>
  <c r="AJ74" i="3"/>
  <c r="AI74" i="3"/>
  <c r="AH74" i="3"/>
  <c r="AG74" i="3"/>
  <c r="AF74" i="3"/>
  <c r="AE74" i="3"/>
  <c r="AD74" i="3"/>
  <c r="AC74" i="3"/>
  <c r="AB74" i="3"/>
  <c r="AA74" i="3"/>
  <c r="Z74" i="3"/>
  <c r="Y74" i="3"/>
  <c r="X74" i="3"/>
  <c r="W74" i="3"/>
  <c r="V74" i="3"/>
  <c r="U74" i="3"/>
  <c r="T74" i="3"/>
  <c r="S74" i="3"/>
  <c r="R74" i="3"/>
  <c r="Q74" i="3"/>
  <c r="P74" i="3"/>
  <c r="O74" i="3"/>
  <c r="N74" i="3"/>
  <c r="M74" i="3"/>
  <c r="L74" i="3"/>
  <c r="K74" i="3"/>
  <c r="J74" i="3"/>
  <c r="I74" i="3"/>
  <c r="AK53" i="3"/>
  <c r="AJ53" i="3"/>
  <c r="AG53" i="3"/>
  <c r="AF53" i="3"/>
  <c r="AC53" i="3"/>
  <c r="AB53" i="3"/>
  <c r="Y53" i="3"/>
  <c r="X53" i="3"/>
  <c r="AK52" i="3"/>
  <c r="AJ52" i="3"/>
  <c r="AI52" i="3"/>
  <c r="AH52" i="3"/>
  <c r="AG52" i="3"/>
  <c r="AF52" i="3"/>
  <c r="AE52" i="3"/>
  <c r="AD52" i="3"/>
  <c r="AC52" i="3"/>
  <c r="AB52" i="3"/>
  <c r="AA52" i="3"/>
  <c r="Z52" i="3"/>
  <c r="Y52" i="3"/>
  <c r="X52" i="3"/>
  <c r="W52" i="3"/>
  <c r="V51" i="3"/>
  <c r="U51" i="3"/>
  <c r="T51" i="3"/>
  <c r="S51" i="3"/>
  <c r="AH50" i="3"/>
  <c r="AD50" i="3"/>
  <c r="Z50" i="3"/>
  <c r="AK49" i="3"/>
  <c r="AJ49" i="3"/>
  <c r="AI49" i="3"/>
  <c r="AH49" i="3"/>
  <c r="AG49" i="3"/>
  <c r="AF49" i="3"/>
  <c r="AE49" i="3"/>
  <c r="AD49" i="3"/>
  <c r="AC49" i="3"/>
  <c r="AB49" i="3"/>
  <c r="AA49" i="3"/>
  <c r="Z49" i="3"/>
  <c r="Y49" i="3"/>
  <c r="X49" i="3"/>
  <c r="W49" i="3"/>
  <c r="V48" i="3"/>
  <c r="U48" i="3"/>
  <c r="T48" i="3"/>
  <c r="S48" i="3"/>
  <c r="AK47" i="3"/>
  <c r="AJ47" i="3"/>
  <c r="AI47" i="3"/>
  <c r="AH47" i="3"/>
  <c r="AG47" i="3"/>
  <c r="AF47" i="3"/>
  <c r="AE47" i="3"/>
  <c r="AD47" i="3"/>
  <c r="AB47" i="3"/>
  <c r="AA47" i="3"/>
  <c r="Z47" i="3"/>
  <c r="Y47" i="3"/>
  <c r="X47" i="3"/>
  <c r="W47" i="3"/>
  <c r="AI46" i="3"/>
  <c r="AE46" i="3"/>
  <c r="AA46" i="3"/>
  <c r="W46" i="3"/>
  <c r="V45" i="3"/>
  <c r="U45" i="3"/>
  <c r="T45" i="3"/>
  <c r="S45" i="3"/>
  <c r="AK43" i="3"/>
  <c r="AJ43" i="3"/>
  <c r="AI43" i="3"/>
  <c r="AH43" i="3"/>
  <c r="AG43" i="3"/>
  <c r="AF43" i="3"/>
  <c r="AE43" i="3"/>
  <c r="AD43" i="3"/>
  <c r="AC43" i="3"/>
  <c r="AB43" i="3"/>
  <c r="Z43" i="3"/>
  <c r="Y43" i="3"/>
  <c r="X43" i="3"/>
  <c r="W43" i="3"/>
  <c r="AK42" i="3"/>
  <c r="AJ42" i="3"/>
  <c r="AI42" i="3"/>
  <c r="AH42" i="3"/>
  <c r="AG42" i="3"/>
  <c r="AF42" i="3"/>
  <c r="AE42" i="3"/>
  <c r="AD42" i="3"/>
  <c r="AC42" i="3"/>
  <c r="AB42" i="3"/>
  <c r="AA42" i="3"/>
  <c r="Z42" i="3"/>
  <c r="Y42" i="3"/>
  <c r="X42" i="3"/>
  <c r="W42" i="3"/>
  <c r="V41" i="3"/>
  <c r="U41" i="3"/>
  <c r="T41" i="3"/>
  <c r="S41" i="3"/>
  <c r="AJ40" i="3"/>
  <c r="AF40" i="3"/>
  <c r="AB40" i="3"/>
  <c r="X40" i="3"/>
  <c r="AK39" i="3"/>
  <c r="AJ39" i="3"/>
  <c r="AI39" i="3"/>
  <c r="AH39" i="3"/>
  <c r="AG39" i="3"/>
  <c r="AF39" i="3"/>
  <c r="AE39" i="3"/>
  <c r="AD39" i="3"/>
  <c r="AC39" i="3"/>
  <c r="AB39" i="3"/>
  <c r="AA39" i="3"/>
  <c r="Z39" i="3"/>
  <c r="Y39" i="3"/>
  <c r="X39" i="3"/>
  <c r="W39" i="3"/>
  <c r="V38" i="3"/>
  <c r="U38" i="3"/>
  <c r="T38" i="3"/>
  <c r="S38" i="3"/>
  <c r="AK37" i="3"/>
  <c r="AJ37" i="3"/>
  <c r="AI37" i="3"/>
  <c r="AH37" i="3"/>
  <c r="AG37" i="3"/>
  <c r="AF37" i="3"/>
  <c r="AE37" i="3"/>
  <c r="AD37" i="3"/>
  <c r="AC37" i="3"/>
  <c r="AA37" i="3"/>
  <c r="Z37" i="3"/>
  <c r="Y37" i="3"/>
  <c r="X37" i="3"/>
  <c r="W37" i="3"/>
  <c r="AK36" i="3"/>
  <c r="AG36" i="3"/>
  <c r="AC36" i="3"/>
  <c r="Y36" i="3"/>
  <c r="V35" i="3"/>
  <c r="U35" i="3"/>
  <c r="T35" i="3"/>
  <c r="S35" i="3"/>
  <c r="AK33" i="3"/>
  <c r="AJ33" i="3"/>
  <c r="AI33" i="3"/>
  <c r="AH33" i="3"/>
  <c r="AG33" i="3"/>
  <c r="AF33" i="3"/>
  <c r="AE33" i="3"/>
  <c r="AD33" i="3"/>
  <c r="AC33" i="3"/>
  <c r="AB33" i="3"/>
  <c r="AA33" i="3"/>
  <c r="Z33" i="3"/>
  <c r="Y33" i="3"/>
  <c r="X33" i="3"/>
  <c r="W33" i="3"/>
  <c r="AK32" i="3"/>
  <c r="AJ32" i="3"/>
  <c r="AI32" i="3"/>
  <c r="AH32" i="3"/>
  <c r="AG32" i="3"/>
  <c r="AF32" i="3"/>
  <c r="AE32" i="3"/>
  <c r="AD32" i="3"/>
  <c r="AC32" i="3"/>
  <c r="AB32" i="3"/>
  <c r="AA32" i="3"/>
  <c r="Z32" i="3"/>
  <c r="Y32" i="3"/>
  <c r="X32" i="3"/>
  <c r="W32" i="3"/>
  <c r="AK30" i="3"/>
  <c r="AJ30" i="3"/>
  <c r="AI30" i="3"/>
  <c r="AH30" i="3"/>
  <c r="AG30" i="3"/>
  <c r="AF30" i="3"/>
  <c r="AE30" i="3"/>
  <c r="AD30" i="3"/>
  <c r="AC30" i="3"/>
  <c r="AB30" i="3"/>
  <c r="AA30" i="3"/>
  <c r="Z30" i="3"/>
  <c r="Y30" i="3"/>
  <c r="X30" i="3"/>
  <c r="W30" i="3"/>
  <c r="AK29" i="3"/>
  <c r="AG29" i="3"/>
  <c r="AC29" i="3"/>
  <c r="Y29" i="3"/>
  <c r="AK27" i="3"/>
  <c r="AJ27" i="3"/>
  <c r="AI27" i="3"/>
  <c r="AH27" i="3"/>
  <c r="AG27" i="3"/>
  <c r="AF27" i="3"/>
  <c r="AE27" i="3"/>
  <c r="AD27" i="3"/>
  <c r="AC27" i="3"/>
  <c r="AB27" i="3"/>
  <c r="AA27" i="3"/>
  <c r="Z27" i="3"/>
  <c r="Y27" i="3"/>
  <c r="X27" i="3"/>
  <c r="W27" i="3"/>
  <c r="AK26" i="3"/>
  <c r="AJ26" i="3"/>
  <c r="AI26" i="3"/>
  <c r="AH26" i="3"/>
  <c r="AG26" i="3"/>
  <c r="AF26" i="3"/>
  <c r="AE26" i="3"/>
  <c r="AD26" i="3"/>
  <c r="AC26" i="3"/>
  <c r="AB26" i="3"/>
  <c r="AA26" i="3"/>
  <c r="Z26" i="3"/>
  <c r="Y26" i="3"/>
  <c r="X26" i="3"/>
  <c r="W26" i="3"/>
  <c r="V25" i="3"/>
  <c r="U25" i="3"/>
  <c r="T25" i="3"/>
  <c r="S25" i="3"/>
  <c r="AH24" i="3"/>
  <c r="AD24" i="3"/>
  <c r="Z24" i="3"/>
  <c r="V24" i="3"/>
  <c r="V58" i="4" s="1"/>
  <c r="R24" i="3"/>
  <c r="R58" i="4" s="1"/>
  <c r="N24" i="3"/>
  <c r="N58" i="4" s="1"/>
  <c r="AK23" i="3"/>
  <c r="AJ23" i="3"/>
  <c r="AI23" i="3"/>
  <c r="AH23" i="3"/>
  <c r="AG23" i="3"/>
  <c r="AF23" i="3"/>
  <c r="AE23" i="3"/>
  <c r="AD23" i="3"/>
  <c r="AC23" i="3"/>
  <c r="AB23" i="3"/>
  <c r="AA23" i="3"/>
  <c r="Z23" i="3"/>
  <c r="Y23" i="3"/>
  <c r="X23" i="3"/>
  <c r="W23" i="3"/>
  <c r="V23" i="3"/>
  <c r="U23" i="3"/>
  <c r="T23" i="3"/>
  <c r="S23" i="3"/>
  <c r="R23" i="3"/>
  <c r="Q23" i="3"/>
  <c r="P23" i="3"/>
  <c r="O23" i="3"/>
  <c r="N23" i="3"/>
  <c r="M23" i="3"/>
  <c r="AK21" i="3"/>
  <c r="AJ21" i="3"/>
  <c r="AI21" i="3"/>
  <c r="AH21" i="3"/>
  <c r="AG21" i="3"/>
  <c r="AF21" i="3"/>
  <c r="AE21" i="3"/>
  <c r="AD21" i="3"/>
  <c r="AC21" i="3"/>
  <c r="AB21" i="3"/>
  <c r="AA21" i="3"/>
  <c r="Z21" i="3"/>
  <c r="Y21" i="3"/>
  <c r="X21" i="3"/>
  <c r="W21" i="3"/>
  <c r="AI20" i="3"/>
  <c r="AE20" i="3"/>
  <c r="AA20" i="3"/>
  <c r="V19" i="3"/>
  <c r="U19" i="3"/>
  <c r="T19" i="3"/>
  <c r="S19" i="3"/>
  <c r="R19" i="3"/>
  <c r="Q19" i="3"/>
  <c r="P19" i="3"/>
  <c r="O19" i="3"/>
  <c r="N19" i="3"/>
  <c r="AC689" i="4"/>
  <c r="AC738" i="4"/>
  <c r="AC734" i="4"/>
  <c r="AC729" i="4"/>
  <c r="AD689" i="4"/>
  <c r="AC517" i="4"/>
  <c r="AD517" i="4" s="1"/>
  <c r="AE689" i="4"/>
  <c r="AD738" i="4"/>
  <c r="AD734" i="4"/>
  <c r="AE734" i="4"/>
  <c r="AF689" i="4"/>
  <c r="AE738" i="4"/>
  <c r="AD729" i="4"/>
  <c r="AG689" i="4"/>
  <c r="AF738" i="4"/>
  <c r="AF734" i="4"/>
  <c r="AE729" i="4"/>
  <c r="AH689" i="4"/>
  <c r="AI689" i="4" s="1"/>
  <c r="AG734" i="4"/>
  <c r="AH734" i="4"/>
  <c r="AI734" i="4" s="1"/>
  <c r="AF729" i="4"/>
  <c r="AG729" i="4"/>
  <c r="AH729" i="4" s="1"/>
  <c r="AI729" i="4"/>
  <c r="Z1358" i="4" l="1"/>
  <c r="O610" i="4"/>
  <c r="Z1352" i="4"/>
  <c r="AB58" i="4"/>
  <c r="AB1366" i="4"/>
  <c r="P611" i="4"/>
  <c r="AB1367" i="4"/>
  <c r="AF1366" i="4"/>
  <c r="AJ1366" i="4"/>
  <c r="P612" i="4"/>
  <c r="AH1360" i="4"/>
  <c r="Q63" i="4"/>
  <c r="L610" i="4"/>
  <c r="K611" i="4"/>
  <c r="L612" i="4"/>
  <c r="M612" i="4"/>
  <c r="AH1366" i="4"/>
  <c r="K610" i="4"/>
  <c r="J610" i="4"/>
  <c r="N610" i="4"/>
  <c r="J611" i="4"/>
  <c r="N611" i="4"/>
  <c r="J612" i="4"/>
  <c r="N612" i="4"/>
  <c r="V1352" i="4"/>
  <c r="V1364" i="4"/>
  <c r="P610" i="4"/>
  <c r="K612" i="4"/>
  <c r="O612" i="4"/>
  <c r="O611" i="4"/>
  <c r="AD1352" i="4"/>
  <c r="X1361" i="4"/>
  <c r="N46" i="4"/>
  <c r="R46" i="4"/>
  <c r="V46" i="4"/>
  <c r="Z46" i="4"/>
  <c r="AD46" i="4"/>
  <c r="AH46" i="4"/>
  <c r="N50" i="4"/>
  <c r="R50" i="4"/>
  <c r="V50" i="4"/>
  <c r="Z50" i="4"/>
  <c r="Z54" i="4" s="1"/>
  <c r="AE50" i="4"/>
  <c r="N51" i="4"/>
  <c r="V51" i="4"/>
  <c r="AD51" i="4"/>
  <c r="M52" i="4"/>
  <c r="U52" i="4"/>
  <c r="AC52" i="4"/>
  <c r="AK52" i="4"/>
  <c r="T53" i="4"/>
  <c r="AB53" i="4"/>
  <c r="AJ53" i="4"/>
  <c r="U60" i="4"/>
  <c r="U63" i="4" s="1"/>
  <c r="AE60" i="4"/>
  <c r="V64" i="4"/>
  <c r="AG64" i="4"/>
  <c r="Y65" i="4"/>
  <c r="T66" i="4"/>
  <c r="AJ66" i="4"/>
  <c r="AD67" i="4"/>
  <c r="V67" i="4"/>
  <c r="AI66" i="4"/>
  <c r="AA66" i="4"/>
  <c r="S66" i="4"/>
  <c r="AF65" i="4"/>
  <c r="X65" i="4"/>
  <c r="AK64" i="4"/>
  <c r="AE64" i="4"/>
  <c r="Z64" i="4"/>
  <c r="U64" i="4"/>
  <c r="AI60" i="4"/>
  <c r="AD60" i="4"/>
  <c r="Y60" i="4"/>
  <c r="S60" i="4"/>
  <c r="AI67" i="4"/>
  <c r="AA67" i="4"/>
  <c r="S67" i="4"/>
  <c r="AF66" i="4"/>
  <c r="X66" i="4"/>
  <c r="AK65" i="4"/>
  <c r="AC65" i="4"/>
  <c r="U65" i="4"/>
  <c r="AI64" i="4"/>
  <c r="AD64" i="4"/>
  <c r="Y64" i="4"/>
  <c r="S64" i="4"/>
  <c r="AH60" i="4"/>
  <c r="AC60" i="4"/>
  <c r="W60" i="4"/>
  <c r="R60" i="4"/>
  <c r="AI53" i="4"/>
  <c r="AE53" i="4"/>
  <c r="AA53" i="4"/>
  <c r="W53" i="4"/>
  <c r="S53" i="4"/>
  <c r="O53" i="4"/>
  <c r="AJ52" i="4"/>
  <c r="AF52" i="4"/>
  <c r="AB52" i="4"/>
  <c r="X52" i="4"/>
  <c r="W56" i="4" s="1"/>
  <c r="T52" i="4"/>
  <c r="P52" i="4"/>
  <c r="AK51" i="4"/>
  <c r="AG51" i="4"/>
  <c r="AC51" i="4"/>
  <c r="Y51" i="4"/>
  <c r="Y55" i="4" s="1"/>
  <c r="U51" i="4"/>
  <c r="Q51" i="4"/>
  <c r="M51" i="4"/>
  <c r="AH50" i="4"/>
  <c r="AH53" i="4"/>
  <c r="AD53" i="4"/>
  <c r="Z53" i="4"/>
  <c r="Z57" i="4" s="1"/>
  <c r="AA57" i="4" s="1"/>
  <c r="V53" i="4"/>
  <c r="R53" i="4"/>
  <c r="N53" i="4"/>
  <c r="AI52" i="4"/>
  <c r="AE52" i="4"/>
  <c r="AA52" i="4"/>
  <c r="W52" i="4"/>
  <c r="S52" i="4"/>
  <c r="O52" i="4"/>
  <c r="AJ51" i="4"/>
  <c r="AF51" i="4"/>
  <c r="AB51" i="4"/>
  <c r="X51" i="4"/>
  <c r="W55" i="4" s="1"/>
  <c r="T51" i="4"/>
  <c r="P51" i="4"/>
  <c r="AK50" i="4"/>
  <c r="AG50" i="4"/>
  <c r="AC50" i="4"/>
  <c r="AI61" i="4"/>
  <c r="AE61" i="4"/>
  <c r="AA61" i="4"/>
  <c r="W61" i="4"/>
  <c r="S61" i="4"/>
  <c r="AJ61" i="4"/>
  <c r="AD61" i="4"/>
  <c r="Y61" i="4"/>
  <c r="T61" i="4"/>
  <c r="AH61" i="4"/>
  <c r="AC61" i="4"/>
  <c r="X61" i="4"/>
  <c r="R61" i="4"/>
  <c r="AJ62" i="4"/>
  <c r="AE62" i="4"/>
  <c r="Y62" i="4"/>
  <c r="T62" i="4"/>
  <c r="AI62" i="4"/>
  <c r="AC62" i="4"/>
  <c r="X62" i="4"/>
  <c r="S62" i="4"/>
  <c r="AB20" i="3"/>
  <c r="AB19" i="3" s="1"/>
  <c r="AJ20" i="3"/>
  <c r="S24" i="3"/>
  <c r="S58" i="4" s="1"/>
  <c r="AA24" i="3"/>
  <c r="AI24" i="3"/>
  <c r="AI22" i="3" s="1"/>
  <c r="AD29" i="3"/>
  <c r="AH36" i="3"/>
  <c r="AC40" i="3"/>
  <c r="AK40" i="3"/>
  <c r="AK38" i="3" s="1"/>
  <c r="X46" i="3"/>
  <c r="AF46" i="3"/>
  <c r="W50" i="3"/>
  <c r="AE50" i="3"/>
  <c r="AE48" i="3" s="1"/>
  <c r="Y20" i="3"/>
  <c r="AC20" i="3"/>
  <c r="AG20" i="3"/>
  <c r="AK20" i="3"/>
  <c r="AK19" i="3" s="1"/>
  <c r="P24" i="3"/>
  <c r="P58" i="4" s="1"/>
  <c r="T24" i="3"/>
  <c r="T58" i="4" s="1"/>
  <c r="X24" i="3"/>
  <c r="X58" i="4" s="1"/>
  <c r="AF24" i="3"/>
  <c r="AF58" i="4" s="1"/>
  <c r="AJ24" i="3"/>
  <c r="AJ58" i="4" s="1"/>
  <c r="W29" i="3"/>
  <c r="AA29" i="3"/>
  <c r="AE29" i="3"/>
  <c r="AE28" i="3" s="1"/>
  <c r="AI29" i="3"/>
  <c r="W36" i="3"/>
  <c r="AA36" i="3"/>
  <c r="AE36" i="3"/>
  <c r="AE35" i="3" s="1"/>
  <c r="AI36" i="3"/>
  <c r="Z40" i="3"/>
  <c r="AD40" i="3"/>
  <c r="AH40" i="3"/>
  <c r="AH38" i="3" s="1"/>
  <c r="Y46" i="3"/>
  <c r="AG46" i="3"/>
  <c r="AK46" i="3"/>
  <c r="X50" i="3"/>
  <c r="X48" i="3" s="1"/>
  <c r="AB50" i="3"/>
  <c r="AF50" i="3"/>
  <c r="AJ50" i="3"/>
  <c r="Z53" i="3"/>
  <c r="Z51" i="3" s="1"/>
  <c r="AD53" i="3"/>
  <c r="AH53" i="3"/>
  <c r="O46" i="4"/>
  <c r="S46" i="4"/>
  <c r="W46" i="4"/>
  <c r="AA46" i="4"/>
  <c r="AE46" i="4"/>
  <c r="AI46" i="4"/>
  <c r="N47" i="4"/>
  <c r="R47" i="4"/>
  <c r="V47" i="4"/>
  <c r="Z47" i="4"/>
  <c r="AD47" i="4"/>
  <c r="AH47" i="4"/>
  <c r="M48" i="4"/>
  <c r="Q48" i="4"/>
  <c r="U48" i="4"/>
  <c r="Y48" i="4"/>
  <c r="AC48" i="4"/>
  <c r="AG48" i="4"/>
  <c r="AK48" i="4"/>
  <c r="P49" i="4"/>
  <c r="T49" i="4"/>
  <c r="X49" i="4"/>
  <c r="AB49" i="4"/>
  <c r="AF49" i="4"/>
  <c r="AJ49" i="4"/>
  <c r="O50" i="4"/>
  <c r="S50" i="4"/>
  <c r="W50" i="4"/>
  <c r="AA50" i="4"/>
  <c r="AF50" i="4"/>
  <c r="O51" i="4"/>
  <c r="W51" i="4"/>
  <c r="AE51" i="4"/>
  <c r="N52" i="4"/>
  <c r="V52" i="4"/>
  <c r="AD52" i="4"/>
  <c r="M53" i="4"/>
  <c r="U53" i="4"/>
  <c r="AC53" i="4"/>
  <c r="AK53" i="4"/>
  <c r="V60" i="4"/>
  <c r="AG60" i="4"/>
  <c r="V61" i="4"/>
  <c r="AG61" i="4"/>
  <c r="W62" i="4"/>
  <c r="AG62" i="4"/>
  <c r="W64" i="4"/>
  <c r="AH64" i="4"/>
  <c r="AB65" i="4"/>
  <c r="W66" i="4"/>
  <c r="R67" i="4"/>
  <c r="AH67" i="4"/>
  <c r="X20" i="3"/>
  <c r="AF20" i="3"/>
  <c r="AF19" i="3" s="1"/>
  <c r="O24" i="3"/>
  <c r="O58" i="4" s="1"/>
  <c r="W24" i="3"/>
  <c r="AE24" i="3"/>
  <c r="Z29" i="3"/>
  <c r="Z28" i="3" s="1"/>
  <c r="AH29" i="3"/>
  <c r="Z36" i="3"/>
  <c r="Y40" i="3"/>
  <c r="AG40" i="3"/>
  <c r="AG38" i="3" s="1"/>
  <c r="AJ46" i="3"/>
  <c r="AA50" i="3"/>
  <c r="AI50" i="3"/>
  <c r="Z20" i="3"/>
  <c r="Z19" i="3" s="1"/>
  <c r="AD20" i="3"/>
  <c r="AH20" i="3"/>
  <c r="N22" i="3"/>
  <c r="R22" i="3"/>
  <c r="R18" i="3" s="1"/>
  <c r="R267" i="4" s="1"/>
  <c r="Q269" i="4" s="1"/>
  <c r="AD22" i="3"/>
  <c r="AH22" i="3"/>
  <c r="M24" i="3"/>
  <c r="M58" i="4" s="1"/>
  <c r="Q24" i="3"/>
  <c r="Q58" i="4" s="1"/>
  <c r="U24" i="3"/>
  <c r="U58" i="4" s="1"/>
  <c r="Y24" i="3"/>
  <c r="AC24" i="3"/>
  <c r="AC22" i="3" s="1"/>
  <c r="AG24" i="3"/>
  <c r="AG22" i="3" s="1"/>
  <c r="AK24" i="3"/>
  <c r="AK22" i="3" s="1"/>
  <c r="X29" i="3"/>
  <c r="X28" i="3" s="1"/>
  <c r="AB29" i="3"/>
  <c r="AB28" i="3" s="1"/>
  <c r="AF29" i="3"/>
  <c r="AF28" i="3" s="1"/>
  <c r="X36" i="3"/>
  <c r="AB36" i="3"/>
  <c r="AF36" i="3"/>
  <c r="AF35" i="3" s="1"/>
  <c r="AJ36" i="3"/>
  <c r="AJ35" i="3" s="1"/>
  <c r="W40" i="3"/>
  <c r="W38" i="3" s="1"/>
  <c r="AE40" i="3"/>
  <c r="AE38" i="3" s="1"/>
  <c r="AI40" i="3"/>
  <c r="AI38" i="3" s="1"/>
  <c r="Z46" i="3"/>
  <c r="Z45" i="3" s="1"/>
  <c r="AD46" i="3"/>
  <c r="AD45" i="3" s="1"/>
  <c r="Y50" i="3"/>
  <c r="AG50" i="3"/>
  <c r="AG48" i="3" s="1"/>
  <c r="AA53" i="3"/>
  <c r="AA51" i="3" s="1"/>
  <c r="AE53" i="3"/>
  <c r="AE51" i="3" s="1"/>
  <c r="P46" i="4"/>
  <c r="T46" i="4"/>
  <c r="X46" i="4"/>
  <c r="AB46" i="4"/>
  <c r="AF46" i="4"/>
  <c r="AJ46" i="4"/>
  <c r="O47" i="4"/>
  <c r="S47" i="4"/>
  <c r="W47" i="4"/>
  <c r="AA47" i="4"/>
  <c r="AE47" i="4"/>
  <c r="AI47" i="4"/>
  <c r="N48" i="4"/>
  <c r="R48" i="4"/>
  <c r="V48" i="4"/>
  <c r="Z48" i="4"/>
  <c r="AD48" i="4"/>
  <c r="M49" i="4"/>
  <c r="Q49" i="4"/>
  <c r="U49" i="4"/>
  <c r="Y49" i="4"/>
  <c r="AC49" i="4"/>
  <c r="AG49" i="4"/>
  <c r="P50" i="4"/>
  <c r="T50" i="4"/>
  <c r="X50" i="4"/>
  <c r="W54" i="4" s="1"/>
  <c r="AB50" i="4"/>
  <c r="AI50" i="4"/>
  <c r="R51" i="4"/>
  <c r="Z51" i="4"/>
  <c r="AH51" i="4"/>
  <c r="Q52" i="4"/>
  <c r="Y52" i="4"/>
  <c r="Y56" i="4" s="1"/>
  <c r="Z56" i="4" s="1"/>
  <c r="AA56" i="4" s="1"/>
  <c r="AB56" i="4" s="1"/>
  <c r="AC56" i="4" s="1"/>
  <c r="AD56" i="4" s="1"/>
  <c r="AG52" i="4"/>
  <c r="P53" i="4"/>
  <c r="X53" i="4"/>
  <c r="W57" i="4" s="1"/>
  <c r="V57" i="4" s="1"/>
  <c r="U57" i="4" s="1"/>
  <c r="AF53" i="4"/>
  <c r="Z60" i="4"/>
  <c r="AK60" i="4"/>
  <c r="Z61" i="4"/>
  <c r="AK61" i="4"/>
  <c r="AA62" i="4"/>
  <c r="AK62" i="4"/>
  <c r="Q64" i="4"/>
  <c r="AA64" i="4"/>
  <c r="Q65" i="4"/>
  <c r="AG65" i="4"/>
  <c r="AB66" i="4"/>
  <c r="W67" i="4"/>
  <c r="AG1366" i="4"/>
  <c r="AK1366" i="4"/>
  <c r="M610" i="4"/>
  <c r="M611" i="4"/>
  <c r="AK67" i="4"/>
  <c r="AG67" i="4"/>
  <c r="AC67" i="4"/>
  <c r="Y67" i="4"/>
  <c r="U67" i="4"/>
  <c r="Q67" i="4"/>
  <c r="AH66" i="4"/>
  <c r="AD66" i="4"/>
  <c r="Z66" i="4"/>
  <c r="V66" i="4"/>
  <c r="R66" i="4"/>
  <c r="AI65" i="4"/>
  <c r="AE65" i="4"/>
  <c r="AA65" i="4"/>
  <c r="W65" i="4"/>
  <c r="S65" i="4"/>
  <c r="AJ64" i="4"/>
  <c r="AF64" i="4"/>
  <c r="AB64" i="4"/>
  <c r="X64" i="4"/>
  <c r="T64" i="4"/>
  <c r="AJ60" i="4"/>
  <c r="AF60" i="4"/>
  <c r="AF63" i="4" s="1"/>
  <c r="AB60" i="4"/>
  <c r="AB63" i="4" s="1"/>
  <c r="X60" i="4"/>
  <c r="T60" i="4"/>
  <c r="AJ67" i="4"/>
  <c r="AF67" i="4"/>
  <c r="AB67" i="4"/>
  <c r="X67" i="4"/>
  <c r="T67" i="4"/>
  <c r="AK66" i="4"/>
  <c r="AG66" i="4"/>
  <c r="AC66" i="4"/>
  <c r="Y66" i="4"/>
  <c r="U66" i="4"/>
  <c r="Q66" i="4"/>
  <c r="AH65" i="4"/>
  <c r="AD65" i="4"/>
  <c r="Z65" i="4"/>
  <c r="V65" i="4"/>
  <c r="R65" i="4"/>
  <c r="AH62" i="4"/>
  <c r="AD62" i="4"/>
  <c r="Z62" i="4"/>
  <c r="V62" i="4"/>
  <c r="R62" i="4"/>
  <c r="R100" i="2"/>
  <c r="W20" i="3" s="1"/>
  <c r="W19" i="3" s="1"/>
  <c r="AI1367" i="4"/>
  <c r="V1366" i="4"/>
  <c r="AA1366" i="4"/>
  <c r="T44" i="3"/>
  <c r="T274" i="4" s="1"/>
  <c r="AF158" i="4"/>
  <c r="AF603" i="4" s="1"/>
  <c r="AF602" i="4" s="1"/>
  <c r="AJ158" i="4"/>
  <c r="AJ603" i="4" s="1"/>
  <c r="AJ602" i="4" s="1"/>
  <c r="O353" i="4"/>
  <c r="O352" i="4" s="1"/>
  <c r="S353" i="4"/>
  <c r="S352" i="4" s="1"/>
  <c r="W353" i="4"/>
  <c r="W352" i="4" s="1"/>
  <c r="U1352" i="4"/>
  <c r="AB353" i="4"/>
  <c r="AB352" i="4" s="1"/>
  <c r="AF353" i="4"/>
  <c r="AF352" i="4" s="1"/>
  <c r="AJ353" i="4"/>
  <c r="AJ352" i="4" s="1"/>
  <c r="T1352" i="4"/>
  <c r="T1358" i="4"/>
  <c r="Q1361" i="4"/>
  <c r="L615" i="4"/>
  <c r="Q1355" i="4"/>
  <c r="U1355" i="4"/>
  <c r="AB48" i="3"/>
  <c r="AJ48" i="3"/>
  <c r="Y1361" i="4"/>
  <c r="AH1361" i="4"/>
  <c r="U1354" i="4"/>
  <c r="AB983" i="4"/>
  <c r="X1364" i="4"/>
  <c r="AE353" i="4"/>
  <c r="AE352" i="4" s="1"/>
  <c r="AI353" i="4"/>
  <c r="AI352" i="4" s="1"/>
  <c r="AH1354" i="4"/>
  <c r="U1360" i="4"/>
  <c r="Y51" i="3"/>
  <c r="AC51" i="3"/>
  <c r="AG51" i="3"/>
  <c r="M1318" i="4"/>
  <c r="W983" i="4"/>
  <c r="AA983" i="4"/>
  <c r="Y1364" i="4"/>
  <c r="AG19" i="3"/>
  <c r="W1366" i="4"/>
  <c r="AB1360" i="4"/>
  <c r="R1355" i="4"/>
  <c r="AE1355" i="4"/>
  <c r="T1362" i="4"/>
  <c r="I407" i="4"/>
  <c r="M407" i="4"/>
  <c r="Q407" i="4"/>
  <c r="U407" i="4"/>
  <c r="Y407" i="4"/>
  <c r="X969" i="3"/>
  <c r="AG158" i="4"/>
  <c r="AG603" i="4" s="1"/>
  <c r="AG602" i="4" s="1"/>
  <c r="AA158" i="4"/>
  <c r="AA159" i="4" s="1"/>
  <c r="Q983" i="4"/>
  <c r="AF1358" i="4"/>
  <c r="W1361" i="4"/>
  <c r="Q1366" i="4"/>
  <c r="U1313" i="4"/>
  <c r="S1277" i="4"/>
  <c r="T609" i="4"/>
  <c r="AB882" i="3"/>
  <c r="AI912" i="3"/>
  <c r="X617" i="4"/>
  <c r="W1354" i="4"/>
  <c r="AF1364" i="4"/>
  <c r="AJ28" i="3"/>
  <c r="AD414" i="4"/>
  <c r="AB1352" i="4"/>
  <c r="AJ1352" i="4"/>
  <c r="X1358" i="4"/>
  <c r="AJ1358" i="4"/>
  <c r="T1366" i="4"/>
  <c r="X1366" i="4"/>
  <c r="AC1360" i="4"/>
  <c r="S1355" i="4"/>
  <c r="W1355" i="4"/>
  <c r="AF1355" i="4"/>
  <c r="AJ1355" i="4"/>
  <c r="S1361" i="4"/>
  <c r="AF1361" i="4"/>
  <c r="AJ1361" i="4"/>
  <c r="S1367" i="4"/>
  <c r="W1367" i="4"/>
  <c r="AF1367" i="4"/>
  <c r="AJ1367" i="4"/>
  <c r="S1354" i="4"/>
  <c r="Q414" i="4"/>
  <c r="U414" i="4"/>
  <c r="Y414" i="4"/>
  <c r="M353" i="4"/>
  <c r="M352" i="4" s="1"/>
  <c r="Q527" i="4"/>
  <c r="P615" i="4"/>
  <c r="T615" i="4"/>
  <c r="X615" i="4"/>
  <c r="AB615" i="4"/>
  <c r="AF615" i="4"/>
  <c r="AJ615" i="4"/>
  <c r="K616" i="4"/>
  <c r="O616" i="4"/>
  <c r="AA616" i="4"/>
  <c r="AE616" i="4"/>
  <c r="AI616" i="4"/>
  <c r="AB617" i="4"/>
  <c r="U983" i="4"/>
  <c r="AG983" i="4"/>
  <c r="AC1224" i="4"/>
  <c r="AK1352" i="4"/>
  <c r="Q1360" i="4"/>
  <c r="AB1355" i="4"/>
  <c r="X25" i="3"/>
  <c r="AB25" i="3"/>
  <c r="AF25" i="3"/>
  <c r="AJ25" i="3"/>
  <c r="X31" i="3"/>
  <c r="AB31" i="3"/>
  <c r="L407" i="4"/>
  <c r="P407" i="4"/>
  <c r="T407" i="4"/>
  <c r="X407" i="4"/>
  <c r="AB414" i="4"/>
  <c r="AB1358" i="4"/>
  <c r="V1355" i="4"/>
  <c r="AE1361" i="4"/>
  <c r="AI1355" i="4"/>
  <c r="Y1355" i="4"/>
  <c r="AD1355" i="4"/>
  <c r="AH1355" i="4"/>
  <c r="U1361" i="4"/>
  <c r="AD1361" i="4"/>
  <c r="U1367" i="4"/>
  <c r="Q1354" i="4"/>
  <c r="AF1360" i="4"/>
  <c r="AJ1360" i="4"/>
  <c r="Z38" i="3"/>
  <c r="AD38" i="3"/>
  <c r="X41" i="3"/>
  <c r="AB41" i="3"/>
  <c r="AF41" i="3"/>
  <c r="AJ41" i="3"/>
  <c r="AH45" i="3"/>
  <c r="S1288" i="4"/>
  <c r="U136" i="3"/>
  <c r="U585" i="4" s="1"/>
  <c r="U609" i="4" s="1"/>
  <c r="P353" i="4"/>
  <c r="P352" i="4" s="1"/>
  <c r="T353" i="4"/>
  <c r="T352" i="4" s="1"/>
  <c r="X353" i="4"/>
  <c r="X352" i="4" s="1"/>
  <c r="L1399" i="3"/>
  <c r="L353" i="4" s="1"/>
  <c r="L352" i="4" s="1"/>
  <c r="AA353" i="4"/>
  <c r="AA352" i="4" s="1"/>
  <c r="N144" i="4"/>
  <c r="AC414" i="4"/>
  <c r="AG615" i="4"/>
  <c r="L616" i="4"/>
  <c r="K601" i="4"/>
  <c r="O601" i="4"/>
  <c r="S601" i="4"/>
  <c r="AA601" i="4"/>
  <c r="AF596" i="4"/>
  <c r="R748" i="4"/>
  <c r="Q748" i="4" s="1"/>
  <c r="V1181" i="4"/>
  <c r="AD1181" i="4"/>
  <c r="AD1263" i="4" s="1"/>
  <c r="U1186" i="4"/>
  <c r="AI1187" i="4"/>
  <c r="AI1269" i="4" s="1"/>
  <c r="AK1186" i="4"/>
  <c r="AK1268" i="4" s="1"/>
  <c r="AF1191" i="4"/>
  <c r="AF1273" i="4" s="1"/>
  <c r="Z1201" i="4"/>
  <c r="AH1208" i="4"/>
  <c r="AH1290" i="4" s="1"/>
  <c r="Q1352" i="4"/>
  <c r="AG1352" i="4"/>
  <c r="AC1354" i="4"/>
  <c r="U1358" i="4"/>
  <c r="AG1358" i="4"/>
  <c r="AK1360" i="4"/>
  <c r="AC1366" i="4"/>
  <c r="U1366" i="4"/>
  <c r="T1355" i="4"/>
  <c r="X1355" i="4"/>
  <c r="AB1361" i="4"/>
  <c r="AG1361" i="4"/>
  <c r="AK1361" i="4"/>
  <c r="AG1367" i="4"/>
  <c r="K597" i="4"/>
  <c r="AC1352" i="4"/>
  <c r="AG1354" i="4"/>
  <c r="AC1358" i="4"/>
  <c r="AI1354" i="4"/>
  <c r="AK1354" i="4"/>
  <c r="T1360" i="4"/>
  <c r="X1360" i="4"/>
  <c r="S1366" i="4"/>
  <c r="T1368" i="4"/>
  <c r="Y19" i="3"/>
  <c r="AC19" i="3"/>
  <c r="U22" i="3"/>
  <c r="U18" i="3" s="1"/>
  <c r="U267" i="4" s="1"/>
  <c r="Y22" i="3"/>
  <c r="Y25" i="3"/>
  <c r="AC25" i="3"/>
  <c r="AG25" i="3"/>
  <c r="AK25" i="3"/>
  <c r="W28" i="3"/>
  <c r="AA28" i="3"/>
  <c r="AI28" i="3"/>
  <c r="S34" i="3"/>
  <c r="S271" i="4" s="1"/>
  <c r="S272" i="4" s="1"/>
  <c r="W35" i="3"/>
  <c r="AA35" i="3"/>
  <c r="AI35" i="3"/>
  <c r="Z41" i="3"/>
  <c r="AD41" i="3"/>
  <c r="AH41" i="3"/>
  <c r="W41" i="3"/>
  <c r="AA41" i="3"/>
  <c r="AE41" i="3"/>
  <c r="AI41" i="3"/>
  <c r="X45" i="3"/>
  <c r="AB45" i="3"/>
  <c r="AF45" i="3"/>
  <c r="AJ45" i="3"/>
  <c r="AC45" i="3"/>
  <c r="AG45" i="3"/>
  <c r="AK45" i="3"/>
  <c r="V44" i="3"/>
  <c r="V274" i="4" s="1"/>
  <c r="AK51" i="3"/>
  <c r="AD136" i="3"/>
  <c r="AE136" i="3" s="1"/>
  <c r="X421" i="4"/>
  <c r="AA615" i="4"/>
  <c r="AE615" i="4"/>
  <c r="AI615" i="4"/>
  <c r="J616" i="4"/>
  <c r="N616" i="4"/>
  <c r="I602" i="4"/>
  <c r="L613" i="4" s="1"/>
  <c r="M602" i="4"/>
  <c r="U602" i="4"/>
  <c r="Y602" i="4"/>
  <c r="Y1165" i="4"/>
  <c r="AI1178" i="4"/>
  <c r="AJ1165" i="4"/>
  <c r="Y1352" i="4"/>
  <c r="V1354" i="4"/>
  <c r="Q1358" i="4"/>
  <c r="AD1358" i="4"/>
  <c r="AK1358" i="4"/>
  <c r="AG1360" i="4"/>
  <c r="AA401" i="4"/>
  <c r="AA403" i="4" s="1"/>
  <c r="AD19" i="3"/>
  <c r="AH19" i="3"/>
  <c r="AA19" i="3"/>
  <c r="AE19" i="3"/>
  <c r="AI19" i="3"/>
  <c r="Y28" i="3"/>
  <c r="AC28" i="3"/>
  <c r="AG28" i="3"/>
  <c r="AK28" i="3"/>
  <c r="W31" i="3"/>
  <c r="AA31" i="3"/>
  <c r="AE31" i="3"/>
  <c r="AI31" i="3"/>
  <c r="V34" i="3"/>
  <c r="V271" i="4" s="1"/>
  <c r="U44" i="3"/>
  <c r="U274" i="4" s="1"/>
  <c r="AF48" i="3"/>
  <c r="W51" i="3"/>
  <c r="AI51" i="3"/>
  <c r="AJ51" i="3"/>
  <c r="AG215" i="4"/>
  <c r="V193" i="3"/>
  <c r="Y912" i="3"/>
  <c r="AC912" i="3"/>
  <c r="AG912" i="3"/>
  <c r="AK912" i="3"/>
  <c r="Z306" i="4"/>
  <c r="Z310" i="4" s="1"/>
  <c r="AD306" i="4"/>
  <c r="AD310" i="4" s="1"/>
  <c r="AH306" i="4"/>
  <c r="AH310" i="4" s="1"/>
  <c r="W912" i="3"/>
  <c r="W144" i="4"/>
  <c r="U601" i="4"/>
  <c r="R1081" i="4"/>
  <c r="AI1361" i="4"/>
  <c r="AE1367" i="4"/>
  <c r="X943" i="3"/>
  <c r="X944" i="3"/>
  <c r="X306" i="4" s="1"/>
  <c r="AK158" i="4"/>
  <c r="AK603" i="4" s="1"/>
  <c r="AK602" i="4" s="1"/>
  <c r="O1145" i="4"/>
  <c r="O144" i="4"/>
  <c r="O146" i="4" s="1"/>
  <c r="Z22" i="3"/>
  <c r="T34" i="3"/>
  <c r="T271" i="4" s="1"/>
  <c r="AC41" i="3"/>
  <c r="AG41" i="3"/>
  <c r="AK41" i="3"/>
  <c r="W45" i="3"/>
  <c r="AA45" i="3"/>
  <c r="AE45" i="3"/>
  <c r="AI45" i="3"/>
  <c r="R113" i="3"/>
  <c r="V191" i="3"/>
  <c r="Z912" i="3"/>
  <c r="X307" i="4"/>
  <c r="X933" i="3"/>
  <c r="AD144" i="4"/>
  <c r="L1165" i="4"/>
  <c r="P1165" i="4"/>
  <c r="AG1172" i="4"/>
  <c r="AG1254" i="4" s="1"/>
  <c r="X1165" i="4"/>
  <c r="AJ1173" i="4"/>
  <c r="AF1165" i="4"/>
  <c r="W1176" i="4"/>
  <c r="AK1177" i="4"/>
  <c r="AK1259" i="4" s="1"/>
  <c r="U1181" i="4"/>
  <c r="AI1182" i="4"/>
  <c r="AI1264" i="4" s="1"/>
  <c r="AK1181" i="4"/>
  <c r="AK1263" i="4" s="1"/>
  <c r="I1165" i="4"/>
  <c r="Q1165" i="4"/>
  <c r="AA1187" i="4"/>
  <c r="AA1269" i="4" s="1"/>
  <c r="AG1165" i="4"/>
  <c r="AG1192" i="4"/>
  <c r="AG1274" i="4" s="1"/>
  <c r="AH1193" i="4"/>
  <c r="AH1275" i="4" s="1"/>
  <c r="R1207" i="4"/>
  <c r="Z1233" i="4"/>
  <c r="Z1315" i="4" s="1"/>
  <c r="AA1354" i="4"/>
  <c r="V1360" i="4"/>
  <c r="AI1366" i="4"/>
  <c r="R1358" i="4"/>
  <c r="R1364" i="4"/>
  <c r="AH1364" i="4"/>
  <c r="AH1358" i="4"/>
  <c r="Q1367" i="4"/>
  <c r="Y1367" i="4"/>
  <c r="AD1367" i="4"/>
  <c r="AH1367" i="4"/>
  <c r="Y1360" i="4"/>
  <c r="Y1354" i="4"/>
  <c r="Y1366" i="4"/>
  <c r="AD1366" i="4"/>
  <c r="AD1360" i="4"/>
  <c r="AD1354" i="4"/>
  <c r="AE1145" i="4"/>
  <c r="AE144" i="4"/>
  <c r="R120" i="3"/>
  <c r="R583" i="4" s="1"/>
  <c r="R414" i="4"/>
  <c r="V414" i="4"/>
  <c r="Z414" i="4"/>
  <c r="AB892" i="3"/>
  <c r="AB524" i="4" s="1"/>
  <c r="AB523" i="4" s="1"/>
  <c r="V1145" i="4"/>
  <c r="V144" i="4"/>
  <c r="AA521" i="4"/>
  <c r="Q602" i="4"/>
  <c r="T1257" i="4"/>
  <c r="U1177" i="4"/>
  <c r="U1259" i="4" s="1"/>
  <c r="S1364" i="4"/>
  <c r="S1352" i="4"/>
  <c r="W1364" i="4"/>
  <c r="W1352" i="4"/>
  <c r="AA1364" i="4"/>
  <c r="AA1352" i="4"/>
  <c r="AE1364" i="4"/>
  <c r="AE1352" i="4"/>
  <c r="AI1364" i="4"/>
  <c r="AI1352" i="4"/>
  <c r="AA1367" i="4"/>
  <c r="AA1355" i="4"/>
  <c r="AA1361" i="4"/>
  <c r="R1366" i="4"/>
  <c r="R1354" i="4"/>
  <c r="AE1354" i="4"/>
  <c r="AE1366" i="4"/>
  <c r="AA912" i="3"/>
  <c r="AE912" i="3"/>
  <c r="R1130" i="3"/>
  <c r="R158" i="4" s="1"/>
  <c r="R159" i="4" s="1"/>
  <c r="P1130" i="3"/>
  <c r="P1156" i="3"/>
  <c r="Q353" i="4"/>
  <c r="Q352" i="4" s="1"/>
  <c r="U353" i="4"/>
  <c r="U352" i="4" s="1"/>
  <c r="Y353" i="4"/>
  <c r="Y352" i="4" s="1"/>
  <c r="Q515" i="4"/>
  <c r="Q516" i="4"/>
  <c r="Q615" i="4"/>
  <c r="U615" i="4"/>
  <c r="Y615" i="4"/>
  <c r="AK615" i="4"/>
  <c r="X616" i="4"/>
  <c r="AB616" i="4"/>
  <c r="S596" i="4"/>
  <c r="T619" i="4" s="1"/>
  <c r="AA597" i="4"/>
  <c r="AE983" i="4"/>
  <c r="X983" i="4"/>
  <c r="AJ983" i="4"/>
  <c r="S1171" i="4"/>
  <c r="AI1171" i="4"/>
  <c r="V1176" i="4"/>
  <c r="AD1176" i="4"/>
  <c r="AD1258" i="4" s="1"/>
  <c r="V1191" i="4"/>
  <c r="AH1191" i="4"/>
  <c r="AH1273" i="4" s="1"/>
  <c r="Y1222" i="4"/>
  <c r="Y1304" i="4" s="1"/>
  <c r="AK1244" i="4"/>
  <c r="AD912" i="3"/>
  <c r="AH912" i="3"/>
  <c r="W306" i="4"/>
  <c r="W310" i="4" s="1"/>
  <c r="AA306" i="4"/>
  <c r="AA310" i="4" s="1"/>
  <c r="AE306" i="4"/>
  <c r="AE310" i="4" s="1"/>
  <c r="AI306" i="4"/>
  <c r="AI310" i="4" s="1"/>
  <c r="AB912" i="3"/>
  <c r="AF912" i="3"/>
  <c r="AJ912" i="3"/>
  <c r="N353" i="4"/>
  <c r="N352" i="4" s="1"/>
  <c r="R353" i="4"/>
  <c r="R352" i="4" s="1"/>
  <c r="V353" i="4"/>
  <c r="V352" i="4" s="1"/>
  <c r="Z353" i="4"/>
  <c r="Z352" i="4" s="1"/>
  <c r="AD353" i="4"/>
  <c r="AD352" i="4" s="1"/>
  <c r="AH353" i="4"/>
  <c r="AH352" i="4" s="1"/>
  <c r="AF403" i="4"/>
  <c r="AJ403" i="4"/>
  <c r="P617" i="4"/>
  <c r="AJ617" i="4"/>
  <c r="V598" i="4"/>
  <c r="Y983" i="4"/>
  <c r="AC983" i="4"/>
  <c r="AK983" i="4"/>
  <c r="P1081" i="4"/>
  <c r="T1081" i="4"/>
  <c r="X1081" i="4"/>
  <c r="AB1081" i="4"/>
  <c r="AF1081" i="4"/>
  <c r="AJ1081" i="4"/>
  <c r="X1171" i="4"/>
  <c r="AF1171" i="4"/>
  <c r="AE1176" i="4"/>
  <c r="AH1183" i="4"/>
  <c r="T1186" i="4"/>
  <c r="AB1186" i="4"/>
  <c r="AB1268" i="4" s="1"/>
  <c r="AJ1186" i="4"/>
  <c r="W1191" i="4"/>
  <c r="W1273" i="4" s="1"/>
  <c r="AA1191" i="4"/>
  <c r="AA1273" i="4" s="1"/>
  <c r="U1201" i="4"/>
  <c r="AD1203" i="4"/>
  <c r="T1207" i="4"/>
  <c r="AJ1207" i="4"/>
  <c r="Y1227" i="4"/>
  <c r="Y1309" i="4" s="1"/>
  <c r="W1228" i="4"/>
  <c r="W1310" i="4" s="1"/>
  <c r="AC1229" i="4"/>
  <c r="AC1311" i="4" s="1"/>
  <c r="R1242" i="4"/>
  <c r="AA407" i="4"/>
  <c r="U114" i="3"/>
  <c r="U113" i="3" s="1"/>
  <c r="T113" i="3"/>
  <c r="T120" i="3"/>
  <c r="T583" i="4" s="1"/>
  <c r="U122" i="3"/>
  <c r="V122" i="3" s="1"/>
  <c r="AD28" i="3"/>
  <c r="AH28" i="3"/>
  <c r="Y45" i="3"/>
  <c r="U133" i="3"/>
  <c r="V133" i="3" s="1"/>
  <c r="W133" i="3" s="1"/>
  <c r="X133" i="3" s="1"/>
  <c r="Y133" i="3" s="1"/>
  <c r="Z1267" i="4" s="1"/>
  <c r="T128" i="3"/>
  <c r="T584" i="4" s="1"/>
  <c r="T608" i="4" s="1"/>
  <c r="Y208" i="3"/>
  <c r="X206" i="3"/>
  <c r="Z589" i="4"/>
  <c r="AF614" i="4" s="1"/>
  <c r="Z400" i="4"/>
  <c r="AE589" i="4"/>
  <c r="AE400" i="4"/>
  <c r="AI589" i="4"/>
  <c r="AI614" i="4" s="1"/>
  <c r="AI400" i="4"/>
  <c r="W413" i="4"/>
  <c r="W414" i="4" s="1"/>
  <c r="W406" i="4"/>
  <c r="W415" i="4" s="1"/>
  <c r="W416" i="4" s="1"/>
  <c r="V22" i="3"/>
  <c r="V18" i="3" s="1"/>
  <c r="V267" i="4" s="1"/>
  <c r="X19" i="3"/>
  <c r="AJ19" i="3"/>
  <c r="Y41" i="3"/>
  <c r="AB120" i="3"/>
  <c r="AB583" i="4" s="1"/>
  <c r="S123" i="3"/>
  <c r="N18" i="3"/>
  <c r="N267" i="4" s="1"/>
  <c r="O22" i="3"/>
  <c r="O18" i="3" s="1"/>
  <c r="O267" i="4" s="1"/>
  <c r="S22" i="3"/>
  <c r="S18" i="3" s="1"/>
  <c r="S267" i="4" s="1"/>
  <c r="S268" i="4" s="1"/>
  <c r="W22" i="3"/>
  <c r="AA22" i="3"/>
  <c r="AE22" i="3"/>
  <c r="Z58" i="4"/>
  <c r="AD58" i="4"/>
  <c r="AH58" i="4"/>
  <c r="T198" i="3"/>
  <c r="S198" i="3" s="1"/>
  <c r="R198" i="3" s="1"/>
  <c r="Q198" i="3" s="1"/>
  <c r="P198" i="3" s="1"/>
  <c r="O198" i="3" s="1"/>
  <c r="N198" i="3" s="1"/>
  <c r="M198" i="3" s="1"/>
  <c r="L198" i="3" s="1"/>
  <c r="K198" i="3" s="1"/>
  <c r="J198" i="3" s="1"/>
  <c r="I198" i="3" s="1"/>
  <c r="U192" i="3"/>
  <c r="U347" i="4" s="1"/>
  <c r="Y223" i="3"/>
  <c r="Z223" i="3" s="1"/>
  <c r="AA223" i="3" s="1"/>
  <c r="AB223" i="3" s="1"/>
  <c r="AC223" i="3" s="1"/>
  <c r="AD223" i="3" s="1"/>
  <c r="AE223" i="3" s="1"/>
  <c r="AF223" i="3" s="1"/>
  <c r="AG223" i="3" s="1"/>
  <c r="AH223" i="3" s="1"/>
  <c r="AI223" i="3" s="1"/>
  <c r="AJ223" i="3" s="1"/>
  <c r="AK223" i="3" s="1"/>
  <c r="X213" i="3"/>
  <c r="AF31" i="3"/>
  <c r="AJ31" i="3"/>
  <c r="Y31" i="3"/>
  <c r="AC31" i="3"/>
  <c r="AG31" i="3"/>
  <c r="AK31" i="3"/>
  <c r="X35" i="3"/>
  <c r="AB35" i="3"/>
  <c r="Y35" i="3"/>
  <c r="AC35" i="3"/>
  <c r="AG35" i="3"/>
  <c r="AK35" i="3"/>
  <c r="AA38" i="3"/>
  <c r="X38" i="3"/>
  <c r="AB38" i="3"/>
  <c r="AF38" i="3"/>
  <c r="AJ38" i="3"/>
  <c r="W48" i="3"/>
  <c r="AA48" i="3"/>
  <c r="AI48" i="3"/>
  <c r="X51" i="3"/>
  <c r="AB51" i="3"/>
  <c r="AF51" i="3"/>
  <c r="Q121" i="3"/>
  <c r="R1288" i="4" s="1"/>
  <c r="Q135" i="3"/>
  <c r="R1277" i="4" s="1"/>
  <c r="J216" i="4"/>
  <c r="N216" i="4"/>
  <c r="V216" i="4"/>
  <c r="Z216" i="4"/>
  <c r="AD216" i="4"/>
  <c r="AH216" i="4"/>
  <c r="X212" i="3"/>
  <c r="X226" i="3"/>
  <c r="J403" i="4"/>
  <c r="N403" i="4"/>
  <c r="Z403" i="4"/>
  <c r="AH596" i="4"/>
  <c r="AH598" i="4"/>
  <c r="AH597" i="4"/>
  <c r="Q601" i="4"/>
  <c r="U34" i="3"/>
  <c r="U271" i="4" s="1"/>
  <c r="P113" i="3"/>
  <c r="U191" i="3"/>
  <c r="Y1104" i="3"/>
  <c r="Y158" i="4" s="1"/>
  <c r="Y159" i="4" s="1"/>
  <c r="AC353" i="4"/>
  <c r="AC352" i="4" s="1"/>
  <c r="AG353" i="4"/>
  <c r="AG352" i="4" s="1"/>
  <c r="AK353" i="4"/>
  <c r="AK352" i="4" s="1"/>
  <c r="Z25" i="3"/>
  <c r="AD25" i="3"/>
  <c r="AH25" i="3"/>
  <c r="W25" i="3"/>
  <c r="AA25" i="3"/>
  <c r="AE25" i="3"/>
  <c r="AI25" i="3"/>
  <c r="Z31" i="3"/>
  <c r="AD31" i="3"/>
  <c r="AH31" i="3"/>
  <c r="Z35" i="3"/>
  <c r="AD35" i="3"/>
  <c r="AH35" i="3"/>
  <c r="Y38" i="3"/>
  <c r="AC38" i="3"/>
  <c r="S44" i="3"/>
  <c r="S274" i="4" s="1"/>
  <c r="Y48" i="3"/>
  <c r="AC48" i="3"/>
  <c r="AK48" i="3"/>
  <c r="Z48" i="3"/>
  <c r="AD48" i="3"/>
  <c r="AH48" i="3"/>
  <c r="AD51" i="3"/>
  <c r="AH51" i="3"/>
  <c r="U111" i="3"/>
  <c r="U511" i="4" s="1"/>
  <c r="L216" i="4"/>
  <c r="P216" i="4"/>
  <c r="T216" i="4"/>
  <c r="X216" i="4"/>
  <c r="AB216" i="4"/>
  <c r="AF216" i="4"/>
  <c r="AJ216" i="4"/>
  <c r="I215" i="4"/>
  <c r="M215" i="4"/>
  <c r="Q215" i="4"/>
  <c r="U215" i="4"/>
  <c r="Y215" i="4"/>
  <c r="AC215" i="4"/>
  <c r="AK215" i="4"/>
  <c r="V192" i="3"/>
  <c r="V347" i="4" s="1"/>
  <c r="Z427" i="4"/>
  <c r="Z423" i="4"/>
  <c r="Z422" i="4" s="1"/>
  <c r="Z429" i="4" s="1"/>
  <c r="Z707" i="4" s="1"/>
  <c r="Q1130" i="3"/>
  <c r="Q158" i="4" s="1"/>
  <c r="Q159" i="4" s="1"/>
  <c r="V158" i="4"/>
  <c r="V159" i="4" s="1"/>
  <c r="K403" i="4"/>
  <c r="O403" i="4"/>
  <c r="S403" i="4"/>
  <c r="W403" i="4"/>
  <c r="M615" i="4"/>
  <c r="AC615" i="4"/>
  <c r="W601" i="4"/>
  <c r="W617" i="4"/>
  <c r="J596" i="4"/>
  <c r="J619" i="4" s="1"/>
  <c r="J597" i="4"/>
  <c r="N596" i="4"/>
  <c r="N598" i="4"/>
  <c r="R596" i="4"/>
  <c r="R598" i="4"/>
  <c r="R597" i="4"/>
  <c r="Z596" i="4"/>
  <c r="Z597" i="4"/>
  <c r="AD596" i="4"/>
  <c r="AD598" i="4"/>
  <c r="K596" i="4"/>
  <c r="AA596" i="4"/>
  <c r="N597" i="4"/>
  <c r="AD597" i="4"/>
  <c r="Z598" i="4"/>
  <c r="AI620" i="4" s="1"/>
  <c r="J406" i="4"/>
  <c r="J415" i="4" s="1"/>
  <c r="N406" i="4"/>
  <c r="N415" i="4" s="1"/>
  <c r="R406" i="4"/>
  <c r="R415" i="4" s="1"/>
  <c r="R416" i="4" s="1"/>
  <c r="V406" i="4"/>
  <c r="V415" i="4" s="1"/>
  <c r="V416" i="4" s="1"/>
  <c r="Z406" i="4"/>
  <c r="J407" i="4"/>
  <c r="N407" i="4"/>
  <c r="R407" i="4"/>
  <c r="V407" i="4"/>
  <c r="Z407" i="4"/>
  <c r="AB306" i="4"/>
  <c r="AB310" i="4" s="1"/>
  <c r="AF306" i="4"/>
  <c r="AF310" i="4" s="1"/>
  <c r="AJ306" i="4"/>
  <c r="AJ310" i="4" s="1"/>
  <c r="S158" i="4"/>
  <c r="S159" i="4" s="1"/>
  <c r="W158" i="4"/>
  <c r="W159" i="4" s="1"/>
  <c r="AD158" i="4"/>
  <c r="AD603" i="4" s="1"/>
  <c r="AD602" i="4" s="1"/>
  <c r="AH158" i="4"/>
  <c r="AH603" i="4" s="1"/>
  <c r="AH602" i="4" s="1"/>
  <c r="X1104" i="3"/>
  <c r="Z1104" i="3"/>
  <c r="Z158" i="4" s="1"/>
  <c r="Z159" i="4" s="1"/>
  <c r="R144" i="4"/>
  <c r="Z144" i="4"/>
  <c r="AH144" i="4"/>
  <c r="R401" i="4"/>
  <c r="R403" i="4" s="1"/>
  <c r="AB403" i="4"/>
  <c r="AG403" i="4"/>
  <c r="AK403" i="4"/>
  <c r="AA527" i="4"/>
  <c r="J615" i="4"/>
  <c r="N615" i="4"/>
  <c r="R615" i="4"/>
  <c r="V615" i="4"/>
  <c r="Z615" i="4"/>
  <c r="AD615" i="4"/>
  <c r="AH615" i="4"/>
  <c r="M616" i="4"/>
  <c r="AC616" i="4"/>
  <c r="AG616" i="4"/>
  <c r="AK616" i="4"/>
  <c r="L617" i="4"/>
  <c r="T617" i="4"/>
  <c r="O600" i="4"/>
  <c r="O596" i="4"/>
  <c r="P619" i="4" s="1"/>
  <c r="O597" i="4"/>
  <c r="W600" i="4"/>
  <c r="W596" i="4"/>
  <c r="W597" i="4"/>
  <c r="S597" i="4"/>
  <c r="AI597" i="4"/>
  <c r="K407" i="4"/>
  <c r="O407" i="4"/>
  <c r="S407" i="4"/>
  <c r="W407" i="4"/>
  <c r="AB632" i="3"/>
  <c r="Q523" i="4"/>
  <c r="X309" i="4"/>
  <c r="T158" i="4"/>
  <c r="T159" i="4" s="1"/>
  <c r="AE158" i="4"/>
  <c r="AE603" i="4" s="1"/>
  <c r="AE602" i="4" s="1"/>
  <c r="AI158" i="4"/>
  <c r="AI603" i="4" s="1"/>
  <c r="AI602" i="4" s="1"/>
  <c r="S144" i="4"/>
  <c r="AA144" i="4"/>
  <c r="AI144" i="4"/>
  <c r="V401" i="4"/>
  <c r="V403" i="4" s="1"/>
  <c r="AD403" i="4"/>
  <c r="AH403" i="4"/>
  <c r="U427" i="4"/>
  <c r="K615" i="4"/>
  <c r="O615" i="4"/>
  <c r="S615" i="4"/>
  <c r="W615" i="4"/>
  <c r="AD616" i="4"/>
  <c r="AH616" i="4"/>
  <c r="O617" i="4"/>
  <c r="I601" i="4"/>
  <c r="M617" i="4"/>
  <c r="M601" i="4"/>
  <c r="Q617" i="4"/>
  <c r="U617" i="4"/>
  <c r="Y617" i="4"/>
  <c r="Y601" i="4"/>
  <c r="AI596" i="4"/>
  <c r="V597" i="4"/>
  <c r="J598" i="4"/>
  <c r="S617" i="4"/>
  <c r="V1172" i="4"/>
  <c r="V1254" i="4" s="1"/>
  <c r="AB1173" i="4"/>
  <c r="R1165" i="4"/>
  <c r="T1177" i="4"/>
  <c r="T1259" i="4" s="1"/>
  <c r="AJ1177" i="4"/>
  <c r="AJ1259" i="4" s="1"/>
  <c r="R1181" i="4"/>
  <c r="Z1181" i="4"/>
  <c r="AB1182" i="4"/>
  <c r="AB1264" i="4" s="1"/>
  <c r="Z1187" i="4"/>
  <c r="Z1269" i="4" s="1"/>
  <c r="AG1188" i="4"/>
  <c r="X1191" i="4"/>
  <c r="X1273" i="4" s="1"/>
  <c r="T1192" i="4"/>
  <c r="T1274" i="4" s="1"/>
  <c r="AD1192" i="4"/>
  <c r="AD1274" i="4" s="1"/>
  <c r="AJ1193" i="4"/>
  <c r="AJ1275" i="4" s="1"/>
  <c r="AK1201" i="4"/>
  <c r="AK1283" i="4" s="1"/>
  <c r="AI1202" i="4"/>
  <c r="AI1284" i="4" s="1"/>
  <c r="U1218" i="4"/>
  <c r="U1300" i="4" s="1"/>
  <c r="AF1223" i="4"/>
  <c r="AF1305" i="4" s="1"/>
  <c r="U1238" i="4"/>
  <c r="U1320" i="4" s="1"/>
  <c r="AG1355" i="4"/>
  <c r="AK1355" i="4"/>
  <c r="T1361" i="4"/>
  <c r="T1367" i="4"/>
  <c r="X1367" i="4"/>
  <c r="AK1367" i="4"/>
  <c r="X1354" i="4"/>
  <c r="AB1354" i="4"/>
  <c r="AF1354" i="4"/>
  <c r="AJ1354" i="4"/>
  <c r="S1360" i="4"/>
  <c r="W1360" i="4"/>
  <c r="AA1360" i="4"/>
  <c r="AE1360" i="4"/>
  <c r="AI1360" i="4"/>
  <c r="AH1081" i="4"/>
  <c r="AA1171" i="4"/>
  <c r="AA1253" i="4" s="1"/>
  <c r="Y1172" i="4"/>
  <c r="Y1254" i="4" s="1"/>
  <c r="AE1173" i="4"/>
  <c r="AC1186" i="4"/>
  <c r="AC1268" i="4" s="1"/>
  <c r="AI1188" i="4"/>
  <c r="U1192" i="4"/>
  <c r="U1274" i="4" s="1"/>
  <c r="AJ1192" i="4"/>
  <c r="AJ1274" i="4" s="1"/>
  <c r="R1196" i="4"/>
  <c r="T1202" i="4"/>
  <c r="T1284" i="4" s="1"/>
  <c r="AJ596" i="4"/>
  <c r="AE597" i="4"/>
  <c r="S983" i="4"/>
  <c r="AI983" i="4"/>
  <c r="R983" i="4"/>
  <c r="V983" i="4"/>
  <c r="Z983" i="4"/>
  <c r="AD983" i="4"/>
  <c r="AH983" i="4"/>
  <c r="Q1081" i="4"/>
  <c r="U1081" i="4"/>
  <c r="Y1081" i="4"/>
  <c r="AC1081" i="4"/>
  <c r="AG1081" i="4"/>
  <c r="AK1081" i="4"/>
  <c r="AB1165" i="4"/>
  <c r="AB1168" i="4" s="1"/>
  <c r="R1171" i="4"/>
  <c r="V1171" i="4"/>
  <c r="Z1171" i="4"/>
  <c r="Z1253" i="4" s="1"/>
  <c r="AD1171" i="4"/>
  <c r="AH1171" i="4"/>
  <c r="AD1172" i="4"/>
  <c r="AD1254" i="4" s="1"/>
  <c r="AB1177" i="4"/>
  <c r="AB1259" i="4" s="1"/>
  <c r="AH1178" i="4"/>
  <c r="T1181" i="4"/>
  <c r="AJ1181" i="4"/>
  <c r="T1182" i="4"/>
  <c r="T1264" i="4" s="1"/>
  <c r="AJ1182" i="4"/>
  <c r="AJ1264" i="4" s="1"/>
  <c r="S1186" i="4"/>
  <c r="AI1186" i="4"/>
  <c r="AH1187" i="4"/>
  <c r="AH1269" i="4" s="1"/>
  <c r="Y1192" i="4"/>
  <c r="Y1274" i="4" s="1"/>
  <c r="AK1192" i="4"/>
  <c r="AK1274" i="4" s="1"/>
  <c r="T1197" i="4"/>
  <c r="T1279" i="4" s="1"/>
  <c r="X1202" i="4"/>
  <c r="X1284" i="4" s="1"/>
  <c r="Y1207" i="4"/>
  <c r="Z1208" i="4"/>
  <c r="Z1290" i="4" s="1"/>
  <c r="AF1209" i="4"/>
  <c r="Z1222" i="4"/>
  <c r="Z1304" i="4" s="1"/>
  <c r="W1223" i="4"/>
  <c r="W1305" i="4" s="1"/>
  <c r="R1227" i="4"/>
  <c r="R1309" i="4" s="1"/>
  <c r="T1232" i="4"/>
  <c r="T1314" i="4" s="1"/>
  <c r="AJ1232" i="4"/>
  <c r="T1243" i="4"/>
  <c r="T1325" i="4" s="1"/>
  <c r="AC1361" i="4"/>
  <c r="AE596" i="4"/>
  <c r="AA731" i="4"/>
  <c r="X732" i="4" s="1"/>
  <c r="X512" i="4" s="1"/>
  <c r="X515" i="4" s="1"/>
  <c r="AC749" i="4"/>
  <c r="T983" i="4"/>
  <c r="Z1080" i="4"/>
  <c r="T1165" i="4"/>
  <c r="T1247" i="4" s="1"/>
  <c r="AC1177" i="4"/>
  <c r="AC1259" i="4" s="1"/>
  <c r="AI1183" i="4"/>
  <c r="AC1181" i="4"/>
  <c r="AC1263" i="4" s="1"/>
  <c r="AA1182" i="4"/>
  <c r="AA1264" i="4" s="1"/>
  <c r="AG1183" i="4"/>
  <c r="Z1192" i="4"/>
  <c r="Z1274" i="4" s="1"/>
  <c r="AE1193" i="4"/>
  <c r="AE1275" i="4" s="1"/>
  <c r="AE1197" i="4"/>
  <c r="AE1279" i="4" s="1"/>
  <c r="AC1201" i="4"/>
  <c r="AC1283" i="4" s="1"/>
  <c r="AF1202" i="4"/>
  <c r="AF1284" i="4" s="1"/>
  <c r="T1223" i="4"/>
  <c r="T1305" i="4" s="1"/>
  <c r="AB1229" i="4"/>
  <c r="AB1311" i="4" s="1"/>
  <c r="T1238" i="4"/>
  <c r="T1320" i="4" s="1"/>
  <c r="Z1451" i="4"/>
  <c r="AI688" i="4"/>
  <c r="AH688" i="4"/>
  <c r="AI512" i="4"/>
  <c r="AG688" i="4"/>
  <c r="AH512" i="4"/>
  <c r="AF688" i="4"/>
  <c r="AG512" i="4"/>
  <c r="AE688" i="4"/>
  <c r="AF512" i="4"/>
  <c r="AE512" i="4"/>
  <c r="AD688" i="4"/>
  <c r="AD512" i="4"/>
  <c r="AC688" i="4"/>
  <c r="AC512" i="4"/>
  <c r="AA1262" i="4"/>
  <c r="AA132" i="3"/>
  <c r="AB1262" i="4" s="1"/>
  <c r="O1272" i="4"/>
  <c r="M134" i="3"/>
  <c r="L134" i="3" s="1"/>
  <c r="K134" i="3" s="1"/>
  <c r="J134" i="3" s="1"/>
  <c r="I134" i="3" s="1"/>
  <c r="J1272" i="4" s="1"/>
  <c r="AC125" i="3"/>
  <c r="AB123" i="3"/>
  <c r="L1303" i="4"/>
  <c r="J108" i="3"/>
  <c r="I108" i="3" s="1"/>
  <c r="J1303" i="4" s="1"/>
  <c r="O124" i="3"/>
  <c r="P123" i="3"/>
  <c r="AH1277" i="4"/>
  <c r="AH135" i="3"/>
  <c r="AD1252" i="4"/>
  <c r="AD129" i="3"/>
  <c r="AF131" i="3"/>
  <c r="Q132" i="3"/>
  <c r="R1262" i="4" s="1"/>
  <c r="R128" i="3"/>
  <c r="R584" i="4" s="1"/>
  <c r="R127" i="3"/>
  <c r="Z200" i="3"/>
  <c r="Y193" i="3"/>
  <c r="AC207" i="3"/>
  <c r="S214" i="3"/>
  <c r="T213" i="3"/>
  <c r="Z1399" i="4"/>
  <c r="Z772" i="4"/>
  <c r="Z771" i="4"/>
  <c r="Z774" i="4"/>
  <c r="Z773" i="4"/>
  <c r="AK170" i="4"/>
  <c r="AG170" i="4"/>
  <c r="AC170" i="4"/>
  <c r="Y170" i="4"/>
  <c r="Z169" i="4" s="1"/>
  <c r="U170" i="4"/>
  <c r="Q170" i="4"/>
  <c r="AJ170" i="4"/>
  <c r="AF170" i="4"/>
  <c r="AB170" i="4"/>
  <c r="X170" i="4"/>
  <c r="T170" i="4"/>
  <c r="P170" i="4"/>
  <c r="AI170" i="4"/>
  <c r="AE170" i="4"/>
  <c r="AA170" i="4"/>
  <c r="W170" i="4"/>
  <c r="S170" i="4"/>
  <c r="O170" i="4"/>
  <c r="P169" i="4" s="1"/>
  <c r="P166" i="4" s="1"/>
  <c r="AD170" i="4"/>
  <c r="Z170" i="4"/>
  <c r="V170" i="4"/>
  <c r="Y58" i="4"/>
  <c r="AC58" i="4"/>
  <c r="AK58" i="4"/>
  <c r="T736" i="4"/>
  <c r="T737" i="4" s="1"/>
  <c r="S582" i="4"/>
  <c r="S510" i="4"/>
  <c r="T669" i="3"/>
  <c r="T670" i="3" s="1"/>
  <c r="T671" i="3" s="1"/>
  <c r="Q107" i="3"/>
  <c r="R106" i="3"/>
  <c r="K112" i="3"/>
  <c r="J112" i="3" s="1"/>
  <c r="I112" i="3" s="1"/>
  <c r="J1318" i="4" s="1"/>
  <c r="AD114" i="3"/>
  <c r="AC113" i="3"/>
  <c r="AD121" i="3"/>
  <c r="AE1288" i="4" s="1"/>
  <c r="AC120" i="3"/>
  <c r="AC583" i="4" s="1"/>
  <c r="U123" i="3"/>
  <c r="AE124" i="3"/>
  <c r="V131" i="3"/>
  <c r="AE1272" i="4"/>
  <c r="AE134" i="3"/>
  <c r="AF134" i="3" s="1"/>
  <c r="AG134" i="3" s="1"/>
  <c r="AH134" i="3" s="1"/>
  <c r="AI134" i="3" s="1"/>
  <c r="AJ134" i="3" s="1"/>
  <c r="AK134" i="3" s="1"/>
  <c r="X193" i="3"/>
  <c r="R200" i="3"/>
  <c r="S193" i="3"/>
  <c r="U207" i="3"/>
  <c r="V206" i="3"/>
  <c r="V190" i="3"/>
  <c r="V348" i="4" s="1"/>
  <c r="AA227" i="3"/>
  <c r="Z226" i="3"/>
  <c r="R170" i="4"/>
  <c r="Q111" i="3"/>
  <c r="N114" i="3"/>
  <c r="O113" i="3"/>
  <c r="U108" i="3"/>
  <c r="T106" i="3"/>
  <c r="W124" i="3"/>
  <c r="V123" i="3"/>
  <c r="U1252" i="4"/>
  <c r="T127" i="3"/>
  <c r="U129" i="3"/>
  <c r="P131" i="3"/>
  <c r="O1267" i="4"/>
  <c r="M133" i="3"/>
  <c r="L133" i="3" s="1"/>
  <c r="K133" i="3" s="1"/>
  <c r="J133" i="3" s="1"/>
  <c r="I133" i="3" s="1"/>
  <c r="J1267" i="4" s="1"/>
  <c r="Q250" i="4"/>
  <c r="R216" i="4"/>
  <c r="K215" i="4"/>
  <c r="O215" i="4"/>
  <c r="S215" i="4"/>
  <c r="S249" i="4"/>
  <c r="T249" i="4" s="1"/>
  <c r="U249" i="4" s="1"/>
  <c r="V249" i="4" s="1"/>
  <c r="W249" i="4" s="1"/>
  <c r="X249" i="4" s="1"/>
  <c r="Y249" i="4" s="1"/>
  <c r="Z249" i="4" s="1"/>
  <c r="AA249" i="4" s="1"/>
  <c r="AB249" i="4" s="1"/>
  <c r="AC249" i="4" s="1"/>
  <c r="AD249" i="4" s="1"/>
  <c r="AE249" i="4" s="1"/>
  <c r="W215" i="4"/>
  <c r="AA215" i="4"/>
  <c r="AE215" i="4"/>
  <c r="AI215" i="4"/>
  <c r="T193" i="3"/>
  <c r="X192" i="3"/>
  <c r="X347" i="4" s="1"/>
  <c r="X191" i="3"/>
  <c r="Y194" i="3"/>
  <c r="X190" i="3"/>
  <c r="X348" i="4" s="1"/>
  <c r="V212" i="3"/>
  <c r="U229" i="3"/>
  <c r="T229" i="3" s="1"/>
  <c r="S229" i="3" s="1"/>
  <c r="R229" i="3" s="1"/>
  <c r="Q229" i="3" s="1"/>
  <c r="P229" i="3" s="1"/>
  <c r="O229" i="3" s="1"/>
  <c r="N229" i="3" s="1"/>
  <c r="M229" i="3" s="1"/>
  <c r="L229" i="3" s="1"/>
  <c r="K229" i="3" s="1"/>
  <c r="J229" i="3" s="1"/>
  <c r="I229" i="3" s="1"/>
  <c r="V226" i="3"/>
  <c r="AB798" i="4"/>
  <c r="AB1048" i="3"/>
  <c r="AH170" i="4"/>
  <c r="Y107" i="3"/>
  <c r="AG107" i="3"/>
  <c r="AG1298" i="4" s="1"/>
  <c r="AC106" i="3"/>
  <c r="AD108" i="3"/>
  <c r="AE108" i="3" s="1"/>
  <c r="AF1303" i="4" s="1"/>
  <c r="P22" i="3"/>
  <c r="P18" i="3" s="1"/>
  <c r="P267" i="4" s="1"/>
  <c r="T22" i="3"/>
  <c r="T18" i="3" s="1"/>
  <c r="T267" i="4" s="1"/>
  <c r="X22" i="3"/>
  <c r="AB22" i="3"/>
  <c r="AJ22" i="3"/>
  <c r="W58" i="4"/>
  <c r="AA58" i="4"/>
  <c r="AE58" i="4"/>
  <c r="U1388" i="4"/>
  <c r="U746" i="4"/>
  <c r="V121" i="3"/>
  <c r="W1288" i="4" s="1"/>
  <c r="Q123" i="3"/>
  <c r="AC127" i="3"/>
  <c r="O129" i="3"/>
  <c r="P1252" i="4" s="1"/>
  <c r="AD128" i="3"/>
  <c r="AD584" i="4" s="1"/>
  <c r="R585" i="4"/>
  <c r="Q136" i="3"/>
  <c r="R1282" i="4" s="1"/>
  <c r="U213" i="3"/>
  <c r="Z214" i="3"/>
  <c r="T227" i="3"/>
  <c r="U226" i="3"/>
  <c r="AG598" i="4"/>
  <c r="AG597" i="4"/>
  <c r="AG596" i="4"/>
  <c r="AD1399" i="4"/>
  <c r="AD772" i="4"/>
  <c r="AD771" i="4"/>
  <c r="AD774" i="4"/>
  <c r="AD773" i="4"/>
  <c r="AH1399" i="4"/>
  <c r="AH772" i="4"/>
  <c r="AH771" i="4"/>
  <c r="AH774" i="4"/>
  <c r="AH773" i="4"/>
  <c r="Y166" i="4"/>
  <c r="T414" i="4"/>
  <c r="X414" i="4"/>
  <c r="AB527" i="4"/>
  <c r="AB515" i="4"/>
  <c r="AB516" i="4"/>
  <c r="S1388" i="4"/>
  <c r="S746" i="4"/>
  <c r="AC736" i="4"/>
  <c r="AC728" i="4"/>
  <c r="AB510" i="4"/>
  <c r="AB526" i="4" s="1"/>
  <c r="Q113" i="3"/>
  <c r="R123" i="3"/>
  <c r="AC128" i="3"/>
  <c r="AC584" i="4" s="1"/>
  <c r="K216" i="4"/>
  <c r="O216" i="4"/>
  <c r="S216" i="4"/>
  <c r="W216" i="4"/>
  <c r="AA216" i="4"/>
  <c r="AE216" i="4"/>
  <c r="AI216" i="4"/>
  <c r="L215" i="4"/>
  <c r="P215" i="4"/>
  <c r="T215" i="4"/>
  <c r="X215" i="4"/>
  <c r="AB215" i="4"/>
  <c r="AF215" i="4"/>
  <c r="AJ215" i="4"/>
  <c r="U193" i="3"/>
  <c r="T194" i="3"/>
  <c r="V213" i="3"/>
  <c r="L424" i="4"/>
  <c r="X424" i="4"/>
  <c r="AC892" i="3"/>
  <c r="AC524" i="4" s="1"/>
  <c r="AC886" i="3"/>
  <c r="AC519" i="4" s="1"/>
  <c r="AC882" i="3"/>
  <c r="Y969" i="3"/>
  <c r="AC1155" i="3"/>
  <c r="AC1143" i="3" s="1"/>
  <c r="AC158" i="4" s="1"/>
  <c r="AB1143" i="3"/>
  <c r="AB158" i="4" s="1"/>
  <c r="AB159" i="4" s="1"/>
  <c r="X1044" i="4"/>
  <c r="X1156" i="3"/>
  <c r="O151" i="4"/>
  <c r="AE152" i="4" s="1"/>
  <c r="K406" i="4"/>
  <c r="AH419" i="4"/>
  <c r="AH421" i="4" s="1"/>
  <c r="W346" i="4"/>
  <c r="L400" i="4"/>
  <c r="L589" i="4"/>
  <c r="P589" i="4"/>
  <c r="P400" i="4"/>
  <c r="T589" i="4"/>
  <c r="T400" i="4"/>
  <c r="X400" i="4"/>
  <c r="AB400" i="4"/>
  <c r="AB589" i="4"/>
  <c r="AG589" i="4"/>
  <c r="AG400" i="4"/>
  <c r="AK589" i="4"/>
  <c r="AK400" i="4"/>
  <c r="L1452" i="4"/>
  <c r="AH1453" i="4" s="1"/>
  <c r="AH1375" i="4" s="1"/>
  <c r="P1452" i="4"/>
  <c r="T1452" i="4"/>
  <c r="X1452" i="4"/>
  <c r="AG1452" i="4"/>
  <c r="AG419" i="4"/>
  <c r="AG421" i="4" s="1"/>
  <c r="AK1452" i="4"/>
  <c r="AK419" i="4"/>
  <c r="AK421" i="4" s="1"/>
  <c r="I423" i="4"/>
  <c r="I427" i="4"/>
  <c r="M422" i="4"/>
  <c r="M429" i="4" s="1"/>
  <c r="M707" i="4" s="1"/>
  <c r="Q423" i="4"/>
  <c r="Q427" i="4"/>
  <c r="Y423" i="4"/>
  <c r="Y422" i="4" s="1"/>
  <c r="Y429" i="4" s="1"/>
  <c r="Y707" i="4" s="1"/>
  <c r="Y427" i="4"/>
  <c r="Y306" i="4"/>
  <c r="AC306" i="4"/>
  <c r="AC310" i="4" s="1"/>
  <c r="AG306" i="4"/>
  <c r="AG310" i="4" s="1"/>
  <c r="AK306" i="4"/>
  <c r="AK310" i="4" s="1"/>
  <c r="P1145" i="4"/>
  <c r="P144" i="4"/>
  <c r="T1145" i="4"/>
  <c r="T144" i="4"/>
  <c r="X1145" i="4"/>
  <c r="X144" i="4"/>
  <c r="AB1145" i="4"/>
  <c r="AB144" i="4"/>
  <c r="AF1145" i="4"/>
  <c r="AF144" i="4"/>
  <c r="AJ1145" i="4"/>
  <c r="AJ144" i="4"/>
  <c r="Y148" i="4"/>
  <c r="O153" i="4"/>
  <c r="O166" i="4"/>
  <c r="I403" i="4"/>
  <c r="M403" i="4"/>
  <c r="Q403" i="4"/>
  <c r="U403" i="4"/>
  <c r="Y403" i="4"/>
  <c r="O406" i="4"/>
  <c r="O415" i="4" s="1"/>
  <c r="P419" i="4"/>
  <c r="P424" i="4" s="1"/>
  <c r="J423" i="4"/>
  <c r="X589" i="4"/>
  <c r="U110" i="3"/>
  <c r="V110" i="3" s="1"/>
  <c r="W110" i="3" s="1"/>
  <c r="X110" i="3" s="1"/>
  <c r="S120" i="3"/>
  <c r="S583" i="4" s="1"/>
  <c r="T123" i="3"/>
  <c r="I216" i="4"/>
  <c r="M216" i="4"/>
  <c r="Q216" i="4"/>
  <c r="U216" i="4"/>
  <c r="Y216" i="4"/>
  <c r="AC216" i="4"/>
  <c r="AG216" i="4"/>
  <c r="AK216" i="4"/>
  <c r="J215" i="4"/>
  <c r="N215" i="4"/>
  <c r="Q249" i="4"/>
  <c r="R215" i="4"/>
  <c r="V215" i="4"/>
  <c r="Z215" i="4"/>
  <c r="AD215" i="4"/>
  <c r="AH215" i="4"/>
  <c r="Y226" i="3"/>
  <c r="I589" i="4"/>
  <c r="I400" i="4"/>
  <c r="M589" i="4"/>
  <c r="M400" i="4"/>
  <c r="Q589" i="4"/>
  <c r="Q400" i="4"/>
  <c r="U589" i="4"/>
  <c r="U400" i="4"/>
  <c r="Y589" i="4"/>
  <c r="Y400" i="4"/>
  <c r="AD589" i="4"/>
  <c r="AD400" i="4"/>
  <c r="AH589" i="4"/>
  <c r="AH400" i="4"/>
  <c r="I1452" i="4"/>
  <c r="I419" i="4"/>
  <c r="M1452" i="4"/>
  <c r="M419" i="4"/>
  <c r="M424" i="4" s="1"/>
  <c r="Q1452" i="4"/>
  <c r="Q419" i="4"/>
  <c r="Q421" i="4" s="1"/>
  <c r="U1452" i="4"/>
  <c r="N1455" i="4" s="1"/>
  <c r="U419" i="4"/>
  <c r="U421" i="4" s="1"/>
  <c r="L401" i="4"/>
  <c r="L406" i="4"/>
  <c r="P401" i="4"/>
  <c r="P403" i="4" s="1"/>
  <c r="P406" i="4"/>
  <c r="T401" i="4"/>
  <c r="T403" i="4" s="1"/>
  <c r="T406" i="4"/>
  <c r="X401" i="4"/>
  <c r="X403" i="4" s="1"/>
  <c r="X406" i="4"/>
  <c r="N427" i="4"/>
  <c r="N423" i="4"/>
  <c r="V427" i="4"/>
  <c r="V423" i="4"/>
  <c r="AB886" i="3"/>
  <c r="AB519" i="4" s="1"/>
  <c r="Y309" i="4"/>
  <c r="Y1399" i="4"/>
  <c r="Y773" i="4"/>
  <c r="Y772" i="4"/>
  <c r="Y771" i="4"/>
  <c r="Y774" i="4"/>
  <c r="AG1399" i="4"/>
  <c r="AG773" i="4"/>
  <c r="AG772" i="4"/>
  <c r="AG771" i="4"/>
  <c r="AK1399" i="4"/>
  <c r="AK773" i="4"/>
  <c r="AK772" i="4"/>
  <c r="AK771" i="4"/>
  <c r="AK774" i="4"/>
  <c r="AB1407" i="4"/>
  <c r="AB797" i="4"/>
  <c r="U158" i="4"/>
  <c r="U159" i="4" s="1"/>
  <c r="P1067" i="4"/>
  <c r="S250" i="4"/>
  <c r="AE403" i="4"/>
  <c r="AI403" i="4"/>
  <c r="S406" i="4"/>
  <c r="S415" i="4" s="1"/>
  <c r="S416" i="4" s="1"/>
  <c r="AA414" i="4"/>
  <c r="T419" i="4"/>
  <c r="T421" i="4" s="1"/>
  <c r="R423" i="4"/>
  <c r="M427" i="4"/>
  <c r="J589" i="4"/>
  <c r="N589" i="4"/>
  <c r="R589" i="4"/>
  <c r="V589" i="4"/>
  <c r="AI1452" i="4"/>
  <c r="K427" i="4"/>
  <c r="K423" i="4"/>
  <c r="O427" i="4"/>
  <c r="O423" i="4"/>
  <c r="S427" i="4"/>
  <c r="S423" i="4"/>
  <c r="W427" i="4"/>
  <c r="W423" i="4"/>
  <c r="Z969" i="3"/>
  <c r="AA1399" i="4"/>
  <c r="AA771" i="4"/>
  <c r="AA774" i="4"/>
  <c r="AA773" i="4"/>
  <c r="AA772" i="4"/>
  <c r="AE1399" i="4"/>
  <c r="AE771" i="4"/>
  <c r="AE774" i="4"/>
  <c r="AE773" i="4"/>
  <c r="AE772" i="4"/>
  <c r="AI1399" i="4"/>
  <c r="AI771" i="4"/>
  <c r="AI774" i="4"/>
  <c r="AI773" i="4"/>
  <c r="AB1409" i="4"/>
  <c r="AB795" i="4"/>
  <c r="AB1413" i="4"/>
  <c r="AB815" i="4"/>
  <c r="Q1067" i="4"/>
  <c r="P1044" i="4"/>
  <c r="AA400" i="4"/>
  <c r="AF400" i="4"/>
  <c r="S414" i="4"/>
  <c r="AE419" i="4"/>
  <c r="AI419" i="4"/>
  <c r="L422" i="4"/>
  <c r="P427" i="4"/>
  <c r="X427" i="4"/>
  <c r="AA516" i="4"/>
  <c r="AA523" i="4"/>
  <c r="Q616" i="4"/>
  <c r="U616" i="4"/>
  <c r="Y616" i="4"/>
  <c r="K602" i="4"/>
  <c r="O602" i="4"/>
  <c r="S602" i="4"/>
  <c r="W602" i="4"/>
  <c r="AA602" i="4"/>
  <c r="X748" i="4"/>
  <c r="T1237" i="4"/>
  <c r="S1237" i="4"/>
  <c r="O1318" i="4"/>
  <c r="X1237" i="4"/>
  <c r="X1319" i="4" s="1"/>
  <c r="S1318" i="4"/>
  <c r="AB1237" i="4"/>
  <c r="AB1319" i="4" s="1"/>
  <c r="Z1237" i="4"/>
  <c r="Z1319" i="4" s="1"/>
  <c r="W1318" i="4"/>
  <c r="AF1237" i="4"/>
  <c r="AF1319" i="4" s="1"/>
  <c r="AF1238" i="4"/>
  <c r="AF1320" i="4" s="1"/>
  <c r="Y1238" i="4"/>
  <c r="Y1320" i="4" s="1"/>
  <c r="AA1318" i="4"/>
  <c r="AJ1237" i="4"/>
  <c r="AJ1319" i="4" s="1"/>
  <c r="AA1211" i="4"/>
  <c r="AI1237" i="4"/>
  <c r="AI1319" i="4" s="1"/>
  <c r="AE1318" i="4"/>
  <c r="AE1239" i="4"/>
  <c r="AE1321" i="4" s="1"/>
  <c r="AI1318" i="4"/>
  <c r="K589" i="4"/>
  <c r="O589" i="4"/>
  <c r="S589" i="4"/>
  <c r="W589" i="4"/>
  <c r="AJ589" i="4"/>
  <c r="K1452" i="4"/>
  <c r="O1452" i="4"/>
  <c r="S1452" i="4"/>
  <c r="W1452" i="4"/>
  <c r="AJ1452" i="4"/>
  <c r="W969" i="3"/>
  <c r="X1399" i="4"/>
  <c r="X774" i="4"/>
  <c r="X773" i="4"/>
  <c r="X772" i="4"/>
  <c r="X771" i="4"/>
  <c r="AB1399" i="4"/>
  <c r="AB774" i="4"/>
  <c r="AB773" i="4"/>
  <c r="AB772" i="4"/>
  <c r="AF1399" i="4"/>
  <c r="AF774" i="4"/>
  <c r="AF773" i="4"/>
  <c r="AF772" i="4"/>
  <c r="AF771" i="4"/>
  <c r="AJ1399" i="4"/>
  <c r="AJ774" i="4"/>
  <c r="AJ773" i="4"/>
  <c r="AJ772" i="4"/>
  <c r="AJ771" i="4"/>
  <c r="R1067" i="4"/>
  <c r="Q144" i="4"/>
  <c r="U144" i="4"/>
  <c r="Y144" i="4"/>
  <c r="AC144" i="4"/>
  <c r="AG144" i="4"/>
  <c r="AK144" i="4"/>
  <c r="Y156" i="4"/>
  <c r="I406" i="4"/>
  <c r="M406" i="4"/>
  <c r="Q406" i="4"/>
  <c r="U406" i="4"/>
  <c r="Y406" i="4"/>
  <c r="J419" i="4"/>
  <c r="N419" i="4"/>
  <c r="R419" i="4"/>
  <c r="R421" i="4" s="1"/>
  <c r="V419" i="4"/>
  <c r="V421" i="4" s="1"/>
  <c r="AF419" i="4"/>
  <c r="AF421" i="4" s="1"/>
  <c r="AJ419" i="4"/>
  <c r="AJ421" i="4" s="1"/>
  <c r="R616" i="4"/>
  <c r="V616" i="4"/>
  <c r="Z616" i="4"/>
  <c r="AC617" i="4"/>
  <c r="AG617" i="4"/>
  <c r="AK617" i="4"/>
  <c r="L600" i="4"/>
  <c r="P600" i="4"/>
  <c r="T600" i="4"/>
  <c r="X600" i="4"/>
  <c r="AB600" i="4"/>
  <c r="T602" i="4"/>
  <c r="Z602" i="4"/>
  <c r="V602" i="4"/>
  <c r="R602" i="4"/>
  <c r="N602" i="4"/>
  <c r="J602" i="4"/>
  <c r="X602" i="4"/>
  <c r="AB602" i="4"/>
  <c r="P616" i="4"/>
  <c r="AF616" i="4"/>
  <c r="K1211" i="4"/>
  <c r="K419" i="4"/>
  <c r="O419" i="4"/>
  <c r="S419" i="4"/>
  <c r="S421" i="4" s="1"/>
  <c r="W419" i="4"/>
  <c r="W421" i="4" s="1"/>
  <c r="X422" i="4"/>
  <c r="L427" i="4"/>
  <c r="T427" i="4"/>
  <c r="AA515" i="4"/>
  <c r="Q521" i="4"/>
  <c r="S616" i="4"/>
  <c r="W616" i="4"/>
  <c r="J617" i="4"/>
  <c r="J601" i="4"/>
  <c r="N617" i="4"/>
  <c r="N601" i="4"/>
  <c r="R617" i="4"/>
  <c r="R601" i="4"/>
  <c r="V617" i="4"/>
  <c r="V601" i="4"/>
  <c r="AA617" i="4"/>
  <c r="Z617" i="4"/>
  <c r="Z601" i="4"/>
  <c r="AE617" i="4"/>
  <c r="AD617" i="4"/>
  <c r="AI617" i="4"/>
  <c r="AH617" i="4"/>
  <c r="I598" i="4"/>
  <c r="I597" i="4"/>
  <c r="M598" i="4"/>
  <c r="M597" i="4"/>
  <c r="M596" i="4"/>
  <c r="Q598" i="4"/>
  <c r="Q597" i="4"/>
  <c r="Q596" i="4"/>
  <c r="U598" i="4"/>
  <c r="U597" i="4"/>
  <c r="U596" i="4"/>
  <c r="Y598" i="4"/>
  <c r="Y597" i="4"/>
  <c r="Y596" i="4"/>
  <c r="AC598" i="4"/>
  <c r="AC597" i="4"/>
  <c r="AC596" i="4"/>
  <c r="AK598" i="4"/>
  <c r="AK597" i="4"/>
  <c r="AK596" i="4"/>
  <c r="L601" i="4"/>
  <c r="L599" i="4"/>
  <c r="P601" i="4"/>
  <c r="P599" i="4"/>
  <c r="T601" i="4"/>
  <c r="T599" i="4"/>
  <c r="X601" i="4"/>
  <c r="X599" i="4"/>
  <c r="AB601" i="4"/>
  <c r="AB599" i="4"/>
  <c r="Q600" i="4"/>
  <c r="T616" i="4"/>
  <c r="AJ616" i="4"/>
  <c r="AF617" i="4"/>
  <c r="AB521" i="4"/>
  <c r="AC600" i="4"/>
  <c r="L597" i="4"/>
  <c r="P597" i="4"/>
  <c r="T597" i="4"/>
  <c r="X597" i="4"/>
  <c r="AB597" i="4"/>
  <c r="AF597" i="4"/>
  <c r="AJ597" i="4"/>
  <c r="K598" i="4"/>
  <c r="O598" i="4"/>
  <c r="S598" i="4"/>
  <c r="W598" i="4"/>
  <c r="AA598" i="4"/>
  <c r="J600" i="4"/>
  <c r="N600" i="4"/>
  <c r="R600" i="4"/>
  <c r="V600" i="4"/>
  <c r="Z600" i="4"/>
  <c r="AC751" i="4"/>
  <c r="L598" i="4"/>
  <c r="P598" i="4"/>
  <c r="T598" i="4"/>
  <c r="X598" i="4"/>
  <c r="AB598" i="4"/>
  <c r="AG1308" i="4"/>
  <c r="K617" i="4"/>
  <c r="T743" i="4"/>
  <c r="T745" i="4"/>
  <c r="L1080" i="4"/>
  <c r="P1080" i="4"/>
  <c r="T1080" i="4"/>
  <c r="X1080" i="4"/>
  <c r="AB1080" i="4"/>
  <c r="AF1080" i="4"/>
  <c r="AJ1080" i="4"/>
  <c r="N1080" i="4"/>
  <c r="AD1080" i="4"/>
  <c r="V1081" i="4"/>
  <c r="AK1267" i="4"/>
  <c r="V1196" i="4"/>
  <c r="M1165" i="4"/>
  <c r="U1196" i="4"/>
  <c r="Y1196" i="4"/>
  <c r="Z1196" i="4"/>
  <c r="U1277" i="4"/>
  <c r="AG1197" i="4"/>
  <c r="AG1279" i="4" s="1"/>
  <c r="AB1197" i="4"/>
  <c r="AB1279" i="4" s="1"/>
  <c r="W1197" i="4"/>
  <c r="W1279" i="4" s="1"/>
  <c r="AD1196" i="4"/>
  <c r="AD1278" i="4" s="1"/>
  <c r="AK1197" i="4"/>
  <c r="AK1279" i="4" s="1"/>
  <c r="AF1197" i="4"/>
  <c r="AF1279" i="4" s="1"/>
  <c r="AA1197" i="4"/>
  <c r="AA1279" i="4" s="1"/>
  <c r="U1197" i="4"/>
  <c r="U1279" i="4" s="1"/>
  <c r="AC1196" i="4"/>
  <c r="AC1278" i="4" s="1"/>
  <c r="AC1197" i="4"/>
  <c r="AC1279" i="4" s="1"/>
  <c r="AJ1197" i="4"/>
  <c r="AJ1279" i="4" s="1"/>
  <c r="Y1197" i="4"/>
  <c r="Y1279" i="4" s="1"/>
  <c r="U1165" i="4"/>
  <c r="AI1197" i="4"/>
  <c r="AI1279" i="4" s="1"/>
  <c r="X1197" i="4"/>
  <c r="X1279" i="4" s="1"/>
  <c r="Y1277" i="4"/>
  <c r="AH1196" i="4"/>
  <c r="AH1278" i="4" s="1"/>
  <c r="AG1196" i="4"/>
  <c r="AG1278" i="4" s="1"/>
  <c r="AE1196" i="4"/>
  <c r="AE1278" i="4" s="1"/>
  <c r="AC1277" i="4"/>
  <c r="AK1198" i="4"/>
  <c r="AK1280" i="4" s="1"/>
  <c r="AG1198" i="4"/>
  <c r="AG1280" i="4" s="1"/>
  <c r="AC1198" i="4"/>
  <c r="AC1280" i="4" s="1"/>
  <c r="AD1198" i="4"/>
  <c r="AD1280" i="4" s="1"/>
  <c r="AI1198" i="4"/>
  <c r="AI1280" i="4" s="1"/>
  <c r="AE1198" i="4"/>
  <c r="AE1280" i="4" s="1"/>
  <c r="AK1196" i="4"/>
  <c r="AK1278" i="4" s="1"/>
  <c r="AC1165" i="4"/>
  <c r="AG1277" i="4"/>
  <c r="AK1165" i="4"/>
  <c r="AH1198" i="4"/>
  <c r="AH1280" i="4" s="1"/>
  <c r="V1288" i="4"/>
  <c r="AD1288" i="4"/>
  <c r="M1308" i="4"/>
  <c r="V1227" i="4"/>
  <c r="V1309" i="4" s="1"/>
  <c r="Q1308" i="4"/>
  <c r="Z1227" i="4"/>
  <c r="Z1309" i="4" s="1"/>
  <c r="X1227" i="4"/>
  <c r="X1309" i="4" s="1"/>
  <c r="U1308" i="4"/>
  <c r="AD1227" i="4"/>
  <c r="AD1309" i="4" s="1"/>
  <c r="V1228" i="4"/>
  <c r="V1310" i="4" s="1"/>
  <c r="Y1308" i="4"/>
  <c r="AH1227" i="4"/>
  <c r="AH1309" i="4" s="1"/>
  <c r="AK1308" i="4"/>
  <c r="AK1229" i="4"/>
  <c r="AK1311" i="4" s="1"/>
  <c r="L1313" i="4"/>
  <c r="U1232" i="4"/>
  <c r="U1314" i="4" s="1"/>
  <c r="P1313" i="4"/>
  <c r="Y1232" i="4"/>
  <c r="Y1314" i="4" s="1"/>
  <c r="P1211" i="4"/>
  <c r="T1313" i="4"/>
  <c r="AJ1233" i="4"/>
  <c r="AJ1315" i="4" s="1"/>
  <c r="AF1233" i="4"/>
  <c r="AF1315" i="4" s="1"/>
  <c r="AB1233" i="4"/>
  <c r="AB1315" i="4" s="1"/>
  <c r="X1233" i="4"/>
  <c r="X1315" i="4" s="1"/>
  <c r="T1233" i="4"/>
  <c r="T1315" i="4" s="1"/>
  <c r="AI1233" i="4"/>
  <c r="AI1315" i="4" s="1"/>
  <c r="AE1233" i="4"/>
  <c r="AE1315" i="4" s="1"/>
  <c r="AA1233" i="4"/>
  <c r="AA1315" i="4" s="1"/>
  <c r="W1233" i="4"/>
  <c r="W1315" i="4" s="1"/>
  <c r="AC1232" i="4"/>
  <c r="AC1314" i="4" s="1"/>
  <c r="AG1233" i="4"/>
  <c r="AG1315" i="4" s="1"/>
  <c r="Y1233" i="4"/>
  <c r="Y1315" i="4" s="1"/>
  <c r="AD1233" i="4"/>
  <c r="AD1315" i="4" s="1"/>
  <c r="V1233" i="4"/>
  <c r="V1315" i="4" s="1"/>
  <c r="AK1233" i="4"/>
  <c r="AK1315" i="4" s="1"/>
  <c r="U1233" i="4"/>
  <c r="U1315" i="4" s="1"/>
  <c r="AH1233" i="4"/>
  <c r="AH1315" i="4" s="1"/>
  <c r="AC1233" i="4"/>
  <c r="AC1315" i="4" s="1"/>
  <c r="AG1232" i="4"/>
  <c r="X1211" i="4"/>
  <c r="AE1232" i="4"/>
  <c r="AH1234" i="4"/>
  <c r="AD1234" i="4"/>
  <c r="AK1234" i="4"/>
  <c r="AG1234" i="4"/>
  <c r="AC1234" i="4"/>
  <c r="AK1232" i="4"/>
  <c r="AK1314" i="4" s="1"/>
  <c r="AE1234" i="4"/>
  <c r="AJ1234" i="4"/>
  <c r="AB1234" i="4"/>
  <c r="AI1234" i="4"/>
  <c r="AF1313" i="4"/>
  <c r="AF1211" i="4"/>
  <c r="AJ1313" i="4"/>
  <c r="AF1234" i="4"/>
  <c r="M1080" i="4"/>
  <c r="Q1080" i="4"/>
  <c r="U1080" i="4"/>
  <c r="Y1080" i="4"/>
  <c r="AC1080" i="4"/>
  <c r="AG1080" i="4"/>
  <c r="AK1080" i="4"/>
  <c r="R1080" i="4"/>
  <c r="AH1080" i="4"/>
  <c r="Z1081" i="4"/>
  <c r="AA1196" i="4"/>
  <c r="AA1278" i="4" s="1"/>
  <c r="S1217" i="4"/>
  <c r="W1217" i="4"/>
  <c r="V1217" i="4"/>
  <c r="R1211" i="4"/>
  <c r="R1298" i="4"/>
  <c r="AA1217" i="4"/>
  <c r="AA1299" i="4" s="1"/>
  <c r="Z1217" i="4"/>
  <c r="V1298" i="4"/>
  <c r="V1211" i="4"/>
  <c r="AK1218" i="4"/>
  <c r="AK1300" i="4" s="1"/>
  <c r="AC1218" i="4"/>
  <c r="AC1300" i="4" s="1"/>
  <c r="AE1217" i="4"/>
  <c r="AE1299" i="4" s="1"/>
  <c r="AJ1218" i="4"/>
  <c r="AJ1300" i="4" s="1"/>
  <c r="AB1218" i="4"/>
  <c r="AB1300" i="4" s="1"/>
  <c r="AD1217" i="4"/>
  <c r="AD1299" i="4" s="1"/>
  <c r="AG1218" i="4"/>
  <c r="AG1300" i="4" s="1"/>
  <c r="AF1218" i="4"/>
  <c r="AF1300" i="4" s="1"/>
  <c r="Y1218" i="4"/>
  <c r="Y1300" i="4" s="1"/>
  <c r="Z1211" i="4"/>
  <c r="AI1217" i="4"/>
  <c r="AD1211" i="4"/>
  <c r="AD1298" i="4"/>
  <c r="AI1219" i="4"/>
  <c r="AH1219" i="4"/>
  <c r="AE1219" i="4"/>
  <c r="AH1211" i="4"/>
  <c r="R1217" i="4"/>
  <c r="X1218" i="4"/>
  <c r="X1300" i="4" s="1"/>
  <c r="AG1227" i="4"/>
  <c r="AG1309" i="4" s="1"/>
  <c r="AC741" i="4"/>
  <c r="V1080" i="4"/>
  <c r="N1081" i="4"/>
  <c r="AD1081" i="4"/>
  <c r="R1252" i="4"/>
  <c r="AE1267" i="4"/>
  <c r="AD1272" i="4"/>
  <c r="AH1217" i="4"/>
  <c r="AD1219" i="4"/>
  <c r="AE1228" i="4"/>
  <c r="AE1310" i="4" s="1"/>
  <c r="AB1232" i="4"/>
  <c r="AB1314" i="4" s="1"/>
  <c r="AA1237" i="4"/>
  <c r="AA1319" i="4" s="1"/>
  <c r="AG1238" i="4"/>
  <c r="AG1320" i="4" s="1"/>
  <c r="O1080" i="4"/>
  <c r="S1080" i="4"/>
  <c r="W1080" i="4"/>
  <c r="AA1080" i="4"/>
  <c r="AE1080" i="4"/>
  <c r="AI1080" i="4"/>
  <c r="O1081" i="4"/>
  <c r="S1081" i="4"/>
  <c r="W1081" i="4"/>
  <c r="AA1081" i="4"/>
  <c r="AE1081" i="4"/>
  <c r="AI1081" i="4"/>
  <c r="K1165" i="4"/>
  <c r="O1165" i="4"/>
  <c r="S1252" i="4"/>
  <c r="S1165" i="4"/>
  <c r="W1165" i="4"/>
  <c r="AA1165" i="4"/>
  <c r="AE1165" i="4"/>
  <c r="AE1252" i="4"/>
  <c r="AI1165" i="4"/>
  <c r="T1171" i="4"/>
  <c r="AB1171" i="4"/>
  <c r="AB1253" i="4" s="1"/>
  <c r="AJ1171" i="4"/>
  <c r="Z1172" i="4"/>
  <c r="Z1254" i="4" s="1"/>
  <c r="AH1172" i="4"/>
  <c r="AH1254" i="4" s="1"/>
  <c r="AF1173" i="4"/>
  <c r="J1165" i="4"/>
  <c r="N1165" i="4"/>
  <c r="V1257" i="4"/>
  <c r="V1165" i="4"/>
  <c r="Z1165" i="4"/>
  <c r="AD1165" i="4"/>
  <c r="AD1257" i="4"/>
  <c r="AH1165" i="4"/>
  <c r="R1176" i="4"/>
  <c r="Z1176" i="4"/>
  <c r="Z1258" i="4" s="1"/>
  <c r="AH1176" i="4"/>
  <c r="X1177" i="4"/>
  <c r="X1259" i="4" s="1"/>
  <c r="AF1177" i="4"/>
  <c r="AF1259" i="4" s="1"/>
  <c r="AD1178" i="4"/>
  <c r="U1262" i="4"/>
  <c r="Y1262" i="4"/>
  <c r="AG1262" i="4"/>
  <c r="AK1262" i="4"/>
  <c r="Y1181" i="4"/>
  <c r="AG1181" i="4"/>
  <c r="AG1263" i="4" s="1"/>
  <c r="W1182" i="4"/>
  <c r="W1264" i="4" s="1"/>
  <c r="AE1182" i="4"/>
  <c r="AE1264" i="4" s="1"/>
  <c r="AC1183" i="4"/>
  <c r="AK1183" i="4"/>
  <c r="P1267" i="4"/>
  <c r="T1267" i="4"/>
  <c r="AK1187" i="4"/>
  <c r="AK1269" i="4" s="1"/>
  <c r="AG1187" i="4"/>
  <c r="AG1269" i="4" s="1"/>
  <c r="AC1187" i="4"/>
  <c r="AC1269" i="4" s="1"/>
  <c r="Y1187" i="4"/>
  <c r="Y1269" i="4" s="1"/>
  <c r="U1187" i="4"/>
  <c r="U1269" i="4" s="1"/>
  <c r="AJ1187" i="4"/>
  <c r="AJ1269" i="4" s="1"/>
  <c r="AF1187" i="4"/>
  <c r="AF1269" i="4" s="1"/>
  <c r="AB1187" i="4"/>
  <c r="AB1269" i="4" s="1"/>
  <c r="X1187" i="4"/>
  <c r="X1269" i="4" s="1"/>
  <c r="T1187" i="4"/>
  <c r="T1269" i="4" s="1"/>
  <c r="AH1188" i="4"/>
  <c r="AD1188" i="4"/>
  <c r="AK1188" i="4"/>
  <c r="AF1188" i="4"/>
  <c r="AJ1188" i="4"/>
  <c r="AE1188" i="4"/>
  <c r="AF1267" i="4"/>
  <c r="AJ1267" i="4"/>
  <c r="X1186" i="4"/>
  <c r="X1268" i="4" s="1"/>
  <c r="AF1186" i="4"/>
  <c r="V1187" i="4"/>
  <c r="V1269" i="4" s="1"/>
  <c r="AD1187" i="4"/>
  <c r="AD1269" i="4" s="1"/>
  <c r="AB1188" i="4"/>
  <c r="S1196" i="4"/>
  <c r="AI1196" i="4"/>
  <c r="AI1278" i="4" s="1"/>
  <c r="W1208" i="4"/>
  <c r="W1290" i="4" s="1"/>
  <c r="AC1209" i="4"/>
  <c r="T1217" i="4"/>
  <c r="X1217" i="4"/>
  <c r="S1298" i="4"/>
  <c r="AB1217" i="4"/>
  <c r="AB1299" i="4" s="1"/>
  <c r="W1298" i="4"/>
  <c r="AF1217" i="4"/>
  <c r="AF1299" i="4" s="1"/>
  <c r="W1211" i="4"/>
  <c r="AJ1217" i="4"/>
  <c r="AE1298" i="4"/>
  <c r="AE1211" i="4"/>
  <c r="V1242" i="4"/>
  <c r="U1242" i="4"/>
  <c r="Z1242" i="4"/>
  <c r="U1323" i="4"/>
  <c r="AJ1243" i="4"/>
  <c r="AJ1325" i="4" s="1"/>
  <c r="AB1243" i="4"/>
  <c r="AB1325" i="4" s="1"/>
  <c r="AD1242" i="4"/>
  <c r="AI1243" i="4"/>
  <c r="AI1325" i="4" s="1"/>
  <c r="AA1243" i="4"/>
  <c r="AA1325" i="4" s="1"/>
  <c r="AC1242" i="4"/>
  <c r="AC1324" i="4" s="1"/>
  <c r="AF1243" i="4"/>
  <c r="AF1325" i="4" s="1"/>
  <c r="X1243" i="4"/>
  <c r="X1325" i="4" s="1"/>
  <c r="AH1242" i="4"/>
  <c r="AC1323" i="4"/>
  <c r="AH1244" i="4"/>
  <c r="AG1244" i="4"/>
  <c r="AK1242" i="4"/>
  <c r="AK1324" i="4" s="1"/>
  <c r="AD1244" i="4"/>
  <c r="AG1323" i="4"/>
  <c r="AK1323" i="4"/>
  <c r="W1243" i="4"/>
  <c r="W1325" i="4" s="1"/>
  <c r="U1171" i="4"/>
  <c r="Y1171" i="4"/>
  <c r="Y1253" i="4" s="1"/>
  <c r="T1252" i="4"/>
  <c r="AJ1172" i="4"/>
  <c r="AJ1254" i="4" s="1"/>
  <c r="AF1172" i="4"/>
  <c r="AF1254" i="4" s="1"/>
  <c r="AB1172" i="4"/>
  <c r="AB1254" i="4" s="1"/>
  <c r="X1172" i="4"/>
  <c r="X1254" i="4" s="1"/>
  <c r="T1172" i="4"/>
  <c r="T1254" i="4" s="1"/>
  <c r="AI1172" i="4"/>
  <c r="AI1254" i="4" s="1"/>
  <c r="AE1172" i="4"/>
  <c r="AE1254" i="4" s="1"/>
  <c r="AA1172" i="4"/>
  <c r="AA1254" i="4" s="1"/>
  <c r="W1172" i="4"/>
  <c r="W1254" i="4" s="1"/>
  <c r="AC1171" i="4"/>
  <c r="AC1253" i="4" s="1"/>
  <c r="AG1171" i="4"/>
  <c r="AH1173" i="4"/>
  <c r="AD1173" i="4"/>
  <c r="AK1173" i="4"/>
  <c r="AG1173" i="4"/>
  <c r="AC1173" i="4"/>
  <c r="AK1171" i="4"/>
  <c r="AK1253" i="4" s="1"/>
  <c r="W1171" i="4"/>
  <c r="AE1171" i="4"/>
  <c r="U1172" i="4"/>
  <c r="U1254" i="4" s="1"/>
  <c r="AC1172" i="4"/>
  <c r="AC1254" i="4" s="1"/>
  <c r="AK1172" i="4"/>
  <c r="AK1254" i="4" s="1"/>
  <c r="AI1173" i="4"/>
  <c r="T1176" i="4"/>
  <c r="X1176" i="4"/>
  <c r="AB1176" i="4"/>
  <c r="AB1258" i="4" s="1"/>
  <c r="S1257" i="4"/>
  <c r="AF1176" i="4"/>
  <c r="AJ1176" i="4"/>
  <c r="AE1257" i="4"/>
  <c r="S1176" i="4"/>
  <c r="AA1176" i="4"/>
  <c r="AA1258" i="4" s="1"/>
  <c r="AI1176" i="4"/>
  <c r="Y1177" i="4"/>
  <c r="Y1259" i="4" s="1"/>
  <c r="AG1177" i="4"/>
  <c r="AG1259" i="4" s="1"/>
  <c r="AE1178" i="4"/>
  <c r="S1181" i="4"/>
  <c r="W1181" i="4"/>
  <c r="AA1181" i="4"/>
  <c r="AA1263" i="4" s="1"/>
  <c r="V1262" i="4"/>
  <c r="AE1181" i="4"/>
  <c r="AE1263" i="4" s="1"/>
  <c r="Z1262" i="4"/>
  <c r="AI1181" i="4"/>
  <c r="AI1263" i="4" s="1"/>
  <c r="AD1262" i="4"/>
  <c r="AH1262" i="4"/>
  <c r="AH1181" i="4"/>
  <c r="AH1263" i="4" s="1"/>
  <c r="X1182" i="4"/>
  <c r="X1264" i="4" s="1"/>
  <c r="AF1182" i="4"/>
  <c r="AF1264" i="4" s="1"/>
  <c r="AD1183" i="4"/>
  <c r="R1186" i="4"/>
  <c r="V1186" i="4"/>
  <c r="Z1186" i="4"/>
  <c r="Z1268" i="4" s="1"/>
  <c r="Q1267" i="4"/>
  <c r="U1267" i="4"/>
  <c r="AD1186" i="4"/>
  <c r="AD1268" i="4" s="1"/>
  <c r="AH1186" i="4"/>
  <c r="AG1267" i="4"/>
  <c r="Y1186" i="4"/>
  <c r="Y1268" i="4" s="1"/>
  <c r="AG1186" i="4"/>
  <c r="W1187" i="4"/>
  <c r="W1269" i="4" s="1"/>
  <c r="AE1187" i="4"/>
  <c r="AE1269" i="4" s="1"/>
  <c r="AC1188" i="4"/>
  <c r="S1191" i="4"/>
  <c r="R1272" i="4"/>
  <c r="Z1191" i="4"/>
  <c r="Z1273" i="4" s="1"/>
  <c r="AE1191" i="4"/>
  <c r="AE1273" i="4" s="1"/>
  <c r="V1272" i="4"/>
  <c r="V1192" i="4"/>
  <c r="V1274" i="4" s="1"/>
  <c r="AD1191" i="4"/>
  <c r="AD1273" i="4" s="1"/>
  <c r="Z1272" i="4"/>
  <c r="AI1191" i="4"/>
  <c r="AI1273" i="4" s="1"/>
  <c r="R1191" i="4"/>
  <c r="AB1191" i="4"/>
  <c r="AB1273" i="4" s="1"/>
  <c r="AF1192" i="4"/>
  <c r="AF1274" i="4" s="1"/>
  <c r="AF1193" i="4"/>
  <c r="AF1275" i="4" s="1"/>
  <c r="S1201" i="4"/>
  <c r="W1201" i="4"/>
  <c r="V1201" i="4"/>
  <c r="AA1201" i="4"/>
  <c r="AA1283" i="4" s="1"/>
  <c r="AE1201" i="4"/>
  <c r="AJ1202" i="4"/>
  <c r="AJ1284" i="4" s="1"/>
  <c r="AB1202" i="4"/>
  <c r="AB1284" i="4" s="1"/>
  <c r="AD1201" i="4"/>
  <c r="AI1201" i="4"/>
  <c r="AD1282" i="4"/>
  <c r="AH1203" i="4"/>
  <c r="R1201" i="4"/>
  <c r="AH1201" i="4"/>
  <c r="AA1202" i="4"/>
  <c r="AA1284" i="4" s="1"/>
  <c r="AG1203" i="4"/>
  <c r="AB1207" i="4"/>
  <c r="AB1289" i="4" s="1"/>
  <c r="S1211" i="4"/>
  <c r="AI1211" i="4"/>
  <c r="I1211" i="4"/>
  <c r="M1303" i="4"/>
  <c r="M1211" i="4"/>
  <c r="V1222" i="4"/>
  <c r="V1304" i="4" s="1"/>
  <c r="U1222" i="4"/>
  <c r="U1304" i="4" s="1"/>
  <c r="Q1303" i="4"/>
  <c r="U1303" i="4"/>
  <c r="AJ1223" i="4"/>
  <c r="AJ1305" i="4" s="1"/>
  <c r="AB1223" i="4"/>
  <c r="AB1305" i="4" s="1"/>
  <c r="AD1222" i="4"/>
  <c r="AI1223" i="4"/>
  <c r="AI1305" i="4" s="1"/>
  <c r="AA1223" i="4"/>
  <c r="AA1305" i="4" s="1"/>
  <c r="AC1222" i="4"/>
  <c r="AC1304" i="4" s="1"/>
  <c r="AC1303" i="4"/>
  <c r="AH1224" i="4"/>
  <c r="AG1224" i="4"/>
  <c r="AK1222" i="4"/>
  <c r="AK1304" i="4" s="1"/>
  <c r="AG1222" i="4"/>
  <c r="X1223" i="4"/>
  <c r="X1305" i="4" s="1"/>
  <c r="AD1224" i="4"/>
  <c r="S1242" i="4"/>
  <c r="W1242" i="4"/>
  <c r="AA1242" i="4"/>
  <c r="AA1324" i="4" s="1"/>
  <c r="AE1242" i="4"/>
  <c r="AI1242" i="4"/>
  <c r="AD1323" i="4"/>
  <c r="Y1242" i="4"/>
  <c r="AE1243" i="4"/>
  <c r="AE1325" i="4" s="1"/>
  <c r="R1257" i="4"/>
  <c r="W1262" i="4"/>
  <c r="W1272" i="4"/>
  <c r="S1282" i="4"/>
  <c r="V1207" i="4"/>
  <c r="U1207" i="4"/>
  <c r="Z1207" i="4"/>
  <c r="U1288" i="4"/>
  <c r="AD1207" i="4"/>
  <c r="AD1289" i="4" s="1"/>
  <c r="AI1208" i="4"/>
  <c r="AI1290" i="4" s="1"/>
  <c r="AA1208" i="4"/>
  <c r="AA1290" i="4" s="1"/>
  <c r="AC1207" i="4"/>
  <c r="AC1289" i="4" s="1"/>
  <c r="AH1207" i="4"/>
  <c r="AC1288" i="4"/>
  <c r="AG1209" i="4"/>
  <c r="AK1207" i="4"/>
  <c r="AK1289" i="4" s="1"/>
  <c r="AG1207" i="4"/>
  <c r="AE1208" i="4"/>
  <c r="AE1290" i="4" s="1"/>
  <c r="AK1209" i="4"/>
  <c r="J1211" i="4"/>
  <c r="S1222" i="4"/>
  <c r="N1303" i="4"/>
  <c r="N1211" i="4"/>
  <c r="W1222" i="4"/>
  <c r="W1304" i="4" s="1"/>
  <c r="R1303" i="4"/>
  <c r="AA1222" i="4"/>
  <c r="AA1304" i="4" s="1"/>
  <c r="AE1222" i="4"/>
  <c r="AI1222" i="4"/>
  <c r="AD1303" i="4"/>
  <c r="R1222" i="4"/>
  <c r="AH1222" i="4"/>
  <c r="AE1223" i="4"/>
  <c r="AE1305" i="4" s="1"/>
  <c r="AK1224" i="4"/>
  <c r="U1227" i="4"/>
  <c r="U1309" i="4" s="1"/>
  <c r="L1308" i="4"/>
  <c r="T1227" i="4"/>
  <c r="T1309" i="4" s="1"/>
  <c r="L1211" i="4"/>
  <c r="P1308" i="4"/>
  <c r="T1308" i="4"/>
  <c r="AK1228" i="4"/>
  <c r="AK1310" i="4" s="1"/>
  <c r="AG1228" i="4"/>
  <c r="AG1310" i="4" s="1"/>
  <c r="AC1228" i="4"/>
  <c r="AC1310" i="4" s="1"/>
  <c r="Y1228" i="4"/>
  <c r="Y1310" i="4" s="1"/>
  <c r="U1228" i="4"/>
  <c r="U1310" i="4" s="1"/>
  <c r="AJ1228" i="4"/>
  <c r="AJ1310" i="4" s="1"/>
  <c r="AF1228" i="4"/>
  <c r="AF1310" i="4" s="1"/>
  <c r="AB1228" i="4"/>
  <c r="AB1310" i="4" s="1"/>
  <c r="X1228" i="4"/>
  <c r="X1310" i="4" s="1"/>
  <c r="T1228" i="4"/>
  <c r="T1310" i="4" s="1"/>
  <c r="AI1228" i="4"/>
  <c r="AI1310" i="4" s="1"/>
  <c r="AA1228" i="4"/>
  <c r="AA1310" i="4" s="1"/>
  <c r="AC1227" i="4"/>
  <c r="AC1309" i="4" s="1"/>
  <c r="AH1228" i="4"/>
  <c r="AH1310" i="4" s="1"/>
  <c r="Z1228" i="4"/>
  <c r="Z1310" i="4" s="1"/>
  <c r="AB1227" i="4"/>
  <c r="AB1309" i="4" s="1"/>
  <c r="T1211" i="4"/>
  <c r="X1308" i="4"/>
  <c r="AB1308" i="4"/>
  <c r="AI1229" i="4"/>
  <c r="AI1311" i="4" s="1"/>
  <c r="AE1229" i="4"/>
  <c r="AE1311" i="4" s="1"/>
  <c r="AH1229" i="4"/>
  <c r="AH1311" i="4" s="1"/>
  <c r="AD1229" i="4"/>
  <c r="AD1311" i="4" s="1"/>
  <c r="AG1229" i="4"/>
  <c r="AG1311" i="4" s="1"/>
  <c r="AK1227" i="4"/>
  <c r="AK1309" i="4" s="1"/>
  <c r="AF1229" i="4"/>
  <c r="AF1311" i="4" s="1"/>
  <c r="AJ1227" i="4"/>
  <c r="AJ1309" i="4" s="1"/>
  <c r="AB1211" i="4"/>
  <c r="AF1308" i="4"/>
  <c r="AJ1308" i="4"/>
  <c r="AJ1211" i="4"/>
  <c r="AF1227" i="4"/>
  <c r="AF1309" i="4" s="1"/>
  <c r="AD1228" i="4"/>
  <c r="AD1310" i="4" s="1"/>
  <c r="AJ1229" i="4"/>
  <c r="AJ1311" i="4" s="1"/>
  <c r="K1313" i="4"/>
  <c r="S1232" i="4"/>
  <c r="S1314" i="4" s="1"/>
  <c r="O1313" i="4"/>
  <c r="O1211" i="4"/>
  <c r="X1232" i="4"/>
  <c r="X1314" i="4" s="1"/>
  <c r="S1313" i="4"/>
  <c r="AA1232" i="4"/>
  <c r="AA1314" i="4" s="1"/>
  <c r="AF1232" i="4"/>
  <c r="AI1232" i="4"/>
  <c r="AE1313" i="4"/>
  <c r="AI1313" i="4"/>
  <c r="W1232" i="4"/>
  <c r="W1314" i="4" s="1"/>
  <c r="N1318" i="4"/>
  <c r="W1237" i="4"/>
  <c r="W1319" i="4" s="1"/>
  <c r="V1237" i="4"/>
  <c r="V1319" i="4" s="1"/>
  <c r="R1318" i="4"/>
  <c r="V1318" i="4"/>
  <c r="AK1238" i="4"/>
  <c r="AK1320" i="4" s="1"/>
  <c r="AC1238" i="4"/>
  <c r="AC1320" i="4" s="1"/>
  <c r="AE1237" i="4"/>
  <c r="AE1319" i="4" s="1"/>
  <c r="AJ1238" i="4"/>
  <c r="AJ1320" i="4" s="1"/>
  <c r="AB1238" i="4"/>
  <c r="AB1320" i="4" s="1"/>
  <c r="AD1237" i="4"/>
  <c r="AD1319" i="4" s="1"/>
  <c r="Z1318" i="4"/>
  <c r="AI1239" i="4"/>
  <c r="AI1321" i="4" s="1"/>
  <c r="AD1318" i="4"/>
  <c r="AH1239" i="4"/>
  <c r="AH1321" i="4" s="1"/>
  <c r="AH1318" i="4"/>
  <c r="R1237" i="4"/>
  <c r="AH1237" i="4"/>
  <c r="AH1319" i="4" s="1"/>
  <c r="X1238" i="4"/>
  <c r="X1320" i="4" s="1"/>
  <c r="AD1239" i="4"/>
  <c r="AD1321" i="4" s="1"/>
  <c r="AG1242" i="4"/>
  <c r="AC1244" i="4"/>
  <c r="AH1323" i="4"/>
  <c r="AF1257" i="4"/>
  <c r="V1177" i="4"/>
  <c r="V1259" i="4" s="1"/>
  <c r="Z1177" i="4"/>
  <c r="Z1259" i="4" s="1"/>
  <c r="AD1177" i="4"/>
  <c r="AD1259" i="4" s="1"/>
  <c r="AH1177" i="4"/>
  <c r="AH1259" i="4" s="1"/>
  <c r="AB1178" i="4"/>
  <c r="AF1178" i="4"/>
  <c r="AJ1178" i="4"/>
  <c r="S1262" i="4"/>
  <c r="AE1262" i="4"/>
  <c r="AI1262" i="4"/>
  <c r="U1182" i="4"/>
  <c r="U1264" i="4" s="1"/>
  <c r="Y1182" i="4"/>
  <c r="Y1264" i="4" s="1"/>
  <c r="AC1182" i="4"/>
  <c r="AC1264" i="4" s="1"/>
  <c r="AG1182" i="4"/>
  <c r="AG1264" i="4" s="1"/>
  <c r="AK1182" i="4"/>
  <c r="AK1264" i="4" s="1"/>
  <c r="AE1183" i="4"/>
  <c r="R1267" i="4"/>
  <c r="AD1267" i="4"/>
  <c r="AH1267" i="4"/>
  <c r="S1272" i="4"/>
  <c r="AA1272" i="4"/>
  <c r="AB1192" i="4"/>
  <c r="AB1274" i="4" s="1"/>
  <c r="AB1193" i="4"/>
  <c r="AB1275" i="4" s="1"/>
  <c r="V1277" i="4"/>
  <c r="AD1277" i="4"/>
  <c r="W1196" i="4"/>
  <c r="AI1203" i="4"/>
  <c r="S1207" i="4"/>
  <c r="AA1207" i="4"/>
  <c r="AA1289" i="4" s="1"/>
  <c r="AI1207" i="4"/>
  <c r="AF1298" i="4"/>
  <c r="V1308" i="4"/>
  <c r="Z1308" i="4"/>
  <c r="X1318" i="4"/>
  <c r="Q1252" i="4"/>
  <c r="Z1277" i="4"/>
  <c r="U1257" i="4"/>
  <c r="U1176" i="4"/>
  <c r="Y1176" i="4"/>
  <c r="AC1176" i="4"/>
  <c r="AC1258" i="4" s="1"/>
  <c r="AG1176" i="4"/>
  <c r="AK1176" i="4"/>
  <c r="AK1258" i="4" s="1"/>
  <c r="W1177" i="4"/>
  <c r="W1259" i="4" s="1"/>
  <c r="AA1177" i="4"/>
  <c r="AA1259" i="4" s="1"/>
  <c r="AE1177" i="4"/>
  <c r="AE1259" i="4" s="1"/>
  <c r="AI1177" i="4"/>
  <c r="AI1259" i="4" s="1"/>
  <c r="AC1178" i="4"/>
  <c r="AG1178" i="4"/>
  <c r="AK1178" i="4"/>
  <c r="X1262" i="4"/>
  <c r="AF1262" i="4"/>
  <c r="AJ1262" i="4"/>
  <c r="X1181" i="4"/>
  <c r="AB1181" i="4"/>
  <c r="AB1263" i="4" s="1"/>
  <c r="AF1181" i="4"/>
  <c r="AF1263" i="4" s="1"/>
  <c r="V1182" i="4"/>
  <c r="V1264" i="4" s="1"/>
  <c r="Z1182" i="4"/>
  <c r="Z1264" i="4" s="1"/>
  <c r="AD1182" i="4"/>
  <c r="AD1264" i="4" s="1"/>
  <c r="AH1182" i="4"/>
  <c r="AH1264" i="4" s="1"/>
  <c r="AB1183" i="4"/>
  <c r="AF1183" i="4"/>
  <c r="AJ1183" i="4"/>
  <c r="S1267" i="4"/>
  <c r="AI1267" i="4"/>
  <c r="W1186" i="4"/>
  <c r="W1268" i="4" s="1"/>
  <c r="AA1186" i="4"/>
  <c r="AA1268" i="4" s="1"/>
  <c r="AE1186" i="4"/>
  <c r="U1191" i="4"/>
  <c r="P1272" i="4"/>
  <c r="Y1191" i="4"/>
  <c r="Y1273" i="4" s="1"/>
  <c r="T1272" i="4"/>
  <c r="AI1192" i="4"/>
  <c r="AI1274" i="4" s="1"/>
  <c r="AE1192" i="4"/>
  <c r="AE1274" i="4" s="1"/>
  <c r="AA1192" i="4"/>
  <c r="AA1274" i="4" s="1"/>
  <c r="W1192" i="4"/>
  <c r="W1274" i="4" s="1"/>
  <c r="AC1191" i="4"/>
  <c r="AC1273" i="4" s="1"/>
  <c r="X1272" i="4"/>
  <c r="AG1191" i="4"/>
  <c r="AG1273" i="4" s="1"/>
  <c r="AB1272" i="4"/>
  <c r="AK1193" i="4"/>
  <c r="AK1275" i="4" s="1"/>
  <c r="AG1193" i="4"/>
  <c r="AG1275" i="4" s="1"/>
  <c r="AC1193" i="4"/>
  <c r="AC1275" i="4" s="1"/>
  <c r="AK1191" i="4"/>
  <c r="AK1273" i="4" s="1"/>
  <c r="T1191" i="4"/>
  <c r="AJ1191" i="4"/>
  <c r="AJ1273" i="4" s="1"/>
  <c r="X1192" i="4"/>
  <c r="X1274" i="4" s="1"/>
  <c r="AC1192" i="4"/>
  <c r="AC1274" i="4" s="1"/>
  <c r="AH1192" i="4"/>
  <c r="AH1274" i="4" s="1"/>
  <c r="AD1193" i="4"/>
  <c r="AD1275" i="4" s="1"/>
  <c r="AI1193" i="4"/>
  <c r="AI1275" i="4" s="1"/>
  <c r="T1196" i="4"/>
  <c r="X1196" i="4"/>
  <c r="AB1196" i="4"/>
  <c r="AB1278" i="4" s="1"/>
  <c r="W1277" i="4"/>
  <c r="AF1196" i="4"/>
  <c r="AF1278" i="4" s="1"/>
  <c r="AJ1196" i="4"/>
  <c r="AJ1278" i="4" s="1"/>
  <c r="AE1277" i="4"/>
  <c r="U1282" i="4"/>
  <c r="Y1201" i="4"/>
  <c r="AG1201" i="4"/>
  <c r="W1202" i="4"/>
  <c r="W1284" i="4" s="1"/>
  <c r="AE1202" i="4"/>
  <c r="AE1284" i="4" s="1"/>
  <c r="AC1203" i="4"/>
  <c r="AK1203" i="4"/>
  <c r="T1288" i="4"/>
  <c r="AK1208" i="4"/>
  <c r="AK1290" i="4" s="1"/>
  <c r="AG1208" i="4"/>
  <c r="AG1290" i="4" s="1"/>
  <c r="AC1208" i="4"/>
  <c r="AC1290" i="4" s="1"/>
  <c r="Y1208" i="4"/>
  <c r="Y1290" i="4" s="1"/>
  <c r="U1208" i="4"/>
  <c r="U1290" i="4" s="1"/>
  <c r="AJ1208" i="4"/>
  <c r="AJ1290" i="4" s="1"/>
  <c r="AF1208" i="4"/>
  <c r="AF1290" i="4" s="1"/>
  <c r="AB1208" i="4"/>
  <c r="AB1290" i="4" s="1"/>
  <c r="X1208" i="4"/>
  <c r="X1290" i="4" s="1"/>
  <c r="T1208" i="4"/>
  <c r="T1290" i="4" s="1"/>
  <c r="AI1209" i="4"/>
  <c r="AE1209" i="4"/>
  <c r="AH1209" i="4"/>
  <c r="AD1209" i="4"/>
  <c r="X1207" i="4"/>
  <c r="AF1207" i="4"/>
  <c r="V1208" i="4"/>
  <c r="V1290" i="4" s="1"/>
  <c r="AD1208" i="4"/>
  <c r="AD1290" i="4" s="1"/>
  <c r="AB1209" i="4"/>
  <c r="AJ1209" i="4"/>
  <c r="U1217" i="4"/>
  <c r="Y1217" i="4"/>
  <c r="AI1218" i="4"/>
  <c r="AI1300" i="4" s="1"/>
  <c r="AG1217" i="4"/>
  <c r="AG1299" i="4" s="1"/>
  <c r="AC1211" i="4"/>
  <c r="AC1293" i="4" s="1"/>
  <c r="AG1211" i="4"/>
  <c r="AK1211" i="4"/>
  <c r="T1222" i="4"/>
  <c r="T1304" i="4" s="1"/>
  <c r="AF1222" i="4"/>
  <c r="AI1224" i="4"/>
  <c r="R1232" i="4"/>
  <c r="R1314" i="4" s="1"/>
  <c r="N1313" i="4"/>
  <c r="U1237" i="4"/>
  <c r="U1319" i="4" s="1"/>
  <c r="AI1244" i="4"/>
  <c r="AA1277" i="4"/>
  <c r="Q1272" i="4"/>
  <c r="U1272" i="4"/>
  <c r="Y1272" i="4"/>
  <c r="X1277" i="4"/>
  <c r="AB1277" i="4"/>
  <c r="AF1277" i="4"/>
  <c r="V1197" i="4"/>
  <c r="V1279" i="4" s="1"/>
  <c r="Z1197" i="4"/>
  <c r="Z1279" i="4" s="1"/>
  <c r="AD1197" i="4"/>
  <c r="AD1279" i="4" s="1"/>
  <c r="AH1197" i="4"/>
  <c r="AH1279" i="4" s="1"/>
  <c r="AB1198" i="4"/>
  <c r="AB1280" i="4" s="1"/>
  <c r="AF1198" i="4"/>
  <c r="AF1280" i="4" s="1"/>
  <c r="AJ1198" i="4"/>
  <c r="AJ1280" i="4" s="1"/>
  <c r="U1202" i="4"/>
  <c r="U1284" i="4" s="1"/>
  <c r="Y1202" i="4"/>
  <c r="Y1284" i="4" s="1"/>
  <c r="AC1202" i="4"/>
  <c r="AC1284" i="4" s="1"/>
  <c r="AG1202" i="4"/>
  <c r="AG1284" i="4" s="1"/>
  <c r="AK1202" i="4"/>
  <c r="AK1284" i="4" s="1"/>
  <c r="AE1203" i="4"/>
  <c r="Q1211" i="4"/>
  <c r="U1211" i="4"/>
  <c r="Y1211" i="4"/>
  <c r="T1298" i="4"/>
  <c r="X1298" i="4"/>
  <c r="V1218" i="4"/>
  <c r="V1300" i="4" s="1"/>
  <c r="Z1218" i="4"/>
  <c r="Z1300" i="4" s="1"/>
  <c r="AD1218" i="4"/>
  <c r="AD1300" i="4" s="1"/>
  <c r="AH1218" i="4"/>
  <c r="AH1300" i="4" s="1"/>
  <c r="AB1219" i="4"/>
  <c r="AF1219" i="4"/>
  <c r="AJ1219" i="4"/>
  <c r="O1303" i="4"/>
  <c r="S1303" i="4"/>
  <c r="U1223" i="4"/>
  <c r="U1305" i="4" s="1"/>
  <c r="Y1223" i="4"/>
  <c r="Y1305" i="4" s="1"/>
  <c r="AC1223" i="4"/>
  <c r="AC1305" i="4" s="1"/>
  <c r="AG1223" i="4"/>
  <c r="AG1305" i="4" s="1"/>
  <c r="AK1223" i="4"/>
  <c r="AK1305" i="4" s="1"/>
  <c r="AE1224" i="4"/>
  <c r="J1308" i="4"/>
  <c r="N1308" i="4"/>
  <c r="R1308" i="4"/>
  <c r="AD1308" i="4"/>
  <c r="AH1308" i="4"/>
  <c r="M1313" i="4"/>
  <c r="Q1313" i="4"/>
  <c r="AG1313" i="4"/>
  <c r="AK1313" i="4"/>
  <c r="P1318" i="4"/>
  <c r="AB1318" i="4"/>
  <c r="AF1318" i="4"/>
  <c r="AJ1318" i="4"/>
  <c r="V1238" i="4"/>
  <c r="V1320" i="4" s="1"/>
  <c r="Z1238" i="4"/>
  <c r="Z1320" i="4" s="1"/>
  <c r="AD1238" i="4"/>
  <c r="AD1320" i="4" s="1"/>
  <c r="AH1238" i="4"/>
  <c r="AH1320" i="4" s="1"/>
  <c r="AB1239" i="4"/>
  <c r="AB1321" i="4" s="1"/>
  <c r="AF1239" i="4"/>
  <c r="AF1321" i="4" s="1"/>
  <c r="AJ1239" i="4"/>
  <c r="AJ1321" i="4" s="1"/>
  <c r="S1323" i="4"/>
  <c r="AE1323" i="4"/>
  <c r="AI1323" i="4"/>
  <c r="U1243" i="4"/>
  <c r="U1325" i="4" s="1"/>
  <c r="Y1243" i="4"/>
  <c r="Y1325" i="4" s="1"/>
  <c r="AC1243" i="4"/>
  <c r="AC1325" i="4" s="1"/>
  <c r="AG1243" i="4"/>
  <c r="AG1325" i="4" s="1"/>
  <c r="AK1243" i="4"/>
  <c r="AK1325" i="4" s="1"/>
  <c r="AE1244" i="4"/>
  <c r="U1298" i="4"/>
  <c r="J1313" i="4"/>
  <c r="T1201" i="4"/>
  <c r="X1201" i="4"/>
  <c r="AB1201" i="4"/>
  <c r="AB1283" i="4" s="1"/>
  <c r="AF1201" i="4"/>
  <c r="AJ1201" i="4"/>
  <c r="V1202" i="4"/>
  <c r="V1284" i="4" s="1"/>
  <c r="Z1202" i="4"/>
  <c r="Z1284" i="4" s="1"/>
  <c r="AD1202" i="4"/>
  <c r="AD1284" i="4" s="1"/>
  <c r="AH1202" i="4"/>
  <c r="AH1284" i="4" s="1"/>
  <c r="AB1203" i="4"/>
  <c r="AF1203" i="4"/>
  <c r="AJ1203" i="4"/>
  <c r="W1207" i="4"/>
  <c r="AE1207" i="4"/>
  <c r="AC1298" i="4"/>
  <c r="AC1217" i="4"/>
  <c r="AC1299" i="4" s="1"/>
  <c r="AK1217" i="4"/>
  <c r="AK1299" i="4" s="1"/>
  <c r="W1218" i="4"/>
  <c r="W1300" i="4" s="1"/>
  <c r="AA1218" i="4"/>
  <c r="AA1300" i="4" s="1"/>
  <c r="AE1218" i="4"/>
  <c r="AE1300" i="4" s="1"/>
  <c r="AC1219" i="4"/>
  <c r="AG1219" i="4"/>
  <c r="AK1219" i="4"/>
  <c r="P1303" i="4"/>
  <c r="X1222" i="4"/>
  <c r="X1304" i="4" s="1"/>
  <c r="AB1222" i="4"/>
  <c r="AB1304" i="4" s="1"/>
  <c r="AJ1222" i="4"/>
  <c r="V1223" i="4"/>
  <c r="V1305" i="4" s="1"/>
  <c r="Z1223" i="4"/>
  <c r="Z1305" i="4" s="1"/>
  <c r="AD1223" i="4"/>
  <c r="AD1305" i="4" s="1"/>
  <c r="AH1223" i="4"/>
  <c r="AH1305" i="4" s="1"/>
  <c r="AB1224" i="4"/>
  <c r="AF1224" i="4"/>
  <c r="AJ1224" i="4"/>
  <c r="K1308" i="4"/>
  <c r="O1308" i="4"/>
  <c r="S1308" i="4"/>
  <c r="W1308" i="4"/>
  <c r="AA1308" i="4"/>
  <c r="AE1308" i="4"/>
  <c r="AI1308" i="4"/>
  <c r="S1227" i="4"/>
  <c r="S1309" i="4" s="1"/>
  <c r="W1227" i="4"/>
  <c r="W1309" i="4" s="1"/>
  <c r="AA1227" i="4"/>
  <c r="AA1309" i="4" s="1"/>
  <c r="AE1227" i="4"/>
  <c r="AE1309" i="4" s="1"/>
  <c r="AI1227" i="4"/>
  <c r="AI1309" i="4" s="1"/>
  <c r="R1313" i="4"/>
  <c r="AD1313" i="4"/>
  <c r="AH1313" i="4"/>
  <c r="V1232" i="4"/>
  <c r="V1314" i="4" s="1"/>
  <c r="Z1232" i="4"/>
  <c r="Z1314" i="4" s="1"/>
  <c r="AD1232" i="4"/>
  <c r="AH1232" i="4"/>
  <c r="Q1318" i="4"/>
  <c r="U1318" i="4"/>
  <c r="Y1318" i="4"/>
  <c r="AG1318" i="4"/>
  <c r="AK1318" i="4"/>
  <c r="Y1237" i="4"/>
  <c r="Y1319" i="4" s="1"/>
  <c r="AC1237" i="4"/>
  <c r="AC1319" i="4" s="1"/>
  <c r="AG1237" i="4"/>
  <c r="AG1319" i="4" s="1"/>
  <c r="AK1237" i="4"/>
  <c r="AK1319" i="4" s="1"/>
  <c r="W1238" i="4"/>
  <c r="W1320" i="4" s="1"/>
  <c r="AA1238" i="4"/>
  <c r="AA1320" i="4" s="1"/>
  <c r="AE1238" i="4"/>
  <c r="AE1320" i="4" s="1"/>
  <c r="AI1238" i="4"/>
  <c r="AI1320" i="4" s="1"/>
  <c r="AC1239" i="4"/>
  <c r="AC1321" i="4" s="1"/>
  <c r="AG1239" i="4"/>
  <c r="AG1321" i="4" s="1"/>
  <c r="AK1239" i="4"/>
  <c r="AK1321" i="4" s="1"/>
  <c r="AF1323" i="4"/>
  <c r="AJ1323" i="4"/>
  <c r="T1242" i="4"/>
  <c r="X1242" i="4"/>
  <c r="AB1242" i="4"/>
  <c r="AB1324" i="4" s="1"/>
  <c r="AF1242" i="4"/>
  <c r="AJ1242" i="4"/>
  <c r="V1243" i="4"/>
  <c r="V1325" i="4" s="1"/>
  <c r="Z1243" i="4"/>
  <c r="Z1325" i="4" s="1"/>
  <c r="AD1243" i="4"/>
  <c r="AD1325" i="4" s="1"/>
  <c r="AH1243" i="4"/>
  <c r="AH1325" i="4" s="1"/>
  <c r="AB1244" i="4"/>
  <c r="AF1244" i="4"/>
  <c r="AJ1244" i="4"/>
  <c r="R1360" i="4"/>
  <c r="T1356" i="4"/>
  <c r="T1354" i="4"/>
  <c r="Z1377" i="4"/>
  <c r="S1358" i="4"/>
  <c r="W1358" i="4"/>
  <c r="AA1358" i="4"/>
  <c r="AE1358" i="4"/>
  <c r="AI1358" i="4"/>
  <c r="R1367" i="4"/>
  <c r="R1361" i="4"/>
  <c r="V1367" i="4"/>
  <c r="V1361" i="4"/>
  <c r="Z1374" i="4"/>
  <c r="AD419" i="4"/>
  <c r="AB419" i="4"/>
  <c r="AA419" i="4"/>
  <c r="Z419" i="4"/>
  <c r="Y419" i="4"/>
  <c r="AC419" i="4"/>
  <c r="AC421" i="4" s="1"/>
  <c r="AC375" i="3"/>
  <c r="AC400" i="4" s="1"/>
  <c r="AC1384" i="4"/>
  <c r="AC1367" i="4" s="1"/>
  <c r="AC601" i="4"/>
  <c r="AC599" i="4"/>
  <c r="AC1382" i="4"/>
  <c r="AC1355" i="4" s="1"/>
  <c r="AC402" i="4"/>
  <c r="AJ734" i="4"/>
  <c r="AJ729" i="4"/>
  <c r="AK734" i="4"/>
  <c r="AK729" i="4"/>
  <c r="AJ689" i="4"/>
  <c r="AK689" i="4"/>
  <c r="AE517" i="4"/>
  <c r="AG738" i="4"/>
  <c r="AH738" i="4" s="1"/>
  <c r="AI738" i="4"/>
  <c r="AF517" i="4"/>
  <c r="AG517" i="4"/>
  <c r="AH517" i="4"/>
  <c r="AJ688" i="4" l="1"/>
  <c r="AE56" i="4"/>
  <c r="AF56" i="4" s="1"/>
  <c r="AJ63" i="4"/>
  <c r="T57" i="4"/>
  <c r="S57" i="4" s="1"/>
  <c r="R57" i="4" s="1"/>
  <c r="Q57" i="4" s="1"/>
  <c r="P57" i="4" s="1"/>
  <c r="O57" i="4" s="1"/>
  <c r="N57" i="4" s="1"/>
  <c r="M57" i="4" s="1"/>
  <c r="L57" i="4" s="1"/>
  <c r="U69" i="4"/>
  <c r="Y69" i="4"/>
  <c r="AC69" i="4"/>
  <c r="AG69" i="4"/>
  <c r="AK69" i="4"/>
  <c r="T69" i="4"/>
  <c r="AJ69" i="4"/>
  <c r="V69" i="4"/>
  <c r="Z69" i="4"/>
  <c r="AD69" i="4"/>
  <c r="AH69" i="4"/>
  <c r="S69" i="4"/>
  <c r="X69" i="4"/>
  <c r="AF69" i="4"/>
  <c r="W69" i="4"/>
  <c r="AA69" i="4"/>
  <c r="AE69" i="4"/>
  <c r="AI69" i="4"/>
  <c r="AB69" i="4"/>
  <c r="AG58" i="4"/>
  <c r="AH70" i="4" s="1"/>
  <c r="AI58" i="4"/>
  <c r="AK512" i="4"/>
  <c r="AK688" i="4"/>
  <c r="AJ512" i="4"/>
  <c r="P249" i="4"/>
  <c r="O249" i="4" s="1"/>
  <c r="N249" i="4" s="1"/>
  <c r="M249" i="4" s="1"/>
  <c r="AF22" i="3"/>
  <c r="AF18" i="3" s="1"/>
  <c r="AF267" i="4" s="1"/>
  <c r="AF249" i="4"/>
  <c r="AG249" i="4" s="1"/>
  <c r="AH249" i="4" s="1"/>
  <c r="AI249" i="4" s="1"/>
  <c r="AJ249" i="4" s="1"/>
  <c r="AK249" i="4" s="1"/>
  <c r="Q22" i="3"/>
  <c r="Q18" i="3" s="1"/>
  <c r="Q267" i="4" s="1"/>
  <c r="P269" i="4" s="1"/>
  <c r="O269" i="4" s="1"/>
  <c r="N269" i="4" s="1"/>
  <c r="M269" i="4" s="1"/>
  <c r="T272" i="4"/>
  <c r="AE1289" i="4"/>
  <c r="V114" i="3"/>
  <c r="V113" i="3" s="1"/>
  <c r="Z34" i="3"/>
  <c r="Z271" i="4" s="1"/>
  <c r="M22" i="3"/>
  <c r="V70" i="4"/>
  <c r="Z70" i="4"/>
  <c r="AD70" i="4"/>
  <c r="T70" i="4"/>
  <c r="AC70" i="4"/>
  <c r="W70" i="4"/>
  <c r="AA70" i="4"/>
  <c r="AE70" i="4"/>
  <c r="U70" i="4"/>
  <c r="X70" i="4"/>
  <c r="AB70" i="4"/>
  <c r="AF70" i="4"/>
  <c r="S70" i="4"/>
  <c r="Y70" i="4"/>
  <c r="AG56" i="4"/>
  <c r="AH56" i="4" s="1"/>
  <c r="AI56" i="4" s="1"/>
  <c r="AJ56" i="4" s="1"/>
  <c r="AK56" i="4" s="1"/>
  <c r="T63" i="4"/>
  <c r="AI63" i="4"/>
  <c r="X63" i="4"/>
  <c r="U619" i="4"/>
  <c r="AA63" i="4"/>
  <c r="W619" i="4"/>
  <c r="AB57" i="4"/>
  <c r="AC57" i="4" s="1"/>
  <c r="AD57" i="4" s="1"/>
  <c r="AE57" i="4" s="1"/>
  <c r="AF57" i="4" s="1"/>
  <c r="AG57" i="4" s="1"/>
  <c r="AH57" i="4" s="1"/>
  <c r="AI57" i="4" s="1"/>
  <c r="AJ57" i="4" s="1"/>
  <c r="AK57" i="4" s="1"/>
  <c r="AH63" i="4"/>
  <c r="AA54" i="4"/>
  <c r="AB54" i="4" s="1"/>
  <c r="AC54" i="4" s="1"/>
  <c r="AD54" i="4" s="1"/>
  <c r="AE54" i="4" s="1"/>
  <c r="AF54" i="4" s="1"/>
  <c r="AG54" i="4" s="1"/>
  <c r="AH54" i="4" s="1"/>
  <c r="AI54" i="4" s="1"/>
  <c r="AJ54" i="4" s="1"/>
  <c r="AK54" i="4" s="1"/>
  <c r="V1313" i="4"/>
  <c r="W1313" i="4"/>
  <c r="V55" i="4"/>
  <c r="U55" i="4" s="1"/>
  <c r="T55" i="4" s="1"/>
  <c r="S55" i="4" s="1"/>
  <c r="R55" i="4" s="1"/>
  <c r="Q55" i="4" s="1"/>
  <c r="P55" i="4" s="1"/>
  <c r="O55" i="4" s="1"/>
  <c r="N55" i="4" s="1"/>
  <c r="M55" i="4" s="1"/>
  <c r="L55" i="4" s="1"/>
  <c r="Z55" i="4"/>
  <c r="AA55" i="4" s="1"/>
  <c r="AB55" i="4" s="1"/>
  <c r="AC55" i="4" s="1"/>
  <c r="AD55" i="4" s="1"/>
  <c r="AE55" i="4" s="1"/>
  <c r="AF55" i="4" s="1"/>
  <c r="AG55" i="4" s="1"/>
  <c r="AH55" i="4" s="1"/>
  <c r="AI55" i="4" s="1"/>
  <c r="AJ55" i="4" s="1"/>
  <c r="AK55" i="4" s="1"/>
  <c r="R63" i="4"/>
  <c r="S63" i="4"/>
  <c r="AE63" i="4"/>
  <c r="O613" i="4"/>
  <c r="AK63" i="4"/>
  <c r="AG63" i="4"/>
  <c r="W63" i="4"/>
  <c r="Y63" i="4"/>
  <c r="Z63" i="4"/>
  <c r="V54" i="4"/>
  <c r="U54" i="4" s="1"/>
  <c r="T54" i="4" s="1"/>
  <c r="S54" i="4" s="1"/>
  <c r="R54" i="4" s="1"/>
  <c r="Q54" i="4" s="1"/>
  <c r="P54" i="4" s="1"/>
  <c r="O54" i="4" s="1"/>
  <c r="N54" i="4" s="1"/>
  <c r="M54" i="4" s="1"/>
  <c r="L54" i="4" s="1"/>
  <c r="V63" i="4"/>
  <c r="V56" i="4"/>
  <c r="U56" i="4" s="1"/>
  <c r="T56" i="4" s="1"/>
  <c r="S56" i="4" s="1"/>
  <c r="R56" i="4" s="1"/>
  <c r="Q56" i="4" s="1"/>
  <c r="P56" i="4" s="1"/>
  <c r="O56" i="4" s="1"/>
  <c r="N56" i="4" s="1"/>
  <c r="M56" i="4" s="1"/>
  <c r="L56" i="4" s="1"/>
  <c r="AC63" i="4"/>
  <c r="AD63" i="4"/>
  <c r="K1272" i="4"/>
  <c r="AE1453" i="4"/>
  <c r="AE1375" i="4" s="1"/>
  <c r="AE1353" i="4" s="1"/>
  <c r="AE1351" i="4" s="1"/>
  <c r="U732" i="4"/>
  <c r="U512" i="4" s="1"/>
  <c r="X521" i="4"/>
  <c r="AK424" i="4"/>
  <c r="K613" i="4"/>
  <c r="N613" i="4"/>
  <c r="AG1314" i="4"/>
  <c r="AE1314" i="4"/>
  <c r="Z1289" i="4"/>
  <c r="V1323" i="4"/>
  <c r="V1282" i="4"/>
  <c r="AD1324" i="4"/>
  <c r="V111" i="3"/>
  <c r="W1323" i="4" s="1"/>
  <c r="AC152" i="4"/>
  <c r="AF152" i="4"/>
  <c r="AD1314" i="4"/>
  <c r="P158" i="4"/>
  <c r="M613" i="4"/>
  <c r="AF1314" i="4"/>
  <c r="X1313" i="4"/>
  <c r="Z732" i="4"/>
  <c r="Z512" i="4" s="1"/>
  <c r="AK422" i="4"/>
  <c r="AK429" i="4" s="1"/>
  <c r="AK707" i="4" s="1"/>
  <c r="AI44" i="3"/>
  <c r="AI274" i="4" s="1"/>
  <c r="V732" i="4"/>
  <c r="V512" i="4" s="1"/>
  <c r="AG619" i="4"/>
  <c r="AD34" i="3"/>
  <c r="AD271" i="4" s="1"/>
  <c r="U1273" i="4"/>
  <c r="AC619" i="4"/>
  <c r="N620" i="4"/>
  <c r="X523" i="4"/>
  <c r="P121" i="3"/>
  <c r="Q1288" i="4" s="1"/>
  <c r="AF620" i="4"/>
  <c r="AJ620" i="4"/>
  <c r="W34" i="3"/>
  <c r="W271" i="4" s="1"/>
  <c r="W272" i="4" s="1"/>
  <c r="AF619" i="4"/>
  <c r="T212" i="3"/>
  <c r="AF44" i="3"/>
  <c r="AF274" i="4" s="1"/>
  <c r="AE34" i="3"/>
  <c r="AE271" i="4" s="1"/>
  <c r="AG18" i="3"/>
  <c r="AG267" i="4" s="1"/>
  <c r="T1167" i="4"/>
  <c r="T1249" i="4" s="1"/>
  <c r="AC1453" i="4"/>
  <c r="AC1375" i="4" s="1"/>
  <c r="AC1365" i="4" s="1"/>
  <c r="AC1363" i="4" s="1"/>
  <c r="AC1153" i="4" s="1"/>
  <c r="AE1303" i="4"/>
  <c r="S1273" i="4"/>
  <c r="Z1299" i="4"/>
  <c r="AK619" i="4"/>
  <c r="Q120" i="3"/>
  <c r="Q583" i="4" s="1"/>
  <c r="V346" i="4"/>
  <c r="AI619" i="4"/>
  <c r="AA619" i="4"/>
  <c r="AH34" i="3"/>
  <c r="AH271" i="4" s="1"/>
  <c r="AJ44" i="3"/>
  <c r="AJ274" i="4" s="1"/>
  <c r="Z1453" i="4"/>
  <c r="Z1375" i="4" s="1"/>
  <c r="Z1365" i="4" s="1"/>
  <c r="V1273" i="4"/>
  <c r="L1272" i="4"/>
  <c r="V1267" i="4"/>
  <c r="AK44" i="3"/>
  <c r="AK274" i="4" s="1"/>
  <c r="AE18" i="3"/>
  <c r="AE267" i="4" s="1"/>
  <c r="AD1455" i="4"/>
  <c r="M1272" i="4"/>
  <c r="AB613" i="4"/>
  <c r="X310" i="4"/>
  <c r="AK1265" i="4"/>
  <c r="R613" i="4"/>
  <c r="AD585" i="4"/>
  <c r="AA34" i="3"/>
  <c r="AA271" i="4" s="1"/>
  <c r="AF1272" i="4"/>
  <c r="AF1265" i="4"/>
  <c r="Y619" i="4"/>
  <c r="AG424" i="4"/>
  <c r="R1455" i="4"/>
  <c r="AE1282" i="4"/>
  <c r="AE1258" i="4"/>
  <c r="T732" i="4"/>
  <c r="T512" i="4" s="1"/>
  <c r="T527" i="4" s="1"/>
  <c r="K619" i="4"/>
  <c r="AD619" i="4"/>
  <c r="AH44" i="3"/>
  <c r="AH274" i="4" s="1"/>
  <c r="AG44" i="3"/>
  <c r="AG274" i="4" s="1"/>
  <c r="X44" i="3"/>
  <c r="X274" i="4" s="1"/>
  <c r="W44" i="3"/>
  <c r="W274" i="4" s="1"/>
  <c r="W275" i="4" s="1"/>
  <c r="V619" i="4"/>
  <c r="Y613" i="4"/>
  <c r="AI34" i="3"/>
  <c r="AI271" i="4" s="1"/>
  <c r="N1267" i="4"/>
  <c r="P613" i="4"/>
  <c r="AD18" i="3"/>
  <c r="AD267" i="4" s="1"/>
  <c r="AB44" i="3"/>
  <c r="AB274" i="4" s="1"/>
  <c r="AG1272" i="4"/>
  <c r="K1267" i="4"/>
  <c r="M619" i="4"/>
  <c r="J613" i="4"/>
  <c r="AK613" i="4"/>
  <c r="Z619" i="4"/>
  <c r="X346" i="4"/>
  <c r="Z133" i="3"/>
  <c r="AI1268" i="4" s="1"/>
  <c r="AE619" i="4"/>
  <c r="AJ619" i="4"/>
  <c r="AB619" i="4"/>
  <c r="AC44" i="3"/>
  <c r="AC274" i="4" s="1"/>
  <c r="T1268" i="4"/>
  <c r="X1253" i="4"/>
  <c r="W18" i="3"/>
  <c r="W267" i="4" s="1"/>
  <c r="AE44" i="3"/>
  <c r="AE274" i="4" s="1"/>
  <c r="O620" i="4"/>
  <c r="AA44" i="3"/>
  <c r="AA274" i="4" s="1"/>
  <c r="AI1272" i="4"/>
  <c r="AA620" i="4"/>
  <c r="AC620" i="4"/>
  <c r="M620" i="4"/>
  <c r="X527" i="4"/>
  <c r="U120" i="3"/>
  <c r="U583" i="4" s="1"/>
  <c r="U607" i="4" s="1"/>
  <c r="W732" i="4"/>
  <c r="W512" i="4" s="1"/>
  <c r="W523" i="4" s="1"/>
  <c r="AE620" i="4"/>
  <c r="L619" i="4"/>
  <c r="X158" i="4"/>
  <c r="X159" i="4" s="1"/>
  <c r="AD620" i="4"/>
  <c r="N619" i="4"/>
  <c r="AH619" i="4"/>
  <c r="Y18" i="3"/>
  <c r="Y267" i="4" s="1"/>
  <c r="AI18" i="3"/>
  <c r="AI267" i="4" s="1"/>
  <c r="V268" i="4"/>
  <c r="U275" i="4"/>
  <c r="AC18" i="3"/>
  <c r="AC267" i="4" s="1"/>
  <c r="T1273" i="4"/>
  <c r="Y1258" i="4"/>
  <c r="R1273" i="4"/>
  <c r="M1267" i="4"/>
  <c r="N1272" i="4"/>
  <c r="R732" i="4"/>
  <c r="R512" i="4" s="1"/>
  <c r="K620" i="4"/>
  <c r="AK1272" i="4"/>
  <c r="AJ1272" i="4"/>
  <c r="AD1283" i="4"/>
  <c r="AH1272" i="4"/>
  <c r="R1268" i="4"/>
  <c r="AB620" i="4"/>
  <c r="L620" i="4"/>
  <c r="Y732" i="4"/>
  <c r="Y512" i="4" s="1"/>
  <c r="AK620" i="4"/>
  <c r="Z1283" i="4"/>
  <c r="AJ614" i="4"/>
  <c r="K614" i="4"/>
  <c r="S613" i="4"/>
  <c r="V136" i="3"/>
  <c r="V585" i="4" s="1"/>
  <c r="V609" i="4" s="1"/>
  <c r="AG620" i="4"/>
  <c r="X18" i="3"/>
  <c r="X267" i="4" s="1"/>
  <c r="Q128" i="3"/>
  <c r="Q584" i="4" s="1"/>
  <c r="R511" i="4"/>
  <c r="P135" i="3"/>
  <c r="O135" i="3" s="1"/>
  <c r="X1278" i="4" s="1"/>
  <c r="S732" i="4"/>
  <c r="S512" i="4" s="1"/>
  <c r="S527" i="4" s="1"/>
  <c r="AE1268" i="4"/>
  <c r="W1267" i="4"/>
  <c r="AB1265" i="4"/>
  <c r="AE1265" i="4"/>
  <c r="AJ1263" i="4"/>
  <c r="AF1268" i="4"/>
  <c r="AC1265" i="4"/>
  <c r="AG1265" i="4"/>
  <c r="Z1278" i="4"/>
  <c r="AH1265" i="4"/>
  <c r="W614" i="4"/>
  <c r="AI422" i="4"/>
  <c r="AI429" i="4" s="1"/>
  <c r="AI707" i="4" s="1"/>
  <c r="M614" i="4"/>
  <c r="J424" i="4"/>
  <c r="AG614" i="4"/>
  <c r="L614" i="4"/>
  <c r="AB525" i="4"/>
  <c r="Z1455" i="4"/>
  <c r="AI1265" i="4"/>
  <c r="Z1263" i="4"/>
  <c r="O143" i="4"/>
  <c r="Z18" i="3"/>
  <c r="Z267" i="4" s="1"/>
  <c r="U128" i="3"/>
  <c r="U584" i="4" s="1"/>
  <c r="U608" i="4" s="1"/>
  <c r="AA18" i="3"/>
  <c r="AA267" i="4" s="1"/>
  <c r="AH1268" i="4"/>
  <c r="W1257" i="4"/>
  <c r="AK1168" i="4"/>
  <c r="AE1168" i="4"/>
  <c r="N614" i="4"/>
  <c r="AH422" i="4"/>
  <c r="AH429" i="4" s="1"/>
  <c r="AH707" i="4" s="1"/>
  <c r="AH613" i="4"/>
  <c r="AB18" i="3"/>
  <c r="AB267" i="4" s="1"/>
  <c r="AD44" i="3"/>
  <c r="AD274" i="4" s="1"/>
  <c r="AK18" i="3"/>
  <c r="AK267" i="4" s="1"/>
  <c r="X912" i="3"/>
  <c r="X619" i="4"/>
  <c r="Y426" i="4"/>
  <c r="Y428" i="4" s="1"/>
  <c r="Y442" i="4" s="1"/>
  <c r="AJ1265" i="4"/>
  <c r="AG1268" i="4"/>
  <c r="Y1267" i="4"/>
  <c r="AD1265" i="4"/>
  <c r="AC1168" i="4"/>
  <c r="X1267" i="4"/>
  <c r="O614" i="4"/>
  <c r="J620" i="4"/>
  <c r="J614" i="4"/>
  <c r="AF613" i="4"/>
  <c r="Z44" i="3"/>
  <c r="Z274" i="4" s="1"/>
  <c r="AH18" i="3"/>
  <c r="AH267" i="4" s="1"/>
  <c r="Q620" i="4"/>
  <c r="X34" i="3"/>
  <c r="X271" i="4" s="1"/>
  <c r="AH1166" i="4"/>
  <c r="R1166" i="4"/>
  <c r="Y1166" i="4"/>
  <c r="T620" i="4"/>
  <c r="AD741" i="4"/>
  <c r="AF424" i="4"/>
  <c r="S1319" i="4"/>
  <c r="S518" i="4"/>
  <c r="AE1455" i="4"/>
  <c r="N1453" i="4"/>
  <c r="AE614" i="4"/>
  <c r="P152" i="4"/>
  <c r="L429" i="4"/>
  <c r="L707" i="4" s="1"/>
  <c r="AH614" i="4"/>
  <c r="Y614" i="4"/>
  <c r="I415" i="4"/>
  <c r="AG152" i="4"/>
  <c r="W152" i="4"/>
  <c r="Q424" i="4"/>
  <c r="AB614" i="4"/>
  <c r="T614" i="4"/>
  <c r="L415" i="4"/>
  <c r="AD613" i="4"/>
  <c r="AE128" i="3"/>
  <c r="AE584" i="4" s="1"/>
  <c r="V272" i="4"/>
  <c r="S619" i="4"/>
  <c r="AA614" i="4"/>
  <c r="AK34" i="3"/>
  <c r="AK271" i="4" s="1"/>
  <c r="AJ34" i="3"/>
  <c r="AJ271" i="4" s="1"/>
  <c r="Y415" i="4"/>
  <c r="Y416" i="4" s="1"/>
  <c r="Y1455" i="4"/>
  <c r="AB1453" i="4"/>
  <c r="AB1375" i="4" s="1"/>
  <c r="AB1353" i="4" s="1"/>
  <c r="R1304" i="4"/>
  <c r="P620" i="4"/>
  <c r="W620" i="4"/>
  <c r="Q619" i="4"/>
  <c r="AB518" i="4"/>
  <c r="AF1453" i="4"/>
  <c r="AF1375" i="4" s="1"/>
  <c r="AF1353" i="4" s="1"/>
  <c r="AF1351" i="4" s="1"/>
  <c r="T1319" i="4"/>
  <c r="V1453" i="4"/>
  <c r="V1375" i="4" s="1"/>
  <c r="V1365" i="4" s="1"/>
  <c r="J1453" i="4"/>
  <c r="V614" i="4"/>
  <c r="AH1455" i="4"/>
  <c r="M415" i="4"/>
  <c r="AD106" i="3"/>
  <c r="AE736" i="4" s="1"/>
  <c r="AB152" i="4"/>
  <c r="V152" i="4"/>
  <c r="AA152" i="4"/>
  <c r="AK614" i="4"/>
  <c r="P415" i="4"/>
  <c r="Y212" i="3"/>
  <c r="AJ18" i="3"/>
  <c r="AJ267" i="4" s="1"/>
  <c r="X152" i="4"/>
  <c r="S275" i="4"/>
  <c r="R619" i="4"/>
  <c r="AD749" i="4"/>
  <c r="AE749" i="4" s="1"/>
  <c r="AG34" i="3"/>
  <c r="AG271" i="4" s="1"/>
  <c r="AF34" i="3"/>
  <c r="AF271" i="4" s="1"/>
  <c r="Y44" i="3"/>
  <c r="Y274" i="4" s="1"/>
  <c r="Y34" i="3"/>
  <c r="Y271" i="4" s="1"/>
  <c r="Y1453" i="4"/>
  <c r="Y1375" i="4" s="1"/>
  <c r="Y1353" i="4" s="1"/>
  <c r="AB1455" i="4"/>
  <c r="Z426" i="4"/>
  <c r="Z428" i="4" s="1"/>
  <c r="Z443" i="4" s="1"/>
  <c r="Z691" i="4" s="1"/>
  <c r="AA1453" i="4"/>
  <c r="AA1375" i="4" s="1"/>
  <c r="AA1359" i="4" s="1"/>
  <c r="AD1453" i="4"/>
  <c r="AD1375" i="4" s="1"/>
  <c r="AD1353" i="4" s="1"/>
  <c r="AD1351" i="4" s="1"/>
  <c r="K1303" i="4"/>
  <c r="S1304" i="4"/>
  <c r="R1212" i="4"/>
  <c r="S620" i="4"/>
  <c r="O619" i="4"/>
  <c r="T613" i="4"/>
  <c r="AF1455" i="4"/>
  <c r="W613" i="4"/>
  <c r="Z620" i="4"/>
  <c r="R1453" i="4"/>
  <c r="R1375" i="4" s="1"/>
  <c r="J1455" i="4"/>
  <c r="AI613" i="4"/>
  <c r="X429" i="4"/>
  <c r="X707" i="4" s="1"/>
  <c r="AD614" i="4"/>
  <c r="Q152" i="4"/>
  <c r="Z152" i="4"/>
  <c r="Y213" i="3"/>
  <c r="U272" i="4"/>
  <c r="V275" i="4"/>
  <c r="T275" i="4"/>
  <c r="AH620" i="4"/>
  <c r="AC34" i="3"/>
  <c r="AC271" i="4" s="1"/>
  <c r="AB34" i="3"/>
  <c r="AB271" i="4" s="1"/>
  <c r="X516" i="4"/>
  <c r="Z415" i="4"/>
  <c r="Z416" i="4" s="1"/>
  <c r="Z208" i="3"/>
  <c r="Y206" i="3"/>
  <c r="AH1353" i="4"/>
  <c r="AH1351" i="4" s="1"/>
  <c r="AH1365" i="4"/>
  <c r="AH1363" i="4" s="1"/>
  <c r="AH1153" i="4" s="1"/>
  <c r="AH1359" i="4"/>
  <c r="AH1357" i="4" s="1"/>
  <c r="AH1152" i="4" s="1"/>
  <c r="AC603" i="4"/>
  <c r="AC602" i="4" s="1"/>
  <c r="AC613" i="4" s="1"/>
  <c r="AA169" i="4"/>
  <c r="Z166" i="4"/>
  <c r="T1166" i="4"/>
  <c r="AG1167" i="4"/>
  <c r="AG1249" i="4" s="1"/>
  <c r="AE1212" i="4"/>
  <c r="U1247" i="4"/>
  <c r="AD1166" i="4"/>
  <c r="AH1167" i="4"/>
  <c r="AH1249" i="4" s="1"/>
  <c r="Z1167" i="4"/>
  <c r="Z1249" i="4" s="1"/>
  <c r="AA1167" i="4"/>
  <c r="AA1249" i="4" s="1"/>
  <c r="AC1166" i="4"/>
  <c r="AC1248" i="4" s="1"/>
  <c r="AI1167" i="4"/>
  <c r="AI1249" i="4" s="1"/>
  <c r="AI157" i="4"/>
  <c r="AE157" i="4"/>
  <c r="AA157" i="4"/>
  <c r="W157" i="4"/>
  <c r="S157" i="4"/>
  <c r="O157" i="4"/>
  <c r="P156" i="4" s="1"/>
  <c r="AH157" i="4"/>
  <c r="AD157" i="4"/>
  <c r="Z157" i="4"/>
  <c r="V157" i="4"/>
  <c r="R157" i="4"/>
  <c r="AK157" i="4"/>
  <c r="AG157" i="4"/>
  <c r="AC157" i="4"/>
  <c r="Y157" i="4"/>
  <c r="Z156" i="4" s="1"/>
  <c r="U157" i="4"/>
  <c r="Q157" i="4"/>
  <c r="AB157" i="4"/>
  <c r="Y153" i="4"/>
  <c r="X157" i="4"/>
  <c r="AJ157" i="4"/>
  <c r="T157" i="4"/>
  <c r="AF157" i="4"/>
  <c r="P157" i="4"/>
  <c r="AK1453" i="4"/>
  <c r="AK1375" i="4" s="1"/>
  <c r="AK1455" i="4"/>
  <c r="L403" i="4"/>
  <c r="T424" i="4"/>
  <c r="T192" i="3"/>
  <c r="T347" i="4" s="1"/>
  <c r="T191" i="3"/>
  <c r="S194" i="3"/>
  <c r="S743" i="4"/>
  <c r="S745" i="4"/>
  <c r="R746" i="4"/>
  <c r="V1388" i="4"/>
  <c r="U1368" i="4"/>
  <c r="U1362" i="4"/>
  <c r="U1356" i="4"/>
  <c r="AF108" i="3"/>
  <c r="AE106" i="3"/>
  <c r="AF1293" i="4" s="1"/>
  <c r="AC1399" i="4"/>
  <c r="AC773" i="4"/>
  <c r="AC772" i="4"/>
  <c r="AC771" i="4"/>
  <c r="AC774" i="4"/>
  <c r="Y191" i="3"/>
  <c r="Z194" i="3"/>
  <c r="Y190" i="3"/>
  <c r="Y348" i="4" s="1"/>
  <c r="Y192" i="3"/>
  <c r="Y347" i="4" s="1"/>
  <c r="O131" i="3"/>
  <c r="X1258" i="4" s="1"/>
  <c r="V108" i="3"/>
  <c r="AE1304" i="4" s="1"/>
  <c r="U106" i="3"/>
  <c r="V1293" i="4" s="1"/>
  <c r="Q511" i="4"/>
  <c r="P111" i="3"/>
  <c r="Y1324" i="4" s="1"/>
  <c r="AB227" i="3"/>
  <c r="AA226" i="3"/>
  <c r="T207" i="3"/>
  <c r="T190" i="3" s="1"/>
  <c r="T348" i="4" s="1"/>
  <c r="U206" i="3"/>
  <c r="U190" i="3"/>
  <c r="U348" i="4" s="1"/>
  <c r="U346" i="4" s="1"/>
  <c r="AE114" i="3"/>
  <c r="AD113" i="3"/>
  <c r="AG131" i="3"/>
  <c r="AF128" i="3"/>
  <c r="AF584" i="4" s="1"/>
  <c r="Z1367" i="4"/>
  <c r="Z1361" i="4"/>
  <c r="Z1355" i="4"/>
  <c r="AH1212" i="4"/>
  <c r="Q1257" i="4"/>
  <c r="AA1166" i="4"/>
  <c r="AA1248" i="4" s="1"/>
  <c r="AK1167" i="4"/>
  <c r="AK1249" i="4" s="1"/>
  <c r="R1323" i="4"/>
  <c r="AA1212" i="4"/>
  <c r="AA1294" i="4" s="1"/>
  <c r="AC1247" i="4"/>
  <c r="AF1168" i="4"/>
  <c r="AK1166" i="4"/>
  <c r="AK1248" i="4" s="1"/>
  <c r="AG1168" i="4"/>
  <c r="K1453" i="4"/>
  <c r="K1455" i="4"/>
  <c r="W424" i="4"/>
  <c r="W422" i="4"/>
  <c r="O424" i="4"/>
  <c r="O422" i="4"/>
  <c r="P425" i="4"/>
  <c r="I424" i="4"/>
  <c r="P614" i="4"/>
  <c r="V1252" i="4"/>
  <c r="V129" i="3"/>
  <c r="AE1253" i="4" s="1"/>
  <c r="U127" i="3"/>
  <c r="V1247" i="4" s="1"/>
  <c r="U212" i="3"/>
  <c r="V128" i="3"/>
  <c r="V584" i="4" s="1"/>
  <c r="V608" i="4" s="1"/>
  <c r="W131" i="3"/>
  <c r="AF1258" i="4" s="1"/>
  <c r="AD207" i="3"/>
  <c r="AI1277" i="4"/>
  <c r="AI135" i="3"/>
  <c r="AC527" i="4"/>
  <c r="AA1455" i="4"/>
  <c r="U1293" i="4"/>
  <c r="AD1212" i="4"/>
  <c r="R1319" i="4"/>
  <c r="X1212" i="4"/>
  <c r="U1212" i="4"/>
  <c r="S1212" i="4"/>
  <c r="V1212" i="4"/>
  <c r="S1293" i="4"/>
  <c r="AB1212" i="4"/>
  <c r="AB1294" i="4" s="1"/>
  <c r="AE1167" i="4"/>
  <c r="AE1249" i="4" s="1"/>
  <c r="Z1324" i="4"/>
  <c r="AF1212" i="4"/>
  <c r="L1267" i="4"/>
  <c r="AE1166" i="4"/>
  <c r="W1166" i="4"/>
  <c r="AF1166" i="4"/>
  <c r="X1166" i="4"/>
  <c r="AJ1168" i="4"/>
  <c r="AI1168" i="4"/>
  <c r="AB1167" i="4"/>
  <c r="AB1249" i="4" s="1"/>
  <c r="Y1167" i="4"/>
  <c r="Y1249" i="4" s="1"/>
  <c r="AH1299" i="4"/>
  <c r="U1268" i="4"/>
  <c r="AI1212" i="4"/>
  <c r="AG1212" i="4"/>
  <c r="V1166" i="4"/>
  <c r="U1166" i="4"/>
  <c r="AD751" i="4"/>
  <c r="R620" i="4"/>
  <c r="U620" i="4"/>
  <c r="T1212" i="4"/>
  <c r="X613" i="4"/>
  <c r="V613" i="4"/>
  <c r="K1318" i="4"/>
  <c r="L426" i="4"/>
  <c r="L428" i="4" s="1"/>
  <c r="AI1455" i="4"/>
  <c r="AI1453" i="4"/>
  <c r="AI1375" i="4" s="1"/>
  <c r="V1455" i="4"/>
  <c r="AE613" i="4"/>
  <c r="AB427" i="4"/>
  <c r="I1455" i="4"/>
  <c r="I1453" i="4"/>
  <c r="U415" i="4"/>
  <c r="U416" i="4" s="1"/>
  <c r="Q415" i="4"/>
  <c r="Q416" i="4" s="1"/>
  <c r="X614" i="4"/>
  <c r="U152" i="4"/>
  <c r="AK152" i="4"/>
  <c r="AD152" i="4"/>
  <c r="O152" i="4"/>
  <c r="P151" i="4" s="1"/>
  <c r="M426" i="4"/>
  <c r="M428" i="4" s="1"/>
  <c r="M443" i="4" s="1"/>
  <c r="M691" i="4" s="1"/>
  <c r="Q613" i="4"/>
  <c r="K415" i="4"/>
  <c r="AA214" i="3"/>
  <c r="Z213" i="3"/>
  <c r="Z212" i="3"/>
  <c r="N129" i="3"/>
  <c r="W1253" i="4" s="1"/>
  <c r="Q251" i="4"/>
  <c r="P250" i="4"/>
  <c r="T607" i="4"/>
  <c r="AJ613" i="4"/>
  <c r="Q200" i="3"/>
  <c r="R193" i="3"/>
  <c r="AE121" i="3"/>
  <c r="AD120" i="3"/>
  <c r="AD583" i="4" s="1"/>
  <c r="S736" i="4"/>
  <c r="S737" i="4" s="1"/>
  <c r="S735" i="4" s="1"/>
  <c r="S733" i="4" s="1"/>
  <c r="R582" i="4"/>
  <c r="R510" i="4"/>
  <c r="S669" i="3"/>
  <c r="S670" i="3" s="1"/>
  <c r="S671" i="3" s="1"/>
  <c r="AE129" i="3"/>
  <c r="AD127" i="3"/>
  <c r="AE1247" i="4" s="1"/>
  <c r="AC123" i="3"/>
  <c r="AD125" i="3"/>
  <c r="T268" i="4"/>
  <c r="AE527" i="4"/>
  <c r="AH1214" i="4"/>
  <c r="AD1214" i="4"/>
  <c r="AK1214" i="4"/>
  <c r="AG1214" i="4"/>
  <c r="AC1214" i="4"/>
  <c r="AK1212" i="4"/>
  <c r="AK1294" i="4" s="1"/>
  <c r="AE1214" i="4"/>
  <c r="AJ1214" i="4"/>
  <c r="AB1214" i="4"/>
  <c r="AI1214" i="4"/>
  <c r="AF1214" i="4"/>
  <c r="AI1166" i="4"/>
  <c r="S1166" i="4"/>
  <c r="AJ1166" i="4"/>
  <c r="S1247" i="4"/>
  <c r="AB1166" i="4"/>
  <c r="AB1248" i="4" s="1"/>
  <c r="AD1167" i="4"/>
  <c r="AD1249" i="4" s="1"/>
  <c r="AH1168" i="4"/>
  <c r="AJ1167" i="4"/>
  <c r="AJ1249" i="4" s="1"/>
  <c r="AG1166" i="4"/>
  <c r="Y1212" i="4"/>
  <c r="Z1166" i="4"/>
  <c r="AJ1212" i="4"/>
  <c r="AE421" i="4"/>
  <c r="AE424" i="4"/>
  <c r="Q1455" i="4"/>
  <c r="Q1453" i="4"/>
  <c r="Q1375" i="4" s="1"/>
  <c r="N124" i="3"/>
  <c r="O123" i="3"/>
  <c r="Z1366" i="4"/>
  <c r="Z1354" i="4"/>
  <c r="Z1360" i="4"/>
  <c r="V1167" i="4"/>
  <c r="V1249" i="4" s="1"/>
  <c r="X1167" i="4"/>
  <c r="X1249" i="4" s="1"/>
  <c r="U1167" i="4"/>
  <c r="U1249" i="4" s="1"/>
  <c r="X426" i="4"/>
  <c r="X428" i="4" s="1"/>
  <c r="S1453" i="4"/>
  <c r="S1375" i="4" s="1"/>
  <c r="S1455" i="4"/>
  <c r="S251" i="4"/>
  <c r="T250" i="4"/>
  <c r="V424" i="4"/>
  <c r="V422" i="4"/>
  <c r="U1455" i="4"/>
  <c r="U471" i="4" s="1"/>
  <c r="U1453" i="4"/>
  <c r="U1375" i="4" s="1"/>
  <c r="AE585" i="4"/>
  <c r="AF136" i="3"/>
  <c r="V620" i="4"/>
  <c r="Q169" i="4"/>
  <c r="Y310" i="4"/>
  <c r="X1453" i="4"/>
  <c r="X1375" i="4" s="1"/>
  <c r="X1455" i="4"/>
  <c r="P1453" i="4"/>
  <c r="P1455" i="4"/>
  <c r="X415" i="4"/>
  <c r="X416" i="4" s="1"/>
  <c r="AJ152" i="4"/>
  <c r="T152" i="4"/>
  <c r="O148" i="4"/>
  <c r="R1388" i="4"/>
  <c r="S1362" i="4"/>
  <c r="S1368" i="4"/>
  <c r="S1356" i="4"/>
  <c r="AH424" i="4"/>
  <c r="S227" i="3"/>
  <c r="S212" i="3" s="1"/>
  <c r="T226" i="3"/>
  <c r="AD736" i="4"/>
  <c r="AD728" i="4"/>
  <c r="AC582" i="4"/>
  <c r="AC510" i="4"/>
  <c r="Y1298" i="4"/>
  <c r="Z107" i="3"/>
  <c r="X124" i="3"/>
  <c r="W123" i="3"/>
  <c r="AC589" i="4"/>
  <c r="AC614" i="4" s="1"/>
  <c r="AC1455" i="4"/>
  <c r="AF1282" i="4"/>
  <c r="L1318" i="4"/>
  <c r="Z1212" i="4"/>
  <c r="AG1257" i="4"/>
  <c r="T1293" i="4"/>
  <c r="AJ1213" i="4"/>
  <c r="AJ1295" i="4" s="1"/>
  <c r="AF1213" i="4"/>
  <c r="AF1295" i="4" s="1"/>
  <c r="AB1213" i="4"/>
  <c r="AB1295" i="4" s="1"/>
  <c r="X1213" i="4"/>
  <c r="X1295" i="4" s="1"/>
  <c r="T1213" i="4"/>
  <c r="T1295" i="4" s="1"/>
  <c r="AI1213" i="4"/>
  <c r="AI1295" i="4" s="1"/>
  <c r="AE1213" i="4"/>
  <c r="AE1295" i="4" s="1"/>
  <c r="AA1213" i="4"/>
  <c r="AA1295" i="4" s="1"/>
  <c r="W1213" i="4"/>
  <c r="W1295" i="4" s="1"/>
  <c r="AC1212" i="4"/>
  <c r="AC1294" i="4" s="1"/>
  <c r="AG1213" i="4"/>
  <c r="AG1295" i="4" s="1"/>
  <c r="Y1213" i="4"/>
  <c r="Y1295" i="4" s="1"/>
  <c r="AD1213" i="4"/>
  <c r="AD1295" i="4" s="1"/>
  <c r="V1213" i="4"/>
  <c r="V1295" i="4" s="1"/>
  <c r="AH1213" i="4"/>
  <c r="AH1295" i="4" s="1"/>
  <c r="AC1213" i="4"/>
  <c r="AC1295" i="4" s="1"/>
  <c r="Z1213" i="4"/>
  <c r="Z1295" i="4" s="1"/>
  <c r="U1213" i="4"/>
  <c r="U1295" i="4" s="1"/>
  <c r="AK1213" i="4"/>
  <c r="AK1295" i="4" s="1"/>
  <c r="V1303" i="4"/>
  <c r="W1212" i="4"/>
  <c r="S1268" i="4"/>
  <c r="AD1253" i="4"/>
  <c r="AD1304" i="4"/>
  <c r="V1268" i="4"/>
  <c r="W1167" i="4"/>
  <c r="W1249" i="4" s="1"/>
  <c r="AD1247" i="4"/>
  <c r="AD1168" i="4"/>
  <c r="AF1167" i="4"/>
  <c r="AF1249" i="4" s="1"/>
  <c r="AC1167" i="4"/>
  <c r="AC1249" i="4" s="1"/>
  <c r="AD1293" i="4"/>
  <c r="X620" i="4"/>
  <c r="Y620" i="4"/>
  <c r="AG422" i="4"/>
  <c r="Z613" i="4"/>
  <c r="U613" i="4"/>
  <c r="AJ424" i="4"/>
  <c r="Y146" i="4"/>
  <c r="Y143" i="4" s="1"/>
  <c r="AJ1455" i="4"/>
  <c r="AJ1453" i="4"/>
  <c r="AJ1375" i="4" s="1"/>
  <c r="W1453" i="4"/>
  <c r="W1375" i="4" s="1"/>
  <c r="W1455" i="4"/>
  <c r="O1453" i="4"/>
  <c r="O1455" i="4"/>
  <c r="S614" i="4"/>
  <c r="Y748" i="4"/>
  <c r="AA613" i="4"/>
  <c r="AI421" i="4"/>
  <c r="AI424" i="4"/>
  <c r="S424" i="4"/>
  <c r="K424" i="4"/>
  <c r="K422" i="4"/>
  <c r="I425" i="4"/>
  <c r="I422" i="4" s="1"/>
  <c r="J425" i="4"/>
  <c r="J422" i="4" s="1"/>
  <c r="Z614" i="4"/>
  <c r="R614" i="4"/>
  <c r="R424" i="4"/>
  <c r="N424" i="4"/>
  <c r="N422" i="4"/>
  <c r="M1455" i="4"/>
  <c r="M1453" i="4"/>
  <c r="U614" i="4"/>
  <c r="Q614" i="4"/>
  <c r="Y1313" i="4"/>
  <c r="Y110" i="3"/>
  <c r="Y152" i="4"/>
  <c r="Z151" i="4" s="1"/>
  <c r="R152" i="4"/>
  <c r="AH152" i="4"/>
  <c r="S152" i="4"/>
  <c r="AI152" i="4"/>
  <c r="U424" i="4"/>
  <c r="AG1453" i="4"/>
  <c r="AG1375" i="4" s="1"/>
  <c r="AG1455" i="4"/>
  <c r="T1453" i="4"/>
  <c r="T1375" i="4" s="1"/>
  <c r="T1455" i="4"/>
  <c r="L1453" i="4"/>
  <c r="L470" i="4" s="1"/>
  <c r="L1455" i="4"/>
  <c r="T415" i="4"/>
  <c r="T416" i="4" s="1"/>
  <c r="AA406" i="4"/>
  <c r="AB406" i="4" s="1"/>
  <c r="AB415" i="4" s="1"/>
  <c r="AB416" i="4" s="1"/>
  <c r="AG613" i="4"/>
  <c r="AA427" i="4"/>
  <c r="AJ422" i="4"/>
  <c r="Q585" i="4"/>
  <c r="P136" i="3"/>
  <c r="W121" i="3"/>
  <c r="AF1289" i="4" s="1"/>
  <c r="V120" i="3"/>
  <c r="V583" i="4" s="1"/>
  <c r="V607" i="4" s="1"/>
  <c r="V746" i="4"/>
  <c r="U745" i="4"/>
  <c r="U743" i="4"/>
  <c r="AH107" i="3"/>
  <c r="U736" i="4"/>
  <c r="U737" i="4" s="1"/>
  <c r="T510" i="4"/>
  <c r="T582" i="4"/>
  <c r="T606" i="4" s="1"/>
  <c r="U669" i="3"/>
  <c r="U670" i="3" s="1"/>
  <c r="U671" i="3" s="1"/>
  <c r="M114" i="3"/>
  <c r="N113" i="3"/>
  <c r="AF124" i="3"/>
  <c r="Q1298" i="4"/>
  <c r="P107" i="3"/>
  <c r="Y1299" i="4" s="1"/>
  <c r="Q106" i="3"/>
  <c r="R1293" i="4" s="1"/>
  <c r="T735" i="4"/>
  <c r="T733" i="4" s="1"/>
  <c r="R214" i="3"/>
  <c r="S213" i="3"/>
  <c r="AA200" i="3"/>
  <c r="Z193" i="3"/>
  <c r="P132" i="3"/>
  <c r="Q127" i="3"/>
  <c r="R1247" i="4" s="1"/>
  <c r="U268" i="4"/>
  <c r="AD527" i="4"/>
  <c r="AF527" i="4"/>
  <c r="AG527" i="4"/>
  <c r="AH527" i="4"/>
  <c r="AD421" i="4"/>
  <c r="AF422" i="4"/>
  <c r="AD424" i="4"/>
  <c r="AC424" i="4"/>
  <c r="AD422" i="4"/>
  <c r="AB424" i="4"/>
  <c r="AB421" i="4"/>
  <c r="AA424" i="4"/>
  <c r="AA421" i="4"/>
  <c r="Z421" i="4"/>
  <c r="Z424" i="4"/>
  <c r="AB422" i="4"/>
  <c r="AA422" i="4"/>
  <c r="AC422" i="4" s="1"/>
  <c r="Y424" i="4"/>
  <c r="Y421" i="4"/>
  <c r="AE422" i="4"/>
  <c r="AE429" i="4" s="1"/>
  <c r="AE707" i="4" s="1"/>
  <c r="AC401" i="4"/>
  <c r="AI517" i="4"/>
  <c r="AJ738" i="4"/>
  <c r="AK738" i="4"/>
  <c r="AJ517" i="4"/>
  <c r="AK517" i="4"/>
  <c r="AJ527" i="4" l="1"/>
  <c r="AI527" i="4"/>
  <c r="AJ70" i="4"/>
  <c r="AG70" i="4"/>
  <c r="AK70" i="4"/>
  <c r="AI70" i="4"/>
  <c r="AA1353" i="4"/>
  <c r="W114" i="3"/>
  <c r="X114" i="3" s="1"/>
  <c r="Z1353" i="4"/>
  <c r="AK527" i="4"/>
  <c r="Z1359" i="4"/>
  <c r="W111" i="3"/>
  <c r="AF1324" i="4" s="1"/>
  <c r="AE1359" i="4"/>
  <c r="AE1357" i="4" s="1"/>
  <c r="AE1152" i="4" s="1"/>
  <c r="AC1359" i="4"/>
  <c r="AC1357" i="4" s="1"/>
  <c r="AC1152" i="4" s="1"/>
  <c r="AE1365" i="4"/>
  <c r="AE1363" i="4" s="1"/>
  <c r="AE1153" i="4" s="1"/>
  <c r="U728" i="4"/>
  <c r="V511" i="4"/>
  <c r="AC1353" i="4"/>
  <c r="AC1351" i="4" s="1"/>
  <c r="AC1350" i="4" s="1"/>
  <c r="W1282" i="4"/>
  <c r="S728" i="4"/>
  <c r="S727" i="4" s="1"/>
  <c r="X268" i="4"/>
  <c r="T728" i="4"/>
  <c r="T727" i="4" s="1"/>
  <c r="T739" i="4" s="1"/>
  <c r="T740" i="4" s="1"/>
  <c r="Z272" i="4"/>
  <c r="AE1324" i="4"/>
  <c r="AB1365" i="4"/>
  <c r="X275" i="4"/>
  <c r="Z442" i="4"/>
  <c r="Z410" i="4" s="1"/>
  <c r="Y268" i="4"/>
  <c r="X272" i="4"/>
  <c r="AA1365" i="4"/>
  <c r="W268" i="4"/>
  <c r="P120" i="3"/>
  <c r="P583" i="4" s="1"/>
  <c r="Z275" i="4"/>
  <c r="Y1289" i="4"/>
  <c r="O121" i="3"/>
  <c r="X1289" i="4" s="1"/>
  <c r="AF1365" i="4"/>
  <c r="AF1363" i="4" s="1"/>
  <c r="AF1153" i="4" s="1"/>
  <c r="T523" i="4"/>
  <c r="P127" i="3"/>
  <c r="Q1247" i="4" s="1"/>
  <c r="AA133" i="3"/>
  <c r="AD1270" i="4" s="1"/>
  <c r="AJ275" i="4"/>
  <c r="AB272" i="4"/>
  <c r="AA1267" i="4"/>
  <c r="Y1278" i="4"/>
  <c r="S526" i="4"/>
  <c r="S525" i="4" s="1"/>
  <c r="AK275" i="4"/>
  <c r="Z268" i="4"/>
  <c r="AF1359" i="4"/>
  <c r="AF1357" i="4" s="1"/>
  <c r="AF1152" i="4" s="1"/>
  <c r="AH268" i="4"/>
  <c r="AE275" i="4"/>
  <c r="T515" i="4"/>
  <c r="S515" i="4"/>
  <c r="T516" i="4"/>
  <c r="AA268" i="4"/>
  <c r="W516" i="4"/>
  <c r="S523" i="4"/>
  <c r="Q1277" i="4"/>
  <c r="AG268" i="4"/>
  <c r="T521" i="4"/>
  <c r="AB268" i="4"/>
  <c r="W515" i="4"/>
  <c r="W527" i="4"/>
  <c r="AD275" i="4"/>
  <c r="AE268" i="4"/>
  <c r="W136" i="3"/>
  <c r="AF1283" i="4" s="1"/>
  <c r="S516" i="4"/>
  <c r="N135" i="3"/>
  <c r="P1277" i="4"/>
  <c r="AE1283" i="4"/>
  <c r="AD582" i="4"/>
  <c r="AC268" i="4"/>
  <c r="AG272" i="4"/>
  <c r="W521" i="4"/>
  <c r="S521" i="4"/>
  <c r="AI268" i="4"/>
  <c r="AF268" i="4"/>
  <c r="AD1248" i="4"/>
  <c r="AK272" i="4"/>
  <c r="AE272" i="4"/>
  <c r="AB1359" i="4"/>
  <c r="AD1359" i="4"/>
  <c r="AD1357" i="4" s="1"/>
  <c r="AD1152" i="4" s="1"/>
  <c r="AD427" i="4"/>
  <c r="AD426" i="4" s="1"/>
  <c r="AD268" i="4"/>
  <c r="AD272" i="4"/>
  <c r="AF272" i="4"/>
  <c r="AJ268" i="4"/>
  <c r="AF749" i="4"/>
  <c r="Y272" i="4"/>
  <c r="AI275" i="4"/>
  <c r="AC427" i="4"/>
  <c r="AF427" i="4" s="1"/>
  <c r="AF426" i="4" s="1"/>
  <c r="AF428" i="4" s="1"/>
  <c r="AE728" i="4"/>
  <c r="AJ272" i="4"/>
  <c r="V1353" i="4"/>
  <c r="V1359" i="4"/>
  <c r="AI272" i="4"/>
  <c r="Y1359" i="4"/>
  <c r="AD1365" i="4"/>
  <c r="AD1363" i="4" s="1"/>
  <c r="AD1153" i="4" s="1"/>
  <c r="AK268" i="4"/>
  <c r="AH272" i="4"/>
  <c r="AH1270" i="4"/>
  <c r="AD510" i="4"/>
  <c r="AD526" i="4" s="1"/>
  <c r="AD525" i="4" s="1"/>
  <c r="AA272" i="4"/>
  <c r="AE1293" i="4"/>
  <c r="AC272" i="4"/>
  <c r="Y346" i="4"/>
  <c r="AA208" i="3"/>
  <c r="Z206" i="3"/>
  <c r="AC275" i="4"/>
  <c r="AH275" i="4"/>
  <c r="Y275" i="4"/>
  <c r="AG275" i="4"/>
  <c r="AA275" i="4"/>
  <c r="R1353" i="4"/>
  <c r="R1365" i="4"/>
  <c r="R1359" i="4"/>
  <c r="Y1365" i="4"/>
  <c r="AF741" i="4"/>
  <c r="AF275" i="4"/>
  <c r="AB275" i="4"/>
  <c r="AE741" i="4"/>
  <c r="AG1365" i="4"/>
  <c r="AG1363" i="4" s="1"/>
  <c r="AG1153" i="4" s="1"/>
  <c r="AG1359" i="4"/>
  <c r="AG1357" i="4" s="1"/>
  <c r="AG1152" i="4" s="1"/>
  <c r="AG1353" i="4"/>
  <c r="AG1351" i="4" s="1"/>
  <c r="K426" i="4"/>
  <c r="K428" i="4" s="1"/>
  <c r="K429" i="4"/>
  <c r="K707" i="4" s="1"/>
  <c r="Z1294" i="4"/>
  <c r="AA107" i="3"/>
  <c r="Z1298" i="4"/>
  <c r="O171" i="4"/>
  <c r="O174" i="4" s="1"/>
  <c r="X1365" i="4"/>
  <c r="X1353" i="4"/>
  <c r="X1359" i="4"/>
  <c r="AF585" i="4"/>
  <c r="AG136" i="3"/>
  <c r="AG1282" i="4"/>
  <c r="Q1365" i="4"/>
  <c r="Q1353" i="4"/>
  <c r="Q1359" i="4"/>
  <c r="U527" i="4"/>
  <c r="U523" i="4"/>
  <c r="U515" i="4"/>
  <c r="U521" i="4"/>
  <c r="U516" i="4"/>
  <c r="P200" i="3"/>
  <c r="Q193" i="3"/>
  <c r="L443" i="4"/>
  <c r="L691" i="4" s="1"/>
  <c r="Q425" i="4"/>
  <c r="P422" i="4"/>
  <c r="AF114" i="3"/>
  <c r="AE113" i="3"/>
  <c r="V736" i="4"/>
  <c r="V737" i="4" s="1"/>
  <c r="U582" i="4"/>
  <c r="U606" i="4" s="1"/>
  <c r="U510" i="4"/>
  <c r="V669" i="3"/>
  <c r="V670" i="3" s="1"/>
  <c r="V671" i="3" s="1"/>
  <c r="P153" i="4"/>
  <c r="Q156" i="4"/>
  <c r="V527" i="4"/>
  <c r="V515" i="4"/>
  <c r="V521" i="4"/>
  <c r="V523" i="4"/>
  <c r="V516" i="4"/>
  <c r="AH1350" i="4"/>
  <c r="AH1151" i="4"/>
  <c r="O132" i="3"/>
  <c r="O128" i="3" s="1"/>
  <c r="O584" i="4" s="1"/>
  <c r="Q1262" i="4"/>
  <c r="O107" i="3"/>
  <c r="P106" i="3"/>
  <c r="Y1294" i="4" s="1"/>
  <c r="P1298" i="4"/>
  <c r="T526" i="4"/>
  <c r="T525" i="4" s="1"/>
  <c r="T518" i="4"/>
  <c r="P585" i="4"/>
  <c r="O136" i="3"/>
  <c r="Q1282" i="4"/>
  <c r="N426" i="4"/>
  <c r="N428" i="4" s="1"/>
  <c r="N429" i="4"/>
  <c r="N707" i="4" s="1"/>
  <c r="AJ1365" i="4"/>
  <c r="AJ1363" i="4" s="1"/>
  <c r="AJ1153" i="4" s="1"/>
  <c r="AJ1359" i="4"/>
  <c r="AJ1357" i="4" s="1"/>
  <c r="AJ1152" i="4" s="1"/>
  <c r="AJ1353" i="4"/>
  <c r="AJ1351" i="4" s="1"/>
  <c r="AG429" i="4"/>
  <c r="AG707" i="4" s="1"/>
  <c r="V426" i="4"/>
  <c r="V429" i="4"/>
  <c r="V707" i="4" s="1"/>
  <c r="X443" i="4"/>
  <c r="X691" i="4" s="1"/>
  <c r="R527" i="4"/>
  <c r="R521" i="4"/>
  <c r="R515" i="4"/>
  <c r="R523" i="4"/>
  <c r="R516" i="4"/>
  <c r="AF129" i="3"/>
  <c r="AE127" i="3"/>
  <c r="AF1247" i="4" s="1"/>
  <c r="AF1252" i="4"/>
  <c r="R526" i="4"/>
  <c r="R518" i="4"/>
  <c r="X111" i="3"/>
  <c r="AI1365" i="4"/>
  <c r="AI1363" i="4" s="1"/>
  <c r="AI1153" i="4" s="1"/>
  <c r="AI1353" i="4"/>
  <c r="AI1351" i="4" s="1"/>
  <c r="AI1359" i="4"/>
  <c r="AI1357" i="4" s="1"/>
  <c r="AI1152" i="4" s="1"/>
  <c r="L442" i="4"/>
  <c r="L410" i="4" s="1"/>
  <c r="AD1294" i="4"/>
  <c r="AJ135" i="3"/>
  <c r="AJ1277" i="4"/>
  <c r="AE207" i="3"/>
  <c r="O426" i="4"/>
  <c r="O428" i="4" s="1"/>
  <c r="O429" i="4"/>
  <c r="O707" i="4" s="1"/>
  <c r="AC227" i="3"/>
  <c r="AB226" i="3"/>
  <c r="W108" i="3"/>
  <c r="V106" i="3"/>
  <c r="AE1294" i="4" s="1"/>
  <c r="W1303" i="4"/>
  <c r="AF736" i="4"/>
  <c r="AF728" i="4"/>
  <c r="AE582" i="4"/>
  <c r="AE510" i="4"/>
  <c r="AF1350" i="4"/>
  <c r="AF1151" i="4"/>
  <c r="V728" i="4"/>
  <c r="AA193" i="3"/>
  <c r="AB200" i="3"/>
  <c r="AI107" i="3"/>
  <c r="AH1298" i="4"/>
  <c r="Z110" i="3"/>
  <c r="Z1313" i="4"/>
  <c r="AE1350" i="4"/>
  <c r="AE1151" i="4"/>
  <c r="I426" i="4"/>
  <c r="I428" i="4" s="1"/>
  <c r="I429" i="4"/>
  <c r="I707" i="4" s="1"/>
  <c r="Z748" i="4"/>
  <c r="Y171" i="4"/>
  <c r="Y174" i="4" s="1"/>
  <c r="Y523" i="4"/>
  <c r="Y515" i="4"/>
  <c r="Y527" i="4"/>
  <c r="Y516" i="4"/>
  <c r="Y521" i="4"/>
  <c r="Z527" i="4"/>
  <c r="Z516" i="4"/>
  <c r="Z523" i="4"/>
  <c r="Z515" i="4"/>
  <c r="Z521" i="4"/>
  <c r="R1368" i="4"/>
  <c r="Q1388" i="4"/>
  <c r="R1362" i="4"/>
  <c r="R1356" i="4"/>
  <c r="Q151" i="4"/>
  <c r="P148" i="4"/>
  <c r="U1365" i="4"/>
  <c r="U1363" i="4" s="1"/>
  <c r="U1153" i="4" s="1"/>
  <c r="U1353" i="4"/>
  <c r="U1351" i="4" s="1"/>
  <c r="U1359" i="4"/>
  <c r="U1357" i="4" s="1"/>
  <c r="U1152" i="4" s="1"/>
  <c r="T251" i="4"/>
  <c r="U250" i="4"/>
  <c r="S1365" i="4"/>
  <c r="S1363" i="4" s="1"/>
  <c r="S1153" i="4" s="1"/>
  <c r="S1359" i="4"/>
  <c r="S1357" i="4" s="1"/>
  <c r="S1152" i="4" s="1"/>
  <c r="S1353" i="4"/>
  <c r="S1351" i="4" s="1"/>
  <c r="AH1314" i="4"/>
  <c r="P251" i="4"/>
  <c r="O250" i="4"/>
  <c r="M129" i="3"/>
  <c r="O1252" i="4"/>
  <c r="M408" i="4"/>
  <c r="W426" i="4"/>
  <c r="W428" i="4" s="1"/>
  <c r="W429" i="4"/>
  <c r="W707" i="4" s="1"/>
  <c r="S207" i="3"/>
  <c r="S190" i="3" s="1"/>
  <c r="S348" i="4" s="1"/>
  <c r="T206" i="3"/>
  <c r="N131" i="3"/>
  <c r="P1257" i="4"/>
  <c r="Q746" i="4"/>
  <c r="R745" i="4"/>
  <c r="R743" i="4"/>
  <c r="R194" i="3"/>
  <c r="S192" i="3"/>
  <c r="S347" i="4" s="1"/>
  <c r="S191" i="3"/>
  <c r="AK1365" i="4"/>
  <c r="AK1363" i="4" s="1"/>
  <c r="AK1153" i="4" s="1"/>
  <c r="AK1359" i="4"/>
  <c r="AK1357" i="4" s="1"/>
  <c r="AK1152" i="4" s="1"/>
  <c r="AK1353" i="4"/>
  <c r="AK1351" i="4" s="1"/>
  <c r="AA156" i="4"/>
  <c r="Z153" i="4"/>
  <c r="R736" i="4"/>
  <c r="R737" i="4" s="1"/>
  <c r="R735" i="4" s="1"/>
  <c r="R733" i="4" s="1"/>
  <c r="Q582" i="4"/>
  <c r="Q510" i="4"/>
  <c r="R669" i="3"/>
  <c r="R670" i="3" s="1"/>
  <c r="R671" i="3" s="1"/>
  <c r="AG124" i="3"/>
  <c r="W120" i="3"/>
  <c r="W583" i="4" s="1"/>
  <c r="W607" i="4" s="1"/>
  <c r="X121" i="3"/>
  <c r="X1288" i="4"/>
  <c r="AJ429" i="4"/>
  <c r="AJ707" i="4" s="1"/>
  <c r="W1365" i="4"/>
  <c r="W1359" i="4"/>
  <c r="W1353" i="4"/>
  <c r="Q214" i="3"/>
  <c r="R213" i="3"/>
  <c r="L114" i="3"/>
  <c r="M113" i="3"/>
  <c r="U735" i="4"/>
  <c r="U733" i="4" s="1"/>
  <c r="V745" i="4"/>
  <c r="V743" i="4"/>
  <c r="W746" i="4"/>
  <c r="T1365" i="4"/>
  <c r="T1363" i="4" s="1"/>
  <c r="T1153" i="4" s="1"/>
  <c r="T1359" i="4"/>
  <c r="T1357" i="4" s="1"/>
  <c r="T1152" i="4" s="1"/>
  <c r="T1353" i="4"/>
  <c r="T1351" i="4" s="1"/>
  <c r="Z148" i="4"/>
  <c r="AA151" i="4"/>
  <c r="J426" i="4"/>
  <c r="J428" i="4" s="1"/>
  <c r="J429" i="4"/>
  <c r="J707" i="4" s="1"/>
  <c r="AJ147" i="4"/>
  <c r="AF147" i="4"/>
  <c r="AB147" i="4"/>
  <c r="X147" i="4"/>
  <c r="T147" i="4"/>
  <c r="P147" i="4"/>
  <c r="AI147" i="4"/>
  <c r="AE147" i="4"/>
  <c r="AA147" i="4"/>
  <c r="W147" i="4"/>
  <c r="S147" i="4"/>
  <c r="O147" i="4"/>
  <c r="P146" i="4" s="1"/>
  <c r="AH147" i="4"/>
  <c r="AD147" i="4"/>
  <c r="Z147" i="4"/>
  <c r="V147" i="4"/>
  <c r="R147" i="4"/>
  <c r="AK147" i="4"/>
  <c r="U147" i="4"/>
  <c r="AG147" i="4"/>
  <c r="Q147" i="4"/>
  <c r="AC147" i="4"/>
  <c r="Y147" i="4"/>
  <c r="Z146" i="4" s="1"/>
  <c r="Y1283" i="4"/>
  <c r="AC406" i="4"/>
  <c r="X123" i="3"/>
  <c r="Y124" i="3"/>
  <c r="AC526" i="4"/>
  <c r="AC525" i="4" s="1"/>
  <c r="AC518" i="4"/>
  <c r="S226" i="3"/>
  <c r="R227" i="3"/>
  <c r="R212" i="3" s="1"/>
  <c r="R169" i="4"/>
  <c r="Q166" i="4"/>
  <c r="X442" i="4"/>
  <c r="X410" i="4" s="1"/>
  <c r="R728" i="4"/>
  <c r="M124" i="3"/>
  <c r="N123" i="3"/>
  <c r="Z1248" i="4"/>
  <c r="AI1299" i="4"/>
  <c r="Y1263" i="4"/>
  <c r="AE125" i="3"/>
  <c r="AD123" i="3"/>
  <c r="AF121" i="3"/>
  <c r="AE120" i="3"/>
  <c r="AE583" i="4" s="1"/>
  <c r="AF1288" i="4"/>
  <c r="AB214" i="3"/>
  <c r="AA213" i="3"/>
  <c r="AA212" i="3"/>
  <c r="M442" i="4"/>
  <c r="M410" i="4" s="1"/>
  <c r="AE751" i="4"/>
  <c r="W128" i="3"/>
  <c r="W584" i="4" s="1"/>
  <c r="W608" i="4" s="1"/>
  <c r="X131" i="3"/>
  <c r="X1257" i="4"/>
  <c r="W129" i="3"/>
  <c r="V127" i="3"/>
  <c r="W1247" i="4" s="1"/>
  <c r="W1252" i="4"/>
  <c r="AH131" i="3"/>
  <c r="AG128" i="3"/>
  <c r="AG584" i="4" s="1"/>
  <c r="AH1257" i="4"/>
  <c r="O111" i="3"/>
  <c r="Q1323" i="4"/>
  <c r="P128" i="3"/>
  <c r="P584" i="4" s="1"/>
  <c r="AA194" i="3"/>
  <c r="Z190" i="3"/>
  <c r="Z348" i="4" s="1"/>
  <c r="Z192" i="3"/>
  <c r="Z347" i="4" s="1"/>
  <c r="Z191" i="3"/>
  <c r="AG108" i="3"/>
  <c r="AF106" i="3"/>
  <c r="AG1303" i="4"/>
  <c r="W1388" i="4"/>
  <c r="V1368" i="4"/>
  <c r="V1363" i="4" s="1"/>
  <c r="V1153" i="4" s="1"/>
  <c r="V1362" i="4"/>
  <c r="V1356" i="4"/>
  <c r="T346" i="4"/>
  <c r="AB169" i="4"/>
  <c r="AA166" i="4"/>
  <c r="AA415" i="4"/>
  <c r="AA416" i="4" s="1"/>
  <c r="AD1350" i="4"/>
  <c r="AD1151" i="4"/>
  <c r="AF429" i="4"/>
  <c r="AF707" i="4" s="1"/>
  <c r="AD429" i="4"/>
  <c r="AD707" i="4" s="1"/>
  <c r="AB426" i="4"/>
  <c r="AB428" i="4" s="1"/>
  <c r="AB429" i="4"/>
  <c r="AB707" i="4" s="1"/>
  <c r="AA426" i="4"/>
  <c r="AA428" i="4" s="1"/>
  <c r="AA429" i="4"/>
  <c r="AA707" i="4" s="1"/>
  <c r="AC429" i="4"/>
  <c r="Y410" i="4"/>
  <c r="Y432" i="4"/>
  <c r="Y713" i="4" s="1"/>
  <c r="Y441" i="4"/>
  <c r="Y722" i="4" s="1"/>
  <c r="Y438" i="4"/>
  <c r="Y719" i="4" s="1"/>
  <c r="Y431" i="4"/>
  <c r="Y712" i="4" s="1"/>
  <c r="Y437" i="4"/>
  <c r="Y718" i="4" s="1"/>
  <c r="Y430" i="4"/>
  <c r="Y711" i="4" s="1"/>
  <c r="Y433" i="4"/>
  <c r="Y714" i="4" s="1"/>
  <c r="Y434" i="4"/>
  <c r="Y715" i="4" s="1"/>
  <c r="Y440" i="4"/>
  <c r="Y721" i="4" s="1"/>
  <c r="Y443" i="4"/>
  <c r="Y691" i="4" s="1"/>
  <c r="Z408" i="4"/>
  <c r="Y435" i="4"/>
  <c r="Y716" i="4" s="1"/>
  <c r="Y436" i="4"/>
  <c r="Y717" i="4" s="1"/>
  <c r="Y439" i="4"/>
  <c r="Y720" i="4" s="1"/>
  <c r="AC403" i="4"/>
  <c r="AC515" i="4"/>
  <c r="AC516" i="4"/>
  <c r="AD515" i="4"/>
  <c r="AE515" i="4"/>
  <c r="AD516" i="4"/>
  <c r="AF515" i="4"/>
  <c r="AG515" i="4"/>
  <c r="AH515" i="4" s="1"/>
  <c r="AE516" i="4"/>
  <c r="AF516" i="4"/>
  <c r="AG516" i="4"/>
  <c r="AH516" i="4"/>
  <c r="AI516" i="4"/>
  <c r="W113" i="3" l="1"/>
  <c r="U727" i="4"/>
  <c r="U739" i="4" s="1"/>
  <c r="U740" i="4" s="1"/>
  <c r="AC1151" i="4"/>
  <c r="Z456" i="4"/>
  <c r="X1323" i="4"/>
  <c r="W511" i="4"/>
  <c r="Z433" i="4"/>
  <c r="Z447" i="4" s="1"/>
  <c r="Z698" i="4" s="1"/>
  <c r="Z434" i="4"/>
  <c r="Z448" i="4" s="1"/>
  <c r="Z699" i="4" s="1"/>
  <c r="Z436" i="4"/>
  <c r="Z717" i="4" s="1"/>
  <c r="AI1270" i="4"/>
  <c r="P1288" i="4"/>
  <c r="Z439" i="4"/>
  <c r="Z453" i="4" s="1"/>
  <c r="Z704" i="4" s="1"/>
  <c r="Z438" i="4"/>
  <c r="Z719" i="4" s="1"/>
  <c r="AJ1270" i="4"/>
  <c r="Z432" i="4"/>
  <c r="Z446" i="4" s="1"/>
  <c r="Z697" i="4" s="1"/>
  <c r="Z435" i="4"/>
  <c r="Z716" i="4" s="1"/>
  <c r="Z431" i="4"/>
  <c r="Z712" i="4" s="1"/>
  <c r="Z430" i="4"/>
  <c r="Z711" i="4" s="1"/>
  <c r="AC1270" i="4"/>
  <c r="AK1270" i="4"/>
  <c r="AJ1268" i="4"/>
  <c r="R1357" i="4"/>
  <c r="R1152" i="4" s="1"/>
  <c r="Z440" i="4"/>
  <c r="Z721" i="4" s="1"/>
  <c r="Z441" i="4"/>
  <c r="Z722" i="4" s="1"/>
  <c r="Z437" i="4"/>
  <c r="Z451" i="4" s="1"/>
  <c r="Z702" i="4" s="1"/>
  <c r="AB1267" i="4"/>
  <c r="O120" i="3"/>
  <c r="O583" i="4" s="1"/>
  <c r="P607" i="4" s="1"/>
  <c r="AB1270" i="4"/>
  <c r="AE1270" i="4"/>
  <c r="AG1270" i="4"/>
  <c r="N121" i="3"/>
  <c r="N120" i="3" s="1"/>
  <c r="N583" i="4" s="1"/>
  <c r="AF1270" i="4"/>
  <c r="Y1248" i="4"/>
  <c r="X136" i="3"/>
  <c r="X585" i="4" s="1"/>
  <c r="X609" i="4" s="1"/>
  <c r="AD518" i="4"/>
  <c r="X1282" i="4"/>
  <c r="V1351" i="4"/>
  <c r="V1151" i="4" s="1"/>
  <c r="Z346" i="4"/>
  <c r="W585" i="4"/>
  <c r="W609" i="4" s="1"/>
  <c r="R1363" i="4"/>
  <c r="R1153" i="4" s="1"/>
  <c r="O127" i="3"/>
  <c r="X1248" i="4" s="1"/>
  <c r="M135" i="3"/>
  <c r="O1277" i="4"/>
  <c r="W1278" i="4"/>
  <c r="L408" i="4"/>
  <c r="Z444" i="4"/>
  <c r="Z695" i="4" s="1"/>
  <c r="L431" i="4"/>
  <c r="L445" i="4" s="1"/>
  <c r="AG741" i="4"/>
  <c r="AG749" i="4"/>
  <c r="AE427" i="4"/>
  <c r="AG427" i="4" s="1"/>
  <c r="AG426" i="4" s="1"/>
  <c r="AG428" i="4" s="1"/>
  <c r="AG458" i="4" s="1"/>
  <c r="AC426" i="4"/>
  <c r="AC428" i="4" s="1"/>
  <c r="AC443" i="4" s="1"/>
  <c r="AC691" i="4" s="1"/>
  <c r="V1357" i="4"/>
  <c r="V1152" i="4" s="1"/>
  <c r="X432" i="4"/>
  <c r="X446" i="4" s="1"/>
  <c r="X697" i="4" s="1"/>
  <c r="L433" i="4"/>
  <c r="L447" i="4" s="1"/>
  <c r="L698" i="4" s="1"/>
  <c r="X433" i="4"/>
  <c r="X714" i="4" s="1"/>
  <c r="AE1248" i="4"/>
  <c r="L434" i="4"/>
  <c r="L715" i="4" s="1"/>
  <c r="Y447" i="4"/>
  <c r="Y698" i="4" s="1"/>
  <c r="X434" i="4"/>
  <c r="R1351" i="4"/>
  <c r="L456" i="4"/>
  <c r="AB208" i="3"/>
  <c r="AA206" i="3"/>
  <c r="AH513" i="4"/>
  <c r="AH523" i="4" s="1"/>
  <c r="AG513" i="4"/>
  <c r="AG523" i="4" s="1"/>
  <c r="AI514" i="4"/>
  <c r="AI521" i="4" s="1"/>
  <c r="AH514" i="4"/>
  <c r="AH521" i="4" s="1"/>
  <c r="AF513" i="4"/>
  <c r="AF523" i="4" s="1"/>
  <c r="AG514" i="4"/>
  <c r="AG521" i="4" s="1"/>
  <c r="AF514" i="4"/>
  <c r="AF521" i="4" s="1"/>
  <c r="AE514" i="4"/>
  <c r="AE521" i="4" s="1"/>
  <c r="AE513" i="4"/>
  <c r="AE523" i="4" s="1"/>
  <c r="AD513" i="4"/>
  <c r="AD523" i="4" s="1"/>
  <c r="AC513" i="4"/>
  <c r="AC523" i="4" s="1"/>
  <c r="AD514" i="4"/>
  <c r="AD521" i="4" s="1"/>
  <c r="AC514" i="4"/>
  <c r="AC521" i="4" s="1"/>
  <c r="K443" i="4"/>
  <c r="K691" i="4" s="1"/>
  <c r="AH128" i="3"/>
  <c r="AH584" i="4" s="1"/>
  <c r="AI131" i="3"/>
  <c r="AI1257" i="4"/>
  <c r="M436" i="4"/>
  <c r="K114" i="3"/>
  <c r="L113" i="3"/>
  <c r="AH124" i="3"/>
  <c r="AA153" i="4"/>
  <c r="AB156" i="4"/>
  <c r="M456" i="4"/>
  <c r="AA110" i="3"/>
  <c r="AA1313" i="4"/>
  <c r="AI1314" i="4"/>
  <c r="AF127" i="3"/>
  <c r="AG1247" i="4" s="1"/>
  <c r="AG129" i="3"/>
  <c r="AG1252" i="4"/>
  <c r="N107" i="3"/>
  <c r="O106" i="3"/>
  <c r="O1298" i="4"/>
  <c r="X1299" i="4"/>
  <c r="R425" i="4"/>
  <c r="Q422" i="4"/>
  <c r="AG1350" i="4"/>
  <c r="AG1151" i="4"/>
  <c r="AG736" i="4"/>
  <c r="AG728" i="4"/>
  <c r="AF510" i="4"/>
  <c r="AF582" i="4"/>
  <c r="AG1293" i="4"/>
  <c r="N111" i="3"/>
  <c r="P1323" i="4"/>
  <c r="X1324" i="4"/>
  <c r="M435" i="4"/>
  <c r="X440" i="4"/>
  <c r="X438" i="4"/>
  <c r="AD406" i="4"/>
  <c r="AE406" i="4" s="1"/>
  <c r="AC415" i="4"/>
  <c r="AC416" i="4" s="1"/>
  <c r="AA146" i="4"/>
  <c r="Z143" i="4"/>
  <c r="AB151" i="4"/>
  <c r="AA148" i="4"/>
  <c r="Y121" i="3"/>
  <c r="X120" i="3"/>
  <c r="X583" i="4" s="1"/>
  <c r="X607" i="4" s="1"/>
  <c r="Y1288" i="4"/>
  <c r="AG1289" i="4"/>
  <c r="AK1350" i="4"/>
  <c r="AK1151" i="4"/>
  <c r="S608" i="4"/>
  <c r="R608" i="4"/>
  <c r="Q608" i="4"/>
  <c r="AE526" i="4"/>
  <c r="AE525" i="4" s="1"/>
  <c r="AE518" i="4"/>
  <c r="O443" i="4"/>
  <c r="O691" i="4" s="1"/>
  <c r="L439" i="4"/>
  <c r="L437" i="4"/>
  <c r="R525" i="4"/>
  <c r="X456" i="4"/>
  <c r="U526" i="4"/>
  <c r="U525" i="4" s="1"/>
  <c r="U518" i="4"/>
  <c r="AG114" i="3"/>
  <c r="AF113" i="3"/>
  <c r="Y451" i="4"/>
  <c r="Y702" i="4" s="1"/>
  <c r="AH108" i="3"/>
  <c r="AH1303" i="4"/>
  <c r="AG106" i="3"/>
  <c r="AA192" i="3"/>
  <c r="AA347" i="4" s="1"/>
  <c r="AA191" i="3"/>
  <c r="AB194" i="3"/>
  <c r="AA190" i="3"/>
  <c r="AA348" i="4" s="1"/>
  <c r="W127" i="3"/>
  <c r="X129" i="3"/>
  <c r="AF1253" i="4"/>
  <c r="X1252" i="4"/>
  <c r="AF751" i="4"/>
  <c r="M434" i="4"/>
  <c r="M438" i="4"/>
  <c r="M433" i="4"/>
  <c r="X436" i="4"/>
  <c r="X431" i="4"/>
  <c r="X441" i="4"/>
  <c r="S169" i="4"/>
  <c r="R166" i="4"/>
  <c r="Q146" i="4"/>
  <c r="P143" i="4"/>
  <c r="Q526" i="4"/>
  <c r="Q525" i="4" s="1"/>
  <c r="Q518" i="4"/>
  <c r="S346" i="4"/>
  <c r="Q745" i="4"/>
  <c r="Q743" i="4"/>
  <c r="W442" i="4"/>
  <c r="W410" i="4" s="1"/>
  <c r="U251" i="4"/>
  <c r="V250" i="4"/>
  <c r="W736" i="4"/>
  <c r="W737" i="4" s="1"/>
  <c r="V582" i="4"/>
  <c r="V606" i="4" s="1"/>
  <c r="V510" i="4"/>
  <c r="W669" i="3"/>
  <c r="W670" i="3" s="1"/>
  <c r="W671" i="3" s="1"/>
  <c r="W728" i="4"/>
  <c r="W1293" i="4"/>
  <c r="O442" i="4"/>
  <c r="O410" i="4" s="1"/>
  <c r="AK135" i="3"/>
  <c r="AK1277" i="4"/>
  <c r="L432" i="4"/>
  <c r="L436" i="4"/>
  <c r="L441" i="4"/>
  <c r="M121" i="3"/>
  <c r="O1288" i="4"/>
  <c r="X408" i="4"/>
  <c r="V428" i="4"/>
  <c r="V442" i="4" s="1"/>
  <c r="V410" i="4" s="1"/>
  <c r="AJ1350" i="4"/>
  <c r="AJ1151" i="4"/>
  <c r="N442" i="4"/>
  <c r="N410" i="4" s="1"/>
  <c r="O585" i="4"/>
  <c r="P609" i="4" s="1"/>
  <c r="N136" i="3"/>
  <c r="P1282" i="4"/>
  <c r="X1283" i="4"/>
  <c r="N132" i="3"/>
  <c r="N128" i="3" s="1"/>
  <c r="N584" i="4" s="1"/>
  <c r="P1262" i="4"/>
  <c r="X1263" i="4"/>
  <c r="R156" i="4"/>
  <c r="Q153" i="4"/>
  <c r="P193" i="3"/>
  <c r="O200" i="3"/>
  <c r="AC169" i="4"/>
  <c r="AB166" i="4"/>
  <c r="Y131" i="3"/>
  <c r="X128" i="3"/>
  <c r="X584" i="4" s="1"/>
  <c r="X608" i="4" s="1"/>
  <c r="Y1257" i="4"/>
  <c r="AG1258" i="4"/>
  <c r="M439" i="4"/>
  <c r="M441" i="4"/>
  <c r="R727" i="4"/>
  <c r="J443" i="4"/>
  <c r="J691" i="4" s="1"/>
  <c r="M131" i="3"/>
  <c r="W1258" i="4"/>
  <c r="O1257" i="4"/>
  <c r="O251" i="4"/>
  <c r="N250" i="4"/>
  <c r="R151" i="4"/>
  <c r="Q148" i="4"/>
  <c r="I443" i="4"/>
  <c r="I691" i="4" s="1"/>
  <c r="AC200" i="3"/>
  <c r="AB193" i="3"/>
  <c r="AA1298" i="4"/>
  <c r="AK1301" i="4"/>
  <c r="AF1301" i="4"/>
  <c r="AJ1301" i="4"/>
  <c r="AH1301" i="4"/>
  <c r="AG1301" i="4"/>
  <c r="AJ1299" i="4"/>
  <c r="AI1301" i="4"/>
  <c r="AC1301" i="4"/>
  <c r="AE1301" i="4"/>
  <c r="AB1301" i="4"/>
  <c r="AD1301" i="4"/>
  <c r="Y446" i="4"/>
  <c r="Y697" i="4" s="1"/>
  <c r="M430" i="4"/>
  <c r="M440" i="4"/>
  <c r="S739" i="4"/>
  <c r="X437" i="4"/>
  <c r="W443" i="4"/>
  <c r="W691" i="4" s="1"/>
  <c r="U1350" i="4"/>
  <c r="U1151" i="4"/>
  <c r="Y114" i="3"/>
  <c r="X113" i="3"/>
  <c r="AA748" i="4"/>
  <c r="AC226" i="3"/>
  <c r="AD227" i="3"/>
  <c r="L438" i="4"/>
  <c r="W1362" i="4"/>
  <c r="W1357" i="4" s="1"/>
  <c r="W1152" i="4" s="1"/>
  <c r="X1388" i="4"/>
  <c r="W1368" i="4"/>
  <c r="W1363" i="4" s="1"/>
  <c r="W1153" i="4" s="1"/>
  <c r="W1356" i="4"/>
  <c r="W1351" i="4" s="1"/>
  <c r="P608" i="4"/>
  <c r="M431" i="4"/>
  <c r="M432" i="4"/>
  <c r="M437" i="4"/>
  <c r="AB213" i="3"/>
  <c r="AB212" i="3"/>
  <c r="AC214" i="3"/>
  <c r="AG121" i="3"/>
  <c r="AF120" i="3"/>
  <c r="AF583" i="4" s="1"/>
  <c r="AG1288" i="4"/>
  <c r="AF125" i="3"/>
  <c r="AE123" i="3"/>
  <c r="L124" i="3"/>
  <c r="M123" i="3"/>
  <c r="X435" i="4"/>
  <c r="X439" i="4"/>
  <c r="X430" i="4"/>
  <c r="Q227" i="3"/>
  <c r="Q212" i="3" s="1"/>
  <c r="R226" i="3"/>
  <c r="Z124" i="3"/>
  <c r="Y123" i="3"/>
  <c r="J442" i="4"/>
  <c r="J410" i="4" s="1"/>
  <c r="T1350" i="4"/>
  <c r="T1151" i="4"/>
  <c r="W743" i="4"/>
  <c r="X746" i="4"/>
  <c r="W745" i="4"/>
  <c r="P214" i="3"/>
  <c r="Q213" i="3"/>
  <c r="Q194" i="3"/>
  <c r="R192" i="3"/>
  <c r="R347" i="4" s="1"/>
  <c r="R191" i="3"/>
  <c r="S206" i="3"/>
  <c r="R207" i="3"/>
  <c r="R190" i="3" s="1"/>
  <c r="R348" i="4" s="1"/>
  <c r="N1252" i="4"/>
  <c r="L129" i="3"/>
  <c r="V1253" i="4"/>
  <c r="S1350" i="4"/>
  <c r="S1151" i="4"/>
  <c r="Q1368" i="4"/>
  <c r="Q1363" i="4" s="1"/>
  <c r="Q1153" i="4" s="1"/>
  <c r="Q1362" i="4"/>
  <c r="Q1357" i="4" s="1"/>
  <c r="Q1152" i="4" s="1"/>
  <c r="Q1356" i="4"/>
  <c r="Q1351" i="4" s="1"/>
  <c r="I442" i="4"/>
  <c r="I410" i="4" s="1"/>
  <c r="AJ107" i="3"/>
  <c r="AI1298" i="4"/>
  <c r="X1303" i="4"/>
  <c r="X108" i="3"/>
  <c r="W106" i="3"/>
  <c r="AF1304" i="4"/>
  <c r="AF207" i="3"/>
  <c r="L440" i="4"/>
  <c r="L435" i="4"/>
  <c r="L430" i="4"/>
  <c r="AI1350" i="4"/>
  <c r="AI1151" i="4"/>
  <c r="Y111" i="3"/>
  <c r="Y1323" i="4"/>
  <c r="X511" i="4"/>
  <c r="AG1324" i="4"/>
  <c r="N443" i="4"/>
  <c r="N691" i="4" s="1"/>
  <c r="Q736" i="4"/>
  <c r="Q737" i="4" s="1"/>
  <c r="Q735" i="4" s="1"/>
  <c r="Q733" i="4" s="1"/>
  <c r="Q728" i="4"/>
  <c r="P510" i="4"/>
  <c r="Q669" i="3"/>
  <c r="Q670" i="3" s="1"/>
  <c r="Q671" i="3" s="1"/>
  <c r="P582" i="4"/>
  <c r="Q1293" i="4"/>
  <c r="V735" i="4"/>
  <c r="V733" i="4" s="1"/>
  <c r="V727" i="4" s="1"/>
  <c r="P426" i="4"/>
  <c r="P428" i="4" s="1"/>
  <c r="P429" i="4"/>
  <c r="P707" i="4" s="1"/>
  <c r="AG585" i="4"/>
  <c r="AH136" i="3"/>
  <c r="AH1282" i="4"/>
  <c r="K442" i="4"/>
  <c r="K410" i="4" s="1"/>
  <c r="T724" i="4"/>
  <c r="T726" i="4"/>
  <c r="Y450" i="4"/>
  <c r="Y701" i="4" s="1"/>
  <c r="AF468" i="4"/>
  <c r="AF466" i="4"/>
  <c r="AF464" i="4"/>
  <c r="AF462" i="4"/>
  <c r="AF460" i="4"/>
  <c r="AF458" i="4"/>
  <c r="AF456" i="4"/>
  <c r="AF465" i="4"/>
  <c r="AF459" i="4"/>
  <c r="AF408" i="4"/>
  <c r="AF463" i="4"/>
  <c r="AF467" i="4"/>
  <c r="AF461" i="4"/>
  <c r="AF457" i="4"/>
  <c r="AF442" i="4"/>
  <c r="AF410" i="4" s="1"/>
  <c r="AF440" i="4"/>
  <c r="AF721" i="4" s="1"/>
  <c r="AF438" i="4"/>
  <c r="AF719" i="4" s="1"/>
  <c r="AF436" i="4"/>
  <c r="AF717" i="4" s="1"/>
  <c r="AF434" i="4"/>
  <c r="AF715" i="4" s="1"/>
  <c r="AF432" i="4"/>
  <c r="AF713" i="4" s="1"/>
  <c r="AF430" i="4"/>
  <c r="AF711" i="4" s="1"/>
  <c r="AF437" i="4"/>
  <c r="AF718" i="4" s="1"/>
  <c r="AF439" i="4"/>
  <c r="AF720" i="4" s="1"/>
  <c r="AF433" i="4"/>
  <c r="AF714" i="4" s="1"/>
  <c r="AF710" i="4" s="1"/>
  <c r="AF441" i="4"/>
  <c r="AF722" i="4" s="1"/>
  <c r="AG709" i="4" s="1"/>
  <c r="AF435" i="4"/>
  <c r="AF716" i="4" s="1"/>
  <c r="AF708" i="4" s="1"/>
  <c r="AF431" i="4"/>
  <c r="AF712" i="4" s="1"/>
  <c r="AD428" i="4"/>
  <c r="AD442" i="4" s="1"/>
  <c r="AD410" i="4" s="1"/>
  <c r="AA443" i="4"/>
  <c r="AA691" i="4" s="1"/>
  <c r="AC707" i="4"/>
  <c r="AB443" i="4"/>
  <c r="AB691" i="4" s="1"/>
  <c r="AA442" i="4"/>
  <c r="AB442" i="4"/>
  <c r="AB410" i="4" s="1"/>
  <c r="Y408" i="4"/>
  <c r="Y456" i="4"/>
  <c r="Y708" i="4"/>
  <c r="Y454" i="4"/>
  <c r="Y705" i="4" s="1"/>
  <c r="Y445" i="4"/>
  <c r="Y696" i="4" s="1"/>
  <c r="Y449" i="4"/>
  <c r="Y700" i="4" s="1"/>
  <c r="Y444" i="4"/>
  <c r="Y710" i="4"/>
  <c r="Z714" i="4"/>
  <c r="Z713" i="4"/>
  <c r="Y453" i="4"/>
  <c r="Y704" i="4" s="1"/>
  <c r="Y448" i="4"/>
  <c r="Y699" i="4" s="1"/>
  <c r="Y452" i="4"/>
  <c r="Y455" i="4"/>
  <c r="Y706" i="4" s="1"/>
  <c r="AJ516" i="4"/>
  <c r="AI515" i="4"/>
  <c r="AK516" i="4"/>
  <c r="AJ515" i="4"/>
  <c r="AK515" i="4"/>
  <c r="Z720" i="4" l="1"/>
  <c r="Z455" i="4"/>
  <c r="Z706" i="4" s="1"/>
  <c r="Z454" i="4"/>
  <c r="Z705" i="4" s="1"/>
  <c r="Z715" i="4"/>
  <c r="Z710" i="4" s="1"/>
  <c r="Z449" i="4"/>
  <c r="Z700" i="4" s="1"/>
  <c r="R607" i="4"/>
  <c r="AJ513" i="4"/>
  <c r="AJ523" i="4" s="1"/>
  <c r="AK514" i="4"/>
  <c r="AK521" i="4" s="1"/>
  <c r="AI513" i="4"/>
  <c r="AI523" i="4" s="1"/>
  <c r="AJ514" i="4"/>
  <c r="AJ521" i="4" s="1"/>
  <c r="Z450" i="4"/>
  <c r="Z701" i="4" s="1"/>
  <c r="S607" i="4"/>
  <c r="Q607" i="4"/>
  <c r="W1289" i="4"/>
  <c r="Z452" i="4"/>
  <c r="Z703" i="4" s="1"/>
  <c r="AK513" i="4"/>
  <c r="AK523" i="4" s="1"/>
  <c r="Z445" i="4"/>
  <c r="Z696" i="4" s="1"/>
  <c r="Z718" i="4"/>
  <c r="L712" i="4"/>
  <c r="R1350" i="4"/>
  <c r="AG1283" i="4"/>
  <c r="AG435" i="4"/>
  <c r="AG716" i="4" s="1"/>
  <c r="AG708" i="4" s="1"/>
  <c r="Y1282" i="4"/>
  <c r="U725" i="4"/>
  <c r="Y136" i="3"/>
  <c r="Z136" i="3" s="1"/>
  <c r="X713" i="4"/>
  <c r="X447" i="4"/>
  <c r="X698" i="4" s="1"/>
  <c r="X678" i="4" s="1"/>
  <c r="P1247" i="4"/>
  <c r="L135" i="3"/>
  <c r="V1278" i="4"/>
  <c r="N1277" i="4"/>
  <c r="R1151" i="4"/>
  <c r="K435" i="4"/>
  <c r="K716" i="4" s="1"/>
  <c r="Y460" i="4"/>
  <c r="L696" i="4"/>
  <c r="L458" i="4"/>
  <c r="N408" i="4"/>
  <c r="L714" i="4"/>
  <c r="O408" i="4"/>
  <c r="Y459" i="4"/>
  <c r="Y463" i="4"/>
  <c r="Z457" i="4"/>
  <c r="Y464" i="4"/>
  <c r="AG440" i="4"/>
  <c r="AG721" i="4" s="1"/>
  <c r="AG431" i="4"/>
  <c r="AG712" i="4" s="1"/>
  <c r="V1350" i="4"/>
  <c r="Y466" i="4"/>
  <c r="AH741" i="4"/>
  <c r="AH749" i="4"/>
  <c r="AG408" i="4"/>
  <c r="AG457" i="4"/>
  <c r="AG439" i="4"/>
  <c r="AG720" i="4" s="1"/>
  <c r="AG434" i="4"/>
  <c r="AG715" i="4" s="1"/>
  <c r="AG433" i="4"/>
  <c r="AG714" i="4" s="1"/>
  <c r="AG710" i="4" s="1"/>
  <c r="AG460" i="4"/>
  <c r="AG461" i="4"/>
  <c r="AC442" i="4"/>
  <c r="AC430" i="4" s="1"/>
  <c r="AG430" i="4"/>
  <c r="AG711" i="4" s="1"/>
  <c r="AG432" i="4"/>
  <c r="AG713" i="4" s="1"/>
  <c r="AG437" i="4"/>
  <c r="AG718" i="4" s="1"/>
  <c r="AG467" i="4"/>
  <c r="AG462" i="4"/>
  <c r="AI427" i="4"/>
  <c r="AI426" i="4" s="1"/>
  <c r="AI431" i="4" s="1"/>
  <c r="AI712" i="4" s="1"/>
  <c r="AH427" i="4"/>
  <c r="AH426" i="4" s="1"/>
  <c r="AH440" i="4" s="1"/>
  <c r="AH721" i="4" s="1"/>
  <c r="AG442" i="4"/>
  <c r="AG410" i="4" s="1"/>
  <c r="AG438" i="4"/>
  <c r="AG719" i="4" s="1"/>
  <c r="AG436" i="4"/>
  <c r="AG717" i="4" s="1"/>
  <c r="AG441" i="4"/>
  <c r="AG722" i="4" s="1"/>
  <c r="AH709" i="4" s="1"/>
  <c r="AG456" i="4"/>
  <c r="AG466" i="4"/>
  <c r="AG468" i="4"/>
  <c r="AG464" i="4"/>
  <c r="AG465" i="4"/>
  <c r="AG459" i="4"/>
  <c r="AG463" i="4"/>
  <c r="AE426" i="4"/>
  <c r="AE428" i="4" s="1"/>
  <c r="AC208" i="3"/>
  <c r="AB206" i="3"/>
  <c r="Y467" i="4"/>
  <c r="X448" i="4"/>
  <c r="X699" i="4" s="1"/>
  <c r="N430" i="4"/>
  <c r="N711" i="4" s="1"/>
  <c r="N439" i="4"/>
  <c r="N720" i="4" s="1"/>
  <c r="V439" i="4"/>
  <c r="V720" i="4" s="1"/>
  <c r="O432" i="4"/>
  <c r="O713" i="4" s="1"/>
  <c r="W432" i="4"/>
  <c r="W713" i="4" s="1"/>
  <c r="X459" i="4"/>
  <c r="AB435" i="4"/>
  <c r="AB716" i="4" s="1"/>
  <c r="K433" i="4"/>
  <c r="K714" i="4" s="1"/>
  <c r="W408" i="4"/>
  <c r="X715" i="4"/>
  <c r="N438" i="4"/>
  <c r="N432" i="4"/>
  <c r="O430" i="4"/>
  <c r="O711" i="4" s="1"/>
  <c r="W430" i="4"/>
  <c r="N441" i="4"/>
  <c r="K430" i="4"/>
  <c r="K711" i="4" s="1"/>
  <c r="N127" i="3"/>
  <c r="W1248" i="4" s="1"/>
  <c r="N433" i="4"/>
  <c r="N714" i="4" s="1"/>
  <c r="O435" i="4"/>
  <c r="O716" i="4" s="1"/>
  <c r="W435" i="4"/>
  <c r="AA346" i="4"/>
  <c r="L448" i="4"/>
  <c r="L699" i="4" s="1"/>
  <c r="K456" i="4"/>
  <c r="AA408" i="4"/>
  <c r="V739" i="4"/>
  <c r="V725" i="4" s="1"/>
  <c r="W1350" i="4"/>
  <c r="W1151" i="4"/>
  <c r="Q1350" i="4"/>
  <c r="Q1151" i="4"/>
  <c r="Q727" i="4"/>
  <c r="I436" i="4"/>
  <c r="M1252" i="4"/>
  <c r="K129" i="3"/>
  <c r="U1253" i="4"/>
  <c r="X711" i="4"/>
  <c r="X444" i="4"/>
  <c r="X695" i="4" s="1"/>
  <c r="AE227" i="3"/>
  <c r="AD226" i="3"/>
  <c r="V435" i="4"/>
  <c r="V716" i="4" s="1"/>
  <c r="M716" i="4"/>
  <c r="M449" i="4"/>
  <c r="M700" i="4" s="1"/>
  <c r="Q426" i="4"/>
  <c r="Q429" i="4"/>
  <c r="Q707" i="4" s="1"/>
  <c r="K441" i="4"/>
  <c r="K434" i="4"/>
  <c r="K439" i="4"/>
  <c r="P443" i="4"/>
  <c r="P691" i="4" s="1"/>
  <c r="L711" i="4"/>
  <c r="L444" i="4"/>
  <c r="L695" i="4" s="1"/>
  <c r="AG207" i="3"/>
  <c r="X736" i="4"/>
  <c r="X737" i="4" s="1"/>
  <c r="W582" i="4"/>
  <c r="W606" i="4" s="1"/>
  <c r="W510" i="4"/>
  <c r="X669" i="3"/>
  <c r="X670" i="3" s="1"/>
  <c r="X671" i="3" s="1"/>
  <c r="X728" i="4"/>
  <c r="X1293" i="4"/>
  <c r="AF1294" i="4"/>
  <c r="I431" i="4"/>
  <c r="I435" i="4"/>
  <c r="I440" i="4"/>
  <c r="J433" i="4"/>
  <c r="J437" i="4"/>
  <c r="J432" i="4"/>
  <c r="AA124" i="3"/>
  <c r="AA123" i="3" s="1"/>
  <c r="Z123" i="3"/>
  <c r="X720" i="4"/>
  <c r="X453" i="4"/>
  <c r="X704" i="4" s="1"/>
  <c r="AH1288" i="4"/>
  <c r="AH121" i="3"/>
  <c r="AG120" i="3"/>
  <c r="AG583" i="4" s="1"/>
  <c r="M718" i="4"/>
  <c r="M451" i="4"/>
  <c r="M702" i="4" s="1"/>
  <c r="Z114" i="3"/>
  <c r="Y113" i="3"/>
  <c r="M721" i="4"/>
  <c r="M454" i="4"/>
  <c r="M705" i="4" s="1"/>
  <c r="S151" i="4"/>
  <c r="R148" i="4"/>
  <c r="J408" i="4"/>
  <c r="M720" i="4"/>
  <c r="M453" i="4"/>
  <c r="M704" i="4" s="1"/>
  <c r="Y128" i="3"/>
  <c r="Y584" i="4" s="1"/>
  <c r="Y608" i="4" s="1"/>
  <c r="Z131" i="3"/>
  <c r="Z1257" i="4"/>
  <c r="AH1258" i="4"/>
  <c r="O1282" i="4"/>
  <c r="N585" i="4"/>
  <c r="M136" i="3"/>
  <c r="W1283" i="4"/>
  <c r="L717" i="4"/>
  <c r="L450" i="4"/>
  <c r="L701" i="4" s="1"/>
  <c r="O440" i="4"/>
  <c r="O434" i="4"/>
  <c r="O439" i="4"/>
  <c r="V526" i="4"/>
  <c r="V525" i="4" s="1"/>
  <c r="V518" i="4"/>
  <c r="W440" i="4"/>
  <c r="W434" i="4"/>
  <c r="W439" i="4"/>
  <c r="R146" i="4"/>
  <c r="Q143" i="4"/>
  <c r="X712" i="4"/>
  <c r="X445" i="4"/>
  <c r="X696" i="4" s="1"/>
  <c r="M719" i="4"/>
  <c r="M452" i="4"/>
  <c r="M703" i="4" s="1"/>
  <c r="X1247" i="4"/>
  <c r="AF1248" i="4"/>
  <c r="V430" i="4"/>
  <c r="V711" i="4" s="1"/>
  <c r="V433" i="4"/>
  <c r="V714" i="4" s="1"/>
  <c r="L720" i="4"/>
  <c r="L453" i="4"/>
  <c r="L704" i="4" s="1"/>
  <c r="O456" i="4"/>
  <c r="Z171" i="4"/>
  <c r="Z174" i="4" s="1"/>
  <c r="AD415" i="4"/>
  <c r="AD416" i="4" s="1"/>
  <c r="AF406" i="4"/>
  <c r="R422" i="4"/>
  <c r="S425" i="4"/>
  <c r="M107" i="3"/>
  <c r="N106" i="3"/>
  <c r="N1298" i="4"/>
  <c r="W1299" i="4"/>
  <c r="X677" i="4"/>
  <c r="X945" i="4" s="1"/>
  <c r="AI128" i="3"/>
  <c r="AI584" i="4" s="1"/>
  <c r="AJ131" i="3"/>
  <c r="AJ1257" i="4"/>
  <c r="J439" i="4"/>
  <c r="K124" i="3"/>
  <c r="L123" i="3"/>
  <c r="J456" i="4"/>
  <c r="M722" i="4"/>
  <c r="M455" i="4"/>
  <c r="M706" i="4" s="1"/>
  <c r="X722" i="4"/>
  <c r="Y709" i="4" s="1"/>
  <c r="X455" i="4"/>
  <c r="X706" i="4" s="1"/>
  <c r="X127" i="3"/>
  <c r="Y129" i="3"/>
  <c r="Y1252" i="4"/>
  <c r="AG1253" i="4"/>
  <c r="AH114" i="3"/>
  <c r="AG113" i="3"/>
  <c r="V440" i="4"/>
  <c r="V721" i="4" s="1"/>
  <c r="AE415" i="4"/>
  <c r="AH129" i="3"/>
  <c r="AG127" i="3"/>
  <c r="AH1247" i="4" s="1"/>
  <c r="AH1252" i="4"/>
  <c r="AB153" i="4"/>
  <c r="AC156" i="4"/>
  <c r="U724" i="4"/>
  <c r="U726" i="4"/>
  <c r="K437" i="4"/>
  <c r="K432" i="4"/>
  <c r="K438" i="4"/>
  <c r="P442" i="4"/>
  <c r="P410" i="4" s="1"/>
  <c r="Z111" i="3"/>
  <c r="Z1323" i="4"/>
  <c r="AH1324" i="4"/>
  <c r="Y511" i="4"/>
  <c r="L716" i="4"/>
  <c r="L449" i="4"/>
  <c r="L700" i="4" s="1"/>
  <c r="Y108" i="3"/>
  <c r="Y1303" i="4"/>
  <c r="X106" i="3"/>
  <c r="AG1304" i="4"/>
  <c r="AJ1298" i="4"/>
  <c r="AK107" i="3"/>
  <c r="I439" i="4"/>
  <c r="I434" i="4"/>
  <c r="I433" i="4"/>
  <c r="R346" i="4"/>
  <c r="J441" i="4"/>
  <c r="J431" i="4"/>
  <c r="J436" i="4"/>
  <c r="X716" i="4"/>
  <c r="X449" i="4"/>
  <c r="X700" i="4" s="1"/>
  <c r="AG125" i="3"/>
  <c r="AF123" i="3"/>
  <c r="AC212" i="3"/>
  <c r="AD214" i="3"/>
  <c r="AC213" i="3"/>
  <c r="M713" i="4"/>
  <c r="M446" i="4"/>
  <c r="M697" i="4" s="1"/>
  <c r="X1356" i="4"/>
  <c r="X1351" i="4" s="1"/>
  <c r="Y1388" i="4"/>
  <c r="X1362" i="4"/>
  <c r="X1357" i="4" s="1"/>
  <c r="X1152" i="4" s="1"/>
  <c r="X1368" i="4"/>
  <c r="X1363" i="4" s="1"/>
  <c r="X1153" i="4" s="1"/>
  <c r="M711" i="4"/>
  <c r="M444" i="4"/>
  <c r="M695" i="4" s="1"/>
  <c r="I408" i="4"/>
  <c r="M250" i="4"/>
  <c r="M251" i="4" s="1"/>
  <c r="N251" i="4"/>
  <c r="L131" i="3"/>
  <c r="N1257" i="4"/>
  <c r="V1258" i="4"/>
  <c r="R739" i="4"/>
  <c r="M132" i="3"/>
  <c r="O1262" i="4"/>
  <c r="W1263" i="4"/>
  <c r="S609" i="4"/>
  <c r="R609" i="4"/>
  <c r="Q609" i="4"/>
  <c r="N437" i="4"/>
  <c r="N431" i="4"/>
  <c r="N436" i="4"/>
  <c r="V443" i="4"/>
  <c r="V691" i="4" s="1"/>
  <c r="L713" i="4"/>
  <c r="L446" i="4"/>
  <c r="L697" i="4" s="1"/>
  <c r="O433" i="4"/>
  <c r="O437" i="4"/>
  <c r="O438" i="4"/>
  <c r="W433" i="4"/>
  <c r="W437" i="4"/>
  <c r="W438" i="4"/>
  <c r="X717" i="4"/>
  <c r="X450" i="4"/>
  <c r="X701" i="4" s="1"/>
  <c r="M715" i="4"/>
  <c r="M448" i="4"/>
  <c r="M699" i="4" s="1"/>
  <c r="AH736" i="4"/>
  <c r="AH728" i="4"/>
  <c r="AG582" i="4"/>
  <c r="AG510" i="4"/>
  <c r="AH1293" i="4"/>
  <c r="V438" i="4"/>
  <c r="V719" i="4" s="1"/>
  <c r="V441" i="4"/>
  <c r="V722" i="4" s="1"/>
  <c r="V432" i="4"/>
  <c r="V713" i="4" s="1"/>
  <c r="Z1288" i="4"/>
  <c r="Z121" i="3"/>
  <c r="Y120" i="3"/>
  <c r="Y583" i="4" s="1"/>
  <c r="Y607" i="4" s="1"/>
  <c r="AH1289" i="4"/>
  <c r="AB146" i="4"/>
  <c r="AA143" i="4"/>
  <c r="X719" i="4"/>
  <c r="X452" i="4"/>
  <c r="X703" i="4" s="1"/>
  <c r="AF526" i="4"/>
  <c r="AF525" i="4" s="1"/>
  <c r="AF518" i="4"/>
  <c r="AJ1314" i="4"/>
  <c r="AB1313" i="4"/>
  <c r="AE1316" i="4"/>
  <c r="AD1316" i="4"/>
  <c r="AB1316" i="4"/>
  <c r="AH1316" i="4"/>
  <c r="AI1316" i="4"/>
  <c r="AJ1316" i="4"/>
  <c r="AK1316" i="4"/>
  <c r="AG1316" i="4"/>
  <c r="AC1316" i="4"/>
  <c r="AF1316" i="4"/>
  <c r="AI124" i="3"/>
  <c r="J114" i="3"/>
  <c r="K113" i="3"/>
  <c r="K408" i="4"/>
  <c r="AH585" i="4"/>
  <c r="AI136" i="3"/>
  <c r="AI1282" i="4"/>
  <c r="I438" i="4"/>
  <c r="I441" i="4"/>
  <c r="O214" i="3"/>
  <c r="P213" i="3"/>
  <c r="J438" i="4"/>
  <c r="S724" i="4"/>
  <c r="S726" i="4"/>
  <c r="T725" i="4"/>
  <c r="AD200" i="3"/>
  <c r="AC193" i="3"/>
  <c r="L722" i="4"/>
  <c r="L455" i="4"/>
  <c r="L706" i="4" s="1"/>
  <c r="P171" i="4"/>
  <c r="P174" i="4" s="1"/>
  <c r="M714" i="4"/>
  <c r="M447" i="4"/>
  <c r="M698" i="4" s="1"/>
  <c r="AI108" i="3"/>
  <c r="AI1303" i="4"/>
  <c r="AH106" i="3"/>
  <c r="V434" i="4"/>
  <c r="V715" i="4" s="1"/>
  <c r="L718" i="4"/>
  <c r="L451" i="4"/>
  <c r="L702" i="4" s="1"/>
  <c r="AC151" i="4"/>
  <c r="AB148" i="4"/>
  <c r="O582" i="4"/>
  <c r="P606" i="4" s="1"/>
  <c r="O510" i="4"/>
  <c r="P1293" i="4"/>
  <c r="X1294" i="4"/>
  <c r="Y458" i="4"/>
  <c r="AC408" i="4"/>
  <c r="K436" i="4"/>
  <c r="K440" i="4"/>
  <c r="K431" i="4"/>
  <c r="N456" i="4"/>
  <c r="L721" i="4"/>
  <c r="L454" i="4"/>
  <c r="L705" i="4" s="1"/>
  <c r="I430" i="4"/>
  <c r="I432" i="4"/>
  <c r="I437" i="4"/>
  <c r="Q207" i="3"/>
  <c r="Q190" i="3" s="1"/>
  <c r="Q348" i="4" s="1"/>
  <c r="R206" i="3"/>
  <c r="Q191" i="3"/>
  <c r="P194" i="3"/>
  <c r="Q192" i="3"/>
  <c r="Q347" i="4" s="1"/>
  <c r="X743" i="4"/>
  <c r="Y746" i="4"/>
  <c r="Y680" i="4" s="1"/>
  <c r="X745" i="4"/>
  <c r="J434" i="4"/>
  <c r="J430" i="4"/>
  <c r="J435" i="4"/>
  <c r="J440" i="4"/>
  <c r="P227" i="3"/>
  <c r="Q226" i="3"/>
  <c r="M712" i="4"/>
  <c r="M445" i="4"/>
  <c r="M696" i="4" s="1"/>
  <c r="L719" i="4"/>
  <c r="L452" i="4"/>
  <c r="L703" i="4" s="1"/>
  <c r="AB748" i="4"/>
  <c r="W456" i="4"/>
  <c r="X718" i="4"/>
  <c r="X451" i="4"/>
  <c r="X702" i="4" s="1"/>
  <c r="L460" i="4"/>
  <c r="I456" i="4"/>
  <c r="S740" i="4"/>
  <c r="AD169" i="4"/>
  <c r="AC166" i="4"/>
  <c r="N200" i="3"/>
  <c r="O193" i="3"/>
  <c r="S156" i="4"/>
  <c r="R153" i="4"/>
  <c r="N434" i="4"/>
  <c r="N435" i="4"/>
  <c r="N440" i="4"/>
  <c r="L121" i="3"/>
  <c r="M120" i="3"/>
  <c r="M583" i="4" s="1"/>
  <c r="N1288" i="4"/>
  <c r="V1289" i="4"/>
  <c r="O441" i="4"/>
  <c r="O436" i="4"/>
  <c r="O431" i="4"/>
  <c r="W735" i="4"/>
  <c r="W733" i="4" s="1"/>
  <c r="W727" i="4" s="1"/>
  <c r="W739" i="4" s="1"/>
  <c r="V251" i="4"/>
  <c r="W250" i="4"/>
  <c r="W441" i="4"/>
  <c r="W436" i="4"/>
  <c r="W431" i="4"/>
  <c r="T169" i="4"/>
  <c r="S166" i="4"/>
  <c r="AG751" i="4"/>
  <c r="AH751" i="4" s="1"/>
  <c r="AB192" i="3"/>
  <c r="AB347" i="4" s="1"/>
  <c r="AB191" i="3"/>
  <c r="AC194" i="3"/>
  <c r="AB190" i="3"/>
  <c r="AB348" i="4" s="1"/>
  <c r="V437" i="4"/>
  <c r="V718" i="4" s="1"/>
  <c r="V431" i="4"/>
  <c r="V712" i="4" s="1"/>
  <c r="V436" i="4"/>
  <c r="V717" i="4" s="1"/>
  <c r="X721" i="4"/>
  <c r="X454" i="4"/>
  <c r="X705" i="4" s="1"/>
  <c r="M111" i="3"/>
  <c r="O1323" i="4"/>
  <c r="W1324" i="4"/>
  <c r="M717" i="4"/>
  <c r="M450" i="4"/>
  <c r="M701" i="4" s="1"/>
  <c r="Z466" i="4"/>
  <c r="AD430" i="4"/>
  <c r="AD711" i="4" s="1"/>
  <c r="Z467" i="4"/>
  <c r="Y461" i="4"/>
  <c r="Y462" i="4"/>
  <c r="AD439" i="4"/>
  <c r="AD720" i="4" s="1"/>
  <c r="AD431" i="4"/>
  <c r="AD712" i="4" s="1"/>
  <c r="AD438" i="4"/>
  <c r="AD719" i="4" s="1"/>
  <c r="AD441" i="4"/>
  <c r="AD722" i="4" s="1"/>
  <c r="AE709" i="4" s="1"/>
  <c r="AD432" i="4"/>
  <c r="AD713" i="4" s="1"/>
  <c r="AD440" i="4"/>
  <c r="AD721" i="4" s="1"/>
  <c r="AD434" i="4"/>
  <c r="AD715" i="4" s="1"/>
  <c r="AD437" i="4"/>
  <c r="AD718" i="4" s="1"/>
  <c r="AD436" i="4"/>
  <c r="AD717" i="4" s="1"/>
  <c r="AD433" i="4"/>
  <c r="AD714" i="4" s="1"/>
  <c r="AD710" i="4" s="1"/>
  <c r="AD435" i="4"/>
  <c r="AD716" i="4" s="1"/>
  <c r="AD708" i="4" s="1"/>
  <c r="AD443" i="4"/>
  <c r="AD691" i="4" s="1"/>
  <c r="AD408" i="4"/>
  <c r="AD456" i="4"/>
  <c r="AB432" i="4"/>
  <c r="AB713" i="4" s="1"/>
  <c r="AB408" i="4"/>
  <c r="AA410" i="4"/>
  <c r="AA430" i="4"/>
  <c r="AA438" i="4"/>
  <c r="AA432" i="4"/>
  <c r="AA436" i="4"/>
  <c r="AA440" i="4"/>
  <c r="AB436" i="4"/>
  <c r="AB439" i="4"/>
  <c r="AB430" i="4"/>
  <c r="AA434" i="4"/>
  <c r="AA439" i="4"/>
  <c r="AA456" i="4"/>
  <c r="AB456" i="4"/>
  <c r="AB441" i="4"/>
  <c r="AA433" i="4"/>
  <c r="AB440" i="4"/>
  <c r="AB433" i="4"/>
  <c r="AB434" i="4"/>
  <c r="AA435" i="4"/>
  <c r="AA437" i="4"/>
  <c r="AB431" i="4"/>
  <c r="AB437" i="4"/>
  <c r="AB438" i="4"/>
  <c r="AA441" i="4"/>
  <c r="AA431" i="4"/>
  <c r="Z709" i="4"/>
  <c r="Z458" i="4"/>
  <c r="Y703" i="4"/>
  <c r="Y465" i="4"/>
  <c r="Y468" i="4"/>
  <c r="Z461" i="4"/>
  <c r="Y694" i="4"/>
  <c r="Y695" i="4"/>
  <c r="Y457" i="4"/>
  <c r="Z468" i="4"/>
  <c r="Z462" i="4"/>
  <c r="Z460" i="4"/>
  <c r="Z693" i="4"/>
  <c r="Z464" i="4"/>
  <c r="Z694" i="4"/>
  <c r="Z459" i="4"/>
  <c r="Y585" i="4" l="1"/>
  <c r="Y609" i="4" s="1"/>
  <c r="Z692" i="4"/>
  <c r="Z465" i="4"/>
  <c r="Z463" i="4"/>
  <c r="Z708" i="4"/>
  <c r="X675" i="4"/>
  <c r="X943" i="4" s="1"/>
  <c r="X681" i="4"/>
  <c r="X949" i="4" s="1"/>
  <c r="AH1283" i="4"/>
  <c r="Z1282" i="4"/>
  <c r="AD466" i="4"/>
  <c r="K449" i="4"/>
  <c r="K700" i="4" s="1"/>
  <c r="X460" i="4"/>
  <c r="O444" i="4"/>
  <c r="O695" i="4" s="1"/>
  <c r="O446" i="4"/>
  <c r="O697" i="4" s="1"/>
  <c r="X682" i="4"/>
  <c r="X950" i="4" s="1"/>
  <c r="AH441" i="4"/>
  <c r="AH722" i="4" s="1"/>
  <c r="AI709" i="4" s="1"/>
  <c r="O1247" i="4"/>
  <c r="AD455" i="4"/>
  <c r="AD706" i="4" s="1"/>
  <c r="AE693" i="4" s="1"/>
  <c r="AD468" i="4"/>
  <c r="X710" i="4"/>
  <c r="P436" i="4"/>
  <c r="P717" i="4" s="1"/>
  <c r="P431" i="4"/>
  <c r="P712" i="4" s="1"/>
  <c r="K135" i="3"/>
  <c r="U1278" i="4"/>
  <c r="M1277" i="4"/>
  <c r="X684" i="4"/>
  <c r="X952" i="4" s="1"/>
  <c r="V453" i="4"/>
  <c r="V704" i="4" s="1"/>
  <c r="V684" i="4" s="1"/>
  <c r="V952" i="4" s="1"/>
  <c r="O449" i="4"/>
  <c r="O700" i="4" s="1"/>
  <c r="L710" i="4"/>
  <c r="K444" i="4"/>
  <c r="M467" i="4"/>
  <c r="L468" i="4"/>
  <c r="M464" i="4"/>
  <c r="X679" i="4"/>
  <c r="X947" i="4" s="1"/>
  <c r="P408" i="4"/>
  <c r="V454" i="4"/>
  <c r="V705" i="4" s="1"/>
  <c r="V685" i="4" s="1"/>
  <c r="V953" i="4" s="1"/>
  <c r="X458" i="4"/>
  <c r="Y679" i="4"/>
  <c r="Y947" i="4" s="1"/>
  <c r="N453" i="4"/>
  <c r="N704" i="4" s="1"/>
  <c r="O462" i="4"/>
  <c r="AH437" i="4"/>
  <c r="AH718" i="4" s="1"/>
  <c r="N447" i="4"/>
  <c r="N698" i="4" s="1"/>
  <c r="M694" i="4"/>
  <c r="V447" i="4"/>
  <c r="V698" i="4" s="1"/>
  <c r="V678" i="4" s="1"/>
  <c r="AH434" i="4"/>
  <c r="AH715" i="4" s="1"/>
  <c r="AH431" i="4"/>
  <c r="AH712" i="4" s="1"/>
  <c r="L465" i="4"/>
  <c r="X465" i="4"/>
  <c r="V449" i="4"/>
  <c r="V700" i="4" s="1"/>
  <c r="V680" i="4" s="1"/>
  <c r="V444" i="4"/>
  <c r="V695" i="4" s="1"/>
  <c r="V675" i="4" s="1"/>
  <c r="V943" i="4" s="1"/>
  <c r="AH433" i="4"/>
  <c r="AH714" i="4" s="1"/>
  <c r="AH710" i="4" s="1"/>
  <c r="AH439" i="4"/>
  <c r="AH720" i="4" s="1"/>
  <c r="X457" i="4"/>
  <c r="AI749" i="4"/>
  <c r="AJ741" i="4" s="1"/>
  <c r="AI741" i="4"/>
  <c r="AC410" i="4"/>
  <c r="AC432" i="4"/>
  <c r="AC713" i="4" s="1"/>
  <c r="AC711" i="4"/>
  <c r="AC444" i="4"/>
  <c r="AC695" i="4" s="1"/>
  <c r="AC456" i="4"/>
  <c r="AC437" i="4"/>
  <c r="AC451" i="4" s="1"/>
  <c r="AC439" i="4"/>
  <c r="AC440" i="4"/>
  <c r="AC721" i="4" s="1"/>
  <c r="AH428" i="4"/>
  <c r="AH465" i="4" s="1"/>
  <c r="AH438" i="4"/>
  <c r="AH719" i="4" s="1"/>
  <c r="AH432" i="4"/>
  <c r="AH713" i="4" s="1"/>
  <c r="AC436" i="4"/>
  <c r="AI428" i="4"/>
  <c r="AI464" i="4" s="1"/>
  <c r="AI430" i="4"/>
  <c r="AI711" i="4" s="1"/>
  <c r="AI435" i="4"/>
  <c r="AI716" i="4" s="1"/>
  <c r="AI708" i="4" s="1"/>
  <c r="AI442" i="4"/>
  <c r="AI410" i="4" s="1"/>
  <c r="AI441" i="4"/>
  <c r="AI722" i="4" s="1"/>
  <c r="AJ709" i="4" s="1"/>
  <c r="AI434" i="4"/>
  <c r="AI715" i="4" s="1"/>
  <c r="AI439" i="4"/>
  <c r="AI720" i="4" s="1"/>
  <c r="AH436" i="4"/>
  <c r="AH717" i="4" s="1"/>
  <c r="AB449" i="4"/>
  <c r="AB700" i="4" s="1"/>
  <c r="AJ427" i="4"/>
  <c r="AJ426" i="4" s="1"/>
  <c r="AJ434" i="4" s="1"/>
  <c r="AJ715" i="4" s="1"/>
  <c r="AI437" i="4"/>
  <c r="AI718" i="4" s="1"/>
  <c r="AI432" i="4"/>
  <c r="AI713" i="4" s="1"/>
  <c r="AI438" i="4"/>
  <c r="AI719" i="4" s="1"/>
  <c r="AH442" i="4"/>
  <c r="AH410" i="4" s="1"/>
  <c r="AH430" i="4"/>
  <c r="AH711" i="4" s="1"/>
  <c r="AH435" i="4"/>
  <c r="AH716" i="4" s="1"/>
  <c r="AH708" i="4" s="1"/>
  <c r="AK427" i="4"/>
  <c r="AK426" i="4" s="1"/>
  <c r="AK441" i="4" s="1"/>
  <c r="AK722" i="4" s="1"/>
  <c r="AC438" i="4"/>
  <c r="AC435" i="4"/>
  <c r="AC441" i="4"/>
  <c r="AC434" i="4"/>
  <c r="AC431" i="4"/>
  <c r="AC433" i="4"/>
  <c r="AI433" i="4"/>
  <c r="AI714" i="4" s="1"/>
  <c r="AI710" i="4" s="1"/>
  <c r="AI436" i="4"/>
  <c r="AI717" i="4" s="1"/>
  <c r="AI440" i="4"/>
  <c r="AI721" i="4" s="1"/>
  <c r="AE447" i="4"/>
  <c r="AE698" i="4" s="1"/>
  <c r="AE694" i="4" s="1"/>
  <c r="AE455" i="4"/>
  <c r="AE706" i="4" s="1"/>
  <c r="AF693" i="4" s="1"/>
  <c r="AE450" i="4"/>
  <c r="AE701" i="4" s="1"/>
  <c r="AE449" i="4"/>
  <c r="AE700" i="4" s="1"/>
  <c r="AE692" i="4" s="1"/>
  <c r="AE448" i="4"/>
  <c r="AE699" i="4" s="1"/>
  <c r="AE443" i="4"/>
  <c r="AE691" i="4" s="1"/>
  <c r="AE453" i="4"/>
  <c r="AE704" i="4" s="1"/>
  <c r="AE451" i="4"/>
  <c r="AE702" i="4" s="1"/>
  <c r="AE452" i="4"/>
  <c r="AE703" i="4" s="1"/>
  <c r="AE446" i="4"/>
  <c r="AE697" i="4" s="1"/>
  <c r="AE454" i="4"/>
  <c r="AE705" i="4" s="1"/>
  <c r="AE444" i="4"/>
  <c r="AE695" i="4" s="1"/>
  <c r="AE445" i="4"/>
  <c r="AE696" i="4" s="1"/>
  <c r="AD451" i="4"/>
  <c r="AD702" i="4" s="1"/>
  <c r="AD464" i="4"/>
  <c r="AE437" i="4"/>
  <c r="AE718" i="4" s="1"/>
  <c r="AE433" i="4"/>
  <c r="AE714" i="4" s="1"/>
  <c r="AE710" i="4" s="1"/>
  <c r="AE440" i="4"/>
  <c r="AE721" i="4" s="1"/>
  <c r="AE442" i="4"/>
  <c r="AE410" i="4" s="1"/>
  <c r="AE441" i="4"/>
  <c r="AE722" i="4" s="1"/>
  <c r="AF709" i="4" s="1"/>
  <c r="AE434" i="4"/>
  <c r="AE715" i="4" s="1"/>
  <c r="AE439" i="4"/>
  <c r="AE720" i="4" s="1"/>
  <c r="AE430" i="4"/>
  <c r="AE711" i="4" s="1"/>
  <c r="AE432" i="4"/>
  <c r="AE713" i="4" s="1"/>
  <c r="AE435" i="4"/>
  <c r="AE716" i="4" s="1"/>
  <c r="AE708" i="4" s="1"/>
  <c r="AE438" i="4"/>
  <c r="AE719" i="4" s="1"/>
  <c r="AE436" i="4"/>
  <c r="AE717" i="4" s="1"/>
  <c r="AE431" i="4"/>
  <c r="AE712" i="4" s="1"/>
  <c r="AE462" i="4"/>
  <c r="AE460" i="4"/>
  <c r="AE467" i="4"/>
  <c r="AE461" i="4"/>
  <c r="AE458" i="4"/>
  <c r="AE463" i="4"/>
  <c r="AE468" i="4"/>
  <c r="AE466" i="4"/>
  <c r="AE464" i="4"/>
  <c r="AE459" i="4"/>
  <c r="AE457" i="4"/>
  <c r="AE465" i="4"/>
  <c r="AE408" i="4"/>
  <c r="AE456" i="4"/>
  <c r="W446" i="4"/>
  <c r="W459" i="4" s="1"/>
  <c r="M710" i="4"/>
  <c r="V448" i="4"/>
  <c r="V699" i="4" s="1"/>
  <c r="V679" i="4" s="1"/>
  <c r="V947" i="4" s="1"/>
  <c r="K447" i="4"/>
  <c r="K698" i="4" s="1"/>
  <c r="L694" i="4"/>
  <c r="N722" i="4"/>
  <c r="N455" i="4"/>
  <c r="N719" i="4"/>
  <c r="N452" i="4"/>
  <c r="X461" i="4"/>
  <c r="W716" i="4"/>
  <c r="W449" i="4"/>
  <c r="W700" i="4" s="1"/>
  <c r="N713" i="4"/>
  <c r="N446" i="4"/>
  <c r="N697" i="4" s="1"/>
  <c r="AD208" i="3"/>
  <c r="AC206" i="3"/>
  <c r="L459" i="4"/>
  <c r="V451" i="4"/>
  <c r="V702" i="4" s="1"/>
  <c r="V682" i="4" s="1"/>
  <c r="V950" i="4" s="1"/>
  <c r="M457" i="4"/>
  <c r="X462" i="4"/>
  <c r="N444" i="4"/>
  <c r="N695" i="4" s="1"/>
  <c r="P441" i="4"/>
  <c r="P722" i="4" s="1"/>
  <c r="X676" i="4"/>
  <c r="X944" i="4" s="1"/>
  <c r="M466" i="4"/>
  <c r="AI751" i="4"/>
  <c r="AJ751" i="4" s="1"/>
  <c r="AK751" i="4" s="1"/>
  <c r="W711" i="4"/>
  <c r="W444" i="4"/>
  <c r="L461" i="4"/>
  <c r="AD449" i="4"/>
  <c r="AD700" i="4" s="1"/>
  <c r="AD692" i="4" s="1"/>
  <c r="AD462" i="4"/>
  <c r="M461" i="4"/>
  <c r="V455" i="4"/>
  <c r="V706" i="4" s="1"/>
  <c r="V686" i="4" s="1"/>
  <c r="V954" i="4" s="1"/>
  <c r="M465" i="4"/>
  <c r="L463" i="4"/>
  <c r="M692" i="4"/>
  <c r="Y182" i="4"/>
  <c r="Y948" i="4"/>
  <c r="X946" i="4"/>
  <c r="U169" i="4"/>
  <c r="T166" i="4"/>
  <c r="W251" i="4"/>
  <c r="X250" i="4"/>
  <c r="W724" i="4"/>
  <c r="W726" i="4"/>
  <c r="N721" i="4"/>
  <c r="N454" i="4"/>
  <c r="N705" i="4" s="1"/>
  <c r="S153" i="4"/>
  <c r="T156" i="4"/>
  <c r="AE169" i="4"/>
  <c r="AD166" i="4"/>
  <c r="J711" i="4"/>
  <c r="J444" i="4"/>
  <c r="J695" i="4" s="1"/>
  <c r="I713" i="4"/>
  <c r="I446" i="4"/>
  <c r="I697" i="4" s="1"/>
  <c r="K712" i="4"/>
  <c r="K445" i="4"/>
  <c r="K696" i="4" s="1"/>
  <c r="N214" i="3"/>
  <c r="O213" i="3"/>
  <c r="AI585" i="4"/>
  <c r="AJ136" i="3"/>
  <c r="AJ1282" i="4"/>
  <c r="AC146" i="4"/>
  <c r="AB143" i="4"/>
  <c r="AG526" i="4"/>
  <c r="AG525" i="4" s="1"/>
  <c r="AG518" i="4"/>
  <c r="W714" i="4"/>
  <c r="W447" i="4"/>
  <c r="W698" i="4" s="1"/>
  <c r="V408" i="4"/>
  <c r="V456" i="4"/>
  <c r="N712" i="4"/>
  <c r="N445" i="4"/>
  <c r="N696" i="4" s="1"/>
  <c r="L132" i="3"/>
  <c r="L128" i="3" s="1"/>
  <c r="L584" i="4" s="1"/>
  <c r="N1262" i="4"/>
  <c r="V1263" i="4"/>
  <c r="M127" i="3"/>
  <c r="M128" i="3"/>
  <c r="M584" i="4" s="1"/>
  <c r="J722" i="4"/>
  <c r="J455" i="4"/>
  <c r="J706" i="4" s="1"/>
  <c r="I714" i="4"/>
  <c r="I447" i="4"/>
  <c r="I698" i="4" s="1"/>
  <c r="AK1298" i="4"/>
  <c r="L708" i="4"/>
  <c r="AA111" i="3"/>
  <c r="AA1323" i="4"/>
  <c r="AI1324" i="4"/>
  <c r="Z511" i="4"/>
  <c r="K719" i="4"/>
  <c r="K452" i="4"/>
  <c r="K703" i="4" s="1"/>
  <c r="AD156" i="4"/>
  <c r="AC153" i="4"/>
  <c r="AI129" i="3"/>
  <c r="AH127" i="3"/>
  <c r="AI1247" i="4" s="1"/>
  <c r="AI1252" i="4"/>
  <c r="Z129" i="3"/>
  <c r="Y127" i="3"/>
  <c r="Z1252" i="4"/>
  <c r="AH1253" i="4"/>
  <c r="AK131" i="3"/>
  <c r="AK128" i="3" s="1"/>
  <c r="AK584" i="4" s="1"/>
  <c r="AJ128" i="3"/>
  <c r="AJ584" i="4" s="1"/>
  <c r="AK1257" i="4"/>
  <c r="R426" i="4"/>
  <c r="R428" i="4" s="1"/>
  <c r="R429" i="4"/>
  <c r="R707" i="4" s="1"/>
  <c r="Y682" i="4"/>
  <c r="W720" i="4"/>
  <c r="W453" i="4"/>
  <c r="W704" i="4" s="1"/>
  <c r="AA114" i="3"/>
  <c r="AA113" i="3" s="1"/>
  <c r="Z113" i="3"/>
  <c r="I721" i="4"/>
  <c r="I454" i="4"/>
  <c r="I705" i="4" s="1"/>
  <c r="K715" i="4"/>
  <c r="K448" i="4"/>
  <c r="K699" i="4" s="1"/>
  <c r="AF227" i="3"/>
  <c r="AE226" i="3"/>
  <c r="I717" i="4"/>
  <c r="I450" i="4"/>
  <c r="I701" i="4" s="1"/>
  <c r="AD453" i="4"/>
  <c r="AD704" i="4" s="1"/>
  <c r="AD457" i="4"/>
  <c r="M463" i="4"/>
  <c r="X694" i="4"/>
  <c r="L111" i="3"/>
  <c r="N1323" i="4"/>
  <c r="V1324" i="4"/>
  <c r="AB346" i="4"/>
  <c r="W712" i="4"/>
  <c r="W445" i="4"/>
  <c r="W696" i="4" s="1"/>
  <c r="O712" i="4"/>
  <c r="O445" i="4"/>
  <c r="O696" i="4" s="1"/>
  <c r="N716" i="4"/>
  <c r="N449" i="4"/>
  <c r="N700" i="4" s="1"/>
  <c r="AC748" i="4"/>
  <c r="AB511" i="4"/>
  <c r="M458" i="4"/>
  <c r="O227" i="3"/>
  <c r="P226" i="3"/>
  <c r="J715" i="4"/>
  <c r="J448" i="4"/>
  <c r="J699" i="4" s="1"/>
  <c r="Q346" i="4"/>
  <c r="I711" i="4"/>
  <c r="I444" i="4"/>
  <c r="I695" i="4" s="1"/>
  <c r="K721" i="4"/>
  <c r="K454" i="4"/>
  <c r="K705" i="4" s="1"/>
  <c r="Y685" i="4"/>
  <c r="AD151" i="4"/>
  <c r="AC148" i="4"/>
  <c r="AJ108" i="3"/>
  <c r="AJ1303" i="4"/>
  <c r="AI106" i="3"/>
  <c r="M693" i="4"/>
  <c r="AE200" i="3"/>
  <c r="AD193" i="3"/>
  <c r="J719" i="4"/>
  <c r="J452" i="4"/>
  <c r="J703" i="4" s="1"/>
  <c r="I722" i="4"/>
  <c r="I455" i="4"/>
  <c r="I706" i="4" s="1"/>
  <c r="AJ124" i="3"/>
  <c r="X683" i="4"/>
  <c r="X951" i="4" s="1"/>
  <c r="O719" i="4"/>
  <c r="O452" i="4"/>
  <c r="O703" i="4" s="1"/>
  <c r="V445" i="4"/>
  <c r="V696" i="4" s="1"/>
  <c r="V676" i="4" s="1"/>
  <c r="V944" i="4" s="1"/>
  <c r="V446" i="4"/>
  <c r="V697" i="4" s="1"/>
  <c r="V677" i="4" s="1"/>
  <c r="V945" i="4" s="1"/>
  <c r="V452" i="4"/>
  <c r="V703" i="4" s="1"/>
  <c r="V683" i="4" s="1"/>
  <c r="V951" i="4" s="1"/>
  <c r="N718" i="4"/>
  <c r="N451" i="4"/>
  <c r="N702" i="4" s="1"/>
  <c r="R724" i="4"/>
  <c r="R726" i="4"/>
  <c r="S725" i="4"/>
  <c r="K131" i="3"/>
  <c r="M1257" i="4"/>
  <c r="U1258" i="4"/>
  <c r="Z1388" i="4"/>
  <c r="Y1368" i="4"/>
  <c r="Y1363" i="4" s="1"/>
  <c r="Y1153" i="4" s="1"/>
  <c r="Y1356" i="4"/>
  <c r="Y1351" i="4" s="1"/>
  <c r="Y1362" i="4"/>
  <c r="Y1357" i="4" s="1"/>
  <c r="Y1152" i="4" s="1"/>
  <c r="X708" i="4"/>
  <c r="I715" i="4"/>
  <c r="I448" i="4"/>
  <c r="I699" i="4" s="1"/>
  <c r="Z108" i="3"/>
  <c r="Z1303" i="4"/>
  <c r="Y106" i="3"/>
  <c r="AH1304" i="4"/>
  <c r="P435" i="4"/>
  <c r="P439" i="4"/>
  <c r="P430" i="4"/>
  <c r="K713" i="4"/>
  <c r="K446" i="4"/>
  <c r="K697" i="4" s="1"/>
  <c r="AI114" i="3"/>
  <c r="AH113" i="3"/>
  <c r="Y1247" i="4"/>
  <c r="AG1248" i="4"/>
  <c r="M468" i="4"/>
  <c r="N582" i="4"/>
  <c r="N510" i="4"/>
  <c r="O1293" i="4"/>
  <c r="W1294" i="4"/>
  <c r="W715" i="4"/>
  <c r="W448" i="4"/>
  <c r="W699" i="4" s="1"/>
  <c r="O720" i="4"/>
  <c r="O453" i="4"/>
  <c r="O704" i="4" s="1"/>
  <c r="M585" i="4"/>
  <c r="L136" i="3"/>
  <c r="N1282" i="4"/>
  <c r="V1283" i="4"/>
  <c r="X466" i="4"/>
  <c r="J713" i="4"/>
  <c r="J446" i="4"/>
  <c r="J697" i="4" s="1"/>
  <c r="I716" i="4"/>
  <c r="I449" i="4"/>
  <c r="I700" i="4" s="1"/>
  <c r="X735" i="4"/>
  <c r="X733" i="4" s="1"/>
  <c r="X727" i="4" s="1"/>
  <c r="L457" i="4"/>
  <c r="K722" i="4"/>
  <c r="L709" i="4" s="1"/>
  <c r="K455" i="4"/>
  <c r="K706" i="4" s="1"/>
  <c r="L693" i="4" s="1"/>
  <c r="M462" i="4"/>
  <c r="J129" i="3"/>
  <c r="L1252" i="4"/>
  <c r="T1253" i="4"/>
  <c r="Y686" i="4"/>
  <c r="Y954" i="4" s="1"/>
  <c r="AD444" i="4"/>
  <c r="AD695" i="4" s="1"/>
  <c r="X467" i="4"/>
  <c r="W717" i="4"/>
  <c r="W450" i="4"/>
  <c r="W701" i="4" s="1"/>
  <c r="O717" i="4"/>
  <c r="O450" i="4"/>
  <c r="O701" i="4" s="1"/>
  <c r="N715" i="4"/>
  <c r="N448" i="4"/>
  <c r="N699" i="4" s="1"/>
  <c r="M200" i="3"/>
  <c r="N193" i="3"/>
  <c r="Y677" i="4"/>
  <c r="J721" i="4"/>
  <c r="J454" i="4"/>
  <c r="J705" i="4" s="1"/>
  <c r="P192" i="3"/>
  <c r="P347" i="4" s="1"/>
  <c r="P191" i="3"/>
  <c r="O194" i="3"/>
  <c r="P207" i="3"/>
  <c r="Q206" i="3"/>
  <c r="L467" i="4"/>
  <c r="K717" i="4"/>
  <c r="K450" i="4"/>
  <c r="K701" i="4" s="1"/>
  <c r="M460" i="4"/>
  <c r="M709" i="4"/>
  <c r="P212" i="3"/>
  <c r="I719" i="4"/>
  <c r="I452" i="4"/>
  <c r="I703" i="4" s="1"/>
  <c r="W719" i="4"/>
  <c r="W452" i="4"/>
  <c r="W703" i="4" s="1"/>
  <c r="O718" i="4"/>
  <c r="O451" i="4"/>
  <c r="O702" i="4" s="1"/>
  <c r="V450" i="4"/>
  <c r="V701" i="4" s="1"/>
  <c r="V681" i="4" s="1"/>
  <c r="V949" i="4" s="1"/>
  <c r="X1350" i="4"/>
  <c r="X1151" i="4"/>
  <c r="AH125" i="3"/>
  <c r="AG123" i="3"/>
  <c r="J717" i="4"/>
  <c r="J450" i="4"/>
  <c r="J701" i="4" s="1"/>
  <c r="I720" i="4"/>
  <c r="I453" i="4"/>
  <c r="I704" i="4" s="1"/>
  <c r="L462" i="4"/>
  <c r="P432" i="4"/>
  <c r="P433" i="4"/>
  <c r="P434" i="4"/>
  <c r="K718" i="4"/>
  <c r="K451" i="4"/>
  <c r="K702" i="4" s="1"/>
  <c r="X468" i="4"/>
  <c r="J124" i="3"/>
  <c r="K123" i="3"/>
  <c r="L107" i="3"/>
  <c r="M106" i="3"/>
  <c r="M1298" i="4"/>
  <c r="V1299" i="4"/>
  <c r="AF448" i="4"/>
  <c r="AF699" i="4" s="1"/>
  <c r="AF445" i="4"/>
  <c r="AF696" i="4" s="1"/>
  <c r="AG406" i="4"/>
  <c r="AF443" i="4"/>
  <c r="AF691" i="4" s="1"/>
  <c r="AF447" i="4"/>
  <c r="AF698" i="4" s="1"/>
  <c r="AF454" i="4"/>
  <c r="AF705" i="4" s="1"/>
  <c r="AF446" i="4"/>
  <c r="AF697" i="4" s="1"/>
  <c r="AF455" i="4"/>
  <c r="AF706" i="4" s="1"/>
  <c r="AF450" i="4"/>
  <c r="AF701" i="4" s="1"/>
  <c r="AF415" i="4"/>
  <c r="AF452" i="4"/>
  <c r="AF703" i="4" s="1"/>
  <c r="AF444" i="4"/>
  <c r="AF695" i="4" s="1"/>
  <c r="AF449" i="4"/>
  <c r="AF700" i="4" s="1"/>
  <c r="AF451" i="4"/>
  <c r="AF702" i="4" s="1"/>
  <c r="AF453" i="4"/>
  <c r="AF704" i="4" s="1"/>
  <c r="V710" i="4"/>
  <c r="Q171" i="4"/>
  <c r="Q174" i="4" s="1"/>
  <c r="W721" i="4"/>
  <c r="W454" i="4"/>
  <c r="W705" i="4" s="1"/>
  <c r="O715" i="4"/>
  <c r="O448" i="4"/>
  <c r="O699" i="4" s="1"/>
  <c r="Z128" i="3"/>
  <c r="Z584" i="4" s="1"/>
  <c r="AI608" i="4" s="1"/>
  <c r="AA131" i="3"/>
  <c r="AA1257" i="4"/>
  <c r="AI1258" i="4"/>
  <c r="T151" i="4"/>
  <c r="S148" i="4"/>
  <c r="AI1288" i="4"/>
  <c r="AI121" i="3"/>
  <c r="AH120" i="3"/>
  <c r="AH583" i="4" s="1"/>
  <c r="J718" i="4"/>
  <c r="J451" i="4"/>
  <c r="J702" i="4" s="1"/>
  <c r="I712" i="4"/>
  <c r="I445" i="4"/>
  <c r="I696" i="4" s="1"/>
  <c r="M708" i="4"/>
  <c r="Q739" i="4"/>
  <c r="V724" i="4"/>
  <c r="W725" i="4"/>
  <c r="V726" i="4"/>
  <c r="AD467" i="4"/>
  <c r="X685" i="4"/>
  <c r="X953" i="4" s="1"/>
  <c r="Z585" i="4"/>
  <c r="AA136" i="3"/>
  <c r="AA1282" i="4"/>
  <c r="AI1283" i="4"/>
  <c r="AC191" i="3"/>
  <c r="AD194" i="3"/>
  <c r="AC190" i="3"/>
  <c r="AC348" i="4" s="1"/>
  <c r="AC192" i="3"/>
  <c r="AC347" i="4" s="1"/>
  <c r="W722" i="4"/>
  <c r="X709" i="4" s="1"/>
  <c r="W455" i="4"/>
  <c r="W706" i="4" s="1"/>
  <c r="W740" i="4"/>
  <c r="O722" i="4"/>
  <c r="O455" i="4"/>
  <c r="O706" i="4" s="1"/>
  <c r="K121" i="3"/>
  <c r="L120" i="3"/>
  <c r="L583" i="4" s="1"/>
  <c r="M1288" i="4"/>
  <c r="U1289" i="4"/>
  <c r="X464" i="4"/>
  <c r="J716" i="4"/>
  <c r="J449" i="4"/>
  <c r="J700" i="4" s="1"/>
  <c r="Z746" i="4"/>
  <c r="Y745" i="4"/>
  <c r="Y743" i="4"/>
  <c r="Y678" i="4"/>
  <c r="I718" i="4"/>
  <c r="I451" i="4"/>
  <c r="I702" i="4" s="1"/>
  <c r="Y681" i="4"/>
  <c r="Y684" i="4"/>
  <c r="S606" i="4"/>
  <c r="R606" i="4"/>
  <c r="Q606" i="4"/>
  <c r="L464" i="4"/>
  <c r="AI736" i="4"/>
  <c r="AH582" i="4"/>
  <c r="AH510" i="4"/>
  <c r="AI728" i="4"/>
  <c r="AI1293" i="4"/>
  <c r="I114" i="3"/>
  <c r="I113" i="3" s="1"/>
  <c r="J113" i="3"/>
  <c r="AA171" i="4"/>
  <c r="AA174" i="4" s="1"/>
  <c r="AA1288" i="4"/>
  <c r="AA121" i="3"/>
  <c r="Z120" i="3"/>
  <c r="Z583" i="4" s="1"/>
  <c r="AG607" i="4" s="1"/>
  <c r="AI1289" i="4"/>
  <c r="X463" i="4"/>
  <c r="W718" i="4"/>
  <c r="W451" i="4"/>
  <c r="W702" i="4" s="1"/>
  <c r="O714" i="4"/>
  <c r="O447" i="4"/>
  <c r="O698" i="4" s="1"/>
  <c r="N717" i="4"/>
  <c r="N450" i="4"/>
  <c r="N701" i="4" s="1"/>
  <c r="M459" i="4"/>
  <c r="AE214" i="3"/>
  <c r="AD213" i="3"/>
  <c r="AD212" i="3"/>
  <c r="X692" i="4"/>
  <c r="X680" i="4"/>
  <c r="J712" i="4"/>
  <c r="J445" i="4"/>
  <c r="J696" i="4" s="1"/>
  <c r="Y736" i="4"/>
  <c r="Y737" i="4" s="1"/>
  <c r="X510" i="4"/>
  <c r="X582" i="4"/>
  <c r="X606" i="4" s="1"/>
  <c r="Y669" i="3"/>
  <c r="Y670" i="3" s="1"/>
  <c r="Y671" i="3" s="1"/>
  <c r="Y1293" i="4"/>
  <c r="Y728" i="4"/>
  <c r="AG1294" i="4"/>
  <c r="L692" i="4"/>
  <c r="P440" i="4"/>
  <c r="P437" i="4"/>
  <c r="P438" i="4"/>
  <c r="Y676" i="4"/>
  <c r="X686" i="4"/>
  <c r="X954" i="4" s="1"/>
  <c r="J720" i="4"/>
  <c r="J453" i="4"/>
  <c r="J704" i="4" s="1"/>
  <c r="S422" i="4"/>
  <c r="T425" i="4"/>
  <c r="L466" i="4"/>
  <c r="S146" i="4"/>
  <c r="R143" i="4"/>
  <c r="O721" i="4"/>
  <c r="O454" i="4"/>
  <c r="O705" i="4" s="1"/>
  <c r="R740" i="4"/>
  <c r="J714" i="4"/>
  <c r="J447" i="4"/>
  <c r="J698" i="4" s="1"/>
  <c r="W526" i="4"/>
  <c r="W525" i="4" s="1"/>
  <c r="W518" i="4"/>
  <c r="AH207" i="3"/>
  <c r="P456" i="4"/>
  <c r="K720" i="4"/>
  <c r="K453" i="4"/>
  <c r="K704" i="4" s="1"/>
  <c r="Q428" i="4"/>
  <c r="V708" i="4"/>
  <c r="V740" i="4"/>
  <c r="AD450" i="4"/>
  <c r="AD701" i="4" s="1"/>
  <c r="AD463" i="4"/>
  <c r="AD445" i="4"/>
  <c r="AD696" i="4" s="1"/>
  <c r="AD459" i="4"/>
  <c r="AD446" i="4"/>
  <c r="AD697" i="4" s="1"/>
  <c r="AD458" i="4"/>
  <c r="AD447" i="4"/>
  <c r="AD698" i="4" s="1"/>
  <c r="AD448" i="4"/>
  <c r="AD699" i="4" s="1"/>
  <c r="AD465" i="4"/>
  <c r="AD461" i="4"/>
  <c r="AD460" i="4"/>
  <c r="AD452" i="4"/>
  <c r="AD703" i="4" s="1"/>
  <c r="AD454" i="4"/>
  <c r="AD705" i="4" s="1"/>
  <c r="AB446" i="4"/>
  <c r="AB697" i="4" s="1"/>
  <c r="AA722" i="4"/>
  <c r="AA455" i="4"/>
  <c r="AA706" i="4" s="1"/>
  <c r="AB714" i="4"/>
  <c r="AB447" i="4"/>
  <c r="AB698" i="4" s="1"/>
  <c r="AA715" i="4"/>
  <c r="AA448" i="4"/>
  <c r="AA699" i="4" s="1"/>
  <c r="AA719" i="4"/>
  <c r="AA452" i="4"/>
  <c r="AA703" i="4" s="1"/>
  <c r="AB719" i="4"/>
  <c r="AB452" i="4"/>
  <c r="AB703" i="4" s="1"/>
  <c r="AA718" i="4"/>
  <c r="AA451" i="4"/>
  <c r="AA702" i="4" s="1"/>
  <c r="AB721" i="4"/>
  <c r="AB454" i="4"/>
  <c r="AB705" i="4" s="1"/>
  <c r="AB711" i="4"/>
  <c r="AB444" i="4"/>
  <c r="AB695" i="4" s="1"/>
  <c r="AA721" i="4"/>
  <c r="AA454" i="4"/>
  <c r="AA705" i="4" s="1"/>
  <c r="AA711" i="4"/>
  <c r="AA444" i="4"/>
  <c r="AB718" i="4"/>
  <c r="AB451" i="4"/>
  <c r="AB702" i="4" s="1"/>
  <c r="AA716" i="4"/>
  <c r="AA449" i="4"/>
  <c r="AA700" i="4" s="1"/>
  <c r="AA714" i="4"/>
  <c r="AA447" i="4"/>
  <c r="AA698" i="4" s="1"/>
  <c r="AB720" i="4"/>
  <c r="AB453" i="4"/>
  <c r="AB704" i="4" s="1"/>
  <c r="AA717" i="4"/>
  <c r="AA450" i="4"/>
  <c r="AA701" i="4" s="1"/>
  <c r="AA712" i="4"/>
  <c r="AA445" i="4"/>
  <c r="AA696" i="4" s="1"/>
  <c r="AB712" i="4"/>
  <c r="AB445" i="4"/>
  <c r="AB696" i="4" s="1"/>
  <c r="AB715" i="4"/>
  <c r="AB448" i="4"/>
  <c r="AB699" i="4" s="1"/>
  <c r="AB722" i="4"/>
  <c r="AB455" i="4"/>
  <c r="AB706" i="4" s="1"/>
  <c r="AA720" i="4"/>
  <c r="AA453" i="4"/>
  <c r="AA704" i="4" s="1"/>
  <c r="AB717" i="4"/>
  <c r="AB450" i="4"/>
  <c r="AB701" i="4" s="1"/>
  <c r="AA713" i="4"/>
  <c r="AA446" i="4"/>
  <c r="AA697" i="4" s="1"/>
  <c r="Y693" i="4"/>
  <c r="Y675" i="4"/>
  <c r="Y683" i="4"/>
  <c r="Y692" i="4"/>
  <c r="K462" i="4" l="1"/>
  <c r="P445" i="4"/>
  <c r="P696" i="4" s="1"/>
  <c r="W683" i="4"/>
  <c r="W951" i="4" s="1"/>
  <c r="O457" i="4"/>
  <c r="AH460" i="4"/>
  <c r="K459" i="4"/>
  <c r="V466" i="4"/>
  <c r="N466" i="4"/>
  <c r="O459" i="4"/>
  <c r="V460" i="4"/>
  <c r="AI458" i="4"/>
  <c r="P450" i="4"/>
  <c r="P701" i="4" s="1"/>
  <c r="AI468" i="4"/>
  <c r="I461" i="4"/>
  <c r="I466" i="4"/>
  <c r="J135" i="3"/>
  <c r="L1277" i="4"/>
  <c r="T1278" i="4"/>
  <c r="L127" i="3"/>
  <c r="M1247" i="4" s="1"/>
  <c r="V461" i="4"/>
  <c r="Y188" i="4"/>
  <c r="V467" i="4"/>
  <c r="W697" i="4"/>
  <c r="W677" i="4" s="1"/>
  <c r="W945" i="4" s="1"/>
  <c r="I459" i="4"/>
  <c r="I468" i="4"/>
  <c r="I460" i="4"/>
  <c r="K709" i="4"/>
  <c r="V468" i="4"/>
  <c r="N693" i="4"/>
  <c r="K695" i="4"/>
  <c r="K693" i="4" s="1"/>
  <c r="K457" i="4"/>
  <c r="N462" i="4"/>
  <c r="N694" i="4"/>
  <c r="N460" i="4"/>
  <c r="O709" i="4"/>
  <c r="N459" i="4"/>
  <c r="N457" i="4"/>
  <c r="V465" i="4"/>
  <c r="O466" i="4"/>
  <c r="Y181" i="4"/>
  <c r="V457" i="4"/>
  <c r="V464" i="4"/>
  <c r="W458" i="4"/>
  <c r="W680" i="4"/>
  <c r="W948" i="4" s="1"/>
  <c r="AH462" i="4"/>
  <c r="AH461" i="4"/>
  <c r="AI457" i="4"/>
  <c r="AH459" i="4"/>
  <c r="AI459" i="4"/>
  <c r="AH456" i="4"/>
  <c r="AI467" i="4"/>
  <c r="AJ441" i="4"/>
  <c r="AJ722" i="4" s="1"/>
  <c r="AK709" i="4" s="1"/>
  <c r="AH467" i="4"/>
  <c r="AH468" i="4"/>
  <c r="AI462" i="4"/>
  <c r="AI456" i="4"/>
  <c r="AC718" i="4"/>
  <c r="AC446" i="4"/>
  <c r="AH408" i="4"/>
  <c r="AH466" i="4"/>
  <c r="AH457" i="4"/>
  <c r="AI408" i="4"/>
  <c r="AI461" i="4"/>
  <c r="AI460" i="4"/>
  <c r="AK437" i="4"/>
  <c r="AK718" i="4" s="1"/>
  <c r="AJ439" i="4"/>
  <c r="AJ720" i="4" s="1"/>
  <c r="I457" i="4"/>
  <c r="AJ442" i="4"/>
  <c r="AJ410" i="4" s="1"/>
  <c r="AJ436" i="4"/>
  <c r="AJ717" i="4" s="1"/>
  <c r="AJ430" i="4"/>
  <c r="AJ711" i="4" s="1"/>
  <c r="K460" i="4"/>
  <c r="W709" i="4"/>
  <c r="AC457" i="4"/>
  <c r="W466" i="4"/>
  <c r="AJ440" i="4"/>
  <c r="AJ721" i="4" s="1"/>
  <c r="AJ435" i="4"/>
  <c r="AJ716" i="4" s="1"/>
  <c r="AJ708" i="4" s="1"/>
  <c r="AJ438" i="4"/>
  <c r="AJ719" i="4" s="1"/>
  <c r="V462" i="4"/>
  <c r="AJ749" i="4"/>
  <c r="AK741" i="4" s="1"/>
  <c r="I692" i="4"/>
  <c r="K466" i="4"/>
  <c r="W467" i="4"/>
  <c r="J692" i="4"/>
  <c r="I465" i="4"/>
  <c r="K463" i="4"/>
  <c r="O465" i="4"/>
  <c r="J468" i="4"/>
  <c r="AJ432" i="4"/>
  <c r="AJ713" i="4" s="1"/>
  <c r="AJ437" i="4"/>
  <c r="AJ718" i="4" s="1"/>
  <c r="AK435" i="4"/>
  <c r="AK716" i="4" s="1"/>
  <c r="AK708" i="4" s="1"/>
  <c r="AK438" i="4"/>
  <c r="AK719" i="4" s="1"/>
  <c r="AK434" i="4"/>
  <c r="AK715" i="4" s="1"/>
  <c r="AK432" i="4"/>
  <c r="AK713" i="4" s="1"/>
  <c r="AK431" i="4"/>
  <c r="AK712" i="4" s="1"/>
  <c r="AK440" i="4"/>
  <c r="AK721" i="4" s="1"/>
  <c r="AB462" i="4"/>
  <c r="AK428" i="4"/>
  <c r="AK466" i="4" s="1"/>
  <c r="AK430" i="4"/>
  <c r="AK711" i="4" s="1"/>
  <c r="AK433" i="4"/>
  <c r="AK714" i="4" s="1"/>
  <c r="AK710" i="4" s="1"/>
  <c r="AC717" i="4"/>
  <c r="AC450" i="4"/>
  <c r="AH463" i="4"/>
  <c r="AH458" i="4"/>
  <c r="AH464" i="4"/>
  <c r="AI466" i="4"/>
  <c r="AI465" i="4"/>
  <c r="AI463" i="4"/>
  <c r="AK442" i="4"/>
  <c r="AK410" i="4" s="1"/>
  <c r="AK439" i="4"/>
  <c r="AK720" i="4" s="1"/>
  <c r="AK436" i="4"/>
  <c r="AK717" i="4" s="1"/>
  <c r="AC454" i="4"/>
  <c r="AC705" i="4" s="1"/>
  <c r="AC720" i="4"/>
  <c r="AC453" i="4"/>
  <c r="AC714" i="4"/>
  <c r="AC447" i="4"/>
  <c r="AC698" i="4" s="1"/>
  <c r="AC449" i="4"/>
  <c r="AC700" i="4" s="1"/>
  <c r="AC716" i="4"/>
  <c r="AC712" i="4"/>
  <c r="AC709" i="4" s="1"/>
  <c r="AC445" i="4"/>
  <c r="AC719" i="4"/>
  <c r="AC452" i="4"/>
  <c r="AC703" i="4" s="1"/>
  <c r="AJ428" i="4"/>
  <c r="AJ463" i="4" s="1"/>
  <c r="AJ431" i="4"/>
  <c r="AJ712" i="4" s="1"/>
  <c r="AJ433" i="4"/>
  <c r="AJ714" i="4" s="1"/>
  <c r="AJ710" i="4" s="1"/>
  <c r="AC715" i="4"/>
  <c r="AC448" i="4"/>
  <c r="AC455" i="4"/>
  <c r="AC706" i="4" s="1"/>
  <c r="AD693" i="4" s="1"/>
  <c r="AC722" i="4"/>
  <c r="AD709" i="4" s="1"/>
  <c r="AC702" i="4"/>
  <c r="AC464" i="4"/>
  <c r="N706" i="4"/>
  <c r="O693" i="4" s="1"/>
  <c r="N468" i="4"/>
  <c r="J694" i="4"/>
  <c r="V694" i="4"/>
  <c r="J467" i="4"/>
  <c r="O463" i="4"/>
  <c r="J465" i="4"/>
  <c r="K467" i="4"/>
  <c r="I709" i="4"/>
  <c r="X674" i="4"/>
  <c r="X588" i="4" s="1"/>
  <c r="AE208" i="3"/>
  <c r="AD206" i="3"/>
  <c r="N708" i="4"/>
  <c r="K694" i="4"/>
  <c r="J458" i="4"/>
  <c r="N463" i="4"/>
  <c r="V671" i="4"/>
  <c r="O468" i="4"/>
  <c r="W468" i="4"/>
  <c r="W465" i="4"/>
  <c r="W679" i="4"/>
  <c r="W947" i="4" s="1"/>
  <c r="O458" i="4"/>
  <c r="K458" i="4"/>
  <c r="N703" i="4"/>
  <c r="N692" i="4" s="1"/>
  <c r="N465" i="4"/>
  <c r="O692" i="4"/>
  <c r="K692" i="4"/>
  <c r="P455" i="4"/>
  <c r="P706" i="4" s="1"/>
  <c r="N709" i="4"/>
  <c r="W460" i="4"/>
  <c r="W695" i="4"/>
  <c r="W675" i="4" s="1"/>
  <c r="W943" i="4" s="1"/>
  <c r="W457" i="4"/>
  <c r="W462" i="4"/>
  <c r="X739" i="4"/>
  <c r="X740" i="4" s="1"/>
  <c r="Q443" i="4"/>
  <c r="Q691" i="4" s="1"/>
  <c r="P719" i="4"/>
  <c r="P452" i="4"/>
  <c r="P703" i="4" s="1"/>
  <c r="O694" i="4"/>
  <c r="Y180" i="4"/>
  <c r="Y946" i="4"/>
  <c r="Y674" i="4"/>
  <c r="Y588" i="4" s="1"/>
  <c r="Z609" i="4"/>
  <c r="AB609" i="4"/>
  <c r="AC609" i="4"/>
  <c r="AD609" i="4"/>
  <c r="AE609" i="4"/>
  <c r="AF609" i="4"/>
  <c r="AG609" i="4"/>
  <c r="Q725" i="4"/>
  <c r="Q724" i="4"/>
  <c r="R725" i="4"/>
  <c r="Q726" i="4"/>
  <c r="AH1260" i="4"/>
  <c r="AA128" i="3"/>
  <c r="AA584" i="4" s="1"/>
  <c r="AA608" i="4" s="1"/>
  <c r="AI1260" i="4"/>
  <c r="AB1257" i="4"/>
  <c r="AC1260" i="4"/>
  <c r="AF1260" i="4"/>
  <c r="AD1260" i="4"/>
  <c r="AG1260" i="4"/>
  <c r="AK1260" i="4"/>
  <c r="AB1260" i="4"/>
  <c r="AE1260" i="4"/>
  <c r="AJ1260" i="4"/>
  <c r="AJ1258" i="4"/>
  <c r="P714" i="4"/>
  <c r="P447" i="4"/>
  <c r="P698" i="4" s="1"/>
  <c r="AI125" i="3"/>
  <c r="AH123" i="3"/>
  <c r="W708" i="4"/>
  <c r="W710" i="4"/>
  <c r="AJ585" i="4"/>
  <c r="AJ609" i="4" s="1"/>
  <c r="AK136" i="3"/>
  <c r="AK585" i="4" s="1"/>
  <c r="AK609" i="4" s="1"/>
  <c r="AK1282" i="4"/>
  <c r="M214" i="3"/>
  <c r="N213" i="3"/>
  <c r="T153" i="4"/>
  <c r="U156" i="4"/>
  <c r="J710" i="4"/>
  <c r="J466" i="4"/>
  <c r="P718" i="4"/>
  <c r="P451" i="4"/>
  <c r="P702" i="4" s="1"/>
  <c r="X526" i="4"/>
  <c r="X525" i="4" s="1"/>
  <c r="X518" i="4"/>
  <c r="O710" i="4"/>
  <c r="AH526" i="4"/>
  <c r="AH525" i="4" s="1"/>
  <c r="AH518" i="4"/>
  <c r="Y952" i="4"/>
  <c r="Y186" i="4"/>
  <c r="I464" i="4"/>
  <c r="J462" i="4"/>
  <c r="J121" i="3"/>
  <c r="K120" i="3"/>
  <c r="K583" i="4" s="1"/>
  <c r="L1288" i="4"/>
  <c r="T1289" i="4"/>
  <c r="AC346" i="4"/>
  <c r="AH607" i="4"/>
  <c r="U151" i="4"/>
  <c r="T148" i="4"/>
  <c r="Z608" i="4"/>
  <c r="AB608" i="4"/>
  <c r="AC608" i="4"/>
  <c r="AE608" i="4"/>
  <c r="AD608" i="4"/>
  <c r="AF608" i="4"/>
  <c r="AG608" i="4"/>
  <c r="AH608" i="4"/>
  <c r="M582" i="4"/>
  <c r="M510" i="4"/>
  <c r="N1293" i="4"/>
  <c r="V1294" i="4"/>
  <c r="I124" i="3"/>
  <c r="I123" i="3" s="1"/>
  <c r="J123" i="3"/>
  <c r="K464" i="4"/>
  <c r="P713" i="4"/>
  <c r="P446" i="4"/>
  <c r="P697" i="4" s="1"/>
  <c r="J463" i="4"/>
  <c r="V463" i="4"/>
  <c r="O464" i="4"/>
  <c r="K708" i="4"/>
  <c r="N194" i="3"/>
  <c r="O192" i="3"/>
  <c r="O347" i="4" s="1"/>
  <c r="O191" i="3"/>
  <c r="N710" i="4"/>
  <c r="O708" i="4"/>
  <c r="Q740" i="4"/>
  <c r="I129" i="3"/>
  <c r="K1252" i="4"/>
  <c r="S1253" i="4"/>
  <c r="K468" i="4"/>
  <c r="I708" i="4"/>
  <c r="W461" i="4"/>
  <c r="P716" i="4"/>
  <c r="P449" i="4"/>
  <c r="P700" i="4" s="1"/>
  <c r="AA108" i="3"/>
  <c r="AA1303" i="4"/>
  <c r="AI1304" i="4"/>
  <c r="Z106" i="3"/>
  <c r="AA1388" i="4"/>
  <c r="Z1368" i="4"/>
  <c r="Z1363" i="4" s="1"/>
  <c r="Z1153" i="4" s="1"/>
  <c r="Z1362" i="4"/>
  <c r="Z1357" i="4" s="1"/>
  <c r="Z1152" i="4" s="1"/>
  <c r="Z1356" i="4"/>
  <c r="Z1351" i="4" s="1"/>
  <c r="J131" i="3"/>
  <c r="L1257" i="4"/>
  <c r="T1258" i="4"/>
  <c r="N464" i="4"/>
  <c r="J693" i="4"/>
  <c r="AJ736" i="4"/>
  <c r="AJ728" i="4"/>
  <c r="AI582" i="4"/>
  <c r="AI510" i="4"/>
  <c r="AJ1293" i="4"/>
  <c r="AD148" i="4"/>
  <c r="AE151" i="4"/>
  <c r="AD748" i="4"/>
  <c r="AC511" i="4"/>
  <c r="W676" i="4"/>
  <c r="K461" i="4"/>
  <c r="I467" i="4"/>
  <c r="Y184" i="4"/>
  <c r="Y950" i="4"/>
  <c r="AJ129" i="3"/>
  <c r="AI127" i="3"/>
  <c r="AJ1247" i="4" s="1"/>
  <c r="AJ1252" i="4"/>
  <c r="K465" i="4"/>
  <c r="I710" i="4"/>
  <c r="K132" i="3"/>
  <c r="K128" i="3" s="1"/>
  <c r="K584" i="4" s="1"/>
  <c r="M1262" i="4"/>
  <c r="U1263" i="4"/>
  <c r="AI609" i="4"/>
  <c r="X942" i="4"/>
  <c r="AI207" i="3"/>
  <c r="AA120" i="3"/>
  <c r="AA583" i="4" s="1"/>
  <c r="AA607" i="4" s="1"/>
  <c r="AF1291" i="4"/>
  <c r="AJ1289" i="4"/>
  <c r="AB1288" i="4"/>
  <c r="AB1291" i="4"/>
  <c r="AJ1291" i="4"/>
  <c r="AC1291" i="4"/>
  <c r="AD1291" i="4"/>
  <c r="AE1291" i="4"/>
  <c r="AK1291" i="4"/>
  <c r="AH1291" i="4"/>
  <c r="AG1291" i="4"/>
  <c r="AI1291" i="4"/>
  <c r="AG455" i="4"/>
  <c r="AG706" i="4" s="1"/>
  <c r="AG454" i="4"/>
  <c r="AG705" i="4" s="1"/>
  <c r="AG449" i="4"/>
  <c r="AG700" i="4" s="1"/>
  <c r="AG444" i="4"/>
  <c r="AG695" i="4" s="1"/>
  <c r="AG451" i="4"/>
  <c r="AG702" i="4" s="1"/>
  <c r="AG450" i="4"/>
  <c r="AG701" i="4" s="1"/>
  <c r="AG445" i="4"/>
  <c r="AG696" i="4" s="1"/>
  <c r="AG452" i="4"/>
  <c r="AG703" i="4" s="1"/>
  <c r="AG447" i="4"/>
  <c r="AG698" i="4" s="1"/>
  <c r="AG446" i="4"/>
  <c r="AG697" i="4" s="1"/>
  <c r="AG448" i="4"/>
  <c r="AG699" i="4" s="1"/>
  <c r="AH406" i="4"/>
  <c r="AG443" i="4"/>
  <c r="AG691" i="4" s="1"/>
  <c r="AG453" i="4"/>
  <c r="AG704" i="4" s="1"/>
  <c r="AG415" i="4"/>
  <c r="V946" i="4"/>
  <c r="V942" i="4" s="1"/>
  <c r="V674" i="4"/>
  <c r="V588" i="4" s="1"/>
  <c r="O207" i="3"/>
  <c r="O190" i="3" s="1"/>
  <c r="O348" i="4" s="1"/>
  <c r="P206" i="3"/>
  <c r="Y945" i="4"/>
  <c r="Y179" i="4"/>
  <c r="P720" i="4"/>
  <c r="P453" i="4"/>
  <c r="P704" i="4" s="1"/>
  <c r="R443" i="4"/>
  <c r="R691" i="4" s="1"/>
  <c r="AD146" i="4"/>
  <c r="AC143" i="4"/>
  <c r="X251" i="4"/>
  <c r="Y250" i="4"/>
  <c r="R171" i="4"/>
  <c r="R174" i="4" s="1"/>
  <c r="U425" i="4"/>
  <c r="U422" i="4" s="1"/>
  <c r="T422" i="4"/>
  <c r="P721" i="4"/>
  <c r="P454" i="4"/>
  <c r="P705" i="4" s="1"/>
  <c r="Y735" i="4"/>
  <c r="Y733" i="4" s="1"/>
  <c r="Y727" i="4" s="1"/>
  <c r="X948" i="4"/>
  <c r="X940" i="4" s="1"/>
  <c r="X672" i="4"/>
  <c r="X586" i="4" s="1"/>
  <c r="AF214" i="3"/>
  <c r="AE213" i="3"/>
  <c r="AE212" i="3"/>
  <c r="W464" i="4"/>
  <c r="Y949" i="4"/>
  <c r="Y183" i="4"/>
  <c r="J708" i="4"/>
  <c r="X693" i="4"/>
  <c r="W686" i="4"/>
  <c r="X671" i="4"/>
  <c r="Q442" i="4"/>
  <c r="Q410" i="4" s="1"/>
  <c r="J464" i="4"/>
  <c r="AJ121" i="3"/>
  <c r="AI120" i="3"/>
  <c r="AI583" i="4" s="1"/>
  <c r="AI607" i="4" s="1"/>
  <c r="AJ1288" i="4"/>
  <c r="W685" i="4"/>
  <c r="W953" i="4" s="1"/>
  <c r="AF692" i="4"/>
  <c r="AF694" i="4"/>
  <c r="K107" i="3"/>
  <c r="L106" i="3"/>
  <c r="L1298" i="4"/>
  <c r="U1299" i="4"/>
  <c r="V459" i="4"/>
  <c r="V948" i="4"/>
  <c r="V940" i="4" s="1"/>
  <c r="V672" i="4"/>
  <c r="V586" i="4" s="1"/>
  <c r="P190" i="3"/>
  <c r="P348" i="4" s="1"/>
  <c r="P346" i="4" s="1"/>
  <c r="L200" i="3"/>
  <c r="M193" i="3"/>
  <c r="W463" i="4"/>
  <c r="J459" i="4"/>
  <c r="AJ114" i="3"/>
  <c r="AI113" i="3"/>
  <c r="AK124" i="3"/>
  <c r="J709" i="4"/>
  <c r="Y953" i="4"/>
  <c r="Y187" i="4"/>
  <c r="I693" i="4"/>
  <c r="J461" i="4"/>
  <c r="O226" i="3"/>
  <c r="N227" i="3"/>
  <c r="N212" i="3" s="1"/>
  <c r="K111" i="3"/>
  <c r="M1323" i="4"/>
  <c r="U1324" i="4"/>
  <c r="K710" i="4"/>
  <c r="W684" i="4"/>
  <c r="W952" i="4" s="1"/>
  <c r="AJ608" i="4"/>
  <c r="AH1248" i="4"/>
  <c r="Z1247" i="4"/>
  <c r="N1247" i="4"/>
  <c r="V1248" i="4"/>
  <c r="V458" i="4"/>
  <c r="O212" i="3"/>
  <c r="J460" i="4"/>
  <c r="O467" i="4"/>
  <c r="S143" i="4"/>
  <c r="T146" i="4"/>
  <c r="S426" i="4"/>
  <c r="S428" i="4" s="1"/>
  <c r="S429" i="4"/>
  <c r="S707" i="4" s="1"/>
  <c r="Y178" i="4"/>
  <c r="Y944" i="4"/>
  <c r="O460" i="4"/>
  <c r="W682" i="4"/>
  <c r="W950" i="4" s="1"/>
  <c r="Z607" i="4"/>
  <c r="AB607" i="4"/>
  <c r="AC607" i="4"/>
  <c r="AD607" i="4"/>
  <c r="AE607" i="4"/>
  <c r="AF607" i="4"/>
  <c r="Z745" i="4"/>
  <c r="Z743" i="4"/>
  <c r="AA746" i="4"/>
  <c r="AA677" i="4" s="1"/>
  <c r="Z675" i="4"/>
  <c r="Z677" i="4"/>
  <c r="Z676" i="4"/>
  <c r="Z682" i="4"/>
  <c r="Z684" i="4"/>
  <c r="Z683" i="4"/>
  <c r="Z678" i="4"/>
  <c r="Z680" i="4"/>
  <c r="Z679" i="4"/>
  <c r="Z685" i="4"/>
  <c r="Z686" i="4"/>
  <c r="Z681" i="4"/>
  <c r="AE194" i="3"/>
  <c r="AD190" i="3"/>
  <c r="AD348" i="4" s="1"/>
  <c r="AD192" i="3"/>
  <c r="AD347" i="4" s="1"/>
  <c r="AD191" i="3"/>
  <c r="AA585" i="4"/>
  <c r="AA609" i="4" s="1"/>
  <c r="AD1285" i="4"/>
  <c r="AB1282" i="4"/>
  <c r="AB1285" i="4"/>
  <c r="AG1285" i="4"/>
  <c r="AF1285" i="4"/>
  <c r="AK1285" i="4"/>
  <c r="AC1285" i="4"/>
  <c r="AJ1283" i="4"/>
  <c r="AJ1285" i="4"/>
  <c r="AI1285" i="4"/>
  <c r="AE1285" i="4"/>
  <c r="AH1285" i="4"/>
  <c r="Q435" i="4"/>
  <c r="Q716" i="4" s="1"/>
  <c r="I458" i="4"/>
  <c r="O461" i="4"/>
  <c r="AG693" i="4"/>
  <c r="P715" i="4"/>
  <c r="P448" i="4"/>
  <c r="P699" i="4" s="1"/>
  <c r="V692" i="4"/>
  <c r="N461" i="4"/>
  <c r="W681" i="4"/>
  <c r="W692" i="4"/>
  <c r="I462" i="4"/>
  <c r="L585" i="4"/>
  <c r="K136" i="3"/>
  <c r="M1282" i="4"/>
  <c r="U1283" i="4"/>
  <c r="P711" i="4"/>
  <c r="P444" i="4"/>
  <c r="P695" i="4" s="1"/>
  <c r="Z736" i="4"/>
  <c r="Z737" i="4" s="1"/>
  <c r="Y582" i="4"/>
  <c r="Y606" i="4" s="1"/>
  <c r="Y510" i="4"/>
  <c r="Z669" i="3"/>
  <c r="Z670" i="3" s="1"/>
  <c r="Z671" i="3" s="1"/>
  <c r="Z728" i="4"/>
  <c r="Z1293" i="4"/>
  <c r="AH1294" i="4"/>
  <c r="Y1350" i="4"/>
  <c r="Y1151" i="4"/>
  <c r="AH609" i="4"/>
  <c r="AE193" i="3"/>
  <c r="AF200" i="3"/>
  <c r="AK108" i="3"/>
  <c r="AK106" i="3" s="1"/>
  <c r="AK1303" i="4"/>
  <c r="AJ106" i="3"/>
  <c r="I463" i="4"/>
  <c r="AG227" i="3"/>
  <c r="AF226" i="3"/>
  <c r="R442" i="4"/>
  <c r="R410" i="4" s="1"/>
  <c r="AK608" i="4"/>
  <c r="AA129" i="3"/>
  <c r="Z127" i="3"/>
  <c r="AI1253" i="4"/>
  <c r="AA1252" i="4"/>
  <c r="AE156" i="4"/>
  <c r="AD153" i="4"/>
  <c r="AB1323" i="4"/>
  <c r="AK1326" i="4"/>
  <c r="AH1326" i="4"/>
  <c r="AJ1326" i="4"/>
  <c r="AF1326" i="4"/>
  <c r="AB1326" i="4"/>
  <c r="AD1326" i="4"/>
  <c r="AI1326" i="4"/>
  <c r="AJ1324" i="4"/>
  <c r="AG1326" i="4"/>
  <c r="AC1326" i="4"/>
  <c r="AE1326" i="4"/>
  <c r="AA511" i="4"/>
  <c r="I694" i="4"/>
  <c r="N458" i="4"/>
  <c r="W694" i="4"/>
  <c r="W678" i="4"/>
  <c r="AB171" i="4"/>
  <c r="AB174" i="4" s="1"/>
  <c r="J457" i="4"/>
  <c r="AF169" i="4"/>
  <c r="AE166" i="4"/>
  <c r="N467" i="4"/>
  <c r="V169" i="4"/>
  <c r="U166" i="4"/>
  <c r="AB459" i="4"/>
  <c r="AD694" i="4"/>
  <c r="AA466" i="4"/>
  <c r="AB466" i="4"/>
  <c r="AB708" i="4"/>
  <c r="AA458" i="4"/>
  <c r="AA467" i="4"/>
  <c r="AA465" i="4"/>
  <c r="AA468" i="4"/>
  <c r="AB468" i="4"/>
  <c r="AB465" i="4"/>
  <c r="AB461" i="4"/>
  <c r="AB458" i="4"/>
  <c r="AA692" i="4"/>
  <c r="AB463" i="4"/>
  <c r="AA460" i="4"/>
  <c r="AA462" i="4"/>
  <c r="AA464" i="4"/>
  <c r="AA461" i="4"/>
  <c r="AB460" i="4"/>
  <c r="AB693" i="4"/>
  <c r="AB692" i="4"/>
  <c r="AA694" i="4"/>
  <c r="AA708" i="4"/>
  <c r="AA695" i="4"/>
  <c r="AA457" i="4"/>
  <c r="AB694" i="4"/>
  <c r="AB709" i="4"/>
  <c r="AA459" i="4"/>
  <c r="AA463" i="4"/>
  <c r="AA710" i="4"/>
  <c r="AB464" i="4"/>
  <c r="AA709" i="4"/>
  <c r="AB457" i="4"/>
  <c r="AB467" i="4"/>
  <c r="AB710" i="4"/>
  <c r="Y943" i="4"/>
  <c r="Y671" i="4"/>
  <c r="Y673" i="4"/>
  <c r="Y177" i="4"/>
  <c r="Y951" i="4"/>
  <c r="Y185" i="4"/>
  <c r="Y672" i="4"/>
  <c r="Y586" i="4" s="1"/>
  <c r="P463" i="4" l="1"/>
  <c r="U1248" i="4"/>
  <c r="P458" i="4"/>
  <c r="W693" i="4"/>
  <c r="AJ456" i="4"/>
  <c r="AJ461" i="4"/>
  <c r="AJ462" i="4"/>
  <c r="AA686" i="4"/>
  <c r="AA954" i="4" s="1"/>
  <c r="AA685" i="4"/>
  <c r="AA187" i="4" s="1"/>
  <c r="AK459" i="4"/>
  <c r="AJ460" i="4"/>
  <c r="AJ466" i="4"/>
  <c r="AA676" i="4"/>
  <c r="AA178" i="4" s="1"/>
  <c r="AJ465" i="4"/>
  <c r="AJ467" i="4"/>
  <c r="AK465" i="4"/>
  <c r="P709" i="4"/>
  <c r="I135" i="3"/>
  <c r="K1277" i="4"/>
  <c r="S1278" i="4"/>
  <c r="AK464" i="4"/>
  <c r="P693" i="4"/>
  <c r="Q440" i="4"/>
  <c r="Q721" i="4" s="1"/>
  <c r="AJ468" i="4"/>
  <c r="AJ464" i="4"/>
  <c r="AJ459" i="4"/>
  <c r="AJ408" i="4"/>
  <c r="AJ457" i="4"/>
  <c r="AJ458" i="4"/>
  <c r="AC697" i="4"/>
  <c r="AC459" i="4"/>
  <c r="Q438" i="4"/>
  <c r="Q719" i="4" s="1"/>
  <c r="P468" i="4"/>
  <c r="AK749" i="4"/>
  <c r="P457" i="4"/>
  <c r="AD346" i="4"/>
  <c r="P466" i="4"/>
  <c r="P460" i="4"/>
  <c r="Q431" i="4"/>
  <c r="Q712" i="4" s="1"/>
  <c r="AC708" i="4"/>
  <c r="AK463" i="4"/>
  <c r="AK467" i="4"/>
  <c r="AK458" i="4"/>
  <c r="AK408" i="4"/>
  <c r="AK460" i="4"/>
  <c r="AK457" i="4"/>
  <c r="AK462" i="4"/>
  <c r="AK456" i="4"/>
  <c r="AK468" i="4"/>
  <c r="AK461" i="4"/>
  <c r="AC467" i="4"/>
  <c r="AC468" i="4"/>
  <c r="AC460" i="4"/>
  <c r="AC465" i="4"/>
  <c r="AC462" i="4"/>
  <c r="AC704" i="4"/>
  <c r="AC466" i="4"/>
  <c r="AC701" i="4"/>
  <c r="AC692" i="4" s="1"/>
  <c r="AC463" i="4"/>
  <c r="AC699" i="4"/>
  <c r="AC461" i="4"/>
  <c r="AC696" i="4"/>
  <c r="AC693" i="4" s="1"/>
  <c r="AC458" i="4"/>
  <c r="AC694" i="4"/>
  <c r="AC710" i="4"/>
  <c r="R431" i="4"/>
  <c r="R712" i="4" s="1"/>
  <c r="R432" i="4"/>
  <c r="R713" i="4" s="1"/>
  <c r="AA682" i="4"/>
  <c r="AA950" i="4" s="1"/>
  <c r="R441" i="4"/>
  <c r="R722" i="4" s="1"/>
  <c r="AF208" i="3"/>
  <c r="AE206" i="3"/>
  <c r="R433" i="4"/>
  <c r="R714" i="4" s="1"/>
  <c r="R436" i="4"/>
  <c r="Y941" i="4"/>
  <c r="R437" i="4"/>
  <c r="R718" i="4" s="1"/>
  <c r="P692" i="4"/>
  <c r="Q449" i="4"/>
  <c r="Q700" i="4" s="1"/>
  <c r="Q680" i="4" s="1"/>
  <c r="Y739" i="4"/>
  <c r="Y725" i="4" s="1"/>
  <c r="Y744" i="4" s="1"/>
  <c r="J111" i="3"/>
  <c r="L1323" i="4"/>
  <c r="T1324" i="4"/>
  <c r="AK114" i="3"/>
  <c r="AK113" i="3" s="1"/>
  <c r="AJ113" i="3"/>
  <c r="AK121" i="3"/>
  <c r="AK120" i="3" s="1"/>
  <c r="AK583" i="4" s="1"/>
  <c r="AK607" i="4" s="1"/>
  <c r="AJ120" i="3"/>
  <c r="AJ583" i="4" s="1"/>
  <c r="AJ607" i="4" s="1"/>
  <c r="AK1288" i="4"/>
  <c r="AH693" i="4"/>
  <c r="M194" i="3"/>
  <c r="N192" i="3"/>
  <c r="N347" i="4" s="1"/>
  <c r="N191" i="3"/>
  <c r="P461" i="4"/>
  <c r="Z188" i="4"/>
  <c r="Z954" i="4"/>
  <c r="S442" i="4"/>
  <c r="S410" i="4" s="1"/>
  <c r="L510" i="4"/>
  <c r="L582" i="4"/>
  <c r="M1293" i="4"/>
  <c r="U1294" i="4"/>
  <c r="T426" i="4"/>
  <c r="T428" i="4" s="1"/>
  <c r="T429" i="4"/>
  <c r="T707" i="4" s="1"/>
  <c r="R456" i="4"/>
  <c r="AI406" i="4"/>
  <c r="AJ406" i="4" s="1"/>
  <c r="AH446" i="4"/>
  <c r="AH697" i="4" s="1"/>
  <c r="AH452" i="4"/>
  <c r="AH703" i="4" s="1"/>
  <c r="AH451" i="4"/>
  <c r="AH702" i="4" s="1"/>
  <c r="AH453" i="4"/>
  <c r="AH704" i="4" s="1"/>
  <c r="AH448" i="4"/>
  <c r="AH699" i="4" s="1"/>
  <c r="AH447" i="4"/>
  <c r="AH698" i="4" s="1"/>
  <c r="AH443" i="4"/>
  <c r="AH691" i="4" s="1"/>
  <c r="AH454" i="4"/>
  <c r="AH705" i="4" s="1"/>
  <c r="AH449" i="4"/>
  <c r="AH700" i="4" s="1"/>
  <c r="AH444" i="4"/>
  <c r="AH695" i="4" s="1"/>
  <c r="AH455" i="4"/>
  <c r="AH706" i="4" s="1"/>
  <c r="AH450" i="4"/>
  <c r="AH701" i="4" s="1"/>
  <c r="AH445" i="4"/>
  <c r="AH696" i="4" s="1"/>
  <c r="AH415" i="4"/>
  <c r="AE748" i="4"/>
  <c r="AD511" i="4"/>
  <c r="AI526" i="4"/>
  <c r="AI525" i="4" s="1"/>
  <c r="AI518" i="4"/>
  <c r="I131" i="3"/>
  <c r="K1257" i="4"/>
  <c r="S1258" i="4"/>
  <c r="P708" i="4"/>
  <c r="J1252" i="4"/>
  <c r="R1253" i="4"/>
  <c r="Q437" i="4"/>
  <c r="AF156" i="4"/>
  <c r="AE153" i="4"/>
  <c r="Z183" i="4"/>
  <c r="Z949" i="4"/>
  <c r="S443" i="4"/>
  <c r="S691" i="4" s="1"/>
  <c r="U146" i="4"/>
  <c r="T143" i="4"/>
  <c r="AG694" i="4"/>
  <c r="AJ207" i="3"/>
  <c r="AG226" i="3"/>
  <c r="AH227" i="3"/>
  <c r="Z735" i="4"/>
  <c r="Z733" i="4" s="1"/>
  <c r="Z727" i="4" s="1"/>
  <c r="Z944" i="4"/>
  <c r="Z178" i="4"/>
  <c r="AG169" i="4"/>
  <c r="AF166" i="4"/>
  <c r="W946" i="4"/>
  <c r="W942" i="4" s="1"/>
  <c r="W674" i="4"/>
  <c r="W588" i="4" s="1"/>
  <c r="R430" i="4"/>
  <c r="R435" i="4"/>
  <c r="R440" i="4"/>
  <c r="AG200" i="3"/>
  <c r="AF193" i="3"/>
  <c r="Q439" i="4"/>
  <c r="Z187" i="4"/>
  <c r="Z953" i="4"/>
  <c r="Z185" i="4"/>
  <c r="Z951" i="4"/>
  <c r="Z945" i="4"/>
  <c r="Z179" i="4"/>
  <c r="N226" i="3"/>
  <c r="M227" i="3"/>
  <c r="M212" i="3" s="1"/>
  <c r="K200" i="3"/>
  <c r="L193" i="3"/>
  <c r="J107" i="3"/>
  <c r="K106" i="3"/>
  <c r="K1298" i="4"/>
  <c r="T1299" i="4"/>
  <c r="Q441" i="4"/>
  <c r="AF213" i="3"/>
  <c r="AF212" i="3"/>
  <c r="AG214" i="3"/>
  <c r="U426" i="4"/>
  <c r="U428" i="4" s="1"/>
  <c r="U429" i="4"/>
  <c r="U707" i="4" s="1"/>
  <c r="AC171" i="4"/>
  <c r="AC174" i="4" s="1"/>
  <c r="R408" i="4"/>
  <c r="AG692" i="4"/>
  <c r="Q434" i="4"/>
  <c r="AJ127" i="3"/>
  <c r="AK1247" i="4" s="1"/>
  <c r="AK129" i="3"/>
  <c r="AK127" i="3" s="1"/>
  <c r="AK1252" i="4"/>
  <c r="AF151" i="4"/>
  <c r="AE148" i="4"/>
  <c r="AA1362" i="4"/>
  <c r="AA1357" i="4" s="1"/>
  <c r="AA1152" i="4" s="1"/>
  <c r="AB1388" i="4"/>
  <c r="AA1368" i="4"/>
  <c r="AA1363" i="4" s="1"/>
  <c r="AA1153" i="4" s="1"/>
  <c r="AA1356" i="4"/>
  <c r="AA1351" i="4" s="1"/>
  <c r="AC1306" i="4"/>
  <c r="AB1303" i="4"/>
  <c r="AG1306" i="4"/>
  <c r="AK1306" i="4"/>
  <c r="AJ1304" i="4"/>
  <c r="AF1306" i="4"/>
  <c r="AJ1306" i="4"/>
  <c r="AD1306" i="4"/>
  <c r="AI1306" i="4"/>
  <c r="AE1306" i="4"/>
  <c r="AH1306" i="4"/>
  <c r="AB1306" i="4"/>
  <c r="AA106" i="3"/>
  <c r="P459" i="4"/>
  <c r="Q432" i="4"/>
  <c r="P464" i="4"/>
  <c r="V156" i="4"/>
  <c r="U153" i="4"/>
  <c r="L214" i="3"/>
  <c r="M213" i="3"/>
  <c r="P694" i="4"/>
  <c r="Y942" i="4"/>
  <c r="Q408" i="4"/>
  <c r="AA127" i="3"/>
  <c r="AE1255" i="4"/>
  <c r="AB1252" i="4"/>
  <c r="AB1255" i="4"/>
  <c r="AJ1255" i="4"/>
  <c r="AD1255" i="4"/>
  <c r="AG1255" i="4"/>
  <c r="AF1255" i="4"/>
  <c r="AH1255" i="4"/>
  <c r="AI1255" i="4"/>
  <c r="AC1255" i="4"/>
  <c r="AK1255" i="4"/>
  <c r="AJ1253" i="4"/>
  <c r="Z672" i="4"/>
  <c r="Z586" i="4" s="1"/>
  <c r="Z182" i="4"/>
  <c r="Z948" i="4"/>
  <c r="Z184" i="4"/>
  <c r="Z950" i="4"/>
  <c r="Y251" i="4"/>
  <c r="Z250" i="4"/>
  <c r="J132" i="3"/>
  <c r="J128" i="3" s="1"/>
  <c r="J584" i="4" s="1"/>
  <c r="T1263" i="4"/>
  <c r="L1262" i="4"/>
  <c r="K127" i="3"/>
  <c r="K1288" i="4"/>
  <c r="I121" i="3"/>
  <c r="J120" i="3"/>
  <c r="J583" i="4" s="1"/>
  <c r="S1289" i="4"/>
  <c r="AJ125" i="3"/>
  <c r="AI123" i="3"/>
  <c r="AK582" i="4"/>
  <c r="AK510" i="4"/>
  <c r="W949" i="4"/>
  <c r="W940" i="4" s="1"/>
  <c r="W672" i="4"/>
  <c r="W586" i="4" s="1"/>
  <c r="Z180" i="4"/>
  <c r="Z946" i="4"/>
  <c r="Z674" i="4"/>
  <c r="Z588" i="4" s="1"/>
  <c r="AA743" i="4"/>
  <c r="AB746" i="4"/>
  <c r="AA745" i="4"/>
  <c r="Y940" i="4"/>
  <c r="AA684" i="4"/>
  <c r="AA186" i="4" s="1"/>
  <c r="AA680" i="4"/>
  <c r="AA182" i="4" s="1"/>
  <c r="AA683" i="4"/>
  <c r="AA951" i="4" s="1"/>
  <c r="AA678" i="4"/>
  <c r="AA946" i="4" s="1"/>
  <c r="AA679" i="4"/>
  <c r="AA947" i="4" s="1"/>
  <c r="AA681" i="4"/>
  <c r="W169" i="4"/>
  <c r="V166" i="4"/>
  <c r="AA1247" i="4"/>
  <c r="AI1248" i="4"/>
  <c r="R434" i="4"/>
  <c r="R438" i="4"/>
  <c r="R439" i="4"/>
  <c r="AK736" i="4"/>
  <c r="AK728" i="4"/>
  <c r="AJ510" i="4"/>
  <c r="AJ582" i="4"/>
  <c r="AK1293" i="4"/>
  <c r="Y526" i="4"/>
  <c r="Y525" i="4" s="1"/>
  <c r="Y518" i="4"/>
  <c r="K585" i="4"/>
  <c r="J136" i="3"/>
  <c r="L1282" i="4"/>
  <c r="T1283" i="4"/>
  <c r="AE192" i="3"/>
  <c r="AE347" i="4" s="1"/>
  <c r="AE191" i="3"/>
  <c r="AE190" i="3"/>
  <c r="AE348" i="4" s="1"/>
  <c r="AF194" i="3"/>
  <c r="Z947" i="4"/>
  <c r="Z181" i="4"/>
  <c r="Z186" i="4"/>
  <c r="Z952" i="4"/>
  <c r="Z943" i="4"/>
  <c r="Z177" i="4"/>
  <c r="Z673" i="4"/>
  <c r="Z671" i="4"/>
  <c r="S171" i="4"/>
  <c r="S174" i="4" s="1"/>
  <c r="Q436" i="4"/>
  <c r="W954" i="4"/>
  <c r="X941" i="4" s="1"/>
  <c r="X673" i="4"/>
  <c r="P467" i="4"/>
  <c r="AE146" i="4"/>
  <c r="AD143" i="4"/>
  <c r="N207" i="3"/>
  <c r="O206" i="3"/>
  <c r="W944" i="4"/>
  <c r="W941" i="4" s="1"/>
  <c r="W673" i="4"/>
  <c r="W671" i="4"/>
  <c r="Z1151" i="4"/>
  <c r="Z1350" i="4"/>
  <c r="AA728" i="4"/>
  <c r="Z582" i="4"/>
  <c r="AA736" i="4"/>
  <c r="AA737" i="4" s="1"/>
  <c r="AA633" i="3"/>
  <c r="AA669" i="3"/>
  <c r="AA670" i="3" s="1"/>
  <c r="AA671" i="3" s="1"/>
  <c r="Z510" i="4"/>
  <c r="AA1293" i="4"/>
  <c r="AI1294" i="4"/>
  <c r="P462" i="4"/>
  <c r="O346" i="4"/>
  <c r="V151" i="4"/>
  <c r="U148" i="4"/>
  <c r="Q430" i="4"/>
  <c r="P710" i="4"/>
  <c r="Q433" i="4"/>
  <c r="P465" i="4"/>
  <c r="Q456" i="4"/>
  <c r="X724" i="4"/>
  <c r="X726" i="4"/>
  <c r="X725" i="4"/>
  <c r="Y176" i="4"/>
  <c r="AA675" i="4"/>
  <c r="AA693" i="4"/>
  <c r="AA945" i="4"/>
  <c r="AA179" i="4"/>
  <c r="Y587" i="4"/>
  <c r="AA944" i="4" l="1"/>
  <c r="Q452" i="4"/>
  <c r="Q703" i="4" s="1"/>
  <c r="Q683" i="4" s="1"/>
  <c r="Q951" i="4" s="1"/>
  <c r="AA188" i="4"/>
  <c r="R445" i="4"/>
  <c r="R696" i="4" s="1"/>
  <c r="R676" i="4" s="1"/>
  <c r="R944" i="4" s="1"/>
  <c r="AA953" i="4"/>
  <c r="Q454" i="4"/>
  <c r="Q705" i="4" s="1"/>
  <c r="Q685" i="4" s="1"/>
  <c r="Q187" i="4" s="1"/>
  <c r="R446" i="4"/>
  <c r="R697" i="4" s="1"/>
  <c r="R677" i="4" s="1"/>
  <c r="R179" i="4" s="1"/>
  <c r="R447" i="4"/>
  <c r="R698" i="4" s="1"/>
  <c r="R678" i="4" s="1"/>
  <c r="S437" i="4"/>
  <c r="S718" i="4" s="1"/>
  <c r="J1277" i="4"/>
  <c r="R1278" i="4"/>
  <c r="S432" i="4"/>
  <c r="S713" i="4" s="1"/>
  <c r="S408" i="4"/>
  <c r="S438" i="4"/>
  <c r="S719" i="4" s="1"/>
  <c r="Z941" i="4"/>
  <c r="AA185" i="4"/>
  <c r="R451" i="4"/>
  <c r="R702" i="4" s="1"/>
  <c r="R682" i="4" s="1"/>
  <c r="R950" i="4" s="1"/>
  <c r="Q445" i="4"/>
  <c r="Q696" i="4" s="1"/>
  <c r="Q676" i="4" s="1"/>
  <c r="Q178" i="4" s="1"/>
  <c r="AA184" i="4"/>
  <c r="R455" i="4"/>
  <c r="R468" i="4" s="1"/>
  <c r="R717" i="4"/>
  <c r="R450" i="4"/>
  <c r="R701" i="4" s="1"/>
  <c r="AE346" i="4"/>
  <c r="Q462" i="4"/>
  <c r="AG208" i="3"/>
  <c r="AF206" i="3"/>
  <c r="AA180" i="4"/>
  <c r="AA952" i="4"/>
  <c r="AA948" i="4"/>
  <c r="AA672" i="4"/>
  <c r="AA586" i="4" s="1"/>
  <c r="AA610" i="4" s="1"/>
  <c r="Z606" i="4"/>
  <c r="AB606" i="4"/>
  <c r="AC606" i="4"/>
  <c r="AD606" i="4"/>
  <c r="AE606" i="4"/>
  <c r="AF606" i="4"/>
  <c r="AG606" i="4"/>
  <c r="AH606" i="4"/>
  <c r="AD171" i="4"/>
  <c r="AD174" i="4" s="1"/>
  <c r="AJ606" i="4"/>
  <c r="R721" i="4"/>
  <c r="R454" i="4"/>
  <c r="R705" i="4" s="1"/>
  <c r="AA674" i="4"/>
  <c r="AA588" i="4" s="1"/>
  <c r="AA612" i="4" s="1"/>
  <c r="Q711" i="4"/>
  <c r="Q444" i="4"/>
  <c r="Q695" i="4" s="1"/>
  <c r="M207" i="3"/>
  <c r="M190" i="3" s="1"/>
  <c r="M348" i="4" s="1"/>
  <c r="N206" i="3"/>
  <c r="AE143" i="4"/>
  <c r="AF146" i="4"/>
  <c r="AF192" i="3"/>
  <c r="AF347" i="4" s="1"/>
  <c r="AF191" i="3"/>
  <c r="AG194" i="3"/>
  <c r="AF190" i="3"/>
  <c r="AF348" i="4" s="1"/>
  <c r="AJ526" i="4"/>
  <c r="AJ525" i="4" s="1"/>
  <c r="AJ518" i="4"/>
  <c r="R719" i="4"/>
  <c r="R452" i="4"/>
  <c r="R703" i="4" s="1"/>
  <c r="AK606" i="4"/>
  <c r="L1247" i="4"/>
  <c r="T1248" i="4"/>
  <c r="Q713" i="4"/>
  <c r="Q446" i="4"/>
  <c r="Q697" i="4" s="1"/>
  <c r="AI606" i="4"/>
  <c r="I107" i="3"/>
  <c r="J106" i="3"/>
  <c r="J1298" i="4"/>
  <c r="S1299" i="4"/>
  <c r="L227" i="3"/>
  <c r="L212" i="3" s="1"/>
  <c r="M226" i="3"/>
  <c r="Q720" i="4"/>
  <c r="Q453" i="4"/>
  <c r="Q704" i="4" s="1"/>
  <c r="R716" i="4"/>
  <c r="R449" i="4"/>
  <c r="R700" i="4" s="1"/>
  <c r="AK207" i="3"/>
  <c r="T171" i="4"/>
  <c r="T174" i="4" s="1"/>
  <c r="AI693" i="4"/>
  <c r="AA181" i="4"/>
  <c r="Q714" i="4"/>
  <c r="Q447" i="4"/>
  <c r="Q698" i="4" s="1"/>
  <c r="Z633" i="3"/>
  <c r="Z634" i="3" s="1"/>
  <c r="AA634" i="3"/>
  <c r="W587" i="4"/>
  <c r="W744" i="4"/>
  <c r="Q717" i="4"/>
  <c r="Q450" i="4"/>
  <c r="Q701" i="4" s="1"/>
  <c r="Z587" i="4"/>
  <c r="R715" i="4"/>
  <c r="R448" i="4"/>
  <c r="R699" i="4" s="1"/>
  <c r="X169" i="4"/>
  <c r="X166" i="4" s="1"/>
  <c r="W166" i="4"/>
  <c r="Z942" i="4"/>
  <c r="Z251" i="4"/>
  <c r="AA250" i="4"/>
  <c r="U442" i="4"/>
  <c r="U410" i="4" s="1"/>
  <c r="R711" i="4"/>
  <c r="R444" i="4"/>
  <c r="R695" i="4" s="1"/>
  <c r="AH169" i="4"/>
  <c r="AG166" i="4"/>
  <c r="Q948" i="4"/>
  <c r="Q182" i="4"/>
  <c r="V146" i="4"/>
  <c r="U143" i="4"/>
  <c r="S452" i="4"/>
  <c r="S456" i="4"/>
  <c r="AG156" i="4"/>
  <c r="AF153" i="4"/>
  <c r="J1257" i="4"/>
  <c r="R1258" i="4"/>
  <c r="AH694" i="4"/>
  <c r="T443" i="4"/>
  <c r="T691" i="4" s="1"/>
  <c r="S436" i="4"/>
  <c r="S440" i="4"/>
  <c r="S431" i="4"/>
  <c r="Q185" i="4"/>
  <c r="AB736" i="4"/>
  <c r="AB737" i="4" s="1"/>
  <c r="AB728" i="4"/>
  <c r="AA582" i="4"/>
  <c r="AA606" i="4" s="1"/>
  <c r="AA510" i="4"/>
  <c r="AB633" i="3"/>
  <c r="AB634" i="3" s="1"/>
  <c r="AB669" i="3"/>
  <c r="AB670" i="3" s="1"/>
  <c r="AB671" i="3" s="1"/>
  <c r="AB1293" i="4"/>
  <c r="AG1296" i="4"/>
  <c r="AF1296" i="4"/>
  <c r="AI1296" i="4"/>
  <c r="AH1296" i="4"/>
  <c r="AE1296" i="4"/>
  <c r="AB1296" i="4"/>
  <c r="AJ1294" i="4"/>
  <c r="AK1296" i="4"/>
  <c r="AC1296" i="4"/>
  <c r="AJ1296" i="4"/>
  <c r="AD1296" i="4"/>
  <c r="AA1350" i="4"/>
  <c r="AA1151" i="4"/>
  <c r="Q722" i="4"/>
  <c r="Q455" i="4"/>
  <c r="Q706" i="4" s="1"/>
  <c r="I111" i="3"/>
  <c r="K1323" i="4"/>
  <c r="S1324" i="4"/>
  <c r="W151" i="4"/>
  <c r="V148" i="4"/>
  <c r="AA735" i="4"/>
  <c r="AA733" i="4" s="1"/>
  <c r="AA727" i="4" s="1"/>
  <c r="Z176" i="4"/>
  <c r="J585" i="4"/>
  <c r="I136" i="3"/>
  <c r="K1282" i="4"/>
  <c r="S1283" i="4"/>
  <c r="AA949" i="4"/>
  <c r="AA183" i="4"/>
  <c r="AB743" i="4"/>
  <c r="AC746" i="4"/>
  <c r="AB745" i="4"/>
  <c r="AB680" i="4"/>
  <c r="AB677" i="4"/>
  <c r="AB682" i="4"/>
  <c r="AB683" i="4"/>
  <c r="AB678" i="4"/>
  <c r="AB679" i="4"/>
  <c r="AB684" i="4"/>
  <c r="AB685" i="4"/>
  <c r="AB676" i="4"/>
  <c r="AB681" i="4"/>
  <c r="AB686" i="4"/>
  <c r="AB675" i="4"/>
  <c r="Z739" i="4"/>
  <c r="Z740" i="4" s="1"/>
  <c r="J1288" i="4"/>
  <c r="I120" i="3"/>
  <c r="I583" i="4" s="1"/>
  <c r="J607" i="4" s="1"/>
  <c r="R1289" i="4"/>
  <c r="Z940" i="4"/>
  <c r="AB1247" i="4"/>
  <c r="AC1250" i="4"/>
  <c r="AK1250" i="4"/>
  <c r="AB1250" i="4"/>
  <c r="AE1250" i="4"/>
  <c r="AH1250" i="4"/>
  <c r="AI1250" i="4"/>
  <c r="AF1250" i="4"/>
  <c r="AD1250" i="4"/>
  <c r="AG1250" i="4"/>
  <c r="AJ1248" i="4"/>
  <c r="AJ1250" i="4"/>
  <c r="W156" i="4"/>
  <c r="V153" i="4"/>
  <c r="AC1388" i="4"/>
  <c r="AB1356" i="4"/>
  <c r="AB1351" i="4" s="1"/>
  <c r="AB1368" i="4"/>
  <c r="AB1363" i="4" s="1"/>
  <c r="AB1153" i="4" s="1"/>
  <c r="AB1362" i="4"/>
  <c r="AB1357" i="4" s="1"/>
  <c r="AB1152" i="4" s="1"/>
  <c r="AG151" i="4"/>
  <c r="AF148" i="4"/>
  <c r="Q715" i="4"/>
  <c r="Q448" i="4"/>
  <c r="Q699" i="4" s="1"/>
  <c r="U443" i="4"/>
  <c r="U691" i="4" s="1"/>
  <c r="J200" i="3"/>
  <c r="K193" i="3"/>
  <c r="AH200" i="3"/>
  <c r="AG193" i="3"/>
  <c r="AI227" i="3"/>
  <c r="AH226" i="3"/>
  <c r="Q718" i="4"/>
  <c r="Q451" i="4"/>
  <c r="Q702" i="4" s="1"/>
  <c r="AF748" i="4"/>
  <c r="AE511" i="4"/>
  <c r="AH692" i="4"/>
  <c r="T442" i="4"/>
  <c r="T410" i="4" s="1"/>
  <c r="S433" i="4"/>
  <c r="S430" i="4"/>
  <c r="S435" i="4"/>
  <c r="M191" i="3"/>
  <c r="L194" i="3"/>
  <c r="M192" i="3"/>
  <c r="M347" i="4" s="1"/>
  <c r="Y724" i="4"/>
  <c r="Y726" i="4"/>
  <c r="Z526" i="4"/>
  <c r="Z525" i="4" s="1"/>
  <c r="Z518" i="4"/>
  <c r="X744" i="4"/>
  <c r="X587" i="4"/>
  <c r="R720" i="4"/>
  <c r="R453" i="4"/>
  <c r="R704" i="4" s="1"/>
  <c r="AK526" i="4"/>
  <c r="AK525" i="4" s="1"/>
  <c r="AK518" i="4"/>
  <c r="AK125" i="3"/>
  <c r="AK123" i="3" s="1"/>
  <c r="AJ123" i="3"/>
  <c r="I132" i="3"/>
  <c r="K1262" i="4"/>
  <c r="S1263" i="4"/>
  <c r="J127" i="3"/>
  <c r="AK406" i="4"/>
  <c r="AJ415" i="4"/>
  <c r="AJ443" i="4"/>
  <c r="AJ691" i="4" s="1"/>
  <c r="AJ453" i="4"/>
  <c r="AJ704" i="4" s="1"/>
  <c r="AJ448" i="4"/>
  <c r="AJ699" i="4" s="1"/>
  <c r="AJ451" i="4"/>
  <c r="AJ702" i="4" s="1"/>
  <c r="AJ449" i="4"/>
  <c r="AJ700" i="4" s="1"/>
  <c r="AJ446" i="4"/>
  <c r="AJ697" i="4" s="1"/>
  <c r="AJ452" i="4"/>
  <c r="AJ703" i="4" s="1"/>
  <c r="AJ455" i="4"/>
  <c r="AJ706" i="4" s="1"/>
  <c r="AJ454" i="4"/>
  <c r="AJ705" i="4" s="1"/>
  <c r="AJ445" i="4"/>
  <c r="AJ696" i="4" s="1"/>
  <c r="AJ450" i="4"/>
  <c r="AJ701" i="4" s="1"/>
  <c r="AJ444" i="4"/>
  <c r="AJ695" i="4" s="1"/>
  <c r="AJ447" i="4"/>
  <c r="AJ698" i="4" s="1"/>
  <c r="K214" i="3"/>
  <c r="L213" i="3"/>
  <c r="AG212" i="3"/>
  <c r="AH214" i="3"/>
  <c r="AG213" i="3"/>
  <c r="K582" i="4"/>
  <c r="K510" i="4"/>
  <c r="L1293" i="4"/>
  <c r="T1294" i="4"/>
  <c r="AI449" i="4"/>
  <c r="AI700" i="4" s="1"/>
  <c r="AI444" i="4"/>
  <c r="AI695" i="4" s="1"/>
  <c r="AI447" i="4"/>
  <c r="AI698" i="4" s="1"/>
  <c r="AI446" i="4"/>
  <c r="AI697" i="4" s="1"/>
  <c r="AI445" i="4"/>
  <c r="AI696" i="4" s="1"/>
  <c r="AI415" i="4"/>
  <c r="AI443" i="4"/>
  <c r="AI691" i="4" s="1"/>
  <c r="AI448" i="4"/>
  <c r="AI699" i="4" s="1"/>
  <c r="AI452" i="4"/>
  <c r="AI703" i="4" s="1"/>
  <c r="AI455" i="4"/>
  <c r="AI706" i="4" s="1"/>
  <c r="AI454" i="4"/>
  <c r="AI705" i="4" s="1"/>
  <c r="AI453" i="4"/>
  <c r="AI704" i="4" s="1"/>
  <c r="AI451" i="4"/>
  <c r="AI702" i="4" s="1"/>
  <c r="AI450" i="4"/>
  <c r="AI701" i="4" s="1"/>
  <c r="S441" i="4"/>
  <c r="S434" i="4"/>
  <c r="S439" i="4"/>
  <c r="Q465" i="4"/>
  <c r="N190" i="3"/>
  <c r="N348" i="4" s="1"/>
  <c r="N346" i="4" s="1"/>
  <c r="Y740" i="4"/>
  <c r="AA943" i="4"/>
  <c r="AA941" i="4" s="1"/>
  <c r="AA177" i="4"/>
  <c r="AA673" i="4"/>
  <c r="AA671" i="4"/>
  <c r="AC737" i="4"/>
  <c r="AD737" i="4"/>
  <c r="AE737" i="4"/>
  <c r="AF737" i="4"/>
  <c r="AG737" i="4"/>
  <c r="AH737" i="4" s="1"/>
  <c r="R178" i="4" l="1"/>
  <c r="Q944" i="4"/>
  <c r="Q953" i="4"/>
  <c r="S451" i="4"/>
  <c r="S702" i="4" s="1"/>
  <c r="S682" i="4" s="1"/>
  <c r="AA942" i="4"/>
  <c r="R184" i="4"/>
  <c r="R708" i="4"/>
  <c r="R458" i="4"/>
  <c r="Q467" i="4"/>
  <c r="R945" i="4"/>
  <c r="R459" i="4"/>
  <c r="S446" i="4"/>
  <c r="S697" i="4" s="1"/>
  <c r="S677" i="4" s="1"/>
  <c r="S179" i="4" s="1"/>
  <c r="R706" i="4"/>
  <c r="R686" i="4" s="1"/>
  <c r="R460" i="4"/>
  <c r="Q458" i="4"/>
  <c r="R464" i="4"/>
  <c r="Q463" i="4"/>
  <c r="Q684" i="4"/>
  <c r="Q952" i="4" s="1"/>
  <c r="R684" i="4"/>
  <c r="R952" i="4" s="1"/>
  <c r="R681" i="4"/>
  <c r="R949" i="4" s="1"/>
  <c r="R467" i="4"/>
  <c r="U432" i="4"/>
  <c r="U713" i="4" s="1"/>
  <c r="U456" i="4"/>
  <c r="R694" i="4"/>
  <c r="R685" i="4"/>
  <c r="R187" i="4" s="1"/>
  <c r="M346" i="4"/>
  <c r="R457" i="4"/>
  <c r="AH208" i="3"/>
  <c r="AG206" i="3"/>
  <c r="R466" i="4"/>
  <c r="U408" i="4"/>
  <c r="U437" i="4"/>
  <c r="R461" i="4"/>
  <c r="R465" i="4"/>
  <c r="Q457" i="4"/>
  <c r="R710" i="4"/>
  <c r="Q679" i="4"/>
  <c r="Q947" i="4" s="1"/>
  <c r="Q468" i="4"/>
  <c r="U431" i="4"/>
  <c r="U712" i="4" s="1"/>
  <c r="R462" i="4"/>
  <c r="Q677" i="4"/>
  <c r="Q179" i="4" s="1"/>
  <c r="R463" i="4"/>
  <c r="AA940" i="4"/>
  <c r="AH735" i="4"/>
  <c r="AH733" i="4" s="1"/>
  <c r="AH727" i="4" s="1"/>
  <c r="AG735" i="4"/>
  <c r="AG733" i="4" s="1"/>
  <c r="AG727" i="4" s="1"/>
  <c r="AF735" i="4"/>
  <c r="AF733" i="4" s="1"/>
  <c r="AF727" i="4" s="1"/>
  <c r="AE735" i="4"/>
  <c r="AE733" i="4" s="1"/>
  <c r="AE727" i="4" s="1"/>
  <c r="AD735" i="4"/>
  <c r="AD733" i="4" s="1"/>
  <c r="AD727" i="4" s="1"/>
  <c r="AC735" i="4"/>
  <c r="AC733" i="4" s="1"/>
  <c r="AC727" i="4" s="1"/>
  <c r="AA739" i="4"/>
  <c r="AA725" i="4" s="1"/>
  <c r="AA744" i="4" s="1"/>
  <c r="AJ694" i="4"/>
  <c r="AJ692" i="4"/>
  <c r="J582" i="4"/>
  <c r="J510" i="4"/>
  <c r="K1293" i="4"/>
  <c r="S1294" i="4"/>
  <c r="AH151" i="4"/>
  <c r="AG148" i="4"/>
  <c r="AB177" i="4"/>
  <c r="AB943" i="4"/>
  <c r="AB673" i="4"/>
  <c r="AB671" i="4"/>
  <c r="AB187" i="4"/>
  <c r="AB953" i="4"/>
  <c r="AB185" i="4"/>
  <c r="AB951" i="4"/>
  <c r="X151" i="4"/>
  <c r="X148" i="4" s="1"/>
  <c r="W148" i="4"/>
  <c r="R1324" i="4"/>
  <c r="J1323" i="4"/>
  <c r="R709" i="4"/>
  <c r="AA526" i="4"/>
  <c r="AA525" i="4" s="1"/>
  <c r="AA518" i="4"/>
  <c r="S721" i="4"/>
  <c r="S454" i="4"/>
  <c r="S705" i="4" s="1"/>
  <c r="T408" i="4"/>
  <c r="AI169" i="4"/>
  <c r="AH166" i="4"/>
  <c r="U439" i="4"/>
  <c r="U436" i="4"/>
  <c r="U441" i="4"/>
  <c r="Q681" i="4"/>
  <c r="Q692" i="4"/>
  <c r="Q460" i="4"/>
  <c r="K227" i="3"/>
  <c r="K212" i="3" s="1"/>
  <c r="L226" i="3"/>
  <c r="I1298" i="4"/>
  <c r="I106" i="3"/>
  <c r="R1299" i="4"/>
  <c r="Q675" i="4"/>
  <c r="Q693" i="4"/>
  <c r="T439" i="4"/>
  <c r="T437" i="4"/>
  <c r="T438" i="4"/>
  <c r="AB944" i="4"/>
  <c r="AB178" i="4"/>
  <c r="AB182" i="4"/>
  <c r="AB948" i="4"/>
  <c r="AB672" i="4"/>
  <c r="AB586" i="4" s="1"/>
  <c r="AB610" i="4" s="1"/>
  <c r="AB735" i="4"/>
  <c r="AB733" i="4" s="1"/>
  <c r="AB727" i="4" s="1"/>
  <c r="AH156" i="4"/>
  <c r="AG153" i="4"/>
  <c r="Q694" i="4"/>
  <c r="Q678" i="4"/>
  <c r="AI694" i="4"/>
  <c r="S716" i="4"/>
  <c r="S449" i="4"/>
  <c r="S700" i="4" s="1"/>
  <c r="T436" i="4"/>
  <c r="I200" i="3"/>
  <c r="I193" i="3" s="1"/>
  <c r="J193" i="3"/>
  <c r="AD1388" i="4"/>
  <c r="AC1368" i="4"/>
  <c r="AC1362" i="4"/>
  <c r="AC1356" i="4"/>
  <c r="AA176" i="4"/>
  <c r="S715" i="4"/>
  <c r="S448" i="4"/>
  <c r="S699" i="4" s="1"/>
  <c r="AJ693" i="4"/>
  <c r="AK451" i="4"/>
  <c r="AK702" i="4" s="1"/>
  <c r="AK450" i="4"/>
  <c r="AK701" i="4" s="1"/>
  <c r="AK445" i="4"/>
  <c r="AK696" i="4" s="1"/>
  <c r="AK415" i="4"/>
  <c r="AK452" i="4"/>
  <c r="AK703" i="4" s="1"/>
  <c r="AK455" i="4"/>
  <c r="AK706" i="4" s="1"/>
  <c r="AK454" i="4"/>
  <c r="AK705" i="4" s="1"/>
  <c r="AK447" i="4"/>
  <c r="AK698" i="4" s="1"/>
  <c r="AK446" i="4"/>
  <c r="AK697" i="4" s="1"/>
  <c r="AK444" i="4"/>
  <c r="AK695" i="4" s="1"/>
  <c r="AK443" i="4"/>
  <c r="AK691" i="4" s="1"/>
  <c r="AK449" i="4"/>
  <c r="AK700" i="4" s="1"/>
  <c r="AK453" i="4"/>
  <c r="AK704" i="4" s="1"/>
  <c r="AK448" i="4"/>
  <c r="AK699" i="4" s="1"/>
  <c r="J1262" i="4"/>
  <c r="R1263" i="4"/>
  <c r="I127" i="3"/>
  <c r="Z725" i="4"/>
  <c r="Z744" i="4" s="1"/>
  <c r="L192" i="3"/>
  <c r="L347" i="4" s="1"/>
  <c r="L191" i="3"/>
  <c r="K194" i="3"/>
  <c r="S711" i="4"/>
  <c r="S444" i="4"/>
  <c r="S695" i="4" s="1"/>
  <c r="T440" i="4"/>
  <c r="T435" i="4"/>
  <c r="T430" i="4"/>
  <c r="Q464" i="4"/>
  <c r="Q461" i="4"/>
  <c r="O607" i="4"/>
  <c r="N607" i="4"/>
  <c r="M607" i="4"/>
  <c r="L607" i="4"/>
  <c r="K607" i="4"/>
  <c r="AB188" i="4"/>
  <c r="AB954" i="4"/>
  <c r="AB186" i="4"/>
  <c r="AB952" i="4"/>
  <c r="AB950" i="4"/>
  <c r="AB184" i="4"/>
  <c r="AD746" i="4"/>
  <c r="AC745" i="4"/>
  <c r="AC743" i="4"/>
  <c r="AC680" i="4"/>
  <c r="AC682" i="4"/>
  <c r="AC683" i="4"/>
  <c r="AC686" i="4"/>
  <c r="AC677" i="4"/>
  <c r="AC676" i="4"/>
  <c r="AC679" i="4"/>
  <c r="AC675" i="4"/>
  <c r="AC685" i="4"/>
  <c r="AC681" i="4"/>
  <c r="AC678" i="4"/>
  <c r="AC684" i="4"/>
  <c r="S717" i="4"/>
  <c r="S450" i="4"/>
  <c r="S701" i="4" s="1"/>
  <c r="I128" i="3"/>
  <c r="I584" i="4" s="1"/>
  <c r="S703" i="4"/>
  <c r="S683" i="4" s="1"/>
  <c r="S465" i="4"/>
  <c r="R675" i="4"/>
  <c r="U435" i="4"/>
  <c r="U430" i="4"/>
  <c r="U440" i="4"/>
  <c r="R679" i="4"/>
  <c r="Q708" i="4"/>
  <c r="Q710" i="4"/>
  <c r="Q466" i="4"/>
  <c r="R683" i="4"/>
  <c r="AF346" i="4"/>
  <c r="AG146" i="4"/>
  <c r="AF143" i="4"/>
  <c r="Q709" i="4"/>
  <c r="AJ227" i="3"/>
  <c r="AI226" i="3"/>
  <c r="AB1350" i="4"/>
  <c r="AB1151" i="4"/>
  <c r="Z724" i="4"/>
  <c r="Z726" i="4"/>
  <c r="AB946" i="4"/>
  <c r="AB674" i="4"/>
  <c r="AB588" i="4" s="1"/>
  <c r="AB612" i="4" s="1"/>
  <c r="AB180" i="4"/>
  <c r="I585" i="4"/>
  <c r="J609" i="4" s="1"/>
  <c r="J1282" i="4"/>
  <c r="R1283" i="4"/>
  <c r="S712" i="4"/>
  <c r="S445" i="4"/>
  <c r="S696" i="4" s="1"/>
  <c r="W146" i="4"/>
  <c r="V143" i="4"/>
  <c r="AG191" i="3"/>
  <c r="AH194" i="3"/>
  <c r="AG190" i="3"/>
  <c r="AG348" i="4" s="1"/>
  <c r="AG192" i="3"/>
  <c r="AG347" i="4" s="1"/>
  <c r="R946" i="4"/>
  <c r="R180" i="4"/>
  <c r="S720" i="4"/>
  <c r="S453" i="4"/>
  <c r="S704" i="4" s="1"/>
  <c r="AK693" i="4"/>
  <c r="T432" i="4"/>
  <c r="T441" i="4"/>
  <c r="AG748" i="4"/>
  <c r="AF511" i="4"/>
  <c r="S722" i="4"/>
  <c r="S455" i="4"/>
  <c r="S706" i="4" s="1"/>
  <c r="AI692" i="4"/>
  <c r="AI214" i="3"/>
  <c r="AH213" i="3"/>
  <c r="AH212" i="3"/>
  <c r="J214" i="3"/>
  <c r="K213" i="3"/>
  <c r="K1247" i="4"/>
  <c r="S1248" i="4"/>
  <c r="S714" i="4"/>
  <c r="S447" i="4"/>
  <c r="S698" i="4" s="1"/>
  <c r="T431" i="4"/>
  <c r="T433" i="4"/>
  <c r="T434" i="4"/>
  <c r="Q682" i="4"/>
  <c r="AI200" i="3"/>
  <c r="AH193" i="3"/>
  <c r="W153" i="4"/>
  <c r="X156" i="4"/>
  <c r="X153" i="4" s="1"/>
  <c r="AB183" i="4"/>
  <c r="AB949" i="4"/>
  <c r="AB181" i="4"/>
  <c r="AB947" i="4"/>
  <c r="AB179" i="4"/>
  <c r="AB945" i="4"/>
  <c r="R693" i="4"/>
  <c r="Q686" i="4"/>
  <c r="T456" i="4"/>
  <c r="U171" i="4"/>
  <c r="U174" i="4" s="1"/>
  <c r="U434" i="4"/>
  <c r="U438" i="4"/>
  <c r="U433" i="4"/>
  <c r="AA251" i="4"/>
  <c r="AB250" i="4"/>
  <c r="R692" i="4"/>
  <c r="R680" i="4"/>
  <c r="Q459" i="4"/>
  <c r="AE171" i="4"/>
  <c r="AE174" i="4" s="1"/>
  <c r="L207" i="3"/>
  <c r="M206" i="3"/>
  <c r="AA587" i="4"/>
  <c r="AA611" i="4" s="1"/>
  <c r="AI737" i="4"/>
  <c r="AJ737" i="4"/>
  <c r="AK737" i="4" s="1"/>
  <c r="S464" i="4" l="1"/>
  <c r="AK735" i="4"/>
  <c r="AK733" i="4" s="1"/>
  <c r="AK727" i="4" s="1"/>
  <c r="AJ735" i="4"/>
  <c r="AJ733" i="4" s="1"/>
  <c r="AJ727" i="4" s="1"/>
  <c r="AI735" i="4"/>
  <c r="AI733" i="4" s="1"/>
  <c r="AI727" i="4" s="1"/>
  <c r="S459" i="4"/>
  <c r="S945" i="4"/>
  <c r="Q186" i="4"/>
  <c r="U446" i="4"/>
  <c r="U697" i="4" s="1"/>
  <c r="U677" i="4" s="1"/>
  <c r="U945" i="4" s="1"/>
  <c r="R953" i="4"/>
  <c r="R186" i="4"/>
  <c r="R674" i="4"/>
  <c r="R588" i="4" s="1"/>
  <c r="R612" i="4" s="1"/>
  <c r="S458" i="4"/>
  <c r="R183" i="4"/>
  <c r="S681" i="4"/>
  <c r="S949" i="4" s="1"/>
  <c r="U445" i="4"/>
  <c r="U696" i="4" s="1"/>
  <c r="U676" i="4" s="1"/>
  <c r="U178" i="4" s="1"/>
  <c r="S710" i="4"/>
  <c r="Q945" i="4"/>
  <c r="S467" i="4"/>
  <c r="Q181" i="4"/>
  <c r="S461" i="4"/>
  <c r="U718" i="4"/>
  <c r="U451" i="4"/>
  <c r="U702" i="4" s="1"/>
  <c r="S675" i="4"/>
  <c r="S177" i="4" s="1"/>
  <c r="S468" i="4"/>
  <c r="S466" i="4"/>
  <c r="S457" i="4"/>
  <c r="AI208" i="3"/>
  <c r="AH206" i="3"/>
  <c r="Q954" i="4"/>
  <c r="Q188" i="4"/>
  <c r="S694" i="4"/>
  <c r="S678" i="4"/>
  <c r="O608" i="4"/>
  <c r="N608" i="4"/>
  <c r="L608" i="4"/>
  <c r="M608" i="4"/>
  <c r="K608" i="4"/>
  <c r="J608" i="4"/>
  <c r="AC952" i="4"/>
  <c r="AC186" i="4"/>
  <c r="AC188" i="4"/>
  <c r="AC954" i="4"/>
  <c r="R954" i="4"/>
  <c r="R188" i="4"/>
  <c r="T721" i="4"/>
  <c r="T454" i="4"/>
  <c r="T705" i="4" s="1"/>
  <c r="J194" i="3"/>
  <c r="K192" i="3"/>
  <c r="K347" i="4" s="1"/>
  <c r="K191" i="3"/>
  <c r="AE1388" i="4"/>
  <c r="AD1368" i="4"/>
  <c r="AD1362" i="4"/>
  <c r="AD1356" i="4"/>
  <c r="S692" i="4"/>
  <c r="S680" i="4"/>
  <c r="Q943" i="4"/>
  <c r="Q673" i="4"/>
  <c r="Q671" i="4"/>
  <c r="Q177" i="4"/>
  <c r="U722" i="4"/>
  <c r="V709" i="4" s="1"/>
  <c r="U455" i="4"/>
  <c r="U706" i="4" s="1"/>
  <c r="AJ169" i="4"/>
  <c r="AI166" i="4"/>
  <c r="AB176" i="4"/>
  <c r="K207" i="3"/>
  <c r="L206" i="3"/>
  <c r="R948" i="4"/>
  <c r="R672" i="4"/>
  <c r="R586" i="4" s="1"/>
  <c r="R610" i="4" s="1"/>
  <c r="R182" i="4"/>
  <c r="AB251" i="4"/>
  <c r="AC250" i="4"/>
  <c r="U715" i="4"/>
  <c r="U448" i="4"/>
  <c r="U699" i="4" s="1"/>
  <c r="T715" i="4"/>
  <c r="T448" i="4"/>
  <c r="T699" i="4" s="1"/>
  <c r="S460" i="4"/>
  <c r="AJ214" i="3"/>
  <c r="AI213" i="3"/>
  <c r="AI212" i="3"/>
  <c r="T713" i="4"/>
  <c r="T446" i="4"/>
  <c r="T697" i="4" s="1"/>
  <c r="S684" i="4"/>
  <c r="AI194" i="3"/>
  <c r="AH190" i="3"/>
  <c r="AH348" i="4" s="1"/>
  <c r="AH192" i="3"/>
  <c r="AH347" i="4" s="1"/>
  <c r="AH191" i="3"/>
  <c r="S676" i="4"/>
  <c r="O609" i="4"/>
  <c r="N609" i="4"/>
  <c r="M609" i="4"/>
  <c r="L609" i="4"/>
  <c r="K609" i="4"/>
  <c r="R951" i="4"/>
  <c r="R185" i="4"/>
  <c r="R947" i="4"/>
  <c r="R181" i="4"/>
  <c r="R943" i="4"/>
  <c r="R673" i="4"/>
  <c r="R671" i="4"/>
  <c r="R177" i="4"/>
  <c r="S463" i="4"/>
  <c r="AC946" i="4"/>
  <c r="AC674" i="4"/>
  <c r="AC588" i="4" s="1"/>
  <c r="AC612" i="4" s="1"/>
  <c r="AC180" i="4"/>
  <c r="AC181" i="4"/>
  <c r="AC947" i="4"/>
  <c r="AC185" i="4"/>
  <c r="AC951" i="4"/>
  <c r="S693" i="4"/>
  <c r="L190" i="3"/>
  <c r="L348" i="4" s="1"/>
  <c r="L346" i="4" s="1"/>
  <c r="J1247" i="4"/>
  <c r="R1248" i="4"/>
  <c r="S679" i="4"/>
  <c r="S708" i="4"/>
  <c r="AB940" i="4"/>
  <c r="T719" i="4"/>
  <c r="T452" i="4"/>
  <c r="T703" i="4" s="1"/>
  <c r="K226" i="3"/>
  <c r="J227" i="3"/>
  <c r="J212" i="3" s="1"/>
  <c r="U717" i="4"/>
  <c r="U450" i="4"/>
  <c r="U701" i="4" s="1"/>
  <c r="AA724" i="4"/>
  <c r="AA726" i="4"/>
  <c r="AK692" i="4"/>
  <c r="AK694" i="4"/>
  <c r="T717" i="4"/>
  <c r="T450" i="4"/>
  <c r="T701" i="4" s="1"/>
  <c r="AI156" i="4"/>
  <c r="AH153" i="4"/>
  <c r="T718" i="4"/>
  <c r="T451" i="4"/>
  <c r="T702" i="4" s="1"/>
  <c r="I582" i="4"/>
  <c r="J606" i="4" s="1"/>
  <c r="I510" i="4"/>
  <c r="R1294" i="4"/>
  <c r="J1293" i="4"/>
  <c r="U720" i="4"/>
  <c r="U453" i="4"/>
  <c r="U704" i="4" s="1"/>
  <c r="AB587" i="4"/>
  <c r="AB611" i="4" s="1"/>
  <c r="AI151" i="4"/>
  <c r="AH148" i="4"/>
  <c r="AA740" i="4"/>
  <c r="U719" i="4"/>
  <c r="U452" i="4"/>
  <c r="U703" i="4" s="1"/>
  <c r="Q950" i="4"/>
  <c r="Q184" i="4"/>
  <c r="T722" i="4"/>
  <c r="T455" i="4"/>
  <c r="T706" i="4" s="1"/>
  <c r="AB942" i="4"/>
  <c r="U716" i="4"/>
  <c r="U449" i="4"/>
  <c r="U700" i="4" s="1"/>
  <c r="AC943" i="4"/>
  <c r="AC177" i="4"/>
  <c r="AC671" i="4"/>
  <c r="AC673" i="4"/>
  <c r="T714" i="4"/>
  <c r="T447" i="4"/>
  <c r="T698" i="4" s="1"/>
  <c r="I214" i="3"/>
  <c r="J213" i="3"/>
  <c r="V171" i="4"/>
  <c r="V174" i="4" s="1"/>
  <c r="AF171" i="4"/>
  <c r="AF174" i="4" s="1"/>
  <c r="U721" i="4"/>
  <c r="U454" i="4"/>
  <c r="U705" i="4" s="1"/>
  <c r="AC672" i="4"/>
  <c r="AC586" i="4" s="1"/>
  <c r="AC610" i="4" s="1"/>
  <c r="AC949" i="4"/>
  <c r="AC183" i="4"/>
  <c r="AC944" i="4"/>
  <c r="AC178" i="4"/>
  <c r="AC184" i="4"/>
  <c r="AC950" i="4"/>
  <c r="AD745" i="4"/>
  <c r="AD743" i="4"/>
  <c r="AE746" i="4"/>
  <c r="AD682" i="4"/>
  <c r="AD686" i="4"/>
  <c r="AD680" i="4"/>
  <c r="AD675" i="4"/>
  <c r="AD677" i="4"/>
  <c r="AD679" i="4"/>
  <c r="AD681" i="4"/>
  <c r="AD678" i="4"/>
  <c r="AD685" i="4"/>
  <c r="AD683" i="4"/>
  <c r="AD676" i="4"/>
  <c r="AD684" i="4"/>
  <c r="S950" i="4"/>
  <c r="S184" i="4"/>
  <c r="T711" i="4"/>
  <c r="T444" i="4"/>
  <c r="T695" i="4" s="1"/>
  <c r="U714" i="4"/>
  <c r="U447" i="4"/>
  <c r="U698" i="4" s="1"/>
  <c r="AB739" i="4"/>
  <c r="AB740" i="4" s="1"/>
  <c r="AI193" i="3"/>
  <c r="AJ200" i="3"/>
  <c r="T712" i="4"/>
  <c r="T445" i="4"/>
  <c r="T696" i="4" s="1"/>
  <c r="S686" i="4"/>
  <c r="AH748" i="4"/>
  <c r="AG511" i="4"/>
  <c r="AG346" i="4"/>
  <c r="X146" i="4"/>
  <c r="W143" i="4"/>
  <c r="AK227" i="3"/>
  <c r="AK226" i="3" s="1"/>
  <c r="AJ226" i="3"/>
  <c r="AH146" i="4"/>
  <c r="AG143" i="4"/>
  <c r="U711" i="4"/>
  <c r="U444" i="4"/>
  <c r="U695" i="4" s="1"/>
  <c r="S951" i="4"/>
  <c r="S185" i="4"/>
  <c r="AC953" i="4"/>
  <c r="AC187" i="4"/>
  <c r="AC945" i="4"/>
  <c r="AC179" i="4"/>
  <c r="AC182" i="4"/>
  <c r="AC948" i="4"/>
  <c r="T716" i="4"/>
  <c r="T449" i="4"/>
  <c r="T700" i="4" s="1"/>
  <c r="S709" i="4"/>
  <c r="S462" i="4"/>
  <c r="Q946" i="4"/>
  <c r="Q942" i="4" s="1"/>
  <c r="Q674" i="4"/>
  <c r="Q588" i="4" s="1"/>
  <c r="Q612" i="4" s="1"/>
  <c r="Q180" i="4"/>
  <c r="T720" i="4"/>
  <c r="T453" i="4"/>
  <c r="T704" i="4" s="1"/>
  <c r="Q949" i="4"/>
  <c r="Q183" i="4"/>
  <c r="Q672" i="4"/>
  <c r="Q586" i="4" s="1"/>
  <c r="Q610" i="4" s="1"/>
  <c r="S685" i="4"/>
  <c r="AB941" i="4"/>
  <c r="AC739" i="4"/>
  <c r="AD739" i="4"/>
  <c r="AE739" i="4"/>
  <c r="AF739" i="4"/>
  <c r="AG739" i="4"/>
  <c r="R942" i="4" l="1"/>
  <c r="U179" i="4"/>
  <c r="U459" i="4"/>
  <c r="AH346" i="4"/>
  <c r="T677" i="4"/>
  <c r="T945" i="4" s="1"/>
  <c r="U679" i="4"/>
  <c r="U947" i="4" s="1"/>
  <c r="U675" i="4"/>
  <c r="U943" i="4" s="1"/>
  <c r="U685" i="4"/>
  <c r="U953" i="4" s="1"/>
  <c r="U681" i="4"/>
  <c r="U949" i="4" s="1"/>
  <c r="T465" i="4"/>
  <c r="U468" i="4"/>
  <c r="S183" i="4"/>
  <c r="U458" i="4"/>
  <c r="Q940" i="4"/>
  <c r="S673" i="4"/>
  <c r="S587" i="4" s="1"/>
  <c r="S943" i="4"/>
  <c r="U463" i="4"/>
  <c r="U944" i="4"/>
  <c r="U467" i="4"/>
  <c r="U684" i="4"/>
  <c r="U186" i="4" s="1"/>
  <c r="T466" i="4"/>
  <c r="T457" i="4"/>
  <c r="R941" i="4"/>
  <c r="U708" i="4"/>
  <c r="T679" i="4"/>
  <c r="T947" i="4" s="1"/>
  <c r="Q941" i="4"/>
  <c r="U464" i="4"/>
  <c r="AB725" i="4"/>
  <c r="AB744" i="4" s="1"/>
  <c r="AJ208" i="3"/>
  <c r="AI206" i="3"/>
  <c r="T709" i="4"/>
  <c r="U710" i="4"/>
  <c r="T460" i="4"/>
  <c r="U462" i="4"/>
  <c r="T468" i="4"/>
  <c r="U465" i="4"/>
  <c r="T463" i="4"/>
  <c r="T467" i="4"/>
  <c r="U682" i="4"/>
  <c r="AC941" i="4"/>
  <c r="AG724" i="4"/>
  <c r="AG726" i="4"/>
  <c r="AG740" i="4"/>
  <c r="AF724" i="4"/>
  <c r="AG725" i="4"/>
  <c r="AF726" i="4"/>
  <c r="AF740" i="4"/>
  <c r="AE724" i="4"/>
  <c r="AF725" i="4"/>
  <c r="AE726" i="4"/>
  <c r="AE740" i="4"/>
  <c r="AD724" i="4"/>
  <c r="AD726" i="4"/>
  <c r="AE725" i="4"/>
  <c r="AD740" i="4"/>
  <c r="AC724" i="4"/>
  <c r="AD725" i="4"/>
  <c r="AC726" i="4"/>
  <c r="AC740" i="4"/>
  <c r="AI146" i="4"/>
  <c r="AH143" i="4"/>
  <c r="AD952" i="4"/>
  <c r="AD186" i="4"/>
  <c r="AD673" i="4"/>
  <c r="AD671" i="4"/>
  <c r="AD943" i="4"/>
  <c r="AD941" i="4" s="1"/>
  <c r="AD177" i="4"/>
  <c r="AD176" i="4" s="1"/>
  <c r="I227" i="3"/>
  <c r="I226" i="3" s="1"/>
  <c r="J226" i="3"/>
  <c r="S946" i="4"/>
  <c r="S674" i="4"/>
  <c r="S588" i="4" s="1"/>
  <c r="S180" i="4"/>
  <c r="U457" i="4"/>
  <c r="T693" i="4"/>
  <c r="AK200" i="3"/>
  <c r="AK193" i="3" s="1"/>
  <c r="AJ193" i="3"/>
  <c r="U460" i="4"/>
  <c r="AD944" i="4"/>
  <c r="AD178" i="4"/>
  <c r="AD949" i="4"/>
  <c r="AD183" i="4"/>
  <c r="AD182" i="4"/>
  <c r="AD948" i="4"/>
  <c r="AD940" i="4" s="1"/>
  <c r="AD672" i="4"/>
  <c r="AD586" i="4" s="1"/>
  <c r="AD610" i="4" s="1"/>
  <c r="T710" i="4"/>
  <c r="AC176" i="4"/>
  <c r="U709" i="4"/>
  <c r="U683" i="4"/>
  <c r="O606" i="4"/>
  <c r="N606" i="4"/>
  <c r="M606" i="4"/>
  <c r="L606" i="4"/>
  <c r="K606" i="4"/>
  <c r="S671" i="4"/>
  <c r="R176" i="4"/>
  <c r="T459" i="4"/>
  <c r="T461" i="4"/>
  <c r="AK169" i="4"/>
  <c r="AK166" i="4" s="1"/>
  <c r="AJ166" i="4"/>
  <c r="Q176" i="4"/>
  <c r="S948" i="4"/>
  <c r="S940" i="4" s="1"/>
  <c r="S672" i="4"/>
  <c r="S586" i="4" s="1"/>
  <c r="S182" i="4"/>
  <c r="T692" i="4"/>
  <c r="T680" i="4"/>
  <c r="AJ151" i="4"/>
  <c r="AI148" i="4"/>
  <c r="S947" i="4"/>
  <c r="S181" i="4"/>
  <c r="U181" i="4"/>
  <c r="J207" i="3"/>
  <c r="K206" i="3"/>
  <c r="T682" i="4"/>
  <c r="AJ156" i="4"/>
  <c r="AI153" i="4"/>
  <c r="S944" i="4"/>
  <c r="S178" i="4"/>
  <c r="AI192" i="3"/>
  <c r="AI347" i="4" s="1"/>
  <c r="AI191" i="3"/>
  <c r="AI190" i="3"/>
  <c r="AI348" i="4" s="1"/>
  <c r="AJ194" i="3"/>
  <c r="AJ213" i="3"/>
  <c r="AJ212" i="3"/>
  <c r="AK214" i="3"/>
  <c r="AC251" i="4"/>
  <c r="AD250" i="4"/>
  <c r="R940" i="4"/>
  <c r="AE1362" i="4"/>
  <c r="AF1388" i="4"/>
  <c r="AE1368" i="4"/>
  <c r="AE1356" i="4"/>
  <c r="I194" i="3"/>
  <c r="J192" i="3"/>
  <c r="J347" i="4" s="1"/>
  <c r="J191" i="3"/>
  <c r="S954" i="4"/>
  <c r="S188" i="4"/>
  <c r="U694" i="4"/>
  <c r="U678" i="4"/>
  <c r="AD946" i="4"/>
  <c r="AD942" i="4" s="1"/>
  <c r="AD180" i="4"/>
  <c r="AD674" i="4"/>
  <c r="AD588" i="4" s="1"/>
  <c r="AD612" i="4" s="1"/>
  <c r="AE743" i="4"/>
  <c r="AF746" i="4"/>
  <c r="AE745" i="4"/>
  <c r="AE681" i="4"/>
  <c r="AE676" i="4"/>
  <c r="AE684" i="4"/>
  <c r="AE679" i="4"/>
  <c r="AE675" i="4"/>
  <c r="AE680" i="4"/>
  <c r="AE678" i="4"/>
  <c r="AE686" i="4"/>
  <c r="AE685" i="4"/>
  <c r="AE683" i="4"/>
  <c r="AE677" i="4"/>
  <c r="AE682" i="4"/>
  <c r="AC940" i="4"/>
  <c r="T462" i="4"/>
  <c r="T708" i="4"/>
  <c r="X143" i="4"/>
  <c r="T676" i="4"/>
  <c r="AD951" i="4"/>
  <c r="AD185" i="4"/>
  <c r="AD947" i="4"/>
  <c r="AD181" i="4"/>
  <c r="AD954" i="4"/>
  <c r="AD188" i="4"/>
  <c r="V188" i="4"/>
  <c r="V184" i="4"/>
  <c r="V180" i="4"/>
  <c r="V187" i="4"/>
  <c r="V183" i="4"/>
  <c r="V179" i="4"/>
  <c r="V181" i="4"/>
  <c r="V186" i="4"/>
  <c r="V182" i="4"/>
  <c r="V178" i="4"/>
  <c r="V185" i="4"/>
  <c r="V177" i="4"/>
  <c r="I213" i="3"/>
  <c r="S953" i="4"/>
  <c r="S187" i="4"/>
  <c r="T684" i="4"/>
  <c r="AG171" i="4"/>
  <c r="AG174" i="4" s="1"/>
  <c r="W171" i="4"/>
  <c r="AI748" i="4"/>
  <c r="AH511" i="4"/>
  <c r="T458" i="4"/>
  <c r="AB724" i="4"/>
  <c r="AB726" i="4"/>
  <c r="AC725" i="4"/>
  <c r="AC744" i="4" s="1"/>
  <c r="T675" i="4"/>
  <c r="AD187" i="4"/>
  <c r="AD953" i="4"/>
  <c r="AD945" i="4"/>
  <c r="AD179" i="4"/>
  <c r="AD950" i="4"/>
  <c r="AD184" i="4"/>
  <c r="T694" i="4"/>
  <c r="T678" i="4"/>
  <c r="AC587" i="4"/>
  <c r="AC611" i="4" s="1"/>
  <c r="U692" i="4"/>
  <c r="U680" i="4"/>
  <c r="U693" i="4"/>
  <c r="T686" i="4"/>
  <c r="U466" i="4"/>
  <c r="T464" i="4"/>
  <c r="T681" i="4"/>
  <c r="T683" i="4"/>
  <c r="AC942" i="4"/>
  <c r="R744" i="4"/>
  <c r="R587" i="4"/>
  <c r="R611" i="4" s="1"/>
  <c r="S952" i="4"/>
  <c r="S186" i="4"/>
  <c r="U461" i="4"/>
  <c r="U686" i="4"/>
  <c r="V693" i="4"/>
  <c r="Q744" i="4"/>
  <c r="Q587" i="4"/>
  <c r="Q611" i="4" s="1"/>
  <c r="K190" i="3"/>
  <c r="K348" i="4" s="1"/>
  <c r="K346" i="4" s="1"/>
  <c r="T685" i="4"/>
  <c r="AH739" i="4"/>
  <c r="AI739" i="4"/>
  <c r="AJ739" i="4"/>
  <c r="AK739" i="4" s="1"/>
  <c r="AI724" i="4" l="1"/>
  <c r="AI726" i="4"/>
  <c r="AI740" i="4"/>
  <c r="AH724" i="4"/>
  <c r="AH726" i="4"/>
  <c r="AI725" i="4"/>
  <c r="AH725" i="4"/>
  <c r="AH740" i="4"/>
  <c r="U952" i="4"/>
  <c r="S941" i="4"/>
  <c r="U187" i="4"/>
  <c r="AK740" i="4"/>
  <c r="AK724" i="4"/>
  <c r="AK726" i="4"/>
  <c r="AJ724" i="4"/>
  <c r="AK725" i="4"/>
  <c r="AJ726" i="4"/>
  <c r="AJ725" i="4"/>
  <c r="AJ740" i="4"/>
  <c r="T179" i="4"/>
  <c r="U177" i="4"/>
  <c r="S744" i="4"/>
  <c r="U183" i="4"/>
  <c r="T181" i="4"/>
  <c r="AK208" i="3"/>
  <c r="AK206" i="3" s="1"/>
  <c r="AJ206" i="3"/>
  <c r="S176" i="4"/>
  <c r="U950" i="4"/>
  <c r="U184" i="4"/>
  <c r="U954" i="4"/>
  <c r="V941" i="4" s="1"/>
  <c r="V673" i="4"/>
  <c r="U188" i="4"/>
  <c r="AJ748" i="4"/>
  <c r="AI511" i="4"/>
  <c r="U946" i="4"/>
  <c r="U674" i="4"/>
  <c r="U588" i="4" s="1"/>
  <c r="U612" i="4" s="1"/>
  <c r="U180" i="4"/>
  <c r="I207" i="3"/>
  <c r="I206" i="3" s="1"/>
  <c r="J206" i="3"/>
  <c r="S942" i="4"/>
  <c r="AI143" i="4"/>
  <c r="AJ146" i="4"/>
  <c r="T952" i="4"/>
  <c r="T186" i="4"/>
  <c r="X171" i="4"/>
  <c r="X174" i="4" s="1"/>
  <c r="AE953" i="4"/>
  <c r="AE187" i="4"/>
  <c r="AE949" i="4"/>
  <c r="AE183" i="4"/>
  <c r="S611" i="4"/>
  <c r="Y611" i="4"/>
  <c r="X611" i="4"/>
  <c r="Z611" i="4"/>
  <c r="W611" i="4"/>
  <c r="AK156" i="4"/>
  <c r="AK153" i="4" s="1"/>
  <c r="AJ153" i="4"/>
  <c r="T954" i="4"/>
  <c r="T188" i="4"/>
  <c r="AE948" i="4"/>
  <c r="AE940" i="4" s="1"/>
  <c r="AE672" i="4"/>
  <c r="AE586" i="4" s="1"/>
  <c r="AE610" i="4" s="1"/>
  <c r="AE182" i="4"/>
  <c r="AJ192" i="3"/>
  <c r="AJ347" i="4" s="1"/>
  <c r="AJ191" i="3"/>
  <c r="AK194" i="3"/>
  <c r="AJ190" i="3"/>
  <c r="AJ348" i="4" s="1"/>
  <c r="AD587" i="4"/>
  <c r="AD611" i="4" s="1"/>
  <c r="AD744" i="4"/>
  <c r="T949" i="4"/>
  <c r="T183" i="4"/>
  <c r="W185" i="4"/>
  <c r="W177" i="4"/>
  <c r="W184" i="4"/>
  <c r="W183" i="4"/>
  <c r="W182" i="4"/>
  <c r="W178" i="4"/>
  <c r="W179" i="4"/>
  <c r="W181" i="4"/>
  <c r="W188" i="4"/>
  <c r="W180" i="4"/>
  <c r="W187" i="4"/>
  <c r="W186" i="4"/>
  <c r="I212" i="3"/>
  <c r="AE943" i="4"/>
  <c r="AE941" i="4" s="1"/>
  <c r="AE671" i="4"/>
  <c r="AE673" i="4"/>
  <c r="AE177" i="4"/>
  <c r="AE176" i="4" s="1"/>
  <c r="U671" i="4"/>
  <c r="AK212" i="3"/>
  <c r="AK213" i="3"/>
  <c r="U948" i="4"/>
  <c r="U672" i="4"/>
  <c r="U586" i="4" s="1"/>
  <c r="U610" i="4" s="1"/>
  <c r="U182" i="4"/>
  <c r="T946" i="4"/>
  <c r="T674" i="4"/>
  <c r="T588" i="4" s="1"/>
  <c r="T612" i="4" s="1"/>
  <c r="T180" i="4"/>
  <c r="T943" i="4"/>
  <c r="T673" i="4"/>
  <c r="T671" i="4"/>
  <c r="T177" i="4"/>
  <c r="W174" i="4"/>
  <c r="V176" i="4"/>
  <c r="AE950" i="4"/>
  <c r="AE184" i="4"/>
  <c r="AE954" i="4"/>
  <c r="AE188" i="4"/>
  <c r="AE947" i="4"/>
  <c r="AE181" i="4"/>
  <c r="U673" i="4"/>
  <c r="I191" i="3"/>
  <c r="I190" i="3"/>
  <c r="I348" i="4" s="1"/>
  <c r="I192" i="3"/>
  <c r="I347" i="4" s="1"/>
  <c r="AF1368" i="4"/>
  <c r="AF1356" i="4"/>
  <c r="AG1388" i="4"/>
  <c r="AF1362" i="4"/>
  <c r="T950" i="4"/>
  <c r="T184" i="4"/>
  <c r="AK151" i="4"/>
  <c r="AK148" i="4" s="1"/>
  <c r="AJ148" i="4"/>
  <c r="T948" i="4"/>
  <c r="T672" i="4"/>
  <c r="T586" i="4" s="1"/>
  <c r="T610" i="4" s="1"/>
  <c r="T182" i="4"/>
  <c r="S610" i="4"/>
  <c r="V610" i="4"/>
  <c r="Y610" i="4"/>
  <c r="X610" i="4"/>
  <c r="W610" i="4"/>
  <c r="Z610" i="4"/>
  <c r="T951" i="4"/>
  <c r="T185" i="4"/>
  <c r="T944" i="4"/>
  <c r="T178" i="4"/>
  <c r="AE951" i="4"/>
  <c r="AE185" i="4"/>
  <c r="AE944" i="4"/>
  <c r="AE178" i="4"/>
  <c r="U951" i="4"/>
  <c r="U185" i="4"/>
  <c r="T953" i="4"/>
  <c r="T187" i="4"/>
  <c r="AE945" i="4"/>
  <c r="AE179" i="4"/>
  <c r="AE674" i="4"/>
  <c r="AE588" i="4" s="1"/>
  <c r="AE612" i="4" s="1"/>
  <c r="AE946" i="4"/>
  <c r="AE942" i="4" s="1"/>
  <c r="AE180" i="4"/>
  <c r="AE952" i="4"/>
  <c r="AE186" i="4"/>
  <c r="AF743" i="4"/>
  <c r="AG746" i="4"/>
  <c r="AF745" i="4"/>
  <c r="AF676" i="4"/>
  <c r="AF680" i="4"/>
  <c r="AF679" i="4"/>
  <c r="AF686" i="4"/>
  <c r="AF675" i="4"/>
  <c r="AF681" i="4"/>
  <c r="AF677" i="4"/>
  <c r="AF685" i="4"/>
  <c r="AF684" i="4"/>
  <c r="AF682" i="4"/>
  <c r="AF683" i="4"/>
  <c r="AF678" i="4"/>
  <c r="U941" i="4"/>
  <c r="J190" i="3"/>
  <c r="J348" i="4" s="1"/>
  <c r="J346" i="4" s="1"/>
  <c r="AE250" i="4"/>
  <c r="AD251" i="4"/>
  <c r="AI346" i="4"/>
  <c r="S612" i="4"/>
  <c r="X612" i="4"/>
  <c r="V612" i="4"/>
  <c r="Y612" i="4"/>
  <c r="W612" i="4"/>
  <c r="Z612" i="4"/>
  <c r="AH171" i="4"/>
  <c r="AH174" i="4" s="1"/>
  <c r="U942" i="4" l="1"/>
  <c r="AJ346" i="4"/>
  <c r="U940" i="4"/>
  <c r="T940" i="4"/>
  <c r="U176" i="4"/>
  <c r="AF950" i="4"/>
  <c r="AF184" i="4"/>
  <c r="AF949" i="4"/>
  <c r="AF183" i="4"/>
  <c r="AI171" i="4"/>
  <c r="AI174" i="4" s="1"/>
  <c r="AK748" i="4"/>
  <c r="AK511" i="4" s="1"/>
  <c r="AJ511" i="4"/>
  <c r="AF952" i="4"/>
  <c r="AF186" i="4"/>
  <c r="AF673" i="4"/>
  <c r="AF943" i="4"/>
  <c r="AF941" i="4" s="1"/>
  <c r="AF671" i="4"/>
  <c r="AF177" i="4"/>
  <c r="AF176" i="4" s="1"/>
  <c r="AF944" i="4"/>
  <c r="AF178" i="4"/>
  <c r="T744" i="4"/>
  <c r="T587" i="4"/>
  <c r="T611" i="4" s="1"/>
  <c r="T942" i="4"/>
  <c r="AE587" i="4"/>
  <c r="AE611" i="4" s="1"/>
  <c r="AE744" i="4"/>
  <c r="AF948" i="4"/>
  <c r="AF940" i="4" s="1"/>
  <c r="AF672" i="4"/>
  <c r="AF586" i="4" s="1"/>
  <c r="AF610" i="4" s="1"/>
  <c r="AF182" i="4"/>
  <c r="AH1388" i="4"/>
  <c r="AG1368" i="4"/>
  <c r="AG1362" i="4"/>
  <c r="AG1356" i="4"/>
  <c r="U744" i="4"/>
  <c r="U587" i="4"/>
  <c r="U611" i="4" s="1"/>
  <c r="T941" i="4"/>
  <c r="AK191" i="3"/>
  <c r="AK190" i="3"/>
  <c r="AK348" i="4" s="1"/>
  <c r="AK192" i="3"/>
  <c r="AK347" i="4" s="1"/>
  <c r="V744" i="4"/>
  <c r="V587" i="4"/>
  <c r="V611" i="4" s="1"/>
  <c r="AF674" i="4"/>
  <c r="AF588" i="4" s="1"/>
  <c r="AF612" i="4" s="1"/>
  <c r="AF946" i="4"/>
  <c r="AF942" i="4" s="1"/>
  <c r="AF180" i="4"/>
  <c r="AF953" i="4"/>
  <c r="AF187" i="4"/>
  <c r="AF954" i="4"/>
  <c r="AF188" i="4"/>
  <c r="AE251" i="4"/>
  <c r="AF250" i="4"/>
  <c r="AF951" i="4"/>
  <c r="AF185" i="4"/>
  <c r="AF179" i="4"/>
  <c r="AF945" i="4"/>
  <c r="AF947" i="4"/>
  <c r="AF181" i="4"/>
  <c r="AH746" i="4"/>
  <c r="AG745" i="4"/>
  <c r="AG743" i="4"/>
  <c r="AG679" i="4"/>
  <c r="AG684" i="4"/>
  <c r="AG683" i="4"/>
  <c r="AG678" i="4"/>
  <c r="AG676" i="4"/>
  <c r="AG677" i="4"/>
  <c r="AG686" i="4"/>
  <c r="AG680" i="4"/>
  <c r="AG682" i="4"/>
  <c r="AG681" i="4"/>
  <c r="AG675" i="4"/>
  <c r="AG685" i="4"/>
  <c r="I346" i="4"/>
  <c r="T176" i="4"/>
  <c r="W176" i="4"/>
  <c r="X186" i="4"/>
  <c r="X182" i="4"/>
  <c r="X178" i="4"/>
  <c r="X187" i="4"/>
  <c r="X185" i="4"/>
  <c r="X181" i="4"/>
  <c r="X177" i="4"/>
  <c r="X188" i="4"/>
  <c r="X180" i="4"/>
  <c r="X184" i="4"/>
  <c r="X183" i="4"/>
  <c r="X179" i="4"/>
  <c r="AK146" i="4"/>
  <c r="AJ143" i="4"/>
  <c r="AK346" i="4" l="1"/>
  <c r="AJ171" i="4"/>
  <c r="AJ174" i="4" s="1"/>
  <c r="AG953" i="4"/>
  <c r="AG187" i="4"/>
  <c r="AG948" i="4"/>
  <c r="AG940" i="4" s="1"/>
  <c r="AG672" i="4"/>
  <c r="AG586" i="4" s="1"/>
  <c r="AG610" i="4" s="1"/>
  <c r="AG182" i="4"/>
  <c r="AG946" i="4"/>
  <c r="AG942" i="4" s="1"/>
  <c r="AG674" i="4"/>
  <c r="AG588" i="4" s="1"/>
  <c r="AG612" i="4" s="1"/>
  <c r="AG180" i="4"/>
  <c r="AK143" i="4"/>
  <c r="AG943" i="4"/>
  <c r="AG941" i="4" s="1"/>
  <c r="AG673" i="4"/>
  <c r="AG671" i="4"/>
  <c r="AG177" i="4"/>
  <c r="AG176" i="4" s="1"/>
  <c r="AG954" i="4"/>
  <c r="AG188" i="4"/>
  <c r="AG951" i="4"/>
  <c r="AG185" i="4"/>
  <c r="AF251" i="4"/>
  <c r="AG250" i="4"/>
  <c r="AF587" i="4"/>
  <c r="AF611" i="4" s="1"/>
  <c r="AF744" i="4"/>
  <c r="AG949" i="4"/>
  <c r="AG183" i="4"/>
  <c r="AG945" i="4"/>
  <c r="AG179" i="4"/>
  <c r="AG952" i="4"/>
  <c r="AG186" i="4"/>
  <c r="AH745" i="4"/>
  <c r="AH743" i="4"/>
  <c r="AI746" i="4"/>
  <c r="AH675" i="4"/>
  <c r="AH676" i="4"/>
  <c r="AH677" i="4"/>
  <c r="AH684" i="4"/>
  <c r="AH682" i="4"/>
  <c r="AH680" i="4"/>
  <c r="AH681" i="4"/>
  <c r="AH679" i="4"/>
  <c r="AH686" i="4"/>
  <c r="AH678" i="4"/>
  <c r="AH685" i="4"/>
  <c r="AH683" i="4"/>
  <c r="X176" i="4"/>
  <c r="AG950" i="4"/>
  <c r="AG184" i="4"/>
  <c r="AG944" i="4"/>
  <c r="AG178" i="4"/>
  <c r="AG947" i="4"/>
  <c r="AG181" i="4"/>
  <c r="AI1388" i="4"/>
  <c r="AH1368" i="4"/>
  <c r="AH1362" i="4"/>
  <c r="AH1356" i="4"/>
  <c r="AI1362" i="4" l="1"/>
  <c r="AJ1388" i="4"/>
  <c r="AI1368" i="4"/>
  <c r="AI1356" i="4"/>
  <c r="AH951" i="4"/>
  <c r="AH185" i="4"/>
  <c r="AI743" i="4"/>
  <c r="AJ746" i="4"/>
  <c r="AI745" i="4"/>
  <c r="AI680" i="4"/>
  <c r="AI682" i="4"/>
  <c r="AI679" i="4"/>
  <c r="AI676" i="4"/>
  <c r="AI685" i="4"/>
  <c r="AI686" i="4"/>
  <c r="AI678" i="4"/>
  <c r="AI675" i="4"/>
  <c r="AI684" i="4"/>
  <c r="AI683" i="4"/>
  <c r="AI677" i="4"/>
  <c r="AI681" i="4"/>
  <c r="AK171" i="4"/>
  <c r="AK174" i="4" s="1"/>
  <c r="AH952" i="4"/>
  <c r="AH186" i="4"/>
  <c r="AH949" i="4"/>
  <c r="AH183" i="4"/>
  <c r="AH947" i="4"/>
  <c r="AH181" i="4"/>
  <c r="AH953" i="4"/>
  <c r="AH187" i="4"/>
  <c r="AH945" i="4"/>
  <c r="AH179" i="4"/>
  <c r="AH674" i="4"/>
  <c r="AH588" i="4" s="1"/>
  <c r="AH612" i="4" s="1"/>
  <c r="AH946" i="4"/>
  <c r="AH942" i="4" s="1"/>
  <c r="AH180" i="4"/>
  <c r="AH948" i="4"/>
  <c r="AH940" i="4" s="1"/>
  <c r="AH672" i="4"/>
  <c r="AH586" i="4" s="1"/>
  <c r="AH610" i="4" s="1"/>
  <c r="AH182" i="4"/>
  <c r="AH944" i="4"/>
  <c r="AH178" i="4"/>
  <c r="AH954" i="4"/>
  <c r="AH188" i="4"/>
  <c r="AH950" i="4"/>
  <c r="AH184" i="4"/>
  <c r="AH673" i="4"/>
  <c r="AH671" i="4"/>
  <c r="AH943" i="4"/>
  <c r="AH941" i="4" s="1"/>
  <c r="AH177" i="4"/>
  <c r="AH176" i="4" s="1"/>
  <c r="AG251" i="4"/>
  <c r="AH250" i="4"/>
  <c r="AG587" i="4"/>
  <c r="AG611" i="4" s="1"/>
  <c r="AG744" i="4"/>
  <c r="AI674" i="4" l="1"/>
  <c r="AI588" i="4" s="1"/>
  <c r="AI612" i="4" s="1"/>
  <c r="AI946" i="4"/>
  <c r="AI942" i="4" s="1"/>
  <c r="AI180" i="4"/>
  <c r="AI947" i="4"/>
  <c r="AI181" i="4"/>
  <c r="AJ743" i="4"/>
  <c r="AK746" i="4"/>
  <c r="AJ745" i="4"/>
  <c r="AJ678" i="4"/>
  <c r="AJ675" i="4"/>
  <c r="AJ683" i="4"/>
  <c r="AJ676" i="4"/>
  <c r="AJ686" i="4"/>
  <c r="AJ677" i="4"/>
  <c r="AJ682" i="4"/>
  <c r="AJ679" i="4"/>
  <c r="AJ680" i="4"/>
  <c r="AJ684" i="4"/>
  <c r="AJ685" i="4"/>
  <c r="AJ681" i="4"/>
  <c r="AI250" i="4"/>
  <c r="AH251" i="4"/>
  <c r="AI951" i="4"/>
  <c r="AI185" i="4"/>
  <c r="AI954" i="4"/>
  <c r="AI188" i="4"/>
  <c r="AI950" i="4"/>
  <c r="AI184" i="4"/>
  <c r="AI945" i="4"/>
  <c r="AI179" i="4"/>
  <c r="AH744" i="4"/>
  <c r="AH587" i="4"/>
  <c r="AH611" i="4" s="1"/>
  <c r="AI952" i="4"/>
  <c r="AI186" i="4"/>
  <c r="AI953" i="4"/>
  <c r="AI187" i="4"/>
  <c r="AI948" i="4"/>
  <c r="AI940" i="4" s="1"/>
  <c r="AI672" i="4"/>
  <c r="AI586" i="4" s="1"/>
  <c r="AI610" i="4" s="1"/>
  <c r="AI182" i="4"/>
  <c r="AJ1356" i="4"/>
  <c r="AJ1362" i="4"/>
  <c r="AK1388" i="4"/>
  <c r="AJ1368" i="4"/>
  <c r="AI949" i="4"/>
  <c r="AI183" i="4"/>
  <c r="AI673" i="4"/>
  <c r="AI943" i="4"/>
  <c r="AI941" i="4" s="1"/>
  <c r="AI671" i="4"/>
  <c r="AI177" i="4"/>
  <c r="AI176" i="4" s="1"/>
  <c r="AI944" i="4"/>
  <c r="AI178" i="4"/>
  <c r="AJ949" i="4" l="1"/>
  <c r="AJ183" i="4"/>
  <c r="AJ944" i="4"/>
  <c r="AJ178" i="4"/>
  <c r="AJ953" i="4"/>
  <c r="AJ187" i="4"/>
  <c r="AJ950" i="4"/>
  <c r="AJ184" i="4"/>
  <c r="AJ951" i="4"/>
  <c r="AJ185" i="4"/>
  <c r="AK745" i="4"/>
  <c r="AK743" i="4"/>
  <c r="AK681" i="4"/>
  <c r="AK677" i="4"/>
  <c r="AK679" i="4"/>
  <c r="AK683" i="4"/>
  <c r="AK678" i="4"/>
  <c r="AK685" i="4"/>
  <c r="AK686" i="4"/>
  <c r="AK684" i="4"/>
  <c r="AK676" i="4"/>
  <c r="AK675" i="4"/>
  <c r="AK682" i="4"/>
  <c r="AK680" i="4"/>
  <c r="AJ952" i="4"/>
  <c r="AJ186" i="4"/>
  <c r="AJ945" i="4"/>
  <c r="AJ179" i="4"/>
  <c r="AJ673" i="4"/>
  <c r="AJ943" i="4"/>
  <c r="AJ941" i="4" s="1"/>
  <c r="AJ671" i="4"/>
  <c r="AJ177" i="4"/>
  <c r="AJ176" i="4" s="1"/>
  <c r="AJ947" i="4"/>
  <c r="AJ181" i="4"/>
  <c r="AI587" i="4"/>
  <c r="AI611" i="4" s="1"/>
  <c r="AI744" i="4"/>
  <c r="AK1368" i="4"/>
  <c r="AK1362" i="4"/>
  <c r="AK1356" i="4"/>
  <c r="AI251" i="4"/>
  <c r="AJ250" i="4"/>
  <c r="AJ672" i="4"/>
  <c r="AJ586" i="4" s="1"/>
  <c r="AJ610" i="4" s="1"/>
  <c r="AJ948" i="4"/>
  <c r="AJ940" i="4" s="1"/>
  <c r="AJ182" i="4"/>
  <c r="AJ954" i="4"/>
  <c r="AJ188" i="4"/>
  <c r="AJ946" i="4"/>
  <c r="AJ942" i="4" s="1"/>
  <c r="AJ674" i="4"/>
  <c r="AJ588" i="4" s="1"/>
  <c r="AJ612" i="4" s="1"/>
  <c r="AJ180" i="4"/>
  <c r="AK672" i="4" l="1"/>
  <c r="AK586" i="4" s="1"/>
  <c r="AK610" i="4" s="1"/>
  <c r="AK948" i="4"/>
  <c r="AK940" i="4" s="1"/>
  <c r="AK182" i="4"/>
  <c r="AK951" i="4"/>
  <c r="AK185" i="4"/>
  <c r="AK950" i="4"/>
  <c r="AK184" i="4"/>
  <c r="AK954" i="4"/>
  <c r="AK188" i="4"/>
  <c r="AK947" i="4"/>
  <c r="AK181" i="4"/>
  <c r="AK943" i="4"/>
  <c r="AK941" i="4" s="1"/>
  <c r="AK673" i="4"/>
  <c r="AK671" i="4"/>
  <c r="AK177" i="4"/>
  <c r="AK176" i="4" s="1"/>
  <c r="AK945" i="4"/>
  <c r="AK179" i="4"/>
  <c r="AK952" i="4"/>
  <c r="AK186" i="4"/>
  <c r="AK953" i="4"/>
  <c r="AK187" i="4"/>
  <c r="AJ251" i="4"/>
  <c r="AK250" i="4"/>
  <c r="AK251" i="4" s="1"/>
  <c r="AJ744" i="4"/>
  <c r="AJ587" i="4"/>
  <c r="AJ611" i="4" s="1"/>
  <c r="AK944" i="4"/>
  <c r="AK178" i="4"/>
  <c r="AK946" i="4"/>
  <c r="AK942" i="4" s="1"/>
  <c r="AK674" i="4"/>
  <c r="AK588" i="4" s="1"/>
  <c r="AK612" i="4" s="1"/>
  <c r="AK180" i="4"/>
  <c r="AK949" i="4"/>
  <c r="AK183" i="4"/>
  <c r="AK744" i="4" l="1"/>
  <c r="AK587" i="4"/>
  <c r="AK611"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tc={ADE65972-5EB0-4E27-90AC-466FC1606307}</author>
    <author>tc={F3A81DD6-2C8E-4D4F-AFFF-A0ACFDB457FF}</author>
    <author>tc={B9AE5805-6C65-4444-AC71-3C72A1D46F3B}</author>
  </authors>
  <commentList>
    <comment ref="A1" authorId="0" shapeId="0" xr:uid="{ADE65972-5EB0-4E27-90AC-466FC1606307}">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Do we also want to include Purpose of this doc? Need to clean this page up and expand if this will be public doc. See old methodology doc for example Purpose section: https://tetoncountywy.sharepoint.com/:w:/r/sites/LongRangePlanning/Shared%20Documents/Comprehensive%20Plan/Indicators/2020%20Update%20Work/2020%20IndctrMethodology%20Draft.docx?d=w6732589d65a04c6192c753456e7f7003&amp;csf=1&amp;web=1&amp;e=Aegcbr</t>
        </r>
      </text>
    </comment>
    <comment ref="B9" authorId="1" shapeId="0" xr:uid="{F3A81DD6-2C8E-4D4F-AFFF-A0ACFDB457F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is this specific to Indicator sheet?</t>
        </r>
      </text>
    </comment>
    <comment ref="C15" authorId="2" shapeId="0" xr:uid="{B9AE5805-6C65-4444-AC71-3C72A1D46F3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what does this mean?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tc={8F178963-0709-472C-84B3-3F897B49FA60}</author>
  </authors>
  <commentList>
    <comment ref="J30" authorId="0" shapeId="0" xr:uid="{8F178963-0709-472C-84B3-3F897B49FA6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should this be relabled "future"?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tc={6A7EB504-602E-4FC2-9771-DC66F566CFA9}</author>
    <author>tc={BFE30EF4-42E0-45BA-B091-9E1734DC9F34}</author>
    <author>tc={201D0D1A-F52E-4D38-A51E-C3E53CE707DA}</author>
  </authors>
  <commentList>
    <comment ref="AA592" authorId="0" shapeId="0" xr:uid="{6A7EB504-602E-4FC2-9771-DC66F566CFA9}">
      <text>
        <r>
          <rPr>
            <sz val="11"/>
            <color theme="1"/>
            <rFont val="Calibri"/>
            <family val="2"/>
            <scheme val="minor"/>
          </rPr>
          <t>5-year estimate only for 2020 due to COVID</t>
        </r>
      </text>
    </comment>
    <comment ref="W969" authorId="1" shapeId="0" xr:uid="{BFE30EF4-42E0-45BA-B091-9E1734DC9F3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what is this?</t>
        </r>
      </text>
    </comment>
    <comment ref="AA1407" authorId="2" shapeId="0" xr:uid="{201D0D1A-F52E-4D38-A51E-C3E53CE707D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2020 Field House Completed.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tc={266C1F40-9C79-48F1-A410-BA442806FBA1}</author>
  </authors>
  <commentList>
    <comment ref="C1453" authorId="0" shapeId="0" xr:uid="{266C1F40-9C79-48F1-A410-BA442806FBA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tc={4474B3CF-1E58-4002-8589-BE22E9822233}</author>
  </authors>
  <commentList>
    <comment ref="F209" authorId="0" shapeId="0" xr:uid="{4474B3CF-1E58-4002-8589-BE22E982223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CE not yet recorded in 2021</t>
        </r>
      </text>
    </comment>
  </commentList>
</comments>
</file>

<file path=xl/sharedStrings.xml><?xml version="1.0" encoding="utf-8"?>
<sst xmlns="http://schemas.openxmlformats.org/spreadsheetml/2006/main" count="60567" uniqueCount="20195">
  <si>
    <t>Jackson/Teton County Indicator Report Datasheet</t>
  </si>
  <si>
    <t>Units</t>
  </si>
  <si>
    <t>Net Buildout Change</t>
  </si>
  <si>
    <t>Source:</t>
  </si>
  <si>
    <t>Planning Department databases</t>
  </si>
  <si>
    <t>County Clerk records</t>
  </si>
  <si>
    <t>Conservation Easements</t>
  </si>
  <si>
    <t>Buildout assumptions table</t>
  </si>
  <si>
    <t>DO NOT ENTER DATA ON THIS SHEET</t>
  </si>
  <si>
    <t>See ConservationBuildoutTracker sheet: data in this data table auto populates from that data sheet</t>
  </si>
  <si>
    <t>Indicators:</t>
  </si>
  <si>
    <t>Conservation vs. Subdivision of Rural Areas</t>
  </si>
  <si>
    <t>Location of Potential Growth</t>
  </si>
  <si>
    <t>Amount of Potential Growth</t>
  </si>
  <si>
    <t>Accuracy:</t>
  </si>
  <si>
    <t>The data sources are the primary sources for the information and have been accurate</t>
  </si>
  <si>
    <t>The totals are a function of the ConservationBuildout Tracker beginning in 2016, from 2007-2015 the totals are entered based on older tracking sheets</t>
  </si>
  <si>
    <t>Recency:</t>
  </si>
  <si>
    <t>Data is current to date of database query, however data is typically pulled annually for a full calendar year</t>
  </si>
  <si>
    <t>Adjustments:</t>
  </si>
  <si>
    <t>Buildout assumptions are applied to the raw data</t>
  </si>
  <si>
    <t>Data:</t>
  </si>
  <si>
    <t>Residential Units</t>
  </si>
  <si>
    <t>DUs</t>
  </si>
  <si>
    <t>LDR Text/Zoning Map Amendments</t>
  </si>
  <si>
    <t>Complete Neighborhood</t>
  </si>
  <si>
    <t>Rural Area</t>
  </si>
  <si>
    <t>Public/Private Land Transfers</t>
  </si>
  <si>
    <t>CNPRD Bonus</t>
  </si>
  <si>
    <t>Lodging Units</t>
  </si>
  <si>
    <t>LUs</t>
  </si>
  <si>
    <t>NonRes, NonLodging Floor Area</t>
  </si>
  <si>
    <t>sf</t>
  </si>
  <si>
    <t>Growth by Use</t>
  </si>
  <si>
    <t>Building Department databases</t>
  </si>
  <si>
    <t>Housing Stock Profile</t>
  </si>
  <si>
    <t>Annual Growth Rate Comparison</t>
  </si>
  <si>
    <t>Effective Population</t>
  </si>
  <si>
    <t>Growth by Use (retired)</t>
  </si>
  <si>
    <t>Effective Population (retired)</t>
  </si>
  <si>
    <t>The most important piece for keeping this accurate is accounting for change of use even when a building permit is not required to the extent possible.</t>
  </si>
  <si>
    <t>Yearend Totals are based on the development existing at yearend 2016 - which was calculated as part of the calibration of the traffic model in late 2017. The source of this information is a GIS file: TetonCounty170101byBldg.TAB</t>
  </si>
  <si>
    <t>The 2016 yearend development was estimated by adding 2012-2015 building permits to the 2012 existing development estimate completed for the 2013 Housing Nexus Study. The totals vary slightly from the totals achieved by adding annual totals to the 2012 base (as was done for Indicator Reports from 2013-2020) because the work to create the 2016 estimate involved some refinement of the 2012 base along with addition of 2012-2016 building permit information.</t>
  </si>
  <si>
    <t>A needed future adjustment is to separate the lodging types, currently conventional, short-term rental, campsites, and dude ranch units are all tracked in a single row (except that they are broken up in the effective population calculation based on the existing development work)</t>
  </si>
  <si>
    <t>A needed future adjustment is to allocate the Conservation Easement and Common Area statistics into the other uses, they are a remnant from the 2012 existing development study associated with the 2013 Nexus Study and do not correspond to any uses that were eventually adopted in 2015.</t>
  </si>
  <si>
    <t>Residential (Annual Change)</t>
  </si>
  <si>
    <t>Agriculture</t>
  </si>
  <si>
    <t>Detached Single Family Dwelling</t>
  </si>
  <si>
    <t>Attached Single Family Dwelling</t>
  </si>
  <si>
    <t>Apartment</t>
  </si>
  <si>
    <t>Guesthouse</t>
  </si>
  <si>
    <t>ARUs</t>
  </si>
  <si>
    <t>Mobile Home</t>
  </si>
  <si>
    <t>Residential Floor Area</t>
  </si>
  <si>
    <t>Lodging (Annual Change)</t>
  </si>
  <si>
    <t>Lodging</t>
  </si>
  <si>
    <t>Short-Term Rental</t>
  </si>
  <si>
    <t>Lodging Floor Area</t>
  </si>
  <si>
    <t>Nonresidential, Nonlodging (Annual Change)</t>
  </si>
  <si>
    <t>NonRes NonLodging Floor Area</t>
  </si>
  <si>
    <t>"Commercial" Floor Area</t>
  </si>
  <si>
    <t>should be attributed to surrounding use</t>
  </si>
  <si>
    <t xml:space="preserve"> </t>
  </si>
  <si>
    <t>Common Area</t>
  </si>
  <si>
    <t>Outdoor Recreation</t>
  </si>
  <si>
    <t>Restaurant/Bar</t>
  </si>
  <si>
    <t>Office</t>
  </si>
  <si>
    <t>Retail</t>
  </si>
  <si>
    <t>Industrial</t>
  </si>
  <si>
    <t>Institutional</t>
  </si>
  <si>
    <t>Residential (Yearend Count)</t>
  </si>
  <si>
    <t>Lodging (Yearend Count)</t>
  </si>
  <si>
    <t>Nonresidential, Nonlodging (Yearend Count)</t>
  </si>
  <si>
    <t>Growth by Location</t>
  </si>
  <si>
    <t>Percentage of Housing in Town</t>
  </si>
  <si>
    <t>Residential Units (Annual Change)</t>
  </si>
  <si>
    <t>Complete Neighborhoods</t>
  </si>
  <si>
    <t>Town</t>
  </si>
  <si>
    <t>County Complete Neighborhoods</t>
  </si>
  <si>
    <t>District 1</t>
  </si>
  <si>
    <t>District 2</t>
  </si>
  <si>
    <t>District 3</t>
  </si>
  <si>
    <t>District 4</t>
  </si>
  <si>
    <t>District 5</t>
  </si>
  <si>
    <t>District 6</t>
  </si>
  <si>
    <t>District 7</t>
  </si>
  <si>
    <t>Subarea 8.4</t>
  </si>
  <si>
    <t>District 11</t>
  </si>
  <si>
    <t>District 12</t>
  </si>
  <si>
    <t>District 13</t>
  </si>
  <si>
    <t>Subareas 14.2 &amp; 14.3</t>
  </si>
  <si>
    <t>Rural Areas</t>
  </si>
  <si>
    <t>District 8 (Less Subarea 8.4)</t>
  </si>
  <si>
    <t>District 9</t>
  </si>
  <si>
    <t>District 10</t>
  </si>
  <si>
    <t>Subarea 14.1</t>
  </si>
  <si>
    <t>District 15</t>
  </si>
  <si>
    <t>Nonresidential Floor Area (Annual Change)</t>
  </si>
  <si>
    <t>Residential Units (Year End Count)</t>
  </si>
  <si>
    <t>Nonresidential Floor Area (Year End Count)</t>
  </si>
  <si>
    <t>Jobs (BEA)</t>
  </si>
  <si>
    <t xml:space="preserve">Bureau of Economic Analysis (BEA Table CAEMP25N Total Full-Time and Part-Time Employment) </t>
  </si>
  <si>
    <t>https://apps.bea.gov/iTable/iTable.cfm?reqid=70&amp;step=1&amp;isuri=1</t>
  </si>
  <si>
    <t>Percentage of the Workforce Living Locally (reference)</t>
  </si>
  <si>
    <t>Annual Growth Rate Comparison (Jobs per capita?)</t>
  </si>
  <si>
    <t>Jobs by Industry</t>
  </si>
  <si>
    <t>Percentage of the Workforce Living Locally (retired)</t>
  </si>
  <si>
    <t>One piece of the jobs puzzle - looks at all full and part time jobs (meaning higher jobs per employee factor) and includes proprietors to get at that piece of employment, BEA estimates are derived from BLS and IRS data</t>
  </si>
  <si>
    <t>Typically available in November for previous year</t>
  </si>
  <si>
    <t>BEA does adjust their data so be sure to check prior year data for updates when adding an new year's data</t>
  </si>
  <si>
    <t>Total employment</t>
  </si>
  <si>
    <t>Jobs</t>
  </si>
  <si>
    <t> </t>
  </si>
  <si>
    <t>By Type</t>
  </si>
  <si>
    <t/>
  </si>
  <si>
    <t>Wage and salary employment</t>
  </si>
  <si>
    <t>Proprietors employment</t>
  </si>
  <si>
    <t>Farm proprietors employment</t>
  </si>
  <si>
    <t>Nonfarm proprietors employment 2/</t>
  </si>
  <si>
    <t>By Industry</t>
  </si>
  <si>
    <t>Farm employment</t>
  </si>
  <si>
    <t>Nonfarm employment</t>
  </si>
  <si>
    <t>Private nonfarm employment</t>
  </si>
  <si>
    <t>Forestry, fishing, and related activities</t>
  </si>
  <si>
    <t>(D)</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</si>
  <si>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</si>
  <si>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</si>
  <si>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</si>
  <si>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</si>
  <si>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</si>
  <si>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</si>
  <si>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</si>
  <si>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</si>
  <si>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</si>
  <si>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</si>
  <si>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</si>
  <si>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</si>
  <si>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 services</t>
  </si>
  <si>
    <t>Educational services</t>
  </si>
  <si>
    <t>Health care and social assistance</t>
  </si>
  <si>
    <t>Arts, entertainment, and recreation</t>
  </si>
  <si>
    <t>Accommodation and food services</t>
  </si>
  <si>
    <t>Other services, except public administration</t>
  </si>
  <si>
    <t>Government and government enterprises</t>
  </si>
  <si>
    <t>Federal, civilian</t>
  </si>
  <si>
    <t>Military</t>
  </si>
  <si>
    <t>State and local</t>
  </si>
  <si>
    <t>State government</t>
  </si>
  <si>
    <t>Local government</t>
  </si>
  <si>
    <t>GDP (BEA)</t>
  </si>
  <si>
    <t xml:space="preserve">Bureau of Economic Analysis (BEA Tables CAGDP1 Gross Domestic Product summary and CAGDP11 Contributions to percent change in real GDP) </t>
  </si>
  <si>
    <t>Growth Rate Comparison (GDP per Capita)</t>
  </si>
  <si>
    <t>Only known source of estimate</t>
  </si>
  <si>
    <t>These are relatively new data that BEA only began reporting in 2019, expect adjustments to the data as the datasets are filled out and updated, check to make sure the row titles and back data match as new years of data are added</t>
  </si>
  <si>
    <t>Gross Domestic Product (CAGDP1)</t>
  </si>
  <si>
    <t>Real GDP (thousands of chained 2012 dollars)</t>
  </si>
  <si>
    <t>$K (Chained 2012)</t>
  </si>
  <si>
    <t>Chain-type quantity indexes for real GDP</t>
  </si>
  <si>
    <t>Current-dollar GDP (thousands of current dollars)</t>
  </si>
  <si>
    <t>$K (Current)</t>
  </si>
  <si>
    <t>Contributions to Percent Change in Real GDP (All industry total)</t>
  </si>
  <si>
    <r>
      <t>%</t>
    </r>
    <r>
      <rPr>
        <sz val="11"/>
        <color theme="1"/>
        <rFont val="Calibri"/>
        <family val="2"/>
      </rPr>
      <t>∆ (Annual)</t>
    </r>
  </si>
  <si>
    <t>Private industries</t>
  </si>
  <si>
    <t>Agriculture, forestry, fishing and hunting</t>
  </si>
  <si>
    <t>Mining, quarrying, and oil and gas extraction</t>
  </si>
  <si>
    <t>Durable goods manufacturing</t>
  </si>
  <si>
    <t>Nondurable goods manufacturing</t>
  </si>
  <si>
    <t>Finance, insurance, real estate, rental, and leasing</t>
  </si>
  <si>
    <t>Professional and business services</t>
  </si>
  <si>
    <t>Administrative and support and waste management and remediation services</t>
  </si>
  <si>
    <t>Educational services, health care, and social assistance</t>
  </si>
  <si>
    <t>Arts, entertainment, recreation, accommodation, and food services</t>
  </si>
  <si>
    <t>Other services (except government and government enterprises)</t>
  </si>
  <si>
    <t>Addenda:</t>
  </si>
  <si>
    <t>Natural resources and mining (Linecodes 3,6)</t>
  </si>
  <si>
    <t>Trade (Linecodes 34,35)</t>
  </si>
  <si>
    <t>Transportation and utilities (Linecodes 10,36)</t>
  </si>
  <si>
    <t>Manufacturing and information (Linecodes 12,45)</t>
  </si>
  <si>
    <t>Private goods-producing industries (Linecodes 3,6,11,12)</t>
  </si>
  <si>
    <t>Private services-providing industries (Linecodes 10,34,35,36,45,50,59,68,75,82)</t>
  </si>
  <si>
    <t>Personal Income (BEA)</t>
  </si>
  <si>
    <t xml:space="preserve">Bureau of Economic Analysis (Table CAINC4 Person Income and Employment by Major Component) </t>
  </si>
  <si>
    <t>Growth Rate Comparison (Jobs per Capita, Income per Capita)</t>
  </si>
  <si>
    <t>More complete description than ACS data because it includes dividend, interest and rent income in addition to earnings, ACS only looks at earned (wage) income</t>
  </si>
  <si>
    <t>Be aware that the numbers can get adjusted after they are first reported so be sure to back-check previous years' data when adding a new year's data (for example the mid-year population estimates for 2012-2018 were adjusted in 2020 and had to be revised).</t>
  </si>
  <si>
    <t>Note that the BEA is adjusting for commuter income in row 42, but essentially saying that only 8% of income went to commuters in 2018 (while we estimate about 41% of employees commuted in 2018)</t>
  </si>
  <si>
    <t>Income by place of residence</t>
  </si>
  <si>
    <t>10</t>
  </si>
  <si>
    <t>Personal income (thousands of dollars)</t>
  </si>
  <si>
    <t>11</t>
  </si>
  <si>
    <t>Nonfarm personal income (total personal income less farm income)</t>
  </si>
  <si>
    <t>12</t>
  </si>
  <si>
    <t>Farm income (farm earnings less farm employer contributions for social insurance)</t>
  </si>
  <si>
    <t>20</t>
  </si>
  <si>
    <t>Population (persons) (Census mid-year population estimate)</t>
  </si>
  <si>
    <t>People</t>
  </si>
  <si>
    <t>30</t>
  </si>
  <si>
    <t>Per capita personal income (dollars) (Linecode 10/Linecode 20)</t>
  </si>
  <si>
    <t>$ (Current)</t>
  </si>
  <si>
    <t>Derivation of personal income</t>
  </si>
  <si>
    <t>35</t>
  </si>
  <si>
    <t>Earnings by place of work</t>
  </si>
  <si>
    <t>36</t>
  </si>
  <si>
    <t>Less: Contributions for government social insurance (Employer contributions for government social insurance are included in earnings by industry and earnings by place of work, but they are excluded from net earnings by place of residence and personal income. Employee and self-employed contributions are subtractions in the calculation of net earnings by place of residence and all of the income measures.)</t>
  </si>
  <si>
    <t>37</t>
  </si>
  <si>
    <t>Employee and self-employed contributions for government social insurance</t>
  </si>
  <si>
    <t>38</t>
  </si>
  <si>
    <t>Employer contributions for government social insurance</t>
  </si>
  <si>
    <t>42</t>
  </si>
  <si>
    <t>Plus: Adjustment for residence (The adjustment for residence is the net inflow of the earnings of interarea commuters. For the United States, it consists of adjustments for border workers and US residents employed by international organizations and foreign embassies.)</t>
  </si>
  <si>
    <t>45</t>
  </si>
  <si>
    <t>Equals: Net earnings by place of residence</t>
  </si>
  <si>
    <t>46</t>
  </si>
  <si>
    <t>Plus: Dividends, interest, and rent (Rental income of persons includes the capital consumption adjustment.)</t>
  </si>
  <si>
    <t>47</t>
  </si>
  <si>
    <t>Plus: Personal current transfer receipts</t>
  </si>
  <si>
    <t>Components of earnings by place of work (thousands of dollars)</t>
  </si>
  <si>
    <t>50</t>
  </si>
  <si>
    <t>Wages and salaries</t>
  </si>
  <si>
    <t>60</t>
  </si>
  <si>
    <t>Supplements to wages and salaries</t>
  </si>
  <si>
    <t>61</t>
  </si>
  <si>
    <t>Employer contributions for employee pension and insurance funds (Includes actual employer contributions and actuarially imputed employer contributions to reflect benefits accrued by defined benefit pension plan participants through service to employers in the current period.)</t>
  </si>
  <si>
    <t>62</t>
  </si>
  <si>
    <t>70</t>
  </si>
  <si>
    <t>Proprietors' income (Proprietors' income includes the inventory valuation adjustment and the capital consumption adjustment.)</t>
  </si>
  <si>
    <t>71</t>
  </si>
  <si>
    <t>Farm proprietors' income</t>
  </si>
  <si>
    <t>72</t>
  </si>
  <si>
    <t>Nonfarm proprietors' income</t>
  </si>
  <si>
    <t>Employment (number of jobs)</t>
  </si>
  <si>
    <t>7010</t>
  </si>
  <si>
    <t>7020</t>
  </si>
  <si>
    <t xml:space="preserve">  Wage and salary employment</t>
  </si>
  <si>
    <t>7040</t>
  </si>
  <si>
    <t xml:space="preserve">  Proprietors employment</t>
  </si>
  <si>
    <t>Jobs (QCEW)</t>
  </si>
  <si>
    <t xml:space="preserve">Bureau of Labor Statistics (BLS) Quarterly Census of Employment and Wages (QCEW) </t>
  </si>
  <si>
    <t>https://www.bls.gov/cew/data.htm</t>
  </si>
  <si>
    <t>Percentage of the Workforce Living Locally</t>
  </si>
  <si>
    <t>Growth Rate Comparison</t>
  </si>
  <si>
    <t>One piece of the jobs puzzle - only looks at wage jobs but is closer to an "Full-Time Equivalent (FTE)" number than BEA (meaning a different jobs per employee factor than when using BEA) it is based on unemployment insurance filing at the State level</t>
  </si>
  <si>
    <t>Reported quarterly, 5-6 months after quarter end (e.g. Q4 2019, first reported in June 2020)</t>
  </si>
  <si>
    <t>Data is preliminary until the Q1 report for the following year, which is typically in September (while QCEW adjustments are typically minimal, numbers for the previous year should be checked and revised to represent final numbers)</t>
  </si>
  <si>
    <t>January</t>
  </si>
  <si>
    <t>February</t>
  </si>
  <si>
    <t>March</t>
  </si>
  <si>
    <t>April</t>
  </si>
  <si>
    <t>May</t>
  </si>
  <si>
    <t>June</t>
  </si>
  <si>
    <t>July</t>
  </si>
  <si>
    <t>August</t>
  </si>
  <si>
    <t>September</t>
  </si>
  <si>
    <t>October</t>
  </si>
  <si>
    <t>November</t>
  </si>
  <si>
    <t>December</t>
  </si>
  <si>
    <t>Employed Local Workforce (LAUS)</t>
  </si>
  <si>
    <t xml:space="preserve">Bureau of Labor Statistics (BLS) Local Area Unemployment Statistics (LAUS) </t>
  </si>
  <si>
    <t>https://data.bls.gov/PDQWeb/la</t>
  </si>
  <si>
    <t>One piece of the employment puzzle - it is calculated from the national Current Employment Statistics survey that is completed each month and commonly known as the "jobs report" the statewide employment/unemployment estimate is then allocated to the County level by the Wyo Div. of Economic Analysis based on unemployment claims</t>
  </si>
  <si>
    <t>A month's data is typically available 2 months later</t>
  </si>
  <si>
    <t>LAUS data are typical revised twice following initial report, meaning they are not final until 4 months later. Always check back to make sure final  numbers are entered. Use "not seasonally adjusted"</t>
  </si>
  <si>
    <t>Employed Labor Force</t>
  </si>
  <si>
    <t>Total Labor Force</t>
  </si>
  <si>
    <t>Work Area Profile (LEHD)</t>
  </si>
  <si>
    <t xml:space="preserve">Work Area Profile Analysis: Longitudinal Employment-Housing Dynamics (LEHD) </t>
  </si>
  <si>
    <t>https://onthemap.ces.census.gov/</t>
  </si>
  <si>
    <t>Percentage of Jobs in Town</t>
  </si>
  <si>
    <t>Looks at wage jobs. It correlates well with year-round jobs (the minimum month from QCEW dataset) but doesn't seem to provide less information on seasonal employees</t>
  </si>
  <si>
    <t>All Jobs in Teton County compared to QCEW data shows some jobs as unaccounted for, however the purpose of the dataset is to understand geographic relationships for smaller geographic regions (such as Census places and County subdivisions)</t>
  </si>
  <si>
    <t>Typically September 2-years later (e.g. Sept. 2020 for 2018 data)</t>
  </si>
  <si>
    <t>Jackson Hole CCD and Alta CCD data are used to avoid Yellowstone effects on ratios (Yellowstone CCD is the only other Census Subdivision of Teton County). Doublecheck previous years' data to ensure no updates or adjustments. 2015-2017 appear to have been updated in 2020/2021</t>
  </si>
  <si>
    <r>
      <t xml:space="preserve">Work Area Profile for </t>
    </r>
    <r>
      <rPr>
        <u/>
        <sz val="11"/>
        <color rgb="FFC00000"/>
        <rFont val="Calibri"/>
        <family val="2"/>
        <scheme val="minor"/>
      </rPr>
      <t>All Jobs</t>
    </r>
  </si>
  <si>
    <t>Teton County</t>
  </si>
  <si>
    <t>jobs</t>
  </si>
  <si>
    <t>Agriculture, Forestry, Fishing and Hunting</t>
  </si>
  <si>
    <t>Mining, Quarrying, and Oil and Gas Extraction</t>
  </si>
  <si>
    <t>Wholesale Trade</t>
  </si>
  <si>
    <t>Retail Trade</t>
  </si>
  <si>
    <t>Transportation and Warehousing</t>
  </si>
  <si>
    <t>Finance and Insurance</t>
  </si>
  <si>
    <t>Real Estate and Rental and Leasing</t>
  </si>
  <si>
    <t>Professional, Scientific, and Technical Services</t>
  </si>
  <si>
    <t>Management of Companies and Enterprises</t>
  </si>
  <si>
    <t>Administration &amp; Support, Waste Management and Remediation</t>
  </si>
  <si>
    <t>Educational Services</t>
  </si>
  <si>
    <t>Health Care and Social Assistance</t>
  </si>
  <si>
    <t>Arts, Entertainment, and Recreation</t>
  </si>
  <si>
    <t>Accommodation and Food Services</t>
  </si>
  <si>
    <t>Other Services (excluding Public Administration)</t>
  </si>
  <si>
    <t>Public Administration</t>
  </si>
  <si>
    <t>Alta CCD</t>
  </si>
  <si>
    <t>Jackson Hole CCD</t>
  </si>
  <si>
    <t>Town of Jackson</t>
  </si>
  <si>
    <t>Destination (LEHD) (Residence-Workplace Relationship)</t>
  </si>
  <si>
    <t xml:space="preserve">Destination Analysis: Longitudinal Employment-Housing Dynamics (LEHD) </t>
  </si>
  <si>
    <t>Looks at wage jobs and wage employees. It correlates well with year-round jobs (the minimum month from QCEW dataset) but doesn't seems to provide less information on seasonal employees</t>
  </si>
  <si>
    <t xml:space="preserve">All Jobs in Teton County compared to QCEW data shows some jobs as unaccounted for </t>
  </si>
  <si>
    <t>Primary Jobs is a proxy for people because in theory each person has only one primary job, secondary jobs are represented in the "All Jobs" category</t>
  </si>
  <si>
    <t xml:space="preserve">Jackson Hole CCD is used to minimize the effect of, for example, Driggs to Targhee commuting on the overall commuter numbers since addressing such commuting is not the intent of the community policy. Check for adjustments to previous data. </t>
  </si>
  <si>
    <r>
      <t xml:space="preserve">CCD of Residence for </t>
    </r>
    <r>
      <rPr>
        <u/>
        <sz val="11"/>
        <color rgb="FFC00000"/>
        <rFont val="Calibri"/>
        <family val="2"/>
        <scheme val="minor"/>
      </rPr>
      <t>All Jobs</t>
    </r>
    <r>
      <rPr>
        <sz val="11"/>
        <color rgb="FFC00000"/>
        <rFont val="Calibri"/>
        <family val="2"/>
        <scheme val="minor"/>
      </rPr>
      <t xml:space="preserve"> in Jackson Hole CCD</t>
    </r>
  </si>
  <si>
    <t>Jackson Hole CCD (Teton, WY)</t>
  </si>
  <si>
    <t>Victor CCD (Teton, ID)</t>
  </si>
  <si>
    <t>Afton CCD (Lincoln, WY)</t>
  </si>
  <si>
    <t>Driggs CCD (Teton, ID)</t>
  </si>
  <si>
    <t>Tetonia CCD (Teton, ID)</t>
  </si>
  <si>
    <t>Idaho Falls CCD (Bonneville, ID)</t>
  </si>
  <si>
    <t>Casper CCD (Natrona, WY)</t>
  </si>
  <si>
    <t>Rock Springs North CCD (Sweetwater, WY)</t>
  </si>
  <si>
    <t>Alta CCD (Teton, WY)</t>
  </si>
  <si>
    <t>Salt Lake City CCD (Salt Lake, UT)</t>
  </si>
  <si>
    <t>All Other Locations</t>
  </si>
  <si>
    <r>
      <t xml:space="preserve">CCD of Residence for </t>
    </r>
    <r>
      <rPr>
        <u/>
        <sz val="11"/>
        <color rgb="FFC00000"/>
        <rFont val="Calibri"/>
        <family val="2"/>
        <scheme val="minor"/>
      </rPr>
      <t>Primary Jobs</t>
    </r>
    <r>
      <rPr>
        <sz val="11"/>
        <color rgb="FFC00000"/>
        <rFont val="Calibri"/>
        <family val="2"/>
        <scheme val="minor"/>
      </rPr>
      <t xml:space="preserve"> in Jackson Hole CCD</t>
    </r>
  </si>
  <si>
    <t>people*</t>
  </si>
  <si>
    <r>
      <t xml:space="preserve">CCD of </t>
    </r>
    <r>
      <rPr>
        <u/>
        <sz val="11"/>
        <color rgb="FFC00000"/>
        <rFont val="Calibri"/>
        <family val="2"/>
        <scheme val="minor"/>
      </rPr>
      <t>All Jobs</t>
    </r>
    <r>
      <rPr>
        <sz val="11"/>
        <color rgb="FFC00000"/>
        <rFont val="Calibri"/>
        <family val="2"/>
        <scheme val="minor"/>
      </rPr>
      <t xml:space="preserve"> for Workers that Live in Jackson Hole CCD</t>
    </r>
  </si>
  <si>
    <t>Yellowstone National Park CCD (Teton, WY)</t>
  </si>
  <si>
    <t>Cheyenne CCD (Laramie, WY)</t>
  </si>
  <si>
    <t>Wind River Reservation CCD (Fremont, WY)</t>
  </si>
  <si>
    <r>
      <t xml:space="preserve">CCD of </t>
    </r>
    <r>
      <rPr>
        <u/>
        <sz val="11"/>
        <color rgb="FFC00000"/>
        <rFont val="Calibri"/>
        <family val="2"/>
        <scheme val="minor"/>
      </rPr>
      <t>Primary Jobs</t>
    </r>
    <r>
      <rPr>
        <sz val="11"/>
        <color rgb="FFC00000"/>
        <rFont val="Calibri"/>
        <family val="2"/>
        <scheme val="minor"/>
      </rPr>
      <t xml:space="preserve"> for Workers that Live in Jackson Hole CCD</t>
    </r>
  </si>
  <si>
    <t>Households and Families</t>
  </si>
  <si>
    <t>Table S1101, American Community Survey (ACS) 1-Year Estimate https://data.census.gov/cedsci/advanced</t>
  </si>
  <si>
    <t>Lags a year (typically release in Nov/Dec of following year), only goes back to 2010</t>
  </si>
  <si>
    <t>United States</t>
  </si>
  <si>
    <t>Average household size</t>
  </si>
  <si>
    <t>Persons/DU</t>
  </si>
  <si>
    <t>Average family size</t>
  </si>
  <si>
    <t>Workers by Workplace Geography</t>
  </si>
  <si>
    <t>Table B08406, American Community Survey (ACS) 5-Year Estimate https://data.census.gov/cedsci/advanced</t>
  </si>
  <si>
    <t>Percentage of the Workforce Living Locally (reference only)</t>
  </si>
  <si>
    <t>Another piece of the jobs puzzle, accuracy unclear: it factors in all of the federal job sources (BLS, IRS, LAUS) but only appears to include wage earners, need to compare against commuter calculations and data and do more research on definition</t>
  </si>
  <si>
    <t>Why are the mode of travel numbers so different from the resident numbers?</t>
  </si>
  <si>
    <t>Lags a year (typically release in Nov/Dec of following year), only goes back to 2010, the other issue with all ACS data for small population areas is that it is based on the previous 5 years so indication of shifting trends can lag 3-5 years</t>
  </si>
  <si>
    <t>None (but probably needs adjustment, it should be put into a jobs, commuters model to get a more accurate estimate)</t>
  </si>
  <si>
    <t>Persons</t>
  </si>
  <si>
    <t>Bicycle</t>
  </si>
  <si>
    <t>Walked</t>
  </si>
  <si>
    <t>Worked from Home</t>
  </si>
  <si>
    <t>Permanent Population</t>
  </si>
  <si>
    <t>Table B01003, American Community Survey (ACS) 5-Year Estimate https://data.census.gov/cedsci/advanced</t>
  </si>
  <si>
    <t>Lags a year (typically release in Nov/Dec of following year), the issue with all ACS data for small population areas is that it is based on the previous 5 years so indication of shifting trends can lag 3-5 years</t>
  </si>
  <si>
    <t>None, (would it make sense for effective population to prorate the growth by month? Are there months when people move? Does it matter?)</t>
  </si>
  <si>
    <t>Total Population (ACS 5-Year Estimate, Table B01003)</t>
  </si>
  <si>
    <t>Select Housing Characteristics</t>
  </si>
  <si>
    <t>Table DP04, American Community Survey (ACS) 5-Year Estimate https://data.census.gov/cedsci/advanced</t>
  </si>
  <si>
    <t>Best available occupancy data</t>
  </si>
  <si>
    <t>It would be interesting to back test the renter/owner ratios by comparing voter and ownership records</t>
  </si>
  <si>
    <t>See indicators for adjustments</t>
  </si>
  <si>
    <t>Housing Units</t>
  </si>
  <si>
    <t>Occupied Housing Units</t>
  </si>
  <si>
    <t>Owner Occupied Housing Units</t>
  </si>
  <si>
    <t>Renter Occupied Housing Units</t>
  </si>
  <si>
    <t>Average Household Size: Owner-Occupied</t>
  </si>
  <si>
    <t>Average Household Size: Renter-Occupied</t>
  </si>
  <si>
    <t>Vacancy Status</t>
  </si>
  <si>
    <t>Table B25004, American Community Survey (ACS) 5-Year Estimate https://data.census.gov/cedsci/advanced</t>
  </si>
  <si>
    <t>Vacant</t>
  </si>
  <si>
    <t>For rent</t>
  </si>
  <si>
    <t>Rented, not occupied</t>
  </si>
  <si>
    <t>For sale only</t>
  </si>
  <si>
    <t>Sold, not occupied</t>
  </si>
  <si>
    <t>For seasonal, recreational, or occasional use</t>
  </si>
  <si>
    <t>For migrant workers</t>
  </si>
  <si>
    <t>Other vacant</t>
  </si>
  <si>
    <t>Active Commute Mode Share</t>
  </si>
  <si>
    <t>Table B08301, American Community Survey (ACS) 5-Year Estimate https://data.census.gov/cedsci/advanced</t>
  </si>
  <si>
    <t>Walk/Bike Modeshare</t>
  </si>
  <si>
    <t>Best available data</t>
  </si>
  <si>
    <t>A benchmark mode share study is something that is called for in the ITP and has been a desire for years</t>
  </si>
  <si>
    <t>See Walk/Bike Modeshare for benchmark to adjust commute mode share to all trips</t>
  </si>
  <si>
    <t>Total residents working</t>
  </si>
  <si>
    <t>Bike to work</t>
  </si>
  <si>
    <t>Walk to work</t>
  </si>
  <si>
    <t>Work at home</t>
  </si>
  <si>
    <t>Household Employment and Income Data</t>
  </si>
  <si>
    <t>Table DP03, American Community Survey (ACS) 5-Year Estimate https://data.census.gov/cedsci/advanced</t>
  </si>
  <si>
    <t>Annual Growth Rate Comparison (Cost of Home Purchase/Rent)</t>
  </si>
  <si>
    <t>It is pulling from the same sources as the BEA data and informs the HUD Limits so it is not really that informative that it is similar to those sources</t>
  </si>
  <si>
    <t>None</t>
  </si>
  <si>
    <t>Total Households</t>
  </si>
  <si>
    <t>Households</t>
  </si>
  <si>
    <t>Median Household Income</t>
  </si>
  <si>
    <t>$/year</t>
  </si>
  <si>
    <t>Mean Household Income</t>
  </si>
  <si>
    <t>Households with Earnings</t>
  </si>
  <si>
    <t>Families</t>
  </si>
  <si>
    <t>Median Family Income</t>
  </si>
  <si>
    <t>Mean Family Income</t>
  </si>
  <si>
    <t>Per Capita Income</t>
  </si>
  <si>
    <t>HUD Median Family Income Limits</t>
  </si>
  <si>
    <t>US Department of Housing and Urban Development (HUD) https://www.huduser.gov/portal/datasets/il/il2020/select_Geography.odn</t>
  </si>
  <si>
    <t>Housing Affordability (Retired)</t>
  </si>
  <si>
    <t>These are a projection for regulatory purposes for the upcoming year, based on ACS data. As a result they tend to be conservative (low) and should be adjusted to the actual ACS number once available</t>
  </si>
  <si>
    <t>They are typically available in April for the upcoming year</t>
  </si>
  <si>
    <t>HUD Income Limit</t>
  </si>
  <si>
    <t>HUD Fair Market Rent</t>
  </si>
  <si>
    <t>US Department of Housing and Urban Development (HUD) https://www.huduser.gov/portal/datasets/fmr.html#</t>
  </si>
  <si>
    <t>Annual Growth Rate Comparison (Cost of Rent)</t>
  </si>
  <si>
    <t>These are a projection for regulatory purposes for the upcoming year, based on ACS data. They represent a consistent methodology even if they should not be used to judge "affordability" because they are 40th percentile instead of median and are a regulatory standard, not a backward looking datapoint.</t>
  </si>
  <si>
    <t>Fair Market Rent</t>
  </si>
  <si>
    <t>Efficiency</t>
  </si>
  <si>
    <t>$/month</t>
  </si>
  <si>
    <t>One-Bedroom</t>
  </si>
  <si>
    <t>Two-Bedroom</t>
  </si>
  <si>
    <t>Three-Bedroom</t>
  </si>
  <si>
    <t>Four-Bedroom</t>
  </si>
  <si>
    <t>Single-Family Home Price</t>
  </si>
  <si>
    <t>Jackson Hole Report https://jacksonholerealestatereport.com/2020-first-quarter-jackson-hole-real-estate-report/</t>
  </si>
  <si>
    <t>Reported because of historical relationship for consistency with past housing studies. Data now available from Assessor that is more complete and accurate</t>
  </si>
  <si>
    <t>Typically available within a month of quarter-end</t>
  </si>
  <si>
    <t>Median Single-Family Home Sale</t>
  </si>
  <si>
    <t>$</t>
  </si>
  <si>
    <t>Average Home Sale</t>
  </si>
  <si>
    <t>Home Price</t>
  </si>
  <si>
    <t>Annual Growth Rate Comparison (Cost of Home Purchase)</t>
  </si>
  <si>
    <t>Most accurate source. Individual sales prices do not have to be publicly disclosed, but they do have to be disclosed to the Assessor so the Assessor's record is the most complete accounting of real estate sales.</t>
  </si>
  <si>
    <t>Current to date of query</t>
  </si>
  <si>
    <t>Ask for median and average of non-restricted homes. They will not typically include Condotel units (example: Teton Mountain Lodge) but it is worth making sure they are not included in the data request</t>
  </si>
  <si>
    <t>Median Home Sale</t>
  </si>
  <si>
    <t>Other Costs of Living</t>
  </si>
  <si>
    <t>TBD</t>
  </si>
  <si>
    <t>Annual Growth Rate Comparison (Cost of Living)</t>
  </si>
  <si>
    <t>Food</t>
  </si>
  <si>
    <t>Healthcare</t>
  </si>
  <si>
    <t>Childcare</t>
  </si>
  <si>
    <t>Transportation</t>
  </si>
  <si>
    <t>Taxes</t>
  </si>
  <si>
    <t>Restricted Units</t>
  </si>
  <si>
    <t>Planning Databases</t>
  </si>
  <si>
    <t>Year over year data is good, Housing Department as worked to clean up the historical starting point</t>
  </si>
  <si>
    <t>The Housing Inventory (Tim Wake, 2014) that triggered the methodology for the indicator was a starting point, but has been refined and this data is not necessarily consistent with the data used in that report</t>
  </si>
  <si>
    <t>Within the month, looking for occupied units (under construction units are handled in the pipeline information)</t>
  </si>
  <si>
    <t>The TCHA ownership category includes units with sunset clauses, which is why the number went down in 2019, this won't be an issue forever, but the result is the net remaining deed restrictions accounting for lost sunset units and new units</t>
  </si>
  <si>
    <t>ARUs: Residential ARUs are considered guesthouses and not considered housing units, Nonresidential ARUs are considered LDR Restricted Housing Units (although some have deed restrictions and care should be taken not to double count)</t>
  </si>
  <si>
    <t>ARUs prior to 2018: All Town ARUs were considered LDR restricted housing units because the LDRs prohibited their use as guesthouses, County residential ARUs were considered guesthouses, County nonresidential ARUs were considered LDR restricted housing units (although some have restriction and care should be taken not to double count)</t>
  </si>
  <si>
    <t>Total Restricted</t>
  </si>
  <si>
    <t>Total LDR Restricted (ARUs, Live/Work)</t>
  </si>
  <si>
    <t>Town LDR Restricted (ARUs, Live/Work)</t>
  </si>
  <si>
    <t>County LDR Restricted (Nonresidential ARUs)</t>
  </si>
  <si>
    <t>Total Deed Restricted</t>
  </si>
  <si>
    <t>JTCHA Ownership</t>
  </si>
  <si>
    <t>JTCHA Rental</t>
  </si>
  <si>
    <t>JHCHT Ownership</t>
  </si>
  <si>
    <t>JHCHT Rental</t>
  </si>
  <si>
    <t>Habitat Ownership</t>
  </si>
  <si>
    <t>Total Ownership</t>
  </si>
  <si>
    <t>Total Rental</t>
  </si>
  <si>
    <t>Workforce Housing Pipeline</t>
  </si>
  <si>
    <t>PRC Review</t>
  </si>
  <si>
    <t>The accuracy of the trend and order of magnitude is good. The precision is not reliable. The Housing Department  tracks units when they complete PRC review so the count is only as accurate as the latest set of plans sent to the Housing Department</t>
  </si>
  <si>
    <t>The Housing Department keeps their count up to date, however there can be some slight discrepancies between when PRC occurred and when approval occurred.</t>
  </si>
  <si>
    <t>The report should be based on the count as of January 1 so that the building permit data can be appropriately compared and added into the count.</t>
  </si>
  <si>
    <t>See the indicator for adjustment of units at building permit based on building permit data</t>
  </si>
  <si>
    <t>Total Pipeline</t>
  </si>
  <si>
    <t>Housing Department Tracking</t>
  </si>
  <si>
    <t>Pre-Application Conference</t>
  </si>
  <si>
    <t>Affordable</t>
  </si>
  <si>
    <t>0-50</t>
  </si>
  <si>
    <t>50-80</t>
  </si>
  <si>
    <t>80-120</t>
  </si>
  <si>
    <t>Workforce</t>
  </si>
  <si>
    <t>Live/Work</t>
  </si>
  <si>
    <t>Employer</t>
  </si>
  <si>
    <t>Market Rental</t>
  </si>
  <si>
    <t>Market Ownership</t>
  </si>
  <si>
    <t>Sketch Plan Approval</t>
  </si>
  <si>
    <t>Development Plan Approval</t>
  </si>
  <si>
    <t>Building Permit Approval</t>
  </si>
  <si>
    <t>Rental Total (Housing)</t>
  </si>
  <si>
    <t>Restricted Rental</t>
  </si>
  <si>
    <t>Ownership Total (Housing)</t>
  </si>
  <si>
    <t>Restricted Ownership</t>
  </si>
  <si>
    <t>Approved but not Finaled Building Permit Data</t>
  </si>
  <si>
    <t>Rental Total (Planning)</t>
  </si>
  <si>
    <t>Ownership Total (Planning)</t>
  </si>
  <si>
    <t>Lodging Occupancy</t>
  </si>
  <si>
    <t>JH Chamber of Commerce Monthly Economic Dashboard</t>
  </si>
  <si>
    <t>Best available, sample of  lodging facilities including Jackson Lake Lodge and other facilities that close for the winter season, those facilities remain in the denominator even when closed</t>
  </si>
  <si>
    <t>Month or two lag</t>
  </si>
  <si>
    <t>The Chamber changed its reporting consultant in 2013 from Rocky Mountain Lodging Report to current Economic Dashboard methodology</t>
  </si>
  <si>
    <t>no adjustments are made to the Chamber data, but perhaps the sample should be analyzed for representativeness</t>
  </si>
  <si>
    <t>Lodging Occupancy by Month</t>
  </si>
  <si>
    <t>Occupied Rooms/Total Rooms</t>
  </si>
  <si>
    <t>BTNF Campground Occupancy</t>
  </si>
  <si>
    <t>Bridger-Teton National Forest (email Linda Merigliano)</t>
  </si>
  <si>
    <t>Best available, but not great</t>
  </si>
  <si>
    <t>Would be better if the data were by month rather than for the entire summer season</t>
  </si>
  <si>
    <t>Previous year data typically available by early April</t>
  </si>
  <si>
    <t>no adjustments are made to the data provided by BTNF</t>
  </si>
  <si>
    <t>Granite Campground</t>
  </si>
  <si>
    <t>Kozy Campground</t>
  </si>
  <si>
    <t>Hoback Campground</t>
  </si>
  <si>
    <t>East Table Campground</t>
  </si>
  <si>
    <t>Station Creek Campground</t>
  </si>
  <si>
    <t>Station Creek Group Site</t>
  </si>
  <si>
    <t>Wolf Creek Campground</t>
  </si>
  <si>
    <t>Little Cottonwood</t>
  </si>
  <si>
    <t>Curtis Canyon</t>
  </si>
  <si>
    <t>Atherton Campground</t>
  </si>
  <si>
    <t>Red Hills Campground</t>
  </si>
  <si>
    <t>Crystal Creek Campground</t>
  </si>
  <si>
    <t>Angles</t>
  </si>
  <si>
    <t>Box Creek</t>
  </si>
  <si>
    <t>Hatchet</t>
  </si>
  <si>
    <t>Turpin</t>
  </si>
  <si>
    <t>Pacific Creek</t>
  </si>
  <si>
    <t>Sheffield</t>
  </si>
  <si>
    <t>CTNF Campground Occupancy</t>
  </si>
  <si>
    <t>Caribou-Targhee National Forest</t>
  </si>
  <si>
    <t>Poor, Have been using a constant number of 118 campers per day in the summer, need to develop a relationship with Caribou-Targhee</t>
  </si>
  <si>
    <t>Not, a constant developed back in 2013</t>
  </si>
  <si>
    <t>Grand Teton Overnight Visitors</t>
  </si>
  <si>
    <t>National Park Service https://irma.nps.gov/Stats/SSRSReports/Park%20Specific%20Reports/Summary%20of%20Visitor%20Use%20By%20Month%20and%20Year%20(1979%20-%20Last%20Calendar%20Year)</t>
  </si>
  <si>
    <t>Good, overnight stays are more regulated in the National Park than they are in the National Forest</t>
  </si>
  <si>
    <t>Available January for the prior year</t>
  </si>
  <si>
    <t>Total Annual Overnight Stays</t>
  </si>
  <si>
    <t>Yellowstone Overnight Visitors</t>
  </si>
  <si>
    <t>National Park Service https://irma.nps.gov/Stats/SSRSReports/Park%20Specific%20Reports/Park%20YTD%20Version%201</t>
  </si>
  <si>
    <t>Couple month lag</t>
  </si>
  <si>
    <t xml:space="preserve">Doesn't look at whole Park, only includes: Sum of Monthly Data for TENT Campers at Lewis Lake CH, Rs Campers at Lewis lake Cg, TENT Campers at Bridge Bay, Rev Campers at Bridge Bay, Tent Campers at Grant Village CG, RV Campers at Grant Village, RV Campers at Fishing Bridge RV Park, Old Faithful O/N Stays, Old Faithful Lodge O/N Stays, Old Faithful Snow Lodge O/N Stays, Grant Village Lodge O/N Stays, Bridge Bay Group Campers, Grant Village Group campers </t>
  </si>
  <si>
    <t>Monthly data is available going back to 1991, but was only saved into past datasheets beginning in 2015</t>
  </si>
  <si>
    <t>Daily Vehicle Miles Traveled on State Highways in Teton County</t>
  </si>
  <si>
    <t>WYDOT VMB Book http://www.dot.state.wy.us/home/planning_projects/Traffic_Data.html</t>
  </si>
  <si>
    <t>Greenhouse Gas Emissions</t>
  </si>
  <si>
    <t>Best available based on permanent counters</t>
  </si>
  <si>
    <t>Typically available in spring for previous year, but it is a statewide report that can get delayed</t>
  </si>
  <si>
    <t>Can be estimated pretty accurately from the MAWDT if report lags</t>
  </si>
  <si>
    <t>DVMT on State Highways in Teton County</t>
  </si>
  <si>
    <t>miles</t>
  </si>
  <si>
    <t>Monthly Average Weekday Traffic (MAWDT)</t>
  </si>
  <si>
    <t>WYDOT Monthly Automated Traffic Recorder (ATR) Reports http://www.dot.state.wy.us/home/planning_projects/Traffic_Data.html</t>
  </si>
  <si>
    <t>Capital Project Group Benchmarks</t>
  </si>
  <si>
    <t>Indicates count affected by counter malfunction</t>
  </si>
  <si>
    <t>Indicates count affected by detour</t>
  </si>
  <si>
    <t>About a 1 month lag</t>
  </si>
  <si>
    <t>Calculated due to no data for the month, calculation used varies by circumstance - see individual cell</t>
  </si>
  <si>
    <t>ATR #32 was turned off during the South 89 widening which is why there is no data for 2017-most of 2019. ATR #74 (in Snake River Canyon is was used as a proxy during that period)</t>
  </si>
  <si>
    <t>Might be interesting to pull ATR #82 to get a sense of Pass vs. Canyon traffic as another commuter calibration point</t>
  </si>
  <si>
    <t>ATR #32 (Jackson South US 191/89)</t>
  </si>
  <si>
    <t>Vehicles</t>
  </si>
  <si>
    <t>ATR #74 (US 89 at Lincoln/Teton Line)</t>
  </si>
  <si>
    <t>no data</t>
  </si>
  <si>
    <t>ATR #84 (Gros Ventre Junc. US 26/89/189/191 South of Kelly)</t>
  </si>
  <si>
    <t>ATR #158 (Jackson West; WY22 West of Jackson; Skyline Curve)</t>
  </si>
  <si>
    <t>ATR #141N (Jackson West; WY22 West of Jackson; Skyline Curve)</t>
  </si>
  <si>
    <t>Travel Times</t>
  </si>
  <si>
    <t>Single Occupancy Vehicle vs. Walk/Bike/Bus Travel Time</t>
  </si>
  <si>
    <t>rows are placeholders until 2020 ITP update</t>
  </si>
  <si>
    <t>Driggs to Parking Garage</t>
  </si>
  <si>
    <t>SOV</t>
  </si>
  <si>
    <t>Minutes</t>
  </si>
  <si>
    <t>START</t>
  </si>
  <si>
    <t>Parking Garage to Driggs</t>
  </si>
  <si>
    <t>Etna to Parking Garage</t>
  </si>
  <si>
    <t>Parking Garage to Etna</t>
  </si>
  <si>
    <t>Parking Garage to Airport</t>
  </si>
  <si>
    <t>7 am Mon-Friday</t>
  </si>
  <si>
    <t>E-Bike</t>
  </si>
  <si>
    <t>Bike</t>
  </si>
  <si>
    <t>High School to Hospital</t>
  </si>
  <si>
    <t>Median, all times</t>
  </si>
  <si>
    <t>Walk</t>
  </si>
  <si>
    <t>Stilson to Village</t>
  </si>
  <si>
    <t>Village to Stilson</t>
  </si>
  <si>
    <t>START Ridership</t>
  </si>
  <si>
    <t>START Bus</t>
  </si>
  <si>
    <t>Good</t>
  </si>
  <si>
    <t>Typically pretty good, but requires some processing</t>
  </si>
  <si>
    <t>START Ridership All Routes</t>
  </si>
  <si>
    <t>Rides</t>
  </si>
  <si>
    <t>Wildlife Vehicle Collisions</t>
  </si>
  <si>
    <t>Jackson Hole Wildlife Foundation - email the executive director (used to be Jon Mobec)</t>
  </si>
  <si>
    <t>Best available - JHWF compiles WYDOT, WYGF, and private observations and processes out duplicates</t>
  </si>
  <si>
    <t>Through 2017 the data was provided by species and summed</t>
  </si>
  <si>
    <t>In 2020 the data was reported as a single total, the reported total is very close to the sum total for past years and all that was available for 2018 and 2019</t>
  </si>
  <si>
    <t>Lags a biological year - data is compiled May-April and reported in the final year of the span, for example data from 5/1/02 - 4/30/03 is reported in the 2003 column</t>
  </si>
  <si>
    <t>Processing is done by JHWF</t>
  </si>
  <si>
    <t>Ungulate Wildlife Vehicle Collision</t>
  </si>
  <si>
    <t>Reported Total</t>
  </si>
  <si>
    <t>Collisions</t>
  </si>
  <si>
    <t>Sum Total</t>
  </si>
  <si>
    <t>Bighorn Sheep</t>
  </si>
  <si>
    <t>Elk</t>
  </si>
  <si>
    <t>Moose</t>
  </si>
  <si>
    <t>Mule Deer</t>
  </si>
  <si>
    <t>White-tailed Deer</t>
  </si>
  <si>
    <t>Lower Valley Energy Electricity and Gas Load</t>
  </si>
  <si>
    <t>Energy Conservation Works (ECW) - email Phil Cameron, he has provided the data in the past and will provide consistent data</t>
  </si>
  <si>
    <t>Energy Load (retired)</t>
  </si>
  <si>
    <t>Seemingly as good as possible, however I'm not exactly sure what goes on in LVE's processing of the meter data (notably the numbers do not match the numbers in the YTCC emissions report)</t>
  </si>
  <si>
    <t>Lags a month or two</t>
  </si>
  <si>
    <t>Not entirely sure what adjustments LVE makes</t>
  </si>
  <si>
    <t>Electricity Use</t>
  </si>
  <si>
    <t>kWh</t>
  </si>
  <si>
    <t>Commercial</t>
  </si>
  <si>
    <t>Residential</t>
  </si>
  <si>
    <t>Gas Use</t>
  </si>
  <si>
    <t>therms</t>
  </si>
  <si>
    <t>Enplanements</t>
  </si>
  <si>
    <t>Enplanements are only arrivals, not departures</t>
  </si>
  <si>
    <t>People Departing</t>
  </si>
  <si>
    <t>Landings</t>
  </si>
  <si>
    <t>Planes</t>
  </si>
  <si>
    <t>Education Facilities</t>
  </si>
  <si>
    <t>Percentage of Education in Town</t>
  </si>
  <si>
    <t>future? Student capacity?</t>
  </si>
  <si>
    <t>Floor Area</t>
  </si>
  <si>
    <t>Jackson Elementary School</t>
  </si>
  <si>
    <t>Colter Elementary School</t>
  </si>
  <si>
    <t>Jackson Hole Middle School</t>
  </si>
  <si>
    <t>Jackson Hole High School</t>
  </si>
  <si>
    <t>Summit High School</t>
  </si>
  <si>
    <t>Jackson Hole Community School</t>
  </si>
  <si>
    <t>Jackson Hole Bible School</t>
  </si>
  <si>
    <t>Timber Ridge Academy</t>
  </si>
  <si>
    <t>County</t>
  </si>
  <si>
    <t>Munger Mountain Elementary School</t>
  </si>
  <si>
    <t>Wilson Elementary School</t>
  </si>
  <si>
    <t>Alta Elementary School</t>
  </si>
  <si>
    <t>Kelly Elementary School</t>
  </si>
  <si>
    <t>Moran Elementary School</t>
  </si>
  <si>
    <t>Teton Science Schools (Coyote Canyon)</t>
  </si>
  <si>
    <t>Teton Science Schools (Kelly)</t>
  </si>
  <si>
    <t>Classical Academy</t>
  </si>
  <si>
    <t>University of Michigan</t>
  </si>
  <si>
    <t>C-Bar-V</t>
  </si>
  <si>
    <t>Comprehensive Plan Implementation</t>
  </si>
  <si>
    <t>Long-Range Planning, Transportation Planner, Housing Department</t>
  </si>
  <si>
    <t>Implementation</t>
  </si>
  <si>
    <t>Reflects Work Plan tasks that have begun. Percent complete each year is an estimate made by the project manager. A month indicate the completion month in that year.</t>
  </si>
  <si>
    <t>Is accurate to the date of the Indicator Report</t>
  </si>
  <si>
    <t>Items are organized in each category by start date not completion date, add a row when a new project is started (keep this as the last datasheet so links do not get broken when rows are added)</t>
  </si>
  <si>
    <t>The 2017 Work Plan (and subsequently the 2018 Indicator Report) incorporated implementation of the ITP and HAP, which changed the organization of the information.</t>
  </si>
  <si>
    <t>Task</t>
  </si>
  <si>
    <t>Strategies</t>
  </si>
  <si>
    <t>Land Development Regulation Updates/Studies</t>
  </si>
  <si>
    <t>Housing Nexus Study</t>
  </si>
  <si>
    <t>5.3.S.1</t>
  </si>
  <si>
    <t>Vegetation Mapping</t>
  </si>
  <si>
    <t>1.1.S.1</t>
  </si>
  <si>
    <t>Joint LDR Restructure</t>
  </si>
  <si>
    <t>3.3.S.2, 3.3.S.3</t>
  </si>
  <si>
    <t>County Rural LDRs Updates</t>
  </si>
  <si>
    <t>1.4.S.1, 1.4.S.2, 1.4.S.3, 3.1.S.1, 3.1.S.2, 3.3.S.2, 3.3.S.3</t>
  </si>
  <si>
    <t>Town District 2 and LO Zoning</t>
  </si>
  <si>
    <t>4.1.S.1, 4.2.S.2, 4.2.S.4, 4.2.S.6, 4.4.S.3, 4.4.S.4</t>
  </si>
  <si>
    <t>Focal Species Study</t>
  </si>
  <si>
    <t>1.1.S.2</t>
  </si>
  <si>
    <t>Cumulative Impact Study</t>
  </si>
  <si>
    <t>1.1.S.3</t>
  </si>
  <si>
    <t>Nonconformities LDRs Cleanup</t>
  </si>
  <si>
    <t>County Nuisance LDRs</t>
  </si>
  <si>
    <t>3.1.S.1, 3.2.S.2</t>
  </si>
  <si>
    <t>Town Adult Entertainment LDRs</t>
  </si>
  <si>
    <t>3.2.S.1</t>
  </si>
  <si>
    <t>Exterior Lighting LDRs Update</t>
  </si>
  <si>
    <t>1.3.S.2</t>
  </si>
  <si>
    <t>Town ARU Allowance</t>
  </si>
  <si>
    <t>5.2.S.2</t>
  </si>
  <si>
    <t>Wildland Urban Interface LDRs</t>
  </si>
  <si>
    <t>3.4.S.2, 3.4.S.3</t>
  </si>
  <si>
    <t>2016 LDR Cleanup</t>
  </si>
  <si>
    <t>Housing Mitigation LDRs</t>
  </si>
  <si>
    <t>5.1.S.1, 5.2.S.2, 5.3.S.2, 5.4.S.3, 5.4.S.4</t>
  </si>
  <si>
    <t>Town District 3-6 Zoning</t>
  </si>
  <si>
    <t>4.1.S.1, 4.1.S.2, 4.2.S.4, 4.3.S.1, 4.4.S.3, 5.2.S.1, 5.4.S.3, 5.4.S.4</t>
  </si>
  <si>
    <t>County Natural Resource LDRs</t>
  </si>
  <si>
    <t>1.1.S.3, 1.1.S.4, 1.1.S.5, 1.1.S.6, 1.1.S.7, 1.2.S.1, 1.2.S.2</t>
  </si>
  <si>
    <t>Town Hillside LDRs</t>
  </si>
  <si>
    <t>3.4.S.1, 3.4.S.3</t>
  </si>
  <si>
    <t>2019 Town LDR Cleanup</t>
  </si>
  <si>
    <t>2020 County LDR Cleanup</t>
  </si>
  <si>
    <t>Northern South Park Neighborhood Plan</t>
  </si>
  <si>
    <t>Subarea 12.2 390 Residential Rezone</t>
  </si>
  <si>
    <t>Other LDR &amp; Zoning Amendments</t>
  </si>
  <si>
    <t>Continuous</t>
  </si>
  <si>
    <t>Comprehensive Plan Administration</t>
  </si>
  <si>
    <t>2012 Work Plan</t>
  </si>
  <si>
    <t>Principle 9.2</t>
  </si>
  <si>
    <t>Greater Yellowstone Regional Plan</t>
  </si>
  <si>
    <t>Principle 3.5</t>
  </si>
  <si>
    <t>2013 Indicator Report &amp; Work Plan</t>
  </si>
  <si>
    <t>Standardize Data Collection</t>
  </si>
  <si>
    <t>Policy 9.2.a</t>
  </si>
  <si>
    <t>2014 Indicator Report &amp; Work Plan</t>
  </si>
  <si>
    <t>2015 Indicator Report &amp; Work Plan</t>
  </si>
  <si>
    <t>2016 Indicator Report &amp; Work Plan</t>
  </si>
  <si>
    <t>2017 Indicator Report &amp; Work Plan</t>
  </si>
  <si>
    <t>2018 Indicator Report &amp; Work Plan</t>
  </si>
  <si>
    <t>2019 Indicator Report &amp; Work Plan</t>
  </si>
  <si>
    <t>2020 Indicator Report &amp; Work Plan</t>
  </si>
  <si>
    <t>2019 Growth Management Program</t>
  </si>
  <si>
    <t>Principle 9.1</t>
  </si>
  <si>
    <t>Joint Public Engagement</t>
  </si>
  <si>
    <t>3.3.S.1</t>
  </si>
  <si>
    <t>Provide Data to Others</t>
  </si>
  <si>
    <t>Policy 8.1.a</t>
  </si>
  <si>
    <t>Other Coordination</t>
  </si>
  <si>
    <t>Integrated Transportation Plan (ITP) Implementation</t>
  </si>
  <si>
    <t>ITP</t>
  </si>
  <si>
    <t>7.1.S.1, 7.1.S.4, 7.1.S.6, 7.1.S.8, 7.1.S.9</t>
  </si>
  <si>
    <t>Town Community Streets Plan</t>
  </si>
  <si>
    <t>7.2.S.1</t>
  </si>
  <si>
    <t>Town District 3-6 Parking Study</t>
  </si>
  <si>
    <t>4.1.S.1, 4.1.S.2, 5.4.S.3, 7.3.S.1</t>
  </si>
  <si>
    <t>Joint Regional Traffic Model</t>
  </si>
  <si>
    <t>Wildlife Crossings Master Plan</t>
  </si>
  <si>
    <t>Downtown Parking Study</t>
  </si>
  <si>
    <t>Restructure of TAC into RTPO</t>
  </si>
  <si>
    <t>START Funding</t>
  </si>
  <si>
    <t>ITP Technical Update</t>
  </si>
  <si>
    <t>Housing Action Plan Implementation</t>
  </si>
  <si>
    <t>Housing Action Plan (HAP)</t>
  </si>
  <si>
    <t>5.4.S.1, 5.4.S.2</t>
  </si>
  <si>
    <t>Housing Authority Restructure</t>
  </si>
  <si>
    <t>HAP: 1</t>
  </si>
  <si>
    <t>2016 Housing Supply Plan</t>
  </si>
  <si>
    <t>HAP: 2</t>
  </si>
  <si>
    <t>Housing Rules and Regulations</t>
  </si>
  <si>
    <t>HAP: 3B</t>
  </si>
  <si>
    <t>2017 Housing Supply Plan</t>
  </si>
  <si>
    <t>2018 Housing Stock Portfolio</t>
  </si>
  <si>
    <t>HAP: 2F</t>
  </si>
  <si>
    <t>Online Intake Form</t>
  </si>
  <si>
    <t>HAP: 2F, 3C, 4B</t>
  </si>
  <si>
    <t>2018 Housing Supply Plan</t>
  </si>
  <si>
    <t>2019 Housing Supply Plan</t>
  </si>
  <si>
    <t>2020 Housing Supply Plan</t>
  </si>
  <si>
    <t>Update Employee Generation Nexus Study</t>
  </si>
  <si>
    <t>Intro</t>
  </si>
  <si>
    <t>General</t>
  </si>
  <si>
    <t>The trends are what is important. Indicators are designed and maintained so that the trends are accurate because they are intended to help the community understand where it needs to take action. The precision of the data is a secondary goal. It is possible (and common) to be somewhat uncertain about the precision of an indicator, but confident in the accuracy of the trend reported.</t>
  </si>
  <si>
    <t>The indicators themselves respond to the high level Comprehensive Plan goals. The data that feeds the indicators can be analyzed and reported in many other ways to answer questions and look at more specific goals within the Comprehensive Plan.</t>
  </si>
  <si>
    <t>Organization</t>
  </si>
  <si>
    <t>This workbook is organized into sheets. The Table of Contents sheet is the quickest way to get to each dataset and indicator. The datasets and indicators themselves are organized as rows in their respective sheets, which each column representing a year. The additional sheets provide information and/or data the inform specific datasets.</t>
  </si>
  <si>
    <t>Datasets</t>
  </si>
  <si>
    <t>if the cell is already populated it means it is probably an equation and shouldn't be edited</t>
  </si>
  <si>
    <t>Indicators</t>
  </si>
  <si>
    <t>shouldn't have to enter any data</t>
  </si>
  <si>
    <t>however, should look for anamolous blips</t>
  </si>
  <si>
    <t>some adjustments are periodically required, see assumptions/adjustments, which sometimes requires entering benchmarks/constants from period surveys (i.e. 10-year emissions data from YTCC)</t>
  </si>
  <si>
    <t>rows indicated with a red cell require entry on the indicator sheet</t>
  </si>
  <si>
    <t>ignore charts beyond most recent data year, the extension is NOT a projection it is just a prepopulation of formulae so that the chart will respond to new data</t>
  </si>
  <si>
    <t>chart first, data calculation to follow</t>
  </si>
  <si>
    <t>report only includes most recent 10-years, excel sheet shows full history</t>
  </si>
  <si>
    <t>where data lags:…</t>
  </si>
  <si>
    <t>rows indicated with a green cell involve a projection to most recent year, which will be updated as lagging data becomes available</t>
  </si>
  <si>
    <t>Table of Contents</t>
  </si>
  <si>
    <t>Data</t>
  </si>
  <si>
    <t>Source</t>
  </si>
  <si>
    <t>Date Available</t>
  </si>
  <si>
    <t>Status</t>
  </si>
  <si>
    <t>Chapter</t>
  </si>
  <si>
    <t>Report</t>
  </si>
  <si>
    <t>Calculated</t>
  </si>
  <si>
    <t>Current</t>
  </si>
  <si>
    <t>Current Indicators</t>
  </si>
  <si>
    <t>Land Trusts</t>
  </si>
  <si>
    <t>Health of Native Species</t>
  </si>
  <si>
    <t>future</t>
  </si>
  <si>
    <t>Public, Private Land Transfers</t>
  </si>
  <si>
    <t>Clerk Records</t>
  </si>
  <si>
    <t>current</t>
  </si>
  <si>
    <t>1,3</t>
  </si>
  <si>
    <t>2021-</t>
  </si>
  <si>
    <t>Rural Area Subdivisions</t>
  </si>
  <si>
    <t>Planning Database/GIS</t>
  </si>
  <si>
    <t>Water Quality</t>
  </si>
  <si>
    <t>LDR Amendements, Zone Changes, PUDs</t>
  </si>
  <si>
    <t>Air Quality</t>
  </si>
  <si>
    <t>Workforce Housing Bonus Units</t>
  </si>
  <si>
    <t>Access to Enjoyment of Natural and Scenic Resources</t>
  </si>
  <si>
    <t>CN-PRD Bonus Units</t>
  </si>
  <si>
    <t>Planning/Building Databases (saved querries)</t>
  </si>
  <si>
    <t>Location of Actual Growth</t>
  </si>
  <si>
    <t>2013-</t>
  </si>
  <si>
    <t>Building Databases (saved querries)</t>
  </si>
  <si>
    <t>2015-</t>
  </si>
  <si>
    <t>All Local Jobs (BEA)</t>
  </si>
  <si>
    <t>BEA</t>
  </si>
  <si>
    <t>Nov. for previous year</t>
  </si>
  <si>
    <t>Gross Domestic Product</t>
  </si>
  <si>
    <t>Per capita Income</t>
  </si>
  <si>
    <t>2 year lag</t>
  </si>
  <si>
    <t>Local Wage Jobs (QCEW)</t>
  </si>
  <si>
    <t>BLS</t>
  </si>
  <si>
    <t>5-6 months after quarter</t>
  </si>
  <si>
    <t>Employed Population (LAUS)</t>
  </si>
  <si>
    <t>2 months after month</t>
  </si>
  <si>
    <t>Percentage of Shopping in Town</t>
  </si>
  <si>
    <t>Work Area Profile</t>
  </si>
  <si>
    <t>LEHD</t>
  </si>
  <si>
    <t>Sep. for 2-years prior</t>
  </si>
  <si>
    <t>Destinations (Residence-Workplace)</t>
  </si>
  <si>
    <t>Percentage of Cultural Activity in Town</t>
  </si>
  <si>
    <t>Household and Family Size</t>
  </si>
  <si>
    <t>ACS (S1101)</t>
  </si>
  <si>
    <t>Dec. for previous year</t>
  </si>
  <si>
    <t>ACS (B08406)</t>
  </si>
  <si>
    <t>ACS (B01003)</t>
  </si>
  <si>
    <t>Average Household Size</t>
  </si>
  <si>
    <t>ACS (DP04)</t>
  </si>
  <si>
    <t>Resdidential Units</t>
  </si>
  <si>
    <t>Housing Tenure</t>
  </si>
  <si>
    <t>2016-</t>
  </si>
  <si>
    <t>2nd/Seasonal Vacant Homes</t>
  </si>
  <si>
    <t>ACS (B25004)</t>
  </si>
  <si>
    <t>Commercial Floor Area</t>
  </si>
  <si>
    <t>ACS (B08301)</t>
  </si>
  <si>
    <t>Institutional Floor Area</t>
  </si>
  <si>
    <t>Employed Households</t>
  </si>
  <si>
    <t>ACS (DP03)</t>
  </si>
  <si>
    <t>Summer Effective Population</t>
  </si>
  <si>
    <t>Median Income (ACS)</t>
  </si>
  <si>
    <t>Winter Effective Population</t>
  </si>
  <si>
    <t>Median Income (HUD)</t>
  </si>
  <si>
    <t>HUD</t>
  </si>
  <si>
    <t>Apr. for upcoming year</t>
  </si>
  <si>
    <t>Shoulder Effective Population</t>
  </si>
  <si>
    <t>Fair Market Rent (HUD)</t>
  </si>
  <si>
    <t xml:space="preserve">Wage Jobs </t>
  </si>
  <si>
    <t>Hole Report (website)</t>
  </si>
  <si>
    <t>Jan. for previous year</t>
  </si>
  <si>
    <t>Per capita (permanent population) Jobs</t>
  </si>
  <si>
    <t>Assessor (email)</t>
  </si>
  <si>
    <t>Per capita (permanent population) GDP</t>
  </si>
  <si>
    <t>1 year lag</t>
  </si>
  <si>
    <t>Per capita (permanent population) income</t>
  </si>
  <si>
    <t>Housing Department (email)</t>
  </si>
  <si>
    <t>Cost of Living</t>
  </si>
  <si>
    <t>partial</t>
  </si>
  <si>
    <t>Housing Department</t>
  </si>
  <si>
    <t>Vechle Miles Traveled</t>
  </si>
  <si>
    <t>2017-</t>
  </si>
  <si>
    <t>Chamber</t>
  </si>
  <si>
    <t>Previous month</t>
  </si>
  <si>
    <t>BTNF Campround Occupancy</t>
  </si>
  <si>
    <t>BTNF (email)</t>
  </si>
  <si>
    <t>Apr. for previous year</t>
  </si>
  <si>
    <t>constant (needs improvement)</t>
  </si>
  <si>
    <t>Constant</t>
  </si>
  <si>
    <t>2022-</t>
  </si>
  <si>
    <t>GTNP Overnight Visitors</t>
  </si>
  <si>
    <t>NPS (website)</t>
  </si>
  <si>
    <t>YNP Overnight Visistors</t>
  </si>
  <si>
    <t>Daily VMT</t>
  </si>
  <si>
    <t>WYDOT (website)</t>
  </si>
  <si>
    <t>Mar. for previous year</t>
  </si>
  <si>
    <t>ATR Monthly Avearge Weekday Daily Traffic</t>
  </si>
  <si>
    <t>Wildlife Vehicle Collissions</t>
  </si>
  <si>
    <t>2014-</t>
  </si>
  <si>
    <t>Travel time</t>
  </si>
  <si>
    <t>Level of Service</t>
  </si>
  <si>
    <t>Annual Monitoring and Implementation</t>
  </si>
  <si>
    <t>JHWF</t>
  </si>
  <si>
    <t>Past Indicators/Methodologies That are Still Tracked</t>
  </si>
  <si>
    <t>LVE Electricity</t>
  </si>
  <si>
    <t>ECW (email)</t>
  </si>
  <si>
    <t>Energy Load</t>
  </si>
  <si>
    <t>retired</t>
  </si>
  <si>
    <t>2017-2020</t>
  </si>
  <si>
    <t>LVE Gas</t>
  </si>
  <si>
    <t>2013-2020</t>
  </si>
  <si>
    <t>Percentage of Workforce Living Locally</t>
  </si>
  <si>
    <t>2014-2020</t>
  </si>
  <si>
    <t>Educational Facilities Inventory</t>
  </si>
  <si>
    <t>Housing Affordability</t>
  </si>
  <si>
    <t>Long-Range Planning</t>
  </si>
  <si>
    <t>Past Indicators/Methodologies For Which Data is No Longer Collected</t>
  </si>
  <si>
    <t>Permanently Conserved Land</t>
  </si>
  <si>
    <t>2013-2017</t>
  </si>
  <si>
    <t>2013-2016</t>
  </si>
  <si>
    <t>Redevelopment vs. New Construction</t>
  </si>
  <si>
    <t>2013-2014</t>
  </si>
  <si>
    <t>Traffic Growth by Year</t>
  </si>
  <si>
    <t>Percentage of Population Served by START</t>
  </si>
  <si>
    <t>Percentage of Transportation Network "Complete Streets"</t>
  </si>
  <si>
    <t>Jackson/Teton County Indicators</t>
  </si>
  <si>
    <t>Status:</t>
  </si>
  <si>
    <t>Future (Strategy 1.G.S.1)</t>
  </si>
  <si>
    <t>History:</t>
  </si>
  <si>
    <r>
      <t xml:space="preserve">Since 2012 the goal of the community has been to, "maintain healthy populations of all native species", however no index or metric of the health trend for native species has been reported. Strategy 1.G.S.1 includes analysis of the various data sources such as JHCA's </t>
    </r>
    <r>
      <rPr>
        <i/>
        <sz val="11"/>
        <color theme="1"/>
        <rFont val="Calibri"/>
        <family val="2"/>
        <scheme val="minor"/>
      </rPr>
      <t>State of Wildlife</t>
    </r>
    <r>
      <rPr>
        <sz val="11"/>
        <color theme="1"/>
        <rFont val="Calibri"/>
        <family val="2"/>
        <scheme val="minor"/>
      </rPr>
      <t xml:space="preserve">, Charture's </t>
    </r>
    <r>
      <rPr>
        <i/>
        <sz val="11"/>
        <color theme="1"/>
        <rFont val="Calibri"/>
        <family val="2"/>
        <scheme val="minor"/>
      </rPr>
      <t>Mosaic</t>
    </r>
    <r>
      <rPr>
        <sz val="11"/>
        <color theme="1"/>
        <rFont val="Calibri"/>
        <family val="2"/>
        <scheme val="minor"/>
      </rPr>
      <t xml:space="preserve">, and Hansen and Philips 2018 </t>
    </r>
    <r>
      <rPr>
        <i/>
        <sz val="11"/>
        <color theme="1"/>
        <rFont val="Calibri"/>
        <family val="2"/>
        <scheme val="minor"/>
      </rPr>
      <t>Trends in vital signs for Greater Yellowstone: application of a Wildland Health Index</t>
    </r>
  </si>
  <si>
    <t>Goal:</t>
  </si>
  <si>
    <t>"Maintain healthy populations of all native species" (Chapter 1 Goal)</t>
  </si>
  <si>
    <t>Dataset:</t>
  </si>
  <si>
    <t>TBD (Strategy 1.G.S.1)</t>
  </si>
  <si>
    <t>Basic Method:</t>
  </si>
  <si>
    <t>Equation:</t>
  </si>
  <si>
    <t>Assumptions:</t>
  </si>
  <si>
    <t>Conservation has been reported since 2013, the comparison to subdivision was added in 2021 following the 2020 GMP Update.</t>
  </si>
  <si>
    <t>From 2013-2017, conservation acreage was reported in total and by conservation value (wildlife, scenic, agriculture, public access)</t>
  </si>
  <si>
    <t>From 2018-2020, conservation acreage was reported in total and by protected resource (NRO, SRO, Ag Land)</t>
  </si>
  <si>
    <t>"Preserve quality natural, scenic, and agricultural resources" (Chapter 1 Goal)</t>
  </si>
  <si>
    <t>"Direct growth in Complete Neighborhoods to preserve habitat, scenery and open space" (Chapter 3 Goal)</t>
  </si>
  <si>
    <t>More Conservation than Subdivision (Policy 1.4.c)</t>
  </si>
  <si>
    <t>Conservation/Buildout/Subdivision Tracker</t>
  </si>
  <si>
    <t>Compare whether latent Rural Area potential is being removed through conservaton or subdivided to be realized in the future and where the conservation/subdivision is occuring</t>
  </si>
  <si>
    <t>Subdivisions are only included in the tracker if they create a parcel under 70 acres (no more latent potential)</t>
  </si>
  <si>
    <t>Land trust "Trust Parcels", utility lots and other unbuildable lots are not included in subdivision numbers</t>
  </si>
  <si>
    <t>Conservation</t>
  </si>
  <si>
    <t>Easements</t>
  </si>
  <si>
    <t>easements</t>
  </si>
  <si>
    <t>NRO</t>
  </si>
  <si>
    <t>SRO</t>
  </si>
  <si>
    <t>Rural Area Acres Conserved</t>
  </si>
  <si>
    <t>acres</t>
  </si>
  <si>
    <t>Total Acres Conserved (2017 Baseline)</t>
  </si>
  <si>
    <t>Rural Area Potential Removed</t>
  </si>
  <si>
    <t>Subdivision</t>
  </si>
  <si>
    <t>Rural Area Parcels Created</t>
  </si>
  <si>
    <t>Better than 1 per 35 (PRD)</t>
  </si>
  <si>
    <t>Base 35</t>
  </si>
  <si>
    <t>Not Better than 1 per 35 (FAM, PR, PUD, NC, 7270, Court Order)</t>
  </si>
  <si>
    <t>Rural Area Acres Subdivided</t>
  </si>
  <si>
    <t>Since 2012 the policy of the community has been to maintain or enhance water quality to exceed state standards, however water quality has never been reported in the Indicator Report.</t>
  </si>
  <si>
    <t>Exceed state and federal requirements (Policy 1.2.c)</t>
  </si>
  <si>
    <t>Carlin Girard, TCD, has provided a list of available datasets, need to discuss which is most appropriate</t>
  </si>
  <si>
    <t>Since 2012 the policy of the community has been to maintain air quality to exceed state standards, however air quality has never been reported in the Indicator Report.</t>
  </si>
  <si>
    <t>Robb Sgroi, TCD, going to send information on available data</t>
  </si>
  <si>
    <t>Since 2012 the goal of the community has been to protect the ability of future generations to enjoy natural resources, however access to the preservation has never been measured or reported. Strategy 1.G.S.1 includes analysis of how to measure access to the ecosystem and whether that access is been preserved.</t>
  </si>
  <si>
    <t>"Preserve the ability of future generations to enjoy quality natural, scenic, and agricultural resources" (Chapter 1 Goal)</t>
  </si>
  <si>
    <t>2021-present</t>
  </si>
  <si>
    <t>All components of GHG emissions reported beginning in 2021, prior to 2021 only electricity use reported. From 2013-2016, total electricity use and number of LVE meters were reported; from 2017-2020 electricity use and electricity use per capita were reported.</t>
  </si>
  <si>
    <t>"Emit fewer greenhouse gases than we did in 2012." (Chapter 2 Goal)</t>
  </si>
  <si>
    <t>LVE Electricity and Gas Load</t>
  </si>
  <si>
    <t>Monthly Average Weekday Daily Traffic</t>
  </si>
  <si>
    <t>Benchmark annual measures of energy consumption against decennial calculation of GHG emissions (by Yellowstone-Teton Clean Cities) to estimate annual GHG emissions</t>
  </si>
  <si>
    <t>Each measure of energy consumption is multiplied by a GHG emissions multiplier</t>
  </si>
  <si>
    <t>The GHG emissions multiplier is adjusted each year to represent an "efficiency factor" to account for less emissions per consumption over time</t>
  </si>
  <si>
    <t>The estimate for each category is summed to generate the total</t>
  </si>
  <si>
    <t>The 2008 and 2018 GHG emissions studies by Yellowstone-Teton Clean Cities indicate that energy consumption is becoming cleaner, the linear trend in efficiency is projected forward from 2018 and should be adjusted with each YTCC report or any major efficiency event</t>
  </si>
  <si>
    <t>The same multiplier is used for each month in the year because it is not a precise enough model to justify prorating the efficiency assumption by month</t>
  </si>
  <si>
    <t>When VMT is not available, it can be estimated pretty accurately from the monthly traffic counts being collected for other indicators, once VMT data is added the calculation will recalibrate to actual VMT.</t>
  </si>
  <si>
    <t>The Other Emissions category is calculated as a ratio to the other emissions categories, benchmarked to the YTCC studies</t>
  </si>
  <si>
    <t>The annual GHG conversion factor is adjusted to reflect the increases in efficiency reflected in the 2 YTCC reports (2008 and 2018) - the efficiency factor should be adjusted again with the next YTCC study</t>
  </si>
  <si>
    <t>Electricity Emissions Estimate</t>
  </si>
  <si>
    <r>
      <t>tons CO2e (CO</t>
    </r>
    <r>
      <rPr>
        <vertAlign val="subscript"/>
        <sz val="11"/>
        <color theme="9" tint="-0.249977111117893"/>
        <rFont val="Calibri"/>
        <family val="2"/>
        <scheme val="minor"/>
      </rPr>
      <t>2</t>
    </r>
    <r>
      <rPr>
        <sz val="11"/>
        <color theme="9" tint="-0.249977111117893"/>
        <rFont val="Calibri"/>
        <family val="2"/>
        <scheme val="minor"/>
      </rPr>
      <t xml:space="preserve"> equivalent, where GHG emitted is not CO2)</t>
    </r>
  </si>
  <si>
    <t>Actual Electricity Emissions</t>
  </si>
  <si>
    <t>tons CO2e</t>
  </si>
  <si>
    <t>Multiplier</t>
  </si>
  <si>
    <t>tons CO2e/kWh</t>
  </si>
  <si>
    <t>Efficiency Factor</t>
  </si>
  <si>
    <t>Gas Emissions Estimate</t>
  </si>
  <si>
    <t>Actual Gas Emissions</t>
  </si>
  <si>
    <t>tons CO2e/therms</t>
  </si>
  <si>
    <t>Surface Transportation Emissions Estimate</t>
  </si>
  <si>
    <t>Vehicle Miles Traveled</t>
  </si>
  <si>
    <t>mi</t>
  </si>
  <si>
    <t>Actual Surface Transportation Load</t>
  </si>
  <si>
    <t>tons CO2e/mi</t>
  </si>
  <si>
    <t>Daily VMT Estimate Based on ATR MAWDT Data</t>
  </si>
  <si>
    <t>ATR MAWDT 2009-2018 Regression Coefficients (R2=.9968)</t>
  </si>
  <si>
    <t>ATR #32</t>
  </si>
  <si>
    <t>mi/vehicle</t>
  </si>
  <si>
    <t>ATR #84</t>
  </si>
  <si>
    <t>ATR #158</t>
  </si>
  <si>
    <t>ATR #141N</t>
  </si>
  <si>
    <t>Air Travel Emissions Estimate</t>
  </si>
  <si>
    <t>person</t>
  </si>
  <si>
    <t>Actual Air travel Load</t>
  </si>
  <si>
    <t>tons CO2e/emplaned person</t>
  </si>
  <si>
    <t>Other Emissions Estimate</t>
  </si>
  <si>
    <t>Actual Other Emissions</t>
  </si>
  <si>
    <t>ratio</t>
  </si>
  <si>
    <t>Total GHG Emissions Estimate</t>
  </si>
  <si>
    <t>Actual Total GHG Emissions</t>
  </si>
  <si>
    <t>Per Capita (Effective Population) Emissions</t>
  </si>
  <si>
    <t>tons CO2e/person</t>
  </si>
  <si>
    <t>Reported since 2013 with no methodology changes</t>
  </si>
  <si>
    <t>"At least 60% of future growth in Complete Neighborhoods" (Chapter 3 Goal)</t>
  </si>
  <si>
    <t>Count the net number of new units given a certificate of occupancy each year by location</t>
  </si>
  <si>
    <t>Divide new units in Complete Neighborhood or Rural area by total new units (see datasheet for unit counts)</t>
  </si>
  <si>
    <t>Units are counted as built at certification of occupancy</t>
  </si>
  <si>
    <t>Unit information is recorded at building permit review</t>
  </si>
  <si>
    <t>Stable and Transitional subareas within Rural Character Districts are included in the Complete Neighborhood total (Hoback 8.4, Alta Core 14.2, Targhee 14.3)</t>
  </si>
  <si>
    <t>Percentage of New Residential Units in Rural Areas</t>
  </si>
  <si>
    <t>% of DUs</t>
  </si>
  <si>
    <t>Percentage of New Residential Units in Complete Neighborhoods</t>
  </si>
  <si>
    <t>New Residential Units</t>
  </si>
  <si>
    <t>First reported in 2015, no methodology changes since first report</t>
  </si>
  <si>
    <t>Count the remaining number of units allowed to be built under current zoning at year's end, by accounting for zoning changes and built units</t>
  </si>
  <si>
    <t>Start with the base number of potential units established through buildout calculations in 2015 and the existing unit inventory in 2012</t>
  </si>
  <si>
    <t>Subtract newly built residential units from the potential</t>
  </si>
  <si>
    <t>Add or Subtract units from the potential based on zoning changes</t>
  </si>
  <si>
    <t>The base potential used for the calculation is that as of December 31, 2011  there were 6,385 potential units in Rural Areas; and 3,576 potential units in Complete Neighborhoods</t>
  </si>
  <si>
    <t>Incentive units that can be accessed through the CN-PRD or Town Workforce Housing Bonus are included as potential units in Complete Neighborhoods even though they are not associated with a specific parcel because by definition they can only be built in Complete Neighborhoods</t>
  </si>
  <si>
    <t>The 2015 Complete Neighborhood number includes the 570 units "earmarked" for use through the CN-PRD even though the CN-PRD didn't go into effect until April 1, 2016 and there is no regulatory limit on CNPRD units. The 570 unit number was an estimate made through the Rural LDR update that created the CN-PRD and not memorialized in code or policy anywhere. The overall limit is the growth cap in Policy 3.1.a of the Comp Plan.</t>
  </si>
  <si>
    <t>The 2018 Complete Neighborhood number assigned all pooled incentive units (sum of zone changes, conservation easements, and land transfers) to Complete Neighborhoods with the operationalization of the workforce housing bonus Townwide through the District 3-6 Rezone (even though the bonus tool was actually created at the end of 2016 with adoption of the District 2 rezone). When this was done, the 570 units earmarked in 2015 were removed so as not to be double counted since the CN-PRD and Town Workforce Housing Bonus pull from the same pool of incentive units.</t>
  </si>
  <si>
    <t>The Complete Neighborhood equation for 2019 and beyond is adjusted to account for any use or creation of pooled incentive units by zone change, conservation, or incentive project approval.</t>
  </si>
  <si>
    <t>Potential Rural Area Residential Units</t>
  </si>
  <si>
    <t>Potential Complete Neighborhood Residential Units</t>
  </si>
  <si>
    <t>Percent of Potential in Complete Neighborhoods</t>
  </si>
  <si>
    <t>% Dus</t>
  </si>
  <si>
    <t>No net increase from 2012 (Policy 3.1.a)</t>
  </si>
  <si>
    <t>Calculate the net change in development potential based on zoning changes, conservation easements, incentives, and public land transfers</t>
  </si>
  <si>
    <t>Subtract units and floor area eliminated by conservation, downzoning, and public land transfer</t>
  </si>
  <si>
    <t>Add units and floor area entitled by upzoning and incentives</t>
  </si>
  <si>
    <t>The pool of units available for future incentives (or upzones) is equal to the negative number of residential units reported - once the number of residential units gets to zero, no incentive projects or upzones can be approved without causing a net increase.</t>
  </si>
  <si>
    <t>The same logic applies to nonresidential floor area and lodging units; however, there are no incentives to encourage either of those types of development. The reason that they are slightly over zero is that the Town and County found the relatively slight increases during the Town rezones (District 2 and Districts 3-6) to be within the spirit of Policy 3.1.a  because they were necessary to remedy split zoning and nonconformities.</t>
  </si>
  <si>
    <t>See also the BuildoutAssumptions sheet for additional discussion</t>
  </si>
  <si>
    <t>The 2011 running total from 1994 is an entered number that has appeared in every Indicator Report. It was calculated during the Comprehensive Plan adoption process, but the data used in the calculation needs to be rediscovered in the County files or recreated. The annual net change numbers for 2007-2011 are used to back-calculate the running total since 1994 prior to 2011</t>
  </si>
  <si>
    <t>The 2015 Report included nonresidential and lodging for the first time which led to a series of hearings that clarified the intent of Policy 3.1.a as meaning no net increase for residential, lodging, or nonresidential</t>
  </si>
  <si>
    <t>Annual Net Change</t>
  </si>
  <si>
    <t>Running Total since 2012</t>
  </si>
  <si>
    <t>Running Total since 1994</t>
  </si>
  <si>
    <t>Nonresidential Floor Area</t>
  </si>
  <si>
    <t>First reported in Indicator Report in 2021, reported in the Housing Supply Plan since 2017</t>
  </si>
  <si>
    <t>"Direct growth into Complete Neighborhoods to provide workforce housing opportunities" (Chapter 3 Goal)</t>
  </si>
  <si>
    <t>Report the units approved as a projection of what is likely to be built in the future</t>
  </si>
  <si>
    <t>Report information compiled by the Housing Department from PRC review plus building permit information for detached single family units with building permits.</t>
  </si>
  <si>
    <t>The data on restricted units is tracked by the Housing Department through their PRC review</t>
  </si>
  <si>
    <t>The data on market ownership and rental units comes from the Housing Department's data, plus the annual building permit data.</t>
  </si>
  <si>
    <t>As long as the sum of rental units an guesthouses in the building permit data is greater than the Housing Department's reported market rentals with building permit approval the Housing Department's number is used, otherwise market rentals at building permit is assumed to be zero. The pipeline is an estimate so this slight inaccuracy is not a concern as long as the numbers are not relied on for too much precision.</t>
  </si>
  <si>
    <t>The number of market ownership units at building permit is calculated by subtracting the number of restricted units at building permit from the total number of DSFD and ASFD units with building permit. This is where all of the detached single family units get added to the pipeline total.</t>
  </si>
  <si>
    <t>Data needs to be back calculated to analyze trend and success of Housing Action Plan and updated zoning versus previous eras</t>
  </si>
  <si>
    <t>The Housing Department started tracking Preapplication Conference units in 2019, these units are not included in the total because the back data does not exist and pre-aps have more variation in detail, PRC review, and follow-though</t>
  </si>
  <si>
    <t>Total</t>
  </si>
  <si>
    <t>Restricted Affordable Units</t>
  </si>
  <si>
    <t>Restricted Workforce Units</t>
  </si>
  <si>
    <t>Market Rental Units</t>
  </si>
  <si>
    <t>Market Ownership Units</t>
  </si>
  <si>
    <t>Percent Restricted or Rental</t>
  </si>
  <si>
    <t>% DUs</t>
  </si>
  <si>
    <t>Percentage of Jobs, Housing, Shopping, Education, and Cultural Activity in Town</t>
  </si>
  <si>
    <t>First reported in 2021</t>
  </si>
  <si>
    <t>"The Town of Jackson will be the primary location for jobs, housing, shopping, educational and cultural activities" (Chapter 4 Goal)</t>
  </si>
  <si>
    <t>Track the percentage of wage jobs, residential units, retail sales, educational floor area, and cultural activity in Town</t>
  </si>
  <si>
    <t>TBD for Shopping and Cultural Activity</t>
  </si>
  <si>
    <t>Town amount divided by Town/County total</t>
  </si>
  <si>
    <t>The percentage of retail sales is the sum of retail, arts/entertainment, and accommodations/food service jobs in Town divided by the same sum in for the Jackson Hole and Alta CCDs. That percentage is then applied to the % of sales tax collected in person, which is 1 minus the percentage of sales tax collected online</t>
  </si>
  <si>
    <t>LEHD is the only source of jobs data at the Town level</t>
  </si>
  <si>
    <t>Residential units are used because the data is more recent and available further in the past. However, occupied housing unit data from the ACS is also reported for comparison and might be the better measure in the future of "housing" versus "houses". Of course, the other measure of "housing" percentage is just population percentage.</t>
  </si>
  <si>
    <t>No adjustments are made the LEHD data - there is volatility in the percentage during the Great Recession, but the trend leading up to the Recession and following the Recession suggest adjustment is not needed and there was just a period of market response to the recession. (Other LEHD datasets are imputed to address large, illogical variances)</t>
  </si>
  <si>
    <t>Future analysis of "day labor" (e.g. a landscaper who lives in Victor and works for a Victor business, but is in Teton County working at a Teton County property), on-site service delivery (e.g. a caterer cooking at the house of the party host), and the location of proprietor business is needed to improve the job location analysis as much of the work being done in Teton County might not be showing up in typical jobs data.</t>
  </si>
  <si>
    <t>As of 2020 the Town of Jackson is working with the State to obtain point of sale data. Once that data is obtained, or the Town institutes an additional penny of sales tax, this indicator can be reported. If that data does not become available, a proxy needs to be calculated. One idea is to regress industry employment against industry sales tax collection then use geographic location of employment by industry to estimate geographic location of sales tax collection.</t>
  </si>
  <si>
    <t>Percentage of Wage Jobs in Town</t>
  </si>
  <si>
    <t>Percentage of Residential Units in Town</t>
  </si>
  <si>
    <t>CDs 1-6</t>
  </si>
  <si>
    <t>Percentage of Occupied Housing Units in Town</t>
  </si>
  <si>
    <t>Percentage of Population in Town</t>
  </si>
  <si>
    <t>% persons</t>
  </si>
  <si>
    <t>Percentage of Education Floor Area in Town</t>
  </si>
  <si>
    <t>K-12</t>
  </si>
  <si>
    <t>ECE</t>
  </si>
  <si>
    <t>Percentage of Cultural Activities in Town</t>
  </si>
  <si>
    <t xml:space="preserve">Calculation methodology updated in 2021, but old methodologies still reported for reference. </t>
  </si>
  <si>
    <t>"At least 65% of those employed locally live locally" (Chapter 5 Goal)</t>
  </si>
  <si>
    <t>Destinations (LEHD) (Residence-Workplace Relationship)</t>
  </si>
  <si>
    <t>Jobs (BEA) (for reference and legacy)</t>
  </si>
  <si>
    <t>Workers by Workplace Geography (ACS) (for reference)</t>
  </si>
  <si>
    <t>Active Commute Modeshare (ACS) (for reference)</t>
  </si>
  <si>
    <t>Combine three Federal datasets (monthly local job counts, annual workplace/residence relationships, monthly local employment) to estimate monthly commuters</t>
  </si>
  <si>
    <t>This estimate requires monitoring, there are many rows that report relations between datasets, these are included to identify anomalies that indicate the data or method might be flawed</t>
  </si>
  <si>
    <t>First, impute any of the LEHD Primary Jobs by Residence data that appears anomalous. For example, during the Great Recession in 2009 jobs (QCEW and BEA) and employed residents (LAUS) both dropped significantly from 2008, but the LEHD data showed and increase - to correct the unexplainable anomaly in the data, the LEHD number was imputed using the LAUS trend.</t>
  </si>
  <si>
    <t>Second, calculate out-commuters by multiplying the out-commute percentage reported in the LEHD by the correctedLEHD Primary by Residence number</t>
  </si>
  <si>
    <t>Third, calculate the year-round local wage earners by subtracting the out-commuters from the corrected LEHD Primary by Residence number.</t>
  </si>
  <si>
    <t>Fourth, calculate the annual average of seasonal workers by dividing the annual average of jobs (QCEW) by the LEHD count of "year-round" jobs and multiplying that by the corrected LEHD Primary by Residence number.</t>
  </si>
  <si>
    <t>Fifth, calculate proprietors by subtracting out-commuters, year-round local wage earners, and the annual average of seasonal wage earners from the LAUS annual average of employed people living locally.</t>
  </si>
  <si>
    <t>Sixth, calculate monthly seasonal employees living locally by subtracting the out-commuters, year-round local wage earners, and proprietors from the monthly LAUS count of employed local residents.</t>
  </si>
  <si>
    <t>Seventh, calculate the annual and monthly number of in-commuters by dividing the annual/monthly number of local jobs (QCEW) by the LEHD ratio of all jobs/primary jobs (workers) then subtracting the year-round and monthly local workforce.</t>
  </si>
  <si>
    <t>Eighth, divide the annual or monthly number of in-commuters by the sum of year-round local wage earners, proprietors, annual or monthly local seasonal workers, and annual or monthly in-commuters</t>
  </si>
  <si>
    <t>Rows with a green cell to their left include projections for the most current year to compensate for data lag, the data in these rows will update once or twice depending on the lag (for example the 2020 number reported in 2021 will change in the 2022 report and change again in the 2023 report as additional LEHD data becomes available)</t>
  </si>
  <si>
    <t>LEHD Primary data is actually a jobs count, but it is used a proxy person count because whether you have one or many jobs only one can be the primary and therefore each primary job represents a person in theory. This assumption bears out in some of the tests against other data.</t>
  </si>
  <si>
    <t>LEHD data for all jobs in Teton County is closely correlated with the minimum QCEW, so it is assumed the  LEHD count represents the year-round count</t>
  </si>
  <si>
    <t>It is assumed that out-commuter and proprietor jobs are year-round, this not precise, but given the method it is probably accurate enough. The out-commuter data is straight from LEHD so it should be viewed as year-round. While there are likely seasonal proprietor jobs it is less likely there are seasonal proprietor people, and the proprietors estimate is derived from a count of people (LAUS) not jobs.</t>
  </si>
  <si>
    <t>Prior to 2021 the reported % of the workforce living locally was benchmarked off of surveys of workers, using the trend of the ratio between all jobs (BEA) and local workers (LAUS). What that method hid was the increasing number of jobs per worker for proprietors</t>
  </si>
  <si>
    <t>Note that while the reported estimate is below each of the survey points, each survey was conducted in mid-Summer at peak employment. If you compare the monthly percentage for July or August to the estimate it is much closer.</t>
  </si>
  <si>
    <t>QCEW Annual Average</t>
  </si>
  <si>
    <t>LEHD All Jobs by Workplace</t>
  </si>
  <si>
    <t>QCEW Annual Min</t>
  </si>
  <si>
    <t>Min to LEHD Ratio</t>
  </si>
  <si>
    <t>Jobs per Worker</t>
  </si>
  <si>
    <t xml:space="preserve">Wage Jobs per Worker </t>
  </si>
  <si>
    <t>this is a rough jobs/worker number by place of employment, but doesn't include all part-time jobs if they do not have unemployment insurance, similarity to below indicates that in and out commuters have roughly the same number of jobs per employee as locals (although locals are still the majority and could certainly pull up out-commuters)</t>
  </si>
  <si>
    <t>LEHD All to Primary Ratio JH Jobs</t>
  </si>
  <si>
    <t>jobs/worker</t>
  </si>
  <si>
    <t>this is a rough jobs/worker number by place of residence, but doesn't include all part-time jobs if they do not have unemployment insurance, does imply that out-commuters are not single job holders</t>
  </si>
  <si>
    <t>LEHD All to Primary Ratio JH Workers</t>
  </si>
  <si>
    <t>BEA non-proprietor jobs divided by estimated wage earners</t>
  </si>
  <si>
    <t>BEA Non-proprietors</t>
  </si>
  <si>
    <t>Proprietor Jobs per Worker (implied by proprietor estimate)</t>
  </si>
  <si>
    <t>Employees by Workplace</t>
  </si>
  <si>
    <t>what's going on here? This looks to be the wage earner number not including proprietors</t>
  </si>
  <si>
    <t>ACS (Total)</t>
  </si>
  <si>
    <t>LEHD Wage Primary by Workplace</t>
  </si>
  <si>
    <t>ACS/LEHD</t>
  </si>
  <si>
    <t>QCEW adjusted by LEHD All:Primary Ratio</t>
  </si>
  <si>
    <t>ACS/Adjusted QCEW</t>
  </si>
  <si>
    <t>Resident Workers</t>
  </si>
  <si>
    <t>Total Employed Residents</t>
  </si>
  <si>
    <t>Comes from CPS adjusted to local by unemployment filings, measures the week of the 12th each month, available the next month, adjusted the following two months so final months after survey</t>
  </si>
  <si>
    <t>LAUS (Total)</t>
  </si>
  <si>
    <t>Relatively comparable, optimized for geography, but week of survey is not consistent, so the week of survey doesn't necessarily represent the "average" week of the year. Also a 5-Year estimate so big increases and decreases are slower to appear. Available in November of following year</t>
  </si>
  <si>
    <t>LAUS Annual to ACS Employment by Residence</t>
  </si>
  <si>
    <t>Wage - LEHD Primary by Residence (Out-Commuters + Local Wage Earners)</t>
  </si>
  <si>
    <t>primary is used to count people instead of jobs</t>
  </si>
  <si>
    <t>LEHD Primary by Residence Reported</t>
  </si>
  <si>
    <t>this is a trend tracking ratio, it will vary with proprietor trends and out-commuter trends, but can also be monitored for anomalies (like 09-14)</t>
  </si>
  <si>
    <t>LEHD/LAUS</t>
  </si>
  <si>
    <t>Not sure what happened here but there is no way the number of wage employees increased by 2,000 from 08-09 when the number of total employees dropped by 1,100 (LAUS). The imputation pegged to LAUS data syncs back up in 2015/2016 to a close enough extent that I went back to the data (2015 is probably a little high still, given the trend of the LEHD/LAUS ratio, but not enough to justify imputation)</t>
  </si>
  <si>
    <t>LEHD Imputation for 2002, 2003, and 2009-2014</t>
  </si>
  <si>
    <t>Out-Commuters</t>
  </si>
  <si>
    <t>LEHD Out-Commute Percentage</t>
  </si>
  <si>
    <t>Year-round Resident Wage Earners</t>
  </si>
  <si>
    <t>Seasonal Resident Wage Earners</t>
  </si>
  <si>
    <t>take the monthly QCEW, adjust for jobs per person using LEHD All to Primary, subtract year-round commuters, subtract year-round resident wage earners, adjust for LAUS variation (if out-commuters are relatively year-round (assumed) and there is a base year-round resident wage earner, then the variation has to be in seasonal wage earners and commuters and we have a sense of the seasonal locals from the LAUS)</t>
  </si>
  <si>
    <t>Resident Proprietors</t>
  </si>
  <si>
    <t>In-Commuters</t>
  </si>
  <si>
    <t>Employee Surveys</t>
  </si>
  <si>
    <t>Summer 2005 Survey (Published in 2007 Teton County Housing Needs Assessment)</t>
  </si>
  <si>
    <t>Summer 2014 Survey (Published in 2014 Greater Yellowstone Housing Needs Assessment)</t>
  </si>
  <si>
    <t>Methodology updated in 2021 with updates to Effective Population</t>
  </si>
  <si>
    <t>2013 report included similar pie chart from 2009 TCHA research</t>
  </si>
  <si>
    <t>2014 report estimated percent workforce housing by backing vacant housing and housing occupied by householders over 65 from total housing number</t>
  </si>
  <si>
    <t>2015-2016 reports only reported tenure (ownership/rental) and vacancy characteristics</t>
  </si>
  <si>
    <t>2017-2020 reports included a similar methodology except that the total unit starting point used was the ACS unit number and the number of occupied units was calculated as a function of the vacancy adjustment made in effective population calculation. (see the effective population indicator for a discussion of legacy vacancy adjustment)</t>
  </si>
  <si>
    <t>"Ensure a variety of housing opportunities exist [for the workforce]" (Chapter 5 Goal)</t>
  </si>
  <si>
    <t>Select Housing Characteristics (ACS)</t>
  </si>
  <si>
    <t>Household Employment and Income Data (ACS)</t>
  </si>
  <si>
    <t>Apply ACS occupancy data to Town/County data on units and restrictions to categorize unit occupancy</t>
  </si>
  <si>
    <t>Subtract occupied units (ACS) from Total Housing Units (Town/County) to get Vacant Units</t>
  </si>
  <si>
    <t>Subtract households with earnings (ACS) from occupied units to get Units Occupied by Nonworkforce</t>
  </si>
  <si>
    <t>The number of deed restricted and LDR restricted units is provided by the Housing Department</t>
  </si>
  <si>
    <t>To get the number of market workforce ownership units, subtract the number of restricted ownership units from the number of households with earnings multiplied by the percentage of occupied units that are owner occupied</t>
  </si>
  <si>
    <t>To get the number of market workforce rental units, subtract the number of restricted rental units from the number of households with earnings multiplied by the percentage of occupied units that are rental</t>
  </si>
  <si>
    <t>The percentage of units occupied by the workforce is the sum of the workforce units divided by the total housing units</t>
  </si>
  <si>
    <t>It is assumed that units occupied by the nonworkforce have the same tenure as units occupied by the workforce because there is no data to adjust otherwise</t>
  </si>
  <si>
    <t>Prior to 2021, the starting point for the calculation was the ACS number of units, however this confused readers looking at other indicators. With the adjustment to vacancy assumptions in 2021, and to clear up the confusion, the total residential units is now the base point. For reference and explanation, the Town and County count of residential units is roughly equal to the ACS count, minus Yellowstone, minus Short-Term Rental (like Aspens Condos and Spring Creek units) and Dude Ranch cabins, minus guesthouses.</t>
  </si>
  <si>
    <t>Total Housing Units</t>
  </si>
  <si>
    <t>ACS less YNP less STR/Dude ranch less Guesthouses</t>
  </si>
  <si>
    <t>Ownership</t>
  </si>
  <si>
    <t>Rental</t>
  </si>
  <si>
    <t>% Ownership</t>
  </si>
  <si>
    <t>% Rental</t>
  </si>
  <si>
    <t>Workforce Units (Households with earnings)</t>
  </si>
  <si>
    <t>% of units occupied by the workforce</t>
  </si>
  <si>
    <t>Deed Restricted Workforce &amp; Affordable</t>
  </si>
  <si>
    <t>LDR Restricted Workforce</t>
  </si>
  <si>
    <t>Unrestricted rental (workIng)</t>
  </si>
  <si>
    <t>Unrestricted ownership (working)</t>
  </si>
  <si>
    <t>Nonworkforce Units</t>
  </si>
  <si>
    <t>Vacant units</t>
  </si>
  <si>
    <t>Units occupied by nonworking households</t>
  </si>
  <si>
    <t xml:space="preserve">History: </t>
  </si>
  <si>
    <t>Updated in 2021 with the 2020 GMP Update to the Comp Plan; first reported in 2015 as Jobs, Housing Balance</t>
  </si>
  <si>
    <t>2015-2016 various annual growth rates reported</t>
  </si>
  <si>
    <t>2017-2020 various average annual growth rates since 2012 reported</t>
  </si>
  <si>
    <t>"Develop a sustainable, stable economy." (Chapter 6 Goal)</t>
  </si>
  <si>
    <t>Effective Population Indicator (current)</t>
  </si>
  <si>
    <t>Jobs (BEA)?</t>
  </si>
  <si>
    <t>HUD Median Family Income Limit</t>
  </si>
  <si>
    <t>HUD Free Market Rent</t>
  </si>
  <si>
    <t>Compare the average annual growth rates of physical development, population, economic production, and cost of living</t>
  </si>
  <si>
    <t>Presentation of growth rates over economic periods began in 2021</t>
  </si>
  <si>
    <t>2002-2008 (2002 Base) Real-Estate Boom basically from the start of our data until the Recession - also represents the time period that informed calls to update the Comp Plan, which began in 2007</t>
  </si>
  <si>
    <t>2009-2012 (2008 Base) 2009 - 2012 was the Great Recession (Real GDP increased in 2012 ending the Recession, but did not recover to 2008 levels until 2013)</t>
  </si>
  <si>
    <t>2012-2019 (2012 Base) Post-Recession, also represents time period since adoption of the Comprehensive Plan</t>
  </si>
  <si>
    <t>2019-? (2019 Base) COVID and Post-COVID</t>
  </si>
  <si>
    <t>For each metric, for each period, divide the end value by the base value and subtract 1 to calculate the percent change, then divide the percent change by the number of years in the period to calculate the average annual change</t>
  </si>
  <si>
    <t>For the  active time period the chart has to be adjusted each year to report the most recent average for the period</t>
  </si>
  <si>
    <t>Average annual growth rate is reported instead of compound annual growth rate so as not to imply compound growth (although there is little difference in most cases)</t>
  </si>
  <si>
    <t>See effective population calculator below for effective population assumptions.</t>
  </si>
  <si>
    <t>Housing cost, sales and rent, are calculated relative to median income (wages) so an increase in housing cost means that housing prices are growing faster than wages. In other words, sustainable economic development would have a 0% growth in housing cost (as well as other costs of living) because wages would keep up with prices</t>
  </si>
  <si>
    <t>Fair market rent is used because it is consistently available, however it is a projection rather than a report and is the 40th percentile NOT median. The 40th percentile definition is important so as not to inaccurately discuss the affordability of rent (defined as 30% or less of income) based on FMR. The Housing Department began compiling rent data in 2020 that may be a replacement for FMR in the future</t>
  </si>
  <si>
    <t>Reported median income is from the ACS when available, and from HUD when ACS data is not available, this results in one adjustment to the data the year after it is reported</t>
  </si>
  <si>
    <t>Per Capita Jobs is listed in the Comprehensive Plan as one of the indicators. It is useful for explaining/comparing our economy to outside audiences, but conflates jobs/worker and commuting in a way that is parsed more precisely by other indicators so it is not included in the chart.</t>
  </si>
  <si>
    <t>Housing cost is a significant portion of cost of living, but other components need to be tracked as well. Cost of living calculators typically include housing, transportation, healthcare, childcare, food, and taxes. A more complete cost of living calculator should be built out in the future.</t>
  </si>
  <si>
    <t>Since 1994 the community has discussed housing affordability in terms of median sales price. However cost of living calculators typically look at rent cost.</t>
  </si>
  <si>
    <t>Reported VMT is the annual data unless the annual data is not yet available, in which case it is an estimate based on the monthly weekday data collected for the ITP benchmarks (the estimate is very close to the actual for past years)</t>
  </si>
  <si>
    <t>VMT needs to be recalculated to match the Cambridge Systematics traffic model output. The current estimate reflects the Fehr and Peers model output used in the ITP.</t>
  </si>
  <si>
    <t>Counts</t>
  </si>
  <si>
    <t>persons</t>
  </si>
  <si>
    <t>Wage Jobs (QCEW)</t>
  </si>
  <si>
    <t>Per Capita Jobs (BEA)</t>
  </si>
  <si>
    <t>jobs/person</t>
  </si>
  <si>
    <t>Per Capita GDP</t>
  </si>
  <si>
    <t>$/year/person</t>
  </si>
  <si>
    <t>Median Income</t>
  </si>
  <si>
    <t>Median Home Price/Median Income</t>
  </si>
  <si>
    <t>Annual Fair Market Rent/Median Income</t>
  </si>
  <si>
    <t>Daily VMT on State Highways in Teton County</t>
  </si>
  <si>
    <t>2013 Baseline Benchmark for Countywide Annual VMT</t>
  </si>
  <si>
    <t>Running Average Annual Growth Rate from Indicated Base</t>
  </si>
  <si>
    <t>2002-2003</t>
  </si>
  <si>
    <t>2002-2004</t>
  </si>
  <si>
    <t>2002-2005</t>
  </si>
  <si>
    <t>2002-2006</t>
  </si>
  <si>
    <t>2002-2007</t>
  </si>
  <si>
    <t>2002-2008</t>
  </si>
  <si>
    <t>2008-2009</t>
  </si>
  <si>
    <t>2008-2010</t>
  </si>
  <si>
    <t>2008-2011</t>
  </si>
  <si>
    <t>2008-2012</t>
  </si>
  <si>
    <t>2012-2013</t>
  </si>
  <si>
    <t>2012-2014</t>
  </si>
  <si>
    <t>2012-2015</t>
  </si>
  <si>
    <t>2012-2016</t>
  </si>
  <si>
    <t>2012-2017</t>
  </si>
  <si>
    <t>2012-2018</t>
  </si>
  <si>
    <t>2012-2019</t>
  </si>
  <si>
    <t>2019-2020</t>
  </si>
  <si>
    <r>
      <t>%</t>
    </r>
    <r>
      <rPr>
        <sz val="11"/>
        <color theme="1"/>
        <rFont val="Calibri"/>
        <family val="2"/>
      </rPr>
      <t>∆ (from base year)</t>
    </r>
  </si>
  <si>
    <t>Cost of Home Purchase</t>
  </si>
  <si>
    <t>Cost of Rent</t>
  </si>
  <si>
    <t>Effective Population (Subcategory of Annual Growth Rate Comparison)</t>
  </si>
  <si>
    <t>Reported since 2013, methodology updated as part of 2020 GMP Update to provide monthly numbers and adjust commuters, seasonal workers, and 2nd homeowners</t>
  </si>
  <si>
    <t>"Develop a sustainable economy" (Chapter 6 Goal)</t>
  </si>
  <si>
    <t>Personal Income (Mid-Year Population)</t>
  </si>
  <si>
    <t>Local Workforce Indicator (Commuters, Seasonal Workers)</t>
  </si>
  <si>
    <t>Households and Families (US Average Family Size)</t>
  </si>
  <si>
    <t>Select Housing Characteristics (Second Homes)</t>
  </si>
  <si>
    <t>Vacancy Status (Second Homes)</t>
  </si>
  <si>
    <t>Growth by Use (Lodging Units)</t>
  </si>
  <si>
    <t>YNP Overnight Visitors</t>
  </si>
  <si>
    <t xml:space="preserve">Determine the number of year-round residents, commuters, seasonal residents/workers, second home occupants, and overnight visitors in the community  on any given day </t>
  </si>
  <si>
    <t>Annual Average is the average of all months in the year</t>
  </si>
  <si>
    <t>Seasonal Average is for June/July/August/September (Summer), December/January/February/March (Winter), April/May/October/November (Shoulder). The December included in the Winter average is from the previous year, for example Winter 2019 is December 2018 and January-March 2019.</t>
  </si>
  <si>
    <t>The permanent residents component is calculated by multiplying the midyear population estimate by a "vacation factor" to account for residents who are on vacation</t>
  </si>
  <si>
    <t>The commuter and seasonal resident/worker components are pulled from the local workforce calculation indicator, see that indicator for their respective equations</t>
  </si>
  <si>
    <t>The second home occupant component is calculated by estimating the number of second homes from the vacancy characteristics data then multiplying that number by the national average family size and lodging occupancy for the month. The second home estimate is the sum of the number of seasonal housing units plus the number of housing units for rent minus 5% of all housing units to account for a standard vacancy rate.</t>
  </si>
  <si>
    <t>The overnight visitor component is calculated by multiplying the maximum occupancy of all conventional lodging units, short-term rentals, dude ranch, and campsites by the monthly lodging occupancy then adding the number of overnight visitors in the National Forests and Parks. The maximum occupancy for a conventional lodging unit is 2. The maximum occupancy for a short-term rental, dude ranch unit, and campsite is the national average family size.</t>
  </si>
  <si>
    <t>Census Mid-Year Estimate used instead of ACS population because it is available sooner, goes back further, and is the number used by the BEA to calculate per capita statistics</t>
  </si>
  <si>
    <t>See the Local Workforce Indicator for assumptions and adjustments related to estimated commuters and seasonal workers.</t>
  </si>
  <si>
    <t>Because of housing demand, it assumed that if &gt;5% of the housing stock is for rent those units are actually in the seasonal occupancy pool - not necessarily an illegal short-term rental, but for rent month-to-month at a visitor price point rather than resident price point. 5% vacancy due to units for rent/sale is a rule of thumb used in housing analysis nationally.</t>
  </si>
  <si>
    <t>The national average family size is used for assumed occupants in a second home, short-term rental, campsite, and dude ranch assuming that these accommodation types are less likely to house single householders, who bring down the average household size.</t>
  </si>
  <si>
    <t>The lodging occupancy rate is used for all overnight and seasonal units because it is the best available metric for likelihood of occupancy of seasonal units</t>
  </si>
  <si>
    <t>Vacation factor of 5% is a constant that has always been used. It does not have a data source and could be refined to be a monthly number if a data source were available - mobility data? Residence of deplanements?</t>
  </si>
  <si>
    <t>BTNF campground occupancy is reported for the entire summer. The total is divided by the number of days in summer then applied evenly to each month despite the likelihood that the distribution is not even.</t>
  </si>
  <si>
    <t>CTNF data has not been available. The original estimate is held constant until data is available.</t>
  </si>
  <si>
    <t>The estimate does not include an estimate of day-laborers - for example, someone who lives in Driggs, works for a Driggs landscaping company, but drives the Pass every day because 75% of the company's clients are in Jackson Hole - such people do not show up as being here in any of the jobs or residence data, but traffic growth and anecdotal "light industry" trends would indicate this is a growing phenomenon.</t>
  </si>
  <si>
    <t>The lower estimate by the new methodology is driven by the corrected estimate in seasonal employees. The 2013-2020 methodology assumed that proprietor jobs grew seasonally with wage jobs and that proprietor work has the same jobs/workers ratio as wage work, the result was an inflated count of seasonal wage jobs and therefore workers. As discussed in the Local Workforce indicator, it is more appropriate to assume that proprietors (people) are likely year-round residents and to estimate the number of seasonal workers using unemployment data (LAUS count of people) and use monthly variation in jobs to estimate monthly variation in commuters. As an indicator that something was wrong with the old methodology, the 2018 estimate for shoulder seasonal workers was over 25% of the permanent population estimate. The other changes in methodology (commuters, using national average family size, new second home estimate) also effected the estimate, but all of those changes had the net effect of slightly increasing the effective population estimate - another testament to how inflated the seasonal worker number was.</t>
  </si>
  <si>
    <t>Effective Population (Annual Average)</t>
  </si>
  <si>
    <t>people</t>
  </si>
  <si>
    <t>Summer</t>
  </si>
  <si>
    <t>Winter</t>
  </si>
  <si>
    <t>Shoulder</t>
  </si>
  <si>
    <t>Individual Inputs</t>
  </si>
  <si>
    <t>Permanent Residents</t>
  </si>
  <si>
    <t>Population (Census Mid-Year Estimate)</t>
  </si>
  <si>
    <t>Vacation Factor</t>
  </si>
  <si>
    <t>% people</t>
  </si>
  <si>
    <t>Daily Commuters</t>
  </si>
  <si>
    <t>Seasonal Workers</t>
  </si>
  <si>
    <t>Seasonal Residents</t>
  </si>
  <si>
    <t>Seasonal, recreational, or occasional use</t>
  </si>
  <si>
    <t>Assumed Occupants</t>
  </si>
  <si>
    <t>people/DU</t>
  </si>
  <si>
    <t>Overnight Visitors</t>
  </si>
  <si>
    <t>Conventional Lodging Units</t>
  </si>
  <si>
    <t>people/LU</t>
  </si>
  <si>
    <t>Dude Ranch and STR Units</t>
  </si>
  <si>
    <t>need to make sure there aren't any changes</t>
  </si>
  <si>
    <t>Campground sites</t>
  </si>
  <si>
    <t>Occupancy</t>
  </si>
  <si>
    <t>% LUs</t>
  </si>
  <si>
    <t>Daily BTNF Campers</t>
  </si>
  <si>
    <t>Daily CTNF Campers</t>
  </si>
  <si>
    <t>Daily GTNP Campers</t>
  </si>
  <si>
    <t>Daily YNP Campers</t>
  </si>
  <si>
    <t>Days per season</t>
  </si>
  <si>
    <t>days</t>
  </si>
  <si>
    <t>Reported since 2013, no changes to report  methodology, see below for change to data source</t>
  </si>
  <si>
    <t>"Develop a vibrant economy" (Chapter 6 Goal)</t>
  </si>
  <si>
    <t>Occupancy greater than or equal to occupancy in 2012</t>
  </si>
  <si>
    <t>Report the occupancy and show the trend</t>
  </si>
  <si>
    <t>Data is reported by the Chamber of Commerce any assumptions made are made by the Chamber and its contractor Destimetrics</t>
  </si>
  <si>
    <t>In 2013, the Chamber of Commerce switched from reporting the occupancy of their membership and the Rocky Mountain Lodging Report, to their current Economic Dashboard methodology which pulls from a sample of lodging establishments throughout the valley</t>
  </si>
  <si>
    <t>% LUs occupied</t>
  </si>
  <si>
    <t>First reported in 2014, no methodology changes since reporting began</t>
  </si>
  <si>
    <t>"Develop a diverse economy" (Chapter 6 Goal)</t>
  </si>
  <si>
    <t>Report jobs by industry and look for any changes to the employment makeup</t>
  </si>
  <si>
    <t>The BEA dataset is used because it includes proprietor jobs, however it also includes all full-time and part-time jobs</t>
  </si>
  <si>
    <t xml:space="preserve">A needed adjustment is grouping of the jobs so that changes in employment profile are more readily visible. Jonathan Schechter has developed an NAICS grouping for sales tax collection analysis that might be useful if he is willing to share. The BEA also groups in various ways in the Personal Income dataset. </t>
  </si>
  <si>
    <t>Future analysis of the BEA data against LEHD data by industry might indicate industries with an especially high proportion of proprietors and part-time jobs, which could be another way to present the data</t>
  </si>
  <si>
    <t>First reported in 2021 following the technical update to the ITP and the 2020 GMP Update to the Comprehensive Plan</t>
  </si>
  <si>
    <t>"Travel by walk, bike, carpool, or transit will be more convenient than travel by single-occupancy vehicle" (Chapter 7 Goal)</t>
  </si>
  <si>
    <t>Travel Time by Mode</t>
  </si>
  <si>
    <t>Compare travel time by various modes from point to point including any parking, waiting for the bus, etc.</t>
  </si>
  <si>
    <t>TBD (ITP Technical Update)</t>
  </si>
  <si>
    <t>Reported 2015-present. It replaced Percentage of Population served by START in 2015 Report based on ITP development</t>
  </si>
  <si>
    <t>3.6 million in 2035</t>
  </si>
  <si>
    <t>Effective Population Indicator</t>
  </si>
  <si>
    <t>Report the total annual ridership as well as the seasonal per capita (effective population) ridership</t>
  </si>
  <si>
    <t>For per capita rides per month, divide the monthly rides by monthly effective population, then average monthly rides for season</t>
  </si>
  <si>
    <t>See Effective Population Indicator for Effective Population assumptions</t>
  </si>
  <si>
    <t>Any adjustments to ridership data are made by START</t>
  </si>
  <si>
    <t>Effective Population denominator for per capita ridership adjusted in 2021 to reflect new effective population calculation</t>
  </si>
  <si>
    <t>Annual Ridership</t>
  </si>
  <si>
    <t>rides</t>
  </si>
  <si>
    <t>Per Capita (Effective Population) Rides per Month</t>
  </si>
  <si>
    <t>rides/person</t>
  </si>
  <si>
    <t>Reported 2015-present, replaced Percentage of Transportation Network "complete streets" in 2015 Report based on ITP development</t>
  </si>
  <si>
    <t>Greater than 20% by 2035</t>
  </si>
  <si>
    <t>Active Commute Modeshare (ACS)</t>
  </si>
  <si>
    <t>Adjust annual federal data on how many people walk or bike to work to estimate the percentage of all trips that are made by walk or bike.</t>
  </si>
  <si>
    <t>To derive the active commute modeshare in the ASC data: divide the number of residents commuting by bike or walk by the number of residents who are employed less the number of residents working from home</t>
  </si>
  <si>
    <t>Multiply the active commute modeshare by ratio of 2013 Baseline to 2013 Active commute modeshare (16.1%/12.5%)</t>
  </si>
  <si>
    <t>Assumption is that the relationship between commuter modes share and all trips mode share is constant</t>
  </si>
  <si>
    <t>This adjustment essentially assumes that the modeshare for all trips is consistently about 1.28 percentage points higher (16.1%/12.5%) than for commutes</t>
  </si>
  <si>
    <t>The benchmark should at least be updated to be consistent with the new traffic model. Even better would be a travel study/survey that would provide a periodic benchmark for the ACS trend data (similar to the periodic Housing Needs Assessments to calibrate the estimate of the percentage of the workforce living locally)</t>
  </si>
  <si>
    <t>The 2013 benchmark was an estimate made as part of the modeling work done (by Fehr and Peers subconsulting to Charlier) to inform the ITP (similar to the benchmark for the VMT estimate)</t>
  </si>
  <si>
    <t>Percentage of all trips made by walk or bike</t>
  </si>
  <si>
    <t>% of all trips</t>
  </si>
  <si>
    <t>Active commute modeshare</t>
  </si>
  <si>
    <t>% of commutes</t>
  </si>
  <si>
    <t>2013 baseline benchmark of all trips mode share</t>
  </si>
  <si>
    <t>Reported 2015-present, added as part of ITP monitoring</t>
  </si>
  <si>
    <t>Project planning/construction benchmarks established for each corridor</t>
  </si>
  <si>
    <t>Monthly Average Weekday Traffic (MAWT)</t>
  </si>
  <si>
    <t>Track the average summer weekday traffic on each major corridor against the project design and construction benchmarks identified in the ITP</t>
  </si>
  <si>
    <t>Average the MAWT for June-September</t>
  </si>
  <si>
    <t>Summer weekday traffic is used to capture the peak season, but not design to the peak of the peak</t>
  </si>
  <si>
    <t>The benchmarks are established based on WYDOT criteria in order for local planning to be proactive rather than reactive</t>
  </si>
  <si>
    <t>In addition to benchmarks, the graphs also include traffic growth projections from the ITP, which use data through 2013 as there base. There are 2 projections the first is a baseline forecast that assumes non-implementation of the ITP, the second is a forecast based on ITP implementation.</t>
  </si>
  <si>
    <t>S. Hwy 89 and Hwy 22 west of Wilson are not included because the ITP found corridor improvements extremely unlikely to be needed prior to 2035</t>
  </si>
  <si>
    <t>The greyed out rows are for the sake of the stacked area background that displays the benchmarks</t>
  </si>
  <si>
    <t>Highway 22 Corridor (The "Y" to Moose-Wilson)</t>
  </si>
  <si>
    <t>Max (for chart)</t>
  </si>
  <si>
    <t>Construction Benchmark</t>
  </si>
  <si>
    <t>Vehicles per Day</t>
  </si>
  <si>
    <t>Prelim to Construction (for chart)</t>
  </si>
  <si>
    <t>Preliminary Engineering Benchmark</t>
  </si>
  <si>
    <t>Baseline Forecast</t>
  </si>
  <si>
    <t>ITP Scenario</t>
  </si>
  <si>
    <t>Actual Summer Average MAWT</t>
  </si>
  <si>
    <t>Moose-Wilson Corridor</t>
  </si>
  <si>
    <t>North Highway 89 Corridor</t>
  </si>
  <si>
    <t>NEPA/PEL Benchmark</t>
  </si>
  <si>
    <t>Reported 2013-present, any changes to methodology occurred within JHWF processing not indicator reporting</t>
  </si>
  <si>
    <t>Fewer than in 2012 (Policy 7.2.d)</t>
  </si>
  <si>
    <t>Report the single year total as well as the 5-year average</t>
  </si>
  <si>
    <t>The 5-year average is reported because WVCs increase with high valley snowfall, so the trend is reported as a 5-year average to mute the effects of high and low snow years</t>
  </si>
  <si>
    <t>The 5-year average is calculated by averaging the current year and the 4 previous years</t>
  </si>
  <si>
    <t>All assumptions made by JHWF</t>
  </si>
  <si>
    <t>In 2020 shifted to using the reported total rather than the sum total based on a shift in the data provided by JHWF</t>
  </si>
  <si>
    <t>Single Year Count</t>
  </si>
  <si>
    <t>3-Year Average</t>
  </si>
  <si>
    <t>5-Year Average</t>
  </si>
  <si>
    <t>Future</t>
  </si>
  <si>
    <t>Has always been an identified indicator and general goal, but has never been measured because LOS definitions for individual services have not been set</t>
  </si>
  <si>
    <t>"Timely, efficiently, and safely deliver quality services and facilities in a fiscally responsible and coordinated manner." (Chapter 8 Goal)</t>
  </si>
  <si>
    <t>TBD (8.1.S.1 and 8.1.S.2)</t>
  </si>
  <si>
    <t>Reported 2013-present, no changes to methodology</t>
  </si>
  <si>
    <t>"Monitor and implement our vision annually." (Principle 9.2)</t>
  </si>
  <si>
    <t>There is no charting or manipulation of the dataset, just refer to the dataset directly</t>
  </si>
  <si>
    <t>Energy Load (Retired)</t>
  </si>
  <si>
    <t>Retired</t>
  </si>
  <si>
    <t>Reported 2016-2020, modified with 2020 GMP Update to include all energy consumption and GHG sources</t>
  </si>
  <si>
    <t>Maintain 2012 Levels</t>
  </si>
  <si>
    <t>Report total LVE electricity usage (commercial and residential) and per capita usage based on effective population</t>
  </si>
  <si>
    <t>Divide the total electricity usage in each season by the effective population of that season</t>
  </si>
  <si>
    <t>Seasonal Electricity</t>
  </si>
  <si>
    <t>Per Capita (Effective Population) Electricity</t>
  </si>
  <si>
    <t>kWh/person</t>
  </si>
  <si>
    <t>Reported 2013-2020, retired as part of 2020 GMP Update because it does not relate directly to a Chapter Goal (but it is the GMP trigger)</t>
  </si>
  <si>
    <t>Monitor, 2012 GMP Trigger: 5% Residential Growth, 2020 GMP Trigger: 7% Residential Growth</t>
  </si>
  <si>
    <t>Report the growth in the past year as well as the % growth since 2012 and 2020 and the % growth in the past 10 years</t>
  </si>
  <si>
    <t>Use added divided by the prior use amount</t>
  </si>
  <si>
    <t>Growth Amounts</t>
  </si>
  <si>
    <t>Non-Residential</t>
  </si>
  <si>
    <t>Single Year</t>
  </si>
  <si>
    <t>10-Year</t>
  </si>
  <si>
    <t>Since 2012</t>
  </si>
  <si>
    <t>Since 2020</t>
  </si>
  <si>
    <t>Detached Single Family</t>
  </si>
  <si>
    <t>Attached Single Family</t>
  </si>
  <si>
    <t>Growth Rate</t>
  </si>
  <si>
    <r>
      <t>%</t>
    </r>
    <r>
      <rPr>
        <sz val="11"/>
        <color theme="5" tint="-0.249977111117893"/>
        <rFont val="Calibri"/>
        <family val="2"/>
      </rPr>
      <t>∆ (from prior year)</t>
    </r>
  </si>
  <si>
    <r>
      <t>%</t>
    </r>
    <r>
      <rPr>
        <sz val="11"/>
        <color theme="5" tint="-0.249977111117893"/>
        <rFont val="Calibri"/>
        <family val="2"/>
      </rPr>
      <t>∆ (past 10 years)</t>
    </r>
  </si>
  <si>
    <r>
      <t>%</t>
    </r>
    <r>
      <rPr>
        <sz val="11"/>
        <color theme="5" tint="-0.249977111117893"/>
        <rFont val="Calibri"/>
        <family val="2"/>
      </rPr>
      <t>∆ (since 2012)</t>
    </r>
  </si>
  <si>
    <r>
      <t>%</t>
    </r>
    <r>
      <rPr>
        <sz val="11"/>
        <color theme="5" tint="-0.249977111117893"/>
        <rFont val="Calibri"/>
        <family val="2"/>
      </rPr>
      <t>∆ (since 2020)</t>
    </r>
  </si>
  <si>
    <r>
      <t>%</t>
    </r>
    <r>
      <rPr>
        <sz val="11"/>
        <rFont val="Calibri"/>
        <family val="2"/>
      </rPr>
      <t>∆ (from prior year)</t>
    </r>
  </si>
  <si>
    <r>
      <t>%</t>
    </r>
    <r>
      <rPr>
        <sz val="11"/>
        <rFont val="Calibri"/>
        <family val="2"/>
      </rPr>
      <t>∆ (past 10 years)</t>
    </r>
  </si>
  <si>
    <r>
      <t>%</t>
    </r>
    <r>
      <rPr>
        <sz val="11"/>
        <rFont val="Calibri"/>
        <family val="2"/>
      </rPr>
      <t>∆ (since 2012)</t>
    </r>
  </si>
  <si>
    <r>
      <t>%</t>
    </r>
    <r>
      <rPr>
        <sz val="11"/>
        <rFont val="Calibri"/>
        <family val="2"/>
      </rPr>
      <t>∆ (since 2020)</t>
    </r>
  </si>
  <si>
    <t>Effective Population (2013-2020 Methodology)</t>
  </si>
  <si>
    <t>Reported 2013-2020, Methodology updated as part of 2020 GMP Update to provide monthly numbers and adjust commuters, seasonal workers, and 2nd homeowners</t>
  </si>
  <si>
    <t>Monitor</t>
  </si>
  <si>
    <t>Permanent Population (ACS)</t>
  </si>
  <si>
    <t>Workers by Workplace Geography (ACS)</t>
  </si>
  <si>
    <t>Percentage of Workforce Living Locally Indicator (Retired, 2005 Base)</t>
  </si>
  <si>
    <t>Population (ACS)</t>
  </si>
  <si>
    <t>should this be adjusted by month?</t>
  </si>
  <si>
    <t>is this the right number to use?</t>
  </si>
  <si>
    <t>% of Workforce Living Locally</t>
  </si>
  <si>
    <t>needs recalibration</t>
  </si>
  <si>
    <t>2nd Homes (ACS)</t>
  </si>
  <si>
    <t>2nd Home Adjustment</t>
  </si>
  <si>
    <t>needs reconsideration</t>
  </si>
  <si>
    <t>persons/DU</t>
  </si>
  <si>
    <t>why Decennial number instead of ACS?</t>
  </si>
  <si>
    <t>calculation needs analysis is number so high because of May, October?</t>
  </si>
  <si>
    <t>QCEW Seasonal Average</t>
  </si>
  <si>
    <t>Proprietors Factor</t>
  </si>
  <si>
    <t>why constant? Should be adjusted annually</t>
  </si>
  <si>
    <t>Jobs per Employee</t>
  </si>
  <si>
    <t>probably not the same for commuters, local wage earners, proprietors</t>
  </si>
  <si>
    <t>persons/LU</t>
  </si>
  <si>
    <t>is this right?</t>
  </si>
  <si>
    <t>why is this constant? What's right?</t>
  </si>
  <si>
    <t>Seasonal Occupancy Average</t>
  </si>
  <si>
    <t>occupied LU/total LU</t>
  </si>
  <si>
    <t>Percentage of the Workforce Living Locally (2013-2020 Methodology)</t>
  </si>
  <si>
    <t>Reported 2013-2020, Methodology updated as part of 2020 GMP Update based on discrepancy between indicator method and Housing Action Plan method</t>
  </si>
  <si>
    <t>&gt; 65% of the workforce living locally</t>
  </si>
  <si>
    <t>The percentage of the workforce living locally is a ratio of local workers to local jobs</t>
  </si>
  <si>
    <t>Local worker (LAUS) and local job (BEA) trends are monitored, but need to be calibrated to account for workers with multiple jobs</t>
  </si>
  <si>
    <t>The calibration is done using employee surveys obtained periodically when a Housing Needs Assessment is done</t>
  </si>
  <si>
    <t>Divide the LAUS local workforce number by the BEA local jobs number to get a raw percentage</t>
  </si>
  <si>
    <t>Derive a multiplier by dividing the survey benchmark (2005 or 2014) by the raw percentage for that year</t>
  </si>
  <si>
    <t>Multiply each year's raw percentage by the multiplier</t>
  </si>
  <si>
    <t>The basic assumption is that jobs per employee is constant so that the relationship of the federal data to actual data will remain proportional</t>
  </si>
  <si>
    <t>The 2020 finding that this assumption was not accurate led to the methodology update</t>
  </si>
  <si>
    <t>From 2013-2020 the primary calibration was based on the 2007 Housing Needs Assessment, which was actually a 2005 survey of employees</t>
  </si>
  <si>
    <t>In 2020 a second calibration was used based on the 2014 Housing Needs Assessment when it was discovered that the '07 NA calibration did not yield the '14 NA survey result</t>
  </si>
  <si>
    <t>It was also determined that a new methodology pulling in multiple datasets might provide a more accurate picture</t>
  </si>
  <si>
    <t>BEA Local Jobs</t>
  </si>
  <si>
    <t>LAUS Employed Local Workforce</t>
  </si>
  <si>
    <t>2007 Needs Assessment Survey Estimate</t>
  </si>
  <si>
    <t>2007 Needs Assessment Data Point</t>
  </si>
  <si>
    <t>2014 Needs Assessment Survey Estimate</t>
  </si>
  <si>
    <t>2014 Needs Assessment Data Point</t>
  </si>
  <si>
    <t>Reported 2013-2020, incorporated into Cost of Living as part of 2020 GMP Update based upon owner-occupied housing cost only represented one portion of cost of living</t>
  </si>
  <si>
    <t>The cost to purchase a home relative to median income is an important historical number that has been reported back to the 80s in past reports</t>
  </si>
  <si>
    <t>Single Family Home Price</t>
  </si>
  <si>
    <t>Report the median home price as a percentage of median income (with a line at 300% of median income to represent an affordable home price)</t>
  </si>
  <si>
    <t>In 2013 only the Single-Family home price was reported, the overall price was added for 2014-2020</t>
  </si>
  <si>
    <t>Divide median price by median income, report as percentage</t>
  </si>
  <si>
    <t>The HUD Median Family Income Limit was used from year to year with no correction. In the replacement cost of living indicator, the HUD projection is used until the ACS actual data is available.</t>
  </si>
  <si>
    <t>Affordable (300% of Median Income)</t>
  </si>
  <si>
    <t>Price/Median Income</t>
  </si>
  <si>
    <t>Median Home Price (as % Median Income)</t>
  </si>
  <si>
    <t>Median Single-Family Home Price (as % Median Income)</t>
  </si>
  <si>
    <t>Conservation and Buildout Datasheet</t>
  </si>
  <si>
    <t>Planning Department databases: identify LDR Text Amendments, Zoning Map Amendments, PUDs, 2:1 Projects, CN-PRDs, and new parcels approved in the past year</t>
  </si>
  <si>
    <t>For 2:1 and CN-PRD record based on the date of first approval (i.e. Sketch Plan - see Town LDR Div. 7.8 for details)</t>
  </si>
  <si>
    <t>For new parcels query CityView for new property records (PIDNs) created in the last year, pull map number, description, tax_id and other Assessor data that will help process the data</t>
  </si>
  <si>
    <t>County Clerk records: search for deeds from the past year in which the "United States" or "Wyoming" are the conveyee or conveyor</t>
  </si>
  <si>
    <t>Conservation Easements: ask the land trusts if the County GIS data is up to date; if not, have them update; if so, identify consveration easements recorded in the last year and record development potential and conservation statistics</t>
  </si>
  <si>
    <t>BuildoutAssumptions sheet</t>
  </si>
  <si>
    <t>Key:</t>
  </si>
  <si>
    <t>AMD - LDR Amendment, Zoning Map Amendment, PUD, Annexation</t>
  </si>
  <si>
    <t>Net Buildout Change Datasheet</t>
  </si>
  <si>
    <t>PPT - Public/Private Land Transfer</t>
  </si>
  <si>
    <t>Source data is accurate, buildout difference is based on assumptions but is apples to apples</t>
  </si>
  <si>
    <t>CE - Conservation Easement</t>
  </si>
  <si>
    <t>Current, typically querried for past year</t>
  </si>
  <si>
    <t>To calculate the buildout difference, enter the before and after allownances, and the difference will calculate</t>
  </si>
  <si>
    <t>CNPRD - CNPRD Project</t>
  </si>
  <si>
    <t>It is important to use the proper form from the Key so that the data pulls correctly</t>
  </si>
  <si>
    <t>S/D - Subdivision</t>
  </si>
  <si>
    <t>For new parcels, only Rural Area subdivisions are documented, new parcels are only counted if they are less than 70 acres because properties over 70 acres still have latent potential, land trust "Trust Parcels" and utility lots are not counted</t>
  </si>
  <si>
    <t>Project</t>
  </si>
  <si>
    <t>Description</t>
  </si>
  <si>
    <t>Type</t>
  </si>
  <si>
    <t>Town County</t>
  </si>
  <si>
    <t>Rural or CN</t>
  </si>
  <si>
    <t>Date</t>
  </si>
  <si>
    <t>Year</t>
  </si>
  <si>
    <t>Site</t>
  </si>
  <si>
    <t>Site Area (acres)</t>
  </si>
  <si>
    <t>Before</t>
  </si>
  <si>
    <t>After</t>
  </si>
  <si>
    <t>Difference</t>
  </si>
  <si>
    <t>New Lots</t>
  </si>
  <si>
    <t>Conservation/Subdivision Acreage</t>
  </si>
  <si>
    <t>Notes</t>
  </si>
  <si>
    <t>Zone</t>
  </si>
  <si>
    <t>Res Units</t>
  </si>
  <si>
    <t>NonRes-NonLdg Sq Ft</t>
  </si>
  <si>
    <t>Ag</t>
  </si>
  <si>
    <t>Need to add 2002 through 2015 data to this sheet ( Rural Subdivision data already goes back to 2010, Conservation data goes back to 2006)</t>
  </si>
  <si>
    <t>Jackson Hole Golf &amp; Tennis Condominiums</t>
  </si>
  <si>
    <t>S/D</t>
  </si>
  <si>
    <t>TC</t>
  </si>
  <si>
    <t>R</t>
  </si>
  <si>
    <t>01284</t>
  </si>
  <si>
    <t>PUD-PR</t>
  </si>
  <si>
    <t>Inglis Subdivision</t>
  </si>
  <si>
    <t>01288</t>
  </si>
  <si>
    <t>Triangle Q, 2nd Filing</t>
  </si>
  <si>
    <t>1299</t>
  </si>
  <si>
    <t>PUD</t>
  </si>
  <si>
    <t>T-301G</t>
  </si>
  <si>
    <t>Belles Filles</t>
  </si>
  <si>
    <t>1306</t>
  </si>
  <si>
    <t>NC</t>
  </si>
  <si>
    <t>Triangle Q, 3rd Filing</t>
  </si>
  <si>
    <t>01311</t>
  </si>
  <si>
    <t>Triangle Q, 4th Filing</t>
  </si>
  <si>
    <t>01314</t>
  </si>
  <si>
    <t>Doshay</t>
  </si>
  <si>
    <t>01320</t>
  </si>
  <si>
    <t>PRD</t>
  </si>
  <si>
    <t>Linn Family Subdivison</t>
  </si>
  <si>
    <t>T-93E</t>
  </si>
  <si>
    <t>FAM/NC</t>
  </si>
  <si>
    <t>22-44-18-29-1-00-008</t>
  </si>
  <si>
    <t>Halpin Fish Creek (GV) Family Subidivsion</t>
  </si>
  <si>
    <t>22-41-11-06-2-00-003, 22-41-11-06-2-00-004, 22-41-11-06-2-00-005</t>
  </si>
  <si>
    <t>FAM</t>
  </si>
  <si>
    <t>Wheeldon to WGF</t>
  </si>
  <si>
    <t>T-487A</t>
  </si>
  <si>
    <t>22-42-13-09-3-00-004</t>
  </si>
  <si>
    <t>22-41-16-16-3-00-006</t>
  </si>
  <si>
    <t>Ellis Family Subdivision</t>
  </si>
  <si>
    <t>T-510</t>
  </si>
  <si>
    <t>Christensen Settlement</t>
  </si>
  <si>
    <t>22-44-18-21-2-00-024, 22-44-18-21-2-00-025</t>
  </si>
  <si>
    <t>Court Order</t>
  </si>
  <si>
    <t>River Bend Riparian</t>
  </si>
  <si>
    <t>22-38-16-05-1-00-006</t>
  </si>
  <si>
    <t>Magnuson/Trucco</t>
  </si>
  <si>
    <t>01367</t>
  </si>
  <si>
    <t>Sublette Woods</t>
  </si>
  <si>
    <t>01369</t>
  </si>
  <si>
    <t xml:space="preserve">East Ranch </t>
  </si>
  <si>
    <t>01372</t>
  </si>
  <si>
    <t>River Bend Riparian Division</t>
  </si>
  <si>
    <t>T-458F</t>
  </si>
  <si>
    <t>Snake River Sporting Club, 4th Filing</t>
  </si>
  <si>
    <t>01373</t>
  </si>
  <si>
    <t>Vogel Hill</t>
  </si>
  <si>
    <t>T-29F</t>
  </si>
  <si>
    <t>Lodges at Snake River Canyon Ranch Resort</t>
  </si>
  <si>
    <t>01377</t>
  </si>
  <si>
    <t>22-41-16-15-2-00-003</t>
  </si>
  <si>
    <t>T-515</t>
  </si>
  <si>
    <t>Spring Creek Ranch Core, 2nd Filing</t>
  </si>
  <si>
    <t>01380</t>
  </si>
  <si>
    <t>T-495A</t>
  </si>
  <si>
    <t>T-518</t>
  </si>
  <si>
    <t>T-522</t>
  </si>
  <si>
    <t>EXD2019-0004</t>
  </si>
  <si>
    <t>T-446D</t>
  </si>
  <si>
    <t>S/D2019-0006</t>
  </si>
  <si>
    <t>Triangle Q, 5th Filing</t>
  </si>
  <si>
    <t>01405</t>
  </si>
  <si>
    <t>EXD2019-0005</t>
  </si>
  <si>
    <t>T-446E</t>
  </si>
  <si>
    <t>22-42-13-07-3-00-005</t>
  </si>
  <si>
    <t>B619 P894</t>
  </si>
  <si>
    <t>Bar BC Meadow Lot 1 (Black Canyon Ranch)</t>
  </si>
  <si>
    <t>CE</t>
  </si>
  <si>
    <t>22-41-16-04-1-00-011</t>
  </si>
  <si>
    <t>R-TC</t>
  </si>
  <si>
    <t>EAS2008-0004 and DEV2008-0015 for a 2-unit non-s/d PRD.  BSA = 77.14</t>
  </si>
  <si>
    <t>Bar BC Meadow Lot 2 (Black Canyon Ranch)</t>
  </si>
  <si>
    <t>22-41-16-04-3-00-004</t>
  </si>
  <si>
    <t>EAS2008-0002 and DEV2008-0013 for a 2-unit non-s/d PRD.  BSA = 78.68</t>
  </si>
  <si>
    <t>Bar BC Meadow Lot 3 (Black Canyon Ranch)</t>
  </si>
  <si>
    <t>22-41-16-04-3-00-005</t>
  </si>
  <si>
    <t>EAS2008-0003 and DEV2008-0014 for a 2-unit non-s/d PRD.  BSA = 76.24</t>
  </si>
  <si>
    <t>Black Canyon Ranch (Lot 4)</t>
  </si>
  <si>
    <t>22-41-16-04-3-00-006</t>
  </si>
  <si>
    <t>EAS2007-0006 and DEV2007-0024 for a 2-unit non-s/d PRD.  BSA = 122.7</t>
  </si>
  <si>
    <t>B662 P197</t>
  </si>
  <si>
    <t>H-H-R Ranches Easement</t>
  </si>
  <si>
    <t>Plat 881</t>
  </si>
  <si>
    <t>EAS2007-0001.  Amended EAS1996-0005 to allow the encroachment of a driveway; 0.13 acres added and 0.05 acres removed from easement.  Net change:  +0.08 acres</t>
  </si>
  <si>
    <t>B664 P1016</t>
  </si>
  <si>
    <t>Valley Springs Ranch (Wilson)</t>
  </si>
  <si>
    <t>22-40-16-07-4-00-003</t>
  </si>
  <si>
    <t>property has 150.35 acres total; portion not in conservation easement is already developeed with a homesite</t>
  </si>
  <si>
    <t>B670 P1000</t>
  </si>
  <si>
    <t>Teton Front (Jones)</t>
  </si>
  <si>
    <t>22-41-17-15-1-00-002</t>
  </si>
  <si>
    <t>B690 P784</t>
  </si>
  <si>
    <t>Spring Creek Ranch Easement</t>
  </si>
  <si>
    <t>22-41-16-17-4-01-001</t>
  </si>
  <si>
    <t>NC-PUD</t>
  </si>
  <si>
    <t>EAS2007-0003 and DEV2006-0026.  Conservation easement added to the clubhouse lot; no change in the number of dwellings.  See also B116 P468 (original); B481 P359, and B516 P24 for other amendments</t>
  </si>
  <si>
    <t>B668 P476</t>
  </si>
  <si>
    <t>Poodle Ranch (Harry Oliver)</t>
  </si>
  <si>
    <t>22-41-16-32-2-00-004</t>
  </si>
  <si>
    <t xml:space="preserve">Building envelopes have not been established and depend on whether the property owner extinguishes the rights to a dwelling on the property to the north.  If building envelope to the north is extinguished, then this parcel may be divided into 5 parcels rather than 4 (meaning no net change in dwelling units in one scenario vs. the other).  Each building site is to be limited to 5 acres.  Approx. 65 acres outside of steep slopes.  BSA = approx. 101 ac. 3 du/35 ac w/ 70% conserved.  Total acreage:  234.7  136.5 acres conserved.  98.2 acres already conserved. </t>
  </si>
  <si>
    <t>B672 P875</t>
  </si>
  <si>
    <t>Teton Valley Ranch (Western Properties Investors, LLC)</t>
  </si>
  <si>
    <t>22-42-15-11-1-00-013</t>
  </si>
  <si>
    <t>EAS2007-0002 and DEV2007-0002 for a 3-unit nons/d PRD; easement originally granted to TCSPT but was transferred to the JHLT in 2009.  Amendment B741 P225 modified rights and obligations; no change in density; amendment to DEV was to allow a road in the open space.  52.404-acre property; BSA = 35.719 acres</t>
  </si>
  <si>
    <t>B673 P937</t>
  </si>
  <si>
    <t>Shooting Star (Snake River Associates)</t>
  </si>
  <si>
    <t>22-41-17-01-3-00-003, 2-41-17-01-2-00-001, 2-41-17-01-2-00-001, 22-42-17-25-3-00-002</t>
  </si>
  <si>
    <t>Associated w/ Shooting Star DEV approval.  See DBA2002-000 for the density transfer information and pre-easement potential.
10 affordable/employee units reserved, 55 market-rate units reserved (all accounted for in the DBA).  Reserves the right to use density transfers to move the 10 affordable/employee units to a receiving area.  Associated with 6 different parcels.</t>
  </si>
  <si>
    <t>B673 P1084</t>
  </si>
  <si>
    <t>Shooting Star Golf Course (Snake River Associates)</t>
  </si>
  <si>
    <t>22-42-17-24-4-00-008</t>
  </si>
  <si>
    <t>Associated w/ Shooting Star DEV approval</t>
  </si>
  <si>
    <t>B673 P1055</t>
  </si>
  <si>
    <t>Shooting Star Setback (Snake River Associates)</t>
  </si>
  <si>
    <t>22-42-16-19-3-00-009, 22-42-16-19-2-00-009</t>
  </si>
  <si>
    <t>B680 P380</t>
  </si>
  <si>
    <t>G2V</t>
  </si>
  <si>
    <t>22-42-17-35-1-00-008</t>
  </si>
  <si>
    <t>NC-TC</t>
  </si>
  <si>
    <t>B686 P685</t>
  </si>
  <si>
    <t>Fall Creek Road (MacLean)</t>
  </si>
  <si>
    <t>22-40-17-15-3-00-001</t>
  </si>
  <si>
    <t>property has 149.89 acres total; portion not in conservation easement is already developed with a homesite and caretaker's residence</t>
  </si>
  <si>
    <t>B686 P744</t>
  </si>
  <si>
    <t>Red Rock Ranch II (RRR Conservation, LLC)</t>
  </si>
  <si>
    <t>22-42-13-09-3-00-003</t>
  </si>
  <si>
    <t>Allows one dwelling and a hayshed</t>
  </si>
  <si>
    <t>B686 P1086</t>
  </si>
  <si>
    <t>Bar B Bar (Reynolds)</t>
  </si>
  <si>
    <t>, 22-42-16-21-1-00-011</t>
  </si>
  <si>
    <t>Covers three properties:  7A, 7B, and 6B.  Portions of 7B and 6B not covered by easement, and 1 dwelling unit permitted on each property.  1.2-acre ag BE on 7A, and no dwelling units permitted.  Total acreage on all three properties:  105.34 vs. 81.7-acre easement</t>
  </si>
  <si>
    <t>B687 P042</t>
  </si>
  <si>
    <t>Squaw Creek I (Munger Mountain)</t>
  </si>
  <si>
    <t>22-40-16-31-3-00-001</t>
  </si>
  <si>
    <t>no building envelope.  Pre-easement potential estimated - assumes approx. 50% of property has slopes in excess of 25% for a total BSA of 160 acres.  6 du/35 ac w/ 70% conserved</t>
  </si>
  <si>
    <t>B687 P116</t>
  </si>
  <si>
    <t>Squaw Creek II (Melbourne Partners)</t>
  </si>
  <si>
    <t>22-40-16-32-3-00-003</t>
  </si>
  <si>
    <t>no building envelope.  Pre-easement potential estimated - assumes approx. 31 acres outside steep slopes for a total BSA of approx. 33.75 acres.  3 du/35 ac w/ 70% conserved</t>
  </si>
  <si>
    <t>B687 P161</t>
  </si>
  <si>
    <t>Squaw Creek III (Melbourne Partners)</t>
  </si>
  <si>
    <t>22-40-16-32-4-00-001</t>
  </si>
  <si>
    <t>no building envelope.  Pre-easement potential estimated - assumes approx. 30 acres outside steep slopes for a total BSA of approx. 69 acres.  3 du/35 ac w/ 70% conserved</t>
  </si>
  <si>
    <t>B715 P463</t>
  </si>
  <si>
    <t>Pacific Creek (Baxter)</t>
  </si>
  <si>
    <t>22-45-13-07-4-00-055</t>
  </si>
  <si>
    <t>Allows one dwelling and a guest house.  Previous zoning:  RA-3 which allows 2 lots</t>
  </si>
  <si>
    <t>B715 P555</t>
  </si>
  <si>
    <t>Squaw Creek IV (Munger Mountain)</t>
  </si>
  <si>
    <t>22-40-16-31-2-00-001</t>
  </si>
  <si>
    <t>no building envelope.  Pre-easement potential estimated - assumes approx. 23 acres outside steep slopes for a total BSA of approx. 47 acres.  3 du/35 ac w/ 70% conserved</t>
  </si>
  <si>
    <t>B726 P399</t>
  </si>
  <si>
    <t>Mustang Ridge Easement</t>
  </si>
  <si>
    <t>Plat 1263</t>
  </si>
  <si>
    <t>EAS2009-0001 and DEV2002-0019 for a 2-unit S/D PRD.  BSA = 28.44</t>
  </si>
  <si>
    <t>B730 P288</t>
  </si>
  <si>
    <t>Hatchet Resort (Moran Mountain Resorts LLC)</t>
  </si>
  <si>
    <t>22-45-13-36-1-02-CND</t>
  </si>
  <si>
    <t>BC/R-TC</t>
  </si>
  <si>
    <t>Approx. 7.11-acre condo plat.  2 acres preserved.</t>
  </si>
  <si>
    <t>B743 P367</t>
  </si>
  <si>
    <t>Donaghmore</t>
  </si>
  <si>
    <t>22-42-17-26-1-00-003</t>
  </si>
  <si>
    <t>EAS2008-0006 and DEV2009-0001 - a replacement of a 1986 easement (the 1986 easement was abandoned and originally conserved 15 acres).  This new easement conserves 19 acres for a net change of 4 acres.</t>
  </si>
  <si>
    <t>B743 P001</t>
  </si>
  <si>
    <t>Downington</t>
  </si>
  <si>
    <t>22-40-17-04-1-00-007, 22-40-17-04-1-00-008</t>
  </si>
  <si>
    <t>EAS2009-0002 and DEV2009-XXXX - amendment to EASXXXX-XXXX (B349 P575, B423 P676).  BSA = 54.8?</t>
  </si>
  <si>
    <t>B766 P325</t>
  </si>
  <si>
    <t>Donaghmore Easement</t>
  </si>
  <si>
    <t>22-42-17-26-1-01-005</t>
  </si>
  <si>
    <t>EAS2008-0010 and DEV2009-0024 allowed a 4-unit s/d PRD; no subdivision of land has yet occurrred. Only 48.07 acres required to be under conservation.  BSA = 54.29 acres</t>
  </si>
  <si>
    <t>B766 P278</t>
  </si>
  <si>
    <t>EAS2009-0005 and DEV2009-0023 allowed a 2-unit non S/D PRD.  25.16 acres proposed for conservation; 19.26 acres already conserved.  BSA = 26.59 acres</t>
  </si>
  <si>
    <t>B771 P890</t>
  </si>
  <si>
    <t>Crescent H Guest Ranch (Parcel 10)</t>
  </si>
  <si>
    <t>22-40-17-03-2-00-008</t>
  </si>
  <si>
    <t>EAS2010-0001 - amendment to EAS1999-0003 (B378 P788) to allow for the encroachment of a footbridge, patio and ball court. No change in density proposed, but a small increase in protected lands occurred</t>
  </si>
  <si>
    <t>B772 P441</t>
  </si>
  <si>
    <t>Bar B Bar 3A (JB Bar Ranch Holdings LP)</t>
  </si>
  <si>
    <t>22-42-16-21-1-00-008</t>
  </si>
  <si>
    <t>DEV2008-0001.  2-unit nons/d PRD Easement language states that 2 dwellings may be located on the property, but that one must be accessory.  BSA = 23.6</t>
  </si>
  <si>
    <t>B772 P1074</t>
  </si>
  <si>
    <t>Flat Creek Corridor Protection</t>
  </si>
  <si>
    <t>22-41-16-32-4-00-026, 22-41-16-32-4-00-027, 22-41-16-32-4-00-028</t>
  </si>
  <si>
    <t>TOWN OF JACKSON.  Approx. 6 acres outside of steep slopes.  BSA = approx. 18 acres.</t>
  </si>
  <si>
    <t>B795 P248</t>
  </si>
  <si>
    <t>Flat Creek Corridor Protection Project II (ToJ)</t>
  </si>
  <si>
    <t>ToJ</t>
  </si>
  <si>
    <t>22-41-16-32-4-00-030</t>
  </si>
  <si>
    <t>B796 P1067</t>
  </si>
  <si>
    <t>River Rock Ranch IV (McQuillan)</t>
  </si>
  <si>
    <t>22-42-16-32-1-00-022</t>
  </si>
  <si>
    <t>allows only one residence (called the 'guest house') at any time on the property</t>
  </si>
  <si>
    <t>B799 P581</t>
  </si>
  <si>
    <t>Edgcomb/River Bend Ranch</t>
  </si>
  <si>
    <t>22-38-16-08-4-00-003</t>
  </si>
  <si>
    <t>EAS2005-0004 and DEV2002-0024.  Amendment to CE B496 P431.  The southern property straddles the line between Teton and Lincold Counties.  Numbers reflect the portion of the easement within Teton County only.  The easement is linked to SRSC, and rights on the southern parcel allowed for ag employee housing until the 2011 amendment (EAS2011-0004).  BSA = 668 ac.  Unclear how many employee housing units would have been allowed, so assuming 2 units - one "main residence" and one "guest house."</t>
  </si>
  <si>
    <t>B812 P251</t>
  </si>
  <si>
    <t>Brittenham/Schatz</t>
  </si>
  <si>
    <t>22-40-17-04-2-00-001</t>
  </si>
  <si>
    <t>EAS2008-0008 - amendment of EAS1997-0001; conserved area increased by 0.97 acres due to encroachment of development.  No change in denisty.  The representation of the easement needs to be corrected in the GIS.</t>
  </si>
  <si>
    <t>B816 P669</t>
  </si>
  <si>
    <t>Jackson Hole Ranch Parcel I</t>
  </si>
  <si>
    <t>22-42-16-03-4-00-016</t>
  </si>
  <si>
    <t>BSA = approx. 10 acres</t>
  </si>
  <si>
    <t>B815 P312</t>
  </si>
  <si>
    <t>Plat 1320</t>
  </si>
  <si>
    <t xml:space="preserve">EAS2011-0003 and DEV2011-0010 for a 3-unit PRD.  </t>
  </si>
  <si>
    <t>B816 P586</t>
  </si>
  <si>
    <t>Givens Working Ranch (Jackson Hole Ranch)</t>
  </si>
  <si>
    <t>Plat 1307</t>
  </si>
  <si>
    <t>EAS2011-0001 and DEV2011-0004 for a 3-lot working ranch subdivision (Only 2 lots developable).  This is one of the few JHLT easements that does not cover the entire property.  7.48 acres on lots 1 and 2 reserved for development.</t>
  </si>
  <si>
    <t>Flat Creek Corridor Protection Project III (ToJ)</t>
  </si>
  <si>
    <t>22-41-16-32-4-00-031</t>
  </si>
  <si>
    <t>B830 P472</t>
  </si>
  <si>
    <t>Bar B Bar 6A (AWM Trust)</t>
  </si>
  <si>
    <t>22-42-16-21-1-00-012</t>
  </si>
  <si>
    <t>B830 P534</t>
  </si>
  <si>
    <t>Red Rock Ranch III (MacKenzie Land LP)</t>
  </si>
  <si>
    <t>22-42-13-21-1-00-001</t>
  </si>
  <si>
    <t>Property is 241.66 acres in size; 153 acres preserved.  CE covers 63% of property; can do 2 du/35 ac w/ 50% conservation.  Is a guest ranch w/ a lodge and 16 dwelling and/or guest units (per Assessor).  No dwellings allowed in CE.</t>
  </si>
  <si>
    <t>B830 P822</t>
  </si>
  <si>
    <t>B-Hive Ranch (AWM Trust)</t>
  </si>
  <si>
    <t>22-41-16-06-2-02-009</t>
  </si>
  <si>
    <t>Was considered a buildable lot; now preserved</t>
  </si>
  <si>
    <t>B830 P865</t>
  </si>
  <si>
    <t>525 West Zenith</t>
  </si>
  <si>
    <t>22-42-16-21-1-00-005</t>
  </si>
  <si>
    <t>JHLT easement overlaid on TNC easements (see B314 P613 and B409 P411; the former allowed for up to 6 dus on 3 parcels while the latter does not appear to allow any dus).  BSA = approx. 29.57 acres</t>
  </si>
  <si>
    <t>B842 P796</t>
  </si>
  <si>
    <t>Bar B Bar Ranch 2A/2B</t>
  </si>
  <si>
    <t>22-42-16-21-3-00-015</t>
  </si>
  <si>
    <t>EAS2012-0003 - easement transferred from TCSPT to JHLT</t>
  </si>
  <si>
    <t>B856 P550</t>
  </si>
  <si>
    <t>Crescent H Ranch Lot 23</t>
  </si>
  <si>
    <t>22-41-17-34-3-11-001</t>
  </si>
  <si>
    <t>Settlement for 2001 easement violation on Parcel 4 of Crescent H Ranch #114.  It doesn't appear that JHLT has actually prohibited development on this property.  They own it outright, and the 'easement' is actually the warranty deed.  There doesn't appear to be anything in the deed that actually protects the land other than the fact that the Land Trust owns it.</t>
  </si>
  <si>
    <t>B857 P843</t>
  </si>
  <si>
    <t>East Gros Ventre Butte 181ac</t>
  </si>
  <si>
    <t>22-41-16-10-4-00-019</t>
  </si>
  <si>
    <t>approx 42 acres outside steep slopes and BSA = approx 112 acres. 3 du/35 ac w/ 70% conservation.  Grantor reserves the right to use the property for grazing livestock</t>
  </si>
  <si>
    <t>B859 P230</t>
  </si>
  <si>
    <t>Flat Creek Corridor Protection Project IV (ToJ)</t>
  </si>
  <si>
    <t>22-41-16-32-4-00-029</t>
  </si>
  <si>
    <t>While public access is not listed as a conservation value, public access is obvious</t>
  </si>
  <si>
    <t>B873 P70</t>
  </si>
  <si>
    <t>Bar B Bar 1A PRD</t>
  </si>
  <si>
    <t>22-42-16-28-2-00-001</t>
  </si>
  <si>
    <t>EAS2014-0003, DEV2008-0020</t>
  </si>
  <si>
    <t>B876 P939</t>
  </si>
  <si>
    <t>ZZXYZ</t>
  </si>
  <si>
    <t>22-42-16-03-4-00-012</t>
  </si>
  <si>
    <t>B883 P756</t>
  </si>
  <si>
    <t>Skyline Ranch Tract 4-3</t>
  </si>
  <si>
    <t>22-41-17-25-2-01-005</t>
  </si>
  <si>
    <t>Limited number of ag buildings are permitted to be on the property.  There is no defined 'developable area', so listed the entire property as developable</t>
  </si>
  <si>
    <t>B884 P247</t>
  </si>
  <si>
    <t>Pontirussa LLC</t>
  </si>
  <si>
    <t>22-44-18-22-2-00-001, 22-44-18-21-4-00-001</t>
  </si>
  <si>
    <t>covers 2 35-acre parcels.  Potential based on a BSA of 70 acres total</t>
  </si>
  <si>
    <t>B885 P130</t>
  </si>
  <si>
    <t>Taylor Creek</t>
  </si>
  <si>
    <t>22-40-17-14-3-00-006, 22-40-17-14-3-00-005</t>
  </si>
  <si>
    <t>B885 P163</t>
  </si>
  <si>
    <t>Taylor Creek PRD</t>
  </si>
  <si>
    <t>22-40-17-14-3-00-007</t>
  </si>
  <si>
    <t>EAS2011-0006; DEV2012-0008</t>
  </si>
  <si>
    <t>B885 P193</t>
  </si>
  <si>
    <t>River Rock Ranch V</t>
  </si>
  <si>
    <t>22-42-16-29-4-00-016</t>
  </si>
  <si>
    <t>B890 P880</t>
  </si>
  <si>
    <t>River Springs (RLC)</t>
  </si>
  <si>
    <t>22-41-17-23-1-00-045</t>
  </si>
  <si>
    <t>P-TC</t>
  </si>
  <si>
    <t>B912 P10</t>
  </si>
  <si>
    <t>Flat Creek Bend (Sobieski Trust)</t>
  </si>
  <si>
    <t>22-41-16-32-4-00-022</t>
  </si>
  <si>
    <t>B911 P1</t>
  </si>
  <si>
    <t>Skyline Ranch Tract 4-4 (Richter)</t>
  </si>
  <si>
    <t>22-41-17-25-2-01-001</t>
  </si>
  <si>
    <t>JHLT: 1-0.528 ac. BUILDING ENVELOPE : House, 3 non-habit building. There isn't anymore developable area.</t>
  </si>
  <si>
    <t>B894 P923</t>
  </si>
  <si>
    <t>Spring Gulch Ranch A-1 (Mead)</t>
  </si>
  <si>
    <t>22-41-16-17-4-00-004</t>
  </si>
  <si>
    <t>JHLT: Existing 4 ac. BE developed. 9 buildings in existing BE. Main house, Guest cabin, charter barn, calving barn, summer kitchen, scale house, scale house 2, Lean-to, Old Barn. Reserves right to add additional residence.</t>
  </si>
  <si>
    <t>B894 P955</t>
  </si>
  <si>
    <t>Spring Gulch Ranch B-1 (Mead)</t>
  </si>
  <si>
    <t>22-41-16-20-1-00-008</t>
  </si>
  <si>
    <t xml:space="preserve">Provides 4 acre building envelope that permits one primary building, one ARU, and agricultural building accessory to agricultural uses (employee housing, animal shelters, etc).Not sure on existing structures. Said to be described in Inventory, which isn't present. Exhibit B with the Map of the structures is unreadable. </t>
  </si>
  <si>
    <t>B894 P984</t>
  </si>
  <si>
    <t>Spring Gulch Ranch C-1 (Mead)</t>
  </si>
  <si>
    <t>22-41-16-20-3-00-006</t>
  </si>
  <si>
    <t>B894  P1013</t>
  </si>
  <si>
    <t>Spring Gulch Ranch D-1 (Mead)</t>
  </si>
  <si>
    <t>22-41-16-17-4-00-005</t>
  </si>
  <si>
    <t>B894 P1041</t>
  </si>
  <si>
    <t>Spring Gulch Ranch 2 (Mead)</t>
  </si>
  <si>
    <t>22-41-16-20-1-00-009</t>
  </si>
  <si>
    <t>B915 P608</t>
  </si>
  <si>
    <t>East Gros Ventre Butte 42ac (Turner Trust)</t>
  </si>
  <si>
    <t>22-41-16-15-3-00-011</t>
  </si>
  <si>
    <t>see Difference</t>
  </si>
  <si>
    <t>density transferred through noncontiguous PRD</t>
  </si>
  <si>
    <t>B915 P630</t>
  </si>
  <si>
    <t>East Gros Ventre Butte 20ac (Turner Trust)</t>
  </si>
  <si>
    <t>22-41-16-22-2-00-010</t>
  </si>
  <si>
    <t>B921 P499</t>
  </si>
  <si>
    <t>Jackson Hole Ranch Parcel B (JH Ranch Conservancy Fdn.)</t>
  </si>
  <si>
    <t>22-42-16-03-4-00-005</t>
  </si>
  <si>
    <t>R1</t>
  </si>
  <si>
    <t>Ordinance 1117</t>
  </si>
  <si>
    <t>Lots 17, 18, 19, Cache 4 and Lot 6, Block 4, Cache 1;212-
234 E Pearl; P15-100</t>
  </si>
  <si>
    <t>AMD</t>
  </si>
  <si>
    <t>CN</t>
  </si>
  <si>
    <t>AR</t>
  </si>
  <si>
    <t>UR</t>
  </si>
  <si>
    <t>ZMA 16-0001</t>
  </si>
  <si>
    <t>Munger Mountain School</t>
  </si>
  <si>
    <t>P/SP</t>
  </si>
  <si>
    <t>Ordinance 1120</t>
  </si>
  <si>
    <t>Westview Townhomes PUD-UR (P16-017)</t>
  </si>
  <si>
    <t>AC-ToJ</t>
  </si>
  <si>
    <t>PUD-UR</t>
  </si>
  <si>
    <t>Doc 908896</t>
  </si>
  <si>
    <t>Thomas Gilcrease Foundation to USA http://tetonwy.greenwoodmap.com/clerk/pdf/0908896.pdf</t>
  </si>
  <si>
    <t>PPT</t>
  </si>
  <si>
    <t>22-39-15-30-2-00-009</t>
  </si>
  <si>
    <t>n/a</t>
  </si>
  <si>
    <t>Ordinance 1131</t>
  </si>
  <si>
    <t>Lots 23, Webster LaPlant Homestead 5th Addition Future Phases; (P16-019)</t>
  </si>
  <si>
    <t>no change to density, three buildings instead of two</t>
  </si>
  <si>
    <t>Ordinance 1133</t>
  </si>
  <si>
    <t>PUD-AR Scarlet Addition (P16-39 &amp;P16-061)</t>
  </si>
  <si>
    <t>AR-ToJ</t>
  </si>
  <si>
    <t>PUD-AR</t>
  </si>
  <si>
    <t>ZMA 15-0002</t>
  </si>
  <si>
    <t>Snake River Sporting Club</t>
  </si>
  <si>
    <t>various</t>
  </si>
  <si>
    <t>Doc 913357</t>
  </si>
  <si>
    <t>Private to Wy Game and Fish http://tetonwy.greenwoodmap.com/clerk/pdf/0913357.pdf</t>
  </si>
  <si>
    <t>22-44-18-29-4-00-022</t>
  </si>
  <si>
    <t>R2</t>
  </si>
  <si>
    <t>Ordinance 1135</t>
  </si>
  <si>
    <t>Annexation - AC-TC to AC-TOJ;</t>
  </si>
  <si>
    <t>AC-TC</t>
  </si>
  <si>
    <t>Doc 915698</t>
  </si>
  <si>
    <t>Land Trust to USA http://tetonwy.greenwoodmap.com/clerk/pdf/0915698.pdf</t>
  </si>
  <si>
    <t>22-45-13-36-1-01-004</t>
  </si>
  <si>
    <t>already under conservation easement</t>
  </si>
  <si>
    <t>Ordinance 1156</t>
  </si>
  <si>
    <t>increase allowed floor area by 264846. used standard use distribution assumptions</t>
  </si>
  <si>
    <t>Doc 918659</t>
  </si>
  <si>
    <t>antelope flats - school trust to GTNP http://tetonwy.greenwoodmap.com/clerk/pdf/0918659.pdf</t>
  </si>
  <si>
    <t>22-43-15-16-1-00-001</t>
  </si>
  <si>
    <t>ZMA 17-0004</t>
  </si>
  <si>
    <t>Teton Raptor Center</t>
  </si>
  <si>
    <t>22-41-17-22-4-00-016</t>
  </si>
  <si>
    <t>Buildout determined by easement</t>
  </si>
  <si>
    <t>R-2</t>
  </si>
  <si>
    <t>Buildout determiend by easement</t>
  </si>
  <si>
    <t>PUD 16-0004</t>
  </si>
  <si>
    <t>22-38-16-08-1-01-001</t>
  </si>
  <si>
    <t>R3</t>
  </si>
  <si>
    <t>seeDifference</t>
  </si>
  <si>
    <t>PR-SR</t>
  </si>
  <si>
    <t>Units added throught text amd to entire PUD, not through rezone.</t>
  </si>
  <si>
    <t>Ordinance 1168</t>
  </si>
  <si>
    <t>Hidden Hollow (former Forest Service site annexed in 2015 with UR designation)</t>
  </si>
  <si>
    <t>22-41-16-27-3-00-032</t>
  </si>
  <si>
    <t>B943 P765</t>
  </si>
  <si>
    <t>Crescent H Ranch Parcel 2 PRD (Harvey)</t>
  </si>
  <si>
    <t>22-40-17-03-2-00-014</t>
  </si>
  <si>
    <t>R-1</t>
  </si>
  <si>
    <t>how do we do our R1 assumptions? Automatic FAO if meeting min lot size? We don’t count ARUs, right? Reserved rights of 2 SF and 2 accessory residential units. Nonsubivision PRD. In under old Rural regulations.</t>
  </si>
  <si>
    <t>Doc 930438</t>
  </si>
  <si>
    <t>East Gros Ventre Butte (JHLT)</t>
  </si>
  <si>
    <t>22-41-16-15-2-00-004</t>
  </si>
  <si>
    <t>Doc 933036</t>
  </si>
  <si>
    <t>Crescent H Ranch Lot 23 (Crescent H HOA)</t>
  </si>
  <si>
    <t>PUD-R2</t>
  </si>
  <si>
    <t>See difference</t>
  </si>
  <si>
    <t>Buildout determined by PUD. CE didn't change buildout for property/no structures permitted.</t>
  </si>
  <si>
    <t>Doc 933023</t>
  </si>
  <si>
    <t>Crescent H Ranch Lot 22 (Crescent H HOA)</t>
  </si>
  <si>
    <t>22-41-17-34-3-11-002</t>
  </si>
  <si>
    <t>Ordinance 1184</t>
  </si>
  <si>
    <t>Sagebrush Apartments</t>
  </si>
  <si>
    <t>22-41-16-33-1-00-015</t>
  </si>
  <si>
    <t>CR-2</t>
  </si>
  <si>
    <t>Doc 935060</t>
  </si>
  <si>
    <t>475 S. Ely Springs Road (Livimac V, LLC)</t>
  </si>
  <si>
    <t>22-41-17-35-4-00-012</t>
  </si>
  <si>
    <t>no structure rights retained
FAO - .6 ARUs, round  down</t>
  </si>
  <si>
    <t>Doc 946440</t>
  </si>
  <si>
    <t>East Gros Ventre Butte Hilltop (JHLT)</t>
  </si>
  <si>
    <t>Ordinance 1197</t>
  </si>
  <si>
    <t>Town D3-D6 Zoning Update; Added 9 character zones and deletetd 9 legacy zones; P17-077</t>
  </si>
  <si>
    <t>D3-D6 Engage 2017 AMD</t>
  </si>
  <si>
    <t>NA</t>
  </si>
  <si>
    <t>Doc 954623</t>
  </si>
  <si>
    <t>Crescent H Ranch Tract 6 (Crescent H - Tract 6, LLC) JHLT - PRD</t>
  </si>
  <si>
    <t>22-40-17-04-3-00-003</t>
  </si>
  <si>
    <t>DOP2016-0006, PRD Floor Area Option allowing 12637 additional floor area and 2 additional ARUs; 3.68 acre development area</t>
  </si>
  <si>
    <t>AMD2017-0006</t>
  </si>
  <si>
    <t>The Grand Targhee Resort Master Plan Amendment</t>
  </si>
  <si>
    <t>22-44-18-11-4-00-001</t>
  </si>
  <si>
    <t>PR-TG</t>
  </si>
  <si>
    <t>ZMA2018-0001</t>
  </si>
  <si>
    <t>Rezone Teton Village exaction parcel to P/SP</t>
  </si>
  <si>
    <t>22-42-16-19-3-00-009,001</t>
  </si>
  <si>
    <t>Doc 962558</t>
  </si>
  <si>
    <t>Chimney Draw (Chimney Draw LLC) JHLT</t>
  </si>
  <si>
    <t>22-40-17-23-2-00-003</t>
  </si>
  <si>
    <t>two 2-acre building envelopes; 4 structures assuming 1 SF DU and 1 ARU per building envelope</t>
  </si>
  <si>
    <t>P19-097/098</t>
  </si>
  <si>
    <t>165&amp;185 N Glenwood</t>
  </si>
  <si>
    <t>22-41-16-28-4-10-001,004</t>
  </si>
  <si>
    <t>DC/LO</t>
  </si>
  <si>
    <t>Doc 975464</t>
  </si>
  <si>
    <t>East Broadway (Café G LLC)</t>
  </si>
  <si>
    <t>22-41-16-27-3-00-009,010</t>
  </si>
  <si>
    <t>DC,UC</t>
  </si>
  <si>
    <t>easement extinguishes 37356 sf per easement, rest is retained or transferred</t>
  </si>
  <si>
    <t>ZMA2019-0001</t>
  </si>
  <si>
    <t>Levy Zoning Map Amendment: R1 to R2</t>
  </si>
  <si>
    <t>22-42-16-20-4-00-011</t>
  </si>
  <si>
    <t>ZMA2019-0002</t>
  </si>
  <si>
    <t>Hirshberg/Menolascino Rezone to NC-TC</t>
  </si>
  <si>
    <t>22-41-17-13-2-00-051,060</t>
  </si>
  <si>
    <t>AMD2019-0004</t>
  </si>
  <si>
    <t>JHG&amp;T Club Master Plan Amendment.</t>
  </si>
  <si>
    <t>Golf and Tennis</t>
  </si>
  <si>
    <t>PR-GT</t>
  </si>
  <si>
    <t>expanded dormitory allowance and RV pads for workforce</t>
  </si>
  <si>
    <t>CWC Jackson Campus rezone R1 to P/SP</t>
  </si>
  <si>
    <t>B19-0757</t>
  </si>
  <si>
    <t>1120 S. Park Loop Rd.</t>
  </si>
  <si>
    <t>22-40-16-06-1-00-014</t>
  </si>
  <si>
    <t>CR-3</t>
  </si>
  <si>
    <t>5 Workforce, 8 Market</t>
  </si>
  <si>
    <t>Ordinance 1244</t>
  </si>
  <si>
    <t>Old West Storage Annexation</t>
  </si>
  <si>
    <t>22-41-16-32-1-00-047</t>
  </si>
  <si>
    <t>Doc 0988329</t>
  </si>
  <si>
    <t>GTNPF Holdings to United States of America https://tetonwy.s3.us-west-2.amazonaws.com/clerk/pdf/0988329.pdf?X-Amz-Content-Sha256=UNSIGNED-PAYLOAD&amp;X-Amz-Algorithm=AWS4-HMAC-SHA256&amp;X-Amz-Credential=AKIAZSTT53HUTH6FEWZR%2F20210330%2Fus-west-2%2Fs3%2Faws4_request&amp;X-Amz-Date=20210330T223557Z&amp;X-Amz-SignedHeaders=host&amp;X-Amz-Expires=86400&amp;X-Amz-Signature=936a978b6ee8834ce404ac4c4977e7872be5b307fa1c76c549155620b6c40a7b</t>
  </si>
  <si>
    <t>22-43-15-29-4-00-003</t>
  </si>
  <si>
    <t>Doc 1002574</t>
  </si>
  <si>
    <t>Conservation Fund to United States of America</t>
  </si>
  <si>
    <t>22-42-16-18-3-00-005</t>
  </si>
  <si>
    <t>ZMA2020-0001</t>
  </si>
  <si>
    <t>Lower Valley Energy Workforce Housing Development.</t>
  </si>
  <si>
    <t>B20-0537</t>
  </si>
  <si>
    <t>445 Vine Street</t>
  </si>
  <si>
    <t>22-41-16-34-2-33-001</t>
  </si>
  <si>
    <t>NM-2</t>
  </si>
  <si>
    <t>2 market, 1 workforce</t>
  </si>
  <si>
    <t>B20-0476</t>
  </si>
  <si>
    <t>367 S Willow</t>
  </si>
  <si>
    <t>22-41-16-34-2-24-001.01</t>
  </si>
  <si>
    <t>1 Workforce</t>
  </si>
  <si>
    <t>B20-0143</t>
  </si>
  <si>
    <t>174 N King</t>
  </si>
  <si>
    <t>22-41-16-27-3-00-021</t>
  </si>
  <si>
    <t>DC-2</t>
  </si>
  <si>
    <t>B20-0512</t>
  </si>
  <si>
    <t>105 Mercill Avenue</t>
  </si>
  <si>
    <t>22-41-16-28-4-02-012</t>
  </si>
  <si>
    <t>B20-0378, 0379, 0380 &amp; 0381</t>
  </si>
  <si>
    <t>10-16 E Simpson</t>
  </si>
  <si>
    <t>22-41-16-34-2-14-008</t>
  </si>
  <si>
    <t>OR</t>
  </si>
  <si>
    <t>2 Workforce (1 Townhouse and 1 ARU) and 1 Market</t>
  </si>
  <si>
    <t>EAS2020-0001</t>
  </si>
  <si>
    <t xml:space="preserve">Turner Easement Amendment  hufsmith hill </t>
  </si>
  <si>
    <t>22-40-16-18-3-12-001</t>
  </si>
  <si>
    <t>Amended easement</t>
  </si>
  <si>
    <t>EXD2020-0005</t>
  </si>
  <si>
    <t>Wilson Exempt Subdivision</t>
  </si>
  <si>
    <t>T-317F</t>
  </si>
  <si>
    <t>EXD2020-0007</t>
  </si>
  <si>
    <t>Weeks Family Exempt Subdivision</t>
  </si>
  <si>
    <t>T-369R</t>
  </si>
  <si>
    <t>440 W Kelly</t>
  </si>
  <si>
    <t>Buildout Assumptions</t>
  </si>
  <si>
    <t>The below buildout assumptions are used to calculate the net change in buildout from a rezone, conservation easement, or public land transfer.</t>
  </si>
  <si>
    <t>Additional analysis is needed to calculate overall County potential in order to properly account for condominiums, townhomes, common areas, etc.</t>
  </si>
  <si>
    <t>Bonus Units added through a Div. 7.8 Exemption , CN-PRD, or Legacy FAR Bonus are added at the time they are approved based on the actual approval.</t>
  </si>
  <si>
    <t>Short-term rental units are counted a lodging units, but have different size assuptions.</t>
  </si>
  <si>
    <t xml:space="preserve">If the FAR column is populated: </t>
  </si>
  <si>
    <t xml:space="preserve">1) calculated the allowed floor area, </t>
  </si>
  <si>
    <t xml:space="preserve">2) allocate it to the uses based on the proportions provided, </t>
  </si>
  <si>
    <t>the use mixes are rough estimates based on history and loose projection - they could be tightened up, but they are not terrible and doing so would invlove deciding whether to recaulate past tracking.</t>
  </si>
  <si>
    <t>3) calculate number of units based on the assumed unit size</t>
  </si>
  <si>
    <t>If the FAR column is blank only residential use is allowed and the buildout should be calculated using the DU/acre (density) column</t>
  </si>
  <si>
    <t>If both the FAR column and DU/acre columns are populated do both calcutions, one will give the nonresidential number, the other the residential (this only occurs in the County)</t>
  </si>
  <si>
    <t>In the R1 and R-TC zones, if the parcel meets the PRD minimum size use the PRD density and apply the utilization reduction (see below for explanation of PRD assumptions)</t>
  </si>
  <si>
    <t>ARUs associated with nonresidential development are considered part of the residential percentage</t>
  </si>
  <si>
    <t>ARUs associated with residential development are not counted as residential units (they are assumed to be guesthouses most of the time) and therefore not calculated</t>
  </si>
  <si>
    <t>The BP zone has 2 peculiarities</t>
  </si>
  <si>
    <t>The percentages add up to more than 100% because residential units in the BP are most often built as ARUs or deed-restricted units exempt from FAR</t>
  </si>
  <si>
    <t>The Town FAR of .41 is used in the County because multilevel industrial use is rarely functional and therefore the 0.6 FAR in the County is almost never reached</t>
  </si>
  <si>
    <t>PRD Assumptions:</t>
  </si>
  <si>
    <t>These assumptions account for use of the R-PRD, units added via CN-PRD are counted at approval</t>
  </si>
  <si>
    <t>The utilization factor can be read as 60% of owners will use the PRD or owners will use 60% of the allowance, either way reduction is applied to all properties uniformly understanding that some will do max PRDs, some will never do a PRD, and some might do something inbetween</t>
  </si>
  <si>
    <t>The utilization factor is less for the R2 because R2 properties are smaller and more likely to use the Floor Area Option incentive if using an incentive</t>
  </si>
  <si>
    <t>The Floor Area Option does not factor into net buildout calculation because it adds residential floor area and residential ARUs, neither of which are counted</t>
  </si>
  <si>
    <t>FAR</t>
  </si>
  <si>
    <t>% Res</t>
  </si>
  <si>
    <t>% Ldg</t>
  </si>
  <si>
    <t>% STR</t>
  </si>
  <si>
    <t>% NonRes, NonLdg</t>
  </si>
  <si>
    <t>DU size (sf)</t>
  </si>
  <si>
    <t>LU size (sf)</t>
  </si>
  <si>
    <t>STR size (sf)</t>
  </si>
  <si>
    <t>DU/ acre</t>
  </si>
  <si>
    <t>PRD DU/acre</t>
  </si>
  <si>
    <t>PRD min (ac)</t>
  </si>
  <si>
    <t>PRD Utilization</t>
  </si>
  <si>
    <t>CR1</t>
  </si>
  <si>
    <t>CR1/LO</t>
  </si>
  <si>
    <t>CR2</t>
  </si>
  <si>
    <t>CR2/LO</t>
  </si>
  <si>
    <t>CR3</t>
  </si>
  <si>
    <t>TS</t>
  </si>
  <si>
    <t>TS/LO</t>
  </si>
  <si>
    <t>UC/LO</t>
  </si>
  <si>
    <t>NH1</t>
  </si>
  <si>
    <t>NM2</t>
  </si>
  <si>
    <t>NM1</t>
  </si>
  <si>
    <t>NL5</t>
  </si>
  <si>
    <t>NL4</t>
  </si>
  <si>
    <t>NL3</t>
  </si>
  <si>
    <t>NL2</t>
  </si>
  <si>
    <t>NL1</t>
  </si>
  <si>
    <t>R-ToJ</t>
  </si>
  <si>
    <t>AC</t>
  </si>
  <si>
    <t>WC</t>
  </si>
  <si>
    <t>OP</t>
  </si>
  <si>
    <t>Existing development assumed to continue, no expansion assumed possible</t>
  </si>
  <si>
    <t>BC</t>
  </si>
  <si>
    <t>See the individual site, potential is based on existing development</t>
  </si>
  <si>
    <t>S</t>
  </si>
  <si>
    <t>Both</t>
  </si>
  <si>
    <t>BP</t>
  </si>
  <si>
    <t>MHP</t>
  </si>
  <si>
    <t>No potential calculated due to lack of FAR or density limitation, zoning allows continuation not expansion</t>
  </si>
  <si>
    <t>P</t>
  </si>
  <si>
    <t>No potential calculated due to lack of FAR or density limitation</t>
  </si>
  <si>
    <t>See the PUD approval (as of 2018 there are no PUD tools in the Town or County)</t>
  </si>
  <si>
    <t>PR</t>
  </si>
  <si>
    <t>See the Resort Master Plan</t>
  </si>
  <si>
    <t>Conservation Easement</t>
  </si>
  <si>
    <t>See the conservation easement</t>
  </si>
  <si>
    <t>Processing done by START, unsure of assumptions/adjustments, but data is reviewed by outside consultants fairly regularly via ITP, Route study, etc. Sometimes data is updated in following year so be sure to check back. START on Demand was added in 2021</t>
  </si>
  <si>
    <t>The data for 2010-2019 were adjusted by the BLS in April 2020. The adjustment only resulted in minor changes to the 2015-2019 numbers and no change to the 2010-2014 numbers. In 2021, the data going back past 2002 were adjusted. The adjusted changes are minor in all years.</t>
  </si>
  <si>
    <t>Housing Department (email Stacy Stoker, Kristi Malone, and April Norton)</t>
  </si>
  <si>
    <t>2019-2021</t>
  </si>
  <si>
    <t>2019-2022</t>
  </si>
  <si>
    <t>EXD2021-0006</t>
  </si>
  <si>
    <t>Sugden Exempt Land Division</t>
  </si>
  <si>
    <t>T-395H</t>
  </si>
  <si>
    <t>EXD2021-0008</t>
  </si>
  <si>
    <t>Vonnie Martin, Trustee under the Vonnie M. Martin Living Trust</t>
  </si>
  <si>
    <t>T-296D</t>
  </si>
  <si>
    <t>EXD2021-0009</t>
  </si>
  <si>
    <t>T-446G</t>
  </si>
  <si>
    <t>Hibbert Family Exemption</t>
  </si>
  <si>
    <t>EXD2021-0014</t>
  </si>
  <si>
    <t xml:space="preserve">Ahr Family </t>
  </si>
  <si>
    <t>T-212F</t>
  </si>
  <si>
    <t>EXD2021-0016</t>
  </si>
  <si>
    <t>1720 W Range Road EXD</t>
  </si>
  <si>
    <t>T-418A</t>
  </si>
  <si>
    <t>EXD2021-0017</t>
  </si>
  <si>
    <t>MacLean 35+ acre Exemption</t>
  </si>
  <si>
    <t>ZMA2020-0003</t>
  </si>
  <si>
    <t>390 Residential Rezone</t>
  </si>
  <si>
    <t>Subarea 12.2</t>
  </si>
  <si>
    <t>NR-1</t>
  </si>
  <si>
    <t>ZMA2021-0002</t>
  </si>
  <si>
    <t>No change to density</t>
  </si>
  <si>
    <t>5655 N Fish Creek Road</t>
  </si>
  <si>
    <t>EXD2021-0010</t>
  </si>
  <si>
    <t>T-520B</t>
  </si>
  <si>
    <t>T-288D</t>
  </si>
  <si>
    <t>22-40-16-21-2-00-005</t>
  </si>
  <si>
    <t>Subarea 7.2</t>
  </si>
  <si>
    <t>EAS2021-0001</t>
  </si>
  <si>
    <t>Teton Vista Ranches</t>
  </si>
  <si>
    <t>22-44-18-19-1-00-003</t>
  </si>
  <si>
    <t>22-41-16-33-1-69-001</t>
  </si>
  <si>
    <t>B20-0794</t>
  </si>
  <si>
    <t>22-41-16-32-1-00-031.01</t>
  </si>
  <si>
    <t>B21-0544</t>
  </si>
  <si>
    <t>9 Market, 7 Workforce</t>
  </si>
  <si>
    <t>B21-0760</t>
  </si>
  <si>
    <t>235 Veronica Lane</t>
  </si>
  <si>
    <t>14 Market, 9 Workforce</t>
  </si>
  <si>
    <t>B19-0854</t>
  </si>
  <si>
    <t>645 S. Cache Street</t>
  </si>
  <si>
    <t>22-41-16-33-1-73-001</t>
  </si>
  <si>
    <t>CR-1</t>
  </si>
  <si>
    <t>1 Market (2,667 sf), 1 Workforce (1,342 sf)</t>
  </si>
  <si>
    <t>B16-0379</t>
  </si>
  <si>
    <t>160 E. Broadway Avenue</t>
  </si>
  <si>
    <t>22-41-16-34-2-04-002</t>
  </si>
  <si>
    <t>1 Market, 1 Workforce</t>
  </si>
  <si>
    <t>1050, 1060 &amp; 1080 South Park Loop
Road (The Loop)</t>
  </si>
  <si>
    <t>Only count net new parcels in a subdivision, (ie subtract parent parcel(s) from lot count), don’t count boudnary adjustments</t>
  </si>
  <si>
    <t>PUD2019-0001</t>
  </si>
  <si>
    <t>Teton Village Master Plan - Amendment for Employee Dormitory</t>
  </si>
  <si>
    <t>Gun Barrel Flats Conservation Easement (JHLT)</t>
  </si>
  <si>
    <t xml:space="preserve">22-45-13-27-1-00-015, 22-45-13-27-1-00-014 </t>
  </si>
  <si>
    <t>Doc 1014814</t>
  </si>
  <si>
    <t>Twin Creek Ranch Road Conservation Easement (JHLT)</t>
  </si>
  <si>
    <t>Vogel Hill Conservation Easement (JHLT)</t>
  </si>
  <si>
    <t>Allows for existing cabin rentals to continue (CUP2011-0009), but if they expire then 1 SFD is allowed. CE covers two parcels totaling 98 acres. Designated 8 acre development area</t>
  </si>
  <si>
    <t>22-41-15-19-1-00-004, 22-41-15-19-1-00-005</t>
  </si>
  <si>
    <t>Doc 1029152</t>
  </si>
  <si>
    <t>40 acre area, but 3.25-acre building envelope allows for  1 home site</t>
  </si>
  <si>
    <t>Doc 1030705</t>
  </si>
  <si>
    <t>Housing Department (email Kristi Malone and April Norton)</t>
  </si>
  <si>
    <t xml:space="preserve">None. Make sure to pull for United States. </t>
  </si>
  <si>
    <t>22-41-16-20-3-00-010, 22-41-16-19-4-00-014, 22-41-16-19-4-00-015</t>
  </si>
  <si>
    <t>Allowance for non-residential fishing cabin (existing) building envelope. No residences</t>
  </si>
  <si>
    <t>WHB</t>
  </si>
  <si>
    <t>September 2021 Survey</t>
  </si>
  <si>
    <t>Restriction on property limiting density to 17 units and workforce restrictions</t>
  </si>
  <si>
    <t>ZMA2021-0003</t>
  </si>
  <si>
    <t>WYDOT Rezone</t>
  </si>
  <si>
    <t>6 Workforce</t>
  </si>
  <si>
    <t>5 Market (13,870 sf), 7 Workforce (12,109 sf)</t>
  </si>
  <si>
    <t>255 S. Highway 89</t>
  </si>
  <si>
    <t>Better than other ACS data because it is national and 1-year. No 2020 1 Year Estimates.</t>
  </si>
  <si>
    <t>It is fairly consistent with the State estimate, but the State estimate is an alternative. 2020 estimate is 25 people higher than the Census count</t>
  </si>
  <si>
    <t>30 Workforce</t>
  </si>
  <si>
    <t xml:space="preserve">7 Workforce </t>
  </si>
  <si>
    <t>Hog Island Home Business Rezone - R2</t>
  </si>
  <si>
    <t>Robertson R-2 35</t>
  </si>
  <si>
    <t>Hog Island Home Business Rezone - R1</t>
  </si>
  <si>
    <t xml:space="preserve">Evans R-1 </t>
  </si>
  <si>
    <t>Hog Island Home Business Rezone - WHB</t>
  </si>
  <si>
    <t>2019-2023</t>
  </si>
  <si>
    <t>2019-2024</t>
  </si>
  <si>
    <t>Market Rental Rates</t>
  </si>
  <si>
    <t>Jackson/Teton County Affordable Housing Department</t>
  </si>
  <si>
    <t>Studio</t>
  </si>
  <si>
    <t>1-bedroom</t>
  </si>
  <si>
    <t>2-bedroom</t>
  </si>
  <si>
    <t>3-bedroom</t>
  </si>
  <si>
    <t>The Housing Dept. began surveying and tracking these rents quarterly in Q4 2019. Blair Place Apartments, Aspen Meadows Apartments, The Timbers Apartments, Hidden Hollow Apartments and, starting in Q4 2021 Sagebrush Apartments</t>
  </si>
  <si>
    <t>Typically available by Q1 of following year</t>
  </si>
  <si>
    <t>Jul. for previous year</t>
  </si>
  <si>
    <t>Teton County Assessor (email assessor@)</t>
  </si>
  <si>
    <t>ZMA2022-0001</t>
  </si>
  <si>
    <t>ZMA2022-0002</t>
  </si>
  <si>
    <t>ZMA2022-0003</t>
  </si>
  <si>
    <t>ZMA2022-0004</t>
  </si>
  <si>
    <t>ZMA2022-0005</t>
  </si>
  <si>
    <t>Northern South Park Implementation</t>
  </si>
  <si>
    <t>4255 and 4365 S Hwy 89</t>
  </si>
  <si>
    <t>Also reconfigured Suburban, but no suburban added and the 2 acres couldn't be its own R-1 parcel and doesn't affect the R-1 potential on the rest of the site.</t>
  </si>
  <si>
    <t>Excluding Affordable Units</t>
  </si>
  <si>
    <t>Including Affordable Units</t>
  </si>
  <si>
    <t>P22-053</t>
  </si>
  <si>
    <t>Hitching Post Zoning Map Amendment</t>
  </si>
  <si>
    <t>460 E Broadway</t>
  </si>
  <si>
    <t>P21-333</t>
  </si>
  <si>
    <t>STR Text Amendment</t>
  </si>
  <si>
    <t>P21-332</t>
  </si>
  <si>
    <t>Stable &amp; Transitional Zone Amendments</t>
  </si>
  <si>
    <t>P22-211</t>
  </si>
  <si>
    <t>NL-5 Amendment</t>
  </si>
  <si>
    <t>Allows for a 4th unit if deed restricted - when applied will count against the 7.8 pool</t>
  </si>
  <si>
    <t>B22-0256, B22-0258, B22-0569, B22-0570, B22-0571, B22-0572,</t>
  </si>
  <si>
    <t>Jackson Street Apartments</t>
  </si>
  <si>
    <t>Preliminary number</t>
  </si>
  <si>
    <t>Projected number</t>
  </si>
  <si>
    <t>Jackson Hole Airport: https://www.jacksonholeairport.com/records-reports/activity-reports/</t>
  </si>
  <si>
    <t>one month lag</t>
  </si>
  <si>
    <t>JHAir (website)</t>
  </si>
  <si>
    <t>Doc 1038634</t>
  </si>
  <si>
    <t>Doc 1038632</t>
  </si>
  <si>
    <t>1725 Ely Springs Rd</t>
  </si>
  <si>
    <t>Alta-40</t>
  </si>
  <si>
    <t>No units extinguised - Floor Area Option</t>
  </si>
  <si>
    <t>22-40-17-02-3-00-010</t>
  </si>
  <si>
    <t>22-43-18-05-2-00-011</t>
  </si>
  <si>
    <t>Doc 1033554</t>
  </si>
  <si>
    <t>22-42-16-18-3-00-004</t>
  </si>
  <si>
    <t>SD2022-0002</t>
  </si>
  <si>
    <t>SD2022-0005</t>
  </si>
  <si>
    <t>Blue Mountain Bench</t>
  </si>
  <si>
    <t>AJL DUERSCH</t>
  </si>
  <si>
    <t>Plat not filed</t>
  </si>
  <si>
    <t>Execution of PUD</t>
  </si>
  <si>
    <t>Plat 1442</t>
  </si>
  <si>
    <t>EXD2022-0002</t>
  </si>
  <si>
    <t>T-206J</t>
  </si>
  <si>
    <t>T-526</t>
  </si>
  <si>
    <t>EXD2022-0003</t>
  </si>
  <si>
    <t>T-258R</t>
  </si>
  <si>
    <t>EXD2022-0004</t>
  </si>
  <si>
    <t>9750 E Upper Gros Ventre Rd 35+</t>
  </si>
  <si>
    <t>530 W Alta Ski Hill Road 35+</t>
  </si>
  <si>
    <t>140 Alta Road North EXD Family</t>
  </si>
  <si>
    <t>EXD2022-0005</t>
  </si>
  <si>
    <t>EXD2022-0007</t>
  </si>
  <si>
    <t>EXD2022-0008</t>
  </si>
  <si>
    <t>200 W Spring Creek Road Family</t>
  </si>
  <si>
    <t>T-517B</t>
  </si>
  <si>
    <t>T-464A</t>
  </si>
  <si>
    <t xml:space="preserve">Price Family </t>
  </si>
  <si>
    <t>T-301I</t>
  </si>
  <si>
    <t>Fall Creek Associates 35+</t>
  </si>
  <si>
    <t>NC-SF</t>
  </si>
  <si>
    <t>22-40-16-20-1-00-007, 22-40-16-20-1-00-018</t>
  </si>
  <si>
    <t>JHHR Suburban zoning move</t>
  </si>
  <si>
    <t>moving 25.67 acres of suburban from one site to another, does not affect buildout</t>
  </si>
  <si>
    <t>Housing Trust Horse Creek ZMA</t>
  </si>
  <si>
    <t>R-3</t>
  </si>
  <si>
    <t>zone change capped at 26 units</t>
  </si>
  <si>
    <t>22-39-16-03-1-00-011</t>
  </si>
  <si>
    <t>POOL - 2 for 1 Bonus Unit (ToJ), NL-5 Bonus Unit (ToJ), WHB Unit (TC)</t>
  </si>
  <si>
    <t>Pool</t>
  </si>
  <si>
    <t>no change to base allowance</t>
  </si>
  <si>
    <t>P22-141</t>
  </si>
  <si>
    <t>ACS unit overcount</t>
  </si>
  <si>
    <t>ACS seasonal less ACS overcount</t>
  </si>
  <si>
    <t>ACS seasonal/ACS vacant</t>
  </si>
  <si>
    <t>Derived seasonal/Derived vacant</t>
  </si>
  <si>
    <t>ACS non-seasonal vacant</t>
  </si>
  <si>
    <t>Avg seasonal/vacant</t>
  </si>
  <si>
    <t>Calculated Vacant</t>
  </si>
  <si>
    <t>Workforce Housing Incentives (2for1, NL-5, WHB Bonuses)</t>
  </si>
  <si>
    <t>Other Vacant (estimated STR)</t>
  </si>
  <si>
    <t>2010-2020 ACS shape fit to Census counts</t>
  </si>
  <si>
    <t>Census growth/ACS growth</t>
  </si>
  <si>
    <t>ACS Occupied Units Estimate</t>
  </si>
  <si>
    <t>Census Occupied Unit Count</t>
  </si>
  <si>
    <t>sum of 2nd homes and STRs</t>
  </si>
  <si>
    <t>Q2</t>
  </si>
  <si>
    <t>Use the Q2 rents for consistency. In the future an annual average could be taken across quarters.</t>
  </si>
  <si>
    <t>No longer used</t>
  </si>
  <si>
    <t>Fair Market Rents are adjusted by policy and do not accurately reflect rents in the community</t>
  </si>
  <si>
    <t>Q4</t>
  </si>
  <si>
    <t>2 bedroom apartment</t>
  </si>
  <si>
    <t>2 or 3 bedroom detached unit</t>
  </si>
  <si>
    <t>Wyoming Division of Ecomonic Analysis http://eadiv.state.wy.us/wcli/wcli.html</t>
  </si>
  <si>
    <t>Tracks pretty well with the Housing Department research</t>
  </si>
  <si>
    <t>Typically available about 4 months after quarter</t>
  </si>
  <si>
    <t>Q2 Average Market Rent/Median Income</t>
  </si>
  <si>
    <t>Average Weekly Wage</t>
  </si>
  <si>
    <t>$/week</t>
  </si>
  <si>
    <t>Weekly Wage</t>
  </si>
  <si>
    <t>Q2 Average Market Rent/Weekly Wage</t>
  </si>
  <si>
    <t>Median Income/Weekly Wage</t>
  </si>
  <si>
    <t>Per Capita Income/Weekly Wage</t>
  </si>
  <si>
    <t>Occupied Units (Census, ACS)</t>
  </si>
  <si>
    <t>22-41-16-32-4-29-006</t>
  </si>
  <si>
    <t>NH-1</t>
  </si>
  <si>
    <t>80 E. Karns</t>
  </si>
  <si>
    <t>B22-0922</t>
  </si>
  <si>
    <t>6 Market*, 3 Workforce</t>
  </si>
  <si>
    <t>63 Market, 37 Workforce (also 50 workforce from 4th floor bonus do those count?)</t>
  </si>
  <si>
    <t>Housing Action Plan USDA/LIHTC = 178 (179?) Pioneer, SK Apts, Cedar Creek 1, 2, 3)</t>
  </si>
  <si>
    <t>JTCHD #s</t>
  </si>
  <si>
    <t xml:space="preserve">Restricted Dorm beds (? Aprtments - might explain rental number </t>
  </si>
  <si>
    <t>Pinedale CCD (Sublette, WY)</t>
  </si>
  <si>
    <t>Sheridan CCD (Sheridan, WY)</t>
  </si>
  <si>
    <t>BTNF Campers in Developed Campgrounds</t>
  </si>
  <si>
    <t>BTNF Campers in Dispersed Sites</t>
  </si>
  <si>
    <t>Upper Shadow Mountain</t>
  </si>
  <si>
    <t>Lower Shadow Mountain</t>
  </si>
  <si>
    <t>Toppings/Spread Creek</t>
  </si>
  <si>
    <t>Phillips Ridge</t>
  </si>
  <si>
    <t>Mosquito Creek</t>
  </si>
  <si>
    <t>Fall Creek</t>
  </si>
  <si>
    <t>Buffalo Valley</t>
  </si>
  <si>
    <t>Lower Gros Ventre</t>
  </si>
  <si>
    <t>Granite Creek</t>
  </si>
  <si>
    <t>Flat Creek</t>
  </si>
  <si>
    <t>BTNF started estimating dispersed camping for the first time in 2022. Dispersed camp site are mapped. Occupancy data is better for some than others, prelim highlights indicates rougher occupancy data. All data assumes 2.5 people/site when occupied.</t>
  </si>
  <si>
    <t>Net Impact Since 2012</t>
  </si>
  <si>
    <t>Rural Acres Conserved over Subdivided</t>
  </si>
  <si>
    <t>Rural Potential Removed over Parcels Created</t>
  </si>
  <si>
    <t>Q3</t>
  </si>
  <si>
    <t>Q1</t>
  </si>
  <si>
    <t>Jurisdiction</t>
  </si>
  <si>
    <t>PermitNumber</t>
  </si>
  <si>
    <t>SubPermitNumber</t>
  </si>
  <si>
    <t>PermitPIDN</t>
  </si>
  <si>
    <t>CharDist</t>
  </si>
  <si>
    <t>Subarea</t>
  </si>
  <si>
    <t>Class</t>
  </si>
  <si>
    <t>DateSubmitted</t>
  </si>
  <si>
    <t>YearSubmitted</t>
  </si>
  <si>
    <t>DateIssued</t>
  </si>
  <si>
    <t>YearIssued</t>
  </si>
  <si>
    <t>DateFinaled</t>
  </si>
  <si>
    <t>YearFinaled</t>
  </si>
  <si>
    <t>DateWithdrawn</t>
  </si>
  <si>
    <t>DateExpired</t>
  </si>
  <si>
    <t>ContractorsValuation</t>
  </si>
  <si>
    <t>FeeValuation</t>
  </si>
  <si>
    <t>NetType</t>
  </si>
  <si>
    <t>Ex_Bldg</t>
  </si>
  <si>
    <t>PLNG_Usecode</t>
  </si>
  <si>
    <t>PLNG_Remodeled_FA</t>
  </si>
  <si>
    <t>PLNG_New_FA</t>
  </si>
  <si>
    <t>PLNG_New_Units</t>
  </si>
  <si>
    <t>Ag_FA</t>
  </si>
  <si>
    <t>ConEase_FA</t>
  </si>
  <si>
    <t>ComArea_FA</t>
  </si>
  <si>
    <t>OutRec_FA</t>
  </si>
  <si>
    <t>DtchdSFD_FA</t>
  </si>
  <si>
    <t>AtchdSFD_FA</t>
  </si>
  <si>
    <t>Apt_FA</t>
  </si>
  <si>
    <t>ARU_FA</t>
  </si>
  <si>
    <t>MobHome_FA</t>
  </si>
  <si>
    <t>RestBar_FA</t>
  </si>
  <si>
    <t>Lodging_FA</t>
  </si>
  <si>
    <t>Office_FA</t>
  </si>
  <si>
    <t>Retail_FA</t>
  </si>
  <si>
    <t>Indust_FA</t>
  </si>
  <si>
    <t>PSP_FA</t>
  </si>
  <si>
    <t>Ag_Units</t>
  </si>
  <si>
    <t>DtchdSFD_Units</t>
  </si>
  <si>
    <t>AtchdSFD_Units</t>
  </si>
  <si>
    <t>Apt_Units</t>
  </si>
  <si>
    <t>ARU_Units</t>
  </si>
  <si>
    <t>MobHome_Units</t>
  </si>
  <si>
    <t>Lodging_Units</t>
  </si>
  <si>
    <t>NRsf</t>
  </si>
  <si>
    <t>Co</t>
  </si>
  <si>
    <t>BDR2009-0142</t>
  </si>
  <si>
    <t>Build 4 bedroom, 2-story home w/attached garage</t>
  </si>
  <si>
    <t>22-39-16-03-4-01-009</t>
  </si>
  <si>
    <t>BP 2002-0001</t>
  </si>
  <si>
    <t>Add Bedroom w/bath to SFD</t>
  </si>
  <si>
    <t>22-42-16-03-4-00-009</t>
  </si>
  <si>
    <t>BP 2002-0002</t>
  </si>
  <si>
    <t>Build boiler building</t>
  </si>
  <si>
    <t>22-42-16-33-3-00-015</t>
  </si>
  <si>
    <t>BP 2002-0003</t>
  </si>
  <si>
    <t>Finish upstairs interior - kitchenette, bedroom, bathroom, closet</t>
  </si>
  <si>
    <t>22-39-15-32-3-00-014</t>
  </si>
  <si>
    <t>C</t>
  </si>
  <si>
    <t>BP 2002-0004</t>
  </si>
  <si>
    <t>Tenant Improvement - Restaurant Subway?</t>
  </si>
  <si>
    <t>22-41-17-11-4-23-004</t>
  </si>
  <si>
    <t>T</t>
  </si>
  <si>
    <t>20080</t>
  </si>
  <si>
    <t>See NotesNEW SINGLE FAMILY HOME: SEWER CAPACITY FEE $1858.00: 3/4 WATER CAPACITY FEE $590.00: 3/4 WATER METER $157.49</t>
  </si>
  <si>
    <t>22-41-16-33-3-07-007</t>
  </si>
  <si>
    <t>BP 2002-0005</t>
  </si>
  <si>
    <t>Build 4 bedroom, 1-1/2 story home w/attached garage</t>
  </si>
  <si>
    <t>22-42-17-24-3-02-055</t>
  </si>
  <si>
    <t>20324</t>
  </si>
  <si>
    <t>See NotesNEW ELEMENTARY SCHOOL:SEWER CAPACTIY FEE 400 STUDENTS X $84.00 PER STUDENT = $33,600.00 - $1858.00 FOR EXISTING SEWER CAPACITY FEE FOR OLD HIGH SCHOOL = $31,742.00: FIRE LINE $1200.00</t>
  </si>
  <si>
    <t>22-40-16-06-2-00-103</t>
  </si>
  <si>
    <t>BP 2002-0006</t>
  </si>
  <si>
    <t>Addition - Mudroom and Garage Addition</t>
  </si>
  <si>
    <t>22-41-16-11-2-00-004</t>
  </si>
  <si>
    <t>BP 2002-0007</t>
  </si>
  <si>
    <t>Remodel existing Retail Space to 2 Conference Rooms</t>
  </si>
  <si>
    <t>22-42-17-24-4-01-001</t>
  </si>
  <si>
    <t>20370</t>
  </si>
  <si>
    <t>See NotesNEW 1 SINGLE FAMILY 1 ACCESSORY: SEWER CAPACITY FEE $1858.00: 3/4-INCH WATER CAPACITY FEE $590.00: 3/4-INCH WATER METER AND TAP $ 286.63:. SEWER TAP FEE $ 127.31</t>
  </si>
  <si>
    <t>22-41-16-33-1-60-001</t>
  </si>
  <si>
    <t>BP 2002-0008</t>
  </si>
  <si>
    <t>Buil 3 bedroom, 2-story log home w/basement and attached garage</t>
  </si>
  <si>
    <t>22-42-16-28-1-02-005</t>
  </si>
  <si>
    <t>BP 2002-0010</t>
  </si>
  <si>
    <t>SFD Remodel-Convert studio to bedrooms, garage to living; enclose carport</t>
  </si>
  <si>
    <t>22-42-16-10-1-11-002</t>
  </si>
  <si>
    <t>BP 2002-0012</t>
  </si>
  <si>
    <t>Build Vehicle Maintenance Building</t>
  </si>
  <si>
    <t>22-41-17-12-1-00-013</t>
  </si>
  <si>
    <t>BP 2002-0013</t>
  </si>
  <si>
    <t>Remodel Office Area, Lower Level</t>
  </si>
  <si>
    <t>BP 2002-0014</t>
  </si>
  <si>
    <t>Build 3 bedroom, 2-story home w/attached garage</t>
  </si>
  <si>
    <t>22-42-16-20-4-01-006</t>
  </si>
  <si>
    <t>BP 2002-0015</t>
  </si>
  <si>
    <t>22-41-17-26-2-00-030</t>
  </si>
  <si>
    <t>BP 2002-0016</t>
  </si>
  <si>
    <t>Build 3 bedroom, 2-story home w/daylight basement and attached garage</t>
  </si>
  <si>
    <t>22-39-16-14-1-00-044</t>
  </si>
  <si>
    <t>20091</t>
  </si>
  <si>
    <t>BUILD A SECOND DRIVE UPNULL</t>
  </si>
  <si>
    <t>22-41-16-32-1-02-001</t>
  </si>
  <si>
    <t>20157</t>
  </si>
  <si>
    <t>See NotesNEW BANK: SEWER CAPACITY FEE BASED ON 29 EMPLOYEES @ $ 126.00 EACH = $3654.00: 2 INCH WATER CAPACITY FEE $4200.00: 2 INCH WATER METER $1378.18: FIRE LINE $1200.00: SEWER TAP FEE $ 144.31</t>
  </si>
  <si>
    <t>22-41-16-32-1-04-002</t>
  </si>
  <si>
    <t>20556</t>
  </si>
  <si>
    <t>See NotesNEW OFFICE &amp; RESIDENTIAL BUILDING: SEWER CAPACITY FEE CREDIT OF $1858.00 &amp; 3/4 WATER CAPACITY FEE $590.00 FOR EXISTING HOME THAT WAS REMOVED FOR THIS PROJECT: FEES SEWER CAPACITY FEE $1858.00: 2 INCH WATER CAPACITY FEE $4200.00: 2 INCH COMPOUND WATER METER $1378.18: FIRE LINE $1200.00</t>
  </si>
  <si>
    <t>22-41-16-34-2-76-001</t>
  </si>
  <si>
    <t>BP 2002-0017</t>
  </si>
  <si>
    <t>SFD Addition - Storage Room, Family Room, 2 Bedrooms</t>
  </si>
  <si>
    <t>22-41-16-21-2-07-021</t>
  </si>
  <si>
    <t>BP 2002-0018</t>
  </si>
  <si>
    <t>22-40-16-20-2-03-102</t>
  </si>
  <si>
    <t>BP 2002-0019</t>
  </si>
  <si>
    <t>Finish SFD Basement</t>
  </si>
  <si>
    <t>22-40-17-35-2-06-006</t>
  </si>
  <si>
    <t>BP 2002-0020</t>
  </si>
  <si>
    <t>Build 2 bedroom home w/daylight basement</t>
  </si>
  <si>
    <t>22-40-17-35-2-06-010</t>
  </si>
  <si>
    <t>BP 2002-0021</t>
  </si>
  <si>
    <t>Build Equipment Shed</t>
  </si>
  <si>
    <t>22-42-16-33-3-00-017</t>
  </si>
  <si>
    <t>BP 2002-0065</t>
  </si>
  <si>
    <t>Build Hay Barn</t>
  </si>
  <si>
    <t>BP 2002-0066</t>
  </si>
  <si>
    <t>Build Garage/Shop</t>
  </si>
  <si>
    <t>BP 2002-0022</t>
  </si>
  <si>
    <t>Barn Interior Remodel - Apartment &amp; Decks</t>
  </si>
  <si>
    <t>22-39-16-03-3-00-022</t>
  </si>
  <si>
    <t>BP 2002-0023</t>
  </si>
  <si>
    <t>SFD Interior Remodel</t>
  </si>
  <si>
    <t>22-41-17-27-3-00-017</t>
  </si>
  <si>
    <t>BP 2002-0024</t>
  </si>
  <si>
    <t>Add Indoor Pool, Rec Room w/Office Above, &amp; Porte Cochere to SFD</t>
  </si>
  <si>
    <t>22-42-16-32-3-00-011</t>
  </si>
  <si>
    <t>BP 2002-0025</t>
  </si>
  <si>
    <t>Erect Solar Array &amp; Wind Turbine</t>
  </si>
  <si>
    <t>22-42-16-02-1-09-003</t>
  </si>
  <si>
    <t>BP 2002-0026</t>
  </si>
  <si>
    <t>Add one bedroom , enlarge one bedroom</t>
  </si>
  <si>
    <t>22-41-17-14-1-04-003</t>
  </si>
  <si>
    <t>20090</t>
  </si>
  <si>
    <t>ADDITION TO EXISTING HOMENULL</t>
  </si>
  <si>
    <t>22-40-16-05-2-04-020</t>
  </si>
  <si>
    <t>BP 2002-0027</t>
  </si>
  <si>
    <t>Add Workshop, Garage, 3 Bedrooms, 2 Baths- finish only</t>
  </si>
  <si>
    <t>22-40-16-34-4-00-008</t>
  </si>
  <si>
    <t>BP 2002-0028</t>
  </si>
  <si>
    <t>Interior Remodel of Motel Unit</t>
  </si>
  <si>
    <t>22-41-17-11-4-18-006</t>
  </si>
  <si>
    <t>20119</t>
  </si>
  <si>
    <t>See NotesNEW SINGLE FAMILY HOME: 1-INCH WATER CPACITY FEE $1050.00: 1-INCH WATER METER AND TAP FEE $392.70: SEWER CAPACITY FEE $1858.00    (5/15/2009 14:03  KB)  temp final okay'd. applicant did not follow up on a re inspect. closed file.</t>
  </si>
  <si>
    <t>22-41-16-35-2-00-001</t>
  </si>
  <si>
    <t>20171</t>
  </si>
  <si>
    <t>See NotesNEW SINGLE FAMILY HOME. SEWER CAPACITY FEE $1858.00: 3/4 WATER CAPACITY FEE $590.00: 3/4 WATER METER $ 157.49</t>
  </si>
  <si>
    <t>22-41-16-33-4-06-004</t>
  </si>
  <si>
    <t>BP 2002-0029</t>
  </si>
  <si>
    <t>Add Family Room to SFD</t>
  </si>
  <si>
    <t>22-40-16-18-1-05-301</t>
  </si>
  <si>
    <t>BP 2002-0030</t>
  </si>
  <si>
    <t>Tenant Improvement - Office Space</t>
  </si>
  <si>
    <t>22-41-17-11-4-25-001</t>
  </si>
  <si>
    <t>20172</t>
  </si>
  <si>
    <t>22-41-16-33-4-11-005</t>
  </si>
  <si>
    <t>BP 2002-0031</t>
  </si>
  <si>
    <t>Interior Remodel - Laundry</t>
  </si>
  <si>
    <t>22-42-17-24-4-23-002</t>
  </si>
  <si>
    <t>BP 2002-0032</t>
  </si>
  <si>
    <t>Build Swimming Pool</t>
  </si>
  <si>
    <t>22-42-16-29-1-00-003</t>
  </si>
  <si>
    <t>BP 2002-0033</t>
  </si>
  <si>
    <t>Build Barn</t>
  </si>
  <si>
    <t>22-40-16-35-2-00-011</t>
  </si>
  <si>
    <t>BP 2002-0034</t>
  </si>
  <si>
    <t>Condo Interior Remodel</t>
  </si>
  <si>
    <t>22-42-17-24-3-10-004</t>
  </si>
  <si>
    <t>BP 2002-0035</t>
  </si>
  <si>
    <t>Restaurant Kitchen Remodel</t>
  </si>
  <si>
    <t>22-42-17-24-4-23-004</t>
  </si>
  <si>
    <t>20118</t>
  </si>
  <si>
    <t>ADDITIONNULL</t>
  </si>
  <si>
    <t>22-41-16-34-4-04-032</t>
  </si>
  <si>
    <t>20122</t>
  </si>
  <si>
    <t>See NotesNEW SINGLE FAMILY HOME:  3/4 WATER METER $157.49: WATER AND SEWER FEES PAID ON PERMIT # 97108</t>
  </si>
  <si>
    <t>22-41-16-31-1-06-022</t>
  </si>
  <si>
    <t>BP 2002-0038</t>
  </si>
  <si>
    <t>Addition of Lockers, Rentals, Sales to Commercial Building</t>
  </si>
  <si>
    <t>22-42-17-24-4-00-006</t>
  </si>
  <si>
    <t>BP 2002-0039</t>
  </si>
  <si>
    <t>Convert existing loft to classroom area; add complying stairs</t>
  </si>
  <si>
    <t>22-40-16-18-1-99-001</t>
  </si>
  <si>
    <t>20398</t>
  </si>
  <si>
    <t>See NotesSINGLE FAMILY ACCESSORY: NO SEWER AND WATER CAPACITY FEE DUE BECAUSE OF EXISITING CREDIT FROM TRAILER HOME THAT WAS REMOVED FOR THIS PROJECT.  3/4 WATER TAP FEE $129.14: SEWER TAP FEE $ 127.31: 3/4 WATER METER $157.49</t>
  </si>
  <si>
    <t>22-41-16-33-1-60-002</t>
  </si>
  <si>
    <t>BP 2002-0040</t>
  </si>
  <si>
    <t>SFD Addition - Master Bedroom &amp; Garage</t>
  </si>
  <si>
    <t>22-42-17-24-3-02-023</t>
  </si>
  <si>
    <t>BP 2002-0042</t>
  </si>
  <si>
    <t>Move on SFD;Add Mud Room/Laundry Room &amp; Storage Shed &amp; Int. Rem.</t>
  </si>
  <si>
    <t>22-41-17-22-4-14-029</t>
  </si>
  <si>
    <t>BP 2002-0044</t>
  </si>
  <si>
    <t>Build 3 bedroom, 2-story home w/unfinished basement, attached garage w/ARU above</t>
  </si>
  <si>
    <t>22-44-18-20-3-00-009</t>
  </si>
  <si>
    <t>BP 2002-0045</t>
  </si>
  <si>
    <t>22-42-16-27-2-27-006</t>
  </si>
  <si>
    <t>BP 2002-0046</t>
  </si>
  <si>
    <t>Tenant Improvement - Drywall Business</t>
  </si>
  <si>
    <t>22-40-16-17-4-11-004</t>
  </si>
  <si>
    <t>BP 2002-0047</t>
  </si>
  <si>
    <t>Remodel of upstairs of existing barn to guest quarters</t>
  </si>
  <si>
    <t>22-45-13-07-4-03-002</t>
  </si>
  <si>
    <t>BP 2002-0048</t>
  </si>
  <si>
    <t>Build Sunroom Addition to SFD</t>
  </si>
  <si>
    <t>22-44-18-17-4-04-005</t>
  </si>
  <si>
    <t>BP 2002-0049</t>
  </si>
  <si>
    <t>Hotel Interior Remodel - Registration, Lobby, Banquet Rooms</t>
  </si>
  <si>
    <t>BP 2002-0050</t>
  </si>
  <si>
    <t>Tenant Improvement - Interior Remodel of Market</t>
  </si>
  <si>
    <t>22-42-17-24-4-01-022</t>
  </si>
  <si>
    <t>BP 2002-0051</t>
  </si>
  <si>
    <t>Build 3 bedroom home w/attached garage</t>
  </si>
  <si>
    <t>22-42-16-27-4-04-022</t>
  </si>
  <si>
    <t>BP 2002-0052</t>
  </si>
  <si>
    <t>Build 3 bedroom SFD w/attached garage</t>
  </si>
  <si>
    <t>22-42-16-28-4-06-008</t>
  </si>
  <si>
    <t>20274</t>
  </si>
  <si>
    <t>See NotesGARAGE WITH ACCESSORY UNIT ABOVE:SEWER CAPACITY FEE 1-BEDROOM WITH WASHER/DRYER $930.00: 3/4 WATER METER $157.49: 3/4 WATER CAPACITY FEE $590.00</t>
  </si>
  <si>
    <t>22-41-16-32-4-12-031</t>
  </si>
  <si>
    <t>BP 2002-0053</t>
  </si>
  <si>
    <t>Build Dental Office</t>
  </si>
  <si>
    <t>22-40-16-08-3-02-004</t>
  </si>
  <si>
    <t>BP 2002-0054</t>
  </si>
  <si>
    <t>Build SFD Addition; add 2nd story w/master suite, extend entry and garage</t>
  </si>
  <si>
    <t>22-41-17-14-4-30-008</t>
  </si>
  <si>
    <t>BP 2002-0055</t>
  </si>
  <si>
    <t>22-41-16-16-4-08-007</t>
  </si>
  <si>
    <t>BP 2002-0056</t>
  </si>
  <si>
    <t>Build Garage w/Storage Loft Above  Finale w/ BP 02-0279 VA</t>
  </si>
  <si>
    <t>22-44-18-20-4-00-031</t>
  </si>
  <si>
    <t>BP 2002-0057</t>
  </si>
  <si>
    <t>Barn/Garage Interior Remodel - Caretaker's Quarters</t>
  </si>
  <si>
    <t>22-40-16-17-3-06-006</t>
  </si>
  <si>
    <t>BP 2002-0058</t>
  </si>
  <si>
    <t>Build Garage Addition</t>
  </si>
  <si>
    <t>22-40-16-17-4-05-002</t>
  </si>
  <si>
    <t>BP 2002-0059</t>
  </si>
  <si>
    <t>Build School Addition</t>
  </si>
  <si>
    <t>BP 2002-0060</t>
  </si>
  <si>
    <t>Build Residential Cottage (#3)</t>
  </si>
  <si>
    <t>BP 2002-0061</t>
  </si>
  <si>
    <t>Build Residential Cottage (#5)</t>
  </si>
  <si>
    <t>BP 2002-0062</t>
  </si>
  <si>
    <t>SFD Addition - Greenhouse</t>
  </si>
  <si>
    <t>20141</t>
  </si>
  <si>
    <t>NEW  ATTACHED GARAGENULL</t>
  </si>
  <si>
    <t>22-41-16-33-3-02-006</t>
  </si>
  <si>
    <t>20343</t>
  </si>
  <si>
    <t>See NotesNEW MAINTENANCE AND STORAGE FACILITY: $1200.00 FIRE LINE: $1858.00 SEWER CAPACITY FEE: $2363.00 1 1/2 WATER CAPACITY FEE: 1 1/2 WATER  METER $ 350.05</t>
  </si>
  <si>
    <t>22-40-16-06-2-00-102</t>
  </si>
  <si>
    <t>BP 2002-0063</t>
  </si>
  <si>
    <t>22-40-16-18-4-00-056</t>
  </si>
  <si>
    <t>BP 2002-0064</t>
  </si>
  <si>
    <t>Build Tack Barn</t>
  </si>
  <si>
    <t>22-42-16-33-3-01-002</t>
  </si>
  <si>
    <t>BP 2002-0067</t>
  </si>
  <si>
    <t>22-40-16-20-1-10-011</t>
  </si>
  <si>
    <t>20188</t>
  </si>
  <si>
    <t>22-41-16-35-3-02-012</t>
  </si>
  <si>
    <t>BP 2002-0069</t>
  </si>
  <si>
    <t>Add Living Room; add bath to upper level</t>
  </si>
  <si>
    <t>22-41-17-14-4-00-024</t>
  </si>
  <si>
    <t>BP 2002-0070</t>
  </si>
  <si>
    <t>Remodel SFD</t>
  </si>
  <si>
    <t>22-41-17-28-1-00-018</t>
  </si>
  <si>
    <t>BP 2002-0071</t>
  </si>
  <si>
    <t>SFD Remodel/Addition</t>
  </si>
  <si>
    <t>22-41-17-21-3-00-014</t>
  </si>
  <si>
    <t>BP 2002-0072</t>
  </si>
  <si>
    <t>Build detached garage</t>
  </si>
  <si>
    <t>22-41-17-14-4-33-001</t>
  </si>
  <si>
    <t>BP 2002-0073</t>
  </si>
  <si>
    <t>22-40-16-20-2-10-015</t>
  </si>
  <si>
    <t>20206</t>
  </si>
  <si>
    <t>See Notes2 ATTACHED ACCESSORY UNITS: SEWER CAPACTIY FEE $1858.00 UPPER FLOOR AND $1858.00 GROUND FLOOR. 1-INCH WATER CAPACITY FEE $1050.00: 1-INCH WATER METER &amp; TAP FEE $ 392.00</t>
  </si>
  <si>
    <t>22-41-16-33-4-03-002</t>
  </si>
  <si>
    <t>20207</t>
  </si>
  <si>
    <t>See NotesSINGLE FAMILY: SEWER CAPACITY FEE $1858.00: 3/4 WATER METER AND TAP $ 286.63: 3/4 WATER CAPACITY FEE $ 590.00: SEWER TAP FEE$ 127.31</t>
  </si>
  <si>
    <t>BP 2002-0075</t>
  </si>
  <si>
    <t>Add Kitchen to SFD</t>
  </si>
  <si>
    <t>22-43-18-05-2-00-004</t>
  </si>
  <si>
    <t>BP 2002-0076</t>
  </si>
  <si>
    <t>Build detached garage w/living space above</t>
  </si>
  <si>
    <t>BP 2002-0077</t>
  </si>
  <si>
    <t>22-41-17-23-2-10-014</t>
  </si>
  <si>
    <t>20250</t>
  </si>
  <si>
    <t>NEW 2-STORY GARAGE/APARTMENT:SEWER CAPACITY FEE $ 930.00closed per the building official</t>
  </si>
  <si>
    <t>22-41-16-34-1-28-007</t>
  </si>
  <si>
    <t>BP 2002-0079</t>
  </si>
  <si>
    <t>Build 5 bedroom, 2-story log home w/attached garage</t>
  </si>
  <si>
    <t>22-45-13-07-4-00-058</t>
  </si>
  <si>
    <t>BP 2002-0080</t>
  </si>
  <si>
    <t>Remodel existing garage into recreation room</t>
  </si>
  <si>
    <t>22-41-16-30-2-03-009</t>
  </si>
  <si>
    <t>BP 2002-0081</t>
  </si>
  <si>
    <t>20312</t>
  </si>
  <si>
    <t>See NotesNEW TOWNHOME: SEWER CAPACITY FEE $1858.00: 3/4 WATER CAPACITY FEE $590.00: 3/4 WATER METER $157.49</t>
  </si>
  <si>
    <t>22-41-16-34-1-75-001</t>
  </si>
  <si>
    <t>20313</t>
  </si>
  <si>
    <t>See NotesNEW TOWNHOME: NO SEWER OR WATER CAPACITY FEES DUE BECAUSE OF EXISTING CREDITS FROM A  HOME THAT IS BEING REMOVED FOR THIS PROJECT.</t>
  </si>
  <si>
    <t>22-41-16-34-1-75-002</t>
  </si>
  <si>
    <t>20314</t>
  </si>
  <si>
    <t>See NotesNEW TOWNHOME: SEWER CAPACITY FEE $1858.00: 3/4 WATER CAPACITY FEE $ 590.00: 3/4 WATER METER $ 157.49</t>
  </si>
  <si>
    <t>22-41-16-34-1-75-003</t>
  </si>
  <si>
    <t>20315</t>
  </si>
  <si>
    <t>See NotesNEW TOWNHOME: SEWER CAPACITY FEE $1858.00: 3/4 WATER CAPACITY FEE $ 590.00: 3/4 WATER METER $157.49</t>
  </si>
  <si>
    <t>22-41-16-34-1-75-004</t>
  </si>
  <si>
    <t>BP 2002-0082</t>
  </si>
  <si>
    <t>Remodel Basement</t>
  </si>
  <si>
    <t>22-40-16-17-4-05-003</t>
  </si>
  <si>
    <t>BP 2002-0083</t>
  </si>
  <si>
    <t>Move on Modular Home</t>
  </si>
  <si>
    <t>22-45-12-20-1-00-005</t>
  </si>
  <si>
    <t>BP 2002-0085</t>
  </si>
  <si>
    <t>Build 3 bedroom, 2-story log home w/attached garage</t>
  </si>
  <si>
    <t>22-40-16-18-3-00-040</t>
  </si>
  <si>
    <t>BP 2002-0086</t>
  </si>
  <si>
    <t>Remodel existing shed into ARU</t>
  </si>
  <si>
    <t>22-42-16-15-3-02-010</t>
  </si>
  <si>
    <t>BP 2002-0087</t>
  </si>
  <si>
    <t>Build Garage/Barn w/storage only above</t>
  </si>
  <si>
    <t>22-41-17-12-3-07-001</t>
  </si>
  <si>
    <t>BP 2002-0088</t>
  </si>
  <si>
    <t>Interior Remodel of existing office space</t>
  </si>
  <si>
    <t>22-42-17-24-4-23-001</t>
  </si>
  <si>
    <t>BP 2002-0089</t>
  </si>
  <si>
    <t>Build SFD Addition (Greenhouse) &amp; interior stairs to loft</t>
  </si>
  <si>
    <t>22-41-16-06-3-05-016</t>
  </si>
  <si>
    <t>BP 2002-0090</t>
  </si>
  <si>
    <t>SFD Interior Remodel and add uncovered porch</t>
  </si>
  <si>
    <t>22-41-17-13-2-00-025</t>
  </si>
  <si>
    <t>BP 2002-0091</t>
  </si>
  <si>
    <t>Remodel Kitchen, Bath of Condominium</t>
  </si>
  <si>
    <t>22-42-17-24-4-04-008</t>
  </si>
  <si>
    <t>20233</t>
  </si>
  <si>
    <t>See NotesNEW SINGLE FAMILY HOME: SEWER CAPACITY FEE $1858.00: 3/4 WATER CAPACITY FEE $590.00:  3/4 WATER METER $157.49</t>
  </si>
  <si>
    <t>22-41-16-31-4-14-077</t>
  </si>
  <si>
    <t>BP 2002-0092</t>
  </si>
  <si>
    <t>Build 3 bedroom home</t>
  </si>
  <si>
    <t>22-41-17-14-4-00-057</t>
  </si>
  <si>
    <t>BP 2002-0093</t>
  </si>
  <si>
    <t>Add entryway to SFD</t>
  </si>
  <si>
    <t>22-41-16-31-4-01-022</t>
  </si>
  <si>
    <t>20187</t>
  </si>
  <si>
    <t>See NotesADDITION TO EXISTING GAS STATION: EMPLOYEE HOUSING FEE $337.28</t>
  </si>
  <si>
    <t>22-41-16-33-2-02-002</t>
  </si>
  <si>
    <t>20190</t>
  </si>
  <si>
    <t>ADDITION TO EXISTING HOME NULL</t>
  </si>
  <si>
    <t>22-41-16-33-1-21-004</t>
  </si>
  <si>
    <t>BP 2002-0084</t>
  </si>
  <si>
    <t>Build 3 bedroom home (use existing foundation w/small addition)</t>
  </si>
  <si>
    <t>22-41-17-33-1-00-026</t>
  </si>
  <si>
    <t>BP 2002-0094</t>
  </si>
  <si>
    <t>22-41-16-06-3-05-024</t>
  </si>
  <si>
    <t>BP 2002-0095</t>
  </si>
  <si>
    <t>SFD Remodel; move stairs, change bathrooms, add view windows</t>
  </si>
  <si>
    <t>22-45-13-20-3-02-020</t>
  </si>
  <si>
    <t>BP 2002-0096</t>
  </si>
  <si>
    <t>22-41-17-12-3-05-008</t>
  </si>
  <si>
    <t>BP 2002-0100</t>
  </si>
  <si>
    <t>Build 4 bedroom log home w/finished basement</t>
  </si>
  <si>
    <t>22-41-16-15-2-00-001</t>
  </si>
  <si>
    <t>BP 2002-0101</t>
  </si>
  <si>
    <t>Build 6 bedroom log home w/attached garage</t>
  </si>
  <si>
    <t>22-42-16-32-3-00-014</t>
  </si>
  <si>
    <t>20191</t>
  </si>
  <si>
    <t>ADDITION TO GARAGENULL</t>
  </si>
  <si>
    <t>22-40-16-06-2-09-018</t>
  </si>
  <si>
    <t>20255</t>
  </si>
  <si>
    <t>ADDITION TO EXISTING HOME: SEWER CAPACITY FEE $744.00:NULL</t>
  </si>
  <si>
    <t>22-41-16-33-4-11-004</t>
  </si>
  <si>
    <t>BP 2002-0102</t>
  </si>
  <si>
    <t>22-42-16-34-2-01-001</t>
  </si>
  <si>
    <t>BP 2002-0103</t>
  </si>
  <si>
    <t>22-41-17-22-1-02-005</t>
  </si>
  <si>
    <t>BP 2002-0104</t>
  </si>
  <si>
    <t>Convert Garage to Living Space; Add 2nd Floor; Add Living Room</t>
  </si>
  <si>
    <t>22-39-17-11-1-01-004</t>
  </si>
  <si>
    <t>BP 2002-0105</t>
  </si>
  <si>
    <t>Build 4 bedroom home w/basement &amp; attached garage &amp; attached shop</t>
  </si>
  <si>
    <t>22-42-16-15-4-09-003</t>
  </si>
  <si>
    <t>BP 2002-0106</t>
  </si>
  <si>
    <t>Replace and enlarge existing deck</t>
  </si>
  <si>
    <t>22-41-17-22-3-04-002</t>
  </si>
  <si>
    <t>BP 2002-0107</t>
  </si>
  <si>
    <t>Build Addition - Bedroom &amp; Play Room, Roof Deck</t>
  </si>
  <si>
    <t>22-41-17-14-4-00-023</t>
  </si>
  <si>
    <t>BP 2002-0108</t>
  </si>
  <si>
    <t>Build 3 Bedroom &amp; 2 Bath Addition</t>
  </si>
  <si>
    <t>22-41-17-13-2-01-003</t>
  </si>
  <si>
    <t>B02-7535</t>
  </si>
  <si>
    <t>See NotesSee Notes</t>
  </si>
  <si>
    <t>22-41-16-27-3-04-001</t>
  </si>
  <si>
    <t>BP 2002-0109</t>
  </si>
  <si>
    <t>Tenant Remodel - Bank Branch Facility</t>
  </si>
  <si>
    <t>22-42-17-24-4-01-020</t>
  </si>
  <si>
    <t>BP 2002-0110</t>
  </si>
  <si>
    <t>Build SFD Addition -Studio</t>
  </si>
  <si>
    <t>22-42-17-24-3-02-047</t>
  </si>
  <si>
    <t>BP 2002-0111</t>
  </si>
  <si>
    <t>SFD Remodel - Raise Roof and Add dormers</t>
  </si>
  <si>
    <t>22-42-15-10-1-01-013</t>
  </si>
  <si>
    <t>BP 2002-0112</t>
  </si>
  <si>
    <t>22-40-16-20-2-10-018</t>
  </si>
  <si>
    <t>20244</t>
  </si>
  <si>
    <t>See NotesOFFICE/BATHROOMS AND MAZE: SEWER CAPACITY FEE $1858.00: 3/4 WATER CAPACITY FEE $590.00: 3/4 WATER METER $157.49 SEWER TAP FEE $127.31</t>
  </si>
  <si>
    <t>22-41-16-34-2-38-009</t>
  </si>
  <si>
    <t>20335</t>
  </si>
  <si>
    <t>See NotesNEW TOWNHOME: SEWER CAPACITY FEE $1858.00: 3/4 WATER CAPACITY FEE $590.00: 3/4 WATER METER $157.49: NO FEES DUE AT THIS TIME BECAUSE OF EXISTING CREDITS.</t>
  </si>
  <si>
    <t>22-41-16-33-4-05-001</t>
  </si>
  <si>
    <t>20336</t>
  </si>
  <si>
    <t>See NotesNEW TOWNHOME: SEWER CAPACTIY FEE $1858.00: 3/4 WATER CAPACITY FEE $590.00: 3/4 WATER METER $157.49: NO FEE DUE AT THIS TIME BECAUSE OF EXISTING CAPACITY FEES CREDITS.</t>
  </si>
  <si>
    <t>20490</t>
  </si>
  <si>
    <t>See NotesNEW STORE/RESTAURANT AND HOUSING: BREAKDOWN OF  SEWER AND WATER CAPACITY CREDITS AND FEES IN THE FILE: 1 1/2 INCH WATER CAPACITY FEE AND METER: FIRE LINE $1200.00:  SEWER TAP FEE $148.31</t>
  </si>
  <si>
    <t>22-41-16-33-1-05-002</t>
  </si>
  <si>
    <t>BP 2002-0113</t>
  </si>
  <si>
    <t>Add Bathroom, Office &amp; Garage to SFD</t>
  </si>
  <si>
    <t>22-44-18-20-4-00-025</t>
  </si>
  <si>
    <t>BP 2002-0114</t>
  </si>
  <si>
    <t>Build Second Floor Deck on Townhouse</t>
  </si>
  <si>
    <t>22-41-17-11-1-29-002</t>
  </si>
  <si>
    <t>20241</t>
  </si>
  <si>
    <t>See NotesMOVE IN EXISTING HOME ONTO A NEW FOUNDATION: SEWER CAPACITY FEE $1858.00: 3/4 WATER CAPACITY FEE $590.00: SEWER TAP FEE $127.31     (2/8/2012 1:45 PM KB)  no final made or requested. closed file on 2/8/12 kb</t>
  </si>
  <si>
    <t>22-41-16-34-1-71-001</t>
  </si>
  <si>
    <t>BP 2002-0115</t>
  </si>
  <si>
    <t>22-41-17-13-2-00-012</t>
  </si>
  <si>
    <t>BP 2002-0116</t>
  </si>
  <si>
    <t>22-40-16-20-2-10-003</t>
  </si>
  <si>
    <t>BP 2002-0117</t>
  </si>
  <si>
    <t>22-40-16-20-2-10-004</t>
  </si>
  <si>
    <t>BP 2002-0118</t>
  </si>
  <si>
    <t>Build 2 bedroom log guesthouse</t>
  </si>
  <si>
    <t>22-42-16-10-3-09-005</t>
  </si>
  <si>
    <t>BP 2002-0119</t>
  </si>
  <si>
    <t>Enclose existing Porch</t>
  </si>
  <si>
    <t>22-39-17-11-1-01-007</t>
  </si>
  <si>
    <t>BP 2002-0120</t>
  </si>
  <si>
    <t>Build Storage Shed</t>
  </si>
  <si>
    <t>22-41-17-12-4-11-001</t>
  </si>
  <si>
    <t>BP 2002-0121</t>
  </si>
  <si>
    <t>Build Gas Station/Convenience Store</t>
  </si>
  <si>
    <t>22-41-17-22-3-11-001</t>
  </si>
  <si>
    <t>BP 2002-0123</t>
  </si>
  <si>
    <t>Mud Room Interior Remodel</t>
  </si>
  <si>
    <t>22-40-17-03-3-00-014</t>
  </si>
  <si>
    <t>BP 2002-0124</t>
  </si>
  <si>
    <t>Build Living Room Addition to SFD</t>
  </si>
  <si>
    <t>22-41-17-23-1-11-002</t>
  </si>
  <si>
    <t>20311</t>
  </si>
  <si>
    <t>See NotesMOVE HOUSE ON NEW FOUNDATION/ADDITION: SEWER CAPACITY FEE $1858.00: SEWER TAP FEE $127.31: 3/4 -INCH WATER METER AND TAP $ 286.63: 3/4-INCH WATER CAPACITY FEE $590.00: ON 6/24/02 APPLICANT SUBMITTED AN ADDENDUM TO ORIGINAL PERMIT.    (5/15/2009 14:25  KB)  finaled by building on 6/6/03. However a apartment was added in the basement, must get planning to sign off on. No action from applicant was taken on this issue closed file on 5/15/09 kb</t>
  </si>
  <si>
    <t>22-41-16-34-4-00-006</t>
  </si>
  <si>
    <t>BP 2002-0125</t>
  </si>
  <si>
    <t>Build Utility Building/Shop</t>
  </si>
  <si>
    <t>22-42-16-10-4-06-013</t>
  </si>
  <si>
    <t>BP 2002-0126</t>
  </si>
  <si>
    <t>22-41-16-21-1-01-010</t>
  </si>
  <si>
    <t>BP 2002-0127</t>
  </si>
  <si>
    <t>Interior remodel of office space</t>
  </si>
  <si>
    <t>BP 2002-0128</t>
  </si>
  <si>
    <t>Build 3 bedroom, 2-story log home w/basement</t>
  </si>
  <si>
    <t>22-39-16-01-3-02-001</t>
  </si>
  <si>
    <t>20373</t>
  </si>
  <si>
    <t>NEW SINGLE FAMILY HOMENULL</t>
  </si>
  <si>
    <t>22-41-16-34-4-04-046</t>
  </si>
  <si>
    <t>BP 2002-0129</t>
  </si>
  <si>
    <t>Build Barn Addition</t>
  </si>
  <si>
    <t>22-41-17-12-4-10-003</t>
  </si>
  <si>
    <t>BP 2002-0130</t>
  </si>
  <si>
    <t>Build 1 bedroom log home</t>
  </si>
  <si>
    <t>22-39-16-03-4-01-010</t>
  </si>
  <si>
    <t>BP 2002-0131</t>
  </si>
  <si>
    <t>Build Garage w/Office/Storage Above</t>
  </si>
  <si>
    <t>22-40-16-35-4-14-009</t>
  </si>
  <si>
    <t>BP 2002-0132</t>
  </si>
  <si>
    <t>Build Horse Barn</t>
  </si>
  <si>
    <t>22-41-17-22-3-04-009</t>
  </si>
  <si>
    <t>BP 2002-0133</t>
  </si>
  <si>
    <t>Build 5 bedroom log home w/basement and attached garage</t>
  </si>
  <si>
    <t>22-42-17-24-1-01-013</t>
  </si>
  <si>
    <t>BP 2002-0134</t>
  </si>
  <si>
    <t>22-42-17-35-3-00-023</t>
  </si>
  <si>
    <t>BP 2002-0136</t>
  </si>
  <si>
    <t>Build two-story SFD addition - 3 bedrooms, 2 baths, sun room</t>
  </si>
  <si>
    <t>22-41-17-33-1-00-005</t>
  </si>
  <si>
    <t>BP 2002-0137</t>
  </si>
  <si>
    <t>BP 2002-0138</t>
  </si>
  <si>
    <t>Build kitchen addition to SFD</t>
  </si>
  <si>
    <t>22-41-16-06-3-03-020</t>
  </si>
  <si>
    <t>BP 2002-0139</t>
  </si>
  <si>
    <t>Deck addition to SFD; relocate spa</t>
  </si>
  <si>
    <t>22-41-17-22-3-00-037</t>
  </si>
  <si>
    <t>BP 2002-0140</t>
  </si>
  <si>
    <t>Barn Interior Remodel - Add Bathroom and Office</t>
  </si>
  <si>
    <t>22-41-15-20-2-00-003</t>
  </si>
  <si>
    <t>BP 2002-0141</t>
  </si>
  <si>
    <t>22-40-16-20-1-08-001</t>
  </si>
  <si>
    <t>BP 2002-0142</t>
  </si>
  <si>
    <t>Build 2 bedroom home w/unfinished basement and attached garage</t>
  </si>
  <si>
    <t>22-45-18-32-4-01-010</t>
  </si>
  <si>
    <t>BP 2002-0143</t>
  </si>
  <si>
    <t>Tenant Interior Remodel - Retail Sales Gallery &amp; Office Space</t>
  </si>
  <si>
    <t>22-42-17-24-4-00-002</t>
  </si>
  <si>
    <t>BP 2002-0144</t>
  </si>
  <si>
    <t>Build ARU above existing garage &amp; add workshop, deck, &amp; carport</t>
  </si>
  <si>
    <t>22-42-17-24-3-02-071</t>
  </si>
  <si>
    <t>BP 2002-0145</t>
  </si>
  <si>
    <t>Build Barn w/living space</t>
  </si>
  <si>
    <t>22-40-17-01-1-01-007</t>
  </si>
  <si>
    <t>BP 2002-0146</t>
  </si>
  <si>
    <t>Build 5 bedroom home w/basement and attached garage</t>
  </si>
  <si>
    <t>22-41-16-21-1-16-010</t>
  </si>
  <si>
    <t>BP 2002-0147</t>
  </si>
  <si>
    <t>22-40-16-20-2-10-011</t>
  </si>
  <si>
    <t>BP 2002-0148</t>
  </si>
  <si>
    <t>Build Trash Shed</t>
  </si>
  <si>
    <t>22-41-16-19-2-00-006</t>
  </si>
  <si>
    <t>BP 2002-0149</t>
  </si>
  <si>
    <t>Build SFD Addition - Family room, bathroom, mud room, &amp; storage loft</t>
  </si>
  <si>
    <t>22-40-16-17-2-02-082</t>
  </si>
  <si>
    <t>BP 2002-0150</t>
  </si>
  <si>
    <t>Build Garage w/storage</t>
  </si>
  <si>
    <t>22-39-17-11-4-07-002</t>
  </si>
  <si>
    <t>BP 2002-0151</t>
  </si>
  <si>
    <t>Build 3 bedroom, 2-story log home</t>
  </si>
  <si>
    <t>22-45-13-07-1-00-007</t>
  </si>
  <si>
    <t>BP 2002-0153</t>
  </si>
  <si>
    <t>Tenant Improvement - Storage Loft</t>
  </si>
  <si>
    <t>22-40-16-17-4-13-012</t>
  </si>
  <si>
    <t>BP 2002-0154</t>
  </si>
  <si>
    <t>Build Garage w/Living Quarters Above</t>
  </si>
  <si>
    <t>22-39-15-32-2-00-006</t>
  </si>
  <si>
    <t>BP 2002-0156</t>
  </si>
  <si>
    <t>Build NewGarage w/living space &amp; remodel existing garage space</t>
  </si>
  <si>
    <t>22-42-16-10-4-06-008</t>
  </si>
  <si>
    <t>BP 2002-0157</t>
  </si>
  <si>
    <t>22-41-17-15-3-02-003</t>
  </si>
  <si>
    <t>BP 2002-0158</t>
  </si>
  <si>
    <t>Move on Modular Home; build attached Garage</t>
  </si>
  <si>
    <t>22-40-16-20-1-10-037</t>
  </si>
  <si>
    <t>20341</t>
  </si>
  <si>
    <t>LIFTING EXISITING HOME AND ADDING BASEMENTNULL</t>
  </si>
  <si>
    <t>22-40-16-06-2-03-008</t>
  </si>
  <si>
    <t>20357</t>
  </si>
  <si>
    <t>ADDING A SINGLE CAR GARAGENULL</t>
  </si>
  <si>
    <t>22-41-16-34-4-07-002</t>
  </si>
  <si>
    <t>BP 2002-0159</t>
  </si>
  <si>
    <t>Add Garage w/bedroom &amp; bath above to SFD</t>
  </si>
  <si>
    <t>22-44-18-29-2-00-018</t>
  </si>
  <si>
    <t>BP 2002-0160</t>
  </si>
  <si>
    <t>22-40-16-19-2-01-007</t>
  </si>
  <si>
    <t>BP 2002-0162</t>
  </si>
  <si>
    <t>Tenant Improvement - Office/Warehouse</t>
  </si>
  <si>
    <t>22-40-16-17-4-16-009</t>
  </si>
  <si>
    <t>BP 2002-0163</t>
  </si>
  <si>
    <t>Add Bedroom to Log Cabin</t>
  </si>
  <si>
    <t>22-42-13-09-3-00-002</t>
  </si>
  <si>
    <t>BP 2002-0164</t>
  </si>
  <si>
    <t>Build one bedroom guesthouse (ARU)</t>
  </si>
  <si>
    <t>22-40-16-18-3-00-049</t>
  </si>
  <si>
    <t>BP 2002-0165</t>
  </si>
  <si>
    <t>Build Garage Addition to SFD</t>
  </si>
  <si>
    <t>22-41-17-25-3-00-006</t>
  </si>
  <si>
    <t>BP 2002-0166</t>
  </si>
  <si>
    <t>Build 4 bedroom home w/attached garage</t>
  </si>
  <si>
    <t>22-40-16-20-2-10-008</t>
  </si>
  <si>
    <t>BP 2002-0167</t>
  </si>
  <si>
    <t>Build 2 bedroom log ARU</t>
  </si>
  <si>
    <t>22-40-17-01-4-01-003</t>
  </si>
  <si>
    <t>BP 2002-0168</t>
  </si>
  <si>
    <t>Build 4 bedroom home w/finished basement and attached garage and shop</t>
  </si>
  <si>
    <t>22-44-18-17-1-02-010</t>
  </si>
  <si>
    <t>BP 2002-0172</t>
  </si>
  <si>
    <t>Build 3 bedroom home w/garage</t>
  </si>
  <si>
    <t>BP 2002-0171</t>
  </si>
  <si>
    <t>Move on Modular Home w/attached garage</t>
  </si>
  <si>
    <t>22-41-17-22-1-00-008</t>
  </si>
  <si>
    <t>BP 2002-0173</t>
  </si>
  <si>
    <t>SFD Interior Remodel - Kitchen/Living Room</t>
  </si>
  <si>
    <t>22-41-17-14-4-00-050</t>
  </si>
  <si>
    <t>20411</t>
  </si>
  <si>
    <t>See NotesNEW SINGLE FAMILY: SEWER CAPACITY FEE $1858.00: 1- WATER CAPACITY FEE $1050.00 1- WATER METER $ 236.90</t>
  </si>
  <si>
    <t>22-41-16-31-1-06-026</t>
  </si>
  <si>
    <t>BP 2002-0176</t>
  </si>
  <si>
    <t>Move on Tack Shed</t>
  </si>
  <si>
    <t>BP 2002-0177</t>
  </si>
  <si>
    <t>Build 2 bedroom, 2-story home w/attached garage</t>
  </si>
  <si>
    <t>22-41-16-11-2-01-002</t>
  </si>
  <si>
    <t>BP 2002-0178</t>
  </si>
  <si>
    <t>Build 3 bedroom home w/finished basement</t>
  </si>
  <si>
    <t>22-40-16-20-3-07-002</t>
  </si>
  <si>
    <t>BP 2002-0179</t>
  </si>
  <si>
    <t>Build 1 bedroom log home w/basement mechanical room</t>
  </si>
  <si>
    <t>22-41-17-15-2-00-032</t>
  </si>
  <si>
    <t>BP 2002-0180</t>
  </si>
  <si>
    <t>22-40-16-20-2-10-010</t>
  </si>
  <si>
    <t>BP 2002-0181</t>
  </si>
  <si>
    <t>22-41-17-23-2-08-002</t>
  </si>
  <si>
    <t>20375</t>
  </si>
  <si>
    <t>22-41-16-27-3-09-006</t>
  </si>
  <si>
    <t>BP 2002-0182</t>
  </si>
  <si>
    <t>SFD Remodel - Roof &amp; Interior Staircase</t>
  </si>
  <si>
    <t>22-40-16-17-2-02-069</t>
  </si>
  <si>
    <t>20489</t>
  </si>
  <si>
    <t>ADDITION TO EXISTING HOMEclosed per the building official</t>
  </si>
  <si>
    <t>22-40-16-06-2-02-001</t>
  </si>
  <si>
    <t>BP 2002-0183</t>
  </si>
  <si>
    <t>22-40-16-20-2-03-094</t>
  </si>
  <si>
    <t>BP 2002-0184</t>
  </si>
  <si>
    <t>Build Assisted Living Center</t>
  </si>
  <si>
    <t>22-40-16-17-2-03-001</t>
  </si>
  <si>
    <t>BP 2002-0185</t>
  </si>
  <si>
    <t>SFD Remodel/Addition - Garage w/living space above</t>
  </si>
  <si>
    <t>22-40-16-29-2-01-013</t>
  </si>
  <si>
    <t>BP 2002-0186</t>
  </si>
  <si>
    <t>22-42-17-24-1-06-018</t>
  </si>
  <si>
    <t>20450</t>
  </si>
  <si>
    <t>See NotesNEW DUPLEX: 3/4 WATER CAPACITY FEE $590.00 3/4 WATER METER $157.49: SEWER CAPACITY FEE $1858.00</t>
  </si>
  <si>
    <t>22-40-16-06-2-27-001</t>
  </si>
  <si>
    <t>BP 2002-0187</t>
  </si>
  <si>
    <t>Build SFD addition w/Basement Bedroom and new Kitchen/Dining area</t>
  </si>
  <si>
    <t>22-42-15-10-1-05-013</t>
  </si>
  <si>
    <t>BP 2002-0188</t>
  </si>
  <si>
    <t>Remodel log home; expand family room; add ski storage</t>
  </si>
  <si>
    <t>22-41-17-34-1-02-007</t>
  </si>
  <si>
    <t>BP 2002-0189</t>
  </si>
  <si>
    <t>Remodel SFD; add garage, master bedroom, bath</t>
  </si>
  <si>
    <t>22-41-17-13-2-00-037</t>
  </si>
  <si>
    <t>BP 2002-0190</t>
  </si>
  <si>
    <t>22-40-16-20-2-10-012</t>
  </si>
  <si>
    <t>BP 2002-0191</t>
  </si>
  <si>
    <t>Add Family Room, Bath and Garage to SFD; convert existing garage to study</t>
  </si>
  <si>
    <t>22-40-16-17-2-01-015</t>
  </si>
  <si>
    <t>BP 2002-0192</t>
  </si>
  <si>
    <t>Move on Storage Shed - no pwer, no plumbing</t>
  </si>
  <si>
    <t>22-41-17-22-2-05-001</t>
  </si>
  <si>
    <t>20535</t>
  </si>
  <si>
    <t>See NotesNEW BUSINESS PARK: 3/4 WATER METER $157.49: 3/4 WATER CAPACITY FEE $590.00: SEWER CAPACITY FEE $1858.00 (MINIMUM): ON 5/1/03 THEY SUBMITTED A MINOR DEVIATION ON THIS PROJECT.</t>
  </si>
  <si>
    <t>22-40-16-06-1-12-001</t>
  </si>
  <si>
    <t>20441</t>
  </si>
  <si>
    <t>22-41-16-35-3-02-017</t>
  </si>
  <si>
    <t>BP 2002-0193</t>
  </si>
  <si>
    <t>Build Living Room/Office Addition to SFD</t>
  </si>
  <si>
    <t>22-43-18-05-1-00-007</t>
  </si>
  <si>
    <t>BP 2002-0194</t>
  </si>
  <si>
    <t>Build Garage/Shop w/Guesthouse above (ARU)</t>
  </si>
  <si>
    <t>22-39-17-11-4-06-007</t>
  </si>
  <si>
    <t>20416</t>
  </si>
  <si>
    <t>22-40-16-06-2-25-003</t>
  </si>
  <si>
    <t>BP 2002-0195</t>
  </si>
  <si>
    <t>Build Garage</t>
  </si>
  <si>
    <t>22-44-18-19-4-06-003</t>
  </si>
  <si>
    <t>BP 2002-0196</t>
  </si>
  <si>
    <t>Move On Temporary Sales Office</t>
  </si>
  <si>
    <t>22-42-16-34-1-05-001</t>
  </si>
  <si>
    <t>BP 2002-0197</t>
  </si>
  <si>
    <t>Build 3 bedroom, 2-story home w/garage, living below</t>
  </si>
  <si>
    <t>22-45-18-32-4-02-008</t>
  </si>
  <si>
    <t>BP 2002-0198</t>
  </si>
  <si>
    <t>Build SFD w/attached garage (Caretaker's House)</t>
  </si>
  <si>
    <t>22-40-17-04-3-00-001</t>
  </si>
  <si>
    <t>BP 2002-0199</t>
  </si>
  <si>
    <t>Add ARU w/Garage &amp; Office to SFD</t>
  </si>
  <si>
    <t>22-40-16-18-4-00-064</t>
  </si>
  <si>
    <t>BP 2002-0200</t>
  </si>
  <si>
    <t>22-40-17-13-4-00-022</t>
  </si>
  <si>
    <t>BP 2002-0201</t>
  </si>
  <si>
    <t>Build 4 bedroom, 2-story  home w/full basement and attached garage</t>
  </si>
  <si>
    <t>22-42-17-24-3-02-054</t>
  </si>
  <si>
    <t>BP 2002-0202</t>
  </si>
  <si>
    <t>Build  Auxillary 3-bay Garage</t>
  </si>
  <si>
    <t>BP 2002-0203</t>
  </si>
  <si>
    <t>Build Guest House Garage</t>
  </si>
  <si>
    <t>BP 2002-0204</t>
  </si>
  <si>
    <t>Retain Tenant Improvement</t>
  </si>
  <si>
    <t>22-42-17-24-4-32-001</t>
  </si>
  <si>
    <t>20431</t>
  </si>
  <si>
    <t>See NotesBUILDING A NEW HOME ON AN EXISTING FOUNDATION ALONG WITH A NEW ADDITION</t>
  </si>
  <si>
    <t>22-41-16-34-4-00-010</t>
  </si>
  <si>
    <t>BP 2002-0206</t>
  </si>
  <si>
    <t>Build Barn/Garage Addition</t>
  </si>
  <si>
    <t>22-41-17-14-4-00-055</t>
  </si>
  <si>
    <t>BP 2002-0207</t>
  </si>
  <si>
    <t>Build barn with guest quarters above</t>
  </si>
  <si>
    <t>22-39-16-01-1-00-003</t>
  </si>
  <si>
    <t>BP 2002-0208</t>
  </si>
  <si>
    <t>Build Patio/Deck Addition</t>
  </si>
  <si>
    <t>22-41-16-19-1-02-004</t>
  </si>
  <si>
    <t>BP 2002-0209</t>
  </si>
  <si>
    <t>Build Grocery/Liquor Store &amp; Gas Station w/Employee Housing</t>
  </si>
  <si>
    <t>22-39-16-23-3-06-001</t>
  </si>
  <si>
    <t>BP 2002-0210</t>
  </si>
  <si>
    <t>Build Barn w/Guesthouse (ARU) inside</t>
  </si>
  <si>
    <t>20443</t>
  </si>
  <si>
    <t>22-41-16-33-3-07-004</t>
  </si>
  <si>
    <t>BP 2002-0211</t>
  </si>
  <si>
    <t>22-42-16-10-1-05-005</t>
  </si>
  <si>
    <t>BP 2002-0212</t>
  </si>
  <si>
    <t>22-40-16-20-1-10-043</t>
  </si>
  <si>
    <t>BP 2002-0213</t>
  </si>
  <si>
    <t>Add Living Room to SFD</t>
  </si>
  <si>
    <t>22-40-16-19-2-01-010</t>
  </si>
  <si>
    <t>BP 2002-0215</t>
  </si>
  <si>
    <t>Build 2 bedroom log home w/unfinished basement and attached garage</t>
  </si>
  <si>
    <t>22-40-16-20-4-00-004</t>
  </si>
  <si>
    <t>BP 2002-0216</t>
  </si>
  <si>
    <t>Add Caretaker Apt. (ARU) w/attached garage to existing SFD</t>
  </si>
  <si>
    <t>22-43-15-24-1-00-005</t>
  </si>
  <si>
    <t>BP 2002-0217</t>
  </si>
  <si>
    <t>Build Shed</t>
  </si>
  <si>
    <t>22-39-17-11-4-05-006</t>
  </si>
  <si>
    <t>BP 2002-0218</t>
  </si>
  <si>
    <t>Build Canopy for Gas Station</t>
  </si>
  <si>
    <t>BP 2002-0219</t>
  </si>
  <si>
    <t>Build Addition to private garage</t>
  </si>
  <si>
    <t>22-40-16-17-4-09-007</t>
  </si>
  <si>
    <t>BP 2002-0221</t>
  </si>
  <si>
    <t>Build 4 bedroom home for employee housing</t>
  </si>
  <si>
    <t>22-45-14-36-1-00-002</t>
  </si>
  <si>
    <t>BP 2002-0222</t>
  </si>
  <si>
    <t>Remodel Commercial Kitchen</t>
  </si>
  <si>
    <t>22-39-17-11-1-00-001</t>
  </si>
  <si>
    <t>BP 2002-0223</t>
  </si>
  <si>
    <t>Build Living/Dining Area/Shop Addition &amp; Porch</t>
  </si>
  <si>
    <t>22-40-16-17-2-01-059</t>
  </si>
  <si>
    <t>BP 2002-0224</t>
  </si>
  <si>
    <t>Expand Garage, Bedroom; remodel interior of SFD</t>
  </si>
  <si>
    <t>22-42-16-27-4-04-023</t>
  </si>
  <si>
    <t>BP 2002-0226</t>
  </si>
  <si>
    <t>Build Roof over existing Second Story Deck</t>
  </si>
  <si>
    <t>22-41-17-28-1-00-022</t>
  </si>
  <si>
    <t>BP 2002-0227</t>
  </si>
  <si>
    <t>Build 3 bedroom home w/attached Garage</t>
  </si>
  <si>
    <t>22-41-17-12-3-00-016</t>
  </si>
  <si>
    <t>BP 2002-0228</t>
  </si>
  <si>
    <t>BP 2002-0229</t>
  </si>
  <si>
    <t>Build Living Room addition to SFD</t>
  </si>
  <si>
    <t>22-39-16-26-2-04-005</t>
  </si>
  <si>
    <t>BP 2002-0230</t>
  </si>
  <si>
    <t>Repair floor system in Log SFD</t>
  </si>
  <si>
    <t>22-41-17-23-1-00-017</t>
  </si>
  <si>
    <t>BP 2002-0231</t>
  </si>
  <si>
    <t>Build Storage Shed (on skids)</t>
  </si>
  <si>
    <t>22-45-13-07-4-02-003</t>
  </si>
  <si>
    <t>BP 2002-0232</t>
  </si>
  <si>
    <t>Build Garage over Workshop</t>
  </si>
  <si>
    <t>22-45-18-32-4-01-009</t>
  </si>
  <si>
    <t>BP 2002-0233</t>
  </si>
  <si>
    <t>Expand Garage; Add Bedroom, Bath and Sitting Room, Unfinished Basement</t>
  </si>
  <si>
    <t>22-42-16-27-3-00-008</t>
  </si>
  <si>
    <t>BP 2002-0234</t>
  </si>
  <si>
    <t>22-40-16-20-2-08-001</t>
  </si>
  <si>
    <t>BP 2002-0235</t>
  </si>
  <si>
    <t>Add 2 Bedrooms, Bath &amp; Sitting Room to SFD</t>
  </si>
  <si>
    <t>22-40-17-10-3-04-014</t>
  </si>
  <si>
    <t>BP 2002-0236</t>
  </si>
  <si>
    <t>Build Covered Porch</t>
  </si>
  <si>
    <t>22-40-16-20-2-02-057</t>
  </si>
  <si>
    <t>BP 2002-0237</t>
  </si>
  <si>
    <t>Build 5 bedroom, 2-story home w/attached garage</t>
  </si>
  <si>
    <t>22-39-17-13-2-05-013</t>
  </si>
  <si>
    <t>BP 2002-0238</t>
  </si>
  <si>
    <t>Add Studio, Master Bath &amp; Living Room to SFD</t>
  </si>
  <si>
    <t>22-45-13-20-3-02-015</t>
  </si>
  <si>
    <t>BP 2002-0239</t>
  </si>
  <si>
    <t>Add Garage w/Master Bedroom Suite above</t>
  </si>
  <si>
    <t>22-39-17-13-2-05-017</t>
  </si>
  <si>
    <t>BP 2002-0240</t>
  </si>
  <si>
    <t>22-40-16-35-4-15-001</t>
  </si>
  <si>
    <t>BP 2002-0242</t>
  </si>
  <si>
    <t>Remodel entry;  Add Bathroom, Deck, &amp; Enclose Porch</t>
  </si>
  <si>
    <t>22-41-17-01-3-02-004</t>
  </si>
  <si>
    <t>BP 2002-0243</t>
  </si>
  <si>
    <t>Build Barn Addition - Hay Storage</t>
  </si>
  <si>
    <t>22-41-17-27-1-03-007</t>
  </si>
  <si>
    <t>BP 2002-0244</t>
  </si>
  <si>
    <t>Build 4 bedroom home w/finished basement</t>
  </si>
  <si>
    <t>22-41-17-33-4-03-005</t>
  </si>
  <si>
    <t>BP 2002-0246</t>
  </si>
  <si>
    <t>Build 4 bedroom home w/basement and attached garage</t>
  </si>
  <si>
    <t>22-41-17-11-4-27-001</t>
  </si>
  <si>
    <t>20520</t>
  </si>
  <si>
    <t>See NotesNEW SINGLE FAMILY HOME: 3/4 WATER METER $157.49: 3/4 WATER CAPACITY FEE $590.00: SEWER CAPACITY FEE $1858.00</t>
  </si>
  <si>
    <t>22-41-16-33-3-07-022</t>
  </si>
  <si>
    <t>BP 2002-0247</t>
  </si>
  <si>
    <t>Build 3 bedroom home w/finished basement and attached garage</t>
  </si>
  <si>
    <t>22-41-17-33-4-00-034</t>
  </si>
  <si>
    <t>BP 2002-0249</t>
  </si>
  <si>
    <t>SFD Interior Remodel - relocate fireplace and replace windows</t>
  </si>
  <si>
    <t>22-41-17-14-1-01-004</t>
  </si>
  <si>
    <t>20560</t>
  </si>
  <si>
    <t>See NotesNEW TOWNHOMES: NO SEWER CAPACITY FEE DUE BECAUSE OF EXISTING CREDIT. 3/4 WATER CAPACITY FEE $590.00: 3/4 WATER METER $157.49    (3/13/2009 10:58  KB)  no final requested closed file on 3/13/09 kb</t>
  </si>
  <si>
    <t>20561</t>
  </si>
  <si>
    <t>See NotesNEW TOWNHOMES: NO SEWER CAPACITY FEE DUE BECAUSE OF EXISTING CREDIT; 3/4 WATER CAPACITY FEE $590.00 :3/4 WATER METER $157.49</t>
  </si>
  <si>
    <t>BP 2002-0250</t>
  </si>
  <si>
    <t>Build SFD Addition - Wood Shed</t>
  </si>
  <si>
    <t>22-42-16-10-4-06-010</t>
  </si>
  <si>
    <t>BP 2002-0252</t>
  </si>
  <si>
    <t>Chlorination building and spring collection box</t>
  </si>
  <si>
    <t>22-44-18-21-4-99-002</t>
  </si>
  <si>
    <t>BP 2002-0253</t>
  </si>
  <si>
    <t>Add shed roof over existing flat roof on SFD</t>
  </si>
  <si>
    <t>22-42-17-24-3-02-060</t>
  </si>
  <si>
    <t>20531</t>
  </si>
  <si>
    <t>See NotesNEW BUSINESS CENTER: BLDG # 300: 3/4 WATER CAPACITY FEE $590.00: 3/4 WATER METER $157.49: SEWER CAPACITY FEE $1858.00 (MINIMUM FEE)</t>
  </si>
  <si>
    <t>22-40-16-06-1-12-023</t>
  </si>
  <si>
    <t>20532</t>
  </si>
  <si>
    <t>See NotesNEW BUSINESS CENTER: 3/4 WATER CAPACITY FEE $590.00: 3/4 WATER METER $157.49: SEWER CAPACITY FEE $1858.00 (MINIMUM)</t>
  </si>
  <si>
    <t>22-40-16-06-1-12-011</t>
  </si>
  <si>
    <t>20533</t>
  </si>
  <si>
    <t>See NotesNEW BUSINESS CENTER BUILDING: BLDG #600: 3/4 WATER CAPACITY FEE $590.00: 3/4 WATER METER $157.49: 2 3-BEDROOM UNITS @ $1858.00 EACH = $3716.00;</t>
  </si>
  <si>
    <t>22-40-16-06-1-12-039</t>
  </si>
  <si>
    <t>20534</t>
  </si>
  <si>
    <t>See NotesNEW BUSINESS CENTER BLDG #500: 3/4 WATER METER $157.49: 3/4 WATER CAPACITY FEE $590.00: SEWER CAPACITY FEE $1858.00 (MINIMUM) CREDIT WAS USED ON SPACE #540</t>
  </si>
  <si>
    <t>22-40-16-06-1-12-031</t>
  </si>
  <si>
    <t>20536</t>
  </si>
  <si>
    <t>See NotesNEW BUSINESS CENTER BLDG#400: 3/4 WATER CAPACITY FEE $590.00: 3/4 WATER METER $157.49: SEWER CAPACITY FEE $1858.00 (MINIMUM)</t>
  </si>
  <si>
    <t>22-40-16-06-1-12-026</t>
  </si>
  <si>
    <t>20572</t>
  </si>
  <si>
    <t>NEW GARAGENULL</t>
  </si>
  <si>
    <t>22-41-16-27-3-27-001</t>
  </si>
  <si>
    <t>BP 2002-0254</t>
  </si>
  <si>
    <t>22-40-16-17-2-01-049</t>
  </si>
  <si>
    <t>BP 2002-0255</t>
  </si>
  <si>
    <t>22-40-16-29-2-02-002</t>
  </si>
  <si>
    <t>BP 2002-0257</t>
  </si>
  <si>
    <t>22-42-16-02-2-00-004</t>
  </si>
  <si>
    <t>BP 2002-0258</t>
  </si>
  <si>
    <t>Build Storage Garage</t>
  </si>
  <si>
    <t>22-39-16-27-1-05-001</t>
  </si>
  <si>
    <t>BP 2002-0259</t>
  </si>
  <si>
    <t>Add Fireplace to SFD</t>
  </si>
  <si>
    <t>22-41-17-33-3-03-018</t>
  </si>
  <si>
    <t>BP 2002-0260</t>
  </si>
  <si>
    <t>Build 1 bedroom log home w/loft and basement</t>
  </si>
  <si>
    <t>22-41-17-33-1-00-023</t>
  </si>
  <si>
    <t>BP 2002-0261</t>
  </si>
  <si>
    <t>Build 4 bedroom home w/unfinished basement and attached garage</t>
  </si>
  <si>
    <t>22-42-16-27-2-27-011</t>
  </si>
  <si>
    <t>BP 2002-0263</t>
  </si>
  <si>
    <t>Build roof over existing SFD deck</t>
  </si>
  <si>
    <t>22-44-18-31-1-01-009</t>
  </si>
  <si>
    <t>20632</t>
  </si>
  <si>
    <t>See NotesNEW SINGLE FAMILY: SEWER CAPACITY FEE $1858.00: 3/4 WATER CAPACITY FEE $590.00: 3/4 WATER METER FEE $157.49</t>
  </si>
  <si>
    <t>22-41-16-33-3-07-046</t>
  </si>
  <si>
    <t>20708</t>
  </si>
  <si>
    <t>BODY REPAIR SHOP AND HOUSING UNITSNULL</t>
  </si>
  <si>
    <t>22-41-16-32-4-01-002</t>
  </si>
  <si>
    <t>BP 2002-0264</t>
  </si>
  <si>
    <t>Build 4 bedroom, 2-story log home w/attached garage</t>
  </si>
  <si>
    <t>22-42-16-20-3-01-006</t>
  </si>
  <si>
    <t>20629</t>
  </si>
  <si>
    <t>See NotesNEW OFFICE: SEWER CAPACTY FEE 35 EMPLOYEES @ $126.00 EACH = $4410.00. 3/4 WATER METER $157.49: 3/4 WATER CAPACITY FEE $590.00:</t>
  </si>
  <si>
    <t>22-41-16-34-2-38-006</t>
  </si>
  <si>
    <t>20698</t>
  </si>
  <si>
    <t>See NotesADDITION TO EXISTING HOME: THIS RESIDENCE IS LOCATED IN THE NC-SF ZONING DISTRICT. THE BONUS ROOM CANNOT BE USED FOR A SEPARATE ACCESSROY UNIT.</t>
  </si>
  <si>
    <t>22-40-16-05-2-04-008</t>
  </si>
  <si>
    <t>BP 2002-0265</t>
  </si>
  <si>
    <t>Move existing garage</t>
  </si>
  <si>
    <t>22-40-16-17-4-09-005</t>
  </si>
  <si>
    <t>20614</t>
  </si>
  <si>
    <t>See NotesNEW SINGLE FAMILY: SEWER CAPACITY FEE $1858.00: 3/4 WATER METER $157.49: 3/4 WATER CAPACITY FEE $590.00</t>
  </si>
  <si>
    <t>22-41-16-31-4-13-048</t>
  </si>
  <si>
    <t>BP 2002-0266</t>
  </si>
  <si>
    <t>Build Garage with living space above (no bedroom)</t>
  </si>
  <si>
    <t>BP 2002-0267</t>
  </si>
  <si>
    <t>22-40-16-20-2-10-016</t>
  </si>
  <si>
    <t>BP 2002-0268</t>
  </si>
  <si>
    <t>Add Bedroom to SFD</t>
  </si>
  <si>
    <t>22-39-16-02-3-00-015</t>
  </si>
  <si>
    <t>BP 2002-0269</t>
  </si>
  <si>
    <t>Interior Remodel,  Add Two Porches to SFD</t>
  </si>
  <si>
    <t>22-45-12-21-2-00-018</t>
  </si>
  <si>
    <t>BP 2002-0270</t>
  </si>
  <si>
    <t>22-39-16-11-1-00-003</t>
  </si>
  <si>
    <t>BP 2002-0271</t>
  </si>
  <si>
    <t>Enlarge SFD Deck</t>
  </si>
  <si>
    <t>22-42-17-24-3-02-067</t>
  </si>
  <si>
    <t>BP 2002-0272</t>
  </si>
  <si>
    <t>Repair SFD Foundation</t>
  </si>
  <si>
    <t>22-39-16-14-1-00-047</t>
  </si>
  <si>
    <t>BP 2002-0273</t>
  </si>
  <si>
    <t>Build 2 bedroom log guest house (ARU)</t>
  </si>
  <si>
    <t>22-41-17-23-1-06-002</t>
  </si>
  <si>
    <t>BP 2002-0274</t>
  </si>
  <si>
    <t>22-40-16-18-4-00-051</t>
  </si>
  <si>
    <t>BP 2002-0275</t>
  </si>
  <si>
    <t>22-45-13-07-4-02-002</t>
  </si>
  <si>
    <t>BP 2002-0276</t>
  </si>
  <si>
    <t>Build Barn w/living quarters (ARU)</t>
  </si>
  <si>
    <t>22-39-16-23-3-10-002</t>
  </si>
  <si>
    <t>20713</t>
  </si>
  <si>
    <t>See Notes4- UNIT CONDO'S: SEWER CAPACITY FEE 4-3 BEDROOMS @ $1858.00 EACH = $7432.00: 4 1-INCH WATER CAPACITY FEE @$1050.00 EACH= $4200.00: 4-1INCH WATER METER @ $236.90 EACH = $947.60</t>
  </si>
  <si>
    <t>22-41-16-34-2-74-001</t>
  </si>
  <si>
    <t>20714</t>
  </si>
  <si>
    <t>See Notes4-UNIT CONDO'S:SEWER CAPACITY FEE 4-3 BEDROOMS @ $1858.00 EACH= $7432.00: 4-1 INCH WATER CAPACITY FEE @ $1050.00 EACH= $4200.00: 4-INCH WATER METER @ $236.90 EACH = $947.60</t>
  </si>
  <si>
    <t>22-41-16-34-2-71-001</t>
  </si>
  <si>
    <t>20715</t>
  </si>
  <si>
    <t>See Notes4-UNIT CONDO'S: SEWER CAPACITY FEE 4-3 BEDROOMS @ $1858.00 EACH= $7432.00: 4 1-INCH WATER CAPACITY FEE @ $1050.00 EACH = $4200.00: 4 1-INCH WATER METER @ $236.90 EACH = $947.60</t>
  </si>
  <si>
    <t>22-41-16-34-2-71-006</t>
  </si>
  <si>
    <t>30093</t>
  </si>
  <si>
    <t>See NotesNEW TOWNHOME: SEWER CAPACITY FEE $1858.00 3/4 WATER CAPACITY FEE $590.00: 3/4 WATER METER FEE $157.49</t>
  </si>
  <si>
    <t>22-41-16-34-1-11-009</t>
  </si>
  <si>
    <t>B02-7978</t>
  </si>
  <si>
    <t>See NotesSee Notes no permit issued</t>
  </si>
  <si>
    <t>22-41-16-34-1-72-002</t>
  </si>
  <si>
    <t>BP 2002-0277</t>
  </si>
  <si>
    <t>Move On Temporary Office</t>
  </si>
  <si>
    <t>22-41-16-21-1-17-004</t>
  </si>
  <si>
    <t>BP 2002-0278</t>
  </si>
  <si>
    <t>Build Yurt w/Platform</t>
  </si>
  <si>
    <t>22-42-17-26-1-00-016</t>
  </si>
  <si>
    <t>30147</t>
  </si>
  <si>
    <t>22-41-16-33-1-34-009</t>
  </si>
  <si>
    <t>BP 2002-0279</t>
  </si>
  <si>
    <t>Convert Garage Storage to Living Space</t>
  </si>
  <si>
    <t>BP 2002-0280</t>
  </si>
  <si>
    <t>Add Garage; Remodel existing garage to living;  add to/remodel existing kitchen</t>
  </si>
  <si>
    <t>22-42-16-22-3-00-050</t>
  </si>
  <si>
    <t>BP 2002-0281</t>
  </si>
  <si>
    <t>22-42-16-33-3-01-001</t>
  </si>
  <si>
    <t>BP 2002-0282</t>
  </si>
  <si>
    <t>Convert existing garage to exercise room - add bay windows</t>
  </si>
  <si>
    <t>22-38-15-04-4-01-002</t>
  </si>
  <si>
    <t>BP 2002-0283</t>
  </si>
  <si>
    <t>Tenant Improvement - Add Bathroom</t>
  </si>
  <si>
    <t>22-40-16-17-4-04-005</t>
  </si>
  <si>
    <t>BP 2002-0284</t>
  </si>
  <si>
    <t>SFD Loft Interior Remodel - Remove stairs &amp; replace beams</t>
  </si>
  <si>
    <t>22-41-17-14-4-32-002</t>
  </si>
  <si>
    <t>BP 2002-0285</t>
  </si>
  <si>
    <t>SFD Bathroom Addition/Remodel</t>
  </si>
  <si>
    <t>22-42-16-22-1-00-012</t>
  </si>
  <si>
    <t>BP 2002-0286</t>
  </si>
  <si>
    <t>Build Log Guest House (ARU)</t>
  </si>
  <si>
    <t>22-41-17-26-2-02-003</t>
  </si>
  <si>
    <t>BP 2002-0287</t>
  </si>
  <si>
    <t>Build 7 bedroom home w/partial basement and garage</t>
  </si>
  <si>
    <t>22-42-16-21-1-02-002</t>
  </si>
  <si>
    <t>BP 2002-0288</t>
  </si>
  <si>
    <t>22-40-16-20-1-15-018</t>
  </si>
  <si>
    <t>BP 2002-0289</t>
  </si>
  <si>
    <t>Build 3 bedroom, 2-story home w/garage</t>
  </si>
  <si>
    <t>22-40-16-20-1-10-024</t>
  </si>
  <si>
    <t>BP 2002-0290</t>
  </si>
  <si>
    <t>Replace exterior ramp &amp; build canopy over it</t>
  </si>
  <si>
    <t>GRTE-00-001</t>
  </si>
  <si>
    <t>BP 2002-0291</t>
  </si>
  <si>
    <t>Tenant Improvement - Add Dormer,  2 Baths, Kitchen and Office Space</t>
  </si>
  <si>
    <t>BP 2002-0292</t>
  </si>
  <si>
    <t>Add Exercise Room, Bath; Enlarge Bedroom; Build New Stairway in existing house</t>
  </si>
  <si>
    <t>22-41-17-12-2-09-001</t>
  </si>
  <si>
    <t>BP 2002-0293</t>
  </si>
  <si>
    <t>Build Garage/ARU/Mudroom addition to SFD</t>
  </si>
  <si>
    <t>22-42-16-10-3-10-006</t>
  </si>
  <si>
    <t>BP 2002-0294</t>
  </si>
  <si>
    <t>Build Boat/RV/Recreational Vehicle Storage Building</t>
  </si>
  <si>
    <t>22-40-16-17-4-00-014</t>
  </si>
  <si>
    <t>20690</t>
  </si>
  <si>
    <t>See NotesNEW BUILDING FOR LEARNING CENTER: NO FEE PERMIT: SEWER CAPACITY FEE $1858.00</t>
  </si>
  <si>
    <t>22-41-16-27-3-00-016</t>
  </si>
  <si>
    <t>30255</t>
  </si>
  <si>
    <t>See NotesNEW STORAGE BUILDING: SEWER CAPACITY FEE $1858.00 3/4 WATER CAPACITY FEE $590.00: 3/4 METER $157.49    (5/15/2009 13:12  KB)  no final requested closed file on 5/15/09 kb</t>
  </si>
  <si>
    <t>22-40-16-06-1-05-007</t>
  </si>
  <si>
    <t>BP 2002-0296</t>
  </si>
  <si>
    <t>Remodel/Add 2 bedrooms/2 baths</t>
  </si>
  <si>
    <t>22-41-17-01-4-01-005</t>
  </si>
  <si>
    <t>BP 2002-0297</t>
  </si>
  <si>
    <t>Build new Garage w/Loft over existing studio; add breezeway and entry addition</t>
  </si>
  <si>
    <t>22-42-16-34-2-02-029</t>
  </si>
  <si>
    <t>BP 2002-0299</t>
  </si>
  <si>
    <t>Remodel Garage to Bedroom, Bath</t>
  </si>
  <si>
    <t>BP 2002-0300</t>
  </si>
  <si>
    <t>Remodel Existing House; Add living room, kitchen, mudroom/entry and garage/ARU</t>
  </si>
  <si>
    <t>22-41-17-14-4-00-008</t>
  </si>
  <si>
    <t>BP 2002-0301</t>
  </si>
  <si>
    <t>Build Barn w/Covered Storage, Loft</t>
  </si>
  <si>
    <t>22-40-16-17-3-06-004</t>
  </si>
  <si>
    <t>BP 2002-0302</t>
  </si>
  <si>
    <t>22-40-16-20-2-10-001</t>
  </si>
  <si>
    <t>BP 2002-0303</t>
  </si>
  <si>
    <t>Build Pole Barn</t>
  </si>
  <si>
    <t>22-39-16-02-4-02-009</t>
  </si>
  <si>
    <t>BP 2002-0305</t>
  </si>
  <si>
    <t>Build Workshop - No Plumbing</t>
  </si>
  <si>
    <t>22-39-16-12-4-00-010</t>
  </si>
  <si>
    <t>BP 2002-0306</t>
  </si>
  <si>
    <t>Move on Log Cabin &amp; Finish Interior</t>
  </si>
  <si>
    <t>22-44-18-29-2-00-033</t>
  </si>
  <si>
    <t>BP 2002-0307</t>
  </si>
  <si>
    <t>Build Employee Housing - Bunkhouse Cabin</t>
  </si>
  <si>
    <t>20689</t>
  </si>
  <si>
    <t>SHED ROOF OVER SORTING AREANULL</t>
  </si>
  <si>
    <t>22-41-16-28-4-09-005</t>
  </si>
  <si>
    <t>BP 2002-0308</t>
  </si>
  <si>
    <t>22-39-17-11-4-05-009</t>
  </si>
  <si>
    <t>BP 2002-0309</t>
  </si>
  <si>
    <t>Cabin Interior Remodel &amp; Porch Remodel</t>
  </si>
  <si>
    <t>22-41-17-28-1-00-015</t>
  </si>
  <si>
    <t>20710</t>
  </si>
  <si>
    <t>GARAGE ADDITIONno final requested: closed file on 2/28/09 kb</t>
  </si>
  <si>
    <t>22-41-16-34-2-19-001</t>
  </si>
  <si>
    <t>BP 2002-0310</t>
  </si>
  <si>
    <t>Add Master Bedroom to SFD</t>
  </si>
  <si>
    <t>22-40-16-17-2-02-076</t>
  </si>
  <si>
    <t>20719</t>
  </si>
  <si>
    <t>See NotesNEW TOWNHOME: SEWER CAPACITY FEE $1858.00: SEWER CAPACITY FEE CREDIT OF $748.00: 3/4 WATER METER $157.49: 3/4 WATER CAPACITY FEE $590.00    (7/22/2009 15:13  KB)  no final requested. closed file on 7/22/09 kb</t>
  </si>
  <si>
    <t>20720</t>
  </si>
  <si>
    <t>See NotesNEW TOWNHOME: SEWER CAPACITY FEE $1858.00: 3/4 WATER CAPACITY FEE $590.00: 3/4 WATER METER FEE $157.49    (1/23/2009 14:46  KB)  no final requested: closed file on 1/23/09 kb</t>
  </si>
  <si>
    <t>BP 2002-0311</t>
  </si>
  <si>
    <t>Build Storage Building</t>
  </si>
  <si>
    <t>GRTE-00-002</t>
  </si>
  <si>
    <t>BP 2002-0313</t>
  </si>
  <si>
    <t>Build 2 bedroom Guesthouse (ARU) over Garage</t>
  </si>
  <si>
    <t>22-41-17-12-2-03-008</t>
  </si>
  <si>
    <t>30303</t>
  </si>
  <si>
    <t>See NotesNEW SINGLE FAMILY HOME: SEWER CAPACITY FEE $1858.00: 3/4 WATER CAPACITY FEE $590.00: 3/4  WATER METER $157.49</t>
  </si>
  <si>
    <t>22-41-16-33-3-07-045</t>
  </si>
  <si>
    <t>BP 2002-0314</t>
  </si>
  <si>
    <t>Guesthouse Interior Remodel; Add Deck</t>
  </si>
  <si>
    <t>22-41-16-20-4-00-006</t>
  </si>
  <si>
    <t>30038</t>
  </si>
  <si>
    <t>NEW TOWNHOMENULL</t>
  </si>
  <si>
    <t>22-41-16-28-1-00-040</t>
  </si>
  <si>
    <t>30039</t>
  </si>
  <si>
    <t>30040</t>
  </si>
  <si>
    <t>30041</t>
  </si>
  <si>
    <t>30042</t>
  </si>
  <si>
    <t>30043</t>
  </si>
  <si>
    <t>30044</t>
  </si>
  <si>
    <t>30045</t>
  </si>
  <si>
    <t>30046</t>
  </si>
  <si>
    <t>30047</t>
  </si>
  <si>
    <t>30048</t>
  </si>
  <si>
    <t>BP 2002-0318</t>
  </si>
  <si>
    <t>Build Garage w/Storage (future bedroom/bath) Above</t>
  </si>
  <si>
    <t>22-41-17-01-4-05-002</t>
  </si>
  <si>
    <t>BP 2002-0315</t>
  </si>
  <si>
    <t>Tenant Improvement - Branch Bank</t>
  </si>
  <si>
    <t>BP 2002-0317</t>
  </si>
  <si>
    <t>Build 3 bedroom, 2-story home w/Garage</t>
  </si>
  <si>
    <t>22-41-16-21-1-01-020</t>
  </si>
  <si>
    <t>30017</t>
  </si>
  <si>
    <t>See NotesNEW SINGLE FAMILY: SEWER CAPACITY FEE $1858.00: 3/4 WATER CAPACITY FEE $590.00: 3/4 WATER METER $157.49</t>
  </si>
  <si>
    <t>22-41-16-31-4-14-089</t>
  </si>
  <si>
    <t>30134</t>
  </si>
  <si>
    <t>NEW DUPLEX: SEWER CAPACITY FEE 2 @ $1858.00 = $ 3716.00NULL</t>
  </si>
  <si>
    <t>22-40-16-06-1-00-016</t>
  </si>
  <si>
    <t>BP 2002-0319</t>
  </si>
  <si>
    <t>Remodel SFD; Add new Living Room, Kitchen, Dining and Garage</t>
  </si>
  <si>
    <t>22-41-17-27-1-06-004</t>
  </si>
  <si>
    <t>BP 2002-0320</t>
  </si>
  <si>
    <t>Remodel Barn into Studio/Office</t>
  </si>
  <si>
    <t>22-41-17-27-1-08-001</t>
  </si>
  <si>
    <t>BP 2002-0322</t>
  </si>
  <si>
    <t>Build 3 bedroom home w/garage and partial unfinished basement</t>
  </si>
  <si>
    <t>BP 2002-0323</t>
  </si>
  <si>
    <t>Build Retail/Warehouse/Office Building</t>
  </si>
  <si>
    <t>22-40-16-17-4-04-017</t>
  </si>
  <si>
    <t>BP 2002-0324</t>
  </si>
  <si>
    <t>Enlarge Commercial Kitchen</t>
  </si>
  <si>
    <t>22-44-18-29-2-00-006</t>
  </si>
  <si>
    <t>30248</t>
  </si>
  <si>
    <t>See NotesNEW SINGLE FAMILY; 3/4 WATER CAPACITY FEE $590.00 3/4 WATER METER $157.49 : SEWER CAPACITY FEE $1858.00</t>
  </si>
  <si>
    <t>22-41-16-31-4-14-105</t>
  </si>
  <si>
    <t>BP 2002-0326</t>
  </si>
  <si>
    <t>Enclose existing carport into shop/storage</t>
  </si>
  <si>
    <t>BP 2002-0327</t>
  </si>
  <si>
    <t>Add ADA Bathroom to Community Center</t>
  </si>
  <si>
    <t>22-41-17-22-3-12-016</t>
  </si>
  <si>
    <t>BP 2002-0328</t>
  </si>
  <si>
    <t>Remodel existing storage into ARU (guest house)</t>
  </si>
  <si>
    <t>22-41-16-16-4-09-045</t>
  </si>
  <si>
    <t>BP 2002-0329</t>
  </si>
  <si>
    <t>22-41-16-16-4-08-009</t>
  </si>
  <si>
    <t>BP 2002-0330</t>
  </si>
  <si>
    <t>Add Second Level to Existing Log SFD - Master Bedroom, Bath, &amp; Closet</t>
  </si>
  <si>
    <t>22-41-17-22-3-02-002</t>
  </si>
  <si>
    <t>BP 2003-0001</t>
  </si>
  <si>
    <t>22-40-16-20-3-05-005</t>
  </si>
  <si>
    <t>BP 2003-0002</t>
  </si>
  <si>
    <t>Tenant Improvement - Real Estate Office</t>
  </si>
  <si>
    <t>22-42-17-24-4-23-003</t>
  </si>
  <si>
    <t>BP 2003-0005</t>
  </si>
  <si>
    <t>Tenant Improvement - Window distributor, contractor's office</t>
  </si>
  <si>
    <t>22-40-16-17-4-11-001</t>
  </si>
  <si>
    <t>BP 2003-0008</t>
  </si>
  <si>
    <t>Interior Remodel of Offices and Bathrooms</t>
  </si>
  <si>
    <t>22-41-16-32-1-00-031</t>
  </si>
  <si>
    <t>BP 2003-0009</t>
  </si>
  <si>
    <t>Move On Garage</t>
  </si>
  <si>
    <t>22-41-17-22-3-00-026</t>
  </si>
  <si>
    <t>BP 2003-0010</t>
  </si>
  <si>
    <t>22-42-16-10-1-11-001</t>
  </si>
  <si>
    <t>30277</t>
  </si>
  <si>
    <t>See NotesNEW SINGLE FAMILY HOME: LETTER SENT TO APPLICANT TO LET HIM KNOW THAT PERMIT HAD EXPIRE. FILE DISCARDED ON 12/28/04</t>
  </si>
  <si>
    <t>22-41-16-33-3-07-030</t>
  </si>
  <si>
    <t>BP 2003-0011</t>
  </si>
  <si>
    <t>22-40-16-20-2-10-005</t>
  </si>
  <si>
    <t>BP 2003-0012</t>
  </si>
  <si>
    <t>Build Guest House (ARU) w/attached garage</t>
  </si>
  <si>
    <t>22-39-16-26-2-05-001</t>
  </si>
  <si>
    <t>BP 2003-0013</t>
  </si>
  <si>
    <t>Repair Fire Damaged SFD</t>
  </si>
  <si>
    <t>22-45-13-21-1-03-001</t>
  </si>
  <si>
    <t>BP 2003-0014</t>
  </si>
  <si>
    <t>Tenant Improvement - Donut Shop</t>
  </si>
  <si>
    <t>22-39-16-23-3-04-004</t>
  </si>
  <si>
    <t>BP 2003-0015</t>
  </si>
  <si>
    <t>Build 4 bedroom, 2-story home w/garage</t>
  </si>
  <si>
    <t>22-41-17-36-1-05-011</t>
  </si>
  <si>
    <t>BP 2003-0016</t>
  </si>
  <si>
    <t>22-40-17-04-1-00-007</t>
  </si>
  <si>
    <t>BP 2003-0017</t>
  </si>
  <si>
    <t>SFD Interior Remodel - rearrange baths, remodel kitchen/dining sitting areas</t>
  </si>
  <si>
    <t>22-42-16-28-4-09-001</t>
  </si>
  <si>
    <t>BP 2003-0018</t>
  </si>
  <si>
    <t>Renovate Men's Locker Room; add unisex bathroom</t>
  </si>
  <si>
    <t>22-41-17-11-1-35-004</t>
  </si>
  <si>
    <t>BP 2003-0019</t>
  </si>
  <si>
    <t>Build Garage/Barn - No electric or plumbing</t>
  </si>
  <si>
    <t>22-39-16-23-3-01-002</t>
  </si>
  <si>
    <t>BP 2003-0020</t>
  </si>
  <si>
    <t>SFD Fire Reconstruction and addition of sitting room</t>
  </si>
  <si>
    <t>22-41-16-07-2-01-014</t>
  </si>
  <si>
    <t>BP 2003-0021</t>
  </si>
  <si>
    <t>Add first floor laundry, second floor storage to existing garage</t>
  </si>
  <si>
    <t>22-41-17-11-4-22-002</t>
  </si>
  <si>
    <t>BP 2003-0022</t>
  </si>
  <si>
    <t>Build Septage Dump Station/Cold Storage Room</t>
  </si>
  <si>
    <t>22-40-16-06-4-00-016</t>
  </si>
  <si>
    <t>BP 2003-0023</t>
  </si>
  <si>
    <t>22-40-16-20-1-15-014</t>
  </si>
  <si>
    <t>30115</t>
  </si>
  <si>
    <t>See NotesADDENDUM TO EXISTING BUILDING PERMIT: ADDING ADDITIONAL SQ FOOTAGE TO EXISTING BUILDING</t>
  </si>
  <si>
    <t>BP 2003-0024</t>
  </si>
  <si>
    <t>Tenant Improvement - Auto/Home Stereo Showroom, Office, and Installation Area</t>
  </si>
  <si>
    <t>22-40-16-17-4-13-002</t>
  </si>
  <si>
    <t>BP 2003-0025</t>
  </si>
  <si>
    <t>SFD Interior Remodel; Master bedroom/bath/dressing room</t>
  </si>
  <si>
    <t>22-41-17-12-1-03-001</t>
  </si>
  <si>
    <t>BP 2003-0026</t>
  </si>
  <si>
    <t>Build Detached Generator Shed</t>
  </si>
  <si>
    <t>22-41-17-26-2-05-002</t>
  </si>
  <si>
    <t>BP 2003-0027</t>
  </si>
  <si>
    <t>Build 4 bedroom home w/garage</t>
  </si>
  <si>
    <t>22-41-16-30-3-02-004</t>
  </si>
  <si>
    <t>BP 2003-0028</t>
  </si>
  <si>
    <t>3 Bedroom Modular Home w/attached Garage</t>
  </si>
  <si>
    <t>22-40-16-20-1-15-004</t>
  </si>
  <si>
    <t>BP 2003-0029</t>
  </si>
  <si>
    <t>BP 2003-0030</t>
  </si>
  <si>
    <t>Build employee cabin (no kitchen)</t>
  </si>
  <si>
    <t>22-41-14-08-1-00-002</t>
  </si>
  <si>
    <t>BP 2003-0031</t>
  </si>
  <si>
    <t>30222</t>
  </si>
  <si>
    <t>See NotesLOFT/STORAGE ADDITION ABOVE PRESSROOM - 1554 square feet.  MET 4-10-03 WITH THE ARCHITECT.  A SECOND EXIT WILL BE ADDED AS THE OWNER WOULD LIKE TO UTILIZE THE SPACE AS OFFICE.  THEY MUST SUBMIT AN ADDENDUM.FEE IN LIEU OF HOUSING $780.92: SEWER CAPACITY FEE 1554/100X $126.00 = 1890.00</t>
  </si>
  <si>
    <t>22-41-16-32-4-20-008</t>
  </si>
  <si>
    <t>BP 2003-0032</t>
  </si>
  <si>
    <t>22-40-16-20-1-15-013</t>
  </si>
  <si>
    <t>BP 2003-0033</t>
  </si>
  <si>
    <t>22-40-16-20-2-12-021</t>
  </si>
  <si>
    <t>BP 2003-0034</t>
  </si>
  <si>
    <t>22-40-16-20-1-08-018</t>
  </si>
  <si>
    <t>30170</t>
  </si>
  <si>
    <t>ADDITION TO EXISTING SINGLE FAMILYNULL</t>
  </si>
  <si>
    <t>22-41-16-33-4-02-005</t>
  </si>
  <si>
    <t>BP 2003-0036</t>
  </si>
  <si>
    <t>Erect Two-Story, 3 bedroom modular SFD w/Garage</t>
  </si>
  <si>
    <t>22-42-15-10-1-05-004</t>
  </si>
  <si>
    <t>BP 2003-0037</t>
  </si>
  <si>
    <t>SFD Interior Remodel - Convert existing storage to bathroom</t>
  </si>
  <si>
    <t>22-42-17-24-1-03-002</t>
  </si>
  <si>
    <t>BP 2003-0038</t>
  </si>
  <si>
    <t>Erect 3 bedroom Modular Home w/Garage</t>
  </si>
  <si>
    <t>22-40-16-20-2-10-002</t>
  </si>
  <si>
    <t>BP 2003-0039</t>
  </si>
  <si>
    <t>Build Covered Porch Add'n</t>
  </si>
  <si>
    <t>22-41-17-23-2-01-009</t>
  </si>
  <si>
    <t>BP 2003-0040</t>
  </si>
  <si>
    <t>Remodel bathrooms; new spa</t>
  </si>
  <si>
    <t>22-40-17-10-3-03-031</t>
  </si>
  <si>
    <t>BP 2003-0041</t>
  </si>
  <si>
    <t>Erect 4 bedroom Modular SFD w/Garage</t>
  </si>
  <si>
    <t>22-40-16-20-1-15-030</t>
  </si>
  <si>
    <t>30396</t>
  </si>
  <si>
    <t>See Notes4-UNIT CONDO'S: SEWER CAPACITY FEE  4-3 BEDROOMS @ $1858.00 EACH= $7432.00: 4 1-INCH WATER CAPACITY FEE @ $1050.00 EACH = $4200.00: 4 1-INCH WATER METER @ $266.80= $1067.20</t>
  </si>
  <si>
    <t>22-41-16-34-2-74-006</t>
  </si>
  <si>
    <t>30397</t>
  </si>
  <si>
    <t>See Notes4-UNIT CONDO'S: SEWER CAPACITY FEE 4 3-BEDROOMS @ $1858.00 EACH =$7432.00: 4 1-INCH WATER CAPACITY FEE @ $1050.00 EACH = $4200.00: 4 1-INCH WATER METER @ $266.80= $1067.20:</t>
  </si>
  <si>
    <t>22-41-16-34-2-78-001</t>
  </si>
  <si>
    <t>B03-8340</t>
  </si>
  <si>
    <t>22-41-16-31-4-13-051</t>
  </si>
  <si>
    <t>BP 2003-0042</t>
  </si>
  <si>
    <t>22-41-17-14-1-03-006</t>
  </si>
  <si>
    <t>BP 2003-0043</t>
  </si>
  <si>
    <t>Light Industrial, Office, Residential, &amp; Storage</t>
  </si>
  <si>
    <t>22-40-16-17-4-09-006</t>
  </si>
  <si>
    <t>BP 2003-0044</t>
  </si>
  <si>
    <t>Build Pump House for Golf Course Irrigation</t>
  </si>
  <si>
    <t>22-38-16-08-4-01-079</t>
  </si>
  <si>
    <t>BP 2003-0045</t>
  </si>
  <si>
    <t>Build Shed/Shop</t>
  </si>
  <si>
    <t>22-41-17-25-3-00-022</t>
  </si>
  <si>
    <t>BP 2003-0046</t>
  </si>
  <si>
    <t>Add Master Bedroom &amp; Bath to SFD</t>
  </si>
  <si>
    <t>22-42-15-11-2-03-002</t>
  </si>
  <si>
    <t>BP 2003-0047</t>
  </si>
  <si>
    <t>Convert existing storage loft to ARU</t>
  </si>
  <si>
    <t>BP 2003-0048</t>
  </si>
  <si>
    <t>Build 4 bedroom home w/attached garage and ARU</t>
  </si>
  <si>
    <t>22-42-17-24-3-02-068</t>
  </si>
  <si>
    <t>BP 2003-0049</t>
  </si>
  <si>
    <t>Build 4 bedroom, 2-story home w/workshop</t>
  </si>
  <si>
    <t>22-41-17-14-4-00-036</t>
  </si>
  <si>
    <t>BP 2003-0050</t>
  </si>
  <si>
    <t>Build Kitchen/Dining/Living Room Addition</t>
  </si>
  <si>
    <t>22-45-12-21-2-00-003</t>
  </si>
  <si>
    <t>BP 2003-0051</t>
  </si>
  <si>
    <t>Master Bedroom/Sitting Room Addition</t>
  </si>
  <si>
    <t>22-40-16-20-3-03-007</t>
  </si>
  <si>
    <t>30811</t>
  </si>
  <si>
    <t>See NotesTENANT IMPROVEMENT FOR SIDEWINDERS BAR AND RESTAURANT.  153 SEATS @ $341 PER SEAT = $52,173.00</t>
  </si>
  <si>
    <t>22-41-16-32-1-09-017</t>
  </si>
  <si>
    <t>BP 2003-0052</t>
  </si>
  <si>
    <t>22-41-16-11-2-00-011</t>
  </si>
  <si>
    <t>BP 2003-0053</t>
  </si>
  <si>
    <t>Add Exterior Stair to Log Cabin</t>
  </si>
  <si>
    <t>BP 2003-0054</t>
  </si>
  <si>
    <t>Add Study to SFD and Expand Detatched Garage/Office</t>
  </si>
  <si>
    <t>22-41-16-06-1-04-004</t>
  </si>
  <si>
    <t>BP 2003-0055</t>
  </si>
  <si>
    <t>Build 2 Bedroom Home w/Garage</t>
  </si>
  <si>
    <t>22-40-16-20-1-15-022</t>
  </si>
  <si>
    <t>BP 2003-0056</t>
  </si>
  <si>
    <t>Build 3 Bedroom Home w/Garage</t>
  </si>
  <si>
    <t>22-40-16-20-1-15-015</t>
  </si>
  <si>
    <t>BP 2003-0057</t>
  </si>
  <si>
    <t>Repair fire-damaged townhouse</t>
  </si>
  <si>
    <t>22-41-17-11-4-22-005</t>
  </si>
  <si>
    <t>BP 2003-0058</t>
  </si>
  <si>
    <t>Add Garage/Master Bedroom Suite to SFD</t>
  </si>
  <si>
    <t>22-41-17-14-4-00-028</t>
  </si>
  <si>
    <t>BP 2003-0059</t>
  </si>
  <si>
    <t>3 bedroom modular home w/garage</t>
  </si>
  <si>
    <t>22-40-16-20-2-12-008</t>
  </si>
  <si>
    <t>BP 2003-0060</t>
  </si>
  <si>
    <t>Build 4 Bedroom, 2-Story Home w/Garage and unfinished ARU</t>
  </si>
  <si>
    <t>22-40-16-17-3-06-003</t>
  </si>
  <si>
    <t>BP 2003-0062</t>
  </si>
  <si>
    <t>Build detached garage with guest quarters above</t>
  </si>
  <si>
    <t>22-44-15-36-2-00-005</t>
  </si>
  <si>
    <t>30375</t>
  </si>
  <si>
    <t>See NotesNEW BANK  SEWER CAPACITY FEE - ONE 1 BR APT. W/WASHER. $930.00 ONE 2BR APT. W/WASHER $1858.00.   207 EMPLOYEE @ $126 = $26,082.00    CREDIT FOR EXISTING RESTAURANT SEATS  @341.00=$59,675.00 AND CREDIT FOR 38 BAR SEATS @ $254.00 = $9652.00  FOR A TOTAL OF $69,327.00: NO SEWER FEES DUE AT THIS TIME: ADDENDUM FOR SIDEWALK WAS SUBMITTED ON 7/25/03.</t>
  </si>
  <si>
    <t>22-41-16-33-2-00-003</t>
  </si>
  <si>
    <t>BP 2003-0061</t>
  </si>
  <si>
    <t>Build Bedroom/Office/Bath and Garage Addition to SFD</t>
  </si>
  <si>
    <t>22-42-16-27-4-03-004</t>
  </si>
  <si>
    <t>BP 2003-0063</t>
  </si>
  <si>
    <t>Build Log Garage/Workshop w/cold Storage above</t>
  </si>
  <si>
    <t>22-42-16-10-3-03-012</t>
  </si>
  <si>
    <t>30270</t>
  </si>
  <si>
    <t>See Notes439 SQUARE FOOT ADDITION TO EXISTING 960 SQUARE FOOT OFFICE: FEE IN LIEU OF EMPLOYEE HOUSING  $222.10: SEWER CAPACITY FEE 439 SQ FT/100 X $126.00 = 504.00</t>
  </si>
  <si>
    <t>22-41-16-34-2-14-006</t>
  </si>
  <si>
    <t>BP 2003-0064</t>
  </si>
  <si>
    <t>22-40-16-20-1-15-016</t>
  </si>
  <si>
    <t>BP 2003-0065</t>
  </si>
  <si>
    <t>Remodel kitchen, baths of condo</t>
  </si>
  <si>
    <t>22-42-17-24-3-10-005</t>
  </si>
  <si>
    <t>BP 2003-0066</t>
  </si>
  <si>
    <t>22-40-16-19-3-00-031</t>
  </si>
  <si>
    <t>BP 2003-0067</t>
  </si>
  <si>
    <t>SFD Addition (Walkway)/Remodel</t>
  </si>
  <si>
    <t>22-40-17-35-2-06-004</t>
  </si>
  <si>
    <t>BP 2003-0068</t>
  </si>
  <si>
    <t>22-40-16-20-1-15-017</t>
  </si>
  <si>
    <t>BP 2003-0069</t>
  </si>
  <si>
    <t>Build Studio Addition - Storage</t>
  </si>
  <si>
    <t>BP 2003-0070</t>
  </si>
  <si>
    <t>Build Garage w/ARU (guest quarters) above</t>
  </si>
  <si>
    <t>22-41-17-22-4-00-009</t>
  </si>
  <si>
    <t>BP 2003-0071</t>
  </si>
  <si>
    <t>Build Vehicle Storage Building</t>
  </si>
  <si>
    <t>22-39-16-11-4-05-010</t>
  </si>
  <si>
    <t>BP 2003-0072</t>
  </si>
  <si>
    <t>Build 2 story, 2 bedroom home w/garage</t>
  </si>
  <si>
    <t>22-40-16-20-1-15-002</t>
  </si>
  <si>
    <t>BP 2003-0073</t>
  </si>
  <si>
    <t>22-42-16-28-4-08-005</t>
  </si>
  <si>
    <t>BP 2003-0074</t>
  </si>
  <si>
    <t>Build 3 bedroom home w/attic bonus room and garage</t>
  </si>
  <si>
    <t>22-40-16-20-1-15-021</t>
  </si>
  <si>
    <t>BP 2003-0075</t>
  </si>
  <si>
    <t>Build 2 story, 2 bedroom home w/garage &amp; carport</t>
  </si>
  <si>
    <t>22-41-17-22-4-14-038</t>
  </si>
  <si>
    <t>BP 2003-0076</t>
  </si>
  <si>
    <t>Build SFD Add'n/Remodel Existing</t>
  </si>
  <si>
    <t>22-41-16-06-1-01-005</t>
  </si>
  <si>
    <t>BP 2003-0077</t>
  </si>
  <si>
    <t>Build ARU (Guesthouse) w/Garage</t>
  </si>
  <si>
    <t>BP 2003-0078</t>
  </si>
  <si>
    <t>22-42-17-24-3-02-001</t>
  </si>
  <si>
    <t>BP 2003-0079</t>
  </si>
  <si>
    <t>22-40-16-20-2-10-013</t>
  </si>
  <si>
    <t>BP 2003-0080</t>
  </si>
  <si>
    <t>Move on SFD Addition</t>
  </si>
  <si>
    <t>BP 2003-0081</t>
  </si>
  <si>
    <t>Build 2 Bedroom  ARU above Garage</t>
  </si>
  <si>
    <t>22-41-17-34-3-00-006</t>
  </si>
  <si>
    <t>BP 2003-0082</t>
  </si>
  <si>
    <t>Tenant Improvement - Commercial Kitchen/Office for Catering</t>
  </si>
  <si>
    <t>22-40-16-17-4-13-014</t>
  </si>
  <si>
    <t>BP 2003-0083</t>
  </si>
  <si>
    <t>Build 1 bedroom log ARU (Guest House)</t>
  </si>
  <si>
    <t>22-39-16-27-1-01-001</t>
  </si>
  <si>
    <t>BP 2003-0084</t>
  </si>
  <si>
    <t>22-45-13-21-1-01-028</t>
  </si>
  <si>
    <t>BP 2003-0086</t>
  </si>
  <si>
    <t>Build 5 bedroom home w/attached garage and walk-out basement</t>
  </si>
  <si>
    <t>22-42-17-24-1-01-019</t>
  </si>
  <si>
    <t>BP 2003-0087</t>
  </si>
  <si>
    <t>Remodel existing motel unit into 2 bedroom condominium</t>
  </si>
  <si>
    <t>22-41-17-11-4-26-003</t>
  </si>
  <si>
    <t>BP 2003-0088</t>
  </si>
  <si>
    <t>22-44-18-17-4-03-006</t>
  </si>
  <si>
    <t>BP 2003-0089</t>
  </si>
  <si>
    <t>Build 2 story Guest House (ARU) w basement</t>
  </si>
  <si>
    <t>22-39-16-12-4-00-011</t>
  </si>
  <si>
    <t>30312</t>
  </si>
  <si>
    <t>ADDING A BEDROOM &amp; BATHROOM TO EXISTING HOMEno final requested closed file on 5/15/09 kb</t>
  </si>
  <si>
    <t>22-41-16-34-4-02-016</t>
  </si>
  <si>
    <t>BP 2003-0090</t>
  </si>
  <si>
    <t>SFD/Garage Interior Remodel - Convert existing storage to master bedroom</t>
  </si>
  <si>
    <t>22-39-16-34-1-06-003</t>
  </si>
  <si>
    <t>30269</t>
  </si>
  <si>
    <t>22-41-16-34-1-67-001</t>
  </si>
  <si>
    <t>BP 2003-0091</t>
  </si>
  <si>
    <t>Build 3 bedroom, 2 story log home w/unfinished basement and attached garage</t>
  </si>
  <si>
    <t>22-39-15-30-4-01-003</t>
  </si>
  <si>
    <t>BP 2003-0092</t>
  </si>
  <si>
    <t>Build 3 bedroom home w/unfinished full basement, garage (employee housing)</t>
  </si>
  <si>
    <t>22-44-18-29-4-00-023</t>
  </si>
  <si>
    <t>BP 2003-0093</t>
  </si>
  <si>
    <t>Build Sun Room Addition to SFD</t>
  </si>
  <si>
    <t>22-41-17-15-4-00-009</t>
  </si>
  <si>
    <t>30316</t>
  </si>
  <si>
    <t>16 x 24 LIVING ROOM ADDITIONno final requested: closed file on 2/25/09 kb</t>
  </si>
  <si>
    <t>22-41-16-34-1-32-010</t>
  </si>
  <si>
    <t>BP 2003-0094</t>
  </si>
  <si>
    <t>22-42-16-27-4-04-026</t>
  </si>
  <si>
    <t>BP 2003-0095</t>
  </si>
  <si>
    <t>Build Maintenance Facility</t>
  </si>
  <si>
    <t>22-39-13-17-2-00-003</t>
  </si>
  <si>
    <t>BP 2003-0097</t>
  </si>
  <si>
    <t>22-40-16-35-4-13-001</t>
  </si>
  <si>
    <t>BP 2003-0098</t>
  </si>
  <si>
    <t>Build SFD/Garage Addition</t>
  </si>
  <si>
    <t>22-42-16-10-3-08-002</t>
  </si>
  <si>
    <t>BP 2003-0099</t>
  </si>
  <si>
    <t>Build 3 bedroom SFD w/garage</t>
  </si>
  <si>
    <t>22-40-17-01-1-01-006</t>
  </si>
  <si>
    <t>BP 2003-0100</t>
  </si>
  <si>
    <t>Build 2 bedroom ARU (guest house)</t>
  </si>
  <si>
    <t>BP 2003-0101</t>
  </si>
  <si>
    <t>Build  1 bedroom ARU (employee housing)</t>
  </si>
  <si>
    <t>22-45-13-27-4-00-004</t>
  </si>
  <si>
    <t>BP 2003-0102</t>
  </si>
  <si>
    <t>Build duplex 1 bedroom ARU (Employee Housing)</t>
  </si>
  <si>
    <t>BP 2003-0103</t>
  </si>
  <si>
    <t>Build 4 bedroom, 2 story home w/garage</t>
  </si>
  <si>
    <t>22-40-16-20-2-12-010</t>
  </si>
  <si>
    <t>BP 2003-0104</t>
  </si>
  <si>
    <t>Remodel existing entry into service bar</t>
  </si>
  <si>
    <t>22-45-13-21-4-00-010</t>
  </si>
  <si>
    <t>BP 2003-0105</t>
  </si>
  <si>
    <t>Move on Guest Quarters (No Kitchen)</t>
  </si>
  <si>
    <t>22-40-16-20-3-03-001</t>
  </si>
  <si>
    <t>BP 2003-0106</t>
  </si>
  <si>
    <t>Add Bathroom, Mechanical Room in Basement/ARU above Garage</t>
  </si>
  <si>
    <t>BP 2003-0107</t>
  </si>
  <si>
    <t>Finish Basement of SFD &amp; Add New Windows</t>
  </si>
  <si>
    <t>22-43-15-20-3-01-002</t>
  </si>
  <si>
    <t>BP 2003-0108</t>
  </si>
  <si>
    <t>Build Garage Addition - Additional Bay</t>
  </si>
  <si>
    <t>22-42-16-34-2-03-015</t>
  </si>
  <si>
    <t>BP 2003-0109</t>
  </si>
  <si>
    <t>22-41-17-23-1-01-008</t>
  </si>
  <si>
    <t>BP 2003-0110</t>
  </si>
  <si>
    <t>SFD Interior Remodel - Create ARU</t>
  </si>
  <si>
    <t>22-41-17-26-2-00-003</t>
  </si>
  <si>
    <t>BP 2003-0112</t>
  </si>
  <si>
    <t>Remodel Dumpster Enclosure</t>
  </si>
  <si>
    <t>30402</t>
  </si>
  <si>
    <t>22-41-16-31-4-14-066</t>
  </si>
  <si>
    <t>BP 2003-0113</t>
  </si>
  <si>
    <t>Build Living Room, Kitchen, Entry Addition</t>
  </si>
  <si>
    <t>22-40-16-18-1-06-008</t>
  </si>
  <si>
    <t>BP 2003-0114</t>
  </si>
  <si>
    <t>22-41-17-22-1-01-018</t>
  </si>
  <si>
    <t>BP 2003-0115</t>
  </si>
  <si>
    <t>Enlarge bedroom dormers;convert deck to mudroom entry</t>
  </si>
  <si>
    <t>22-41-16-30-3-04-001</t>
  </si>
  <si>
    <t>BP 2003-0116</t>
  </si>
  <si>
    <t>Add Fireplace, Entries, Covered Porches; remodel interior SFD</t>
  </si>
  <si>
    <t>22-42-16-22-3-00-096</t>
  </si>
  <si>
    <t>BP 2003-0117</t>
  </si>
  <si>
    <t>Build 4 bedroom home w/unfinished basement, garage</t>
  </si>
  <si>
    <t>22-40-16-20-1-13-005</t>
  </si>
  <si>
    <t>BP 2003-0118</t>
  </si>
  <si>
    <t>Build Art/Music Studio</t>
  </si>
  <si>
    <t>22-40-16-35-3-10-004</t>
  </si>
  <si>
    <t>BP 2003-0119</t>
  </si>
  <si>
    <t>SFD Remodel - Add windows;remodel kitchen</t>
  </si>
  <si>
    <t>22-40-16-18-1-03-173</t>
  </si>
  <si>
    <t>BP 2003-0120</t>
  </si>
  <si>
    <t>Add Master bedroom/Bath and upstairs bath; expand Living Room, Family Room</t>
  </si>
  <si>
    <t>22-41-17-22-3-00-040</t>
  </si>
  <si>
    <t>BP 2003-0121</t>
  </si>
  <si>
    <t>Build SFD Addition - Overbuild roof; add entry, bedroom, &amp; bath</t>
  </si>
  <si>
    <t>22-41-17-28-1-00-036</t>
  </si>
  <si>
    <t>BP 2003-0122</t>
  </si>
  <si>
    <t>SFD Addition - Garage w/storage above &amp; mudroom</t>
  </si>
  <si>
    <t>22-41-16-06-3-04-005</t>
  </si>
  <si>
    <t>BP 2003-0123</t>
  </si>
  <si>
    <t>Build 3 bedroom home w/attached garage &amp; partial basement</t>
  </si>
  <si>
    <t>22-41-15-18-4-01-004</t>
  </si>
  <si>
    <t>BP 2003-0124</t>
  </si>
  <si>
    <t>Build Garage/Barn w/ARU (guesthouse) above</t>
  </si>
  <si>
    <t>BP 2003-0125</t>
  </si>
  <si>
    <t>Add Exercise Room, Bathroom &amp; Deck Above</t>
  </si>
  <si>
    <t>22-41-17-14-1-05-004</t>
  </si>
  <si>
    <t>BP 2003-0126</t>
  </si>
  <si>
    <t>Remodel Kitchen/Bath of Condo</t>
  </si>
  <si>
    <t>22-42-17-24-4-04-004</t>
  </si>
  <si>
    <t>BP 2003-0127</t>
  </si>
  <si>
    <t>Remodel existing cabin to ARU; Add Garage, Kitchen, 3 Bedrooms, Baths, Living</t>
  </si>
  <si>
    <t>22-40-16-35-4-15-003</t>
  </si>
  <si>
    <t>BP 2003-0128</t>
  </si>
  <si>
    <t>Build 2 Bedroom ARU w/Garage Below</t>
  </si>
  <si>
    <t>22-41-17-36-2-02-006</t>
  </si>
  <si>
    <t>BP 2003-0129</t>
  </si>
  <si>
    <t>Connect Garage &amp; SFD with enclosed connector</t>
  </si>
  <si>
    <t>22-39-16-02-4-00-010</t>
  </si>
  <si>
    <t>BP 2003-0131</t>
  </si>
  <si>
    <t>22-45-12-21-2-00-033</t>
  </si>
  <si>
    <t>BP 2003-0132</t>
  </si>
  <si>
    <t>Build 3 bedroom, 2-story log home w/Basement</t>
  </si>
  <si>
    <t>22-40-17-10-3-03-015</t>
  </si>
  <si>
    <t>BP 2003-0133</t>
  </si>
  <si>
    <t>Build detached log garage</t>
  </si>
  <si>
    <t>BP 2003-0134</t>
  </si>
  <si>
    <t>22-40-16-20-2-12-006</t>
  </si>
  <si>
    <t>30353</t>
  </si>
  <si>
    <t>22-41-16-33-1-14-003</t>
  </si>
  <si>
    <t>BP 2003-0135</t>
  </si>
  <si>
    <t>22-42-16-27-4-04-027</t>
  </si>
  <si>
    <t>BP 2003-0136</t>
  </si>
  <si>
    <t>22-40-16-20-2-12-005</t>
  </si>
  <si>
    <t>BP 2003-0137</t>
  </si>
  <si>
    <t>22-40-16-20-2-02-050</t>
  </si>
  <si>
    <t>BP 2003-0138</t>
  </si>
  <si>
    <t>22-40-16-18-3-05-012</t>
  </si>
  <si>
    <t>BP 2003-0139</t>
  </si>
  <si>
    <t>Add Greenhouse to Barn; Convert upper floor to ARU</t>
  </si>
  <si>
    <t>22-40-16-19-3-00-021</t>
  </si>
  <si>
    <t>BP 2003-0140</t>
  </si>
  <si>
    <t>22-41-17-13-2-06-003</t>
  </si>
  <si>
    <t>BP 2003-0141</t>
  </si>
  <si>
    <t>22-41-17-13-2-06-006</t>
  </si>
  <si>
    <t>BP 2003-0142</t>
  </si>
  <si>
    <t>22-41-17-13-2-06-010</t>
  </si>
  <si>
    <t>BP 2003-0143</t>
  </si>
  <si>
    <t>3 Bedroom 3 Bedroom Modular Home w/Garage - A Unit</t>
  </si>
  <si>
    <t>22-41-17-13-2-06-011</t>
  </si>
  <si>
    <t>BP 2003-0144</t>
  </si>
  <si>
    <t>3 Bedroom Modular Home w/attached Garage - A Unit</t>
  </si>
  <si>
    <t>22-41-17-13-2-06-015</t>
  </si>
  <si>
    <t>BP 2003-0145</t>
  </si>
  <si>
    <t>22-41-17-13-2-06-018</t>
  </si>
  <si>
    <t>BP 2003-0146</t>
  </si>
  <si>
    <t>22-41-17-13-2-06-024</t>
  </si>
  <si>
    <t>BP 2003-0147</t>
  </si>
  <si>
    <t>22-41-17-13-2-06-028</t>
  </si>
  <si>
    <t>BP 2003-0148</t>
  </si>
  <si>
    <t>22-41-17-13-2-06-032</t>
  </si>
  <si>
    <t>BP 2003-0149</t>
  </si>
  <si>
    <t>22-41-17-13-2-06-035</t>
  </si>
  <si>
    <t>BP 2003-0150</t>
  </si>
  <si>
    <t>22-41-17-13-2-06-038</t>
  </si>
  <si>
    <t>BP 2003-0151</t>
  </si>
  <si>
    <t>22-41-17-13-2-06-043</t>
  </si>
  <si>
    <t>BP 2003-0152</t>
  </si>
  <si>
    <t>22-41-17-13-2-06-046</t>
  </si>
  <si>
    <t>BP 2003-0153</t>
  </si>
  <si>
    <t>3 Bedroom Modular Home w/attached Garage - A  Unit</t>
  </si>
  <si>
    <t>22-41-17-13-2-06-048</t>
  </si>
  <si>
    <t>BP 2003-0154</t>
  </si>
  <si>
    <t>2 Bedroom Modular Home w/attached Garage</t>
  </si>
  <si>
    <t>22-41-17-13-2-06-002</t>
  </si>
  <si>
    <t>BP 2003-0155</t>
  </si>
  <si>
    <t>2 Bedroom Modular Home w/attached Garage - B Unit</t>
  </si>
  <si>
    <t>22-41-17-13-2-06-044</t>
  </si>
  <si>
    <t>BP 2003-0156</t>
  </si>
  <si>
    <t>22-41-17-13-2-06-008</t>
  </si>
  <si>
    <t>BP 2003-0157</t>
  </si>
  <si>
    <t>22-41-17-13-2-06-013</t>
  </si>
  <si>
    <t>BP 2003-0158</t>
  </si>
  <si>
    <t>22-41-17-13-2-06-016</t>
  </si>
  <si>
    <t>BP 2003-0159</t>
  </si>
  <si>
    <t>22-41-17-13-2-06-021</t>
  </si>
  <si>
    <t>BP 2003-0160</t>
  </si>
  <si>
    <t>22-41-17-13-2-06-022</t>
  </si>
  <si>
    <t>BP 2003-0161</t>
  </si>
  <si>
    <t>22-41-17-13-2-06-027</t>
  </si>
  <si>
    <t>BP 2003-0162</t>
  </si>
  <si>
    <t>22-41-17-13-2-06-030</t>
  </si>
  <si>
    <t>BP 2003-0163</t>
  </si>
  <si>
    <t>22-41-17-13-2-06-033</t>
  </si>
  <si>
    <t>BP 2003-0164</t>
  </si>
  <si>
    <t>22-41-17-13-2-06-037</t>
  </si>
  <si>
    <t>BP 2003-0165</t>
  </si>
  <si>
    <t>22-41-17-13-2-06-040</t>
  </si>
  <si>
    <t>BP 2003-0166</t>
  </si>
  <si>
    <t>22-41-17-13-2-06-041</t>
  </si>
  <si>
    <t>BP 2003-0167</t>
  </si>
  <si>
    <t>1 Bedroom Modular Home w/attached Garage - C Unit</t>
  </si>
  <si>
    <t>22-41-17-13-2-06-004</t>
  </si>
  <si>
    <t>BP 2003-0168</t>
  </si>
  <si>
    <t>22-41-17-13-2-06-007</t>
  </si>
  <si>
    <t>BP 2003-0169</t>
  </si>
  <si>
    <t>22-41-17-13-2-06-012</t>
  </si>
  <si>
    <t>BP 2003-0170</t>
  </si>
  <si>
    <t>22-41-17-13-2-06-019</t>
  </si>
  <si>
    <t>BP 2003-0171</t>
  </si>
  <si>
    <t>22-41-17-13-2-06-025</t>
  </si>
  <si>
    <t>BP 2003-0172</t>
  </si>
  <si>
    <t>22-41-17-13-2-06-031</t>
  </si>
  <si>
    <t>BP 2003-0173</t>
  </si>
  <si>
    <t>22-41-17-13-2-06-047</t>
  </si>
  <si>
    <t>BP 2003-0174</t>
  </si>
  <si>
    <t>22-41-17-13-2-06-001</t>
  </si>
  <si>
    <t>BP 2003-0175</t>
  </si>
  <si>
    <t>22-41-17-13-2-06-009</t>
  </si>
  <si>
    <t>BP 2003-0176</t>
  </si>
  <si>
    <t>2 Bedroom Modular Home w/attached Garage - D Unit</t>
  </si>
  <si>
    <t>22-41-17-13-2-06-014</t>
  </si>
  <si>
    <t>BP 2003-0177</t>
  </si>
  <si>
    <t>22-41-17-13-2-06-017</t>
  </si>
  <si>
    <t>BP 2003-0178</t>
  </si>
  <si>
    <t>22-41-17-13-2-06-020</t>
  </si>
  <si>
    <t>BP 2003-0179</t>
  </si>
  <si>
    <t>22-41-17-13-2-06-023</t>
  </si>
  <si>
    <t>BP 2003-0180</t>
  </si>
  <si>
    <t>22-41-17-13-2-06-026</t>
  </si>
  <si>
    <t>BP 2003-0181</t>
  </si>
  <si>
    <t>22-41-17-13-2-06-029</t>
  </si>
  <si>
    <t>BP 2003-0182</t>
  </si>
  <si>
    <t>22-41-17-13-2-06-034</t>
  </si>
  <si>
    <t>BP 2003-0183</t>
  </si>
  <si>
    <t>22-41-17-13-2-06-036</t>
  </si>
  <si>
    <t>BP 2003-0184</t>
  </si>
  <si>
    <t>22-41-17-13-2-06-039</t>
  </si>
  <si>
    <t>BP 2003-0185</t>
  </si>
  <si>
    <t>22-41-17-13-2-06-042</t>
  </si>
  <si>
    <t>BP 2003-0186</t>
  </si>
  <si>
    <t>22-41-17-13-2-06-045</t>
  </si>
  <si>
    <t>BP 2003-0187</t>
  </si>
  <si>
    <t>22-41-17-13-2-06-049</t>
  </si>
  <si>
    <t>BP 2003-0188</t>
  </si>
  <si>
    <t>Add Exterior Stairs to SFD Deck</t>
  </si>
  <si>
    <t>22-41-17-14-1-02-003</t>
  </si>
  <si>
    <t>BP 2003-0189</t>
  </si>
  <si>
    <t>Build 3 bedroom, 2-story home w/finished basement &amp; attached garage</t>
  </si>
  <si>
    <t>22-41-17-33-3-03-046</t>
  </si>
  <si>
    <t>BP 2003-0190</t>
  </si>
  <si>
    <t>Build 3 bedroom, 2-story log home w/unfinished basement</t>
  </si>
  <si>
    <t>22-39-16-19-2-06-013</t>
  </si>
  <si>
    <t>BP 2003-0191</t>
  </si>
  <si>
    <t>22-41-17-22-3-08-001</t>
  </si>
  <si>
    <t>BP 2003-0192</t>
  </si>
  <si>
    <t>Build 1 bedroom Guesthouse (ARU) w/2 attached garages</t>
  </si>
  <si>
    <t>22-40-17-10-1-00-012</t>
  </si>
  <si>
    <t>BP 2003-0193</t>
  </si>
  <si>
    <t>Build 2 bedroom log home</t>
  </si>
  <si>
    <t>22-45-13-07-1-00-013</t>
  </si>
  <si>
    <t>BP 2003-0194</t>
  </si>
  <si>
    <t>Add Master Suite and Great Room toSFD; Remodel Kitchen</t>
  </si>
  <si>
    <t>30409</t>
  </si>
  <si>
    <t>See NotesNEW SINGLE FAMILY HOME: NO WATER CAPACITY FEE OR WATER METER FEE DUE AT THIS TIME BECAUSE OF EXISTING CREDIT.    (6/19/2007 12:56  KB)  closed per Bulding Official</t>
  </si>
  <si>
    <t>22-41-16-34-1-31-003</t>
  </si>
  <si>
    <t>BP 2003-0195</t>
  </si>
  <si>
    <t>Build SFD Addition - Dining Room w/Basement (storage)</t>
  </si>
  <si>
    <t>22-39-16-03-3-00-027</t>
  </si>
  <si>
    <t>BP 2003-0197</t>
  </si>
  <si>
    <t>22-40-16-20-2-02-061</t>
  </si>
  <si>
    <t>BP 2003-0198</t>
  </si>
  <si>
    <t>Build Detached Garage</t>
  </si>
  <si>
    <t>BP 2003-0199</t>
  </si>
  <si>
    <t>Remodel Barn Loft to ARU</t>
  </si>
  <si>
    <t>BP 2003-0200</t>
  </si>
  <si>
    <t>Modular SFD w/attached Garage</t>
  </si>
  <si>
    <t>22-40-16-20-1-15-007</t>
  </si>
  <si>
    <t>BP 2003-0201</t>
  </si>
  <si>
    <t>22-40-16-18-4-00-039</t>
  </si>
  <si>
    <t>BP 2003-0202</t>
  </si>
  <si>
    <t>Add Garage, Entry, Kitchen/Living/Dining; Remodel Bedrooms, Baths</t>
  </si>
  <si>
    <t>22-39-16-02-4-01-003</t>
  </si>
  <si>
    <t>BP 2003-0203</t>
  </si>
  <si>
    <t>Add Exercise Room to SFD</t>
  </si>
  <si>
    <t>22-40-17-10-3-03-046</t>
  </si>
  <si>
    <t>BP 2003-0204</t>
  </si>
  <si>
    <t>Move-On 3 bedroom modular home; add garage</t>
  </si>
  <si>
    <t>22-40-16-20-2-12-011</t>
  </si>
  <si>
    <t>BP 2003-0205</t>
  </si>
  <si>
    <t>Sunroom Addition to SFD</t>
  </si>
  <si>
    <t>22-41-16-32-1-99-001</t>
  </si>
  <si>
    <t>BP 2003-0206</t>
  </si>
  <si>
    <t>22-41-17-22-4-14-003</t>
  </si>
  <si>
    <t>30412</t>
  </si>
  <si>
    <t>See NotesNEW SINGLE FAMILY:NO WATER OR SEWER CAPACITY FEES DUE AT THIS TIME BECAUSE OF EXISTING CREDITS.</t>
  </si>
  <si>
    <t>22-41-16-27-3-07-006</t>
  </si>
  <si>
    <t>30429</t>
  </si>
  <si>
    <t>See NotesNEW SINGLE FAMILY HOME: SEWER CAPACITY FEE $1858.00: 3/4 WATER CAPACITY FEE $590.00: 3/4 WATER METER FEE $ 169.06: 1-INCH WATER TAP $155.80: SEWER TAP FEE $127.31</t>
  </si>
  <si>
    <t>BP 2003-0207</t>
  </si>
  <si>
    <t>SFD Interior Remodel - Add loft</t>
  </si>
  <si>
    <t>22-44-18-05-2-01-002</t>
  </si>
  <si>
    <t>30503</t>
  </si>
  <si>
    <t>See NotesBATHROOM ADDITION: FEE INLIEU OF EMPLOYEE HOUSING IS $1077.31 NO SEWER CAPACITY FEE DUE:</t>
  </si>
  <si>
    <t>22-41-16-27-3-12-008</t>
  </si>
  <si>
    <t>BP 2003-0208</t>
  </si>
  <si>
    <t>Remodel - From Residential Unit to Classroom</t>
  </si>
  <si>
    <t>22-41-17-14-4-00-013</t>
  </si>
  <si>
    <t>BP 2003-0209</t>
  </si>
  <si>
    <t>SFD Remodel/Addition - Enclose existing porches and add on to one</t>
  </si>
  <si>
    <t>22-41-17-13-2-00-002</t>
  </si>
  <si>
    <t>30416</t>
  </si>
  <si>
    <t>See NotesADDITION TO EXISTING JEWELRY STORE:  EMPLOYEE HOUSING FEE $1188.41: FEE IN LIEU OF PARKING $2000.00: SEWER CAPACITY FEE 1041 SQ FT/100 X 21=$218.61</t>
  </si>
  <si>
    <t>22-41-16-28-4-10-017</t>
  </si>
  <si>
    <t>BP 2003-0210</t>
  </si>
  <si>
    <t>22-40-16-20-2-12-022</t>
  </si>
  <si>
    <t>BP 2003-0211</t>
  </si>
  <si>
    <t>Build ARU (Guest House) w/ Garage</t>
  </si>
  <si>
    <t>22-42-16-22-3-07-001</t>
  </si>
  <si>
    <t>BP 2003-0212</t>
  </si>
  <si>
    <t>Build 3 bedroom, 2-story home; connect to existing garage</t>
  </si>
  <si>
    <t>22-40-16-18-3-00-048</t>
  </si>
  <si>
    <t>BP 2003-0213</t>
  </si>
  <si>
    <t>Build 3 bedroom, 2 story home w/attached garage</t>
  </si>
  <si>
    <t>22-40-16-20-2-12-009</t>
  </si>
  <si>
    <t>BP 2003-0214</t>
  </si>
  <si>
    <t>Build 1 bedroom home w/garage below</t>
  </si>
  <si>
    <t>22-41-17-22-3-05-015</t>
  </si>
  <si>
    <t>BP 2003-0216</t>
  </si>
  <si>
    <t>22-40-16-20-2-10-017</t>
  </si>
  <si>
    <t>BP 2003-0217</t>
  </si>
  <si>
    <t>Build Uncovered Deck &amp; Stairs</t>
  </si>
  <si>
    <t>22-41-16-28-2-02-011</t>
  </si>
  <si>
    <t>30448</t>
  </si>
  <si>
    <t>See NotesNEW SINGLE FAMILY HOME SEWER CAPACITY FEE $1858.00: 3/4 WATER CAPACITY FEE $590.00: 3/4 WATER METER FEE $163.90    (2/12/2007 15:02  KB)  closed per the building official</t>
  </si>
  <si>
    <t>22-41-16-33-3-07-009</t>
  </si>
  <si>
    <t>BP 2003-0218</t>
  </si>
  <si>
    <t>Add 3 Bedrooms &amp; 1 Bath to SFD</t>
  </si>
  <si>
    <t>22-40-16-19-2-00-035</t>
  </si>
  <si>
    <t>BP 2003-0219</t>
  </si>
  <si>
    <t>22-40-16-20-2-03-095</t>
  </si>
  <si>
    <t>BP 2003-0220</t>
  </si>
  <si>
    <t>Add Garage &amp; Mudroom to SFD</t>
  </si>
  <si>
    <t>BP 2003-0221</t>
  </si>
  <si>
    <t>Build Generator Building</t>
  </si>
  <si>
    <t>22-41-17-23-4-10-002</t>
  </si>
  <si>
    <t>BP 2003-0222</t>
  </si>
  <si>
    <t>22-41-17-23-1-09-002</t>
  </si>
  <si>
    <t>BP 2003-0223</t>
  </si>
  <si>
    <t>Remodel bedroom, add mudroom to SFD</t>
  </si>
  <si>
    <t>22-41-17-26-2-00-006</t>
  </si>
  <si>
    <t>BP 2003-0224</t>
  </si>
  <si>
    <t>Build Garage Bay Addition</t>
  </si>
  <si>
    <t>30413</t>
  </si>
  <si>
    <t>ADDITION TO EXISTING HOME.issued a temp co on 11/5/04. Applicant did not call for a follow up inspection. Closed file on 5/15/09 kb</t>
  </si>
  <si>
    <t>22-41-16-33-4-09-004</t>
  </si>
  <si>
    <t>BP 2003-0225</t>
  </si>
  <si>
    <t>Build Security Gate</t>
  </si>
  <si>
    <t>30509</t>
  </si>
  <si>
    <t>See NotesNEW 14 UNIT APARTMENT BUILDING: 9/2-BEDROOM  UNIT &amp; 5/ 1-BEDROOM UNIT</t>
  </si>
  <si>
    <t>22-40-16-06-2-39-001</t>
  </si>
  <si>
    <t>30510</t>
  </si>
  <si>
    <t>See NotesNEW 8-UNIT APARTMENT BUILDING: 5/ 1-BEDROOM UNITS &amp; 3/ 2-BEDROOM UNIT</t>
  </si>
  <si>
    <t>30511</t>
  </si>
  <si>
    <t>See NotesNEW 15 UNIT APARTMENT BUILDING: 14/ 2-BEDROOM APARTMENT &amp; 1/ 1-BEDROOM APARTMENT</t>
  </si>
  <si>
    <t>30512</t>
  </si>
  <si>
    <t>See NotesNEW 14-UNIT APARTMENT BUILDING: 9/2-BEDROOM UNITS &amp; 5/1-BEDROOM UNITS</t>
  </si>
  <si>
    <t>BP 2003-0226</t>
  </si>
  <si>
    <t>Build 2 bedroom log caretaker's house</t>
  </si>
  <si>
    <t>22-41-16-04-2-00-011</t>
  </si>
  <si>
    <t>BP 2003-0227</t>
  </si>
  <si>
    <t>Build Garage/Storage/Mechanical Building</t>
  </si>
  <si>
    <t>BP 2003-0228</t>
  </si>
  <si>
    <t>Build 2 bedroom, 2-story home w/garage</t>
  </si>
  <si>
    <t>22-40-16-20-1-15-032</t>
  </si>
  <si>
    <t>BP 2003-0229</t>
  </si>
  <si>
    <t>Build 3 bedroom, 2-story  home w/garage</t>
  </si>
  <si>
    <t>22-40-16-20-2-12-015</t>
  </si>
  <si>
    <t>BP 2003-0230</t>
  </si>
  <si>
    <t>Garage Loft Interior Remodel  to ARU</t>
  </si>
  <si>
    <t>BP 2003-0231</t>
  </si>
  <si>
    <t>Build Transit Station (Waiting Room, Baths)</t>
  </si>
  <si>
    <t>BP 2003-0232</t>
  </si>
  <si>
    <t>Build 3 bedroom, 2-story timber-frame home w/garage and 1 bedroom ARU</t>
  </si>
  <si>
    <t>22-41-17-23-2-10-015</t>
  </si>
  <si>
    <t>30501</t>
  </si>
  <si>
    <t>See NotesNEW ACCESSORY UNIT WITH BASEMENT: SEWER CAPACITY FEE $3716.00:  1-INCH  WATER CAPACITY FEE $1050.00: 1-INCH WATER METER $266.80</t>
  </si>
  <si>
    <t>22-41-16-34-1-AF-001</t>
  </si>
  <si>
    <t>BP 2003-0233</t>
  </si>
  <si>
    <t>SFD Interior Remodel - Convert crawlspace to 2 bedrooms &amp; 2 bathrooms</t>
  </si>
  <si>
    <t>22-42-17-24-1-01-010</t>
  </si>
  <si>
    <t>BP 2003-0234</t>
  </si>
  <si>
    <t>SFD Remodel - Add Porch Entry, Roof Overhang &amp; Dormer</t>
  </si>
  <si>
    <t>22-41-17-14-4-00-030</t>
  </si>
  <si>
    <t>BP 2003-0235</t>
  </si>
  <si>
    <t>Build ARU (Guest House) above existing garage</t>
  </si>
  <si>
    <t>22-41-17-14-4-00-047</t>
  </si>
  <si>
    <t>BP 2003-0236</t>
  </si>
  <si>
    <t>22-44-18-16-2-00-004</t>
  </si>
  <si>
    <t>BP 2003-0237</t>
  </si>
  <si>
    <t>Add Mud Room/Laundry/Storage to SFD</t>
  </si>
  <si>
    <t>BP 2003-0238</t>
  </si>
  <si>
    <t>Modular Addition - Master Bedroom, Closet, &amp; Bath</t>
  </si>
  <si>
    <t>22-40-16-18-1-05-299</t>
  </si>
  <si>
    <t>BP 2003-0239</t>
  </si>
  <si>
    <t>Convert garage to bedroom suite;add ARU w/garage</t>
  </si>
  <si>
    <t>22-40-16-20-3-05-001</t>
  </si>
  <si>
    <t>BP 2003-0241</t>
  </si>
  <si>
    <t>22-40-16-20-2-10-006</t>
  </si>
  <si>
    <t>BP 2003-0242</t>
  </si>
  <si>
    <t>22-40-16-20-1-10-010</t>
  </si>
  <si>
    <t>BP 2003-0243</t>
  </si>
  <si>
    <t>Enlarge garage, add master bedroom suite &amp; future studio; remodel existing SFD</t>
  </si>
  <si>
    <t>22-41-17-25-4-06-014</t>
  </si>
  <si>
    <t>BP 2003-0244</t>
  </si>
  <si>
    <t>Add Master bedroom and bathroom</t>
  </si>
  <si>
    <t>22-40-16-18-3-00-031</t>
  </si>
  <si>
    <t>BP 2003-0245</t>
  </si>
  <si>
    <t>Install 2 Bedroom, 1-story Modular Home w/Garage</t>
  </si>
  <si>
    <t>22-40-16-20-1-15-003</t>
  </si>
  <si>
    <t>BP 2003-0246</t>
  </si>
  <si>
    <t>22-40-16-20-2-12-007</t>
  </si>
  <si>
    <t>BP 2003-0247</t>
  </si>
  <si>
    <t>Interior Remodel of existing B&amp;B to 5 new apartments</t>
  </si>
  <si>
    <t>22-41-17-21-3-03-002</t>
  </si>
  <si>
    <t>BP 2003-0248</t>
  </si>
  <si>
    <t>Build 3 bedroom home w/finished basement and garage</t>
  </si>
  <si>
    <t>22-40-17-35-2-02-005</t>
  </si>
  <si>
    <t>BP 2003-0249</t>
  </si>
  <si>
    <t>22-40-16-20-1-10-012</t>
  </si>
  <si>
    <t>BP 2003-0250</t>
  </si>
  <si>
    <t>Enlarge Master Bedroom and Add Observatory</t>
  </si>
  <si>
    <t>BP 2003-0251</t>
  </si>
  <si>
    <t>Build 4 bedroom, 2-story modular home w/garage</t>
  </si>
  <si>
    <t>22-40-16-20-2-12-012</t>
  </si>
  <si>
    <t>BP 2003-0252</t>
  </si>
  <si>
    <t>Build 4 bedroom, 2-story home w/finished basement and garage</t>
  </si>
  <si>
    <t>22-42-16-27-2-30-008</t>
  </si>
  <si>
    <t>BP 2003-0253</t>
  </si>
  <si>
    <t>Build 5 bedroom, 2-story home w/improved basement and garage</t>
  </si>
  <si>
    <t>22-42-17-24-1-01-007</t>
  </si>
  <si>
    <t>30528</t>
  </si>
  <si>
    <t>See NotesNEW MIXED USE BUILDING: SEWER CAPACITY FEES ARE AS FOLLOWED 4 COIN OPERATED WASHING MACHINES 4 @ $1271.00= $5084.00: 4 1-BEDROOMS @ $744.00 EACH= $2976.00; 16 STUDIO APARTMENTS @ $744.00 EACH = $11904.00 RETAIL SPACE OF 765/100 X $21.00 EACH EMPLOYEE = $168.00 MECH SPACE 4815 SQ FT/300 X $21.00 = $336.00: FIRE LINE $1200.00: 2- 2INCH WATER CAPACITY FEES @ $4200.00 EACH = $ 8400.00; 2- 2INCH COMPOUND METERS @ $1378.18 EACH = $2756.36</t>
  </si>
  <si>
    <t>22-41-16-32-4-07-007</t>
  </si>
  <si>
    <t>BP 2003-0254</t>
  </si>
  <si>
    <t>SFD Remodel/Addition - Englarge Living Room/ &amp; Add 2 Bedrooms</t>
  </si>
  <si>
    <t>22-40-17-24-4-00-017</t>
  </si>
  <si>
    <t>BP 2003-0256</t>
  </si>
  <si>
    <t>SFD Remodel - Add 39 square feet</t>
  </si>
  <si>
    <t>22-41-17-11-4-16-003</t>
  </si>
  <si>
    <t>BP 2003-0255</t>
  </si>
  <si>
    <t>SFD Remodel/Addition - Replace wooden deck &amp; walkway with concrete</t>
  </si>
  <si>
    <t>22-41-17-25-3-00-005</t>
  </si>
  <si>
    <t>BP 2003-0257</t>
  </si>
  <si>
    <t>SFD Remodel - Bath &amp; Laundry Rooms</t>
  </si>
  <si>
    <t>22-42-16-27-3-16-005</t>
  </si>
  <si>
    <t>BP 2003-0258</t>
  </si>
  <si>
    <t>Build Water System Booster Pump Station No. 2</t>
  </si>
  <si>
    <t>22-41-16-28-1-07-001</t>
  </si>
  <si>
    <t>BP 2003-0259</t>
  </si>
  <si>
    <t>Build Water System Boost Pump Station No. 3</t>
  </si>
  <si>
    <t>22-41-16-28-1-07-002</t>
  </si>
  <si>
    <t>BP 2003-0260</t>
  </si>
  <si>
    <t>Build 2 bedroom home w/garage</t>
  </si>
  <si>
    <t>22-40-16-20-1-13-008</t>
  </si>
  <si>
    <t>BP 2003-0261</t>
  </si>
  <si>
    <t>Remodel Kitchen; add window, door; cover deck</t>
  </si>
  <si>
    <t>22-41-16-28-2-02-006</t>
  </si>
  <si>
    <t>BP 2003-0262</t>
  </si>
  <si>
    <t>Enlarge Living &amp; Dining Rooms;  Add Loft</t>
  </si>
  <si>
    <t>22-41-17-25-4-04-011</t>
  </si>
  <si>
    <t>30734</t>
  </si>
  <si>
    <t>See NotesNEW 6-UNIT APARTMENT BUILDING: SEWER CAPACITY FEE 2-2BEDROOM @ $1858.00 EACH = $3716.00: 2-1BEDROOM APARTMENT @ $744.00 EACH = $1488.00: 2-3BEDROOM @ $1858.00 EACH = $3716.00: 2-INCH WATER CAPACITY FEE $4200.00: 2 INCH COMPOUND WATER METER $1378.18</t>
  </si>
  <si>
    <t>22-41-16-33-1-00-031</t>
  </si>
  <si>
    <t>30735</t>
  </si>
  <si>
    <t>See NotesNEW 6-UNIT APARTMENT BLDG: 2- 2 BEDROOM APARTMENT @ $1858.00 EACH = $3716.00: 2-1 BEDROOM APARTMENT @ $744.00 EACH = $1488.00: 2- 3 BEDROOM @ $1858.00 EACH = $3716.00: 2-INCH WATER CAPACITY FEE $4200.00: 2-INCH COMPOUND WATER METER $1378.18</t>
  </si>
  <si>
    <t>30736</t>
  </si>
  <si>
    <t>See NotesNEW 6-UNIT APARTMENT BLD: SEWER CAPACITY FEE 2- 2BEDROOM @ $1858.00 EACH = $$3716.00: 2-1BEDROOM @ $744.00 EACH =$1488.00: 2-3BEDROOM @ $3716.00; 2-INCH WATER CAPACITY FEE $4200.00: 2-INCH WATER METER $1378.18</t>
  </si>
  <si>
    <t>30737</t>
  </si>
  <si>
    <t>See NotesOFFICE/LAUNDRY FACILITY: SEWER CAPACITY FEE 2 COIN OPERATED MACHINES @ $1271.00 EACH = $ 2542.00: 1 1/2 IN WATER CAPACITY FEE $2363.00: 1 1/2 WATER METER FEE $441.04</t>
  </si>
  <si>
    <t>30738</t>
  </si>
  <si>
    <t>See NotesNEW 6-UNIT APARTMENTS: 2-2BEDROOM @ $1858.00 EACH=$3716.00: 2-3BEDROOM@ $1858.00 EACH = $3716.00: 2-1BEDROOM @ $744.00 EACH = $1488.00: 2 INCH WATER CAPACITY FEE $4200.00: 2 INCH COMPOUND WATER METER $1378.18</t>
  </si>
  <si>
    <t>BP 2003-0263</t>
  </si>
  <si>
    <t>Build 3 bedroom home w/ garage &amp; guest quarters</t>
  </si>
  <si>
    <t>22-40-16-20-1-08-011</t>
  </si>
  <si>
    <t>BP 2003-0264</t>
  </si>
  <si>
    <t>22-40-16-20-1-15-020</t>
  </si>
  <si>
    <t>BP 2003-0265</t>
  </si>
  <si>
    <t>Build Garage/Storage Building</t>
  </si>
  <si>
    <t>22-41-17-33-3-03-054</t>
  </si>
  <si>
    <t>BP 2003-0266</t>
  </si>
  <si>
    <t>Enclosed Breezeway; Add Bedroom/Bath/Living/Basement</t>
  </si>
  <si>
    <t>22-39-16-11-4-00-013</t>
  </si>
  <si>
    <t>BP 2003-0267</t>
  </si>
  <si>
    <t>Build SFD Addition - ARU (Guest House)</t>
  </si>
  <si>
    <t>22-42-16-27-1-28-004</t>
  </si>
  <si>
    <t>BP 2003-0268</t>
  </si>
  <si>
    <t>Build 3 bedroom home w/daylight basement and garage</t>
  </si>
  <si>
    <t>22-41-17-33-1-00-025</t>
  </si>
  <si>
    <t>30538</t>
  </si>
  <si>
    <t>See NotesNEW SINGLE FAMILY. CREDIT FOR WATER METER SEWER AND WATER CAPACITY FEE BECUASE OF EXISTING HOME THAT WAS REMOVED FOR THIS PROJECT.</t>
  </si>
  <si>
    <t>22-41-16-27-3-10-006</t>
  </si>
  <si>
    <t>BP 2003-0269</t>
  </si>
  <si>
    <t>Add Dormer to SFD</t>
  </si>
  <si>
    <t>22-40-16-18-4-00-033</t>
  </si>
  <si>
    <t>BP 2003-0270</t>
  </si>
  <si>
    <t>Build SFD Deck</t>
  </si>
  <si>
    <t>22-39-16-10-1-00-004</t>
  </si>
  <si>
    <t>BP 2003-0271</t>
  </si>
  <si>
    <t>22-41-17-26-2-00-047</t>
  </si>
  <si>
    <t>BP 2003-0272</t>
  </si>
  <si>
    <t>Modular 3 bedroom home w/Garage</t>
  </si>
  <si>
    <t>22-40-16-20-1-15-044</t>
  </si>
  <si>
    <t>BP 2003-0273</t>
  </si>
  <si>
    <t>Build 2-Story Log Addition w/ Laundry Room, Bedroom, Office &amp; Garage)</t>
  </si>
  <si>
    <t>22-42-16-02-3-00-015</t>
  </si>
  <si>
    <t>BP 2003-0274</t>
  </si>
  <si>
    <t>Build Sewage Lift Station</t>
  </si>
  <si>
    <t>22-42-16-34-1-06-002</t>
  </si>
  <si>
    <t>BP 2003-0275</t>
  </si>
  <si>
    <t>Build detached garage w/storage loft</t>
  </si>
  <si>
    <t>22-39-16-34-1-00-004</t>
  </si>
  <si>
    <t>BP 2003-0277</t>
  </si>
  <si>
    <t>Add Master Bedroom, Family Room to SFD</t>
  </si>
  <si>
    <t>22-41-17-14-4-00-007</t>
  </si>
  <si>
    <t>BP 2003-0278</t>
  </si>
  <si>
    <t>Build Sunroom, Master Bedroom and Bath Addition</t>
  </si>
  <si>
    <t>BP 2003-0279</t>
  </si>
  <si>
    <t>Replace burned down ARU (Guest House)</t>
  </si>
  <si>
    <t>BP 2003-0280</t>
  </si>
  <si>
    <t>Build 3 bedroom, 2-story panel home w/garage</t>
  </si>
  <si>
    <t>22-40-16-20-1-10-021</t>
  </si>
  <si>
    <t>BP 2003-0281</t>
  </si>
  <si>
    <t>BP 2003-0283</t>
  </si>
  <si>
    <t>Convert SFD Basement to ARU (Guest House)</t>
  </si>
  <si>
    <t>22-39-16-11-4-00-020</t>
  </si>
  <si>
    <t>BP 2003-0284</t>
  </si>
  <si>
    <t>Build Indoor Horse Arena/Equipment Storage</t>
  </si>
  <si>
    <t>22-45-13-27-1-00-010</t>
  </si>
  <si>
    <t>BP 2003-0285</t>
  </si>
  <si>
    <t>22-43-15-15-1-00-010</t>
  </si>
  <si>
    <t>30536</t>
  </si>
  <si>
    <t>4 SEASON SUNROOMNULL</t>
  </si>
  <si>
    <t>22-41-16-34-1-39-004</t>
  </si>
  <si>
    <t>BP 2003-0286</t>
  </si>
  <si>
    <t>Build ARU (Guest House)</t>
  </si>
  <si>
    <t>22-40-16-20-3-06-001</t>
  </si>
  <si>
    <t>BP 2003-0287</t>
  </si>
  <si>
    <t>30810</t>
  </si>
  <si>
    <t>See NotesNEW MIXED USE BUILDING - 41 MOTEL ROOMS.  (May 26, 2004) New plans have 1two bedroom apartment with laundry, 4 studios and 1 @ 1 bedroom (no laundry)   RETAIL SPACE = 2605 SQUARE FEET.  OFFICE SPACE = 1388 SQUARE FEET.  RESTAURANT DINING AREA - 390 SQUARE FEET (DIVIDED BY 15 SF = 26 x $341.00 =  $8866.00  SEWER CAPACITY). 4 INCH WATER CAPACITY AND METER  $16,800.00 + $2931.86 = $19731.86 : 3/4 INCH WATER CAPACITY AND METER CREDIT $176.84 + $590.00=$766.84 SEWER CAPACITY FEE CREDIT OF $1858.00</t>
  </si>
  <si>
    <t>22-41-16-28-4-24-001</t>
  </si>
  <si>
    <t>BP 2003-0288</t>
  </si>
  <si>
    <t>22-41-17-33-3-03-011</t>
  </si>
  <si>
    <t>BP 2003-0289</t>
  </si>
  <si>
    <t>22-40-16-20-2-02-070</t>
  </si>
  <si>
    <t>BP 2003-0290</t>
  </si>
  <si>
    <t>Build SFD Addition - Living Room w/basement &amp; covered deck</t>
  </si>
  <si>
    <t>22-44-18-21-2-00-022</t>
  </si>
  <si>
    <t>BP 2003-0291</t>
  </si>
  <si>
    <t>SFD Remodel &amp; Enlarging 4 dormers</t>
  </si>
  <si>
    <t>BP 2003-0292</t>
  </si>
  <si>
    <t>Build Elevated Boardwalk</t>
  </si>
  <si>
    <t>22-42-16-30-1-01-005</t>
  </si>
  <si>
    <t>BP 2003-0293</t>
  </si>
  <si>
    <t>Add Master Bath &amp; Enlarge Garage of SFD</t>
  </si>
  <si>
    <t>22-40-16-17-2-02-138</t>
  </si>
  <si>
    <t>BP 2003-0294</t>
  </si>
  <si>
    <t>Enclose existing SFD covered porch</t>
  </si>
  <si>
    <t>22-40-17-10-3-03-033</t>
  </si>
  <si>
    <t>40320</t>
  </si>
  <si>
    <t>See NotesNEW WAREHOUSE/LIGHT INDUSTRIAL/RESIDENTIAL  BUILDING: FEE IN LIEU OF EMPLOYEE HOUSING $529.53: SEWER CAPACITY FEE 2 2-BEDROOM APARTMENTS @$1858.00 EACH = $3716.00: 1568 SQ FT/300 (FOR STORAGE WAREHOUSE)=5 EMPLOYESS X $126.00 EACH = $630.00. 1 1/2 WATER CAPACITY FEE $2363.00: 1 1/2 WATER METER FEE$584.75</t>
  </si>
  <si>
    <t>22-40-16-06-1-00-031</t>
  </si>
  <si>
    <t>BP 2003-0295</t>
  </si>
  <si>
    <t>Add Sunroom  2/2/10 bldg and elec finals passed.  OK to close out file. JA</t>
  </si>
  <si>
    <t>22-42-16-27-3-02-014</t>
  </si>
  <si>
    <t>BP 2003-0296</t>
  </si>
  <si>
    <t>Build Equipment Storage Building/Shop</t>
  </si>
  <si>
    <t>22-45-12-21-2-01-006</t>
  </si>
  <si>
    <t>BP 2003-0297</t>
  </si>
  <si>
    <t>Build 3 bedroom, 2-story home w/basement and garage</t>
  </si>
  <si>
    <t>22-41-16-16-4-09-044</t>
  </si>
  <si>
    <t>BP 2003-0298</t>
  </si>
  <si>
    <t>SFD Interior Remodel - Add bathroom</t>
  </si>
  <si>
    <t>22-41-17-14-2-27-002</t>
  </si>
  <si>
    <t>BP 2003-0299</t>
  </si>
  <si>
    <t>SFD Addition - Sun Room</t>
  </si>
  <si>
    <t>22-41-17-23-2-03-002</t>
  </si>
  <si>
    <t>BP 2003-0300</t>
  </si>
  <si>
    <t>Build Entry Gates</t>
  </si>
  <si>
    <t>22-41-16-10-1-00-004</t>
  </si>
  <si>
    <t>BP 2003-0301</t>
  </si>
  <si>
    <t>Build 5 bedroom, 2-story home w/garage</t>
  </si>
  <si>
    <t>22-41-17-23-4-05-008</t>
  </si>
  <si>
    <t>30588</t>
  </si>
  <si>
    <t>See NotesNEW SINGLE FAMILY HOME: MINIMUM SEWER CAPACITY FEE $1858.00 : 3/4 WATER CAPACITY FEE $590.00: 3/4 WATER METER $169.06</t>
  </si>
  <si>
    <t>22-41-16-34-1-30-012</t>
  </si>
  <si>
    <t>BP 2003-0302</t>
  </si>
  <si>
    <t>Erect Modular 3 Bedroom Home</t>
  </si>
  <si>
    <t>22-40-16-20-1-15-039</t>
  </si>
  <si>
    <t>BP 2003-0303</t>
  </si>
  <si>
    <t>BP 2003-0304</t>
  </si>
  <si>
    <t>Build Carport &amp; Cover 2 Existing Decks</t>
  </si>
  <si>
    <t>22-40-16-18-3-05-014</t>
  </si>
  <si>
    <t>BP 2003-0305</t>
  </si>
  <si>
    <t>22-40-16-20-1-10-003</t>
  </si>
  <si>
    <t>BP 2003-0306</t>
  </si>
  <si>
    <t>Build 2 bedroom log ARU (guest house) w/attached garage</t>
  </si>
  <si>
    <t>22-41-17-12-4-10-006</t>
  </si>
  <si>
    <t>BP 2003-0307</t>
  </si>
  <si>
    <t>Replacement &amp; enlargement of existing hobby shop</t>
  </si>
  <si>
    <t>22-44-14-08-3-00-002</t>
  </si>
  <si>
    <t>BP 2003-0308</t>
  </si>
  <si>
    <t>Build new foundation for existing storage cabin</t>
  </si>
  <si>
    <t>22-45-12-21-3-01-002</t>
  </si>
  <si>
    <t>BP 2003-0309</t>
  </si>
  <si>
    <t>Add 2nd floor sunroom</t>
  </si>
  <si>
    <t>22-41-17-24-3-02-005</t>
  </si>
  <si>
    <t>BP 2003-0310</t>
  </si>
  <si>
    <t>Add Bedroom, Kitchen; Remodel Living Room</t>
  </si>
  <si>
    <t>22-41-16-31-4-02-004</t>
  </si>
  <si>
    <t>BP 2003-0311</t>
  </si>
  <si>
    <t>Build 4 bedroom home w/garage and gazebo</t>
  </si>
  <si>
    <t>30658</t>
  </si>
  <si>
    <t>See NotesNEW TOWNHOME; NO SEWER OR WATER CAPACITY DUE FOR THIS TOWNHOME BECAUSE OF CREDIT FROM EXISTING HOME THAT WAS REMOVED FOR THIS PROJECT.</t>
  </si>
  <si>
    <t>22-41-16-33-4-01-011</t>
  </si>
  <si>
    <t>30659</t>
  </si>
  <si>
    <t>See NotesNEW TOWNHOME;SEWER CAPACITY FEE $1858.00: 3/4 WATER CAPACITY FEE $590.00: 3/4 WATER METER $169.06.</t>
  </si>
  <si>
    <t>30660</t>
  </si>
  <si>
    <t>See NotesNEW TOWNHOME: SEWER CAPACITY FEE $1858.00: 3/4 WATER CAPACITY FEE $590.00: 3/4 WATER METER FEE $169.06</t>
  </si>
  <si>
    <t>30661</t>
  </si>
  <si>
    <t>See NotesNEW TOWNHOME: SEWER CPACITY FEE $1858.00 3/4 WATER CAPACITY FEE $590.00: 3/4 WATER METER $169.06</t>
  </si>
  <si>
    <t>BP 2003-0312</t>
  </si>
  <si>
    <t>SFD/Garage Addition/Remodel - Convert Storage Area to Exercise Area &amp; Add Garage</t>
  </si>
  <si>
    <t>BP 2003-0314</t>
  </si>
  <si>
    <t>Add Bedroom/Bath to SFD</t>
  </si>
  <si>
    <t>22-41-17-14-4-30-003</t>
  </si>
  <si>
    <t>BP 2003-0315</t>
  </si>
  <si>
    <t>Remodel existing log home to offices (Naturalist Cabin)</t>
  </si>
  <si>
    <t>22-40-17-12-3-01-001</t>
  </si>
  <si>
    <t>BP 2003-0317</t>
  </si>
  <si>
    <t>Build ARU (Guest House) over Garage</t>
  </si>
  <si>
    <t>22-39-17-11-1-04-004</t>
  </si>
  <si>
    <t>BP 2003-0318</t>
  </si>
  <si>
    <t>Build 1 bedroom log clubhouse</t>
  </si>
  <si>
    <t>22-41-16-19-4-10-007</t>
  </si>
  <si>
    <t>BP 2003-0319</t>
  </si>
  <si>
    <t>Build 2-Story SFD Addition:  Garage/Office/Mud Room/Family Room</t>
  </si>
  <si>
    <t>22-41-17-12-3-05-011</t>
  </si>
  <si>
    <t>BP 2003-0320</t>
  </si>
  <si>
    <t>22-45-13-20-3-02-024</t>
  </si>
  <si>
    <t>BP 2003-0321</t>
  </si>
  <si>
    <t>Build roof over existing deck</t>
  </si>
  <si>
    <t>22-42-16-10-3-10-007</t>
  </si>
  <si>
    <t>BP 2003-0313</t>
  </si>
  <si>
    <t>Convert residential condominium into daycare</t>
  </si>
  <si>
    <t>22-42-17-24-4-21-006</t>
  </si>
  <si>
    <t>BP 2003-0322</t>
  </si>
  <si>
    <t>Build 5 bedroom home w/walkout basement,  garage, greenhouse and ARU</t>
  </si>
  <si>
    <t>22-44-18-32-2-01-004</t>
  </si>
  <si>
    <t>BP 2003-0324</t>
  </si>
  <si>
    <t>22-40-16-20-1-15-012</t>
  </si>
  <si>
    <t>BP 2003-0325</t>
  </si>
  <si>
    <t>Build Pump Building</t>
  </si>
  <si>
    <t>22-41-16-29-3-00-005</t>
  </si>
  <si>
    <t>BP 2003-0326</t>
  </si>
  <si>
    <t>22-41-17-34-1-03-002</t>
  </si>
  <si>
    <t>BP 2003-0327</t>
  </si>
  <si>
    <t>22-40-16-20-2-10-007</t>
  </si>
  <si>
    <t>BP 2003-0328</t>
  </si>
  <si>
    <t>Add Mudroom, Master Bedroom Suite; expand Kitchen and Dining Room</t>
  </si>
  <si>
    <t>22-41-16-15-3-00-008</t>
  </si>
  <si>
    <t>BP 2003-0329</t>
  </si>
  <si>
    <t>Remodel Garage to Family Room; Add  Room</t>
  </si>
  <si>
    <t>22-45-13-07-4-01-002</t>
  </si>
  <si>
    <t>BP 2003-0330</t>
  </si>
  <si>
    <t>Build 2 Bedroom Log ARU (Guest House)</t>
  </si>
  <si>
    <t>BP 2003-0331</t>
  </si>
  <si>
    <t>Build Log Barn w/Loft</t>
  </si>
  <si>
    <t>22-45-13-07-4-01-003</t>
  </si>
  <si>
    <t>BP 2003-0333</t>
  </si>
  <si>
    <t>SFD Addition + New Garage + New ARU (Guesthouse)</t>
  </si>
  <si>
    <t>22-42-17-24-4-02-065</t>
  </si>
  <si>
    <t>BP 2003-0334</t>
  </si>
  <si>
    <t>Build 2-Story  Addition - Master bedroom Suite &amp; living room</t>
  </si>
  <si>
    <t>22-40-16-18-3-05-018</t>
  </si>
  <si>
    <t>BP 2003-0335</t>
  </si>
  <si>
    <t>Build 2 bedroom log home w/attached garage</t>
  </si>
  <si>
    <t>22-41-17-11-4-13-010</t>
  </si>
  <si>
    <t>30589</t>
  </si>
  <si>
    <t>See NotesNEW OFFICE BUILDING: MINIMUM SEWER CAPACITY FEE $1858.00: 3/4 WATER CAPACITY FEE $590.00: 3/4 WATER METER $169.06: FEE IN LIEU OF EMPLOYEE HOUSING $505.92</t>
  </si>
  <si>
    <t>22-40-16-06-1-00-104</t>
  </si>
  <si>
    <t>BP 2003-0337</t>
  </si>
  <si>
    <t>Build 2 bedroom home</t>
  </si>
  <si>
    <t>22-45-13-21-1-01-011</t>
  </si>
  <si>
    <t>BP 2003-0338</t>
  </si>
  <si>
    <t>Build Addition to detached garage</t>
  </si>
  <si>
    <t>22-41-16-06-1-01-011</t>
  </si>
  <si>
    <t>BP 2003-0339</t>
  </si>
  <si>
    <t>Add Office to SFD</t>
  </si>
  <si>
    <t>22-42-17-24-3-02-033</t>
  </si>
  <si>
    <t>BP 2003-0340</t>
  </si>
  <si>
    <t>Build Dining Room, Loft Addition</t>
  </si>
  <si>
    <t>22-40-16-19-2-01-001</t>
  </si>
  <si>
    <t>30690</t>
  </si>
  <si>
    <t>See NotesNEW OFFICE SPACE: FIRE LINE $1200.00: 2-3/4 WATER METERS @ $176.84 EACH = $ 353.68: 1 1-INCH WATER METER = $290.55: 2- 3/4 WATER CAPACITY FEES @ $590.00 EACH = $1180.00: 1-1 INCH WATER CAPACITY FEE = $1050.00:SEWER CAPACITY FEE 4 EMPLOYEES @ $126 EACH = $504.00: 2/ 1-BEDROOM APARTMENTS @ $744.00 EACH = $1488.00: 42 OCCUPANTS X 30 gpd EACH = $1260 gpd X 4.22 = $5317.00</t>
  </si>
  <si>
    <t>22-41-16-34-1-80-001</t>
  </si>
  <si>
    <t>BP 2003-0336</t>
  </si>
  <si>
    <t>22-40-16-18-3-00-027</t>
  </si>
  <si>
    <t>BP 2003-0341</t>
  </si>
  <si>
    <t>22-41-17-15-1-07-002</t>
  </si>
  <si>
    <t>BP 2003-0342</t>
  </si>
  <si>
    <t>Replace &amp; Enlarge Damaged Hay Shed</t>
  </si>
  <si>
    <t>22-44-18-20-1-00-002</t>
  </si>
  <si>
    <t>BP 2003-0343</t>
  </si>
  <si>
    <t>22-40-16-20-1-10-041</t>
  </si>
  <si>
    <t>BP 2003-0344</t>
  </si>
  <si>
    <t>Build Restaurant Kitchen Addition - Food Prep Area</t>
  </si>
  <si>
    <t>22-43-16-25-4-00-005</t>
  </si>
  <si>
    <t>BP 2003-0345</t>
  </si>
  <si>
    <t>Build cover over existing walkway</t>
  </si>
  <si>
    <t>30614</t>
  </si>
  <si>
    <t>ADDITION TO EXISTING HOMEno call back for a  final: closed file on 2/25/09 kb</t>
  </si>
  <si>
    <t>22-40-16-05-2-04-035</t>
  </si>
  <si>
    <t>BP 2003-0346</t>
  </si>
  <si>
    <t>Build Golf Course Maintenance Facility</t>
  </si>
  <si>
    <t>22-40-17-13-1-01-046</t>
  </si>
  <si>
    <t>BP 2003-0348</t>
  </si>
  <si>
    <t>SFD Remodel - Replace skylight w/dormer &amp; window</t>
  </si>
  <si>
    <t>22-41-17-14-1-19-015</t>
  </si>
  <si>
    <t>BP 2003-0349</t>
  </si>
  <si>
    <t>22-41-16-21-1-01-016</t>
  </si>
  <si>
    <t>BP 2003-0350</t>
  </si>
  <si>
    <t>Build Silo (Wine Storage w/Roof Deck)</t>
  </si>
  <si>
    <t>22-42-16-32-1-00-001</t>
  </si>
  <si>
    <t>BP 2003-0351</t>
  </si>
  <si>
    <t>Build Barn/Garage  2/9/10 permit expired 10/29/04.  Closed out file. JA</t>
  </si>
  <si>
    <t>22-44-18-07-4-00-003</t>
  </si>
  <si>
    <t>BP 2003-0352</t>
  </si>
  <si>
    <t>SFD Remodel/Addition - Entry Porch &amp; Master Bedroom/Bath Above Garage</t>
  </si>
  <si>
    <t>22-41-17-11-1-70-003</t>
  </si>
  <si>
    <t>BP 2003-0353</t>
  </si>
  <si>
    <t>Move on Log SFD &amp; add Garage &amp; Master Bedroom</t>
  </si>
  <si>
    <t>22-42-16-11-2-01-002</t>
  </si>
  <si>
    <t>BP 2003-0354</t>
  </si>
  <si>
    <t>Build ARU (Guest House) w/attached Garage</t>
  </si>
  <si>
    <t>BP 2003-0355</t>
  </si>
  <si>
    <t>22-41-17-36-2-03-004</t>
  </si>
  <si>
    <t>BP 2003-0356</t>
  </si>
  <si>
    <t>22-41-17-11-4-16-009</t>
  </si>
  <si>
    <t>BP 2003-0357</t>
  </si>
  <si>
    <t>Barn Interior Remodel - Convert storage to bedroom</t>
  </si>
  <si>
    <t>BP 2003-0358</t>
  </si>
  <si>
    <t>22-41-17-14-4-00-039</t>
  </si>
  <si>
    <t>BP 2003-0359</t>
  </si>
  <si>
    <t>Build Hay Shed Addition</t>
  </si>
  <si>
    <t>22-40-16-35-3-10-002</t>
  </si>
  <si>
    <t>BP 2003-0361</t>
  </si>
  <si>
    <t>Build Barn  2/12/10 Building o.k., needs Ele. Permit &amp; Inspection</t>
  </si>
  <si>
    <t>22-39-16-14-1-00-051</t>
  </si>
  <si>
    <t>BP 2003-0362</t>
  </si>
  <si>
    <t>Add Family Room, Bedroom, Bathroom to SFD</t>
  </si>
  <si>
    <t>22-41-17-22-4-14-026</t>
  </si>
  <si>
    <t>BP 2003-0363</t>
  </si>
  <si>
    <t>Add Powder Room, Closets, Laundry to Condominium</t>
  </si>
  <si>
    <t>22-41-17-11-1-02-001</t>
  </si>
  <si>
    <t>BP 2003-0375</t>
  </si>
  <si>
    <t>Remodel and Addition to Terminal Building, Remodel Admin Bldg</t>
  </si>
  <si>
    <t>22-42-16-14-3-00-001</t>
  </si>
  <si>
    <t>BP 2003-0364</t>
  </si>
  <si>
    <t>Build Deck w/Hot Tub</t>
  </si>
  <si>
    <t>BP 2003-0365</t>
  </si>
  <si>
    <t>Convert unfinished basement to living space (ARU)</t>
  </si>
  <si>
    <t>22-40-16-33-2-00-009</t>
  </si>
  <si>
    <t>BP 2003-0366</t>
  </si>
  <si>
    <t>Add extension to loft</t>
  </si>
  <si>
    <t>22-41-17-11-1-46-005</t>
  </si>
  <si>
    <t>30791</t>
  </si>
  <si>
    <t>See NotesNEW SINGLE FAMILY HOME: SEWER CAPACITY FEE $1858.00: 3/4 WATER CAPACITY FEE $590.00: 3/4 WATER METER $176.84</t>
  </si>
  <si>
    <t>22-41-16-33-3-07-017</t>
  </si>
  <si>
    <t>BP 2003-0367</t>
  </si>
  <si>
    <t>Add Mudroom, Boiler Room to SFD</t>
  </si>
  <si>
    <t>BP 2003-0368</t>
  </si>
  <si>
    <t>Build Communication Hut</t>
  </si>
  <si>
    <t>22-40-16-20-1-00-005</t>
  </si>
  <si>
    <t>BP 2003-0369</t>
  </si>
  <si>
    <t>Build detached Garage</t>
  </si>
  <si>
    <t>BP 2003-0370</t>
  </si>
  <si>
    <t>Remodel/Add to existing home</t>
  </si>
  <si>
    <t>22-41-17-11-4-11-007</t>
  </si>
  <si>
    <t>BP 2003-0371</t>
  </si>
  <si>
    <t>Build Barn/Shop</t>
  </si>
  <si>
    <t>22-40-16-34-4-00-007</t>
  </si>
  <si>
    <t>40313</t>
  </si>
  <si>
    <t>REMOVE EXISTING HOME AND REBUILDNULL</t>
  </si>
  <si>
    <t>22-41-16-34-1-44-003</t>
  </si>
  <si>
    <t>30784</t>
  </si>
  <si>
    <t>REMOVE EXISTIN CABIN AND REPLACE WITH NEW CONSTRUCTIONNULL</t>
  </si>
  <si>
    <t>22-41-16-34-2-23-004</t>
  </si>
  <si>
    <t>BP 2003-0372</t>
  </si>
  <si>
    <t>Build 3-bedroom home w/ garage</t>
  </si>
  <si>
    <t>22-41-16-21-2-15-003</t>
  </si>
  <si>
    <t>BP 2003-0374</t>
  </si>
  <si>
    <t>Remodel Garage to 2 Bedroom ARU, Exercise Room; Add Sunroom.</t>
  </si>
  <si>
    <t>22-40-17-01-3-03-002</t>
  </si>
  <si>
    <t>BP 2003-0373</t>
  </si>
  <si>
    <t>Add Master Bedroom, Bath, Dining, Family Room and Garage</t>
  </si>
  <si>
    <t>22-40-16-18-1-04-239</t>
  </si>
  <si>
    <t>BP 2003-0376</t>
  </si>
  <si>
    <t>Add Bat, Laundry, Living Room, Kitchen and Loft to SFD</t>
  </si>
  <si>
    <t>22-39-16-26-2-03-006</t>
  </si>
  <si>
    <t>BP 2003-0378</t>
  </si>
  <si>
    <t>Build 3 bedroom home w/ garage</t>
  </si>
  <si>
    <t>22-40-16-20-1-15-031</t>
  </si>
  <si>
    <t>BP 2003-0379</t>
  </si>
  <si>
    <t>Remodel Ticket Sales Office to Coffee Bar</t>
  </si>
  <si>
    <t>BP 2003-0380</t>
  </si>
  <si>
    <t>Remodel single family home w/garage</t>
  </si>
  <si>
    <t>22-40-16-18-3-09-002</t>
  </si>
  <si>
    <t>30714</t>
  </si>
  <si>
    <t>See NotesNEW SINGLE FAMILY HOMESEWER CAPACITY FEE $1858.00: 3/4 WATER CAPACITY FEE $590.00: 3/4 WATER METER FEE $176.84</t>
  </si>
  <si>
    <t>22-41-16-33-3-07-034</t>
  </si>
  <si>
    <t>BP 2003-0377</t>
  </si>
  <si>
    <t>Office/Storage/Garage Building</t>
  </si>
  <si>
    <t>BP 2003-0382</t>
  </si>
  <si>
    <t>Cabin Relocation, Remodel</t>
  </si>
  <si>
    <t>22-41-17-26-2-05-001</t>
  </si>
  <si>
    <t>BP 2003-0383</t>
  </si>
  <si>
    <t>Build 2 Car Garage w/ Storage above</t>
  </si>
  <si>
    <t>30719</t>
  </si>
  <si>
    <t>See NotesNEW SINGLE FAMILY: SEWER CAPACITY FEE $1858.00: 3/4 WATER CAPACITY FEE $590.00 AND 3/4 WATER METER $176.84</t>
  </si>
  <si>
    <t>22-41-16-33-3-07-042</t>
  </si>
  <si>
    <t>40052</t>
  </si>
  <si>
    <t>See NotesNEW SINGLE FAMILY AFFORDABLE HOUSING: 3/4 WATER METER $303.75: 3/4 WATER CAPACITY FEE $590.00: SEWER CAPACITY FEE $1858.00: SEWER CAPCITY FEE CREDIT OF $1858.00 3/4 WATER METER AND CAPACITY FEE CREDIT OF 893.75. MO FEE PERMIT BECAUSE OF CREDIT AND COUNCILS APPROVAL TO WAIVE ALL FEES.</t>
  </si>
  <si>
    <t>22-41-16-34-2-28-001</t>
  </si>
  <si>
    <t>40053</t>
  </si>
  <si>
    <t>See NotesNEW SINGLE FAMILY AFFORDABLE HOUSING: 3/4 WATER CAPACITY FEE $590.00 3/4 WATER METER $303.75: SEWER CAPACITY FEE $1858.00 SEWER CAPACITY FEE CREDIT OF $1858.00 3/4 WATER METER AND SEWER CAPACITY FEE CREDIT OF 893.75. NO FEE PERMIT BECUASE OF CREDIT AND COUNCILS APPROVAL TO WAIVE BUILDING PERMIT FEES</t>
  </si>
  <si>
    <t>40054</t>
  </si>
  <si>
    <t>See NotesNEW SINGLE FAMILY AFFORDABLE HOUSING SEWER CAPACITY FEE $1858.00 3/4 WATER METER $303.75 3/4 WATER CAPACITY FEE $590.00 SEWER CAPACITY FEE CREDIT OF $1858.00 BECAUSE OF EXISTING HOME THAT WAS REMOVED FOR THIS PROJECT.</t>
  </si>
  <si>
    <t>40055</t>
  </si>
  <si>
    <t>See NotesNEW SINGLE FAMILY AFFORDABLE HOUSING: SEWER CAPACITY FEE $1858.00: 3/4 WATER CAPACITY FEE $590.00: 3/4 WATER METER $303.75</t>
  </si>
  <si>
    <t>40056</t>
  </si>
  <si>
    <t>40057</t>
  </si>
  <si>
    <t>See NotesNEW SINGLE FAMILY HOME AFFORDABLE HOUSING SEWER CAPACITY FEE $1858.00 3/4 WATER CAPACITY FEE $590.00 3/4 WATER METER $303.75</t>
  </si>
  <si>
    <t>40058</t>
  </si>
  <si>
    <t>See NotesNEW SINGLE FAMILY AFFORDABLE HOUSING  SEWER CAPACITY FEE $1858.00: 3/4 WATER CAPACITY FEE $590.00 3/4 WATER METER $303.75</t>
  </si>
  <si>
    <t>40059</t>
  </si>
  <si>
    <t>See NotesNEW SINGLE FAMILY AFFORDABLE HOUSING: SEWER CAPACITY FEE $1858.00 3/4 WATER CAPACITY FEE $590.00 3/4 WATER METER $303.75</t>
  </si>
  <si>
    <t>40060</t>
  </si>
  <si>
    <t>See NotesNEW SINGLE FAMILY AFFORDABLE HOUSING: SEWER CPACITY FEE $1858.00: 3/4 WATER CAPACITY FEE $590.00: 3/4 WATER METER $303.75</t>
  </si>
  <si>
    <t>40061</t>
  </si>
  <si>
    <t>See NotesNEW SINGLE FAMILY AFFORDABLE HOUSING: SEWER CAPACITY FEE $1858.00 3/4 WATER CAPACITY FEE $590.00: 3/4 WATER METER FEE $303.75</t>
  </si>
  <si>
    <t>40062</t>
  </si>
  <si>
    <t>See NotesNEW SINGLE FAMILY AFFORDABLE HOUSING: SEWER CAPACITY FEE $1858.00: 3/4 WATER METER $303.75: 3/4 WATER CAPACITY FEE $590.00</t>
  </si>
  <si>
    <t>40063</t>
  </si>
  <si>
    <t>BP 2003-0385</t>
  </si>
  <si>
    <t>Add Facade to Commericial Bldg; Interior Remodel</t>
  </si>
  <si>
    <t>22-41-17-23-1-13-CND</t>
  </si>
  <si>
    <t>BP 2003-0386</t>
  </si>
  <si>
    <t>Shed Addition to Barn For Ranch Equipment</t>
  </si>
  <si>
    <t>22-45-13-26-2-00-002</t>
  </si>
  <si>
    <t>BP 2003-0387</t>
  </si>
  <si>
    <t>Build 3 bedroom, 2-story home w/ garage</t>
  </si>
  <si>
    <t>22-41-17-12-1-02-002</t>
  </si>
  <si>
    <t>BP 2003-0388</t>
  </si>
  <si>
    <t>Build 2 bedroom guesthouse (ARU)</t>
  </si>
  <si>
    <t>40036</t>
  </si>
  <si>
    <t>See NotesAFFORDABLE HOUSING SEWER CAPACITY FEE $1858.00 3/4 WATER CAPACITY FEE $590.00 3/4 WATER METER $303.75</t>
  </si>
  <si>
    <t>22-41-16-34-1-29-010</t>
  </si>
  <si>
    <t>40037</t>
  </si>
  <si>
    <t>40038</t>
  </si>
  <si>
    <t>40039</t>
  </si>
  <si>
    <t>See NotesNEW AFFORDABLE HOUSING: SEWER CAPACITY FEE $1858.00 3/4 WATER CAPACITY FEE $590.00: 3/4 WATER METER $303.75</t>
  </si>
  <si>
    <t>40040</t>
  </si>
  <si>
    <t>40041</t>
  </si>
  <si>
    <t>See NotesNEW AFFORDABLE HOUSING: SEWER CAPACITY FEE $1858.00 3/4 WATER CAPACITY FEE $590.00 3/4 WATER METER $303.75</t>
  </si>
  <si>
    <t>40042</t>
  </si>
  <si>
    <t>See NotesAFFORDABLE HOUSING SEWER CAPACITY FEE $1858.00 3/4 WATER METER $303.75  3/4 WATER CAPACITY FEE $590.</t>
  </si>
  <si>
    <t>40043</t>
  </si>
  <si>
    <t>See NotesAFFORDABLE HOUSING SEWER CAPACITY FEE $1858.00 3/4 WATER METER $303.75 3/4 WATER CAPACTY FEE $590..</t>
  </si>
  <si>
    <t>40044</t>
  </si>
  <si>
    <t>See NotesNEW AFFORDABLE HOUSING: SEWER CAPACITY FEE $1858.00: 3/4 WATER CAPACITY FEE $590.00: 3/4 WATER METER $303.75</t>
  </si>
  <si>
    <t>40045</t>
  </si>
  <si>
    <t>See NotesNEW AFFORDABLE HOUSING: SEWER CAPACITY FEE $1858.00 3/4 WATER CAPACITY FEE $590.00" 3/4 WATER METER $303.75</t>
  </si>
  <si>
    <t>40046</t>
  </si>
  <si>
    <t>See NotesNEW AFFORDABLE HOUSING SEWER CAPACITY FEE $1858.00 3/4 WATER METER $303.75 3/4 WATER CAPACITY FEE $590.00</t>
  </si>
  <si>
    <t>40047</t>
  </si>
  <si>
    <t>See NotesAFFORDABLE HOUSING SEWER CAPACITY FEE $1858.00 3/4 WATER CAPACITY FEE $590.00 3/4 WATER METER</t>
  </si>
  <si>
    <t>40048</t>
  </si>
  <si>
    <t>See NotesNEW AFFORDABLE HOUSING: SEWER CAPACITY FEE $1858.00: 3/4 WATER METER $303.75 3/4 WATER CAPACITY FEE $590.00</t>
  </si>
  <si>
    <t>40049</t>
  </si>
  <si>
    <t>40050</t>
  </si>
  <si>
    <t>See NotesNEW AFFORDABLE HOUSING SEWER CAPACITY FEE $1858.00 3/4 WATER METER $590.00 3/4 WATER CAPACITY METER $303.75 SEWER CAPACITY FEE CREDIT $1858.00 3/4 WATER METER AND WATER CAPACITY FEE CREDIT OF 893.75: NO FEE PERMIT BECAUSE OF CREDITS AND COUNCIL APPROVAL OF WAIVER OF BUILDING PERMIT FEES</t>
  </si>
  <si>
    <t>40051</t>
  </si>
  <si>
    <t>See NotesNEW AFFORDABLE HOUSING: SEWER CAPACITY FEE CREDIT $1858.00: 3/4 WATER CAPACITY FEE $590.00: $3/4 WATER METER $303.75</t>
  </si>
  <si>
    <t>BP 2003-0389</t>
  </si>
  <si>
    <t>Addition connector between house and garage</t>
  </si>
  <si>
    <t>BP 2003-0390</t>
  </si>
  <si>
    <t>Horse Trailer &amp; Hay Storage</t>
  </si>
  <si>
    <t>BP 2003-0391</t>
  </si>
  <si>
    <t>22-41-17-12-4-10-002</t>
  </si>
  <si>
    <t>BP 2003-0392</t>
  </si>
  <si>
    <t>Addition of Mezzanine, 2nd floor to existing maintenance facility</t>
  </si>
  <si>
    <t>22-42-17-24-1-07-002</t>
  </si>
  <si>
    <t>BP 2003-0393</t>
  </si>
  <si>
    <t>Add fireplace, replace windows, expand roof</t>
  </si>
  <si>
    <t>22-45-12-21-2-01-002</t>
  </si>
  <si>
    <t>BP 2003-0394</t>
  </si>
  <si>
    <t>Interior Remodel of SFD</t>
  </si>
  <si>
    <t>BP 2003-0395</t>
  </si>
  <si>
    <t>Build Exterior Stairway to Storage Room</t>
  </si>
  <si>
    <t>22-41-16-06-3-05-021</t>
  </si>
  <si>
    <t>BP 2003-0396</t>
  </si>
  <si>
    <t>Build 2 bedroom home w/Garage, Potting Shed</t>
  </si>
  <si>
    <t>22-41-17-27-4-00-028</t>
  </si>
  <si>
    <t>BP 2003-0397</t>
  </si>
  <si>
    <t>Remodel existing maintenance shop into marketing/sales offices</t>
  </si>
  <si>
    <t>22-40-17-12-4-01-092</t>
  </si>
  <si>
    <t>BP 2003-0398</t>
  </si>
  <si>
    <t>Remodel Existing SFD (Cabin) into Administrative Offices</t>
  </si>
  <si>
    <t>22-40-17-12-4-01-094</t>
  </si>
  <si>
    <t>BP 2003-0399</t>
  </si>
  <si>
    <t>Add Bedroom, Remodel Cabin</t>
  </si>
  <si>
    <t>22-41-17-22-3-07-002</t>
  </si>
  <si>
    <t>BP 2003-0400</t>
  </si>
  <si>
    <t>Add 2 bedrooms, 2 baths to SFD</t>
  </si>
  <si>
    <t>22-41-17-14-1-21-001</t>
  </si>
  <si>
    <t>BP 2003-0401</t>
  </si>
  <si>
    <t>Remove porch; add mudroom within old porch footprint</t>
  </si>
  <si>
    <t>22-40-16-19-2-02-002</t>
  </si>
  <si>
    <t>BP 2003-0402</t>
  </si>
  <si>
    <t>Build 4 Bedroom, 2-story home w/garage</t>
  </si>
  <si>
    <t>22-40-16-20-2-10-019</t>
  </si>
  <si>
    <t>BP 2003-0403</t>
  </si>
  <si>
    <t>Interior Remodel: add bath, potting shed; remodel office, laundry</t>
  </si>
  <si>
    <t>22-41-17-12-4-06-003</t>
  </si>
  <si>
    <t>BP 2003-0404</t>
  </si>
  <si>
    <t>Construct Skate Park from existing Comm. Warehouse, enlarge bathroom</t>
  </si>
  <si>
    <t>22-40-16-17-4-22-001</t>
  </si>
  <si>
    <t>BP 2003-0405</t>
  </si>
  <si>
    <t>Build 3 Bedroom, 2-story home w/garage</t>
  </si>
  <si>
    <t>22-40-16-20-2-12-018</t>
  </si>
  <si>
    <t>BP 2003-0407</t>
  </si>
  <si>
    <t>Add Bedroom, Remodel 2 Rental Units</t>
  </si>
  <si>
    <t>22-41-17-11-4-19-CND</t>
  </si>
  <si>
    <t>40125</t>
  </si>
  <si>
    <t>See NotesNEW SINGLE FAMILY: SEWER CPACITY FEE $1858.00 3/4 WATER CAPACITY FEE $590.00: 3/4 WATER METER $303.75</t>
  </si>
  <si>
    <t>22-41-16-33-4-28-012</t>
  </si>
  <si>
    <t>40126</t>
  </si>
  <si>
    <t>BP 2003-0409</t>
  </si>
  <si>
    <t>Build Garage/Shop w/upper level storage</t>
  </si>
  <si>
    <t>22-41-16-31-4-01-019</t>
  </si>
  <si>
    <t>BP 2003-0408</t>
  </si>
  <si>
    <t>Office Space/Storage</t>
  </si>
  <si>
    <t>BP 2003-0410</t>
  </si>
  <si>
    <t>Remodel 3 suites into 8 offices, bathrooms, break room</t>
  </si>
  <si>
    <t>22-41-17-11-4-25-002</t>
  </si>
  <si>
    <t>BP 2003-0411</t>
  </si>
  <si>
    <t>Build 2-story, 4 bedroom log home w/ garage</t>
  </si>
  <si>
    <t>22-40-16-20-1-10-008</t>
  </si>
  <si>
    <t>BP 2003-0412</t>
  </si>
  <si>
    <t>Interior remodel to Commercial Building</t>
  </si>
  <si>
    <t>22-41-17-22-3-05-013</t>
  </si>
  <si>
    <t>BP 2003-0413</t>
  </si>
  <si>
    <t>3-Stall Addition to garage</t>
  </si>
  <si>
    <t>BP 2003-0414</t>
  </si>
  <si>
    <t>Remodel 2 basement rooms to office &amp; media room;  remodel  study to bedroom</t>
  </si>
  <si>
    <t>22-42-17-24-3-02-042</t>
  </si>
  <si>
    <t>BP 2003-0415</t>
  </si>
  <si>
    <t>Add Garage, Mudroom, Porches, Study; remodel Garage</t>
  </si>
  <si>
    <t>22-40-17-35-1-04-002</t>
  </si>
  <si>
    <t>BP 2003-0416</t>
  </si>
  <si>
    <t>Add shower, 2 closets and remove bearing wall, replace with beam</t>
  </si>
  <si>
    <t>22-40-16-18-3-06-005</t>
  </si>
  <si>
    <t>BP 2003-0417</t>
  </si>
  <si>
    <t>Build 4 bedroom home w/garage and finished basement</t>
  </si>
  <si>
    <t>22-44-18-07-1-00-003</t>
  </si>
  <si>
    <t>BP 2003-0418</t>
  </si>
  <si>
    <t>Build 3 bedroom, 2-story home w/artist studio, storage basement and garage</t>
  </si>
  <si>
    <t>22-42-16-10-4-03-015</t>
  </si>
  <si>
    <t>BP 2004-0002</t>
  </si>
  <si>
    <t>Build 4 bedroom, 2-story home w/garage and unfinished basement</t>
  </si>
  <si>
    <t>22-44-18-20-2-01-004</t>
  </si>
  <si>
    <t>BP 2004-0003</t>
  </si>
  <si>
    <t>Show Room For Product Display</t>
  </si>
  <si>
    <t>22-41-17-22-3-03-008</t>
  </si>
  <si>
    <t>BP 2004-0004</t>
  </si>
  <si>
    <t>New 2-bedroom home w/ garage</t>
  </si>
  <si>
    <t>22-42-16-15-3-07-010</t>
  </si>
  <si>
    <t>BP 2004-0005</t>
  </si>
  <si>
    <t>Shop Expansion</t>
  </si>
  <si>
    <t>22-40-16-34-3-00-010</t>
  </si>
  <si>
    <t>BP 2004-0006</t>
  </si>
  <si>
    <t>Build fireproof storage room in existing basement</t>
  </si>
  <si>
    <t>22-41-16-10-4-00-018</t>
  </si>
  <si>
    <t>BP 2004-0007</t>
  </si>
  <si>
    <t>Remodel Bedroom to Den, Loft to Master Bedroom Suite</t>
  </si>
  <si>
    <t>22-41-17-22-1-02-009</t>
  </si>
  <si>
    <t>40200</t>
  </si>
  <si>
    <t>See NotesNEW SINGLE FAMILY HOME:SEWER CAPACITY FEE $1858.00: 1 INCH WATER CAPACITY FEE $1050.00 1 INCH WATER METER $422.00</t>
  </si>
  <si>
    <t>22-40-16-05-2-04-007</t>
  </si>
  <si>
    <t>BP 2004-0008</t>
  </si>
  <si>
    <t>Remodel Interior of SFD</t>
  </si>
  <si>
    <t>22-41-16-17-3-05-002</t>
  </si>
  <si>
    <t>BP 2004-0009</t>
  </si>
  <si>
    <t>Build 4 Bedroom, 2 story Home w/ Garage</t>
  </si>
  <si>
    <t>22-41-17-14-4-24-005</t>
  </si>
  <si>
    <t>BP 2004-0010</t>
  </si>
  <si>
    <t>SFD Addition: Den, Game Room, Bath and closets</t>
  </si>
  <si>
    <t>22-40-16-18-1-05-307</t>
  </si>
  <si>
    <t>BP 2004-0011</t>
  </si>
  <si>
    <t>Convert unfinished space to living</t>
  </si>
  <si>
    <t>22-41-17-23-1-09-004</t>
  </si>
  <si>
    <t>40656</t>
  </si>
  <si>
    <t>See NotesNEW OFFICE BUILDING: FEE IN LIEU OF EMPLOYEE HOUSING $1312.66.SEWER CAPACITY FEE CREDIT OF $1858.00 : 3/4 WATER CAPCITY FEE CREDIT $590.00: 3/4 WATER METER $303.75: NO WATER FEES DUE AT THIS TIME BECAUSE APPLICANT INTENDS TO USE EXISTING 3/4 WATER LINE. SEWER FEES ARE BASED ON 29 EMPLOYEES @ $126.00= $3654.00:</t>
  </si>
  <si>
    <t>22-41-16-34-2-08-009</t>
  </si>
  <si>
    <t>BP 2004-0012</t>
  </si>
  <si>
    <t>Build 4 Bedroom, 2-story home w/Garage</t>
  </si>
  <si>
    <t>BP 2004-0013</t>
  </si>
  <si>
    <t>Interior Remodel (add office space w/storage above)</t>
  </si>
  <si>
    <t>22-40-16-17-4-18-004</t>
  </si>
  <si>
    <t>BP 2004-0014</t>
  </si>
  <si>
    <t>SFD Interior Remodel; add Bedroom, Bath, Powder Room, Laundry/Bath.</t>
  </si>
  <si>
    <t>BP 2004-0015</t>
  </si>
  <si>
    <t>Add Ski Room, Bunk Room and Deck w/ Hot Tub to SFD</t>
  </si>
  <si>
    <t>BP 2004-0016</t>
  </si>
  <si>
    <t>New Garage W/ Breezeway Connector to house</t>
  </si>
  <si>
    <t>BP 2004-0017</t>
  </si>
  <si>
    <t>New 4 bedroom home w/garage</t>
  </si>
  <si>
    <t>22-41-16-06-2-02-008</t>
  </si>
  <si>
    <t>BP 2004-0018</t>
  </si>
  <si>
    <t>Renovation of Garage/Shop/Storage to ARU</t>
  </si>
  <si>
    <t>22-41-16-30-2-07-001</t>
  </si>
  <si>
    <t>BP 2004-0019</t>
  </si>
  <si>
    <t>Build 6 bedroom, 2-story log home w/Garage</t>
  </si>
  <si>
    <t>22-42-16-15-2-07-001</t>
  </si>
  <si>
    <t>BP 2004-0023</t>
  </si>
  <si>
    <t>Renewed 00-0284 New ARU</t>
  </si>
  <si>
    <t>22-41-16-06-3-03-017</t>
  </si>
  <si>
    <t>BP 2004-0024</t>
  </si>
  <si>
    <t>Remodel Master Bedroom/Bath, Kitchen and Laundry</t>
  </si>
  <si>
    <t>22-42-16-15-4-03-011</t>
  </si>
  <si>
    <t>BP 2004-0025</t>
  </si>
  <si>
    <t>Enlarge Family Room</t>
  </si>
  <si>
    <t>22-40-16-33-4-00-015</t>
  </si>
  <si>
    <t>BP 2004-0026</t>
  </si>
  <si>
    <t>Enclose Existing 2nd Floor Deck Area for Exercise Room</t>
  </si>
  <si>
    <t>BP 2004-0027</t>
  </si>
  <si>
    <t>New 4 bedroom, 2-story home a/ 1 bedroom  ARU and Garage</t>
  </si>
  <si>
    <t>22-40-16-21-2-01-019</t>
  </si>
  <si>
    <t>BP 2004-0029</t>
  </si>
  <si>
    <t>Add T.V. Room, Bedroom/Bath to SFD</t>
  </si>
  <si>
    <t>22-41-17-34-3-15-001</t>
  </si>
  <si>
    <t>BP 2004-0030</t>
  </si>
  <si>
    <t>Remodel Kitchen</t>
  </si>
  <si>
    <t>22-42-17-24-3-13-003</t>
  </si>
  <si>
    <t>BP 2004-0031</t>
  </si>
  <si>
    <t>22-40-16-20-2-14-023</t>
  </si>
  <si>
    <t>BP 2004-0032</t>
  </si>
  <si>
    <t>Build RV Storage building (Garage)</t>
  </si>
  <si>
    <t>22-42-16-28-4-08-001</t>
  </si>
  <si>
    <t>BP 2004-0033</t>
  </si>
  <si>
    <t>Complete 4 bedroom, 2-story log home w/basemenr</t>
  </si>
  <si>
    <t>22-41-17-36-4-07-002</t>
  </si>
  <si>
    <t>BP 2004-0034</t>
  </si>
  <si>
    <t>22-40-16-17-2-01-004</t>
  </si>
  <si>
    <t>BP 2004-0035</t>
  </si>
  <si>
    <t>SFD W/ Attached Garage</t>
  </si>
  <si>
    <t>22-40-16-20-2-12-013</t>
  </si>
  <si>
    <t>BP 2004-0036</t>
  </si>
  <si>
    <t>Build 2 bedroom ARU w/ Garage</t>
  </si>
  <si>
    <t>22-38-15-04-3-01-001</t>
  </si>
  <si>
    <t>BP 2004-0037</t>
  </si>
  <si>
    <t>Add Dining Room, Master Bath, Bedroom; Remodel Lower Bedrooms, Kitchen</t>
  </si>
  <si>
    <t>22-41-17-25-3-00-010</t>
  </si>
  <si>
    <t>BP 2004-0038</t>
  </si>
  <si>
    <t>Build Garage/Art Studio</t>
  </si>
  <si>
    <t>22-40-16-18-3-00-061</t>
  </si>
  <si>
    <t>BP 2004-0039</t>
  </si>
  <si>
    <t>Add 2 Berooms, Kitchen to SFD; Remodel current kitchen to Living Area</t>
  </si>
  <si>
    <t>22-41-17-12-2-03-010</t>
  </si>
  <si>
    <t>BP 2004-0040</t>
  </si>
  <si>
    <t>Add decks and French doors to SFD.</t>
  </si>
  <si>
    <t>22-42-17-24-3-02-109</t>
  </si>
  <si>
    <t>40282</t>
  </si>
  <si>
    <t>See NotesCORE AND SHELL PERMIT ONLY FOR THE EMERGENCY AND ICU ADDITIONS AND EMERGENCY RENOVATIONS: SEWER CAPACITY FEES ARE 800 GPD X 4.22 = $ 3376.00  closed per Building Official</t>
  </si>
  <si>
    <t>22-41-16-27-4-00-003</t>
  </si>
  <si>
    <t>40303</t>
  </si>
  <si>
    <t>See NotesADDITION TO EXISTING OFFICE: SEWER CAPCITY FEE 2400/100 X $126.00 = $3024.00</t>
  </si>
  <si>
    <t>22-41-16-34-2-06-007</t>
  </si>
  <si>
    <t>40225</t>
  </si>
  <si>
    <t>See NotesMOVE WALLS AND INSTALL NEW WINDOWS ON EXISTING DUPLEX, ILLEGALLY CONVERTED TO DUPLEX IN 1995 BY PREVIOUS: NOT HOOKED UP TO CITY SEWER, NO SEWER FEES DUE AT THIS TIME</t>
  </si>
  <si>
    <t>22-40-16-06-1-00-015</t>
  </si>
  <si>
    <t>40401</t>
  </si>
  <si>
    <t>See NotesNEW RESTAURANT AND BAR : (The total number of seats in the dining area 108 and 29 seats are proposed for the deck for a total of 137 X 341.00 = $46,717.00 sewer capacity fee) SEWER CAPACITY FEE CREDIT OF 23 UNITS @ $744.00 EACH = $17,112.00: WATER CAPACITY FEE CREDIT OF 3 3/4 WATER LINES @ $590.00 EACH = $ 1770.00: 4 INCH FIRE LINE $1200.00: 3 INCH WATER CAPACITY FEE $9450.00: 3- INCH COMPOUND METER $2570.75</t>
  </si>
  <si>
    <t>22-41-16-33-1-38-007</t>
  </si>
  <si>
    <t>BP 2004-0053</t>
  </si>
  <si>
    <t>Add 2 story, 3 bedroom SFD w/Garage to Existing ARU  2/2/10 Bldg, Elec, Planning finals all ok.  Needs to be closed out. JA</t>
  </si>
  <si>
    <t>22-41-17-14-4-31-003</t>
  </si>
  <si>
    <t>BP 2004-0054</t>
  </si>
  <si>
    <t>Educational Institution Bldg. #1 Welcome Center</t>
  </si>
  <si>
    <t>22-41-16-30-1-00-002</t>
  </si>
  <si>
    <t>BP 2004-0055</t>
  </si>
  <si>
    <t>Educational Institution Bldg. #2, Outfitting/Maintence</t>
  </si>
  <si>
    <t>BP 2004-0056</t>
  </si>
  <si>
    <t>Educational Institution Bldg. #3, Dining Lodge</t>
  </si>
  <si>
    <t>BP 2004-0057</t>
  </si>
  <si>
    <t>Educational Institution, Bldg. #4A, Guest Lodge A</t>
  </si>
  <si>
    <t>BP 2004-0058</t>
  </si>
  <si>
    <t>Educational Institution, Bldg. #4B, Guest Lodge B</t>
  </si>
  <si>
    <t>BP 2004-0059</t>
  </si>
  <si>
    <t>Educational Institution, Bldg. #5, Resource Center A</t>
  </si>
  <si>
    <t>BP 2004-0060</t>
  </si>
  <si>
    <t>Educational Institution, Bldg. #6, Elementry School</t>
  </si>
  <si>
    <t>BP 2004-0061</t>
  </si>
  <si>
    <t>Educational Institution, Bldg. #7, Teacher Learning Center</t>
  </si>
  <si>
    <t>BP 2004-0062</t>
  </si>
  <si>
    <t>Educational Institution, Bldg. #8, MUPS School</t>
  </si>
  <si>
    <t>BP 2004-0063</t>
  </si>
  <si>
    <t>Educational Institution, Bldg. #9, Booster Pump Bldg.</t>
  </si>
  <si>
    <t>22-41-16-30-3-00-004</t>
  </si>
  <si>
    <t>40285</t>
  </si>
  <si>
    <t>ADDITION TO EXISTING RESIDENCENULL</t>
  </si>
  <si>
    <t>22-41-16-31-4-13-037</t>
  </si>
  <si>
    <t>BP 2004-0064</t>
  </si>
  <si>
    <t>Build 5 bedroom, 2 story home w/garage</t>
  </si>
  <si>
    <t>22-40-16-20-2-14-022</t>
  </si>
  <si>
    <t>BP 2004-0065</t>
  </si>
  <si>
    <t>BP 2004-0066</t>
  </si>
  <si>
    <t>BP 2004-0067</t>
  </si>
  <si>
    <t>Complete 3 bedroom home w/basement and garage</t>
  </si>
  <si>
    <t>22-42-16-27-2-30-009</t>
  </si>
  <si>
    <t>BP 2004-0068</t>
  </si>
  <si>
    <t>Living Room, Entry Addition to SFD</t>
  </si>
  <si>
    <t>22-41-17-27-2-00-007</t>
  </si>
  <si>
    <t>40418</t>
  </si>
  <si>
    <t>ADDING A ROOM ABOVE AN EXISTING GARAGENULL</t>
  </si>
  <si>
    <t>22-41-16-34-2-19-004</t>
  </si>
  <si>
    <t>BP 2004-0070</t>
  </si>
  <si>
    <t>Enclose covered deck for sunroom; add deck to SFD</t>
  </si>
  <si>
    <t>BP 2004-0071</t>
  </si>
  <si>
    <t>Add 2 Bedrooms, Office, Family Room and Bath to SFD</t>
  </si>
  <si>
    <t>BP 2004-0072</t>
  </si>
  <si>
    <t>Remodel existing S-2 storage to S-1 small engine repair</t>
  </si>
  <si>
    <t>22-40-16-17-4-13-004</t>
  </si>
  <si>
    <t>BP 2004-0073</t>
  </si>
  <si>
    <t>Add 2 Bedrooms, baths Laundry/Mud Room to SFD; Add Dormer to existing sleeping</t>
  </si>
  <si>
    <t>22-42-16-10-1-05-002</t>
  </si>
  <si>
    <t>BP 2004-0074</t>
  </si>
  <si>
    <t>22-42-16-28-4-10-008</t>
  </si>
  <si>
    <t>BP 2004-0075</t>
  </si>
  <si>
    <t>New Green House</t>
  </si>
  <si>
    <t>22-40-16-35-2-00-001</t>
  </si>
  <si>
    <t>BP 2004-0076</t>
  </si>
  <si>
    <t>Add Boiler Room onto Auto Shop</t>
  </si>
  <si>
    <t>22-40-16-06-4-00-013</t>
  </si>
  <si>
    <t>BP 2004-0077</t>
  </si>
  <si>
    <t>Add Screen Wall to SFD</t>
  </si>
  <si>
    <t>22-41-16-16-4-08-010</t>
  </si>
  <si>
    <t>BP 2004-0078</t>
  </si>
  <si>
    <t>New Equipment Storage Shed</t>
  </si>
  <si>
    <t>BP 2004-0079</t>
  </si>
  <si>
    <t>Build 5 Bedroom, 2-story home w/Garage</t>
  </si>
  <si>
    <t>22-41-17-14-4-24-002</t>
  </si>
  <si>
    <t>BP 2004-0080</t>
  </si>
  <si>
    <t>Add 3 Bedrooms, 2 Baths and Hallways to SFD</t>
  </si>
  <si>
    <t>22-40-17-35-1-05-007</t>
  </si>
  <si>
    <t>BP 2004-0081</t>
  </si>
  <si>
    <t>Add Den, unheated outside Storage to SFD</t>
  </si>
  <si>
    <t>22-40-16-17-2-02-081</t>
  </si>
  <si>
    <t>BP 2004-0083</t>
  </si>
  <si>
    <t>Build New Garage</t>
  </si>
  <si>
    <t>22-41-17-26-2-00-046</t>
  </si>
  <si>
    <t>40448</t>
  </si>
  <si>
    <t>See Notes1500 SQUARE FEET FOR NEW LAUNDRY FACILITY SEWER CAPACITY FEE 28 WASHING MACHINES @ $1271.00 EACH = $ 35,588.00: 15OO SQ FT OF REATIL /100 X $21.00 = $315.00: 2-INCH WATER CAPACITY FEE $4200.00: 2-INCH COMPOUND WATER METER $1337.25</t>
  </si>
  <si>
    <t>22-40-16-06-1-00-045</t>
  </si>
  <si>
    <t>BP 2004-0084</t>
  </si>
  <si>
    <t>22-41-17-26-2-06-006</t>
  </si>
  <si>
    <t>BP 2004-0085</t>
  </si>
  <si>
    <t>Commercial Pump House For Ranch</t>
  </si>
  <si>
    <t>BP 2004-0087</t>
  </si>
  <si>
    <t>Dining Room Addition to SFD</t>
  </si>
  <si>
    <t>22-40-17-03-2-00-012</t>
  </si>
  <si>
    <t>BP 2004-0088</t>
  </si>
  <si>
    <t>Build 6 bedroom, 2-story home w/garage</t>
  </si>
  <si>
    <t>22-42-16-19-4-01-004</t>
  </si>
  <si>
    <t>BP 2004-0089</t>
  </si>
  <si>
    <t>Build 2 bedroom ARU w/garage</t>
  </si>
  <si>
    <t>BP 2004-0091</t>
  </si>
  <si>
    <t>Add Deck Off Kitchen, Change Door, Add Dog Door</t>
  </si>
  <si>
    <t>22-42-16-33-1-03-002</t>
  </si>
  <si>
    <t>BP 2004-0092</t>
  </si>
  <si>
    <t>SFD Addition</t>
  </si>
  <si>
    <t>22-39-16-03-4-00-017</t>
  </si>
  <si>
    <t>BP 2004-0093</t>
  </si>
  <si>
    <t>Build Detached Garage w/overhead storage</t>
  </si>
  <si>
    <t>22-41-17-34-3-03-010</t>
  </si>
  <si>
    <t>BP 2004-0094</t>
  </si>
  <si>
    <t>Build Dining Room Addition</t>
  </si>
  <si>
    <t>22-40-17-10-3-03-009</t>
  </si>
  <si>
    <t>BP 2004-0095</t>
  </si>
  <si>
    <t>Restaurant Dining Pavilion</t>
  </si>
  <si>
    <t>22-43-16-25-4-00-006</t>
  </si>
  <si>
    <t>BP 2004-0096</t>
  </si>
  <si>
    <t>Build Workshop Adddition to Garage</t>
  </si>
  <si>
    <t>22-41-17-22-4-14-017</t>
  </si>
  <si>
    <t>BP 2004-0097</t>
  </si>
  <si>
    <t>Build 3 bedroom, 2-story home w/finished basement</t>
  </si>
  <si>
    <t>22-44-18-20-3-11-004</t>
  </si>
  <si>
    <t>BP 2004-0098</t>
  </si>
  <si>
    <t>22-41-16-19-4-04-007</t>
  </si>
  <si>
    <t>BP 2004-0099</t>
  </si>
  <si>
    <t>Build 3 bedroom, 2-story home w/unfinished basement and garage</t>
  </si>
  <si>
    <t>22-39-16-03-4-01-011</t>
  </si>
  <si>
    <t>BP 2004-0100</t>
  </si>
  <si>
    <t>Add 2nd floor Bedroom/Bath/Laundry and Shed</t>
  </si>
  <si>
    <t>22-40-16-18-1-04-234</t>
  </si>
  <si>
    <t>BP 2004-0101</t>
  </si>
  <si>
    <t>Build 2 bedroom, 2-story home w/ Garage</t>
  </si>
  <si>
    <t>22-40-16-20-1-15-036</t>
  </si>
  <si>
    <t>BP 2004-0104</t>
  </si>
  <si>
    <t>Move-On 4 bedroom, 2-story home; build garage</t>
  </si>
  <si>
    <t>22-40-16-20-1-08-014</t>
  </si>
  <si>
    <t>BP 2004-0107</t>
  </si>
  <si>
    <t>Move On Existing SFD; Remodel</t>
  </si>
  <si>
    <t>22-40-16-20-2-10-009</t>
  </si>
  <si>
    <t>BP 2004-0108</t>
  </si>
  <si>
    <t>BP 2004-0110</t>
  </si>
  <si>
    <t>Interior Remodel to SFD</t>
  </si>
  <si>
    <t>BP 2004-0102</t>
  </si>
  <si>
    <t>Build Garage Addition w/Storage above</t>
  </si>
  <si>
    <t>22-45-13-21-1-01-018</t>
  </si>
  <si>
    <t>BP 2004-0105</t>
  </si>
  <si>
    <t>Build 4 Bedroom, 2-story home w/ Garage</t>
  </si>
  <si>
    <t>22-40-16-20-2-14-016</t>
  </si>
  <si>
    <t>BP 2004-0106</t>
  </si>
  <si>
    <t>Comercial Rest Room Remodel</t>
  </si>
  <si>
    <t>BP 2004-0109</t>
  </si>
  <si>
    <t>Build 4 Bedroom Home w/Finished Basement</t>
  </si>
  <si>
    <t>22-42-16-28-1-12-010</t>
  </si>
  <si>
    <t>BP 2004-0112</t>
  </si>
  <si>
    <t>Install (2) New Windows to SFD</t>
  </si>
  <si>
    <t>22-42-17-24-1-03-010</t>
  </si>
  <si>
    <t>BP 2004-0113</t>
  </si>
  <si>
    <t>Add bedroom, bath, entry and family room to SFD</t>
  </si>
  <si>
    <t>22-41-17-22-4-14-028</t>
  </si>
  <si>
    <t>BP 2004-0114</t>
  </si>
  <si>
    <t>Build 4 bedroom, 2-story home w/full basement; attach to existing garage/ARU</t>
  </si>
  <si>
    <t>22-44-15-36-1-04-009</t>
  </si>
  <si>
    <t>40338</t>
  </si>
  <si>
    <t>See Notes2 UNIT RESIDENTIAL BUILDING: SEWER CAPACITY FEE 2@ $1858.00= $ 3716.00 1-INCH WATER CAPACITY FEE $1050.00  1-INCH WATER METER $422.00</t>
  </si>
  <si>
    <t>22-41-16-34-1-30-003</t>
  </si>
  <si>
    <t>40339</t>
  </si>
  <si>
    <t>See Notes2 UNIT RESIDENTIAL BUILDING: SEWER CAPACITY FEE 2 @ $1858.00 = $3716.00 1-INCH WATER CAPACITY FEE $1050.00 $1-INCH WATER METER $ 422.00</t>
  </si>
  <si>
    <t>BP 2004-0103</t>
  </si>
  <si>
    <t>Add new Bedroom, Kitchen/Dining/Living Room; remodel SFD</t>
  </si>
  <si>
    <t>22-42-16-22-4-00-054</t>
  </si>
  <si>
    <t>BP 2004-0111</t>
  </si>
  <si>
    <t>Add 4 bedrooms, 3 baths, Living Room and Garage; Remodel Kitchen</t>
  </si>
  <si>
    <t>22-41-17-27-1-03-004</t>
  </si>
  <si>
    <t>BP 2004-0115</t>
  </si>
  <si>
    <t>Add Game Room/Master Suite</t>
  </si>
  <si>
    <t>22-43-15-15-1-00-009</t>
  </si>
  <si>
    <t>BP 2004-0116</t>
  </si>
  <si>
    <t>Add Bathroom, upstasirs Storage Space to Garage</t>
  </si>
  <si>
    <t>BP 2004-0117</t>
  </si>
  <si>
    <t>Build 2 Bedroom, 2-story home w/Garage &amp; 3 Bedroom, 2-story Guesthouse w/Garage</t>
  </si>
  <si>
    <t>BP 2004-0119</t>
  </si>
  <si>
    <t>Build 3 Bedroom, 2-story home w/Bonus Room and Garage</t>
  </si>
  <si>
    <t>22-40-16-20-2-14-015</t>
  </si>
  <si>
    <t>BP 2004-0120</t>
  </si>
  <si>
    <t>Renewed Old Expired BP98-0391 Move On Comm. Bldg.</t>
  </si>
  <si>
    <t>22-41-17-14-4-00-001</t>
  </si>
  <si>
    <t>BP 2004-0121</t>
  </si>
  <si>
    <t>Build 2 Bedroom, 2-story home w/Garage</t>
  </si>
  <si>
    <t>22-40-16-20-1-15-035</t>
  </si>
  <si>
    <t>BP 2004-0123</t>
  </si>
  <si>
    <t>Commercial Water Treatment &amp; Chemical Management Facility</t>
  </si>
  <si>
    <t>BP 2004-0122</t>
  </si>
  <si>
    <t>Convert Storage area above Garage to ARU</t>
  </si>
  <si>
    <t>22-41-17-23-2-10-008</t>
  </si>
  <si>
    <t>BP 2004-0124</t>
  </si>
  <si>
    <t>Add Bedroom, Bath, Closet and Studio to SFD</t>
  </si>
  <si>
    <t>22-42-17-25-2-01-009</t>
  </si>
  <si>
    <t>BP 2004-0125</t>
  </si>
  <si>
    <t>Add new decks, garage, new windows</t>
  </si>
  <si>
    <t>22-41-17-27-3-01-002</t>
  </si>
  <si>
    <t>BP 2004-0126</t>
  </si>
  <si>
    <t>Commercial Water Control Building</t>
  </si>
  <si>
    <t>22-42-16-27-4-15-001</t>
  </si>
  <si>
    <t>BP 2004-0127</t>
  </si>
  <si>
    <t>Finish Garage W/ ARU Guesthouse Above Renewal of BP 98-0328</t>
  </si>
  <si>
    <t>22-41-17-33-4-03-032</t>
  </si>
  <si>
    <t>BP 2004-0128</t>
  </si>
  <si>
    <t>Build 5 Bedroom, 2-story Home w/Garage</t>
  </si>
  <si>
    <t>22-41-17-13-2-05-001</t>
  </si>
  <si>
    <t>40490</t>
  </si>
  <si>
    <t>See NotesCORE AND SHELL BUILDING PERMIT. 4 INCH FIRE LINE $1200.00 2 INCH WATER CAPACITY FEE $4200.00: 2INCH COMPOUND WATER METER $  1335.27  : SEWER CAPACITY FEE 15000/100= 15 EMPLOYESS X $126.00 = $18,900.00</t>
  </si>
  <si>
    <t>BP 2004-0129</t>
  </si>
  <si>
    <t>Renewed Expired BP 98-0233 Finish Garage/Hayshed/Tack Rm.</t>
  </si>
  <si>
    <t>22-39-16-03-4-00-033</t>
  </si>
  <si>
    <t>BP 2004-0130</t>
  </si>
  <si>
    <t>New "Barn"</t>
  </si>
  <si>
    <t>22-41-17-36-2-02-005</t>
  </si>
  <si>
    <t>BP 2004-0131</t>
  </si>
  <si>
    <t>Build 2 bedroom  home</t>
  </si>
  <si>
    <t>BP 2004-0133</t>
  </si>
  <si>
    <t>Replace &amp; Repair Existing Moldy Interior of SFD</t>
  </si>
  <si>
    <t>22-42-17-25-2-01-005</t>
  </si>
  <si>
    <t>BP 2004-0134</t>
  </si>
  <si>
    <t>SFD W/ Garage</t>
  </si>
  <si>
    <t>22-40-17-35-2-06-002</t>
  </si>
  <si>
    <t>BP 2004-0135</t>
  </si>
  <si>
    <t>Build 2 bedroom home w/Garage</t>
  </si>
  <si>
    <t>22-40-16-20-1-15-033</t>
  </si>
  <si>
    <t>BP 2004-0137</t>
  </si>
  <si>
    <t>Addition (Roof Addition) to Cabin A</t>
  </si>
  <si>
    <t>BP 2004-0138</t>
  </si>
  <si>
    <t>Commercial Addition to Cabin B</t>
  </si>
  <si>
    <t>BP 2004-0139</t>
  </si>
  <si>
    <t>Commercial Addition/Remodel to Cabin E</t>
  </si>
  <si>
    <t>BP 2004-0140</t>
  </si>
  <si>
    <t>Add Sunroom to SFD</t>
  </si>
  <si>
    <t>22-41-17-13-2-04-002</t>
  </si>
  <si>
    <t>BP 2004-0141</t>
  </si>
  <si>
    <t>Add Gameroom &amp; Painting Studio to SFD</t>
  </si>
  <si>
    <t>22-41-17-33-3-03-020</t>
  </si>
  <si>
    <t>BP 2004-0142</t>
  </si>
  <si>
    <t>Build 2 bedroom, 2-story home w/loft and garage</t>
  </si>
  <si>
    <t>22-45-13-20-3-01-002</t>
  </si>
  <si>
    <t>BP 2004-0144</t>
  </si>
  <si>
    <t>Build 5 Bedroom, 2-Story Home w/Garage and partially finished Basement</t>
  </si>
  <si>
    <t>22-42-16-09-4-00-005</t>
  </si>
  <si>
    <t>BP 2004-0145</t>
  </si>
  <si>
    <t>Build 1 bedroom, 2-story home w/Garage  2/2/10 Finals passed, septic was not marked in correct location but was finalled by Ray.  This can be closed out. JA</t>
  </si>
  <si>
    <t>22-41-17-26-2-06-005</t>
  </si>
  <si>
    <t>BP 2004-0146</t>
  </si>
  <si>
    <t>New Barn</t>
  </si>
  <si>
    <t>BP 2004-0147</t>
  </si>
  <si>
    <t>Build 4 Bedroom Home w/Garage</t>
  </si>
  <si>
    <t>22-42-16-34-2-02-005</t>
  </si>
  <si>
    <t>40396</t>
  </si>
  <si>
    <t>NEW GARAGE(2/8/2012 1:46 PM KB)  closed. permit expired no final inspection made. 2/8/12 kb</t>
  </si>
  <si>
    <t>BP 2004-0148</t>
  </si>
  <si>
    <t>Replace existing glass roof with traditional roof on condo units 24-2-2 &amp; 24-2-3</t>
  </si>
  <si>
    <t>22-41-17-11-1-17-006</t>
  </si>
  <si>
    <t>BP 2004-0143</t>
  </si>
  <si>
    <t>Airling Ticketing Offices &amp; Restaurant</t>
  </si>
  <si>
    <t>BP 2004-0149</t>
  </si>
  <si>
    <t>Garage Addition, finish Basement</t>
  </si>
  <si>
    <t>22-42-16-22-3-00-060</t>
  </si>
  <si>
    <t>BP 2004-0150</t>
  </si>
  <si>
    <t>Build 3 bedroom, 2-story log home w/basement and garage</t>
  </si>
  <si>
    <t>22-40-17-10-3-03-039</t>
  </si>
  <si>
    <t>BP 2004-0151</t>
  </si>
  <si>
    <t>Enlarge, remodel Master Bedroom suite</t>
  </si>
  <si>
    <t>22-41-17-12-3-05-006</t>
  </si>
  <si>
    <t>BP 2004-0152</t>
  </si>
  <si>
    <t>22-40-17-10-3-05-001</t>
  </si>
  <si>
    <t>BP 2004-0154</t>
  </si>
  <si>
    <t>Enclose Entry; create 2 rooms</t>
  </si>
  <si>
    <t>22-41-17-11-4-16-007</t>
  </si>
  <si>
    <t>BP 2004-0155</t>
  </si>
  <si>
    <t>22-42-16-15-4-04-011</t>
  </si>
  <si>
    <t>BP 2004-0175</t>
  </si>
  <si>
    <t>22-41-17-13-3-00-031</t>
  </si>
  <si>
    <t>BP 2004-0156</t>
  </si>
  <si>
    <t>Move on Log Laundry/Chef's Cabin #1</t>
  </si>
  <si>
    <t>22-42-16-19-1-00-007</t>
  </si>
  <si>
    <t>BP 2004-0157</t>
  </si>
  <si>
    <t>Move on 1 Bedroom Dorm - Cabin #2</t>
  </si>
  <si>
    <t>BP 2004-0158</t>
  </si>
  <si>
    <t>Move on Dining Hall/Kitchen Cabin; add new fireplace</t>
  </si>
  <si>
    <t>BP 2004-0159</t>
  </si>
  <si>
    <t>Move on Main Lodge; add 2-Fireplaces</t>
  </si>
  <si>
    <t>BP 2004-0160</t>
  </si>
  <si>
    <t>Move on One Bedroom Cabin - Blue Cabin #5</t>
  </si>
  <si>
    <t>22-42-16-19-1-00-002</t>
  </si>
  <si>
    <t>BP 2004-0161</t>
  </si>
  <si>
    <t>Move On Bath House Cabin #6</t>
  </si>
  <si>
    <t>BP 2004-0162</t>
  </si>
  <si>
    <t>Move on Pink Cabin #7</t>
  </si>
  <si>
    <t>BP 2004-0163</t>
  </si>
  <si>
    <t>Move on Green Cabin #8</t>
  </si>
  <si>
    <t>BP 2004-0164</t>
  </si>
  <si>
    <t>Move on Bldg 9 (Roug Cabin)</t>
  </si>
  <si>
    <t>BP 2004-0165</t>
  </si>
  <si>
    <t>Move on Roung Porch Cabin #10</t>
  </si>
  <si>
    <t>BP 2004-0166</t>
  </si>
  <si>
    <t>Move On Recreation Hall - Cabin #11</t>
  </si>
  <si>
    <t>BP 2004-0167</t>
  </si>
  <si>
    <t>Move on Tackle House - Cabin #14</t>
  </si>
  <si>
    <t>BP 2004-0168</t>
  </si>
  <si>
    <t>Move on Horseshoe Shed - Cabin #22</t>
  </si>
  <si>
    <t>BP 2004-0169</t>
  </si>
  <si>
    <t>Move on Barn - Bldg 25.</t>
  </si>
  <si>
    <t>BP 2004-0170</t>
  </si>
  <si>
    <t>Move on Saddle House - Bldg #26</t>
  </si>
  <si>
    <t>BP 2004-0171</t>
  </si>
  <si>
    <t>Build 1 Bedroom Cabin (Ranch Manager's Unit)</t>
  </si>
  <si>
    <t>BP 2004-0172</t>
  </si>
  <si>
    <t>Build Ranch Manage Bunkhouse - Cabin B</t>
  </si>
  <si>
    <t>BP 2004-0173</t>
  </si>
  <si>
    <t>New Pool House/Exercise Room</t>
  </si>
  <si>
    <t>BP 2004-0176</t>
  </si>
  <si>
    <t>Build Garage and Wood Storage</t>
  </si>
  <si>
    <t>22-41-17-23-1-00-039</t>
  </si>
  <si>
    <t>BP 2004-0177</t>
  </si>
  <si>
    <t>Build one bedroom SFD (future ARU)</t>
  </si>
  <si>
    <t>22-41-17-28-1-00-033</t>
  </si>
  <si>
    <t>BP 2004-0178</t>
  </si>
  <si>
    <t>Build Garage w/Workshop and Sleeping Quarters</t>
  </si>
  <si>
    <t>BP 2004-0179</t>
  </si>
  <si>
    <t>Build 4 Bedroom 2-story Home w/Basement and Garage</t>
  </si>
  <si>
    <t>22-40-17-35-1-04-006</t>
  </si>
  <si>
    <t>BP 2004-0180</t>
  </si>
  <si>
    <t>Finish Basement to SFD</t>
  </si>
  <si>
    <t>22-40-16-35-1-05-006</t>
  </si>
  <si>
    <t>BP 2004-0181</t>
  </si>
  <si>
    <t>Build 4 bedroom home w/loft and garage</t>
  </si>
  <si>
    <t>22-40-16-20-1-13-002</t>
  </si>
  <si>
    <t>BP 2004-0182</t>
  </si>
  <si>
    <t>Add Garage w/Studio above, Mudroom, Master Suite, Bath; Remodel existing Garage</t>
  </si>
  <si>
    <t>22-40-16-35-3-00-016</t>
  </si>
  <si>
    <t>BP 2004-0183</t>
  </si>
  <si>
    <t>Add Bedroom/Bath/Closet to SFD; Remodel Existing</t>
  </si>
  <si>
    <t>22-45-13-07-4-00-052</t>
  </si>
  <si>
    <t>BP 2004-0184</t>
  </si>
  <si>
    <t>Commercial Storage into Catering Kitchen</t>
  </si>
  <si>
    <t>22-40-16-17-4-13-017</t>
  </si>
  <si>
    <t>BP 2004-0185</t>
  </si>
  <si>
    <t>Build 3 bedroom, 2-story home</t>
  </si>
  <si>
    <t>22-41-17-22-1-02-010</t>
  </si>
  <si>
    <t>BP 2004-0186</t>
  </si>
  <si>
    <t>Build 2 car Garage w/ storage loft</t>
  </si>
  <si>
    <t>BP 2004-0187</t>
  </si>
  <si>
    <t>Interior remodel of SFD; convert garage to living,; add Entry Portico</t>
  </si>
  <si>
    <t>22-42-16-28-1-12-006</t>
  </si>
  <si>
    <t>BP 2004-0188</t>
  </si>
  <si>
    <t>Replace Garage w/Barn and Breezeway to connect to House</t>
  </si>
  <si>
    <t>22-42-17-26-1-00-004</t>
  </si>
  <si>
    <t>BP 2004-0189</t>
  </si>
  <si>
    <t>Build 3 bedroom home w/ Garage</t>
  </si>
  <si>
    <t>22-40-16-20-2-14-014</t>
  </si>
  <si>
    <t>40455</t>
  </si>
  <si>
    <t>See NotesNEW 3 UNIT BUILDING ON EXISTING FOUNDATION: SEWER CPACITY FEE CREDIT $1858.00: SEWER CAPACITY FEE 2 @ $1858.00 EACH = $3716.00:  1 BEDROOM WITH NO LAUNDRY $744.00: 3/4 WATER CAPACITY FEE AND METER CREDIT $873.00: 1 1/2 WATER CAPACITY FEE $2363.00 1 1/2 WATER METER $454.50    (5/15/2009 14:36  KB)  temp co issued on 4/21/05. applicant did not follow up with a reinspection. closed file on 5/15/09 kb</t>
  </si>
  <si>
    <t>22-41-16-34-2-28-006</t>
  </si>
  <si>
    <t>BP 2004-0190</t>
  </si>
  <si>
    <t>Build Entry to SFD</t>
  </si>
  <si>
    <t>22-41-17-22-3-00-036</t>
  </si>
  <si>
    <t>BP 2004-0191</t>
  </si>
  <si>
    <t>New Garage</t>
  </si>
  <si>
    <t>22-42-16-33-1-02-004</t>
  </si>
  <si>
    <t>BP 2004-0192</t>
  </si>
  <si>
    <t>22-40-16-20-1-15-019</t>
  </si>
  <si>
    <t>BP 2004-0193</t>
  </si>
  <si>
    <t>Build Log Structure to Cover Gas Tanks</t>
  </si>
  <si>
    <t>BP 2004-0196</t>
  </si>
  <si>
    <t>Commercial Concrete Water Storage Tank</t>
  </si>
  <si>
    <t>22-44-18-20-4-00-029</t>
  </si>
  <si>
    <t>BP 2004-0197</t>
  </si>
  <si>
    <t>Build 2 Bedroom, 2-story home w/Garage/Workshop</t>
  </si>
  <si>
    <t>22-41-17-26-2-00-048</t>
  </si>
  <si>
    <t>BP 2004-0199</t>
  </si>
  <si>
    <t>Add Dining Rm, &amp; Outdoor Fireplace Porch</t>
  </si>
  <si>
    <t>22-42-16-10-4-06-009</t>
  </si>
  <si>
    <t>40506</t>
  </si>
  <si>
    <t>NEW SINGLE FAMILY RESIDENCENULL</t>
  </si>
  <si>
    <t>22-41-16-31-1-06-019</t>
  </si>
  <si>
    <t>BP 2004-0200</t>
  </si>
  <si>
    <t>22-40-17-12-1-01-025</t>
  </si>
  <si>
    <t>BP 2004-0201</t>
  </si>
  <si>
    <t>Build 5 Bedroom, 2-story Home/ Garage</t>
  </si>
  <si>
    <t>22-40-17-12-1-01-036</t>
  </si>
  <si>
    <t>BP 2004-0202</t>
  </si>
  <si>
    <t>22-40-17-12-1-01-041</t>
  </si>
  <si>
    <t>BP 2004-0203</t>
  </si>
  <si>
    <t>New SFD W/ Garage</t>
  </si>
  <si>
    <t>22-40-17-12-1-01-049</t>
  </si>
  <si>
    <t>BP 2004-0204</t>
  </si>
  <si>
    <t>22-40-17-12-1-01-037</t>
  </si>
  <si>
    <t>BP 2004-0205</t>
  </si>
  <si>
    <t>Build v4 bedroom, 2-story home w/garage</t>
  </si>
  <si>
    <t>22-40-17-12-1-01-044</t>
  </si>
  <si>
    <t>BP 2004-0206</t>
  </si>
  <si>
    <t>22-40-16-20-1-15-026</t>
  </si>
  <si>
    <t>BP 2004-0207</t>
  </si>
  <si>
    <t>Golf Course Restroom Facility</t>
  </si>
  <si>
    <t>BP 2004-0208</t>
  </si>
  <si>
    <t>BP 2004-0211</t>
  </si>
  <si>
    <t>22-41-17-22-1-02-002</t>
  </si>
  <si>
    <t>BP 2004-0212</t>
  </si>
  <si>
    <t>BP 2004-0213</t>
  </si>
  <si>
    <t>Add Sunroom, Theater and Office to SFD; Remodel Kitchen</t>
  </si>
  <si>
    <t>22-39-16-11-4-05-003</t>
  </si>
  <si>
    <t>40559</t>
  </si>
  <si>
    <t>See NotesNEW TOWNHOME SEWER CAPACITY FEE $1858.00 3/4 WATER METER $283.00 3/4 WATER CAPACITY FEE $590.00</t>
  </si>
  <si>
    <t>22-41-16-33-3-06-001</t>
  </si>
  <si>
    <t>40560</t>
  </si>
  <si>
    <t>See NotesNEW TOWNHOME: SEWER CPACITY FEE $1858.00: 3/4 WATER CAPACITY FEE $590.00: 3/4 WATER $283.00</t>
  </si>
  <si>
    <t>40561</t>
  </si>
  <si>
    <t>See NotesNEW TOWNHOME: SEWER CPACITY FEE $1858.00: 3/4 WATER CPACITY FEE $ 590.00: 3/4 WATER METER FEE $283.00</t>
  </si>
  <si>
    <t>40562</t>
  </si>
  <si>
    <t>See NotesNEW  TOWNHOMES: SEWER CAPACITY FEE $ 1858.00: 3/4 WATER CAPACITY FEE $590.00: 3/4 WATER METER $283.00</t>
  </si>
  <si>
    <t>40563</t>
  </si>
  <si>
    <t>See NotesNEW TOWNHOME SEWER CAPACITY FEE $1858.00: 3/4 WATER CAPACITY FEE $590.00: 3/4 WATER METER $283.00</t>
  </si>
  <si>
    <t>40564</t>
  </si>
  <si>
    <t>See NotesNEW TOWNHOME: SEWER CAPACITY FEE $1858.00: 3/4 WATER CAPACITY FEE $590.00: 3/4 WATER METER $283.00</t>
  </si>
  <si>
    <t>40565</t>
  </si>
  <si>
    <t>See NotesNEW TOWNHOME SEWER CAPACITY FEE $1858.00 3/4 WATER CAPACITY FEE $590.00: 3/4 WATER CAPACITY FEE $283.00</t>
  </si>
  <si>
    <t>40566</t>
  </si>
  <si>
    <t>See NotesNEW TOWNHOME SEWER CAPACITY FEE $1858.00 3/4 WATER CAPACITY FEE $590.00: 3/4 WATER CAPACITY METER $283.00</t>
  </si>
  <si>
    <t>40567</t>
  </si>
  <si>
    <t>See NotesNEW TOWNHOME SEWER CAPACITY FEE $1858.00 3/4 WATER CAPACITY FEE $590.00 3/4 WATER METER $283.00</t>
  </si>
  <si>
    <t>40568</t>
  </si>
  <si>
    <t>See NotesNEW TOWNHOME SEWER CAPACITY FEE $1858.00 3/4 WATER CAPACITY FEE $590.00: 3/4 WATER METER $283.00</t>
  </si>
  <si>
    <t>40569</t>
  </si>
  <si>
    <t>See NotesNEW TOWNHOME SEWER CAPACITY FEE $1858.00; 3/4 WATER CAPACITY FEE $590.00 3/4 WATER METER $283.00</t>
  </si>
  <si>
    <t>40570</t>
  </si>
  <si>
    <t>40571</t>
  </si>
  <si>
    <t>See NotesNEW TOWNHOME: SEWER CAPACITY FEE $1858.00 3/4 WATER CAPACITY FEE $590.00: 3/4 WATER METER $283.00</t>
  </si>
  <si>
    <t>40572</t>
  </si>
  <si>
    <t>40573</t>
  </si>
  <si>
    <t>See NotesNEW TOWNHOME SEWER CAPACITY FEE $1858.00 3/4 WATER CAPACITY FEE $590.00 3/4 WATER CAPACITY FEE $283.00</t>
  </si>
  <si>
    <t>40574</t>
  </si>
  <si>
    <t>40575</t>
  </si>
  <si>
    <t>See NotesNEW TOWNHOME SEWER CAPACITY FEE $1858.00 3/4 WATER CAPACITY FEE $590.00 3/4 WATER METER FEE $283.00</t>
  </si>
  <si>
    <t>40576</t>
  </si>
  <si>
    <t>See NotesNEW TOWNHOME SEWER CAPACITY FEE $1858.00 3/4 WATER CAPACITY FEE $590.00 3/4 WATER CAPACITY METER $283.00</t>
  </si>
  <si>
    <t>40577</t>
  </si>
  <si>
    <t>See NotesNEW TOWNHOME SEWER CAPACITY $1858.00 3/4 WATER CAPACITY FEE $590.00 3/4 WATER METER $283.00</t>
  </si>
  <si>
    <t>40578</t>
  </si>
  <si>
    <t>40579</t>
  </si>
  <si>
    <t>40580</t>
  </si>
  <si>
    <t>40581</t>
  </si>
  <si>
    <t>40582</t>
  </si>
  <si>
    <t>40583</t>
  </si>
  <si>
    <t>See NotesNEW TOWNHOME SEWER CAPACITY FEE $1858.00 3/4 WATER METER FEE $283.00 3/4 WATER CAPACITY FEE $590.00</t>
  </si>
  <si>
    <t>40584</t>
  </si>
  <si>
    <t>40585</t>
  </si>
  <si>
    <t>40586</t>
  </si>
  <si>
    <t>40587</t>
  </si>
  <si>
    <t>See NotesNEW TOWNHOME SEWER CAPACITY FEE $1858.00 3/4 WTAER CAPACITY FEE $590.00 3/4 WATER CAPACITY METER $283.00</t>
  </si>
  <si>
    <t>40588</t>
  </si>
  <si>
    <t>See NotesNEW TOWNHOMES SEWER CAPACITY FEE $1858.00 3/4 WATER CAPACITY FEE $590.00 3/4 WATER METER $283.00</t>
  </si>
  <si>
    <t>40589</t>
  </si>
  <si>
    <t>40590</t>
  </si>
  <si>
    <t>40591</t>
  </si>
  <si>
    <t>40592</t>
  </si>
  <si>
    <t>40593</t>
  </si>
  <si>
    <t>40594</t>
  </si>
  <si>
    <t>40832</t>
  </si>
  <si>
    <t>new single familyNEW TOWNHOME - ONE INCH WATER SERVICE PER PLAN $1050.00 1 INCH WATER METER $382.00: SEWER CAPACITY FEE $1858.00</t>
  </si>
  <si>
    <t>22-41-16-34-1-84-001</t>
  </si>
  <si>
    <t>40833</t>
  </si>
  <si>
    <t>See Notes3 UNIT CONDO - 3 SEPARATE ONE INCH WATER SERVICES : 3/ 1-INCH WATER SERVICES @ $1050.00= $3150.00: 3/ 1-INCH WATER METER 3@ $382.00 EACH = $1146.00: SEWER CAPACITY FEE 3 @ $1858.00 = $5574.00: APPLICANT WILL NEED TO OBTAIN AN ENCROACHMENT PERMIT AND PAY APPLICABLE TAP AND FIRE LINE FEES    (11/21/2005 16:25  KB)  Applicant chose to go with a 3/4 meter on the 3 units which caused a credit  and they chose to purchase a 3/4 water meter and pit for landscape.  The new fees are as follows 4- 3/4 Water meter @ $283.00 each = $1132.00: 4-3/4 water capacity fee @ $590.00 each =$2360.00: 3/4 meter pit $365.00 Credit is for 3 1inch water meter @ $382.00 each= $ 1146.00 : 3- 1inch water capacity @ $1050.00 = $ 3150.00 the new credit is the differance between the 2 which is $439.00 which will be credited to permit # b04-9772</t>
  </si>
  <si>
    <t>22-41-16-34-1-85-001</t>
  </si>
  <si>
    <t>B04-9769</t>
  </si>
  <si>
    <t>new townhomeSewer Capacity fee $1858.00 1-inch water meter $382.00 1-inch Water Capacity fee $1050.00</t>
  </si>
  <si>
    <t>22-41-16-34-1-84-004</t>
  </si>
  <si>
    <t>B04-9770</t>
  </si>
  <si>
    <t>New townhomeSee Notes</t>
  </si>
  <si>
    <t>22-41-16-34-1-84-003</t>
  </si>
  <si>
    <t>B04-9771</t>
  </si>
  <si>
    <t>NEW TOWNHOMEsewer capacity Fee $1858.00 1 inch water cpacity fee $1050.00 1 inch water meter $382.00</t>
  </si>
  <si>
    <t>22-41-16-34-1-87-001</t>
  </si>
  <si>
    <t>B04-9772</t>
  </si>
  <si>
    <t>NEW TOWNHOMESewer cpacity fee $1858.00 1inch water cpacity fee $1050.00 1-inch water meter $382.00 each credit from permit # 40833   is $439.00.</t>
  </si>
  <si>
    <t>22-41-16-34-1-87-002</t>
  </si>
  <si>
    <t>B04-9773</t>
  </si>
  <si>
    <t>NEW TOWNHOMESewer connect fee $1858.00 1 inch water meter $382.00 1 inch water capacity fee $1050.00</t>
  </si>
  <si>
    <t>22-41-16-34-1-87-004</t>
  </si>
  <si>
    <t>B04-9774</t>
  </si>
  <si>
    <t>NEW TOWNHOMESewer Connect Fee $1858.00 1 inch water capacity $1050.00 1 inch water meter $382.00</t>
  </si>
  <si>
    <t>22-41-16-34-1-87-003</t>
  </si>
  <si>
    <t>BP 2004-0214</t>
  </si>
  <si>
    <t>Add to Garage/Shop w/storage above</t>
  </si>
  <si>
    <t>22-42-16-20-4-01-002</t>
  </si>
  <si>
    <t>BP 2004-0215</t>
  </si>
  <si>
    <t>New Barn/Stable</t>
  </si>
  <si>
    <t>22-44-18-19-1-00-002</t>
  </si>
  <si>
    <t>BP 2004-0216</t>
  </si>
  <si>
    <t>Build 1 Bedroom ARU (Guesthouse) w/Garage</t>
  </si>
  <si>
    <t>22-44-18-22-3-00-005</t>
  </si>
  <si>
    <t>BP 2004-0219</t>
  </si>
  <si>
    <t>Build Garage &amp; Studio/Storage area</t>
  </si>
  <si>
    <t>22-41-17-33-3-03-013</t>
  </si>
  <si>
    <t>40484</t>
  </si>
  <si>
    <t>ADDITION TO EXISTING RESIDENCEno final requested: closed file on 2/25/09 kb</t>
  </si>
  <si>
    <t>22-40-16-06-2-29-001</t>
  </si>
  <si>
    <t>BP 2004-0220</t>
  </si>
  <si>
    <t>Add Bathroom and Carport to SFD</t>
  </si>
  <si>
    <t>BP 2004-0221</t>
  </si>
  <si>
    <t>Remove existing home; build 2 bedroom home w/daylight basement</t>
  </si>
  <si>
    <t>22-43-18-06-4-00-004</t>
  </si>
  <si>
    <t>BP 2004-0222</t>
  </si>
  <si>
    <t>Build 2 Bedroom, 2-story Log Home w/ Unfinished  Daylight Basement</t>
  </si>
  <si>
    <t>22-45-13-20-3-02-011</t>
  </si>
  <si>
    <t>40505</t>
  </si>
  <si>
    <t>See Notes2 NEW ACCESSORY UNITS: SEWER CAPACITY FEE 2 BEDROOM $1858.00 &amp; 1 BEDROOM $744.00:</t>
  </si>
  <si>
    <t>22-41-16-34-2-28-007</t>
  </si>
  <si>
    <t>BP 2004-0223</t>
  </si>
  <si>
    <t>Remodel Existing Tenant Space To Restaurant Use</t>
  </si>
  <si>
    <t>22-41-17-11-4-23-005</t>
  </si>
  <si>
    <t>BP 2004-0224</t>
  </si>
  <si>
    <t>Build 3 becroom, 2-story home w/garage</t>
  </si>
  <si>
    <t>22-40-16-20-2-14-020</t>
  </si>
  <si>
    <t>BP 2004-0225</t>
  </si>
  <si>
    <t>22-42-16-27-3-02-016</t>
  </si>
  <si>
    <t>BP 2004-0226</t>
  </si>
  <si>
    <t>Build 4 Bedroom, 2-story Home w/Garage</t>
  </si>
  <si>
    <t>22-41-16-28-3-03-006</t>
  </si>
  <si>
    <t>BP 2004-0227</t>
  </si>
  <si>
    <t>Build 4 Bedroom, 2-Story home w/Garage</t>
  </si>
  <si>
    <t>22-44-18-19-4-08-001</t>
  </si>
  <si>
    <t>B04-9840</t>
  </si>
  <si>
    <t>4-UNIT CONDONULL</t>
  </si>
  <si>
    <t>22-41-16-34-3-02-CND</t>
  </si>
  <si>
    <t>B04-9841</t>
  </si>
  <si>
    <t>NEW 4-UNIT CONDONULL</t>
  </si>
  <si>
    <t>40698</t>
  </si>
  <si>
    <t>See NotesNEW 25 UNIT APARTMENT BUILDING. NO FEE PERMIT DUE TO COUNCIL WAIVING BUILDING PERMIT FEES: Council deferred the following fees, for a 5-year period, on 6/6/05: Sewer capacity fee $27,026.00: fire line 1200.00 2 inch water capacity fee $4200.00  2-2 inch compound meter $1337.25    (5/15/2009 14:11  KB)  no final requested closed file on 5/15/09 kb</t>
  </si>
  <si>
    <t>22-41-16-34-1-00-022</t>
  </si>
  <si>
    <t>BP 2004-0228</t>
  </si>
  <si>
    <t>New Commercial Storage Building</t>
  </si>
  <si>
    <t>BP 2004-0229</t>
  </si>
  <si>
    <t>Remove Storage Shed-Replace w/ addition to Bedroom.</t>
  </si>
  <si>
    <t>22-41-17-12-3-08-005</t>
  </si>
  <si>
    <t>BP 2004-0232</t>
  </si>
  <si>
    <t>22-43-18-06-4-00-001</t>
  </si>
  <si>
    <t>BP 2004-0233</t>
  </si>
  <si>
    <t>Add New Entry of SFD</t>
  </si>
  <si>
    <t>22-42-16-34-2-03-004</t>
  </si>
  <si>
    <t>BP 2004-0234</t>
  </si>
  <si>
    <t>22-40-16-20-2-12-017</t>
  </si>
  <si>
    <t>BP 2004-0235</t>
  </si>
  <si>
    <t>Build 4 Bedroom, 2-story home w/ Garage and ARU</t>
  </si>
  <si>
    <t>22-40-17-12-4-01-027</t>
  </si>
  <si>
    <t>BP 2004-0237</t>
  </si>
  <si>
    <t>22-42-16-27-1-24-003</t>
  </si>
  <si>
    <t>BP 2004-0238</t>
  </si>
  <si>
    <t>Build 2 Bedroom Home w/Garage below</t>
  </si>
  <si>
    <t>22-40-16-35-1-08-007</t>
  </si>
  <si>
    <t>BP 2004-0239</t>
  </si>
  <si>
    <t>22-40-17-12-4-01-044</t>
  </si>
  <si>
    <t>BP 2004-0240</t>
  </si>
  <si>
    <t>22-40-17-12-1-01-029</t>
  </si>
  <si>
    <t>BP 2004-0241</t>
  </si>
  <si>
    <t>Build Garage w/ARU above</t>
  </si>
  <si>
    <t>22-42-16-10-2-07-005</t>
  </si>
  <si>
    <t>BP 2004-0242</t>
  </si>
  <si>
    <t>Build enclosed connector for House/Garage</t>
  </si>
  <si>
    <t>40688</t>
  </si>
  <si>
    <t>22-41-16-27-3-04-006</t>
  </si>
  <si>
    <t>40689</t>
  </si>
  <si>
    <t>See NotesNEW SINGLE FAMILY HOME:NO WATER OR SEWER CAPACITY FEE DUES BECAUSE OF EXISTING HOME THAT WAS DEMO'D FOR THIS PROJECT: NOW WATER FEE DUE BECAUSE APPLICANT TURNED IN EXISTING METER.</t>
  </si>
  <si>
    <t>22-41-16-27-3-04-007</t>
  </si>
  <si>
    <t>BP 2004-0243</t>
  </si>
  <si>
    <t>Build 2 bedroom cabin w/garage (A3) Cabin 6</t>
  </si>
  <si>
    <t>22-42-16-27-4-13-007</t>
  </si>
  <si>
    <t>BP 2004-0244</t>
  </si>
  <si>
    <t>Convert existing garage to Office, Laundry and Work Shop  2/2/10 bldg and elec finals passed.  OK to close file. JA</t>
  </si>
  <si>
    <t>22-41-17-26-2-00-024</t>
  </si>
  <si>
    <t>BP 2004-0245</t>
  </si>
  <si>
    <t>Build Detached Garage  2/2/10 bldg and elec finals passed.  OK to close out. JA</t>
  </si>
  <si>
    <t>40721</t>
  </si>
  <si>
    <t>See NotesADDITION TO EXISTING MIDDLE SCHOOLNO FEE PERMIT: NO SEWER FEE DUE AT THIS.</t>
  </si>
  <si>
    <t>BP 2004-0246</t>
  </si>
  <si>
    <t>Add to Master Bedroom</t>
  </si>
  <si>
    <t>22-41-16-06-1-01-008</t>
  </si>
  <si>
    <t>BP 2004-0247</t>
  </si>
  <si>
    <t>22-40-17-12-4-01-085</t>
  </si>
  <si>
    <t>BP 2004-0248</t>
  </si>
  <si>
    <t>Build Hallway joining two Cabins; add kitchen/laundry</t>
  </si>
  <si>
    <t>22-43-15-24-1-00-007</t>
  </si>
  <si>
    <t>BP 2004-0249</t>
  </si>
  <si>
    <t>Move on Manufactered Home, Build Attached Garage</t>
  </si>
  <si>
    <t>22-41-17-26-2-07-001</t>
  </si>
  <si>
    <t>BP 2004-0250</t>
  </si>
  <si>
    <t>22-40-16-35-2-00-005</t>
  </si>
  <si>
    <t>BP 2004-0252</t>
  </si>
  <si>
    <t>SFD used as a temporary Club House</t>
  </si>
  <si>
    <t>22-40-17-12-4-01-048</t>
  </si>
  <si>
    <t>BP 2004-0253</t>
  </si>
  <si>
    <t>Build 2-story Log Home w/Garage</t>
  </si>
  <si>
    <t>22-42-16-10-1-01-003</t>
  </si>
  <si>
    <t>BP 2004-0255</t>
  </si>
  <si>
    <t>Interior Remodel To Condo; replace non-egress window, relocate sink</t>
  </si>
  <si>
    <t>22-41-17-11-1-30-004</t>
  </si>
  <si>
    <t>BP 2004-0257</t>
  </si>
  <si>
    <t>22-41-16-05-1-00-009</t>
  </si>
  <si>
    <t>BP 2004-0258</t>
  </si>
  <si>
    <t>New (ARU) Guesthouse</t>
  </si>
  <si>
    <t>BP 2004-0261</t>
  </si>
  <si>
    <t>22-40-16-18-1-04-254</t>
  </si>
  <si>
    <t>BP 2004-0260</t>
  </si>
  <si>
    <t>Remodel Existing Garage Bay into Laundry Room</t>
  </si>
  <si>
    <t>BP 2004-0262</t>
  </si>
  <si>
    <t>BP 2004-0263</t>
  </si>
  <si>
    <t>22-40-17-04-4-00-002</t>
  </si>
  <si>
    <t>BP 2004-0264</t>
  </si>
  <si>
    <t>Build Barn with Storage Loft</t>
  </si>
  <si>
    <t>22-41-17-12-3-00-042</t>
  </si>
  <si>
    <t>BP 2004-0265</t>
  </si>
  <si>
    <t>Remodel Dining &amp; Kitchen to SFD</t>
  </si>
  <si>
    <t>22-41-17-25-3-00-027</t>
  </si>
  <si>
    <t>BP 2004-0266</t>
  </si>
  <si>
    <t>Erect 2-story modular SFD w/site-built garage, unfinished Bonus Room</t>
  </si>
  <si>
    <t>22-40-16-20-1-10-033</t>
  </si>
  <si>
    <t>BP 2004-0268</t>
  </si>
  <si>
    <t>Commercial Water System Control Building</t>
  </si>
  <si>
    <t>22-40-16-17-2-00-002</t>
  </si>
  <si>
    <t>BP 2004-0269</t>
  </si>
  <si>
    <t>Add Deck, Spa To SFD</t>
  </si>
  <si>
    <t>22-45-18-32-4-02-001</t>
  </si>
  <si>
    <t>BP 2004-0270</t>
  </si>
  <si>
    <t>Add Bedroom &amp; Bathroom Above Garage Of SFD</t>
  </si>
  <si>
    <t>22-41-16-21-2-07-008</t>
  </si>
  <si>
    <t>BP 2004-0271</t>
  </si>
  <si>
    <t>Add Living, Dining, Kitchen addition to SFD</t>
  </si>
  <si>
    <t>22-42-16-10-1-02-002</t>
  </si>
  <si>
    <t>BP 2004-0272</t>
  </si>
  <si>
    <t>Build 4 bedroom, 2-story home with garage</t>
  </si>
  <si>
    <t>22-40-17-12-4-02-005</t>
  </si>
  <si>
    <t>BP 2004-0273</t>
  </si>
  <si>
    <t>Erect Modular SFD; build Garage</t>
  </si>
  <si>
    <t>22-40-16-20-1-10-030</t>
  </si>
  <si>
    <t>BP 2004-0275</t>
  </si>
  <si>
    <t>Add Dormers To Bedrooms</t>
  </si>
  <si>
    <t>22-41-16-21-2-07-023</t>
  </si>
  <si>
    <t>BP 2004-0276</t>
  </si>
  <si>
    <t>Build 4 becroom home w/garage</t>
  </si>
  <si>
    <t>22-42-16-27-4-04-005</t>
  </si>
  <si>
    <t>40795</t>
  </si>
  <si>
    <t>900 SF ADDITION TO EXISTING HOME AND A 2 CAR GARAGENULL</t>
  </si>
  <si>
    <t>22-41-16-34-1-34-003</t>
  </si>
  <si>
    <t>BP 2004-0277</t>
  </si>
  <si>
    <t>Bedroom Suite/Dining/Family Room w/Basement Addition</t>
  </si>
  <si>
    <t>22-42-16-22-4-00-055</t>
  </si>
  <si>
    <t>BP 2004-0278</t>
  </si>
  <si>
    <t>New Garage W/ ARU (Office)</t>
  </si>
  <si>
    <t>BP 2004-0280</t>
  </si>
  <si>
    <t>22-39-16-34-1-01-002</t>
  </si>
  <si>
    <t>BP 2004-0283</t>
  </si>
  <si>
    <t>22-41-17-36-2-02-001</t>
  </si>
  <si>
    <t>BP 2004-0284</t>
  </si>
  <si>
    <t>22-41-16-30-2-04-004</t>
  </si>
  <si>
    <t>BP 2004-0285</t>
  </si>
  <si>
    <t>Build 5 bedroom home w/semi-finished basement and garage</t>
  </si>
  <si>
    <t>22-42-16-22-3-06-003</t>
  </si>
  <si>
    <t>BP 2004-0286</t>
  </si>
  <si>
    <t>Remodel bathrooms; add masonry fireplace, laundry ans powder room; replace roof</t>
  </si>
  <si>
    <t>22-41-17-22-2-01-002</t>
  </si>
  <si>
    <t>BP 2004-0287</t>
  </si>
  <si>
    <t>Practice Tee Snack Shop &amp; Restrooms</t>
  </si>
  <si>
    <t>22-40-17-12-1-01-050</t>
  </si>
  <si>
    <t>BP 2004-0288</t>
  </si>
  <si>
    <t>Expand 2 Bedrooms, add Closet, &amp; bath to SFD</t>
  </si>
  <si>
    <t>BP 2004-0289</t>
  </si>
  <si>
    <t>Add Lower Level Bedroom and Bath</t>
  </si>
  <si>
    <t>22-42-17-24-3-02-083</t>
  </si>
  <si>
    <t>BP 2004-0290</t>
  </si>
  <si>
    <t>Build 4 bedroom home w/finished basement and garage</t>
  </si>
  <si>
    <t>22-41-17-25-4-05-003</t>
  </si>
  <si>
    <t>BP 2004-0291</t>
  </si>
  <si>
    <t>Add Therepeutic Swim Spa Building</t>
  </si>
  <si>
    <t>22-41-17-33-4-03-064</t>
  </si>
  <si>
    <t>BP 2004-0294</t>
  </si>
  <si>
    <t>22-41-17-23-4-05-011</t>
  </si>
  <si>
    <t>BP 2004-0295</t>
  </si>
  <si>
    <t>Build Mechanical Building</t>
  </si>
  <si>
    <t>22-42-12-34-2-00-002</t>
  </si>
  <si>
    <t>BP 2004-0296</t>
  </si>
  <si>
    <t>Move laundry to upper floor; remodel kitchen</t>
  </si>
  <si>
    <t>22-40-16-18-1-06-024</t>
  </si>
  <si>
    <t>BP 2004-0297</t>
  </si>
  <si>
    <t>Interior Remodel to Condo; add bedroom and bath</t>
  </si>
  <si>
    <t>22-41-16-21-1-10-016</t>
  </si>
  <si>
    <t>BP 2004-0300</t>
  </si>
  <si>
    <t>Build Barn/Garage with Apartment</t>
  </si>
  <si>
    <t>22-41-17-28-1-00-047</t>
  </si>
  <si>
    <t>BP 2004-0302</t>
  </si>
  <si>
    <t>Addition to Deck</t>
  </si>
  <si>
    <t>22-41-17-11-1-15-006</t>
  </si>
  <si>
    <t>40716</t>
  </si>
  <si>
    <t>See NotesADDENDUM TO EXISTING PERMIT. FINISHING OFF BASEMENT INTO A 1 BEDROOM APARTMENT PLUS STORAGE AND BATHROOM. SEWER CAPACITY FEE 1 BEDROOM $730.00 :SEWER CAPACITY CREDIT FOR STORAGE IS 600 SQ FT / 300 X $126.00= $252.00 :</t>
  </si>
  <si>
    <t>40811</t>
  </si>
  <si>
    <t>See NotesNEW SINGLE FAMILY. FEES -SEWER CAPACITY FEE  $1858.00: 2 INCH COMPOUND METER $1337.25: 2-INCH WATER CAPACITY FEE $4200.00:  2-INCH WATER TAP $365.75 SEWER TAP $172.00 CREDITS -SEWER CAPACITY FEE $1858.00: 1-INCH WATER CAPACITY FEE $1050.00: 1 INCH WATER METER $382.00    (8/15/2005 15:25  KB)  Applicant decided that they did not need the 2 inch meter and capacity fee. They went to a 1 1/2 inch for potable water and 1 inch for irrigation. New fees are 1 1/2 water capacity fee $2363.00, 1 1/2 water meter $454.50, 1inch water capacity fee $1050.00 1-inch water meter $382.00: credit is 5537.25 applicant gets a refund of $1287.75.</t>
  </si>
  <si>
    <t>22-41-16-34-4-09-002</t>
  </si>
  <si>
    <t>BP 2004-0303</t>
  </si>
  <si>
    <t>Build 3 bedrom, 2-story home w/garage  (A1) Cabin 1</t>
  </si>
  <si>
    <t>22-42-16-27-4-13-002</t>
  </si>
  <si>
    <t>40724</t>
  </si>
  <si>
    <t>22-40-16-06-2-25-010</t>
  </si>
  <si>
    <t>BP 2004-0304</t>
  </si>
  <si>
    <t>Build 3 bedroom, 2-story home w/garage (A1 Rev.) Cabin 9</t>
  </si>
  <si>
    <t>22-42-16-27-4-13-010</t>
  </si>
  <si>
    <t>BP 2004-0305</t>
  </si>
  <si>
    <t>Build 3 bedroom, 2-story home w/attached garage (A1-Rev.) Cabin 12</t>
  </si>
  <si>
    <t>22-42-16-27-4-13-013</t>
  </si>
  <si>
    <t>BP 2004-0306</t>
  </si>
  <si>
    <t>Add 2 Dormer Roofs to SFD</t>
  </si>
  <si>
    <t>22-40-16-18-1-03-195</t>
  </si>
  <si>
    <t>BP 2004-0307</t>
  </si>
  <si>
    <t>Convert Existing Living Space into ARU (Guesthouse) Above Garage</t>
  </si>
  <si>
    <t>22-41-16-06-3-06-002</t>
  </si>
  <si>
    <t>BP 2004-0309</t>
  </si>
  <si>
    <t>Build 2 bedroom home w/garage (A3) Cabin 2</t>
  </si>
  <si>
    <t>22-42-16-27-4-13-003</t>
  </si>
  <si>
    <t>BP 2004-0310</t>
  </si>
  <si>
    <t>Build 2 bedroom home w/garage Cabin 4</t>
  </si>
  <si>
    <t>22-42-16-27-4-13-005</t>
  </si>
  <si>
    <t>BP 2004-0311</t>
  </si>
  <si>
    <t>Build 2 bedroom home w/garage (A3 Rev.) Cabin 7</t>
  </si>
  <si>
    <t>22-42-16-27-4-13-008</t>
  </si>
  <si>
    <t>BP 2004-0312</t>
  </si>
  <si>
    <t>22-41-17-12-3-12-003</t>
  </si>
  <si>
    <t>BP 2004-0313</t>
  </si>
  <si>
    <t>New Shed - No Electric/Plumbing</t>
  </si>
  <si>
    <t>22-39-16-03-4-01-016</t>
  </si>
  <si>
    <t>BP 2004-0315</t>
  </si>
  <si>
    <t>Add Master Bath, Club Room, Guest Suite and Garage to SFD</t>
  </si>
  <si>
    <t>40746</t>
  </si>
  <si>
    <t>ADD A 1 STALL GARAGEno final requested closed file on 5/20/09 kb</t>
  </si>
  <si>
    <t>22-41-16-31-4-14-110</t>
  </si>
  <si>
    <t>BP 2004-0316</t>
  </si>
  <si>
    <t>Build 4 bedroom home w/Garage</t>
  </si>
  <si>
    <t>22-42-16-27-4-12-017</t>
  </si>
  <si>
    <t>BP 2004-0317</t>
  </si>
  <si>
    <t>Build 4 brdroom, 2-story home w/garage and unfinished storage area</t>
  </si>
  <si>
    <t>22-39-15-31-1-00-008</t>
  </si>
  <si>
    <t>BP 2004-0318</t>
  </si>
  <si>
    <t>Build 3 bedroom, 2-story home w/garage (A2) Cabin 11</t>
  </si>
  <si>
    <t>22-42-16-27-4-12-043</t>
  </si>
  <si>
    <t>BP 2004-0319</t>
  </si>
  <si>
    <t>Build 3 bedroom, 2-story home w/garage ( A2) Cabin 8</t>
  </si>
  <si>
    <t>22-42-16-27-4-13-009</t>
  </si>
  <si>
    <t>BP 2004-0320</t>
  </si>
  <si>
    <t>Build 3 bedroom, 2-story home w/garage  (A2 Rev.) Cabin 3</t>
  </si>
  <si>
    <t>22-42-16-27-4-12-042</t>
  </si>
  <si>
    <t>BP 2004-0322</t>
  </si>
  <si>
    <t>Build 2bedroom home w/garage (A4) Cabin 4</t>
  </si>
  <si>
    <t>22-42-16-27-4-13-006</t>
  </si>
  <si>
    <t>BP 2004-0323</t>
  </si>
  <si>
    <t>Build 2 Bedroom Home W/ Garage Cabin 10</t>
  </si>
  <si>
    <t>22-42-16-27-4-13-011</t>
  </si>
  <si>
    <t>BP 2004-0324</t>
  </si>
  <si>
    <t>Add Family Room, Bedroom and Garage to SFD</t>
  </si>
  <si>
    <t>22-42-16-27-2-31-005</t>
  </si>
  <si>
    <t>BP 2004-0325</t>
  </si>
  <si>
    <t>Add Powder Rm. to SFD</t>
  </si>
  <si>
    <t>22-41-16-30-2-03-007</t>
  </si>
  <si>
    <t>BP 2004-0326</t>
  </si>
  <si>
    <t>22-40-16-20-1-15-040</t>
  </si>
  <si>
    <t>BP 2004-0327</t>
  </si>
  <si>
    <t>Add covered entry &amp;  Powder Room to SFD</t>
  </si>
  <si>
    <t>22-42-17-24-3-02-026</t>
  </si>
  <si>
    <t>BP 2004-0328</t>
  </si>
  <si>
    <t>22-40-17-01-3-03-001</t>
  </si>
  <si>
    <t>BP 2004-0329</t>
  </si>
  <si>
    <t>Build Pool House Building</t>
  </si>
  <si>
    <t>BP 2004-0330</t>
  </si>
  <si>
    <t>Build Garage w/Exercise Room</t>
  </si>
  <si>
    <t>BP 2004-0331</t>
  </si>
  <si>
    <t>40794</t>
  </si>
  <si>
    <t>ADDITION TO EXISTING HOME(1/13/2012 9:33 AM EXP)  no final inspection made.</t>
  </si>
  <si>
    <t>22-40-16-06-2-12-006</t>
  </si>
  <si>
    <t>BP 2004-0333</t>
  </si>
  <si>
    <t>Add Windows and new Portico</t>
  </si>
  <si>
    <t>BP 2004-0334</t>
  </si>
  <si>
    <t>Add Windows, Store Front, Ect. to Comm.</t>
  </si>
  <si>
    <t>22-40-16-20-1-17-002</t>
  </si>
  <si>
    <t>BP 2004-0335</t>
  </si>
  <si>
    <t>Finish Expired Permit for A New Garage BP2000-0413</t>
  </si>
  <si>
    <t>22-41-17-33-1-00-043</t>
  </si>
  <si>
    <t>BP 2004-0340</t>
  </si>
  <si>
    <t>Convert Garage into living, and add two bedrooms to SFD</t>
  </si>
  <si>
    <t>BP 2004-0341</t>
  </si>
  <si>
    <t>Remove Stairwell &amp; Convert into storage; add office to Comm.</t>
  </si>
  <si>
    <t>22-41-17-11-1-65-001</t>
  </si>
  <si>
    <t>BP 2004-0337</t>
  </si>
  <si>
    <t>Build 4 bedroom, 2-story home w/garage (Cabin 1 - 4BR)</t>
  </si>
  <si>
    <t>22-40-17-12-1-01-032</t>
  </si>
  <si>
    <t>BP 2004-0338</t>
  </si>
  <si>
    <t>22-40-17-12-4-01-074</t>
  </si>
  <si>
    <t>BP 2004-0342</t>
  </si>
  <si>
    <t>Front Porch Addition to SFD</t>
  </si>
  <si>
    <t>22-40-16-18-1-03-147</t>
  </si>
  <si>
    <t>BP 2004-0339</t>
  </si>
  <si>
    <t>22-40-17-12-4-01-058</t>
  </si>
  <si>
    <t>BP 2004-0343</t>
  </si>
  <si>
    <t>Build 5 bedroom, 2-story home w/semi-finished basement and garage</t>
  </si>
  <si>
    <t>22-44-18-20-4-11-003</t>
  </si>
  <si>
    <t>BP 2004-0344</t>
  </si>
  <si>
    <t>Mail Building</t>
  </si>
  <si>
    <t>22-40-17-12-1-01-051</t>
  </si>
  <si>
    <t>BP 2004-0345</t>
  </si>
  <si>
    <t>Sewer Lift Station</t>
  </si>
  <si>
    <t>BP 2004-0346</t>
  </si>
  <si>
    <t>Build 1 Stall Garage Garage Addition</t>
  </si>
  <si>
    <t>BP 2004-0348</t>
  </si>
  <si>
    <t>New Entry Vestibule for SFD &amp; Covered Walkway</t>
  </si>
  <si>
    <t>22-41-17-21-3-00-021</t>
  </si>
  <si>
    <t>BP 2004-0349</t>
  </si>
  <si>
    <t>Add Entry Vestibule &amp; Extend Dining Room to SFD</t>
  </si>
  <si>
    <t>BP 2004-0351</t>
  </si>
  <si>
    <t>22-44-18-17-2-00-022</t>
  </si>
  <si>
    <t>BP 2004-0352</t>
  </si>
  <si>
    <t>Pool &amp; Spa</t>
  </si>
  <si>
    <t>BP 2004-0353</t>
  </si>
  <si>
    <t>Build Vault for Pool Equipment</t>
  </si>
  <si>
    <t>BP 2004-0354</t>
  </si>
  <si>
    <t>Move on Log Cabin for 1 bath sleeping (no kitchen) cabin</t>
  </si>
  <si>
    <t>22-43-15-15-1-00-008</t>
  </si>
  <si>
    <t>BP 2004-0355</t>
  </si>
  <si>
    <t>Renewal of BP99-0001; Build 3 bedroom home w/garage</t>
  </si>
  <si>
    <t>22-44-18-31-1-01-001</t>
  </si>
  <si>
    <t>BP 2004-0356</t>
  </si>
  <si>
    <t>Build 2 bedroom home w/garage Cabin 13</t>
  </si>
  <si>
    <t>22-42-16-27-4-14-002</t>
  </si>
  <si>
    <t>BP 2004-0357</t>
  </si>
  <si>
    <t>Build 3 bedroom, 2 story home w/garage (A2) Cabin 14</t>
  </si>
  <si>
    <t>22-42-16-27-4-14-003</t>
  </si>
  <si>
    <t>BP 2004-0358</t>
  </si>
  <si>
    <t>Build 3 bedroom, 2-story home w/garage Cabin 15</t>
  </si>
  <si>
    <t>22-42-16-27-4-12-044</t>
  </si>
  <si>
    <t>BP 2004-0359</t>
  </si>
  <si>
    <t>Build 3 bedroom, 2-story home w/garage Cabin 16</t>
  </si>
  <si>
    <t>22-42-16-27-4-14-005</t>
  </si>
  <si>
    <t>BP 2004-0360</t>
  </si>
  <si>
    <t>Build 2 bedroom home w/garage (A4) Cabin 17</t>
  </si>
  <si>
    <t>BP 2004-0361</t>
  </si>
  <si>
    <t>Build 3 bedroom, 2-story home w/garage (A1) Cabin 18</t>
  </si>
  <si>
    <t>22-42-16-27-4-14-007</t>
  </si>
  <si>
    <t>BP 2004-0362</t>
  </si>
  <si>
    <t>22-40-17-10-3-03-016</t>
  </si>
  <si>
    <t>BP 2004-0363</t>
  </si>
  <si>
    <t>Build 3 bedroom, 2-story home w/garage, finished basement</t>
  </si>
  <si>
    <t>22-44-18-20-3-03-013</t>
  </si>
  <si>
    <t>BP 2004-0365</t>
  </si>
  <si>
    <t>Build 3 bedroom, 2-story home w/garage (A1) Cabin 19</t>
  </si>
  <si>
    <t>BP 2004-0366</t>
  </si>
  <si>
    <t>Build 2 bedroom home w/garage Cabin 20</t>
  </si>
  <si>
    <t>BP 2004-0367</t>
  </si>
  <si>
    <t>Build 3 bedroom, 2-story home w/garage (A2) Cabin 21</t>
  </si>
  <si>
    <t>22-42-16-27-4-14-010</t>
  </si>
  <si>
    <t>BP 2004-0368</t>
  </si>
  <si>
    <t>Build 3 bedroom, 2-story home w/garage Cabin 22</t>
  </si>
  <si>
    <t>BP 2004-0369</t>
  </si>
  <si>
    <t>Build 3 bedroom, 2-story home w/garage (A2) Cabin 23</t>
  </si>
  <si>
    <t>22-42-16-27-4-14-012</t>
  </si>
  <si>
    <t>BP 2004-0370</t>
  </si>
  <si>
    <t>Add Living, Bedroom, Bathroom and outside Hot Tub to SFD</t>
  </si>
  <si>
    <t>22-42-17-24-3-02-091</t>
  </si>
  <si>
    <t>BP 2004-0371</t>
  </si>
  <si>
    <t>Build 3 bedroom home w/1 bedroom ARU over garage</t>
  </si>
  <si>
    <t>22-42-16-27-4-12-037</t>
  </si>
  <si>
    <t>BP 2004-0374</t>
  </si>
  <si>
    <t>Remodel Hotel Unit into Spa to Comm.</t>
  </si>
  <si>
    <t>22-42-17-24-4-31-019</t>
  </si>
  <si>
    <t>BP 2004-0372</t>
  </si>
  <si>
    <t>Build 4 Bedroom 2-Story Home w/Garage and Finished Basement</t>
  </si>
  <si>
    <t>22-41-16-21-1-01-015</t>
  </si>
  <si>
    <t>BP 2004-0375</t>
  </si>
  <si>
    <t>Add Canopy to Existing Bully-Barn</t>
  </si>
  <si>
    <t>22-40-17-01-2-01-009</t>
  </si>
  <si>
    <t>BP 2004-0376</t>
  </si>
  <si>
    <t>Build 3 bedroom bi-level home w/garage</t>
  </si>
  <si>
    <t>22-39-16-27-4-06-003</t>
  </si>
  <si>
    <t>BP 2004-0378</t>
  </si>
  <si>
    <t>Build 900 sq. ft. Pool and 64 sq. ft. Spa</t>
  </si>
  <si>
    <t>BP 2004-0377</t>
  </si>
  <si>
    <t>Build 2-car Detached Garage</t>
  </si>
  <si>
    <t>BP 2004-0379</t>
  </si>
  <si>
    <t>Build 4 bedroom home w/garage and bonus room</t>
  </si>
  <si>
    <t>22-40-16-20-2-12-020</t>
  </si>
  <si>
    <t>BP 2004-0381</t>
  </si>
  <si>
    <t>Build Garage w/ 2-bedroom modular ARU above</t>
  </si>
  <si>
    <t>22-41-16-31-4-01-023</t>
  </si>
  <si>
    <t>BP 2004-0382</t>
  </si>
  <si>
    <t>Convert Garage Into Studio (no kitchen)</t>
  </si>
  <si>
    <t>22-41-17-01-4-03-007</t>
  </si>
  <si>
    <t>BP 2004-0373</t>
  </si>
  <si>
    <t>New Barn-Horse Shelter-Hay Storage</t>
  </si>
  <si>
    <t>22-41-16-07-2-02-001</t>
  </si>
  <si>
    <t>B04-0223</t>
  </si>
  <si>
    <t>ATTACHED GARAGE AND ROOM ABOVE GARAGENULL</t>
  </si>
  <si>
    <t>22-41-16-34-1-32-017</t>
  </si>
  <si>
    <t>BP 2004-0383</t>
  </si>
  <si>
    <t>22-42-16-27-4-12-036</t>
  </si>
  <si>
    <t>40943</t>
  </si>
  <si>
    <t>See NotesNEW COMMERCIAL BUILDING  - FEES FIRE LINE $1200.00 3 INCH WATER SERVICE $9450.00 3 INCH COMPOUND METER $1895.25. SEWER CAPACITY FEE (MINIMUM) $1858.00: CREDITS 3/4 WATER METER $283.00 3/4 WATER CAPACITY FEE $590.00: SEWER CAPACITY FEE CREDIT 160 GALLONS PER LANE X 10 LANES = 1600 X 4.22 = $6752.00</t>
  </si>
  <si>
    <t>22-41-16-32-4-40-CND</t>
  </si>
  <si>
    <t>BP 2004-0388</t>
  </si>
  <si>
    <t>Build Attached ARU (Guesthouse) with Garage</t>
  </si>
  <si>
    <t>22-41-17-22-1-01-016</t>
  </si>
  <si>
    <t>BP 2004-0389</t>
  </si>
  <si>
    <t>New Garage w/ Shop, Office</t>
  </si>
  <si>
    <t>22-41-17-35-1-02-001</t>
  </si>
  <si>
    <t>BP 2004-0390</t>
  </si>
  <si>
    <t>Well Equipment House</t>
  </si>
  <si>
    <t>BP 2004-0391</t>
  </si>
  <si>
    <t>Cover Commercial Entry Walkways</t>
  </si>
  <si>
    <t>BP 2004-0392</t>
  </si>
  <si>
    <t>New SFD W/ Garage To Be Used As Comm. Temp Sales Office</t>
  </si>
  <si>
    <t>22-40-17-12-4-01-056</t>
  </si>
  <si>
    <t>B04-0263</t>
  </si>
  <si>
    <t>Construction of accessory structure/garageNULL</t>
  </si>
  <si>
    <t>22-40-16-05-2-00-002</t>
  </si>
  <si>
    <t>BP 2004-0393</t>
  </si>
  <si>
    <t>Add Master Bedroom Suite to SFD  2/2/10 passed bldg and elec final.  no other inspections req'd.  OK to close file. JA</t>
  </si>
  <si>
    <t>22-41-17-25-4-00-043</t>
  </si>
  <si>
    <t>40940</t>
  </si>
  <si>
    <t>See NotesNEW CONDO:  SEWER CAPACITY FEE 4 3-BEDROOMS @ $1858.00= $7432.00: 4 1-INCH WATER CAPACITY FEE $4200.00: 4 1-INCH WATER METER @ $382.00= $1528.00</t>
  </si>
  <si>
    <t>22-41-16-34-3-02-001</t>
  </si>
  <si>
    <t>40941</t>
  </si>
  <si>
    <t>See NotesNEW CONDO'S: 4-3 BEDROOM APARTMENTS @$1858.00 EACH = $ 7432.00 4 1-INCH WATER CAPACITY FEE @ $1050.00 EACH = $4200.00: 4 1-INCH WATER METER @ $382.00= 1528.00</t>
  </si>
  <si>
    <t>22-41-16-34-3-02-008</t>
  </si>
  <si>
    <t>B04-0268</t>
  </si>
  <si>
    <t>22-41-16-34-4-09-001</t>
  </si>
  <si>
    <t>BP 2004-0394</t>
  </si>
  <si>
    <t>Add to Comm Steel Bldg</t>
  </si>
  <si>
    <t>22-40-16-17-4-04-010</t>
  </si>
  <si>
    <t>BP 2004-0396</t>
  </si>
  <si>
    <t>Add Silo w/stairway to Garage to access upper level Recreation Room</t>
  </si>
  <si>
    <t>B04-0279</t>
  </si>
  <si>
    <t>NEW LIGHT INDUSTRIAL BLD WITH 2 APARTMENTSCredit Sewer credit of $3086.00: Fees sewer capacity fee 5 employess @ $126.00 = $630.00: 2 apartments @ $1858.00 each = $ 3716.00: 1-inch water meter $382.00: 1inch water capacity fee $1050.00</t>
  </si>
  <si>
    <t>22-40-16-06-1-13-003</t>
  </si>
  <si>
    <t>B04-0280</t>
  </si>
  <si>
    <t>LIGHT INDUSTRIAL BLD WITH 2 APARTMENTSSewer capacity fee credit of $7432.00 (4 x $1858) from 4 existing trailer homes that were removed for this project.  1-inch water capacity fee credit of $1050.00 and 1-inch water meter credit of $382.00. Sewer fees 5 employess x$126.00 = $ 630.00. 2 apartment units @ $1858.00 each = $3716.00: Fee in lieu of emplyee housing $3,612.27. Foundation credit of $301.37: Non refundable plan review fee credit $250.00</t>
  </si>
  <si>
    <t>22-40-16-06-1-13-001</t>
  </si>
  <si>
    <t>B04-0281</t>
  </si>
  <si>
    <t>LIGHT INDUSTRIAL BLD WITH 2 APARTMENTSFEES: Sewer capacity  fee 2 apartments @ $1858.00 each = $3716.00: 5 employees @ $126.00 each = $630.00: 1-inch water capacity fee $1050.00: 1 inch water meter $382.00</t>
  </si>
  <si>
    <t>22-40-16-06-1-13-002</t>
  </si>
  <si>
    <t>BP 2004-0397</t>
  </si>
  <si>
    <t>Add Office/Workshop/Loft to interior of Barn; Add hay/equipment shed to exterior</t>
  </si>
  <si>
    <t>BP 2004-0399</t>
  </si>
  <si>
    <t>Remodel Guest Lodge; Add Wrap-Around Porch</t>
  </si>
  <si>
    <t>22-45-12-19-3-00-002</t>
  </si>
  <si>
    <t>BP 2004-0400</t>
  </si>
  <si>
    <t>Build Egress Stair to Basement</t>
  </si>
  <si>
    <t>BP 2004-0401</t>
  </si>
  <si>
    <t>Move on, Remodel Cabin</t>
  </si>
  <si>
    <t>22-41-17-22-3-00-021</t>
  </si>
  <si>
    <t>BP 2004-0402</t>
  </si>
  <si>
    <t>Move On Detached Garage</t>
  </si>
  <si>
    <t>BP 2004-0403</t>
  </si>
  <si>
    <t>Build 3 bedroom, 2-story log home w/ garage</t>
  </si>
  <si>
    <t>22-39-15-31-1-04-001</t>
  </si>
  <si>
    <t>BP 2004-0404</t>
  </si>
  <si>
    <t>Build Attached Garage; Add Dining Room; Remodel interior</t>
  </si>
  <si>
    <t>22-42-17-24-3-02-034</t>
  </si>
  <si>
    <t>BP 2004-0405</t>
  </si>
  <si>
    <t>Replace existing foundation (See BP03-0333)</t>
  </si>
  <si>
    <t>BP 2004-0406</t>
  </si>
  <si>
    <t>Build 3 bedroom, 2-story home w/garage and bonus room</t>
  </si>
  <si>
    <t>22-40-16-20-1-08-003</t>
  </si>
  <si>
    <t>BP 2004-0407</t>
  </si>
  <si>
    <t>Build 2-story, 3 bedroom home with garage</t>
  </si>
  <si>
    <t>22-41-17-22-3-08-003</t>
  </si>
  <si>
    <t>BP 2004-0408</t>
  </si>
  <si>
    <t>Convert Existing Garage to 3 Bedrooms/Baths</t>
  </si>
  <si>
    <t>22-40-17-03-2-00-010</t>
  </si>
  <si>
    <t>BP 2004-0409</t>
  </si>
  <si>
    <t>Build New Detached Garage - No Plumbing/Mechanical</t>
  </si>
  <si>
    <t>BP 2004-0411</t>
  </si>
  <si>
    <t>B04-0342</t>
  </si>
  <si>
    <t>NEW 9 2-BEDROOM UNITS AND 5 1-BEDROOM UNITSNULL</t>
  </si>
  <si>
    <t>B04-0343</t>
  </si>
  <si>
    <t>NEW 6 2-BEDROOM UNITS &amp; 5 1-BEDROOM UNITSNULL</t>
  </si>
  <si>
    <t>B04-0344</t>
  </si>
  <si>
    <t>NEW 9 2-BEDROOM UNITS &amp; 5 1-BEDROOM UNITSNULL</t>
  </si>
  <si>
    <t>B04-0345</t>
  </si>
  <si>
    <t>NEW 3 2-BEDROOM UNITS &amp; 5 1-BEDROOM UNITSNULL</t>
  </si>
  <si>
    <t>BP 2004-0410</t>
  </si>
  <si>
    <t>Remodel Guesthouse Basement to Offices</t>
  </si>
  <si>
    <t>22-42-16-27-3-02-015</t>
  </si>
  <si>
    <t>BP 2004-0413</t>
  </si>
  <si>
    <t>Entry Addition to SFD</t>
  </si>
  <si>
    <t>22-41-15-18-4-01-002</t>
  </si>
  <si>
    <t>BP 2004-0414</t>
  </si>
  <si>
    <t>Interior Remodel to Commercil Building</t>
  </si>
  <si>
    <t>22-40-16-17-4-04-014</t>
  </si>
  <si>
    <t>BP 2004-0415</t>
  </si>
  <si>
    <t>Interior Remodel to SFD; add second floor bedroom, bath</t>
  </si>
  <si>
    <t>22-41-17-14-1-07-007</t>
  </si>
  <si>
    <t>BP 2004-0416</t>
  </si>
  <si>
    <t>Remodel Home; convert Garage to Living</t>
  </si>
  <si>
    <t>22-42-16-22-4-00-020</t>
  </si>
  <si>
    <t>BP 2005-0002</t>
  </si>
  <si>
    <t>Interior Remodel to Bathrooms &amp; Kitchen In Commercial Building</t>
  </si>
  <si>
    <t>BP 2005-0003</t>
  </si>
  <si>
    <t>Build 2 bedroom, 2-story log home w/study and garage</t>
  </si>
  <si>
    <t>22-44-18-31-4-00-003</t>
  </si>
  <si>
    <t>BP 2005-0004</t>
  </si>
  <si>
    <t>Build 4 bedroom, 2-story home w/ garage</t>
  </si>
  <si>
    <t>22-40-16-20-2-14-010</t>
  </si>
  <si>
    <t>BP 2005-0005</t>
  </si>
  <si>
    <t>Remove/Rebuild all of home but garage; Add 2nd floor bedroom, bath, office, arts</t>
  </si>
  <si>
    <t>22-41-17-11-1-49-017</t>
  </si>
  <si>
    <t>BP 2005-0006</t>
  </si>
  <si>
    <t>Add 2 bedroom ARU onto Existing Garage</t>
  </si>
  <si>
    <t>22-42-16-27-2-30-006</t>
  </si>
  <si>
    <t>BP 2005-0007</t>
  </si>
  <si>
    <t>Commercial Golf Course Rest Rooms</t>
  </si>
  <si>
    <t>BP 2005-0009</t>
  </si>
  <si>
    <t>Convert Workshop/Train Room into ARU and Storage</t>
  </si>
  <si>
    <t>22-41-16-30-2-03-001</t>
  </si>
  <si>
    <t>BP 2005-0010</t>
  </si>
  <si>
    <t>Build Indoor Swimming Pool Room</t>
  </si>
  <si>
    <t>22-41-17-11-4-21-001</t>
  </si>
  <si>
    <t>BP 2005-0011</t>
  </si>
  <si>
    <t>Addition to 2 Bedrooms</t>
  </si>
  <si>
    <t>22-40-16-18-4-00-019</t>
  </si>
  <si>
    <t>BP 2005-0012</t>
  </si>
  <si>
    <t>Build bedroom 2-story home w/garage</t>
  </si>
  <si>
    <t>22-39-16-03-2-00-042</t>
  </si>
  <si>
    <t>BP 2005-0013</t>
  </si>
  <si>
    <t>Build 4 bedroom, 2-level home w/garage</t>
  </si>
  <si>
    <t>22-41-16-16-4-09-037</t>
  </si>
  <si>
    <t>B05-0073</t>
  </si>
  <si>
    <t>Addition to existing single familyNULL</t>
  </si>
  <si>
    <t>22-41-16-35-3-01-007</t>
  </si>
  <si>
    <t>BP 2005-0014</t>
  </si>
  <si>
    <t>Add Guest Rm. &amp; Exercise Room to SFD</t>
  </si>
  <si>
    <t>22-40-16-20-1-08-007</t>
  </si>
  <si>
    <t>BP 2005-0015</t>
  </si>
  <si>
    <t>Living Room Addition to SFD</t>
  </si>
  <si>
    <t>BP 2005-0016</t>
  </si>
  <si>
    <t>22-40-16-20-2-14-021</t>
  </si>
  <si>
    <t>BP 2005-0017</t>
  </si>
  <si>
    <t>Add Bathroom, closet to SFD</t>
  </si>
  <si>
    <t>22-42-17-24-1-01-006</t>
  </si>
  <si>
    <t>BP 2005-0018</t>
  </si>
  <si>
    <t>Build 5 bedroom, 2-story home w/Garage</t>
  </si>
  <si>
    <t>22-41-17-14-4-25-006</t>
  </si>
  <si>
    <t>BP 2005-0019</t>
  </si>
  <si>
    <t>Install 2 bedroom, 2-story modular home; build garage</t>
  </si>
  <si>
    <t>22-41-17-22-4-14-042</t>
  </si>
  <si>
    <t>BP 2005-0020</t>
  </si>
  <si>
    <t>Build 4 Bedroom, 2 Story Home w/Garage</t>
  </si>
  <si>
    <t>22-41-17-36-2-02-003</t>
  </si>
  <si>
    <t>BP 2005-0021</t>
  </si>
  <si>
    <t>Add Garage w/ 2 bedroom  ARU above to SFD</t>
  </si>
  <si>
    <t>22-41-17-14-4-31-002</t>
  </si>
  <si>
    <t>BP 2005-0022</t>
  </si>
  <si>
    <t>New Studio; No Plumbing</t>
  </si>
  <si>
    <t>BP 2005-0023</t>
  </si>
  <si>
    <t>Convert existing storage above garage to living (no kitchen)</t>
  </si>
  <si>
    <t>BP 2005-0024</t>
  </si>
  <si>
    <t>Build 3 bedroom , 2-story home w/Garage</t>
  </si>
  <si>
    <t>22-45-13-20-3-02-014</t>
  </si>
  <si>
    <t>BP 2005-0025</t>
  </si>
  <si>
    <t>Convert Existing Garage into Game Room to SFD</t>
  </si>
  <si>
    <t>22-40-17-10-2-01-009</t>
  </si>
  <si>
    <t>BP 2005-0026</t>
  </si>
  <si>
    <t>New Barn with Living Quarters (ARU)</t>
  </si>
  <si>
    <t>22-42-16-28-4-05-002</t>
  </si>
  <si>
    <t>B05-0102</t>
  </si>
  <si>
    <t>Office addition(7/12/2005 13:28  KB)  No sewer fees due because of existing credit. Building was a restaurant at one time. Per Steve Hockett</t>
  </si>
  <si>
    <t>22-41-16-28-4-00-015</t>
  </si>
  <si>
    <t>BP 2005-0027</t>
  </si>
  <si>
    <t>Add 3/4 Bath to and extend Loft of condominium</t>
  </si>
  <si>
    <t>22-41-17-11-1-21-006</t>
  </si>
  <si>
    <t>BP 2005-0028</t>
  </si>
  <si>
    <t>New Garage W/ ARU above</t>
  </si>
  <si>
    <t>22-41-17-22-1-00-009</t>
  </si>
  <si>
    <t>B05-0105</t>
  </si>
  <si>
    <t>Add a garage extension in backyardNULL</t>
  </si>
  <si>
    <t>22-41-16-31-4-13-040</t>
  </si>
  <si>
    <t>BP 2005-0029</t>
  </si>
  <si>
    <t>22-40-16-20-1-08-012</t>
  </si>
  <si>
    <t>BP 2005-0030</t>
  </si>
  <si>
    <t>Convert Existing Garage into Living area and workshop</t>
  </si>
  <si>
    <t>BP 2005-0031</t>
  </si>
  <si>
    <t>22-40-16-20-1-10-006</t>
  </si>
  <si>
    <t>BP 2005-0032</t>
  </si>
  <si>
    <t>Build 4 bedroom, 2-story home w/Garage</t>
  </si>
  <si>
    <t>22-40-16-20-2-10-014</t>
  </si>
  <si>
    <t>BP 2005-0033</t>
  </si>
  <si>
    <t>Build 3 Bedroom, 2-story home w/Garage</t>
  </si>
  <si>
    <t>22-40-16-20-2-14-008</t>
  </si>
  <si>
    <t>BP 2005-0034</t>
  </si>
  <si>
    <t>Add Theater, Laundry/Storage, Living Room, Bar and Cold Storage to SFD</t>
  </si>
  <si>
    <t>22-41-17-25-2-01-002</t>
  </si>
  <si>
    <t>BP 2005-0035</t>
  </si>
  <si>
    <t>Build new Study, Garage, Guest Quarters; Remodel existing Garage</t>
  </si>
  <si>
    <t>22-41-17-14-3-24-012</t>
  </si>
  <si>
    <t>B05-0113</t>
  </si>
  <si>
    <t>New Single Family ResidenceNULL</t>
  </si>
  <si>
    <t>22-41-16-31-1-06-025</t>
  </si>
  <si>
    <t>BP 2005-0036</t>
  </si>
  <si>
    <t>Add Den, Guest and M.Bedroom, Garage addition; remodel existing interior</t>
  </si>
  <si>
    <t>22-41-17-23-2-10-009</t>
  </si>
  <si>
    <t>BP 2005-0037</t>
  </si>
  <si>
    <t>Add Master Suite and Office</t>
  </si>
  <si>
    <t>22-41-16-17-2-03-004</t>
  </si>
  <si>
    <t>BP 2005-0038</t>
  </si>
  <si>
    <t>Move on Garage</t>
  </si>
  <si>
    <t>22-41-17-14-4-00-044</t>
  </si>
  <si>
    <t>BP 2005-0039</t>
  </si>
  <si>
    <t>Convert existing agricultural apartment into ARU</t>
  </si>
  <si>
    <t>22-44-18-17-3-00-019</t>
  </si>
  <si>
    <t>BP 2005-0040</t>
  </si>
  <si>
    <t>Remodel portion of Commerical bldg. into a Restaurant</t>
  </si>
  <si>
    <t>22-42-17-24-4-25-001</t>
  </si>
  <si>
    <t>BP 2005-0041</t>
  </si>
  <si>
    <t>Remodel Basement into Game Room</t>
  </si>
  <si>
    <t>22-41-17-11-4-16-001</t>
  </si>
  <si>
    <t>BP 2005-0042</t>
  </si>
  <si>
    <t>Add Hallway/Entry; Remove a portion of Fitness Room</t>
  </si>
  <si>
    <t>22-41-16-19-1-01-002</t>
  </si>
  <si>
    <t>BP 2005-0043</t>
  </si>
  <si>
    <t>Add Office Downstairs, &amp; Bed, Bath, &amp; Closet Upstairs</t>
  </si>
  <si>
    <t>22-41-17-11-1-11-003</t>
  </si>
  <si>
    <t>BP 2005-0044</t>
  </si>
  <si>
    <t>Add Game Room 201, revise Bunkrooms 204 and 207</t>
  </si>
  <si>
    <t>BP 2005-0045</t>
  </si>
  <si>
    <t>Build 4 Bedroom, 2-level home w/Garage</t>
  </si>
  <si>
    <t>22-41-16-21-3-15-006</t>
  </si>
  <si>
    <t>BP 2005-0046</t>
  </si>
  <si>
    <t>Build 4 Bedroom, 2-level Home w/Garage</t>
  </si>
  <si>
    <t>22-41-16-21-3-15-007</t>
  </si>
  <si>
    <t>BP 2005-0047</t>
  </si>
  <si>
    <t>REmodel existing Garage to living; Build Garage addition</t>
  </si>
  <si>
    <t>22-40-17-01-2-05-002</t>
  </si>
  <si>
    <t>BP 2005-0048</t>
  </si>
  <si>
    <t>Build 3 bedroom, 2-story home w/garage and Hot Tub</t>
  </si>
  <si>
    <t>22-41-16-20-2-01-010</t>
  </si>
  <si>
    <t>BP 2005-0049</t>
  </si>
  <si>
    <t>Build 5 Bedroom, 2-story home with lofts and garage</t>
  </si>
  <si>
    <t>B05-0145</t>
  </si>
  <si>
    <t>New Single FamilyNULL</t>
  </si>
  <si>
    <t>22-41-16-34-1-31-008</t>
  </si>
  <si>
    <t>B05-0146</t>
  </si>
  <si>
    <t>Three story spa and conference centerDining 1779 Sf /15 = 118 x $341.00= $ 40238.00: 2613 sf / 15 sf = 174 X 2 GPD = $ 1468.56: 3rd level 4 1-bedroom w/washer &amp; Dryer @ $930.00 each = $ 3720.00 (remaining space on 3rd level will be assessed when they do the tenant finish. Lower Level: 25 x $126.00= $3150.00: meeting room: 1702 x 113 x 26 GPD = 226 GPD x $422.00 = $476.86: 1 bedroom apartment w/washer &amp; Dryer $930.00    (3/28/2006 17:29  KB)  1 1/2 water capacity &amp; Meter $2817.50: 3-inch water capacity fee &amp; Meter $11345.25: 2-inch water capacity &amp; meter fee $ 5537.25 for irrigation.</t>
  </si>
  <si>
    <t>22-41-16-34-3-04-003</t>
  </si>
  <si>
    <t>BP 2005-0051</t>
  </si>
  <si>
    <t>22-42-17-24-3-02-052</t>
  </si>
  <si>
    <t>BP 2005-0052</t>
  </si>
  <si>
    <t>Build 4 bedroom, 2-story home w/attached garage and 2 bedroom ARU</t>
  </si>
  <si>
    <t>22-42-16-02-3-03-001</t>
  </si>
  <si>
    <t>BP 2005-0053</t>
  </si>
  <si>
    <t>Install 4 bedroom, 2-story Modular Home w/Garage</t>
  </si>
  <si>
    <t>22-41-17-22-4-14-005</t>
  </si>
  <si>
    <t>BP 2005-0054</t>
  </si>
  <si>
    <t>Add Master Suite, bedroom, Media room, storage, wine &amp; Laundry Room</t>
  </si>
  <si>
    <t>BP 2005-0055</t>
  </si>
  <si>
    <t>Relocate Exterior Staris to Comm. Bldg.</t>
  </si>
  <si>
    <t>22-39-16-23-3-09-002</t>
  </si>
  <si>
    <t>BP 2005-0056</t>
  </si>
  <si>
    <t>Build 4 Bedroom Home w/Finished Basement, Garage</t>
  </si>
  <si>
    <t>22-44-18-17-4-05-002</t>
  </si>
  <si>
    <t>BP 2005-0057</t>
  </si>
  <si>
    <t>22-40-16-21-2-01-003</t>
  </si>
  <si>
    <t>B05-0156</t>
  </si>
  <si>
    <t>ADDITION TO EXISTING SINGLE FAMILY RESIDENCENULL</t>
  </si>
  <si>
    <t>22-41-16-34-1-21-015</t>
  </si>
  <si>
    <t>BP 2005-0058</t>
  </si>
  <si>
    <t>22-41-17-14-1-19-016</t>
  </si>
  <si>
    <t>B05-0159</t>
  </si>
  <si>
    <t>NEW SINGLE FAMILY RESIDENCEUp grade water line from 3/4 to 1 inch the differance is $559.00</t>
  </si>
  <si>
    <t>22-41-16-34-4-04-016</t>
  </si>
  <si>
    <t>B05-0160</t>
  </si>
  <si>
    <t>ADD SECOND STORY TO EXISTING HOMENULL</t>
  </si>
  <si>
    <t>22-41-16-34-2-37-001</t>
  </si>
  <si>
    <t>B05-0162</t>
  </si>
  <si>
    <t>ADDITION TO SINGLE FAMILY RESIDENCENULL</t>
  </si>
  <si>
    <t>22-41-16-35-3-02-019</t>
  </si>
  <si>
    <t>BP 2005-0059</t>
  </si>
  <si>
    <t>22-40-17-12-4-01-065</t>
  </si>
  <si>
    <t>BP 2005-0061</t>
  </si>
  <si>
    <t>22-40-16-20-2-08-004</t>
  </si>
  <si>
    <t>BP 2005-0062</t>
  </si>
  <si>
    <t>Build 4 Bedroom, 2-story Home w/ Garage &amp; ARU Above Garage</t>
  </si>
  <si>
    <t>22-41-16-04-2-00-004</t>
  </si>
  <si>
    <t>BP 2005-0063</t>
  </si>
  <si>
    <t>22-40-17-12-4-01-083</t>
  </si>
  <si>
    <t>B05-0168</t>
  </si>
  <si>
    <t>New Single FamilySewer Capacity Fee $1858.00 3/4 water capacity fee $590.00 3/4 water meter $283.00    (5/22/2006 16:25  KB)  submitted addendum to original permit on 5/22/06</t>
  </si>
  <si>
    <t>22-41-16-31-4-13-057</t>
  </si>
  <si>
    <t>BP 2005-0066</t>
  </si>
  <si>
    <t>New Care Taker Cabin (ARU)</t>
  </si>
  <si>
    <t>22-41-17-22-3-00-027</t>
  </si>
  <si>
    <t>BP 2005-0067</t>
  </si>
  <si>
    <t>22-40-17-12-4-02-003</t>
  </si>
  <si>
    <t>BP 2005-0068</t>
  </si>
  <si>
    <t>Build Garage With ARU Above &amp; Breezeway Connection to Main House</t>
  </si>
  <si>
    <t>22-41-17-22-3-07-001</t>
  </si>
  <si>
    <t>BP 2005-0069</t>
  </si>
  <si>
    <t>Remodel, build addition to single family home</t>
  </si>
  <si>
    <t>22-41-17-26-2-00-039</t>
  </si>
  <si>
    <t>BP 2005-0070</t>
  </si>
  <si>
    <t>Install Spiral Stairs &amp; Convert Storage to Playroom</t>
  </si>
  <si>
    <t>22-41-16-21-1-17-003</t>
  </si>
  <si>
    <t>B05-0177</t>
  </si>
  <si>
    <t>Permit for 8 motel unitsNULL</t>
  </si>
  <si>
    <t>22-41-16-33-1-01-007</t>
  </si>
  <si>
    <t>BP 2005-0071</t>
  </si>
  <si>
    <t>Build Garage/Barn w/ ARU (Guest Quarters)</t>
  </si>
  <si>
    <t>22-41-17-26-2-00-014</t>
  </si>
  <si>
    <t>BP 2005-0072</t>
  </si>
  <si>
    <t>Convert 641Sq.Ft. of crawl space to habitable basement</t>
  </si>
  <si>
    <t>22-40-17-10-3-04-003</t>
  </si>
  <si>
    <t>BP 2005-0074</t>
  </si>
  <si>
    <t>22-42-16-27-4-12-013</t>
  </si>
  <si>
    <t>BP 2005-0075</t>
  </si>
  <si>
    <t>New Garage/Woodshop/Artist Studion W/ ARU (Guesthouse)</t>
  </si>
  <si>
    <t>BP 2005-0076</t>
  </si>
  <si>
    <t>Convert storage into living in SFD</t>
  </si>
  <si>
    <t>22-41-17-15-1-02-002</t>
  </si>
  <si>
    <t>BP 2005-0077</t>
  </si>
  <si>
    <t>Build 3 Bedroom, 2-Story Home w/Garage</t>
  </si>
  <si>
    <t>22-40-16-20-2-03-097</t>
  </si>
  <si>
    <t>BP 2005-0078</t>
  </si>
  <si>
    <t>Build 4 Bedroom, 2-Story Home w/ARU and Garage</t>
  </si>
  <si>
    <t>22-42-16-27-4-12-031</t>
  </si>
  <si>
    <t>BP 2005-0079</t>
  </si>
  <si>
    <t>Remove and Replace upper &amp; lower Entry, Living Room and Loft</t>
  </si>
  <si>
    <t>B05-0211</t>
  </si>
  <si>
    <t>New single familySewer Capacity fee $1858.00 3/4 water capacity fee $590.00 3/4 water meter fee $283.00</t>
  </si>
  <si>
    <t>22-41-16-31-4-13-045</t>
  </si>
  <si>
    <t>BP 2005-0080</t>
  </si>
  <si>
    <t>Interior Remodel to Employee Housing (Commercial)</t>
  </si>
  <si>
    <t>22-41-16-22-2-00-007</t>
  </si>
  <si>
    <t>BP 2005-0081</t>
  </si>
  <si>
    <t>Fire Station - Seismic Retrofit</t>
  </si>
  <si>
    <t>22-45-14-26-1-00-001</t>
  </si>
  <si>
    <t>BP 2005-0082</t>
  </si>
  <si>
    <t>Remove trailer &amp; Build 2 Bedroom Home</t>
  </si>
  <si>
    <t>22-41-17-22-3-00-049</t>
  </si>
  <si>
    <t>BP 2005-0083</t>
  </si>
  <si>
    <t>Build 4 Bedroom, 2 Story Home w/Garage and Hot Tub</t>
  </si>
  <si>
    <t>22-41-16-21-3-15-014</t>
  </si>
  <si>
    <t>BP 2005-0084</t>
  </si>
  <si>
    <t>22-40-17-12-1-01-038</t>
  </si>
  <si>
    <t>BP 2005-0085</t>
  </si>
  <si>
    <t>Build Garage/Utility Building w/Storage Loft</t>
  </si>
  <si>
    <t>22-42-16-10-3-10-003</t>
  </si>
  <si>
    <t>BP 2005-0086</t>
  </si>
  <si>
    <t>22-42-17-24-3-02-022</t>
  </si>
  <si>
    <t>BP 2005-0087</t>
  </si>
  <si>
    <t>Build 4 bedroom, 2-story home w/unfinished basement</t>
  </si>
  <si>
    <t>22-45-18-32-4-01-013</t>
  </si>
  <si>
    <t>BP 2005-0088</t>
  </si>
  <si>
    <t>Reconfigure Hotel Units</t>
  </si>
  <si>
    <t>22-42-17-24-1-09-006</t>
  </si>
  <si>
    <t>BP 2005-0089</t>
  </si>
  <si>
    <t>22-41-17-22-3-08-002</t>
  </si>
  <si>
    <t>BP 2005-0090</t>
  </si>
  <si>
    <t>Build New Studio</t>
  </si>
  <si>
    <t>22-41-16-28-2-02-008</t>
  </si>
  <si>
    <t>BP 2005-0091</t>
  </si>
  <si>
    <t>Build 4 bedroom home w/ partially finished basement</t>
  </si>
  <si>
    <t>22-44-18-17-1-00-002</t>
  </si>
  <si>
    <t>BP 2005-0092</t>
  </si>
  <si>
    <t>BP 2005-0093</t>
  </si>
  <si>
    <t>Golf Course Irrigation Pump House</t>
  </si>
  <si>
    <t>22-42-16-27-4-12-045</t>
  </si>
  <si>
    <t>B05-0235</t>
  </si>
  <si>
    <t>New single family homeNew single family home. Sewer and Water credit because of exisitng home that was removed..</t>
  </si>
  <si>
    <t>22-41-16-34-1-02-001</t>
  </si>
  <si>
    <t>BP 2005-0095</t>
  </si>
  <si>
    <t>Add 1 Bedroom &amp; 2 Bathrooms, Garage to SFD</t>
  </si>
  <si>
    <t>22-41-17-23-2-09-005</t>
  </si>
  <si>
    <t>B05-0241</t>
  </si>
  <si>
    <t>New single familyNULL</t>
  </si>
  <si>
    <t>22-41-16-34-2-16-010</t>
  </si>
  <si>
    <t>BP 2005-0096</t>
  </si>
  <si>
    <t>22-44-15-36-1-04-018</t>
  </si>
  <si>
    <t>BP 2005-0097</t>
  </si>
  <si>
    <t>New Shop &amp; Farm Equipment Storage</t>
  </si>
  <si>
    <t>22-44-18-09-3-00-007</t>
  </si>
  <si>
    <t>BP 2005-0098</t>
  </si>
  <si>
    <t>22-42-16-27-4-12-008</t>
  </si>
  <si>
    <t>BP 2005-0099</t>
  </si>
  <si>
    <t>Add New Garage to existing SFD</t>
  </si>
  <si>
    <t>BP 2005-0101</t>
  </si>
  <si>
    <t>Add Code-Compliant Interior Stairway to Loft</t>
  </si>
  <si>
    <t>BP 2005-0102</t>
  </si>
  <si>
    <t>22-40-16-20-2-14-005</t>
  </si>
  <si>
    <t>BP 2005-0103</t>
  </si>
  <si>
    <t>22-39-17-11-4-03-005</t>
  </si>
  <si>
    <t>BP 2005-0104</t>
  </si>
  <si>
    <t>Build 3 Bedroom home w/finished daylight Basement and Garage</t>
  </si>
  <si>
    <t>22-41-17-33-3-03-042</t>
  </si>
  <si>
    <t>BP 2005-0105</t>
  </si>
  <si>
    <t>Build 3 Bedroom, 2-story Home w/Garage</t>
  </si>
  <si>
    <t>22-41-17-14-4-00-038</t>
  </si>
  <si>
    <t>BP 2005-0106</t>
  </si>
  <si>
    <t>Remodel Master Bedroom/Bath</t>
  </si>
  <si>
    <t>22-41-17-25-4-04-013</t>
  </si>
  <si>
    <t>B05-0250</t>
  </si>
  <si>
    <t>New single family w/attached 2 bedroomSewer capacity fee 2 @ $1858.00= 3716.00: 1-inch water capacity fee $1050.00. 1-inch water meter $382.00</t>
  </si>
  <si>
    <t>22-41-16-34-1-28-019</t>
  </si>
  <si>
    <t>B05-0252</t>
  </si>
  <si>
    <t>Accessory unitSewer capacity fee $1858.00 water capacity fee and meter taken care of on permit #b05-0250</t>
  </si>
  <si>
    <t>BP 2005-0108</t>
  </si>
  <si>
    <t>Build ARU (Guesthouse) above Garage</t>
  </si>
  <si>
    <t>22-41-17-25-4-06-011</t>
  </si>
  <si>
    <t>BP 2005-0109</t>
  </si>
  <si>
    <t>Build 4 Bedroom, 1-1/2 Story Home w/Garage</t>
  </si>
  <si>
    <t>22-40-16-35-1-08-006</t>
  </si>
  <si>
    <t>BP 2005-0110</t>
  </si>
  <si>
    <t>Interior Remodel: Combine 2 Bedrooms into 1; modify Bath, Office</t>
  </si>
  <si>
    <t>22-41-17-35-1-02-003</t>
  </si>
  <si>
    <t>BP 2005-0111</t>
  </si>
  <si>
    <t>Golf Course Clubhouse (Commercial)</t>
  </si>
  <si>
    <t>22-40-17-12-4-01-093</t>
  </si>
  <si>
    <t>BP 2005-0112</t>
  </si>
  <si>
    <t>Bench/Shelter for Pathway along Hwy. 390</t>
  </si>
  <si>
    <t>BP 2005-0113</t>
  </si>
  <si>
    <t>Build 4 Bedroom home with Garage</t>
  </si>
  <si>
    <t>22-41-17-34-1-02-010</t>
  </si>
  <si>
    <t>BP 2005-0114</t>
  </si>
  <si>
    <t>Build Stable (No Loft)</t>
  </si>
  <si>
    <t>BP 2005-0116</t>
  </si>
  <si>
    <t>Move on Cabin; Remodel to 2 Bedroom SFD</t>
  </si>
  <si>
    <t>22-40-17-01-1-01-021</t>
  </si>
  <si>
    <t>BP 2005-0117</t>
  </si>
  <si>
    <t>Rebuild existing masonry fireplace; add new deck</t>
  </si>
  <si>
    <t>22-41-17-11-1-01-002</t>
  </si>
  <si>
    <t>B05-0262</t>
  </si>
  <si>
    <t>Addition to existing single family(3/28/2012 12:56 PM KB)  closed file because permit expired and applicant did not call for final inspection</t>
  </si>
  <si>
    <t>22-40-16-06-2-09-001</t>
  </si>
  <si>
    <t>BP 2005-0118</t>
  </si>
  <si>
    <t>Demo Existing House &amp; Build 4 Bedroom, 2 Story Home w/Garage</t>
  </si>
  <si>
    <t>22-42-17-24-3-02-027</t>
  </si>
  <si>
    <t>BP 2005-0119</t>
  </si>
  <si>
    <t>Add Guest Suite, Studio, Dining Room, Master Bath and Closets to SFD</t>
  </si>
  <si>
    <t>22-42-16-20-4-00-008</t>
  </si>
  <si>
    <t>BP 2005-0120</t>
  </si>
  <si>
    <t>Extend Kitchen and Loft, Add Breakfast Nook</t>
  </si>
  <si>
    <t>22-42-16-27-4-04-029</t>
  </si>
  <si>
    <t>BP 2005-0121</t>
  </si>
  <si>
    <t>SFD Addition: Remove, Add Front Entry Porch; Add Screen Porch; Expand Rear Deck</t>
  </si>
  <si>
    <t>22-42-16-33-1-01-003</t>
  </si>
  <si>
    <t>BP 2005-0122</t>
  </si>
  <si>
    <t>Build 4 Bedroom Home w/Finished Basement and Garage (Guest House)</t>
  </si>
  <si>
    <t>22-40-17-04-4-00-001</t>
  </si>
  <si>
    <t>B05-0270</t>
  </si>
  <si>
    <t>new condo's4 3-bedroom units @ $1858.00 each = $7432.00: 4 1-inch water services @ $1050.00 each = $ 4200.00 4 1-inch water meters @ $382.00 each = $ 1528.00</t>
  </si>
  <si>
    <t>22-41-16-34-3-03-001</t>
  </si>
  <si>
    <t>B05-0272</t>
  </si>
  <si>
    <t>new condo'sNew Condo's 4-3 bedroom unit @ $1858.00 each =$7432.00: 4 1-inch water capacity fee @ $1050.00 each = $4200.00: 4 1 -inch water meter @ $382.00 each = $1528.00</t>
  </si>
  <si>
    <t>22-41-16-34-3-03-006</t>
  </si>
  <si>
    <t>B05-0273</t>
  </si>
  <si>
    <t>New condo's4 3-bedroom unit @ $1858.00 each = $ 7432.00 4-1inch water capacity fee @ $1050.00 each = $ 4200.00 4 1-inch water meter @ $382.00 each = $ 1528.00.</t>
  </si>
  <si>
    <t>22-41-16-34-3-03-011</t>
  </si>
  <si>
    <t>BP 2005-0123</t>
  </si>
  <si>
    <t>Build 4 Bedroom, 2-Story Home w/Garage</t>
  </si>
  <si>
    <t>22-40-17-12-1-01-043</t>
  </si>
  <si>
    <t>BP 2005-0124</t>
  </si>
  <si>
    <t>22-40-17-12-4-01-046</t>
  </si>
  <si>
    <t>B05-0281</t>
  </si>
  <si>
    <t>Addition to existing single family(1/17/2012 1:46 PM EXP)  No final inspection made.</t>
  </si>
  <si>
    <t>22-40-16-06-2-05-003</t>
  </si>
  <si>
    <t>BP 2005-0126</t>
  </si>
  <si>
    <t>Lift Existing SFD &amp; Build Addition Below</t>
  </si>
  <si>
    <t>22-41-17-22-4-07-003</t>
  </si>
  <si>
    <t>BP 2005-0127</t>
  </si>
  <si>
    <t>Revised Entry to SFD (BP04-0079)</t>
  </si>
  <si>
    <t>B05-0298</t>
  </si>
  <si>
    <t>Addition - 1 bedroom w/washer dryer and new officeSewer capacity fee credit of $1858.00 new sewer fees 1 bedroom apartment with washer and dryer $930.00 office space 2200/100 x $126.00= 2772.00. Fire Line $1200.00 Plan do not show a change in water line size which is 3/4</t>
  </si>
  <si>
    <t>22-41-16-28-4-06-006</t>
  </si>
  <si>
    <t>BP 2005-0128</t>
  </si>
  <si>
    <t>Build 6 Bedroom, 2 Story home w/ Partially Finished Basement and Garage</t>
  </si>
  <si>
    <t>22-41-17-36-4-07-004</t>
  </si>
  <si>
    <t>BP 2005-0130</t>
  </si>
  <si>
    <t>22-42-16-22-4-00-013</t>
  </si>
  <si>
    <t>BP 2005-0131</t>
  </si>
  <si>
    <t>Add 2 Bedrooms, Kitchen, Bath and Living Room; convert old Bedroom to Storage</t>
  </si>
  <si>
    <t>22-41-17-23-1-11-001</t>
  </si>
  <si>
    <t>BP 2005-0132</t>
  </si>
  <si>
    <t>Build 24' x 7' Indoor Pool</t>
  </si>
  <si>
    <t>BP 2005-0133</t>
  </si>
  <si>
    <t>Remodel unfinished Basement; add Media Room, Game Room, Exercise Room</t>
  </si>
  <si>
    <t>BP 2005-0135</t>
  </si>
  <si>
    <t>22-42-16-27-4-12-002</t>
  </si>
  <si>
    <t>BP 2005-0136</t>
  </si>
  <si>
    <t>Build 4 Bedroom Home w/Sleeping Loft and Garage</t>
  </si>
  <si>
    <t>22-42-16-27-4-12-015</t>
  </si>
  <si>
    <t>BP 2005-0137</t>
  </si>
  <si>
    <t>Install 5 Interior Freight Elevator's to Commercial Storage Units</t>
  </si>
  <si>
    <t>22-40-16-17-4-00-016</t>
  </si>
  <si>
    <t>BP 2005-0138</t>
  </si>
  <si>
    <t>22-42-16-15-2-06-012</t>
  </si>
  <si>
    <t>B05-0329</t>
  </si>
  <si>
    <t>garage/library additionNULL</t>
  </si>
  <si>
    <t>BP 2005-0139</t>
  </si>
  <si>
    <t>Move on 3 Bedroom Modular &amp; Build Garage on Site (New SFD)</t>
  </si>
  <si>
    <t>22-40-16-20-1-10-032</t>
  </si>
  <si>
    <t>BP 2005-0140</t>
  </si>
  <si>
    <t>Add 4 Bedroom Addition over Garage to Existing SFD</t>
  </si>
  <si>
    <t>22-41-17-14-4-00-045</t>
  </si>
  <si>
    <t>BP 2005-0141</t>
  </si>
  <si>
    <t>Build Generator/Wood Shed</t>
  </si>
  <si>
    <t>B05-0344</t>
  </si>
  <si>
    <t>Addition to existing homeOwner has agreeded to be the contractor while John Jennings gets his license. Once John has his license he will be listed as the contractor.9/28/05</t>
  </si>
  <si>
    <t>22-41-16-31-4-13-053</t>
  </si>
  <si>
    <t>B05-0350</t>
  </si>
  <si>
    <t>New Single Familysewer capacity fee 1858.00 1-inch water meter $382.00 1-inch water capacity fee $1050.00</t>
  </si>
  <si>
    <t>22-41-16-33-4-10-002</t>
  </si>
  <si>
    <t>BP 2005-0142</t>
  </si>
  <si>
    <t>Add Sunroom and Covered Entry Porch to SFD</t>
  </si>
  <si>
    <t>22-40-16-18-1-04-252</t>
  </si>
  <si>
    <t>BP 2005-0143</t>
  </si>
  <si>
    <t>22-41-16-21-1-01-012</t>
  </si>
  <si>
    <t>BP 2005-0144</t>
  </si>
  <si>
    <t>Add Covered Entry Porch</t>
  </si>
  <si>
    <t>22-42-16-34-2-02-030</t>
  </si>
  <si>
    <t>BP 2005-0145</t>
  </si>
  <si>
    <t>Extension of Covered Front Entry</t>
  </si>
  <si>
    <t>22-42-16-15-2-06-006</t>
  </si>
  <si>
    <t>BP 2005-0147</t>
  </si>
  <si>
    <t>Renovate Comm. Space into Starbucks</t>
  </si>
  <si>
    <t>BP 2005-0148</t>
  </si>
  <si>
    <t>Commerical Visitor Center</t>
  </si>
  <si>
    <t>22-42-16-04-2-00-002</t>
  </si>
  <si>
    <t>BP 2005-0150</t>
  </si>
  <si>
    <t>Add Golf Cart Garage To SFD</t>
  </si>
  <si>
    <t>BP 2005-0151</t>
  </si>
  <si>
    <t>22-40-17-12-4-01-078</t>
  </si>
  <si>
    <t>BP 2005-0152</t>
  </si>
  <si>
    <t>Build 5 Bedroom, 2-story Home w/Garage and ARU</t>
  </si>
  <si>
    <t>22-41-17-22-1-01-019</t>
  </si>
  <si>
    <t>BP 2005-0153</t>
  </si>
  <si>
    <t>22-41-16-21-3-15-013</t>
  </si>
  <si>
    <t>BP 2005-0154</t>
  </si>
  <si>
    <t>Tear Down Current Storage Building &amp; Build New to Commercial Hotel</t>
  </si>
  <si>
    <t>BP 2005-0155</t>
  </si>
  <si>
    <t>Enclose Open Portion &amp; Add To Existing Barn</t>
  </si>
  <si>
    <t>22-40-16-18-3-00-015</t>
  </si>
  <si>
    <t>BP 2005-0156</t>
  </si>
  <si>
    <t>Build 5 Bedroom, 2-story home w/garage</t>
  </si>
  <si>
    <t>22-40-16-20-2-02-056</t>
  </si>
  <si>
    <t>BP 2005-0157</t>
  </si>
  <si>
    <t>BUild 5 Bedroom, 2-story house w/Garage</t>
  </si>
  <si>
    <t>22-40-16-20-2-14-017</t>
  </si>
  <si>
    <t>BP 2005-0158</t>
  </si>
  <si>
    <t>Build 3 Bedroom Log Home w/Garage</t>
  </si>
  <si>
    <t>22-42-16-22-4-00-083</t>
  </si>
  <si>
    <t>BP 2005-0159</t>
  </si>
  <si>
    <t>Add (2) Interior Walls &amp; Reconfigure Bathrooms to Commercial Bldg.</t>
  </si>
  <si>
    <t>BP 2005-0160</t>
  </si>
  <si>
    <t>Add Stairs, Closet, Master Bedroom and Bath to SFD</t>
  </si>
  <si>
    <t>22-41-17-22-4-16-002</t>
  </si>
  <si>
    <t>BP 2005-0161</t>
  </si>
  <si>
    <t>Add to Both Sides of Existing Barn</t>
  </si>
  <si>
    <t>22-41-17-23-1-01-007</t>
  </si>
  <si>
    <t>BP 2005-0163</t>
  </si>
  <si>
    <t>Add Garage, Bath and Deck to Garden Shed</t>
  </si>
  <si>
    <t>BP 2005-0164</t>
  </si>
  <si>
    <t>Build 3 Bedroom, 2 Story Home</t>
  </si>
  <si>
    <t>22-41-17-23-1-09-009</t>
  </si>
  <si>
    <t>BP 2005-0165</t>
  </si>
  <si>
    <t>Build 3 Bedroom, 2 Story Home w/Garage</t>
  </si>
  <si>
    <t>22-41-16-21-1-01-011</t>
  </si>
  <si>
    <t>BP 2005-0166</t>
  </si>
  <si>
    <t>22-41-17-22-3-03-011</t>
  </si>
  <si>
    <t>BP 2005-0167</t>
  </si>
  <si>
    <t>22-41-17-22-3-03-010</t>
  </si>
  <si>
    <t>BP 2005-0168</t>
  </si>
  <si>
    <t>Extend Deck</t>
  </si>
  <si>
    <t>22-41-17-11-1-15-005</t>
  </si>
  <si>
    <t>BP 2005-0169</t>
  </si>
  <si>
    <t>Build 5 Bedroom, 2-Story Home w/Garage</t>
  </si>
  <si>
    <t>22-41-17-14-2-31-001</t>
  </si>
  <si>
    <t>BP 2005-0170</t>
  </si>
  <si>
    <t>Build 2 Bedroom Guesthouse (ARU)</t>
  </si>
  <si>
    <t>BP 2005-0171</t>
  </si>
  <si>
    <t>BP 2005-0172</t>
  </si>
  <si>
    <t>Add New Entryway &amp; Remodel SFD</t>
  </si>
  <si>
    <t>22-42-16-28-2-01-003</t>
  </si>
  <si>
    <t>BP 2005-0173</t>
  </si>
  <si>
    <t>Build 4 Bedroom, 2 story Home w/Garage</t>
  </si>
  <si>
    <t>22-40-17-12-1-01-039</t>
  </si>
  <si>
    <t>BP 2005-0174</t>
  </si>
  <si>
    <t>Re-locate Outside Stairs &amp; Interior Remodel to Commercial Building</t>
  </si>
  <si>
    <t>BP 2005-0175</t>
  </si>
  <si>
    <t>BP 2005-0176</t>
  </si>
  <si>
    <t>Build New Barn</t>
  </si>
  <si>
    <t>B05-0442</t>
  </si>
  <si>
    <t>Addition to existing homeNULL</t>
  </si>
  <si>
    <t>BP 2005-0177</t>
  </si>
  <si>
    <t>Add Covered Porch To SFD</t>
  </si>
  <si>
    <t>BP 2005-0178</t>
  </si>
  <si>
    <t>Build 5 Bedroom, 2-story home w/garage  12/21/09 e-mailed Dennis VA  1/19/10 Rob has file to follow up on VA</t>
  </si>
  <si>
    <t>22-41-16-19-1-04-001</t>
  </si>
  <si>
    <t>BP 2005-0179</t>
  </si>
  <si>
    <t>Extend Dining Room by 60 square feet;  Modify Pitch of Living Room Roof</t>
  </si>
  <si>
    <t>22-40-16-18-1-05-303</t>
  </si>
  <si>
    <t>BP 2005-0180</t>
  </si>
  <si>
    <t>Add Entry, Living Room, Master Bedroom, Bath and Basement Storage to SFD</t>
  </si>
  <si>
    <t>22-42-15-10-1-05-015</t>
  </si>
  <si>
    <t>BP 2005-0181</t>
  </si>
  <si>
    <t>Build 4 Bedroom, 2-story Home w/Sleeping Loft and Garage</t>
  </si>
  <si>
    <t>22-44-18-17-4-05-004</t>
  </si>
  <si>
    <t>BP 2005-0182</t>
  </si>
  <si>
    <t>22-40-16-20-2-02-068</t>
  </si>
  <si>
    <t>BP 2005-0184</t>
  </si>
  <si>
    <t>Commercial Restrooms Phelps Lake Location</t>
  </si>
  <si>
    <t>BP 2005-0185</t>
  </si>
  <si>
    <t>Add Garage w/ARU, Great Rooms, 3 bedrooms w/Baths; Remodel existing</t>
  </si>
  <si>
    <t>22-41-17-33-1-00-014</t>
  </si>
  <si>
    <t>BP 2005-0186</t>
  </si>
  <si>
    <t>2nd phase of BP2002-0088 Comm. Interior Remodel</t>
  </si>
  <si>
    <t>B05-0475</t>
  </si>
  <si>
    <t>New BankSewer capacity fee 3606 sq ft/300 = 12 x $126.00= $1512.00: 9183 sq ft/ 100 = 92 x $126.00= 11592.00: Fire Line $1200.00: 2 -inch water capacity fee $4200.00 2 inch compound meter $ 1337.25 Sewer Tap fee $ 176.75 Fee in lieu of employee housing $21,248.64: landscape bond $ 25,326.56 Public Improvement Bond $ 57,594.37</t>
  </si>
  <si>
    <t>22-41-16-32-4-18-001</t>
  </si>
  <si>
    <t>B05-0479</t>
  </si>
  <si>
    <t>Addition to existing homeno final requested closed file per Billy Nunn on 5/29/09 kb</t>
  </si>
  <si>
    <t>22-41-16-34-1-70-003</t>
  </si>
  <si>
    <t>BP 2005-0187</t>
  </si>
  <si>
    <t>Build Observatory</t>
  </si>
  <si>
    <t>22-42-16-32-1-00-019</t>
  </si>
  <si>
    <t>BP 2005-0188</t>
  </si>
  <si>
    <t>Add Kitchen, Laundry and Bedroom to SFD</t>
  </si>
  <si>
    <t>22-40-16-18-1-07-003</t>
  </si>
  <si>
    <t>BP 2005-0189</t>
  </si>
  <si>
    <t>22-41-17-22-3-03-012</t>
  </si>
  <si>
    <t>BP 2005-0190</t>
  </si>
  <si>
    <t>Build Storage Building &amp; Picnic Shelter</t>
  </si>
  <si>
    <t>BP 2005-0191</t>
  </si>
  <si>
    <t>Replace Deck, Shop and Storage Area</t>
  </si>
  <si>
    <t>22-41-16-22-2-00-004</t>
  </si>
  <si>
    <t>BP 2005-0192</t>
  </si>
  <si>
    <t>22-40-17-12-1-01-046</t>
  </si>
  <si>
    <t>B05-0487</t>
  </si>
  <si>
    <t>Trapper #4 New 33 room motel w/ RV Dump StationNew 33 room motel @ $843.00 = $27,819.00 , 2-inch waterservice $4200.00, 2-inch compound meter $ 1337.25. RV dump sewer capacity 500 GPD x $4.22 = $ 2110.00 3/4 water fee $590.00 and 3/4 water meter $283.00.   Credit for 2- 3/4 inch water services @ $590.00 each = $1180.00 and 1- 3/4 meters @ $283.00 and 2 single family residences @ $1858.00 each = $ 3716.00 .  Also credit for existing Trapper Inn - 9 motel rooms @ $843.00 each = $7587.00 with 1 inch water service $1050.00         (3/10/2006 13:21  KB)  Customer asked to upgrade water to a 3inch from a 2 inch. Fees: 3-inch water capacity fee $9450.00 and 3-inch meter $1895.25 = $11345.25: credits for 2 inch capacity and meter = $5537.25 differance owing is $5808.00</t>
  </si>
  <si>
    <t>22-41-16-28-4-07-002</t>
  </si>
  <si>
    <t>B05-0488</t>
  </si>
  <si>
    <t>Trapper #5  New 20 unit motelNew 20 unit motel.  Credit for 18 motel rooms@ $843.00 each = $ 15,174.00, a one bedroom apartment @ $744.00, with a 1-1/2 inch water service (Wolf Moon Inn) $2363.00.  Fees 20 unit motel @ $843.00= $16,860.00.  2-inch water capacity fee $4200.00 2 inch compound $ 1337.25</t>
  </si>
  <si>
    <t>22-41-16-28-4-07-001</t>
  </si>
  <si>
    <t>BP 2005-0193</t>
  </si>
  <si>
    <t>Add Garage Bay, Office and Storage to SFD</t>
  </si>
  <si>
    <t>22-41-16-06-3-03-010</t>
  </si>
  <si>
    <t>BP 2005-0194</t>
  </si>
  <si>
    <t>Remodel Living Space to Master Bedroom/Bath</t>
  </si>
  <si>
    <t>22-44-18-29-2-00-009</t>
  </si>
  <si>
    <t>BP 2005-0195</t>
  </si>
  <si>
    <t>Add 8 foot extension to Breakfast Area</t>
  </si>
  <si>
    <t>22-41-17-01-3-02-012</t>
  </si>
  <si>
    <t>BP 2005-0197</t>
  </si>
  <si>
    <t>New (ARU) Guest House W/ Garage</t>
  </si>
  <si>
    <t>22-42-16-15-4-01-005</t>
  </si>
  <si>
    <t>BP 2005-0198</t>
  </si>
  <si>
    <t>Build 5 Bedroom, 2 Story Home w/Garage</t>
  </si>
  <si>
    <t>22-40-17-12-1-01-033</t>
  </si>
  <si>
    <t>BP 2005-0199</t>
  </si>
  <si>
    <t>Driving Range Shelter For Golf Course</t>
  </si>
  <si>
    <t>BP 2005-0200</t>
  </si>
  <si>
    <t>22-42-16-33-1-04-003</t>
  </si>
  <si>
    <t>BP 2005-0201</t>
  </si>
  <si>
    <t>Add Loft Bedroom/Bath</t>
  </si>
  <si>
    <t>22-40-16-18-1-03-165</t>
  </si>
  <si>
    <t>B05-0497</t>
  </si>
  <si>
    <t>indoor arenaFees waived per county project $19658.00: Sewer Capacity fee is figured as follows 486 People x 5 GPD = 2430 x 4.22= $10254.60. 2-inch water line $42000.00 2 inch compound meter $</t>
  </si>
  <si>
    <t>22-41-16-33-1-00-024</t>
  </si>
  <si>
    <t>BP 2005-0202</t>
  </si>
  <si>
    <t>Build Workshop With Studio Above</t>
  </si>
  <si>
    <t>BP 2005-0203</t>
  </si>
  <si>
    <t>22-42-16-27-4-04-015</t>
  </si>
  <si>
    <t>BP 2005-0204</t>
  </si>
  <si>
    <t>Add Studio To Garage</t>
  </si>
  <si>
    <t>22-41-17-01-4-00-004</t>
  </si>
  <si>
    <t>BP 2005-0205</t>
  </si>
  <si>
    <t>Build Workshop/Garage w/Covered Patio</t>
  </si>
  <si>
    <t>BP 2005-0206</t>
  </si>
  <si>
    <t>New Garage &amp; Master Bedroom/Bath, Medial Room, and Library Addition to SFD</t>
  </si>
  <si>
    <t>22-42-16-28-2-01-010</t>
  </si>
  <si>
    <t>BP 2005-0207</t>
  </si>
  <si>
    <t>Build 2 Bedroom  SFD  (to be converted to Guesthouse in the future)</t>
  </si>
  <si>
    <t>22-42-16-29-2-01-001</t>
  </si>
  <si>
    <t>BP 2005-0208</t>
  </si>
  <si>
    <t>22-40-16-20-1-15-037</t>
  </si>
  <si>
    <t>BP 2005-0209</t>
  </si>
  <si>
    <t>Add a Bedroom  &amp; Bathroom To SFD</t>
  </si>
  <si>
    <t>22-42-17-24-3-02-030</t>
  </si>
  <si>
    <t>B05-0528</t>
  </si>
  <si>
    <t>Pool BuildingPool Building    (11/15/2005 09:01  KB)  Sewer Capacity Fee $1858.00  3/4 water capacity fee $590.00 3/4 water meter $283.00</t>
  </si>
  <si>
    <t>22-41-16-28-4-07-006</t>
  </si>
  <si>
    <t>BP 2005-0211</t>
  </si>
  <si>
    <t>22-40-17-35-2-02-013</t>
  </si>
  <si>
    <t>B05-0532</t>
  </si>
  <si>
    <t>2 unit condoSewer and water capacity fee for 2 unit condo's: sewer capacity fee 2@$1858.00 each = $ 3716.00 2 1-inch water capacity fee 2@$1050.00 each = $2100.00 2 1-inch water meter @ $382.00 each = $764.00</t>
  </si>
  <si>
    <t>22-41-16-34-2-80-001</t>
  </si>
  <si>
    <t>BP 2005-0212</t>
  </si>
  <si>
    <t>Interior Remodel to Bridger Center</t>
  </si>
  <si>
    <t>B05-0534</t>
  </si>
  <si>
    <t>2 unit condo'sSewer and water fees for 2-unit condos: Sewer capacity fee 2 @ $1858.00 each = $ 3716.00 2 1-inch water capacity fee @ $1050.00 each = $ 2100.00. 2 1-inch water meter @ $382.00 each = $ 764.00</t>
  </si>
  <si>
    <t>22-41-16-34-2-80-005</t>
  </si>
  <si>
    <t>B05-0535</t>
  </si>
  <si>
    <t>2 unit Condo'sSewer and Water fees for 2 unit condo: Sewer capacity fee 2 @ $1858.00 each = $ 3716.00 2 1-inch water  meter @ $382.00 each = $ 764.00 2 1-inch water capacity fee @ $1050.00 each = $ 2100.00</t>
  </si>
  <si>
    <t>22-41-16-34-2-80-003</t>
  </si>
  <si>
    <t>B05-0538</t>
  </si>
  <si>
    <t>New cold Storage buildingFoundation permit for cold storage shed    (10/18/2005 15:08  KB)  no fee permit  closed per Building Official</t>
  </si>
  <si>
    <t>BP 2005-0214</t>
  </si>
  <si>
    <t>Add Family, Studio, and Bath to SFD</t>
  </si>
  <si>
    <t>22-41-17-22-1-02-006</t>
  </si>
  <si>
    <t>BP 2005-0215</t>
  </si>
  <si>
    <t>Build 2 Bedroom, 2 Story Guesthouse (No Kitchen)</t>
  </si>
  <si>
    <t>BP 2005-0216</t>
  </si>
  <si>
    <t>New Guesthouse (no kitchen) W/ Garage</t>
  </si>
  <si>
    <t>BP 2005-0217</t>
  </si>
  <si>
    <t>Add Ski Entry to SFD</t>
  </si>
  <si>
    <t>BP 2005-0219</t>
  </si>
  <si>
    <t>Build foundation for move-on Garage</t>
  </si>
  <si>
    <t>BP 2005-0221</t>
  </si>
  <si>
    <t>New ARU (Guesthouse) With Garage</t>
  </si>
  <si>
    <t>22-41-17-28-1-00-035</t>
  </si>
  <si>
    <t>BP 2005-0222</t>
  </si>
  <si>
    <t>Remodel SFD &amp; Convert Garage into Living</t>
  </si>
  <si>
    <t>22-41-17-22-4-00-008</t>
  </si>
  <si>
    <t>BP 2005-0223</t>
  </si>
  <si>
    <t>22-42-16-27-4-12-016</t>
  </si>
  <si>
    <t>BP 2005-0224</t>
  </si>
  <si>
    <t>New Detached Garage W/ Office Space Above</t>
  </si>
  <si>
    <t>22-42-17-24-3-02-062</t>
  </si>
  <si>
    <t>BP 2005-0225</t>
  </si>
  <si>
    <t>Bathroom Addition to Cabin</t>
  </si>
  <si>
    <t>22-41-17-14-4-00-019</t>
  </si>
  <si>
    <t>BP 2005-0226</t>
  </si>
  <si>
    <t>Add 4 Bedrooms &amp; 2 Bathrooms to SFD</t>
  </si>
  <si>
    <t>22-39-16-11-4-05-005</t>
  </si>
  <si>
    <t>BP 2005-0227</t>
  </si>
  <si>
    <t>Interior Remodel to SFD: Add Bath</t>
  </si>
  <si>
    <t>B05-0561</t>
  </si>
  <si>
    <t>enclosed entry way for trailer homeno final requested closed file on 2/27/09 kb</t>
  </si>
  <si>
    <t>22-41-16-34-2-16-011</t>
  </si>
  <si>
    <t>BP 2005-0229</t>
  </si>
  <si>
    <t>Build Hay Shed</t>
  </si>
  <si>
    <t>22-42-16-29-3-00-013</t>
  </si>
  <si>
    <t>BP 2005-0230</t>
  </si>
  <si>
    <t>Family Room Addition to SFD</t>
  </si>
  <si>
    <t>22-40-16-17-2-01-040</t>
  </si>
  <si>
    <t>BP 2005-0231</t>
  </si>
  <si>
    <t>Build one Bedroom ARU w/ Garage</t>
  </si>
  <si>
    <t>BP 2005-0232</t>
  </si>
  <si>
    <t>Build 3 Bedroom,  2-Story Home w/Garage Cabin 24</t>
  </si>
  <si>
    <t>22-42-16-27-4-14-013</t>
  </si>
  <si>
    <t>BP 2005-0233</t>
  </si>
  <si>
    <t>Build 3 Bedroom, 2-Story Home w/Garage Cabin 25</t>
  </si>
  <si>
    <t>BP 2005-0234</t>
  </si>
  <si>
    <t>Build 3 Bedroom, 2-Story Home w/ Garage (A1-R) Cabin 26</t>
  </si>
  <si>
    <t>BP 2005-0235</t>
  </si>
  <si>
    <t>Build 3 Bedroom, 2 -Story w/Garage Cabin 27</t>
  </si>
  <si>
    <t>BP 2005-0236</t>
  </si>
  <si>
    <t>Buils 3 Bedroom, 2-Story Home w/Garage (A1-R) Cabin 28</t>
  </si>
  <si>
    <t>BP 2005-0237</t>
  </si>
  <si>
    <t>Build 3 Bedroom 2-Story Home w/Garage (A2) Cabin 29</t>
  </si>
  <si>
    <t>22-42-16-27-4-16-006</t>
  </si>
  <si>
    <t>BP 2005-0238</t>
  </si>
  <si>
    <t>Build 3 Bedroom, s-Story Home w/Garage  (A1) Cabin 30</t>
  </si>
  <si>
    <t>22-42-16-27-4-16-007</t>
  </si>
  <si>
    <t>BP 2005-0239</t>
  </si>
  <si>
    <t>Build 3 Bedroom, 2-Story Home w/Garage (A1) Cabin 31</t>
  </si>
  <si>
    <t>22-42-16-27-4-16-008</t>
  </si>
  <si>
    <t>BP 2005-0240</t>
  </si>
  <si>
    <t>Build 3 Bedroom, 2-Story Home w/ Garage (A2) Cabin 32</t>
  </si>
  <si>
    <t>22-42-16-27-4-16-009</t>
  </si>
  <si>
    <t>BP 2005-0241</t>
  </si>
  <si>
    <t>Build 3 Bedroom, 2-Story Home w/Garage (A1) Cabin 33</t>
  </si>
  <si>
    <t>22-42-16-27-4-16-010</t>
  </si>
  <si>
    <t>BP 2005-0242</t>
  </si>
  <si>
    <t>Build 3 Bedroom, 2-Story Home w/Garage (A2-R) Cabin 34</t>
  </si>
  <si>
    <t>22-42-16-27-4-16-011</t>
  </si>
  <si>
    <t>BP 2005-0243</t>
  </si>
  <si>
    <t>Build 3 Bedroom, 2-Story Home w/Garage (A1-R) Cabin 35</t>
  </si>
  <si>
    <t>BP 2005-0245</t>
  </si>
  <si>
    <t>22-41-17-14-3-24-008</t>
  </si>
  <si>
    <t>BP 2005-0246</t>
  </si>
  <si>
    <t>Add Garage w/Storage, 1/2 Bath, Entry and Deck to SFD</t>
  </si>
  <si>
    <t>22-40-16-17-4-08-014</t>
  </si>
  <si>
    <t>BP 2005-0247</t>
  </si>
  <si>
    <t>Build 4 Bedroom, 2-Story Log Home</t>
  </si>
  <si>
    <t>22-40-17-10-3-03-019</t>
  </si>
  <si>
    <t>BP 2005-0248</t>
  </si>
  <si>
    <t>New Detached Garage W/ 1 Bedroom ARU (Guesthouse) Above</t>
  </si>
  <si>
    <t>BP 2005-0249</t>
  </si>
  <si>
    <t>22-41-16-16-4-09-042</t>
  </si>
  <si>
    <t>BP 2005-0250</t>
  </si>
  <si>
    <t>Add New Porch and Mudroom to SFD</t>
  </si>
  <si>
    <t>22-40-16-35-3-00-021</t>
  </si>
  <si>
    <t>BP 2005-0251</t>
  </si>
  <si>
    <t>22-40-16-18-1-03-194</t>
  </si>
  <si>
    <t>BP 2005-0252</t>
  </si>
  <si>
    <t>22-41-17-23-2-10-004</t>
  </si>
  <si>
    <t>BP 2005-0253</t>
  </si>
  <si>
    <t>22-40-16-20-2-14-012</t>
  </si>
  <si>
    <t>BP 2005-0298</t>
  </si>
  <si>
    <t>Add 6 Foot Extension to Shed</t>
  </si>
  <si>
    <t>BP 2005-0254</t>
  </si>
  <si>
    <t>New Pavilion w/Fireplace</t>
  </si>
  <si>
    <t>BP 2005-0255</t>
  </si>
  <si>
    <t>Build 752 Sq. Ft. Addition to Shed</t>
  </si>
  <si>
    <t>BP 2005-0256</t>
  </si>
  <si>
    <t>22-40-17-02-2-00-007</t>
  </si>
  <si>
    <t>BP 2005-0327</t>
  </si>
  <si>
    <t>Build Bunker for Mechanical Equipment</t>
  </si>
  <si>
    <t>BP 2005-0257</t>
  </si>
  <si>
    <t>Install 2 Bedroom, 2 Story Modular Home Unit 1</t>
  </si>
  <si>
    <t>22-40-17-13-1-01-048</t>
  </si>
  <si>
    <t>BP 2005-0258</t>
  </si>
  <si>
    <t>Install 2 Bedroom, 2 story Modular Housing Unit 3</t>
  </si>
  <si>
    <t>BP 2005-0259</t>
  </si>
  <si>
    <t>Install 2 Bedroom, 2 Story home for Employee Housing Unit 5</t>
  </si>
  <si>
    <t>BP 2005-0260</t>
  </si>
  <si>
    <t>Install 2 Bedroom, 2 Story Modular Employee Housing Unit 2</t>
  </si>
  <si>
    <t>BP 2005-0261</t>
  </si>
  <si>
    <t>Instal 2 Bedroom, 2 Story Modular Employee Housing Unit 4</t>
  </si>
  <si>
    <t>BP 2005-0262</t>
  </si>
  <si>
    <t>Build 2 Car Garage For Employee Housing For Golf Course (Unit A; Garage)</t>
  </si>
  <si>
    <t>BP 2005-0263</t>
  </si>
  <si>
    <t>Build 2 Car Garage For Employee Housing For Golf Course (Unit B; Garage)</t>
  </si>
  <si>
    <t>BP 2005-0264</t>
  </si>
  <si>
    <t>Build 2 Car Garage For Employee Housing (Unit C; Garage)</t>
  </si>
  <si>
    <t>BP 2005-0265</t>
  </si>
  <si>
    <t>Install 2 Bedroom, 2 Story Modular Employee Housing Units w/Garage Unit 6</t>
  </si>
  <si>
    <t>BP 2005-0266</t>
  </si>
  <si>
    <t>Install 2 Bedroom, 2 Story Employee Housing Units w/Garage Unit 7</t>
  </si>
  <si>
    <t>BP 2005-0267</t>
  </si>
  <si>
    <t>Install 2 Bedroom, 2-Story Employee Housing Unit w/Garage Unit 8</t>
  </si>
  <si>
    <t>BP 2005-0268</t>
  </si>
  <si>
    <t>Install 2 Bedroom, 2 Story Modular Employee Housing w/Garage Unit 9</t>
  </si>
  <si>
    <t>BP 2005-0269</t>
  </si>
  <si>
    <t>96 SQ. FT. Enclosed Storage &amp; 624 SQ. FT. Lean-too</t>
  </si>
  <si>
    <t>BP 2005-0270</t>
  </si>
  <si>
    <t>Build Log Studio Building</t>
  </si>
  <si>
    <t>BP 2005-0271</t>
  </si>
  <si>
    <t>Build Home Observatory</t>
  </si>
  <si>
    <t>22-42-16-27-1-25-007</t>
  </si>
  <si>
    <t>BP 2005-0272</t>
  </si>
  <si>
    <t>Add Kitchen, Dining Living Room, Master Bedrom and Loft to Log Home</t>
  </si>
  <si>
    <t>22-42-16-15-3-02-002</t>
  </si>
  <si>
    <t>BP 2005-0273</t>
  </si>
  <si>
    <t>Interior Remodel to Condo Unit</t>
  </si>
  <si>
    <t>22-42-17-24-3-07-003</t>
  </si>
  <si>
    <t>BP 2005-0274</t>
  </si>
  <si>
    <t>Build 2 Bedroom Log ARU</t>
  </si>
  <si>
    <t>22-45-13-07-1-00-025</t>
  </si>
  <si>
    <t>BP 2005-0275</t>
  </si>
  <si>
    <t>Build 1 Bedroom Guesthouse (No Kitchen) w/Garage and Storage</t>
  </si>
  <si>
    <t>BP 2005-0276</t>
  </si>
  <si>
    <t>Remodel rear patio; Add heated deck, Hot Tub and Barbeque</t>
  </si>
  <si>
    <t>22-41-17-12-1-02-001</t>
  </si>
  <si>
    <t>BP 2005-0277</t>
  </si>
  <si>
    <t>Build 2 Bedroom ARU</t>
  </si>
  <si>
    <t>22-41-16-28-2-02-005</t>
  </si>
  <si>
    <t>BP 2005-0278</t>
  </si>
  <si>
    <t>Golf Pro Shop</t>
  </si>
  <si>
    <t>BP 2005-0280</t>
  </si>
  <si>
    <t>Build Log Garage</t>
  </si>
  <si>
    <t>BP 2005-0281</t>
  </si>
  <si>
    <t>Build 4 Bedroom Home w/ Partial Basement and Garage</t>
  </si>
  <si>
    <t>22-42-16-27-4-12-005</t>
  </si>
  <si>
    <t>B05-0604</t>
  </si>
  <si>
    <t>Single Family home with attached accessory unitSewer capacity fee 2 @ $1858.00 each = $ 3716.00 1-inch water capacity fee $1050.00 1-inch water meter $382.00</t>
  </si>
  <si>
    <t>22-41-16-34-1-30-017</t>
  </si>
  <si>
    <t>BP 2005-0282</t>
  </si>
  <si>
    <t>New ARU (Guesthouse) W/ Garage</t>
  </si>
  <si>
    <t>22-39-16-02-3-00-013</t>
  </si>
  <si>
    <t>B05-0605</t>
  </si>
  <si>
    <t>New single family with attached accesory unitSewer capacity fee 2 @ $1858.00 each = $ 3716.00 1-inch water capacity fee $1050.00 1-inch water meter $382.00</t>
  </si>
  <si>
    <t>22-41-16-34-1-30-018</t>
  </si>
  <si>
    <t>BP 2005-0283</t>
  </si>
  <si>
    <t>22-42-16-30-1-01-001</t>
  </si>
  <si>
    <t>BP 2005-0284</t>
  </si>
  <si>
    <t>Build detached Garage w/Workshop</t>
  </si>
  <si>
    <t>BP 2005-0285</t>
  </si>
  <si>
    <t>Repair Foundation;  Add to SFD</t>
  </si>
  <si>
    <t>BP 2005-0286</t>
  </si>
  <si>
    <t>Add Greenhouse &amp; Covered Porch to SFD</t>
  </si>
  <si>
    <t>22-41-17-25-4-06-010</t>
  </si>
  <si>
    <t>BP 2005-0287</t>
  </si>
  <si>
    <t>Move on Tack/Work Shop</t>
  </si>
  <si>
    <t>B05-0624</t>
  </si>
  <si>
    <t>New Retail Nursery Garden CenterSewer cpacity fee $1858.00(minimum) 3/4 water capacity fee and Meter $873.00 1inch water capacity fee 1432.00: employee housing fee $9254.00</t>
  </si>
  <si>
    <t>22-41-16-32-4-13-005</t>
  </si>
  <si>
    <t>BP 2005-0289</t>
  </si>
  <si>
    <t>Interior Remodel to Kitchen &amp; Bath of Condo</t>
  </si>
  <si>
    <t>22-41-17-11-1-08-003</t>
  </si>
  <si>
    <t>BP 2005-0290</t>
  </si>
  <si>
    <t>Interior Remodel of Offices, Restaurant Space to Commercial Hotel</t>
  </si>
  <si>
    <t>22-42-17-24-1-07-001</t>
  </si>
  <si>
    <t>BP 2005-0291</t>
  </si>
  <si>
    <t>Remodel Laundry, Closet, and Baths &amp; Replace Windows to SFD  5/17/10 wrote letter VA</t>
  </si>
  <si>
    <t>22-41-17-22-3-00-011</t>
  </si>
  <si>
    <t>BP 2005-0292</t>
  </si>
  <si>
    <t>Commercial Golf Instruction Building</t>
  </si>
  <si>
    <t>BP 2005-0293</t>
  </si>
  <si>
    <t>Commercial Office Remodel</t>
  </si>
  <si>
    <t>BP 2005-0295</t>
  </si>
  <si>
    <t>Complete expired permit 97-0206</t>
  </si>
  <si>
    <t>22-40-16-20-3-03-005</t>
  </si>
  <si>
    <t>B05-0635</t>
  </si>
  <si>
    <t>NewPermit fees of $27,775.90 waived per council    (12/21/2005 15:39  KB)  Sewer capacity fee 523 x 5 GPD = 2615 GPD x 4.22 = $11,035.30</t>
  </si>
  <si>
    <t>22-41-16-33-1-00-023</t>
  </si>
  <si>
    <t>BP 2005-0296</t>
  </si>
  <si>
    <t>Build 1 Bedroom ARU  w/ Garage</t>
  </si>
  <si>
    <t>BP 2005-0297</t>
  </si>
  <si>
    <t>Remodel Basement of SFD</t>
  </si>
  <si>
    <t>BP 2005-0299</t>
  </si>
  <si>
    <t>Remodel Existing Garage into Playroom/Studio; Add Master Bedroom/Bath above</t>
  </si>
  <si>
    <t>22-41-17-11-1-50-006</t>
  </si>
  <si>
    <t>BP 2005-0300</t>
  </si>
  <si>
    <t>BP 2005-0301</t>
  </si>
  <si>
    <t>Remodel Garage into living space &amp; Add onto SFD</t>
  </si>
  <si>
    <t>22-41-17-22-4-14-021</t>
  </si>
  <si>
    <t>BP 2005-0302</t>
  </si>
  <si>
    <t>22-40-16-20-1-15-011</t>
  </si>
  <si>
    <t>BP 2005-0303</t>
  </si>
  <si>
    <t>Re-build Roof over Existing Entry to SFD</t>
  </si>
  <si>
    <t>22-42-16-27-3-05-009</t>
  </si>
  <si>
    <t>BP 2005-0305</t>
  </si>
  <si>
    <t>Build 9-bedroom, 2 story home w/ Finished Basement &amp; Garage</t>
  </si>
  <si>
    <t>22-42-17-24-1-01-029</t>
  </si>
  <si>
    <t>BP 2005-0306</t>
  </si>
  <si>
    <t>Build 3 Bedroom, 2-Story Home w/Attached Studio and Garage</t>
  </si>
  <si>
    <t>22-41-16-04-2-00-010</t>
  </si>
  <si>
    <t>B05-0670</t>
  </si>
  <si>
    <t>22-41-16-31-4-14-070</t>
  </si>
  <si>
    <t>BP 2005-0308</t>
  </si>
  <si>
    <t>Add Men + Womens Restrooms &amp; Janitor Closet to Indoor Arena</t>
  </si>
  <si>
    <t>BP 2005-0310</t>
  </si>
  <si>
    <t>Build Utility Building to house Generator for Wastewater Treatment Plant  12/9/09 Wrote letter VA</t>
  </si>
  <si>
    <t>BP 2005-0311</t>
  </si>
  <si>
    <t>Build 1 Bedroom Guest Cabin</t>
  </si>
  <si>
    <t>22-44-15-36-1-04-010</t>
  </si>
  <si>
    <t>BP 2005-0312</t>
  </si>
  <si>
    <t>Build 3 Bedroom, 2-Story Home w/Partial Basement and Garage</t>
  </si>
  <si>
    <t>22-38-16-05-4-00-001</t>
  </si>
  <si>
    <t>BP 2005-0315</t>
  </si>
  <si>
    <t>New Garage W/ Hobby Room/Bath Above</t>
  </si>
  <si>
    <t>22-40-17-01-1-01-005</t>
  </si>
  <si>
    <t>BP 2005-0316</t>
  </si>
  <si>
    <t>BP 2005-0317</t>
  </si>
  <si>
    <t>Add Bedroom, Bath, Exercise Room to SFD</t>
  </si>
  <si>
    <t>22-42-17-24-3-02-066</t>
  </si>
  <si>
    <t>B05-0697</t>
  </si>
  <si>
    <t>New single familySewer Capacity fee $1858.00 3/4 water capacity fee $590.00 3/4 water meter $283.00</t>
  </si>
  <si>
    <t>22-41-16-31-4-13-034</t>
  </si>
  <si>
    <t>BP 2005-0318</t>
  </si>
  <si>
    <t>Build 3 Bedroom Home w/ Finished Basement</t>
  </si>
  <si>
    <t>22-39-16-02-4-03-001</t>
  </si>
  <si>
    <t>BP 2005-0319</t>
  </si>
  <si>
    <t>Install 3 Bedroom, 2-story home w/garage</t>
  </si>
  <si>
    <t>22-41-17-24-4-00-003</t>
  </si>
  <si>
    <t>BP 2005-0352</t>
  </si>
  <si>
    <t>BP 2005-0321</t>
  </si>
  <si>
    <t>Add 434 sq. ft. to SFD and Remodel Interior</t>
  </si>
  <si>
    <t>BP 2005-0322</t>
  </si>
  <si>
    <t>Build 5 Bedroom, 2-story Home w/Finished Basement and Garage</t>
  </si>
  <si>
    <t>22-41-17-22-2-00-009</t>
  </si>
  <si>
    <t>BP 2005-0324</t>
  </si>
  <si>
    <t>Reodel existing SFD; enlarge upper bedroom</t>
  </si>
  <si>
    <t>22-41-17-22-3-00-032</t>
  </si>
  <si>
    <t>BP 2005-0325</t>
  </si>
  <si>
    <t>Relocate Existing Cabin &amp; Connect Portion To Garage</t>
  </si>
  <si>
    <t>BP 2005-0326</t>
  </si>
  <si>
    <t>Build 3 sided Storage Barn</t>
  </si>
  <si>
    <t>22-40-16-18-4-00-008</t>
  </si>
  <si>
    <t>BP 2005-0328</t>
  </si>
  <si>
    <t>Build Detached Garage W/ 1 Bedroom  ARU</t>
  </si>
  <si>
    <t>BP 2005-0329</t>
  </si>
  <si>
    <t>Remodel Existing Commercial Storage to 4 Apartments</t>
  </si>
  <si>
    <t>22-40-16-20-1-17-CND</t>
  </si>
  <si>
    <t>BP 2005-0330</t>
  </si>
  <si>
    <t>Build 2 Bedroom Home w/garage (future ARU)</t>
  </si>
  <si>
    <t>22-41-17-23-4-05-004</t>
  </si>
  <si>
    <t>BP 2005-0332</t>
  </si>
  <si>
    <t>Build 1 Bedroom ARU with Garage</t>
  </si>
  <si>
    <t>22-44-18-08-4-01-002</t>
  </si>
  <si>
    <t>BP 2005-0333</t>
  </si>
  <si>
    <t>Add Art Studio to SFD</t>
  </si>
  <si>
    <t>22-40-16-18-1-04-247</t>
  </si>
  <si>
    <t>BP 2005-0334</t>
  </si>
  <si>
    <t>Add Bedroom, Bath and Family Room to SFD; Enlarge Kitchen</t>
  </si>
  <si>
    <t>22-40-16-17-4-08-019</t>
  </si>
  <si>
    <t>BP 2005-0335</t>
  </si>
  <si>
    <t>22-40-17-12-4-01-073</t>
  </si>
  <si>
    <t>BP 2005-0336</t>
  </si>
  <si>
    <t>22-40-17-12-1-01-035</t>
  </si>
  <si>
    <t>BP 2005-0337</t>
  </si>
  <si>
    <t>Add Sunroom on Deck of SFD &amp; Bath Tub Extension</t>
  </si>
  <si>
    <t>22-39-17-11-4-03-003</t>
  </si>
  <si>
    <t>BP 2005-0338</t>
  </si>
  <si>
    <t>Add Office/Bedrooms and Generator building to SFD</t>
  </si>
  <si>
    <t>22-41-17-34-3-17-001</t>
  </si>
  <si>
    <t>BP 2005-0339</t>
  </si>
  <si>
    <t>Build Public Restroom and ATV Storage Building</t>
  </si>
  <si>
    <t>BP 2005-0340</t>
  </si>
  <si>
    <t>New Public Restrooms</t>
  </si>
  <si>
    <t>BP 2005-0341</t>
  </si>
  <si>
    <t>New Barn  2/10/10 Wrote Letter VA  3/24/10 no responce to letter, gave file to insp to verify job status VA</t>
  </si>
  <si>
    <t>22-41-17-12-2-03-001</t>
  </si>
  <si>
    <t>BP 2005-0342</t>
  </si>
  <si>
    <t>22-39-16-11-2-03-001</t>
  </si>
  <si>
    <t>BP 2005-0343</t>
  </si>
  <si>
    <t>Build Detached Shop w/Office and Bath</t>
  </si>
  <si>
    <t>BP 2005-0344</t>
  </si>
  <si>
    <t>Add 2nd Floor w/Master Bedroom/Bath; Remodel 1st Floor  Living/Kitchen/Dining</t>
  </si>
  <si>
    <t>22-44-18-20-3-02-006</t>
  </si>
  <si>
    <t>B05-0799</t>
  </si>
  <si>
    <t>entrance vestibuleNon refundable plan review fee covers permit fee</t>
  </si>
  <si>
    <t>B05-0807</t>
  </si>
  <si>
    <t>4 unit condo w/attached garages1 inch water capacity fee $1050.00 1-inch water meter $382.00: Sewer capacity fee2 2-bedroom @ $1858.00 each = $3716.00 2 1-bedroom @ $930.00 each = $ 1860.00</t>
  </si>
  <si>
    <t>22-41-16-34-2-81-001</t>
  </si>
  <si>
    <t>B05-0808</t>
  </si>
  <si>
    <t>4 unit condo's w/attached garage emplyee housingSewer connect 2-2bedroom @ $1858.00 each = $ 3716.00: 2 1-bedroom @ $930.00 each = $ 1860.00  1-inch water capacity fee $1050.00 1-inch water meter $382.00</t>
  </si>
  <si>
    <t>22-41-16-34-2-81-006</t>
  </si>
  <si>
    <t>B05-0809</t>
  </si>
  <si>
    <t>3 unit condo w/attached garages employee housingWater capacity fee 2 1-inch @ $1050.00 each = $ 2100.00 2 1-inch water meter= $382.00 each = $ 764.00 (1 of these are for landscape): sewer capacity fee 1 1-bedroom $930.00 2 2-bedroom@ $1858.00 each= $ 3716.00</t>
  </si>
  <si>
    <t>22-41-16-34-2-81-010</t>
  </si>
  <si>
    <t>BP 2005-0345</t>
  </si>
  <si>
    <t>Build Addition to High School Cafeteria</t>
  </si>
  <si>
    <t>BP 2005-0346</t>
  </si>
  <si>
    <t>22-40-17-12-4-01-071</t>
  </si>
  <si>
    <t>BP 2005-0348</t>
  </si>
  <si>
    <t>Mail Shelter for New Subdivision</t>
  </si>
  <si>
    <t>22-41-16-04-1-00-013</t>
  </si>
  <si>
    <t>BP 2005-0349</t>
  </si>
  <si>
    <t>Build Well House for New Subdivision</t>
  </si>
  <si>
    <t>22-41-16-04-1-00-009</t>
  </si>
  <si>
    <t>BP 2005-0350</t>
  </si>
  <si>
    <t>Pump House #2 For New Subdivision</t>
  </si>
  <si>
    <t>BP 2005-0351</t>
  </si>
  <si>
    <t>Pump House #1 For New Subdivision</t>
  </si>
  <si>
    <t>B05-0831</t>
  </si>
  <si>
    <t>Addition to existing restaurantThe existing restaurant has 1122 net square feet of dining area.  The proposed restaurant has 1822 net square feet of dining area for an additional net dining area of 700 square feet.  This will require that additional sewer capacity fees of approximately $15,913.33 be paid at issuance of the building permit.</t>
  </si>
  <si>
    <t>22-41-16-28-4-07-007</t>
  </si>
  <si>
    <t>BP 2005-0353</t>
  </si>
  <si>
    <t>Erect Manufactured 2 Bedroom Home</t>
  </si>
  <si>
    <t>22-41-17-14-4-00-027</t>
  </si>
  <si>
    <t>BP 2005-0354</t>
  </si>
  <si>
    <t>Remodel Commercial Office Space</t>
  </si>
  <si>
    <t>22-41-17-11-1-35-001</t>
  </si>
  <si>
    <t>BP 2005-0356</t>
  </si>
  <si>
    <t>22-42-17-35-3-00-026</t>
  </si>
  <si>
    <t>BP 2005-0357</t>
  </si>
  <si>
    <t>Build 4 Bedroom, 2-Story Post and Beam Home w/Garage</t>
  </si>
  <si>
    <t>22-40-16-20-2-16-003</t>
  </si>
  <si>
    <t>BP 2005-0358</t>
  </si>
  <si>
    <t>BP 2005-0359</t>
  </si>
  <si>
    <t>Add Single Car Garage to SFD</t>
  </si>
  <si>
    <t>BP 2006-0001</t>
  </si>
  <si>
    <t>Enlarge Kitchen/Breakfast Nook of SFD</t>
  </si>
  <si>
    <t>22-41-17-22-1-01-017</t>
  </si>
  <si>
    <t>BP 2006-0002</t>
  </si>
  <si>
    <t>Add Two Partitions &amp; Several Doors to Animal Shelter</t>
  </si>
  <si>
    <t>22-40-16-17-1-00-008</t>
  </si>
  <si>
    <t>B06-0012</t>
  </si>
  <si>
    <t>New single familySewer Capacity fee $1858.00</t>
  </si>
  <si>
    <t>22-41-16-34-4-04-028</t>
  </si>
  <si>
    <t>BP 2006-0003</t>
  </si>
  <si>
    <t>Remodel a Portion of Storage Space to Bathroom</t>
  </si>
  <si>
    <t>BP 2006-0004</t>
  </si>
  <si>
    <t>Remodel home; add 287 square feet</t>
  </si>
  <si>
    <t>22-42-17-24-3-02-110</t>
  </si>
  <si>
    <t>BP 2006-0005</t>
  </si>
  <si>
    <t>Enclose a portion of open barn for tractor maintenance</t>
  </si>
  <si>
    <t>22-41-16-16-3-07-001</t>
  </si>
  <si>
    <t>BP 2006-0006</t>
  </si>
  <si>
    <t>Remodel Existing Deck &amp; Roof to Create 192 Sq. Ft. Walk-in Closet</t>
  </si>
  <si>
    <t>B06-0065</t>
  </si>
  <si>
    <t>New greenhouseNULL</t>
  </si>
  <si>
    <t>BP 2006-0007</t>
  </si>
  <si>
    <t>22-42-16-27-4-12-029</t>
  </si>
  <si>
    <t>BP 2006-0008</t>
  </si>
  <si>
    <t>Build 2-Story Home w/ Partial Basement and Garage</t>
  </si>
  <si>
    <t>22-40-17-15-1-00-001</t>
  </si>
  <si>
    <t>BP 2006-0010</t>
  </si>
  <si>
    <t>Build 4 Bedroom, 2-Story Home w/Garage &amp; Bonus Room</t>
  </si>
  <si>
    <t>22-44-18-19-1-01-008</t>
  </si>
  <si>
    <t>BP 2006-0011</t>
  </si>
  <si>
    <t>Convert 144 SQ. FT. of Attic Space into Bedroom w/Bath</t>
  </si>
  <si>
    <t>22-40-16-20-2-03-098</t>
  </si>
  <si>
    <t>BP 2006-0012</t>
  </si>
  <si>
    <t>Convert 1000 SQ. FT. of Existing Garage into Guesthouse (No Range)</t>
  </si>
  <si>
    <t>22-40-17-01-4-01-004</t>
  </si>
  <si>
    <t>BP 2006-0013</t>
  </si>
  <si>
    <t>Convert Portion of Existing Garage into Painting Studio</t>
  </si>
  <si>
    <t>BP 2006-0014</t>
  </si>
  <si>
    <t>Add Storage Loft &amp; Remodel Basement Closet Into Bedroom</t>
  </si>
  <si>
    <t>22-42-17-24-1-03-027</t>
  </si>
  <si>
    <t>BP 2006-0055</t>
  </si>
  <si>
    <t>BP 2006-0056</t>
  </si>
  <si>
    <t>BP 2006-0016</t>
  </si>
  <si>
    <t>Build 2 Bedroom Cabin (No Range) w/ Observation Tower</t>
  </si>
  <si>
    <t>BP 2006-0017</t>
  </si>
  <si>
    <t>22-40-17-12-4-01-077</t>
  </si>
  <si>
    <t>BP 2006-0018</t>
  </si>
  <si>
    <t>22-40-17-12-4-01-082</t>
  </si>
  <si>
    <t>BP 2006-0019</t>
  </si>
  <si>
    <t>New 1 Bedroom ARU, w/Office and Garage</t>
  </si>
  <si>
    <t>22-41-17-25-3-00-021</t>
  </si>
  <si>
    <t>BP 2006-0020</t>
  </si>
  <si>
    <t>Golf Cart Storage Tent</t>
  </si>
  <si>
    <t>BP 2006-0021</t>
  </si>
  <si>
    <t>Expand Condo Living Room, and Add Storage in Covered Parking Area</t>
  </si>
  <si>
    <t>B06-0091</t>
  </si>
  <si>
    <t>Accessory UnitSewer Capacity fee $</t>
  </si>
  <si>
    <t>22-41-16-33-1-60-006</t>
  </si>
  <si>
    <t>BP 2006-0022</t>
  </si>
  <si>
    <t>22-40-17-12-1-01-009</t>
  </si>
  <si>
    <t>BP 2006-0023</t>
  </si>
  <si>
    <t>Remodel Interior on Garage for Agricultural Products Packaging</t>
  </si>
  <si>
    <t>BP 2006-0024</t>
  </si>
  <si>
    <t>Temporary Club House for Golf Course</t>
  </si>
  <si>
    <t>22-38-16-08-4-01-063</t>
  </si>
  <si>
    <t>BP 2006-0025</t>
  </si>
  <si>
    <t>513 SQ. FT. Guest Bedroom Addition to SFD</t>
  </si>
  <si>
    <t>22-41-17-14-1-05-005</t>
  </si>
  <si>
    <t>BP 2006-0026</t>
  </si>
  <si>
    <t>Remodel Interior of Condo</t>
  </si>
  <si>
    <t>22-41-17-11-1-14-002</t>
  </si>
  <si>
    <t>BP 2006-0027</t>
  </si>
  <si>
    <t>Rebuild Recreation Room Addition to Dining Hall</t>
  </si>
  <si>
    <t>22-38-15-05-2-00-004</t>
  </si>
  <si>
    <t>BP 2006-0028</t>
  </si>
  <si>
    <t>Final out ARU built under permit BP99-0252</t>
  </si>
  <si>
    <t>22-41-17-12-2-09-005</t>
  </si>
  <si>
    <t>BP 2006-0029</t>
  </si>
  <si>
    <t>Build Fron &amp; Rear Coverd Porch &amp; Entry Expansion</t>
  </si>
  <si>
    <t>BP 2006-0030</t>
  </si>
  <si>
    <t>Remodel Interior Space to 4 Bedrooms &amp; Lounge Area</t>
  </si>
  <si>
    <t>22-41-17-14-1-23-002</t>
  </si>
  <si>
    <t>BP 2006-0031</t>
  </si>
  <si>
    <t>Build Wellhouse for Irrigation, Fire and Domestic Water</t>
  </si>
  <si>
    <t>22-44-18-08-1-01-004</t>
  </si>
  <si>
    <t>B06-0106</t>
  </si>
  <si>
    <t>New office buildingSEWER &amp; WATER FEE FOR NEW BUILDING: FIRE LINE $1200.00 1 IN CH WATER LINE $1050.00 1 -INCH WATER METER $382.00 SEWER CAPACITY FEE 62 X $126.00= $7812.00: 2 Bedroom Apartment $1858.00:  Employee housing fee $2327.00:  Credit from existing home Sewer $1858.00 3/4 water $590.00</t>
  </si>
  <si>
    <t>22-41-16-34-2-01-003</t>
  </si>
  <si>
    <t>BP 2006-0033</t>
  </si>
  <si>
    <t>Park Restroom Facility @ High School</t>
  </si>
  <si>
    <t>BP 2006-0034</t>
  </si>
  <si>
    <t>Picnic Shelter @ High School</t>
  </si>
  <si>
    <t>BP 2006-0035</t>
  </si>
  <si>
    <t>Restroom For Owen Burcher Park</t>
  </si>
  <si>
    <t>22-41-17-22-3-00-061</t>
  </si>
  <si>
    <t>BP 2006-0036</t>
  </si>
  <si>
    <t>Convert Storage Space into Bunkhouse</t>
  </si>
  <si>
    <t>BP 2006-0037</t>
  </si>
  <si>
    <t>Convert Barn into Single Family Residence</t>
  </si>
  <si>
    <t>BP 2006-0016R</t>
  </si>
  <si>
    <t>Stairs changed from ladder to spiral stair</t>
  </si>
  <si>
    <t>BP 2006-0038</t>
  </si>
  <si>
    <t>Remodel 1-1/2 baths for accessibility</t>
  </si>
  <si>
    <t>22-40-17-04-1-01-003</t>
  </si>
  <si>
    <t>BP 2006-0039</t>
  </si>
  <si>
    <t>New 4-Bedroom, 2-Story Home w/ Garage</t>
  </si>
  <si>
    <t>22-40-16-20-2-14-013</t>
  </si>
  <si>
    <t>BP 2006-0040</t>
  </si>
  <si>
    <t>Replace Mobile Home W/ New Manufactured Home</t>
  </si>
  <si>
    <t>22-41-17-26-2-03-002</t>
  </si>
  <si>
    <t>B06-0116</t>
  </si>
  <si>
    <t>Addition to existing bldgSewer capacity fee based on 10817/100 x $126.00= $13608.00</t>
  </si>
  <si>
    <t>22-41-16-32-4-18-002</t>
  </si>
  <si>
    <t>BP 2006-0045</t>
  </si>
  <si>
    <t>Master Bedroom &amp; Bathroom Addition</t>
  </si>
  <si>
    <t>22-42-16-22-3-00-031</t>
  </si>
  <si>
    <t>B06-0120</t>
  </si>
  <si>
    <t>Addition to educational building churchNULL</t>
  </si>
  <si>
    <t>BP 2006-0046</t>
  </si>
  <si>
    <t>Remove/Rebuild Bathrooms for Accessibility</t>
  </si>
  <si>
    <t>BP 2006-0047</t>
  </si>
  <si>
    <t>New 3-Bedroom, 2-Story Home W/ Garage</t>
  </si>
  <si>
    <t>22-42-17-24-3-02-094</t>
  </si>
  <si>
    <t>BP 2006-0048</t>
  </si>
  <si>
    <t>Build 3 Bedroom, 2-Story Home w/Garage and Attic Storage</t>
  </si>
  <si>
    <t>22-40-16-20-2-14-025</t>
  </si>
  <si>
    <t>BP 2006-0049</t>
  </si>
  <si>
    <t>Build Mudroom &amp; Garage Addition</t>
  </si>
  <si>
    <t>22-41-17-22-3-03-004</t>
  </si>
  <si>
    <t>BP 2006-0050</t>
  </si>
  <si>
    <t>Build 2 Bedroom, 2-Story Home w/Garage</t>
  </si>
  <si>
    <t>22-41-17-22-1-01-014</t>
  </si>
  <si>
    <t>BP 2006-0051</t>
  </si>
  <si>
    <t>Relocate ARU (guest house) ; Add Garage w/ Covered Connector</t>
  </si>
  <si>
    <t>BP 2006-0052</t>
  </si>
  <si>
    <t>Convert interior of barn to living space</t>
  </si>
  <si>
    <t>22-39-15-32-2-00-021</t>
  </si>
  <si>
    <t>BP 2006-0053</t>
  </si>
  <si>
    <t>Build 64 unit Condominium/Hotel w/ Restaurant, Parking</t>
  </si>
  <si>
    <t>22-42-17-24-4-23-010</t>
  </si>
  <si>
    <t>BP 2006-0057</t>
  </si>
  <si>
    <t>Build 3 Bedroom Home w/Basement Media Room and Garage</t>
  </si>
  <si>
    <t>22-42-16-27-4-12-030</t>
  </si>
  <si>
    <t>BP 2006-0058</t>
  </si>
  <si>
    <t>Build 4 Bedroom Home w/Garage and Hot Tub</t>
  </si>
  <si>
    <t>22-41-16-21-3-15-015</t>
  </si>
  <si>
    <t>BP 2006-0059</t>
  </si>
  <si>
    <t>Add Bunkroom and Laundry above Garage</t>
  </si>
  <si>
    <t>22-41-16-21-2-07-003</t>
  </si>
  <si>
    <t>BP 2006-0060</t>
  </si>
  <si>
    <t>Build 2 Bedroom Home Above Barn</t>
  </si>
  <si>
    <t>22-42-16-02-1-01-007</t>
  </si>
  <si>
    <t>BP 2006-0061</t>
  </si>
  <si>
    <t>Build 4 Bedroom Home w/Finished Basement and Garage</t>
  </si>
  <si>
    <t>22-41-17-25-4-06-013</t>
  </si>
  <si>
    <t>BP 2006-0062</t>
  </si>
  <si>
    <t>Build (ARU) Guest House W/ Garage</t>
  </si>
  <si>
    <t>BP 2006-0063</t>
  </si>
  <si>
    <t>Build Addition to Teton Mountain Lodge</t>
  </si>
  <si>
    <t>22-42-17-24-4-38-009</t>
  </si>
  <si>
    <t>BP 2006-0064</t>
  </si>
  <si>
    <t>Short Term Rental Cabin Unit 1</t>
  </si>
  <si>
    <t>22-40-16-27-3-00-004</t>
  </si>
  <si>
    <t>BP 2006-0065</t>
  </si>
  <si>
    <t>Install Modular Studio Rental Cabin</t>
  </si>
  <si>
    <t>BP 2006-0066</t>
  </si>
  <si>
    <t>Install Modular Renal Cabin</t>
  </si>
  <si>
    <t>BP 2006-0067</t>
  </si>
  <si>
    <t>Instal Modular Studio Cabin</t>
  </si>
  <si>
    <t>BP 2006-0068</t>
  </si>
  <si>
    <t>Install Modular Laundry Building/Office</t>
  </si>
  <si>
    <t>BP 2006-0069</t>
  </si>
  <si>
    <t>Install Modular Studio Cabin</t>
  </si>
  <si>
    <t>BP 2006-0070</t>
  </si>
  <si>
    <t>BP 2006-0071</t>
  </si>
  <si>
    <t>Install Modular Studio Unit Cabin</t>
  </si>
  <si>
    <t>BP 2006-0072</t>
  </si>
  <si>
    <t>BP 2006-0073</t>
  </si>
  <si>
    <t>BP 2006-0074</t>
  </si>
  <si>
    <t>BP 2006-0075</t>
  </si>
  <si>
    <t>BP 2006-0076</t>
  </si>
  <si>
    <t>BP 2006-0077</t>
  </si>
  <si>
    <t>BP 2006-0078</t>
  </si>
  <si>
    <t>BP 2006-0079</t>
  </si>
  <si>
    <t>Install Modular ADA Rental Cabin</t>
  </si>
  <si>
    <t>BP 2006-0080</t>
  </si>
  <si>
    <t>Install  Modular Studio Rental Cabin</t>
  </si>
  <si>
    <t>BP 2006-0081</t>
  </si>
  <si>
    <t>Build 1 Bedroom Cabin Rental - Unit 18</t>
  </si>
  <si>
    <t>BP 2006-0082</t>
  </si>
  <si>
    <t>Build 1 Bedroom Cabin - Unit 19</t>
  </si>
  <si>
    <t>BP 2006-0083</t>
  </si>
  <si>
    <t>BP 2006-0084</t>
  </si>
  <si>
    <t>BP 2006-0085</t>
  </si>
  <si>
    <t>Short Term Cabin Rental Unit 22</t>
  </si>
  <si>
    <t>BP 2006-0086</t>
  </si>
  <si>
    <t>Install 1 Bedroom Modular Cabin - Unit 23</t>
  </si>
  <si>
    <t>BP 2006-0087</t>
  </si>
  <si>
    <t>Install 2 Bedroom Modular Home W/ Garage Unit 24</t>
  </si>
  <si>
    <t>BP 2006-0088</t>
  </si>
  <si>
    <t>Install 3 Bedroom Modular Home W/ Garage Unit 25</t>
  </si>
  <si>
    <t>BP 2006-0089</t>
  </si>
  <si>
    <t>BP 2006-0090</t>
  </si>
  <si>
    <t>BP 2006-0091</t>
  </si>
  <si>
    <t>BP 2006-0092</t>
  </si>
  <si>
    <t>BP 2006-0093</t>
  </si>
  <si>
    <t>Short Term Cabin Rental Unit 30</t>
  </si>
  <si>
    <t>BP 2006-0094</t>
  </si>
  <si>
    <t>Install 1 Bedroom Modular Cabin - Unit 31</t>
  </si>
  <si>
    <t>BP 2006-0095</t>
  </si>
  <si>
    <t>BP 2006-0096</t>
  </si>
  <si>
    <t>BP 2006-0097</t>
  </si>
  <si>
    <t>BP 2006-0098</t>
  </si>
  <si>
    <t>BP 2006-0099</t>
  </si>
  <si>
    <t>Build Barn for Storage</t>
  </si>
  <si>
    <t>BP 2006-0100</t>
  </si>
  <si>
    <t>Build Sunroom Addition w/Fireplace</t>
  </si>
  <si>
    <t>22-40-16-29-2-01-009</t>
  </si>
  <si>
    <t>BP 2006-0101</t>
  </si>
  <si>
    <t>Build 4 Bedroom, 2-Story Home W/ ARU above Garage</t>
  </si>
  <si>
    <t>22-39-15-32-2-00-020</t>
  </si>
  <si>
    <t>BP 2006-0102</t>
  </si>
  <si>
    <t>Build 275 sf Addition (Master Bath, Entry) to SFD; remodel stairway, upper entry</t>
  </si>
  <si>
    <t>22-41-17-14-1-01-003</t>
  </si>
  <si>
    <t>BP 2006-0103</t>
  </si>
  <si>
    <t>Build 4 Bedroom Home/ Garage</t>
  </si>
  <si>
    <t>22-42-16-22-3-08-003</t>
  </si>
  <si>
    <t>BP 2006-0104</t>
  </si>
  <si>
    <t>Enlarge Dining; Add Entry, Living, Bath, &amp; Master Bedroom to SFD</t>
  </si>
  <si>
    <t>22-41-16-06-1-01-012</t>
  </si>
  <si>
    <t>BP 2006-0105</t>
  </si>
  <si>
    <t>22-40-16-20-2-16-008</t>
  </si>
  <si>
    <t>BP 2006-0106</t>
  </si>
  <si>
    <t>1126 sq. ft. Master Bedroom Addition To SFD</t>
  </si>
  <si>
    <t>22-41-17-11-1-12-005</t>
  </si>
  <si>
    <t>BP 2006-0108</t>
  </si>
  <si>
    <t>Build 4 Bedroom Home w/Basement and Garage</t>
  </si>
  <si>
    <t>22-39-16-03-4-01-006</t>
  </si>
  <si>
    <t>BP 2006-0109</t>
  </si>
  <si>
    <t>Build Bathroom/Living Room Addition to Bunkhouse</t>
  </si>
  <si>
    <t>BP 2006-0110</t>
  </si>
  <si>
    <t>Build 4 Bedroom, 2-Story Home</t>
  </si>
  <si>
    <t>22-41-17-25-3-00-014</t>
  </si>
  <si>
    <t>BP 2006-0111</t>
  </si>
  <si>
    <t>Build Detached Garage w/Mudroom and Storage</t>
  </si>
  <si>
    <t>BP 2006-0112</t>
  </si>
  <si>
    <t>Add Master Bedrrom/Bath, Living Room to SFD</t>
  </si>
  <si>
    <t>B06-0165</t>
  </si>
  <si>
    <t>New SFNULL</t>
  </si>
  <si>
    <t>22-40-16-06-2-48-008</t>
  </si>
  <si>
    <t>B06-0166</t>
  </si>
  <si>
    <t>New SFSewer capacity fee $1858.00 3/4 water capacity fee $590.00 &amp; meter $283.00</t>
  </si>
  <si>
    <t>22-40-16-06-2-48-007</t>
  </si>
  <si>
    <t>B06-0167</t>
  </si>
  <si>
    <t>New SFSewer capacity fee $1858.00 3/4 water capacity and meter $873.00</t>
  </si>
  <si>
    <t>22-40-16-06-2-49-002</t>
  </si>
  <si>
    <t>B06-0168</t>
  </si>
  <si>
    <t>22-40-16-06-2-48-002</t>
  </si>
  <si>
    <t>B06-0169</t>
  </si>
  <si>
    <t>New SFSewer capacity fee $1858.00 3/4 water meter &amp; capacity fee $873.00</t>
  </si>
  <si>
    <t>22-40-16-06-2-48-001</t>
  </si>
  <si>
    <t>B06-0170</t>
  </si>
  <si>
    <t>New MFsewer capacity fee $1858.00 3/4 water capacity fee &amp; Meter 873.00</t>
  </si>
  <si>
    <t>22-40-16-06-2-49-008</t>
  </si>
  <si>
    <t>B06-0171</t>
  </si>
  <si>
    <t>New MFSewer capacity fee $1858.00 3/4 water meter and capacity fee $873.00</t>
  </si>
  <si>
    <t>22-40-16-06-2-49-009</t>
  </si>
  <si>
    <t>B06-0172</t>
  </si>
  <si>
    <t>New MFNULL</t>
  </si>
  <si>
    <t>22-40-16-06-2-49-010</t>
  </si>
  <si>
    <t>B06-0173</t>
  </si>
  <si>
    <t>New SFSewer capacity fee $1858.00 3/4 water meter and capacity fee $873.00</t>
  </si>
  <si>
    <t>22-40-16-06-2-49-011</t>
  </si>
  <si>
    <t>B06-0174</t>
  </si>
  <si>
    <t>22-40-16-06-2-49-012</t>
  </si>
  <si>
    <t>B06-0175</t>
  </si>
  <si>
    <t>22-40-16-06-2-49-006</t>
  </si>
  <si>
    <t>B06-0176</t>
  </si>
  <si>
    <t>New SFSewer capacity fee $1858.00 3/4 water capacity fee and meter $ 873.00</t>
  </si>
  <si>
    <t>22-40-16-06-2-49-007</t>
  </si>
  <si>
    <t>B06-0177</t>
  </si>
  <si>
    <t>22-40-16-06-2-49-003</t>
  </si>
  <si>
    <t>B06-0178</t>
  </si>
  <si>
    <t>New MFSewer capacity fee $1858.00 3/4 water capacity and Meter $873.00</t>
  </si>
  <si>
    <t>22-40-16-06-2-49-005</t>
  </si>
  <si>
    <t>B06-0179</t>
  </si>
  <si>
    <t>New MFSewer capacity fee $1858.00 3/4 water capacity fee &amp; Meter 873.00</t>
  </si>
  <si>
    <t>22-40-16-06-2-49-004</t>
  </si>
  <si>
    <t>BP 2006-0113</t>
  </si>
  <si>
    <t>Build 4 Bedroom, 2-Story Home w/Basement</t>
  </si>
  <si>
    <t>BP 2006-0114</t>
  </si>
  <si>
    <t>22-40-17-12-4-01-068</t>
  </si>
  <si>
    <t>B06-0182</t>
  </si>
  <si>
    <t>New SFSewer Capacity Fee $1858.00 3/4 water capacity fee &amp; Meter $873.00</t>
  </si>
  <si>
    <t>22-40-16-06-2-48-022</t>
  </si>
  <si>
    <t>B06-0183</t>
  </si>
  <si>
    <t>New SFSewer capacity fee $1858.00 3/4 water capacity fee &amp; Meter = $ 873.00</t>
  </si>
  <si>
    <t>22-40-16-06-2-48-023</t>
  </si>
  <si>
    <t>B06-0184</t>
  </si>
  <si>
    <t>22-40-16-06-2-48-016</t>
  </si>
  <si>
    <t>B06-0185</t>
  </si>
  <si>
    <t>New SFSewer Capacity fee $1858.00 3/4 water capacity fee &amp; Meter $873.00</t>
  </si>
  <si>
    <t>22-40-16-06-2-48-017</t>
  </si>
  <si>
    <t>B06-0186</t>
  </si>
  <si>
    <t>22-40-16-06-2-48-024</t>
  </si>
  <si>
    <t>B06-0187</t>
  </si>
  <si>
    <t>NEW SFSewer capacity fee $1858.00 3/4 water capacity &amp; meter $873.00</t>
  </si>
  <si>
    <t>22-40-16-06-2-48-025</t>
  </si>
  <si>
    <t>B06-0188</t>
  </si>
  <si>
    <t>22-40-16-06-2-48-020</t>
  </si>
  <si>
    <t>B06-0189</t>
  </si>
  <si>
    <t>New SFSewer capacity fee $1858.00 3/4 water meter &amp; Capacity fee $873.00</t>
  </si>
  <si>
    <t>22-40-16-06-2-48-021</t>
  </si>
  <si>
    <t>B06-0190</t>
  </si>
  <si>
    <t>New 2 unit condo2 1-bedroom with washer &amp; Dryer @ $930.00 each = $ 1860.00 2- 3/4 water capacity fee &amp; meter @ 873.00 each - $ 1746.00</t>
  </si>
  <si>
    <t>22-40-16-06-2-48-003</t>
  </si>
  <si>
    <t>B06-0191</t>
  </si>
  <si>
    <t>New 2 unit condo2 1-bedroom with washer &amp; dryer @ $930.00 each =1860.00  2 - 3/4 water capacity fee $590.00 each = $1180.00 and 2 3/4 water meter $ 283.00 each $ 566.00</t>
  </si>
  <si>
    <t>22-40-16-06-2-48-005</t>
  </si>
  <si>
    <t>B06-0192</t>
  </si>
  <si>
    <t>22-40-16-06-2-48-018</t>
  </si>
  <si>
    <t>B06-0193</t>
  </si>
  <si>
    <t>New SFSewer capacity fee $1858.00 3/4 water meter and capacity fee $ 873.00</t>
  </si>
  <si>
    <t>22-40-16-06-2-48-019</t>
  </si>
  <si>
    <t>B06-0194</t>
  </si>
  <si>
    <t>New 2 unit condoSewer capacity fee 2 1-bedroom@ $930.00 each = $ 1860.00: 2 3/4 water capacity fee and meter$1746.00</t>
  </si>
  <si>
    <t>22-40-16-06-2-48-013</t>
  </si>
  <si>
    <t>B06-0195</t>
  </si>
  <si>
    <t>New condoSewer capacity fee $1858.00 3/4 water capacity fee and meter = $ 873.00</t>
  </si>
  <si>
    <t>22-40-16-06-2-48-015</t>
  </si>
  <si>
    <t>B06-0196</t>
  </si>
  <si>
    <t>New 2 unit condoSewer capacity fee  2 1-bedroom with w/d @ $930.00 each = $ 1860.00  2 3/4 water capacity fee &amp; Meter = $ 1746.00</t>
  </si>
  <si>
    <t>22-40-16-06-2-48-009</t>
  </si>
  <si>
    <t>B06-0197</t>
  </si>
  <si>
    <t>New 2 unit condoSewer Capacity Fee 2 1-bedroom @$930.00= $1860.00 2 3/4 water meter @ $283.00 = $ 566.00 and 2 3/4 water capacity fee @ $590.00 each = $ 1180.00</t>
  </si>
  <si>
    <t>22-40-16-06-2-48-011</t>
  </si>
  <si>
    <t>BP 2006-0115</t>
  </si>
  <si>
    <t>Build 4 Bedroom Log Home w/Finished Basement</t>
  </si>
  <si>
    <t>22-40-17-10-3-03-013</t>
  </si>
  <si>
    <t>BP 2006-0116</t>
  </si>
  <si>
    <t>Build Detached Log Garage w/Storage above</t>
  </si>
  <si>
    <t>BP 2006-0117</t>
  </si>
  <si>
    <t>Build Office Addition</t>
  </si>
  <si>
    <t>22-40-16-17-1-00-016</t>
  </si>
  <si>
    <t>BP 2005-0245R</t>
  </si>
  <si>
    <t>add 3' to garage wing</t>
  </si>
  <si>
    <t>BP 2006-0118</t>
  </si>
  <si>
    <t>Build Metal Building for Rock Gym</t>
  </si>
  <si>
    <t>BP 2006-0119</t>
  </si>
  <si>
    <t>Convert portions of Existing Garage/Workshop to ARU</t>
  </si>
  <si>
    <t>22-44-18-19-4-00-005</t>
  </si>
  <si>
    <t>BP 2006-0120</t>
  </si>
  <si>
    <t>22-40-17-12-4-01-045</t>
  </si>
  <si>
    <t>BP 2006-0121</t>
  </si>
  <si>
    <t>Install Modular Home W/ Finished Basement &amp; Garage</t>
  </si>
  <si>
    <t>22-45-13-20-3-02-013</t>
  </si>
  <si>
    <t>B06-0215</t>
  </si>
  <si>
    <t>New Single FamilyClosed because applicant sold lot. Plan and doc thrown away 4/6/07 KB</t>
  </si>
  <si>
    <t>22-41-16-33-3-07-001</t>
  </si>
  <si>
    <t>BP 2005-0249R</t>
  </si>
  <si>
    <t>Revisions to basement level</t>
  </si>
  <si>
    <t>BP 2006-0123</t>
  </si>
  <si>
    <t>Add Bedroom, Bath, Garage, Remodel Kitchen and Rooftop Deck w/Hot Tub</t>
  </si>
  <si>
    <t>22-41-16-28-2-02-012</t>
  </si>
  <si>
    <t>BP 2006-0124</t>
  </si>
  <si>
    <t>Build 5 Bedroom Home w/Garage</t>
  </si>
  <si>
    <t>22-42-16-11-2-02-002</t>
  </si>
  <si>
    <t>BP 2006-0125</t>
  </si>
  <si>
    <t>Interior Modifications to Comm. Bldg; Add Mezzanine for Storage</t>
  </si>
  <si>
    <t>22-40-16-17-4-16-006</t>
  </si>
  <si>
    <t>BP 2006-0126</t>
  </si>
  <si>
    <t>Build 2 Story Addition w/Bedroom,Bath and Living Room to SFD</t>
  </si>
  <si>
    <t>22-40-16-17-2-02-078</t>
  </si>
  <si>
    <t>BP 2006-0127</t>
  </si>
  <si>
    <t>Build New Horse Barn/Stalls</t>
  </si>
  <si>
    <t>BP 2006-0128</t>
  </si>
  <si>
    <t>Build New Hay Barn</t>
  </si>
  <si>
    <t>BP 2006-0129</t>
  </si>
  <si>
    <t>Add Dormers &amp; Entry to SFD</t>
  </si>
  <si>
    <t>22-42-16-34-2-03-007</t>
  </si>
  <si>
    <t>BP 2006-0130</t>
  </si>
  <si>
    <t>Build 2 Bedroom, 2-Story Home w/Partially Finished Basement and Garage</t>
  </si>
  <si>
    <t>22-42-16-15-4-09-004</t>
  </si>
  <si>
    <t>B06-0233</t>
  </si>
  <si>
    <t>New single Family HomeSewer Capacity $1858.00 1 inch water capacity fee $1050.00 &amp; meter $382.00</t>
  </si>
  <si>
    <t>22-41-16-33-3-07-047</t>
  </si>
  <si>
    <t>BP 2006-0131</t>
  </si>
  <si>
    <t>Add Unfinished Storage, 2 Bedroom ARU to existing Garage</t>
  </si>
  <si>
    <t>22-41-17-21-3-00-012</t>
  </si>
  <si>
    <t>BP 2006-0132</t>
  </si>
  <si>
    <t>Cover Porches &amp; Exterior Work To SFD</t>
  </si>
  <si>
    <t>22-41-17-33-3-03-045</t>
  </si>
  <si>
    <t>BP 2006-0133</t>
  </si>
  <si>
    <t>Build 5 Bedroom Home w/ Finished Basement and Garage  8/19/09 owner/app. number changed no way to call VA</t>
  </si>
  <si>
    <t>22-41-16-16-4-08-005</t>
  </si>
  <si>
    <t>BP 2006-0134</t>
  </si>
  <si>
    <t>Remove existing mobile home &amp; replace with new unit</t>
  </si>
  <si>
    <t>22-41-17-13-2-00-040</t>
  </si>
  <si>
    <t>B06-0244</t>
  </si>
  <si>
    <t>Addition to existing churchSewer capacity fee 959 x 30 = $28770 less $10800 (existing credit) = $17970.00</t>
  </si>
  <si>
    <t>22-41-16-31-4-14-114</t>
  </si>
  <si>
    <t>B06-0247</t>
  </si>
  <si>
    <t>22-41-16-31-4-14-100</t>
  </si>
  <si>
    <t>B06-0248</t>
  </si>
  <si>
    <t>New short term units 4 SF &amp; 1 mgr apt4 @ $1858.00 = $7432.00 1 mgr aprt $744.00 4- 1 inch water lines@ $1050.00 each = $ 4200.00: 4 1-inch water meter @ $1528.00 4-inch fire line $1200.00 1 3/4 water meter and capacity fee $873.00: Credits from the Teton Inn for water and sewer: water 1 inch water line $1050.00 $ 3/4 water line for $590.00 Sewer: 14 motels untis @ $843.00 = $11802.00.</t>
  </si>
  <si>
    <t>22-41-16-28-4-28-001</t>
  </si>
  <si>
    <t>BP 2006-0135</t>
  </si>
  <si>
    <t>Add Bedroom/Bath and Office to SFD</t>
  </si>
  <si>
    <t>22-42-17-24-1-01-005</t>
  </si>
  <si>
    <t>BP 2006-0136</t>
  </si>
  <si>
    <t>Add Living Room/Office and Expand Deck of SFD</t>
  </si>
  <si>
    <t>22-40-16-18-3-06-021</t>
  </si>
  <si>
    <t>BP 2006-0137</t>
  </si>
  <si>
    <t>BP 2006-0139</t>
  </si>
  <si>
    <t>Add to Dining Room, Master Bed &amp; Bath to SFD</t>
  </si>
  <si>
    <t>22-41-17-22-4-14-016</t>
  </si>
  <si>
    <t>BP 2005-0252R</t>
  </si>
  <si>
    <t>Structural Modifications to BP2005-0252</t>
  </si>
  <si>
    <t>BP 2006-0140</t>
  </si>
  <si>
    <t>Build 4 Bedroom, 2-Story Home w/ Garage</t>
  </si>
  <si>
    <t>22-40-17-12-4-01-043</t>
  </si>
  <si>
    <t>BP 2006-0141</t>
  </si>
  <si>
    <t>22-40-17-12-4-01-047</t>
  </si>
  <si>
    <t>BP 2006-0142</t>
  </si>
  <si>
    <t>Build Golf Course Club House</t>
  </si>
  <si>
    <t>BP 2006-0143</t>
  </si>
  <si>
    <t>New Golf Course Pro Shop</t>
  </si>
  <si>
    <t>BP 2006-0144</t>
  </si>
  <si>
    <t>Build storage barn</t>
  </si>
  <si>
    <t>22-40-16-18-3-06-002</t>
  </si>
  <si>
    <t>BP 2006-0145</t>
  </si>
  <si>
    <t>Add 2 bedrooms &amp; 2 baths to log SFD</t>
  </si>
  <si>
    <t>22-42-16-22-1-04-004</t>
  </si>
  <si>
    <t>BP 2006-0146</t>
  </si>
  <si>
    <t>Add Dining &amp; Media Room to SFD; Remodel Remaining</t>
  </si>
  <si>
    <t>BP 2006-0147</t>
  </si>
  <si>
    <t>Move on Cabin to use as ARU (Guest House)</t>
  </si>
  <si>
    <t>22-41-17-23-2-00-042</t>
  </si>
  <si>
    <t>BP 2006-0148</t>
  </si>
  <si>
    <t>22-41-17-14-1-22-004</t>
  </si>
  <si>
    <t>BP 2006-0149</t>
  </si>
  <si>
    <t>Build New Fitness Center</t>
  </si>
  <si>
    <t>BP 2006-0150</t>
  </si>
  <si>
    <t>Build 4 Bedroom Home w/ Basement and Garage</t>
  </si>
  <si>
    <t>22-42-17-35-1-00-038</t>
  </si>
  <si>
    <t>BP 2006-0151</t>
  </si>
  <si>
    <t>Replace existing deck and stairway to resturaunt</t>
  </si>
  <si>
    <t>22-40-16-20-1-01-016</t>
  </si>
  <si>
    <t>BP 2006-0227</t>
  </si>
  <si>
    <t>Build Accessory Garage</t>
  </si>
  <si>
    <t>B06-0283</t>
  </si>
  <si>
    <t>Accessory UnitSewer capacity fee $ 930.00 3/4 water capacity fee and meter $873.00</t>
  </si>
  <si>
    <t>22-41-16-34-2-26-008</t>
  </si>
  <si>
    <t>B06-0284</t>
  </si>
  <si>
    <t>2 story house&amp; accessory unitSewer capacity fee: $1858.00 for main resdience and $930.00 for accessory unit. 3/4 water meter and capacity fee $ 873.00</t>
  </si>
  <si>
    <t>BP 2006-0152</t>
  </si>
  <si>
    <t>Build 2 Bedroom, 2-Story ARU above Garage</t>
  </si>
  <si>
    <t>22-41-16-11-2-00-017</t>
  </si>
  <si>
    <t>BP 2006-0153</t>
  </si>
  <si>
    <t>22-41-17-27-1-05-002</t>
  </si>
  <si>
    <t>BP 2006-0154</t>
  </si>
  <si>
    <t>Remodel and Addition to SFD</t>
  </si>
  <si>
    <t>22-40-16-29-2-01-002</t>
  </si>
  <si>
    <t>BP 2006-0155</t>
  </si>
  <si>
    <t>22-41-17-13-2-06-005</t>
  </si>
  <si>
    <t>B06-0286</t>
  </si>
  <si>
    <t>New commercial building/SF dwelling unitSewer capacity fee 6450 sf/100=64.5 x$21.00= $ 1354.50: 1 2-bedroom apartment $1858.00  2 inch water capacity fee &amp; meter $5537.25 Fee in lieu of parking $5396.48 Landscape Bond $15025.00</t>
  </si>
  <si>
    <t>22-41-16-32-3-02-004</t>
  </si>
  <si>
    <t>BP 2006-0156</t>
  </si>
  <si>
    <t>22-40-16-20-1-15-029</t>
  </si>
  <si>
    <t>BP 2006-0157</t>
  </si>
  <si>
    <t>Remove Existing Garage; Add New Garage, Master Bedroom Suite, Exercise Room, Sto</t>
  </si>
  <si>
    <t>22-41-16-17-2-01-002</t>
  </si>
  <si>
    <t>BP 2006-0158</t>
  </si>
  <si>
    <t>Build 3 Bedroom, 2-Story Home</t>
  </si>
  <si>
    <t>22-41-17-23-2-02-003</t>
  </si>
  <si>
    <t>BP 2005-0202R</t>
  </si>
  <si>
    <t>Amend Lower Level Floor Plan, Structural Design</t>
  </si>
  <si>
    <t>BP 2006-0160</t>
  </si>
  <si>
    <t>Expand Entry,  Replace Windows, &amp; Re-Side SFD</t>
  </si>
  <si>
    <t>22-40-16-18-1-06-025</t>
  </si>
  <si>
    <t>B06-0303</t>
  </si>
  <si>
    <t>Permit for 15 unit apartment building10 2-bedroom unit and 5 1-bedroom units</t>
  </si>
  <si>
    <t>B06-0304</t>
  </si>
  <si>
    <t>Permit for 15 unit apartment building14 2-bedroom units and 1 1-bedroom unit</t>
  </si>
  <si>
    <t>B06-0305</t>
  </si>
  <si>
    <t>Permit for 14 unit apartment9 2-bedroom units and 5 1-bedroom units</t>
  </si>
  <si>
    <t>B06-0306</t>
  </si>
  <si>
    <t>Permit for 11 unit apartment6 2-bedroom units and 5 1-bedroom units:</t>
  </si>
  <si>
    <t>B06-0307</t>
  </si>
  <si>
    <t>residence w/ 2 apartmentssewer &amp; water fees:  2 1-bedroom apartments with w/d @ 930.00 each = $1860.00 1 2- bedrooom @ $1858.00: 3 3/4 water capacity fee and meter @ $873.00 each = $2619.00: credit 3 1-bedroom without w/d @ $744.00 each =$2232.00 2 3/4 meter &amp; capcity fee @ $873.00 each= $1746.00</t>
  </si>
  <si>
    <t>22-41-16-33-1-33-007</t>
  </si>
  <si>
    <t>BP 2006-0161</t>
  </si>
  <si>
    <t>22-41-17-25-4-06-017</t>
  </si>
  <si>
    <t>BP 2005-0224R</t>
  </si>
  <si>
    <t>Enlarge Guest Quarters and Garage to include Offices and Studio</t>
  </si>
  <si>
    <t>BP 2006-0162</t>
  </si>
  <si>
    <t>Remodel Existing Vet Clinic to Dance/Rec Hall</t>
  </si>
  <si>
    <t>BP 2006-0163</t>
  </si>
  <si>
    <t>Build 3 Bedroom Home w/ Finished Basement and Garage</t>
  </si>
  <si>
    <t>22-41-16-28-2-02-018</t>
  </si>
  <si>
    <t>BP 2006-0164</t>
  </si>
  <si>
    <t>Build 3 Bedroom Home w/ Garage</t>
  </si>
  <si>
    <t>22-40-16-20-1-15-028</t>
  </si>
  <si>
    <t>BP 2006-0165</t>
  </si>
  <si>
    <t>22-41-16-21-3-15-008</t>
  </si>
  <si>
    <t>BP 2005-0231R</t>
  </si>
  <si>
    <t>Add 2 Windows, raise 2nd floor 1ft., lower garage slab 6", fix staircases</t>
  </si>
  <si>
    <t>BP 2006-0166</t>
  </si>
  <si>
    <t>Add Laundry Room, Garage, Guest Suite; Remodel Kitchen</t>
  </si>
  <si>
    <t>22-40-16-35-4-15-002</t>
  </si>
  <si>
    <t>BP 2006-0167</t>
  </si>
  <si>
    <t>Build in-ground Spa &amp; Mechanical Vault</t>
  </si>
  <si>
    <t>BP 2005-0316R</t>
  </si>
  <si>
    <t>Modify Permitted Garage - Reduce size by 100 sf</t>
  </si>
  <si>
    <t>BP 2006-0168</t>
  </si>
  <si>
    <t>22-41-17-14-3-25-003</t>
  </si>
  <si>
    <t>BP 2006-0169</t>
  </si>
  <si>
    <t>Add 4 bedrooms, 4 bathrooms, and relocate kitchen to SFD</t>
  </si>
  <si>
    <t>22-42-16-21-3-00-010</t>
  </si>
  <si>
    <t>BP 2006-0170</t>
  </si>
  <si>
    <t>22-41-17-23-2-10-011</t>
  </si>
  <si>
    <t>B06-0329</t>
  </si>
  <si>
    <t>TownhomeSewer capacity fee $1858.00  1-inch water capacity fee and meter $ 1432.00</t>
  </si>
  <si>
    <t>22-41-16-34-1-90-001</t>
  </si>
  <si>
    <t>B06-0330</t>
  </si>
  <si>
    <t>New townhomeSewer connect $1858.00 1-inch water meter and capacity fee $1432.00</t>
  </si>
  <si>
    <t>22-41-16-34-1-90-002</t>
  </si>
  <si>
    <t>B06-0331</t>
  </si>
  <si>
    <t>new TownhomeSewer connect $1858.00 1 inch water meter and capacity fee $1432.00</t>
  </si>
  <si>
    <t>22-41-16-34-1-90-003</t>
  </si>
  <si>
    <t>B06-0332</t>
  </si>
  <si>
    <t>New 3-unit condo3- 3/4 water meter &amp; Capacity fee = $ 2619.00 3 sewer capacity fee @ $1858.00 = $ 5574.00</t>
  </si>
  <si>
    <t>22-41-16-34-1-93-001</t>
  </si>
  <si>
    <t>BP 2006-0171</t>
  </si>
  <si>
    <t>Install Modular Employee Housing</t>
  </si>
  <si>
    <t>22-42-16-19-4-02-002</t>
  </si>
  <si>
    <t>BP 2006-0173</t>
  </si>
  <si>
    <t>Build 6 Bedroom Home w/Finished Basement and ARU above Garage</t>
  </si>
  <si>
    <t>22-41-16-10-1-00-003</t>
  </si>
  <si>
    <t>BP 2006-0174</t>
  </si>
  <si>
    <t>Build 2 Story Home w/Garage</t>
  </si>
  <si>
    <t>22-41-16-16-4-08-011</t>
  </si>
  <si>
    <t>B06-0342</t>
  </si>
  <si>
    <t>New single Family3/4 water capacity fee &amp; meter $873.00 Sewer capacity fee $1858.00    (6/1/2007 09:14  KB)  CLOSED APPLICANT DID NOT PICK UP PERMIT</t>
  </si>
  <si>
    <t>22-41-16-34-1-21-003</t>
  </si>
  <si>
    <t>BP 2006-0177</t>
  </si>
  <si>
    <t>Porch Addition</t>
  </si>
  <si>
    <t>22-42-16-28-1-12-009</t>
  </si>
  <si>
    <t>BP 2006-0178</t>
  </si>
  <si>
    <t>Build 3 Bedroom Home w/Indoor Pool, Basement and Garage</t>
  </si>
  <si>
    <t>22-44-18-19-1-03-004</t>
  </si>
  <si>
    <t>BP 2006-0179</t>
  </si>
  <si>
    <t>New Commercial Storage Units</t>
  </si>
  <si>
    <t>BP 2006-0180</t>
  </si>
  <si>
    <t>Build Garage w/Upper Level Storage</t>
  </si>
  <si>
    <t>22-45-13-21-1-03-002</t>
  </si>
  <si>
    <t>B06-0352</t>
  </si>
  <si>
    <t>move a existing SF onto lotapplicant did not do project. closed file on 3/13/09 kb</t>
  </si>
  <si>
    <t>BP 2006-0050R</t>
  </si>
  <si>
    <t>Change to slab on grade &amp; addition of 56Sq. Ft. @ kitchen nook.</t>
  </si>
  <si>
    <t>BP 2006-0181</t>
  </si>
  <si>
    <t>Move on 1056 SQ. FT. Storage Barn</t>
  </si>
  <si>
    <t>22-45-18-33-3-01-002</t>
  </si>
  <si>
    <t>BP 2006-0182</t>
  </si>
  <si>
    <t>New Guest Quarters (no-kitchen)</t>
  </si>
  <si>
    <t>BP 2006-0183</t>
  </si>
  <si>
    <t>Build 3 Bedroom Home</t>
  </si>
  <si>
    <t>BP 2005-0078R</t>
  </si>
  <si>
    <t>Change config, add partial basement, omit of ARU above garage</t>
  </si>
  <si>
    <t>BP 2006-0184</t>
  </si>
  <si>
    <t>Employee Housing Units</t>
  </si>
  <si>
    <t>BP 2006-0185</t>
  </si>
  <si>
    <t>Build Garage With Guest Bedroom &amp; Office Above (no Kitchen)</t>
  </si>
  <si>
    <t>22-45-18-32-4-01-003</t>
  </si>
  <si>
    <t>BP 2006-0187</t>
  </si>
  <si>
    <t>Build 3 Car Garage W/ Guestroom, Bath, Media and Exercise Areas</t>
  </si>
  <si>
    <t>BP 2006-0188</t>
  </si>
  <si>
    <t>Add 1 Bedroom, Bath, and Storage Basement to employee housing</t>
  </si>
  <si>
    <t>22-39-15-32-2-00-013</t>
  </si>
  <si>
    <t>BP 2006-0189</t>
  </si>
  <si>
    <t>Build Family Room Addition w/Basement Storage Below</t>
  </si>
  <si>
    <t>22-40-16-18-3-00-070</t>
  </si>
  <si>
    <t>BP 2006-0190</t>
  </si>
  <si>
    <t>22-42-16-22-4-00-042</t>
  </si>
  <si>
    <t>BP 2006-0191</t>
  </si>
  <si>
    <t>22-44-18-20-3-03-011</t>
  </si>
  <si>
    <t>BP 2006-0192</t>
  </si>
  <si>
    <t>Build 2 Bedroom Cabin (Future ARU)</t>
  </si>
  <si>
    <t>22-40-17-24-1-00-016</t>
  </si>
  <si>
    <t>BP 2006-0193</t>
  </si>
  <si>
    <t>BP 2006-0194</t>
  </si>
  <si>
    <t>Interior remodel of existing laundry room into new bath &amp; new laundry room</t>
  </si>
  <si>
    <t>22-41-17-27-1-03-001</t>
  </si>
  <si>
    <t>BP 2006-0195</t>
  </si>
  <si>
    <t>Change stone exterior to Montana Stone; Install double doors; add  zc fireplace</t>
  </si>
  <si>
    <t>BP 2006-0196</t>
  </si>
  <si>
    <t>New Spa #1</t>
  </si>
  <si>
    <t>BP 2006-0197</t>
  </si>
  <si>
    <t>New Spa #2</t>
  </si>
  <si>
    <t>BP 2006-0198</t>
  </si>
  <si>
    <t>22-41-17-25-3-00-049</t>
  </si>
  <si>
    <t>BP 2005-0062R</t>
  </si>
  <si>
    <t>Revision of Architectural Sheets for Fireplaces (A6.01 - A6.08)</t>
  </si>
  <si>
    <t>BP 2006-0199</t>
  </si>
  <si>
    <t>Interior remodel &amp; bed &amp; bath addition to SFD</t>
  </si>
  <si>
    <t>BP 2006-0200</t>
  </si>
  <si>
    <t>22-41-17-14-1-02-001</t>
  </si>
  <si>
    <t>BP 2006-0201</t>
  </si>
  <si>
    <t>Build 3 Bedroom Home w/Upper Level Storage and Garage</t>
  </si>
  <si>
    <t>22-42-16-27-4-12-006</t>
  </si>
  <si>
    <t>B06-0375</t>
  </si>
  <si>
    <t>Remodel/ additionNULL</t>
  </si>
  <si>
    <t>22-41-16-32-4-09-010</t>
  </si>
  <si>
    <t>B06-0376</t>
  </si>
  <si>
    <t>New single FamilySewer capacity fee $1858.00 3/4 water meter &amp; capacity fee $873.00    (6/5/2009 15:43  KB)  no final requested closed file on 6/5/09 per Billy Nunn kb</t>
  </si>
  <si>
    <t>22-41-16-34-1-31-014</t>
  </si>
  <si>
    <t>BP 2006-0202</t>
  </si>
  <si>
    <t>Build 3 Bedroom, 2-Story Home w/Finished Basement and Garage</t>
  </si>
  <si>
    <t>22-41-16-06-1-01-001</t>
  </si>
  <si>
    <t>BP 2006-0205</t>
  </si>
  <si>
    <t>22-40-16-29-2-01-008</t>
  </si>
  <si>
    <t>BP 2006-0206</t>
  </si>
  <si>
    <t>Remodel/Addition to Existing Restaurant</t>
  </si>
  <si>
    <t>22-41-17-13-2-00-029</t>
  </si>
  <si>
    <t>B06-0399</t>
  </si>
  <si>
    <t>22-40-16-06-2-13-004</t>
  </si>
  <si>
    <t>B06-0400</t>
  </si>
  <si>
    <t>New single FamilySewer capacity fee $1858.00 3/4 water meter &amp; Capacity fee 873.00</t>
  </si>
  <si>
    <t>22-41-16-34-4-04-027</t>
  </si>
  <si>
    <t>B06-0409</t>
  </si>
  <si>
    <t>New single FamilySewer capacity fee $1858.00 1 inch water meter and capacity fee $ 1432.00</t>
  </si>
  <si>
    <t>22-41-16-34-4-04-015</t>
  </si>
  <si>
    <t>BP 2006-0207</t>
  </si>
  <si>
    <t>Add New Entry &amp; One Car Garage to SFD</t>
  </si>
  <si>
    <t>BP 2006-0208</t>
  </si>
  <si>
    <t>Demolish existing home; build 2-Story Home w/ Garage</t>
  </si>
  <si>
    <t>22-41-17-25-4-06-006</t>
  </si>
  <si>
    <t>BP 2006-0209</t>
  </si>
  <si>
    <t>Add Music Studio with Deck On Roof</t>
  </si>
  <si>
    <t>22-41-17-33-1-00-033</t>
  </si>
  <si>
    <t>BP 2006-0210</t>
  </si>
  <si>
    <t>Move existing building to be used for perminent check in for tennis players</t>
  </si>
  <si>
    <t>BP 2006-0211</t>
  </si>
  <si>
    <t>Build Storage Barn</t>
  </si>
  <si>
    <t>22-40-16-19-2-01-012</t>
  </si>
  <si>
    <t>BP 2006-0212</t>
  </si>
  <si>
    <t>22-41-16-21-1-05-015</t>
  </si>
  <si>
    <t>BP 2006-0213</t>
  </si>
  <si>
    <t>bathroom addition to SFD</t>
  </si>
  <si>
    <t>22-41-17-23-2-10-003</t>
  </si>
  <si>
    <t>BP 2006-0214</t>
  </si>
  <si>
    <t>New Fireplace Chimney</t>
  </si>
  <si>
    <t>22-41-17-11-1-69-001</t>
  </si>
  <si>
    <t>BP 2006-0215</t>
  </si>
  <si>
    <t>Build 3 Bedroom Home w/Garabe</t>
  </si>
  <si>
    <t>22-42-16-28-4-10-007</t>
  </si>
  <si>
    <t>BP 2006-0216</t>
  </si>
  <si>
    <t>Add 2954 Sq. Ft. and Exterior Remodel to Music Festival Hall</t>
  </si>
  <si>
    <t>22-42-17-24-4-01-024</t>
  </si>
  <si>
    <t>BP 2006-0217</t>
  </si>
  <si>
    <t>Mudroom addition &amp; stairs to access space above garage to SFD</t>
  </si>
  <si>
    <t>22-41-17-22-1-01-020</t>
  </si>
  <si>
    <t>BP 2006-0146R</t>
  </si>
  <si>
    <t>Structural Changes</t>
  </si>
  <si>
    <t>BP 2006-0218</t>
  </si>
  <si>
    <t>Install 1 bedroom modular home w/garage</t>
  </si>
  <si>
    <t>22-40-16-20-1-15-024</t>
  </si>
  <si>
    <t>BP 2006-0219</t>
  </si>
  <si>
    <t>Add Study, Bath and Utility Room to SFD</t>
  </si>
  <si>
    <t>22-39-16-34-1-00-003</t>
  </si>
  <si>
    <t>BP 2006-0220</t>
  </si>
  <si>
    <t>Shell Only New Medical/Professional Bldg. (North Building)</t>
  </si>
  <si>
    <t>22-41-17-22-4-15-081</t>
  </si>
  <si>
    <t>BP 2006-0221</t>
  </si>
  <si>
    <t>Shell Only New Medical/Professional Bldg. (South Bldg)</t>
  </si>
  <si>
    <t>BP 2006-0222</t>
  </si>
  <si>
    <t>Install 2 Bedroom MOdular Home with Garage</t>
  </si>
  <si>
    <t>22-40-16-20-1-15-006</t>
  </si>
  <si>
    <t>BP 2006-0223</t>
  </si>
  <si>
    <t>22-40-16-19-2-01-002</t>
  </si>
  <si>
    <t>B06-0426</t>
  </si>
  <si>
    <t>New single Familyno sewer, water or meter fee due because of existing home that is being torn down for this project.    (10/22/2009 14:35  KB)  applicant did not call back for another final after the 1st one failed. closed file on 10/22/09 kb</t>
  </si>
  <si>
    <t>BP 2006-0224</t>
  </si>
  <si>
    <t>600 Sq. Ft. Addition to SFD</t>
  </si>
  <si>
    <t>22-45-13-20-3-02-008</t>
  </si>
  <si>
    <t>BP 2006-0225</t>
  </si>
  <si>
    <t>Build 3 Bedrom Home w/Finished Basement</t>
  </si>
  <si>
    <t>22-44-18-20-3-13-001</t>
  </si>
  <si>
    <t>BP 2006-0226</t>
  </si>
  <si>
    <t>BP 2006-0228</t>
  </si>
  <si>
    <t>New Barn/Storage</t>
  </si>
  <si>
    <t>22-44-18-16-2-00-008</t>
  </si>
  <si>
    <t>BP 2006-0230</t>
  </si>
  <si>
    <t>Repair, enlarge, and enclose bottom portion of commercial deck</t>
  </si>
  <si>
    <t>BP 2006-0231</t>
  </si>
  <si>
    <t>22-39-16-26-2-03-005</t>
  </si>
  <si>
    <t>BP 2006-0232</t>
  </si>
  <si>
    <t>Add Master Bedroom, Bath, 2nd floor w/2 Bedrooms, Bath</t>
  </si>
  <si>
    <t>22-40-16-17-2-01-028</t>
  </si>
  <si>
    <t>BP 2006-0233</t>
  </si>
  <si>
    <t>Remodel Interior of SFD; Replace Exterior Deck/Stairs</t>
  </si>
  <si>
    <t>22-41-17-21-3-00-022</t>
  </si>
  <si>
    <t>BP 2006-0234</t>
  </si>
  <si>
    <t>Add. Master Suite, Recreation and Living Room addition to SFD</t>
  </si>
  <si>
    <t>BP 2006-0236</t>
  </si>
  <si>
    <t>Add New Entry Porch, a Shed and expand Decks</t>
  </si>
  <si>
    <t>22-40-17-10-3-03-017</t>
  </si>
  <si>
    <t>BP 2006-0237</t>
  </si>
  <si>
    <t>Demo Existing SFD &amp; Build 2-Story Log Cabin w/Unfinished Basement</t>
  </si>
  <si>
    <t>22-45-12-21-2-00-026</t>
  </si>
  <si>
    <t>BP 2006-0238</t>
  </si>
  <si>
    <t>Build 2-Story Home w/Garage</t>
  </si>
  <si>
    <t>22-39-16-34-1-06-009</t>
  </si>
  <si>
    <t>BP 2006-0239</t>
  </si>
  <si>
    <t>Build 2 Stone-Faced Retaining Walls</t>
  </si>
  <si>
    <t>BP 2006-0240</t>
  </si>
  <si>
    <t>Add Sunroom to Home</t>
  </si>
  <si>
    <t>BP 2006-0241</t>
  </si>
  <si>
    <t>Add Two Car Garage Bay and Green House to SFD</t>
  </si>
  <si>
    <t>22-42-16-28-1-12-008</t>
  </si>
  <si>
    <t>B06-0448</t>
  </si>
  <si>
    <t>New counseling centerFees: sewer capacity fee 9273/100 x $126.00 $11,718.00 Fire Line $1200.00 1-inch water capacity fee &amp; Meter $1432.00:  Credits: Sewer capacity fee $1858.00 3/4 water capacity fee &amp; meter $873.00</t>
  </si>
  <si>
    <t>22-41-16-34-1-56-003</t>
  </si>
  <si>
    <t>BP 2006-0124R</t>
  </si>
  <si>
    <t>Minor expansion of Garage and Living Area of SFD</t>
  </si>
  <si>
    <t>BP 2006-0148R</t>
  </si>
  <si>
    <t>Alteration to Garage</t>
  </si>
  <si>
    <t>BP 2006-0243</t>
  </si>
  <si>
    <t>Build 3 Bedroon, 2-Story home w/Garage</t>
  </si>
  <si>
    <t>22-40-16-20-1-10-014</t>
  </si>
  <si>
    <t>BP 2006-0244</t>
  </si>
  <si>
    <t>Build 2-Story Home w/ Garage and Studio</t>
  </si>
  <si>
    <t>22-41-17-13-2-00-003</t>
  </si>
  <si>
    <t>BP 2006-0245</t>
  </si>
  <si>
    <t>Snack Shop @ Pool Complex</t>
  </si>
  <si>
    <t>BP 2006-0253</t>
  </si>
  <si>
    <t>Build 4 Bedroom, 2-Story Partial Log Home w/Garage and Bonus Room</t>
  </si>
  <si>
    <t>22-42-16-16-4-00-012</t>
  </si>
  <si>
    <t>BP 2006-0247</t>
  </si>
  <si>
    <t>Add Music Room, Office &amp; Fireplace to SFD  Look at BP 2006-0247R for finals VA</t>
  </si>
  <si>
    <t>22-41-17-21-2-00-004</t>
  </si>
  <si>
    <t>BP 2006-0248</t>
  </si>
  <si>
    <t>22-40-16-20-1-15-005</t>
  </si>
  <si>
    <t>B06-0465</t>
  </si>
  <si>
    <t>new office buildingSewer capacity fee $10080.00: fire line $1200.00 Employee housing fee $4047.36 landscape bond $35675.00 1 inch $1050.00 1 inch water meter 382.00</t>
  </si>
  <si>
    <t>22-41-16-32-4-29-010</t>
  </si>
  <si>
    <t>BP 2006-0249</t>
  </si>
  <si>
    <t>New porch roof over front deck</t>
  </si>
  <si>
    <t>22-40-16-20-1-08-019</t>
  </si>
  <si>
    <t>BP 2006-0250</t>
  </si>
  <si>
    <t>Build 2-Story Home w/ Garage</t>
  </si>
  <si>
    <t>22-40-17-12-4-01-079</t>
  </si>
  <si>
    <t>BP 2006-0251</t>
  </si>
  <si>
    <t>Build 2-Story Home w/Garage (future ARU)</t>
  </si>
  <si>
    <t>22-40-16-35-3-00-022</t>
  </si>
  <si>
    <t>BP 2006-0252</t>
  </si>
  <si>
    <t>Build 2 Story Home W/ Garage</t>
  </si>
  <si>
    <t>22-41-16-30-2-07-004</t>
  </si>
  <si>
    <t>BP 2006-0254</t>
  </si>
  <si>
    <t>BP 2006-0255</t>
  </si>
  <si>
    <t>New Detached Garage</t>
  </si>
  <si>
    <t>BP 2006-0256</t>
  </si>
  <si>
    <t>Build 3-Bedroom, 3 1/2-Bath Townhouse (Unit 3)</t>
  </si>
  <si>
    <t>22-42-17-24-1-12-003</t>
  </si>
  <si>
    <t>BP 2006-0257</t>
  </si>
  <si>
    <t>New 3-Bedroom, 3 1/2-Bath Townhouse (Unit 4)</t>
  </si>
  <si>
    <t>22-42-17-24-1-02-003</t>
  </si>
  <si>
    <t>BP 2006-0258</t>
  </si>
  <si>
    <t>New 3-Bedroom, 3 1/2-Bath Townhouse (Unit 5)</t>
  </si>
  <si>
    <t>22-42-17-24-1-12-005</t>
  </si>
  <si>
    <t>BP 2006-0259</t>
  </si>
  <si>
    <t>New 3-Bed, 3 1/2-Bath Townhouse (Unit 6)</t>
  </si>
  <si>
    <t>22-42-17-24-1-12-006</t>
  </si>
  <si>
    <t>BP 2006-0260</t>
  </si>
  <si>
    <t>Add Family Room, Office, Bedroom and Garage w/ Master Bedroom Suite Above</t>
  </si>
  <si>
    <t>22-40-16-20-2-01-024</t>
  </si>
  <si>
    <t>BP 2006-0261</t>
  </si>
  <si>
    <t>1021 Sq. Ft. Bedroom &amp; Bathroom additions to SFD</t>
  </si>
  <si>
    <t>22-41-17-14-4-24-006</t>
  </si>
  <si>
    <t>BP 2006-0262</t>
  </si>
  <si>
    <t>Enclose existing deck for sunroom</t>
  </si>
  <si>
    <t>22-40-16-18-1-06-020</t>
  </si>
  <si>
    <t>BP 2006-0263</t>
  </si>
  <si>
    <t>Remodel SFD; add screen porch; remove masonry fireplace</t>
  </si>
  <si>
    <t>22-40-17-13-4-00-008</t>
  </si>
  <si>
    <t>BP 2006-0264</t>
  </si>
  <si>
    <t>Enclose lobby, remodel guest rooms, remove hot tub, new mech. rm.</t>
  </si>
  <si>
    <t>BP 2006-0265</t>
  </si>
  <si>
    <t>Rebuild &amp; expand existing kitchen</t>
  </si>
  <si>
    <t>BP 2006-0266</t>
  </si>
  <si>
    <t>Build Garage addition w/ Master Bedroom Suite above; Expand Game Room</t>
  </si>
  <si>
    <t>22-40-16-18-3-00-060</t>
  </si>
  <si>
    <t>BP 2006-0267</t>
  </si>
  <si>
    <t>Build Shop/Storage w/ attached carport</t>
  </si>
  <si>
    <t>22-41-17-27-2-00-015</t>
  </si>
  <si>
    <t>BP 2006-0268</t>
  </si>
  <si>
    <t>Erect Modulars, Build in-fill and Garage</t>
  </si>
  <si>
    <t>22-41-17-11-1-32-001</t>
  </si>
  <si>
    <t>BP 2006-0269</t>
  </si>
  <si>
    <t>New Detached Garage w/ Modular ARU Above</t>
  </si>
  <si>
    <t>BP 2006-0272</t>
  </si>
  <si>
    <t>Install Modular Home W/ Garage</t>
  </si>
  <si>
    <t>22-41-17-12-2-03-009</t>
  </si>
  <si>
    <t>B06-0488</t>
  </si>
  <si>
    <t>breezeway to connect house &amp; GarageNULL</t>
  </si>
  <si>
    <t>22-41-16-35-3-02-005</t>
  </si>
  <si>
    <t>BP 2006-0273</t>
  </si>
  <si>
    <t>New SFD</t>
  </si>
  <si>
    <t>22-40-16-20-2-14-006</t>
  </si>
  <si>
    <t>BP 2006-0274</t>
  </si>
  <si>
    <t>New SFD to be used as future guest cabin</t>
  </si>
  <si>
    <t>22-39-16-12-4-00-013</t>
  </si>
  <si>
    <t>BP 2006-0275</t>
  </si>
  <si>
    <t>22-41-17-22-1-02-020</t>
  </si>
  <si>
    <t>BP 2006-0276</t>
  </si>
  <si>
    <t>Garage Addition W/ Living Space Above</t>
  </si>
  <si>
    <t>BP 2006-0277</t>
  </si>
  <si>
    <t>New Sunroom attached to SFD</t>
  </si>
  <si>
    <t>22-41-16-31-4-01-020</t>
  </si>
  <si>
    <t>BP 2006-0278</t>
  </si>
  <si>
    <t>BP 2006-0279</t>
  </si>
  <si>
    <t>Add Exercise Room, Expand and Remodel Kitchen, Dining Room</t>
  </si>
  <si>
    <t>22-41-17-12-2-03-003</t>
  </si>
  <si>
    <t>BP 2006-0280</t>
  </si>
  <si>
    <t>Build single stry home w/basement and garage</t>
  </si>
  <si>
    <t>22-44-18-32-2-01-002</t>
  </si>
  <si>
    <t>BP 2006-0168R</t>
  </si>
  <si>
    <t>Add 39 sq. ft. of habitable floor area to SFD</t>
  </si>
  <si>
    <t>BP 2006-0281</t>
  </si>
  <si>
    <t>New Commercial Retail/Office/Residential Bldg.</t>
  </si>
  <si>
    <t>BP 2006-0282</t>
  </si>
  <si>
    <t>Build Office Bldg w/ 2 ARUs above</t>
  </si>
  <si>
    <t>22-41-17-23-1-13-001</t>
  </si>
  <si>
    <t>BP 2006-0283</t>
  </si>
  <si>
    <t>Barn Addition</t>
  </si>
  <si>
    <t>22-39-16-14-1-00-007</t>
  </si>
  <si>
    <t>BP 2006-0284</t>
  </si>
  <si>
    <t>Add Garage W/ Master Suite Above</t>
  </si>
  <si>
    <t>BP 2006-0285</t>
  </si>
  <si>
    <t>Add bedroom &amp; bathroom above garage</t>
  </si>
  <si>
    <t>22-41-16-21-2-07-005</t>
  </si>
  <si>
    <t>BP 2006-0286</t>
  </si>
  <si>
    <t>Build Underground Garage; Remodel existing Garage</t>
  </si>
  <si>
    <t>22-41-17-15-1-05-001</t>
  </si>
  <si>
    <t>BP 2006-0287</t>
  </si>
  <si>
    <t>22-40-16-20-2-16-011</t>
  </si>
  <si>
    <t>BP 2006-0288</t>
  </si>
  <si>
    <t>BP 2006-0289</t>
  </si>
  <si>
    <t>Build Pool House w/Sauna and Steam Room</t>
  </si>
  <si>
    <t>BP 2006-0290</t>
  </si>
  <si>
    <t>3 bedroom, 3 1/2 bathroom Townhome (Unit 1)</t>
  </si>
  <si>
    <t>22-42-17-24-1-12-001</t>
  </si>
  <si>
    <t>BP 2006-0292</t>
  </si>
  <si>
    <t>3 bedroom, 3 1/2 bath townhouse (Unit 7)</t>
  </si>
  <si>
    <t>22-42-17-24-1-12-007</t>
  </si>
  <si>
    <t>BP 2006-0293</t>
  </si>
  <si>
    <t>New 3 bedroom, 3 1/2 bath townhouse (Unit 8)</t>
  </si>
  <si>
    <t>22-42-17-24-1-12-008</t>
  </si>
  <si>
    <t>BP 2006-0291</t>
  </si>
  <si>
    <t>New 3 bedroom, 3 1/2 bath townhouse (Unit 2)</t>
  </si>
  <si>
    <t>22-42-17-24-1-12-002</t>
  </si>
  <si>
    <t>BP 2006-0294</t>
  </si>
  <si>
    <t>22-41-16-30-2-03-002</t>
  </si>
  <si>
    <t>BP 2006-0295</t>
  </si>
  <si>
    <t>Erect 2-Story Modular Home w/Garage</t>
  </si>
  <si>
    <t>22-39-16-23-3-11-001</t>
  </si>
  <si>
    <t>BP 2006-0296</t>
  </si>
  <si>
    <t>22-39-16-23-3-11-002</t>
  </si>
  <si>
    <t>BP 2006-0297</t>
  </si>
  <si>
    <t>Erect 2-Story Modular Home</t>
  </si>
  <si>
    <t>22-39-16-23-3-11-003</t>
  </si>
  <si>
    <t>B06-0523</t>
  </si>
  <si>
    <t>New single FamilySewer $1858.00 1 inch water capacity fee &amp; Meter=1432.00</t>
  </si>
  <si>
    <t>22-41-16-33-4-10-023</t>
  </si>
  <si>
    <t>BP 2006-0298</t>
  </si>
  <si>
    <t>233 sq ft add to SFD</t>
  </si>
  <si>
    <t>22-44-15-36-1-04-017</t>
  </si>
  <si>
    <t>BP 2006-0300</t>
  </si>
  <si>
    <t>Closet addition</t>
  </si>
  <si>
    <t>22-41-17-22-3-05-008</t>
  </si>
  <si>
    <t>BP 2005-0284R</t>
  </si>
  <si>
    <t>Convert 180sf of garage to living; attic to 251sf living, 216 storage</t>
  </si>
  <si>
    <t>BP 2006-0140R</t>
  </si>
  <si>
    <t>Add Golf Cart Garage, Shift House on Site</t>
  </si>
  <si>
    <t>BP 2006-0141R</t>
  </si>
  <si>
    <t>Add Golf Cart Garage; Shift Building on Site</t>
  </si>
  <si>
    <t>BP 2006-0249R</t>
  </si>
  <si>
    <t>deck changes @ front of house</t>
  </si>
  <si>
    <t>BP 2006-0302</t>
  </si>
  <si>
    <t>Build Utility Building</t>
  </si>
  <si>
    <t>BP 2006-0303</t>
  </si>
  <si>
    <t>22-41-17-14-1-02-002</t>
  </si>
  <si>
    <t>BP 2006-0304</t>
  </si>
  <si>
    <t>22-40-17-24-1-00-017</t>
  </si>
  <si>
    <t>BP 2006-0305</t>
  </si>
  <si>
    <t>BP 2006-0306</t>
  </si>
  <si>
    <t>Replace Existing Cabin</t>
  </si>
  <si>
    <t>BP 2006-0309</t>
  </si>
  <si>
    <t>Add ARU (guest house) to SFD Garage</t>
  </si>
  <si>
    <t>BP 2006-0311</t>
  </si>
  <si>
    <t>Build 2 Bedroom Guest Quarters (no kitchen)</t>
  </si>
  <si>
    <t>22-41-17-36-1-05-005</t>
  </si>
  <si>
    <t>BP 2006-0312</t>
  </si>
  <si>
    <t>New Car Barn</t>
  </si>
  <si>
    <t>BP 2006-0049R</t>
  </si>
  <si>
    <t>Add 2nd Floor and remodel Interior</t>
  </si>
  <si>
    <t>BP 2006-0122R</t>
  </si>
  <si>
    <t>Modify approved bridge design; replace railing with curb</t>
  </si>
  <si>
    <t>BP 2006-0313</t>
  </si>
  <si>
    <t>Build 2-Story Home</t>
  </si>
  <si>
    <t>22-41-16-07-2-01-010</t>
  </si>
  <si>
    <t>BP 2006-0314</t>
  </si>
  <si>
    <t>Detached 3 car Garage w/ Bridge Connector to Home</t>
  </si>
  <si>
    <t>BP 2006-0315</t>
  </si>
  <si>
    <t>Build Detached 3 car garage</t>
  </si>
  <si>
    <t>BP 2006-0316</t>
  </si>
  <si>
    <t>22-40-17-12-4-01-072</t>
  </si>
  <si>
    <t>BP 2006-0317</t>
  </si>
  <si>
    <t>Move on modular building for bunkhouse, meeting room</t>
  </si>
  <si>
    <t>BP 2006-0318</t>
  </si>
  <si>
    <t>Build Bus Stop Shelter</t>
  </si>
  <si>
    <t>22-41-17-13-2-00-027</t>
  </si>
  <si>
    <t>BP 2006-0319</t>
  </si>
  <si>
    <t>Build Single-Story Home w/Garage</t>
  </si>
  <si>
    <t>22-42-16-34-2-02-008</t>
  </si>
  <si>
    <t>BP 2006-0320</t>
  </si>
  <si>
    <t>Erect 2 Bedroom, 2 Bath Modular Home w/Garage</t>
  </si>
  <si>
    <t>22-40-16-20-1-15-009</t>
  </si>
  <si>
    <t>BP 2006-0321</t>
  </si>
  <si>
    <t>New Modular Home W/ Garage</t>
  </si>
  <si>
    <t>22-40-16-20-1-15-025</t>
  </si>
  <si>
    <t>BP 2006-0322</t>
  </si>
  <si>
    <t>BP 2006-0323</t>
  </si>
  <si>
    <t>22-41-17-22-1-02-018</t>
  </si>
  <si>
    <t>BP 2006-0324</t>
  </si>
  <si>
    <t>22-40-16-19-2-00-039</t>
  </si>
  <si>
    <t>BP 2006-0325</t>
  </si>
  <si>
    <t>Add 3 decks, one covered, to SFD</t>
  </si>
  <si>
    <t>BP 2006-0326</t>
  </si>
  <si>
    <t>Add Lounge, Dining Room, Pantry, Closet and Hot Tub to SFD</t>
  </si>
  <si>
    <t>22-40-16-17-2-02-071</t>
  </si>
  <si>
    <t>BP 2006-0157R</t>
  </si>
  <si>
    <t>Add Exterior Deck</t>
  </si>
  <si>
    <t>BP 2006-0330</t>
  </si>
  <si>
    <t>Renewal of BP2002-0205 to complete a single family home</t>
  </si>
  <si>
    <t>22-41-16-21-2-15-001</t>
  </si>
  <si>
    <t>BP 2006-0331</t>
  </si>
  <si>
    <t>Roof extension over door</t>
  </si>
  <si>
    <t>BP 2006-0332</t>
  </si>
  <si>
    <t>Add Garage Dormer to SFD</t>
  </si>
  <si>
    <t>22-41-17-14-4-30-002</t>
  </si>
  <si>
    <t>BP 2006-0333</t>
  </si>
  <si>
    <t>Remodel/Addition To Existing 5th Floor of Hotel Tower C</t>
  </si>
  <si>
    <t>22-42-17-24-4-26-002</t>
  </si>
  <si>
    <t>BP 2006-0334</t>
  </si>
  <si>
    <t>Add 2-bedrooms, 3-bathrooms and Sitting Room to SFD</t>
  </si>
  <si>
    <t>22-41-17-11-1-01-001</t>
  </si>
  <si>
    <t>BP 2006-0335</t>
  </si>
  <si>
    <t>Move on existing cabin; Add Basement, Front Entry, Kitchen, Laundry Room</t>
  </si>
  <si>
    <t>22-39-16-03-4-01-008</t>
  </si>
  <si>
    <t>BP 2006-0337</t>
  </si>
  <si>
    <t>Build Single Story Log Home w/Garage</t>
  </si>
  <si>
    <t>22-42-16-11-2-03-001</t>
  </si>
  <si>
    <t>BP 2006-0338</t>
  </si>
  <si>
    <t>Build Single Story Cabin (Future ARU)</t>
  </si>
  <si>
    <t>22-40-17-12-1-01-007</t>
  </si>
  <si>
    <t>BP 2006-0339</t>
  </si>
  <si>
    <t>BP 2006-0340</t>
  </si>
  <si>
    <t>Move existing Caretaker's Cabin;  Add finished basement, Entryway</t>
  </si>
  <si>
    <t>22-42-16-02-1-00-002</t>
  </si>
  <si>
    <t>BP 2006-0341</t>
  </si>
  <si>
    <t>Interior Remodel; Addition to Entry, Kitchen</t>
  </si>
  <si>
    <t>22-41-17-21-3-00-016</t>
  </si>
  <si>
    <t>B06-0641</t>
  </si>
  <si>
    <t>Townhome(7/6/2010 3:00 PM KB)  Issued temp co which expired 10/30/07. Applicant did not request another final and permit has expired. Closed on 7/6/10 per Billy Nunn.</t>
  </si>
  <si>
    <t>22-41-16-33-1-60-004</t>
  </si>
  <si>
    <t>B06-0642</t>
  </si>
  <si>
    <t>townhomeSewer connect $1858.00 3/4 water meter &amp; capacity fee $ 873.00    (7/6/2010 3:03 PM KB)  issued temp co for top 2 floors. Applicant did not call for a final inspection and permit expired. Closed file on 7/6/10 per Billy Nunn.</t>
  </si>
  <si>
    <t>22-41-16-33-1-60-005</t>
  </si>
  <si>
    <t>B06-0643</t>
  </si>
  <si>
    <t>new single familyno final requested: closed file 1/28/09 kb</t>
  </si>
  <si>
    <t>22-41-16-34-1-86-001</t>
  </si>
  <si>
    <t>BP 2006-0342</t>
  </si>
  <si>
    <t>Remodel Restrooms; Add ADA Bathroom</t>
  </si>
  <si>
    <t>BP 2006-0343</t>
  </si>
  <si>
    <t>Add 2 Bedrooms, Bath to Cabin  12/22/09 Wrote Letter VA  2/16/10 gave file to inspectors for job status VA</t>
  </si>
  <si>
    <t>BP 2006-0346</t>
  </si>
  <si>
    <t>Build New Guest Cabin - No Kitchen</t>
  </si>
  <si>
    <t>B06-0657</t>
  </si>
  <si>
    <t>auto sales officeSewer capacity fee $1858.00: no water and meter fee due because there was a 1 inch meter turned in when previous greenhouse was demo. However, wolf motor is downsizing to a 3/4 in water meter for service.</t>
  </si>
  <si>
    <t>22-40-16-05-2-00-008</t>
  </si>
  <si>
    <t>BP 2006-0348</t>
  </si>
  <si>
    <t>New 2- Story Home w/ Attached Garage</t>
  </si>
  <si>
    <t>22-42-17-24-3-02-101</t>
  </si>
  <si>
    <t>B06-0670</t>
  </si>
  <si>
    <t>New medical centerNULL</t>
  </si>
  <si>
    <t>22-40-16-06-1-10-003</t>
  </si>
  <si>
    <t>BP 2006-0349</t>
  </si>
  <si>
    <t>Add exercise rm., living space above garage &amp; remodel SFD</t>
  </si>
  <si>
    <t>22-42-16-20-3-01-001</t>
  </si>
  <si>
    <t>BP 2006-0350</t>
  </si>
  <si>
    <t>New Mechanical Bldg. for Pool</t>
  </si>
  <si>
    <t>BP 2006-0351</t>
  </si>
  <si>
    <t>Add 1 bedroom &amp; 1 bathroom to SFD; expand garage</t>
  </si>
  <si>
    <t>22-41-17-33-3-03-043</t>
  </si>
  <si>
    <t>BP 2006-0353</t>
  </si>
  <si>
    <t>Build 2-Story Home W/ Garage</t>
  </si>
  <si>
    <t>BP 2006-0154R</t>
  </si>
  <si>
    <t>Moved garage, building up a level, several interior changes</t>
  </si>
  <si>
    <t>BP 2006-0354</t>
  </si>
  <si>
    <t>Convert Storage Above Garge into ARU (Guesthouse)</t>
  </si>
  <si>
    <t>22-41-17-22-4-00-004</t>
  </si>
  <si>
    <t>BP 2006-0355</t>
  </si>
  <si>
    <t>Replace existing "Bride's Dressing Room" with new Log Cabin</t>
  </si>
  <si>
    <t>22-43-16-25-3-00-001</t>
  </si>
  <si>
    <t>B06-0708</t>
  </si>
  <si>
    <t>New single family residenceSewer capacity fee $1858.00 3/4 water meter and capacity fee $873.00</t>
  </si>
  <si>
    <t>22-41-16-34-1-94-001</t>
  </si>
  <si>
    <t>BP 2006-0356</t>
  </si>
  <si>
    <t>Convert existing garage into bedroom &amp; bathroom</t>
  </si>
  <si>
    <t>BP 2006-0358</t>
  </si>
  <si>
    <t>22-40-16-20-1-15-027</t>
  </si>
  <si>
    <t>BP 2006-0359</t>
  </si>
  <si>
    <t>Build 3 Bedrom Home w/Garage</t>
  </si>
  <si>
    <t>22-40-16-20-1-15-038</t>
  </si>
  <si>
    <t>BP 2006-0360</t>
  </si>
  <si>
    <t>Build 2 Story Home</t>
  </si>
  <si>
    <t>22-41-17-14-1-17-016</t>
  </si>
  <si>
    <t>BP 2006-0361</t>
  </si>
  <si>
    <t>Build Detached Garage w/ ARU (Guest House) Above</t>
  </si>
  <si>
    <t>BP 2006-0362</t>
  </si>
  <si>
    <t>New Garage w/Future Living Above</t>
  </si>
  <si>
    <t>22-44-18-08-1-01-002</t>
  </si>
  <si>
    <t>BP 2006-0261R</t>
  </si>
  <si>
    <t>Remove Window Seat @ Upper Floor &amp; Add Masonry Fireplace</t>
  </si>
  <si>
    <t>BP 2006-0363</t>
  </si>
  <si>
    <t>Build 2-story Home w/ Garage</t>
  </si>
  <si>
    <t>22-40-17-12-1-01-034</t>
  </si>
  <si>
    <t>B06-0750</t>
  </si>
  <si>
    <t>Addition to existing building for waiting areaemployee housing fee in lieu $9949.76</t>
  </si>
  <si>
    <t>BP 2006-0364</t>
  </si>
  <si>
    <t>22-41-17-25-3-00-012</t>
  </si>
  <si>
    <t>BP 2006-0365</t>
  </si>
  <si>
    <t>Build 2-Story Log Home w/Garage</t>
  </si>
  <si>
    <t>BP 2006-0366</t>
  </si>
  <si>
    <t>Addtion/remodel to existing home and attached Garage; Build new detached garage</t>
  </si>
  <si>
    <t>22-42-16-10-1-07-001</t>
  </si>
  <si>
    <t>BP 2005-0040S</t>
  </si>
  <si>
    <t>Remodel Interior Space for Apres Ski Lounge</t>
  </si>
  <si>
    <t>B06-0762</t>
  </si>
  <si>
    <t>addition to existing buildingemployee housing fee of $13,153.92  Sewer capacity fee: 47 seats @ $341.00 = $ 16,027.00. This is interior seating only. No sewer fees have been calculated/paid for in regards to the deck.</t>
  </si>
  <si>
    <t>22-41-16-28-4-25-002</t>
  </si>
  <si>
    <t>BP 2006-0114R</t>
  </si>
  <si>
    <t>Add Golf Cart Storage</t>
  </si>
  <si>
    <t>B07-0016</t>
  </si>
  <si>
    <t>15 unit apartmentNULL</t>
  </si>
  <si>
    <t>B07-0017</t>
  </si>
  <si>
    <t>15 unit apartment buildingNULL</t>
  </si>
  <si>
    <t>BP 2007-0001</t>
  </si>
  <si>
    <t>Convert existing garage into bedroom and bathroom additon to sfd</t>
  </si>
  <si>
    <t>22-41-16-06-2-02-007</t>
  </si>
  <si>
    <t>BP 2007-0002</t>
  </si>
  <si>
    <t>New 3-bedroom, 3 full &amp; 2 -1/2-baths SFD w/ Garage</t>
  </si>
  <si>
    <t>BP 2007-0003</t>
  </si>
  <si>
    <t>Build 2-Story Home/ Garage</t>
  </si>
  <si>
    <t>22-40-16-20-2-14-007</t>
  </si>
  <si>
    <t>BP 2007-0004</t>
  </si>
  <si>
    <t>New Office/Warehouse</t>
  </si>
  <si>
    <t>22-40-16-17-4-17-004</t>
  </si>
  <si>
    <t>BP 2007-0005</t>
  </si>
  <si>
    <t>Interior Remodel; Bedroom  Addition; Add Office &amp; Garage</t>
  </si>
  <si>
    <t>22-42-16-34-2-03-012</t>
  </si>
  <si>
    <t>B07-0068</t>
  </si>
  <si>
    <t>New townhomeNULL</t>
  </si>
  <si>
    <t>22-41-16-34-1-94-003</t>
  </si>
  <si>
    <t>B07-0071</t>
  </si>
  <si>
    <t>New townhomeSewer capacity fee $1858.00 3/4 water meter and fee $873.00</t>
  </si>
  <si>
    <t>22-41-16-34-1-94-002</t>
  </si>
  <si>
    <t>BP 2007-0006</t>
  </si>
  <si>
    <t>Kitchen/Office addition to SFD</t>
  </si>
  <si>
    <t>BP 2007-0007</t>
  </si>
  <si>
    <t>22-42-16-27-4-12-001</t>
  </si>
  <si>
    <t>BP 2007-0008</t>
  </si>
  <si>
    <t>New 5-bedroom, 5 1/2-bath SFD W/ Garage &amp; Care Taker Living Quarters</t>
  </si>
  <si>
    <t>22-42-16-30-1-01-007</t>
  </si>
  <si>
    <t>BP 2007-0009</t>
  </si>
  <si>
    <t>Build Pool Equipment Bldg</t>
  </si>
  <si>
    <t>BP 2007-0010</t>
  </si>
  <si>
    <t>New Fireplace &amp; outside patio</t>
  </si>
  <si>
    <t>B07-0075</t>
  </si>
  <si>
    <t>22-41-16-34-1-94-004</t>
  </si>
  <si>
    <t>B07-0076</t>
  </si>
  <si>
    <t>new townhomeNULL</t>
  </si>
  <si>
    <t>22-41-16-34-1-94-005</t>
  </si>
  <si>
    <t>BP 2007-0011</t>
  </si>
  <si>
    <t>22-41-17-12-2-10-002</t>
  </si>
  <si>
    <t>BP 2007-0012</t>
  </si>
  <si>
    <t>Well House Building for New Subdivision</t>
  </si>
  <si>
    <t>22-41-17-22-3-12-012</t>
  </si>
  <si>
    <t>BP 2007-0013</t>
  </si>
  <si>
    <t>Remodel Existing Convenience Store</t>
  </si>
  <si>
    <t>BP 2007-0014</t>
  </si>
  <si>
    <t>Remodel existing storage to Exercise Room and Bath</t>
  </si>
  <si>
    <t>BP 2007-0015</t>
  </si>
  <si>
    <t>22-41-16-06-1-04-003</t>
  </si>
  <si>
    <t>BP 2007-0016</t>
  </si>
  <si>
    <t>Add 180 sq ft Office to SFD</t>
  </si>
  <si>
    <t>22-41-17-25-3-00-009</t>
  </si>
  <si>
    <t>BP 2007-0017</t>
  </si>
  <si>
    <t>Build single-story Home w/ Garage</t>
  </si>
  <si>
    <t>22-42-16-27-4-12-009</t>
  </si>
  <si>
    <t>BP 2007-0018</t>
  </si>
  <si>
    <t>22-40-16-20-2-16-010</t>
  </si>
  <si>
    <t>BP 2007-0019</t>
  </si>
  <si>
    <t>Build 2 Story Home w/ Garage</t>
  </si>
  <si>
    <t>22-44-18-17-2-02-008</t>
  </si>
  <si>
    <t>BP 2007-0020</t>
  </si>
  <si>
    <t>Build Detached Office</t>
  </si>
  <si>
    <t>BP 2007-0021</t>
  </si>
  <si>
    <t>Build 5 Bedroom Home w/ Full Basement  2/4/10 Wrote Letter VA</t>
  </si>
  <si>
    <t>BP 2007-0022</t>
  </si>
  <si>
    <t>Add Office, Bedroom &amp; Bath to SFD</t>
  </si>
  <si>
    <t>22-42-16-27-2-27-002</t>
  </si>
  <si>
    <t>BP 2007-0023</t>
  </si>
  <si>
    <t>Build 2-Story Home w/ Partial Finished Basement</t>
  </si>
  <si>
    <t>BP 2007-0024</t>
  </si>
  <si>
    <t>Add 1254 Sq. Ft. 2-bedrooms &amp; 1-bathroom to SFD</t>
  </si>
  <si>
    <t>22-41-17-14-1-21-006</t>
  </si>
  <si>
    <t>BP 2007-0025</t>
  </si>
  <si>
    <t>Add Dining Room to Home</t>
  </si>
  <si>
    <t>22-41-17-22-4-14-019</t>
  </si>
  <si>
    <t>BP 2007-0026</t>
  </si>
  <si>
    <t>Remodel SFD; Add Master Bedroom, Jr. Master Bedroom Suites, Playroom, Gameroom</t>
  </si>
  <si>
    <t>22-41-17-12-4-05-003</t>
  </si>
  <si>
    <t>B07-0098</t>
  </si>
  <si>
    <t>new single familySewer capacity fee $1858.00 3/4 Water meter &amp; capacity fee $ 873.00</t>
  </si>
  <si>
    <t>22-41-16-34-1-21-028</t>
  </si>
  <si>
    <t>BP 2007-0027</t>
  </si>
  <si>
    <t>Add Living Room Extension, Bathroom and Deck to SFD</t>
  </si>
  <si>
    <t>22-41-17-11-1-01-006</t>
  </si>
  <si>
    <t>BP 2007-0028</t>
  </si>
  <si>
    <t>Enclose existing covered porch into Office</t>
  </si>
  <si>
    <t>22-41-17-12-4-06-004</t>
  </si>
  <si>
    <t>BP 2007-0030</t>
  </si>
  <si>
    <t>Addition to SFD and Interior remodel</t>
  </si>
  <si>
    <t>B07-0107</t>
  </si>
  <si>
    <t>Office/equipment storage buildingSewer $1858.00 3/4 water meter &amp; Capacity fee $873.00    (8/29/2007 10:20  KB)  Submitted addendum on 8/29/07</t>
  </si>
  <si>
    <t>BP 2006-0123R</t>
  </si>
  <si>
    <t>Carport reduced, new entry location</t>
  </si>
  <si>
    <t>BP 2007-0029</t>
  </si>
  <si>
    <t>Add sitting, game, shop &amp; garage to SFD</t>
  </si>
  <si>
    <t>22-42-16-27-2-32-001</t>
  </si>
  <si>
    <t>BP 2007-0031</t>
  </si>
  <si>
    <t>New Garage w/ ARU (Guest House) above</t>
  </si>
  <si>
    <t>22-41-17-14-4-25-007</t>
  </si>
  <si>
    <t>BP 2007-0032</t>
  </si>
  <si>
    <t>22-42-17-24-3-02-005</t>
  </si>
  <si>
    <t>BP 2007-0033</t>
  </si>
  <si>
    <t>22-40-17-11-4-00-018</t>
  </si>
  <si>
    <t>BP 2007-0034</t>
  </si>
  <si>
    <t>Build  2-story SFD w/Garage</t>
  </si>
  <si>
    <t>22-40-16-20-2-17-004</t>
  </si>
  <si>
    <t>BP 2007-0036</t>
  </si>
  <si>
    <t>Remodel interior Commercial building; Add Office</t>
  </si>
  <si>
    <t>22-40-16-17-4-16-004</t>
  </si>
  <si>
    <t>BP 2007-0037</t>
  </si>
  <si>
    <t>22-41-17-14-3-24-014</t>
  </si>
  <si>
    <t>BP 2007-0038</t>
  </si>
  <si>
    <t>Build New Garage and ARU</t>
  </si>
  <si>
    <t>BP 2007-0039</t>
  </si>
  <si>
    <t>22-41-17-36-1-01-003</t>
  </si>
  <si>
    <t>BP 2007-0041</t>
  </si>
  <si>
    <t>Add Storage, ARU to Shop</t>
  </si>
  <si>
    <t>BP 2007-0042</t>
  </si>
  <si>
    <t>Build Garage/Shop with Caretakers Quarters Above</t>
  </si>
  <si>
    <t>BP 2007-0043</t>
  </si>
  <si>
    <t>New SFD with garage</t>
  </si>
  <si>
    <t>BP 2007-0044</t>
  </si>
  <si>
    <t>1270 sq ft bedroom &amp; bathroom addition to SFD ONLY</t>
  </si>
  <si>
    <t>22-40-17-03-3-00-012</t>
  </si>
  <si>
    <t>BP 2007-0045</t>
  </si>
  <si>
    <t>Build 2-story SFD W/ Garage and Basement Mechanical Room</t>
  </si>
  <si>
    <t>22-41-17-34-3-15-006</t>
  </si>
  <si>
    <t>BP 2007-0046</t>
  </si>
  <si>
    <t>Build 2-story Home w/ Garage &amp; bonus room</t>
  </si>
  <si>
    <t>22-40-16-20-1-08-009</t>
  </si>
  <si>
    <t>BP 2007-0047</t>
  </si>
  <si>
    <t>Build 2-Story Cabin 1 w/ Garage</t>
  </si>
  <si>
    <t>22-40-17-12-4-01-041</t>
  </si>
  <si>
    <t>BP 2007-0048</t>
  </si>
  <si>
    <t>Build 2-Story Home w/ Finished Basement &amp; Garage</t>
  </si>
  <si>
    <t>22-44-18-30-1-00-004</t>
  </si>
  <si>
    <t>BP 2007-0049</t>
  </si>
  <si>
    <t>New Equine Storage Facility</t>
  </si>
  <si>
    <t>22-39-16-11-4-00-017</t>
  </si>
  <si>
    <t>BP 2007-0050</t>
  </si>
  <si>
    <t>Build 2-story  Home w/ Unfinished Basement &amp; Garage</t>
  </si>
  <si>
    <t>22-42-17-25-2-01-015</t>
  </si>
  <si>
    <t>BP 2007-0051</t>
  </si>
  <si>
    <t>Add dormer over master bedroom &amp; remodel space</t>
  </si>
  <si>
    <t>22-39-16-11-4-00-024</t>
  </si>
  <si>
    <t>BP 2007-0052</t>
  </si>
  <si>
    <t>22-41-16-21-2-07-012</t>
  </si>
  <si>
    <t>BP 2007-0053</t>
  </si>
  <si>
    <t>Build Shop/Barn</t>
  </si>
  <si>
    <t>22-40-16-19-2-00-014</t>
  </si>
  <si>
    <t>BP 2007-0054</t>
  </si>
  <si>
    <t>Add Master Suite (Bed/Bath Room) Above Garage</t>
  </si>
  <si>
    <t>22-40-16-17-2-02-098</t>
  </si>
  <si>
    <t>BP 2007-0055</t>
  </si>
  <si>
    <t>Add 524 sq. ft. of habitable,  49 sq. ft. of non-habitable &amp; remodel SFD</t>
  </si>
  <si>
    <t>22-41-16-30-2-08-002</t>
  </si>
  <si>
    <t>BP 2007-0056</t>
  </si>
  <si>
    <t>Build 2-story Cabin 1 w/ Garage and Cart Storage</t>
  </si>
  <si>
    <t>22-40-17-12-1-01-019</t>
  </si>
  <si>
    <t>BP 2007-0059</t>
  </si>
  <si>
    <t>Complete work commenced on BP2001-0256</t>
  </si>
  <si>
    <t>22-41-17-33-1-00-028</t>
  </si>
  <si>
    <t>BP 2007-0060</t>
  </si>
  <si>
    <t>Move Equine Storage Facility onto Property</t>
  </si>
  <si>
    <t>22-41-17-27-1-03-009</t>
  </si>
  <si>
    <t>BP 2007-0061</t>
  </si>
  <si>
    <t>Add 132 sq. ft. Closet; Replace Window</t>
  </si>
  <si>
    <t>22-41-16-17-3-05-006</t>
  </si>
  <si>
    <t>BP 2007-0062</t>
  </si>
  <si>
    <t>Enclose existing garage for future finish &amp; New mudroom</t>
  </si>
  <si>
    <t>22-40-16-19-2-01-008</t>
  </si>
  <si>
    <t>B07-0148</t>
  </si>
  <si>
    <t>New single FamilyNULL</t>
  </si>
  <si>
    <t>22-41-16-33-3-07-040</t>
  </si>
  <si>
    <t>BP 2007-0063</t>
  </si>
  <si>
    <t>22-41-17-22-4-14-053</t>
  </si>
  <si>
    <t>BP 2007-0064</t>
  </si>
  <si>
    <t>BP 2007-0065</t>
  </si>
  <si>
    <t>Add ARU (guest house) &amp; Garage to SFD</t>
  </si>
  <si>
    <t>22-42-17-25-2-01-007</t>
  </si>
  <si>
    <t>BP 2007-0066</t>
  </si>
  <si>
    <t>New detached garage</t>
  </si>
  <si>
    <t>22-44-18-32-2-00-003</t>
  </si>
  <si>
    <t>BP 2007-0067</t>
  </si>
  <si>
    <t>Add 1 bedroom &amp; 2 bathroom's to SFD</t>
  </si>
  <si>
    <t>22-41-17-21-1-00-008</t>
  </si>
  <si>
    <t>B07-0152</t>
  </si>
  <si>
    <t>New single family with detached garage(8/16/2007 10:55  KB)  applicant was charged for a 1 1/2 inch water meter when in fact it should have been a l inch. the differance that should be refunded is $72.50.</t>
  </si>
  <si>
    <t>22-41-16-34-1-31-009</t>
  </si>
  <si>
    <t>B07-0156</t>
  </si>
  <si>
    <t>22-41-16-34-1-89-001</t>
  </si>
  <si>
    <t>B07-0157</t>
  </si>
  <si>
    <t>22-41-16-34-1-89-002</t>
  </si>
  <si>
    <t>B07-0158</t>
  </si>
  <si>
    <t>22-41-16-34-1-89-003</t>
  </si>
  <si>
    <t>BP 2007-0068</t>
  </si>
  <si>
    <t>Build an  ARU Above Garage</t>
  </si>
  <si>
    <t>BP 2007-0069</t>
  </si>
  <si>
    <t>Build SFD ("Guest House") w/Garage</t>
  </si>
  <si>
    <t>BP 2007-0070</t>
  </si>
  <si>
    <t>Convert garage into living  12/22/09 Wrote Letter VA  2/16/10 gave file to inspectors for status VA</t>
  </si>
  <si>
    <t>22-40-17-35-2-02-003</t>
  </si>
  <si>
    <t>B07-0161</t>
  </si>
  <si>
    <t>New single family with attached accessory unit1 inch water capacity fee and meter $1432.00 Sewer 2 @ $1858.00 = $3716.00 no landscape meter</t>
  </si>
  <si>
    <t>22-41-16-34-1-30-013</t>
  </si>
  <si>
    <t>B07-0162</t>
  </si>
  <si>
    <t>Accessory unitSewer fee $1858.00  water and meter fee is on permit # b07-0161</t>
  </si>
  <si>
    <t>B07-0163</t>
  </si>
  <si>
    <t>New single family with attached accessory1 inch water &amp; meter fee $ 1432.00 Sewer capacity 2 @ $1858.00= $ 3716.00</t>
  </si>
  <si>
    <t>22-41-16-34-1-30-014</t>
  </si>
  <si>
    <t>B07-0164</t>
  </si>
  <si>
    <t>Accessory UnitSewer capacity fee $1858.00</t>
  </si>
  <si>
    <t>BP 2007-0071</t>
  </si>
  <si>
    <t>Add ARU above garage</t>
  </si>
  <si>
    <t>22-42-17-24-4-02-063</t>
  </si>
  <si>
    <t>BP 2007-0072</t>
  </si>
  <si>
    <t>Add 2 bedrooms &amp; 3 bathrooms to SFD</t>
  </si>
  <si>
    <t>22-41-16-06-3-03-021</t>
  </si>
  <si>
    <t>BP 2007-0171</t>
  </si>
  <si>
    <t>Add Garage, Living Room, Kitchen; Remodel existing to 2 Bedrooms, Family, Bath</t>
  </si>
  <si>
    <t>BP 2006-0175</t>
  </si>
  <si>
    <t>Build 2-Story Home w/Basement and Garage</t>
  </si>
  <si>
    <t>22-40-17-12-4-01-026</t>
  </si>
  <si>
    <t>BP 2007-0073</t>
  </si>
  <si>
    <t>New log garage with covered walkway</t>
  </si>
  <si>
    <t>BP 2007-0075</t>
  </si>
  <si>
    <t>Replace water feature equipment building</t>
  </si>
  <si>
    <t>22-42-15-10-4-00-011</t>
  </si>
  <si>
    <t>BP 2007-0076</t>
  </si>
  <si>
    <t>ARU above existing garage</t>
  </si>
  <si>
    <t>22-41-17-22-3-05-003</t>
  </si>
  <si>
    <t>BP 2007-0077</t>
  </si>
  <si>
    <t>255 sq ft living room addition</t>
  </si>
  <si>
    <t>22-40-16-19-2-01-011</t>
  </si>
  <si>
    <t>BP 2007-0078</t>
  </si>
  <si>
    <t>Build 2nd story above existing garage to be used as office/workout room</t>
  </si>
  <si>
    <t>22-41-17-15-1-02-001</t>
  </si>
  <si>
    <t>BP 2007-0079</t>
  </si>
  <si>
    <t>B07-0176</t>
  </si>
  <si>
    <t>AdditionNULL</t>
  </si>
  <si>
    <t>22-40-16-05-2-05-048</t>
  </si>
  <si>
    <t>BP 2006-0169R</t>
  </si>
  <si>
    <t>Replace failing terrace with new</t>
  </si>
  <si>
    <t>BP 2007-0080</t>
  </si>
  <si>
    <t>22-40-16-18-4-00-052</t>
  </si>
  <si>
    <t>BP 2007-0081</t>
  </si>
  <si>
    <t>30" overhang at front entrance &amp; 7X12 2nd floor porch</t>
  </si>
  <si>
    <t>22-40-16-20-2-02-045</t>
  </si>
  <si>
    <t>BP 2007-0082</t>
  </si>
  <si>
    <t>22-39-16-11-4-00-012</t>
  </si>
  <si>
    <t>BP 2007-0083</t>
  </si>
  <si>
    <t>New 4-bedroom, 2-story Modular Home w/ Site-Built Garage</t>
  </si>
  <si>
    <t>22-39-16-03-2-00-041</t>
  </si>
  <si>
    <t>B07-0195</t>
  </si>
  <si>
    <t>New parking garageno fee permit</t>
  </si>
  <si>
    <t>22-41-16-33-1-08-003</t>
  </si>
  <si>
    <t>BP 2007-0084</t>
  </si>
  <si>
    <t>Build 2-Story Log Home w/Basement</t>
  </si>
  <si>
    <t>22-45-13-07-1-00-061</t>
  </si>
  <si>
    <t>BP 2007-0085</t>
  </si>
  <si>
    <t>Add to bedroom of existing ARU (guest house)</t>
  </si>
  <si>
    <t>BP 2007-0086</t>
  </si>
  <si>
    <t>Add 1-bedroom &amp; 1-bathroom and garage to SFD</t>
  </si>
  <si>
    <t>22-41-17-12-4-10-001</t>
  </si>
  <si>
    <t>BP 2007-0087</t>
  </si>
  <si>
    <t>Add Pool Room/Office, Hot Tub; Remodel Bedroom, Bath</t>
  </si>
  <si>
    <t>BP 2007-0089</t>
  </si>
  <si>
    <t>Move Duplex onto new Foundation</t>
  </si>
  <si>
    <t>22-41-17-22-3-00-052</t>
  </si>
  <si>
    <t>BP 2007-0090</t>
  </si>
  <si>
    <t>Interior remodel to SFD</t>
  </si>
  <si>
    <t>22-42-16-21-3-00-011</t>
  </si>
  <si>
    <t>BP 2007-0091</t>
  </si>
  <si>
    <t>Build Cabin 1 - 4 Bedroom (Modified) W/ Garage &amp; Cart Garage</t>
  </si>
  <si>
    <t>22-40-17-12-4-01-064</t>
  </si>
  <si>
    <t>BP 2007-0092</t>
  </si>
  <si>
    <t>Interior Remodel to Old Wilson School</t>
  </si>
  <si>
    <t>22-41-17-22-3-00-066</t>
  </si>
  <si>
    <t>BP 2007-0093</t>
  </si>
  <si>
    <t>22-41-17-22-1-01-007</t>
  </si>
  <si>
    <t>BP 2007-0094</t>
  </si>
  <si>
    <t>Build 2-Story ARU w/ Garage</t>
  </si>
  <si>
    <t>BP 2007-0095</t>
  </si>
  <si>
    <t>Build Single-Story Home w/ Garage and partial Basement</t>
  </si>
  <si>
    <t>22-42-16-28-4-10-009</t>
  </si>
  <si>
    <t>BP 2007-0096</t>
  </si>
  <si>
    <t>Remodel existing garage into living &amp; add new 1 bay garage to SFD</t>
  </si>
  <si>
    <t>22-42-16-28-4-05-001</t>
  </si>
  <si>
    <t>BP 2007-0097</t>
  </si>
  <si>
    <t>22-40-16-29-2-01-007</t>
  </si>
  <si>
    <t>BP 2007-0098</t>
  </si>
  <si>
    <t>Add Kitchen, Dining Room, Family Room, Master Bedroom w/Bath and Garage</t>
  </si>
  <si>
    <t>22-41-17-12-3-07-008</t>
  </si>
  <si>
    <t>BP 2007-0099</t>
  </si>
  <si>
    <t>New 5-bedroom SFD W/ Attached Garage</t>
  </si>
  <si>
    <t>22-41-17-12-2-10-003</t>
  </si>
  <si>
    <t>BP 2007-0158</t>
  </si>
  <si>
    <t>BP 2007-0100</t>
  </si>
  <si>
    <t>Remove &amp; Rebuild a portion of existing SFD</t>
  </si>
  <si>
    <t>22-40-16-35-2-00-007</t>
  </si>
  <si>
    <t>BP 2007-0101</t>
  </si>
  <si>
    <t>Bump out master bath 2 feet</t>
  </si>
  <si>
    <t>22-40-16-17-2-02-128</t>
  </si>
  <si>
    <t>BP 2007-0102</t>
  </si>
  <si>
    <t>22-39-16-26-2-03-002</t>
  </si>
  <si>
    <t>BP 2007-0103</t>
  </si>
  <si>
    <t>22-40-16-18-3-11-002</t>
  </si>
  <si>
    <t>BP 2007-0104</t>
  </si>
  <si>
    <t>Build Ranch Operations Office</t>
  </si>
  <si>
    <t>BP 2007-0105</t>
  </si>
  <si>
    <t>Build Single Story ARU</t>
  </si>
  <si>
    <t>BP 2006-0366R</t>
  </si>
  <si>
    <t>Add 110 sf to Living Room</t>
  </si>
  <si>
    <t>B07-0224</t>
  </si>
  <si>
    <t>Drive up Coffee shopno fee as the NRPRF covered the building permit fee</t>
  </si>
  <si>
    <t>22-41-16-28-4-03-004</t>
  </si>
  <si>
    <t>B07-0226</t>
  </si>
  <si>
    <t>addition to existing homeNULL</t>
  </si>
  <si>
    <t>22-41-16-34-1-02-002</t>
  </si>
  <si>
    <t>B07-0229</t>
  </si>
  <si>
    <t>Mixed useFees: 3 one inch water meters @ 382.00 each = $1146.00; 3 -inch water capacity fee @ $1050. each = $3150.00; Fire Line $1200.00; Sewer fees: 1 residential unit @ $1858.00;  65 employees @ $126.00 each = $8190.00; 6210 sq ft/100 x $21.00 = $1302.00; affordable fee in lieu - $12,069.00; credit 39 seats @ $341.00 = $13299.00; and 3/4 water capacity fee and meter $873.00</t>
  </si>
  <si>
    <t>22-41-16-34-2-83-002</t>
  </si>
  <si>
    <t>BP 2007-0106</t>
  </si>
  <si>
    <t>22-40-16-20-3-04-002</t>
  </si>
  <si>
    <t>BP 2007-0107</t>
  </si>
  <si>
    <t>BP 2007-0108</t>
  </si>
  <si>
    <t>Interiore remodel of unfinished commercial tenant space  12/22/09 Wrote Letter VA</t>
  </si>
  <si>
    <t>22-41-17-11-4-25-006</t>
  </si>
  <si>
    <t>BP 2007-0109</t>
  </si>
  <si>
    <t>Build Cabin 1- 4 Bedroom w/ Golf Cart Bay</t>
  </si>
  <si>
    <t>22-40-17-12-1-02-002</t>
  </si>
  <si>
    <t>BP 2007-0111</t>
  </si>
  <si>
    <t>Complete Interior of Medical Facility</t>
  </si>
  <si>
    <t>B07-0265</t>
  </si>
  <si>
    <t>22-41-16-28-4-01-002</t>
  </si>
  <si>
    <t>BP 2007-0112</t>
  </si>
  <si>
    <t>New Garage W/ ARU Above</t>
  </si>
  <si>
    <t>22-41-17-12-3-00-021</t>
  </si>
  <si>
    <t>BP 2007-0113</t>
  </si>
  <si>
    <t>Move off trailer &amp; replace w/ modular home</t>
  </si>
  <si>
    <t>BP 2007-0114</t>
  </si>
  <si>
    <t>New 2000 sq. ft. Barn</t>
  </si>
  <si>
    <t>BP 2007-0115</t>
  </si>
  <si>
    <t>Temporary Sprung Structure to house lawn equipment</t>
  </si>
  <si>
    <t>22-38-16-08-1-01-069</t>
  </si>
  <si>
    <t>B07-0280</t>
  </si>
  <si>
    <t>22-41-16-32-4-14-002</t>
  </si>
  <si>
    <t>BP 2007-0116</t>
  </si>
  <si>
    <t>Build Barn and indoor riding arena</t>
  </si>
  <si>
    <t>22-39-16-11-1-05-002</t>
  </si>
  <si>
    <t>BP 2007-0167</t>
  </si>
  <si>
    <t>Build SFD w/Basement</t>
  </si>
  <si>
    <t>BP 2007-0117</t>
  </si>
  <si>
    <t>Demo existing front porch &amp; rebuild</t>
  </si>
  <si>
    <t>BP 2006-0247R</t>
  </si>
  <si>
    <t>Add Music Room,  Office and Fireplace to SFD</t>
  </si>
  <si>
    <t>BP 2007-0118</t>
  </si>
  <si>
    <t>Move existing garage onto property</t>
  </si>
  <si>
    <t>22-41-17-27-1-02-008</t>
  </si>
  <si>
    <t>BP 2007-0119</t>
  </si>
  <si>
    <t>Add 791 sq. ft. to SFD</t>
  </si>
  <si>
    <t>BP 2007-0120</t>
  </si>
  <si>
    <t>Demo &amp; replace garage and add 2nd story living space</t>
  </si>
  <si>
    <t>22-41-17-14-4-30-004</t>
  </si>
  <si>
    <t>BP 2007-0121</t>
  </si>
  <si>
    <t>Build 2-Story Log Home w/Garage below</t>
  </si>
  <si>
    <t>22-45-13-20-3-02-021</t>
  </si>
  <si>
    <t>BP 2007-0122</t>
  </si>
  <si>
    <t>Build 2-Story Home w/Partial Basement, Entry and Mud Room</t>
  </si>
  <si>
    <t>22-44-18-17-2-00-024</t>
  </si>
  <si>
    <t>BP 2007-0123</t>
  </si>
  <si>
    <t>Build Barn w/ Studio/Library upstairs</t>
  </si>
  <si>
    <t>BP 2007-0124</t>
  </si>
  <si>
    <t>Build Detached Art Studio</t>
  </si>
  <si>
    <t>22-44-18-08-1-00-001</t>
  </si>
  <si>
    <t>BP 2007-0125</t>
  </si>
  <si>
    <t>New Plumbing Shop &amp; Warehouse W/ 2 ARU's</t>
  </si>
  <si>
    <t>22-40-16-17-4-17-009</t>
  </si>
  <si>
    <t>BP 2007-0126</t>
  </si>
  <si>
    <t>Add 638 sq. ft. to SFD</t>
  </si>
  <si>
    <t>22-40-16-17-2-01-046</t>
  </si>
  <si>
    <t>B07-0300</t>
  </si>
  <si>
    <t>22-40-16-06-2-14-005</t>
  </si>
  <si>
    <t>BP 2007-0127</t>
  </si>
  <si>
    <t>Add Dining Area to SFD  12/22/09 wrote note on file and gave to Rob to respond as to if ok to final VA</t>
  </si>
  <si>
    <t>22-41-17-27-1-03-012</t>
  </si>
  <si>
    <t>BP 2007-0128</t>
  </si>
  <si>
    <t>New Single Story 4-bedroom, 4.5 bath SFD (Cottage #3)</t>
  </si>
  <si>
    <t>22-38-16-08-4-02-004</t>
  </si>
  <si>
    <t>BP 2007-0129</t>
  </si>
  <si>
    <t>New 4-bedroom, 4.5 bath SFD (Cottage #2 Reverse)</t>
  </si>
  <si>
    <t>22-38-16-08-4-02-005</t>
  </si>
  <si>
    <t>BP 2007-0130</t>
  </si>
  <si>
    <t>New 5-bedroom, 4.5 bath SFD (Cabin #3R &amp; 2nd story addition)</t>
  </si>
  <si>
    <t>22-38-16-08-4-02-006</t>
  </si>
  <si>
    <t>BP 2007-0131</t>
  </si>
  <si>
    <t>New 4-bedroom, 4.5 bath SFD (Cottage #1)</t>
  </si>
  <si>
    <t>22-38-16-08-4-02-007</t>
  </si>
  <si>
    <t>BP 2007-0134</t>
  </si>
  <si>
    <t>Build 2nd story addition to SFD</t>
  </si>
  <si>
    <t>22-40-16-17-2-01-034</t>
  </si>
  <si>
    <t>BP 2007-0135</t>
  </si>
  <si>
    <t>Buils Single Story Home W/ Garage</t>
  </si>
  <si>
    <t>22-40-16-20-1-15-034</t>
  </si>
  <si>
    <t>BP 2007-0136</t>
  </si>
  <si>
    <t>Build Single Story Home W/ Garage</t>
  </si>
  <si>
    <t>22-40-16-20-1-15-023</t>
  </si>
  <si>
    <t>BP 2007-0138</t>
  </si>
  <si>
    <t>Replace existing trailer w/ newer to be used as temp offices</t>
  </si>
  <si>
    <t>BP 2007-0139</t>
  </si>
  <si>
    <t>Convert existing garage into living &amp; remodel SFD</t>
  </si>
  <si>
    <t>22-44-18-16-3-02-003</t>
  </si>
  <si>
    <t>BP 2007-0140</t>
  </si>
  <si>
    <t>New 6-bedroom SFD W/ Garage</t>
  </si>
  <si>
    <t>22-41-17-23-4-05-015</t>
  </si>
  <si>
    <t>BP 2007-0141</t>
  </si>
  <si>
    <t>Build 2-Story ARU</t>
  </si>
  <si>
    <t>22-41-17-12-4-06-002</t>
  </si>
  <si>
    <t>BP 2007-0142</t>
  </si>
  <si>
    <t>Add 2 Bedrooms, Bath and Laundry/Entry</t>
  </si>
  <si>
    <t>22-40-16-18-1-07-011</t>
  </si>
  <si>
    <t>BP 2007-0143</t>
  </si>
  <si>
    <t>Build 2-Story Timber Frame Home</t>
  </si>
  <si>
    <t>22-40-16-20-2-10-020</t>
  </si>
  <si>
    <t>BP 2007-0144</t>
  </si>
  <si>
    <t>Build 2nd story addition to SFD; Remodel first floor</t>
  </si>
  <si>
    <t>22-40-17-35-1-01-003</t>
  </si>
  <si>
    <t>B07-0320</t>
  </si>
  <si>
    <t>New single familyno sewer or water fees due because of existing single family that was demo for this project.</t>
  </si>
  <si>
    <t>22-41-16-27-3-06-004</t>
  </si>
  <si>
    <t>BP 2007-0145</t>
  </si>
  <si>
    <t>Interior remodel, addition of garage w/ 1 bed, 1 bath, &amp; mudroom entry</t>
  </si>
  <si>
    <t>22-41-17-14-4-31-005</t>
  </si>
  <si>
    <t>BP 2007-0146</t>
  </si>
  <si>
    <t>22-40-16-21-3-01-016</t>
  </si>
  <si>
    <t>BP 2007-0148</t>
  </si>
  <si>
    <t>New detached garage w/ ARU above</t>
  </si>
  <si>
    <t>BP 2007-0149</t>
  </si>
  <si>
    <t>22-40-16-18-1-03-175</t>
  </si>
  <si>
    <t>BP 2007-0150</t>
  </si>
  <si>
    <t>Tenant Remodel</t>
  </si>
  <si>
    <t>BP 2007-0153</t>
  </si>
  <si>
    <t>Build Detached Garage w/ Office above</t>
  </si>
  <si>
    <t>22-44-18-08-1-01-005</t>
  </si>
  <si>
    <t>BDR2014-0184R</t>
  </si>
  <si>
    <t>B07-0351</t>
  </si>
  <si>
    <t>New elementary schoolCredits: 2-inch water capacity fee $4200.00 Sewer credits are for 687 students. The new school will have a capacity of 498 students which will give them a sewer capacity credit of 189 students. The credit will be applied if they build additional offices or classrooms.   Fees: 3-inch water capacity fee and meter = $11345.25 - $4200.00 credit = $7145.25 due</t>
  </si>
  <si>
    <t>BP 2007-0154</t>
  </si>
  <si>
    <t>Build 2-Story Log Home w/Full Basement, Garage</t>
  </si>
  <si>
    <t>BP 2007-0155</t>
  </si>
  <si>
    <t>Build 2-Story Home W/ detached ARU and Garage</t>
  </si>
  <si>
    <t>22-42-16-15-3-00-017</t>
  </si>
  <si>
    <t>BP 2007-0156</t>
  </si>
  <si>
    <t>Build 2-story ARU (guesthouse)</t>
  </si>
  <si>
    <t>22-39-16-34-1-00-002</t>
  </si>
  <si>
    <t>BP 2007-0198</t>
  </si>
  <si>
    <t>Build 3 -Bay Garage w/Storage Above</t>
  </si>
  <si>
    <t>B07-0356</t>
  </si>
  <si>
    <t>New townhomeSewer $1858.00 3/4 water capacity &amp; meter fee $873.00</t>
  </si>
  <si>
    <t>22-41-16-34-1-94-008</t>
  </si>
  <si>
    <t>BP 2006-0319R</t>
  </si>
  <si>
    <t>Add art studio, expand breakfast and dining and a hot tub to SFD</t>
  </si>
  <si>
    <t>BP 2007-0157</t>
  </si>
  <si>
    <t>New Detached Garage  12/22/09 Wrote Letter VA  2/16/10 gave file to inspectors for status VA</t>
  </si>
  <si>
    <t>B07-0358</t>
  </si>
  <si>
    <t>new single familySewer capacity fee $1858.00 3/4 water meter and capacity fee $863.00</t>
  </si>
  <si>
    <t>22-41-16-34-1-95-003</t>
  </si>
  <si>
    <t>B07-0359</t>
  </si>
  <si>
    <t>new single familySewer capacity fee $1858.00 3/4 water capacity &amp; Meter Fee 863.00</t>
  </si>
  <si>
    <t>22-41-16-34-1-95-002</t>
  </si>
  <si>
    <t>BP 2007-0159</t>
  </si>
  <si>
    <t>Build Pump house for well</t>
  </si>
  <si>
    <t>22-39-16-02-2-00-022</t>
  </si>
  <si>
    <t>BP 2007-0160</t>
  </si>
  <si>
    <t>Build 1-Story Home w/Garage</t>
  </si>
  <si>
    <t>22-42-16-27-4-12-011</t>
  </si>
  <si>
    <t>BP 2007-0161</t>
  </si>
  <si>
    <t>Build Modified Cabin 2A w/ attached 2-car garage</t>
  </si>
  <si>
    <t>22-40-17-12-1-01-040</t>
  </si>
  <si>
    <t>BP 2007-0162</t>
  </si>
  <si>
    <t>Roof  Modification &amp; Re-Roofing</t>
  </si>
  <si>
    <t>22-41-17-35-1-00-001</t>
  </si>
  <si>
    <t>BP 2007-0163</t>
  </si>
  <si>
    <t>Build 2-Story Home /Garage</t>
  </si>
  <si>
    <t>22-40-16-20-1-08-010</t>
  </si>
  <si>
    <t>BP 2007-0165</t>
  </si>
  <si>
    <t>New Hotel</t>
  </si>
  <si>
    <t>22-42-17-24-4-34-002</t>
  </si>
  <si>
    <t>BP 2007-0166</t>
  </si>
  <si>
    <t>Add Bedroom and Remodel Interior of SFD</t>
  </si>
  <si>
    <t>22-42-17-24-3-02-104</t>
  </si>
  <si>
    <t>BP 2007-0168</t>
  </si>
  <si>
    <t>22-41-17-12-3-00-031</t>
  </si>
  <si>
    <t>BP 2007-0169</t>
  </si>
  <si>
    <t>New commercial bldg (shop/warehouse)</t>
  </si>
  <si>
    <t>22-40-16-17-4-17-006</t>
  </si>
  <si>
    <t>BP 2007-0170</t>
  </si>
  <si>
    <t>Build 905 sq. ft. bedroom &amp; bathroom addition to SFD</t>
  </si>
  <si>
    <t>BP 2006-0208R</t>
  </si>
  <si>
    <t>Revision's noted on plans</t>
  </si>
  <si>
    <t>BP 2007-0172</t>
  </si>
  <si>
    <t>Build 2-story Home w/ Partial Basement &amp; Garage</t>
  </si>
  <si>
    <t>22-41-16-17-3-05-003</t>
  </si>
  <si>
    <t>BP 2007-0173</t>
  </si>
  <si>
    <t>Build Single-Story ARU (guest house)</t>
  </si>
  <si>
    <t>BP 2007-0050R</t>
  </si>
  <si>
    <t>Interior Modifications to BP07-0050; Add 134sf to Garage</t>
  </si>
  <si>
    <t>BP 2007-0174</t>
  </si>
  <si>
    <t>Add Guest Bedroom, Bath &amp; Entry to SFD; Enlarge Deck; Remodel Interior</t>
  </si>
  <si>
    <t>22-41-17-14-1-02-009</t>
  </si>
  <si>
    <t>BP 2007-0175</t>
  </si>
  <si>
    <t>New 520 sq. ft. Garden Shed</t>
  </si>
  <si>
    <t>22-42-16-28-1-02-011</t>
  </si>
  <si>
    <t>B07-0403</t>
  </si>
  <si>
    <t>new single familyNULL</t>
  </si>
  <si>
    <t>22-41-16-34-1-00-026</t>
  </si>
  <si>
    <t>B07-0404</t>
  </si>
  <si>
    <t>addition/alteration to existing single familyNULL</t>
  </si>
  <si>
    <t>22-41-16-31-4-14-084</t>
  </si>
  <si>
    <t>B07-0406</t>
  </si>
  <si>
    <t>New single familyno fee water meter, capacity fee and sewer capacity fee because of existing home that was removed for this project..</t>
  </si>
  <si>
    <t>22-41-16-34-1-09-008</t>
  </si>
  <si>
    <t>BP 2007-0176</t>
  </si>
  <si>
    <t>22-41-17-15-3-00-032</t>
  </si>
  <si>
    <t>BP 2007-0177</t>
  </si>
  <si>
    <t>Add 1100 sq. ft. to SFD</t>
  </si>
  <si>
    <t>22-41-17-33-1-01-001</t>
  </si>
  <si>
    <t>BP 2007-0178</t>
  </si>
  <si>
    <t>Add Sitting Room &amp; Storage Area over Garage</t>
  </si>
  <si>
    <t>B07-0408</t>
  </si>
  <si>
    <t>22-41-16-31-4-13-038</t>
  </si>
  <si>
    <t>B07-0415</t>
  </si>
  <si>
    <t>NewFees: 2-inch water capacity fee $4200.00 2-inch compound meter $1337.25. Sewer capacity fees: 82 seats @ $341.00 = $27962.00: 1st floor   1 2-bedroom@$1858.00: 2nd floor 2 2-bedroom@ $1858.00 each = $3716.00 2 1-bedroom with w/d @$930.00 each = $ 1860.00: 3rd floor 2 2-bedroom@ $1858.00 each= $ 3716.00  2 1-bedroom with w/d @ $930. each = $1860.00  Credit: 89 seats @ $341.00 = $30,349.00 sewer capacity fee credit based upon purchase of 67% of the original white buffalo property (see replat)by lespri. Email in file in regards to these credits.</t>
  </si>
  <si>
    <t>22-41-16-28-4-29-001</t>
  </si>
  <si>
    <t>BP 2007-0180</t>
  </si>
  <si>
    <t>Convert existing covered porch into bathroom</t>
  </si>
  <si>
    <t>B07-0419</t>
  </si>
  <si>
    <t>New single family1858.00 sewer fee $863.00 3/4 water and meter fee</t>
  </si>
  <si>
    <t>22-41-16-34-1-95-004</t>
  </si>
  <si>
    <t>BP 2007-0184</t>
  </si>
  <si>
    <t>Build Employee Storage an Recyling Building</t>
  </si>
  <si>
    <t>BP 2007-0185</t>
  </si>
  <si>
    <t>Enclose Covered Porch</t>
  </si>
  <si>
    <t>22-39-16-27-4-02-004</t>
  </si>
  <si>
    <t>BP 2007-0186</t>
  </si>
  <si>
    <t>Complete 4-bedroom SFD W/ Garage from 2003 Foundation Completed</t>
  </si>
  <si>
    <t>22-40-16-20-1-08-024</t>
  </si>
  <si>
    <t>BP 2007-0187</t>
  </si>
  <si>
    <t>Tenant Improvement - Create 3 offices, Break Room</t>
  </si>
  <si>
    <t>BP 2007-0188</t>
  </si>
  <si>
    <t>Tenant Improvement - 4 Offices, Reception, Break and Bathroom</t>
  </si>
  <si>
    <t>BP 2007-0189</t>
  </si>
  <si>
    <t>Horse shelter - No Electrical, Plumbing</t>
  </si>
  <si>
    <t>22-39-17-11-1-01-006</t>
  </si>
  <si>
    <t>BP 2007-0190</t>
  </si>
  <si>
    <t>Build 2 story home</t>
  </si>
  <si>
    <t>22-44-18-20-3-07-001</t>
  </si>
  <si>
    <t>B07-0431</t>
  </si>
  <si>
    <t>Addition to existing single familyContacted Mrs. Burke in March. She said she would call in may for final. No one has called at this time. Permit will be closed. BN 10/22/09</t>
  </si>
  <si>
    <t>22-40-16-06-2-25-007</t>
  </si>
  <si>
    <t>B07-0432</t>
  </si>
  <si>
    <t>New single familywater, sewer and meter fees were paid on permit #960251. meter size paid for is a 3/4 water meter</t>
  </si>
  <si>
    <t>22-41-16-33-4-14-014</t>
  </si>
  <si>
    <t>BP 2007-0191</t>
  </si>
  <si>
    <t>22-41-17-22-2-03-002</t>
  </si>
  <si>
    <t>BP 2007-0194</t>
  </si>
  <si>
    <t>Build 1900 sq. ft. Addition/Remodel  to SFD</t>
  </si>
  <si>
    <t>22-41-17-25-4-00-050</t>
  </si>
  <si>
    <t>BP 2007-0195</t>
  </si>
  <si>
    <t>New ARU Above Garage</t>
  </si>
  <si>
    <t>BP 2007-0196</t>
  </si>
  <si>
    <t>Build Addition to Subdivision Booster Pump Station</t>
  </si>
  <si>
    <t>22-41-17-33-4-03-067</t>
  </si>
  <si>
    <t>BP 2007-0197</t>
  </si>
  <si>
    <t>Add Second Story to Home  10/23/09 Wrote Letter VA  10/27/09 owner calling for elec. and bldg finals VA</t>
  </si>
  <si>
    <t>22-40-16-17-2-01-006</t>
  </si>
  <si>
    <t>BP 2005-0128R</t>
  </si>
  <si>
    <t>Changes ?</t>
  </si>
  <si>
    <t>BP 2007-0199</t>
  </si>
  <si>
    <t>New Detached Garage W/ ARU Above</t>
  </si>
  <si>
    <t>BP 2007-0200</t>
  </si>
  <si>
    <t>Build 2-story Home</t>
  </si>
  <si>
    <t>22-41-17-22-1-01-013</t>
  </si>
  <si>
    <t>BP 2007-0201</t>
  </si>
  <si>
    <t>Build Garage W/ ARU Above</t>
  </si>
  <si>
    <t>B07-0441</t>
  </si>
  <si>
    <t>New single familySewer connect $1858.00 3/4 water meter and capacity fee $ 873.00    (3/13/2009 13:22  KB)  Applicant did not do project. Closed file on 3/13/09 kb</t>
  </si>
  <si>
    <t>22-41-16-34-1-00-023</t>
  </si>
  <si>
    <t>BP 2007-0202</t>
  </si>
  <si>
    <t>Add 2 new dormers &amp; remodel kitchen &amp; bathroom</t>
  </si>
  <si>
    <t>22-40-16-35-4-06-005</t>
  </si>
  <si>
    <t>BP 2007-0203</t>
  </si>
  <si>
    <t>Build Mechanical Equipment Building</t>
  </si>
  <si>
    <t>B07-0452</t>
  </si>
  <si>
    <t>New single FamilySewer $1858.00  3/4 water meter &amp; Capacity fee $ 873.00</t>
  </si>
  <si>
    <t>22-41-16-34-1-95-005</t>
  </si>
  <si>
    <t>B07-0454</t>
  </si>
  <si>
    <t>Addition to existing unitNULL</t>
  </si>
  <si>
    <t>22-40-16-06-2-38-003</t>
  </si>
  <si>
    <t>B07-0459</t>
  </si>
  <si>
    <t>Storage shedno final requested closed file on 3/20/09 kb</t>
  </si>
  <si>
    <t>22-41-16-32-4-12-016</t>
  </si>
  <si>
    <t>B07-0460</t>
  </si>
  <si>
    <t>22-41-16-32-1-03-007</t>
  </si>
  <si>
    <t>BP 2007-0204</t>
  </si>
  <si>
    <t>Convert existing garage into living &amp; add 1300 sq. ft. to SFD</t>
  </si>
  <si>
    <t>22-41-17-11-1-49-002</t>
  </si>
  <si>
    <t>BP 2007-0205</t>
  </si>
  <si>
    <t>addind 120 sq. ft. to laundry room</t>
  </si>
  <si>
    <t>22-42-16-02-2-00-020</t>
  </si>
  <si>
    <t>BP 2007-0206</t>
  </si>
  <si>
    <t>Convert existing garage into living &amp; add garage doors to out building</t>
  </si>
  <si>
    <t>BP 2007-0207</t>
  </si>
  <si>
    <t>Build One-Story Guesthouse (ARU)</t>
  </si>
  <si>
    <t>BP 2007-0208</t>
  </si>
  <si>
    <t>22-38-16-16-3-01-051</t>
  </si>
  <si>
    <t>BP 2007-0209</t>
  </si>
  <si>
    <t>Replace subdivision water system control building</t>
  </si>
  <si>
    <t>22-44-18-20-3-03-004</t>
  </si>
  <si>
    <t>BP 2007-0210</t>
  </si>
  <si>
    <t>Build Horse Shelter</t>
  </si>
  <si>
    <t>BP 2007-0211</t>
  </si>
  <si>
    <t>Install Single-Story Modular Home/Garage</t>
  </si>
  <si>
    <t>22-41-17-22-4-14-054</t>
  </si>
  <si>
    <t>BP 2007-0008R</t>
  </si>
  <si>
    <t>Add Bathroom</t>
  </si>
  <si>
    <t>BP 2007-0212</t>
  </si>
  <si>
    <t>Build Living Room Addtion</t>
  </si>
  <si>
    <t>BP 2007-0213</t>
  </si>
  <si>
    <t>New SFD for Employee housing</t>
  </si>
  <si>
    <t>22-41-17-01-3-00-003</t>
  </si>
  <si>
    <t>BP 2007-0215</t>
  </si>
  <si>
    <t>Add to SFD (Billiards Room, Study, Deck and Hot Tub)</t>
  </si>
  <si>
    <t>22-41-16-21-2-02-003</t>
  </si>
  <si>
    <t>BP 2007-0215A</t>
  </si>
  <si>
    <t>Foundation Only of SFD Addition</t>
  </si>
  <si>
    <t>BP 2007-0216</t>
  </si>
  <si>
    <t>Add 2 Bedrooms, 2 Baths, Hot Tub to SFD; Expand Kitchen, Breakfast Area, Deck</t>
  </si>
  <si>
    <t>22-41-16-21-2-02-001</t>
  </si>
  <si>
    <t>BP 2007-0216A</t>
  </si>
  <si>
    <t>Foundation Only for SFD Addition</t>
  </si>
  <si>
    <t>BP 2007-0214</t>
  </si>
  <si>
    <t>BP 2007-0217</t>
  </si>
  <si>
    <t>Add family room, Bedroom, Laundry; Expand  Kitchen and Entry to SFD</t>
  </si>
  <si>
    <t>22-44-18-17-1-00-011</t>
  </si>
  <si>
    <t>BP 2007-0044R</t>
  </si>
  <si>
    <t>enlarge kitchen, add 3/4 bath resulting in 316 sq. ft. total</t>
  </si>
  <si>
    <t>BP 2007-0218</t>
  </si>
  <si>
    <t>Add Theater, Billard Room, New Bath, Sitting Room to SFD</t>
  </si>
  <si>
    <t>22-40-17-35-1-04-008</t>
  </si>
  <si>
    <t>BP 2007-0219</t>
  </si>
  <si>
    <t>Build Single Story Home w/ Garage and Rooftop Yoga Pavilion Above</t>
  </si>
  <si>
    <t>22-41-16-07-2-01-008</t>
  </si>
  <si>
    <t>BP 2007-0220</t>
  </si>
  <si>
    <t>Build Tram Tower Building</t>
  </si>
  <si>
    <t>B07-0503</t>
  </si>
  <si>
    <t>22-41-16-34-1-94-010</t>
  </si>
  <si>
    <t>B07-0504</t>
  </si>
  <si>
    <t>22-41-16-34-1-94-009</t>
  </si>
  <si>
    <t>BP 2007-0221</t>
  </si>
  <si>
    <t>Build Single Story Home w/Storage Lofts</t>
  </si>
  <si>
    <t>22-40-16-20-3-05-002</t>
  </si>
  <si>
    <t>BP 2007-0222</t>
  </si>
  <si>
    <t>Build Barn  12/8/09 Jen A has issues w/ fence, otherwise project complete VA</t>
  </si>
  <si>
    <t>BP 2007-0223</t>
  </si>
  <si>
    <t>Add new doors, windows to lower level room</t>
  </si>
  <si>
    <t>BP 2007-0224</t>
  </si>
  <si>
    <t>Build Single Story Home w/Full Basement and Garage</t>
  </si>
  <si>
    <t>22-44-18-16-3-04-002</t>
  </si>
  <si>
    <t>BP 2007-0225</t>
  </si>
  <si>
    <t>1344 sq. ft. garage addition</t>
  </si>
  <si>
    <t>22-42-16-22-3-00-045</t>
  </si>
  <si>
    <t>BP 2007-0226</t>
  </si>
  <si>
    <t>22-41-17-27-3-01-001</t>
  </si>
  <si>
    <t>B07-0512</t>
  </si>
  <si>
    <t>22-41-16-31-4-13-055</t>
  </si>
  <si>
    <t>B07-0515</t>
  </si>
  <si>
    <t>22-41-16-34-1-30-016</t>
  </si>
  <si>
    <t>B07-0516</t>
  </si>
  <si>
    <t>22-41-16-34-1-30-015</t>
  </si>
  <si>
    <t>BP 2007-0228</t>
  </si>
  <si>
    <t>Add to Existing Dining Room and Deck</t>
  </si>
  <si>
    <t>BP 2007-0082A</t>
  </si>
  <si>
    <t>Add Game Room, 2 Bedrooms, Bath above Garage; bump out at Dining Room</t>
  </si>
  <si>
    <t>BP 2007-0082R</t>
  </si>
  <si>
    <t>POP OUT IN LIVING ROOM INCREASE AREA ABOVE GARAGE</t>
  </si>
  <si>
    <t>BP 2007-0142R</t>
  </si>
  <si>
    <t>Add 65 sf to bedroom addition</t>
  </si>
  <si>
    <t>BP 2007-0230</t>
  </si>
  <si>
    <t>Temporary employee locker room, restroom, in sprung structure</t>
  </si>
  <si>
    <t>BP 2007-0231</t>
  </si>
  <si>
    <t>Build 2-Story Home w/Garage &amp; Bonus Room</t>
  </si>
  <si>
    <t>22-41-17-12-2-12-001</t>
  </si>
  <si>
    <t>BP 2007-0233</t>
  </si>
  <si>
    <t>New ARU</t>
  </si>
  <si>
    <t>22-41-17-22-3-00-002</t>
  </si>
  <si>
    <t>BP 2007-0235</t>
  </si>
  <si>
    <t>New Horse Barn</t>
  </si>
  <si>
    <t>BP 2007-0236</t>
  </si>
  <si>
    <t>Demo existing &amp; rebuild new 4-bedroom SFD W/ Garage</t>
  </si>
  <si>
    <t>BP 2007-0237</t>
  </si>
  <si>
    <t>Pole Barn</t>
  </si>
  <si>
    <t>22-41-17-14-4-30-010</t>
  </si>
  <si>
    <t>BP 2007-0238</t>
  </si>
  <si>
    <t>Remodel warehouse to add 2 offices</t>
  </si>
  <si>
    <t>22-40-16-17-4-16-003</t>
  </si>
  <si>
    <t>B07-0550</t>
  </si>
  <si>
    <t>condoSewer credit from existing home 2 3-bedroom @ $1858.00 each = $ 3716.00 3/4 Water capacity fee credit of $873.00:   Water fees: 7 1-inch water meters @ $ 2674.00: 7 1-inch water capacity fee @  $1050.00 each = $ 7350.00 Sewer fees 6 units @ $1858.00 = $11,148.00: 1 unit @ $930.00: Employee housing fee in lieu $590.24    (6/16/2009 12:57  KB)  Jim Norton asked to downsize his 7 meters to 3/4 inch from 1-inch and purchase another 1-inch meter. The fees/credits are as follows: 7 3/4 inch water meters @ $337.50 = $2362.50: 7 3/4 inch water capacity fee @ $ 620.00 each = $ 4340.00. 1-inch water meter &amp; capacity fee = $1552.00. Credit of $10,024.00 (7 1-inch meters &amp; capacity fee) $10,024.00 (fees paid)- $8254.50 (new fees owed) = $1769.50 to be refunded to Jim.    (8/4/2011 1:23 PM KB)  Applicant paid a $250.00 fee to reinstate this building permit that has expired.</t>
  </si>
  <si>
    <t>22-41-16-34-2-82-001</t>
  </si>
  <si>
    <t>BP 2007-0240</t>
  </si>
  <si>
    <t>22-41-17-22-4-18-002</t>
  </si>
  <si>
    <t>BP 2007-0242</t>
  </si>
  <si>
    <t>22-40-16-20-2-17-001</t>
  </si>
  <si>
    <t>B07-0556</t>
  </si>
  <si>
    <t>New office buildingSewer fees: 1 inch water meter and capacity fee $1432.00: 38 employees @ $126.00 = $4788.00 2 bedroom @ $1858.00: Fire Line $1712.00: Sewer credits: 1 inch water meter and capacity fee = $1432.00: Sewer fee credits are more then what is being charged. Left over sewer credit breakdown is in the building permit file.</t>
  </si>
  <si>
    <t>22-41-16-34-1-09-001</t>
  </si>
  <si>
    <t>B07-0558</t>
  </si>
  <si>
    <t>New office buildingFees: Fire line $ 1712.00: 1-inch water capacity fee and meter $ 1432.00: 2 bedroom @ $1858.00 39 employees @ $126.00 = $ 4914.00:Sewer credit is more then the sewer fees being chargerd. There is a  sewer credit left over and the breakdown is in the file.</t>
  </si>
  <si>
    <t>BP 2007-0243</t>
  </si>
  <si>
    <t>22-40-16-20-2-17-008</t>
  </si>
  <si>
    <t>BP 2007-0244</t>
  </si>
  <si>
    <t>Build 2-story Home w/ Garage &amp; ARU</t>
  </si>
  <si>
    <t>22-41-17-12-2-13-002</t>
  </si>
  <si>
    <t>BP 2007-0245</t>
  </si>
  <si>
    <t>Add Bedroom, Bath and Closet, expand Living Room of SFD</t>
  </si>
  <si>
    <t>22-41-17-11-1-01-009</t>
  </si>
  <si>
    <t>BP 2007-0246</t>
  </si>
  <si>
    <t>add two interior walls to create office in existing commercial space</t>
  </si>
  <si>
    <t>22-40-16-17-4-15-002</t>
  </si>
  <si>
    <t>BP 2007-0241</t>
  </si>
  <si>
    <t>22-41-17-14-1-22-005</t>
  </si>
  <si>
    <t>BP 2007-0247</t>
  </si>
  <si>
    <t>Build One-Story Home w/ ARU and Garage</t>
  </si>
  <si>
    <t>22-42-16-21-1-00-007</t>
  </si>
  <si>
    <t>BP 2007-0248</t>
  </si>
  <si>
    <t>Build Warehouse/Office w/ 2 Future ARU's Above</t>
  </si>
  <si>
    <t>22-40-16-17-4-04-008</t>
  </si>
  <si>
    <t>BP 2007-0249</t>
  </si>
  <si>
    <t>22-38-16-16-3-01-049</t>
  </si>
  <si>
    <t>BP 2007-0267</t>
  </si>
  <si>
    <t>Build 2-Story Home w/ Partially Finished Basement and Garage</t>
  </si>
  <si>
    <t>22-41-16-21-1-16-001</t>
  </si>
  <si>
    <t>BP 2007-0268</t>
  </si>
  <si>
    <t>New Mixed Use Commercial Office/Contractor/Employee Housing</t>
  </si>
  <si>
    <t>22-40-16-17-4-21-CND</t>
  </si>
  <si>
    <t>BP 2007-0269</t>
  </si>
  <si>
    <t>Build vault toilet for Public Restroom</t>
  </si>
  <si>
    <t>22-41-17-24-3-00-006</t>
  </si>
  <si>
    <t>BP 2007-0271</t>
  </si>
  <si>
    <t>Build Garage/Barn w/Loft and Covered Storage</t>
  </si>
  <si>
    <t>BP 2007-0272</t>
  </si>
  <si>
    <t>1200 sq. ft. storage building</t>
  </si>
  <si>
    <t>22-39-16-03-4-01-013</t>
  </si>
  <si>
    <t>BP 2007-0273</t>
  </si>
  <si>
    <t>Place 3-bedroom Modular Home W/ Garage</t>
  </si>
  <si>
    <t>22-39-16-13-1-00-010</t>
  </si>
  <si>
    <t>BP 2007-0274</t>
  </si>
  <si>
    <t>Add 2 Bedrooms, 2.5 Baths, Garage and Bedroom expansion to SFD</t>
  </si>
  <si>
    <t>22-42-16-02-3-05-001</t>
  </si>
  <si>
    <t>BP 2007-0275</t>
  </si>
  <si>
    <t>22-44-18-32-1-01-010</t>
  </si>
  <si>
    <t>BP 2007-0276</t>
  </si>
  <si>
    <t>enclose existing deck for solarium</t>
  </si>
  <si>
    <t>22-42-17-24-3-10-001</t>
  </si>
  <si>
    <t>B07-0592</t>
  </si>
  <si>
    <t>new office buildingSewer Capacity fee: 22 employees @ $126.00 each = $ 2772.00, 2 motel rooms x $843.00 = $1686.00. 1 apt x $744.00 = $744.00 729 sf exercise room  15 occupants x 5 GPD = 75 GPD x $4.22 = $316.50 credit for 12 employees @ $126.00 each = $ 1512.00: no charge for fire line as they are tapping their own line and installing it themselves.  1-inch water capacity fee &amp; Meter = $ 1432.00    (8/5/2009 10:59  KB)  no final requested closed file on 8/5/09 per Billy Nunn kb</t>
  </si>
  <si>
    <t>22-41-16-33-1-00-014</t>
  </si>
  <si>
    <t>BP 2007-0204R</t>
  </si>
  <si>
    <t>Add 10 ft. to South Side of Bldg.</t>
  </si>
  <si>
    <t>BP 2007-0277</t>
  </si>
  <si>
    <t>Install 3-bedroom Modular</t>
  </si>
  <si>
    <t>22-41-17-23-1-00-010</t>
  </si>
  <si>
    <t>BP 2007-0278</t>
  </si>
  <si>
    <t>New Golf Maintenance Barn/Nordic Center</t>
  </si>
  <si>
    <t>B07-0598</t>
  </si>
  <si>
    <t>NewNULL</t>
  </si>
  <si>
    <t>22-41-16-27-3-08-013</t>
  </si>
  <si>
    <t>B07-0599</t>
  </si>
  <si>
    <t>Newno sewer and water capacity fee due because of existing home that was demolished for this project. also a credit for 3/4 inch meter</t>
  </si>
  <si>
    <t>BP 2007-0279</t>
  </si>
  <si>
    <t>Build 2 Story Home w/Full Basement, Garage &amp; Attached ARU</t>
  </si>
  <si>
    <t>22-42-17-24-1-01-009</t>
  </si>
  <si>
    <t>BP 2007-0280</t>
  </si>
  <si>
    <t>Move existing garage 30 ft. to new location</t>
  </si>
  <si>
    <t>22-41-17-02-2-00-004</t>
  </si>
  <si>
    <t>BP 2007-0281</t>
  </si>
  <si>
    <t>Add Bedroom/Bath to SFD and Covered Walkway to Garage</t>
  </si>
  <si>
    <t>22-44-18-07-3-01-003</t>
  </si>
  <si>
    <t>BP 2007-0282</t>
  </si>
  <si>
    <t>Add Bedroom/2 Baths to SFD</t>
  </si>
  <si>
    <t>22-41-16-18-4-02-005</t>
  </si>
  <si>
    <t>BP 2007-0283</t>
  </si>
  <si>
    <t>New Garage w/ Storage Above</t>
  </si>
  <si>
    <t>B07-0620</t>
  </si>
  <si>
    <t>22-41-16-34-1-77-004</t>
  </si>
  <si>
    <t>BP 2007-0285</t>
  </si>
  <si>
    <t>Build Basement for Office Building to be relocated to site</t>
  </si>
  <si>
    <t>22-42-17-24-4-00-005</t>
  </si>
  <si>
    <t>B07-0638</t>
  </si>
  <si>
    <t>Bus Shelterno fee permit    (1/27/2009 10:16  KB)  no final requested: closed file on 1/27/09 kb</t>
  </si>
  <si>
    <t>22-41-16-33-3-09-018</t>
  </si>
  <si>
    <t>B07-0639</t>
  </si>
  <si>
    <t>Bus Shelterno fee permit    (1/26/2009 15:16  KB)  no final requested closed file on 1/26/09 kb</t>
  </si>
  <si>
    <t>22-41-16-32-4-10-001</t>
  </si>
  <si>
    <t>BP 2006-0168S</t>
  </si>
  <si>
    <t>Build Interior Connector to New  Attic</t>
  </si>
  <si>
    <t>BP 2007-0286</t>
  </si>
  <si>
    <t>New 1-Story Guesthouse (ARU)</t>
  </si>
  <si>
    <t>BP 2007-0287</t>
  </si>
  <si>
    <t>BP 2007-0288</t>
  </si>
  <si>
    <t>Build 3-Bedroom, 2-Story SFDw/ Unfinished Basement &amp; Garage</t>
  </si>
  <si>
    <t>22-45-12-21-1-00-002</t>
  </si>
  <si>
    <t>BP 2007-0289</t>
  </si>
  <si>
    <t>New 4-bedroom SFD</t>
  </si>
  <si>
    <t>22-42-16-27-3-02-006</t>
  </si>
  <si>
    <t>BP 2007-0290</t>
  </si>
  <si>
    <t>New Garage Attached by Breezeway</t>
  </si>
  <si>
    <t>BP 2007-0292</t>
  </si>
  <si>
    <t>22-40-17-12-1-01-002</t>
  </si>
  <si>
    <t>BP 2007-0293</t>
  </si>
  <si>
    <t>Build 1-Story  ARU (Guest House)</t>
  </si>
  <si>
    <t>BP 2007-0294</t>
  </si>
  <si>
    <t>Add bathroom to existing loft of Condo</t>
  </si>
  <si>
    <t>22-41-17-11-1-33-007</t>
  </si>
  <si>
    <t>BP 2007-0295</t>
  </si>
  <si>
    <t>22-40-16-19-3-02-002</t>
  </si>
  <si>
    <t>B07-0670</t>
  </si>
  <si>
    <t>New garageNULL</t>
  </si>
  <si>
    <t>22-41-16-34-2-06-005</t>
  </si>
  <si>
    <t>BP 2007-0296</t>
  </si>
  <si>
    <t>Golf Course Pump House</t>
  </si>
  <si>
    <t>22-42-16-19-2-00-006</t>
  </si>
  <si>
    <t>BP 2007-0297</t>
  </si>
  <si>
    <t>Build Guesthouse (ARU) to be attached to existing garage</t>
  </si>
  <si>
    <t>22-41-17-13-2-01-011</t>
  </si>
  <si>
    <t>BP 2007-0298</t>
  </si>
  <si>
    <t>Build 2-Story Home w/ Basement &amp; Garage</t>
  </si>
  <si>
    <t>22-45-18-32-4-02-011</t>
  </si>
  <si>
    <t>BP 2007-0299</t>
  </si>
  <si>
    <t>Add 3-bedrooms, 3-bathrooms, Dining Room and Laundry to Home</t>
  </si>
  <si>
    <t>BP 2007-0300</t>
  </si>
  <si>
    <t>Build Detached Storage Building - No Plumbing, No Heating</t>
  </si>
  <si>
    <t>22-41-17-01-4-03-008</t>
  </si>
  <si>
    <t>BP 2007-0301</t>
  </si>
  <si>
    <t>Remodel Existing SFD; Add 2 Bedrooms</t>
  </si>
  <si>
    <t>22-43-18-05-2-00-009</t>
  </si>
  <si>
    <t>BP 2007-0302</t>
  </si>
  <si>
    <t>New ARU (Guest House) W/ Garage</t>
  </si>
  <si>
    <t>BP 2007-0303</t>
  </si>
  <si>
    <t>Convert existing basement into ARU (guest house)</t>
  </si>
  <si>
    <t>22-39-16-11-4-05-007</t>
  </si>
  <si>
    <t>B07-0701</t>
  </si>
  <si>
    <t>New townhomeAffordable housing fee in lieu $9850.00</t>
  </si>
  <si>
    <t>22-41-16-34-1-98-002</t>
  </si>
  <si>
    <t>B07-0702</t>
  </si>
  <si>
    <t>Start bus shelterno fee permit    (1/26/2009 15:12  KB)  no final requested closed file on 1/26/09 kb</t>
  </si>
  <si>
    <t>BP 2007-0304</t>
  </si>
  <si>
    <t>Deck Extension to SFD</t>
  </si>
  <si>
    <t>BP 2007-0306</t>
  </si>
  <si>
    <t>Living room bump-out to SFD</t>
  </si>
  <si>
    <t>22-41-17-13-2-01-004</t>
  </si>
  <si>
    <t>BP 2007-0307</t>
  </si>
  <si>
    <t>SFD addition/ remodel</t>
  </si>
  <si>
    <t>BP 2007-0308</t>
  </si>
  <si>
    <t>Build Underground Pool Equipment Structure</t>
  </si>
  <si>
    <t>B07-0728</t>
  </si>
  <si>
    <t>single family3/4 water meter &amp; Capacity fee $873.00: sewer $1858.00</t>
  </si>
  <si>
    <t>22-41-16-34-1-94-007</t>
  </si>
  <si>
    <t>B07-0729</t>
  </si>
  <si>
    <t>22-41-16-34-1-94-006</t>
  </si>
  <si>
    <t>BP 2007-0174R</t>
  </si>
  <si>
    <t>Add Mud Room, expand Guest Bath, rearrange Master Bath</t>
  </si>
  <si>
    <t>BP 2007-0310</t>
  </si>
  <si>
    <t>New Hay Shed</t>
  </si>
  <si>
    <t>22-44-18-29-1-00-007</t>
  </si>
  <si>
    <t>BP 2007-0311</t>
  </si>
  <si>
    <t>New 3-bedroom SFD W/ Garage (Cabin 15) (Cabin A - Type ALO)</t>
  </si>
  <si>
    <t>22-42-17-25-1-02-001</t>
  </si>
  <si>
    <t>BP 2007-0312</t>
  </si>
  <si>
    <t>Build 2-Story Home w/ Garage (Cabin 14) (Cabin A Type  ARO)</t>
  </si>
  <si>
    <t>22-42-17-25-1-03-014</t>
  </si>
  <si>
    <t>BP 2006-0173R</t>
  </si>
  <si>
    <t>Modifications to BP2006-0173</t>
  </si>
  <si>
    <t>BP 2006-0352R</t>
  </si>
  <si>
    <t>Modification of Guard Shack/Storage to Real Estate Office</t>
  </si>
  <si>
    <t>BP 2007-0313</t>
  </si>
  <si>
    <t>Build 1 Bedroom ARU w/Garage</t>
  </si>
  <si>
    <t>B07-0774</t>
  </si>
  <si>
    <t>22-41-16-33-1-22-004</t>
  </si>
  <si>
    <t>BP 2007-0314</t>
  </si>
  <si>
    <t>Renew BP2004-0177 for SFD (Future ARU)</t>
  </si>
  <si>
    <t>BP 2007-0315</t>
  </si>
  <si>
    <t>Interior Remodel: Add Bathroom to existing loft</t>
  </si>
  <si>
    <t>22-41-17-11-1-29-001</t>
  </si>
  <si>
    <t>BP 2007-0317</t>
  </si>
  <si>
    <t>Add 1000 sf to existing rec/employee housing unit</t>
  </si>
  <si>
    <t>22-42-16-33-2-00-004</t>
  </si>
  <si>
    <t>BP 2007-0318</t>
  </si>
  <si>
    <t>Build 2-Story Home w/ Garage (Cabin A Type ALO)</t>
  </si>
  <si>
    <t>22-42-17-25-1-03-005</t>
  </si>
  <si>
    <t>BP 2007-0319</t>
  </si>
  <si>
    <t>Build 2-Story Home w/ Garage - Cabin A Type AL1G</t>
  </si>
  <si>
    <t>22-42-17-25-1-03-013</t>
  </si>
  <si>
    <t>BP 2007-0320</t>
  </si>
  <si>
    <t>Build 2-Stry Home w/ Garage (Cabin AL1G)</t>
  </si>
  <si>
    <t>BP 2007-0321</t>
  </si>
  <si>
    <t>Build 2-Story Home w/ Garage (Cabin AL1G)</t>
  </si>
  <si>
    <t>22-42-17-25-1-03-017</t>
  </si>
  <si>
    <t>BP 2007-0323</t>
  </si>
  <si>
    <t>Build 2-Story Log Home w/ ARU Above Garage</t>
  </si>
  <si>
    <t>22-42-16-20-4-02-001</t>
  </si>
  <si>
    <t>BP 2007-0324</t>
  </si>
  <si>
    <t>Bedroom addition to Cabin (guesthouse)</t>
  </si>
  <si>
    <t>22-42-15-10-1-09-002</t>
  </si>
  <si>
    <t>BP 2007-0325</t>
  </si>
  <si>
    <t>Build 2-Car Garage</t>
  </si>
  <si>
    <t>22-45-13-21-1-02-001</t>
  </si>
  <si>
    <t>BP 2008-0001</t>
  </si>
  <si>
    <t>Build 3-Bedroom, 2-Story Home w/Garage</t>
  </si>
  <si>
    <t>22-44-18-20-3-11-008</t>
  </si>
  <si>
    <t>BP 2008-0002</t>
  </si>
  <si>
    <t>New Golf Course Club House</t>
  </si>
  <si>
    <t>22-42-17-25-1-00-001</t>
  </si>
  <si>
    <t>BP 2008-0003</t>
  </si>
  <si>
    <t>Build Golf Course Pro Shop</t>
  </si>
  <si>
    <t>BP 2008-0004</t>
  </si>
  <si>
    <t>Build Activity Center/Lockers/Ski Storage Building</t>
  </si>
  <si>
    <t>BP 2006-0221R</t>
  </si>
  <si>
    <t>Tenant Improvements: add bathrooms, hallway</t>
  </si>
  <si>
    <t>BP 2008-0009</t>
  </si>
  <si>
    <t>Build Detached 2-Car Garage</t>
  </si>
  <si>
    <t>BP 2008-0010</t>
  </si>
  <si>
    <t>BP 2008-0011</t>
  </si>
  <si>
    <t>BP 2008-0012</t>
  </si>
  <si>
    <t>Build 2-Car Detached Garage</t>
  </si>
  <si>
    <t>BP 2008-0013</t>
  </si>
  <si>
    <t>New 3-bedroom SFD W/ Basement/Garage</t>
  </si>
  <si>
    <t>22-41-16-19-3-07-004</t>
  </si>
  <si>
    <t>BP 2007-0299R</t>
  </si>
  <si>
    <t>Remove 2 Bedrooms, 1-1/2 Bath and Laundry from original plans</t>
  </si>
  <si>
    <t>BP 2008-0014</t>
  </si>
  <si>
    <t>Add Master Bath, Covered Patio and Entry Patio to SFD  Wrote Letter 1/27/10 VA  3/24/10 no responce to letter, gave file to insp to verify job status VA</t>
  </si>
  <si>
    <t>22-40-16-18-1-05-320</t>
  </si>
  <si>
    <t>BP 2007-0250</t>
  </si>
  <si>
    <t>Move on new 3-bedroom modular w/ garage onto existing foundation</t>
  </si>
  <si>
    <t>22-40-16-20-1-16-001</t>
  </si>
  <si>
    <t>BP 2007-0251</t>
  </si>
  <si>
    <t>New 3-bedroom modular w/ garage on existing foundation</t>
  </si>
  <si>
    <t>22-40-16-20-1-00-003</t>
  </si>
  <si>
    <t>BP 2007-0252</t>
  </si>
  <si>
    <t>22-40-16-20-1-16-003</t>
  </si>
  <si>
    <t>BP 2007-0253</t>
  </si>
  <si>
    <t>22-40-16-20-1-16-004</t>
  </si>
  <si>
    <t>BP 2007-0254</t>
  </si>
  <si>
    <t>22-40-16-20-1-16-005</t>
  </si>
  <si>
    <t>BP 2007-0255</t>
  </si>
  <si>
    <t>22-40-16-20-1-16-006</t>
  </si>
  <si>
    <t>BP 2007-0256</t>
  </si>
  <si>
    <t>22-40-16-20-1-16-007</t>
  </si>
  <si>
    <t>BP 2007-0257</t>
  </si>
  <si>
    <t>22-40-16-20-1-16-008</t>
  </si>
  <si>
    <t>BP 2007-0258</t>
  </si>
  <si>
    <t>BP 2007-0259</t>
  </si>
  <si>
    <t>22-40-16-20-1-16-010</t>
  </si>
  <si>
    <t>BP 2007-0260</t>
  </si>
  <si>
    <t>22-40-16-20-1-16-011</t>
  </si>
  <si>
    <t>BP 2007-0261</t>
  </si>
  <si>
    <t>22-40-16-20-1-16-012</t>
  </si>
  <si>
    <t>BP 2007-0262</t>
  </si>
  <si>
    <t>BP 2007-0263</t>
  </si>
  <si>
    <t>22-40-16-20-1-16-014</t>
  </si>
  <si>
    <t>BP 2007-0264</t>
  </si>
  <si>
    <t>B08-0018</t>
  </si>
  <si>
    <t>single family w/attached  accessorydetached accessory is on permit b08-0073 did not pull this permit:    (5/28/2008 16:59  KB)  Fees: Sewer fee for 1 bedroom with laundry $930.00. 2 bedroom @ $1858.00 3/4 water meter and capacity fee = $ 873.00: Credit for existing home that was removed for this project. sewer $1858.00 3/4 water meter &amp; credit $873.00</t>
  </si>
  <si>
    <t>22-41-16-33-1-57-002</t>
  </si>
  <si>
    <t>BP 2008-0015</t>
  </si>
  <si>
    <t>Build 2-Story Home w/ Garage (Cabin AR1G)</t>
  </si>
  <si>
    <t>22-42-17-25-1-03-011</t>
  </si>
  <si>
    <t>BP 2008-0016</t>
  </si>
  <si>
    <t>22-42-17-25-1-03-012</t>
  </si>
  <si>
    <t>BP 2007-0307R</t>
  </si>
  <si>
    <t>Deleting 53 sq. on addition, and adding 852 impervious</t>
  </si>
  <si>
    <t>B08-0025</t>
  </si>
  <si>
    <t>Addition/remodel to existing building8724.59 affordable housing fee in lieu of employee housing. Sewer Fees$5,178.00    (3/19/2008 16:57  KB)  submitted addendum on 3/19/08</t>
  </si>
  <si>
    <t>22-41-16-34-2-08-006</t>
  </si>
  <si>
    <t>BP 2008-0018</t>
  </si>
  <si>
    <t>Build 2-Story Home  10/20/09 Wrote Letter VA  5/13/10 Wrote letter VA</t>
  </si>
  <si>
    <t>22-45-18-32-4-02-009</t>
  </si>
  <si>
    <t>BP 2008-0019</t>
  </si>
  <si>
    <t>Enclose Carport and Remodel 2 Cabins to Create 1 SFD</t>
  </si>
  <si>
    <t>22-39-16-03-4-00-041</t>
  </si>
  <si>
    <t>BP 2008-0020</t>
  </si>
  <si>
    <t>Equipment Storage Building</t>
  </si>
  <si>
    <t>BP 2008-0021</t>
  </si>
  <si>
    <t>BP 2008-0022</t>
  </si>
  <si>
    <t>Golf maintenance fuel/wash bay</t>
  </si>
  <si>
    <t>BP 2008-0023</t>
  </si>
  <si>
    <t>New ARU (Guest Room) on existing green house foundation</t>
  </si>
  <si>
    <t>22-40-16-18-4-00-021</t>
  </si>
  <si>
    <t>B08-0056</t>
  </si>
  <si>
    <t>Addition to existing homeaddition to exitsing home    (1/13/2012 8:55 AM EXP)  no final inspection made.</t>
  </si>
  <si>
    <t>22-40-16-06-2-09-016</t>
  </si>
  <si>
    <t>BP 2008-0024</t>
  </si>
  <si>
    <t>Build addition and Carport to detached garage</t>
  </si>
  <si>
    <t>22-42-16-20-4-02-002</t>
  </si>
  <si>
    <t>BP 2008-0025</t>
  </si>
  <si>
    <t>Build  2-Story Home w/ Garage and  ARU</t>
  </si>
  <si>
    <t>22-41-17-15-3-00-034</t>
  </si>
  <si>
    <t>BP 2008-0026</t>
  </si>
  <si>
    <t>22-41-17-14-1-20-002</t>
  </si>
  <si>
    <t>BP 2008-0027</t>
  </si>
  <si>
    <t>Build 2-Story Home w/ 3-Car Garage</t>
  </si>
  <si>
    <t>22-40-17-12-1-01-017</t>
  </si>
  <si>
    <t>BP 2008-0028</t>
  </si>
  <si>
    <t>Convert Existing Garage into ARU &amp; Add New Garage</t>
  </si>
  <si>
    <t>22-42-16-22-3-06-001</t>
  </si>
  <si>
    <t>BP 2008-0029</t>
  </si>
  <si>
    <t>Kitchen expansion</t>
  </si>
  <si>
    <t>BP 2008-0030</t>
  </si>
  <si>
    <t>Build 5-Bedroom, 2-Story Home w/ Garage</t>
  </si>
  <si>
    <t>22-40-16-19-3-02-001</t>
  </si>
  <si>
    <t>BP 2008-0031</t>
  </si>
  <si>
    <t>Build 1 Bedroom ARU (Guesthouse) W/ Single-Car Garage</t>
  </si>
  <si>
    <t>B08-0073</t>
  </si>
  <si>
    <t>one detached accessory unitFees: Sewer $1858.00, 3/4 water capacity fee and meter $873.00: Credit for sewer is $1858.00 because of existing home being removed for this project.    (6/11/2008 09:06  KB)  Applicant did not proceed with permit. They will need to resubmitt if they plan to build this accessory unit.</t>
  </si>
  <si>
    <t>BP 2008-0033</t>
  </si>
  <si>
    <t>Build 3BR, 2-Story Cabin (Type AL2)</t>
  </si>
  <si>
    <t>22-42-17-25-1-02-002</t>
  </si>
  <si>
    <t>BP 2008-0034</t>
  </si>
  <si>
    <t>Build 3BR, 2-Story Cabin A (Model A Type AR-1M)</t>
  </si>
  <si>
    <t>22-42-17-25-1-03-004</t>
  </si>
  <si>
    <t>BP 2008-0035</t>
  </si>
  <si>
    <t>Build 3-Bedroom, 2-Story Cabin AR2</t>
  </si>
  <si>
    <t>22-42-17-25-1-03-009</t>
  </si>
  <si>
    <t>BP 2008-0036</t>
  </si>
  <si>
    <t>Build 2-Story Cabin Type AL2 w/ Garage</t>
  </si>
  <si>
    <t>22-42-17-25-1-03-010</t>
  </si>
  <si>
    <t>BP 2008-0037</t>
  </si>
  <si>
    <t>Build Cabin Type AR2 w/Garage</t>
  </si>
  <si>
    <t>BP 2008-0038</t>
  </si>
  <si>
    <t>New garage/barn w/ ARU above</t>
  </si>
  <si>
    <t>BP 2007-0161R</t>
  </si>
  <si>
    <t>Relocate Stairway, Change Entry, Delete 2nd Floor Bath</t>
  </si>
  <si>
    <t>BP 2008-0039</t>
  </si>
  <si>
    <t>Build Detached Car Barn</t>
  </si>
  <si>
    <t>BP 2008-0040</t>
  </si>
  <si>
    <t>Build 4-bedroom, 2-Story Home w/ Garage</t>
  </si>
  <si>
    <t>22-41-16-30-3-02-001</t>
  </si>
  <si>
    <t>BP 2008-0041</t>
  </si>
  <si>
    <t>Build 1Bedroom, 2-Story ARU w/ Garage</t>
  </si>
  <si>
    <t>BP 2008-0042</t>
  </si>
  <si>
    <t>Add 24 sf for Relocated Bathroom</t>
  </si>
  <si>
    <t>BP 2008-0043</t>
  </si>
  <si>
    <t>Build Addition (Phase 2) to Maintenance Barn</t>
  </si>
  <si>
    <t>BP 2008-0044</t>
  </si>
  <si>
    <t>Build a Cabin 2 - 4BR Home w/ Garage</t>
  </si>
  <si>
    <t>22-40-17-12-1-01-024</t>
  </si>
  <si>
    <t>BP 2008-0045</t>
  </si>
  <si>
    <t>Build 4BR, 2-Story Home w/ Garage</t>
  </si>
  <si>
    <t>22-38-16-17-1-01-020</t>
  </si>
  <si>
    <t>BP 2008-0046</t>
  </si>
  <si>
    <t>Convert Music Room into ARU (Guest Quarters)</t>
  </si>
  <si>
    <t>BP 2008-0047</t>
  </si>
  <si>
    <t>Build Entry Addition to SFD</t>
  </si>
  <si>
    <t>B08-0108</t>
  </si>
  <si>
    <t>portecochereNULL</t>
  </si>
  <si>
    <t>22-41-16-28-4-00-001</t>
  </si>
  <si>
    <t>BP 2008-0048</t>
  </si>
  <si>
    <t>Build 3-Bedroom Home w/ Garage</t>
  </si>
  <si>
    <t>22-40-16-20-1-15-041</t>
  </si>
  <si>
    <t>BP 2008-0049</t>
  </si>
  <si>
    <t>Build 3-bedroom Home w/ Garage</t>
  </si>
  <si>
    <t>22-40-16-20-1-15-042</t>
  </si>
  <si>
    <t>BP 2008-0050</t>
  </si>
  <si>
    <t>Build 3-Bedro1om Home w/ 1- Car Garage</t>
  </si>
  <si>
    <t>22-40-16-20-1-15-043</t>
  </si>
  <si>
    <t>BP 2008-0051</t>
  </si>
  <si>
    <t>Build 4-bedroom Home w/ Full Basement and Garage</t>
  </si>
  <si>
    <t>22-41-16-28-2-04-001</t>
  </si>
  <si>
    <t>BP 2008-0052</t>
  </si>
  <si>
    <t>Build 5BR, 2-Story Home w/ Garage</t>
  </si>
  <si>
    <t>22-41-17-01-3-02-001</t>
  </si>
  <si>
    <t>BP 2008-0053</t>
  </si>
  <si>
    <t>New 3BR, 2-Story Cabin B w/ Garage (Type BL1)</t>
  </si>
  <si>
    <t>22-42-17-25-1-03-001</t>
  </si>
  <si>
    <t>BP 2008-0054</t>
  </si>
  <si>
    <t>Build 3BR, 2-Story Cabin w/ Garage  (Cabin B Type BR1)</t>
  </si>
  <si>
    <t>22-42-17-25-1-03-002</t>
  </si>
  <si>
    <t>BP 2008-0056</t>
  </si>
  <si>
    <t>Build 3BR, 2-Story Cabin w/ Garage (Cabin B Type BL1)</t>
  </si>
  <si>
    <t>BP 2008-0057</t>
  </si>
  <si>
    <t>Build 3BR, 2-Story Cabin w/ Garage (Cabin B Type BR1)</t>
  </si>
  <si>
    <t>BP 2008-0058</t>
  </si>
  <si>
    <t>Build 3BR, 2-Story Cabin w/Garage (Cabin B Type BR1)</t>
  </si>
  <si>
    <t>22-42-17-25-1-03-008</t>
  </si>
  <si>
    <t>BP 2008-0059</t>
  </si>
  <si>
    <t>22-41-17-14-3-25-002</t>
  </si>
  <si>
    <t>B08-0136</t>
  </si>
  <si>
    <t>new mixed use buildingSewer capacity fees are assessed as follows:  5650 sf retail space divided by 100 = 56.5 X $21.00 = 1186.50 + 792 sf office space divided by 100 = 8 occ. X 126.00 = $1008.00 + 10 penthouse units @ $1858.00  = $18,580.00 + 2 affordable units @ $1858.00  = $3716.00 + 3 employee housing units @ $744.00 = $2232.00 = Total Capacity Fee $26,722.50: Fire line $1712.00: 2 inch water capacity fee $4200.00 2 -inch water meter$1337.25: Fee in lieu of employee housing $6787.76 Encroachment Fee (see file) $16,850.00:Credit the following amount for Sewer, water and meter: 3/4 inch water capacity fee &amp; meter $873.00, existing office building $1858.00 sewer capacity</t>
  </si>
  <si>
    <t>22-41-16-33-1-65-001</t>
  </si>
  <si>
    <t>B08-0138</t>
  </si>
  <si>
    <t>New office BuildingCredit $1951.00 for sewer.  Credit one 3/4 water capacity fee $ 620.00    Charge for 2 one bedroom apartments with laundry facilities@ $977.00 each = $ 1954.00  Charge for 2 inch domestic water service and 2 inch meter$5905.00  Charge for 13,257 square feet of office space divided by 100 sf per occupant = 133 X $132 per occupant = $17,556.00: 4-inch fire line $1712.00</t>
  </si>
  <si>
    <t>22-41-16-32-4-00-003</t>
  </si>
  <si>
    <t>BP 2008-0061</t>
  </si>
  <si>
    <t>Townhome dining room, entrance, and 2nd sty bedroom bumpout's</t>
  </si>
  <si>
    <t>BP 2008-0062</t>
  </si>
  <si>
    <t>Convert 693 sq. ft. of deck space into living for townhouse</t>
  </si>
  <si>
    <t>22-42-17-24-3-10-006</t>
  </si>
  <si>
    <t>BP 2008-0063</t>
  </si>
  <si>
    <t>Build 3-bedroom, 2-story Home w/ finished basement</t>
  </si>
  <si>
    <t>BP 2008-0064</t>
  </si>
  <si>
    <t>Build Detached Garage w/ Storage Above</t>
  </si>
  <si>
    <t>BP 2008-0065</t>
  </si>
  <si>
    <t>New 5-bedroom, 2-Story Home w/ Garage</t>
  </si>
  <si>
    <t>22-40-16-20-2-17-006</t>
  </si>
  <si>
    <t>BP 2008-0066</t>
  </si>
  <si>
    <t>New 5-bedroom, 2-story SFD W/ attached garge</t>
  </si>
  <si>
    <t>22-41-17-28-1-00-011</t>
  </si>
  <si>
    <t>BP 2008-0067</t>
  </si>
  <si>
    <t>Interior remodel to workshop: create office space and add two 1/2 baths</t>
  </si>
  <si>
    <t>22-39-15-31-1-02-004</t>
  </si>
  <si>
    <t>BP 2008-0070</t>
  </si>
  <si>
    <t>New detached shop/garage</t>
  </si>
  <si>
    <t>22-40-16-18-4-00-007</t>
  </si>
  <si>
    <t>BP 2008-0072</t>
  </si>
  <si>
    <t>Build 1BR Guesthouse w/ Garage below</t>
  </si>
  <si>
    <t>22-42-17-24-3-02-075</t>
  </si>
  <si>
    <t>BP 2008-0073</t>
  </si>
  <si>
    <t>Rebuild 8-unit Condominium Building</t>
  </si>
  <si>
    <t>22-41-17-11-1-61-008</t>
  </si>
  <si>
    <t>BP 2008-0074</t>
  </si>
  <si>
    <t>22-40-17-12-4-01-084</t>
  </si>
  <si>
    <t>BP 2008-0075</t>
  </si>
  <si>
    <t>Add 1BR ARU and Garage Bay to SFD</t>
  </si>
  <si>
    <t>BP 2008-0076</t>
  </si>
  <si>
    <t>Build Commercial Office Building Shell</t>
  </si>
  <si>
    <t>22-41-17-11-4-23-006</t>
  </si>
  <si>
    <t>BP 2008-0077</t>
  </si>
  <si>
    <t>Remodel cabin; Add Master Suite, ARU and Garage w/Exercise Room</t>
  </si>
  <si>
    <t>BP 2008-0078</t>
  </si>
  <si>
    <t>Build 2-Bedroom, One Story Home w/One Car Garage</t>
  </si>
  <si>
    <t>22-41-17-22-3-12-014</t>
  </si>
  <si>
    <t>BP 2008-0079</t>
  </si>
  <si>
    <t>Build 2 Bedroom, 2-Story Home w/ One Car Garage</t>
  </si>
  <si>
    <t>22-41-17-22-3-12-013</t>
  </si>
  <si>
    <t>BP 2008-0080</t>
  </si>
  <si>
    <t>Build 3 Bedroom, 2-Story Home w/One Car Garage</t>
  </si>
  <si>
    <t>BP 2008-0081</t>
  </si>
  <si>
    <t>22-41-17-22-3-12-011</t>
  </si>
  <si>
    <t>BP 2008-0082</t>
  </si>
  <si>
    <t>Build 2 Bedroom, 2-Story Home w/One Car Garage</t>
  </si>
  <si>
    <t>22-41-17-22-3-12-010</t>
  </si>
  <si>
    <t>BP 2008-0083</t>
  </si>
  <si>
    <t>22-41-17-22-3-12-009</t>
  </si>
  <si>
    <t>BP 2008-0084</t>
  </si>
  <si>
    <t>22-41-17-22-3-12-008</t>
  </si>
  <si>
    <t>BP 2008-0085</t>
  </si>
  <si>
    <t>22-40-16-19-3-00-030</t>
  </si>
  <si>
    <t>BP 2008-0086</t>
  </si>
  <si>
    <t>22-41-16-06-2-02-005</t>
  </si>
  <si>
    <t>BP 2008-0087</t>
  </si>
  <si>
    <t>Build Sunroom, Master Bath and Study Addition</t>
  </si>
  <si>
    <t>22-42-16-28-2-01-004</t>
  </si>
  <si>
    <t>BP 2008-0088</t>
  </si>
  <si>
    <t>Add 2BR, 2 Bath to Guesthouse</t>
  </si>
  <si>
    <t>BP 2008-0090</t>
  </si>
  <si>
    <t>Add 80 Sq/ft. Entry to front of SFD</t>
  </si>
  <si>
    <t>22-40-16-18-1-07-013</t>
  </si>
  <si>
    <t>BP 2008-0091</t>
  </si>
  <si>
    <t>Add Game Room and Bath to SFD</t>
  </si>
  <si>
    <t>22-39-15-31-1-00-014</t>
  </si>
  <si>
    <t>BP 2008-0092</t>
  </si>
  <si>
    <t>Build 7 Bedroom, 2-Story Home w/ 2 Garages</t>
  </si>
  <si>
    <t>22-41-17-12-3-12-001</t>
  </si>
  <si>
    <t>BP 2008-0093</t>
  </si>
  <si>
    <t>Add 2 Bedrooms, Office, Living Room and Bath to SFD</t>
  </si>
  <si>
    <t>22-41-17-22-3-00-007</t>
  </si>
  <si>
    <t>BP 2008-0094</t>
  </si>
  <si>
    <t>Build 4BR, 2-Story Home w/Garage</t>
  </si>
  <si>
    <t>BP 2008-0095</t>
  </si>
  <si>
    <t>Build 2BR Log  ARU (Guest House)</t>
  </si>
  <si>
    <t>BP 2008-0096</t>
  </si>
  <si>
    <t>Build Garage w/Shop and Bonus Room Above</t>
  </si>
  <si>
    <t>BP 2008-0097</t>
  </si>
  <si>
    <t>Integrated Pest Management/Maintenance  Bldg# 5</t>
  </si>
  <si>
    <t>BP 2008-0098</t>
  </si>
  <si>
    <t>Expand Master Bedroom and Bath</t>
  </si>
  <si>
    <t>22-41-16-31-4-01-001</t>
  </si>
  <si>
    <t>B08-0186</t>
  </si>
  <si>
    <t>NewFee in lieu of employee housing $ 5486.62  Building permit fee has been assessed for an office use.  Water Fees: 2 inch compound meter and capacity fee $5537.25 4-inch fire line $1712.00  Sewer Fees:5193 sq ft / 100 x $126.00 = $6552.00  Credit for one single family sewer and water capacity fee.  Water credit for a 3/4 water meter and capacity fee $873.00 Sewer    Sewer Credit: $1858.00    new expiration date approved per Steve on 11/4/09 letter in file. kb    DRC approved change of exterior materials on 7/14/10    (5/24/2011 4:37 PM KB)  Asked for a refund (info in file) as applicant asked to downsize 2 inch water meter to a 1-inch.</t>
  </si>
  <si>
    <t>22-41-16-27-3-28-001</t>
  </si>
  <si>
    <t>BP 2008-0099</t>
  </si>
  <si>
    <t>Build Detached Garage W/ ARU Above</t>
  </si>
  <si>
    <t>BP 2008-0100</t>
  </si>
  <si>
    <t>Build Contractor Shop W/ 3 ARU's and Office Above</t>
  </si>
  <si>
    <t>22-40-16-17-4-19-002</t>
  </si>
  <si>
    <t>BP 2008-0101</t>
  </si>
  <si>
    <t>Add 2BR, 2 Baths, Living, Game and Theatre to SFD</t>
  </si>
  <si>
    <t>22-41-16-17-3-05-004</t>
  </si>
  <si>
    <t>BP 2008-0103</t>
  </si>
  <si>
    <t>Build 3BR Log Home w/Full Basement, Garage and Loft</t>
  </si>
  <si>
    <t>22-41-16-30-2-03-010</t>
  </si>
  <si>
    <t>BP 2008-0104</t>
  </si>
  <si>
    <t>22-41-17-13-2-00-028</t>
  </si>
  <si>
    <t>BP 2008-0105</t>
  </si>
  <si>
    <t>22-40-16-20-2-14-018</t>
  </si>
  <si>
    <t>BP 2008-0106</t>
  </si>
  <si>
    <t>Build Mudroom &amp; Patio Addition to SFD</t>
  </si>
  <si>
    <t>22-41-17-13-3-00-035</t>
  </si>
  <si>
    <t>B08-0201</t>
  </si>
  <si>
    <t>Addition, remodeladdition, remodel and attached accessory unit</t>
  </si>
  <si>
    <t>22-41-16-34-1-26-002</t>
  </si>
  <si>
    <t>B08-0203</t>
  </si>
  <si>
    <t>adding a garage(6/23/2010 10:57 AM KB)  no final requested closed per Steve Haines on 6/23/10</t>
  </si>
  <si>
    <t>22-41-16-34-1-77-003</t>
  </si>
  <si>
    <t>BP 2008-0108</t>
  </si>
  <si>
    <t>Build Detached Garage with 1BR ARU above.</t>
  </si>
  <si>
    <t>B08-0216</t>
  </si>
  <si>
    <t>New SFNo sewer or water fee due because of existing homes on the site that was demolished for this project. Applicant turned in a 1 inch water meter.</t>
  </si>
  <si>
    <t>22-41-16-34-1-17-011</t>
  </si>
  <si>
    <t>B08-0217</t>
  </si>
  <si>
    <t>22-41-16-34-1-12-010</t>
  </si>
  <si>
    <t>BP 2008-0109</t>
  </si>
  <si>
    <t>Build 4BR, 2-Story Home w/ Garage and Attached ARU (BP08-0110)</t>
  </si>
  <si>
    <t>22-41-16-06-2-02-002</t>
  </si>
  <si>
    <t>BP 2008-0111</t>
  </si>
  <si>
    <t>Build 5-bedroom, 2-Story Home w/ Garage and Hot Tub</t>
  </si>
  <si>
    <t>22-41-16-07-2-01-005</t>
  </si>
  <si>
    <t>BP 2008-0112</t>
  </si>
  <si>
    <t>Build 7BR, 2-Story Home w/ Garage &amp; Hot Tub</t>
  </si>
  <si>
    <t>22-41-17-21-3-01-001</t>
  </si>
  <si>
    <t>BP 2008-0113</t>
  </si>
  <si>
    <t>Build 4BR 2-Story Home w/ Garage</t>
  </si>
  <si>
    <t>22-40-16-20-2-08-002</t>
  </si>
  <si>
    <t>BP 2008-0114</t>
  </si>
  <si>
    <t>Build 1BR Clay-Straw Home</t>
  </si>
  <si>
    <t>22-42-16-02-3-08-002</t>
  </si>
  <si>
    <t>BP 2008-0115</t>
  </si>
  <si>
    <t>Build Bathroom Addition to Home</t>
  </si>
  <si>
    <t>22-41-17-11-4-15-006</t>
  </si>
  <si>
    <t>BP 2008-0116</t>
  </si>
  <si>
    <t>Build 2BR home w/Garage</t>
  </si>
  <si>
    <t>22-40-16-20-1-15-008</t>
  </si>
  <si>
    <t>BP 2008-0117</t>
  </si>
  <si>
    <t>New 4BR Home w/ Garage</t>
  </si>
  <si>
    <t>22-42-16-21-2-00-008</t>
  </si>
  <si>
    <t>BP 2008-0119</t>
  </si>
  <si>
    <t>Build 2-Story Office Building</t>
  </si>
  <si>
    <t>22-39-16-03-4-00-012</t>
  </si>
  <si>
    <t>BP 2008-0120</t>
  </si>
  <si>
    <t>Build 4-Unit Employee Housing Building</t>
  </si>
  <si>
    <t>BP 2008-0121</t>
  </si>
  <si>
    <t>Build Shop/Storage Building</t>
  </si>
  <si>
    <t>BP 2008-0123</t>
  </si>
  <si>
    <t>Add 2BR, 2Baths and Family Room Above Garage  10/20/09 Wrote Letter VA  10/29/09 owner calling cont. to get ele., planning, and bldg finals, file in letter file VA</t>
  </si>
  <si>
    <t>22-41-17-14-2-17-003</t>
  </si>
  <si>
    <t>BP 2008-0124</t>
  </si>
  <si>
    <t>Complete barn addition originally permitted under BP2000-0270</t>
  </si>
  <si>
    <t>22-39-16-34-1-01-008</t>
  </si>
  <si>
    <t>B08-0226</t>
  </si>
  <si>
    <t>employee housing &amp; lodging unitsRemove 14 existing motel units and two employee housing units and replace with 7 new motel units and 2 employee housing units.  Sewer credit for 14 motel and 2 1-bedroom with no laundry.    (8/5/2009 13:11  KB)  applicant need call for a final. closed file on 8/5/09 per Billy Nunn kb</t>
  </si>
  <si>
    <t>22-41-16-33-1-00-032</t>
  </si>
  <si>
    <t>BP 2008-0125</t>
  </si>
  <si>
    <t>Build 5BR, 2-Story Home/ Garage</t>
  </si>
  <si>
    <t>22-41-17-22-1-01-001</t>
  </si>
  <si>
    <t>B08-0237</t>
  </si>
  <si>
    <t>New single familyapplicant did not proceed with project. Closed 11/4/08 KB</t>
  </si>
  <si>
    <t>22-41-16-34-2-21-005</t>
  </si>
  <si>
    <t>B08-0239</t>
  </si>
  <si>
    <t>New single familypermit closed applicant did not proceed with project 11/4/08 KB</t>
  </si>
  <si>
    <t>22-41-16-34-2-21-006</t>
  </si>
  <si>
    <t>BP 2008-0051R</t>
  </si>
  <si>
    <t>Add Unconditioned Storage Space Below Grade</t>
  </si>
  <si>
    <t>BP 2008-0126</t>
  </si>
  <si>
    <t>Build Master Bedroom Suite, Media/Game Room to SFD; Remodel Existing</t>
  </si>
  <si>
    <t>22-42-17-24-3-02-077</t>
  </si>
  <si>
    <t>BP 2008-0127</t>
  </si>
  <si>
    <t>Bag Drop-off Shelter for Golf Course</t>
  </si>
  <si>
    <t>BP 2008-0128</t>
  </si>
  <si>
    <t>Build Golf Course Restroom</t>
  </si>
  <si>
    <t>BP 2008-0030R</t>
  </si>
  <si>
    <t>Took out attic space so no sprinklering required</t>
  </si>
  <si>
    <t>BP 2008-0129</t>
  </si>
  <si>
    <t>Build Storage Warehouse and 3 - Employee Housing Units</t>
  </si>
  <si>
    <t>22-40-16-17-4-17-007</t>
  </si>
  <si>
    <t>BP 2008-0131</t>
  </si>
  <si>
    <t>Expand Master Bath, remodel Entry,/Kitchen/Dining; add dormer to Bonus Room</t>
  </si>
  <si>
    <t>22-42-16-27-4-04-007</t>
  </si>
  <si>
    <t>BP 2008-0132</t>
  </si>
  <si>
    <t>Build 2BR Guesthouse/ARU</t>
  </si>
  <si>
    <t>BP 2007-0314R</t>
  </si>
  <si>
    <t>Add Basement /Mechanical Room, Master Suite and Den to SFD</t>
  </si>
  <si>
    <t>BP 2008-0133</t>
  </si>
  <si>
    <t>22-41-17-34-3-14-001</t>
  </si>
  <si>
    <t>B08-0282</t>
  </si>
  <si>
    <t>new SFSewer hookup $1858.00 3/4 water meter and capacity fee $873.00</t>
  </si>
  <si>
    <t>22-40-16-06-2-06-006</t>
  </si>
  <si>
    <t>B08-0285</t>
  </si>
  <si>
    <t>New SFSewer $</t>
  </si>
  <si>
    <t>22-41-16-34-4-02-014</t>
  </si>
  <si>
    <t>B08-0289</t>
  </si>
  <si>
    <t>Public bathroomsno fee permit</t>
  </si>
  <si>
    <t>22-41-16-27-3-13-001</t>
  </si>
  <si>
    <t>BP 2008-0136</t>
  </si>
  <si>
    <t>Build Concrete Batch Plant, Phase I</t>
  </si>
  <si>
    <t>BP 2008-0137</t>
  </si>
  <si>
    <t>Add Den, Sitting Room, Dressing and Closet; Minor Remodels</t>
  </si>
  <si>
    <t>22-40-16-18-1-03-207</t>
  </si>
  <si>
    <t>B08-0296</t>
  </si>
  <si>
    <t>22-40-16-06-2-38-004</t>
  </si>
  <si>
    <t>B08-0298</t>
  </si>
  <si>
    <t>addition to existing single familyNULL</t>
  </si>
  <si>
    <t>22-40-16-06-2-09-012</t>
  </si>
  <si>
    <t>BP 2008-0139</t>
  </si>
  <si>
    <t>Commercial Golf Course Driving Range Equipment Storage &amp; Public Restroom Bldg.</t>
  </si>
  <si>
    <t>BP 2008-0141</t>
  </si>
  <si>
    <t>Build Bedroom Addition</t>
  </si>
  <si>
    <t>22-40-16-18-1-03-159</t>
  </si>
  <si>
    <t>BP 2008-0142</t>
  </si>
  <si>
    <t>Build Equipment Storage Building - No Plumbing, Mechanical</t>
  </si>
  <si>
    <t>22-44-18-19-1-00-011</t>
  </si>
  <si>
    <t>BP 2008-0143</t>
  </si>
  <si>
    <t>New 2 bedroom SFD w/ basement</t>
  </si>
  <si>
    <t>22-40-16-35-2-00-002</t>
  </si>
  <si>
    <t>B08-0306</t>
  </si>
  <si>
    <t>New single familySewer 1858.00 3/4 water capacity fee and meter $873.00</t>
  </si>
  <si>
    <t>22-41-16-33-1-59-001</t>
  </si>
  <si>
    <t>BP 2008-0144</t>
  </si>
  <si>
    <t>Interior Remodel to SFD and replace exterior stairs and deck</t>
  </si>
  <si>
    <t>22-41-17-33-1-00-031</t>
  </si>
  <si>
    <t>BP 2008-0145</t>
  </si>
  <si>
    <t>Add 3BR, Bath, Family Room and Screen Porch to Cabin</t>
  </si>
  <si>
    <t>22-42-16-17-2-00-003</t>
  </si>
  <si>
    <t>B08-0313</t>
  </si>
  <si>
    <t>Addition to existing homeadding a WIC and a office.</t>
  </si>
  <si>
    <t>BP 2008-0146</t>
  </si>
  <si>
    <t>Add 729 sq. ft. &amp; Remodel Home</t>
  </si>
  <si>
    <t>22-44-18-16-2-00-012</t>
  </si>
  <si>
    <t>BP 2008-0148</t>
  </si>
  <si>
    <t>New 5BR Bi-level Home w/ Attached Garage</t>
  </si>
  <si>
    <t>22-40-16-21-3-01-015</t>
  </si>
  <si>
    <t>BP 2008-0150</t>
  </si>
  <si>
    <t>Build 3BR, 2-Story Home w/Garage</t>
  </si>
  <si>
    <t>22-41-17-22-4-09-005</t>
  </si>
  <si>
    <t>BP 2008-0151</t>
  </si>
  <si>
    <t>Build 3BR, 2-Story Home w/ Garage</t>
  </si>
  <si>
    <t>22-41-17-22-4-09-004</t>
  </si>
  <si>
    <t>BP 2008-0152</t>
  </si>
  <si>
    <t>Add Master Bedroom</t>
  </si>
  <si>
    <t>BP 2008-0153</t>
  </si>
  <si>
    <t>Build 3BR Home w/ Garage</t>
  </si>
  <si>
    <t>22-45-12-21-2-00-027</t>
  </si>
  <si>
    <t>B08-0324</t>
  </si>
  <si>
    <t>Bus Shelter @ miller parkno fee permit    (1/23/2009 14:26  KB)  no final requested closed per Billy Nunn 1/23/09 kb</t>
  </si>
  <si>
    <t>22-41-16-28-4-18-001</t>
  </si>
  <si>
    <t>B08-0331</t>
  </si>
  <si>
    <t>Addition to existing buildingSewer fee 374 sq ft/300 x $126.00 = $157.00 employee fee in lieu of housing fee $3740.61</t>
  </si>
  <si>
    <t>22-41-16-28-4-09-003</t>
  </si>
  <si>
    <t>BP 2008-0154</t>
  </si>
  <si>
    <t>Add 1BR, 1 Bath to SFD</t>
  </si>
  <si>
    <t>22-40-16-18-1-05-282</t>
  </si>
  <si>
    <t>BP 2008-0155</t>
  </si>
  <si>
    <t>Build 2BR Guest House (ARU).</t>
  </si>
  <si>
    <t>22-40-16-35-2-07-001</t>
  </si>
  <si>
    <t>B08-0347</t>
  </si>
  <si>
    <t>Storage shed240 sq ft storage shed    (11/14/2008 13:21  KB)  closed file: applicant did not do project. kb</t>
  </si>
  <si>
    <t>22-41-16-34-2-47-002</t>
  </si>
  <si>
    <t>BP 2008-0157</t>
  </si>
  <si>
    <t>Build 2BR, 2-Story Home / Unfinished Basement &amp; Garage</t>
  </si>
  <si>
    <t>22-44-18-20-3-09-004</t>
  </si>
  <si>
    <t>B08-0351</t>
  </si>
  <si>
    <t>22-40-16-06-2-10-005</t>
  </si>
  <si>
    <t>BP 2008-0158</t>
  </si>
  <si>
    <t>Add New Kitchen/Family Room, Master Bedroom Suite and Exercise Room</t>
  </si>
  <si>
    <t>22-39-16-11-1-04-003</t>
  </si>
  <si>
    <t>B08-0358</t>
  </si>
  <si>
    <t>Addition to single family(9/7/2011 3:42 PM KB)  Applicant did not do project. Closed file and refunded $1063.45 in building permit fees. Discarded plans and file content on 9/7/11 kb</t>
  </si>
  <si>
    <t>22-40-16-06-2-09-009</t>
  </si>
  <si>
    <t>B08-0369</t>
  </si>
  <si>
    <t>New single familyNo sewer fees due because of existing home being torn down. 3/4 water meter &amp; capacity credit for existing home.</t>
  </si>
  <si>
    <t>22-41-16-27-3-09-013</t>
  </si>
  <si>
    <t>BP 2008-0159</t>
  </si>
  <si>
    <t>New 2BR Home w/ 1BR Basement  ARU (Guest House)</t>
  </si>
  <si>
    <t>22-44-15-36-2-02-003</t>
  </si>
  <si>
    <t>BP 2008-0160</t>
  </si>
  <si>
    <t>BP 2008-0161</t>
  </si>
  <si>
    <t>Add Garage, Day Room w/Bath, Expand Living Room</t>
  </si>
  <si>
    <t>22-41-17-14-2-27-001</t>
  </si>
  <si>
    <t>B08-0378</t>
  </si>
  <si>
    <t>New siding and covered front porchNULL</t>
  </si>
  <si>
    <t>22-41-16-33-1-59-002</t>
  </si>
  <si>
    <t>B08-0380</t>
  </si>
  <si>
    <t>2 New park Sheleterno fee permit    (1/23/2009 14:27  KB)  no final requested closed per Billy Nunn 1/23/09 KB</t>
  </si>
  <si>
    <t>BP 2008-0162</t>
  </si>
  <si>
    <t>Remodel Bar/Resturant to Bar/Resturant/Offices  different owners</t>
  </si>
  <si>
    <t>BP 2008-0163</t>
  </si>
  <si>
    <t>Extend deck to SFD</t>
  </si>
  <si>
    <t>22-42-17-24-3-02-019</t>
  </si>
  <si>
    <t>BP 2008-0164</t>
  </si>
  <si>
    <t>Enclose Existing Porch to Mudroom  10/20/09 Wrote letter VA  10/27/09 Owner called and is scheduling ele. and bldg finals VA</t>
  </si>
  <si>
    <t>22-40-16-20-1-05-017</t>
  </si>
  <si>
    <t>BP 2008-0165</t>
  </si>
  <si>
    <t>Replace existing deck &amp; add new deck</t>
  </si>
  <si>
    <t>BP 2008-0166</t>
  </si>
  <si>
    <t>Convert portion of shop into ARU (Guest House/Apartment)</t>
  </si>
  <si>
    <t>22-39-16-03-4-00-015</t>
  </si>
  <si>
    <t>BP 2008-0167</t>
  </si>
  <si>
    <t>New 4BR, 2-story SFD w/ Garage</t>
  </si>
  <si>
    <t>22-41-17-34-1-05-001</t>
  </si>
  <si>
    <t>B08-0388</t>
  </si>
  <si>
    <t>22-41-16-34-4-04-020</t>
  </si>
  <si>
    <t>BP 2008-0168</t>
  </si>
  <si>
    <t>Build 1 BR Home w/Habitable Loft to be used as future ARU (Guest House)</t>
  </si>
  <si>
    <t>22-44-18-08-1-01-001</t>
  </si>
  <si>
    <t>BP 2008-0169</t>
  </si>
  <si>
    <t>Build Detached Garage and Studios</t>
  </si>
  <si>
    <t>BP 2008-0170</t>
  </si>
  <si>
    <t>Build 4BR, 2-Story Home w/Unfinshed Basement (Future Living) and Garage</t>
  </si>
  <si>
    <t>22-44-18-20-4-00-021</t>
  </si>
  <si>
    <t>BP 2008-0175</t>
  </si>
  <si>
    <t>Build Detached 2BR ARU above Garage</t>
  </si>
  <si>
    <t>22-41-17-12-1-01-005</t>
  </si>
  <si>
    <t>BP 2008-0177</t>
  </si>
  <si>
    <t>addition to SFD and new deck</t>
  </si>
  <si>
    <t>BP 2008-0178</t>
  </si>
  <si>
    <t>22-41-16-18-1-01-003</t>
  </si>
  <si>
    <t>BP 2008-0180</t>
  </si>
  <si>
    <t>Build 3BR Home w/Garage</t>
  </si>
  <si>
    <t>22-41-16-19-4-10-004</t>
  </si>
  <si>
    <t>BP 2008-0181</t>
  </si>
  <si>
    <t>Build 2BR, 2-Story Home w/ finished basement</t>
  </si>
  <si>
    <t>22-41-17-33-1-10-001</t>
  </si>
  <si>
    <t>B08-0416</t>
  </si>
  <si>
    <t>New single familySewer $1951.00: 3/4 water and meter $957.50</t>
  </si>
  <si>
    <t>22-41-16-34-1-00-027</t>
  </si>
  <si>
    <t>BP 2008-0183</t>
  </si>
  <si>
    <t>Bleacher Shelter for Equestrian Arena</t>
  </si>
  <si>
    <t>BP 2008-0184</t>
  </si>
  <si>
    <t>Interior remodel &amp; cover existing porch, add dormer above garge door</t>
  </si>
  <si>
    <t>22-44-18-20-3-03-014</t>
  </si>
  <si>
    <t>BP 2008-0186</t>
  </si>
  <si>
    <t>Add 2BR, 2BA and Garage to Home</t>
  </si>
  <si>
    <t>22-41-17-22-3-02-003</t>
  </si>
  <si>
    <t>B08-0431</t>
  </si>
  <si>
    <t>New single Family-VOID PERMIT PER APPLICANTapplicant did not pull permit. Plans were returned to applicant and file closed.</t>
  </si>
  <si>
    <t>22-41-16-34-1-97-002</t>
  </si>
  <si>
    <t>BP 2007-0045R</t>
  </si>
  <si>
    <t>Changing type of construction from log to stick built  See BP 2007-0045</t>
  </si>
  <si>
    <t>B08-0441</t>
  </si>
  <si>
    <t>22-41-16-34-1-95-001</t>
  </si>
  <si>
    <t>BP 2008-0188</t>
  </si>
  <si>
    <t>Build Addition/Remodel to 3BR Home w/Garage    2/4/10   Wrote Letter VA</t>
  </si>
  <si>
    <t>22-40-16-20-2-01-008</t>
  </si>
  <si>
    <t>BP 2008-0189</t>
  </si>
  <si>
    <t>Remodel &amp; add 2100sq. ft. to existing cabin</t>
  </si>
  <si>
    <t>22-42-16-29-1-00-015</t>
  </si>
  <si>
    <t>BP 2008-0190</t>
  </si>
  <si>
    <t>Add ARU above existing garage</t>
  </si>
  <si>
    <t>BP 2008-0191</t>
  </si>
  <si>
    <t>160 sq. Storage Addition to Wilson Community Center</t>
  </si>
  <si>
    <t>B08-0452</t>
  </si>
  <si>
    <t>New retail/officeEmployee housing fee in lieu $9302.62. sewer and water credits:  Sewer 5260 sf ft retail/100X$22.00= $ 1166.00: 7286 sq ft of office/100 x $132.00 = $ 9636.00. 1-inch water meter and capacity fee $1552.00. Fire line paid for on permit B08-0620. new sewer and water fees:9750sq ft retail/100x $22.00= $2156.00: 10742 sq ft office/100 x $132.00= $14,124.00 No water fee as they are using the 1 inch that they have credit for.    DRC approved materials change on 12/10/08</t>
  </si>
  <si>
    <t>22-41-16-27-3-11-001</t>
  </si>
  <si>
    <t>B08-0454</t>
  </si>
  <si>
    <t>Addition to existing building918 sf for the dining room/ 15 = 61 x $358.00= $21,838.00 - $1683.78 credit remaining from an existing credit = $ 20,154.22: fee in lieu of employee housing $31,265.85: fee in lieu of parking $17,000.00</t>
  </si>
  <si>
    <t>22-41-16-33-1-11-007</t>
  </si>
  <si>
    <t>B08-0456</t>
  </si>
  <si>
    <t>New garage(1/13/2012 8:55 AM EXP)  no final inspection made.</t>
  </si>
  <si>
    <t>22-41-16-33-4-40-001</t>
  </si>
  <si>
    <t>BP 2008-0195</t>
  </si>
  <si>
    <t>Build 39 sq. ft. Entry Addition to Home</t>
  </si>
  <si>
    <t>22-42-16-15-4-04-006</t>
  </si>
  <si>
    <t>BP 2008-0196</t>
  </si>
  <si>
    <t>Add Execise Room to Home</t>
  </si>
  <si>
    <t>BP 2008-0088R</t>
  </si>
  <si>
    <t>Bump out windows, alter Bath#2, Extend roof over exterior stairs</t>
  </si>
  <si>
    <t>BP 2008-0198</t>
  </si>
  <si>
    <t>Build 3BR, 2-Story Log Home w/ Garage</t>
  </si>
  <si>
    <t>22-39-16-03-3-00-041</t>
  </si>
  <si>
    <t>BP 2008-0199</t>
  </si>
  <si>
    <t>New 5BR, 2-Story Home w/ 2.5 Car Garage</t>
  </si>
  <si>
    <t>22-40-17-12-1-01-004</t>
  </si>
  <si>
    <t>BP 2008-0200</t>
  </si>
  <si>
    <t>BP 2008-0201</t>
  </si>
  <si>
    <t>1160 sq. ft. living, office, bedroom addition that is already built</t>
  </si>
  <si>
    <t>22-39-17-11-2-02-005</t>
  </si>
  <si>
    <t>BP 2008-0202</t>
  </si>
  <si>
    <t>Build 2 Story Barn - No Plumbing, Mechanical</t>
  </si>
  <si>
    <t>22-40-17-02-1-00-003</t>
  </si>
  <si>
    <t>BP 2008-0203</t>
  </si>
  <si>
    <t>Build 2nd Story Addition Above Existing Garage for Exercise and Family Room    2/12/10 Wrote Letter VA</t>
  </si>
  <si>
    <t>22-45-13-07-4-00-018</t>
  </si>
  <si>
    <t>BP 2008-0204</t>
  </si>
  <si>
    <t>New detached garage w/ 2BR ARU Above</t>
  </si>
  <si>
    <t>BP 2008-0205</t>
  </si>
  <si>
    <t>Build 4BR, 2-Story Home w/2-Car Garage</t>
  </si>
  <si>
    <t>22-40-17-12-4-01-055</t>
  </si>
  <si>
    <t>BP 2008-0206</t>
  </si>
  <si>
    <t>Convert existing garage into living space</t>
  </si>
  <si>
    <t>22-41-17-14-2-17-006</t>
  </si>
  <si>
    <t>BP 2008-0207</t>
  </si>
  <si>
    <t>B08-0505</t>
  </si>
  <si>
    <t>temp modular bankSewer &amp; water credit: service station 2850 sq ft/100 x $22 = $627.00: 7 pumps @ $977.00 = $ 6839.00: 1 inch water meter and capacity fee $1552.00  Sewer fee for temp modular bank is the minimum $ 1951.00.   $1951.00 - $7466.00 (credit) = $ 5515.00 (credit left)</t>
  </si>
  <si>
    <t>22-41-16-33-2-00-005</t>
  </si>
  <si>
    <t>B08-0510</t>
  </si>
  <si>
    <t>emplace a pole mounted warning sirenno fee permit: no final inspection required</t>
  </si>
  <si>
    <t>22-41-16-34-2-06-008</t>
  </si>
  <si>
    <t>B08-0512</t>
  </si>
  <si>
    <t>pole mounted warning sirenNo fee permit: no final inspection required</t>
  </si>
  <si>
    <t>B08-0513</t>
  </si>
  <si>
    <t>New single family with garagecredit for 1-inch water capacity &amp; meter and sewer fee for a single family home.    (2/8/2012 2:49 PM KB)  applicant put in foundation and did not proceed past that. Closed file due to expiration of permit. 2/8/12 kb</t>
  </si>
  <si>
    <t>22-41-16-34-2-38-001</t>
  </si>
  <si>
    <t>BP 2008-0209</t>
  </si>
  <si>
    <t>Relocate and Convert Cabin to Home-Office.  See Special Conditions #1</t>
  </si>
  <si>
    <t>22-41-17-26-2-00-002</t>
  </si>
  <si>
    <t>BP 2008-0210</t>
  </si>
  <si>
    <t>Add Family Room, 3/4 Bath and Storage area to Home</t>
  </si>
  <si>
    <t>22-40-16-17-2-02-064</t>
  </si>
  <si>
    <t>B08-0517</t>
  </si>
  <si>
    <t>Addition(7/2/2010 2:44 PM KB)  Permit Expired. No final requested. closed file on 7/2/10 per Billy Nunn.</t>
  </si>
  <si>
    <t>22-41-16-27-3-01-003</t>
  </si>
  <si>
    <t>BP 2008-0211</t>
  </si>
  <si>
    <t>Convert 116 Porch into Living, and adding a Deck to Home</t>
  </si>
  <si>
    <t>22-41-17-11-4-11-003</t>
  </si>
  <si>
    <t>BP 2008-0212</t>
  </si>
  <si>
    <t>Rebuild burned cabin on existing foundation</t>
  </si>
  <si>
    <t>22-41-17-11-3-00-004</t>
  </si>
  <si>
    <t>BP 2008-0214</t>
  </si>
  <si>
    <t>Add 2BR, 1BA, and a 3-bay garage to SFD; Remodel Kitchen</t>
  </si>
  <si>
    <t>22-40-17-10-3-03-043</t>
  </si>
  <si>
    <t>BP 2008-0215</t>
  </si>
  <si>
    <t>Accessible Interior Renovations to the Rendezvous Lodge</t>
  </si>
  <si>
    <t>BP 2008-0216</t>
  </si>
  <si>
    <t>Add 40 sq. ft. entry , 1/2 Bath and Raise Roof in Dining Area</t>
  </si>
  <si>
    <t>22-41-17-14-1-09-005</t>
  </si>
  <si>
    <t>BP 2008-0217</t>
  </si>
  <si>
    <t>Build 4-BR, 2-Story Home w/ Garage and Future ARU</t>
  </si>
  <si>
    <t>22-42-16-33-1-01-005</t>
  </si>
  <si>
    <t>BP 2007-0217R</t>
  </si>
  <si>
    <t>Remove proposed Family Room, Deck and Hot Tub</t>
  </si>
  <si>
    <t>BP 2008-0218</t>
  </si>
  <si>
    <t>Add Master Bedroom Suite, Remodel Existing</t>
  </si>
  <si>
    <t>22-40-16-17-2-02-097</t>
  </si>
  <si>
    <t>BP 2008-0219</t>
  </si>
  <si>
    <t>Interior Remodel/Addition to SFD</t>
  </si>
  <si>
    <t>22-41-17-22-4-07-010</t>
  </si>
  <si>
    <t>BP 2008-0220</t>
  </si>
  <si>
    <t>Add to Living Room, Screen Porch and Fireplace</t>
  </si>
  <si>
    <t>BP 2008-0221</t>
  </si>
  <si>
    <t>New 3BR Single-Story Home w/ Office and Garage</t>
  </si>
  <si>
    <t>22-40-16-18-1-04-255</t>
  </si>
  <si>
    <t>BP 2008-0124R</t>
  </si>
  <si>
    <t>Increase height from 23' to 29'11", add 9' overhang, exterior stairs, and window</t>
  </si>
  <si>
    <t>BP 2008-0222</t>
  </si>
  <si>
    <t>Rebuild burned 2BR, 2BA Home w/Garage; Add Sunroom</t>
  </si>
  <si>
    <t>22-42-16-10-4-11-008</t>
  </si>
  <si>
    <t>BP 2008-0223</t>
  </si>
  <si>
    <t>Build 5BR Home w/ Finished Basement</t>
  </si>
  <si>
    <t>22-41-17-36-4-07-005</t>
  </si>
  <si>
    <t>BP 2008-0224</t>
  </si>
  <si>
    <t>Build 1BR ARU (Guesthouse)  w/ Gargage</t>
  </si>
  <si>
    <t>BP 2008-0225</t>
  </si>
  <si>
    <t>Build Family room &amp; Garage Addition to SFD</t>
  </si>
  <si>
    <t>22-40-16-17-2-01-062</t>
  </si>
  <si>
    <t>BP 2008-0226</t>
  </si>
  <si>
    <t>New 2-bedroom SFD</t>
  </si>
  <si>
    <t>BP 2008-0227</t>
  </si>
  <si>
    <t>Entry roof extension &amp; wall rebuild to relocate door  3/24/10 Rick w/ Dynamic Designs calling for bldg final VA</t>
  </si>
  <si>
    <t>22-41-17-36-4-07-001</t>
  </si>
  <si>
    <t>BP 2008-0228</t>
  </si>
  <si>
    <t>Add office/art studio to existing attached garage</t>
  </si>
  <si>
    <t>22-39-16-02-4-02-006</t>
  </si>
  <si>
    <t>BP 2008-0229</t>
  </si>
  <si>
    <t>Golf Course Maintenance/Admin/Seasonal Employee Housing</t>
  </si>
  <si>
    <t>BP 2008-0230</t>
  </si>
  <si>
    <t>New 2BR Home w/ Garage (employee housing)  12 month extension fee beginning May 1st, 2011.</t>
  </si>
  <si>
    <t>BP 2008-0231</t>
  </si>
  <si>
    <t>New 3BR, 2-Story Home w/ Garage (employee housing)</t>
  </si>
  <si>
    <t>B08-0597</t>
  </si>
  <si>
    <t>22-41-16-34-1-21-029</t>
  </si>
  <si>
    <t>B08-0615</t>
  </si>
  <si>
    <t>addition to existing homeapplicant did not do project and permit expired Closed file, discarded plans and file.KB</t>
  </si>
  <si>
    <t>22-40-16-05-2-04-019</t>
  </si>
  <si>
    <t>BP 2008-0232</t>
  </si>
  <si>
    <t>Build Family Room and Entry Addition</t>
  </si>
  <si>
    <t>22-40-16-17-2-02-088</t>
  </si>
  <si>
    <t>BP 2008-0233</t>
  </si>
  <si>
    <t>New 4-bedroom, 2-story SFD</t>
  </si>
  <si>
    <t>BP 2008-0234</t>
  </si>
  <si>
    <t>Move on workshop w/half-bath</t>
  </si>
  <si>
    <t>22-41-17-14-4-00-020</t>
  </si>
  <si>
    <t>B08-0633</t>
  </si>
  <si>
    <t>New single family3/4 water meter and capacity fee $957.50</t>
  </si>
  <si>
    <t>22-41-16-34-1-77-002</t>
  </si>
  <si>
    <t>BP 2008-0237</t>
  </si>
  <si>
    <t>1680 sq. ft. steel storage bldg. no electrical  10/8/09 extended 90 days, owner broke leg VA</t>
  </si>
  <si>
    <t>BP 2008-0238</t>
  </si>
  <si>
    <t>22-41-17-22-3-00-035</t>
  </si>
  <si>
    <t>B08-0635</t>
  </si>
  <si>
    <t>New single FamilyNo sewer, water or meter fee due because of existing home the was demo for this project.</t>
  </si>
  <si>
    <t>22-41-16-34-1-00-028</t>
  </si>
  <si>
    <t>BP 2008-0240</t>
  </si>
  <si>
    <t>Relocate existing barn on property</t>
  </si>
  <si>
    <t>BP 2008-0094R</t>
  </si>
  <si>
    <t>Hold down changes Dennis only</t>
  </si>
  <si>
    <t>BP 2008-0095R</t>
  </si>
  <si>
    <t>insert small storage space over bathroom</t>
  </si>
  <si>
    <t>BP 2008-0262</t>
  </si>
  <si>
    <t>Build Detached Garage w/Storage Above - No Plumbing/Mechanical</t>
  </si>
  <si>
    <t>22-42-16-10-1-05-006</t>
  </si>
  <si>
    <t>BP 2008-0263</t>
  </si>
  <si>
    <t>New Work Shop-No Heat-Rough-in Plumbing for Toilet &amp; Sink Only</t>
  </si>
  <si>
    <t>BP 2008-0264</t>
  </si>
  <si>
    <t>New 5-bedroom SFD W/ finished basement &amp; attached garage</t>
  </si>
  <si>
    <t>22-41-16-19-1-01-003</t>
  </si>
  <si>
    <t>BP 2008-0265</t>
  </si>
  <si>
    <t>BP 2008-0270</t>
  </si>
  <si>
    <t>Move/Remodel Employee Cabin</t>
  </si>
  <si>
    <t>BP 2008-0272</t>
  </si>
  <si>
    <t>Remodel existing building to house injured raptors</t>
  </si>
  <si>
    <t>22-41-17-22-4-00-017</t>
  </si>
  <si>
    <t>B08-0738</t>
  </si>
  <si>
    <t>residential unitssewer capacity fee: Laundry 3 machines @ $1335.00 each = $4005.00 15 2-bedroom units @ $1951.00 each = $29265.00: sewer credit: 44 seats x $341.00 = $ 15,004.00 ( 89 seat credit used on permit for 160 W Gill) 4 inch fire line $1918.80 1 1/2 inch water meter and capacity fee $3005.25</t>
  </si>
  <si>
    <t>22-41-16-28-4-27-002</t>
  </si>
  <si>
    <t>B08-0742</t>
  </si>
  <si>
    <t>New townhome3/4 water meter and capacity fee $957.50 sewer $1951.00 exterior shall be red stain finish per FDP</t>
  </si>
  <si>
    <t>22-40-16-06-2-50-007</t>
  </si>
  <si>
    <t>B08-0743</t>
  </si>
  <si>
    <t>New townhome3/4 water meter &amp; capacity fee $957.50 sewer fee $1951.00 exterior shall be redstain finish per FDP</t>
  </si>
  <si>
    <t>22-40-16-06-2-50-006</t>
  </si>
  <si>
    <t>B08-0744</t>
  </si>
  <si>
    <t>New townhome3/4 water capacity fee &amp; meter $957.50 sewer fee $1951.00 exterior shall be red stain finish per FDP</t>
  </si>
  <si>
    <t>22-40-16-06-2-50-005</t>
  </si>
  <si>
    <t>B08-0745</t>
  </si>
  <si>
    <t>New townhome3/4 water meter &amp; capacity fee $957.50 : sewer capacity fee $1951.00 exterior shall be red stain per FDP</t>
  </si>
  <si>
    <t>22-40-16-06-2-50-008</t>
  </si>
  <si>
    <t>B08-0746</t>
  </si>
  <si>
    <t>new townhome3/4 water meter and capacity fee $ 957.50 sewer capacity fee $1951.00: exterior shall be clear coat finish per FDP</t>
  </si>
  <si>
    <t>22-40-16-06-2-50-004</t>
  </si>
  <si>
    <t>B08-0747</t>
  </si>
  <si>
    <t>new townhome3/4 water capacity fee and meter $957.50 sewer capacity fee $1951.00: exterior shall be clear coat finish per FDP</t>
  </si>
  <si>
    <t>22-40-16-06-2-50-003</t>
  </si>
  <si>
    <t>B08-0748</t>
  </si>
  <si>
    <t>new townhome3/4 water meter and capacity fee $957.50 sewer fee $1951.00 exterior shall be lifetime finish per FDP</t>
  </si>
  <si>
    <t>22-40-16-06-2-50-001</t>
  </si>
  <si>
    <t>B08-0749</t>
  </si>
  <si>
    <t>New Townhome3/4 water meter and cpacity fee $957.50 sewer fee $1951.00 exterior shall be lifetime finish per FDP</t>
  </si>
  <si>
    <t>22-40-16-06-2-50-002</t>
  </si>
  <si>
    <t>BP 2008-0219R</t>
  </si>
  <si>
    <t>Project altered per planning setback  See BP 2008-0219</t>
  </si>
  <si>
    <t>BP 2008-0275</t>
  </si>
  <si>
    <t>Backup generator for sewer lift station</t>
  </si>
  <si>
    <t>22-42-17-25-2-02-039</t>
  </si>
  <si>
    <t>BP 2008-0276</t>
  </si>
  <si>
    <t>254 sq. ft. dormer extension for upper level bathroom</t>
  </si>
  <si>
    <t>22-42-16-02-4-04-001</t>
  </si>
  <si>
    <t>B08-0758</t>
  </si>
  <si>
    <t>New SFsewer capacity fee $1951.00</t>
  </si>
  <si>
    <t>22-41-16-27-3-09-014</t>
  </si>
  <si>
    <t>BP 2008-0277</t>
  </si>
  <si>
    <t>New shop/garage</t>
  </si>
  <si>
    <t>22-45-13-34-2-00-005</t>
  </si>
  <si>
    <t>BP 2008-0278</t>
  </si>
  <si>
    <t>3-sided temporary horse loafing shelter</t>
  </si>
  <si>
    <t>22-42-16-15-4-04-016</t>
  </si>
  <si>
    <t>B08-0765</t>
  </si>
  <si>
    <t>New single Family3/4 water capacity fee and meter $ 1005.50 Sewer capacity fee $2049.00 exterior shall be clear coat finish per FDP</t>
  </si>
  <si>
    <t>22-40-16-06-2-50-009</t>
  </si>
  <si>
    <t>B08-0766</t>
  </si>
  <si>
    <t>New SF3/4 water meter and capacity fee $1005.50 sewre fee $2049.00 exterior shalle be clear coat finish per FDP</t>
  </si>
  <si>
    <t>22-40-16-06-2-50-010</t>
  </si>
  <si>
    <t>B08-0767</t>
  </si>
  <si>
    <t>New SF3/4 water capacity fee $1005.50 sewer capacity fee $2049.00 exterior shall be clear coat finish per FDP</t>
  </si>
  <si>
    <t>22-40-16-06-2-50-011</t>
  </si>
  <si>
    <t>B08-0768</t>
  </si>
  <si>
    <t>New SF3/4 water capacity fee and meter $1005.50 sewer fee $2049.: exterior shall be lifetime finish per FDP</t>
  </si>
  <si>
    <t>22-40-16-06-2-50-012</t>
  </si>
  <si>
    <t>B08-0769</t>
  </si>
  <si>
    <t>22-40-16-06-2-50-013</t>
  </si>
  <si>
    <t>B08-0770</t>
  </si>
  <si>
    <t>New SF3/4 water capacity fee and meter $1005.50 sewer fee $2049.00 exterior finish shall be lifetime finish per FDP</t>
  </si>
  <si>
    <t>22-40-16-06-2-50-014</t>
  </si>
  <si>
    <t>B08-0771</t>
  </si>
  <si>
    <t>New SF3/4 water meter and capacity fee $1005.50 sewer fee $2049.00 exterior shall be red stain per FDP</t>
  </si>
  <si>
    <t>22-40-16-06-2-50-016</t>
  </si>
  <si>
    <t>B08-0772</t>
  </si>
  <si>
    <t>New SF3/4 water meter and capacity fee $ 1005.50 sewer fee $2049.00 exterior shall be red stain finish per FDP</t>
  </si>
  <si>
    <t>22-40-16-06-2-50-017</t>
  </si>
  <si>
    <t>B08-0773</t>
  </si>
  <si>
    <t>New SF3/4 water capacity fee and meter $1005.50 sewer fee $2049.00 exterior shall be red stain per FDP</t>
  </si>
  <si>
    <t>22-40-16-06-2-50-018</t>
  </si>
  <si>
    <t>B08-0775</t>
  </si>
  <si>
    <t>New SF3/4 water meter and capacity fee $ 957.50 sewer capcity fee $1951.00: exterior shall be clearcoat finish per FDP</t>
  </si>
  <si>
    <t>22-40-16-06-2-50-019</t>
  </si>
  <si>
    <t>B08-0776</t>
  </si>
  <si>
    <t>New SF3/4 water meter and capacity fee $1005.50 sewer capacity fee $2049.00  exterior shall be clear coat finish per FDP</t>
  </si>
  <si>
    <t>22-40-16-06-2-50-020</t>
  </si>
  <si>
    <t>B08-0777</t>
  </si>
  <si>
    <t>New SF3/4 water capacity fee and meter $1005.50 sewer fee $2049.00: exterior shall be red stain finish per FDP</t>
  </si>
  <si>
    <t>22-40-16-06-2-50-021</t>
  </si>
  <si>
    <t>B08-0778</t>
  </si>
  <si>
    <t>New SF3/4 water meter and capacity fee $1005.50 sewer capacity fee $2049.00  Exterior will be red stain per FDP</t>
  </si>
  <si>
    <t>22-40-16-06-2-50-022</t>
  </si>
  <si>
    <t>B08-0789</t>
  </si>
  <si>
    <t>New SF3/4 water meter &amp; capacity fee $ 1005.50 sewer fee $2049.00 exterior shall be lifetime finish per FPD</t>
  </si>
  <si>
    <t>22-40-16-06-2-50-023</t>
  </si>
  <si>
    <t>B08-0790</t>
  </si>
  <si>
    <t>New SF3/4 water meter &amp; capacity fee $1005.50 sewer fee $2049.00 exterior shall be lifetime finish per FDP</t>
  </si>
  <si>
    <t>22-40-16-06-2-50-024</t>
  </si>
  <si>
    <t>B08-0791</t>
  </si>
  <si>
    <t>New SF3/4 water meter and capacity fee $1005.50 sewer fee $2049.00 exterior shall be clear coat finish per FDP</t>
  </si>
  <si>
    <t>22-40-16-06-2-50-062</t>
  </si>
  <si>
    <t>B08-0792</t>
  </si>
  <si>
    <t>NEw SF3/4 water capacity fee &amp; meter 1005.50 sewer fee $2049. exterior shall be clear coat finish per FDP</t>
  </si>
  <si>
    <t>22-40-16-06-2-50-063</t>
  </si>
  <si>
    <t>B08-0793</t>
  </si>
  <si>
    <t>New SF3/4 water meter and capacity fee $1005.50 sewer fee $2049.00 exterior shall be red stain finish per FDP</t>
  </si>
  <si>
    <t>22-40-16-06-2-50-064</t>
  </si>
  <si>
    <t>B08-0794</t>
  </si>
  <si>
    <t>New SF3/4 water meter &amp; capacity fee $1005.50 sewer fee $2049.00 exterior shall be red stain finish per FDP</t>
  </si>
  <si>
    <t>22-40-16-06-2-50-065</t>
  </si>
  <si>
    <t>B08-0795</t>
  </si>
  <si>
    <t>New SF3/4 water meter and capacity fee $1005.50 sewer fee $2049. exterior shall be clear coat finish per FDP</t>
  </si>
  <si>
    <t>22-40-16-06-2-50-066</t>
  </si>
  <si>
    <t>B08-0796</t>
  </si>
  <si>
    <t>NEW SF3/4 water capacity fee $1005.50 sewer fee $2049 exterior shall be clear coat finish per FDP</t>
  </si>
  <si>
    <t>22-40-16-06-2-50-067</t>
  </si>
  <si>
    <t>B08-0797</t>
  </si>
  <si>
    <t>New SF3/4 water meter &amp; capacity fee $1005.50 sewer fee $2049. exterior shall be red stain finish per FDP</t>
  </si>
  <si>
    <t>22-40-16-06-2-50-068</t>
  </si>
  <si>
    <t>B08-0798</t>
  </si>
  <si>
    <t>New SF3/4 water meter &amp; capacity fee $1005.50 sewer fee $2049 exterior shall be res stain finis per FDP</t>
  </si>
  <si>
    <t>22-40-16-06-2-50-069</t>
  </si>
  <si>
    <t>BP 2008-0279</t>
  </si>
  <si>
    <t>Detached garage w/ art studio above</t>
  </si>
  <si>
    <t>BP 2008-0280</t>
  </si>
  <si>
    <t>New Barn no plumbing and no electrical</t>
  </si>
  <si>
    <t>22-39-16-27-4-02-002</t>
  </si>
  <si>
    <t>BP 2008-0282</t>
  </si>
  <si>
    <t>Add 674 sq. ft. to existing barn</t>
  </si>
  <si>
    <t>22-40-16-18-4-00-022</t>
  </si>
  <si>
    <t>BP 2008-0283</t>
  </si>
  <si>
    <t>New 4-bedroom SFD W/ finished basement &amp; attached garage</t>
  </si>
  <si>
    <t>22-40-16-33-4-00-013</t>
  </si>
  <si>
    <t>B08-0817</t>
  </si>
  <si>
    <t>restaurant fit outrestaurant fit out/ change of use:  Sewer fees 149 seats @ $358.00 = $53,342.00   Sewer credit for office space 4370/100= 44 employees @ $132.00 = $5,808.00</t>
  </si>
  <si>
    <t>BP 2008-0286</t>
  </si>
  <si>
    <t>Building A, (4) 1 and 2 bedroom single family units  Residential units not commercial VA</t>
  </si>
  <si>
    <t>22-42-16-27-4-18-004</t>
  </si>
  <si>
    <t>BP 2008-0287</t>
  </si>
  <si>
    <t>Complex B (4) Affordable Housing SFD  Residential units not commercial VA</t>
  </si>
  <si>
    <t>22-42-16-27-4-18-008</t>
  </si>
  <si>
    <t>BP 2008-0288</t>
  </si>
  <si>
    <t>Complex C (3) unit SFD Affordable Housing  Residential units not commercial</t>
  </si>
  <si>
    <t>22-42-16-27-4-18-011</t>
  </si>
  <si>
    <t>BP 2008-0289</t>
  </si>
  <si>
    <t>Complex D (3) SFD Affordable Housing Units  Residential units not commercial</t>
  </si>
  <si>
    <t>22-42-16-27-4-12-040</t>
  </si>
  <si>
    <t>BP 2008-0290</t>
  </si>
  <si>
    <t>Complex E (4) Affordable Housing SFD  Residential units not commercial VA</t>
  </si>
  <si>
    <t>22-42-16-27-4-18-018</t>
  </si>
  <si>
    <t>BP 2008-0291</t>
  </si>
  <si>
    <t>Complex F (4) Affordable Housing SFD  Residential units not commercial VA</t>
  </si>
  <si>
    <t>22-42-16-27-4-18-022</t>
  </si>
  <si>
    <t>BP 2008-0292</t>
  </si>
  <si>
    <t>Convert existing garage space into ARU</t>
  </si>
  <si>
    <t>22-41-17-14-1-22-006</t>
  </si>
  <si>
    <t>BP 2008-0293</t>
  </si>
  <si>
    <t>Move on Barn for Storage    2/4/10 Wrote Letter VA</t>
  </si>
  <si>
    <t>22-40-16-20-4-00-002</t>
  </si>
  <si>
    <t>BP 2009-0001</t>
  </si>
  <si>
    <t>22-40-17-12-1-01-006</t>
  </si>
  <si>
    <t>BP 2009-0002</t>
  </si>
  <si>
    <t>100 sq. ft. entry addition</t>
  </si>
  <si>
    <t>22-41-17-23-4-05-003</t>
  </si>
  <si>
    <t>BP 2009-0003</t>
  </si>
  <si>
    <t>Remodel Bldg. to be Administrative &amp; Emergency Operations Center</t>
  </si>
  <si>
    <t>22-40-16-17-1-00-014</t>
  </si>
  <si>
    <t>B09-0018</t>
  </si>
  <si>
    <t>new townhomeno fee permit: fees paid on permitB08-0825</t>
  </si>
  <si>
    <t>22-41-16-33-4-38-014</t>
  </si>
  <si>
    <t>B09-0019</t>
  </si>
  <si>
    <t>new townhome3 units @ $1951.00 each = $ 5,853.00: 3 1-inch water capacity fees @ $1103.00 each = $ 3309.00: 3 1-inch water meter @ $449.00= $ 1347.00</t>
  </si>
  <si>
    <t>22-41-16-33-4-38-017</t>
  </si>
  <si>
    <t>BP 2008-0116R</t>
  </si>
  <si>
    <t>Adding loft above kitchen and connector to loft above bathroom</t>
  </si>
  <si>
    <t>BP 2009-0004</t>
  </si>
  <si>
    <t>Build Phase 1 of New Childcare Facility</t>
  </si>
  <si>
    <t>22-40-16-17-2-16-001</t>
  </si>
  <si>
    <t>BP 2009-0005</t>
  </si>
  <si>
    <t>Dining Room Bumpout to SFD</t>
  </si>
  <si>
    <t>22-42-16-10-1-02-003</t>
  </si>
  <si>
    <t>BP 2009-0006</t>
  </si>
  <si>
    <t>Build 2-story Caretakers Residence w/ Basement</t>
  </si>
  <si>
    <t>BP 2009-0007</t>
  </si>
  <si>
    <t>BP 2008-0242</t>
  </si>
  <si>
    <t>Move on cabin for University of Mich summer housing</t>
  </si>
  <si>
    <t>22-38-15-05-1-00-005</t>
  </si>
  <si>
    <t>BP 2008-0243</t>
  </si>
  <si>
    <t>Move on cabin for Univerisity of Michican summer housing</t>
  </si>
  <si>
    <t>BP 2008-0244</t>
  </si>
  <si>
    <t>Move on Accessible Cabin for University of Michigan Summer Housing</t>
  </si>
  <si>
    <t>BP 2008-0245</t>
  </si>
  <si>
    <t>move on cabin for university of michigan summer housing</t>
  </si>
  <si>
    <t>BP 2008-0246</t>
  </si>
  <si>
    <t>BP 2008-0247</t>
  </si>
  <si>
    <t>Move on Cabin for University of Michigan Summer Housing</t>
  </si>
  <si>
    <t>BP 2008-0248</t>
  </si>
  <si>
    <t>BP 2008-0249</t>
  </si>
  <si>
    <t>BP 2008-0250</t>
  </si>
  <si>
    <t>BP 2008-0251</t>
  </si>
  <si>
    <t>Move on Summer Cabin for University of Michigan</t>
  </si>
  <si>
    <t>BP 2008-0252</t>
  </si>
  <si>
    <t>BP 2008-0253</t>
  </si>
  <si>
    <t>Move on Summer Cabin for University of Michigan Housing</t>
  </si>
  <si>
    <t>BP 2008-0255</t>
  </si>
  <si>
    <t>BP 2008-0257</t>
  </si>
  <si>
    <t>BP 2008-0259</t>
  </si>
  <si>
    <t>BP 2008-0261</t>
  </si>
  <si>
    <t>BP 2009-0008</t>
  </si>
  <si>
    <t>22-45-12-21-1-01-002</t>
  </si>
  <si>
    <t>BP 2009-0009</t>
  </si>
  <si>
    <t>Remodel &amp; extend covered porch</t>
  </si>
  <si>
    <t>22-40-16-17-2-02-091</t>
  </si>
  <si>
    <t>BP 2009-0010</t>
  </si>
  <si>
    <t>98 sq. ft. dining room bump-out, and interior remodel to SFD</t>
  </si>
  <si>
    <t>22-41-17-14-2-12-002</t>
  </si>
  <si>
    <t>B15-0111</t>
  </si>
  <si>
    <t>New hotel</t>
  </si>
  <si>
    <t>22-41-16-33-1-10-003</t>
  </si>
  <si>
    <t>demo</t>
  </si>
  <si>
    <t>BP 2009-0012</t>
  </si>
  <si>
    <t>AddNew dormer, garage addition, remodel 2nd floor &amp; m. bedroom</t>
  </si>
  <si>
    <t>22-42-16-28-1-02-004</t>
  </si>
  <si>
    <t>BP 2009-0013</t>
  </si>
  <si>
    <t>New Sauna, Yoga, &amp; Meditation Bldg. no Plumbing</t>
  </si>
  <si>
    <t>22-41-17-27-1-03-006</t>
  </si>
  <si>
    <t>BP 2008-0271R</t>
  </si>
  <si>
    <t>Interior Remodel : Master Bath, and Kitchen</t>
  </si>
  <si>
    <t>22-41-16-17-2-01-001</t>
  </si>
  <si>
    <t>BP 2009-0014</t>
  </si>
  <si>
    <t>SFD remodel/addition 2108 sq. ft. being added</t>
  </si>
  <si>
    <t>22-41-17-33-1-07-003</t>
  </si>
  <si>
    <t>BP 2009-0015</t>
  </si>
  <si>
    <t>Garage above ARU</t>
  </si>
  <si>
    <t>BP 2009-0016</t>
  </si>
  <si>
    <t>100 sq. ft. addition to SFD to install Elevator</t>
  </si>
  <si>
    <t>22-41-17-01-3-02-010</t>
  </si>
  <si>
    <t>BP 2009-0017</t>
  </si>
  <si>
    <t>New 4-bedroom, 2-Story Detached SFD W/ Attached Garage</t>
  </si>
  <si>
    <t>22-41-17-23-2-09-003</t>
  </si>
  <si>
    <t>B09-0054</t>
  </si>
  <si>
    <t>Tenant finish for suite 201NULL</t>
  </si>
  <si>
    <t>B09-0059</t>
  </si>
  <si>
    <t>New single family with attached garage3/4-inch water capacity fee &amp; meter $957.50 Sewer $ 1951.00</t>
  </si>
  <si>
    <t>22-41-16-31-4-15-001</t>
  </si>
  <si>
    <t>BP 2009-0018</t>
  </si>
  <si>
    <t>New Accessory Residential Unit added to existing SFD</t>
  </si>
  <si>
    <t>22-41-17-14-4-00-015</t>
  </si>
  <si>
    <t>B09-0061</t>
  </si>
  <si>
    <t>300 sq ft cabin for nightly rental/lodgingNULL</t>
  </si>
  <si>
    <t>22-41-16-28-4-02-002</t>
  </si>
  <si>
    <t>BP 2009-0019</t>
  </si>
  <si>
    <t>22-41-16-19-3-10-001</t>
  </si>
  <si>
    <t>BP 2009-0020</t>
  </si>
  <si>
    <t>Convert garage into living</t>
  </si>
  <si>
    <t>22-41-15-18-4-02-001</t>
  </si>
  <si>
    <t>BP 2009-0021</t>
  </si>
  <si>
    <t>200 sq. ft. bumpout to existing garage</t>
  </si>
  <si>
    <t>BP 2009-0022</t>
  </si>
  <si>
    <t>New 4-bedroom SFD W/ Attached Garage</t>
  </si>
  <si>
    <t>22-41-17-22-2-02-003</t>
  </si>
  <si>
    <t>BP 2009-0023</t>
  </si>
  <si>
    <t>New 2-bedroom accessory residential unit</t>
  </si>
  <si>
    <t>BP 2009-0024</t>
  </si>
  <si>
    <t>New Barn w/ study/studio above no kitchen</t>
  </si>
  <si>
    <t>BP 2009-0025</t>
  </si>
  <si>
    <t>Remodel existing cabin</t>
  </si>
  <si>
    <t>22-39-16-13-1-00-008</t>
  </si>
  <si>
    <t>BP 2009-0026</t>
  </si>
  <si>
    <t>New Office Building</t>
  </si>
  <si>
    <t>BP 2009-0027</t>
  </si>
  <si>
    <t>781 sq. ft. office, ski, wine, and bathroom additions to SFD</t>
  </si>
  <si>
    <t>BP 2009-0029</t>
  </si>
  <si>
    <t>2606 sq. ft. 4 bed, &amp; 3-bath additions to SFD</t>
  </si>
  <si>
    <t>22-42-16-15-4-03-007</t>
  </si>
  <si>
    <t>BP 2009-0030</t>
  </si>
  <si>
    <t>New Core &amp; Shell Only 2-Story Commercial Office Building</t>
  </si>
  <si>
    <t>22-41-17-22-3-11-002</t>
  </si>
  <si>
    <t>BP 2009-0032</t>
  </si>
  <si>
    <t>New Porte Cochere</t>
  </si>
  <si>
    <t>BP 2009-0033</t>
  </si>
  <si>
    <t>Demo existing glass entry &amp; replace w/ insulated walls/roof entry</t>
  </si>
  <si>
    <t>22-41-17-12-1-01-003</t>
  </si>
  <si>
    <t>B09-0108</t>
  </si>
  <si>
    <t>new townhomepermit fees including 1-inch water capacity &amp; meter fees, and sewer are paid on permit #B08-0825.</t>
  </si>
  <si>
    <t>22-41-16-33-4-38-013</t>
  </si>
  <si>
    <t>B09-0120</t>
  </si>
  <si>
    <t>Addition to existing home(1/13/2012 8:56 AM EXP)  no final inspection made.</t>
  </si>
  <si>
    <t>22-40-16-06-2-09-013</t>
  </si>
  <si>
    <t>BP 2009-0038</t>
  </si>
  <si>
    <t>New single family residence Habitat for Humanity</t>
  </si>
  <si>
    <t>22-41-17-22-3-12-001</t>
  </si>
  <si>
    <t>BP 2009-0039</t>
  </si>
  <si>
    <t>Convert existing garage/barn into accessory residential unit</t>
  </si>
  <si>
    <t>22-42-16-33-1-02-006</t>
  </si>
  <si>
    <t>B09-0131</t>
  </si>
  <si>
    <t>10-unit condo for affordable housing10 3/4 water meters and capacity fee $957.50 each = $9575.00: sewer capacity fee 6 2-bedroom unit@ $1951.00 each = $ 11706.00. 4 1-bedroom w/washer @ $977.00 each = $ 3908.00    (2/27/2012 5:00 PM KB)  permit was not issued and applicant did not ask for an extension. Closed file, discarded plans and review. Applicant must resubmitt. 2/27/12 kb</t>
  </si>
  <si>
    <t>22-41-16-33-4-38-006</t>
  </si>
  <si>
    <t>BP 2009-0040</t>
  </si>
  <si>
    <t>Repair water damage &amp; add 3 bump-outs to existing SFD</t>
  </si>
  <si>
    <t>22-45-13-07-1-00-027</t>
  </si>
  <si>
    <t>BP 2009-0041</t>
  </si>
  <si>
    <t>New Public Library</t>
  </si>
  <si>
    <t>22-44-18-20-3-00-020</t>
  </si>
  <si>
    <t>BP 2009-0042</t>
  </si>
  <si>
    <t>New 2-bedroom SFD W/ Attached Garage</t>
  </si>
  <si>
    <t>BP 2009-0043</t>
  </si>
  <si>
    <t>Add storage area to existing ARU garage</t>
  </si>
  <si>
    <t>BP 2009-0044</t>
  </si>
  <si>
    <t>Add bedroom above existing attached garage</t>
  </si>
  <si>
    <t>BP 2009-0045</t>
  </si>
  <si>
    <t>New 2-story, 2-bedroom SFD w/ finished basement &amp; attached garage</t>
  </si>
  <si>
    <t>22-41-16-28-2-05-002</t>
  </si>
  <si>
    <t>BP 2009-0046</t>
  </si>
  <si>
    <t>Convert 2nd floor of existing barn into accessory residential unit</t>
  </si>
  <si>
    <t>22-42-16-15-4-08-001</t>
  </si>
  <si>
    <t>B09-0154</t>
  </si>
  <si>
    <t>New bankThe applicant is required to mitigate 329 square feet of employee housing. The Town Council approved a fee in-lieu is $37,012.50. (329 SF x $112.50). Sewer fees 17495 sq ft office/100 x $139.00 = 24,325.00.Sewer credits for existing building and old service station is $7466.00 ($1951.00 for existing modular and $ 5515.00 for old service station). Water fees:Existing 1-inch water meter from modular, which will be removed after the bank is built will be used for irrigation. 1 1/2 water meter and capacity fee for potable water $ 3155.50 fire line :$1918.80</t>
  </si>
  <si>
    <t>BP 2009-0047</t>
  </si>
  <si>
    <t>50 sq. ft. entry addition, &amp; kitchen remodel to existing SFD</t>
  </si>
  <si>
    <t>B09-0157</t>
  </si>
  <si>
    <t>22-41-16-34-1-09-006</t>
  </si>
  <si>
    <t>B09-0158</t>
  </si>
  <si>
    <t>tenant finish for space 1-art galleryNULL</t>
  </si>
  <si>
    <t>BP 2009-0048</t>
  </si>
  <si>
    <t>Add M. Bedroom, Bath, Studio, Dining Room; Relocate Kitchen</t>
  </si>
  <si>
    <t>22-45-18-32-4-02-014</t>
  </si>
  <si>
    <t>BP 2009-0049</t>
  </si>
  <si>
    <t>424 sq. ft. accessory residential unit addition</t>
  </si>
  <si>
    <t>22-40-17-02-3-00-009</t>
  </si>
  <si>
    <t>B09-0175</t>
  </si>
  <si>
    <t>remove existing shelter/repace with newno fee permit    (1/13/2012 10:56 AM KB)  Closed.No final requested 1/13/12</t>
  </si>
  <si>
    <t>22-41-16-34-2-47-001</t>
  </si>
  <si>
    <t>BP 2009-0050</t>
  </si>
  <si>
    <t>New 3-bedroom SFD W/ Attached Garage</t>
  </si>
  <si>
    <t>22-42-16-27-4-12-035</t>
  </si>
  <si>
    <t>B09-0184</t>
  </si>
  <si>
    <t>Tenant finish for spc #204NULL</t>
  </si>
  <si>
    <t>BP 2009-0051</t>
  </si>
  <si>
    <t>New 5-bedroom SFD W/ attached garage and accessory residential unit</t>
  </si>
  <si>
    <t>22-42-17-25-1-01-044</t>
  </si>
  <si>
    <t>BP 2009-0052</t>
  </si>
  <si>
    <t>Convert entry porch into mudroom, &amp; add new covered entry</t>
  </si>
  <si>
    <t>22-41-17-34-3-15-002</t>
  </si>
  <si>
    <t>BP 2009-0053</t>
  </si>
  <si>
    <t>extend two sides to an existing barn totaling 1320 sq. ft.</t>
  </si>
  <si>
    <t>22-39-16-11-4-05-002</t>
  </si>
  <si>
    <t>BP 2009-0054</t>
  </si>
  <si>
    <t>Remodel Main and Upper floor; Add Exercise Room to Upper Story</t>
  </si>
  <si>
    <t>22-40-16-18-1-05-315</t>
  </si>
  <si>
    <t>BP 2009-0055</t>
  </si>
  <si>
    <t>New 1152 sq. ft. Barn</t>
  </si>
  <si>
    <t>22-40-16-18-3-00-043</t>
  </si>
  <si>
    <t>B09-0210</t>
  </si>
  <si>
    <t>addition/interior remodelSewer fees: apartment $1951.00: 5996 sq ft /100= 60 employees x $132.00 per employee = $ 7920.00: Credit for retail space being turned into office $352.00 (from permit B08-0364): 4-inch fire line $1918.80 water fee: 1 1/2 water meter &amp; Capacity fee $3005.25 water credit : $1552.00; landscape bond $ 3,077.50.</t>
  </si>
  <si>
    <t>22-41-16-32-4-17-003</t>
  </si>
  <si>
    <t>BP 2009-0056</t>
  </si>
  <si>
    <t>New 2-story, 4-bedroom SFD W/ attached garage</t>
  </si>
  <si>
    <t>B09-0215</t>
  </si>
  <si>
    <t>new single familyno water/meter and sewer capacity fees due because of existing home that was demolished for this project. They have credit for a 1 inch water meter and capacity fee.    (6/24/2009 13:50  KB)  An addendum was submitted for review on 6/24/09. The changes that are proposed are movement of the far top left wall.</t>
  </si>
  <si>
    <t>22-41-16-27-3-07-011</t>
  </si>
  <si>
    <t>BP 2009-0057</t>
  </si>
  <si>
    <t>30,000 sq. ft. expansion &amp; remodel existing airport terminal building</t>
  </si>
  <si>
    <t>BP 2009-0034</t>
  </si>
  <si>
    <t>New 6-bedroom SFD w/ finished basement &amp; attached garage</t>
  </si>
  <si>
    <t>22-40-16-35-1-05-003</t>
  </si>
  <si>
    <t>BP 2009-0058</t>
  </si>
  <si>
    <t>cover two existing front decks &amp; one on rear of house</t>
  </si>
  <si>
    <t>22-41-16-10-2-00-004</t>
  </si>
  <si>
    <t>B09-0232</t>
  </si>
  <si>
    <t>addition to existing buildingSewer fees 1537sq ft/100 (office)= 15 x $132.00 = $ 1980.00. 1031 sq ft/300 (storage/warehouse)= 3 x $132.00 = $396.00. 2-1 bedroom with w/d @ $977.00 each = $ 1954.00. 4-inch fire line $1918.80</t>
  </si>
  <si>
    <t>22-41-16-32-4-20-006</t>
  </si>
  <si>
    <t>BP 2009-0059</t>
  </si>
  <si>
    <t>SFD Remodel; add 52 sq. ft. below grade</t>
  </si>
  <si>
    <t>22-40-16-35-1-03-002</t>
  </si>
  <si>
    <t>BP 2009-0060</t>
  </si>
  <si>
    <t>add 105 sq. ft. dormer to existing SFD attic space</t>
  </si>
  <si>
    <t>22-40-16-18-1-07-008</t>
  </si>
  <si>
    <t>B09-0243</t>
  </si>
  <si>
    <t>Tenant finish for space #203NULL</t>
  </si>
  <si>
    <t>BP 2009-0061</t>
  </si>
  <si>
    <t>New barn w/ studio/office above</t>
  </si>
  <si>
    <t>B09-0247</t>
  </si>
  <si>
    <t>addition to existing buildingFee in lieu of employee housing $8,889.75: sewer fees 471 sq ft retail/100 x $22.00 = $ $110.00: 396 sq ft  office/100 x$132.00 = $528.00</t>
  </si>
  <si>
    <t>22-41-16-33-1-54-001</t>
  </si>
  <si>
    <t>BP 2009-0062</t>
  </si>
  <si>
    <t>344 sq. ft. family room addition to SFD</t>
  </si>
  <si>
    <t>22-42-16-27-3-02-029</t>
  </si>
  <si>
    <t>BP 2009-0063</t>
  </si>
  <si>
    <t>670 sq. ft. bedroom &amp; bathroom addition to SFD</t>
  </si>
  <si>
    <t>22-40-16-18-3-00-006</t>
  </si>
  <si>
    <t>BP 2009-0064</t>
  </si>
  <si>
    <t>Interior renovation to existing townhome</t>
  </si>
  <si>
    <t>22-42-17-24-4-19-007</t>
  </si>
  <si>
    <t>BP 2009-0065</t>
  </si>
  <si>
    <t>New 3120sq.ft. Barn</t>
  </si>
  <si>
    <t>22-39-16-14-1-00-013</t>
  </si>
  <si>
    <t>BP 2009-0066</t>
  </si>
  <si>
    <t>New 2-story, 4-bedroom SFD attached to existing garage</t>
  </si>
  <si>
    <t>22-40-16-18-3-00-047</t>
  </si>
  <si>
    <t>BP 2009-0068</t>
  </si>
  <si>
    <t>Enclose 2 existing covered porches into living area</t>
  </si>
  <si>
    <t>22-40-16-20-1-13-007</t>
  </si>
  <si>
    <t>BP 2009-0069</t>
  </si>
  <si>
    <t>Water Treatment Plant Expansion</t>
  </si>
  <si>
    <t>22-42-17-24-3-02-137</t>
  </si>
  <si>
    <t>BP 2009-0070</t>
  </si>
  <si>
    <t>Add new garage w/connector to SFD</t>
  </si>
  <si>
    <t>22-41-17-23-1-09-005</t>
  </si>
  <si>
    <t>BP 2009-0071</t>
  </si>
  <si>
    <t>Convert existing detached garage into Accessory Residential Unit</t>
  </si>
  <si>
    <t>22-42-16-10-1-02-004</t>
  </si>
  <si>
    <t>BP 2009-0072</t>
  </si>
  <si>
    <t>22-42-16-27-4-12-032</t>
  </si>
  <si>
    <t>BP 2009-0073</t>
  </si>
  <si>
    <t>New 2-story, 3BD, 2BA Home W/ Garage</t>
  </si>
  <si>
    <t>22-40-16-20-1-15-010</t>
  </si>
  <si>
    <t>BP 2009-0074</t>
  </si>
  <si>
    <t>Build 4BR, 2BA Home</t>
  </si>
  <si>
    <t>22-45-13-21-1-01-029</t>
  </si>
  <si>
    <t>B09-0291</t>
  </si>
  <si>
    <t>Addition to existing SFNULL</t>
  </si>
  <si>
    <t>22-41-16-33-1-31-007</t>
  </si>
  <si>
    <t>BDR2009-0075</t>
  </si>
  <si>
    <t>Add to and Remodel Master Bedroom/Bath</t>
  </si>
  <si>
    <t>22-40-16-18-1-05-262</t>
  </si>
  <si>
    <t>BDR2009-0077</t>
  </si>
  <si>
    <t>New Accessory Residential Unit</t>
  </si>
  <si>
    <t>22-42-17-35-3-00-024</t>
  </si>
  <si>
    <t>BDR2009-0078</t>
  </si>
  <si>
    <t>22-42-15-11-1-00-018</t>
  </si>
  <si>
    <t>BDR2009-0079</t>
  </si>
  <si>
    <t>BDR2009-0080</t>
  </si>
  <si>
    <t>New 2-bedroom ARU w/ attached Garage</t>
  </si>
  <si>
    <t>22-42-16-10-1-07-008</t>
  </si>
  <si>
    <t>BDR2009-0082</t>
  </si>
  <si>
    <t>Add Master Bedroom, Bath, Office, Living, Entry and Unfinished Basement; Remodel Existing Cabin</t>
  </si>
  <si>
    <t>B09-0303</t>
  </si>
  <si>
    <t>new SFNULL</t>
  </si>
  <si>
    <t>22-41-16-34-1-AE-004</t>
  </si>
  <si>
    <t>BDR2009-0083</t>
  </si>
  <si>
    <t>BDR2009-0084</t>
  </si>
  <si>
    <t>New 2-bedroom, 1-bath SFD to be used as future Guest House</t>
  </si>
  <si>
    <t>22-44-15-36-1-04-006</t>
  </si>
  <si>
    <t>B09-0305</t>
  </si>
  <si>
    <t>New single familySewer fee $2049.00 3/4 water meter and capacity fee $1005.50</t>
  </si>
  <si>
    <t>22-41-16-34-1-AD-013</t>
  </si>
  <si>
    <t>B09-0306</t>
  </si>
  <si>
    <t>New single family3/4 water meter and capacity fee $ 957.50 sewer hookup $1951.00</t>
  </si>
  <si>
    <t>22-41-16-34-1-91-002</t>
  </si>
  <si>
    <t>BDC2009-0003</t>
  </si>
  <si>
    <t>Renovation of existing Elementary School, remove/replace damaged exterior wood siding; remove/replace windows; upgrade gymnasium roof structure; removal/replacement of exterior overhangs; remove/replace paving; site reclamation; playground upgrade (basket</t>
  </si>
  <si>
    <t>B09-0324</t>
  </si>
  <si>
    <t>NSFNULL</t>
  </si>
  <si>
    <t>22-41-16-34-1-AF-005</t>
  </si>
  <si>
    <t>B09-0325</t>
  </si>
  <si>
    <t>22-41-16-34-1-AF-004</t>
  </si>
  <si>
    <t>BDR2009-0085</t>
  </si>
  <si>
    <t>New Detached Single Family Dwelling</t>
  </si>
  <si>
    <t>22-45-18-32-4-01-005</t>
  </si>
  <si>
    <t>BDR2009-0087</t>
  </si>
  <si>
    <t>New generator building</t>
  </si>
  <si>
    <t>BDR2009-0091</t>
  </si>
  <si>
    <t>Build 5 BD, 5.5 BA, w/Garage</t>
  </si>
  <si>
    <t>22-42-16-34-2-02-006</t>
  </si>
  <si>
    <t>BDR2009-0092</t>
  </si>
  <si>
    <t>New 539 sq. ft., 1-bedroom, 1-bathroom Accessory Residential Unit</t>
  </si>
  <si>
    <t>22-40-17-10-3-00-014</t>
  </si>
  <si>
    <t>B09-0345</t>
  </si>
  <si>
    <t>addition to existing homedining room bump out    (2/9/2012 2:53 PM KB)  Permit expired and no final was requested. Closed file on 2/9/12 kb</t>
  </si>
  <si>
    <t>22-41-16-27-3-09-005</t>
  </si>
  <si>
    <t>BDR2009-0093</t>
  </si>
  <si>
    <t>Sunroom, Master Bedroom Addition, &amp; Complete Remodel to Existing SFD</t>
  </si>
  <si>
    <t>22-40-16-18-3-00-069</t>
  </si>
  <si>
    <t>BDR2009-0094</t>
  </si>
  <si>
    <t>Convert 300sq. ft. garage into bedroom in existing accessory residential unit</t>
  </si>
  <si>
    <t>BDR2009-0095</t>
  </si>
  <si>
    <t>221 sq. ft. expansion to existing loft</t>
  </si>
  <si>
    <t>BDR2009-0096</t>
  </si>
  <si>
    <t>Convert 556 sq. ft. of existing attached garage to living space (family room); Add 44 sf to Garage.</t>
  </si>
  <si>
    <t>22-41-17-14-3-25-004</t>
  </si>
  <si>
    <t>BDR2009-0097</t>
  </si>
  <si>
    <t>New 4-bedroom, 2-story SFD w/ garage</t>
  </si>
  <si>
    <t>22-40-17-11-1-00-008</t>
  </si>
  <si>
    <t>BDR2009-0098</t>
  </si>
  <si>
    <t>Move on two existing cabins, &amp; connect into ARU</t>
  </si>
  <si>
    <t>22-41-17-12-2-03-004</t>
  </si>
  <si>
    <t>BDR2009-0100</t>
  </si>
  <si>
    <t>New screened porch</t>
  </si>
  <si>
    <t>22-42-16-17-3-00-013</t>
  </si>
  <si>
    <t>BDR2009-0101</t>
  </si>
  <si>
    <t>960 Sq. Ft. Tack Room Addition to Existing Barn</t>
  </si>
  <si>
    <t>22-40-16-17-3-06-002</t>
  </si>
  <si>
    <t>BDR2009-0102</t>
  </si>
  <si>
    <t>Addition &amp; Interior Remodel to SFD</t>
  </si>
  <si>
    <t>22-41-17-22-2-00-008</t>
  </si>
  <si>
    <t>BDR2009-0103</t>
  </si>
  <si>
    <t>New detached garage w/ green house, &amp; unfinished space upstairs</t>
  </si>
  <si>
    <t>B09-0359</t>
  </si>
  <si>
    <t>Tenant finishsewer capacity fee 1461/100x $139.00 = $ 2085.00. Sewer capacity fee credit 1461/100 x $21.00= 315.00: On the original permit, B09-0136, fees were collected for 5650 sq ft of retail and 792 of office. This permit is for 1461 sq ft of office which is why there is a charge for sewer capacity fee on this permit.</t>
  </si>
  <si>
    <t>BDR2009-0104</t>
  </si>
  <si>
    <t>Add 617 sq. ft. to existing Detached Garage</t>
  </si>
  <si>
    <t>BDR2009-0107</t>
  </si>
  <si>
    <t>2298 sq. ft. addition to existing SFD</t>
  </si>
  <si>
    <t>22-40-16-18-3-00-029</t>
  </si>
  <si>
    <t>BDR2009-0108</t>
  </si>
  <si>
    <t>22-41-16-06-1-04-001</t>
  </si>
  <si>
    <t>B09-0373</t>
  </si>
  <si>
    <t>New single familyNew single family sewer $2049.00 3/4 water meter &amp; capacity fee $ 1005.50</t>
  </si>
  <si>
    <t>22-41-16-34-4-03-005</t>
  </si>
  <si>
    <t>BDC2009-0005</t>
  </si>
  <si>
    <t>Restroom/Shower facility for girls summer camp Bldg. #1</t>
  </si>
  <si>
    <t>22-39-18-01-1-00-001</t>
  </si>
  <si>
    <t>BDC2009-0006</t>
  </si>
  <si>
    <t>Restroom/Shower facility for girls summer camp, Bldg. #2</t>
  </si>
  <si>
    <t>BDR2009-0111</t>
  </si>
  <si>
    <t>New 4BD, 4- 1/2BA, 2-Story SFD, w/ attached garage &amp; 2BD, 2BA ARU</t>
  </si>
  <si>
    <t>22-42-17-25-1-01-050</t>
  </si>
  <si>
    <t>BDR2009-0112</t>
  </si>
  <si>
    <t>After the fact compliance check for ARU in existing garage</t>
  </si>
  <si>
    <t>22-40-16-35-3-10-005</t>
  </si>
  <si>
    <t>BDR2009-0113</t>
  </si>
  <si>
    <t>22-40-16-18-4-00-057</t>
  </si>
  <si>
    <t>B09-0394</t>
  </si>
  <si>
    <t>new single family3/4 water meter &amp; capacity fee</t>
  </si>
  <si>
    <t>BDR2009-0114</t>
  </si>
  <si>
    <t>BDR2009-0115</t>
  </si>
  <si>
    <t>Add 200 sq. ft. screened in porch, and cover 780 sq. ft. of existing deck</t>
  </si>
  <si>
    <t>22-45-12-21-2-00-032</t>
  </si>
  <si>
    <t>BDR2009-0116</t>
  </si>
  <si>
    <t>Add to master closet, bath, &amp; two bedrooms in basement of SFD</t>
  </si>
  <si>
    <t>BDR2009-0117</t>
  </si>
  <si>
    <t>Add New Master Bedroom, Bath to 2nd Floor of Existing Residence</t>
  </si>
  <si>
    <t>22-41-17-11-1-12-007</t>
  </si>
  <si>
    <t>BDR2009-0119</t>
  </si>
  <si>
    <t>Build 4 BD 6BA House</t>
  </si>
  <si>
    <t>22-40-17-12-3-02-001</t>
  </si>
  <si>
    <t>BDR2009-0120</t>
  </si>
  <si>
    <t>Build Garage w/1BD, 1BA residential unit above</t>
  </si>
  <si>
    <t>BDR2009-0121</t>
  </si>
  <si>
    <t>New storage building w/out conc. slab to be used for temporary storage only</t>
  </si>
  <si>
    <t>22-39-16-23-3-03-004</t>
  </si>
  <si>
    <t>BDR2009-0122</t>
  </si>
  <si>
    <t>BDC2009-0007</t>
  </si>
  <si>
    <t>Add 3 bedrooms &amp; corresponding corridors to cottage 4 of assisted living residences</t>
  </si>
  <si>
    <t>B09-0418</t>
  </si>
  <si>
    <t>New townhomelt 26 unit A    (7/19/2011 1:44 PM KB)  no fee permit: sewer 2172.00 3/4 water meter and capacity fee $1066.00</t>
  </si>
  <si>
    <t>22-41-16-34-1-AL-008</t>
  </si>
  <si>
    <t>B09-0419</t>
  </si>
  <si>
    <t>new TownhomeLt 26 unit B    (7/19/2011 1:45 PM KB)  no fee permit: sewer 2172.00 3/4 water meter and capacity fee $1066.00    Originall permitted under 824 Dylan Drive</t>
  </si>
  <si>
    <t>B09-0420</t>
  </si>
  <si>
    <t>New townhomeLt 24 unit A    (9/10/2010 3:27 PM KB)  Sewer hookup $2172.00 3/4 water meter and capacity fee $1066.00</t>
  </si>
  <si>
    <t>22-41-16-34-1-AL-004</t>
  </si>
  <si>
    <t>B09-0421</t>
  </si>
  <si>
    <t>new townhomelt 24 unit B    (9/10/2010 3:13 PM KB)  Sewer hookup fee $2172.00 3/4 water meter and capacity fee $ 1066.00    This unit is the affordable housing mitigation unit for the Daisy Bush PUD     Originally permitted under address 844 Wheatleigh Way</t>
  </si>
  <si>
    <t>22-41-16-34-1-AL-003</t>
  </si>
  <si>
    <t>BDR2009-0125</t>
  </si>
  <si>
    <t>Add connector between existing detached garage and SFD, &amp; interior remodel to den, stairway, &amp; upstairs</t>
  </si>
  <si>
    <t>22-40-16-17-2-01-053</t>
  </si>
  <si>
    <t>B09-0438</t>
  </si>
  <si>
    <t>addition to existing homeon 11/18/09 applicant submitted an addendum to the original permit that shows the decrease of square footage.</t>
  </si>
  <si>
    <t>22-40-16-06-2-12-001</t>
  </si>
  <si>
    <t>BDR2009-0127</t>
  </si>
  <si>
    <t>New Storage Shed - No Plumbing, Mecanical or Electrical</t>
  </si>
  <si>
    <t>BDR2009-0128</t>
  </si>
  <si>
    <t>22-42-16-15-1-00-004</t>
  </si>
  <si>
    <t>B09-0454</t>
  </si>
  <si>
    <t>addition/alteration of existing SF homeNULL</t>
  </si>
  <si>
    <t>22-41-16-27-3-06-003</t>
  </si>
  <si>
    <t>B09-0457</t>
  </si>
  <si>
    <t>Addition/alteration of existing homeNULL</t>
  </si>
  <si>
    <t>BDR2009-0129</t>
  </si>
  <si>
    <t>Rebuild partially burned barn &amp; add accessory residential unit</t>
  </si>
  <si>
    <t>22-42-16-10-1-04-001</t>
  </si>
  <si>
    <t>BDR2009-0130</t>
  </si>
  <si>
    <t>New single story 3-bedroom SFD w/ attached garage</t>
  </si>
  <si>
    <t>22-41-17-26-2-00-059</t>
  </si>
  <si>
    <t>BDR2009-0132</t>
  </si>
  <si>
    <t>Build 3BD, 3-1/2BA 2-Story Home w/ Garage</t>
  </si>
  <si>
    <t>22-41-16-28-3-03-004</t>
  </si>
  <si>
    <t>B09-0474</t>
  </si>
  <si>
    <t>New single familySewer fee $2049.00 3/4  water meter and capacity fee $1005.50</t>
  </si>
  <si>
    <t>22-41-16-31-4-14-091</t>
  </si>
  <si>
    <t>B09-0480</t>
  </si>
  <si>
    <t>Townhome Type F(2/21/2012 1:06 PM KB)  submitted revised plans on 2/21/2012</t>
  </si>
  <si>
    <t>22-40-16-06-2-50-047</t>
  </si>
  <si>
    <t>B09-0481</t>
  </si>
  <si>
    <t>new Townhome Type F(8/31/2011 2:03 PM KB)  Sewer Hookup $2172.00 3/4 water meter and capacity fee $1066.00    (2/21/2012 1:07 PM KB)  submitted revised plans on 2/21/2012</t>
  </si>
  <si>
    <t>22-40-16-06-2-50-048</t>
  </si>
  <si>
    <t>B09-0482</t>
  </si>
  <si>
    <t>New townhome - type F(2/21/2012 1:07 PM KB)  submitted revised plans on 2/21/2012</t>
  </si>
  <si>
    <t>22-40-16-06-2-50-049</t>
  </si>
  <si>
    <t>B09-0483</t>
  </si>
  <si>
    <t>New townhome Type F(8/31/2011 10:53 AM KB)  Sewer fee $2172.00 3/4 water meter and capacity fee $1066.00    (2/21/2012 1:08 PM KB)  submitted revised plans on 2/21/2012</t>
  </si>
  <si>
    <t>22-40-16-06-2-50-050</t>
  </si>
  <si>
    <t>B09-0484</t>
  </si>
  <si>
    <t>Townhome- Type F(8/31/2011 2:04 PM KB)  3/4 water meter and capacity fee $1110.00 sewer fee $2172.00    (2/21/2012 1:08 PM KB)  submitted revised plans on 2/21/2012</t>
  </si>
  <si>
    <t>22-40-16-06-2-50-054</t>
  </si>
  <si>
    <t>B09-0485</t>
  </si>
  <si>
    <t>new townhome- Type F(8/31/2011 2:12 PM KB)  sewer $2172.00 3/4 water capacity fee and meter $1110.00    (2/21/2012 1:09 PM KB)  submitted revised plans on 2/21/2012</t>
  </si>
  <si>
    <t>22-40-16-06-2-50-055</t>
  </si>
  <si>
    <t>B09-0486</t>
  </si>
  <si>
    <t>new townhome- type F(2/21/2012 1:10 PM KB)  submitted revised plans on 2/21/2012</t>
  </si>
  <si>
    <t>22-40-16-06-2-50-060</t>
  </si>
  <si>
    <t>B09-0487</t>
  </si>
  <si>
    <t>New townhome - type F(8/31/2011 10:50 AM KB)  Sewer $2172.00 3/4 water meter and capacity fee $ 1110.00    (2/21/2012 1:11 PM KB)  submitted revised plans on 2/21/2012</t>
  </si>
  <si>
    <t>22-40-16-06-2-50-061</t>
  </si>
  <si>
    <t>B09-0488</t>
  </si>
  <si>
    <t>New townhome- Type D(8/18/2011 10:57 AM KB)  sewer capacity fee $2172.00 3/4 water capacity and meter fee $1066.00</t>
  </si>
  <si>
    <t>22-40-16-06-2-50-045</t>
  </si>
  <si>
    <t>B09-0489</t>
  </si>
  <si>
    <t>New townhome-Type D(8/18/2011 10:57 AM KB)  Sewer capacity fee 2172.00 3/4 water meter and capacity fee $ 1066.00</t>
  </si>
  <si>
    <t>22-40-16-06-2-50-046</t>
  </si>
  <si>
    <t>B09-0490</t>
  </si>
  <si>
    <t>New Townhome-TYPE D(8/18/2011 10:09 AM KB)  Sewer fee $2172.00 3/4 water meter and capacity fee $ 1066.00</t>
  </si>
  <si>
    <t>22-40-16-06-2-50-051</t>
  </si>
  <si>
    <t>B09-0491</t>
  </si>
  <si>
    <t>New townhome -Type D(8/18/2011 10:57 AM KB)  sewer capacity fee $2172.00 3/4 water meter and capacity fee $1066.00</t>
  </si>
  <si>
    <t>22-40-16-06-2-50-052</t>
  </si>
  <si>
    <t>B09-0492</t>
  </si>
  <si>
    <t>New townhome -Type DNULL</t>
  </si>
  <si>
    <t>22-40-16-06-2-50-056</t>
  </si>
  <si>
    <t>B09-0493</t>
  </si>
  <si>
    <t>New townhome -Type D(8/31/2011 1:58 PM KB)  Sewer fee $2172.00 3/4 water meter and capacity fee $1066.00</t>
  </si>
  <si>
    <t>22-40-16-06-2-50-057</t>
  </si>
  <si>
    <t>B09-0494</t>
  </si>
  <si>
    <t>new townhome - Type D(8/17/2011 4:57 PM KB)  3/4 water capacity fee and meter fee $1066.00 sewer fee $2172.00</t>
  </si>
  <si>
    <t>22-40-16-06-2-50-058</t>
  </si>
  <si>
    <t>B09-0495</t>
  </si>
  <si>
    <t>new townhome -type D(8/17/2011 5:07 PM KB)  Sewer fee $2172.00 3/4 water meter and capacity fee $ 1066.00</t>
  </si>
  <si>
    <t>22-40-16-06-2-50-059</t>
  </si>
  <si>
    <t>BDC2009-0008</t>
  </si>
  <si>
    <t>Build well house for control &amp; chlorination equipment necessary for subdivision potable water system</t>
  </si>
  <si>
    <t>22-39-16-32-4-02-003</t>
  </si>
  <si>
    <t>BDC2009-0009</t>
  </si>
  <si>
    <t>New 30' wireless communications tower</t>
  </si>
  <si>
    <t>22-42-16-15-4-00-010</t>
  </si>
  <si>
    <t>BDR2009-0136</t>
  </si>
  <si>
    <t>Enclose 207 sf porch</t>
  </si>
  <si>
    <t>22-41-17-22-1-02-016</t>
  </si>
  <si>
    <t>BDR2009-0137</t>
  </si>
  <si>
    <t>Add an upper level to half of an existing townhome</t>
  </si>
  <si>
    <t>22-41-16-21-1-10-017</t>
  </si>
  <si>
    <t>BDR2009-0139</t>
  </si>
  <si>
    <t>add bathroom to existing 1930 one room cabin</t>
  </si>
  <si>
    <t>22-42-16-31-1-00-004</t>
  </si>
  <si>
    <t>BDR2009-0140</t>
  </si>
  <si>
    <t>New 4-bedroom, 2-story SFD w/ storage basement &amp; attached garage</t>
  </si>
  <si>
    <t>22-40-17-12-4-02-001</t>
  </si>
  <si>
    <t>BDR2009-0141</t>
  </si>
  <si>
    <t>Add pool house addition to existing SFD</t>
  </si>
  <si>
    <t>BDR2009-0143</t>
  </si>
  <si>
    <t>New detached boat house (previously permited BP05-0279)</t>
  </si>
  <si>
    <t>B09-0578</t>
  </si>
  <si>
    <t>Addition to existing single familyThe building permit fee for this project was $844.19. A credit of $631.55 from permit B05-0160 applied to this permit leaving an outstanding balance of $212.64    (1/13/2012 9:38 AM EXP)  no final inspection requested/ made closed file 1/13/12.    (3/1/2012 1:29 PM KB)  Paid $250.00 to reactivate building permit on 3/1/2012</t>
  </si>
  <si>
    <t>BDR2009-0145</t>
  </si>
  <si>
    <t>1 bedroom &amp; 2 bathroom additions to an existing SFD</t>
  </si>
  <si>
    <t>22-41-17-22-4-14-004</t>
  </si>
  <si>
    <t>BDR2009-0146</t>
  </si>
  <si>
    <t>22-40-17-12-4-01-021</t>
  </si>
  <si>
    <t>BDR2009-0147</t>
  </si>
  <si>
    <t>BDR2009-0148</t>
  </si>
  <si>
    <t>New Wash Garage</t>
  </si>
  <si>
    <t>B09-0593</t>
  </si>
  <si>
    <t>22-41-16-33-1-19-001</t>
  </si>
  <si>
    <t>BDR2009-0149</t>
  </si>
  <si>
    <t>New 3-bedroom SFD w/ attached garage</t>
  </si>
  <si>
    <t>22-40-16-20-2-17-010</t>
  </si>
  <si>
    <t>BDC2009-0011</t>
  </si>
  <si>
    <t>New Mixed Use Bldg.  Ground Level: Office &amp; Restaurant  2nd Level: 5 Residential Employee Housing Units (Bldg. A)</t>
  </si>
  <si>
    <t>22-42-16-19-2-01-001</t>
  </si>
  <si>
    <t>BDR2009-0150</t>
  </si>
  <si>
    <t>New 2-story 3-bedroom SFD w/ Attached Garage</t>
  </si>
  <si>
    <t>22-41-16-31-2-06-001</t>
  </si>
  <si>
    <t>BDR2010-0001</t>
  </si>
  <si>
    <t>2nd story bedroom, bathroom, and family room addition</t>
  </si>
  <si>
    <t>22-40-16-17-2-01-030</t>
  </si>
  <si>
    <t>BDR2010-0004</t>
  </si>
  <si>
    <t>812 sq. ft. bedroom &amp; bathroom addition to existing cabin.  Cabin and deck re-sized reduction in size offsets additional fees for new review.   Plans revised and down sized.  $100.00 plan review fee.  Original Building permit fee 498.00.  revised fee $360</t>
  </si>
  <si>
    <t>22-38-15-01-1-00-001</t>
  </si>
  <si>
    <t>B10-0024</t>
  </si>
  <si>
    <t>22-41-16-34-1-AE-005</t>
  </si>
  <si>
    <t>BDR2010-0005</t>
  </si>
  <si>
    <t>22-40-17-12-1-02-001</t>
  </si>
  <si>
    <t>BDR2010-0006</t>
  </si>
  <si>
    <t>22-40-17-12-4-01-081</t>
  </si>
  <si>
    <t>BDR2010-0007</t>
  </si>
  <si>
    <t>New 6-bedroom, 2-story SFD w/ finished basement and attached garage. 02/17/2011 Plans revised</t>
  </si>
  <si>
    <t>22-41-16-21-3-15-012</t>
  </si>
  <si>
    <t>BDC2010-0001</t>
  </si>
  <si>
    <t>Replace burned lodging cabin for guest ranch (alpine cabin)</t>
  </si>
  <si>
    <t>BDC2010-0002</t>
  </si>
  <si>
    <t>Replace burned lodging cabin for guest ranch (North Angler Cabin)</t>
  </si>
  <si>
    <t>BDC2010-0003</t>
  </si>
  <si>
    <t>Replace burned lodging cabin for guest ranch (South Angler Cabin)</t>
  </si>
  <si>
    <t>BDC2010-0004</t>
  </si>
  <si>
    <t>Replace burned lodging cabin for guest ranch (Mid Angler Cabin)</t>
  </si>
  <si>
    <t>BDR2010-0011</t>
  </si>
  <si>
    <t>96 sq. ft. addition, and interior remodel of SFD</t>
  </si>
  <si>
    <t>BDR2010-0013</t>
  </si>
  <si>
    <t>New 5-bedroom, 7 1/2 bath SFD w/ Attached Garage</t>
  </si>
  <si>
    <t>22-40-17-12-4-01-040</t>
  </si>
  <si>
    <t>BDR2010-0014</t>
  </si>
  <si>
    <t>Bathroom Addition to SFD</t>
  </si>
  <si>
    <t>22-41-17-36-2-03-002</t>
  </si>
  <si>
    <t>BDR2010-0015</t>
  </si>
  <si>
    <t>Move on Cabin for Univerisity of Michigan Summer Housing (Cabin 11)</t>
  </si>
  <si>
    <t>BDR2010-0016</t>
  </si>
  <si>
    <t>Move on Cabin for Univerisity of Michigan Summer Housing (Cabin 12)</t>
  </si>
  <si>
    <t>BDR2010-0017</t>
  </si>
  <si>
    <t>Move on Cabin for Univerisity of Michigan Summer Housing (Cabin 13)</t>
  </si>
  <si>
    <t>BDR2010-0018</t>
  </si>
  <si>
    <t>Move on Cabin for Univerisity of Michigan Summer Housing (Cabin 14)</t>
  </si>
  <si>
    <t>BDC2010-0005</t>
  </si>
  <si>
    <t>New Employee Housing Building (B)</t>
  </si>
  <si>
    <t>BDR2010-0019</t>
  </si>
  <si>
    <t>2nd story master bedroom addition to SFD</t>
  </si>
  <si>
    <t>22-40-16-18-1-04-229</t>
  </si>
  <si>
    <t>BDR2010-0020</t>
  </si>
  <si>
    <t>2nd story bedroom addition, kitchen relocation/remodel, &amp; bathroom remodel to SFD</t>
  </si>
  <si>
    <t>22-40-16-18-1-07-024</t>
  </si>
  <si>
    <t>BDR2010-0021</t>
  </si>
  <si>
    <t>Bedroom, Bathroom, and Dining Room Addition To SFD</t>
  </si>
  <si>
    <t>22-42-16-22-4-00-095</t>
  </si>
  <si>
    <t>BDR2010-0022</t>
  </si>
  <si>
    <t>New 5-bedroom, 2-story SFD W/ Attached Garage</t>
  </si>
  <si>
    <t>22-42-16-15-2-07-018</t>
  </si>
  <si>
    <t>BDR2010-0023</t>
  </si>
  <si>
    <t>New guest cabin</t>
  </si>
  <si>
    <t>22-42-16-15-3-07-012</t>
  </si>
  <si>
    <t>BDR2010-0024</t>
  </si>
  <si>
    <t>New home office cabin</t>
  </si>
  <si>
    <t>BDR2010-0025</t>
  </si>
  <si>
    <t>619 sq. ft. addition to SFD</t>
  </si>
  <si>
    <t>BDR2010-0026</t>
  </si>
  <si>
    <t>244 sq. ft. addition to SFD for hot tub</t>
  </si>
  <si>
    <t>22-41-17-34-3-13-002</t>
  </si>
  <si>
    <t>BDR2010-0027</t>
  </si>
  <si>
    <t>add garage addition with 1-bedroom &amp; 2-baths above &amp; attaching breezeway to existing SFD</t>
  </si>
  <si>
    <t>22-42-17-24-3-02-035</t>
  </si>
  <si>
    <t>B10-0091</t>
  </si>
  <si>
    <t>Single family with attached accessory(4/27/2010 4:41 PM KB)  Fees: Sewer capacity fee 2 units @$2049.00 each = $ 4098.00. 1-inch water meter and capacity fee $1629.50.   Credit from existing home that was demolished for this project. Sewer $2049.00. 3/4 water meter &amp; capacity fee $ 1005.50.</t>
  </si>
  <si>
    <t>22-41-16-34-1-29-006</t>
  </si>
  <si>
    <t>B10-0092</t>
  </si>
  <si>
    <t>detached accessory unit(4/27/2010 4:44 PM KB)  Sewer $2049.00 Water meter and capacity fee were paid for on permit B10-0091.</t>
  </si>
  <si>
    <t>BDR2010-0028</t>
  </si>
  <si>
    <t>688 sq. ft. bedroom &amp; bathroom addition to SFD</t>
  </si>
  <si>
    <t>22-42-16-10-2-07-006</t>
  </si>
  <si>
    <t>BDR2010-0029</t>
  </si>
  <si>
    <t>bedroom &amp; bathroom addition to SFD</t>
  </si>
  <si>
    <t>22-41-17-34-3-15-005</t>
  </si>
  <si>
    <t>B10-0097</t>
  </si>
  <si>
    <t>new single FamilyNULL</t>
  </si>
  <si>
    <t>22-41-16-31-4-14-090</t>
  </si>
  <si>
    <t>BDR2010-0030</t>
  </si>
  <si>
    <t>198 sq. ft. entry addition, 140 sq. ft. garage expansion, 100 sq. ft. entry covered porch, and interior remodel to SFD  12/13/10 NOTE:NEEDS AFTER-THE-FACT GEC PRIOR TO FINALS.  SEE JA</t>
  </si>
  <si>
    <t>22-42-17-24-3-02-006</t>
  </si>
  <si>
    <t>B10-0114</t>
  </si>
  <si>
    <t>22-41-16-34-4-04-029</t>
  </si>
  <si>
    <t>BDR2010-0031</t>
  </si>
  <si>
    <t>320 sq. ft. addition to SFD</t>
  </si>
  <si>
    <t>22-40-16-17-2-01-008</t>
  </si>
  <si>
    <t>BDR2010-0032</t>
  </si>
  <si>
    <t>New 3-bedroom, 2-bath SFD</t>
  </si>
  <si>
    <t>22-39-15-31-1-02-015</t>
  </si>
  <si>
    <t>BDR2010-0033</t>
  </si>
  <si>
    <t>New detached garage, 4/22/10 added storage/workshop above (not to be used as habitable space)</t>
  </si>
  <si>
    <t>BDR2010-0034</t>
  </si>
  <si>
    <t>New accessory residential unit</t>
  </si>
  <si>
    <t>BDR2010-0035</t>
  </si>
  <si>
    <t>1171 sq. ft. addition to SFD &amp; interior remodel</t>
  </si>
  <si>
    <t>22-42-16-15-4-03-023</t>
  </si>
  <si>
    <t>BDR2010-0036</t>
  </si>
  <si>
    <t>New 4-bedroom, 4-bath, 2-story SFD w/ attached garage</t>
  </si>
  <si>
    <t>22-41-17-14-3-24-015</t>
  </si>
  <si>
    <t>B10-0125</t>
  </si>
  <si>
    <t>New single family(4/21/2010 4:29 PM KB)  3/4 water meter and capacity fee</t>
  </si>
  <si>
    <t>22-41-16-34-1-AD-001</t>
  </si>
  <si>
    <t>BDC2010-0007</t>
  </si>
  <si>
    <t>Airport Restaurant Remodel</t>
  </si>
  <si>
    <t>BDC2010-0008</t>
  </si>
  <si>
    <t>New Search &amp; Rescue Storage Facility, &amp; Heliport</t>
  </si>
  <si>
    <t>22-41-16-28-3-00-030</t>
  </si>
  <si>
    <t>BDR2010-0038</t>
  </si>
  <si>
    <t>New horse barn</t>
  </si>
  <si>
    <t>22-42-16-28-2-01-005</t>
  </si>
  <si>
    <t>BDC2010-0009</t>
  </si>
  <si>
    <t>Shooting Star Employee Housing Bldg. (C)</t>
  </si>
  <si>
    <t>BDR2010-0039</t>
  </si>
  <si>
    <t>170 sq. ft. addition &amp; interior remodel to SFD</t>
  </si>
  <si>
    <t>BDR2010-0040</t>
  </si>
  <si>
    <t>Convert storage area into bathroom</t>
  </si>
  <si>
    <t>22-41-16-19-3-07-010</t>
  </si>
  <si>
    <t>BDR2010-0041</t>
  </si>
  <si>
    <t>New 3-bedroom, 3-bath SFD w/ attached garage</t>
  </si>
  <si>
    <t>BDC2010-0010</t>
  </si>
  <si>
    <t>New bus stop &amp; public restroom facility @ base of ski area</t>
  </si>
  <si>
    <t>22-42-16-19-2-00-009</t>
  </si>
  <si>
    <t>BDC2010-0011</t>
  </si>
  <si>
    <t>New well pump control building</t>
  </si>
  <si>
    <t>22-42-16-19-2-00-010</t>
  </si>
  <si>
    <t>B10-0151</t>
  </si>
  <si>
    <t>New Duplex(4/19/2010 3:53 PM KB)  No sewer fee due because of credit from existing cabin that was removed for this development. Letter in file. There is a fee for the water and sewer. Applpicant wants a 1-inch water meter and capacity fee $1629.50 and they have a credit for a 3/4  water meter and capacity fee $1005.50</t>
  </si>
  <si>
    <t>22-41-16-34-1-AD-008</t>
  </si>
  <si>
    <t>BDR2010-0053</t>
  </si>
  <si>
    <t>New ARU (accessory residential unit)</t>
  </si>
  <si>
    <t>22-41-17-13-2-05-002</t>
  </si>
  <si>
    <t>BDR2010-0054</t>
  </si>
  <si>
    <t>New SFD w/ attached garage (future ARU when main house built)</t>
  </si>
  <si>
    <t>22-41-17-13-2-00-039</t>
  </si>
  <si>
    <t>BDR2010-0055</t>
  </si>
  <si>
    <t>804 sf 1st &amp; 2nd story addition to SFD</t>
  </si>
  <si>
    <t>22-40-16-20-1-10-038</t>
  </si>
  <si>
    <t>BDR2010-0056</t>
  </si>
  <si>
    <t>552 sq. ft. addition to SFD</t>
  </si>
  <si>
    <t>22-41-17-12-3-05-004</t>
  </si>
  <si>
    <t>BDR2010-0057</t>
  </si>
  <si>
    <t>BDR2010-0058</t>
  </si>
  <si>
    <t>New 3-bedroom, 2.5-bath SFD</t>
  </si>
  <si>
    <t>22-41-17-22-3-13-001</t>
  </si>
  <si>
    <t>B10-0175</t>
  </si>
  <si>
    <t>384 Sq ft ticket/office building(5/11/2010 1:15 PM KB)  no fee permit</t>
  </si>
  <si>
    <t>BDR2010-0059</t>
  </si>
  <si>
    <t>1200 sq. ft. shop, storage, bathroom, &amp; covered porch additions to existing SFD</t>
  </si>
  <si>
    <t>22-40-17-35-2-02-001</t>
  </si>
  <si>
    <t>BDR2010-0060</t>
  </si>
  <si>
    <t>New 4-bedroom, 3-bath SFD w/ attached garage and accessory residental unit above garage.</t>
  </si>
  <si>
    <t>22-42-16-10-2-03-003</t>
  </si>
  <si>
    <t>BDR2010-0061</t>
  </si>
  <si>
    <t>BDR2010-0063</t>
  </si>
  <si>
    <t>New 4-bedroom, 4.5-bath SFD w/ attached garage</t>
  </si>
  <si>
    <t>22-40-17-12-4-01-063</t>
  </si>
  <si>
    <t>BDR2010-0064</t>
  </si>
  <si>
    <t>New 10X24 shed</t>
  </si>
  <si>
    <t>22-40-16-29-2-01-012</t>
  </si>
  <si>
    <t>BDR2010-0065</t>
  </si>
  <si>
    <t>BDR2010-0067</t>
  </si>
  <si>
    <t>New 2-bedroom, 2-bath SFD w/ attached garage (to be future accessory residential unit)</t>
  </si>
  <si>
    <t>22-40-17-24-1-00-010</t>
  </si>
  <si>
    <t>BDR2010-0068</t>
  </si>
  <si>
    <t>Studio addition to interior of SFD</t>
  </si>
  <si>
    <t>B10-0219</t>
  </si>
  <si>
    <t>Temp Modulars classroom and walkways(6/3/2010 2:07 PM KB)  No permit fee due. Sewer Capacity Fee for 214 kids x 92.00 per student = $19688.00. 3/4 water meter and capacity fee $1005.50</t>
  </si>
  <si>
    <t>BDR2010-0070</t>
  </si>
  <si>
    <t>New horse/storage barn.</t>
  </si>
  <si>
    <t>22-39-16-27-4-02-005</t>
  </si>
  <si>
    <t>BDR2010-0072</t>
  </si>
  <si>
    <t>New 2-bedroom, 1-bath accessory residential unit w/ attached garage</t>
  </si>
  <si>
    <t>22-40-17-01-1-01-020</t>
  </si>
  <si>
    <t>BDR2010-0073</t>
  </si>
  <si>
    <t>327 sq. ft. art studio addition to SFD</t>
  </si>
  <si>
    <t>BDR2010-0074</t>
  </si>
  <si>
    <t>360 sq. ft. Greatroom addition to SFD</t>
  </si>
  <si>
    <t>22-40-16-17-2-02-083</t>
  </si>
  <si>
    <t>BDR2010-0075</t>
  </si>
  <si>
    <t>Add 2021 sq. ft. of habitable, 384 non-habitable, and remodel existing SFD</t>
  </si>
  <si>
    <t>22-42-17-24-3-02-076</t>
  </si>
  <si>
    <t>BDR2010-0076</t>
  </si>
  <si>
    <t>New 1-bedroom, 1-bath SFD w/ attached garage to be furture accessory residential unit</t>
  </si>
  <si>
    <t>22-40-17-35-1-05-004</t>
  </si>
  <si>
    <t>BDR2010-0078</t>
  </si>
  <si>
    <t>New 3-bedroom, 3-bath SFD</t>
  </si>
  <si>
    <t>22-39-16-11-1-05-003</t>
  </si>
  <si>
    <t>BDR2010-0079</t>
  </si>
  <si>
    <t>BDR2010-0080</t>
  </si>
  <si>
    <t>New 4-bedroom, 5-bath SFD</t>
  </si>
  <si>
    <t>22-41-16-05-3-00-010</t>
  </si>
  <si>
    <t>B10-0255</t>
  </si>
  <si>
    <t>Detached garage/shop(1/13/2012 9:38 AM EXP)  no final inspection requested/ made closed file on 1/13/12.</t>
  </si>
  <si>
    <t>22-41-16-34-1-70-002</t>
  </si>
  <si>
    <t>B10-0264</t>
  </si>
  <si>
    <t>New single family(6/7/2010 2:50 PM KB)  Sewer capacity fee $2049.00 : Using an existing 1 inch water meter to service this single family along with another home on the lot.</t>
  </si>
  <si>
    <t>22-41-16-34-1-28-013</t>
  </si>
  <si>
    <t>BDR2010-0083</t>
  </si>
  <si>
    <t>New 5-bedroom, 6-bath SFD W/ attached garage</t>
  </si>
  <si>
    <t>22-42-17-25-2-03-002</t>
  </si>
  <si>
    <t>BDR2010-0084</t>
  </si>
  <si>
    <t>New 2-bedroom, 2-bath accessory residential unit</t>
  </si>
  <si>
    <t>B10-0269</t>
  </si>
  <si>
    <t>22-40-16-06-2-01-002</t>
  </si>
  <si>
    <t>BDR2010-0085</t>
  </si>
  <si>
    <t>206 sq. ft. dressing, master bathroom, &amp; deck addition  to existing SFD</t>
  </si>
  <si>
    <t>22-44-18-20-3-01-008</t>
  </si>
  <si>
    <t>BDR2010-0086</t>
  </si>
  <si>
    <t>New 6-bedroom, 9-bath SFD w/ attached garage</t>
  </si>
  <si>
    <t>22-40-17-12-4-01-022</t>
  </si>
  <si>
    <t>BDR2010-0087</t>
  </si>
  <si>
    <t>New 5-bedroom, 5-bath SFD w/ attached garage</t>
  </si>
  <si>
    <t>22-41-16-20-2-01-112</t>
  </si>
  <si>
    <t>BDR2010-0088</t>
  </si>
  <si>
    <t>New 5-bedroom, 6-bath SFD W/ attached garage &amp; accessory residential unit</t>
  </si>
  <si>
    <t>22-40-17-01-3-01-012</t>
  </si>
  <si>
    <t>BDR2010-0090</t>
  </si>
  <si>
    <t>Add 1-bedroom, 2-baths, and garage to existing SFD</t>
  </si>
  <si>
    <t>BDR2010-0092</t>
  </si>
  <si>
    <t>Remodel &amp; 3-bath addition to SFD  Revised on 01/05/2012 with corrections to the remodel and deck area totals.</t>
  </si>
  <si>
    <t>BDR2010-0093</t>
  </si>
  <si>
    <t>New 746 sq. ft. out building w/ no plumbing, electrical, or mechanical</t>
  </si>
  <si>
    <t>BDR2010-0094</t>
  </si>
  <si>
    <t>498 sq. ft. addition to SFD</t>
  </si>
  <si>
    <t>22-41-16-18-4-02-006</t>
  </si>
  <si>
    <t>B10-0294</t>
  </si>
  <si>
    <t>addition and alteration to existing store(8/10/2010 4:03 PM KB)  Sewr fees: 2843 sq ft of retail/100 x $23.00 per person= $653.89</t>
  </si>
  <si>
    <t>22-41-16-32-1-00-014</t>
  </si>
  <si>
    <t>BDR2010-0095</t>
  </si>
  <si>
    <t>370 sq. ft. living &amp; laundry room addition</t>
  </si>
  <si>
    <t>22-40-16-18-1-07-018</t>
  </si>
  <si>
    <t>BDR2010-0096</t>
  </si>
  <si>
    <t>941 sq. ft. Master bedroom &amp; entry bumpout to existing SFD</t>
  </si>
  <si>
    <t>B10-0301</t>
  </si>
  <si>
    <t>Addition to existing single family(1/13/2012 9:36 AM EXP)  no final inspection requested/made clsoed account 1/13/12</t>
  </si>
  <si>
    <t>22-40-16-06-2-04-001</t>
  </si>
  <si>
    <t>BDR2010-0097</t>
  </si>
  <si>
    <t>New 2-bedroom, 2-bath accessory residential unit with seasonal storage underneath</t>
  </si>
  <si>
    <t>22-41-17-23-2-01-004</t>
  </si>
  <si>
    <t>B10-0313</t>
  </si>
  <si>
    <t>Addition to existing home(7/16/2010 1:41 PM KB)  Garage and rec room addition</t>
  </si>
  <si>
    <t>BDR2010-0100</t>
  </si>
  <si>
    <t>New 2-bedroom, 2-bath SFD,  revised with  a 227 sq ft increase in area.  No longer an ARU.</t>
  </si>
  <si>
    <t>22-40-17-03-2-00-004</t>
  </si>
  <si>
    <t>BDR2010-0101</t>
  </si>
  <si>
    <t>Interior remodel, 312 sq. ft. connector between garage and SFD, solarium &amp; front entry change</t>
  </si>
  <si>
    <t>22-40-16-29-2-01-001</t>
  </si>
  <si>
    <t>BDR2010-0102</t>
  </si>
  <si>
    <t>New 8-bedroom 6-bath SFD</t>
  </si>
  <si>
    <t>22-42-17-24-1-01-016</t>
  </si>
  <si>
    <t>BDR2010-0104</t>
  </si>
  <si>
    <t>New 2-bedroom, 2-bath SFD</t>
  </si>
  <si>
    <t>22-45-12-21-2-01-007</t>
  </si>
  <si>
    <t>BDR2010-0105</t>
  </si>
  <si>
    <t>B10-0342</t>
  </si>
  <si>
    <t>New upper deck and entry(1/13/2012 9:35 AM EXP)  no final inspection requested/made closed 1/13/12.</t>
  </si>
  <si>
    <t>22-41-16-34-1-63-002</t>
  </si>
  <si>
    <t>BDR2010-0106</t>
  </si>
  <si>
    <t>192 sq. ft. living room addition to SFD</t>
  </si>
  <si>
    <t>BDR2010-0108</t>
  </si>
  <si>
    <t>New 4-bedroom, 6-bath SFD</t>
  </si>
  <si>
    <t>22-41-17-36-1-04-003</t>
  </si>
  <si>
    <t>BDC2010-0016</t>
  </si>
  <si>
    <t>Convert existing commercial office space into deli, cafe, and salon</t>
  </si>
  <si>
    <t>22-40-16-17-2-15-001</t>
  </si>
  <si>
    <t>BDR2010-0110</t>
  </si>
  <si>
    <t>180 sq. ft. addition to existing single family dwelling</t>
  </si>
  <si>
    <t>22-41-17-34-2-00-008</t>
  </si>
  <si>
    <t>BDR2010-0111</t>
  </si>
  <si>
    <t>450 sq. ft. addition to existing SFD</t>
  </si>
  <si>
    <t>BDR2010-0112</t>
  </si>
  <si>
    <t>BDR2010-0115</t>
  </si>
  <si>
    <t>New detached storage building</t>
  </si>
  <si>
    <t>BDR2010-0116</t>
  </si>
  <si>
    <t>New 1-bedroom, 1-bath accessory residential unit</t>
  </si>
  <si>
    <t>BDR2010-0117</t>
  </si>
  <si>
    <t>New 6-bedroom, 8 bath SFD</t>
  </si>
  <si>
    <t>22-41-16-21-1-19-003</t>
  </si>
  <si>
    <t>BDR2010-0118</t>
  </si>
  <si>
    <t>New barn</t>
  </si>
  <si>
    <t>BDR2010-0119</t>
  </si>
  <si>
    <t>New 3-bedroom, 3.5 bath SFD w/ attached garage</t>
  </si>
  <si>
    <t>22-42-16-28-4-06-003</t>
  </si>
  <si>
    <t>BDR2010-0120</t>
  </si>
  <si>
    <t>465 sq. ft. bedroom &amp; bathroom addition to existing cabin</t>
  </si>
  <si>
    <t>22-45-13-26-3-00-005</t>
  </si>
  <si>
    <t>BDR2010-0121</t>
  </si>
  <si>
    <t>New 6-bedroom, 8-bathroom SFD W/ attached garage</t>
  </si>
  <si>
    <t>22-42-17-25-1-01-030</t>
  </si>
  <si>
    <t>BDR2010-0122</t>
  </si>
  <si>
    <t>Partial remodel of interior &amp; 2nd floor addition over existing garage to SFD</t>
  </si>
  <si>
    <t>22-40-17-01-2-03-003</t>
  </si>
  <si>
    <t>BDR2010-0126</t>
  </si>
  <si>
    <t>504 sq. ft. addition to existing SFD</t>
  </si>
  <si>
    <t>BDR2010-0127</t>
  </si>
  <si>
    <t>New pole barn to be used as an agricultural building</t>
  </si>
  <si>
    <t>22-40-17-35-2-06-005</t>
  </si>
  <si>
    <t>BDR2010-0128</t>
  </si>
  <si>
    <t>New 5-bedroom, 5-bath single family dwelling</t>
  </si>
  <si>
    <t>22-41-17-21-2-03-001</t>
  </si>
  <si>
    <t>BDR2010-0129</t>
  </si>
  <si>
    <t>BDR2010-0130</t>
  </si>
  <si>
    <t>Add 37 sq. ft. elevator shaft to existing townhome</t>
  </si>
  <si>
    <t>22-41-17-14-1-03-001</t>
  </si>
  <si>
    <t>BDC2010-0017</t>
  </si>
  <si>
    <t>AT&amp;T Mobility Cell Phone Tower/Bldg.</t>
  </si>
  <si>
    <t>BDR2010-0131</t>
  </si>
  <si>
    <t>New 2-car garage with 1-bedroom accessory residential unit above</t>
  </si>
  <si>
    <t>BDR2010-0132</t>
  </si>
  <si>
    <t>BDR2010-0133</t>
  </si>
  <si>
    <t>Add shop onto existing hay shed, Renewal of expired/withdrawn permit BP2007-0316</t>
  </si>
  <si>
    <t>B10-0431</t>
  </si>
  <si>
    <t>22-41-16-33-4-10-022</t>
  </si>
  <si>
    <t>BDR2010-0136</t>
  </si>
  <si>
    <t>New 3-bedroom, 2-bath SFD to be used for employee housing</t>
  </si>
  <si>
    <t>BDR2010-0137</t>
  </si>
  <si>
    <t>New 2-bedroom, 2-bath accessory residential unit w/ attached garage</t>
  </si>
  <si>
    <t>BDC2010-0018</t>
  </si>
  <si>
    <t>Add storage area/shed to existing retaining wall (finaled BP2008-0187)</t>
  </si>
  <si>
    <t>BDR2010-0139</t>
  </si>
  <si>
    <t>Interior remodel &amp; 2500 sq. ft. addition to SFD</t>
  </si>
  <si>
    <t>22-42-16-19-4-02-001</t>
  </si>
  <si>
    <t>BDR2010-0141</t>
  </si>
  <si>
    <t>New 2-bedroom, 2-bath SFD to be future accessory residential unit</t>
  </si>
  <si>
    <t>22-42-17-35-2-00-034</t>
  </si>
  <si>
    <t>BDR2010-0143</t>
  </si>
  <si>
    <t>361 sq. ft. bedroom &amp; bathroom addition, &amp; interior remodel to SFD</t>
  </si>
  <si>
    <t>BDR2010-0144</t>
  </si>
  <si>
    <t>Add 3rd bay to garage, 3 new dormers, &amp; remodel interior of existing SFD</t>
  </si>
  <si>
    <t>22-41-17-14-2-18-003</t>
  </si>
  <si>
    <t>B10-0482</t>
  </si>
  <si>
    <t>New Public Restroom &amp; Visitor Facility(3/2/2011 12:49 PM KB)  no fee permit</t>
  </si>
  <si>
    <t>22-41-16-27-3-22-001</t>
  </si>
  <si>
    <t>B10-0483</t>
  </si>
  <si>
    <t>Addition/alteration to existing homeNULL</t>
  </si>
  <si>
    <t>22-41-16-34-1-02-007</t>
  </si>
  <si>
    <t>BDR2010-0146</t>
  </si>
  <si>
    <t>Detached garage 576 Sq Ft  Permit fees have been collected with permit for dwelling on permit BDR2010-0141</t>
  </si>
  <si>
    <t>BDR2010-0147</t>
  </si>
  <si>
    <t>22-41-17-27-2-00-029</t>
  </si>
  <si>
    <t>BDR2011-0001</t>
  </si>
  <si>
    <t>Add 3395 sq. ft. bedroom &amp; 2-bathrooms, a 1442 sq. ft. garage, and remodel SFD</t>
  </si>
  <si>
    <t>22-42-16-10-3-10-005</t>
  </si>
  <si>
    <t>BDR2011-0002</t>
  </si>
  <si>
    <t>535 sq. ft. bed/bath addition to SFD</t>
  </si>
  <si>
    <t>BDR2011-0003</t>
  </si>
  <si>
    <t>Add a 240sq. ft. sun/studio room to SFD</t>
  </si>
  <si>
    <t>BDR2011-0005</t>
  </si>
  <si>
    <t>Demo and replace 95% of existing dwelling</t>
  </si>
  <si>
    <t>22-41-17-21-3-00-017</t>
  </si>
  <si>
    <t>BDR2011-0006</t>
  </si>
  <si>
    <t>752 sq ft addition to an existing ARU</t>
  </si>
  <si>
    <t>22-39-16-11-1-05-001</t>
  </si>
  <si>
    <t>BDC2011-0002</t>
  </si>
  <si>
    <t>Remodel commercial space into a bakery</t>
  </si>
  <si>
    <t>22-40-16-17-4-16-002</t>
  </si>
  <si>
    <t>BDR2011-0007</t>
  </si>
  <si>
    <t>22-40-17-12-4-01-076</t>
  </si>
  <si>
    <t>BDR2011-0008</t>
  </si>
  <si>
    <t>Add 96 sq. ft., and remodel existing kitchen to SFD</t>
  </si>
  <si>
    <t>BDR2011-0009</t>
  </si>
  <si>
    <t>New garage</t>
  </si>
  <si>
    <t>22-40-16-29-2-01-003</t>
  </si>
  <si>
    <t>BDR2011-0010</t>
  </si>
  <si>
    <t>Convert 179 sf deck into living space and add new 72 sf deck</t>
  </si>
  <si>
    <t>BDR2011-0012</t>
  </si>
  <si>
    <t>New 1-bedroom, 1 1/2-bath accessory residential unit</t>
  </si>
  <si>
    <t>BDR2011-0013</t>
  </si>
  <si>
    <t>Add 694 SF living space and 64 SF storage to existing SFD</t>
  </si>
  <si>
    <t>BDR2011-0014</t>
  </si>
  <si>
    <t>New 2-story 4-bedroom, 6-bath SFD w/ attached garage</t>
  </si>
  <si>
    <t>22-40-17-12-4-01-061</t>
  </si>
  <si>
    <t>BDC2011-0003</t>
  </si>
  <si>
    <t>National Museum of Wildlife Art: Stone Veneer Masonry and Seismic Retrofit</t>
  </si>
  <si>
    <t>BDC2011-0004</t>
  </si>
  <si>
    <t>2nd floor training room</t>
  </si>
  <si>
    <t>BDC2011-0005</t>
  </si>
  <si>
    <t>Move firewall opening 9 feet to the east, &amp; move office to the west wall</t>
  </si>
  <si>
    <t>22-39-16-23-3-03-005</t>
  </si>
  <si>
    <t>BDC2011-0006</t>
  </si>
  <si>
    <t>New commercial building for manufacturing stress guages,  office support space, &amp; associated storage</t>
  </si>
  <si>
    <t>BDR2011-0016</t>
  </si>
  <si>
    <t>New 1-bed, 2-bath SFD w/ attached garage</t>
  </si>
  <si>
    <t>22-40-17-13-1-01-033</t>
  </si>
  <si>
    <t>BDR2011-0017</t>
  </si>
  <si>
    <t>1.5 bath addition (1217 SF) &amp; interior remodel to SFD.  entire house reduced to foundation walls. Fees calculated as new construction per building official</t>
  </si>
  <si>
    <t>22-41-17-11-1-11-001</t>
  </si>
  <si>
    <t>BDR2011-0018</t>
  </si>
  <si>
    <t>2-room addition to existing log cabin (468 sq ft)</t>
  </si>
  <si>
    <t>22-42-13-07-3-00-002</t>
  </si>
  <si>
    <t>BDR2011-0019</t>
  </si>
  <si>
    <t>2nd story bump-out addition to existing SFD (72 sq ft)</t>
  </si>
  <si>
    <t>BDR2011-0020</t>
  </si>
  <si>
    <t>Add 443 sq. ft. to 2nd story, and remodel existing SFD</t>
  </si>
  <si>
    <t>22-40-16-17-2-02-111</t>
  </si>
  <si>
    <t>B11-0089</t>
  </si>
  <si>
    <t>new single family(4/6/2011 10:38 AM KB)  Sewer fee $2049.00    (4/8/2011 1:09 PM KB)  3/4 water mater and capacity fee $1005.50    (4/12/2011 10:55 AM KB)  Sewer and water credit from existing Daisy Bush home $ 3054.50</t>
  </si>
  <si>
    <t>22-41-16-34-1-AD-006</t>
  </si>
  <si>
    <t>BDR2011-0021</t>
  </si>
  <si>
    <t>New 3-bedroom, 5-bath SFD w/ attached garage</t>
  </si>
  <si>
    <t>22-42-17-24-3-02-024</t>
  </si>
  <si>
    <t>BDR2011-0022</t>
  </si>
  <si>
    <t>BDR2011-0023</t>
  </si>
  <si>
    <t>22-39-15-31-1-00-005</t>
  </si>
  <si>
    <t>BDR2011-0024</t>
  </si>
  <si>
    <t>22-40-17-01-4-01-016</t>
  </si>
  <si>
    <t>BDR2011-0026</t>
  </si>
  <si>
    <t>22-45-13-07-1-00-006</t>
  </si>
  <si>
    <t>B11-0118</t>
  </si>
  <si>
    <t>deck estension @southeast corner of sidewindersNULL</t>
  </si>
  <si>
    <t>22-41-16-32-1-09-009</t>
  </si>
  <si>
    <t>B11-0120</t>
  </si>
  <si>
    <t>deck/ outside Waiting area for restaurantNULL</t>
  </si>
  <si>
    <t>22-41-16-32-4-19-003</t>
  </si>
  <si>
    <t>B11-0123</t>
  </si>
  <si>
    <t>townhome(4/28/2011 2:48 PM KB)  No building permit fee due. 3/4 water meter and capacity fee $1005.50</t>
  </si>
  <si>
    <t>22-41-16-34-1-AJ-005</t>
  </si>
  <si>
    <t>B11-0124</t>
  </si>
  <si>
    <t>New townhome(4/28/2011 2:36 PM KB)  No building permit fee due. Sewer $2049.00 3/4 water meter and capacity fee $1005.50</t>
  </si>
  <si>
    <t>22-41-16-34-1-AJ-006</t>
  </si>
  <si>
    <t>B11-0125</t>
  </si>
  <si>
    <t>New townhome(4/28/2011 2:53 PM KB)  No building permit fee due. Sewer $2049.00. 3/4 meter and water capacity fee $1005.50</t>
  </si>
  <si>
    <t>22-41-16-34-1-AJ-001</t>
  </si>
  <si>
    <t>B11-0126</t>
  </si>
  <si>
    <t>new townhome(4/28/2011 2:50 PM KB)  No building permit fee due/ 3/4 water meter and capacity fee $1005.50</t>
  </si>
  <si>
    <t>22-41-16-34-1-AJ-002</t>
  </si>
  <si>
    <t>BDR2011-0027</t>
  </si>
  <si>
    <t>BDR2011-0028</t>
  </si>
  <si>
    <t>480 sq. ft. art studio addition to SFD</t>
  </si>
  <si>
    <t>22-39-16-01-3-00-010</t>
  </si>
  <si>
    <t>BDR2011-0029</t>
  </si>
  <si>
    <t>New 3-bedroom, 4.5-bath SFD w/ attached garage</t>
  </si>
  <si>
    <t>22-41-16-21-2-15-005</t>
  </si>
  <si>
    <t>BDR2011-0030</t>
  </si>
  <si>
    <t>22-42-16-27-4-12-018</t>
  </si>
  <si>
    <t>BDC2011-0007</t>
  </si>
  <si>
    <t>Scale building.  Please Note: square footage was taken from DEV 07-0007 files where an additional 3550 sf is available on-site.</t>
  </si>
  <si>
    <t>BDR2011-0032</t>
  </si>
  <si>
    <t>New detached shop, unheated.</t>
  </si>
  <si>
    <t>BDR2011-0034</t>
  </si>
  <si>
    <t>New 4-bedroom, 4.5 bath SFD w/ attached garage</t>
  </si>
  <si>
    <t>22-41-16-05-4-00-002</t>
  </si>
  <si>
    <t>BDR2011-0035</t>
  </si>
  <si>
    <t>New 4-bedroom, 3.5 bath SFD w/ attached garage</t>
  </si>
  <si>
    <t>22-42-17-25-2-02-016</t>
  </si>
  <si>
    <t>BDR2011-0036</t>
  </si>
  <si>
    <t>22-42-16-15-2-07-007</t>
  </si>
  <si>
    <t>BDR2011-0037</t>
  </si>
  <si>
    <t>BDR2011-0039</t>
  </si>
  <si>
    <t>New storage building</t>
  </si>
  <si>
    <t>BDR2011-0040</t>
  </si>
  <si>
    <t>22-41-16-21-3-15-003</t>
  </si>
  <si>
    <t>BDC2011-0008</t>
  </si>
  <si>
    <t>Addition of 1093 sq. ft. to 2nd story, enclose existing porch area, &amp; remodel 4439 sq. ft. of existing commercial bldg. kids ranch (unit #7)</t>
  </si>
  <si>
    <t>22-42-17-24-4-33-006</t>
  </si>
  <si>
    <t>BDR2011-0042</t>
  </si>
  <si>
    <t>New 2-bedroom, 2.5 bath SFD w/ attached garage</t>
  </si>
  <si>
    <t>22-40-17-12-4-01-039</t>
  </si>
  <si>
    <t>BDR2011-0043</t>
  </si>
  <si>
    <t>New 2-bedroom, 2-bath SFD (accessory residential unit)</t>
  </si>
  <si>
    <t>BDR2011-0046</t>
  </si>
  <si>
    <t>91 sq. ft. addition &amp; remodel to SFD</t>
  </si>
  <si>
    <t>22-42-17-24-3-02-029</t>
  </si>
  <si>
    <t>BDR2011-0047</t>
  </si>
  <si>
    <t>New 3-bedroom, 4-full, 2-half bath SFD w/ attached garage</t>
  </si>
  <si>
    <t>22-42-17-24-3-02-011</t>
  </si>
  <si>
    <t>BDR2011-0048</t>
  </si>
  <si>
    <t>320 sq. ft. addition to SFD (fill in portion of existing deck)</t>
  </si>
  <si>
    <t>22-41-17-14-1-19-013</t>
  </si>
  <si>
    <t>BDR2011-0049</t>
  </si>
  <si>
    <t>Demo attached garage, &amp; rebuild w/ a 2-bedroom, 2-bath addition above</t>
  </si>
  <si>
    <t>22-42-16-10-1-05-004</t>
  </si>
  <si>
    <t>B11-0168</t>
  </si>
  <si>
    <t>Addition to SF homeNULL</t>
  </si>
  <si>
    <t>BDR2011-0050</t>
  </si>
  <si>
    <t>Interior remodel and addition to a S/F residence</t>
  </si>
  <si>
    <t>22-44-18-32-2-01-003</t>
  </si>
  <si>
    <t>B11-0176</t>
  </si>
  <si>
    <t>New Townhome(5/17/2011 3:25 PM KB)  Sewer connect $2049.00 3/4 water meter and capacity fee $1005.50</t>
  </si>
  <si>
    <t>22-41-16-34-1-AJ-008</t>
  </si>
  <si>
    <t>B11-0177</t>
  </si>
  <si>
    <t>22-41-16-34-1-AJ-007</t>
  </si>
  <si>
    <t>B11-0178</t>
  </si>
  <si>
    <t>New townhome(5/17/2011 4:29 PM KB)  Sewer fee $2049.00 3/4 water and meter fee $1005.50</t>
  </si>
  <si>
    <t>22-41-16-34-1-AJ-004</t>
  </si>
  <si>
    <t>B11-0179</t>
  </si>
  <si>
    <t>22-41-16-34-1-AJ-003</t>
  </si>
  <si>
    <t>B11-0186</t>
  </si>
  <si>
    <t>New Townhome(5/19/2011 2:49 PM KB)  No building permit fee. Sewer fee $2172.00: 3/4 water and meter fee $1066.00</t>
  </si>
  <si>
    <t>22-41-16-34-1-AL-002</t>
  </si>
  <si>
    <t>B11-0187</t>
  </si>
  <si>
    <t>New townhome(5/19/2011 2:58 PM KB)  no permit fee: sewer $2172.00 3/4 water meter and capacity fee $1066.00</t>
  </si>
  <si>
    <t>22-41-16-34-1-AL-001</t>
  </si>
  <si>
    <t>B11-0188</t>
  </si>
  <si>
    <t>New townhome(5/19/2011 2:58 PM KB)  No building permit fee: Sewer connect $2172.00: 3/4 water meter and capacity fee $1066.00</t>
  </si>
  <si>
    <t>22-41-16-34-1-AL-006</t>
  </si>
  <si>
    <t>B11-0189</t>
  </si>
  <si>
    <t>New Townhome(5/19/2011 3:03 PM KB)  No fee permit: Sewer fee $2172.00 3/4 water meter and capacity fee $1066.00</t>
  </si>
  <si>
    <t>22-41-16-34-1-AL-005</t>
  </si>
  <si>
    <t>BDC2011-0009</t>
  </si>
  <si>
    <t>Remodel- Install New Kitchen Hood</t>
  </si>
  <si>
    <t>22-41-17-22-3-00-015</t>
  </si>
  <si>
    <t>BDR2011-0054</t>
  </si>
  <si>
    <t>2 bedroom addition to SFD</t>
  </si>
  <si>
    <t>22-41-16-17-3-04-002</t>
  </si>
  <si>
    <t>B11-0200</t>
  </si>
  <si>
    <t>demo/rebuild existing home(5/25/2011 1:41 PM KB)  Demo existing home down to the foundation and rebuilding.</t>
  </si>
  <si>
    <t>22-41-16-33-1-37-001</t>
  </si>
  <si>
    <t>BDR2011-0055</t>
  </si>
  <si>
    <t>Single Family Residence Addition and Remodel.</t>
  </si>
  <si>
    <t>22-41-16-30-2-06-005</t>
  </si>
  <si>
    <t>BDR2011-0056</t>
  </si>
  <si>
    <t>Interior remodel of and addition to a single family residence</t>
  </si>
  <si>
    <t>22-41-17-27-1-01-007</t>
  </si>
  <si>
    <t>BDR2011-0057</t>
  </si>
  <si>
    <t>New Single Family Residence (3 BDR, 2.5 Bath)</t>
  </si>
  <si>
    <t>22-42-16-27-2-27-001</t>
  </si>
  <si>
    <t>BDR2011-0058</t>
  </si>
  <si>
    <t>New Guest House</t>
  </si>
  <si>
    <t>BDR2011-0059</t>
  </si>
  <si>
    <t>Single Family Residence, Attached Garage and ARU</t>
  </si>
  <si>
    <t>22-42-17-25-1-01-034</t>
  </si>
  <si>
    <t>BDR2011-0060</t>
  </si>
  <si>
    <t>Single Family Interior Remodel</t>
  </si>
  <si>
    <t>22-41-17-21-1-00-001</t>
  </si>
  <si>
    <t>BDR2011-0061</t>
  </si>
  <si>
    <t>Single Family Residence with Attached Garage and ARU  Revised 10/31/11 Fireplace added to master bedroom.</t>
  </si>
  <si>
    <t>22-42-15-09-4-00-003</t>
  </si>
  <si>
    <t>B11-0223</t>
  </si>
  <si>
    <t>New townhome(6/6/2011 2:54 PM KB)  No permit fee due. sewer fee $2049.00 3/4 water capacity fee and meter fee $ 1005.50</t>
  </si>
  <si>
    <t>22-41-16-34-1-AJ-012</t>
  </si>
  <si>
    <t>B11-0224</t>
  </si>
  <si>
    <t>new townhome(6/6/2011 2:57 PM KB)  No fee permit: sewer fee $2049.00 3/4 water meter and capacity fee $1005.50</t>
  </si>
  <si>
    <t>22-41-16-34-1-AJ-011</t>
  </si>
  <si>
    <t>BDR2011-0063</t>
  </si>
  <si>
    <t>New Single Family Home with Attached Garage</t>
  </si>
  <si>
    <t>22-40-16-19-3-00-027</t>
  </si>
  <si>
    <t>BDC2011-0010</t>
  </si>
  <si>
    <t>New Juvenile Crisis Shelter</t>
  </si>
  <si>
    <t>22-40-16-17-1-00-011</t>
  </si>
  <si>
    <t>BDR2011-0064</t>
  </si>
  <si>
    <t>New Single Family Reisdence</t>
  </si>
  <si>
    <t>22-41-17-22-4-14-006</t>
  </si>
  <si>
    <t>BDR2011-0065</t>
  </si>
  <si>
    <t>Single Family Residence with Attached Garage</t>
  </si>
  <si>
    <t>22-41-17-26-2-06-002</t>
  </si>
  <si>
    <t>BDR2011-0066</t>
  </si>
  <si>
    <t>New Single Family Residence</t>
  </si>
  <si>
    <t>22-41-17-22-3-12-007</t>
  </si>
  <si>
    <t>BDR2011-0069</t>
  </si>
  <si>
    <t>ARU</t>
  </si>
  <si>
    <t>B11-0245</t>
  </si>
  <si>
    <t>New single family(7/20/2011 3:48 PM KB)  Sewer $2049.00 3/4 water meter and capacity fee $1005.50</t>
  </si>
  <si>
    <t>22-41-16-34-1-AE-001</t>
  </si>
  <si>
    <t>BDR2011-0070</t>
  </si>
  <si>
    <t>New Guest House with Attached Garage &amp; Kitchen Remodel.</t>
  </si>
  <si>
    <t>BDR2011-0071</t>
  </si>
  <si>
    <t>Solarium</t>
  </si>
  <si>
    <t>BDR2011-0072</t>
  </si>
  <si>
    <t>Addition to Single Family Residence</t>
  </si>
  <si>
    <t>22-41-16-30-2-06-004</t>
  </si>
  <si>
    <t>BDR2011-0073</t>
  </si>
  <si>
    <t>22-42-16-27-2-31-007</t>
  </si>
  <si>
    <t>BDR2011-0074</t>
  </si>
  <si>
    <t>Accessory Building- Barn</t>
  </si>
  <si>
    <t>BDR2011-0075</t>
  </si>
  <si>
    <t>Accessory Building</t>
  </si>
  <si>
    <t>BDR2011-0076</t>
  </si>
  <si>
    <t>New Single Family Residence with Attached Garage</t>
  </si>
  <si>
    <t>22-44-18-20-3-10-004</t>
  </si>
  <si>
    <t>BDR2011-0077</t>
  </si>
  <si>
    <t>Interior Remodel of Garage for ARU</t>
  </si>
  <si>
    <t>BDR2011-0078</t>
  </si>
  <si>
    <t>Remodel Single Family Home with Attached Garage</t>
  </si>
  <si>
    <t>22-41-17-25-4-00-035</t>
  </si>
  <si>
    <t>BDR2011-0079</t>
  </si>
  <si>
    <t>22-40-16-19-2-00-015</t>
  </si>
  <si>
    <t>BDR2011-0080</t>
  </si>
  <si>
    <t>Guest House</t>
  </si>
  <si>
    <t>BDC2011-0011</t>
  </si>
  <si>
    <t>Replace existing roof</t>
  </si>
  <si>
    <t>BDR2011-0081</t>
  </si>
  <si>
    <t>Small addition- Mudroom Entrance and 1 Bedroom</t>
  </si>
  <si>
    <t>BDR2011-0082</t>
  </si>
  <si>
    <t>Addition to a single family residence</t>
  </si>
  <si>
    <t>22-42-17-24-3-02-135</t>
  </si>
  <si>
    <t>B11-0275</t>
  </si>
  <si>
    <t>New townhome(7/6/2011 2:16 PM KB)  no fee permit Sewer $2049.00 3/4 water meter and capacity fee $ 1005.50</t>
  </si>
  <si>
    <t>22-41-16-34-1-AJ-009</t>
  </si>
  <si>
    <t>B11-0276</t>
  </si>
  <si>
    <t>New Townhome(7/6/2011 2:22 PM KB)  No fee permit sewer $2049.00 3/4 water meter and capacity fee $1005.50</t>
  </si>
  <si>
    <t>22-41-16-34-1-AJ-010</t>
  </si>
  <si>
    <t>BDR2011-0083</t>
  </si>
  <si>
    <t>New Barn, Rec Room, ARU.  11/28/11 Plans revised.  Habitable area increasaed by 1136 sqft from 1458 to 2594.  Garage area reduced by 1206 sqft from 2690 to 1484.</t>
  </si>
  <si>
    <t>22-40-17-01-2-04-001</t>
  </si>
  <si>
    <t>BDR2011-0084</t>
  </si>
  <si>
    <t>New Pole Barn-replacing exisiting outbuilding</t>
  </si>
  <si>
    <t>22-40-16-17-3-00-007</t>
  </si>
  <si>
    <t>BDR2011-0085</t>
  </si>
  <si>
    <t>Shed</t>
  </si>
  <si>
    <t>BDR2011-0086</t>
  </si>
  <si>
    <t>Addition to an Accessory Residential Unit</t>
  </si>
  <si>
    <t>BDR2011-0087</t>
  </si>
  <si>
    <t>Garage</t>
  </si>
  <si>
    <t>BDR2011-0088</t>
  </si>
  <si>
    <t>Addition to Single Family Home   Revised on 11/23/11 adding 40 square feet to the mud room area.</t>
  </si>
  <si>
    <t>22-41-17-11-1-01-011</t>
  </si>
  <si>
    <t>BDR2011-0089</t>
  </si>
  <si>
    <t>BDR2011-0090</t>
  </si>
  <si>
    <t>22-42-16-27-3-02-026</t>
  </si>
  <si>
    <t>BDR2011-0091</t>
  </si>
  <si>
    <t>BDR2011-0092</t>
  </si>
  <si>
    <t>B11-0316</t>
  </si>
  <si>
    <t>Demo existing home and build NSF(9/22/2011 1:21 PM KB)  no fee permit    (2/14/2012 10:58 AM KB)  water credit for 3/4 water meter and capacity fee. Sewer capacity fee credit from existing home the was demolished.</t>
  </si>
  <si>
    <t>22-41-16-33-1-31-008</t>
  </si>
  <si>
    <t>B11-0318</t>
  </si>
  <si>
    <t>Addition to existing library(9/13/2011 9:55 AM KB)  No fee permit: sewer capacity fee $8145.00, breakdown of the fees are in the file. No increase of the water meter per Peggy Gilday.    (11/22/2011 10:57 AM KB)  6 inch sewer tap.fees collected  by public works    (3/15/2012 08:42  AD)    DRC approved canopy changes 3/14/12</t>
  </si>
  <si>
    <t>22-41-16-33-3-00-003</t>
  </si>
  <si>
    <t>B11-0321</t>
  </si>
  <si>
    <t>addition/alteration to existing homeNULL</t>
  </si>
  <si>
    <t>22-40-16-05-2-04-005</t>
  </si>
  <si>
    <t>B11-0322</t>
  </si>
  <si>
    <t>New single family(9/1/2011 2:03 PM KB)  Sewer fee $2172.00: 1 in water meter and capacity fee $ 1727.00    (9/1/2011 2:07 PM KB)  Mitigation work bond for $3402.50</t>
  </si>
  <si>
    <t>22-41-16-28-4-00-006</t>
  </si>
  <si>
    <t>BDC2011-0013</t>
  </si>
  <si>
    <t>Conversion of a bathroom into a space housing a kiln.</t>
  </si>
  <si>
    <t>BDR2011-0094</t>
  </si>
  <si>
    <t>Finish basement 2</t>
  </si>
  <si>
    <t>BDR2011-0096</t>
  </si>
  <si>
    <t>22-41-17-01-4-04-004</t>
  </si>
  <si>
    <t>BDR2011-0097</t>
  </si>
  <si>
    <t>Single Family Residence Bedroom Suite Addition</t>
  </si>
  <si>
    <t>22-42-16-22-4-00-040</t>
  </si>
  <si>
    <t>BDR2011-0098</t>
  </si>
  <si>
    <t>Relocation of existing garage/guest house</t>
  </si>
  <si>
    <t>BDC2011-0014</t>
  </si>
  <si>
    <t>New Public Restroom</t>
  </si>
  <si>
    <t>22-40-16-27-3-00-003</t>
  </si>
  <si>
    <t>BDR2011-0099</t>
  </si>
  <si>
    <t>Construction of new workshop</t>
  </si>
  <si>
    <t>BDR2011-0100</t>
  </si>
  <si>
    <t>New  Detached Garage</t>
  </si>
  <si>
    <t>BDR2011-0101</t>
  </si>
  <si>
    <t>New Single Family Residence with attached garage.</t>
  </si>
  <si>
    <t>22-42-16-28-1-12-004</t>
  </si>
  <si>
    <t>BDC2011-0015</t>
  </si>
  <si>
    <t>Small Office Room Addition</t>
  </si>
  <si>
    <t>BDR2011-0102</t>
  </si>
  <si>
    <t>22-45-12-21-2-00-013</t>
  </si>
  <si>
    <t>BDR2011-0103</t>
  </si>
  <si>
    <t>New Single Family Residence/Guest House</t>
  </si>
  <si>
    <t>22-45-13-20-3-01-001</t>
  </si>
  <si>
    <t>BDR2011-0105</t>
  </si>
  <si>
    <t>Added Bathroom/Bedroom Space/loft to existing structure.</t>
  </si>
  <si>
    <t>22-41-17-23-1-08-002</t>
  </si>
  <si>
    <t>BDR2011-0106</t>
  </si>
  <si>
    <t>22-39-15-31-1-04-002</t>
  </si>
  <si>
    <t>B11-0353</t>
  </si>
  <si>
    <t>Mutiple Stall Garage(8/23/2011 10:46 AM KB)  No fee permit</t>
  </si>
  <si>
    <t>22-41-16-34-1-AJ-013</t>
  </si>
  <si>
    <t>B11-0354</t>
  </si>
  <si>
    <t>mutiple stall garage(8/23/2011 10:46 AM KB)  no fee permit</t>
  </si>
  <si>
    <t>B11-0359</t>
  </si>
  <si>
    <t>new single family(10/4/2011 9:59 AM KB)  3/4 water meter and capacity fee $ 1066.00: Sewer Capacity fee $ 2172.00</t>
  </si>
  <si>
    <t>BDR2011-0109</t>
  </si>
  <si>
    <t>Addition to existing guest house</t>
  </si>
  <si>
    <t>22-39-16-23-3-10-001</t>
  </si>
  <si>
    <t>BDR2011-0110</t>
  </si>
  <si>
    <t>New 4 bedroom 5 bath SFD</t>
  </si>
  <si>
    <t>BDR2011-0111</t>
  </si>
  <si>
    <t>4 bedroom 4 full bath &amp; 2 1/2 bath SFD w/ attached garage</t>
  </si>
  <si>
    <t>22-41-17-13-2-00-049</t>
  </si>
  <si>
    <t>BDR2011-0112</t>
  </si>
  <si>
    <t>New 2-bed, 2-bath accessory residential unit (ARU)</t>
  </si>
  <si>
    <t>BDR2011-0114</t>
  </si>
  <si>
    <t>392 SQ FT addition to a SFD</t>
  </si>
  <si>
    <t>BDC2011-0016</t>
  </si>
  <si>
    <t>Structural integrity addition to existing communications building</t>
  </si>
  <si>
    <t>BDR2011-0115</t>
  </si>
  <si>
    <t>New 6-bedroom, 7-bath SFD W/ attached garage</t>
  </si>
  <si>
    <t>22-41-16-21-1-16-004</t>
  </si>
  <si>
    <t>BDR2011-0117</t>
  </si>
  <si>
    <t>771 sq. ft. bedroom &amp; bathroom addition, &amp; 715 sq. ft. garage addition</t>
  </si>
  <si>
    <t>22-42-16-34-2-02-010</t>
  </si>
  <si>
    <t>BDR2011-0118</t>
  </si>
  <si>
    <t>Convert 665 sq. ft. of existing garage into living space, and add new 835 sq. ft. garage space</t>
  </si>
  <si>
    <t>22-40-16-19-3-00-029</t>
  </si>
  <si>
    <t>BDC2011-0017</t>
  </si>
  <si>
    <t>convert existing wine room into laundry in existing hotel</t>
  </si>
  <si>
    <t>22-41-16-21-2-16-002</t>
  </si>
  <si>
    <t>BDR2011-0119</t>
  </si>
  <si>
    <t>3-sided Horse Shelter</t>
  </si>
  <si>
    <t>22-42-15-11-1-00-014</t>
  </si>
  <si>
    <t>BDR2011-0120</t>
  </si>
  <si>
    <t>3-sided Horse Shelter  See BDR2011-0119</t>
  </si>
  <si>
    <t>BDR2011-0121</t>
  </si>
  <si>
    <t>add 100 sq. ft. of living space under existing roof area to SFD</t>
  </si>
  <si>
    <t>22-40-16-18-1-04-246</t>
  </si>
  <si>
    <t>BDR2011-0122</t>
  </si>
  <si>
    <t>255 sq. ft. master bedroom addition to existing SFD</t>
  </si>
  <si>
    <t>22-42-16-22-2-06-001</t>
  </si>
  <si>
    <t>BDR2011-0123</t>
  </si>
  <si>
    <t>BDR2011-0124</t>
  </si>
  <si>
    <t>New 3-bedroom, 3.5 bath SFD W/ attached garage</t>
  </si>
  <si>
    <t>22-45-13-20-3-02-023</t>
  </si>
  <si>
    <t>BDC2011-0019</t>
  </si>
  <si>
    <t>New Picnic Shelter</t>
  </si>
  <si>
    <t>22-40-16-20-2-06-003</t>
  </si>
  <si>
    <t>BDR2011-0126</t>
  </si>
  <si>
    <t>New detached garage w/ accessory residential unit (ARU) above.  December 1, 2011 285 SQFT of conditioned basement added to the garage storage room</t>
  </si>
  <si>
    <t>22-40-17-04-1-01-004</t>
  </si>
  <si>
    <t>BDR2011-0127</t>
  </si>
  <si>
    <t>New 2 car detached garage</t>
  </si>
  <si>
    <t>BDR2011-0128</t>
  </si>
  <si>
    <t>New 2-bedroom, 2-bath accessory residential unit (ARU)</t>
  </si>
  <si>
    <t>BDC2011-0020</t>
  </si>
  <si>
    <t>New 50'X30' Pole Barn  SEE ALSO BDC2011-0021</t>
  </si>
  <si>
    <t>B11-0387</t>
  </si>
  <si>
    <t>New single family(10/5/2011 10:55 AM KB)  3/4 water meter and capacity fee $ 1066.00 Sewer $2172.00</t>
  </si>
  <si>
    <t>BDR2011-0129</t>
  </si>
  <si>
    <t>New 2-bedroom, 2-bath accessory residential unit above garage</t>
  </si>
  <si>
    <t>22-42-16-02-1-01-003</t>
  </si>
  <si>
    <t>BDR2011-0130</t>
  </si>
  <si>
    <t>New 5-bedroom, 8-bath SFD w/ attached garage</t>
  </si>
  <si>
    <t>B11-0392</t>
  </si>
  <si>
    <t>Live/work unit(10/27/2011 1:16 PM KB)  Sewer $2172.00 3/4 water meter and capacity fee $ 1100.00</t>
  </si>
  <si>
    <t>22-41-16-32-1-15-005</t>
  </si>
  <si>
    <t>B11-0394</t>
  </si>
  <si>
    <t>New work/live unit(10/27/2011 3:37 PM KB)  3/4 water meter and capacity fee $1110.00 sewer fee $2172.00</t>
  </si>
  <si>
    <t>22-41-16-32-1-15-004</t>
  </si>
  <si>
    <t>B11-0395</t>
  </si>
  <si>
    <t>new work/live unit(10/27/2011 3:36 PM KB)  3/4 water meter and capacity fee $1110.00 sewer fee $2172.00</t>
  </si>
  <si>
    <t>22-41-16-32-1-15-003</t>
  </si>
  <si>
    <t>B11-0396</t>
  </si>
  <si>
    <t>new live/work unit(10/27/2011 3:39 PM KB)  3/4 water meter and capacity fee $1110.00 sewer capacity fee $2172.00</t>
  </si>
  <si>
    <t>22-41-16-32-1-15-002</t>
  </si>
  <si>
    <t>B11-0397</t>
  </si>
  <si>
    <t>new work/live unit(10/27/2011 3:46 PM KB)  3/4 water meter and capacity fee $ 1110.00 sewer capacity fee $2172.00</t>
  </si>
  <si>
    <t>22-41-16-32-1-15-001</t>
  </si>
  <si>
    <t>BDR2011-0131</t>
  </si>
  <si>
    <t>Remodel &amp; Convert 357 sq. ft. of existing garage into habitable space</t>
  </si>
  <si>
    <t>BDR2011-0132</t>
  </si>
  <si>
    <t>Add a 317 sq. ft. office to SFD</t>
  </si>
  <si>
    <t>BDC2011-0021</t>
  </si>
  <si>
    <t>New 20'X40' gazebo to cover guest ranch picnic tables  SEE ALSO BDC2011-0020</t>
  </si>
  <si>
    <t>B11-0415</t>
  </si>
  <si>
    <t>new single family(10/17/2011 3:30 PM KB)  3/4 water meter and capacity fee $1066.00. Sewer capacity fee $2172.00</t>
  </si>
  <si>
    <t>22-41-16-34-1-AH-001</t>
  </si>
  <si>
    <t>B11-0416</t>
  </si>
  <si>
    <t>22-41-16-34-1-AH-002</t>
  </si>
  <si>
    <t>BDR2011-0134</t>
  </si>
  <si>
    <t>Interior remodel; 1011 SF habitable (entry/office) add; 995 SF non-habitable (garage) add</t>
  </si>
  <si>
    <t>22-41-16-11-2-00-026</t>
  </si>
  <si>
    <t>BDR2011-0136</t>
  </si>
  <si>
    <t>2nd phase of new employee housing</t>
  </si>
  <si>
    <t>BDR2011-0138</t>
  </si>
  <si>
    <t>New ARU (accessory residential unit) above 3 car garage</t>
  </si>
  <si>
    <t>22-41-16-19-1-02-005</t>
  </si>
  <si>
    <t>BDC2011-0022</t>
  </si>
  <si>
    <t>BDR2011-0139</t>
  </si>
  <si>
    <t>add 105 sq. ft. to entry &amp; remodel SFD</t>
  </si>
  <si>
    <t>22-42-16-28-4-06-006</t>
  </si>
  <si>
    <t>BDR2011-0141</t>
  </si>
  <si>
    <t>Add living space to 1st floor and add 2nd story of living space,  &amp;  remodel SFD</t>
  </si>
  <si>
    <t>22-40-16-19-3-00-016</t>
  </si>
  <si>
    <t>BDR2011-0142</t>
  </si>
  <si>
    <t>511 sq. ft. addition to existing SFD</t>
  </si>
  <si>
    <t>BDR2011-0145</t>
  </si>
  <si>
    <t>BDR2011-0147</t>
  </si>
  <si>
    <t>New open air gazebo w/ fireplace</t>
  </si>
  <si>
    <t>22-40-17-12-4-02-002</t>
  </si>
  <si>
    <t>BDR2011-0148</t>
  </si>
  <si>
    <t>New 5-bedroom, 5.5-bath SFD w/ attached garage</t>
  </si>
  <si>
    <t>22-41-17-22-1-02-013</t>
  </si>
  <si>
    <t>BDC2011-0024</t>
  </si>
  <si>
    <t>Add 1483 sq. ft. Mezzanine to existing commercial space</t>
  </si>
  <si>
    <t>22-40-16-17-4-16-008</t>
  </si>
  <si>
    <t>BDC2011-0025</t>
  </si>
  <si>
    <t>Remodel existing warehouse space into commercial kitchen</t>
  </si>
  <si>
    <t>22-40-16-20-1-14-001</t>
  </si>
  <si>
    <t>BDC2011-0026</t>
  </si>
  <si>
    <t>Install new AT&amp;T Mobility communications equipment to basement &amp; exterior of golf course clubhouse</t>
  </si>
  <si>
    <t>BDR2011-0151</t>
  </si>
  <si>
    <t>22-40-16-18-1-06-051</t>
  </si>
  <si>
    <t>BDR2011-0152</t>
  </si>
  <si>
    <t>Re-size &amp; Re-place roof, add total of 45 sq. ft. bumpouts to two bedrooms</t>
  </si>
  <si>
    <t>22-40-16-17-2-01-051</t>
  </si>
  <si>
    <t>B12-0035</t>
  </si>
  <si>
    <t>New single Family(1/13/2012 2:17 PM KB)  Sewer and  water credit from existing home that was removed: Sewer $2172.00 3/4 water capacity fee $ $690.00  Fee: 3/4 water meter $420.00 (meter not turned in for credit)</t>
  </si>
  <si>
    <t>BDR2012-0002</t>
  </si>
  <si>
    <t>Interior remodel (convert 2 bedrooms to 4 bedrooms, and 3 baths to 5)</t>
  </si>
  <si>
    <t>22-41-17-15-1-01-001</t>
  </si>
  <si>
    <t>BDC2012-0001</t>
  </si>
  <si>
    <t>Install interior walls &amp; ceiling to create an additional office room in existing office space</t>
  </si>
  <si>
    <t>BDR2012-0003</t>
  </si>
  <si>
    <t>New 7-bedroom, 11-bath SFD w/ attached garage and guest house</t>
  </si>
  <si>
    <t>22-41-17-26-1-00-046</t>
  </si>
  <si>
    <t>BDR2012-0004</t>
  </si>
  <si>
    <t>350 sq. ft. garage addition.  NO HEAT IN EXISTING OR NEW GARAGE AREAS</t>
  </si>
  <si>
    <t>B12-0048</t>
  </si>
  <si>
    <t>New office space with on-site employee housing(4/16/2012 3:02 PM KB)  Sewer fees: 1 residential unit @ $2172.00: 30 employees @ $147.00 = $4410.00.  Sewer Credits: 31 restaurant seats @ $341.00 = $ 10,571.00. No sewer fee due for new building due to existing credit.  Water fees: 1-inch water meter and Capacity fee $ 1810.00.  Water credits: 3/4 water meter &amp; capacity fee $1110.00</t>
  </si>
  <si>
    <t>22-40-16-05-2-02-003</t>
  </si>
  <si>
    <t>BDR2012-0006</t>
  </si>
  <si>
    <t>Add 966 sq. ft. (1-bedroom, 1-bath) to SFD, &amp; Remodel</t>
  </si>
  <si>
    <t>22-40-16-18-1-22-001</t>
  </si>
  <si>
    <t>B12-0065</t>
  </si>
  <si>
    <t>22-41-16-31-4-14-073</t>
  </si>
  <si>
    <t>BDR2012-0008</t>
  </si>
  <si>
    <t>New 2-story, 4-bedroom, 2.5-bath SFD w/ attached garage</t>
  </si>
  <si>
    <t>22-40-16-19-3-00-022</t>
  </si>
  <si>
    <t>BDR2012-0009</t>
  </si>
  <si>
    <t>1350 sq. ft. bedroom, &amp; bathroom addition to SFD</t>
  </si>
  <si>
    <t>22-45-13-20-3-00-006</t>
  </si>
  <si>
    <t>B12-0069</t>
  </si>
  <si>
    <t>2 ADA accessible lodging unitsNULL</t>
  </si>
  <si>
    <t>22-41-16-28-4-02-001</t>
  </si>
  <si>
    <t>B12-0071</t>
  </si>
  <si>
    <t>27 individual lodging unitsNULL</t>
  </si>
  <si>
    <t>B12-0073</t>
  </si>
  <si>
    <t>Linen Storage(3/7/2012 10:35 AM KB)  Sewer fees: 3 cabins demolished to build a linen storage building. credit: 3 cabins @ $ 985.00 a cabin = $ 2955.00.  New fee: 3 commercial laundry washers @ $ 5435.00 each = $ 16305.00</t>
  </si>
  <si>
    <t>B12-0081</t>
  </si>
  <si>
    <t>7 unit live/work condo(5/8/2012 2:15 PM KB)  Sewer Fees: 7 1-bedroom unit with washer @ $1088.00 each = $ 7616.00:  504 sq ft /100 = 5 employees @ $147.00 each = $735.00 x 7 units = $5,145.00.:   Sewer credit : 8 1-bedroom apartments with no washer @$869.00 each = $ 6952.00.      (5/14/2012 3:30 PM KB)  Water: applicant has credit for 2 1-inch water meters/capacity fee.  A 1-inch water meter will be used for potable water and a 3/4 inch water meter will be used for landscape. No fee due because of existing credit.</t>
  </si>
  <si>
    <t>22-41-16-32-4-04-004</t>
  </si>
  <si>
    <t>BDR2012-0010</t>
  </si>
  <si>
    <t>New 4-bedroom, 4 (full), 2 (half) bath SFD w/ attached garage.  Mechanical permit added on July 17, 2012.  01/08/2013 Spa and patio area added.</t>
  </si>
  <si>
    <t>22-41-16-17-2-03-005</t>
  </si>
  <si>
    <t>BDR2012-0011</t>
  </si>
  <si>
    <t>Add 198 sq. ft. (2-bedrooms/1-bath) of habitable, and 198 sq. ft. of non-habitable to SFD</t>
  </si>
  <si>
    <t>22-42-16-28-4-06-005</t>
  </si>
  <si>
    <t>BDR2012-0012</t>
  </si>
  <si>
    <t>New 3-bedroom, 2-bath home (Shooting Star Affordable Housing B Units)</t>
  </si>
  <si>
    <t>BDR2012-0013</t>
  </si>
  <si>
    <t>New 3-bedroom, 2-bath townhome (Shooting Star Affordable Housing B Units)</t>
  </si>
  <si>
    <t>BDR2012-0014</t>
  </si>
  <si>
    <t>BDR2012-0015</t>
  </si>
  <si>
    <t>BDR2012-0016</t>
  </si>
  <si>
    <t>BDR2012-0017</t>
  </si>
  <si>
    <t>BDR2012-0018</t>
  </si>
  <si>
    <t>22-41-16-31-4-01-002</t>
  </si>
  <si>
    <t>BDR2012-0019</t>
  </si>
  <si>
    <t>New 7-bedroom, 7-bath SFD</t>
  </si>
  <si>
    <t>22-41-17-22-2-02-002</t>
  </si>
  <si>
    <t>B12-0101</t>
  </si>
  <si>
    <t>New single family(3/9/2012 1:57 PM KB)  meter upgrade  Sewer Fee $2172.00    (3/23/2012 2:20 PM KB)  3/4 water meter and capacity fee credit $ 1110.00:  New Water fee: 1-inch water and capacity fee $ 1810.00 - $ 1110.00 credit = $ 700.00</t>
  </si>
  <si>
    <t>22-41-16-33-1-37-008</t>
  </si>
  <si>
    <t>BDR2012-0020</t>
  </si>
  <si>
    <t>New 3-bedroom, 2-bath SFD (Affordable Housing Units for Shooting Star, A Units)</t>
  </si>
  <si>
    <t>BDR2012-0021</t>
  </si>
  <si>
    <t>BDR2012-0022</t>
  </si>
  <si>
    <t>BDR2012-0023</t>
  </si>
  <si>
    <t>2-bath 1249 sq. ft. habitable, 554 sq. ft. non-habitable SFD Addition &amp; Remodel.  10/25/12 cantilever floor pop-out added to master bedroom.  No fees.  TJO</t>
  </si>
  <si>
    <t>BDC2012-0002</t>
  </si>
  <si>
    <t>Restaurant Remodel</t>
  </si>
  <si>
    <t>22-42-17-24-4-31-088</t>
  </si>
  <si>
    <t>B12-0110</t>
  </si>
  <si>
    <t>office-in-house laundry(4/25/2012 8:41 AM KB)  Sewer Fees: 2 laundry machines @ $5435.00 each = $10870.00: 1676 sq ft / 100 = 17 employees x $147.00 = $2499.00:  Water Fees:</t>
  </si>
  <si>
    <t>22-41-16-28-4-11-001</t>
  </si>
  <si>
    <t>BDR2012-0024</t>
  </si>
  <si>
    <t>Add 337 sq. ft. habitable 842 deck and covered porch &amp; remodel 2937 sq.ft. SFD</t>
  </si>
  <si>
    <t>22-41-17-14-1-02-006</t>
  </si>
  <si>
    <t>BDR2012-0025</t>
  </si>
  <si>
    <t>Addition of 592 sq. ft. to master bedroom (den/sitting room) of SFD</t>
  </si>
  <si>
    <t>22-42-16-20-4-01-004</t>
  </si>
  <si>
    <t>BDC2012-0003</t>
  </si>
  <si>
    <t>finish basement</t>
  </si>
  <si>
    <t>BDR2012-0026</t>
  </si>
  <si>
    <t>22-41-17-01-4-01-002</t>
  </si>
  <si>
    <t>BDR2012-0027</t>
  </si>
  <si>
    <t>22-42-16-21-1-00-011</t>
  </si>
  <si>
    <t>BDR2012-0028</t>
  </si>
  <si>
    <t>New 4-bedroom, 5.5-bath SFD</t>
  </si>
  <si>
    <t>22-41-16-21-3-15-009</t>
  </si>
  <si>
    <t>BDR2012-0029</t>
  </si>
  <si>
    <t>New 4-bedroom, 4.5-bath SFD</t>
  </si>
  <si>
    <t>BDR2012-0030</t>
  </si>
  <si>
    <t>22-40-16-20-2-16-007</t>
  </si>
  <si>
    <t>BDR2012-0031</t>
  </si>
  <si>
    <t>557 sq. ft. addition to SFD</t>
  </si>
  <si>
    <t>22-42-16-22-4-00-069</t>
  </si>
  <si>
    <t>BDR2012-0032</t>
  </si>
  <si>
    <t>1270 sq. ft. addition to SFD</t>
  </si>
  <si>
    <t>22-41-17-22-4-14-014</t>
  </si>
  <si>
    <t>BDR2012-0033</t>
  </si>
  <si>
    <t>New 5-bedroom, 4-bath SFD</t>
  </si>
  <si>
    <t>22-41-16-21-1-01-019</t>
  </si>
  <si>
    <t>BDC2012-0007</t>
  </si>
  <si>
    <t>New laundry building for campground</t>
  </si>
  <si>
    <t>22-39-16-14-3-00-021</t>
  </si>
  <si>
    <t>BDC2012-0008</t>
  </si>
  <si>
    <t>Remodel existing ski school chalet, change use from office to merchantile</t>
  </si>
  <si>
    <t>BDR2012-0034</t>
  </si>
  <si>
    <t>add garage to existing SFD</t>
  </si>
  <si>
    <t>22-39-16-03-4-01-015</t>
  </si>
  <si>
    <t>B12-0160</t>
  </si>
  <si>
    <t>church fellowship/classroom/kitchenSewer Capacity - $3,630  Permit Fees - $1,613.00</t>
  </si>
  <si>
    <t>22-41-16-31-4-15-002</t>
  </si>
  <si>
    <t>B12-0162</t>
  </si>
  <si>
    <t>B12-0164</t>
  </si>
  <si>
    <t>concessions stands and restrooms(4/23/2012 2:35 PM KB)  No fee permit    (4/26/2012 3:35 PM KB)  Water capacity fee and meter: $ 3408.25  Sewre Capacity fee: $ 2172.00  per Shawn O'Malley- letter in the file</t>
  </si>
  <si>
    <t>BDR2012-0035</t>
  </si>
  <si>
    <t>New 3-bedroom, 2.5-bath SFD w/ attached garage</t>
  </si>
  <si>
    <t>22-41-17-22-3-12-006</t>
  </si>
  <si>
    <t>BDR2012-0036</t>
  </si>
  <si>
    <t>Enclose porch over existing upper deck to SFD</t>
  </si>
  <si>
    <t>BDR2012-0037</t>
  </si>
  <si>
    <t>New 5-bedroom, 5.5 bath SFD w/ attached garage</t>
  </si>
  <si>
    <t>22-41-16-21-1-05-021</t>
  </si>
  <si>
    <t>BDR2012-0038</t>
  </si>
  <si>
    <t>22-40-16-18-3-00-017</t>
  </si>
  <si>
    <t>BDR2012-0039</t>
  </si>
  <si>
    <t>1023 sq. ft. addition to SFD</t>
  </si>
  <si>
    <t>22-42-17-24-1-01-022</t>
  </si>
  <si>
    <t>BDR2012-0040</t>
  </si>
  <si>
    <t>22-42-16-27-4-12-020</t>
  </si>
  <si>
    <t>BDR2012-0041</t>
  </si>
  <si>
    <t>New 3-bedroom, 2-bath SFD w/ attached garage</t>
  </si>
  <si>
    <t>22-40-16-18-1-06-040</t>
  </si>
  <si>
    <t>BDR2012-0042</t>
  </si>
  <si>
    <t>New 3-bedroom, 2-bath townhouse (Shooting Star Affordable Housing Habitat Units)</t>
  </si>
  <si>
    <t>BDR2012-0043</t>
  </si>
  <si>
    <t>BDR2012-0044</t>
  </si>
  <si>
    <t>BDR2012-0045</t>
  </si>
  <si>
    <t>BDR2012-0046</t>
  </si>
  <si>
    <t>New 4 bedroom, 3-bath SFD w/ attached garage</t>
  </si>
  <si>
    <t>22-41-17-01-4-06-002</t>
  </si>
  <si>
    <t>BDR2012-0048</t>
  </si>
  <si>
    <t>Detached garage addition</t>
  </si>
  <si>
    <t>22-40-17-10-3-00-004</t>
  </si>
  <si>
    <t>BDR2012-0049</t>
  </si>
  <si>
    <t>22-41-17-11-1-12-013</t>
  </si>
  <si>
    <t>BDR2012-0050</t>
  </si>
  <si>
    <t>4-bedroom, 5-bath SFD W/ attached garage</t>
  </si>
  <si>
    <t>22-42-16-02-3-05-002</t>
  </si>
  <si>
    <t>BDR2012-0051</t>
  </si>
  <si>
    <t>New 5-bedroom, 6-full &amp; 5-half bath SFD W/ attached Garage</t>
  </si>
  <si>
    <t>BDR2012-0052</t>
  </si>
  <si>
    <t>Convert non-habitable space into habitable space</t>
  </si>
  <si>
    <t>BDR2012-0054</t>
  </si>
  <si>
    <t>New 4-bedroom, 5-bath SFD w/ attached garage  OVER 400 AMP SERVICE - PLANS REVIEWED AND APPROVED   BY MIKE BRESSLER</t>
  </si>
  <si>
    <t>22-41-17-27-1-05-003</t>
  </si>
  <si>
    <t>BDR2012-0055</t>
  </si>
  <si>
    <t>Convert mechanical room into workout room and bathroom</t>
  </si>
  <si>
    <t>B12-0264</t>
  </si>
  <si>
    <t>New single Family(5/16/2012 4:26 PM KB)  credit for 3/4 capacity fee $690.00 and sewer credit of $2172.00. Fees: 3/4  water meter $420.00</t>
  </si>
  <si>
    <t>22-41-16-34-4-04-006</t>
  </si>
  <si>
    <t>BDR2012-0056</t>
  </si>
  <si>
    <t>Add 81 sq. ft. of habitable, and convert 65sq. ft. of garage space into habitable to existing SFD</t>
  </si>
  <si>
    <t>BDR2012-0057</t>
  </si>
  <si>
    <t>Detached garage</t>
  </si>
  <si>
    <t>BDR2012-0058</t>
  </si>
  <si>
    <t>New 3-beddrom, 3-bath SFD (Shooting Star Affordable Housing Unit #13- C Unit)</t>
  </si>
  <si>
    <t>BDC2012-0011</t>
  </si>
  <si>
    <t>850 sq. ft. addition to existing shop</t>
  </si>
  <si>
    <t>BDC2012-0012</t>
  </si>
  <si>
    <t>New Garage/Equipment storage bldg.</t>
  </si>
  <si>
    <t>22-45-13-27-1-00-011</t>
  </si>
  <si>
    <t>BDR2012-0059</t>
  </si>
  <si>
    <t>New 6-bedroom, 8-bath SFD w/ attached garage</t>
  </si>
  <si>
    <t>22-41-16-10-1-00-005</t>
  </si>
  <si>
    <t>BDR2012-0060</t>
  </si>
  <si>
    <t>Writing Studio</t>
  </si>
  <si>
    <t>BDR2012-0061</t>
  </si>
  <si>
    <t>Add elevator to SFD</t>
  </si>
  <si>
    <t>BDR2012-0062</t>
  </si>
  <si>
    <t>Add 952 sq. ft. of habitable, and 795 sq. ft. non-habitable to existing SFD</t>
  </si>
  <si>
    <t>BDR2012-0063</t>
  </si>
  <si>
    <t>217 sq. ft. addition, convert garage space into habitable, and remodel daycare2</t>
  </si>
  <si>
    <t>BDC2012-0013</t>
  </si>
  <si>
    <t>Add additional storage for bus parking (future mechanical &amp; wash bay)</t>
  </si>
  <si>
    <t>BDR2012-0068</t>
  </si>
  <si>
    <t>New 5-bedroom, 4.5-bath SFD w/ attached garage.</t>
  </si>
  <si>
    <t>22-42-17-35-1-00-040</t>
  </si>
  <si>
    <t>B12-0303</t>
  </si>
  <si>
    <t>New single family(7/2/2012 12:10 PM KB)  Sewer fee: $2172.00  1-inch water meter and capacity fee $ 1810.00</t>
  </si>
  <si>
    <t>22-41-16-34-1-17-012</t>
  </si>
  <si>
    <t>BDR2012-0069</t>
  </si>
  <si>
    <t>Remodel 560 sq. ft., and add 544 sq. ft. of habitable space to SFD</t>
  </si>
  <si>
    <t>22-41-17-11-1-69-002</t>
  </si>
  <si>
    <t>BDR2012-0070</t>
  </si>
  <si>
    <t>22-42-16-28-1-02-010</t>
  </si>
  <si>
    <t>B12-0308</t>
  </si>
  <si>
    <t>porches,  office(6/14/2012 10:19 AM KB)  The covered walkway in not approved for permitting.    (6/14/2012 10:19 AM KB)  no fee permit</t>
  </si>
  <si>
    <t>B12-0309</t>
  </si>
  <si>
    <t>New single Family(6/18/2012 8:33 AM KB)  3/4 water meter and capacity fee $ 1110.00: sewer fee $2172.00</t>
  </si>
  <si>
    <t>22-41-16-33-3-07-014</t>
  </si>
  <si>
    <t>B12-0311</t>
  </si>
  <si>
    <t>BDR2012-0071</t>
  </si>
  <si>
    <t>246 kitchen addition to existing cabin</t>
  </si>
  <si>
    <t>22-42-16-29-2-00-007</t>
  </si>
  <si>
    <t>BDR2012-0072</t>
  </si>
  <si>
    <t>New 1-bedroom, 2-bath duplex unit (staff housing for Safari Club)</t>
  </si>
  <si>
    <t>BDR2012-0073</t>
  </si>
  <si>
    <t>197 sq. ft. entry bumpout</t>
  </si>
  <si>
    <t>22-42-15-10-1-05-001</t>
  </si>
  <si>
    <t>BDR2012-0074</t>
  </si>
  <si>
    <t>New 4-bedroom, 3 1/2-bath SFD w/ basement, and attached garage</t>
  </si>
  <si>
    <t>22-42-16-27-1-28-008</t>
  </si>
  <si>
    <t>BDR2012-0075</t>
  </si>
  <si>
    <t>New 2 car garage w/ attaching breezeway to SFD</t>
  </si>
  <si>
    <t>B12-0332</t>
  </si>
  <si>
    <t>New single family(7/23/2012 4:36 PM KB)  Sewer $2172.00 : 1 inch water meter and capacity fee $ 1810.00</t>
  </si>
  <si>
    <t>22-41-16-35-3-02-027</t>
  </si>
  <si>
    <t>BDR2012-0076</t>
  </si>
  <si>
    <t>New hay storage barn</t>
  </si>
  <si>
    <t>22-41-17-14-4-00-014</t>
  </si>
  <si>
    <t>BDR2012-0077</t>
  </si>
  <si>
    <t>196 sq. ft. hallway expansion, &amp; kitchen remodel</t>
  </si>
  <si>
    <t>B12-0343</t>
  </si>
  <si>
    <t>New single Family(6/12/2012 2:49 PM KB)  Sewer hookup $2172.00 3/4 water capacity fee and meter = 1110.00</t>
  </si>
  <si>
    <t>22-41-16-34-1-00-025</t>
  </si>
  <si>
    <t>BDR2012-0078</t>
  </si>
  <si>
    <t>Add 1571 sq. ft. of habitable (1-bedroom, 3-baths), and 1017 sq. ft. of non-habitable to existing SFD</t>
  </si>
  <si>
    <t>22-44-18-16-3-03-008</t>
  </si>
  <si>
    <t>BDR2012-0079</t>
  </si>
  <si>
    <t>convert existing 341 sq. ft. garage into habitable, add 1834 sq. ft. of new habitable, and 717 sq. ft. of new non-habitable to existing SFD</t>
  </si>
  <si>
    <t>BDR2012-0080</t>
  </si>
  <si>
    <t>Detached Garage</t>
  </si>
  <si>
    <t>BDR2012-0081</t>
  </si>
  <si>
    <t>New fitness &amp; storage building. 08/22/12 Roof redesigned. Changed from engineered trusses to stick framed.</t>
  </si>
  <si>
    <t>22-42-16-10-3-03-019</t>
  </si>
  <si>
    <t>B12-0371</t>
  </si>
  <si>
    <t>entry vestibule &amp; new breakout/conference room(7/2/2012 12:25 PM KB)  No fee permit</t>
  </si>
  <si>
    <t>BDR2012-0082</t>
  </si>
  <si>
    <t>New 4-bedroom, 7-bath SFD w/ basement and attached garage</t>
  </si>
  <si>
    <t>22-40-17-13-1-03-002</t>
  </si>
  <si>
    <t>B12-0378</t>
  </si>
  <si>
    <t>New administrative building(6/27/2012 12:50 PM KB)  no fee permit  Sewer capacity fee: 8618 sq ft/100= 87 employees x $147.00 + 12,789.00  Water Capacity fee for 1-inch water meter and capacity fee: 1810.00 Fire Line:1918.80</t>
  </si>
  <si>
    <t>B12-0382</t>
  </si>
  <si>
    <t>New single Family(6/28/2012 3:49 PM KB)  Credit: sewer $2172.00 3/4 water capacity fee and meter $ 1110.00</t>
  </si>
  <si>
    <t>22-41-16-27-3-07-010</t>
  </si>
  <si>
    <t>BDR2012-0083</t>
  </si>
  <si>
    <t>BDR2012-0084</t>
  </si>
  <si>
    <t>22-44-18-21-3-01-002</t>
  </si>
  <si>
    <t>B12-0407</t>
  </si>
  <si>
    <t>New detached townhome(8/13/2012 2:49 PM KB)  credit: sewr fee $2172.00 3/4 water meter and capacity fee $ 1110.00.</t>
  </si>
  <si>
    <t>22-41-16-34-1-AA-003</t>
  </si>
  <si>
    <t>B12-0408</t>
  </si>
  <si>
    <t>Single Family with attached accessory unit(8/8/2012 4:36 PM KB)  3/4 water meter and capacity fee $ 1110.00 Sewer fees: 2units @ $2172.00 = $ 4344.00</t>
  </si>
  <si>
    <t>22-41-16-34-1-AK-001</t>
  </si>
  <si>
    <t>B12-0410</t>
  </si>
  <si>
    <t>Single Family with attached accessory unitNULL</t>
  </si>
  <si>
    <t>22-41-16-34-1-AK-002</t>
  </si>
  <si>
    <t>BDR2012-0085</t>
  </si>
  <si>
    <t>New 1-bedroom, 1.5-bath accessory residential unit.</t>
  </si>
  <si>
    <t>BDR2012-0086</t>
  </si>
  <si>
    <t>BDR2012-0087</t>
  </si>
  <si>
    <t>Tear down and re-build (2077 sq. ft.) west portion, and remodel interior of SFD</t>
  </si>
  <si>
    <t>BDR2012-0088</t>
  </si>
  <si>
    <t>Add onto existing barn</t>
  </si>
  <si>
    <t>BDC2012-0014</t>
  </si>
  <si>
    <t>Tower Relocation</t>
  </si>
  <si>
    <t>BDC2012-0015</t>
  </si>
  <si>
    <t>Restaurant Remodel (interior) &amp; Enclose Balconies into Office Space</t>
  </si>
  <si>
    <t>BDC2012-0016</t>
  </si>
  <si>
    <t>Interior renovation of Peak Restaurant at Four Seasons, including expansion of the patio area, enclosure of the covered patio area, demolition of an internal mezzanine, creation of new basement area below the new patio expansion</t>
  </si>
  <si>
    <t>BDR2012-0091</t>
  </si>
  <si>
    <t>101 sq. ft. dining room addition</t>
  </si>
  <si>
    <t>22-39-16-14-1-00-046</t>
  </si>
  <si>
    <t>BDR2012-0092</t>
  </si>
  <si>
    <t>BDR2012-0093</t>
  </si>
  <si>
    <t>New 4-bedroom, 3-bath SFD W/ attached garage</t>
  </si>
  <si>
    <t>TMP005010</t>
  </si>
  <si>
    <t>BDR2012-0094</t>
  </si>
  <si>
    <t>New 4-bedroom, 3 1/2-bath SFD w/ attached garage (previous SFD burned before CO)</t>
  </si>
  <si>
    <t>BDR2012-0095</t>
  </si>
  <si>
    <t>Relocate Existing Accessory Residential Unit (New Foundation &amp; bring existing up to current code)</t>
  </si>
  <si>
    <t>22-41-17-26-2-00-037</t>
  </si>
  <si>
    <t>BDR2012-0097</t>
  </si>
  <si>
    <t>New 5-bedroom, 5 1/2-bath SFD</t>
  </si>
  <si>
    <t>22-41-16-05-3-00-011</t>
  </si>
  <si>
    <t>BDR2012-0098</t>
  </si>
  <si>
    <t>New 2-bedroom, 2 1/2 bath SFD</t>
  </si>
  <si>
    <t>BDR2012-0099</t>
  </si>
  <si>
    <t>22-41-16-06-3-05-004</t>
  </si>
  <si>
    <t>BDR2012-0100</t>
  </si>
  <si>
    <t>1302 sq. ft. habitable, and 574 non-habitable additions to SFD</t>
  </si>
  <si>
    <t>22-41-17-14-2-18-008</t>
  </si>
  <si>
    <t>BDR2012-0101</t>
  </si>
  <si>
    <t>New 3-bedroom, 2 1/2-bath SFD w/ attached garage</t>
  </si>
  <si>
    <t>22-41-17-22-4-14-024</t>
  </si>
  <si>
    <t>BDR2012-0102</t>
  </si>
  <si>
    <t>Add 1847 sq. ft. habitable (3-bedrooms, 2-bathrooms) to SFD</t>
  </si>
  <si>
    <t>BDR2012-0103</t>
  </si>
  <si>
    <t>Demo 204 sq. ft. of existing and replace w/ 772 sq. ft. of new habitable to SFD</t>
  </si>
  <si>
    <t>BDR2012-0105</t>
  </si>
  <si>
    <t>New 4-bedroom, 4 1/2-Bath SFD W/ garage</t>
  </si>
  <si>
    <t>22-40-17-12-1-01-018</t>
  </si>
  <si>
    <t>B12-0454</t>
  </si>
  <si>
    <t>Addtion to existing single familyNULL</t>
  </si>
  <si>
    <t>22-40-16-06-2-12-008</t>
  </si>
  <si>
    <t>BDR2012-0106</t>
  </si>
  <si>
    <t>448 sq. ft. bedroom &amp; family room addition</t>
  </si>
  <si>
    <t>22-40-16-17-2-01-001</t>
  </si>
  <si>
    <t>BDR2012-0107</t>
  </si>
  <si>
    <t>Re-build 5-bedroom, 4 1/2-bath log home that burned (re-using existing foundation)</t>
  </si>
  <si>
    <t>BDR2012-0108</t>
  </si>
  <si>
    <t>1-bedroom, 1-bath accessory residential unit above garage</t>
  </si>
  <si>
    <t>B12-0463</t>
  </si>
  <si>
    <t>New single family(9/10/2012 2:53 PM KB)  Sewer credit for existing house $2172.00: 3/4 water meter and capacity $1110.00</t>
  </si>
  <si>
    <t>22-41-16-27-3-09-008</t>
  </si>
  <si>
    <t>BDR2012-0109</t>
  </si>
  <si>
    <t>Demo existing SFD &amp; Re-place w/ 6-bedroom, 7-bath SFD w/ basement and attached garage</t>
  </si>
  <si>
    <t>22-42-17-24-3-02-039</t>
  </si>
  <si>
    <t>BDR2012-0110</t>
  </si>
  <si>
    <t>New 783 sq. ft. 1-bedroom, 1-bath accessory residential unit</t>
  </si>
  <si>
    <t>BDR2012-0111</t>
  </si>
  <si>
    <t>New 3-bedroom, 2 1/2 bath SFD w/ attached garage</t>
  </si>
  <si>
    <t>22-40-16-18-1-06-046</t>
  </si>
  <si>
    <t>BDR2012-0112</t>
  </si>
  <si>
    <t>New 5-bedroom, 5 1/2-bath SFD W/ attached garage</t>
  </si>
  <si>
    <t>22-42-16-02-3-00-008</t>
  </si>
  <si>
    <t>BDR2012-0113</t>
  </si>
  <si>
    <t>New 3-bedroom, 4 1/2-bath SFD w/ attached garage</t>
  </si>
  <si>
    <t>22-42-16-28-1-12-003</t>
  </si>
  <si>
    <t>BDR2012-0114</t>
  </si>
  <si>
    <t>Relocate existing to be used as accessory residential unit (1-bedroom, 1-bath)</t>
  </si>
  <si>
    <t>BDR2012-0115</t>
  </si>
  <si>
    <t>New detached garage w/ 1-bedroom, 1-bath accessory residential unit above</t>
  </si>
  <si>
    <t>22-42-17-24-3-02-002</t>
  </si>
  <si>
    <t>BDR2012-0116</t>
  </si>
  <si>
    <t>Full interior remodel of existing SFD</t>
  </si>
  <si>
    <t>BDR2012-0118</t>
  </si>
  <si>
    <t>Adding 1-bedroom, 1-bath accessory residential unit to existing SFD</t>
  </si>
  <si>
    <t>22-41-17-12-2-04-009</t>
  </si>
  <si>
    <t>BDR2012-0119</t>
  </si>
  <si>
    <t>New 4-bedroom, 3-bath SFD w/ attached garage</t>
  </si>
  <si>
    <t>TMP005009</t>
  </si>
  <si>
    <t>BDR2012-0121</t>
  </si>
  <si>
    <t>22-41-17-13-2-01-001</t>
  </si>
  <si>
    <t>BDR2012-0122</t>
  </si>
  <si>
    <t>New 4-bedroom, 5-bath SFD w/ attached garage</t>
  </si>
  <si>
    <t>22-41-16-07-2-01-007</t>
  </si>
  <si>
    <t>BDR2012-0123</t>
  </si>
  <si>
    <t>Interior remodel &amp; 348 sq. ft. 2nd floor addition to SFD</t>
  </si>
  <si>
    <t>BDR2012-0124</t>
  </si>
  <si>
    <t>Convert 600 sq. ft. garage into 2-bedroom, 1-bath accessory residential unit</t>
  </si>
  <si>
    <t>BDC2012-0017</t>
  </si>
  <si>
    <t>Add two walls to interior to creat offices</t>
  </si>
  <si>
    <t>BDR2012-0125</t>
  </si>
  <si>
    <t>22-39-17-11-4-03-004</t>
  </si>
  <si>
    <t>BDC2012-0018</t>
  </si>
  <si>
    <t>New Park Restrooms</t>
  </si>
  <si>
    <t>22-44-18-20-3-00-014</t>
  </si>
  <si>
    <t>BDR2012-0126</t>
  </si>
  <si>
    <t>Reduce existing SFD to 1000 sq. ft. to become an accessory residential unit</t>
  </si>
  <si>
    <t>BDR2012-0129</t>
  </si>
  <si>
    <t>New 5-bedroom, 5 1/2-bath SFD w/ attached garage</t>
  </si>
  <si>
    <t>22-40-17-12-4-01-023</t>
  </si>
  <si>
    <t>BDR2012-0130</t>
  </si>
  <si>
    <t>Remodel existing, add 1149 of habitable, and 164 non-habitable to SFD</t>
  </si>
  <si>
    <t>22-42-16-22-3-00-065</t>
  </si>
  <si>
    <t>BDR2012-0131</t>
  </si>
  <si>
    <t>New 1-bedroom, 1-bath SFD w/ garage (future ARU)</t>
  </si>
  <si>
    <t>22-42-16-20-4-01-001</t>
  </si>
  <si>
    <t>BDR2012-0133</t>
  </si>
  <si>
    <t>238 sq. ft. addition to existing ARU</t>
  </si>
  <si>
    <t>BDR2012-0134</t>
  </si>
  <si>
    <t>Enclose existing balcony &amp; deck below totaling 380 sq. ft. of new habitable sq. ft.</t>
  </si>
  <si>
    <t>BDC2012-0021</t>
  </si>
  <si>
    <t>Storage Garage for Park</t>
  </si>
  <si>
    <t>BDR2012-0135</t>
  </si>
  <si>
    <t>New 5-bedroom, 6-bath SFD w/ attached garage</t>
  </si>
  <si>
    <t>22-42-16-16-1-01-004</t>
  </si>
  <si>
    <t>BDR2012-0136</t>
  </si>
  <si>
    <t>Convert existing (non-habitable) log cabin into (habitable); Add new roof &amp; windows.</t>
  </si>
  <si>
    <t>22-41-17-21-2-02-002</t>
  </si>
  <si>
    <t>B12-0584</t>
  </si>
  <si>
    <t>Enclose existing lower deckNULL</t>
  </si>
  <si>
    <t>BDR2012-0137</t>
  </si>
  <si>
    <t>Add garage to existing SFD</t>
  </si>
  <si>
    <t>22-41-17-21-2-02-001</t>
  </si>
  <si>
    <t>BDC2012-0022</t>
  </si>
  <si>
    <t>Wetland Trellis</t>
  </si>
  <si>
    <t>B12-0595</t>
  </si>
  <si>
    <t>Accessory Unit(11/9/2012 2:51 PM KB)  Will be using the existing 3/4 water meter to service main house and accessory unit</t>
  </si>
  <si>
    <t>BDR2012-0138</t>
  </si>
  <si>
    <t>Convert existing 114 sq. ft. sunroom &amp; add additional 230 sq. ft. of habitable to existing</t>
  </si>
  <si>
    <t>22-41-17-33-1-00-001</t>
  </si>
  <si>
    <t>BDR2012-0139</t>
  </si>
  <si>
    <t>new 1-bedroom, 1-bath ARU</t>
  </si>
  <si>
    <t>22-42-16-20-3-01-005</t>
  </si>
  <si>
    <t>BDR2012-0140</t>
  </si>
  <si>
    <t>New studio/rec building</t>
  </si>
  <si>
    <t>22-42-16-33-1-01-002</t>
  </si>
  <si>
    <t>BDR2012-0142</t>
  </si>
  <si>
    <t>New horse &amp; ATV storage Barn.  Fire sprinkler requirement waived per WUIC review from fire marshall Kathy Clay.  Feb 18, Plan revised to reduce the interior area to 4465 Sq Ft</t>
  </si>
  <si>
    <t>22-39-16-19-2-06-028</t>
  </si>
  <si>
    <t>BDR2012-0143</t>
  </si>
  <si>
    <t>New 3 bedroom 5 bath house with attached garage (complete expired BP2008-0068)</t>
  </si>
  <si>
    <t>22-42-16-16-4-00-005</t>
  </si>
  <si>
    <t>BDR2012-0145</t>
  </si>
  <si>
    <t>complete expired BP2007-0137 for a New 3-bedroom, 3-bath SFD w/ attached garage</t>
  </si>
  <si>
    <t>22-44-18-08-4-01-003</t>
  </si>
  <si>
    <t>BDC2012-0024</t>
  </si>
  <si>
    <t>Installing Micro-Brewery</t>
  </si>
  <si>
    <t>BDR2012-0147</t>
  </si>
  <si>
    <t>New 4-bedroom, 4 1/2 bath SFD</t>
  </si>
  <si>
    <t>22-41-17-13-2-04-004</t>
  </si>
  <si>
    <t>BDR2012-0149</t>
  </si>
  <si>
    <t>22-39-17-13-2-05-018</t>
  </si>
  <si>
    <t>BDR2012-0150</t>
  </si>
  <si>
    <t>BDR2012-0151</t>
  </si>
  <si>
    <t>Add 1626 new habitable (1-bedroom, 1 1/2-bath), &amp; 582 of non-habitable to existing SFD</t>
  </si>
  <si>
    <t>22-41-17-22-4-07-004</t>
  </si>
  <si>
    <t>B12-0650</t>
  </si>
  <si>
    <t>New mixed use buildingWater fees: 4-inch fire line:  $1918.80 : 1 1/2 in water capacity fee $2761.00 &amp; 1 1/2 water meter $647.25. credit for 3/4 inch meter $ 1110.00  Sewer Fees: 5933 sq ft retail/100 = 59 employees x $ 24.00= $1416.00: 3808 sq ft office / 100 = 38 employees x $147.00 each = $ 5586.00: 2 studio apartments no wash @ $869.00 each = 1738.00  Sewer credit: $2172.00 for existing building that was demod for this project.</t>
  </si>
  <si>
    <t>22-41-16-34-2-04-003</t>
  </si>
  <si>
    <t>B12-0664</t>
  </si>
  <si>
    <t>in close sunroomNULL</t>
  </si>
  <si>
    <t>22-41-16-32-1-04-003</t>
  </si>
  <si>
    <t>B12-0673</t>
  </si>
  <si>
    <t>22-41-16-34-1-00-029</t>
  </si>
  <si>
    <t>BDC2012-0025</t>
  </si>
  <si>
    <t>Detached Boiler room</t>
  </si>
  <si>
    <t>BDC2012-0026</t>
  </si>
  <si>
    <t>Convert existing attic space into three offices</t>
  </si>
  <si>
    <t>BDR2012-0153</t>
  </si>
  <si>
    <t>165 sq. ft. loft extension to create additional bedroom to existing SFD</t>
  </si>
  <si>
    <t>B12-0681</t>
  </si>
  <si>
    <t>garage additionNULL</t>
  </si>
  <si>
    <t>BDR2013-0001</t>
  </si>
  <si>
    <t>Block off two interior rooms from dwelling &amp; create outside access to bring SFD into ARU compliance.</t>
  </si>
  <si>
    <t>BDR2013-0002</t>
  </si>
  <si>
    <t>New 3-bedroom, 6-bath SFD w/ attached garage</t>
  </si>
  <si>
    <t>22-42-17-24-3-02-025</t>
  </si>
  <si>
    <t>BDR2013-0003</t>
  </si>
  <si>
    <t>Remodel of existing SFD</t>
  </si>
  <si>
    <t>22-41-17-25-4-06-015</t>
  </si>
  <si>
    <t>BDR2013-0004</t>
  </si>
  <si>
    <t>536 sq. ft. garage addition</t>
  </si>
  <si>
    <t>22-42-16-22-4-00-014</t>
  </si>
  <si>
    <t>B13-0021</t>
  </si>
  <si>
    <t>3-unit employee housing/walgreens</t>
  </si>
  <si>
    <t>22-41-16-32-1-16-002</t>
  </si>
  <si>
    <t>B13-0023</t>
  </si>
  <si>
    <t>New Walgreens pharmacy</t>
  </si>
  <si>
    <t>22-41-16-32-1-03-010</t>
  </si>
  <si>
    <t>BDR2013-0005</t>
  </si>
  <si>
    <t>Add garage w/ master bedroom to existing SFD</t>
  </si>
  <si>
    <t>22-39-16-12-1-00-005</t>
  </si>
  <si>
    <t>BDR2013-0006</t>
  </si>
  <si>
    <t>New 2-bedroom, 3-bath SFD</t>
  </si>
  <si>
    <t>22-41-17-23-2-11-002</t>
  </si>
  <si>
    <t>BDR2013-0007</t>
  </si>
  <si>
    <t>New detached garage/barn  6/19/13 attached/revised BDR2013-0006 &amp; added 2-bedroom ARU above</t>
  </si>
  <si>
    <t>B13-0032</t>
  </si>
  <si>
    <t>Adddition/alteration to existing building</t>
  </si>
  <si>
    <t>22-40-16-06-1-00-034</t>
  </si>
  <si>
    <t>BDR2013-0008</t>
  </si>
  <si>
    <t>New elevated deck connection between existing SFD &amp; ARU</t>
  </si>
  <si>
    <t>B13-0045</t>
  </si>
  <si>
    <t>interior remodel</t>
  </si>
  <si>
    <t>22-41-16-34-2-00-012</t>
  </si>
  <si>
    <t>B13-0056</t>
  </si>
  <si>
    <t>New single Family</t>
  </si>
  <si>
    <t>22-41-16-35-3-05-001</t>
  </si>
  <si>
    <t>BDR2013-0009</t>
  </si>
  <si>
    <t>Convert basement into livable (3,000 sq. ft.), &amp; remodel interior upstairs (4,000 sq. ft.)</t>
  </si>
  <si>
    <t>22-42-16-27-3-05-005</t>
  </si>
  <si>
    <t>B13-0073</t>
  </si>
  <si>
    <t>New single family</t>
  </si>
  <si>
    <t>22-41-16-34-1-AA-006</t>
  </si>
  <si>
    <t>B13-0074</t>
  </si>
  <si>
    <t>22-41-16-34-1-AA-005</t>
  </si>
  <si>
    <t>BDR2013-0010</t>
  </si>
  <si>
    <t>Interior remodel, several additions, &amp; new 3-car garage w/ play room above</t>
  </si>
  <si>
    <t>22-42-16-11-2-02-001</t>
  </si>
  <si>
    <t>BDR2013-0011</t>
  </si>
  <si>
    <t>New 4-bedroom, (5 full, 2 1/2) bath SFD w/ attached garage</t>
  </si>
  <si>
    <t>22-40-17-12-2-02-001</t>
  </si>
  <si>
    <t>BDR2013-0012</t>
  </si>
  <si>
    <t>New 1-bedroom, 2-bath accesory residential unit</t>
  </si>
  <si>
    <t>BDR2013-0013</t>
  </si>
  <si>
    <t>New Gazebo</t>
  </si>
  <si>
    <t>BDC2013-0001</t>
  </si>
  <si>
    <t>Replacement &amp; expansion of existing administrative office &amp; baggage claim structures</t>
  </si>
  <si>
    <t>B13-0082</t>
  </si>
  <si>
    <t>expand kitchen in existing building</t>
  </si>
  <si>
    <t>22-41-16-33-1-11-006</t>
  </si>
  <si>
    <t>BDR2013-0014</t>
  </si>
  <si>
    <t>510 sq. ft. addition to SFD</t>
  </si>
  <si>
    <t>22-40-16-18-1-07-005</t>
  </si>
  <si>
    <t>BDR2013-0015</t>
  </si>
  <si>
    <t>renovate &amp; convert 65 sq. ft. into habitable in existing SFD  06/19/2013 Foundation revised by Nelson Engineering. approved TJO</t>
  </si>
  <si>
    <t>22-41-17-21-3-00-015</t>
  </si>
  <si>
    <t>BDR2013-0016</t>
  </si>
  <si>
    <t>Demo existing &amp; build new 3-bedroom, 3-bath SFD w/ attached garage</t>
  </si>
  <si>
    <t>22-42-15-10-1-07-005</t>
  </si>
  <si>
    <t>BDR2014-0075R</t>
  </si>
  <si>
    <t>Demo existing &amp; build new 3-bedroom, 3-bath SFD w/ attached garage. 6/5/14 New plans for the stair tower.</t>
  </si>
  <si>
    <t>BDR2013-0017</t>
  </si>
  <si>
    <t>Outdoor BBQ Pavilion</t>
  </si>
  <si>
    <t>22-41-17-36-2-02-002</t>
  </si>
  <si>
    <t>BDR2013-0018</t>
  </si>
  <si>
    <t>22-41-17-11-4-13-006</t>
  </si>
  <si>
    <t>BDR2013-0019</t>
  </si>
  <si>
    <t>New 4-bedroom, 3-1/2-bath SFD w/ attached garage</t>
  </si>
  <si>
    <t>22-44-18-16-3-03-009</t>
  </si>
  <si>
    <t>B13-0091</t>
  </si>
  <si>
    <t>Employee Housing</t>
  </si>
  <si>
    <t>22-40-16-06-1-00-034.01</t>
  </si>
  <si>
    <t>B13-0098</t>
  </si>
  <si>
    <t>below grade foundation/parking phase</t>
  </si>
  <si>
    <t>22-41-16-28-4-10-001</t>
  </si>
  <si>
    <t>BDR2013-0022</t>
  </si>
  <si>
    <t>1085 sq. ft. bedroom &amp; bath addtion to SFD</t>
  </si>
  <si>
    <t>22-41-16-30-3-03-003</t>
  </si>
  <si>
    <t>BDR2013-0023</t>
  </si>
  <si>
    <t>New 5-bedroom, 7-bath SFD w/ attached garage  OVER 400 AMP -APPROVED-</t>
  </si>
  <si>
    <t>22-42-16-28-3-01-001</t>
  </si>
  <si>
    <t>BDR2013-0024</t>
  </si>
  <si>
    <t>176 sq. ft. artist studio addition to existing SFD</t>
  </si>
  <si>
    <t>BDR2013-0025</t>
  </si>
  <si>
    <t>1004 sq. ft. (2-bedrooms, &amp; 2-bathrooms) addition to existing SFD</t>
  </si>
  <si>
    <t>22-41-17-14-1-19-003</t>
  </si>
  <si>
    <t>BDR2013-0026</t>
  </si>
  <si>
    <t>New 3-bedroom, 2.5 bath SFD</t>
  </si>
  <si>
    <t>22-41-17-22-1-02-003</t>
  </si>
  <si>
    <t>BDR2013-0027</t>
  </si>
  <si>
    <t>New 3-bedroom, 4-bath SFD</t>
  </si>
  <si>
    <t>22-43-15-30-1-00-004</t>
  </si>
  <si>
    <t>BDR2013-0028</t>
  </si>
  <si>
    <t>BDR2013-0029</t>
  </si>
  <si>
    <t>New 4-bedroom, 3 1/2 bath SFD</t>
  </si>
  <si>
    <t>22-40-16-20-2-17-003</t>
  </si>
  <si>
    <t>BDR2013-0030</t>
  </si>
  <si>
    <t>22-40-17-12-4-01-075</t>
  </si>
  <si>
    <t>BDC2013-0002</t>
  </si>
  <si>
    <t>Complete expired permit BP2006-0032 for Clubhouse</t>
  </si>
  <si>
    <t>BDR2013-0031</t>
  </si>
  <si>
    <t>116 sq. ft. (kitchen area) addition to SFD</t>
  </si>
  <si>
    <t>22-41-17-14-1-06-005</t>
  </si>
  <si>
    <t>BDR2013-0032</t>
  </si>
  <si>
    <t>22-42-16-20-3-01-002</t>
  </si>
  <si>
    <t>BDR2013-0033</t>
  </si>
  <si>
    <t>New 7-bedroom, 11-bath SFD</t>
  </si>
  <si>
    <t>22-42-17-25-2-02-018</t>
  </si>
  <si>
    <t>B13-0122</t>
  </si>
  <si>
    <t>Detached workshop</t>
  </si>
  <si>
    <t>22-41-16-33-4-10-014</t>
  </si>
  <si>
    <t>B13-0125</t>
  </si>
  <si>
    <t>addition/alteration of warehous into new apartment rental</t>
  </si>
  <si>
    <t>22-40-16-06-1-00-034.02</t>
  </si>
  <si>
    <t>B13-0127</t>
  </si>
  <si>
    <t>New Single Family</t>
  </si>
  <si>
    <t>22-41-16-34-1-AG-002</t>
  </si>
  <si>
    <t>BDR2013-0034</t>
  </si>
  <si>
    <t>1312 sq. ft. addition to SFD</t>
  </si>
  <si>
    <t>BDR2013-0035</t>
  </si>
  <si>
    <t>New 3-bedroom, 3 1/2- bath SFD</t>
  </si>
  <si>
    <t>22-40-17-35-1-04-011</t>
  </si>
  <si>
    <t>BDR2013-0036</t>
  </si>
  <si>
    <t>New 4-bedroom, 4 1/2-bath SFD</t>
  </si>
  <si>
    <t>22-40-17-12-4-01-042</t>
  </si>
  <si>
    <t>B13-0135</t>
  </si>
  <si>
    <t>22-41-16-28-4-09-002</t>
  </si>
  <si>
    <t>BDR2013-0037</t>
  </si>
  <si>
    <t>New 4-bedroom, 4 1/2-bath SFD w/ attached garage</t>
  </si>
  <si>
    <t>22-40-17-12-1-01-048</t>
  </si>
  <si>
    <t>BDR2013-0038</t>
  </si>
  <si>
    <t>New roof, windows, siding, interior remodel &amp; 44 sq. ft. addition to existing SFD</t>
  </si>
  <si>
    <t>BDR2013-0039</t>
  </si>
  <si>
    <t>New 3-bedroom, 3 1/2-bath SFD w/ attached garage</t>
  </si>
  <si>
    <t>22-42-16-10-4-06-007</t>
  </si>
  <si>
    <t>B13-0137</t>
  </si>
  <si>
    <t>New single FAmily</t>
  </si>
  <si>
    <t>22-41-16-34-1-AA-002</t>
  </si>
  <si>
    <t>B13-0138</t>
  </si>
  <si>
    <t>22-41-16-34-1-01-006</t>
  </si>
  <si>
    <t>BDR2013-0040</t>
  </si>
  <si>
    <t>Add 417 sq. ft. bedroom &amp; bathroom above garage</t>
  </si>
  <si>
    <t>BDR2013-0041</t>
  </si>
  <si>
    <t>672 sq. ft. 2-bedroom, 1-bath addition to existing cabin</t>
  </si>
  <si>
    <t>BDR2013-0042</t>
  </si>
  <si>
    <t>New 6-bedroom, 8-bath SFD w/ garage</t>
  </si>
  <si>
    <t>22-42-17-24-1-01-004</t>
  </si>
  <si>
    <t>BDR2013-0043</t>
  </si>
  <si>
    <t>BDR2013-0044</t>
  </si>
  <si>
    <t>BDR2013-0045</t>
  </si>
  <si>
    <t>BDR2013-0046</t>
  </si>
  <si>
    <t>New 4-bedroom, 6 1/2-bath SFD w/ garage</t>
  </si>
  <si>
    <t>22-42-17-24-1-01-026</t>
  </si>
  <si>
    <t>BDR2013-0047</t>
  </si>
  <si>
    <t>New 4-bedroom, 4 1/2-bath SDF w/ garage</t>
  </si>
  <si>
    <t>22-42-16-27-4-12-003</t>
  </si>
  <si>
    <t>BDR2013-0048</t>
  </si>
  <si>
    <t>Addition &amp; interior remodel to existing SFD</t>
  </si>
  <si>
    <t>22-39-16-27-4-02-010</t>
  </si>
  <si>
    <t>BDR2013-0049</t>
  </si>
  <si>
    <t>New detached shop</t>
  </si>
  <si>
    <t>BDR2013-0050</t>
  </si>
  <si>
    <t>New 3-bedroom, 7-bath SFD w/ attached garage</t>
  </si>
  <si>
    <t>22-41-16-04-3-00-002</t>
  </si>
  <si>
    <t>BDR2013-0051</t>
  </si>
  <si>
    <t>New 1-bedroom, 1-bath accessory residential unit w/ attached garage</t>
  </si>
  <si>
    <t>BDR2013-0052</t>
  </si>
  <si>
    <t>Demo existing garage &amp; build new w/ living above &amp; attached breezeway to SFD</t>
  </si>
  <si>
    <t>22-41-17-01-4-01-006</t>
  </si>
  <si>
    <t>BDR2013-0053</t>
  </si>
  <si>
    <t>New 5-bedroom, 5 1.2-bath SFD</t>
  </si>
  <si>
    <t>22-41-17-34-3-14-003</t>
  </si>
  <si>
    <t>BDR2013-0055</t>
  </si>
  <si>
    <t>Extend existing attached garage 260 sq. ft.</t>
  </si>
  <si>
    <t>22-40-16-17-2-02-125</t>
  </si>
  <si>
    <t>BDR2013-0056</t>
  </si>
  <si>
    <t>New 4-bedroom, 4-bath SFD w/ garage.    05/28/2013 Add 144 square feet of deck.</t>
  </si>
  <si>
    <t>BDR2013-0057</t>
  </si>
  <si>
    <t>BDR2013-0058</t>
  </si>
  <si>
    <t>BDR2013-0059</t>
  </si>
  <si>
    <t>22-45-13-20-3-03-002</t>
  </si>
  <si>
    <t>BDR2013-0060</t>
  </si>
  <si>
    <t>Remodel &amp; 103 sq. ft. bathroom addition to existing SFD</t>
  </si>
  <si>
    <t>BDR2013-0061</t>
  </si>
  <si>
    <t>New 1-bedroom, 1-bath accessory residential unit above garage</t>
  </si>
  <si>
    <t>22-41-16-28-2-02-001</t>
  </si>
  <si>
    <t>BDR2013-0062</t>
  </si>
  <si>
    <t>846 sq ft. living/dining room addition to existing SFD</t>
  </si>
  <si>
    <t>BDR2013-0063</t>
  </si>
  <si>
    <t>Convert existing 190 sq. ft. existing non-habitable into habitable, add 243 new habitable, and take out cooktop/range to existing accessory residential unit.</t>
  </si>
  <si>
    <t>22-41-16-18-1-01-002</t>
  </si>
  <si>
    <t>B13-0172</t>
  </si>
  <si>
    <t>22-41-16-31-4-13-035</t>
  </si>
  <si>
    <t>BDR2013-0064</t>
  </si>
  <si>
    <t>22-45-13-07-1-00-023</t>
  </si>
  <si>
    <t>B13-0190</t>
  </si>
  <si>
    <t>basement finish</t>
  </si>
  <si>
    <t>22-41-16-34-1-82-016</t>
  </si>
  <si>
    <t>BDR2013-0065</t>
  </si>
  <si>
    <t>22-42-16-34-2-03-009</t>
  </si>
  <si>
    <t>BDR2013-0066</t>
  </si>
  <si>
    <t>New 3-bedroom, 1-bath SFD (re-apply previous withdrawn BDR2011-0044)</t>
  </si>
  <si>
    <t>22-41-16-18-4-03-007</t>
  </si>
  <si>
    <t>BDR2013-0067</t>
  </si>
  <si>
    <t>New 1-bedroom, 1-bath accessory residential unit (renew previously withdrawn BDR2011-0045)</t>
  </si>
  <si>
    <t>BDR2013-0068</t>
  </si>
  <si>
    <t>22-40-17-10-3-03-010</t>
  </si>
  <si>
    <t>BDR2013-0069</t>
  </si>
  <si>
    <t>New 4-bedroom, 4 1/2-bath SFD W/ attached garage</t>
  </si>
  <si>
    <t>22-41-16-19-1-02-001</t>
  </si>
  <si>
    <t>BDR2013-0070</t>
  </si>
  <si>
    <t>Attach new 2-car garage to SFD</t>
  </si>
  <si>
    <t>22-42-16-30-1-01-004</t>
  </si>
  <si>
    <t>BDR2013-0071</t>
  </si>
  <si>
    <t>22-44-18-16-3-03-010</t>
  </si>
  <si>
    <t>B13-0202</t>
  </si>
  <si>
    <t>Storage shed</t>
  </si>
  <si>
    <t>22-41-16-34-4-04-042</t>
  </si>
  <si>
    <t>BDR2013-0072</t>
  </si>
  <si>
    <t>1143 sq. ft. addition to existing SFD</t>
  </si>
  <si>
    <t>22-41-17-23-4-05-005</t>
  </si>
  <si>
    <t>BDR2014-0060R</t>
  </si>
  <si>
    <t>1143 sq. ft. addition to existing SFD. 4/21/14 plans submitted with reduction of the size off the play room (625 sq. ft. to 248 sq. ft.)</t>
  </si>
  <si>
    <t>BDR2013-0073</t>
  </si>
  <si>
    <t>55 sq. ft. addition to existing office</t>
  </si>
  <si>
    <t>B13-0223</t>
  </si>
  <si>
    <t>telecom closet addition</t>
  </si>
  <si>
    <t>22-41-16-34-3-00-003</t>
  </si>
  <si>
    <t>BDR2013-0075</t>
  </si>
  <si>
    <t>BDR2013-0076</t>
  </si>
  <si>
    <t>22-41-16-21-1-16-007</t>
  </si>
  <si>
    <t>BDR2013-0077</t>
  </si>
  <si>
    <t>New 2-bedroom, 1-bath accessory residential unit</t>
  </si>
  <si>
    <t>22-41-17-01-4-03-002</t>
  </si>
  <si>
    <t>BDR2013-0078</t>
  </si>
  <si>
    <t>1152 bedroom &amp; bath addition &amp; remodel existing SFD</t>
  </si>
  <si>
    <t>BDR2013-0079</t>
  </si>
  <si>
    <t>22-41-17-13-2-01-002</t>
  </si>
  <si>
    <t>BDR2013-0080</t>
  </si>
  <si>
    <t>22-41-16-21-1-16-005</t>
  </si>
  <si>
    <t>BDR2013-0081</t>
  </si>
  <si>
    <t>234 sq. ft. bathroom addition to SFD</t>
  </si>
  <si>
    <t>22-41-17-11-1-49-015</t>
  </si>
  <si>
    <t>B13-0238</t>
  </si>
  <si>
    <t>single family w/accessory unit</t>
  </si>
  <si>
    <t>22-40-16-06-1-00-009</t>
  </si>
  <si>
    <t>BDR2013-0083</t>
  </si>
  <si>
    <t>22-42-16-15-2-06-009</t>
  </si>
  <si>
    <t>BDR2014-0062R</t>
  </si>
  <si>
    <t>New 3-bedroom, 2 1/2-bath SFD w/ attached garage. 4/30//14 Revised plan reducing Sq. Ft. to 2671.50 w/576 sq.ft. garage and omitting the upper deck.</t>
  </si>
  <si>
    <t>BDR2013-0084</t>
  </si>
  <si>
    <t>22-42-17-25-1-04-001</t>
  </si>
  <si>
    <t>BDR2013-0085</t>
  </si>
  <si>
    <t>New detached shed</t>
  </si>
  <si>
    <t>BDR2013-0086</t>
  </si>
  <si>
    <t>BDR2013-0087</t>
  </si>
  <si>
    <t>652 sq. ft. bath addition, 698 sq. ft. garage addition, &amp; interior remodel to existing SFD</t>
  </si>
  <si>
    <t>BDR2013-0088</t>
  </si>
  <si>
    <t>New 2-bedroom, 1 1/2-bath accessory residential unit w/ attached garage</t>
  </si>
  <si>
    <t>22-41-17-33-4-06-001</t>
  </si>
  <si>
    <t>BDR2013-0090</t>
  </si>
  <si>
    <t>New Yoga Studio</t>
  </si>
  <si>
    <t>BDR2013-0091</t>
  </si>
  <si>
    <t>New 4-bedroom, 8-bath SFD w/ attached garage</t>
  </si>
  <si>
    <t>22-42-17-24-1-01-033</t>
  </si>
  <si>
    <t>B13-0270</t>
  </si>
  <si>
    <t>22-41-16-34-1-17-009</t>
  </si>
  <si>
    <t>B13-0271</t>
  </si>
  <si>
    <t>Addition and remodel existing home</t>
  </si>
  <si>
    <t>B13-0278</t>
  </si>
  <si>
    <t>single family with garage</t>
  </si>
  <si>
    <t>22-41-16-34-2-24-005.01</t>
  </si>
  <si>
    <t>B13-0279</t>
  </si>
  <si>
    <t>addition to existing home</t>
  </si>
  <si>
    <t>22-41-16-33-4-13-003</t>
  </si>
  <si>
    <t>BDR2013-0093</t>
  </si>
  <si>
    <t>22-41-16-31-4-10-002</t>
  </si>
  <si>
    <t>BDR2013-0094</t>
  </si>
  <si>
    <t>BDR2013-0095</t>
  </si>
  <si>
    <t>22-42-16-22-3-08-002</t>
  </si>
  <si>
    <t>BDR2013-0096</t>
  </si>
  <si>
    <t>New 4-bedroom, 6-bath SFD w/ attached garage</t>
  </si>
  <si>
    <t>22-41-16-28-1-04-007</t>
  </si>
  <si>
    <t>BDR2013-0097</t>
  </si>
  <si>
    <t>22-40-16-18-3-00-064</t>
  </si>
  <si>
    <t>BDR2013-0099</t>
  </si>
  <si>
    <t>2075 sq. ft. addition (wine cellar) to existing SFD</t>
  </si>
  <si>
    <t>BDR2013-0100</t>
  </si>
  <si>
    <t>22-42-16-34-2-02-031</t>
  </si>
  <si>
    <t>BDR2014-0072R</t>
  </si>
  <si>
    <t>New 4-bedroom, 6-bath SFD. 5/27/14 Revised plan with removing the basement and 1 bathroom.</t>
  </si>
  <si>
    <t>BDR2013-0101</t>
  </si>
  <si>
    <t>BDR2013-0102</t>
  </si>
  <si>
    <t>22-39-17-11-2-02-006</t>
  </si>
  <si>
    <t>BDR2013-0103</t>
  </si>
  <si>
    <t>157.5 sq. ft. bathroom addition to existing SFD</t>
  </si>
  <si>
    <t>22-41-17-14-1-04-004</t>
  </si>
  <si>
    <t>B13-0308</t>
  </si>
  <si>
    <t>new townhome (affordable)</t>
  </si>
  <si>
    <t>BDR2013-0104</t>
  </si>
  <si>
    <t>Demo existing &amp; build new 2-bedroom, 2-bath SFD</t>
  </si>
  <si>
    <t>BDR2013-0105</t>
  </si>
  <si>
    <t>197 sq. ft. master bedroom addition w/ 234 sq. ft. of new storage below</t>
  </si>
  <si>
    <t>BDR2013-0106</t>
  </si>
  <si>
    <t>22-42-17-35-1-00-017</t>
  </si>
  <si>
    <t>BDR2013-0107</t>
  </si>
  <si>
    <t>B13-0310</t>
  </si>
  <si>
    <t>New townhome (affordable)</t>
  </si>
  <si>
    <t>B13-0311</t>
  </si>
  <si>
    <t>B13-0312</t>
  </si>
  <si>
    <t>B13-0313</t>
  </si>
  <si>
    <t>B13-0314</t>
  </si>
  <si>
    <t>B13-0315</t>
  </si>
  <si>
    <t>BDR2013-0108</t>
  </si>
  <si>
    <t>Interior remodel &amp; 2229 sq. (bedroom &amp; bathroom) addition to existing SFD</t>
  </si>
  <si>
    <t>22-41-17-12-4-06-008</t>
  </si>
  <si>
    <t>BDR2013-0109</t>
  </si>
  <si>
    <t>22-42-16-15-3-02-004</t>
  </si>
  <si>
    <t>BDR2013-0110</t>
  </si>
  <si>
    <t>New 788 sq. ft. detached garage</t>
  </si>
  <si>
    <t>22-40-16-35-4-15-004</t>
  </si>
  <si>
    <t>BDR2013-0111</t>
  </si>
  <si>
    <t>22-40-16-18-1-06-047</t>
  </si>
  <si>
    <t>BDR2013-0113</t>
  </si>
  <si>
    <t>New 2-bedroom, 2-bath SFD w/ garage</t>
  </si>
  <si>
    <t>BDR2013-0114</t>
  </si>
  <si>
    <t>B13-0336</t>
  </si>
  <si>
    <t>22-41-16-31-4-14-079</t>
  </si>
  <si>
    <t>BDR2013-0116</t>
  </si>
  <si>
    <t>BDR2013-0117</t>
  </si>
  <si>
    <t>2532 sq ft. (2-bedrooms, 4.5-baths) addition to existing SFD</t>
  </si>
  <si>
    <t>22-40-16-18-4-00-023</t>
  </si>
  <si>
    <t>BDR2014-0083R</t>
  </si>
  <si>
    <t>2532 sq ft. (2-bedrooms, 4.5-baths) addition to existing SFD.  6/11/14 Revised roof plan.</t>
  </si>
  <si>
    <t>BDR2013-0118</t>
  </si>
  <si>
    <t>Add 132 sq. ft. sunroom &amp; access deck to existing SFD</t>
  </si>
  <si>
    <t>BDR2013-0119</t>
  </si>
  <si>
    <t>22-39-16-27-4-03-001</t>
  </si>
  <si>
    <t>BDR2013-0120</t>
  </si>
  <si>
    <t>New 4-bedroom, 3-1/2 bath SFD w/ attached garage  10/02/13 Wall design changed from stick framed to SIP's walls.  Revised engineering reviewed and approved. TJO</t>
  </si>
  <si>
    <t>22-41-17-23-2-10-017</t>
  </si>
  <si>
    <t>BDR2013-0121</t>
  </si>
  <si>
    <t>New 2-bedroom, 2 1/2-bath SFD w/ attached garage</t>
  </si>
  <si>
    <t>B13-0376</t>
  </si>
  <si>
    <t>new single family</t>
  </si>
  <si>
    <t>22-41-16-33-1-28-008</t>
  </si>
  <si>
    <t>BDR2013-0122</t>
  </si>
  <si>
    <t>New 2-bedroom, 2-bath SFD w/ attached garage</t>
  </si>
  <si>
    <t>B13-0385</t>
  </si>
  <si>
    <t>22-41-16-34-1-98-001</t>
  </si>
  <si>
    <t>BDR2013-0123</t>
  </si>
  <si>
    <t>Complete expired BP2007-0181 for a new SFD single-story cabin #5</t>
  </si>
  <si>
    <t>22-38-16-08-4-02-001</t>
  </si>
  <si>
    <t>BDR2013-0124</t>
  </si>
  <si>
    <t>Complete expired BP2007-0182 for (New SFD 2-story cottage #5 reverse)</t>
  </si>
  <si>
    <t>22-38-16-08-4-02-002</t>
  </si>
  <si>
    <t>BDR2013-0125</t>
  </si>
  <si>
    <t>Complete expired BP2007-0183 for (2-Story Cottage #5)</t>
  </si>
  <si>
    <t>22-38-16-08-4-02-003</t>
  </si>
  <si>
    <t>BDR2013-0126</t>
  </si>
  <si>
    <t>New detached garage (renew expired BP2008-0006)</t>
  </si>
  <si>
    <t>BDR2013-0127</t>
  </si>
  <si>
    <t>New detached garage (re-issue expired BP2008-0007)</t>
  </si>
  <si>
    <t>BDR2013-0128</t>
  </si>
  <si>
    <t>New detached garage (re-issue expired BP2008-0008)</t>
  </si>
  <si>
    <t>BDC2013-0003</t>
  </si>
  <si>
    <t>Domestic wastewater treatment plant</t>
  </si>
  <si>
    <t>BDR2013-0129</t>
  </si>
  <si>
    <t>22-41-17-15-1-00-028</t>
  </si>
  <si>
    <t>BDR2013-0130</t>
  </si>
  <si>
    <t>22-43-16-11-1-00-002</t>
  </si>
  <si>
    <t>BDR2013-0131</t>
  </si>
  <si>
    <t>Demo existing garage &amp; rebuild w/ new bedroom &amp; bathroom(600 sq. ft. of basement storage being added)</t>
  </si>
  <si>
    <t>BDR2013-0132</t>
  </si>
  <si>
    <t>918 sq. ft. bedroom &amp; bathroom addition to existing SFD</t>
  </si>
  <si>
    <t>BDR2013-0133</t>
  </si>
  <si>
    <t>Add new garage w/ living (1-bedroom, 1.5-baths) above to existing SFD</t>
  </si>
  <si>
    <t>22-41-17-22-3-05-005</t>
  </si>
  <si>
    <t>B13-0415</t>
  </si>
  <si>
    <t>22-41-16-34-1-AG-001</t>
  </si>
  <si>
    <t>BDR2013-0134</t>
  </si>
  <si>
    <t>New utility/storage barn</t>
  </si>
  <si>
    <t>BDR2013-0135</t>
  </si>
  <si>
    <t>New 5-bedroom, 4 1/2-bath SFD w/ garage</t>
  </si>
  <si>
    <t>22-42-17-25-2-02-002</t>
  </si>
  <si>
    <t>BDR2013-0136</t>
  </si>
  <si>
    <t>New 384 sq. ft. detached garage</t>
  </si>
  <si>
    <t>22-41-17-15-3-02-001</t>
  </si>
  <si>
    <t>BDR2013-0137</t>
  </si>
  <si>
    <t>New 4-bedroom, 4 1/2-bath SDF w/ attached garage</t>
  </si>
  <si>
    <t>22-41-17-14-1-20-004</t>
  </si>
  <si>
    <t>BDR2013-0138</t>
  </si>
  <si>
    <t>BDR2013-0139</t>
  </si>
  <si>
    <t>162 sq. ft. addition to existing guest quarters</t>
  </si>
  <si>
    <t>B13-0428</t>
  </si>
  <si>
    <t>22-41-16-27-3-20-008</t>
  </si>
  <si>
    <t>BDR2013-0140</t>
  </si>
  <si>
    <t>22-40-17-12-4-01-024</t>
  </si>
  <si>
    <t>BDR2014-0107R</t>
  </si>
  <si>
    <t>New 4-bedroom, 4 1/2 bath SFD. 6/18/14 Revision to the garage adding 3rd bay.</t>
  </si>
  <si>
    <t>B13-0430</t>
  </si>
  <si>
    <t>22-41-15-04-1-00-001.14</t>
  </si>
  <si>
    <t>B13-0431</t>
  </si>
  <si>
    <t>sunroom addition</t>
  </si>
  <si>
    <t>22-40-16-05-2-01-001</t>
  </si>
  <si>
    <t>BDR2013-0141</t>
  </si>
  <si>
    <t>22-42-16-27-4-12-024</t>
  </si>
  <si>
    <t>BDR2013-0142</t>
  </si>
  <si>
    <t>22-42-15-11-1-00-017</t>
  </si>
  <si>
    <t>BDR2013-0143</t>
  </si>
  <si>
    <t>Convert existing detached garage into 2-bedroom, 1-bath accessory residential unit</t>
  </si>
  <si>
    <t>22-42-16-27-4-04-014</t>
  </si>
  <si>
    <t>BDR2013-0144</t>
  </si>
  <si>
    <t>Add 156 sq. ft. of habitable &amp; remodel to existing SFD</t>
  </si>
  <si>
    <t>BDR2013-0145</t>
  </si>
  <si>
    <t>New 3-bedroom, 3 1.2-bath SFD w/ attached garage</t>
  </si>
  <si>
    <t>22-41-16-16-4-08-001</t>
  </si>
  <si>
    <t>BDR2014-0201R</t>
  </si>
  <si>
    <t>New 3-bedroom, 3 1.2-bath SFD w/ attached garage.  1/20/15 Revision to the basement and remove the garage storage.</t>
  </si>
  <si>
    <t>BDR2013-0146</t>
  </si>
  <si>
    <t>Add 1923 sq. ft. of habitable, 659 sq. ft. non-habitable, 927 deck, &amp; interior remodel of existing SFD</t>
  </si>
  <si>
    <t>22-41-17-34-3-00-005</t>
  </si>
  <si>
    <t>BDR2014-0034R</t>
  </si>
  <si>
    <t>Add 1923 sq. ft. of habitable, 659 sq. ft. non-habitable, 927 deck, &amp; interior remodel of existing SFD. 4/1/14 Plan revised by adding 448 sq.ft. of basement area. 4/2/14 Mechanical permit.</t>
  </si>
  <si>
    <t>B13-0443</t>
  </si>
  <si>
    <t>B13-0444</t>
  </si>
  <si>
    <t>22-41-16-27-3-04-005</t>
  </si>
  <si>
    <t>B13-0446</t>
  </si>
  <si>
    <t>START bus storage/admin building</t>
  </si>
  <si>
    <t>22-41-16-33-2-00-025</t>
  </si>
  <si>
    <t>B13-0448</t>
  </si>
  <si>
    <t>attached shed</t>
  </si>
  <si>
    <t>22-40-16-06-2-04-002</t>
  </si>
  <si>
    <t>BDR2013-0147</t>
  </si>
  <si>
    <t>Add 329 sq. ft. (1/2 bath) of habitable, &amp; interior remodel to existing SFD</t>
  </si>
  <si>
    <t>22-41-17-11-4-15-002</t>
  </si>
  <si>
    <t>BDR2013-0149</t>
  </si>
  <si>
    <t>New 4-bedroom, 7-bath SFD w/ garage.</t>
  </si>
  <si>
    <t>BDR2014-0029R</t>
  </si>
  <si>
    <t>New 4-bedroom, 7-bath SFD w/ garage. 4/2/14 Revised plans reducing bedrooms to 3 and baths to 6 and reducing 1068 sq.ft. total from original plan submittal.</t>
  </si>
  <si>
    <t>BDR2015-0062R</t>
  </si>
  <si>
    <t>New 4-bedroom, 7-bath SFD w/ garage. 4/2/14 Revised plans reducing bedrooms to 3 and baths to 6 and reducing 1068 sq.ft. total from original plan submittal.  5/11/15 Finishing 4772 sq. ft. of the basement. Adds 2 bdrms.</t>
  </si>
  <si>
    <t>B13-0457</t>
  </si>
  <si>
    <t>detached accessory unit</t>
  </si>
  <si>
    <t>22-41-16-34-2-33-002.01</t>
  </si>
  <si>
    <t>BDR2013-0150</t>
  </si>
  <si>
    <t>New 7-bedroom, 6-bath SFD w/ attached garage.</t>
  </si>
  <si>
    <t>22-41-17-15-1-09-001</t>
  </si>
  <si>
    <t>BDR2013-0151</t>
  </si>
  <si>
    <t>300 sq. ft. addition to existing garage</t>
  </si>
  <si>
    <t>22-41-17-25-4-00-039</t>
  </si>
  <si>
    <t>BDR2013-0152</t>
  </si>
  <si>
    <t>63 sq. ft. mudroom addition to SFD</t>
  </si>
  <si>
    <t>BDR2013-0153</t>
  </si>
  <si>
    <t>B13-0462</t>
  </si>
  <si>
    <t>office space and indoor pool</t>
  </si>
  <si>
    <t>22-41-16-33-1-00-008</t>
  </si>
  <si>
    <t>B13-0464</t>
  </si>
  <si>
    <t>8 unit apartment -Bld B</t>
  </si>
  <si>
    <t>22-41-16-32-4-38-007</t>
  </si>
  <si>
    <t>B13-0466</t>
  </si>
  <si>
    <t>8 unit apartment building- Bld A</t>
  </si>
  <si>
    <t>B13-0468</t>
  </si>
  <si>
    <t>8 unit apartment building- Bld C</t>
  </si>
  <si>
    <t>B13-0478</t>
  </si>
  <si>
    <t>garage/studio apartment</t>
  </si>
  <si>
    <t>22-41-16-34-1-67-002</t>
  </si>
  <si>
    <t>BDR2013-0154</t>
  </si>
  <si>
    <t>New 3-bedroom, 3 1/2-bath SFD w/ attached garage.  1/27/14 Revision of the orginal sq. ft. with an additional 168 added.  Revised EMP, Affordable Housing and Plan Review fees.</t>
  </si>
  <si>
    <t>22-40-17-04-1-00-003</t>
  </si>
  <si>
    <t>BDR2014-0094R</t>
  </si>
  <si>
    <t>New 3-bedroom, 3 1/2-bath SFD w/ attached garage.</t>
  </si>
  <si>
    <t>BDR2013-0156</t>
  </si>
  <si>
    <t>BDR2013-0157</t>
  </si>
  <si>
    <t>747 sq. ft. bedroom &amp; bathroom addition to existing SFD</t>
  </si>
  <si>
    <t>22-41-17-11-1-01-005</t>
  </si>
  <si>
    <t>BDR2013-0158</t>
  </si>
  <si>
    <t>Convert existing garage into 1-bedroom, 1-bath ARU (accessory residential unit)</t>
  </si>
  <si>
    <t>22-40-16-17-3-06-011</t>
  </si>
  <si>
    <t>BDR2013-0159</t>
  </si>
  <si>
    <t>Move 2-bedroom, 2-bath SFD from adjacent property</t>
  </si>
  <si>
    <t>22-40-16-17-3-06-008</t>
  </si>
  <si>
    <t>BDR2013-0160</t>
  </si>
  <si>
    <t>Enclose existing covered back deck, re-build front entry, remodel &amp; upgrade interior, install new boiler, fill in existing fuel oil tank &amp; install new propane tand (to be buried)</t>
  </si>
  <si>
    <t>BDR2013-0161</t>
  </si>
  <si>
    <t>New Barn w/ quest quarters</t>
  </si>
  <si>
    <t>22-44-18-08-3-00-006</t>
  </si>
  <si>
    <t>BDR2013-0162</t>
  </si>
  <si>
    <t>New 2-bedroom, 3-bath SFD w/ attached garage</t>
  </si>
  <si>
    <t>22-40-16-18-1-06-045</t>
  </si>
  <si>
    <t>B13-0493</t>
  </si>
  <si>
    <t>New townhome</t>
  </si>
  <si>
    <t>22-40-16-06-2-50-039</t>
  </si>
  <si>
    <t>B13-0494</t>
  </si>
  <si>
    <t>new townhome</t>
  </si>
  <si>
    <t>22-40-16-06-2-50-038</t>
  </si>
  <si>
    <t>B13-0495</t>
  </si>
  <si>
    <t>22-40-16-06-2-50-037</t>
  </si>
  <si>
    <t>BDR2013-0164</t>
  </si>
  <si>
    <t>22-40-17-13-1-01-028</t>
  </si>
  <si>
    <t>BDR2013-0165</t>
  </si>
  <si>
    <t>257 sq. ft. spa room &amp; entry addition to existing SFD</t>
  </si>
  <si>
    <t>22-42-16-16-1-00-012</t>
  </si>
  <si>
    <t>B13-0511</t>
  </si>
  <si>
    <t>restaurant with employee housing</t>
  </si>
  <si>
    <t>22-41-16-27-3-26-002</t>
  </si>
  <si>
    <t>BDR2013-0166</t>
  </si>
  <si>
    <t>New 3-bedroom, 3 1/2-bath SFD</t>
  </si>
  <si>
    <t>22-42-15-10-1-05-008</t>
  </si>
  <si>
    <t>B13-0514</t>
  </si>
  <si>
    <t>Sweet Pea daycare exspansion</t>
  </si>
  <si>
    <t>22-40-16-06-1-12-027</t>
  </si>
  <si>
    <t>B13-0527</t>
  </si>
  <si>
    <t>22-41-16-34-1-19-006</t>
  </si>
  <si>
    <t>BDR2013-0167</t>
  </si>
  <si>
    <t>22-40-16-18-1-23-003</t>
  </si>
  <si>
    <t>B13-0531</t>
  </si>
  <si>
    <t>22-41-16-34-1-26-001</t>
  </si>
  <si>
    <t>BDR2013-0169</t>
  </si>
  <si>
    <t>1627 sq. ft. (2-bedroom &amp; 2-baths) addition to existing SFD</t>
  </si>
  <si>
    <t>BDR2013-0170</t>
  </si>
  <si>
    <t>New 6-bedroom, 7 1/2-bath SFD w/ attached garage</t>
  </si>
  <si>
    <t>22-42-17-25-1-01-046</t>
  </si>
  <si>
    <t>BDR2013-0171</t>
  </si>
  <si>
    <t>BDR2013-0173</t>
  </si>
  <si>
    <t>New 4-bedroom, 3 1/2-bath SFD w/ garage  Defered Mechanical Plan submital on 12/30/13</t>
  </si>
  <si>
    <t>22-44-18-05-2-01-003</t>
  </si>
  <si>
    <t>BDC2013-0006</t>
  </si>
  <si>
    <t>Move on existing building to be used as rest room facility for Golf Course</t>
  </si>
  <si>
    <t>22-38-16-08-4-01-078</t>
  </si>
  <si>
    <t>BDR2013-0174</t>
  </si>
  <si>
    <t>B13-0559</t>
  </si>
  <si>
    <t>Addition to existin home</t>
  </si>
  <si>
    <t>22-41-16-34-1-19-001</t>
  </si>
  <si>
    <t>BDR2013-0175</t>
  </si>
  <si>
    <t>convert existing storage space into 1-bedroom, 1-bath ARU (accessory residential unit).</t>
  </si>
  <si>
    <t>BDR2013-0176</t>
  </si>
  <si>
    <t>New 2-bedroom, 1-bath ARU (accessory residential unit)</t>
  </si>
  <si>
    <t>22-42-16-27-4-04-031</t>
  </si>
  <si>
    <t>B13-0577</t>
  </si>
  <si>
    <t>new swimming pool,changing rooms landry</t>
  </si>
  <si>
    <t>22-41-16-33-1-00-018</t>
  </si>
  <si>
    <t>BDR2013-0177</t>
  </si>
  <si>
    <t>converting existing 3-bays of garage space into 2-bedrooms, 2-baths, &amp; a media room; &amp; add a new 2-bay garage  11/26/13 363 sq. ft. of addition deleted from orginal plan.</t>
  </si>
  <si>
    <t>BDR2013-0178</t>
  </si>
  <si>
    <t>New 4-bedroom, 3 1/2-bath SFD w/ garage</t>
  </si>
  <si>
    <t>22-44-18-08-4-01-004</t>
  </si>
  <si>
    <t>BDR2013-0179</t>
  </si>
  <si>
    <t>New garage w/ 1-bedroom, 1-bath SFD above</t>
  </si>
  <si>
    <t>22-44-18-07-3-01-002</t>
  </si>
  <si>
    <t>BDR2013-0180</t>
  </si>
  <si>
    <t>laundry addition &amp; entry roof extension to existing SFD</t>
  </si>
  <si>
    <t>22-42-17-24-3-02-081</t>
  </si>
  <si>
    <t>BDR2013-0181</t>
  </si>
  <si>
    <t>build garage on existing foundation</t>
  </si>
  <si>
    <t>BDR2013-0183</t>
  </si>
  <si>
    <t>22-39-15-30-4-01-001</t>
  </si>
  <si>
    <t>BDR2013-0184</t>
  </si>
  <si>
    <t>add 1-bedroom &amp; 1-bathroom addition to existing SFD</t>
  </si>
  <si>
    <t>22-39-16-26-2-01-001</t>
  </si>
  <si>
    <t>BDR2013-0185</t>
  </si>
  <si>
    <t>mudroom addition to existing mobile home trailer</t>
  </si>
  <si>
    <t>22-39-16-14-1-00-002</t>
  </si>
  <si>
    <t>B13-0617</t>
  </si>
  <si>
    <t>kitchen expansion into existing office space</t>
  </si>
  <si>
    <t>22-41-16-33-1-01-004</t>
  </si>
  <si>
    <t>BDR2013-0187</t>
  </si>
  <si>
    <t>New 4-bedroom, 7-bath SFD w/ attached garage</t>
  </si>
  <si>
    <t>22-42-16-28-3-02-002</t>
  </si>
  <si>
    <t>BDR2013-0188</t>
  </si>
  <si>
    <t>New barn w/ 2-bedroom, 1-bath ARU (accessory residential unit) above</t>
  </si>
  <si>
    <t>BDR2013-0189</t>
  </si>
  <si>
    <t>22-40-17-12-1-02-003</t>
  </si>
  <si>
    <t>BDR2013-0190</t>
  </si>
  <si>
    <t>Re-activate expired permit BP2008-0102 for New 6-bedroom, 8-bath SFD w/ attached garage</t>
  </si>
  <si>
    <t>22-38-16-08-4-01-012</t>
  </si>
  <si>
    <t>BDR2014-0118R</t>
  </si>
  <si>
    <t>Re-activate expired permit BP2008-0102 for New 6-bedroom, 8-bath SFD w/ attached garage. 7/15/14 Revised floor plan.</t>
  </si>
  <si>
    <t>BDC2013-0010</t>
  </si>
  <si>
    <t>Interior office remodel</t>
  </si>
  <si>
    <t>22-42-17-24-4-39-005</t>
  </si>
  <si>
    <t>BDR2013-0191</t>
  </si>
  <si>
    <t>New 2-car garage on existing foundation</t>
  </si>
  <si>
    <t>22-40-17-35-2-02-009</t>
  </si>
  <si>
    <t>BDC2013-0011</t>
  </si>
  <si>
    <t>Enclose existing balconies into office space</t>
  </si>
  <si>
    <t>BDR2013-0192</t>
  </si>
  <si>
    <t>New 6-bedroom, 6 1/2-bath SFD w/ garage</t>
  </si>
  <si>
    <t>22-41-17-33-1-01-002</t>
  </si>
  <si>
    <t>BDR2013-0193</t>
  </si>
  <si>
    <t>New 4-bedroom, 4-full 2-1/2-bath SFD w/ garage</t>
  </si>
  <si>
    <t>22-40-17-14-3-02-002</t>
  </si>
  <si>
    <t>BDR2013-0194</t>
  </si>
  <si>
    <t>New 4-bedroom, 4-bath SFD w/ garage</t>
  </si>
  <si>
    <t>22-42-15-11-1-00-016</t>
  </si>
  <si>
    <t>B13-0651</t>
  </si>
  <si>
    <t>22-41-16-27-3-04-008</t>
  </si>
  <si>
    <t>B13-0652</t>
  </si>
  <si>
    <t>22-41-16-27-3-04-009</t>
  </si>
  <si>
    <t>BDR2013-0196</t>
  </si>
  <si>
    <t>New 1056 sq. ft. garage</t>
  </si>
  <si>
    <t>BDR2014-0082R</t>
  </si>
  <si>
    <t>BDR2013-0197</t>
  </si>
  <si>
    <t>22-40-16-18-3-06-027</t>
  </si>
  <si>
    <t>BDR2013-0198</t>
  </si>
  <si>
    <t>New 3-bedroom, 3-bath SFD w/ garage</t>
  </si>
  <si>
    <t>22-40-16-18-1-06-058</t>
  </si>
  <si>
    <t>BDR2013-0199</t>
  </si>
  <si>
    <t>New pole barn</t>
  </si>
  <si>
    <t>22-38-16-05-1-00-005</t>
  </si>
  <si>
    <t>BDR2013-0200</t>
  </si>
  <si>
    <t>330 sq. ft. bedroom, bath, &amp; elevator shaft addition to existing SFD</t>
  </si>
  <si>
    <t>22-41-17-14-1-20-010</t>
  </si>
  <si>
    <t>B13-0689</t>
  </si>
  <si>
    <t>22-41-16-33-4-38-015</t>
  </si>
  <si>
    <t>B13-0690</t>
  </si>
  <si>
    <t>22-41-16-33-4-38-016</t>
  </si>
  <si>
    <t>B13-0691</t>
  </si>
  <si>
    <t>BDR2013-0202</t>
  </si>
  <si>
    <t>22-42-16-27-3-02-008</t>
  </si>
  <si>
    <t>BDR2013-0203</t>
  </si>
  <si>
    <t>Relocate existing cabin onto ajacent lot &amp; add 1-bath to.</t>
  </si>
  <si>
    <t>22-42-16-18-4-01-001</t>
  </si>
  <si>
    <t>BDR2013-0204</t>
  </si>
  <si>
    <t>New 240 sq. ft. storage shed</t>
  </si>
  <si>
    <t>B13-0713</t>
  </si>
  <si>
    <t>New Townhome -type B</t>
  </si>
  <si>
    <t>22-40-16-06-2-50-043</t>
  </si>
  <si>
    <t>B13-0714</t>
  </si>
  <si>
    <t>new townhome-Type B</t>
  </si>
  <si>
    <t>22-40-16-06-2-50-042</t>
  </si>
  <si>
    <t>B13-0715</t>
  </si>
  <si>
    <t>New townhome- Type B</t>
  </si>
  <si>
    <t>22-40-16-06-2-50-041</t>
  </si>
  <si>
    <t>B13-0716</t>
  </si>
  <si>
    <t>new townhome- Type B</t>
  </si>
  <si>
    <t>22-40-16-06-2-50-040</t>
  </si>
  <si>
    <t>BDR2013-0205</t>
  </si>
  <si>
    <t>1272 sq. ft. bedroom &amp; bath addition to existing SFD</t>
  </si>
  <si>
    <t>B13-0748</t>
  </si>
  <si>
    <t>addition to existing garage</t>
  </si>
  <si>
    <t>22-41-16-34-1-35-003</t>
  </si>
  <si>
    <t>BDR2013-0206</t>
  </si>
  <si>
    <t>New 7-bedroom, 9-bath SFD w/ attached garage</t>
  </si>
  <si>
    <t>22-41-16-08-1-00-005</t>
  </si>
  <si>
    <t>BDR2013-0207</t>
  </si>
  <si>
    <t>1103 sq. ft. (1-bedroom, 1.5-bath) addition of habitable, and 3010 non-habitable to existing SFD</t>
  </si>
  <si>
    <t>22-42-16-30-1-01-003</t>
  </si>
  <si>
    <t>BDR2013-0208</t>
  </si>
  <si>
    <t>New 5-bedroom, 7.5-bath SFD w/ attached garage</t>
  </si>
  <si>
    <t>22-42-17-25-1-01-033</t>
  </si>
  <si>
    <t>BDR2013-0209</t>
  </si>
  <si>
    <t>new detached garage</t>
  </si>
  <si>
    <t>BDR2013-0210</t>
  </si>
  <si>
    <t>22-40-16-18-1-06-039</t>
  </si>
  <si>
    <t>BDR2013-0211</t>
  </si>
  <si>
    <t>New 7-bedroom, 8-bath SFD w/ attached 3-car garage</t>
  </si>
  <si>
    <t>BDR2014-0001</t>
  </si>
  <si>
    <t>New 1-bedroom, 1-bath Accessory Residential Unit</t>
  </si>
  <si>
    <t>B14-0005</t>
  </si>
  <si>
    <t>Tenant build out</t>
  </si>
  <si>
    <t>22-41-16-33-1-65-016</t>
  </si>
  <si>
    <t>B14-0019</t>
  </si>
  <si>
    <t>B14-0021</t>
  </si>
  <si>
    <t>interior alteration</t>
  </si>
  <si>
    <t>B14-0023</t>
  </si>
  <si>
    <t>22-41-16-27-3-10-009</t>
  </si>
  <si>
    <t>B14-0028</t>
  </si>
  <si>
    <t>enclose porch to creat mudroom</t>
  </si>
  <si>
    <t>22-40-16-06-2-09-015</t>
  </si>
  <si>
    <t>B14-0030</t>
  </si>
  <si>
    <t>site grading and utilities</t>
  </si>
  <si>
    <t>22-41-16-34-1-48-010</t>
  </si>
  <si>
    <t>BDR2014-0003</t>
  </si>
  <si>
    <t>Restore existing 1-bath cabin (homestead cabin)</t>
  </si>
  <si>
    <t>BDR2014-0005</t>
  </si>
  <si>
    <t>790 sq. ft. (guest wing) 1-bedroom &amp; 1-bath addition to exisiting SFD</t>
  </si>
  <si>
    <t>BDR2014-0006</t>
  </si>
  <si>
    <t>1849 sq ft. habitable (1-bath), 1076 sq. ft. non-habitable, &amp; interior renovation of existing SFD. 8/18/14 Revision to the original application adding 198 sq. ft.</t>
  </si>
  <si>
    <t>22-41-17-12-4-05-002</t>
  </si>
  <si>
    <t>BDR2014-0139R</t>
  </si>
  <si>
    <t>BDR2014-0007</t>
  </si>
  <si>
    <t>Remodel existing SFD including exterior deck reconstruction</t>
  </si>
  <si>
    <t>22-41-17-11-1-12-011</t>
  </si>
  <si>
    <t>BDR2014-0008</t>
  </si>
  <si>
    <t>287 sq. ft. main level bedroom addition to existing SFD</t>
  </si>
  <si>
    <t>22-41-17-11-1-49-013</t>
  </si>
  <si>
    <t>B14-0053</t>
  </si>
  <si>
    <t>22-41-16-34-1-AD-005</t>
  </si>
  <si>
    <t>B14-0054</t>
  </si>
  <si>
    <t>New Townhome</t>
  </si>
  <si>
    <t>22-41-16-34-1-AD-005.01</t>
  </si>
  <si>
    <t>B14-0055</t>
  </si>
  <si>
    <t>22-41-16-34-1-AD-005.03</t>
  </si>
  <si>
    <t>B14-0056</t>
  </si>
  <si>
    <t>22-41-16-34-1-AD-005.02</t>
  </si>
  <si>
    <t>BDR2014-0010</t>
  </si>
  <si>
    <t>Add 1180 sq. ft. of habitable, &amp; 846 sq. ft. of non-habitable to existing SFD</t>
  </si>
  <si>
    <t>22-42-16-10-3-08-005</t>
  </si>
  <si>
    <t>BDR2014-0011</t>
  </si>
  <si>
    <t>22-41-17-22-3-12-002</t>
  </si>
  <si>
    <t>B14-0077</t>
  </si>
  <si>
    <t>Expanding retail display area</t>
  </si>
  <si>
    <t>22-41-16-27-3-00-018</t>
  </si>
  <si>
    <t>B14-0079</t>
  </si>
  <si>
    <t>enclosing existing porches</t>
  </si>
  <si>
    <t>BDR2014-0012</t>
  </si>
  <si>
    <t>New 3-bedroom, 4-bath SFD w/ attached garage, Lodge 3</t>
  </si>
  <si>
    <t>22-42-17-24-4-36-002</t>
  </si>
  <si>
    <t>BDR2014-0013</t>
  </si>
  <si>
    <t>New 3-bedroom, 4-bath SFD w/ attached garage, Lodge 4</t>
  </si>
  <si>
    <t>BDR2014-0014</t>
  </si>
  <si>
    <t>New 3-bedroom, 4-bath SFD w/ attached garage, Lodge 5</t>
  </si>
  <si>
    <t>BDR2014-0015</t>
  </si>
  <si>
    <t>New 3-bedroom, 4-bath SFD w/ attached garage, Lodge 7</t>
  </si>
  <si>
    <t>BDR2014-0016</t>
  </si>
  <si>
    <t>New 3-bedroom, 4-bath SFD w/ attached garage, Lodge 8</t>
  </si>
  <si>
    <t>BDR2014-0017</t>
  </si>
  <si>
    <t>New 3-bedroom, 4-bath SFD w/ attached garage, Lodge 9</t>
  </si>
  <si>
    <t>BDR2014-0018</t>
  </si>
  <si>
    <t>New 3-bedroom, 4-bath SFD w/ attached garage, Lodge 11</t>
  </si>
  <si>
    <t>BDR2014-0019</t>
  </si>
  <si>
    <t>New 3-bedroom, 4-bath SFD w/ attached garage, Lodge 2</t>
  </si>
  <si>
    <t>BDR2014-0020</t>
  </si>
  <si>
    <t>New 3-bedroom, 4-bath SFD w/ attached garage, Lodge 6</t>
  </si>
  <si>
    <t>BDR2014-0021</t>
  </si>
  <si>
    <t>New 3-bedroom, 4-bath SFD w/ attached garage, Lodge 10</t>
  </si>
  <si>
    <t>BDR2014-0022</t>
  </si>
  <si>
    <t>New 3-bedroom, 4-bath SFD w/ attached garage, Lodge 12</t>
  </si>
  <si>
    <t>BDR2014-0023</t>
  </si>
  <si>
    <t>New 3-bedroom, 4-bath SFD w/ attached garage, Lodge 1</t>
  </si>
  <si>
    <t>BDR2014-0024</t>
  </si>
  <si>
    <t>New 4-bedroom, 4-bath SFD</t>
  </si>
  <si>
    <t>22-40-17-35-1-01-004</t>
  </si>
  <si>
    <t>BDR2014-0025</t>
  </si>
  <si>
    <t>New detached accessory building</t>
  </si>
  <si>
    <t>BDR2014-0026</t>
  </si>
  <si>
    <t>22-42-17-24-3-02-072</t>
  </si>
  <si>
    <t>B14-0089</t>
  </si>
  <si>
    <t>interior alteration/enclose deck/porch area</t>
  </si>
  <si>
    <t>22-41-16-33-4-24-001</t>
  </si>
  <si>
    <t>B14-0090</t>
  </si>
  <si>
    <t>22-40-16-05-2-04-022</t>
  </si>
  <si>
    <t>BDR2014-0027</t>
  </si>
  <si>
    <t>22-39-16-12-2-01-002</t>
  </si>
  <si>
    <t>BDR2014-0028</t>
  </si>
  <si>
    <t>New SFD 4-bedroom, 4.5-bath SFD w/ attached garage</t>
  </si>
  <si>
    <t>22-42-16-33-1-00-013</t>
  </si>
  <si>
    <t>B14-0108</t>
  </si>
  <si>
    <t>interior/exterior remodel</t>
  </si>
  <si>
    <t>22-41-16-34-1-43-001</t>
  </si>
  <si>
    <t>B14-0110</t>
  </si>
  <si>
    <t>new single family cabin 2</t>
  </si>
  <si>
    <t>22-41-16-28-4-00-038</t>
  </si>
  <si>
    <t>B14-0111</t>
  </si>
  <si>
    <t>New single family cabin 1</t>
  </si>
  <si>
    <t>B14-0116</t>
  </si>
  <si>
    <t>100Fence and awning over loading area</t>
  </si>
  <si>
    <t>22-41-16-32-4-19-001</t>
  </si>
  <si>
    <t>BDR2014-0030</t>
  </si>
  <si>
    <t>New 4-bedroom, 5-bath SFD w/ attached garage. 4/3/14 Added 64 sq. ft. to original plans.</t>
  </si>
  <si>
    <t>22-42-16-27-1-28-009</t>
  </si>
  <si>
    <t>BDR2014-0031</t>
  </si>
  <si>
    <t>BDR2014-0032</t>
  </si>
  <si>
    <t>New 3-bedroom, 3-bath SFD w/ attached garage.</t>
  </si>
  <si>
    <t>22-39-16-02-2-00-021</t>
  </si>
  <si>
    <t>BDR2014-0035</t>
  </si>
  <si>
    <t>22-40-16-18-1-06-044</t>
  </si>
  <si>
    <t>B14-0124</t>
  </si>
  <si>
    <t>school and gym</t>
  </si>
  <si>
    <t>BDR2014-0038</t>
  </si>
  <si>
    <t>New 4250 sq. ft. Barn</t>
  </si>
  <si>
    <t>BDR2014-0039</t>
  </si>
  <si>
    <t>New 1-bedroom, 1.5-bath SFD</t>
  </si>
  <si>
    <t>22-41-17-22-3-00-034</t>
  </si>
  <si>
    <t>BDR2014-0040</t>
  </si>
  <si>
    <t>22-42-16-33-1-00-012</t>
  </si>
  <si>
    <t>BDR2014-0109R</t>
  </si>
  <si>
    <t>B14-0129</t>
  </si>
  <si>
    <t>New mixed use/apartment building</t>
  </si>
  <si>
    <t>22-41-16-33-3-00-036</t>
  </si>
  <si>
    <t>B14-0133</t>
  </si>
  <si>
    <t>single family with an attached accessory</t>
  </si>
  <si>
    <t>22-41-16-33-1-21-002</t>
  </si>
  <si>
    <t>B14-0134</t>
  </si>
  <si>
    <t>interior remodel for new restaurant</t>
  </si>
  <si>
    <t>22-41-16-33-1-02-001</t>
  </si>
  <si>
    <t>BDR2014-0041</t>
  </si>
  <si>
    <t>2 story (1006 sq. ft.1-bedroom, 2-bath) with attached garage addition to existing SFD</t>
  </si>
  <si>
    <t>22-41-17-26-2-00-011</t>
  </si>
  <si>
    <t>BDR2014-0042</t>
  </si>
  <si>
    <t>273 sq. ft. 2-bedroom/2-bath addition &amp; remodel to existing SFD</t>
  </si>
  <si>
    <t>22-40-16-18-3-08-004</t>
  </si>
  <si>
    <t>BDC2014-0002</t>
  </si>
  <si>
    <t>Repair existing motel roof at the Hatchet Resort</t>
  </si>
  <si>
    <t>22-45-13-36-1-01-003</t>
  </si>
  <si>
    <t>BDR2014-0043</t>
  </si>
  <si>
    <t>180 sq. ft. master bathroom addition to existing SFD</t>
  </si>
  <si>
    <t>BDR2014-0045</t>
  </si>
  <si>
    <t>Scrape existing &amp; build new 2298 sq. ft. detached storage garage</t>
  </si>
  <si>
    <t>22-40-17-35-1-04-001</t>
  </si>
  <si>
    <t>BDR2014-0046</t>
  </si>
  <si>
    <t>Bathroom addition and remodel existing SFD (995 sq. ft. new hab. 46 sq. ft. new non-hab.)</t>
  </si>
  <si>
    <t>22-41-16-06-3-04-004</t>
  </si>
  <si>
    <t>BDR2014-0047</t>
  </si>
  <si>
    <t>New 1-bedroom, 1-bath ARU (Accessory Residential Unit)</t>
  </si>
  <si>
    <t>BDR2014-0048</t>
  </si>
  <si>
    <t>1675.99 (2-bedroom, 2-bath) addition to existing SFD. 6/2/14 Submitted revised drawings with fire barrier separating the garage from the home and eliminating the fire sprinkler.</t>
  </si>
  <si>
    <t>22-41-16-21-1-05-023</t>
  </si>
  <si>
    <t>BDR2014-0050</t>
  </si>
  <si>
    <t>New 3-bedroom, 3 3/2-bath SFD w/ attached garage.  9/22/14 Revised structural drawings.</t>
  </si>
  <si>
    <t>22-41-17-26-2-06-001</t>
  </si>
  <si>
    <t>BDR2014-0051</t>
  </si>
  <si>
    <t>New 4-bedroom, 2 1/2-bath SFD w/ attached garage</t>
  </si>
  <si>
    <t>22-40-16-20-2-01-011</t>
  </si>
  <si>
    <t>BDR2014-0052</t>
  </si>
  <si>
    <t>22-44-18-09-3-00-006</t>
  </si>
  <si>
    <t>BDR2014-0053</t>
  </si>
  <si>
    <t>enclose existing 2nd story deck into habitable space</t>
  </si>
  <si>
    <t>BDR2014-0054</t>
  </si>
  <si>
    <t>22-41-16-21-1-16-003</t>
  </si>
  <si>
    <t>BDR2014-0055</t>
  </si>
  <si>
    <t>New 2-bedroom, 2-bath (ARU) accessory residential unit (2006 IRC)</t>
  </si>
  <si>
    <t>22-44-18-29-2-00-028</t>
  </si>
  <si>
    <t>BDR2014-0057</t>
  </si>
  <si>
    <t>600 sq. ft. 1-bedroom &amp; 1-bath addition to existing SFD (2006 IRC)</t>
  </si>
  <si>
    <t>BDR2014-0058</t>
  </si>
  <si>
    <t>New 2-bedroom, 2-bath ARU (accessory residential unit) 7/2/14 Revised plans(2006 IRC)</t>
  </si>
  <si>
    <t>BDR2014-0059</t>
  </si>
  <si>
    <t>3-bedroom, 1-bath addition to existing SFD (2006 IRC)</t>
  </si>
  <si>
    <t>22-45-13-07-1-00-026</t>
  </si>
  <si>
    <t>B14-0148</t>
  </si>
  <si>
    <t>22-41-16-34-1-20-018</t>
  </si>
  <si>
    <t>B14-0149</t>
  </si>
  <si>
    <t>New single family home</t>
  </si>
  <si>
    <t>22-41-16-33-4-40-002</t>
  </si>
  <si>
    <t>B14-0150</t>
  </si>
  <si>
    <t>interior alteration for gym</t>
  </si>
  <si>
    <t>22-41-16-32-1-01-006</t>
  </si>
  <si>
    <t>B14-0153</t>
  </si>
  <si>
    <t>22-41-16-34-1-AE-002</t>
  </si>
  <si>
    <t>B14-0154</t>
  </si>
  <si>
    <t>remove interior wall</t>
  </si>
  <si>
    <t>22-41-16-33-1-01-002</t>
  </si>
  <si>
    <t>B14-0157</t>
  </si>
  <si>
    <t>22-40-16-06-1-09-004</t>
  </si>
  <si>
    <t>B14-0164</t>
  </si>
  <si>
    <t>new accessory unit</t>
  </si>
  <si>
    <t>22-41-16-34-1-30-008</t>
  </si>
  <si>
    <t>B14-0166</t>
  </si>
  <si>
    <t>22-41-16-33-3-07-020</t>
  </si>
  <si>
    <t>B14-0171</t>
  </si>
  <si>
    <t>rebuild park shelter</t>
  </si>
  <si>
    <t>22-41-16-34-2-00-024</t>
  </si>
  <si>
    <t>BDR2014-0061</t>
  </si>
  <si>
    <t>22-42-16-22-4-00-068</t>
  </si>
  <si>
    <t>BDC2014-0003</t>
  </si>
  <si>
    <t>Installation of AT&amp;T wireless communications roof top facility and ground shelter</t>
  </si>
  <si>
    <t>BDC2014-0004</t>
  </si>
  <si>
    <t>Installation of ATT wireless communications roof top facility and ground shelter.</t>
  </si>
  <si>
    <t>B14-0172</t>
  </si>
  <si>
    <t>replace trailer</t>
  </si>
  <si>
    <t>22-41-16-34-1-37-004</t>
  </si>
  <si>
    <t>B14-0174</t>
  </si>
  <si>
    <t>Tower w/light stand and ground shelter</t>
  </si>
  <si>
    <t>B14-0175</t>
  </si>
  <si>
    <t>22-41-16-32-1-14-009</t>
  </si>
  <si>
    <t>BDR2014-0063</t>
  </si>
  <si>
    <t>New 4-bedroom, 4 1/2-bath SFD w/ attached garage. 9/22/14 Revision to the plans.</t>
  </si>
  <si>
    <t>22-42-16-27-3-02-028</t>
  </si>
  <si>
    <t>BDR2014-0161</t>
  </si>
  <si>
    <t>BDR2014-0064</t>
  </si>
  <si>
    <t>New 2-bedroom, 1-bath ARU (accessory residential unit) w/ attached garage.  9/24/14 Revised size of the ARU to 1-bedroom and reduced the size of the garage.</t>
  </si>
  <si>
    <t>BDR2014-0166</t>
  </si>
  <si>
    <t>B14-0184</t>
  </si>
  <si>
    <t>22-41-16-33-3-07-021</t>
  </si>
  <si>
    <t>B14-0185</t>
  </si>
  <si>
    <t>22-40-16-06-1-11-012</t>
  </si>
  <si>
    <t>B14-0187</t>
  </si>
  <si>
    <t>interior alteration/demising wall</t>
  </si>
  <si>
    <t>22-40-16-06-1-12-007</t>
  </si>
  <si>
    <t>BDR2014-0066</t>
  </si>
  <si>
    <t>New horse barn. 8/29/14 Additional 247 sq. ft. of awing added to the front of the barn.</t>
  </si>
  <si>
    <t>22-39-16-01-3-00-012</t>
  </si>
  <si>
    <t>BDR2014-0153R</t>
  </si>
  <si>
    <t>BDC2014-0005</t>
  </si>
  <si>
    <t>New CAT Rental Facility</t>
  </si>
  <si>
    <t>22-40-16-20-1-02-003</t>
  </si>
  <si>
    <t>BDR2014-0068</t>
  </si>
  <si>
    <t>New 6-bedroom, 6-full &amp; 2-1/2-bath SFD w/ attached garage. 8/7/14, Revised structural drawings.</t>
  </si>
  <si>
    <t>22-42-17-24-3-02-010</t>
  </si>
  <si>
    <t>BDR2014-0069</t>
  </si>
  <si>
    <t>New 3-bedroom, 2-bath modular SFD</t>
  </si>
  <si>
    <t>22-41-17-26-2-00-060</t>
  </si>
  <si>
    <t>B14-0200</t>
  </si>
  <si>
    <t>Installation of roof top HVAC Units</t>
  </si>
  <si>
    <t>22-41-16-34-2-07-003</t>
  </si>
  <si>
    <t>BDC2014-0006</t>
  </si>
  <si>
    <t>Installation of ATT wireless communications concealed mono-pine tower and ground shelter</t>
  </si>
  <si>
    <t>22-41-16-06-2-00-001</t>
  </si>
  <si>
    <t>B14-0202</t>
  </si>
  <si>
    <t>22-41-16-34-1-AE-007</t>
  </si>
  <si>
    <t>B14-0204</t>
  </si>
  <si>
    <t>new deck</t>
  </si>
  <si>
    <t>22-41-16-34-4-02-010</t>
  </si>
  <si>
    <t>BDC2014-0007</t>
  </si>
  <si>
    <t>Installation of ATT wireless communications roof top facility and ground shelter</t>
  </si>
  <si>
    <t>B14-0205</t>
  </si>
  <si>
    <t>interior alteration to support exhaust hood</t>
  </si>
  <si>
    <t>22-41-16-34-2-05-009</t>
  </si>
  <si>
    <t>BDR2014-0070</t>
  </si>
  <si>
    <t>198 sq. ft. addition &amp; remodel to existing SFD</t>
  </si>
  <si>
    <t>22-44-15-36-1-04-007</t>
  </si>
  <si>
    <t>BDR2014-0071</t>
  </si>
  <si>
    <t>Connect new 1-bedroom, 1-bath ARU (accessory residential unit) to existing SFD</t>
  </si>
  <si>
    <t>22-42-15-10-1-00-009</t>
  </si>
  <si>
    <t>B14-0219</t>
  </si>
  <si>
    <t>Addition to single family</t>
  </si>
  <si>
    <t>BDR2014-0073</t>
  </si>
  <si>
    <t>New 1-bedroom, 2-bath accessory residential unit (ARU)</t>
  </si>
  <si>
    <t>22-41-17-14-4-00-064</t>
  </si>
  <si>
    <t>BDR2014-0074</t>
  </si>
  <si>
    <t>946 sq. ft. bedroom, &amp; Bathroom addition to existing SFD</t>
  </si>
  <si>
    <t>BDC2014-0008</t>
  </si>
  <si>
    <t>Install wheel chair lift and ramp to access 2nd floor of existing building. See plat file for physical copy of permit</t>
  </si>
  <si>
    <t>B14-0225</t>
  </si>
  <si>
    <t>interior remodel/wall removal/windos</t>
  </si>
  <si>
    <t>22-41-16-34-1-08-003</t>
  </si>
  <si>
    <t>BDC2014-0009</t>
  </si>
  <si>
    <t>Install 48.8 kw ground mounted solar panels to service weed and pest building</t>
  </si>
  <si>
    <t>22-40-16-17-1-00-015</t>
  </si>
  <si>
    <t>B14-0241</t>
  </si>
  <si>
    <t>install 3 egress windows</t>
  </si>
  <si>
    <t>22-41-16-33-1-39-002</t>
  </si>
  <si>
    <t>BDR2014-0076</t>
  </si>
  <si>
    <t>New barn w/ 3-bedroom, 2-bath guest quarters above</t>
  </si>
  <si>
    <t>BDR2014-0077</t>
  </si>
  <si>
    <t>BDR2014-0078</t>
  </si>
  <si>
    <t>22-40-16-20-2-14-011</t>
  </si>
  <si>
    <t>BDR2014-0079</t>
  </si>
  <si>
    <t>New 1-bedroom, 2-bath ARU (accessory residential unit)</t>
  </si>
  <si>
    <t>BDR2014-0080</t>
  </si>
  <si>
    <t>22-40-16-18-1-06-041</t>
  </si>
  <si>
    <t>BDR2014-0081</t>
  </si>
  <si>
    <t>New detached metal building for boat storage</t>
  </si>
  <si>
    <t>22-43-15-30-1-00-003</t>
  </si>
  <si>
    <t>B14-0249</t>
  </si>
  <si>
    <t>22-41-16-27-3-30-002</t>
  </si>
  <si>
    <t>B14-0250</t>
  </si>
  <si>
    <t>exterior basement entrance</t>
  </si>
  <si>
    <t>22-41-16-33-1-10-007</t>
  </si>
  <si>
    <t>B14-0251</t>
  </si>
  <si>
    <t>B14-0252</t>
  </si>
  <si>
    <t>22-41-16-34-1-31-007</t>
  </si>
  <si>
    <t>BDR2014-0085</t>
  </si>
  <si>
    <t>New detached garage/workshop</t>
  </si>
  <si>
    <t>22-42-17-24-3-02-013</t>
  </si>
  <si>
    <t>BDR2014-0086</t>
  </si>
  <si>
    <t>New 1-bedroom, 2-bath ARU (accessory residential unit) w/ attached garage. 8/26/14 Changed heating system to hydronic heating.</t>
  </si>
  <si>
    <t>22-41-17-13-1-04-007</t>
  </si>
  <si>
    <t>BDR2014-0149R</t>
  </si>
  <si>
    <t>22-41-16-33-1-10-002</t>
  </si>
  <si>
    <t>B14-0266</t>
  </si>
  <si>
    <t>Replace existing beams</t>
  </si>
  <si>
    <t>22-41-16-34-1-54-005</t>
  </si>
  <si>
    <t>BDR2014-0087</t>
  </si>
  <si>
    <t>22-38-16-16-3-01-060</t>
  </si>
  <si>
    <t>BDR2014-0088</t>
  </si>
  <si>
    <t>New Detached garage</t>
  </si>
  <si>
    <t>BDR2014-0089</t>
  </si>
  <si>
    <t>New 5-bedroom, 3-bath SFD w/ attached garage</t>
  </si>
  <si>
    <t>22-41-17-23-2-10-007</t>
  </si>
  <si>
    <t>B14-0276</t>
  </si>
  <si>
    <t>Fuel Island and underground tanks</t>
  </si>
  <si>
    <t>B14-0282</t>
  </si>
  <si>
    <t>BDC2014-0010</t>
  </si>
  <si>
    <t>Install solar electric energy system on the south roof of the County emergency operations center</t>
  </si>
  <si>
    <t>B14-0289</t>
  </si>
  <si>
    <t>22-41-16-34-1-28-001</t>
  </si>
  <si>
    <t>B14-0290</t>
  </si>
  <si>
    <t>B14-0297</t>
  </si>
  <si>
    <t>alteration of existing home</t>
  </si>
  <si>
    <t>22-40-16-06-2-06-004</t>
  </si>
  <si>
    <t>BDR2014-0091</t>
  </si>
  <si>
    <t>New 7-bedroom, 7 1/2-bath SFD w/ attached garage</t>
  </si>
  <si>
    <t>22-42-16-28-1-02-012</t>
  </si>
  <si>
    <t>BDR2014-0092</t>
  </si>
  <si>
    <t>demo existing &amp; build new detached garage</t>
  </si>
  <si>
    <t>22-41-15-20-2-00-004</t>
  </si>
  <si>
    <t>BDR2014-0093</t>
  </si>
  <si>
    <t>12X12 addition to existing SFD (kitchen area)</t>
  </si>
  <si>
    <t>BDR2014-0096</t>
  </si>
  <si>
    <t>New 3-bedroom, 1 1/2-bath SFD w/ attached garage</t>
  </si>
  <si>
    <t>22-41-17-22-2-04-001</t>
  </si>
  <si>
    <t>BDR2014-0097</t>
  </si>
  <si>
    <t>BDR2014-0098</t>
  </si>
  <si>
    <t>BDR2014-0099</t>
  </si>
  <si>
    <t>BDR2014-0100</t>
  </si>
  <si>
    <t>BDR2014-0101</t>
  </si>
  <si>
    <t>BDR2014-0102</t>
  </si>
  <si>
    <t>BDR2014-0103</t>
  </si>
  <si>
    <t>BDR2014-0104</t>
  </si>
  <si>
    <t>BDR2014-0105</t>
  </si>
  <si>
    <t>BDR2014-0106</t>
  </si>
  <si>
    <t>BDR2014-0108</t>
  </si>
  <si>
    <t>New 6-bedroom, 6-bath SFD w/ attached garage. 1/21/15 Added Free Standing Fireplace.</t>
  </si>
  <si>
    <t>22-40-16-20-2-12-014</t>
  </si>
  <si>
    <t>BDC2014-0011</t>
  </si>
  <si>
    <t>Frame in existing garage door &amp; install man door</t>
  </si>
  <si>
    <t>B14-0318</t>
  </si>
  <si>
    <t>interior alteration/windows</t>
  </si>
  <si>
    <t>22-41-16-33-4-10-018</t>
  </si>
  <si>
    <t>BDR2014-0110</t>
  </si>
  <si>
    <t>Relocation of existing barn. 10/16/14 Revision with 180 sq. ft addition, 1280 sq. ft habitable upper floor and 748 sq. ft. of decks and patios.</t>
  </si>
  <si>
    <t>22-42-16-21-1-03-002</t>
  </si>
  <si>
    <t>BDR2014-0168R</t>
  </si>
  <si>
    <t>BDC2019-0033</t>
  </si>
  <si>
    <t>22-40-16-17-4-22-002</t>
  </si>
  <si>
    <t>BDR2014-0112</t>
  </si>
  <si>
    <t>BDR2014-0200R</t>
  </si>
  <si>
    <t>2-bedroom 2 1/2-bath addition to existing SFD. 12/18/14 revisions submitted, routed to Ja (new master closet area, insulation change)</t>
  </si>
  <si>
    <t>BDR2014-0113</t>
  </si>
  <si>
    <t>22-44-18-21-3-01-005</t>
  </si>
  <si>
    <t>BDR2014-0114</t>
  </si>
  <si>
    <t>1-bedroom, 1-bath addition to existing SFD</t>
  </si>
  <si>
    <t>22-41-16-31-4-10-003</t>
  </si>
  <si>
    <t>BDR2014-0196R</t>
  </si>
  <si>
    <t>BDR2014-0115</t>
  </si>
  <si>
    <t>22-40-16-20-2-14-019</t>
  </si>
  <si>
    <t>22-41-16-33-1-10-001</t>
  </si>
  <si>
    <t>B14-0326</t>
  </si>
  <si>
    <t>New single family with attached accessory</t>
  </si>
  <si>
    <t>22-41-16-33-1-34-007</t>
  </si>
  <si>
    <t>B14-0327</t>
  </si>
  <si>
    <t>Detached accessory</t>
  </si>
  <si>
    <t>BDR2014-0116</t>
  </si>
  <si>
    <t>22-40-16-20-2-03-078</t>
  </si>
  <si>
    <t>BDR2014-0117</t>
  </si>
  <si>
    <t>add 691 habitable &amp; 625 deck area to existing SFD</t>
  </si>
  <si>
    <t>BDR2014-0119</t>
  </si>
  <si>
    <t>22-40-16-18-1-23-008</t>
  </si>
  <si>
    <t>BDR2014-0120</t>
  </si>
  <si>
    <t>22-39-16-32-4-03-002</t>
  </si>
  <si>
    <t>BDR2014-0121</t>
  </si>
  <si>
    <t>226 sq. ft. connector addition to SFD</t>
  </si>
  <si>
    <t>BDC2014-0013</t>
  </si>
  <si>
    <t>Barn to house raptors</t>
  </si>
  <si>
    <t>B14-0339</t>
  </si>
  <si>
    <t>VOID PERMIT- SF</t>
  </si>
  <si>
    <t>22-41-16-33-3-07-035</t>
  </si>
  <si>
    <t>BDR2014-0123</t>
  </si>
  <si>
    <t>22-42-16-15-2-07-006</t>
  </si>
  <si>
    <t>B14-0347</t>
  </si>
  <si>
    <t>Remodel existing office for new daycare</t>
  </si>
  <si>
    <t>22-41-16-34-1-10-001</t>
  </si>
  <si>
    <t>BDR2014-0124</t>
  </si>
  <si>
    <t>22-40-16-18-1-06-037</t>
  </si>
  <si>
    <t>BDR2014-0127</t>
  </si>
  <si>
    <t>22-40-16-18-1-06-038</t>
  </si>
  <si>
    <t>BDR2014-0129</t>
  </si>
  <si>
    <t>New 1-bedroom, 1-bath SFD</t>
  </si>
  <si>
    <t>22-41-17-13-3-00-039</t>
  </si>
  <si>
    <t>BDR2014-0130</t>
  </si>
  <si>
    <t>1534 sq. ft. bedroom &amp; bath addition to existing SFD</t>
  </si>
  <si>
    <t>22-40-16-18-3-11-001</t>
  </si>
  <si>
    <t>BDC2014-0014</t>
  </si>
  <si>
    <t>156 sq. ft. building to house an on-site sewer treatment system</t>
  </si>
  <si>
    <t>B14-0376</t>
  </si>
  <si>
    <t>siding/balconies/landscape/softscape</t>
  </si>
  <si>
    <t>22-41-16-32-4-31-001</t>
  </si>
  <si>
    <t>BDR2014-0131</t>
  </si>
  <si>
    <t>1119 sq. ft. habitable, &amp; 949 sq. ft. non-habitable &amp; remodel existing SFD.  10/14/14 Revised structural drawings for demo existing structures and rebuilding.</t>
  </si>
  <si>
    <t>22-41-17-36-3-07-003</t>
  </si>
  <si>
    <t>BDR2014-0186R</t>
  </si>
  <si>
    <t>BDR2014-0133</t>
  </si>
  <si>
    <t>New 4-bedroom, 3 1/2-bath SFD w/ attached garage</t>
  </si>
  <si>
    <t>BDR2014-0134</t>
  </si>
  <si>
    <t>1107 sq. ft. 1-bedroom, 1-bath addition to existing SFD</t>
  </si>
  <si>
    <t>22-42-16-10-3-03-010</t>
  </si>
  <si>
    <t>B14-0380</t>
  </si>
  <si>
    <t>22-40-16-06-1-08-016</t>
  </si>
  <si>
    <t>BDR2014-0135</t>
  </si>
  <si>
    <t>504 sq. ft. garage addition</t>
  </si>
  <si>
    <t>B14-0391</t>
  </si>
  <si>
    <t>addition/alteration to existing home</t>
  </si>
  <si>
    <t>22-41-16-27-3-10-012</t>
  </si>
  <si>
    <t>B14-0392</t>
  </si>
  <si>
    <t>New animal adoption center</t>
  </si>
  <si>
    <t>22-41-16-34-2-03-014</t>
  </si>
  <si>
    <t>BDR2014-0136</t>
  </si>
  <si>
    <t>22-41-17-11-4-16-012</t>
  </si>
  <si>
    <t>BDR2014-0137</t>
  </si>
  <si>
    <t>New 1-bedroom, 1 1/2-bath accessory residential unit (ARU)</t>
  </si>
  <si>
    <t>22-41-17-12-2-00-009</t>
  </si>
  <si>
    <t>B14-0397</t>
  </si>
  <si>
    <t>B14-0399</t>
  </si>
  <si>
    <t>22-41-16-34-1-32-007</t>
  </si>
  <si>
    <t>B14-0407</t>
  </si>
  <si>
    <t>new vet clinic and apartments</t>
  </si>
  <si>
    <t>22-41-16-34-2-03-015</t>
  </si>
  <si>
    <t>BDR2014-0140</t>
  </si>
  <si>
    <t>22-40-16-20-2-14-024</t>
  </si>
  <si>
    <t>BDR2014-0185R</t>
  </si>
  <si>
    <t>B14-0414</t>
  </si>
  <si>
    <t>22-41-16-27-3-04-004</t>
  </si>
  <si>
    <t>B14-0429</t>
  </si>
  <si>
    <t>shorten east terrace wall</t>
  </si>
  <si>
    <t>22-41-16-33-1-65-020</t>
  </si>
  <si>
    <t>BDR2014-0141</t>
  </si>
  <si>
    <t>New 2-bedroom, 2-bath ARU (accessory residential unit)</t>
  </si>
  <si>
    <t>BDC2014-0015</t>
  </si>
  <si>
    <t>Interior remodel &amp; addition to Animal Shelter</t>
  </si>
  <si>
    <t>BDR2014-0142</t>
  </si>
  <si>
    <t>282 sq. ft. (bathroom) addition to existing SFD</t>
  </si>
  <si>
    <t>BDR2014-0143</t>
  </si>
  <si>
    <t>22-40-16-18-1-06-043</t>
  </si>
  <si>
    <t>BDR2014-0144</t>
  </si>
  <si>
    <t>994 sq. ft. addition &amp; 2116 sq. ft. remodel to existing SFD</t>
  </si>
  <si>
    <t>22-41-17-22-1-01-009</t>
  </si>
  <si>
    <t>B14-0454</t>
  </si>
  <si>
    <t>exterior remodel</t>
  </si>
  <si>
    <t>22-41-16-28-4-13-004</t>
  </si>
  <si>
    <t>B14-0456</t>
  </si>
  <si>
    <t>cooler expansion bld and rear fencing enclosure</t>
  </si>
  <si>
    <t>22-40-16-06-1-10-002</t>
  </si>
  <si>
    <t>BDC2014-0016</t>
  </si>
  <si>
    <t>Installation of AT&amp;T wireless communication concealed mono-pine tower and ground shelter</t>
  </si>
  <si>
    <t>22-44-15-36-1-04-011</t>
  </si>
  <si>
    <t>BDR2014-0145</t>
  </si>
  <si>
    <t>New Detached Greenhouse</t>
  </si>
  <si>
    <t>BDR2014-0146</t>
  </si>
  <si>
    <t>48 sq. ft. addition &amp; remodel to existing SFD</t>
  </si>
  <si>
    <t>22-41-17-11-1-12-006</t>
  </si>
  <si>
    <t>BDC2014-0017</t>
  </si>
  <si>
    <t>New 12X18 water treatment building</t>
  </si>
  <si>
    <t>BDR2014-0147</t>
  </si>
  <si>
    <t>22-40-16-18-1-06-048</t>
  </si>
  <si>
    <t>B14-0466</t>
  </si>
  <si>
    <t>22-41-16-32-4-42-007</t>
  </si>
  <si>
    <t>B14-0468</t>
  </si>
  <si>
    <t>addition to deck to connect to existing deck</t>
  </si>
  <si>
    <t>22-41-16-34-1-48-015</t>
  </si>
  <si>
    <t>BDR2014-0150</t>
  </si>
  <si>
    <t>22-40-17-13-1-01-032</t>
  </si>
  <si>
    <t>BDR2014-0151</t>
  </si>
  <si>
    <t>1527 sq. ft. addition &amp; interior remodel to existing SFD</t>
  </si>
  <si>
    <t>22-41-17-25-3-00-004</t>
  </si>
  <si>
    <t>B14-0473</t>
  </si>
  <si>
    <t>22-41-16-34-1-88-001</t>
  </si>
  <si>
    <t>B14-0474</t>
  </si>
  <si>
    <t>adding an ada bathroom</t>
  </si>
  <si>
    <t>22-40-16-06-1-00-049</t>
  </si>
  <si>
    <t>BDR2014-0152</t>
  </si>
  <si>
    <t>BDR2014-0154</t>
  </si>
  <si>
    <t>Office addition to existing SFD</t>
  </si>
  <si>
    <t>B14-0480</t>
  </si>
  <si>
    <t>22-41-16-31-1-06-009</t>
  </si>
  <si>
    <t>BDC2014-0018</t>
  </si>
  <si>
    <t>Convert existing 2164 sq. ft. of office space into 3-ARU's (accessory residential units)</t>
  </si>
  <si>
    <t>B14-0484</t>
  </si>
  <si>
    <t>remove wall replace with header</t>
  </si>
  <si>
    <t>22-41-16-34-1-03-005</t>
  </si>
  <si>
    <t>B14-0485</t>
  </si>
  <si>
    <t>adding cell tower/equipment shelter</t>
  </si>
  <si>
    <t>22-40-16-06-1-08-002</t>
  </si>
  <si>
    <t>BDR2014-0155</t>
  </si>
  <si>
    <t>144 sq. ft. entry gable &amp; interior remodel to existing SFD</t>
  </si>
  <si>
    <t>22-44-18-20-3-06-004</t>
  </si>
  <si>
    <t>B14-0490</t>
  </si>
  <si>
    <t>Vertical Harvest</t>
  </si>
  <si>
    <t>BDR2014-0156</t>
  </si>
  <si>
    <t>enclose existing covered porch (adding 100.7 sq. ft. of habitable)</t>
  </si>
  <si>
    <t>BDC2014-0019</t>
  </si>
  <si>
    <t>48 sq. ft. addition to existing utility building</t>
  </si>
  <si>
    <t>22-41-16-16-3-06-002</t>
  </si>
  <si>
    <t>B14-0493</t>
  </si>
  <si>
    <t>22-40-16-06-2-32-001</t>
  </si>
  <si>
    <t>BDR2014-0157</t>
  </si>
  <si>
    <t>22-40-17-12-1-01-011</t>
  </si>
  <si>
    <t>BDR2014-0158</t>
  </si>
  <si>
    <t>add to existing garage (120sq. ft.  non-habitable &amp; 760.50 sq. ft. master suite above)</t>
  </si>
  <si>
    <t>BDC2014-0020</t>
  </si>
  <si>
    <t>New 44X46 communications building &amp; 80' tower</t>
  </si>
  <si>
    <t>22-39-16-02-2-00-003</t>
  </si>
  <si>
    <t>B14-0511</t>
  </si>
  <si>
    <t>B14-0512</t>
  </si>
  <si>
    <t>interior finish for spa</t>
  </si>
  <si>
    <t>22-41-16-34-2-05-007</t>
  </si>
  <si>
    <t>B14-0514</t>
  </si>
  <si>
    <t>22-40-16-05-2-04-030</t>
  </si>
  <si>
    <t>B14-0515</t>
  </si>
  <si>
    <t>adding a garage bay</t>
  </si>
  <si>
    <t>22-41-16-31-1-06-028</t>
  </si>
  <si>
    <t>B14-0516</t>
  </si>
  <si>
    <t>crows nest/ticket booth</t>
  </si>
  <si>
    <t>BDR2014-0159</t>
  </si>
  <si>
    <t>Demo existing &amp; build new 4-bedroom, 3.5-bath SFD</t>
  </si>
  <si>
    <t>BDR2015-0056R</t>
  </si>
  <si>
    <t>BDR2014-0160</t>
  </si>
  <si>
    <t>New detached workshop</t>
  </si>
  <si>
    <t>B14-0524</t>
  </si>
  <si>
    <t>affordable housing unit</t>
  </si>
  <si>
    <t>22-41-16-27-3-00-003</t>
  </si>
  <si>
    <t>B14-0549</t>
  </si>
  <si>
    <t>22-41-16-34-1-40-001</t>
  </si>
  <si>
    <t>BDC2014-0022</t>
  </si>
  <si>
    <t>Replace existing stairway from basement to bring up to current code for fire exiting</t>
  </si>
  <si>
    <t>B14-0557</t>
  </si>
  <si>
    <t>New townhome-Type C</t>
  </si>
  <si>
    <t>22-40-16-06-2-50-025</t>
  </si>
  <si>
    <t>B14-0558</t>
  </si>
  <si>
    <t>new single family-Type C</t>
  </si>
  <si>
    <t>22-40-16-06-2-50-027</t>
  </si>
  <si>
    <t>B14-0559</t>
  </si>
  <si>
    <t>New single family - type C</t>
  </si>
  <si>
    <t>22-40-16-06-2-50-026</t>
  </si>
  <si>
    <t>BDR2014-0162</t>
  </si>
  <si>
    <t>New detached storage garage</t>
  </si>
  <si>
    <t>22-39-15-31-1-00-007</t>
  </si>
  <si>
    <t>BDR2014-0163</t>
  </si>
  <si>
    <t>New 5-bedroom, 4.5-bath SFD w/ attached garage</t>
  </si>
  <si>
    <t>22-42-17-25-1-01-055</t>
  </si>
  <si>
    <t>BDR2014-0164</t>
  </si>
  <si>
    <t>106 sq. ft. bathroom &amp; bedroom addition's to existing SFD</t>
  </si>
  <si>
    <t>22-41-17-36-1-05-004</t>
  </si>
  <si>
    <t>BDR2014-0165</t>
  </si>
  <si>
    <t>Remodel existing &amp; add 296 sq. ft. to existing bedroom</t>
  </si>
  <si>
    <t>22-42-16-34-2-03-005</t>
  </si>
  <si>
    <t>B14-0578</t>
  </si>
  <si>
    <t>outside fireplace</t>
  </si>
  <si>
    <t>B14-0593</t>
  </si>
  <si>
    <t>22-41-16-33-4-38-020</t>
  </si>
  <si>
    <t>B14-0594</t>
  </si>
  <si>
    <t>22-41-16-33-4-38-019</t>
  </si>
  <si>
    <t>B14-0595</t>
  </si>
  <si>
    <t>22-41-16-33-4-38-018</t>
  </si>
  <si>
    <t>B14-0602</t>
  </si>
  <si>
    <t>basement remodel/egress windows</t>
  </si>
  <si>
    <t>22-41-16-34-1-20-013</t>
  </si>
  <si>
    <t>BDR2014-0167</t>
  </si>
  <si>
    <t>New 1-bedroom, 2-bath ARU (accessory residential unit) with attached garage</t>
  </si>
  <si>
    <t>BDR2014-0169</t>
  </si>
  <si>
    <t>22-38-16-16-3-01-061</t>
  </si>
  <si>
    <t>BDR2014-0170</t>
  </si>
  <si>
    <t>B14-0631</t>
  </si>
  <si>
    <t>Detached accessory unit</t>
  </si>
  <si>
    <t>22-41-16-33-1-37-009</t>
  </si>
  <si>
    <t>B14-0632</t>
  </si>
  <si>
    <t>Addition to existing dealership</t>
  </si>
  <si>
    <t>redev</t>
  </si>
  <si>
    <t>5MH, 29Apts, 2SFDs</t>
  </si>
  <si>
    <t>B14-0654</t>
  </si>
  <si>
    <t>shed/workshop</t>
  </si>
  <si>
    <t>22-41-16-34-1-17-008</t>
  </si>
  <si>
    <t>BDC2014-0025</t>
  </si>
  <si>
    <t>New shop with office space &amp; garage bays</t>
  </si>
  <si>
    <t>BDR2014-0173</t>
  </si>
  <si>
    <t>add 502 sq. ft. exercise room &amp; remodel office to existing SFD</t>
  </si>
  <si>
    <t>22-42-16-29-4-00-018</t>
  </si>
  <si>
    <t>B14-0658</t>
  </si>
  <si>
    <t>4 employee units to addition</t>
  </si>
  <si>
    <t>22-41-16-33-1-02-003</t>
  </si>
  <si>
    <t>BDR2014-0174</t>
  </si>
  <si>
    <t>22-42-16-27-4-12-004</t>
  </si>
  <si>
    <t>BDR2015-0044R</t>
  </si>
  <si>
    <t>BDR2014-0175</t>
  </si>
  <si>
    <t>189 sq. ft. kitchen bumpout to SFD</t>
  </si>
  <si>
    <t>22-41-17-11-1-12-010</t>
  </si>
  <si>
    <t>BDC2014-0026</t>
  </si>
  <si>
    <t>Remodel/add to existing entry to restaurant</t>
  </si>
  <si>
    <t>22-39-15-32-2-00-019</t>
  </si>
  <si>
    <t>B14-0669</t>
  </si>
  <si>
    <t>addtion to existing house</t>
  </si>
  <si>
    <t>22-41-16-34-2-12-003</t>
  </si>
  <si>
    <t>BDR2014-0176</t>
  </si>
  <si>
    <t>22-38-16-16-2-01-056</t>
  </si>
  <si>
    <t>BDR2014-0177</t>
  </si>
  <si>
    <t>B14-0675</t>
  </si>
  <si>
    <t>2 story deck/ sliding door</t>
  </si>
  <si>
    <t>22-41-16-34-1-40-004</t>
  </si>
  <si>
    <t>B14-0676</t>
  </si>
  <si>
    <t>Tenant remodel</t>
  </si>
  <si>
    <t>22-40-16-06-1-12-006</t>
  </si>
  <si>
    <t>BDR2014-0178</t>
  </si>
  <si>
    <t>126 sq. ft. addition to existing garage, 360 sq. ft. deck, &amp; remodel kitchen to SFD</t>
  </si>
  <si>
    <t>22-39-16-26-2-02-011</t>
  </si>
  <si>
    <t>BDR2014-0179</t>
  </si>
  <si>
    <t>convert a portion of existing barn into 2-bedroom, 1-bath ARU (accessory residential unit)</t>
  </si>
  <si>
    <t>BDR2014-0181</t>
  </si>
  <si>
    <t>demo existing ARU &amp; build new w/ attached garage in different location.</t>
  </si>
  <si>
    <t>22-41-16-06-3-05-027</t>
  </si>
  <si>
    <t>B14-0680</t>
  </si>
  <si>
    <t>22-41-16-33-3-01-002</t>
  </si>
  <si>
    <t>BDR2014-0182</t>
  </si>
  <si>
    <t>Tear off roof to existing barn and build new 1-bedroom, 1-bath ARU (accessory residential unit)</t>
  </si>
  <si>
    <t>BDR2014-0183</t>
  </si>
  <si>
    <t>build 2-bedroom, 1-bath ARU (accessory residential unit) on existing foundation</t>
  </si>
  <si>
    <t>B14-0688</t>
  </si>
  <si>
    <t>Antenna/equipment sheds</t>
  </si>
  <si>
    <t>B14-0690</t>
  </si>
  <si>
    <t>BDR2014-0187</t>
  </si>
  <si>
    <t>New garage w/ 1-bedroom, 1-bath ARU (accessory residential unit) above</t>
  </si>
  <si>
    <t>B16-0356</t>
  </si>
  <si>
    <t>New 12-unit apartment building</t>
  </si>
  <si>
    <t>22-41-16-33-1-23-003</t>
  </si>
  <si>
    <t>B14-0695</t>
  </si>
  <si>
    <t>tenant fit out for 3 residential units</t>
  </si>
  <si>
    <t>BDR2014-0188</t>
  </si>
  <si>
    <t>New 4-bedroom 4 1/2-bath SFD</t>
  </si>
  <si>
    <t>22-38-16-16-2-01-028</t>
  </si>
  <si>
    <t>BDR2014-0189</t>
  </si>
  <si>
    <t>BDR2014-0190</t>
  </si>
  <si>
    <t>22-38-16-16-2-01-029</t>
  </si>
  <si>
    <t>BDR2014-0191</t>
  </si>
  <si>
    <t>B14-0707</t>
  </si>
  <si>
    <t>Interior alteration</t>
  </si>
  <si>
    <t>22-40-16-06-1-10-006</t>
  </si>
  <si>
    <t>B14-0710</t>
  </si>
  <si>
    <t>entry &amp; facade improvements</t>
  </si>
  <si>
    <t>22-41-16-32-1-01-009</t>
  </si>
  <si>
    <t>B14-0712</t>
  </si>
  <si>
    <t>Interior/exterior alteration- Huff House</t>
  </si>
  <si>
    <t>22-41-16-27-3-00-023</t>
  </si>
  <si>
    <t>B14-0713</t>
  </si>
  <si>
    <t>interior alteration- Cabin A</t>
  </si>
  <si>
    <t>B14-0714</t>
  </si>
  <si>
    <t>interior remodel- Cabin B</t>
  </si>
  <si>
    <t>B14-0716</t>
  </si>
  <si>
    <t>intertior alterion-Cabin C</t>
  </si>
  <si>
    <t>BDC2014-0027</t>
  </si>
  <si>
    <t>New 6000 sq. ft. salted sand enclosure</t>
  </si>
  <si>
    <t>B14-0729</t>
  </si>
  <si>
    <t>interior alteration/ add bathrooms downstairs</t>
  </si>
  <si>
    <t>BDC2014-0028</t>
  </si>
  <si>
    <t>Installation of 2 commercial washers and 2 dryers</t>
  </si>
  <si>
    <t>BDC2014-0029</t>
  </si>
  <si>
    <t>East Fish Creek Well Pump House</t>
  </si>
  <si>
    <t>BDR2014-0192</t>
  </si>
  <si>
    <t>remodel &amp; add 308 sq. ft. to exisitng bedroom</t>
  </si>
  <si>
    <t>22-40-16-18-1-03-200</t>
  </si>
  <si>
    <t>BDR2014-0193</t>
  </si>
  <si>
    <t>Add 3238 sq. ft. of habitable (2-bedroom, &amp; 2 1/2-baths), 244 sq. ft. non-habitable, and remodel existing SFD</t>
  </si>
  <si>
    <t>BDR2015-0099R</t>
  </si>
  <si>
    <t>Add 3238 sq. ft. of habitable (2-bedroom, &amp; 2 1/2-baths), 244 sq. ft. non-habitable, and remodel existing SFD. 2/17/15 Revision.  6/18/15 Revision-reduced the size of the 2nd floor addition by 421 sq. ft.</t>
  </si>
  <si>
    <t>BDR2015-0012R</t>
  </si>
  <si>
    <t>B14-0735</t>
  </si>
  <si>
    <t>BDC2014-0030</t>
  </si>
  <si>
    <t>Temporary use structure for Caldera Club Sales office (18 month permitted use)</t>
  </si>
  <si>
    <t>B14-0747</t>
  </si>
  <si>
    <t>interior remodel/bar expansion</t>
  </si>
  <si>
    <t>22-41-16-28-4-15-002</t>
  </si>
  <si>
    <t>B14-0756</t>
  </si>
  <si>
    <t>remove interior load bearing wall</t>
  </si>
  <si>
    <t>22-41-16-34-2-13-004</t>
  </si>
  <si>
    <t>BDR2014-0195</t>
  </si>
  <si>
    <t>4th bedroom addition, kitchen remodel, adding space to existing bedrooms on east wing, new gas fireplace to existing SFD</t>
  </si>
  <si>
    <t>BDR2015-0011R</t>
  </si>
  <si>
    <t>4th bedroom addition, kitchen remodel, adding space to existing bedrooms on east wing, new gas fireplace to existing SFD. 3/9/15 Added 430 sq. ft. to master bedroom.</t>
  </si>
  <si>
    <t>B14-0792</t>
  </si>
  <si>
    <t>New single famiily</t>
  </si>
  <si>
    <t>22-41-16-34-1-20-017</t>
  </si>
  <si>
    <t>BDC2014-0031</t>
  </si>
  <si>
    <t>New 65' flagless communications facility</t>
  </si>
  <si>
    <t>22-40-16-20-1-02-002</t>
  </si>
  <si>
    <t>BDR2014-0202</t>
  </si>
  <si>
    <t>New pole barn w/ 432 sq. ft. ARU (accessory residential unit)</t>
  </si>
  <si>
    <t>22-41-17-12-3-07-004</t>
  </si>
  <si>
    <t>BDC2015-0001</t>
  </si>
  <si>
    <t>Install pizza oven in existing masonry fireplace</t>
  </si>
  <si>
    <t>BDR2015-0001</t>
  </si>
  <si>
    <t>Convert portion of existing barn into 1-bedroom, 1-bath ARU (accessory residential unit)</t>
  </si>
  <si>
    <t>B15-0016</t>
  </si>
  <si>
    <t>adding bathroom to existing bedroom</t>
  </si>
  <si>
    <t>22-40-16-06-2-09-007</t>
  </si>
  <si>
    <t>BDC2015-0002</t>
  </si>
  <si>
    <t>New concrete modular restroom for South Park boat ramp</t>
  </si>
  <si>
    <t>22-40-16-34-3-00-011</t>
  </si>
  <si>
    <t>B15-0019</t>
  </si>
  <si>
    <t>Repair/reconstruction of amerigas bldg</t>
  </si>
  <si>
    <t>B15-0022</t>
  </si>
  <si>
    <t>Duplex</t>
  </si>
  <si>
    <t>B15-0027</t>
  </si>
  <si>
    <t>tenant fit out spc # C</t>
  </si>
  <si>
    <t>22-41-16-27-3-00-CND</t>
  </si>
  <si>
    <t>B15-0028</t>
  </si>
  <si>
    <t>tenent fit fitout for sp# B</t>
  </si>
  <si>
    <t>B15-0038</t>
  </si>
  <si>
    <t>New school</t>
  </si>
  <si>
    <t>22-41-16-27-3-00-022</t>
  </si>
  <si>
    <t>BDR2015-0004</t>
  </si>
  <si>
    <t>BDR2015-0006</t>
  </si>
  <si>
    <t>537 sq. ft. 2nd floor habitable, &amp; 118 sq. ft. enclosed stairwell being added to existing SFD. 8/13/15 Revised struct. drawings.</t>
  </si>
  <si>
    <t>BDC2015-0007</t>
  </si>
  <si>
    <t>New well pump house building for new water system for Teton Shadows Condos</t>
  </si>
  <si>
    <t>22-42-16-27-3-00-006</t>
  </si>
  <si>
    <t>BDR2015-0007</t>
  </si>
  <si>
    <t>New 4-bedroom, 4-bath SFD w/ attached garage</t>
  </si>
  <si>
    <t>22-41-16-06-2-03-003</t>
  </si>
  <si>
    <t>BDR2015-0008</t>
  </si>
  <si>
    <t>add 345 sq. ft. of habitable, 428 sq. ft. of  non-habitable, &amp; interior renovation of existing SFD</t>
  </si>
  <si>
    <t>22-40-16-18-3-06-004</t>
  </si>
  <si>
    <t>BDR2015-0009</t>
  </si>
  <si>
    <t>New 5-bedroom, 5-bath SFD w/ attached garage &amp; ARU (accessory residential unit)</t>
  </si>
  <si>
    <t>22-40-16-05-3-00-005</t>
  </si>
  <si>
    <t>BDC2015-0012</t>
  </si>
  <si>
    <t>New spirits distillery building</t>
  </si>
  <si>
    <t>22-40-16-17-4-20-003</t>
  </si>
  <si>
    <t>BDR2015-0010</t>
  </si>
  <si>
    <t>429 sq. ft. master bedroom addition, and 703 garage addition to existing SFD</t>
  </si>
  <si>
    <t>22-40-16-17-2-01-017</t>
  </si>
  <si>
    <t>BDR2015-0013</t>
  </si>
  <si>
    <t>22-40-16-20-1-10-009</t>
  </si>
  <si>
    <t>BDC2015-0026</t>
  </si>
  <si>
    <t>Tennis court bathroom facilities</t>
  </si>
  <si>
    <t>22-42-17-25-1-03-021</t>
  </si>
  <si>
    <t>BDC2015-0027</t>
  </si>
  <si>
    <t>New office/storage facility. 5/12/15 Revision to engineering.</t>
  </si>
  <si>
    <t>22-42-17-24-1-13-002</t>
  </si>
  <si>
    <t>BDC2015-0028</t>
  </si>
  <si>
    <t>adding 2 offices, &amp; a parts room to existing interior of commercial building. 5/14/15 Mechanical permit applied for.</t>
  </si>
  <si>
    <t>BDR2015-0014</t>
  </si>
  <si>
    <t>add 960 sq. ft. mudroom, &amp; 1240 sq. ft. garage to existing SFD</t>
  </si>
  <si>
    <t>BDR2015-0015</t>
  </si>
  <si>
    <t>22-42-16-34-2-03-023</t>
  </si>
  <si>
    <t>BDR2015-0016</t>
  </si>
  <si>
    <t>22-44-18-17-4-06-001</t>
  </si>
  <si>
    <t>B15-0094</t>
  </si>
  <si>
    <t>Converting storage room into office</t>
  </si>
  <si>
    <t>22-41-16-34-2-62-002</t>
  </si>
  <si>
    <t>BDR2015-0017</t>
  </si>
  <si>
    <t>New 4-bedroom, 2-bath SFD w/ attached garage</t>
  </si>
  <si>
    <t>22-39-16-02-2-00-023</t>
  </si>
  <si>
    <t>BDR2015-0018</t>
  </si>
  <si>
    <t>211 sq. ft. addition to guest bedroom, &amp; interior elevator addition to existing SFD</t>
  </si>
  <si>
    <t>B15-0113</t>
  </si>
  <si>
    <t>22-41-16-27-3-08-008</t>
  </si>
  <si>
    <t>BDR2015-0021</t>
  </si>
  <si>
    <t>643 sq. ft. bedroom and bathroom addition to existing SFD</t>
  </si>
  <si>
    <t>22-42-16-33-1-03-006</t>
  </si>
  <si>
    <t>B15-0117</t>
  </si>
  <si>
    <t>Adding garage/apartment</t>
  </si>
  <si>
    <t>22-41-16-32-4-12-035</t>
  </si>
  <si>
    <t>BDC2015-0032</t>
  </si>
  <si>
    <t>Replace fire rated assembly in stairwell due to water damage</t>
  </si>
  <si>
    <t>B15-0131</t>
  </si>
  <si>
    <t>Mercantile, ski school, lodge&amp; cart storage</t>
  </si>
  <si>
    <t>22-41-16-34-2-00-014</t>
  </si>
  <si>
    <t>B15-0134</t>
  </si>
  <si>
    <t>interior remodel of existing space</t>
  </si>
  <si>
    <t>22-41-16-33-2-07-010</t>
  </si>
  <si>
    <t>BDR2015-0023</t>
  </si>
  <si>
    <t>Build a new 681 sq. ft. garage on existing foundation attached to existing cabin</t>
  </si>
  <si>
    <t>22-42-16-02-3-07-003</t>
  </si>
  <si>
    <t>B15-0136</t>
  </si>
  <si>
    <t>22-41-16-34-2-04-007</t>
  </si>
  <si>
    <t>B15-0142</t>
  </si>
  <si>
    <t>22-41-16-31-4-14-113</t>
  </si>
  <si>
    <t>BDR2015-0028</t>
  </si>
  <si>
    <t>22-40-16-20-2-17-002</t>
  </si>
  <si>
    <t>BDR2015-0030</t>
  </si>
  <si>
    <t>22-44-18-19-4-00-007</t>
  </si>
  <si>
    <t>B15-0148</t>
  </si>
  <si>
    <t>adding storage under deck/french doors</t>
  </si>
  <si>
    <t>22-41-16-28-4-04-001</t>
  </si>
  <si>
    <t>BDC2015-0034</t>
  </si>
  <si>
    <t>50 sq. ft. addition to existing storage, 2 ft. roof extensions, &amp; rebuild structural wall to existing Kelly School.  June 26 2015 Removed 50 sq. ft. addition and roof extentions.</t>
  </si>
  <si>
    <t>22-42-15-10-1-00-008</t>
  </si>
  <si>
    <t>B15-0154</t>
  </si>
  <si>
    <t>interior alteration to office space</t>
  </si>
  <si>
    <t>BDR2015-0035</t>
  </si>
  <si>
    <t>New 175 sq. ft. laundry building</t>
  </si>
  <si>
    <t>22-42-16-22-4-00-096</t>
  </si>
  <si>
    <t>B15-0158</t>
  </si>
  <si>
    <t>residing permit</t>
  </si>
  <si>
    <t>22-41-16-28-4-11-003</t>
  </si>
  <si>
    <t>B15-0160</t>
  </si>
  <si>
    <t>22-41-16-27-3-08-015</t>
  </si>
  <si>
    <t>B15-0164</t>
  </si>
  <si>
    <t>truck barn</t>
  </si>
  <si>
    <t>22-40-16-06-1-00-106</t>
  </si>
  <si>
    <t>BDC2015-0035</t>
  </si>
  <si>
    <t>New equipment building for communications site</t>
  </si>
  <si>
    <t>BDR2015-0040</t>
  </si>
  <si>
    <t>22-44-18-20-3-03-001</t>
  </si>
  <si>
    <t>BDR2015-0041</t>
  </si>
  <si>
    <t>New detached garage with storage.</t>
  </si>
  <si>
    <t>B15-0178</t>
  </si>
  <si>
    <t>accessory unit above garage</t>
  </si>
  <si>
    <t>22-41-16-34-1-28-020</t>
  </si>
  <si>
    <t>B15-0179</t>
  </si>
  <si>
    <t>New single Family with attached accessory</t>
  </si>
  <si>
    <t>22-41-16-33-1-21-003</t>
  </si>
  <si>
    <t>B15-0180</t>
  </si>
  <si>
    <t>interior alteration spc 10B</t>
  </si>
  <si>
    <t>BDC2015-0037</t>
  </si>
  <si>
    <t>Convert loft of existing maintenance barn into employee housing</t>
  </si>
  <si>
    <t>B15-0169</t>
  </si>
  <si>
    <t>New 48 dwelling units in 12 four-plex bldg</t>
  </si>
  <si>
    <t>22-41-16-33-3-00-040</t>
  </si>
  <si>
    <t>B15-0187</t>
  </si>
  <si>
    <t>New 4-plex condo</t>
  </si>
  <si>
    <t>B15-0188</t>
  </si>
  <si>
    <t>New 4-plex condos</t>
  </si>
  <si>
    <t>B15-0189</t>
  </si>
  <si>
    <t>B15-0190</t>
  </si>
  <si>
    <t>B15-0191</t>
  </si>
  <si>
    <t>B15-0192</t>
  </si>
  <si>
    <t>22-41-16-33-3-00-039</t>
  </si>
  <si>
    <t>B15-0193</t>
  </si>
  <si>
    <t>B15-0194</t>
  </si>
  <si>
    <t>B15-0195</t>
  </si>
  <si>
    <t>B15-0196</t>
  </si>
  <si>
    <t>B15-0197</t>
  </si>
  <si>
    <t>BDR2015-0043</t>
  </si>
  <si>
    <t>468 sq. ft. master bed &amp; bath addition</t>
  </si>
  <si>
    <t>22-40-16-18-1-03-183</t>
  </si>
  <si>
    <t>BDR2015-0046</t>
  </si>
  <si>
    <t>add 1330 sq. ft of habitable, and 716 sq. ft. non-habitable (1-bedroom &amp; 1 1/2-bath) to existing SFD</t>
  </si>
  <si>
    <t>22-42-16-02-3-07-004</t>
  </si>
  <si>
    <t>BDR2015-0047</t>
  </si>
  <si>
    <t>New 1416 sq. ft. detached garage</t>
  </si>
  <si>
    <t>22-39-16-19-2-03-002</t>
  </si>
  <si>
    <t>BDR2015-0048</t>
  </si>
  <si>
    <t>1140 sq. ft. addition to existing SFD</t>
  </si>
  <si>
    <t>22-39-16-11-2-03-003</t>
  </si>
  <si>
    <t>BDR2015-0049</t>
  </si>
  <si>
    <t>B15-0201</t>
  </si>
  <si>
    <t>deck and interior remodel</t>
  </si>
  <si>
    <t>22-41-16-33-4-14-012</t>
  </si>
  <si>
    <t>BDR2015-0050</t>
  </si>
  <si>
    <t>22-42-16-27-2-27-012</t>
  </si>
  <si>
    <t>BDR2015-0052</t>
  </si>
  <si>
    <t>BDR2015-0053</t>
  </si>
  <si>
    <t>515 sq. ft. bedroom addition to existing SFD</t>
  </si>
  <si>
    <t>22-41-16-06-4-05-002</t>
  </si>
  <si>
    <t>BDR2015-0054</t>
  </si>
  <si>
    <t>B15-0204</t>
  </si>
  <si>
    <t>interior alteration-massage parlor</t>
  </si>
  <si>
    <t>22-41-16-33-1-02-004</t>
  </si>
  <si>
    <t>B15-0208</t>
  </si>
  <si>
    <t>alteration to existing building</t>
  </si>
  <si>
    <t>BDR2015-0057</t>
  </si>
  <si>
    <t>Remodel bathroom, kitchen &amp; egress door to change use from commercial office to residential space</t>
  </si>
  <si>
    <t>22-39-16-32-4-01-004</t>
  </si>
  <si>
    <t>BDR2015-0060</t>
  </si>
  <si>
    <t>BDR2015-0063</t>
  </si>
  <si>
    <t>New 1-bedroom, 1-bath ARU (accessory residential unit)</t>
  </si>
  <si>
    <t>22-42-16-15-4-03-024</t>
  </si>
  <si>
    <t>BDR2015-0064</t>
  </si>
  <si>
    <t>New 3-bedroom, 2 1/2-bath SFD</t>
  </si>
  <si>
    <t>22-39-17-11-1-08-005</t>
  </si>
  <si>
    <t>BDR2015-0065</t>
  </si>
  <si>
    <t>B15-0222</t>
  </si>
  <si>
    <t>Single family with attached Accessory</t>
  </si>
  <si>
    <t>B15-0226</t>
  </si>
  <si>
    <t>22-41-16-33-1-60-003</t>
  </si>
  <si>
    <t>BDR2015-0066</t>
  </si>
  <si>
    <t>New 3-bedroom, 4-bath SFD (to be used as short term rental, Lodge #1)</t>
  </si>
  <si>
    <t>22-42-17-24-4-35-071</t>
  </si>
  <si>
    <t>BDR2015-0067</t>
  </si>
  <si>
    <t>New 3-bedroom, 4-bath SFD (to be used as short term rental, Lodge #2)</t>
  </si>
  <si>
    <t>BDR2015-0068</t>
  </si>
  <si>
    <t>New 3-bedroom, 4-bath SFD (to be used as short term rental, Lodge #3)</t>
  </si>
  <si>
    <t>22-42-17-25-1-01-070</t>
  </si>
  <si>
    <t>BDR2015-0069</t>
  </si>
  <si>
    <t>New 3-bedroom, 4-bath SFD (to be used as short term rental, Lodge #4l)</t>
  </si>
  <si>
    <t>B15-0227</t>
  </si>
  <si>
    <t>New Townhome-Type A</t>
  </si>
  <si>
    <t>22-40-16-06-2-50-034</t>
  </si>
  <si>
    <t>B15-0228</t>
  </si>
  <si>
    <t>Townhome-Type A</t>
  </si>
  <si>
    <t>22-40-16-06-2-50-035</t>
  </si>
  <si>
    <t>B15-0229</t>
  </si>
  <si>
    <t>Townhome-Type B</t>
  </si>
  <si>
    <t>22-40-16-06-2-50-030</t>
  </si>
  <si>
    <t>B15-0230</t>
  </si>
  <si>
    <t>22-40-16-06-2-50-031</t>
  </si>
  <si>
    <t>B15-0231</t>
  </si>
  <si>
    <t>townhome- Type B</t>
  </si>
  <si>
    <t>22-40-16-06-2-50-032</t>
  </si>
  <si>
    <t>B15-0232</t>
  </si>
  <si>
    <t>22-40-16-06-2-50-033</t>
  </si>
  <si>
    <t>B15-0233</t>
  </si>
  <si>
    <t>22-40-16-06-2-50-028</t>
  </si>
  <si>
    <t>B15-0234</t>
  </si>
  <si>
    <t>Townhome- Type B</t>
  </si>
  <si>
    <t>22-40-16-06-2-50-029</t>
  </si>
  <si>
    <t>BDR2015-0074</t>
  </si>
  <si>
    <t>22-40-16-21-2-01-007</t>
  </si>
  <si>
    <t>BDR2015-0075</t>
  </si>
  <si>
    <t>New detached garage w/ 1/2 bath</t>
  </si>
  <si>
    <t>BDR2015-0076</t>
  </si>
  <si>
    <t>128 sq. ft. great room addition, &amp; new 70 sq. ft. deck</t>
  </si>
  <si>
    <t>22-41-17-33-4-03-008</t>
  </si>
  <si>
    <t>BDR2015-0077</t>
  </si>
  <si>
    <t>948 sq. ft. addition to existing SFD</t>
  </si>
  <si>
    <t>22-41-17-12-1-01-006</t>
  </si>
  <si>
    <t>BDR2015-0078</t>
  </si>
  <si>
    <t>Dining room addition over existing deck area w/ living space above (340 sq. ft. being added)</t>
  </si>
  <si>
    <t>BDR2015-0079</t>
  </si>
  <si>
    <t>506 sq. ft. bunk room addition above existing garage to existing SFD</t>
  </si>
  <si>
    <t>22-42-17-25-2-01-013</t>
  </si>
  <si>
    <t>B15-0248</t>
  </si>
  <si>
    <t>22-41-16-34-1-AF-003</t>
  </si>
  <si>
    <t>BDR2015-0080</t>
  </si>
  <si>
    <t>B15-0252</t>
  </si>
  <si>
    <t>22-41-16-32-4-29-007</t>
  </si>
  <si>
    <t>BDR2015-0087</t>
  </si>
  <si>
    <t>22-42-17-25-1-01-082</t>
  </si>
  <si>
    <t>BDR2015-0088</t>
  </si>
  <si>
    <t>New 3-bedroom, 4-bath SFD w/ attached garage</t>
  </si>
  <si>
    <t>22-42-17-24-4-35-084</t>
  </si>
  <si>
    <t>BDR2015-0089</t>
  </si>
  <si>
    <t>Remodel existing barn into 1-bedroom, 1bath ARU (Accessory Residential Unit)</t>
  </si>
  <si>
    <t>BDC2015-0041</t>
  </si>
  <si>
    <t>New cell tower</t>
  </si>
  <si>
    <t>BDR2015-0093</t>
  </si>
  <si>
    <t>New 572 sq. ft. storage shed</t>
  </si>
  <si>
    <t>B15-0283</t>
  </si>
  <si>
    <t>rebuild utility shed</t>
  </si>
  <si>
    <t>BDC2015-0042</t>
  </si>
  <si>
    <t>new 450 sq. ft. storage shed</t>
  </si>
  <si>
    <t>BDR2015-0095</t>
  </si>
  <si>
    <t>22-40-16-20-2-16-006</t>
  </si>
  <si>
    <t>BDR2015-0096</t>
  </si>
  <si>
    <t>22-41-17-25-4-05-002</t>
  </si>
  <si>
    <t>BDR2015-0097</t>
  </si>
  <si>
    <t>3602 sq. ft. bedroom &amp; bath addition and 880 sq. ft remodel to existing SFD</t>
  </si>
  <si>
    <t>22-41-16-10-4-00-009</t>
  </si>
  <si>
    <t>BDR2015-0098</t>
  </si>
  <si>
    <t>22-40-16-20-2-01-025</t>
  </si>
  <si>
    <t>B15-0292</t>
  </si>
  <si>
    <t>BDR2015-0102</t>
  </si>
  <si>
    <t>New 5-bedroom, 6-bath SFD w/ attached garage (Lot 10, Type A1)</t>
  </si>
  <si>
    <t>BDR2015-0103</t>
  </si>
  <si>
    <t>New 5-bedroom, 6-bath SFD w/ attached garage (Lot 11, Type A1)</t>
  </si>
  <si>
    <t>BDR2015-0104</t>
  </si>
  <si>
    <t>New 5-bedroom, 6-bath SFD w/ attached garage (Lot 12, Type A1)</t>
  </si>
  <si>
    <t>BDR2015-0109</t>
  </si>
  <si>
    <t>New 4-bedroom, 5-bath SFD w/ attached garage (Lot 9, B1)</t>
  </si>
  <si>
    <t>B15-0295</t>
  </si>
  <si>
    <t>22-41-16-33-1-27-008</t>
  </si>
  <si>
    <t>BDR2015-0112</t>
  </si>
  <si>
    <t>1029 sq. ft. upper floor and 1449 sq. ft. basement addition.</t>
  </si>
  <si>
    <t>BDR2015-0116</t>
  </si>
  <si>
    <t>4 bedroom, 4 bath SFD with attached garage</t>
  </si>
  <si>
    <t>22-42-16-34-2-03-003</t>
  </si>
  <si>
    <t>BDR2015-0117</t>
  </si>
  <si>
    <t>relocating windows and doors</t>
  </si>
  <si>
    <t>22-40-16-17-2-02-107</t>
  </si>
  <si>
    <t>B15-0306</t>
  </si>
  <si>
    <t>22-41-16-27-3-31-001</t>
  </si>
  <si>
    <t>BDR2015-0118</t>
  </si>
  <si>
    <t>1296 square foot detached garage</t>
  </si>
  <si>
    <t>BDR2015-0119</t>
  </si>
  <si>
    <t>SFD 2 bedroom 2 1/2 bath dwelling with attached garage</t>
  </si>
  <si>
    <t>22-42-16-22-3-00-046</t>
  </si>
  <si>
    <t>BDR2015-0120</t>
  </si>
  <si>
    <t>Garage with roughed-in art studio above.</t>
  </si>
  <si>
    <t>22-41-16-06-3-04-002</t>
  </si>
  <si>
    <t>B15-0321</t>
  </si>
  <si>
    <t>Additon/alteration to existing home</t>
  </si>
  <si>
    <t>22-41-16-34-1-02-008</t>
  </si>
  <si>
    <t>B15-0323</t>
  </si>
  <si>
    <t>adding an attached greenhouse</t>
  </si>
  <si>
    <t>22-41-16-34-2-24-005</t>
  </si>
  <si>
    <t>B15-0324</t>
  </si>
  <si>
    <t>22-41-16-34-1-71-002</t>
  </si>
  <si>
    <t>BDC2015-0045</t>
  </si>
  <si>
    <t>Reconfigure one hotel room</t>
  </si>
  <si>
    <t>BDR2015-0121</t>
  </si>
  <si>
    <t>Gear Barn</t>
  </si>
  <si>
    <t>BDR2015-0122</t>
  </si>
  <si>
    <t>1 bedroom 1 bath guest house</t>
  </si>
  <si>
    <t>BDR2015-0123</t>
  </si>
  <si>
    <t>Garage remodel and second level addition including 2 bedrooms and 2 baths</t>
  </si>
  <si>
    <t>BDC2015-0046</t>
  </si>
  <si>
    <t>Tenant improvement on five sections all of which are type B occupancies</t>
  </si>
  <si>
    <t>B15-0332</t>
  </si>
  <si>
    <t>22-41-16-34-1-AO-001</t>
  </si>
  <si>
    <t>BDR2015-0125</t>
  </si>
  <si>
    <t>New 2 car detached garage with heat and a dog sink</t>
  </si>
  <si>
    <t>22-42-16-22-3-02-003</t>
  </si>
  <si>
    <t>BDR2015-0126</t>
  </si>
  <si>
    <t>new one bedroom one bathroom SFD</t>
  </si>
  <si>
    <t>22-39-16-02-2-00-025</t>
  </si>
  <si>
    <t>BDC2015-0047</t>
  </si>
  <si>
    <t>change store room into locker room</t>
  </si>
  <si>
    <t>BDC2015-0048</t>
  </si>
  <si>
    <t>Addition of a market and covering existing patio</t>
  </si>
  <si>
    <t>22-41-17-11-4-18-003</t>
  </si>
  <si>
    <t>B15-0342</t>
  </si>
  <si>
    <t>office with attached daycare</t>
  </si>
  <si>
    <t>B15-0351</t>
  </si>
  <si>
    <t>Addtion to existing home and garage</t>
  </si>
  <si>
    <t>22-41-16-33-4-07-003</t>
  </si>
  <si>
    <t>BDR2015-0129</t>
  </si>
  <si>
    <t>new 3 bedroom three bath house with attached garage</t>
  </si>
  <si>
    <t>22-40-16-18-1-06-050</t>
  </si>
  <si>
    <t>B15-0355</t>
  </si>
  <si>
    <t>22-41-16-28-4-10-004</t>
  </si>
  <si>
    <t>BDR2015-0131</t>
  </si>
  <si>
    <t>two bedroom two bath SFD with attached garage</t>
  </si>
  <si>
    <t>22-39-16-14-4-00-041</t>
  </si>
  <si>
    <t>BDR2015-0133</t>
  </si>
  <si>
    <t>Addition of office to master suite and storage to garage</t>
  </si>
  <si>
    <t>BDR2015-0134</t>
  </si>
  <si>
    <t>3 bedroom 4 bath SFD with attached garage</t>
  </si>
  <si>
    <t>22-44-18-07-3-01-004</t>
  </si>
  <si>
    <t>BDR2015-0135</t>
  </si>
  <si>
    <t>accessory structure Art studio</t>
  </si>
  <si>
    <t>BDR2015-0138</t>
  </si>
  <si>
    <t>Remove and replace existing 3 bedroom 2 bath dwelling with same and add additional dwelling area.</t>
  </si>
  <si>
    <t>BDR2015-0141</t>
  </si>
  <si>
    <t>Addition of laundry room and basement below</t>
  </si>
  <si>
    <t>B15-0398</t>
  </si>
  <si>
    <t>2 new modulars</t>
  </si>
  <si>
    <t>BDR2015-0143</t>
  </si>
  <si>
    <t>New 4 Bedrooms 4 1/2 baths SFD with attached garage</t>
  </si>
  <si>
    <t>BDR2015-0144</t>
  </si>
  <si>
    <t>1393 sq ft addition, relocate kitchen and add 1/2 bath</t>
  </si>
  <si>
    <t>22-41-17-11-1-11-004</t>
  </si>
  <si>
    <t>BDR2015-0145</t>
  </si>
  <si>
    <t>New SFD 3 bedrooms 4 baths with carport</t>
  </si>
  <si>
    <t>BDR2015-0149</t>
  </si>
  <si>
    <t>Addition to SFD and deck</t>
  </si>
  <si>
    <t>22-40-16-20-1-10-015</t>
  </si>
  <si>
    <t>B15-0417</t>
  </si>
  <si>
    <t>New 5 ft window</t>
  </si>
  <si>
    <t>22-41-16-33-4-10-017</t>
  </si>
  <si>
    <t>B15-0418</t>
  </si>
  <si>
    <t>daycare addition</t>
  </si>
  <si>
    <t>BDC2015-0050</t>
  </si>
  <si>
    <t>756 sq ft storage building</t>
  </si>
  <si>
    <t>B15-0425</t>
  </si>
  <si>
    <t>exterior alteration</t>
  </si>
  <si>
    <t>BDR2015-0150</t>
  </si>
  <si>
    <t>remodel, move 4 walls, electrical work, plumbing, new cabinets, new flooring, repair existing rot, remove gas stove and add gas fireplace.</t>
  </si>
  <si>
    <t>22-40-16-18-1-05-285</t>
  </si>
  <si>
    <t>B15-0435</t>
  </si>
  <si>
    <t>addtion to existing home</t>
  </si>
  <si>
    <t>22-41-16-33-1-63-002</t>
  </si>
  <si>
    <t>BDR2015-0154</t>
  </si>
  <si>
    <t>SFD addition of 8 feet</t>
  </si>
  <si>
    <t>BDR2015-0155</t>
  </si>
  <si>
    <t>SFD ADD of 32 feet for a gas fireplace</t>
  </si>
  <si>
    <t>BDR2015-0156</t>
  </si>
  <si>
    <t>New SFD 4 Bedrooms, 3.5 baths, attached garage</t>
  </si>
  <si>
    <t>22-41-16-30-2-01-003</t>
  </si>
  <si>
    <t>BDR2015-0161</t>
  </si>
  <si>
    <t>New SFD, attached shop/garage, 4 bedrooms, 4 plus 2 half baths</t>
  </si>
  <si>
    <t>22-40-16-35-2-00-014</t>
  </si>
  <si>
    <t>BDR2015-0162</t>
  </si>
  <si>
    <t>NEW-ARU, 2 bedrooms 2 1/2 baths</t>
  </si>
  <si>
    <t>B15-0459</t>
  </si>
  <si>
    <t>converting garage bay into bedroom</t>
  </si>
  <si>
    <t>BDR2015-0166</t>
  </si>
  <si>
    <t>SFD ADD, garage, porch &amp; spa</t>
  </si>
  <si>
    <t>BDR2015-0167</t>
  </si>
  <si>
    <t>SFD ADD</t>
  </si>
  <si>
    <t>BDR2015-0168</t>
  </si>
  <si>
    <t>New SFD, 2 bedrooms, 3 1/2 baths, attached garage</t>
  </si>
  <si>
    <t>22-38-16-08-4-01-009</t>
  </si>
  <si>
    <t>7 MHs</t>
  </si>
  <si>
    <t>B15-0473</t>
  </si>
  <si>
    <t>inerior remodel</t>
  </si>
  <si>
    <t>B15-0474</t>
  </si>
  <si>
    <t>BDR2016-0102</t>
  </si>
  <si>
    <t xml:space="preserve">New SFD 6 bedrooms, 6 1/2 baths. </t>
  </si>
  <si>
    <t>B15-0479</t>
  </si>
  <si>
    <t>22-41-16-34-1-36-004</t>
  </si>
  <si>
    <t>BDR2015-0172</t>
  </si>
  <si>
    <t>SFD ADD, renovation/Remodel to existing home 9-30-15 extended until May 2016, not starting until Spring, per phone call from Kurt Dubbe.dp</t>
  </si>
  <si>
    <t>BDR2015-0174</t>
  </si>
  <si>
    <t>SFD ADD of 338 ft  10/02/15 Revised after approval.  Addition size increased to 363 SQFTand deck addition relocated and increased to 345 SQFT</t>
  </si>
  <si>
    <t>BDR2015-0175</t>
  </si>
  <si>
    <t>B15-0505</t>
  </si>
  <si>
    <t>removal of part of garage</t>
  </si>
  <si>
    <t>22-41-16-27-3-31-002</t>
  </si>
  <si>
    <t>B15-0507</t>
  </si>
  <si>
    <t>new detached accessory unit</t>
  </si>
  <si>
    <t>BDR2015-0176</t>
  </si>
  <si>
    <t>ARU-convert existing building to habitable, 2 bedrooms, 1 bath</t>
  </si>
  <si>
    <t>22-39-16-11-2-00-009</t>
  </si>
  <si>
    <t>B15-0529</t>
  </si>
  <si>
    <t>single family Modular</t>
  </si>
  <si>
    <t>22-41-16-28-4-05-006</t>
  </si>
  <si>
    <t>B15-0530</t>
  </si>
  <si>
    <t>interior remodel-change of use</t>
  </si>
  <si>
    <t>22-41-16-32-1-12-001</t>
  </si>
  <si>
    <t>BDR2015-0177</t>
  </si>
  <si>
    <t>SFD ADD of 1 bedroom, 1 bathroom</t>
  </si>
  <si>
    <t>22-41-17-14-1-19-014</t>
  </si>
  <si>
    <t>BDC2015-0052</t>
  </si>
  <si>
    <t>new mercantile 1600 sq ft</t>
  </si>
  <si>
    <t>22-39-16-14-4-00-022</t>
  </si>
  <si>
    <t>BDR2015-0180</t>
  </si>
  <si>
    <t>New SFD 3 bedrooms, 3 baths</t>
  </si>
  <si>
    <t>22-40-16-18-1-06-049</t>
  </si>
  <si>
    <t>B15-0542</t>
  </si>
  <si>
    <t>adding solar panels to brew pub</t>
  </si>
  <si>
    <t>B15-0544</t>
  </si>
  <si>
    <t>addtion to existing building</t>
  </si>
  <si>
    <t>B15-0547</t>
  </si>
  <si>
    <t>interior alteration for Teton Physical therapy</t>
  </si>
  <si>
    <t>BDR2015-0182</t>
  </si>
  <si>
    <t>New SFD 4 bedrooms, 4.5 Baths</t>
  </si>
  <si>
    <t>22-40-17-12-4-01-052</t>
  </si>
  <si>
    <t>BDR2015-0183</t>
  </si>
  <si>
    <t>pole barn</t>
  </si>
  <si>
    <t>5914, 5915</t>
  </si>
  <si>
    <t>B14-0606</t>
  </si>
  <si>
    <t>new work/live unit</t>
  </si>
  <si>
    <t>22-40-16-05-2-00-006</t>
  </si>
  <si>
    <t>BDR2015-0186</t>
  </si>
  <si>
    <t>SFD-Add</t>
  </si>
  <si>
    <t>B15-0590</t>
  </si>
  <si>
    <t>B15-0595</t>
  </si>
  <si>
    <t>basement finish and kitchen remodel</t>
  </si>
  <si>
    <t>22-41-16-34-2-50-008</t>
  </si>
  <si>
    <t>BDR2015-0187</t>
  </si>
  <si>
    <t>SFD-Addition</t>
  </si>
  <si>
    <t>22-41-17-14-4-30-013</t>
  </si>
  <si>
    <t>BDR2015-0189</t>
  </si>
  <si>
    <t>SFD ADD of 261 sq ft and decks</t>
  </si>
  <si>
    <t>22-41-17-28-1-00-032</t>
  </si>
  <si>
    <t>BDR2015-0191</t>
  </si>
  <si>
    <t>New SFD 5 bedrooms 5.5 baths,  attached garage</t>
  </si>
  <si>
    <t>22-42-17-25-1-01-035</t>
  </si>
  <si>
    <t>B15-0622</t>
  </si>
  <si>
    <t>22-41-16-33-1-01-009</t>
  </si>
  <si>
    <t>B15-0631</t>
  </si>
  <si>
    <t>exterior rebuild of fire damaged building</t>
  </si>
  <si>
    <t>22-41-16-33-2-00-006</t>
  </si>
  <si>
    <t>BDC2015-0054</t>
  </si>
  <si>
    <t>bathroom remodel and addition of 100 square feet</t>
  </si>
  <si>
    <t>BDC2015-0055</t>
  </si>
  <si>
    <t>enclose covered porch, expanding seating to bar and restaurant</t>
  </si>
  <si>
    <t>B15-0654</t>
  </si>
  <si>
    <t>basement remodel</t>
  </si>
  <si>
    <t>22-41-16-34-2-07-004</t>
  </si>
  <si>
    <t>B15-0682</t>
  </si>
  <si>
    <t>interior alteration in the professional bld</t>
  </si>
  <si>
    <t>B15-0684</t>
  </si>
  <si>
    <t>22-41-16-34-2-03-013</t>
  </si>
  <si>
    <t>B15-0697</t>
  </si>
  <si>
    <t>BDR2015-0199</t>
  </si>
  <si>
    <t>new shop/garage</t>
  </si>
  <si>
    <t>22-39-15-31-1-00-011</t>
  </si>
  <si>
    <t>B15-0703</t>
  </si>
  <si>
    <t>22-41-16-33-1-00-029</t>
  </si>
  <si>
    <t>BDR2015-0202</t>
  </si>
  <si>
    <t>22-41-17-35-4-00-002</t>
  </si>
  <si>
    <t>B15-0713</t>
  </si>
  <si>
    <t>interior remodel add bathroom</t>
  </si>
  <si>
    <t>22-41-16-34-2-08-010</t>
  </si>
  <si>
    <t>B15-0715</t>
  </si>
  <si>
    <t>interior remodel unit D</t>
  </si>
  <si>
    <t>B16-0124</t>
  </si>
  <si>
    <t>New child care center/regional office</t>
  </si>
  <si>
    <t>B15-0726</t>
  </si>
  <si>
    <t>22-41-16-34-2-72-001</t>
  </si>
  <si>
    <t>B15-0728</t>
  </si>
  <si>
    <t>interior remodel for warehouse/storage</t>
  </si>
  <si>
    <t>22-40-16-06-1-12-021</t>
  </si>
  <si>
    <t>BDR2015-0205</t>
  </si>
  <si>
    <t>addition of 442 sq.ft. in loft &amp; addition of 87 sq ft deck</t>
  </si>
  <si>
    <t>22-42-16-15-3-02-003</t>
  </si>
  <si>
    <t>B15-0736</t>
  </si>
  <si>
    <t>22-40-16-06-1-12-016</t>
  </si>
  <si>
    <t>B15-0738</t>
  </si>
  <si>
    <t>Cooler expansion and rear fencing enclosure</t>
  </si>
  <si>
    <t>B15-0753</t>
  </si>
  <si>
    <t>Replace existing decks &amp; handrails</t>
  </si>
  <si>
    <t>22-41-16-34-1-79-CND</t>
  </si>
  <si>
    <t>B15-0766</t>
  </si>
  <si>
    <t>interior alteration of office space</t>
  </si>
  <si>
    <t>22-41-16-27-3-16-002</t>
  </si>
  <si>
    <t>BDR2015-0211</t>
  </si>
  <si>
    <t>New SFD 4 Bedrooms, 4.5 Baths, attached garage</t>
  </si>
  <si>
    <t>22-42-16-27-4-04-032</t>
  </si>
  <si>
    <t>B15-0779</t>
  </si>
  <si>
    <t>Converting garage into attached accessory unit</t>
  </si>
  <si>
    <t>22-41-16-34-2-00-011</t>
  </si>
  <si>
    <t>BDC2015-0058</t>
  </si>
  <si>
    <t>Interior Remodel</t>
  </si>
  <si>
    <t>B15-0782</t>
  </si>
  <si>
    <t>basement alteration</t>
  </si>
  <si>
    <t>22-41-16-34-1-12-015</t>
  </si>
  <si>
    <t>B16-0172</t>
  </si>
  <si>
    <t>New single Family Home</t>
  </si>
  <si>
    <t>22-41-16-27-3-10-005</t>
  </si>
  <si>
    <t>BDR2015-0213</t>
  </si>
  <si>
    <t>New SFD 4 bedrooms, 3 baths</t>
  </si>
  <si>
    <t>22-41-17-22-3-00-072</t>
  </si>
  <si>
    <t>B15-0806</t>
  </si>
  <si>
    <t>BDC2015-0059</t>
  </si>
  <si>
    <t>New office/shop</t>
  </si>
  <si>
    <t>22-39-16-02-3-00-020</t>
  </si>
  <si>
    <t>B15-0817</t>
  </si>
  <si>
    <t>Reactivate permit B14-0175</t>
  </si>
  <si>
    <t>B16-0261</t>
  </si>
  <si>
    <t>22-41-16-33-1-63-001</t>
  </si>
  <si>
    <t>BDC2016-0001</t>
  </si>
  <si>
    <t>install metal spray booth</t>
  </si>
  <si>
    <t>BDC2016-0002</t>
  </si>
  <si>
    <t>office permit</t>
  </si>
  <si>
    <t>22-40-16-17-4-04-002</t>
  </si>
  <si>
    <t>B16-0008</t>
  </si>
  <si>
    <t>22-41-16-34-1-28-018</t>
  </si>
  <si>
    <t>BDC2016-0003</t>
  </si>
  <si>
    <t>demo existing walkin freezer, Install new freezer on exterior of building</t>
  </si>
  <si>
    <t>22-45-13-36-1-02-001</t>
  </si>
  <si>
    <t>BDR2016-0004</t>
  </si>
  <si>
    <t>Interior remodel</t>
  </si>
  <si>
    <t>22-42-17-24-3-16-002</t>
  </si>
  <si>
    <t>B16-0023</t>
  </si>
  <si>
    <t>interiora alteration</t>
  </si>
  <si>
    <t>22-41-16-33-4-05-005</t>
  </si>
  <si>
    <t>BDR2016-0007</t>
  </si>
  <si>
    <t>addition of SFD, create basement below current structure</t>
  </si>
  <si>
    <t>22-39-16-02-3-00-012</t>
  </si>
  <si>
    <t>BDR2016-0008</t>
  </si>
  <si>
    <t>6000 sqft Barn with bathroom</t>
  </si>
  <si>
    <t>22-42-16-19-2-00-004</t>
  </si>
  <si>
    <t>BDR2016-0009</t>
  </si>
  <si>
    <t>SFD 3 bedrooms, 5 bathrooms with attached garage</t>
  </si>
  <si>
    <t>22-41-17-23-1-09-011</t>
  </si>
  <si>
    <t>B16-0035</t>
  </si>
  <si>
    <t>Entire/Project phase 1 including B16-0111 tenant fitout for 9 condo units</t>
  </si>
  <si>
    <t>B16-0040</t>
  </si>
  <si>
    <t>New concession/restrooms</t>
  </si>
  <si>
    <t>BDR2016-0013</t>
  </si>
  <si>
    <t>ARU, 2 bedrooms, 1 baths, attached garage</t>
  </si>
  <si>
    <t>22-40-17-01-4-01-015</t>
  </si>
  <si>
    <t>B16-0050</t>
  </si>
  <si>
    <t>B16-0054</t>
  </si>
  <si>
    <t>New shell building north</t>
  </si>
  <si>
    <t>22-40-16-06-1-00-041</t>
  </si>
  <si>
    <t>BDC2016-0006</t>
  </si>
  <si>
    <t>remodel of main level Hotel Terra (pool, spa, mechanical rooms, etc)</t>
  </si>
  <si>
    <t>22-42-17-24-4-37-CND</t>
  </si>
  <si>
    <t>BDC2016-0007</t>
  </si>
  <si>
    <t>New Shop and Offices 3413 sq.ft. - Recycling Center</t>
  </si>
  <si>
    <t>B16-0060</t>
  </si>
  <si>
    <t>B16-0061</t>
  </si>
  <si>
    <t>B16-0062</t>
  </si>
  <si>
    <t>creating 2 retails spaces from 1</t>
  </si>
  <si>
    <t>22-41-16-33-2-01-004</t>
  </si>
  <si>
    <t>BDR2016-0020</t>
  </si>
  <si>
    <t>addition of 1200 sqft non habitable &amp; remodel of 1008 sqft habitable; 9-21-16 added outdoor firepit</t>
  </si>
  <si>
    <t>22-42-16-27-2-31-006</t>
  </si>
  <si>
    <t>B16-0065</t>
  </si>
  <si>
    <t>replacing stairs/ repair</t>
  </si>
  <si>
    <t>22-41-16-34-2-05-011</t>
  </si>
  <si>
    <t>BDR2016-0024</t>
  </si>
  <si>
    <t>remodel of 1838 sqft</t>
  </si>
  <si>
    <t>BDR2016-0025</t>
  </si>
  <si>
    <t>Barn, 5-25-16 revision of dormer</t>
  </si>
  <si>
    <t>BDR2016-0028</t>
  </si>
  <si>
    <t>addition of 144 sqft</t>
  </si>
  <si>
    <t>22-40-16-18-3-00-016</t>
  </si>
  <si>
    <t>B16-0077</t>
  </si>
  <si>
    <t>retaining wall</t>
  </si>
  <si>
    <t>22-41-16-32-1-03-006</t>
  </si>
  <si>
    <t>BDC2016-0008</t>
  </si>
  <si>
    <t>Garage bay addition to Coroner's garage</t>
  </si>
  <si>
    <t>BDC2016-0009</t>
  </si>
  <si>
    <t>remodel of bathrooms at Boys Camp</t>
  </si>
  <si>
    <t>22-39-16-27-4-00-001</t>
  </si>
  <si>
    <t>BDR2016-0030</t>
  </si>
  <si>
    <t>New SFD 3 bedrooms, 2 baths</t>
  </si>
  <si>
    <t>22-39-16-02-3-00-018</t>
  </si>
  <si>
    <t>B16-0458</t>
  </si>
  <si>
    <t>garage with 1-bedroom apartment above</t>
  </si>
  <si>
    <t>BDR2016-0032</t>
  </si>
  <si>
    <t>Addition to SFD 732sqft</t>
  </si>
  <si>
    <t>22-41-17-23-2-09-007</t>
  </si>
  <si>
    <t>BDR2016-0033</t>
  </si>
  <si>
    <t>New SFD Guest House(997)/barn (2513 for barn), 2 bedrooms, 1 bath, revision of interior wall &amp; horse roof</t>
  </si>
  <si>
    <t>22-41-16-34-2-20-004</t>
  </si>
  <si>
    <t>B16-0098</t>
  </si>
  <si>
    <t>B16-0102</t>
  </si>
  <si>
    <t>Tenant fit out- Salon</t>
  </si>
  <si>
    <t>22-41-16-33-3-00-038</t>
  </si>
  <si>
    <t>BDR2016-0043</t>
  </si>
  <si>
    <t>Addition on garage of 3 bedrooms &amp; 2 baths, 1637 sq ft</t>
  </si>
  <si>
    <t>B16-0113</t>
  </si>
  <si>
    <t>tenant fit out for habitat store</t>
  </si>
  <si>
    <t>B16-0115</t>
  </si>
  <si>
    <t>New bathroom</t>
  </si>
  <si>
    <t>B16-0117</t>
  </si>
  <si>
    <t>22-41-16-34-1-48-011</t>
  </si>
  <si>
    <t>B16-0120</t>
  </si>
  <si>
    <t>replace trailer space # 10-B</t>
  </si>
  <si>
    <t>22-41-16-34-2-32-001</t>
  </si>
  <si>
    <t>B16-0121</t>
  </si>
  <si>
    <t>replace trailer Space 10-A</t>
  </si>
  <si>
    <t>BDC2016-0013</t>
  </si>
  <si>
    <t>laundry/bath house</t>
  </si>
  <si>
    <t>BDC2016-0014</t>
  </si>
  <si>
    <t>new cabin at University of Michigan</t>
  </si>
  <si>
    <t>BDC2016-0015</t>
  </si>
  <si>
    <t>new cabin for University of Michigan</t>
  </si>
  <si>
    <t>BDC2016-0016</t>
  </si>
  <si>
    <t>BDC2016-0017</t>
  </si>
  <si>
    <t>BDC2016-0018</t>
  </si>
  <si>
    <t>BDC2016-0019</t>
  </si>
  <si>
    <t>BDC2016-0020</t>
  </si>
  <si>
    <t>BDC2016-0021</t>
  </si>
  <si>
    <t>BDC2016-0022</t>
  </si>
  <si>
    <t>BDC2016-0023</t>
  </si>
  <si>
    <t>BDC2016-0024</t>
  </si>
  <si>
    <t>BDC2016-0025</t>
  </si>
  <si>
    <t>BDC2016-0026</t>
  </si>
  <si>
    <t>BDC2016-0027</t>
  </si>
  <si>
    <t>BDC2016-0028</t>
  </si>
  <si>
    <t>BDC2016-0029</t>
  </si>
  <si>
    <t>BDC2016-0030</t>
  </si>
  <si>
    <t>BDC2016-0031</t>
  </si>
  <si>
    <t>BDC2016-0032</t>
  </si>
  <si>
    <t>BDC2016-0033</t>
  </si>
  <si>
    <t>BDC2016-0034</t>
  </si>
  <si>
    <t>BDC2016-0035</t>
  </si>
  <si>
    <t>BDC2016-0036</t>
  </si>
  <si>
    <t>BDC2016-0037</t>
  </si>
  <si>
    <t>BDC2016-0038</t>
  </si>
  <si>
    <t>BDC2016-0039</t>
  </si>
  <si>
    <t>BDC2016-0040</t>
  </si>
  <si>
    <t>BDC2016-0041</t>
  </si>
  <si>
    <t>BDC2016-0042</t>
  </si>
  <si>
    <t>BDC2016-0043</t>
  </si>
  <si>
    <t>BDR2016-0044</t>
  </si>
  <si>
    <t>addition of 422 sqft &amp; remodel</t>
  </si>
  <si>
    <t>BDR2014-0036</t>
  </si>
  <si>
    <t>BDR2014-0197R</t>
  </si>
  <si>
    <t xml:space="preserve">New 6-bedroom, 9-bath SFD w/ attached garage.  12/23/14 Revision to the floor plan.  </t>
  </si>
  <si>
    <t>22-42-17-24-1-01-003</t>
  </si>
  <si>
    <t>mod</t>
  </si>
  <si>
    <t>new</t>
  </si>
  <si>
    <t>BDR2016-0057</t>
  </si>
  <si>
    <t>garage</t>
  </si>
  <si>
    <t>22-41-16-28-1-04-004</t>
  </si>
  <si>
    <t>B16-0138</t>
  </si>
  <si>
    <t>22-41-16-33-2-01-005</t>
  </si>
  <si>
    <t>BDR2016-0063</t>
  </si>
  <si>
    <t>new SFD guest house, 1 bedrooms, 2 baths, garage</t>
  </si>
  <si>
    <t>B16-0144</t>
  </si>
  <si>
    <t>Tenant fit out for Chinatown</t>
  </si>
  <si>
    <t>BDR2016-0070</t>
  </si>
  <si>
    <t>remodel of kitchen 300 sqft</t>
  </si>
  <si>
    <t>22-41-17-11-4-16-013</t>
  </si>
  <si>
    <t>B16-0151</t>
  </si>
  <si>
    <t>interior alteration of townhome</t>
  </si>
  <si>
    <t>22-41-16-33-3-04-015</t>
  </si>
  <si>
    <t>B16-0152</t>
  </si>
  <si>
    <t>replace trailer spc# unit 11</t>
  </si>
  <si>
    <t>B16-0154</t>
  </si>
  <si>
    <t>interior alteration of Hoback Sports</t>
  </si>
  <si>
    <t>22-41-16-33-1-00-013</t>
  </si>
  <si>
    <t>BDR2015-0022</t>
  </si>
  <si>
    <t>B16-0159</t>
  </si>
  <si>
    <t>repair space from fire damage</t>
  </si>
  <si>
    <t>BDR2016-0078</t>
  </si>
  <si>
    <t>remove wall between dining and living room</t>
  </si>
  <si>
    <t>BDR2016-0079</t>
  </si>
  <si>
    <t>1135 sq ft deck replacement</t>
  </si>
  <si>
    <t>22-40-16-21-2-01-002</t>
  </si>
  <si>
    <t>BDR2016-0080</t>
  </si>
  <si>
    <t>Barn</t>
  </si>
  <si>
    <t>22-40-16-29-2-01-004</t>
  </si>
  <si>
    <t>BDC2016-0047</t>
  </si>
  <si>
    <t>New restrooms at Hoback Store</t>
  </si>
  <si>
    <t>B16-0194</t>
  </si>
  <si>
    <t>22-41-16-27-3-16-001</t>
  </si>
  <si>
    <t>B16-0196</t>
  </si>
  <si>
    <t>new egress basement windows</t>
  </si>
  <si>
    <t>22-41-16-33-1-34-001</t>
  </si>
  <si>
    <t>B16-0198</t>
  </si>
  <si>
    <t>adding door &amp; exterior staircase</t>
  </si>
  <si>
    <t>22-40-16-06-2-06-008</t>
  </si>
  <si>
    <t>BDR2016-0095</t>
  </si>
  <si>
    <t>New SFD 5 bedrooms, 5 1/2 baths, attached garage</t>
  </si>
  <si>
    <t>22-38-16-16-3-01-042</t>
  </si>
  <si>
    <t>B16-0203</t>
  </si>
  <si>
    <t>B16-0204</t>
  </si>
  <si>
    <t>New detached accessory unit above garage</t>
  </si>
  <si>
    <t>B16-0206</t>
  </si>
  <si>
    <t>deck</t>
  </si>
  <si>
    <t>22-41-16-34-2-00-002</t>
  </si>
  <si>
    <t>BDR2016-0101</t>
  </si>
  <si>
    <t>New SFD, 4 bedrooms, 4 1/2 bathrooms, attached garage</t>
  </si>
  <si>
    <t>22-41-17-11-4-13-013</t>
  </si>
  <si>
    <t>B16-0234</t>
  </si>
  <si>
    <t>22-41-16-32-4-01-001</t>
  </si>
  <si>
    <t>B16-0237</t>
  </si>
  <si>
    <t>B16-0252</t>
  </si>
  <si>
    <t>roof extension to cover existing deck</t>
  </si>
  <si>
    <t>22-40-16-06-2-08-008</t>
  </si>
  <si>
    <t>B16-0257</t>
  </si>
  <si>
    <t>replace existing trailer with new</t>
  </si>
  <si>
    <t>22-40-16-06-1-00-022</t>
  </si>
  <si>
    <t>BDR2016-0122</t>
  </si>
  <si>
    <t>Addition to home of 426sqft, cover on deck182 sqft; detached garage 374sqft</t>
  </si>
  <si>
    <t>22-42-16-27-4-04-004</t>
  </si>
  <si>
    <t>BDC2016-0049</t>
  </si>
  <si>
    <t>install windows into 2 walls with framing for drywall</t>
  </si>
  <si>
    <t>B16-0269</t>
  </si>
  <si>
    <t>Change from a duplex to a townhome</t>
  </si>
  <si>
    <t>22-41-16-34-1-AP-002</t>
  </si>
  <si>
    <t>B16-0270</t>
  </si>
  <si>
    <t>tenant fit out for new spa</t>
  </si>
  <si>
    <t>BDR2016-0126</t>
  </si>
  <si>
    <t>new SFD, 4 bedrooms, 6 bathrooms, attached garage</t>
  </si>
  <si>
    <t>22-41-17-23-2-08-003</t>
  </si>
  <si>
    <t>BDR2016-0127</t>
  </si>
  <si>
    <t>New SFD guest house 1 bedroom, 1 bathroom, storage area</t>
  </si>
  <si>
    <t>BDR2016-0133</t>
  </si>
  <si>
    <t>New SFD, 5 bedrooms, 7 bathrooms, attached garage</t>
  </si>
  <si>
    <t>22-41-16-19-3-06-003</t>
  </si>
  <si>
    <t>B16-0294</t>
  </si>
  <si>
    <t>Move home onto lot</t>
  </si>
  <si>
    <t>22-41-16-34-1-21-007</t>
  </si>
  <si>
    <t>BDC2016-0051</t>
  </si>
  <si>
    <t>install antennas on existing tower and add a 8 x 10 storage shelter-pre-fab</t>
  </si>
  <si>
    <t>B16-0313</t>
  </si>
  <si>
    <t>repair rotten exterior wall</t>
  </si>
  <si>
    <t>BDR2015-0090</t>
  </si>
  <si>
    <t>New 5-bedroom, 5-full, 2 1/2-bath SFD w/ attached garage</t>
  </si>
  <si>
    <t>22-40-17-24-1-00-007</t>
  </si>
  <si>
    <t>B16-0330</t>
  </si>
  <si>
    <t>Interior alteration/change of use to restaurant</t>
  </si>
  <si>
    <t>22-41-16-33-1-02-008</t>
  </si>
  <si>
    <t>BDC2016-0052</t>
  </si>
  <si>
    <t>New Commercial building/apts</t>
  </si>
  <si>
    <t>22-40-16-17-4-17-008</t>
  </si>
  <si>
    <t>BDR2016-0172</t>
  </si>
  <si>
    <t>SFD Addition of 348.5 sqft, remodel of 650 sqft, 2 new bedrooms</t>
  </si>
  <si>
    <t>BDR2015-0094</t>
  </si>
  <si>
    <t>New 2 bedroom 2 bath SFD w/attached garage.</t>
  </si>
  <si>
    <t>22-41-17-13-2-00-038</t>
  </si>
  <si>
    <t>B16-0377</t>
  </si>
  <si>
    <t>BDR2015-0114</t>
  </si>
  <si>
    <t>Demo existing home and replace with a 3003 sq. ft. new SFD.</t>
  </si>
  <si>
    <t>22-41-17-11-1-70-001</t>
  </si>
  <si>
    <t>BDR2016-0187</t>
  </si>
  <si>
    <t>SFD Addition of 290sqft habitable</t>
  </si>
  <si>
    <t>BDR2016-0196</t>
  </si>
  <si>
    <t>SFD addition of 67sqft habitable, remodel of 2637sqft, 287 sqft decks</t>
  </si>
  <si>
    <t>BDC2016-0053</t>
  </si>
  <si>
    <t>roof top antenna</t>
  </si>
  <si>
    <t>22-42-17-24-4-37-013</t>
  </si>
  <si>
    <t>B16-0436</t>
  </si>
  <si>
    <t>replace trailer in spc #4</t>
  </si>
  <si>
    <t>BDC2016-0054</t>
  </si>
  <si>
    <t>new exterior stair</t>
  </si>
  <si>
    <t>B16-0439</t>
  </si>
  <si>
    <t>install 2 egree windows</t>
  </si>
  <si>
    <t>22-41-16-34-1-38-007</t>
  </si>
  <si>
    <t>B16-0445</t>
  </si>
  <si>
    <t>garage extension</t>
  </si>
  <si>
    <t>B16-0450</t>
  </si>
  <si>
    <t>complete side of home where addition was removed</t>
  </si>
  <si>
    <t>22-41-16-34-1-31-019</t>
  </si>
  <si>
    <t>B09-0028</t>
  </si>
  <si>
    <t>booster pump station upgradeUsed 270 Spruce as the address as it is the closet to the building.:  No fee permit per Shawn O'Malley as this is Town owned pump station.</t>
  </si>
  <si>
    <t>22-41-16-33-4-12-003</t>
  </si>
  <si>
    <t>B16-0465</t>
  </si>
  <si>
    <t>Addition to existing duplex and inclose stoops</t>
  </si>
  <si>
    <t>22-41-16-32-4-12-015</t>
  </si>
  <si>
    <t>B16-0468</t>
  </si>
  <si>
    <t>repair/alteration of existing cabin</t>
  </si>
  <si>
    <t>22-41-16-34-2-16-013</t>
  </si>
  <si>
    <t>BDR2016-0206</t>
  </si>
  <si>
    <t>New SFD 3 bedrooms, 3 1/2 bathrooms, attached garage</t>
  </si>
  <si>
    <t>22-41-17-15-4-00-014</t>
  </si>
  <si>
    <t>B16-0486</t>
  </si>
  <si>
    <t>repair fire damage</t>
  </si>
  <si>
    <t>22-41-16-32-4-37-005</t>
  </si>
  <si>
    <t>B16-0490</t>
  </si>
  <si>
    <t>New duplex</t>
  </si>
  <si>
    <t>22-41-16-32-1-09-001</t>
  </si>
  <si>
    <t>B09-0346</t>
  </si>
  <si>
    <t xml:space="preserve">Single FamilyNo fee permit;Sewer hookup for a single family $1951.00: no water capacity or meter fee due because all buildings are metered through an existing 4-inch water meter on the sight.   </t>
  </si>
  <si>
    <t>22-41-15-04-1-00-001</t>
  </si>
  <si>
    <t>B11-0365</t>
  </si>
  <si>
    <t>remodeling and addingNULL</t>
  </si>
  <si>
    <t>22-40-16-06-2-01-004</t>
  </si>
  <si>
    <t>B11-0379</t>
  </si>
  <si>
    <t>New start Bus shelter(9/16/2011 2:15 PM KB)  No fee permit</t>
  </si>
  <si>
    <t>22-41-16-34-1-23-010</t>
  </si>
  <si>
    <t>B16-0518</t>
  </si>
  <si>
    <t>fire damage repair</t>
  </si>
  <si>
    <t>22-41-16-32-4-26-021</t>
  </si>
  <si>
    <t>B12-0401</t>
  </si>
  <si>
    <t>adding an entranceNULL</t>
  </si>
  <si>
    <t>22-41-16-34-1-12-009</t>
  </si>
  <si>
    <t>B13-0145</t>
  </si>
  <si>
    <t>addition to existing structure</t>
  </si>
  <si>
    <t>22-41-16-28-4-13-005</t>
  </si>
  <si>
    <t>B16-0528</t>
  </si>
  <si>
    <t>Adding plywood to existing roof to repair</t>
  </si>
  <si>
    <t>22-41-16-33-1-28-003</t>
  </si>
  <si>
    <t>BDR2016-0217</t>
  </si>
  <si>
    <t>new SFD 4 bedrooms, 3 baths, attached garage</t>
  </si>
  <si>
    <t>22-40-16-20-2-12-016</t>
  </si>
  <si>
    <t>BDR2016-0226</t>
  </si>
  <si>
    <t>new SFD 3 bedrooms, 2 bathrooms, attached garage</t>
  </si>
  <si>
    <t>22-45-18-32-4-01-016</t>
  </si>
  <si>
    <t>B16-0558</t>
  </si>
  <si>
    <t>interior alteration-remove walls</t>
  </si>
  <si>
    <t>B16-0564</t>
  </si>
  <si>
    <t>addition to home</t>
  </si>
  <si>
    <t>BDR2016-0230</t>
  </si>
  <si>
    <t>interior remodel of 516 sqft</t>
  </si>
  <si>
    <t>22-40-17-10-3-03-018</t>
  </si>
  <si>
    <t>BDC2016-0058</t>
  </si>
  <si>
    <t>interior remodel, lighting paint and drywall</t>
  </si>
  <si>
    <t>B13-0670</t>
  </si>
  <si>
    <t>add third bay to existing garage</t>
  </si>
  <si>
    <t>B14-0029</t>
  </si>
  <si>
    <t>22-41-16-34-1-12-012</t>
  </si>
  <si>
    <t>B14-0106</t>
  </si>
  <si>
    <t>jump pits</t>
  </si>
  <si>
    <t>22-41-16-32-1-13-005</t>
  </si>
  <si>
    <t>B16-0623</t>
  </si>
  <si>
    <t>Addition of covered walkway</t>
  </si>
  <si>
    <t>22-41-16-33-1-00-012</t>
  </si>
  <si>
    <t>B14-0203</t>
  </si>
  <si>
    <t>removing interior wall</t>
  </si>
  <si>
    <t>22-41-16-34-1-12-014</t>
  </si>
  <si>
    <t>B14-0262</t>
  </si>
  <si>
    <t>garage  addition</t>
  </si>
  <si>
    <t>B14-0264</t>
  </si>
  <si>
    <t>Deck Alteration</t>
  </si>
  <si>
    <t>B14-0324</t>
  </si>
  <si>
    <t>B16-0667</t>
  </si>
  <si>
    <t>repair due to fire damage</t>
  </si>
  <si>
    <t>22-40-16-06-1-00-017</t>
  </si>
  <si>
    <t>B16-0676</t>
  </si>
  <si>
    <t>interior fit out for laundromat</t>
  </si>
  <si>
    <t>B16-0682</t>
  </si>
  <si>
    <t>22-41-16-32-4-25-008</t>
  </si>
  <si>
    <t>B14-0483</t>
  </si>
  <si>
    <t>Studio/garage</t>
  </si>
  <si>
    <t>BDR2016-0262</t>
  </si>
  <si>
    <t>New SFD 4 bedrooms, 3 bathrooms, attached garage</t>
  </si>
  <si>
    <t>22-41-17-22-4-07-013</t>
  </si>
  <si>
    <t>BDR2016-0263</t>
  </si>
  <si>
    <t>new SFD 3 bedrooms, 3 full bathrooms, 2- 1/2 bathrooms, attached garage</t>
  </si>
  <si>
    <t>22-41-16-15-3-00-015</t>
  </si>
  <si>
    <t>BDR2016-0264</t>
  </si>
  <si>
    <t>New SFD, guest house, 2 bedrooms, 2 bathrooms, attached garage</t>
  </si>
  <si>
    <t>B14-0522</t>
  </si>
  <si>
    <t>commercial lift</t>
  </si>
  <si>
    <t>B17-0013</t>
  </si>
  <si>
    <t>Move stairs , bring up to code for a duplex</t>
  </si>
  <si>
    <t>22-41-16-34-1-22-006</t>
  </si>
  <si>
    <t>B14-0640</t>
  </si>
  <si>
    <t>install egress windows</t>
  </si>
  <si>
    <t>22-41-16-34-1-91-001</t>
  </si>
  <si>
    <t>B14-0693</t>
  </si>
  <si>
    <t>remove beam to open wall</t>
  </si>
  <si>
    <t>22-41-16-34-1-96-001</t>
  </si>
  <si>
    <t>B14-0706</t>
  </si>
  <si>
    <t>interior alteration/remove wall</t>
  </si>
  <si>
    <t>22-41-16-34-2-22-001</t>
  </si>
  <si>
    <t>BDC2017-0003</t>
  </si>
  <si>
    <t>entrance gate at Indian Springs</t>
  </si>
  <si>
    <t>22-41-17-36-1-01-006</t>
  </si>
  <si>
    <t>B17-0055</t>
  </si>
  <si>
    <t>B14-0796</t>
  </si>
  <si>
    <t>Finish basement</t>
  </si>
  <si>
    <t>B17-0061</t>
  </si>
  <si>
    <t>22-41-16-34-4-02-027</t>
  </si>
  <si>
    <t>BDR2017-0017</t>
  </si>
  <si>
    <t>outdoor kitchen; 4-5-17 revision of sqft</t>
  </si>
  <si>
    <t>22-42-16-27-4-04-019</t>
  </si>
  <si>
    <t>B17-0065</t>
  </si>
  <si>
    <t>NRPRF for interior alteration</t>
  </si>
  <si>
    <t>B15-0088</t>
  </si>
  <si>
    <t>roof mount system for photovoltaic array</t>
  </si>
  <si>
    <t>B17-0076</t>
  </si>
  <si>
    <t>covert conference spaces to office</t>
  </si>
  <si>
    <t>B15-0152</t>
  </si>
  <si>
    <t>repair/alter structure to bring it up to code</t>
  </si>
  <si>
    <t>22-41-16-27-3-16-003</t>
  </si>
  <si>
    <t>B17-0078</t>
  </si>
  <si>
    <t>bell tower</t>
  </si>
  <si>
    <t>B17-0091</t>
  </si>
  <si>
    <t>new residential building</t>
  </si>
  <si>
    <t>22-41-16-27-3-00-005.01</t>
  </si>
  <si>
    <t>B15-0262</t>
  </si>
  <si>
    <t>B15-0317</t>
  </si>
  <si>
    <t>New mixed use building</t>
  </si>
  <si>
    <t>22-41-16-34-2-04-010</t>
  </si>
  <si>
    <t>B15-0396</t>
  </si>
  <si>
    <t>replace 2 windows with 1 window &amp; 2 sliding doors</t>
  </si>
  <si>
    <t>B17-0104</t>
  </si>
  <si>
    <t>22-41-16-34-2-29-005</t>
  </si>
  <si>
    <t>BDC2017-0008</t>
  </si>
  <si>
    <t>monopole cell tower, equipment building</t>
  </si>
  <si>
    <t>22-45-13-27-1-00-012</t>
  </si>
  <si>
    <t>BDR2017-0051</t>
  </si>
  <si>
    <t>remodel of 4277 sqft habitable</t>
  </si>
  <si>
    <t>22-41-17-35-4-00-005</t>
  </si>
  <si>
    <t>B17-0126</t>
  </si>
  <si>
    <t>awning on lift building</t>
  </si>
  <si>
    <t>B17-0128</t>
  </si>
  <si>
    <t>Replace trailer home</t>
  </si>
  <si>
    <t>BDR2017-0054</t>
  </si>
  <si>
    <t>new SFD guest home, 1 bedroom, 1 bathroom, attached garage Applying for different footprint, exp. extended  from 9/25/ 2017 to 12/25/2017 mrr 10/26/2017  revising submitted for review</t>
  </si>
  <si>
    <t>B15-0439</t>
  </si>
  <si>
    <t>Addition to existing home</t>
  </si>
  <si>
    <t>22-40-16-06-2-08-001</t>
  </si>
  <si>
    <t>BDR2017-0058</t>
  </si>
  <si>
    <t>new SFD 5 bedrooms, 2 full, 3-3/4, 3-1/2 bathrooms, attached garage</t>
  </si>
  <si>
    <t>22-42-16-33-1-06-002</t>
  </si>
  <si>
    <t>B15-0470</t>
  </si>
  <si>
    <t>extend existing deck upper &amp; lower deck</t>
  </si>
  <si>
    <t>22-41-16-34-2-46-003</t>
  </si>
  <si>
    <t>B15-0476</t>
  </si>
  <si>
    <t>install a shed roof on the rear of the building</t>
  </si>
  <si>
    <t>22-41-16-34-2-26-001</t>
  </si>
  <si>
    <t>B17-0146</t>
  </si>
  <si>
    <t>Alteration for Moos</t>
  </si>
  <si>
    <t>B17-0163</t>
  </si>
  <si>
    <t>Addition of 4 employee housing units</t>
  </si>
  <si>
    <t>BDC2017-0011</t>
  </si>
  <si>
    <t>remodel of 166 sq. ft.</t>
  </si>
  <si>
    <t>22-41-17-11-1-35-006</t>
  </si>
  <si>
    <t>B17-0180</t>
  </si>
  <si>
    <t>new 4-unit condo</t>
  </si>
  <si>
    <t>22-41-16-32-1-00-008</t>
  </si>
  <si>
    <t>B17-0182</t>
  </si>
  <si>
    <t>New 4-unit condo</t>
  </si>
  <si>
    <t>B17-0184</t>
  </si>
  <si>
    <t>B17-0186</t>
  </si>
  <si>
    <t>BDC2017-0012</t>
  </si>
  <si>
    <t>commercial remodel of 325sqft and change of use to ice cream shop</t>
  </si>
  <si>
    <t>22-41-17-22-3-00-048</t>
  </si>
  <si>
    <t>B17-0210</t>
  </si>
  <si>
    <t>New 2-unit condo</t>
  </si>
  <si>
    <t>B17-0211</t>
  </si>
  <si>
    <t>B17-0214</t>
  </si>
  <si>
    <t>Repair building due to snow damage</t>
  </si>
  <si>
    <t>22-41-16-32-1-13-001</t>
  </si>
  <si>
    <t>B15-0566</t>
  </si>
  <si>
    <t>22-40-16-06-1-11-001</t>
  </si>
  <si>
    <t>BDR2017-0073</t>
  </si>
  <si>
    <t>SFD guest house 1 bedroom, 1 bathroom, attached storage space</t>
  </si>
  <si>
    <t>B17-0227</t>
  </si>
  <si>
    <t>retaining wall east of the building</t>
  </si>
  <si>
    <t>22-41-16-33-4-38-022</t>
  </si>
  <si>
    <t>B17-0234</t>
  </si>
  <si>
    <t>hotel deck and stair remodel</t>
  </si>
  <si>
    <t>B17-0250</t>
  </si>
  <si>
    <t>Fee to reactivate permit that expired</t>
  </si>
  <si>
    <t>22-40-16-06-2-23-008</t>
  </si>
  <si>
    <t>B17-0265</t>
  </si>
  <si>
    <t>Addition to an existing single family</t>
  </si>
  <si>
    <t>22-41-16-33-1-22-005</t>
  </si>
  <si>
    <t>B15-0570</t>
  </si>
  <si>
    <t>22-41-16-31-4-13-052</t>
  </si>
  <si>
    <t>B17-0288</t>
  </si>
  <si>
    <t>Trailer replacement</t>
  </si>
  <si>
    <t>B15-0571</t>
  </si>
  <si>
    <t>B17-0292</t>
  </si>
  <si>
    <t>convert garage workshop into 4th bedroom</t>
  </si>
  <si>
    <t>B15-0641</t>
  </si>
  <si>
    <t>foundation for relocating cabin</t>
  </si>
  <si>
    <t>22-40-16-06-1-00-112</t>
  </si>
  <si>
    <t>B15-0696</t>
  </si>
  <si>
    <t>interior kitchen remodel</t>
  </si>
  <si>
    <t>22-41-16-34-1-21-016</t>
  </si>
  <si>
    <t>B17-0314</t>
  </si>
  <si>
    <t>22-41-16-33-3-07-041</t>
  </si>
  <si>
    <t>B15-0707</t>
  </si>
  <si>
    <t>new vestibules for 2 existing modulars</t>
  </si>
  <si>
    <t>B17-0319</t>
  </si>
  <si>
    <t>22-41-16-32-4-09-018</t>
  </si>
  <si>
    <t>B15-0785</t>
  </si>
  <si>
    <t>B17-0348</t>
  </si>
  <si>
    <t>22-41-16-34-1-20-001</t>
  </si>
  <si>
    <t>B17-0349</t>
  </si>
  <si>
    <t>repair existing upper level deck on hotel</t>
  </si>
  <si>
    <t>22-41-16-28-4-07-009</t>
  </si>
  <si>
    <t>B17-0351</t>
  </si>
  <si>
    <t>interior alteration/remove kitchen/fire</t>
  </si>
  <si>
    <t>BDR2017-0102</t>
  </si>
  <si>
    <t>garage alteration</t>
  </si>
  <si>
    <t>B17-0371</t>
  </si>
  <si>
    <t>Walk in cooler</t>
  </si>
  <si>
    <t>22-40-16-06-1-08-009</t>
  </si>
  <si>
    <t>B17-0373</t>
  </si>
  <si>
    <t>interior alteration and new deck</t>
  </si>
  <si>
    <t>22-41-16-31-1-06-023</t>
  </si>
  <si>
    <t>BDC2017-0017</t>
  </si>
  <si>
    <t>relocate storage building</t>
  </si>
  <si>
    <t>22-38-16-08-1-01-047</t>
  </si>
  <si>
    <t>B17-0389</t>
  </si>
  <si>
    <t>Add a small roof over 2nd floor balcony</t>
  </si>
  <si>
    <t>22-41-16-34-1-33-002</t>
  </si>
  <si>
    <t>B15-0787</t>
  </si>
  <si>
    <t>22-41-16-34-2-25-004</t>
  </si>
  <si>
    <t>BDC2017-0019</t>
  </si>
  <si>
    <t>replace doors and windows</t>
  </si>
  <si>
    <t>BDC2017-0020</t>
  </si>
  <si>
    <t>Remodel Units #103 &amp; #104, Osprey Landing</t>
  </si>
  <si>
    <t>22-41-17-23-1-13-004</t>
  </si>
  <si>
    <t>BDR2017-0143</t>
  </si>
  <si>
    <t>B17-0446</t>
  </si>
  <si>
    <t>removing/adding walls-interior remodel</t>
  </si>
  <si>
    <t>22-41-16-32-4-06-029</t>
  </si>
  <si>
    <t>B16-0076</t>
  </si>
  <si>
    <t>22-41-16-34-4-04-004</t>
  </si>
  <si>
    <t>B16-0081</t>
  </si>
  <si>
    <t>Core &amp; Shell- south building</t>
  </si>
  <si>
    <t>B17-0453</t>
  </si>
  <si>
    <t>interior remodel of existing bldg</t>
  </si>
  <si>
    <t>22-41-16-34-2-21-004</t>
  </si>
  <si>
    <t>BDR2017-0154</t>
  </si>
  <si>
    <t>SFD 4 bedrooms, 5 bathrooms, attached garage</t>
  </si>
  <si>
    <t>22-42-16-21-3-00-014</t>
  </si>
  <si>
    <t>BDR2017-0155</t>
  </si>
  <si>
    <t>barn/guest house, 2 bedrooms, 1 bathroom</t>
  </si>
  <si>
    <t>BDR2017-0156</t>
  </si>
  <si>
    <t>enclose porch for mud room 277sqft, and remodel 157sqft loft</t>
  </si>
  <si>
    <t>B17-0492</t>
  </si>
  <si>
    <t>interior alteration-addition to existing home</t>
  </si>
  <si>
    <t>22-40-16-06-2-12-002</t>
  </si>
  <si>
    <t>BDC2017-0026</t>
  </si>
  <si>
    <t>remodel 4 units to accessible units and change stairs on 4th floor.</t>
  </si>
  <si>
    <t>22-42-17-24-4-34-003</t>
  </si>
  <si>
    <t>B17-0506</t>
  </si>
  <si>
    <t>\adding additional kitchen and bathroom</t>
  </si>
  <si>
    <t>B17-0510</t>
  </si>
  <si>
    <t>storage shed</t>
  </si>
  <si>
    <t>22-41-16-31-1-06-031</t>
  </si>
  <si>
    <t>B16-0118</t>
  </si>
  <si>
    <t>tenant fit out for restaurant</t>
  </si>
  <si>
    <t>22-41-16-27-3-12-007</t>
  </si>
  <si>
    <t>B17-0521</t>
  </si>
  <si>
    <t>New retaining walls uncluding turnarounds</t>
  </si>
  <si>
    <t>22-41-16-33-4-38-005</t>
  </si>
  <si>
    <t>B17-0532</t>
  </si>
  <si>
    <t>interior alteration/egress window</t>
  </si>
  <si>
    <t>BDC2017-0027</t>
  </si>
  <si>
    <t>alteration of 757sqft for salon</t>
  </si>
  <si>
    <t>B17-0540</t>
  </si>
  <si>
    <t>install a 25 kW grid-tied solar electric system</t>
  </si>
  <si>
    <t>B16-0122</t>
  </si>
  <si>
    <t>22-41-16-33-4-13-009</t>
  </si>
  <si>
    <t>B17-0544</t>
  </si>
  <si>
    <t>remodel of exisitng pavilion</t>
  </si>
  <si>
    <t>BDC2017-0028</t>
  </si>
  <si>
    <t>alteration of 886sqft habitable</t>
  </si>
  <si>
    <t>B17-0560</t>
  </si>
  <si>
    <t>Interior alteration of existing SF</t>
  </si>
  <si>
    <t>22-41-16-34-1-02-005</t>
  </si>
  <si>
    <t>B17-0579</t>
  </si>
  <si>
    <t>basement alteration-add egress window</t>
  </si>
  <si>
    <t>BDC2017-0030</t>
  </si>
  <si>
    <t>alteration of 2462sqft</t>
  </si>
  <si>
    <t>BDC2017-0031</t>
  </si>
  <si>
    <t>alteration of 2198sqft</t>
  </si>
  <si>
    <t>22-41-17-12-2-04-010</t>
  </si>
  <si>
    <t>B17-0605</t>
  </si>
  <si>
    <t>22-41-16-27-3-07-018</t>
  </si>
  <si>
    <t>B17-0606</t>
  </si>
  <si>
    <t>22-41-16-27-3-07-019</t>
  </si>
  <si>
    <t>B17-0607</t>
  </si>
  <si>
    <t>rooftop installation</t>
  </si>
  <si>
    <t>B17-0614</t>
  </si>
  <si>
    <t>replacing post &amp; handrails on deck</t>
  </si>
  <si>
    <t>22-41-16-34-1-48-008</t>
  </si>
  <si>
    <t>B17-0621</t>
  </si>
  <si>
    <t>BDR2017-0226</t>
  </si>
  <si>
    <t>Relocate garage 6 feet</t>
  </si>
  <si>
    <t>22-41-16-19-3-08-003</t>
  </si>
  <si>
    <t>B16-0127</t>
  </si>
  <si>
    <t>tenant fitout for catering kitchen</t>
  </si>
  <si>
    <t>BDR2017-0228</t>
  </si>
  <si>
    <t>Add a roof to the front entry of the home</t>
  </si>
  <si>
    <t>22-41-17-12-2-03-006</t>
  </si>
  <si>
    <t>B17-0642</t>
  </si>
  <si>
    <t>22-41-16-33-4-09-006</t>
  </si>
  <si>
    <t>B17-0645</t>
  </si>
  <si>
    <t>install 3 floor access doors</t>
  </si>
  <si>
    <t>22-41-16-34-2-00-023</t>
  </si>
  <si>
    <t>B17-0646</t>
  </si>
  <si>
    <t>finish unpermited garage</t>
  </si>
  <si>
    <t>B17-0662</t>
  </si>
  <si>
    <t>Alteration</t>
  </si>
  <si>
    <t>22-41-16-27-3-09-002</t>
  </si>
  <si>
    <t>B17-0670</t>
  </si>
  <si>
    <t>removing 2 structural posts to open floor plan</t>
  </si>
  <si>
    <t>22-41-16-34-2-13-025</t>
  </si>
  <si>
    <t>B17-0671</t>
  </si>
  <si>
    <t>repair roof rafter</t>
  </si>
  <si>
    <t>22-41-16-28-4-25-003</t>
  </si>
  <si>
    <t>B17-0684</t>
  </si>
  <si>
    <t>New SF</t>
  </si>
  <si>
    <t>22-41-16-33-1-31-009</t>
  </si>
  <si>
    <t>B17-0688</t>
  </si>
  <si>
    <t>foundation for new apartments</t>
  </si>
  <si>
    <t>B17-0708</t>
  </si>
  <si>
    <t>Foundation for new apartment</t>
  </si>
  <si>
    <t>B17-0712</t>
  </si>
  <si>
    <t>interior  room remodel</t>
  </si>
  <si>
    <t>B17-0714</t>
  </si>
  <si>
    <t>interior alteration for short term lodging</t>
  </si>
  <si>
    <t>B17-0729</t>
  </si>
  <si>
    <t>Tenant fit out for new brewery</t>
  </si>
  <si>
    <t>22-41-16-34-2-38-010</t>
  </si>
  <si>
    <t>B18-0001</t>
  </si>
  <si>
    <t>interior remodel of units;no change to current uses</t>
  </si>
  <si>
    <t>B18-0004</t>
  </si>
  <si>
    <t>Phase A- Garage remodel/sitework</t>
  </si>
  <si>
    <t>22-41-16-28-4-03-010</t>
  </si>
  <si>
    <t>BDC2018-0001</t>
  </si>
  <si>
    <t>Replace cell tower antennas and brackets</t>
  </si>
  <si>
    <t>B18-0008</t>
  </si>
  <si>
    <t>22-41-16-34-4-03-004</t>
  </si>
  <si>
    <t>B18-0014</t>
  </si>
  <si>
    <t>Room alterations</t>
  </si>
  <si>
    <t>B18-0017</t>
  </si>
  <si>
    <t>Room Alterations</t>
  </si>
  <si>
    <t>B18-0019</t>
  </si>
  <si>
    <t>room remodel</t>
  </si>
  <si>
    <t>BDC2018-0002</t>
  </si>
  <si>
    <t>Remodel 2530 sq ft A3/VA and 419 sq ft A2/VA in clubhouse</t>
  </si>
  <si>
    <t>B18-0047</t>
  </si>
  <si>
    <t>B18-0066</t>
  </si>
  <si>
    <t>B18-0080</t>
  </si>
  <si>
    <t>tenant fitout</t>
  </si>
  <si>
    <t>22-40-16-05-2-07-014</t>
  </si>
  <si>
    <t>B18-0082</t>
  </si>
  <si>
    <t>22-40-16-05-2-07-013</t>
  </si>
  <si>
    <t>B18-0087</t>
  </si>
  <si>
    <t>22-40-16-05-2-07-011</t>
  </si>
  <si>
    <t>B18-0103</t>
  </si>
  <si>
    <t>B18-0106</t>
  </si>
  <si>
    <t>addition to existing house</t>
  </si>
  <si>
    <t>22-41-16-34-1-04-002</t>
  </si>
  <si>
    <t>B18-0107</t>
  </si>
  <si>
    <t>Temp entry/vestibule</t>
  </si>
  <si>
    <t>22-41-16-33-2-06-001</t>
  </si>
  <si>
    <t>B18-0114</t>
  </si>
  <si>
    <t>new garage with ARU above</t>
  </si>
  <si>
    <t>22-41-16-27-3-08-004</t>
  </si>
  <si>
    <t>B18-0123</t>
  </si>
  <si>
    <t>22-41-16-34-2-05-005</t>
  </si>
  <si>
    <t>B18-0125</t>
  </si>
  <si>
    <t>22-41-16-33-1-61-005</t>
  </si>
  <si>
    <t>B18-0127</t>
  </si>
  <si>
    <t>remove walls for interior remodel</t>
  </si>
  <si>
    <t>22-41-16-33-4-12-001</t>
  </si>
  <si>
    <t>B18-0129</t>
  </si>
  <si>
    <t>Interior remodel-hostel/short term rental</t>
  </si>
  <si>
    <t>BDR2018-0029</t>
  </si>
  <si>
    <t>New SFD 3606 sqft habitable 1300 sqft non-habitable 411 covered porches</t>
  </si>
  <si>
    <t>BDR2018-0032</t>
  </si>
  <si>
    <t>Remodel 3536 sqft habitable 294 nonhabitable</t>
  </si>
  <si>
    <t>22-41-17-33-3-03-024</t>
  </si>
  <si>
    <t>BDR2018-0036</t>
  </si>
  <si>
    <t>595 sqft addition to garage Permit withdrawn via email from Tom Masterson.  6/8/2018  M.R.</t>
  </si>
  <si>
    <t>B18-0151</t>
  </si>
  <si>
    <t>B18-0160</t>
  </si>
  <si>
    <t>interior alteration-change of use</t>
  </si>
  <si>
    <t>22-41-16-34-1-11-006</t>
  </si>
  <si>
    <t>BDR2018-0046</t>
  </si>
  <si>
    <t>2989 sqft habitable remodel</t>
  </si>
  <si>
    <t>B18-0167</t>
  </si>
  <si>
    <t>new attached deck to existing structure</t>
  </si>
  <si>
    <t>BDR2018-0051</t>
  </si>
  <si>
    <t>Remodel 1740 sqft habitable 587 sqft non-habitable</t>
  </si>
  <si>
    <t>22-42-17-24-3-02-108</t>
  </si>
  <si>
    <t>BDR2018-0058</t>
  </si>
  <si>
    <t>Remodel 3300 sqft habitable 762 sqft non-habitable Revisions submitted for review.  There are revisions on every page including a much larger deck.  They submitted full new sets.  11/5/2018  M.R.</t>
  </si>
  <si>
    <t>22-41-17-13-1-04-010</t>
  </si>
  <si>
    <t>BDC2018-0041</t>
  </si>
  <si>
    <t>Remodel 3166 sqft of restaurant</t>
  </si>
  <si>
    <t>BDC2018-0042</t>
  </si>
  <si>
    <t>Replace cell phone antennas on top of building</t>
  </si>
  <si>
    <t>BDC2018-0043</t>
  </si>
  <si>
    <t>BDC2018-0044</t>
  </si>
  <si>
    <t>B18-0219</t>
  </si>
  <si>
    <t>22-41-16-33-1-30-006</t>
  </si>
  <si>
    <t>B18-0220</t>
  </si>
  <si>
    <t>BDC2018-0045</t>
  </si>
  <si>
    <t>Adding Cell antena to existing tower</t>
  </si>
  <si>
    <t>BDC2018-0046</t>
  </si>
  <si>
    <t>Cellular antenna equipment modification on roof of Golf Club</t>
  </si>
  <si>
    <t>BDC2018-0047</t>
  </si>
  <si>
    <t>adding new cell antena to existing tower</t>
  </si>
  <si>
    <t>BDC2018-0048</t>
  </si>
  <si>
    <t>Remodel 1545 sqft A-2  123 sqft S-2</t>
  </si>
  <si>
    <t>22-38-16-08-1-04-020</t>
  </si>
  <si>
    <t>BDR2018-0070</t>
  </si>
  <si>
    <t>Remodel 1170 sqft habitable</t>
  </si>
  <si>
    <t>22-42-16-15-4-03-015</t>
  </si>
  <si>
    <t>B18-0246</t>
  </si>
  <si>
    <t>deck extension</t>
  </si>
  <si>
    <t>22-41-16-34-2-46-015</t>
  </si>
  <si>
    <t>B18-0247</t>
  </si>
  <si>
    <t>4 foot deck extension</t>
  </si>
  <si>
    <t>22-41-16-34-2-46-016</t>
  </si>
  <si>
    <t>B18-0256</t>
  </si>
  <si>
    <t>22-41-16-33-1-02-007</t>
  </si>
  <si>
    <t>B18-0277</t>
  </si>
  <si>
    <t>new wall/door</t>
  </si>
  <si>
    <t>22-41-16-33-4-43-006</t>
  </si>
  <si>
    <t>BDR2018-78</t>
  </si>
  <si>
    <t>Bad entry due to CityView error</t>
  </si>
  <si>
    <t>BDR2018-79</t>
  </si>
  <si>
    <t>22-42-16-15-4-03-008</t>
  </si>
  <si>
    <t>BDR2018-0080</t>
  </si>
  <si>
    <t>ARU 857 sqft habitable 444 sqft non-habitable</t>
  </si>
  <si>
    <t>BDR2018-0085</t>
  </si>
  <si>
    <t>Addition of 1469 sqft covered porch</t>
  </si>
  <si>
    <t>Fieldhouse 23298.34 sqft Core and Shell building only</t>
  </si>
  <si>
    <t>22-40-16-17-4-23-001</t>
  </si>
  <si>
    <t>8875-8877</t>
  </si>
  <si>
    <t>B18-0293</t>
  </si>
  <si>
    <t>Drip edge repair</t>
  </si>
  <si>
    <t>22-41-16-33-1-01-001</t>
  </si>
  <si>
    <t>B18-0297</t>
  </si>
  <si>
    <t>cedar ship lap siding for SF</t>
  </si>
  <si>
    <t>22-41-16-27-3-08-009</t>
  </si>
  <si>
    <t>BDR2018-0090</t>
  </si>
  <si>
    <t>SFD 4306 sqft habitable 822 sqft non-habitable 89 sqft deck</t>
  </si>
  <si>
    <t>22-40-17-12-4-01-066</t>
  </si>
  <si>
    <t>B18-0316</t>
  </si>
  <si>
    <t>fix spiral staircase</t>
  </si>
  <si>
    <t>22-41-16-34-1-AH-004</t>
  </si>
  <si>
    <t>B18-0328</t>
  </si>
  <si>
    <t>enclosing  a portion of exterior deck</t>
  </si>
  <si>
    <t>B18-0298</t>
  </si>
  <si>
    <t>change out exterior windows/doors/repaint</t>
  </si>
  <si>
    <t>22-41-16-27-3-00-010</t>
  </si>
  <si>
    <t>B18-0341</t>
  </si>
  <si>
    <t>interior alteration remove/add walls/doors</t>
  </si>
  <si>
    <t>BDR2018-0097</t>
  </si>
  <si>
    <t>Barn with housing for caretaker  776 sqft habitable 3735 sqft non-habitable Permit was expired after several notices.  Applicants decided not to file for the required ZCV and let the permit expire instead.   11/16/2018  M.R.</t>
  </si>
  <si>
    <t>22-41-17-11-2-00-009</t>
  </si>
  <si>
    <t>B18-0346</t>
  </si>
  <si>
    <t>Foundation permit for addition</t>
  </si>
  <si>
    <t>22-41-16-32-1-01-003</t>
  </si>
  <si>
    <t>BDR2018-0099</t>
  </si>
  <si>
    <t>Addition 380 sqft habitable 2260 sqft non-habitable Remodel 2545 sqft habitable</t>
  </si>
  <si>
    <t>BDR2018-0101</t>
  </si>
  <si>
    <t>SFD 6177 sqft habitable 1268 sqft non-habitable 122 sqft deck/porch</t>
  </si>
  <si>
    <t>22-44-18-19-1-05-001</t>
  </si>
  <si>
    <t>BDR2018-0105</t>
  </si>
  <si>
    <t>Addition 742 sqft habitable</t>
  </si>
  <si>
    <t>22-41-17-11-1-01-003</t>
  </si>
  <si>
    <t>B18-0366</t>
  </si>
  <si>
    <t>cap existing ground level  deck</t>
  </si>
  <si>
    <t>22-41-16-33-4-19-003</t>
  </si>
  <si>
    <t>BDR2018-0109</t>
  </si>
  <si>
    <t>SFD 12374 sqft habitable 3284 sqft non-habitable 1657 sqft deck  (detached garage is BDR2018-0110) Owners sold property and no longer wish to pursue the building permit.   Expired  12/4/2018  M.R.</t>
  </si>
  <si>
    <t>22-40-17-12-4-01-025</t>
  </si>
  <si>
    <t>BDR2018-0110</t>
  </si>
  <si>
    <t>Garage 713 sqft non-habitable 291 sqft deck  (House is  BDR2018-0109) Owners sold property and no longer wish to pursue building permit.  Expired  12/4/2018  M.R.</t>
  </si>
  <si>
    <t>BDR2018-0112</t>
  </si>
  <si>
    <t>Barn 796 sqft non-habitable (house is BDR2018-0111) Permit withdrawn via email from the property owner.  12/6/2018  M.R.</t>
  </si>
  <si>
    <t>22-39-17-11-1-02-003</t>
  </si>
  <si>
    <t>B18-0403</t>
  </si>
  <si>
    <t>22-41-16-33-3-04-008</t>
  </si>
  <si>
    <t>B18-0405</t>
  </si>
  <si>
    <t>Adding new trellis to existing deck</t>
  </si>
  <si>
    <t>BDR2019-0135</t>
  </si>
  <si>
    <t>BDC2018-0054</t>
  </si>
  <si>
    <t>Replace cell phone equipment on top of building.</t>
  </si>
  <si>
    <t>BDC2018-0055</t>
  </si>
  <si>
    <t>BDC2018-0056</t>
  </si>
  <si>
    <t>Remodel 2600 sqft</t>
  </si>
  <si>
    <t>B18-0445</t>
  </si>
  <si>
    <t>adding solar panels to existing system on roof</t>
  </si>
  <si>
    <t>22-41-16-33-1-00-027</t>
  </si>
  <si>
    <t>BDC2018-0058</t>
  </si>
  <si>
    <t>New Cell Tower 160 sqft base</t>
  </si>
  <si>
    <t>22-39-16-26-2-06-002</t>
  </si>
  <si>
    <t>BDR2018-0120</t>
  </si>
  <si>
    <t>Remodel 1000 sqft of storage to habitable space</t>
  </si>
  <si>
    <t>BDR2018-0121</t>
  </si>
  <si>
    <t>Garage 1739 sqft</t>
  </si>
  <si>
    <t>22-44-18-19-1-00-010</t>
  </si>
  <si>
    <t>B18-0486</t>
  </si>
  <si>
    <t>New hotel with employee housing; 3 cabins demo'd</t>
  </si>
  <si>
    <t>22-41-16-27-3-00-001</t>
  </si>
  <si>
    <t>B18-0472</t>
  </si>
  <si>
    <t>22-41-16-34-2-36-011</t>
  </si>
  <si>
    <t>B18-0485</t>
  </si>
  <si>
    <t>remove &amp; replace failing retaining wall</t>
  </si>
  <si>
    <t>22-41-16-33-4-14-019</t>
  </si>
  <si>
    <t>B18-0488</t>
  </si>
  <si>
    <t>replace existing trailer</t>
  </si>
  <si>
    <t>22-41-16-34-1-29-012</t>
  </si>
  <si>
    <t>B18-0493</t>
  </si>
  <si>
    <t>relocate 6 cabins</t>
  </si>
  <si>
    <t>B18-0498</t>
  </si>
  <si>
    <t>adding an extra stop to elevator</t>
  </si>
  <si>
    <t>BDR2018-0142</t>
  </si>
  <si>
    <t>478 sqft detached garage (SFD is BDR2018-0136)</t>
  </si>
  <si>
    <t>22-38-16-16-2-01-057</t>
  </si>
  <si>
    <t>B18-0503</t>
  </si>
  <si>
    <t>Foundation permit</t>
  </si>
  <si>
    <t>B18-0511</t>
  </si>
  <si>
    <t>Attached garage with roof top deck</t>
  </si>
  <si>
    <t>22-41-16-34-4-02-022</t>
  </si>
  <si>
    <t>B18-0516</t>
  </si>
  <si>
    <t>22-41-16-32-4-25-006</t>
  </si>
  <si>
    <t>BDC2018-0060</t>
  </si>
  <si>
    <t>Installation of solar panels 98,000 sqft</t>
  </si>
  <si>
    <t>BDC2018-0061</t>
  </si>
  <si>
    <t>Installation of new solar panels  48828 sqft</t>
  </si>
  <si>
    <t>22-39-16-03-3-00-043</t>
  </si>
  <si>
    <t>B18-0525</t>
  </si>
  <si>
    <t>retaining wall and GEC</t>
  </si>
  <si>
    <t>22-41-16-33-1-00-007</t>
  </si>
  <si>
    <t>BDR2018-0149</t>
  </si>
  <si>
    <t>320 sqft pergola (house with attached garage is BDR2018-0147)</t>
  </si>
  <si>
    <t>22-42-17-25-1-01-085</t>
  </si>
  <si>
    <t>B18-0527</t>
  </si>
  <si>
    <t>interior alteration of existing home</t>
  </si>
  <si>
    <t>22-41-16-27-3-10-011</t>
  </si>
  <si>
    <t>B18-0528</t>
  </si>
  <si>
    <t>Tenant fit out for residential dwellings</t>
  </si>
  <si>
    <t>B18-0568</t>
  </si>
  <si>
    <t>update equipment-screen wall</t>
  </si>
  <si>
    <t>B18-0572</t>
  </si>
  <si>
    <t>Foundation permit for new apartments</t>
  </si>
  <si>
    <t>22-41-16-27-3-34-019</t>
  </si>
  <si>
    <t>B18-0575</t>
  </si>
  <si>
    <t>B18-0602</t>
  </si>
  <si>
    <t>B18-0608</t>
  </si>
  <si>
    <t>interior alteration-egress windows</t>
  </si>
  <si>
    <t>BDR2018-0167</t>
  </si>
  <si>
    <t>SFD 4676 sqft habitable 840 sqft non-habitable</t>
  </si>
  <si>
    <t>22-41-16-19-4-04-009</t>
  </si>
  <si>
    <t>BDC2018-0064</t>
  </si>
  <si>
    <t>Replace Silver Star equipment with T Mobile Equipment on monopole cell tower.</t>
  </si>
  <si>
    <t>B18-0650</t>
  </si>
  <si>
    <t>22-41-16-34-2-63-003</t>
  </si>
  <si>
    <t>B18-0653</t>
  </si>
  <si>
    <t>B18-0655</t>
  </si>
  <si>
    <t>finish tenant space</t>
  </si>
  <si>
    <t>22-40-16-05-2-07-004</t>
  </si>
  <si>
    <t>B18-0657</t>
  </si>
  <si>
    <t>tenant fit out-finish building</t>
  </si>
  <si>
    <t>22-40-16-05-2-07-003</t>
  </si>
  <si>
    <t>B18-0659</t>
  </si>
  <si>
    <t>tenant fitout-finish building</t>
  </si>
  <si>
    <t>22-40-16-05-2-07-007</t>
  </si>
  <si>
    <t>B18-0661</t>
  </si>
  <si>
    <t>Tenant fit out-finish building</t>
  </si>
  <si>
    <t>22-40-16-05-2-07-006</t>
  </si>
  <si>
    <t>B18-0663</t>
  </si>
  <si>
    <t>tenant fit out- finish building</t>
  </si>
  <si>
    <t>22-40-16-05-2-07-005</t>
  </si>
  <si>
    <t>B18-0665</t>
  </si>
  <si>
    <t>tenant fitout- finish building</t>
  </si>
  <si>
    <t>22-40-16-05-2-07-010</t>
  </si>
  <si>
    <t>B18-0667</t>
  </si>
  <si>
    <t>22-40-16-05-2-07-009</t>
  </si>
  <si>
    <t>B18-0669</t>
  </si>
  <si>
    <t>22-40-16-05-2-07-008</t>
  </si>
  <si>
    <t>B18-0687</t>
  </si>
  <si>
    <t>tenant remodel</t>
  </si>
  <si>
    <t>22-41-16-34-2-75-001</t>
  </si>
  <si>
    <t>B18-0716</t>
  </si>
  <si>
    <t>exterior/interior alteration</t>
  </si>
  <si>
    <t>SFD 4760 sqft habitable 874 sqft deck  (ARU BDR2019-0136)</t>
  </si>
  <si>
    <t>6516-6518</t>
  </si>
  <si>
    <t>BDR2018-0182</t>
  </si>
  <si>
    <t>SFD 2340 sqft habitable 600 sqft non habitable</t>
  </si>
  <si>
    <t>22-38-16-16-2-01-054</t>
  </si>
  <si>
    <t>B18-0745</t>
  </si>
  <si>
    <t>Move 4 cabins to a different location on existing site</t>
  </si>
  <si>
    <t>BDR2018-0186</t>
  </si>
  <si>
    <t>Remodel 1926 sqft habitable</t>
  </si>
  <si>
    <t>BDR2018-0188</t>
  </si>
  <si>
    <t>Barn with ARU  999 sqft habitable  948 sqft non-habitable</t>
  </si>
  <si>
    <t>22-39-16-01-2-00-004</t>
  </si>
  <si>
    <t>B18-0758</t>
  </si>
  <si>
    <t>remove non bearing wall</t>
  </si>
  <si>
    <t>22-41-16-27-3-07-015</t>
  </si>
  <si>
    <t>B18-0763</t>
  </si>
  <si>
    <t>new roof over existing elevated deck</t>
  </si>
  <si>
    <t>22-41-16-34-1-73-003</t>
  </si>
  <si>
    <t>BDC2018-0068</t>
  </si>
  <si>
    <t>Remodel 2075 sqft of bakery to add in a coffee shop</t>
  </si>
  <si>
    <t>B18-0790</t>
  </si>
  <si>
    <t>Tenant fit out- 1B-Ringholz</t>
  </si>
  <si>
    <t>B18-0792</t>
  </si>
  <si>
    <t>Tenant fit out -1A Terra</t>
  </si>
  <si>
    <t>B18-0821</t>
  </si>
  <si>
    <t>22-41-16-33-1-28-002</t>
  </si>
  <si>
    <t>B18-0822</t>
  </si>
  <si>
    <t>22-40-16-06-2-21-001</t>
  </si>
  <si>
    <t>B18-0824</t>
  </si>
  <si>
    <t>Adding spa to existing pool area</t>
  </si>
  <si>
    <t>22-41-16-33-1-00-001</t>
  </si>
  <si>
    <t>BDC2018-0069</t>
  </si>
  <si>
    <t>Foundation only permit for T-Mobile cell building  220 sqft non-habitable</t>
  </si>
  <si>
    <t>BDC2018-0070</t>
  </si>
  <si>
    <t>Foundation only permit for Verizon Pad  200 sqft non habitable</t>
  </si>
  <si>
    <t>BDC2018-0071</t>
  </si>
  <si>
    <t>Foundation only permit for AT&amp;T cell building 192 sqft non-habitable</t>
  </si>
  <si>
    <t>B20-0049</t>
  </si>
  <si>
    <t>New single family with garage</t>
  </si>
  <si>
    <t>B18-0853</t>
  </si>
  <si>
    <t>interior remodel of existing condo</t>
  </si>
  <si>
    <t>22-41-16-32-4-23-009</t>
  </si>
  <si>
    <t>B18-0854</t>
  </si>
  <si>
    <t>22-41-16-33-1-61-002</t>
  </si>
  <si>
    <t>B18-0861</t>
  </si>
  <si>
    <t>interior remodel -Ste 220</t>
  </si>
  <si>
    <t>B18-0863</t>
  </si>
  <si>
    <t>interior remodel-new deck</t>
  </si>
  <si>
    <t>22-41-16-34-1-44-002</t>
  </si>
  <si>
    <t>B18-0866</t>
  </si>
  <si>
    <t>Monument sign &amp; 1 flagpoles</t>
  </si>
  <si>
    <t>B18-0868</t>
  </si>
  <si>
    <t>22-41-16-34-1-26-007</t>
  </si>
  <si>
    <t>B18-0870</t>
  </si>
  <si>
    <t>alteration</t>
  </si>
  <si>
    <t>BDR2018-0198</t>
  </si>
  <si>
    <t>Barn 1728 sqft non-habitable</t>
  </si>
  <si>
    <t>B18-0887</t>
  </si>
  <si>
    <t>interior alteration for new daycare</t>
  </si>
  <si>
    <t>22-41-16-32-1-00-044</t>
  </si>
  <si>
    <t>B18-0891</t>
  </si>
  <si>
    <t>B18-0894</t>
  </si>
  <si>
    <t>22-41-16-32-1-12-002</t>
  </si>
  <si>
    <t>B18-0904</t>
  </si>
  <si>
    <t>interior alteration-</t>
  </si>
  <si>
    <t>B18-0907</t>
  </si>
  <si>
    <t>B18-0922</t>
  </si>
  <si>
    <t>interior remodel of existin building</t>
  </si>
  <si>
    <t>22-41-16-34-2-08-011</t>
  </si>
  <si>
    <t>B18-0931</t>
  </si>
  <si>
    <t>new mixed use building</t>
  </si>
  <si>
    <t>BDR2019-0003</t>
  </si>
  <si>
    <t>ARU 1000 sqft habitable  1000 sqft non-habitable   (SFD BDR2019-0002   ART STUDIO withdrawn BDR2019-0004)    Revisions submitted see BDR2019-0002</t>
  </si>
  <si>
    <t>22-41-16-28-1-03-001</t>
  </si>
  <si>
    <t>BDR2019-0004</t>
  </si>
  <si>
    <t>Art Studio BDR2019-0004  (SFD BDR2019-0002 ARU BDR2019-0003)</t>
  </si>
  <si>
    <t>B19-0028</t>
  </si>
  <si>
    <t>Installing Type II exhaust hood/fan</t>
  </si>
  <si>
    <t>22-41-16-33-1-62-001</t>
  </si>
  <si>
    <t>B19-0032</t>
  </si>
  <si>
    <t>spa equipment room and interior remodel</t>
  </si>
  <si>
    <t>BDR2019-0005</t>
  </si>
  <si>
    <t>SFD 2464 sqft habitable 590 sqft non-habitable 504 sqft deck</t>
  </si>
  <si>
    <t>22-38-16-16-2-01-055</t>
  </si>
  <si>
    <t>B19-0041</t>
  </si>
  <si>
    <t>interior alteration for sp 100 &amp;129</t>
  </si>
  <si>
    <t>B19-0045</t>
  </si>
  <si>
    <t>expand bathroom-add window</t>
  </si>
  <si>
    <t>B19-0071</t>
  </si>
  <si>
    <t>New cabin</t>
  </si>
  <si>
    <t>22-41-16-33-1-11-003</t>
  </si>
  <si>
    <t>B19-0072</t>
  </si>
  <si>
    <t>B19-0096</t>
  </si>
  <si>
    <t>tenant fitout on a new com space</t>
  </si>
  <si>
    <t>B19-0098</t>
  </si>
  <si>
    <t>22-40-16-06-1-11-013</t>
  </si>
  <si>
    <t>BDC2019-0003</t>
  </si>
  <si>
    <t>Remodel Restaurant 376sqft</t>
  </si>
  <si>
    <t>B19-0118</t>
  </si>
  <si>
    <t>Roof top wireless communications facility</t>
  </si>
  <si>
    <t>B19-0121</t>
  </si>
  <si>
    <t>roof top wireless communications facility</t>
  </si>
  <si>
    <t>BDR2019-0018</t>
  </si>
  <si>
    <t>Remodel 6250 sqft habitable Add 858 sqft porte corchere    Withdrawn per email from agent  7/15/2019  MR</t>
  </si>
  <si>
    <t>BDR2019-0019</t>
  </si>
  <si>
    <t>Detached garage 550 sqft non-habitable     Emailed contractor and applicant expiration warning 7/22/2019  Mailed certificate of expiration 9/3/2019</t>
  </si>
  <si>
    <t>B19-0134</t>
  </si>
  <si>
    <t>adding walls</t>
  </si>
  <si>
    <t>22-41-16-27-3-12-003</t>
  </si>
  <si>
    <t>BDC2019-0005</t>
  </si>
  <si>
    <t>Remodel commercial cabin  725 sqft</t>
  </si>
  <si>
    <t>22-39-16-32-4-04-001</t>
  </si>
  <si>
    <t>B20-0209</t>
  </si>
  <si>
    <t>garage and basement for  20 unit Townhome development</t>
  </si>
  <si>
    <t>BDC2019-0007</t>
  </si>
  <si>
    <t>Remodel 2130 sqft</t>
  </si>
  <si>
    <t>22-40-16-17-4-14-001</t>
  </si>
  <si>
    <t>BDC2019-0008</t>
  </si>
  <si>
    <t>Remodel 240 sqft</t>
  </si>
  <si>
    <t>BDR2019-0032</t>
  </si>
  <si>
    <t>SFD 6081 sqft habitable 1176 sqft non-habitable 900 sqft deck</t>
  </si>
  <si>
    <t>22-41-16-08-1-00-002</t>
  </si>
  <si>
    <t>BDR2019-0037</t>
  </si>
  <si>
    <t>Barn 2160 sqft non-habitable</t>
  </si>
  <si>
    <t>22-38-16-05-1-00-010</t>
  </si>
  <si>
    <t>BDC2019-0009</t>
  </si>
  <si>
    <t>Remodel 160 sqft</t>
  </si>
  <si>
    <t>BDC2019-0011</t>
  </si>
  <si>
    <t>Remodel and addition 4070 sqft remodel  252 sqft addition</t>
  </si>
  <si>
    <t>B19-0227</t>
  </si>
  <si>
    <t>Adding a new deck</t>
  </si>
  <si>
    <t>22-41-16-33-1-31-002</t>
  </si>
  <si>
    <t>B19-0233</t>
  </si>
  <si>
    <t>Tenant fit out</t>
  </si>
  <si>
    <t>B19-0236</t>
  </si>
  <si>
    <t>adding stairs for roof top deck</t>
  </si>
  <si>
    <t>22-41-16-34-1-28-021</t>
  </si>
  <si>
    <t>B19-0239</t>
  </si>
  <si>
    <t>remodel of existing bank</t>
  </si>
  <si>
    <t>BDC2019-0013</t>
  </si>
  <si>
    <t>80 sqft non-habitable walk through tram car</t>
  </si>
  <si>
    <t>22-42-17-24-4-43-001</t>
  </si>
  <si>
    <t>BDR2019-0049</t>
  </si>
  <si>
    <t>SFD 1705 sqft habitable 380 sqft non-habitable 320 sqft deck</t>
  </si>
  <si>
    <t>22-41-17-24-4-00-007</t>
  </si>
  <si>
    <t>BDR2019-0051</t>
  </si>
  <si>
    <t>SFD 3909 sqft habitable 734 sqft non habitable 1070 sqft deck</t>
  </si>
  <si>
    <t>22-38-16-16-2-01-053</t>
  </si>
  <si>
    <t>B20-0378</t>
  </si>
  <si>
    <t>New SF-unit 1</t>
  </si>
  <si>
    <t>B19-0260</t>
  </si>
  <si>
    <t>Trailer replacement spc # 11S</t>
  </si>
  <si>
    <t>22-41-16-28-1-00-042</t>
  </si>
  <si>
    <t>B19-0271</t>
  </si>
  <si>
    <t>replacement of existing deck</t>
  </si>
  <si>
    <t>22-41-16-33-1-52-006</t>
  </si>
  <si>
    <t>B19-0275</t>
  </si>
  <si>
    <t>22-41-16-33-1-53-006</t>
  </si>
  <si>
    <t>B20-0677</t>
  </si>
  <si>
    <t>New Townhome #18</t>
  </si>
  <si>
    <t>BDR2019-0063</t>
  </si>
  <si>
    <t>SFD 2623 sqft habitable  180 sqft non-habitable (garage permit is bdr2019-0082)    Gave extention for avalanche redesign 10/24/19 BN</t>
  </si>
  <si>
    <t>22-38-16-16-2-01-058</t>
  </si>
  <si>
    <t>B19-0279</t>
  </si>
  <si>
    <t>Plumbing</t>
  </si>
  <si>
    <t>BDC2019-0018</t>
  </si>
  <si>
    <t>Repair roof damage</t>
  </si>
  <si>
    <t>B19-0323</t>
  </si>
  <si>
    <t>22-41-16-33-1-08-004</t>
  </si>
  <si>
    <t>B16-0129</t>
  </si>
  <si>
    <t>Tenant fit out for Roadhouse Brewing Co</t>
  </si>
  <si>
    <t>BDC2019-0019</t>
  </si>
  <si>
    <t>Demolish deck and build a new 200 sqft deck.    Extention granted BN</t>
  </si>
  <si>
    <t>New Townhome #21</t>
  </si>
  <si>
    <t>BDR2019-0069</t>
  </si>
  <si>
    <t>SFD 3909 sqft habitable 734 sqft non-habitable 888 sqft deck</t>
  </si>
  <si>
    <t>22-38-16-16-3-01-052</t>
  </si>
  <si>
    <t>BDR2019-0073</t>
  </si>
  <si>
    <t>New SFD 6969sqft habitable 910sqft non-habitable 364sqft decks/porches    Permit withdrawn per email from owner.  2/4/2020  MR</t>
  </si>
  <si>
    <t>22-42-17-25-1-01-080</t>
  </si>
  <si>
    <t>B19-0318</t>
  </si>
  <si>
    <t>22-41-16-33-3-04-006</t>
  </si>
  <si>
    <t>BDC2019-0020</t>
  </si>
  <si>
    <t>Remodel  563 sqft habitable office</t>
  </si>
  <si>
    <t>BDR2019-0081</t>
  </si>
  <si>
    <t>Addition 108 sqft habitable Remodel 528 sqft habitable guest house  (main house remodel and addition are under BDR2019-0062)</t>
  </si>
  <si>
    <t>22-41-17-12-3-05-007</t>
  </si>
  <si>
    <t>BDR2019-0082</t>
  </si>
  <si>
    <t>Garage 415 sqft non-habitable (main house BDR2019-0063)    Gave extention for avalanche redesign 10/24/19 BN</t>
  </si>
  <si>
    <t>B19-0350</t>
  </si>
  <si>
    <t>start bus shelter - location A</t>
  </si>
  <si>
    <t>B19-0351</t>
  </si>
  <si>
    <t>Start bus Shelter- Location B</t>
  </si>
  <si>
    <t>B19-0352</t>
  </si>
  <si>
    <t>Start bus shelter- Location C</t>
  </si>
  <si>
    <t>B19-0353</t>
  </si>
  <si>
    <t>Start Bus Shelter- Location D</t>
  </si>
  <si>
    <t>BDC2019-0023</t>
  </si>
  <si>
    <t>Demolish 297 sqft lean-to  Add 250 sqft office and bathroom and 100 sqft storage in it's place. This permit was withdrawn and resubmitted as a residential application. BDR2019-0092</t>
  </si>
  <si>
    <t>22-40-17-01-1-01-002</t>
  </si>
  <si>
    <t>BDR2019-0083</t>
  </si>
  <si>
    <t>SFD 1676 sqft habitable 1434 sqft non-habitable 684 sqft deck    issued extention 11/19/19 BN until 5/25/2020</t>
  </si>
  <si>
    <t>22-42-17-25-2-01-006</t>
  </si>
  <si>
    <t>BDR2019-0084</t>
  </si>
  <si>
    <t>SFD 3953 sqft habitable 801 sqft non-habitable 1030 sqft deck</t>
  </si>
  <si>
    <t>22-38-16-17-1-01-025</t>
  </si>
  <si>
    <t>B19-0370</t>
  </si>
  <si>
    <t>deck repair/replacement</t>
  </si>
  <si>
    <t>B19-0371</t>
  </si>
  <si>
    <t>rooftop antenna</t>
  </si>
  <si>
    <t>B19-0374</t>
  </si>
  <si>
    <t>22-41-16-34-2-36-004</t>
  </si>
  <si>
    <t>B19-0393</t>
  </si>
  <si>
    <t>New motel - Hotel Jackson Ph 2</t>
  </si>
  <si>
    <t>22-41-16-28-4-09-001</t>
  </si>
  <si>
    <t>B19-0378</t>
  </si>
  <si>
    <t>22-40-16-06-2-04-005</t>
  </si>
  <si>
    <t>BDC2019-0025</t>
  </si>
  <si>
    <t>500 sqft remodel of church    Revisions submitted for review 7/25/2019.</t>
  </si>
  <si>
    <t>B19-0397</t>
  </si>
  <si>
    <t>New deck</t>
  </si>
  <si>
    <t>BDR2018-0179</t>
  </si>
  <si>
    <t>22-39-16-03-4-00-014</t>
  </si>
  <si>
    <t>B19-0407</t>
  </si>
  <si>
    <t>relocate/install equipment</t>
  </si>
  <si>
    <t>BDR2019-0093</t>
  </si>
  <si>
    <t>Remodel 1937 sqft habitable Addition 481 sqft habitable 12 sqft non-habitable     Emailed expiration warning to applicant and contractor 12/20/2019  Certificate of Expiration mailed 2/24/2020  MR</t>
  </si>
  <si>
    <t>22-41-16-21-2-07-004</t>
  </si>
  <si>
    <t>BDR2019-0094</t>
  </si>
  <si>
    <t>SFD 3217 sqft habitable 689 sqft non-habitable 558 sqft deck    Permit withdrawn per email from Applicant 10/4/2019  MR</t>
  </si>
  <si>
    <t>BDR2019-0095</t>
  </si>
  <si>
    <t>SFD 2802 sqft habitable (Detached garage BDR2019-0096)    Need to submit redesign   granted extention BN 12/9/19</t>
  </si>
  <si>
    <t>22-38-16-16-2-01-059</t>
  </si>
  <si>
    <t>BDR2019-0096</t>
  </si>
  <si>
    <t>Garage 595 sqft non- habitable (SFD BDR2019-0095)    Need to submit redesign.  granted extention BN 12/9/19</t>
  </si>
  <si>
    <t>B19-0409</t>
  </si>
  <si>
    <t>22-41-16-34-4-04-023</t>
  </si>
  <si>
    <t>BDR2019-0098</t>
  </si>
  <si>
    <t>Addition 1140 sqft habitable 943 sqft non-habitable 490 sqft deck  Remodel 715 sqft habitable    Permit withdrawn prior to being issued 10/24/2019 per email from applicant.   MR</t>
  </si>
  <si>
    <t>22-40-16-18-3-06-019</t>
  </si>
  <si>
    <t>B19-0448</t>
  </si>
  <si>
    <t>cell phone tower</t>
  </si>
  <si>
    <t>B19-0455</t>
  </si>
  <si>
    <t>4 coventional lodging units</t>
  </si>
  <si>
    <t>B19-0454</t>
  </si>
  <si>
    <t>Repair existing deck-add new deck</t>
  </si>
  <si>
    <t>BDC2019-0027</t>
  </si>
  <si>
    <t>Remodel office space to add in a 35 sqft bathroom.  (Suite 104)</t>
  </si>
  <si>
    <t>B19-0461</t>
  </si>
  <si>
    <t>Trailer replacement Sp #1</t>
  </si>
  <si>
    <t>B19-0462</t>
  </si>
  <si>
    <t>alteration/addition to existing home</t>
  </si>
  <si>
    <t>22-41-16-27-3-07-013</t>
  </si>
  <si>
    <t>BDR2019-0103</t>
  </si>
  <si>
    <t>Addition 4011 sqft habitable 878 sqft non-habitable Remodel 414 sqft habitable</t>
  </si>
  <si>
    <t>BDR2019-0104</t>
  </si>
  <si>
    <t>Remodel 2145 sqft habitable</t>
  </si>
  <si>
    <t>22-42-17-24-4-19-003</t>
  </si>
  <si>
    <t>B19-0474</t>
  </si>
  <si>
    <t>cell antenna</t>
  </si>
  <si>
    <t>B19-0490</t>
  </si>
  <si>
    <t>tenant fitout- office</t>
  </si>
  <si>
    <t>22-41-16-34-3-08-002</t>
  </si>
  <si>
    <t>B19-0493</t>
  </si>
  <si>
    <t>BDR2019-0106</t>
  </si>
  <si>
    <t>Remodel 680 sqft non-habitable to make it habitable space.</t>
  </si>
  <si>
    <t>22-41-17-25-4-06-004</t>
  </si>
  <si>
    <t>B19-0497</t>
  </si>
  <si>
    <t>replace existing fire place</t>
  </si>
  <si>
    <t>22-40-16-05-2-04-001</t>
  </si>
  <si>
    <t>B19-0498</t>
  </si>
  <si>
    <t>interior/exterior of existing building</t>
  </si>
  <si>
    <t>BDR2019-0110</t>
  </si>
  <si>
    <t>Remodel 6761 sqft habitable 1389 sqft non-habitable</t>
  </si>
  <si>
    <t>22-41-16-06-1-04-005</t>
  </si>
  <si>
    <t>B19-0513</t>
  </si>
  <si>
    <t>install 2 windows</t>
  </si>
  <si>
    <t>BDR2019-0113</t>
  </si>
  <si>
    <t>Addition 790 sqft habitable 187.75 deck  Remodel 1537 sqft habitable    Permit withdrawn per email from Applicant 12/5/2019  MR</t>
  </si>
  <si>
    <t>22-41-17-23-2-01-003</t>
  </si>
  <si>
    <t>B19-0531</t>
  </si>
  <si>
    <t>Trailer replacement  space A5-22B</t>
  </si>
  <si>
    <t>22-41-16-34-4-02-007</t>
  </si>
  <si>
    <t>B19-0536</t>
  </si>
  <si>
    <t>interior remodel/shed roof &amp; deck</t>
  </si>
  <si>
    <t>B19-0538</t>
  </si>
  <si>
    <t>Add egress window</t>
  </si>
  <si>
    <t>22-41-16-33-4-19-004</t>
  </si>
  <si>
    <t>BDR2019-0114</t>
  </si>
  <si>
    <t>Install two new windows and headers</t>
  </si>
  <si>
    <t>22-41-17-11-1-62-008</t>
  </si>
  <si>
    <t>BDR2019-0116</t>
  </si>
  <si>
    <t>SFD 7023 sqft habitable  1099 sqft non-habitable  1086 sqft deck    1st extension granted 2/3/2020  B.N.</t>
  </si>
  <si>
    <t>22-42-16-28-3-01-004</t>
  </si>
  <si>
    <t>B19-0540</t>
  </si>
  <si>
    <t>replace roof with addition of cold roof</t>
  </si>
  <si>
    <t>22-41-16-32-4-09-005</t>
  </si>
  <si>
    <t>BDC2019-0029</t>
  </si>
  <si>
    <t>Remodel 2359 sqft habitable</t>
  </si>
  <si>
    <t>B19-0550</t>
  </si>
  <si>
    <t>New SF with attached ARU</t>
  </si>
  <si>
    <t>22-41-16-34-1-35-010</t>
  </si>
  <si>
    <t>B19-0551</t>
  </si>
  <si>
    <t>22-40-16-06-1-12-004</t>
  </si>
  <si>
    <t>SFD with attached garage with upper ARU  3893 sqft habitable 2056 sqft non habitable 827 sqft deck/porch</t>
  </si>
  <si>
    <t>B16-0135</t>
  </si>
  <si>
    <t>BDR2019-0121</t>
  </si>
  <si>
    <t>B16-0141</t>
  </si>
  <si>
    <t>22-41-16-32-4-12-005</t>
  </si>
  <si>
    <t>Staff lounge 3060 sqft habitable 800 sqft non-habitable 1254 sqft decks/porches   Remodel 2121 sqft of non-habitalble barn space</t>
  </si>
  <si>
    <t>B16-0146</t>
  </si>
  <si>
    <t>22-41-16-34-4-00-009</t>
  </si>
  <si>
    <t>B19-0576</t>
  </si>
  <si>
    <t>repair/alteration of building due to fire</t>
  </si>
  <si>
    <t>BDR2019-0127</t>
  </si>
  <si>
    <t>Addition 1636 sqft habitable 850 sqft non-habitable 401 sqft deck  Remodel 1740 sqft habitable</t>
  </si>
  <si>
    <t>BDR2019-0122</t>
  </si>
  <si>
    <t>SFD 5773 sqft habitable 1181 sqft non-habitable</t>
  </si>
  <si>
    <t>BDR2019-0123</t>
  </si>
  <si>
    <t>ARU 942 sqft habitable</t>
  </si>
  <si>
    <t>B16-0156</t>
  </si>
  <si>
    <t>splitting space into 2 units</t>
  </si>
  <si>
    <t>22-41-16-33-2-01-003</t>
  </si>
  <si>
    <t>B16-0173</t>
  </si>
  <si>
    <t>B16-0188</t>
  </si>
  <si>
    <t>New SF with attached accessory</t>
  </si>
  <si>
    <t>BDR2019-0141</t>
  </si>
  <si>
    <t>BDR2019-0136</t>
  </si>
  <si>
    <t>ARU 676 sqft habitable (main house BDR2019-0135)</t>
  </si>
  <si>
    <t>B19-0624</t>
  </si>
  <si>
    <t>repair exterior bearing wall</t>
  </si>
  <si>
    <t>22-41-16-34-4-00-005</t>
  </si>
  <si>
    <t>BDR2019-0137</t>
  </si>
  <si>
    <t>Addition 12 sqft habitable  950 sqft deck Remodel 9209 sqft habitable</t>
  </si>
  <si>
    <t>BDR2019-0138</t>
  </si>
  <si>
    <t>Addition 1964 sqft habitable  Remodel 120 sqft habitable    Withdrawn per email from applicant. 2/24/2020  MR</t>
  </si>
  <si>
    <t>22-42-16-22-3-00-032</t>
  </si>
  <si>
    <t>BDR2019-0139</t>
  </si>
  <si>
    <t>Remodel 1892 sqft habitable</t>
  </si>
  <si>
    <t>22-40-16-18-1-05-308</t>
  </si>
  <si>
    <t>BDR2019-0140</t>
  </si>
  <si>
    <t>Addition 480 sqft habitable Replace 1276 sqft decks  Remodel 560 sqft habitable</t>
  </si>
  <si>
    <t>22-41-17-33-4-03-009</t>
  </si>
  <si>
    <t>B19-0647</t>
  </si>
  <si>
    <t>repair roof</t>
  </si>
  <si>
    <t>22-40-16-06-2-14-001</t>
  </si>
  <si>
    <t>New SFD 2271 habitable 816 non-habitable 725 decks/covered porches</t>
  </si>
  <si>
    <t>B16-0260</t>
  </si>
  <si>
    <t>single family with attached accessory</t>
  </si>
  <si>
    <t>22-41-16-34-2-29-006</t>
  </si>
  <si>
    <t>BDR2019-0143</t>
  </si>
  <si>
    <t>SFD 2975 sqft habitable 862 sqft non-habitable 775 deck    extention granted 2/13/2020 BN</t>
  </si>
  <si>
    <t>22-42-16-34-2-02-015</t>
  </si>
  <si>
    <t>B19-0678</t>
  </si>
  <si>
    <t>interior remodel of locker &amp; rest rooms</t>
  </si>
  <si>
    <t>BDR2020-0044</t>
  </si>
  <si>
    <t>22-41-17-25-3-00-028</t>
  </si>
  <si>
    <t>B19-0680</t>
  </si>
  <si>
    <t>interior remodel of existing structure</t>
  </si>
  <si>
    <t>22-41-16-34-2-59-003</t>
  </si>
  <si>
    <t>New SFD 4534sqft habitable 705sqft non-habitable 735sqft deck/porches</t>
  </si>
  <si>
    <t>B19-0683</t>
  </si>
  <si>
    <t>new american legion monument</t>
  </si>
  <si>
    <t>22-41-16-27-3-23-001</t>
  </si>
  <si>
    <t>BDR2020-0094</t>
  </si>
  <si>
    <t>22-41-17-14-4-00-017</t>
  </si>
  <si>
    <t>BDR2019-0151</t>
  </si>
  <si>
    <t>SFD 1516 sqft habitable 697 sqft non-habitable 183 sqft deck    Revisions submitted for review adding 259 sqft habitable 167 sqft deck and changing the location of the barn (which will now have it's own permit number BDR2020-0008)  1/15/2020  MR</t>
  </si>
  <si>
    <t>22-41-17-27-4-00-027</t>
  </si>
  <si>
    <t>B19-0713</t>
  </si>
  <si>
    <t>roof repair</t>
  </si>
  <si>
    <t>22-41-16-34-4-04-011</t>
  </si>
  <si>
    <t>BDR2019-0152</t>
  </si>
  <si>
    <t>Addition 781 sqft habitable 324 sqft deck</t>
  </si>
  <si>
    <t>22-41-17-22-4-14-022</t>
  </si>
  <si>
    <t>B16-0262</t>
  </si>
  <si>
    <t>Awning for restaurant</t>
  </si>
  <si>
    <t>B16-0278</t>
  </si>
  <si>
    <t>22-41-16-34-1-13-003</t>
  </si>
  <si>
    <t>B16-0314</t>
  </si>
  <si>
    <t>22-41-16-34-1-AF-002</t>
  </si>
  <si>
    <t>SFD 2956 sqft habitable 620 sqft non-habitable 132 sqft deck ARU 470 sqft habitable  Revisions submitted for approval showing new house location and changes to drive.  10/13/2020  MR Revisions submitted for review changing the site plan.   11/10/2020  MR</t>
  </si>
  <si>
    <t>B19-0577</t>
  </si>
  <si>
    <t>SF townhome</t>
  </si>
  <si>
    <t>B19-0585</t>
  </si>
  <si>
    <t>Sf townhome</t>
  </si>
  <si>
    <t>B19-0727</t>
  </si>
  <si>
    <t>B19-0728</t>
  </si>
  <si>
    <t>new Townhome</t>
  </si>
  <si>
    <t>BDC2019-0034</t>
  </si>
  <si>
    <t>Replace HVAC system, repair walls and ceiling</t>
  </si>
  <si>
    <t>B19-0701</t>
  </si>
  <si>
    <t>22-41-16-27-3-17-002</t>
  </si>
  <si>
    <t>B19-0745</t>
  </si>
  <si>
    <t>interior alteration of 203 Hotel Rooms</t>
  </si>
  <si>
    <t>BDR2019-0155</t>
  </si>
  <si>
    <t>SFD 2634 sqft habitable 603 sqft non-habitable</t>
  </si>
  <si>
    <t>22-38-16-17-1-01-021</t>
  </si>
  <si>
    <t>B19-0755</t>
  </si>
  <si>
    <t>22-41-16-34-2-00-010</t>
  </si>
  <si>
    <t>B19-0765</t>
  </si>
  <si>
    <t>temp modular for office space</t>
  </si>
  <si>
    <t>B19-0770</t>
  </si>
  <si>
    <t>repair south beam on porte cochere</t>
  </si>
  <si>
    <t>B19-0778</t>
  </si>
  <si>
    <t>22-40-16-06-1-01-003</t>
  </si>
  <si>
    <t>B19-0780</t>
  </si>
  <si>
    <t>renovating entry and windows</t>
  </si>
  <si>
    <t>22-41-16-34-1-19-008</t>
  </si>
  <si>
    <t>BDC2019-0035</t>
  </si>
  <si>
    <t>Remodel 3634 sqft of clubhouse    Revisions submitted for review 1/14/2020  MR</t>
  </si>
  <si>
    <t>BDR2019-0161</t>
  </si>
  <si>
    <t>SFD 3165 sqft habitable 1144 sqft non-habitable  204 sqft deck</t>
  </si>
  <si>
    <t>22-42-16-22-4-00-041</t>
  </si>
  <si>
    <t>BDR2019-0163</t>
  </si>
  <si>
    <t>Addition 1406 sqft habitable Remodel 196 sqft habitable</t>
  </si>
  <si>
    <t>22-40-16-17-4-05-005</t>
  </si>
  <si>
    <t>BDR2019-0164</t>
  </si>
  <si>
    <t>SFD 4156 sqft habitable 606 sqft non-habitable 419 sqft deck</t>
  </si>
  <si>
    <t>22-38-16-16-3-01-048</t>
  </si>
  <si>
    <t>B19-0808</t>
  </si>
  <si>
    <t>22-41-16-34-1-48-012</t>
  </si>
  <si>
    <t>B19-0809</t>
  </si>
  <si>
    <t>add 1 hr fire rate protection</t>
  </si>
  <si>
    <t>B19-0834</t>
  </si>
  <si>
    <t>trailer replacement Sp # 13S</t>
  </si>
  <si>
    <t>B19-0835</t>
  </si>
  <si>
    <t>22-41-16-27-3-19-002</t>
  </si>
  <si>
    <t>B19-0852</t>
  </si>
  <si>
    <t>22-41-16-32-4-20-002</t>
  </si>
  <si>
    <t>B19-0860</t>
  </si>
  <si>
    <t>BDC2019-0037</t>
  </si>
  <si>
    <t>Add 71.5 roof extension to the doorway to 2 classroom buildings.    Revisions reducing the columns submitted for review 12/20/2019  MR</t>
  </si>
  <si>
    <t>22-40-16-07-3-00-018</t>
  </si>
  <si>
    <t>B19-0873</t>
  </si>
  <si>
    <t>B19-0875</t>
  </si>
  <si>
    <t>22-41-16-34-2-05-002</t>
  </si>
  <si>
    <t>B19-0881</t>
  </si>
  <si>
    <t>Garaman Inc</t>
  </si>
  <si>
    <t>22-41-16-34-1-00-009</t>
  </si>
  <si>
    <t>BDR2019-0168</t>
  </si>
  <si>
    <t>Remodel 1107 sqft habitable Add 512 sqft deck</t>
  </si>
  <si>
    <t>B19-0895</t>
  </si>
  <si>
    <t>add ADA restroom</t>
  </si>
  <si>
    <t>22-41-16-32-4-00-009</t>
  </si>
  <si>
    <t>BDR2019-0169</t>
  </si>
  <si>
    <t>ARU 991 sqft habitable</t>
  </si>
  <si>
    <t>22-41-16-07-2-01-012</t>
  </si>
  <si>
    <t>BDR2019-0170</t>
  </si>
  <si>
    <t>SFD 5300 sqft habitable  782 sqft non-habitable 831 sqft deck</t>
  </si>
  <si>
    <t>22-38-16-08-4-01-008</t>
  </si>
  <si>
    <t>BDC2019-0039</t>
  </si>
  <si>
    <t>320 sqft historic pump house/storage buiding</t>
  </si>
  <si>
    <t>B19-0909</t>
  </si>
  <si>
    <t>New flag pole</t>
  </si>
  <si>
    <t>22-41-16-33-4-38-008</t>
  </si>
  <si>
    <t>B19-0920</t>
  </si>
  <si>
    <t>subfloor and joist repair</t>
  </si>
  <si>
    <t>22-41-16-34-1-97-001</t>
  </si>
  <si>
    <t>BDR2020-0002</t>
  </si>
  <si>
    <t>Remodel 832 sqft habitable  5 sqft non-habitable</t>
  </si>
  <si>
    <t>22-41-17-14-4-24-001</t>
  </si>
  <si>
    <t>B20-0004</t>
  </si>
  <si>
    <t>22-41-16-33-1-07-002</t>
  </si>
  <si>
    <t>BDR2020-0004</t>
  </si>
  <si>
    <t>SFD 4000 sqft habitable  80 sqft non-habitable     Submitted revisions changing basement to unfinished space 4/6/2020 BN</t>
  </si>
  <si>
    <t>22-40-16-35-2-00-008</t>
  </si>
  <si>
    <t>BDR2020-0105</t>
  </si>
  <si>
    <t>22-38-15-04-2-00-008</t>
  </si>
  <si>
    <t>B20-0015</t>
  </si>
  <si>
    <t>SFD 3638 sqft habitable</t>
  </si>
  <si>
    <t>BDR2020-0011</t>
  </si>
  <si>
    <t>Remodel 923 sqft habitable 504 sqft non-habitable.</t>
  </si>
  <si>
    <t>22-41-16-29-1-00-010</t>
  </si>
  <si>
    <t>BDR2020-0013</t>
  </si>
  <si>
    <t>Remodel 1541 sqft habitable</t>
  </si>
  <si>
    <t>22-44-18-16-2-00-009</t>
  </si>
  <si>
    <t>B20-0026</t>
  </si>
  <si>
    <t>22-41-16-33-1-00-030</t>
  </si>
  <si>
    <t>B20-0030</t>
  </si>
  <si>
    <t>22-41-16-34-1-AR-002</t>
  </si>
  <si>
    <t>B20-0031</t>
  </si>
  <si>
    <t>NSF with basement</t>
  </si>
  <si>
    <t>22-41-16-34-2-85-002</t>
  </si>
  <si>
    <t>BDR2020-0015</t>
  </si>
  <si>
    <t>Remodel 1720 sqft habitable 606 sqft non-habitable</t>
  </si>
  <si>
    <t>22-42-16-22-4-00-073</t>
  </si>
  <si>
    <t>BDC2020-0001</t>
  </si>
  <si>
    <t>197.5 sqft storage lockers for grocery deliveries Extension granted 12/22/2020 BN</t>
  </si>
  <si>
    <t>BDR2020-0108</t>
  </si>
  <si>
    <t>22-42-16-20-2-00-003</t>
  </si>
  <si>
    <t>SFD 7227 sqft habitable 1176 sqft non-habitable 931 sqft deck</t>
  </si>
  <si>
    <t>22-42-16-20-3-01-004</t>
  </si>
  <si>
    <t>B16-0315</t>
  </si>
  <si>
    <t>22-41-16-33-4-41-001</t>
  </si>
  <si>
    <t>BDR2021-0041</t>
  </si>
  <si>
    <t>Demo of existing townhouse</t>
  </si>
  <si>
    <t>22-41-17-22-3-06-002</t>
  </si>
  <si>
    <t>B20-0053</t>
  </si>
  <si>
    <t>22-41-16-28-4-05-012</t>
  </si>
  <si>
    <t>BDC2020-0002</t>
  </si>
  <si>
    <t>Remodel 1674 sqft and remove load bearing wall to open up office space.    Mike with Alternative Building Supply is no longer the contractor for this project, they also wanted to be removed as applicant. as of 4/24/2020  MR  Permit is now pending awaiting a new licensed contractor to be listed.    New contractor is Serenity Development per new letter of authorization.  5/28/2020 MR</t>
  </si>
  <si>
    <t>New Townhouse 1210sqft habitable 150sqft decks/porches  Revisions submitted changing structural pages changing from sip to stick frame.  11/18/2021  MR</t>
  </si>
  <si>
    <t>B20-0097</t>
  </si>
  <si>
    <t>22-41-16-32-4-20-007</t>
  </si>
  <si>
    <t>B18-0159</t>
  </si>
  <si>
    <t>New garage with 2nd floor storage</t>
  </si>
  <si>
    <t>22-41-16-34-1-42-002</t>
  </si>
  <si>
    <t>B20-0109</t>
  </si>
  <si>
    <t>shed for new electric bus chargers</t>
  </si>
  <si>
    <t>BDR2020-0019</t>
  </si>
  <si>
    <t>SFD 7051 sqft habitable  1129 sqft non-habitable   Expired without being picked up per email from contractor.</t>
  </si>
  <si>
    <t>22-42-17-25-1-01-054</t>
  </si>
  <si>
    <t>B20-0122</t>
  </si>
  <si>
    <t>B18-0440</t>
  </si>
  <si>
    <t>New office building - existing 560 sf cabin was office, converted into 1 bedroom 1 bath deed restricted, then built two story office building</t>
  </si>
  <si>
    <t>22-41-16-34-2-01-005</t>
  </si>
  <si>
    <t>B18-0864</t>
  </si>
  <si>
    <t>Addition to existing  building</t>
  </si>
  <si>
    <t>BDR2020-0022</t>
  </si>
  <si>
    <t>SFD 2692 sqft habitable 868 sqft non-habitable 655 sqft deck</t>
  </si>
  <si>
    <t>22-41-17-21-3-00-013</t>
  </si>
  <si>
    <t>B19-0601</t>
  </si>
  <si>
    <t>Addition to existing home-pool/spa</t>
  </si>
  <si>
    <t>22-41-16-34-1-27-004</t>
  </si>
  <si>
    <t>BDR2020-0024</t>
  </si>
  <si>
    <t>SFD 3698 sqft habitable 1285 sqft nonhabitable 411 sqft deck</t>
  </si>
  <si>
    <t>22-38-16-05-2-00-001</t>
  </si>
  <si>
    <t>B19-0603</t>
  </si>
  <si>
    <t>BDR2020-0026</t>
  </si>
  <si>
    <t>Addition 575 sqft habitable 72 sqft non-habitable  Remodel 68 sqft habitable    Withdrawn per email from applicant  6/1/2020  MR Withdrawal was after the reviews had been completed so there is not a refund available.</t>
  </si>
  <si>
    <t>22-41-17-14-1-19-019</t>
  </si>
  <si>
    <t>B19-0679</t>
  </si>
  <si>
    <t>22-41-16-34-2-58-001</t>
  </si>
  <si>
    <t>B20-0050</t>
  </si>
  <si>
    <t>B16-0316</t>
  </si>
  <si>
    <t>8-electric charging stations</t>
  </si>
  <si>
    <t>BDR2020-0028</t>
  </si>
  <si>
    <t>Garage/Shop 1080 sqft non-habitable</t>
  </si>
  <si>
    <t>B20-0148</t>
  </si>
  <si>
    <t>NSF with attached ARU</t>
  </si>
  <si>
    <t>22-41-16-34-1-AV-001</t>
  </si>
  <si>
    <t>B20-0141</t>
  </si>
  <si>
    <t>22-41-16-27-3-29-002</t>
  </si>
  <si>
    <t>B20-0154</t>
  </si>
  <si>
    <t>20 unit apartment</t>
  </si>
  <si>
    <t>22-41-16-33-1-72-001</t>
  </si>
  <si>
    <t>BDR2020-0030</t>
  </si>
  <si>
    <t>New SFD 8620 sqft habitable 2775 sqft non-habitable 1561sqft decks/porches</t>
  </si>
  <si>
    <t>22-41-16-30-1-00-006</t>
  </si>
  <si>
    <t>B20-0155</t>
  </si>
  <si>
    <t>22-41-16-27-3-36-017</t>
  </si>
  <si>
    <t>B20-0156</t>
  </si>
  <si>
    <t>22-41-16-27-3-36-018</t>
  </si>
  <si>
    <t>B20-0174</t>
  </si>
  <si>
    <t>Interior alteratino Ste 213</t>
  </si>
  <si>
    <t>B20-0184</t>
  </si>
  <si>
    <t>22-41-16-27-3-36-011</t>
  </si>
  <si>
    <t>B20-0185</t>
  </si>
  <si>
    <t>22-41-16-27-3-36-012</t>
  </si>
  <si>
    <t>B20-0186</t>
  </si>
  <si>
    <t>22-41-16-27-3-36-013</t>
  </si>
  <si>
    <t>B20-0187</t>
  </si>
  <si>
    <t>22-41-16-27-3-36-015</t>
  </si>
  <si>
    <t>B20-0193</t>
  </si>
  <si>
    <t>New single Family with attached ARU</t>
  </si>
  <si>
    <t>22-41-16-34-1-AV-002</t>
  </si>
  <si>
    <t>B20-0188</t>
  </si>
  <si>
    <t>22-41-16-27-3-36-014</t>
  </si>
  <si>
    <t>B20-0200</t>
  </si>
  <si>
    <t>22-41-16-32-4-09-003</t>
  </si>
  <si>
    <t>B20-0379</t>
  </si>
  <si>
    <t>New Townhome-unit 2</t>
  </si>
  <si>
    <t>B20-0380</t>
  </si>
  <si>
    <t>New townhome- unit 3</t>
  </si>
  <si>
    <t>B20-0201</t>
  </si>
  <si>
    <t>deck repair</t>
  </si>
  <si>
    <t>22-41-16-34-1-48-018</t>
  </si>
  <si>
    <t>B20-0381</t>
  </si>
  <si>
    <t>New Townhome-unit 4</t>
  </si>
  <si>
    <t>B16-0354</t>
  </si>
  <si>
    <t>interior alteration of live work unit</t>
  </si>
  <si>
    <t>B20-0226</t>
  </si>
  <si>
    <t>New Townhome  unit 11</t>
  </si>
  <si>
    <t>22-41-16-27-3-36-010</t>
  </si>
  <si>
    <t>B20-0227</t>
  </si>
  <si>
    <t>New Townhome Unit 12</t>
  </si>
  <si>
    <t>22-41-16-27-3-36-009</t>
  </si>
  <si>
    <t>B20-0228</t>
  </si>
  <si>
    <t>new townhome unit13</t>
  </si>
  <si>
    <t>22-41-16-27-3-36-008</t>
  </si>
  <si>
    <t>B20-0229</t>
  </si>
  <si>
    <t>new townhome unit 14</t>
  </si>
  <si>
    <t>22-41-16-27-3-36-007</t>
  </si>
  <si>
    <t>B20-0230</t>
  </si>
  <si>
    <t>new townhome  Unit 15</t>
  </si>
  <si>
    <t>22-41-16-27-3-36-006</t>
  </si>
  <si>
    <t>B20-0231</t>
  </si>
  <si>
    <t>new townhome unit 16</t>
  </si>
  <si>
    <t>22-41-16-27-3-36-005</t>
  </si>
  <si>
    <t>B20-0232</t>
  </si>
  <si>
    <t>new townhome unit 17</t>
  </si>
  <si>
    <t>22-41-16-27-3-36-004</t>
  </si>
  <si>
    <t>B20-0457</t>
  </si>
  <si>
    <t>Addition/alteration of existing home</t>
  </si>
  <si>
    <t>22-41-16-34-1-48-007</t>
  </si>
  <si>
    <t>B16-0364</t>
  </si>
  <si>
    <t>Motel Lobby Remodel</t>
  </si>
  <si>
    <t>BDR2020-0045</t>
  </si>
  <si>
    <t>Addition 1858sqft remodel 815sqft decks/porches 583.5sqft  Revisions submitted for review 11/19/2020  MR</t>
  </si>
  <si>
    <t>22-41-17-23-2-03-003</t>
  </si>
  <si>
    <t>2 unit above new garage</t>
  </si>
  <si>
    <t>22-41-16-34-2-24-001</t>
  </si>
  <si>
    <t>B20-0525</t>
  </si>
  <si>
    <t>22-40-16-06-2-43-010</t>
  </si>
  <si>
    <t>B20-0257</t>
  </si>
  <si>
    <t>small cafe-no seating</t>
  </si>
  <si>
    <t>B20-0627</t>
  </si>
  <si>
    <t>B20-0660</t>
  </si>
  <si>
    <t>New Townhome unit#1</t>
  </si>
  <si>
    <t>B20-0268</t>
  </si>
  <si>
    <t>B20-0274</t>
  </si>
  <si>
    <t>interior/exterior alteration</t>
  </si>
  <si>
    <t>BDR2020-0051</t>
  </si>
  <si>
    <t>Addition 1515sqft 585sqft remodel 383sqft decks</t>
  </si>
  <si>
    <t>B20-0661</t>
  </si>
  <si>
    <t>New Townhome unit #2</t>
  </si>
  <si>
    <t>BDR2020-0053</t>
  </si>
  <si>
    <t>Addition 207sqft habitable 359sqft non-habitable  Emailed expiration warning to applicant 10/5/2020 MR Expired without being picked up. 10/31/2020  MR</t>
  </si>
  <si>
    <t>BDR2020-0054</t>
  </si>
  <si>
    <t>New Barn 1728sqft non-habitable</t>
  </si>
  <si>
    <t>B20-0288</t>
  </si>
  <si>
    <t>22-41-16-33-3-08-002</t>
  </si>
  <si>
    <t>BDR2020-0055</t>
  </si>
  <si>
    <t>addition 288sqft remodel 1639sqft 133sqft decks/porches Extension granted 12/28/2020 BN</t>
  </si>
  <si>
    <t>22-44-15-36-1-06-001</t>
  </si>
  <si>
    <t>BDR2020-0056</t>
  </si>
  <si>
    <t>New SFD 3220sqft habitable 614sqft non-habitable 1044sqft decks/porches</t>
  </si>
  <si>
    <t>22-43-15-15-1-00-003</t>
  </si>
  <si>
    <t>BDR2020-0057</t>
  </si>
  <si>
    <t>New Two-family dwelling Main house has 6845sqft habitable 1313sqft non-habitable 1250sqft decks/porches and the attached guest house is 990sqft habitable Extension granted 2/16/21 BN</t>
  </si>
  <si>
    <t>22-41-17-25-3-00-032</t>
  </si>
  <si>
    <t>B20-0306</t>
  </si>
  <si>
    <t>22-41-16-27-3-36-003</t>
  </si>
  <si>
    <t>B20-0307</t>
  </si>
  <si>
    <t>Townhome  unit 19</t>
  </si>
  <si>
    <t>22-41-16-27-3-36-002</t>
  </si>
  <si>
    <t>B20-0308</t>
  </si>
  <si>
    <t>Townhome unit 20</t>
  </si>
  <si>
    <t>22-41-16-27-3-36-001</t>
  </si>
  <si>
    <t>B20-0662</t>
  </si>
  <si>
    <t>New Townhome Unit #3</t>
  </si>
  <si>
    <t>BDR2020-0060</t>
  </si>
  <si>
    <t>SFD 3023 sqft habitable 1645 sqft non-habitable 768 sqft decks/porches</t>
  </si>
  <si>
    <t>22-42-16-19-4-01-003</t>
  </si>
  <si>
    <t>BDR2020-0062</t>
  </si>
  <si>
    <t>Remodel 1162sqft 734sqft on new decks</t>
  </si>
  <si>
    <t>22-39-16-23-3-02-004</t>
  </si>
  <si>
    <t>B20-0314</t>
  </si>
  <si>
    <t>Interior Alteration</t>
  </si>
  <si>
    <t>22-41-16-28-4-00-036</t>
  </si>
  <si>
    <t>B20-0663</t>
  </si>
  <si>
    <t>New Townhome unit 4</t>
  </si>
  <si>
    <t>B20-0664</t>
  </si>
  <si>
    <t>New Tonwhome #5</t>
  </si>
  <si>
    <t>BDR2020-0065</t>
  </si>
  <si>
    <t>New SFD 936sqft habitable 936sqft non-habitable 320sqft decks/porches Emailed expiration warning to applicant 10/22/2020 MR Corrections were submitted 11/2/2020  MR</t>
  </si>
  <si>
    <t>BDR2020-0066</t>
  </si>
  <si>
    <t>New SFD 13493sqft habitable 4392sqft non-habitable 345sqft decks/porches</t>
  </si>
  <si>
    <t>BDR2020-0067</t>
  </si>
  <si>
    <t>New garage 1884.25sqft non-habitable</t>
  </si>
  <si>
    <t>BDR2020-0068</t>
  </si>
  <si>
    <t>Remodel 1775.8sqft habitable 65.4sqft non-habitable</t>
  </si>
  <si>
    <t>BDR2020-0069</t>
  </si>
  <si>
    <t>New ARU 960sqft habitable 2292sqft non-habitable 1452sqft decks/porches Revisions submitted changing almost every page of the plans.  9/10/2020  MR</t>
  </si>
  <si>
    <t>22-41-17-01-4-00-003</t>
  </si>
  <si>
    <t>B20-0665</t>
  </si>
  <si>
    <t>New townhome #6</t>
  </si>
  <si>
    <t>BDC2020-0003</t>
  </si>
  <si>
    <t>remodel (enclosing existing building) of transfer station 1200sqft F-2 3600sqft S-2</t>
  </si>
  <si>
    <t>22-40-16-27-2-00-001</t>
  </si>
  <si>
    <t>BDR2020-0071</t>
  </si>
  <si>
    <t>New SFD 4614 sqft habitable 999 sqft non-habitable</t>
  </si>
  <si>
    <t>22-41-17-12-3-00-018</t>
  </si>
  <si>
    <t>B20-0340</t>
  </si>
  <si>
    <t>22-41-16-34-2-16-009</t>
  </si>
  <si>
    <t>B20-0341</t>
  </si>
  <si>
    <t>Rebuild single family with a garage</t>
  </si>
  <si>
    <t>22-41-16-34-4-04-010</t>
  </si>
  <si>
    <t>B20-0346</t>
  </si>
  <si>
    <t>expanding into another space</t>
  </si>
  <si>
    <t>B20-0349</t>
  </si>
  <si>
    <t>Interior alteration- change of use</t>
  </si>
  <si>
    <t>BDR2020-0072</t>
  </si>
  <si>
    <t>8 sqft habitable addition 1100 sqft habitable remodel  Withdrawn per email from applicant.   12/23/2020  MR</t>
  </si>
  <si>
    <t>BDR2020-0074</t>
  </si>
  <si>
    <t>SFD 983 sqft habitable 496 sqft covered porch    This is a historic building from Melody Ranch that is being relocated onto their property.</t>
  </si>
  <si>
    <t>22-41-17-01-4-04-001</t>
  </si>
  <si>
    <t>BDR2020-0076</t>
  </si>
  <si>
    <t>SFD 7979.5 sqft habitable 1326 sqft non-habitable 410 sqft deck Revisions submitted for review changing mechanical and reducing the heated hardscape 11/10/2020 MR</t>
  </si>
  <si>
    <t>22-41-17-27-4-00-031</t>
  </si>
  <si>
    <t>BDR2020-0077</t>
  </si>
  <si>
    <t>SFD 4854 sqft habitable  2265 sqft deck/porch (Garage BDR2020-0113)</t>
  </si>
  <si>
    <t>22-42-16-10-4-08-008</t>
  </si>
  <si>
    <t>B20-0374</t>
  </si>
  <si>
    <t>Adding spiral stairecase</t>
  </si>
  <si>
    <t>22-41-16-34-1-31-013</t>
  </si>
  <si>
    <t>B20-0375</t>
  </si>
  <si>
    <t>Tenant fit out for restaurant</t>
  </si>
  <si>
    <t>22-41-16-27-3-15-001</t>
  </si>
  <si>
    <t>B20-0377</t>
  </si>
  <si>
    <t>22-41-16-34-2-45-008</t>
  </si>
  <si>
    <t>B20-0666</t>
  </si>
  <si>
    <t>New Townhome #7</t>
  </si>
  <si>
    <t>B16-0366</t>
  </si>
  <si>
    <t>Nanis restaurant remodel</t>
  </si>
  <si>
    <t>B20-0667</t>
  </si>
  <si>
    <t>New townhome #8</t>
  </si>
  <si>
    <t>B20-0668</t>
  </si>
  <si>
    <t>New Townhome #9</t>
  </si>
  <si>
    <t>B20-0669</t>
  </si>
  <si>
    <t>New Townhome #10</t>
  </si>
  <si>
    <t>B20-0382</t>
  </si>
  <si>
    <t>install solar panels on top of roof</t>
  </si>
  <si>
    <t>22-41-16-33-1-09-008</t>
  </si>
  <si>
    <t>BDR2020-0079</t>
  </si>
  <si>
    <t>Remodel 830 sqft habitable  NOTE: Work is reportedly complete. Access will be difficult before spring. An extension will be required until a final inspection can be made. Contact, Oliver, was notified. -W</t>
  </si>
  <si>
    <t>22-40-11-22-3-00-006</t>
  </si>
  <si>
    <t>BDR2020-0080</t>
  </si>
  <si>
    <t>SFD 6625 sqft habitable 799 sqft non-habitable 687 sqft deck (ARU BDR2020-0081  Barn BDR2020-0082)</t>
  </si>
  <si>
    <t>22-41-17-12-2-13-001</t>
  </si>
  <si>
    <t>BDR2020-0081</t>
  </si>
  <si>
    <t>ARU 991 sqft habitable  (Main house BDR2020-0080  Barn BDR2020-0082)</t>
  </si>
  <si>
    <t>BDR2020-0082</t>
  </si>
  <si>
    <t>Barn 987 sqft non-habitable  (Main House BDR2020-0080   ARU  BDR2020-0081)</t>
  </si>
  <si>
    <t>B20-0394</t>
  </si>
  <si>
    <t>Add a covered porch</t>
  </si>
  <si>
    <t>B20-0396</t>
  </si>
  <si>
    <t>exterior spiral staircase</t>
  </si>
  <si>
    <t>BDR2020-0083</t>
  </si>
  <si>
    <t>Addition 1406 sqft habitable Remodel 196 sqft habitable  Revisions submitted increasing square footage of habitable by 115 sqft . (1521 sqft is new total)  10/22/2020  MR</t>
  </si>
  <si>
    <t>BDR2020-0084</t>
  </si>
  <si>
    <t>SFD 7988 sqft habitable 1513 sqft non-habitable 822 sqft deck Withdrawn per email from applicant.  1/8/2021  MR</t>
  </si>
  <si>
    <t>22-41-17-11-4-13-004</t>
  </si>
  <si>
    <t>B20-0670</t>
  </si>
  <si>
    <t>NewTownhome #11</t>
  </si>
  <si>
    <t>B20-0671</t>
  </si>
  <si>
    <t>New Townhome #12</t>
  </si>
  <si>
    <t>B20-0672</t>
  </si>
  <si>
    <t>New Townhome #13</t>
  </si>
  <si>
    <t>B20-0673</t>
  </si>
  <si>
    <t>New townhome #14</t>
  </si>
  <si>
    <t>BDR2020-0091</t>
  </si>
  <si>
    <t>Remodel garage to habitable game room 700sqft</t>
  </si>
  <si>
    <t>B20-0418</t>
  </si>
  <si>
    <t>22-41-16-33-3-07-037</t>
  </si>
  <si>
    <t>B20-0419</t>
  </si>
  <si>
    <t>B20-0674</t>
  </si>
  <si>
    <t>New Townhome #15</t>
  </si>
  <si>
    <t>B20-0675</t>
  </si>
  <si>
    <t>New Townhome #16</t>
  </si>
  <si>
    <t>B20-0752</t>
  </si>
  <si>
    <t>Addition-create an attached ARU</t>
  </si>
  <si>
    <t>22-41-16-34-2-11-005</t>
  </si>
  <si>
    <t>B16-0431</t>
  </si>
  <si>
    <t>22-41-16-33-3-07-026</t>
  </si>
  <si>
    <t>B20-0845</t>
  </si>
  <si>
    <t>Addition and interior remodel</t>
  </si>
  <si>
    <t>22-41-16-27-3-08-010</t>
  </si>
  <si>
    <t>B20-0912</t>
  </si>
  <si>
    <t>BDR2020-0098</t>
  </si>
  <si>
    <t>Addition 240 sqft habitable Remodel 1759 sqft habitable</t>
  </si>
  <si>
    <t>22-41-17-15-3-00-031</t>
  </si>
  <si>
    <t>BDR2020-0099</t>
  </si>
  <si>
    <t>SFD 10411 sqft habitable 1554 sqft non-habitable  693 sqft deck</t>
  </si>
  <si>
    <t>22-41-16-21-1-16-009</t>
  </si>
  <si>
    <t>BDR2020-0100</t>
  </si>
  <si>
    <t>Addition 3558 sqft habitable 1869 sqft non-habitable 64 sqft deck</t>
  </si>
  <si>
    <t>22-39-15-31-1-04-003</t>
  </si>
  <si>
    <t>BDR2020-0102</t>
  </si>
  <si>
    <t>SFD 4481 sqft habitable 1257 sqft non-habitable 515 sqft deck  Withdrawn per email from owner 9/11/2020</t>
  </si>
  <si>
    <t>22-40-17-12-4-03-002</t>
  </si>
  <si>
    <t>BDR2020-0103</t>
  </si>
  <si>
    <t>Remodel 703 sqft habitable Revision submitted 12/16/2020 JPL Structural Upgrades Revision submitted 2/10/2021 JPL adding 114 Sq Ft of habitable and changing fireplace.</t>
  </si>
  <si>
    <t>B21-0012</t>
  </si>
  <si>
    <t>New garage with a single family above</t>
  </si>
  <si>
    <t>22-41-16-34-2-34-001</t>
  </si>
  <si>
    <t>B16-0435</t>
  </si>
  <si>
    <t>B20-0440</t>
  </si>
  <si>
    <t>Adding covered deck</t>
  </si>
  <si>
    <t>B20-0441</t>
  </si>
  <si>
    <t>22-41-16-32-4-12-020</t>
  </si>
  <si>
    <t>B20-0442</t>
  </si>
  <si>
    <t>Detached ARU with garage</t>
  </si>
  <si>
    <t>22-41-16-34-1-31-020</t>
  </si>
  <si>
    <t>B21-0024</t>
  </si>
  <si>
    <t>detached ARU with a garage</t>
  </si>
  <si>
    <t>22-41-16-34-2-36-002</t>
  </si>
  <si>
    <t>B20-0446</t>
  </si>
  <si>
    <t>interior alteration-repair</t>
  </si>
  <si>
    <t>B21-0054</t>
  </si>
  <si>
    <t>B16-0452</t>
  </si>
  <si>
    <t>Interior alteration for restaurant</t>
  </si>
  <si>
    <t>22-41-16-33-1-04-003</t>
  </si>
  <si>
    <t>B21-0060</t>
  </si>
  <si>
    <t>B21-0072</t>
  </si>
  <si>
    <t>New SF with attached ARU o  basement</t>
  </si>
  <si>
    <t>22-41-16-34-1-AE-003</t>
  </si>
  <si>
    <t>BDR2020-0112</t>
  </si>
  <si>
    <t>SFD 11002 sqft habitable 2671 sqft non-habitable 1500 sqft deck (ARU BDR2020-0152)</t>
  </si>
  <si>
    <t>22-40-17-13-1-01-034</t>
  </si>
  <si>
    <t>BDR2020-0113</t>
  </si>
  <si>
    <t>Garage 1069 sqft non-habitable  (SFD 2020-0077  Plan review for garage paid under this permit)</t>
  </si>
  <si>
    <t>BDR2020-0115</t>
  </si>
  <si>
    <t>SFD 5606 sqft habitable 1802 sqft non-habitable 354 sqft deck</t>
  </si>
  <si>
    <t>22-40-16-18-3-10-002</t>
  </si>
  <si>
    <t>BDR2020-0116</t>
  </si>
  <si>
    <t>ARU 1000 sqft habitable Revisions submitted changing floor area on 9/15/2020 JB</t>
  </si>
  <si>
    <t>B21-0099</t>
  </si>
  <si>
    <t>dimising wall-change of use</t>
  </si>
  <si>
    <t>22-41-16-33-1-54-002</t>
  </si>
  <si>
    <t>B20-0462</t>
  </si>
  <si>
    <t>Retractable awning structures</t>
  </si>
  <si>
    <t>B21-0189</t>
  </si>
  <si>
    <t>22-41-16-34-1-AU-002</t>
  </si>
  <si>
    <t>B21-0194</t>
  </si>
  <si>
    <t>BDR2020-0121</t>
  </si>
  <si>
    <t>Addition 383sqft remodel 3825sqft</t>
  </si>
  <si>
    <t>22-40-17-35-1-05-001</t>
  </si>
  <si>
    <t>BDR2020-0122</t>
  </si>
  <si>
    <t>Replacing roof structure 1008sqft</t>
  </si>
  <si>
    <t>B21-0215</t>
  </si>
  <si>
    <t>22-41-16-31-4-14-112</t>
  </si>
  <si>
    <t>B21-0253</t>
  </si>
  <si>
    <t>interior alteration/window enlargement</t>
  </si>
  <si>
    <t>22-41-16-33-1-25-004</t>
  </si>
  <si>
    <t>B21-0255</t>
  </si>
  <si>
    <t>detached ARU</t>
  </si>
  <si>
    <t>B21-0332</t>
  </si>
  <si>
    <t>22-40-16-06-2-03-005</t>
  </si>
  <si>
    <t>B21-0406</t>
  </si>
  <si>
    <t>interior-exterior remodel</t>
  </si>
  <si>
    <t>22-41-16-33-1-00-002</t>
  </si>
  <si>
    <t>BDR2020-0128</t>
  </si>
  <si>
    <t>New SFD 3462sqft habitable 6465sqft non-habitable 895sqft decks</t>
  </si>
  <si>
    <t>22-39-16-12-2-00-007</t>
  </si>
  <si>
    <t>BDR2020-0129</t>
  </si>
  <si>
    <t>SFD 3479 sqft habitable 709 sqft non-habitable 2330 sqft decks (Garage is BDR2020-0163)</t>
  </si>
  <si>
    <t>22-39-16-02-4-00-015</t>
  </si>
  <si>
    <t>BDR2020-0130</t>
  </si>
  <si>
    <t>SFD 7823.5 sqft habitable 1073.8 sqft non-habitable (ARU BDR2020-0131  Barn BDR2020-0132)</t>
  </si>
  <si>
    <t>22-38-16-05-1-00-011</t>
  </si>
  <si>
    <t>BDR2020-0131</t>
  </si>
  <si>
    <t>ARU 983.4 sqft habitable 264 sqft non-habitable 501.9 sqft deck (Main house BDR2020-0130  Barn BDR2020-0132)</t>
  </si>
  <si>
    <t>BDR2020-0132</t>
  </si>
  <si>
    <t>Barn 2390.8 sqft non-habitable (Main house BDR2020-0130  ARU BDR2020-0131)</t>
  </si>
  <si>
    <t>B21-0412</t>
  </si>
  <si>
    <t>Interior remodel-exterior-deck</t>
  </si>
  <si>
    <t>B21-0417</t>
  </si>
  <si>
    <t>adding an egress window to make a legal bedroom</t>
  </si>
  <si>
    <t>22-41-16-34-2-40-002</t>
  </si>
  <si>
    <t>B20-0502</t>
  </si>
  <si>
    <t>monument sign</t>
  </si>
  <si>
    <t>BDC2020-0006</t>
  </si>
  <si>
    <t>Interior Remodel 571 sqft office</t>
  </si>
  <si>
    <t>BDR2020-0137</t>
  </si>
  <si>
    <t>SFD 6073 sqft habitable 1071 sqft non-habitable 384 sqft deck</t>
  </si>
  <si>
    <t>22-41-17-14-3-24-010</t>
  </si>
  <si>
    <t>B20-0507</t>
  </si>
  <si>
    <t>Interior alteration-garage to bedroom</t>
  </si>
  <si>
    <t>22-40-16-06-2-01-012</t>
  </si>
  <si>
    <t>B20-0510</t>
  </si>
  <si>
    <t>rebuild old decks</t>
  </si>
  <si>
    <t>B20-0511</t>
  </si>
  <si>
    <t>repair water damage</t>
  </si>
  <si>
    <t>22-41-16-34-2-76-CND</t>
  </si>
  <si>
    <t>BDC2020-0007</t>
  </si>
  <si>
    <t>1344 sqft sloped roof to cover substation</t>
  </si>
  <si>
    <t>BDR2020-0140</t>
  </si>
  <si>
    <t>SFD 2591 sqft habitable (ARU BDR2020-0167) (garage BDR2020-0141)  Permits withdrawn per email from applicant and contractor 1/6/2020 MR</t>
  </si>
  <si>
    <t>22-44-18-20-2-01-001</t>
  </si>
  <si>
    <t>BDR2020-0141</t>
  </si>
  <si>
    <t>Garage 1120 sqft non-habitable (SFD/ARU BDR2020-0140)  Permits withdrawn per email from applicant and contractor 1/6/2020  MR</t>
  </si>
  <si>
    <t>B21-0493</t>
  </si>
  <si>
    <t>Addition- alteration</t>
  </si>
  <si>
    <t>B20-0517</t>
  </si>
  <si>
    <t>replace upper level floor support beam</t>
  </si>
  <si>
    <t>22-41-16-32-4-23-010</t>
  </si>
  <si>
    <t>B20-0513</t>
  </si>
  <si>
    <t>Single Family</t>
  </si>
  <si>
    <t>22-41-16-34-1-AT-002</t>
  </si>
  <si>
    <t>B20-0520</t>
  </si>
  <si>
    <t>reinforce deck for hottub</t>
  </si>
  <si>
    <t>22-41-16-34-2-77-004</t>
  </si>
  <si>
    <t>B21-0532</t>
  </si>
  <si>
    <t>Interior- exterior alteration</t>
  </si>
  <si>
    <t>22-41-16-33-1-00-003</t>
  </si>
  <si>
    <t>BDR2020-0145</t>
  </si>
  <si>
    <t>SFD 408 sqft habitable</t>
  </si>
  <si>
    <t>22-39-16-03-4-00-035</t>
  </si>
  <si>
    <t>BDR2020-0146</t>
  </si>
  <si>
    <t>SFD 2579 sqft habitable 803 sqft non-habitable 65 sqft deck Revisions submitted on 11/1/2020 JB</t>
  </si>
  <si>
    <t>22-39-16-02-2-00-024</t>
  </si>
  <si>
    <t>B21-0570</t>
  </si>
  <si>
    <t>interior/exterior alteration- main lodge</t>
  </si>
  <si>
    <t>BDC2020-0008</t>
  </si>
  <si>
    <t>Addition 70 sqfthabitable 195 sqft deck</t>
  </si>
  <si>
    <t>22-44-18-20-3-00-018</t>
  </si>
  <si>
    <t>BDR2020-0147</t>
  </si>
  <si>
    <t>Addition 1399 sqft habitable 21 sq ft non-habitable Permit on hold - Final fee check written for incorrect amount.  Called (left msg) &amp; Emailed Matthew. KRyan 10/7/2020 Matt fixed error on check.  Issued Permit. KRyan 10/9/2020</t>
  </si>
  <si>
    <t>22-41-17-22-4-14-007</t>
  </si>
  <si>
    <t>BDR2020-0148</t>
  </si>
  <si>
    <t>SFD 2367 sqft habitable 437 sqft non-habitable  425 sqft deck</t>
  </si>
  <si>
    <t>22-38-16-08-1-06-012</t>
  </si>
  <si>
    <t>BDR2020-0149</t>
  </si>
  <si>
    <t>ARU 900 sqft habitable 2505 sqft non-habitable 896 sqft deck</t>
  </si>
  <si>
    <t>22-40-16-19-2-00-038</t>
  </si>
  <si>
    <t>B20-0530</t>
  </si>
  <si>
    <t>Extend deck</t>
  </si>
  <si>
    <t>22-41-16-34-2-46-017</t>
  </si>
  <si>
    <t>BDR2020-0150</t>
  </si>
  <si>
    <t>New SFD 3561sqft habitable 703sqft non-habitable 338sqft decks/porches Needs floodplain permit Extension granted 2/2/21 BN Floodplain permit approved</t>
  </si>
  <si>
    <t>22-38-16-08-1-03-011</t>
  </si>
  <si>
    <t>BDR2020-0151</t>
  </si>
  <si>
    <t>New SFD 3561sqft habitable 703sqft non-habitable 338sqft porches Needs Floodplain permit extension granted 2/2/21 BN Floodplain permit approved</t>
  </si>
  <si>
    <t>22-38-16-08-1-03-009</t>
  </si>
  <si>
    <t>BDR2020-0152</t>
  </si>
  <si>
    <t>New ARU 606sqft habitable 461sqft garage  Building permit fee and plan check fee paid on main house permit BDR2020-0112</t>
  </si>
  <si>
    <t>B21-0612</t>
  </si>
  <si>
    <t>22-41-16-34-4-02-019</t>
  </si>
  <si>
    <t>B21-0654</t>
  </si>
  <si>
    <t>Detached ARU</t>
  </si>
  <si>
    <t>22-41-16-34-4-00-008</t>
  </si>
  <si>
    <t>B20-0547</t>
  </si>
  <si>
    <t>Extend existing deck</t>
  </si>
  <si>
    <t>22-40-16-06-2-48-010</t>
  </si>
  <si>
    <t>BDR2020-0156</t>
  </si>
  <si>
    <t>ARU 1000 sqft habitable 200 sqft deck (Garage is BDR2020-0157)</t>
  </si>
  <si>
    <t>B21-0663</t>
  </si>
  <si>
    <t>walk in cabinet and generator</t>
  </si>
  <si>
    <t>BDR2020-0158</t>
  </si>
  <si>
    <t>SFD 4029 sqft habitable 682 sqft non-habitable 425 sqft deck</t>
  </si>
  <si>
    <t>22-38-16-08-1-06-015</t>
  </si>
  <si>
    <t>B20-0550</t>
  </si>
  <si>
    <t>mudroom addition</t>
  </si>
  <si>
    <t>BDR2020-0159</t>
  </si>
  <si>
    <t>SFD 2367 sqft habitable 437 sqft non-habitable 425 sqft covered porch</t>
  </si>
  <si>
    <t>22-38-16-08-1-06-010</t>
  </si>
  <si>
    <t>BDR2020-0160</t>
  </si>
  <si>
    <t>SFD 3520 sqft habitable 849 sqft non-habitable 462 sqft covered porches</t>
  </si>
  <si>
    <t>22-42-16-27-4-12-026</t>
  </si>
  <si>
    <t>B20-0560</t>
  </si>
  <si>
    <t>22-41-16-34-2-45-002</t>
  </si>
  <si>
    <t>B20-0567</t>
  </si>
  <si>
    <t>deck and parking area</t>
  </si>
  <si>
    <t>22-41-16-34-1-12-003</t>
  </si>
  <si>
    <t>BDR2020-0161</t>
  </si>
  <si>
    <t>SFD 6318 sqft habitable 1502 sqft non-habitable 597 sqft deck Permit on hold until ZCV approval then revisions will be brought in  Revisions submitted adding 437 sqft habitable and 512 sqft non habitable 3/9/2021 JPL.</t>
  </si>
  <si>
    <t>22-38-16-16-2-01-018</t>
  </si>
  <si>
    <t>BDR2020-0162</t>
  </si>
  <si>
    <t>Addition 254 sqft habitable  Remodel 2107 sqft habitable  Extension granted 1/14/21 BN</t>
  </si>
  <si>
    <t>22-40-16-19-2-04-002</t>
  </si>
  <si>
    <t>B20-0568</t>
  </si>
  <si>
    <t>Interior remodel-Restaurant</t>
  </si>
  <si>
    <t>22-41-16-28-4-15-001</t>
  </si>
  <si>
    <t>B20-0578</t>
  </si>
  <si>
    <t>BDR2020-0163</t>
  </si>
  <si>
    <t>Garage 728 sqft non-habitable (House BDR2020-0129 )   Plan review fees were paid under the house permit.</t>
  </si>
  <si>
    <t>BDR2020-0164</t>
  </si>
  <si>
    <t>SFD 4720 sqft habitable 960 sqft non-habitable 1367 sqft deck/covered porch</t>
  </si>
  <si>
    <t>22-41-16-21-3-15-002</t>
  </si>
  <si>
    <t>BDR2020-0165</t>
  </si>
  <si>
    <t>SFD 2380 sqft habitable 437 sqft non-habitable  425 sqft covered porch</t>
  </si>
  <si>
    <t>22-38-16-08-1-06-009</t>
  </si>
  <si>
    <t>BDC2020-0009</t>
  </si>
  <si>
    <t>Lodge 51293 sqft R-1   9127 sqft A-2   1173 sqft B</t>
  </si>
  <si>
    <t>22-38-16-08-1-06-020</t>
  </si>
  <si>
    <t>B20-0588</t>
  </si>
  <si>
    <t>22-41-16-32-4-26-026</t>
  </si>
  <si>
    <t>BDR2020-0166</t>
  </si>
  <si>
    <t>Addition 575 sqft habitable  72 sqft non-habitable Remodel 68 sqft habitable Certificate of Placement is not needed for this project. JB 10/28/2020</t>
  </si>
  <si>
    <t>BDR2020-0167</t>
  </si>
  <si>
    <t>ARU 968 sqft habitable (garage BDR2020-0141) (SFD BDR2020-0140)  Permits withdrawn per email from applicant and contractor 1/6/2020</t>
  </si>
  <si>
    <t>B20-0595</t>
  </si>
  <si>
    <t>remove partion-add ADA restrooms</t>
  </si>
  <si>
    <t>B21-0697</t>
  </si>
  <si>
    <t>BDR2020-0169</t>
  </si>
  <si>
    <t>SFD 3156 sqft habitable 826 sqft non-habitable 328 sqft covered porch  Revisions submitted increasing the non-habitable square footage +202sqft 11/17/2020  MR (1028 sqft is new total)</t>
  </si>
  <si>
    <t>22-44-18-20-3-03-002</t>
  </si>
  <si>
    <t>BDR2020-0170</t>
  </si>
  <si>
    <t>SFD 4190 sqft habitable 657 sqft non-habitable 540 sqft deck  829 sqft porch  Revisions submitted for review changing footings, decks and porches.  11/12/2020  MR</t>
  </si>
  <si>
    <t>22-44-15-36-1-04-005</t>
  </si>
  <si>
    <t>B21-0730</t>
  </si>
  <si>
    <t>addition over garage</t>
  </si>
  <si>
    <t>22-40-16-06-2-13-006</t>
  </si>
  <si>
    <t>BDR2020-0172</t>
  </si>
  <si>
    <t>ARU  432 sqft habitable</t>
  </si>
  <si>
    <t>22-40-16-17-2-02-086</t>
  </si>
  <si>
    <t>BDR2020-0173</t>
  </si>
  <si>
    <t>ARU 596 sqft habitable</t>
  </si>
  <si>
    <t>B21-0735</t>
  </si>
  <si>
    <t>interior Alteration</t>
  </si>
  <si>
    <t>22-41-16-33-1-27-005</t>
  </si>
  <si>
    <t>B20-0631</t>
  </si>
  <si>
    <t>construct enclosure for gas stove</t>
  </si>
  <si>
    <t>BDR2020-0175</t>
  </si>
  <si>
    <t>Rebuild 900 sqft of garage that had burned down</t>
  </si>
  <si>
    <t>BDR2020-0177</t>
  </si>
  <si>
    <t>SFD 4049 sqft habiable 705 sqft non-habitable 425 sqft covered porch</t>
  </si>
  <si>
    <t>22-38-16-08-1-06-014</t>
  </si>
  <si>
    <t>BDR2020-0178</t>
  </si>
  <si>
    <t>22-38-16-08-1-06-013</t>
  </si>
  <si>
    <t>B20-0647</t>
  </si>
  <si>
    <t>22-41-16-28-4-19-003</t>
  </si>
  <si>
    <t>B21-0748</t>
  </si>
  <si>
    <t>22-40-16-06-1-00-103</t>
  </si>
  <si>
    <t>B21-0754</t>
  </si>
  <si>
    <t>22-41-16-32-4-14-017</t>
  </si>
  <si>
    <t>B21-0771</t>
  </si>
  <si>
    <t>interior remodel siding roofing BLd #100</t>
  </si>
  <si>
    <t>B21-0776</t>
  </si>
  <si>
    <t>Addition of mudroom to existing home</t>
  </si>
  <si>
    <t>22-41-16-34-2-19-015</t>
  </si>
  <si>
    <t>B21-0826</t>
  </si>
  <si>
    <t>ADA ramp</t>
  </si>
  <si>
    <t>B21-0842</t>
  </si>
  <si>
    <t>Demo exterior canopy-remodel exterior</t>
  </si>
  <si>
    <t>B21-0854</t>
  </si>
  <si>
    <t>22-41-16-34-2-10-004</t>
  </si>
  <si>
    <t>B21-0922</t>
  </si>
  <si>
    <t>building out existing space-2nd level</t>
  </si>
  <si>
    <t>B21-0958</t>
  </si>
  <si>
    <t>22-40-16-05-2-02-001</t>
  </si>
  <si>
    <t>B21-0968</t>
  </si>
  <si>
    <t>add covered walkway  interior remodel stairs</t>
  </si>
  <si>
    <t>22-41-16-28-4-06-016</t>
  </si>
  <si>
    <t>B21-0976</t>
  </si>
  <si>
    <t>reconfigure bathroom for ADA</t>
  </si>
  <si>
    <t>22-41-16-33-1-30-003</t>
  </si>
  <si>
    <t>B21-1002</t>
  </si>
  <si>
    <t>roof solar panel</t>
  </si>
  <si>
    <t>B21-1023</t>
  </si>
  <si>
    <t>modification to existing wireless facility</t>
  </si>
  <si>
    <t>B21-1030</t>
  </si>
  <si>
    <t>Alteration to 2nd floor</t>
  </si>
  <si>
    <t>B21-1163</t>
  </si>
  <si>
    <t>22-41-16-28-4-16-071</t>
  </si>
  <si>
    <t>B22-0025</t>
  </si>
  <si>
    <t>22-41-16-27-3-26-001</t>
  </si>
  <si>
    <t>B20-0676</t>
  </si>
  <si>
    <t>New Townhomes #17</t>
  </si>
  <si>
    <t>B22-0096</t>
  </si>
  <si>
    <t>tenant fit from bank to retail</t>
  </si>
  <si>
    <t>B22-0128</t>
  </si>
  <si>
    <t>B20-0678</t>
  </si>
  <si>
    <t>New Townhome #19</t>
  </si>
  <si>
    <t>B20-0679</t>
  </si>
  <si>
    <t>New Townhome #20</t>
  </si>
  <si>
    <t>BDR2020-0179</t>
  </si>
  <si>
    <t>Add 720 sqft habitable 182 sqft non-habitable and 146 sqft deck  Remodel 2485 sqft habitable Revisions submitted 03/08/2021 subtracting 719 sq ft of habitable and 185 sq ft of non-habitable.  JL</t>
  </si>
  <si>
    <t>22-42-16-34-2-02-007</t>
  </si>
  <si>
    <t>B22-0173</t>
  </si>
  <si>
    <t>removing pool to make fitess room-bathroom</t>
  </si>
  <si>
    <t>22-41-16-32-4-19-004</t>
  </si>
  <si>
    <t>B22-0175</t>
  </si>
  <si>
    <t>change of use-interior remodel</t>
  </si>
  <si>
    <t>22-41-16-32-4-02-002</t>
  </si>
  <si>
    <t>BDR2020-0182</t>
  </si>
  <si>
    <t>SFD 5206 sqft habitable 48 sqft non-habitable 55 sqft deck</t>
  </si>
  <si>
    <t>22-41-17-01-4-03-003</t>
  </si>
  <si>
    <t>BDR2020-0183</t>
  </si>
  <si>
    <t>ARU 950 sqf habitable 55 sqft deck</t>
  </si>
  <si>
    <t>BDR2020-0184</t>
  </si>
  <si>
    <t>Gym 711 sqft habitable</t>
  </si>
  <si>
    <t>B20-0683</t>
  </si>
  <si>
    <t>B20-0684</t>
  </si>
  <si>
    <t>interior office remodel</t>
  </si>
  <si>
    <t>22-41-16-32-4-40-005</t>
  </si>
  <si>
    <t>B22-0181</t>
  </si>
  <si>
    <t>restaurant -Steakhouse interior remodel</t>
  </si>
  <si>
    <t>22-41-16-28-4-15-004</t>
  </si>
  <si>
    <t>B22-0235</t>
  </si>
  <si>
    <t>22-41-16-32-4-14-004</t>
  </si>
  <si>
    <t>BDR2020-0188</t>
  </si>
  <si>
    <t>SFD 7908 sqft habitable 1268 sqft non-habitable</t>
  </si>
  <si>
    <t>22-42-17-24-4-46-001</t>
  </si>
  <si>
    <t>BDR2020-0189</t>
  </si>
  <si>
    <t>SFD 4145 sqft habitable 589 sqft non-habitable 389 sqft covered porch</t>
  </si>
  <si>
    <t>22-38-16-16-2-01-035</t>
  </si>
  <si>
    <t>BDC2020-0010</t>
  </si>
  <si>
    <t>Remodel 1362.57 office space</t>
  </si>
  <si>
    <t>22-40-16-17-4-18-003</t>
  </si>
  <si>
    <t>BDR2020-0191</t>
  </si>
  <si>
    <t>SFD 6457 sqft habitable 1260 sqft non habitable</t>
  </si>
  <si>
    <t>22-41-17-11-4-11-006</t>
  </si>
  <si>
    <t>BDR2020-0192</t>
  </si>
  <si>
    <t>SFD 8665 sqft habitable 1315 sqft non-habitable 811 deck 220 sqft covered porch</t>
  </si>
  <si>
    <t>22-41-17-28-1-00-002</t>
  </si>
  <si>
    <t>B20-0732</t>
  </si>
  <si>
    <t>addition to existing building for cooler</t>
  </si>
  <si>
    <t>22-41-16-27-3-35-003</t>
  </si>
  <si>
    <t>B20-0734</t>
  </si>
  <si>
    <t>tent for outdoor seating</t>
  </si>
  <si>
    <t>B20-0741</t>
  </si>
  <si>
    <t>22-41-16-33-3-07-024</t>
  </si>
  <si>
    <t>B22-0290</t>
  </si>
  <si>
    <t>Tenant fitout Interior alteration</t>
  </si>
  <si>
    <t>22-41-16-27-3-37-002</t>
  </si>
  <si>
    <t>BDR2020-0193</t>
  </si>
  <si>
    <t>New SFD 2709.46sqft habitable 863.05sqft non-habitable 394.92sqft decks</t>
  </si>
  <si>
    <t>22-40-16-18-1-05-296</t>
  </si>
  <si>
    <t>B22-0315</t>
  </si>
  <si>
    <t>renovaion of existing home</t>
  </si>
  <si>
    <t>22-41-16-34-4-03-003</t>
  </si>
  <si>
    <t>B20-0757</t>
  </si>
  <si>
    <t>deck  repair/replacement</t>
  </si>
  <si>
    <t>22-41-16-32-4-06-015</t>
  </si>
  <si>
    <t>B20-0761</t>
  </si>
  <si>
    <t>Add window well to make a bedroom</t>
  </si>
  <si>
    <t>BDR2020-0194</t>
  </si>
  <si>
    <t>ARU - addition to existing home 1000 sqft habitable 110 sqft deck</t>
  </si>
  <si>
    <t>22-41-17-14-4-33-003</t>
  </si>
  <si>
    <t>B22-0366</t>
  </si>
  <si>
    <t>Change of use-ARU</t>
  </si>
  <si>
    <t>22-41-16-34-2-16-014</t>
  </si>
  <si>
    <t>BDR2020-0196</t>
  </si>
  <si>
    <t>SFD 4261.7 sqft habitable 836.25 sqft non-habitable 1727.84 sqft covered porch</t>
  </si>
  <si>
    <t>22-41-17-22-1-01-005</t>
  </si>
  <si>
    <t>B20-0765</t>
  </si>
  <si>
    <t>construction of zipline</t>
  </si>
  <si>
    <t>B20-0766</t>
  </si>
  <si>
    <t>B20-0769</t>
  </si>
  <si>
    <t>replace existing upper level floor support</t>
  </si>
  <si>
    <t>22-41-16-32-4-23-007</t>
  </si>
  <si>
    <t>B20-0771</t>
  </si>
  <si>
    <t>expand residenital unit in storage area</t>
  </si>
  <si>
    <t>22-41-16-32-4-14-008</t>
  </si>
  <si>
    <t>B22-0367</t>
  </si>
  <si>
    <t>BDR2020-0198</t>
  </si>
  <si>
    <t>SFD 3561 sqft habitable 1032 sqft non-habitable</t>
  </si>
  <si>
    <t>22-38-16-16-2-01-031</t>
  </si>
  <si>
    <t>BDR2020-0199</t>
  </si>
  <si>
    <t>ACC  1312 sqft habitable</t>
  </si>
  <si>
    <t>22-41-17-27-1-03-013</t>
  </si>
  <si>
    <t>B20-0786</t>
  </si>
  <si>
    <t>interior remodel-repair</t>
  </si>
  <si>
    <t>BDR2020-0202</t>
  </si>
  <si>
    <t>SFD 3722 sqft habitable 621 sqft non-habitable 283 sqft Deck</t>
  </si>
  <si>
    <t>22-38-16-08-1-06-001</t>
  </si>
  <si>
    <t>B22-0451</t>
  </si>
  <si>
    <t>22-41-16-32-3-00-050</t>
  </si>
  <si>
    <t>B22-0487</t>
  </si>
  <si>
    <t>extending existing decks</t>
  </si>
  <si>
    <t>22-41-16-34-2-46-009</t>
  </si>
  <si>
    <t>new 12 unit condo buildling</t>
  </si>
  <si>
    <t>BDR2020-0205</t>
  </si>
  <si>
    <t>ACC Home Office 796 sqft habitable 252 sqft covered porches</t>
  </si>
  <si>
    <t>22-41-17-36-1-05-002</t>
  </si>
  <si>
    <t>B20-0803</t>
  </si>
  <si>
    <t>white out space</t>
  </si>
  <si>
    <t>B20-0806</t>
  </si>
  <si>
    <t>expand existing restrooms</t>
  </si>
  <si>
    <t>BDC2020-0013</t>
  </si>
  <si>
    <t>900 sqft non-habitable storage</t>
  </si>
  <si>
    <t>BDC2020-0014</t>
  </si>
  <si>
    <t>2000 sqft non-habitable storage</t>
  </si>
  <si>
    <t>B20-0813</t>
  </si>
  <si>
    <t>B20-0826</t>
  </si>
  <si>
    <t>22-41-16-33-1-41-003</t>
  </si>
  <si>
    <t>BDR2020-0206</t>
  </si>
  <si>
    <t>SFD 2380 sq. ft. habitable  437 sq. ft. non-habitable 425 sq. ft. deck</t>
  </si>
  <si>
    <t>22-38-16-08-1-06-004</t>
  </si>
  <si>
    <t>B20-0836</t>
  </si>
  <si>
    <t>tenant fit out</t>
  </si>
  <si>
    <t>22-41-16-34-3-08-005</t>
  </si>
  <si>
    <t>B22-0655</t>
  </si>
  <si>
    <t>22-41-16-35-3-04-002</t>
  </si>
  <si>
    <t>B20-0838</t>
  </si>
  <si>
    <t>22-41-16-34-1-22-001</t>
  </si>
  <si>
    <t>B20-0840</t>
  </si>
  <si>
    <t>BDR2020-0208</t>
  </si>
  <si>
    <t>SFD 2380 sqft  habitable 437 sqft  Non-Habitable  425 sqft  decks</t>
  </si>
  <si>
    <t>22-38-16-08-1-06-005</t>
  </si>
  <si>
    <t>BDR2020-0209</t>
  </si>
  <si>
    <t>SFD 3722 sqft habitable 621 sqft  non-habitable  283 sqft decks</t>
  </si>
  <si>
    <t>22-38-16-08-1-06-002</t>
  </si>
  <si>
    <t>BDR2020-0210</t>
  </si>
  <si>
    <t>SFD 992 sqft habitable 1200 sqft non-habitable 728 sqft ARU</t>
  </si>
  <si>
    <t>22-41-16-15-3-00-012</t>
  </si>
  <si>
    <t>B22-0750</t>
  </si>
  <si>
    <t>22-41-16-34-2-87-002</t>
  </si>
  <si>
    <t>BDR2020-0211</t>
  </si>
  <si>
    <t>SFD 2380 sqft habitable 437 sqft non-habitable 425 sqft covered porch</t>
  </si>
  <si>
    <t>22-38-16-08-1-06-007</t>
  </si>
  <si>
    <t>BDR2020-0212</t>
  </si>
  <si>
    <t>Addition 3148 sqft habitable 431 sqft deck  Remodel 1888 sqft habitable</t>
  </si>
  <si>
    <t>22-42-16-03-4-00-019</t>
  </si>
  <si>
    <t>BDR2020-0213</t>
  </si>
  <si>
    <t>SFD 4944 sqft habitable 3832 sqft non-habitable</t>
  </si>
  <si>
    <t>22-41-17-22-3-04-004</t>
  </si>
  <si>
    <t>B20-0853</t>
  </si>
  <si>
    <t>22-41-16-34-2-17-003</t>
  </si>
  <si>
    <t>B20-0854</t>
  </si>
  <si>
    <t>Adding attached tent to existing building</t>
  </si>
  <si>
    <t>BDR2020-0214</t>
  </si>
  <si>
    <t>SFD 3197 sqft habitable 1172 sqft non-habitable 179 sqft deck</t>
  </si>
  <si>
    <t>BDC2018-0052</t>
  </si>
  <si>
    <t>Maintenance Shed 660 sqft</t>
  </si>
  <si>
    <t>BDR2020-0216</t>
  </si>
  <si>
    <t>Remodel of 4,570 sqft of habitable space 150 sqft of decking</t>
  </si>
  <si>
    <t>22-41-17-23-4-05-009</t>
  </si>
  <si>
    <t>BDR2020-0217</t>
  </si>
  <si>
    <t>Addition 95 sqft non-habitable 1255 sqft deck Remodel 280 sqft habitable</t>
  </si>
  <si>
    <t>22-40-17-35-2-02-007</t>
  </si>
  <si>
    <t>B20-0894</t>
  </si>
  <si>
    <t>Temp Tent</t>
  </si>
  <si>
    <t>22-41-16-33-1-03-001</t>
  </si>
  <si>
    <t>BDC2019-0001</t>
  </si>
  <si>
    <t>SRSC &amp; Austoria Park Employee Housing 3273 sqft habitable    Granted first 180 day extention on 8/1/2019 until 2/20/2020 BN</t>
  </si>
  <si>
    <t>BDC2019-0031</t>
  </si>
  <si>
    <t>Storage Unit #1 857 sqft non-habitable</t>
  </si>
  <si>
    <t>BDC2019-0032</t>
  </si>
  <si>
    <t>Storage Unit #2 527 sqft non-habitable</t>
  </si>
  <si>
    <t>BDR2020-0221</t>
  </si>
  <si>
    <t>SFD 4488 SQFT of habitable 1056 SqFt Non-habitable 1749 SqFt Decks and Porches</t>
  </si>
  <si>
    <t>B20-0900</t>
  </si>
  <si>
    <t>B20-0901</t>
  </si>
  <si>
    <t>B20-0902</t>
  </si>
  <si>
    <t>Trailer</t>
  </si>
  <si>
    <t>BDC2020-0005</t>
  </si>
  <si>
    <t>New sports facility 12833.55sqft habitable 393.22sqft non-habitable  On hold due to potential set-back issue.  Do not change status until we hear back from Chandler.   10/13/2020  MR</t>
  </si>
  <si>
    <t>BDC2020-0012</t>
  </si>
  <si>
    <t>2 ARU's 850 sqft each</t>
  </si>
  <si>
    <t>BDC2021-0003</t>
  </si>
  <si>
    <t>COM addition 668 sqft  Hanger 1</t>
  </si>
  <si>
    <t>BDC2021-0004</t>
  </si>
  <si>
    <t>New office building 1565sqft</t>
  </si>
  <si>
    <t>BDR2020-0226</t>
  </si>
  <si>
    <t>New SFD 4937 sqft habitable  1105 sqft non-habitable  567 sqft decks.</t>
  </si>
  <si>
    <t>22-41-16-30-2-07-005</t>
  </si>
  <si>
    <t>BDR2020-0227</t>
  </si>
  <si>
    <t>SFD 3909 sqft Habitable, 601 sqft Non-habitable, 1071 sqft Decks</t>
  </si>
  <si>
    <t>22-38-16-16-2-01-030</t>
  </si>
  <si>
    <t>B20-0911</t>
  </si>
  <si>
    <t>Temporary winter tent</t>
  </si>
  <si>
    <t>BDC2021-0015</t>
  </si>
  <si>
    <t>Addition Group U 215 sqft Group A4 1714 sqft Remodel Group A4 2177 sqft Revisions submitted for review changing pool area 6/24/2021  MR Revisions submitted for review changing pool mechanical room .  7/6/2021  MR Revisions submitted adding a pergola to th</t>
  </si>
  <si>
    <t>BDC2021-0016</t>
  </si>
  <si>
    <t>Remodel mercantile 668 sqft S-2 110 sqft</t>
  </si>
  <si>
    <t>BDC2021-0017</t>
  </si>
  <si>
    <t>New well house 275 sqft</t>
  </si>
  <si>
    <t>BDR2020-0230</t>
  </si>
  <si>
    <t>New SFD 7038sqft habitable 1438sqft non-habitable 123sqft porches/decks Has flood plain permit Sewer connection permit was denied on 1/27/2021 per email from the Town.  MR</t>
  </si>
  <si>
    <t>22-40-17-12-1-01-010</t>
  </si>
  <si>
    <t>BDR2020-0231</t>
  </si>
  <si>
    <t>New ARU 960sqft habitable 564sqft non-habitable    Main house is BDR2020-0230 Sewer connection permit was denied per email from the Town 1/27/2021  MR</t>
  </si>
  <si>
    <t>BDR2020-0232</t>
  </si>
  <si>
    <t>New SFD 1000sqft habitable  349sqft decks/porches (432sqft non-habitable is BDR2021-0008)</t>
  </si>
  <si>
    <t>B20-0920</t>
  </si>
  <si>
    <t>22-41-16-33-1-34-010</t>
  </si>
  <si>
    <t>BDR2020-0233</t>
  </si>
  <si>
    <t>Remodel 6005sqft habitable 850sqft decks/porches</t>
  </si>
  <si>
    <t>22-41-17-35-4-00-003</t>
  </si>
  <si>
    <t>BDR2020-0234</t>
  </si>
  <si>
    <t>Remodel 968sqft habitable</t>
  </si>
  <si>
    <t>22-39-16-14-1-01-003</t>
  </si>
  <si>
    <t>BDC2021-0026</t>
  </si>
  <si>
    <t>Remodel 1503 sqft office space</t>
  </si>
  <si>
    <t>22-41-17-11-4-23-002</t>
  </si>
  <si>
    <t>BDC2020-0016</t>
  </si>
  <si>
    <t>Remodel 8098sqft habitable</t>
  </si>
  <si>
    <t>BDC2021-0001</t>
  </si>
  <si>
    <t>New mixed use hotel 253,128sqft  Revision to Grading Plan (GEC2021-0003) submitted 7/7/21 as GEC2021-0142R</t>
  </si>
  <si>
    <t>22-42-17-24-4-00-007</t>
  </si>
  <si>
    <t>BDC2021-0031</t>
  </si>
  <si>
    <t>Remodel 1468 sqft habitable 527 sqft non-habitable Revisions submitted adding structural changes to the roof.  12/13/2021  MR</t>
  </si>
  <si>
    <t>B21-0014</t>
  </si>
  <si>
    <t>BDC2021-0033</t>
  </si>
  <si>
    <t>Remodel 1600 sqft office</t>
  </si>
  <si>
    <t>BDR2021-0002</t>
  </si>
  <si>
    <t>Garage 3605 sqft non-habitable  115 sqft habitable</t>
  </si>
  <si>
    <t>22-39-16-11-2-03-005</t>
  </si>
  <si>
    <t>BDC2022-0001</t>
  </si>
  <si>
    <t>Add 600 sqft of roof to cover patio area.</t>
  </si>
  <si>
    <t>BDR2021-0004</t>
  </si>
  <si>
    <t>SFD 4,029 Sq Ft Habitable, 682 Sq Ft Non-Habitable, 425 Sq Ft Decks.</t>
  </si>
  <si>
    <t>22-38-16-08-1-06-017</t>
  </si>
  <si>
    <t>BDC2022-0002</t>
  </si>
  <si>
    <t>Remodel 2846 sqft Revisions submitted adding hydronic flooring .  04/14/2022  MR</t>
  </si>
  <si>
    <t>BDC2022-0003</t>
  </si>
  <si>
    <t>Remodel restaurant  2100 sqft A2 and 690 sqft S2</t>
  </si>
  <si>
    <t>BDC2022-0020</t>
  </si>
  <si>
    <t>remodel 1091sqft</t>
  </si>
  <si>
    <t>BDR2021-0007</t>
  </si>
  <si>
    <t>SFD 2750 sqft habitable  734 sqft non-habitable  362 sqft deck</t>
  </si>
  <si>
    <t>BDC2021-0002</t>
  </si>
  <si>
    <t>COM remodel 389 sqft to west vestibule</t>
  </si>
  <si>
    <t>BDR2014-0111</t>
  </si>
  <si>
    <t>New 2-bedroom, 1-bath SFD</t>
  </si>
  <si>
    <t>22-42-11-31-1-00-002</t>
  </si>
  <si>
    <t>BDR2016-0213</t>
  </si>
  <si>
    <t>22-41-17-33-1-00-008</t>
  </si>
  <si>
    <t>BDR2021-0009</t>
  </si>
  <si>
    <t>New SFD 5830sqft habitable 2030sqft non-habitable 400sqft decks Architect Walker Warner has given ownership of the plans to the owner and the owner has named Annex Architecture as the new architect of record. 3/4/21 BN Revisions to mechanical pages have b</t>
  </si>
  <si>
    <t>22-41-16-08-1-00-003</t>
  </si>
  <si>
    <t>BDR2021-0010</t>
  </si>
  <si>
    <t>Remodel 6572 sqft habitable Addition 235 sqft deck</t>
  </si>
  <si>
    <t>22-41-17-14-1-22-007</t>
  </si>
  <si>
    <t>BDR2021-0011</t>
  </si>
  <si>
    <t>SFD 3722 sqft habitable 621 sqft non-habitable 283 sqft decks</t>
  </si>
  <si>
    <t>22-38-16-08-1-06-003</t>
  </si>
  <si>
    <t>BDR2021-0012</t>
  </si>
  <si>
    <t>SFD 2380 sqft habitable 437 sqft non-habitable 425 sqft decks extension granted 9/8/21 BN</t>
  </si>
  <si>
    <t>22-38-16-08-1-06-006</t>
  </si>
  <si>
    <t>B21-0037</t>
  </si>
  <si>
    <t>interior alteration for bank</t>
  </si>
  <si>
    <t>BDR2021-0013</t>
  </si>
  <si>
    <t>DEM2020-0010</t>
  </si>
  <si>
    <t>Demo of SFD</t>
  </si>
  <si>
    <t>22-42-16-30-1-00-006</t>
  </si>
  <si>
    <t>New SFD 7949sqft habitable 2731 sqft non-habitable 923sqft decks Revision submitted as part of plan review corrections +28 Sq Ft Habitable above grade -30 Sq Ft Non-Habitable above grade +307 Sq Ft Non-Habitable below grade new totals 7977 sq ft Habitable</t>
  </si>
  <si>
    <t>BDR2021-0014</t>
  </si>
  <si>
    <t>SFD 4049 sqft habitable 682 sqft non-habitable 425 sqft deck5 Sq Ft Decks</t>
  </si>
  <si>
    <t>22-38-16-08-1-06-018</t>
  </si>
  <si>
    <t>BDR2018-0076</t>
  </si>
  <si>
    <t>Remodel 7065 sqft habitable 1330 sq ft non-habitable and add 264 sqft of decks</t>
  </si>
  <si>
    <t>22-41-17-33-4-05-002</t>
  </si>
  <si>
    <t>BDR2021-0016</t>
  </si>
  <si>
    <t>Addition 2109 sqft habitable 608 sqft non-habitable 223 sqft deck  Remodel  1920 sqft habitable</t>
  </si>
  <si>
    <t>22-40-16-20-3-03-004</t>
  </si>
  <si>
    <t>BDR2021-0017</t>
  </si>
  <si>
    <t>Barn 1040 sqft non-habitable 375 sqft covered porches The plans show 555sqft of attic space that is usable space Revisions submitted for review adding in a bathroom. 7/12/2021  MR</t>
  </si>
  <si>
    <t>22-40-16-18-3-00-065</t>
  </si>
  <si>
    <t>BDR2018-0181</t>
  </si>
  <si>
    <t>New SFD 7995sqft habitable 1967 non-habitable</t>
  </si>
  <si>
    <t>BDR2018-0194</t>
  </si>
  <si>
    <t>New garage with attached hallway access 1305sqft</t>
  </si>
  <si>
    <t>22-41-17-14-4-00-026</t>
  </si>
  <si>
    <t>BDR2019-0024</t>
  </si>
  <si>
    <t>SFD 2623 sqft habitable  (Detached garaged BDR2019-0025)    Extention granted 10/3/19 BN</t>
  </si>
  <si>
    <t>BDR2021-0018</t>
  </si>
  <si>
    <t>New SFD 6479sqft habitable 76sqft non-habitable 400sqft decks/porches (garage is BDR2021-0019) (ARU is BDR2021-0020) Planning is waiting on surety arrangements JB 3/22/2021</t>
  </si>
  <si>
    <t>22-42-16-30-1-01-008</t>
  </si>
  <si>
    <t>BDR2021-0019</t>
  </si>
  <si>
    <t>Detached garage 2002sqft non-habitable(house is BDR2021-0018) (ARU is BDR2021-0020)</t>
  </si>
  <si>
    <t>BDR2021-0020</t>
  </si>
  <si>
    <t>ARU 967sqft habitable 30sqft non-habitable (garage is BDR2021-0019) (house is BDR2021-0018)</t>
  </si>
  <si>
    <t>BDR2021-0021</t>
  </si>
  <si>
    <t>New detached garage 676sqft Owner is no longer using Brown Dog Construction.  Permit is on hold until a licensed contractor is listed. New contractor selected</t>
  </si>
  <si>
    <t>22-40-17-10-3-03-012</t>
  </si>
  <si>
    <t>BDR2021-0023</t>
  </si>
  <si>
    <t>addition 2792.2 sqft habitable 793 sqft non-habitable 243 sqft decks</t>
  </si>
  <si>
    <t>BDR2019-0025</t>
  </si>
  <si>
    <t>Detached garage 606 sqft non-habitable     extention granted 10/3/19 BN</t>
  </si>
  <si>
    <t>BDR2021-0024</t>
  </si>
  <si>
    <t>DEM2021-0002</t>
  </si>
  <si>
    <t>Demo of mobile home + accessory structures (674 feet)</t>
  </si>
  <si>
    <t>22-41-17-26-2-07-002</t>
  </si>
  <si>
    <t>New SFD 4135sqft habitable 849sqft non-habitable 394sqft decks</t>
  </si>
  <si>
    <t>BDR2021-0025</t>
  </si>
  <si>
    <t>New SFD 6098sqft habitable 1186sqft non-habitable 457sqft decks</t>
  </si>
  <si>
    <t>22-40-17-03-2-00-007</t>
  </si>
  <si>
    <t>BDR2021-0026</t>
  </si>
  <si>
    <t>ARU 978sqft habitable 284sqft decks</t>
  </si>
  <si>
    <t>B21-0083</t>
  </si>
  <si>
    <t>BDR2019-0039</t>
  </si>
  <si>
    <t>SFD 9233 habitable sqft 1130 sqft non-habitable 573 sqft deck</t>
  </si>
  <si>
    <t>22-42-17-24-3-02-004</t>
  </si>
  <si>
    <t>BDR2021-0028</t>
  </si>
  <si>
    <t>New ARU 992sqft habitable 54sqft non-habitable 400sqft decks</t>
  </si>
  <si>
    <t>BDR2021-0029</t>
  </si>
  <si>
    <t>Addition 1625sqft habitable 1215sqft remodel 878sqft decks</t>
  </si>
  <si>
    <t>BDR2019-0053</t>
  </si>
  <si>
    <t>SFD 4464 sqft habitable 1228 sqft non 592 sqft deck</t>
  </si>
  <si>
    <t>BDR2021-0031</t>
  </si>
  <si>
    <t>New SFD 3781.5 sqft Habitable 732 sqft non-habitable</t>
  </si>
  <si>
    <t>22-39-17-11-1-08-007</t>
  </si>
  <si>
    <t>BDR2019-0054</t>
  </si>
  <si>
    <t>New SFD 3914sqft habitable 210sqft non-habitable</t>
  </si>
  <si>
    <t>BDR2019-0062</t>
  </si>
  <si>
    <t>Addition 1247 sqft habitable 159 sqft non-habitable  Remodel 3494 sqft habitable main house  (guest house remodel and addition are under BDR2019-0081)    Revisions submited 9/12/19 BN</t>
  </si>
  <si>
    <t>B21-0094</t>
  </si>
  <si>
    <t>interior remodel Kampai</t>
  </si>
  <si>
    <t>B21-0095</t>
  </si>
  <si>
    <t>interior alteration sp#103 &amp; 104</t>
  </si>
  <si>
    <t>22-41-16-32-1-09-004</t>
  </si>
  <si>
    <t>BDR2019-0067</t>
  </si>
  <si>
    <t>SFD 6622 sqft habitable 1025 sqft non-habitable  528 sqft deck    Contractor, Teton Heritage is no longer involved with this project as of per phone call from Mark 733-8771 11/22/2019  MR  (Permit is on hold until a new licensed contractor is listed - job</t>
  </si>
  <si>
    <t>22-39-13-20-1-00-002</t>
  </si>
  <si>
    <t>B21-0105</t>
  </si>
  <si>
    <t>22-41-16-34-2-48-001</t>
  </si>
  <si>
    <t>B21-0107</t>
  </si>
  <si>
    <t>turn garage bay into bedroom/bath</t>
  </si>
  <si>
    <t>22-40-16-06-2-35-002</t>
  </si>
  <si>
    <t>BDR2021-0034</t>
  </si>
  <si>
    <t>ARU/Barn 965.5 sqft habitable 1800.5 sqft non-habitable 1360 sqft porches/decks Revisions submitted changing the square footages  New sqft will be 910 sqft habitable 1856 sqft non-habitable 1360 sqft porches/decks</t>
  </si>
  <si>
    <t>22-41-17-01-4-06-003</t>
  </si>
  <si>
    <t>B21-0110</t>
  </si>
  <si>
    <t>remodel of existing salon</t>
  </si>
  <si>
    <t>B21-0111</t>
  </si>
  <si>
    <t>New outdoor pool and supporting infrastructure</t>
  </si>
  <si>
    <t>B21-0114</t>
  </si>
  <si>
    <t>Interior -exterior remodel of wendys</t>
  </si>
  <si>
    <t>B21-0117</t>
  </si>
  <si>
    <t>Demo at 160 Remond</t>
  </si>
  <si>
    <t>22-41-16-34-1-AW-004</t>
  </si>
  <si>
    <t>new SF with garage</t>
  </si>
  <si>
    <t>B21-0118</t>
  </si>
  <si>
    <t>New SF with attached garage</t>
  </si>
  <si>
    <t>22-41-16-34-1-AW-005</t>
  </si>
  <si>
    <t>BDR2021-0036</t>
  </si>
  <si>
    <t>SFD 3552 sqft habitable 730 sqft non-habitable 572 sqft decks/porches  Withdrawn per email from applicant.  12/20/2021   MR</t>
  </si>
  <si>
    <t>BDR2021-0037</t>
  </si>
  <si>
    <t>New SFD 7066sqft habitable 1818sqft non-habitable 1716sqft decks/porches (Guest house is BDR2021-0038)</t>
  </si>
  <si>
    <t>22-40-17-12-1-01-005</t>
  </si>
  <si>
    <t>BDR2021-0038</t>
  </si>
  <si>
    <t>ARU 932sqft habitable 188sqft decks/porches (Main house is BDR2021-0037)</t>
  </si>
  <si>
    <t>BDR2021-0039</t>
  </si>
  <si>
    <t>SFD 7022 sqft habitable 1784 sqft non-habitable 1214 sqft decks/porches Revisions submitted for review changing architectural and structural pages for a garage bump out.  6/28/2021 MR</t>
  </si>
  <si>
    <t>22-40-17-12-1-01-012</t>
  </si>
  <si>
    <t>BDR2021-0040</t>
  </si>
  <si>
    <t>New SFD 5438sqft habitable 1820sqft non-habitable 1418sqft decks/porches PERMIT ON HOLD UNTIL PRE-APP IS COMPLETED FOR PLAN-LEVEL GRADING Pre-App completed on 04/22/21 by H. Smith  JPL 04/29/2021 Withdrawn per email from applicant.  09/14/2021  MR</t>
  </si>
  <si>
    <t>22-44-18-32-3-00-006</t>
  </si>
  <si>
    <t>B16-0454</t>
  </si>
  <si>
    <t>interior alteration for several areas of hotel</t>
  </si>
  <si>
    <t>BDR2019-0088</t>
  </si>
  <si>
    <t>SFD 1000 sqft habitable 1000 sqft non-habitable</t>
  </si>
  <si>
    <t>22-42-18-05-1-00-003</t>
  </si>
  <si>
    <t>B21-0106</t>
  </si>
  <si>
    <t>interior remodel-move wall</t>
  </si>
  <si>
    <t>22-41-16-34-2-13-001</t>
  </si>
  <si>
    <t>B21-0129</t>
  </si>
  <si>
    <t>Roof covering for exterior staircase</t>
  </si>
  <si>
    <t>22-41-16-33-4-42-001</t>
  </si>
  <si>
    <t>B21-0132</t>
  </si>
  <si>
    <t>Adding 2 walls to create office/lab</t>
  </si>
  <si>
    <t>22-41-16-33-3-00-005</t>
  </si>
  <si>
    <t>B21-0137</t>
  </si>
  <si>
    <t>New Single Family with garage</t>
  </si>
  <si>
    <t>22-41-16-34-1-AT-001</t>
  </si>
  <si>
    <t>BDR2021-0042</t>
  </si>
  <si>
    <t>New SFD 4284sqft Habitable 714sqft non-habitable 620sqft decks/porches (detached garage BDR2021-0043)  Revisions submitted for review changing the location of the building 7/28/2021  MR</t>
  </si>
  <si>
    <t>22-40-17-15-2-05-002</t>
  </si>
  <si>
    <t>BDR2021-0043</t>
  </si>
  <si>
    <t>Detached Garage 600sqft non-habitable (main house BDR2021-0042) Revisions submitted for review changing the location of the building 7/28/2021  MR</t>
  </si>
  <si>
    <t>B21-0146</t>
  </si>
  <si>
    <t>adding extra bathroom and bedrooms ro existing apartment</t>
  </si>
  <si>
    <t>BDR2021-0045</t>
  </si>
  <si>
    <t>New ARU 1000sqft habitable 690sqft non-habitable 202sqft decks/porches  Withdrawn per email from applicant.  10/11/2021</t>
  </si>
  <si>
    <t>22-42-16-27-2-31-003</t>
  </si>
  <si>
    <t>BDR2021-0046</t>
  </si>
  <si>
    <t>SFD 6103 sqft habitable 712 sqft non-habitable Revisions submitted for review on patio slab and crawl space.  09/21/2021</t>
  </si>
  <si>
    <t>22-42-17-24-3-02-097</t>
  </si>
  <si>
    <t>BDR2021-0047</t>
  </si>
  <si>
    <t>New SFD 5995sqft habitable 1055sqft non-habitable 1145sqft decks/porches</t>
  </si>
  <si>
    <t>22-41-17-01-4-01-003</t>
  </si>
  <si>
    <t>B21-0149</t>
  </si>
  <si>
    <t>BDR2021-0048</t>
  </si>
  <si>
    <t>New SFD 8226sqft habitable 1333sqft non-habitable Change in numbers of sq ft submitted  8167 sq ft Habitable 1476 sq ft Non-Habitable.  04/05/2021 JPL Revisions submitted for review increasing habitable square footage by 240 sqft. 7/12/2021  MR Revisions</t>
  </si>
  <si>
    <t>22-41-16-18-4-02-004</t>
  </si>
  <si>
    <t>B21-0157</t>
  </si>
  <si>
    <t>Demo of existing single family</t>
  </si>
  <si>
    <t>22-41-16-27-3-08-001</t>
  </si>
  <si>
    <t>BDR2021-0050</t>
  </si>
  <si>
    <t>New SFD 5042sqft habitable 905sqft non-habitable 738sqft decks/porches Revisions submitted 6/21/21 BN changing roof pitch</t>
  </si>
  <si>
    <t>22-42-16-15-2-05-014</t>
  </si>
  <si>
    <t>BDR2021-0051</t>
  </si>
  <si>
    <t>New SFD 2743sqft habitable 2264sqft non-habitable  GEC was issued separately per Ted.  6/16/2021  MR</t>
  </si>
  <si>
    <t>BDR2021-0052</t>
  </si>
  <si>
    <t>New ARU 1375 sqft habitable 1200 sqft non-habitable  GEC was issued separately per Ted.  6/16/2021  MR</t>
  </si>
  <si>
    <t>BDC2021-0005</t>
  </si>
  <si>
    <t>Remodel 900 sqft habitable replace deck 250 sqft</t>
  </si>
  <si>
    <t>22-41-16-21-2-14-001</t>
  </si>
  <si>
    <t>BDC2021-0006</t>
  </si>
  <si>
    <t>Remodel 900sqft habitable replace deck 250sqft</t>
  </si>
  <si>
    <t>22-41-16-21-2-14-002</t>
  </si>
  <si>
    <t>BDC2021-0007</t>
  </si>
  <si>
    <t>22-41-16-21-2-14-003</t>
  </si>
  <si>
    <t>BDC2021-0008</t>
  </si>
  <si>
    <t>22-41-16-21-2-14-004</t>
  </si>
  <si>
    <t>BDC2021-0009</t>
  </si>
  <si>
    <t>22-41-16-21-2-14-005</t>
  </si>
  <si>
    <t>BDC2021-0010</t>
  </si>
  <si>
    <t>22-41-16-21-2-14-006</t>
  </si>
  <si>
    <t>BDC2021-0011</t>
  </si>
  <si>
    <t>22-41-16-21-2-14-007</t>
  </si>
  <si>
    <t>BDC2021-0012</t>
  </si>
  <si>
    <t>22-41-16-21-2-14-008</t>
  </si>
  <si>
    <t>BDC2021-0013</t>
  </si>
  <si>
    <t>22-41-16-21-2-14-009</t>
  </si>
  <si>
    <t>BDR2021-0053</t>
  </si>
  <si>
    <t>New SFD 6760 sqft habitable 2180 sqft non-habitable 956 sqft decks/porches (Guest house is BDR2021-0054)</t>
  </si>
  <si>
    <t>22-42-17-24-4-46-006</t>
  </si>
  <si>
    <t>BDR2021-0054</t>
  </si>
  <si>
    <t>New SFD 999sqft habitable 273sqft decks/porches (Main house is BDR2021-0053)</t>
  </si>
  <si>
    <t>BDR2021-0055</t>
  </si>
  <si>
    <t>SFD 5501 sqft habitable 897 sqft non habitable 848 sqft deck</t>
  </si>
  <si>
    <t>22-40-17-15-2-05-003</t>
  </si>
  <si>
    <t>B21-0185</t>
  </si>
  <si>
    <t>move restroom-interior remodel</t>
  </si>
  <si>
    <t>BDC2021-0014</t>
  </si>
  <si>
    <t>Remodel 564 sqft ticket counter area</t>
  </si>
  <si>
    <t>BDR2021-0056</t>
  </si>
  <si>
    <t>Addition 1518 sqft habitable 1336 sqft non-habitable Remodel 600 sqft habitable</t>
  </si>
  <si>
    <t>BDR2021-0057</t>
  </si>
  <si>
    <t>SFD 1467 sqft habitable 1168 sqft non-habitable 450 sqft deck 782 sqft covered storage areas  Permit is withdrawn as of 10/1/2021  They could not find a contractor.  MR</t>
  </si>
  <si>
    <t>22-39-16-27-4-04-002</t>
  </si>
  <si>
    <t>BDR2019-0145</t>
  </si>
  <si>
    <t>Addition 1043 sqft habitable 274 sqft non-habitable 186 sqft deck</t>
  </si>
  <si>
    <t>22-42-16-22-4-00-036</t>
  </si>
  <si>
    <t>BDR2021-0058</t>
  </si>
  <si>
    <t>Addition 1184 sqft habitable 1102 sqft deck Remodel 3345 sqft habitable 737 sqft non-habitable</t>
  </si>
  <si>
    <t>22-42-16-15-2-05-010</t>
  </si>
  <si>
    <t>BDR2019-0147</t>
  </si>
  <si>
    <t>Addition 1381 sqft habitable 678 sqft non-habitable 379 sqft deck  Remodel 2571 sqft habitable</t>
  </si>
  <si>
    <t>22-42-17-24-3-02-036</t>
  </si>
  <si>
    <t>BDR2021-0059</t>
  </si>
  <si>
    <t>Addition 909 sqft habitable 1200 sqft non-habitable 132 sqft deck  Revisions submitted for review updating mechanical, electrical and garage stair.  7/8/2021  MR Revisions submitted for review changing balcony location and some structural updates for balc</t>
  </si>
  <si>
    <t>BDR2021-0060</t>
  </si>
  <si>
    <t>ARU 999 sqft habitable 573 sqft non-habitable 286 sqft deck extension granted 9/29/21 BN</t>
  </si>
  <si>
    <t>22-41-17-28-1-00-048</t>
  </si>
  <si>
    <t>BDR2020-0005</t>
  </si>
  <si>
    <t>SFD 7806 sqft habitable 1295 sqft non-habitable 1162 sqft deck revisions submitted 8/27/2020 BN</t>
  </si>
  <si>
    <t>BDR2021-0061</t>
  </si>
  <si>
    <t>Addition 2471sqft habitable 721sqft non-habitable 279sqft decks/porches  Revision submitted for review adding concrete under the den patio.  6/30/2021  MR</t>
  </si>
  <si>
    <t>22-41-17-28-3-00-039</t>
  </si>
  <si>
    <t>BDR2020-0010</t>
  </si>
  <si>
    <t>Remodel 1480 sqft habitable</t>
  </si>
  <si>
    <t>22-42-17-24-3-10-008</t>
  </si>
  <si>
    <t>B21-0196</t>
  </si>
  <si>
    <t>garage with ARU above</t>
  </si>
  <si>
    <t>22-41-16-34-2-86-003</t>
  </si>
  <si>
    <t>BDR2020-0016</t>
  </si>
  <si>
    <t>Detached garage 703 sqft non-habitable     Corrections submitted and garage is 595 sqft</t>
  </si>
  <si>
    <t>BDR2021-0063</t>
  </si>
  <si>
    <t>New SFD 2984 sqft habitable 951sqft non-habitable 1598 sqft decks/porches Revisions submitted 8/3/21 BN Reducing Floor areas  New sqft  2520 sqft habitable 894 sqft non-habitable 1598 deck/porches</t>
  </si>
  <si>
    <t>22-44-18-17-1-02-009</t>
  </si>
  <si>
    <t>BDR2021-0064</t>
  </si>
  <si>
    <t>New SFD 7160sqft habitable 2025sqft non-habitable 2019sqft decks/porches (ARU BDR2021-0065) (Garage BDR2021-0066) (Acc BLDG BDR2021-0067)</t>
  </si>
  <si>
    <t>22-40-17-12-2-00-004</t>
  </si>
  <si>
    <t>BDR2021-0065</t>
  </si>
  <si>
    <t>New ARU 987sqft habitable (Main house BDR2021-0064) (Garage BDR2021-0066) (Acc BLDG BDR2021-0067)</t>
  </si>
  <si>
    <t>BDR2021-0066</t>
  </si>
  <si>
    <t>Detached Garage 1588sqft non-habitable (Main house BDR2021-0064) (ARU BDR2021-0065) (Acc BLDG BDR2021-0067)</t>
  </si>
  <si>
    <t>BDR2021-0067</t>
  </si>
  <si>
    <t>Accessory Building (Game/party Building) 2208sqft habitable 98sqft non0habitable (Main house BDR2021-0064) (ARU BDR2021-0065) (Garage BDR2021-0066)</t>
  </si>
  <si>
    <t>BDR2021-0068</t>
  </si>
  <si>
    <t>SFD 702 sqft habitable 130 sqft non-habitable</t>
  </si>
  <si>
    <t>22-45-13-23-4-00-001</t>
  </si>
  <si>
    <t>BDR2021-0069</t>
  </si>
  <si>
    <t>Addition 270 sqft habitable 437 sqft deck  Remodel  4488 sqft habitable 405 sqft non-habitable</t>
  </si>
  <si>
    <t>22-44-18-16-3-03-001</t>
  </si>
  <si>
    <t>B21-0213</t>
  </si>
  <si>
    <t>22-41-16-33-3-07-027</t>
  </si>
  <si>
    <t>BDR2020-0017</t>
  </si>
  <si>
    <t>SFD 3561 sqft habitable 703 sqft non-habitable 129 sqft deck/porch</t>
  </si>
  <si>
    <t>22-38-16-16-3-01-062</t>
  </si>
  <si>
    <t>BDR2020-0018</t>
  </si>
  <si>
    <t>SFD 7017 sqft habitable 1075 non-habitable 1260 sqft deck/porch Revision submitted 4/16/2020 BN Revisions submitted 7/27/2020 BN</t>
  </si>
  <si>
    <t>22-42-17-24-3-02-121</t>
  </si>
  <si>
    <t>B21-0217</t>
  </si>
  <si>
    <t>22-41-16-32-4-06-007</t>
  </si>
  <si>
    <t>B21-0219</t>
  </si>
  <si>
    <t>Remodel of saloon</t>
  </si>
  <si>
    <t>BDR2021-0072</t>
  </si>
  <si>
    <t>Addition 203 sqft habitable Remodel 3667 sqft habitable Revisions submitted 6/21/21 BN adding new balcony off master bedroom Revisions submitted 10/19/2021  MR  changing post distance on outdoor covered dining area</t>
  </si>
  <si>
    <t>BDR2021-0073</t>
  </si>
  <si>
    <t>Addition 625 sqft habitable Remodel 3689 sqft habitable</t>
  </si>
  <si>
    <t>BDR2020-0020</t>
  </si>
  <si>
    <t>Addition 684 sqft habitable Extension Granted 3/4/21 BN</t>
  </si>
  <si>
    <t>22-44-18-20-3-09-010</t>
  </si>
  <si>
    <t>B21-0229</t>
  </si>
  <si>
    <t>22-40-16-06-2-05-010</t>
  </si>
  <si>
    <t>BDR2021-0074</t>
  </si>
  <si>
    <t>Remodel 558 sqft habitable</t>
  </si>
  <si>
    <t>22-39-16-27-4-02-009</t>
  </si>
  <si>
    <t>BDR2021-0075</t>
  </si>
  <si>
    <t>New ARU 998 habitable 897.5sqft non-habitable 695sqft decks/porches</t>
  </si>
  <si>
    <t>22-42-16-22-4-00-094</t>
  </si>
  <si>
    <t>BDR2020-0021</t>
  </si>
  <si>
    <t>SFD 4527 sqft habitable 1520 sqft non-habitable 484 sqft deck    Revisiosn submitted for review 7/1/2020  BN</t>
  </si>
  <si>
    <t>22-40-17-04-1-00-005</t>
  </si>
  <si>
    <t>BDR2021-0077</t>
  </si>
  <si>
    <t>ARU 1000 sqft habitable 69 sqft deck Remodel 448 sqft non-habitable</t>
  </si>
  <si>
    <t>22-42-17-25-1-01-049</t>
  </si>
  <si>
    <t>BDR2021-0078</t>
  </si>
  <si>
    <t>New Garage/Art studio 882sqft habitable 698sqft non-habitable</t>
  </si>
  <si>
    <t>22-41-17-24-3-00-008</t>
  </si>
  <si>
    <t>BDR2020-0023</t>
  </si>
  <si>
    <t>Addition 600 sqft habitable 500 sqft non-habitable 352 sqft deck</t>
  </si>
  <si>
    <t>22-41-17-22-4-16-001</t>
  </si>
  <si>
    <t>BDR2021-0080</t>
  </si>
  <si>
    <t>ARU/Barn 858 sqft habitable 1976 sqft non-habitable 93 sqft deck</t>
  </si>
  <si>
    <t>22-40-16-20-3-05-003</t>
  </si>
  <si>
    <t>BDR2021-0081</t>
  </si>
  <si>
    <t>SFD 4380 sqft habitable 595 sqft non-habitable 755 sqft deck Revisions submitted for review changing floor joist.  10/27/2021  MR</t>
  </si>
  <si>
    <t>22-41-16-21-1-19-007</t>
  </si>
  <si>
    <t>BDR2021-0082</t>
  </si>
  <si>
    <t>Addition 3039 sqft habitable 1000 sqft non-habitable 120 sqft deck Remodel  235 sqft habitable 900 sqft non-habitable  Withdrawn per email from applicant 6/10/2021  MR</t>
  </si>
  <si>
    <t>BDR2021-0083</t>
  </si>
  <si>
    <t>Addition  2649 sqft habitable  208 sqft deck Remodel 634 sqft habitable</t>
  </si>
  <si>
    <t>22-40-17-04-1-01-007</t>
  </si>
  <si>
    <t>BDR2021-0084</t>
  </si>
  <si>
    <t>Addition 1898 sqft habitable 742 sqft non-habitable</t>
  </si>
  <si>
    <t>BDR2021-0085</t>
  </si>
  <si>
    <t>New SFD 5,446 sq ft habitable and 1,137 sq ft non-habitable.</t>
  </si>
  <si>
    <t>BDR2021-0086</t>
  </si>
  <si>
    <t>New SFD 3,400 sq ft habitable, 1,040 non-habitable, and 390 sq ft decks.  Revisions submitted increasing the square footage.  6/2/2021  MR (only Building had completed their review at the time of this change)</t>
  </si>
  <si>
    <t>22-42-16-27-1-29-003</t>
  </si>
  <si>
    <t>BDR2020-0025</t>
  </si>
  <si>
    <t>SFD 7611 sqft habitable 1114 sqft non-habitable 1178 sqft deck    Owner and contractor updated 7/23/2020 MR</t>
  </si>
  <si>
    <t>22-38-16-05-1-00-012</t>
  </si>
  <si>
    <t>BDR2020-0029</t>
  </si>
  <si>
    <t>SFD 4004 sqft habitable 923 sqft non-habitable 180 sqft deck  Revisions submitted reducing floor area 688sqft 6/19/2020 BN</t>
  </si>
  <si>
    <t>22-42-16-10-4-03-016</t>
  </si>
  <si>
    <t>B21-0257</t>
  </si>
  <si>
    <t>22-41-16-27-3-01-009</t>
  </si>
  <si>
    <t>B21-0260</t>
  </si>
  <si>
    <t>22-41-16-33-3-07-005</t>
  </si>
  <si>
    <t>BDR2021-0087</t>
  </si>
  <si>
    <t>Remodel 2000 sqft habitable making garage habitable  Permit withdrawn per email from applicant.  No inspections - partial refund.  10/01/2021  MR</t>
  </si>
  <si>
    <t>22-41-16-30-2-05-001</t>
  </si>
  <si>
    <t>BDR2020-0035</t>
  </si>
  <si>
    <t>Remodel 5760 SF Shop.</t>
  </si>
  <si>
    <t>22-38-15-04-3-00-009</t>
  </si>
  <si>
    <t>BDR2020-0040</t>
  </si>
  <si>
    <t>New SFD 4495sqft habitable 1194sqft non-habitable 770sqft decks    Revision submitted changing the site plan and the way the structure sits 7.5 degrees MR</t>
  </si>
  <si>
    <t>22-41-17-11-4-13-015</t>
  </si>
  <si>
    <t>BDR2021-0090</t>
  </si>
  <si>
    <t>Barn /Garage 3174 non-habitable 1440 sqft covered bays</t>
  </si>
  <si>
    <t>22-44-18-21-1-00-020</t>
  </si>
  <si>
    <t>BDR2021-0091</t>
  </si>
  <si>
    <t>SFD 6039 sqft habitable 980 sqft non-habitable 800 sqft deck</t>
  </si>
  <si>
    <t>22-41-17-15-1-00-033</t>
  </si>
  <si>
    <t>B21-0286</t>
  </si>
  <si>
    <t>interior renovation</t>
  </si>
  <si>
    <t>22-41-16-34-1-06-003</t>
  </si>
  <si>
    <t>BDR2021-0092</t>
  </si>
  <si>
    <t>SFD 5439 sqft habitable 1176 sqft non-habitable 1541 sqft deck Revisions submitted for review adding in below grade 1318 sqft habitable and 318 sqft non-habitable.  09/22/2021  MR</t>
  </si>
  <si>
    <t>22-40-17-15-2-05-001</t>
  </si>
  <si>
    <t>BDR2021-0093</t>
  </si>
  <si>
    <t>SFD 7136 sqft habitable 1693 sqft non-habitable 1652 sqft deck Revisions submitted changing locations and heights of retaining walls and catch basin as well as other grading erosion control measures.  8/23/2021  JPL</t>
  </si>
  <si>
    <t>22-41-16-18-1-01-001</t>
  </si>
  <si>
    <t>BDR2021-0094</t>
  </si>
  <si>
    <t>DEM2021-0006</t>
  </si>
  <si>
    <t>Demo of existing SFD</t>
  </si>
  <si>
    <t>22-41-17-22-3-00-016</t>
  </si>
  <si>
    <t>SFD 995 sqft habitable 499 sqft non-habitable 483 sqft deck</t>
  </si>
  <si>
    <t>BDR2021-0095</t>
  </si>
  <si>
    <t>New SFD 4852sqft habitable 900sqft non-habitable 810sqft decks/porches</t>
  </si>
  <si>
    <t>22-44-18-29-1-00-011</t>
  </si>
  <si>
    <t>BDR2021-0096</t>
  </si>
  <si>
    <t>New SFD 4022 sqft habitable 968 sqft non-habitable (ARU is BDR2021-0097)</t>
  </si>
  <si>
    <t>22-42-16-15-2-07-019</t>
  </si>
  <si>
    <t>BDR2021-0097</t>
  </si>
  <si>
    <t>New ARU 1000 sqft habitable</t>
  </si>
  <si>
    <t>BDR2021-0098</t>
  </si>
  <si>
    <t>New SFD 4841sqft habitable 712sqft non-habitable (Garage is BDR2021-0099)</t>
  </si>
  <si>
    <t>22-44-18-21-2-00-026</t>
  </si>
  <si>
    <t>BDR2021-0099</t>
  </si>
  <si>
    <t>Detached garage 982sqft non-habitable (House is BDR2021-0098)</t>
  </si>
  <si>
    <t>BDR2021-0100</t>
  </si>
  <si>
    <t>New Gym 326.5sqft habitable Mechanical 183.5sqft non-habitable  Contractor changed to owner/builder on 10/13/2021 per email from applicant.  MR</t>
  </si>
  <si>
    <t>BDR2021-0101</t>
  </si>
  <si>
    <t>New SFD 999 sqft habitable 784 sqft decks/porches (Carport is BDR2021-0102)</t>
  </si>
  <si>
    <t>22-41-16-04-3-00-003</t>
  </si>
  <si>
    <t>BDR2021-0102</t>
  </si>
  <si>
    <t>Carport 525sqft non-habitable (House is BDR2021-0101)</t>
  </si>
  <si>
    <t>B21-0309</t>
  </si>
  <si>
    <t>22-41-16-32-1-14-006</t>
  </si>
  <si>
    <t>BDC2021-0018</t>
  </si>
  <si>
    <t>New cell phone tower</t>
  </si>
  <si>
    <t>BDR2021-0103</t>
  </si>
  <si>
    <t>SFD 6196 sqft habitable 2694 sqft non-habitable 1470 sqft deck  On hold until EVA2021-0007 has been approved through Hamilton 4/29/2021 Approval today per Hamilton 6/17/2021</t>
  </si>
  <si>
    <t>22-38-16-05-2-00-002</t>
  </si>
  <si>
    <t>BDR2021-0104</t>
  </si>
  <si>
    <t>SFD 6655 sqft habitable 932 sqft non-habitable 235 sqft deck On hold until MSC2021-0024 has been approved through Hamilton 4/29/2021 Hold released 6/23/2021 per Hamilton</t>
  </si>
  <si>
    <t>BDR2021-0105</t>
  </si>
  <si>
    <t>SFD 8386 sqft habitable 2574 sqft non-habitable 5749 sqft deck</t>
  </si>
  <si>
    <t>22-41-17-34-4-00-015</t>
  </si>
  <si>
    <t>BDR2021-0106</t>
  </si>
  <si>
    <t>Addition 262 sqft habitable</t>
  </si>
  <si>
    <t>22-41-17-14-1-05-001</t>
  </si>
  <si>
    <t>BDC2021-0022</t>
  </si>
  <si>
    <t>Remodel 3761 sqft office space</t>
  </si>
  <si>
    <t>BDR2021-0107</t>
  </si>
  <si>
    <t>SFD 4027 sqft habitable 779 sqft non-habitable</t>
  </si>
  <si>
    <t>22-44-18-19-1-03-001</t>
  </si>
  <si>
    <t>BDR2021-0108</t>
  </si>
  <si>
    <t>DEM2021-0014</t>
  </si>
  <si>
    <t>Demo of existing SFD, ARU not demo'd</t>
  </si>
  <si>
    <t>SFD 6991 sqft habitable 1113 sqft non-habitable 1695 sqft deck Revisions submitted for review with changes on almost every sheet.  10/27/2021  MR Revisions submitted for review Structural revisions 12/1/21 BN</t>
  </si>
  <si>
    <t>BDR2021-0109</t>
  </si>
  <si>
    <t>Addition 36 sqft habitable 256 sqft deck Remodel 2536 sqft habitable</t>
  </si>
  <si>
    <t>22-42-17-25-2-01-017</t>
  </si>
  <si>
    <t>BDR2020-0046</t>
  </si>
  <si>
    <t>New Accesory habitable 2000sqft habitable 1035sqft decks/porches  Revisions submitted 7/8/2020 BN</t>
  </si>
  <si>
    <t>22-40-17-02-1-00-002</t>
  </si>
  <si>
    <t>BDR2021-0110</t>
  </si>
  <si>
    <t>22-41-16-30-2-02-004</t>
  </si>
  <si>
    <t>SFD 7550 habitable 2160 sqft non-habitable</t>
  </si>
  <si>
    <t>BDR2021-0111</t>
  </si>
  <si>
    <t>SFD 6294.5 sqft habitable 1339.5 sqft non-habitable 1050 sqft deck</t>
  </si>
  <si>
    <t>22-41-16-17-2-02-003</t>
  </si>
  <si>
    <t>BDR2021-0112</t>
  </si>
  <si>
    <t>Remodel 5620 sqft habitable</t>
  </si>
  <si>
    <t>BDC2021-0023</t>
  </si>
  <si>
    <t>Remodel 455 sqft Group B, 952 sqft Group A-3 110 sqft Group S-2</t>
  </si>
  <si>
    <t>BDR2021-0113</t>
  </si>
  <si>
    <t>SFD 1000 sqft habitable</t>
  </si>
  <si>
    <t>22-45-18-32-4-01-015</t>
  </si>
  <si>
    <t>B21-0360</t>
  </si>
  <si>
    <t>22-41-16-33-3-07-043</t>
  </si>
  <si>
    <t>B21-0361</t>
  </si>
  <si>
    <t>interior remodel- deck</t>
  </si>
  <si>
    <t>22-41-16-27-3-01-001</t>
  </si>
  <si>
    <t>BDR2021-0114</t>
  </si>
  <si>
    <t>ARU 999 sqft habitable 520 sqft non-habitable 121 sqft deck</t>
  </si>
  <si>
    <t>22-42-16-02-2-00-006</t>
  </si>
  <si>
    <t>BDR2021-0115</t>
  </si>
  <si>
    <t>Addition 832 sqft habitable Revisions submitted for review reducing the addition to 794 sqft habitable.  09/24/2021  MR</t>
  </si>
  <si>
    <t>BDR2021-0116</t>
  </si>
  <si>
    <t>SFD 6721 sqft habitable 968 sqft non-habitable</t>
  </si>
  <si>
    <t>22-42-17-24-4-42-014</t>
  </si>
  <si>
    <t>BDR2021-0117</t>
  </si>
  <si>
    <t>SFD 3611 sqft habitable 921 sqft non-habitable 663 sqft deck  Revisions submitted for review increasing driveway , site plan and floor plan and civil.  09/24/2021  MR</t>
  </si>
  <si>
    <t>22-41-17-15-3-00-024</t>
  </si>
  <si>
    <t>BDR2021-0118</t>
  </si>
  <si>
    <t>SFD 3948 sqft habitable 836 sqft non-habitable 385 sqft deck</t>
  </si>
  <si>
    <t>22-44-18-19-1-07-001</t>
  </si>
  <si>
    <t>BDR2021-0119</t>
  </si>
  <si>
    <t>Addition 1200 sqft habitable 478 sqft deck</t>
  </si>
  <si>
    <t>22-42-16-15-1-01-002</t>
  </si>
  <si>
    <t>B21-0372</t>
  </si>
  <si>
    <t>Addition to existing home with ARU</t>
  </si>
  <si>
    <t>22-41-16-31-4-14-109</t>
  </si>
  <si>
    <t>B21-0373</t>
  </si>
  <si>
    <t>B21-0374</t>
  </si>
  <si>
    <t>Addition to exisitng home</t>
  </si>
  <si>
    <t>22-41-16-34-1-00-014</t>
  </si>
  <si>
    <t>BDR2021-0120</t>
  </si>
  <si>
    <t>Addition 1475 sqft  habitable  Remodel 95 sqft habitable</t>
  </si>
  <si>
    <t>B21-0378</t>
  </si>
  <si>
    <t>BDC2021-0024</t>
  </si>
  <si>
    <t>Remodel 12049 sqft of waiting rooms and bathrooms and 445 sqft storage</t>
  </si>
  <si>
    <t>B21-0387</t>
  </si>
  <si>
    <t>B21-0391</t>
  </si>
  <si>
    <t>22-41-16-27-3-19-003</t>
  </si>
  <si>
    <t>demolition to prior single family</t>
  </si>
  <si>
    <t>BDR2021-0121</t>
  </si>
  <si>
    <t>SFD 2699 sqft habitable 625 sqft non-habitable 696 sqft deck</t>
  </si>
  <si>
    <t>22-42-16-15-2-05-007</t>
  </si>
  <si>
    <t>BDR2020-0047</t>
  </si>
  <si>
    <t>New SFD 3698.59sqft habitable 1285.55sqft non-habitable 411sqft decks/porches</t>
  </si>
  <si>
    <t>BDR2021-0123</t>
  </si>
  <si>
    <t>SFD 6295 sqft habitable 1076 sqft non-habitable 250 sqft deck</t>
  </si>
  <si>
    <t>22-42-17-24-1-01-036</t>
  </si>
  <si>
    <t>B21-0402</t>
  </si>
  <si>
    <t>Pumphouse for snowmaking supply</t>
  </si>
  <si>
    <t>BDR2020-0048</t>
  </si>
  <si>
    <t>New SFD 3821sqft habitable 734sqft non-habitable</t>
  </si>
  <si>
    <t>22-42-16-27-4-12-028</t>
  </si>
  <si>
    <t>B21-0408</t>
  </si>
  <si>
    <t>Lobby remodel</t>
  </si>
  <si>
    <t>B21-0411</t>
  </si>
  <si>
    <t>BDR2020-0049</t>
  </si>
  <si>
    <t>Remodel 1000sqft habitable</t>
  </si>
  <si>
    <t>BDR2020-0052</t>
  </si>
  <si>
    <t>New SFD 1841sqft habitable 508sqft non-habitable 1065sqft decks/porches    Karla Sherman came in to pay for permit.  There was a double charge for Sewer Connection Permit.  Initial payment (made by CC) was for $2,232.00, should have only been $2,132.00.  Original payment (made by CC but not paid in CityView) voided.  Emailed Karla to call with payment information to pay correct amount. KRyan. 7/24/20.     Karla Sherman came in and paid permit fee of $2,132.00 by check.  KRyan 7/27/20.</t>
  </si>
  <si>
    <t>22-41-17-22-3-12-004</t>
  </si>
  <si>
    <t>B21-0420</t>
  </si>
  <si>
    <t>New single family with attached ARU</t>
  </si>
  <si>
    <t>22-41-16-31-4-14-094</t>
  </si>
  <si>
    <t>B21-0421</t>
  </si>
  <si>
    <t>Interior remodel - emergacare</t>
  </si>
  <si>
    <t>22-41-16-33-1-62-002</t>
  </si>
  <si>
    <t>BDR2021-0124</t>
  </si>
  <si>
    <t>Addition 388 sqft habitable Remodel 2428 sqft habitable (488 sqft of the habitable remodel is currently non-habitable that is being remodeled into habitable)</t>
  </si>
  <si>
    <t>22-40-16-18-4-00-053</t>
  </si>
  <si>
    <t>BDR2021-0125</t>
  </si>
  <si>
    <t>SFD 3829 sqft habitable 718 sqft non-habitable</t>
  </si>
  <si>
    <t>22-38-16-16-3-01-037</t>
  </si>
  <si>
    <t>BDR2021-0126</t>
  </si>
  <si>
    <t>SFD 4002 sqft habitable 718 sqft non-habitable</t>
  </si>
  <si>
    <t>22-38-16-17-1-01-015</t>
  </si>
  <si>
    <t>BDR2021-0127</t>
  </si>
  <si>
    <t>Addition 2498 sqft habitable 1450 sqft non-habitable 300 sqft deck</t>
  </si>
  <si>
    <t>22-40-16-18-3-00-042</t>
  </si>
  <si>
    <t>BDR2021-0128</t>
  </si>
  <si>
    <t>New guest house 587.5 sqft habitable</t>
  </si>
  <si>
    <t>BDR2021-0129</t>
  </si>
  <si>
    <t>New SFD 5219.64sqft habitable 2465.04sqft non-habitable 1084.43sqft decks/porches</t>
  </si>
  <si>
    <t>BDR2020-0059</t>
  </si>
  <si>
    <t>SFD 3765sqft habitable 676sqft non-habitable 1062sqft decks/porch Revisions submitted adding Deck reconfigure layout 9/3/2020 BN</t>
  </si>
  <si>
    <t>BDR2021-0131</t>
  </si>
  <si>
    <t>SFD 3893 sqft habitable 1096 sqft non-habitable</t>
  </si>
  <si>
    <t>22-40-16-20-2-17-005</t>
  </si>
  <si>
    <t>BDR2021-0132</t>
  </si>
  <si>
    <t>SFD 7807 sqft habitable 4102 sqft non-habitable 1905 sqft deck  Permit withdrawn per phone call from applicant 12/15/2021  MR</t>
  </si>
  <si>
    <t>22-40-17-15-2-05-005</t>
  </si>
  <si>
    <t>B21-0441</t>
  </si>
  <si>
    <t>BDR2021-0133</t>
  </si>
  <si>
    <t>ARU 994 sqft habitable 616 sqft non-habitable  Permit withdrawn per email from owner.  07/23/2021  MR</t>
  </si>
  <si>
    <t>22-41-17-14-4-00-043</t>
  </si>
  <si>
    <t>B21-0445</t>
  </si>
  <si>
    <t>New office building</t>
  </si>
  <si>
    <t>B21-0447</t>
  </si>
  <si>
    <t>Remodel of existing window and new aw</t>
  </si>
  <si>
    <t>BDR2021-0134</t>
  </si>
  <si>
    <t>Convert existing SFD to ARU</t>
  </si>
  <si>
    <t>SFD 3165 sqft habitable 958 sqft non-habitable  382 sqft deck</t>
  </si>
  <si>
    <t>BDR2021-0135</t>
  </si>
  <si>
    <t>SFD 1000 sqft habitable 396 sqft non-habitable  Permit withdrawn per email from agent  7/15/2021  MR</t>
  </si>
  <si>
    <t>22-39-15-31-1-02-010</t>
  </si>
  <si>
    <t>BDR2021-0136</t>
  </si>
  <si>
    <t>ARU 997 sqft habitable 386 sqft deck</t>
  </si>
  <si>
    <t>BDR2021-0137</t>
  </si>
  <si>
    <t>SFD 2790 sqft habitable 464 sqft non-habitable 535 sqft deck</t>
  </si>
  <si>
    <t>22-42-17-24-3-34-002</t>
  </si>
  <si>
    <t>BDR2021-0138</t>
  </si>
  <si>
    <t>Addition 1080 sqft habitable Remodel 390 sqft habitable</t>
  </si>
  <si>
    <t>BDR2021-0139</t>
  </si>
  <si>
    <t>SFD 11267 sqft habitable 2943 sqft non-habitable 3699 sqft deck</t>
  </si>
  <si>
    <t>BDR2021-0140</t>
  </si>
  <si>
    <t>Addition 1363 sqft habitable 116 sqft non-habitable 302 sqft deck Remodel 709 sqft habitable 500 non-habitable</t>
  </si>
  <si>
    <t>22-40-16-18-1-04-215</t>
  </si>
  <si>
    <t>BDR2021-0141</t>
  </si>
  <si>
    <t>SFD 7663.8 sqft habitable 1694.6 sqft non-habitable 3008.6 sqft deck (Detached garage BDR2021-0142)</t>
  </si>
  <si>
    <t>22-41-16-04-3-00-008</t>
  </si>
  <si>
    <t>BDR2021-0142</t>
  </si>
  <si>
    <t>Garage 1206 sqft non-habitable (Main House BDR2021-0141)</t>
  </si>
  <si>
    <t>BDR2020-0063</t>
  </si>
  <si>
    <t>New SFD 3000sqft habitable 2120sqft decks/porches</t>
  </si>
  <si>
    <t>22-45-13-07-1-00-063</t>
  </si>
  <si>
    <t>BDR2021-0144</t>
  </si>
  <si>
    <t>Addition 320 sqft habitable</t>
  </si>
  <si>
    <t>22-40-17-35-2-06-009</t>
  </si>
  <si>
    <t>BDR2021-0145</t>
  </si>
  <si>
    <t>Addition 905.62 sqft habitable Remodel 905.62 sqft habitable</t>
  </si>
  <si>
    <t>22-42-16-28-1-02-014</t>
  </si>
  <si>
    <t>BDR2021-0146</t>
  </si>
  <si>
    <t>DEM2021-0010</t>
  </si>
  <si>
    <t>Demo of 3607 SFD</t>
  </si>
  <si>
    <t>22-40-16-18-3-12-002</t>
  </si>
  <si>
    <t>SFD 7275 sqft habitable  2076 sqft non-habitable 1148 sqft deck</t>
  </si>
  <si>
    <t>BDR2021-0147</t>
  </si>
  <si>
    <t>Addition 1094 sqft habitable 90 sqft remodel 215 sqft decks/porches</t>
  </si>
  <si>
    <t>BDR2021-0148</t>
  </si>
  <si>
    <t>SFD 4609 sqft habitable 749 sqft non-habitable 1286 covered porches</t>
  </si>
  <si>
    <t>BDR2021-0149</t>
  </si>
  <si>
    <t>DEMO</t>
  </si>
  <si>
    <t>Demo of SFD in 2019 per 2014 settlement</t>
  </si>
  <si>
    <t>SFD 525 sqft habitable 525 sqft non-habitable 139 sqft deck Revisions submitted changing some structural elements.  11/03/2021 JPL</t>
  </si>
  <si>
    <t>BDR2021-0150</t>
  </si>
  <si>
    <t>SFD 11038 sqft habitable 2048 sqft non-habitable 304 sqft deck Revisions submitted 11/8/21 BN moving entry door and adding to covered porch</t>
  </si>
  <si>
    <t>22-42-16-22-3-06-004</t>
  </si>
  <si>
    <t>BDR2021-0151</t>
  </si>
  <si>
    <t>SFD 5225 sqft habitable 1071 sqft non-habitable 959 sqft covered porch (ARU BDR2021-0152)</t>
  </si>
  <si>
    <t>22-40-17-12-1-01-003</t>
  </si>
  <si>
    <t>BDR2021-0152</t>
  </si>
  <si>
    <t>ARU 1000 sqft habitable 1412 sqft non-habitable 128 sqft covered porch (Main house BDR2021-0151)</t>
  </si>
  <si>
    <t>BDR2020-0064</t>
  </si>
  <si>
    <t>new barn/garage 1176sqft barn 528sqft lean to</t>
  </si>
  <si>
    <t>BDR2021-0153</t>
  </si>
  <si>
    <t>Addition 1005 sqft habitable Remodel 2000 sqft habitable</t>
  </si>
  <si>
    <t>22-42-17-24-3-02-085</t>
  </si>
  <si>
    <t>BDR2021-0154</t>
  </si>
  <si>
    <t>SFD 8000 sqft habitable 1451 sqft non-habitable 714 sqft covered porches</t>
  </si>
  <si>
    <t>22-41-17-14-2-17-012</t>
  </si>
  <si>
    <t>BDR2020-0070</t>
  </si>
  <si>
    <t>New SFD 2380sqft habitable 437sqft non-habitable 425sqft decks/porches</t>
  </si>
  <si>
    <t>22-38-16-08-1-06-011</t>
  </si>
  <si>
    <t>BDR2021-0155</t>
  </si>
  <si>
    <t>Garage Addition 1252 sqft non-habitable Remodel 724 sqft non-habitable</t>
  </si>
  <si>
    <t>22-41-17-11-1-70-004</t>
  </si>
  <si>
    <t>BDR2021-0156</t>
  </si>
  <si>
    <t>SFD 4779 sqft habitable 1583 sqft non-habitable 1036 sqft deck Revisions submitted for review changing several architectural pages and structural regarding the exterior columns.  10/14/2021 MR Revisions submitted for review changing Driveway, Entry Walk,</t>
  </si>
  <si>
    <t>22-42-16-15-2-05-015</t>
  </si>
  <si>
    <t>BDR2021-0157</t>
  </si>
  <si>
    <t>SFD 5269 sqft habitable 980 sqft non-habitable 1812.8 sqft deck</t>
  </si>
  <si>
    <t>22-41-16-19-1-01-001</t>
  </si>
  <si>
    <t>BDR2021-0158</t>
  </si>
  <si>
    <t>New garage 1345sqft non-habitable 300sqft decks/porches GEC under BDR2020-0047</t>
  </si>
  <si>
    <t>BDR2020-0086</t>
  </si>
  <si>
    <t>Moving existing cabin to site 350sqft habitable 350sqft non-habitable basement</t>
  </si>
  <si>
    <t>22-39-16-03-4-00-036</t>
  </si>
  <si>
    <t>BDR2020-0088</t>
  </si>
  <si>
    <t>Addition 304.28 sqft  Remodel 4322 sqft habitable 1462.36 sqft non-habitable Revisions submitted adding floor area (387 new habitable)( 9/25/2020 BN</t>
  </si>
  <si>
    <t>BDR2021-0161</t>
  </si>
  <si>
    <t>SFD 960 sqft habitable</t>
  </si>
  <si>
    <t>22-42-16-22-1-00-011</t>
  </si>
  <si>
    <t>BDR2021-0162</t>
  </si>
  <si>
    <t>SFD 4890 sqft habitable 1305 sqft non-habitable 555 sqft deck  Withdrawn per email from applicant.</t>
  </si>
  <si>
    <t>22-42-16-27-1-25-002</t>
  </si>
  <si>
    <t>BDR2020-0089</t>
  </si>
  <si>
    <t>Addition 837sqft habitable 40sqft non-habitable Remodel 2374sqft habitable 160sqft non-habitable 240sqft decks Revisions submitted adding garage bay 308sqft non-habitable and 308sqft habitable 9/17/2020 BN</t>
  </si>
  <si>
    <t>22-41-16-06-3-03-019</t>
  </si>
  <si>
    <t>BDR2021-0164</t>
  </si>
  <si>
    <t>Addition 2178 sqft habitable</t>
  </si>
  <si>
    <t>22-42-16-10-3-08-003</t>
  </si>
  <si>
    <t>Demo for 7 hotel rooms</t>
  </si>
  <si>
    <t>26 unit apartment building (2:1 Bonus Used - See Review)</t>
  </si>
  <si>
    <t>BDR2021-0165</t>
  </si>
  <si>
    <t>SFD 4192 sqft habitable 1355 sqft non-habitable 481 sqft deck  Permit withdrawn per email from applicant.   09/20/2021</t>
  </si>
  <si>
    <t>22-38-16-16-2-01-017</t>
  </si>
  <si>
    <t>BDC2021-0027</t>
  </si>
  <si>
    <t>Remodel 26 sqft bar add 130 sqft to exterior deck</t>
  </si>
  <si>
    <t>BDC2021-0028</t>
  </si>
  <si>
    <t>Addition 675 sqft Remodel 1710 sqft</t>
  </si>
  <si>
    <t>22-38-16-08-1-05-008</t>
  </si>
  <si>
    <t>BDR2021-0166</t>
  </si>
  <si>
    <t>SFD 4513 sqft habitable 799 sqft non-habitable</t>
  </si>
  <si>
    <t>22-42-16-15-3-07-009</t>
  </si>
  <si>
    <t>BDR2020-0090</t>
  </si>
  <si>
    <t>New SFD 3533sqft habitable 1037sqft non-habitable (New driveway location, see updated site plan JB) Revisions submitted on 01/12/2021JPL Shifted exercise room wall 18" into garage and wider opening to access room.</t>
  </si>
  <si>
    <t>22-44-18-30-1-02-001</t>
  </si>
  <si>
    <t>BDR2021-0167</t>
  </si>
  <si>
    <t>New detached garage 780sqft non-habitable</t>
  </si>
  <si>
    <t>22-42-16-22-4-00-018</t>
  </si>
  <si>
    <t>BDR2021-0168</t>
  </si>
  <si>
    <t>Tearing down existing home leaving foundation 6731sqft habitable 1061sqft non-hbitable 588sqft decks/porches</t>
  </si>
  <si>
    <t>BDR2021-0169</t>
  </si>
  <si>
    <t>New SFD 999sqft habitable 815sqft non-habitable</t>
  </si>
  <si>
    <t>BDR2021-0170</t>
  </si>
  <si>
    <t>New detached garage with habitable above 315sqft habitable 330sqft non-habitable 517sqft decks/porches</t>
  </si>
  <si>
    <t>22-40-16-20-3-05-004</t>
  </si>
  <si>
    <t>BDR2021-0171</t>
  </si>
  <si>
    <t>ARU 966 sqft habitable 1270 sqft non-habitable 362 sqft deck</t>
  </si>
  <si>
    <t>BDR2021-0172</t>
  </si>
  <si>
    <t>SFD 3366 sqft habitable 597 sqft non-habitable 738 sqft deck</t>
  </si>
  <si>
    <t>22-38-16-05-1-00-009</t>
  </si>
  <si>
    <t>BDR2020-0092</t>
  </si>
  <si>
    <t>SFD 2576 sqft habitable 397 sqft non-habitable  172 deck Extension granted 2/3/21 BN</t>
  </si>
  <si>
    <t>22-39-15-31-1-02-003</t>
  </si>
  <si>
    <t>BDR2021-0174</t>
  </si>
  <si>
    <t>Addition 870 sqft habitable 48 sqft non-habitable 155 sqft deck</t>
  </si>
  <si>
    <t>22-41-17-25-4-06-009</t>
  </si>
  <si>
    <t>BDR2021-0175</t>
  </si>
  <si>
    <t>Garage 1500 sqft non-habitable  Plans are in project folder</t>
  </si>
  <si>
    <t>22-44-18-16-2-01-004</t>
  </si>
  <si>
    <t>BDR2021-0176</t>
  </si>
  <si>
    <t>ARU/Garage 1358 sqft habitable 1370 sqft non-habitable 164 sqft deck Remodel 73 sqft habitable</t>
  </si>
  <si>
    <t>22-40-16-35-4-12-001</t>
  </si>
  <si>
    <t>BDR2020-0093</t>
  </si>
  <si>
    <t>SFD 2781 sqft habitable 601 sqft non-habitable 328 sqft deck</t>
  </si>
  <si>
    <t>22-40-16-20-1-10-002</t>
  </si>
  <si>
    <t>BDR2021-0177</t>
  </si>
  <si>
    <t>Addition 1546 sqft habitable 211 sqft non-habitable 296 sqft  Remodel 3622 sqft habitable 1061 sqft non-habitable</t>
  </si>
  <si>
    <t>22-42-16-22-1-00-009</t>
  </si>
  <si>
    <t>BDR2021-0178</t>
  </si>
  <si>
    <t>SFD 8997 sqft habitable 3232 sqft non-habitable (Garage is BDR2021-0179)</t>
  </si>
  <si>
    <t>22-41-16-29-2-00-005</t>
  </si>
  <si>
    <t>BDR2021-0179</t>
  </si>
  <si>
    <t>Garage 682 sqft non-habitable (Main House s BDR2021-0178)</t>
  </si>
  <si>
    <t>BDR2020-0095</t>
  </si>
  <si>
    <t>Remodel 1000 sqft habitable, Addition 585 sqft deck, Relocation</t>
  </si>
  <si>
    <t>B21-0630</t>
  </si>
  <si>
    <t>interior alteration- Change of use</t>
  </si>
  <si>
    <t>22-41-16-34-2-04-013</t>
  </si>
  <si>
    <t>BDR2021-0181</t>
  </si>
  <si>
    <t>Storage building 130 sqft habitable, 654 sqft non-habitable 250 sqft covered porches</t>
  </si>
  <si>
    <t>B21-0646</t>
  </si>
  <si>
    <t>accessory studio structure, not an ARU</t>
  </si>
  <si>
    <t>22-41-16-34-2-00-004</t>
  </si>
  <si>
    <t>BDR2021-0182</t>
  </si>
  <si>
    <t>SFD 5728 sqft habitable 640 sqft non-habitable 176 sqft deck Revisions changing sqft submitted for review 10/27/2021  5077 sqft habitable 1205 sqft non-habitable  Contractor changed to Dowbuilt per email from applicant 11/16/21 BN</t>
  </si>
  <si>
    <t>22-40-16-20-3-08-001</t>
  </si>
  <si>
    <t>BDR2020-0096</t>
  </si>
  <si>
    <t>Remodel 3042 sqft habitable</t>
  </si>
  <si>
    <t>BDR2021-0183</t>
  </si>
  <si>
    <t>SFD 6181 sqft habitable 1294 sqft non habitable 362 sqft deck (Guest house BDR2021-0184) (Barn BDR2021-0185)</t>
  </si>
  <si>
    <t>22-42-16-10-4-11-005</t>
  </si>
  <si>
    <t>BDR2021-0184</t>
  </si>
  <si>
    <t>SFD 892 sqft habitable 12 sqft non habitable (Main house BDR2021-0183) (Barn BDR2021-0185)</t>
  </si>
  <si>
    <t>BDR2021-0185</t>
  </si>
  <si>
    <t>Barn 682 sqft habitable 1070 sqft non habitable (Guest house BDR2021-0184) (Main House BDR2021-0183)</t>
  </si>
  <si>
    <t>BDR2021-0186</t>
  </si>
  <si>
    <t>New SFD 3415sqft habitable 704sqft non-habitable 610sqft decks/porches</t>
  </si>
  <si>
    <t>22-41-17-22-4-14-023</t>
  </si>
  <si>
    <t>BDR2021-0187</t>
  </si>
  <si>
    <t>New SFD dwelling 3479sqft habitable 1265sqft non-habitable 664sqft decks/porches</t>
  </si>
  <si>
    <t>BDR2020-0106</t>
  </si>
  <si>
    <t>New SFD 4453sqft habitable 784sqft non-habitable 336sqft of decks</t>
  </si>
  <si>
    <t>22-40-17-12-1-01-026</t>
  </si>
  <si>
    <t>BDR2020-0111</t>
  </si>
  <si>
    <t>ACC - playhouse 209 sqft habitable 375 sq non-habitable 523 sqft deck</t>
  </si>
  <si>
    <t>BDR2021-0189</t>
  </si>
  <si>
    <t>Addition 198.7 sqft habitable 720 sqft non-habitable 144 sqft covered patio  Withdrawn per email from property owner.  09/07/2021  MR</t>
  </si>
  <si>
    <t>22-40-16-35-4-14-010</t>
  </si>
  <si>
    <t>BDR2021-0190</t>
  </si>
  <si>
    <t>new barn 296sqft habitable 2828sqft non-habitable. Revision submitted to change habitable to 594 sq ft and non-habitable to 2530 sq ft.  JPL 10/08/2021</t>
  </si>
  <si>
    <t>22-42-16-22-1-00-094</t>
  </si>
  <si>
    <t>BDR2021-0191</t>
  </si>
  <si>
    <t>New SFD 4390sqft habitable 950sqft non-habitable</t>
  </si>
  <si>
    <t>22-42-16-10-3-08-007</t>
  </si>
  <si>
    <t>BDC2021-0029</t>
  </si>
  <si>
    <t>Security area remodel A3 12304 sqft B 261 sqft S 72 sqft</t>
  </si>
  <si>
    <t>BDC2021-0030</t>
  </si>
  <si>
    <t>Shop 2040 sqft non-habitable</t>
  </si>
  <si>
    <t>BDR2021-0192</t>
  </si>
  <si>
    <t>SFD 5789 sqft habitable 1205.5 sqft non-habitable 656.5 sqft covered porches Revisions submitted for review increasing garage by 202 sqft  11/2/2021  MR</t>
  </si>
  <si>
    <t>22-42-16-33-1-05-003</t>
  </si>
  <si>
    <t>BDR2020-0119</t>
  </si>
  <si>
    <t>ARU 1000 sqft habitable 1120 sqft non-habitable</t>
  </si>
  <si>
    <t>B21-0699</t>
  </si>
  <si>
    <t>Additio to existing home</t>
  </si>
  <si>
    <t>22-41-16-34-1-05-004</t>
  </si>
  <si>
    <t>BDR2021-0193</t>
  </si>
  <si>
    <t>SFD 3255 sqft habitable  (Garage and deck BDR2021-0194)</t>
  </si>
  <si>
    <t>22-44-18-08-4-03-001</t>
  </si>
  <si>
    <t>BDR2021-0194</t>
  </si>
  <si>
    <t>Garage 779 sqft non-habitable 179 sqft habitable 1008 sqft terrace deck (SFD BDR2021-0193)</t>
  </si>
  <si>
    <t>BDR2020-0120</t>
  </si>
  <si>
    <t>Addition 1299sqft habitable 900sqft non-habitable 195sqft decks</t>
  </si>
  <si>
    <t>22-39-16-02-2-00-026</t>
  </si>
  <si>
    <t>BDR2021-0196</t>
  </si>
  <si>
    <t>Addition 1109 sqft habitable 668 sqft non-habitable 190 sqft deck  Remodel 1109 sqft habitable 668 sqft non-habitable  DO NOT ISSUE PERMIT until DEM20201-0013 has ben finaled.  9/13/2021  MR</t>
  </si>
  <si>
    <t>BDR2021-0197</t>
  </si>
  <si>
    <t>Addition 1120 sqft habitable</t>
  </si>
  <si>
    <t>BDR2020-0124</t>
  </si>
  <si>
    <t>SFD 3747 sqft habitable 1031 sqft non-habitable</t>
  </si>
  <si>
    <t>22-42-16-27-3-05-010</t>
  </si>
  <si>
    <t>B21-0724</t>
  </si>
  <si>
    <t>22-41-16-34-2-12-006</t>
  </si>
  <si>
    <t>Sf with attached ARU</t>
  </si>
  <si>
    <t>BDR2021-0198</t>
  </si>
  <si>
    <t>Addition 1925 sqft habitable  Remodel 225 sqft habitable  (Detached garage BDR2021-0199)</t>
  </si>
  <si>
    <t>22-41-17-23-2-02-002</t>
  </si>
  <si>
    <t>BDR2021-0199</t>
  </si>
  <si>
    <t>Garage 922 sqft non-habitable (Addition/remodel to main house BDR2021-0198)</t>
  </si>
  <si>
    <t>BDR2021-0200</t>
  </si>
  <si>
    <t>Addition 1768 sqft habitable  Application withdrawn by applicant</t>
  </si>
  <si>
    <t>BDR2021-0201</t>
  </si>
  <si>
    <t>ARU - 1969 sqft habitalbe 92 sqft non-habitable 186 sqft deck (this is an addition to the main house)</t>
  </si>
  <si>
    <t>BDC2021-0032</t>
  </si>
  <si>
    <t>Addition 104 sqft Remodel 1588 sqft</t>
  </si>
  <si>
    <t>BDR2020-0125</t>
  </si>
  <si>
    <t>Addition 1821 sqft habitable 400 sqft non-habitable 255 decks  Remodel 250 sqft habitable.</t>
  </si>
  <si>
    <t>22-41-17-33-3-03-047</t>
  </si>
  <si>
    <t>BDR2020-0126</t>
  </si>
  <si>
    <t>Art studio 648sqft. Fees assessed on BDR2020-0090 (main house) Revisions submitted on 1/12/2021 JPL adding sitting room to studio</t>
  </si>
  <si>
    <t>B21-0740</t>
  </si>
  <si>
    <t>alteration to garage door</t>
  </si>
  <si>
    <t>22-41-16-34-2-06-009</t>
  </si>
  <si>
    <t>BDR2020-0127</t>
  </si>
  <si>
    <t>New ARU 996sqft habitable.</t>
  </si>
  <si>
    <t>BDR2021-0202</t>
  </si>
  <si>
    <t>Addition 1449sqft habitable 206sqft non-habitable Remodel 1756sqft habitable 322sqft non-habitable</t>
  </si>
  <si>
    <t>BDR2020-0133</t>
  </si>
  <si>
    <t>SFD 2905 sqft habitable (garage BDR2020-0134) Revisions and Basic Use Permit were submitted on 11/4/2020 JB</t>
  </si>
  <si>
    <t>22-38-16-16-2-01-032</t>
  </si>
  <si>
    <t>36 unit apartment (2:1 Bonus Used - See Review)</t>
  </si>
  <si>
    <t>BDR2021-0203</t>
  </si>
  <si>
    <t>SFD 3949 sqft habitable 1025 sqft non-habitable 810 sqft covered porches</t>
  </si>
  <si>
    <t>22-42-16-22-3-02-001</t>
  </si>
  <si>
    <t>BDR2021-0204</t>
  </si>
  <si>
    <t>SFD 5908.3 sqft habitable 858 sqft non-habitable 1432 sqft deck (Garage BDR2021-0205)</t>
  </si>
  <si>
    <t>22-40-17-04-2-00-005</t>
  </si>
  <si>
    <t>BDR2021-0205</t>
  </si>
  <si>
    <t>Garage 792 sqft non-habitable</t>
  </si>
  <si>
    <t>BDR2021-0206</t>
  </si>
  <si>
    <t>Addiition 690 sqft habitable Remodel 2585 sqft habitable Revisions/Corrections submitted removing the addition and continuing with the renovation.  JPL 10/12/2021. Revisions submitted adding 784 sqft habitable for a new bedroom. 11/8/2021  MR</t>
  </si>
  <si>
    <t>22-42-16-27-2-27-003</t>
  </si>
  <si>
    <t>BDR2020-0134</t>
  </si>
  <si>
    <t>710 sf ARU Garage 611 sqft non-habitable 72 sqft deck (House BDR2020-0133) Revisions and Basic Use Permit were submitted on 11/4/2020 JB</t>
  </si>
  <si>
    <t>B21-0775</t>
  </si>
  <si>
    <t>22-41-16-33-3-07-039</t>
  </si>
  <si>
    <t>BDR2021-0207</t>
  </si>
  <si>
    <t>Addition 560 sqft habitable</t>
  </si>
  <si>
    <t>BDR2020-0142</t>
  </si>
  <si>
    <t>22-38-16-08-1-06-016</t>
  </si>
  <si>
    <t>BDR2021-0208</t>
  </si>
  <si>
    <t>Addition 939 sqft habitable  Remodel 135 sqft habitable Entry Cabin (Sauna building BDR2021-0209, Music building BDR2021-0210)</t>
  </si>
  <si>
    <t>22-41-17-11-3-00-007</t>
  </si>
  <si>
    <t>BDR2021-0209</t>
  </si>
  <si>
    <t>Remodel 1345 sqft habitable Sauna Building  (Entry Cabin BDR2021-0208, Music building BDR2021-0210)</t>
  </si>
  <si>
    <t>22-41-17-11-3-00-002</t>
  </si>
  <si>
    <t>BDR2021-0210</t>
  </si>
  <si>
    <t>Remodel 59 sqft from non-habitable to habitable, Remodel 1,215 sqft non-habitable garage &amp; remodel 135 sqft  non-habitable mechanical room. Garage/Music Bldg. (Entry Cabin BDR2021-0208  Sauna Building BDR2021-0209)</t>
  </si>
  <si>
    <t>BDR2021-0211</t>
  </si>
  <si>
    <t>SFD 6988 sqft habitable 2796 sqft garage 2040 sqft decks/porches</t>
  </si>
  <si>
    <t>22-41-16-21-2-00-003</t>
  </si>
  <si>
    <t>BDR2020-0144</t>
  </si>
  <si>
    <t>Garage 1266 sqft non-habitable</t>
  </si>
  <si>
    <t>22-40-17-35-2-00-003</t>
  </si>
  <si>
    <t>BDR2021-0213</t>
  </si>
  <si>
    <t>Addition 842 sqft habitable 260 sqft decks/porches</t>
  </si>
  <si>
    <t>22-42-17-35-2-00-002</t>
  </si>
  <si>
    <t>BDR2021-0214</t>
  </si>
  <si>
    <t>Converting barn to ARU 700sqft habitable 330sqft non-habitable</t>
  </si>
  <si>
    <t>BDR2020-0154</t>
  </si>
  <si>
    <t>SFD 3561 sqft habitable 703 sqft non-habitable 338 sqft deck Revision Submitted on 1/14/2021 JPL  New Site Plan and GEC Revision</t>
  </si>
  <si>
    <t>22-38-16-08-1-03-012</t>
  </si>
  <si>
    <t>BDR2021-0215</t>
  </si>
  <si>
    <t>Garage 1176 sqft non-habitable Email from Russ Kate dated 10/12/2021 States that JA informed them development was too large and that they would retink or withdraw permit.  10/18/2021 JPL Permit withdrawn per email from applicant.  10/20/2021  MR</t>
  </si>
  <si>
    <t>BDR2021-0216</t>
  </si>
  <si>
    <t>ARU 1000 sqft habitable 1660 sqft covered porches (Garage BDR2021-0217)</t>
  </si>
  <si>
    <t>22-38-15-04-3-00-023</t>
  </si>
  <si>
    <t>BDR2021-0217</t>
  </si>
  <si>
    <t>Garage 384 sqft non-habitable 330 sqft covered porch (ARU BDR2021-0216)</t>
  </si>
  <si>
    <t>BDR2021-0218</t>
  </si>
  <si>
    <t>SFD 4664 sqft habitable 784 sqft non-habitable</t>
  </si>
  <si>
    <t>22-42-16-15-2-06-003</t>
  </si>
  <si>
    <t>B21-0824</t>
  </si>
  <si>
    <t>BDR2020-0155</t>
  </si>
  <si>
    <t>SFD 3561 sqft habitable 703 sqft non-habitable 338 sqft deck Needs Floodplain permit extension granted 2/2/21BN floodplain permit approved</t>
  </si>
  <si>
    <t>22-38-16-08-1-03-010</t>
  </si>
  <si>
    <t>BDR2021-0219</t>
  </si>
  <si>
    <t>Remodel 310 sqft non-habitable to create 310 sqft habitable</t>
  </si>
  <si>
    <t>22-43-15-20-3-01-001</t>
  </si>
  <si>
    <t>BDR2021-0220</t>
  </si>
  <si>
    <t>SFD 2624 sqft habitable 394 sqft non-habitable 376 sqft covered porch</t>
  </si>
  <si>
    <t>22-41-17-22-3-00-076</t>
  </si>
  <si>
    <t>BDC2021-0034</t>
  </si>
  <si>
    <t>Pavillion 345 sqft with solar panel roof</t>
  </si>
  <si>
    <t>BDR2021-0221</t>
  </si>
  <si>
    <t>ARU 994 sqft habitable 1639 sqft non-habitable</t>
  </si>
  <si>
    <t>22-42-16-22-1-01-001</t>
  </si>
  <si>
    <t>BDR2021-0222</t>
  </si>
  <si>
    <t>Relocate historic cabin to property to be used as storage.  548 sqft non-habitable</t>
  </si>
  <si>
    <t>22-40-16-18-3-08-001</t>
  </si>
  <si>
    <t>BDC2021-0035</t>
  </si>
  <si>
    <t>Remodel  45sqft of bathrooms</t>
  </si>
  <si>
    <t>BDR2020-0157</t>
  </si>
  <si>
    <t>Garage 904 sqft non-habitable (ARU BDR2020-0156)</t>
  </si>
  <si>
    <t>BDR2020-0168</t>
  </si>
  <si>
    <t>SFD 2380 sqft habitable 437 sqft non-habitable 425 sqft covered porches</t>
  </si>
  <si>
    <t>22-38-16-08-1-06-008</t>
  </si>
  <si>
    <t>BDR2021-0224</t>
  </si>
  <si>
    <t>ARU 999 sqft habitable  12 sqft covered porch</t>
  </si>
  <si>
    <t>22-39-16-14-1-01-002</t>
  </si>
  <si>
    <t>BDR2021-0225</t>
  </si>
  <si>
    <t>Garage 352 sqft non-habitable</t>
  </si>
  <si>
    <t>BDR2021-0226</t>
  </si>
  <si>
    <t>Remodel 1032 sqft habitable 872 sqft non-habitable 250 sqft deck</t>
  </si>
  <si>
    <t>B21-0869</t>
  </si>
  <si>
    <t>Addition of ARU to existing home</t>
  </si>
  <si>
    <t>22-41-16-33-3-03-001</t>
  </si>
  <si>
    <t>BDR2021-0227</t>
  </si>
  <si>
    <t>Addition 495 sqft habitable Remodel 402 sqft habitable of Baroness Cabin (ARU) (Remodel bunkhouse BDR2021-0228, Remodel Budge house BDR2021-0229)</t>
  </si>
  <si>
    <t>BDR2021-0228</t>
  </si>
  <si>
    <t>Remodel 1515 sqft habitable  (Baroness Addition/Remodel bldg #5/#19 BDR2021-0227, Remodel Budge cabin #6 BDR2021-0229)</t>
  </si>
  <si>
    <t>BDR2021-0229</t>
  </si>
  <si>
    <t>Remodel 416 sqft habitable Budge Cabin (Addition Baroness Cabin BDR2021-0227, Remodel Bunkhouse BDR2021-0228)</t>
  </si>
  <si>
    <t>B21-0875</t>
  </si>
  <si>
    <t>install roof mounted solar panels</t>
  </si>
  <si>
    <t>22-41-16-31-4-14-078</t>
  </si>
  <si>
    <t>B21-0876</t>
  </si>
  <si>
    <t>22-41-16-34-1-AD-003</t>
  </si>
  <si>
    <t>B21-0882</t>
  </si>
  <si>
    <t>22-41-16-34-4-10-001</t>
  </si>
  <si>
    <t>BDR2020-0171</t>
  </si>
  <si>
    <t>Garage 2145 sqft non-habitable  180 sqft deck Revisions were submitted 10/28/2020 JB Exterior lighting revisions were submitted 1/11/2020 JB</t>
  </si>
  <si>
    <t>22-41-17-33-4-06-002</t>
  </si>
  <si>
    <t>B21-0932</t>
  </si>
  <si>
    <t>22-41-16-34-4-02-028</t>
  </si>
  <si>
    <t>B21-0945</t>
  </si>
  <si>
    <t>gelato shop</t>
  </si>
  <si>
    <t>BDR2020-0180</t>
  </si>
  <si>
    <t>Barn 1200 sqft non-habitable</t>
  </si>
  <si>
    <t>22-44-18-17-1-01-004</t>
  </si>
  <si>
    <t>BDR2021-0230</t>
  </si>
  <si>
    <t>Remodel 1402 sqft habitable</t>
  </si>
  <si>
    <t>BDR2021-0231</t>
  </si>
  <si>
    <t>ARU 998 sqft habitable 336 sqft non-habitable</t>
  </si>
  <si>
    <t>22-42-16-28-1-02-001</t>
  </si>
  <si>
    <t>BDR2021-0232</t>
  </si>
  <si>
    <t>SFD 10073 sqft habitable 2056 sqft non-habitable 1196 decks and covered porches</t>
  </si>
  <si>
    <t>BDR2021-0233</t>
  </si>
  <si>
    <t>Addition 434 sqft habitable Remodel 584 sqft habitable</t>
  </si>
  <si>
    <t>22-41-16-19-3-07-008</t>
  </si>
  <si>
    <t>BDR2021-0234</t>
  </si>
  <si>
    <t>Remodel 612 sqft non-habitable attic to make it habitable</t>
  </si>
  <si>
    <t>22-40-16-20-2-16-004</t>
  </si>
  <si>
    <t>BDR2021-0235</t>
  </si>
  <si>
    <t>Addition 1176 sqft habitable 88 sqft deck  Withdrawn per email from applicant.  10/27/2021  MR</t>
  </si>
  <si>
    <t>B21-0967</t>
  </si>
  <si>
    <t>new SF- move in cabin onto foundation with basement</t>
  </si>
  <si>
    <t>BDR2020-0181</t>
  </si>
  <si>
    <t>SFD 3292 sqft habitable 1248 sqft non-habitable   This is to complete the work that was started under BP 2002-0122 (Revisions were submitted eliminating basement habitable floor area on 11/23/2020 JB)</t>
  </si>
  <si>
    <t>22-40-16-35-3-00-020</t>
  </si>
  <si>
    <t>B21-0975</t>
  </si>
  <si>
    <t>Convert unfinished basement to apartment</t>
  </si>
  <si>
    <t>22-41-16-34-2-03-012</t>
  </si>
  <si>
    <t>BDR2020-0185</t>
  </si>
  <si>
    <t>Replacing existing mobile home with a new mobile home. (drawings are so small they are filed in the project folder) Revision submitted 12/3/2020 Not doing foundation as submitted. Doing pier and tie downs. BN</t>
  </si>
  <si>
    <t>22-41-17-12-2-04-006</t>
  </si>
  <si>
    <t>BDR2020-0186</t>
  </si>
  <si>
    <t>SFD 4646 sqft habitable 829 sqft non-habitable 150 sqft deck</t>
  </si>
  <si>
    <t>22-40-17-12-1-01-047</t>
  </si>
  <si>
    <t>BDR2021-0236</t>
  </si>
  <si>
    <t>SFD 5280 sqft habitable 1321 sqft non-habitable 616 sqft deck</t>
  </si>
  <si>
    <t>22-41-16-18-1-02-003</t>
  </si>
  <si>
    <t>BDR2021-0237</t>
  </si>
  <si>
    <t>SFD 4275 sqft habitable 664 sqft non-habitable</t>
  </si>
  <si>
    <t>22-42-16-27-4-12-021</t>
  </si>
  <si>
    <t>BDR2021-0238</t>
  </si>
  <si>
    <t>Remodel 2500 sqft habitable</t>
  </si>
  <si>
    <t>B21-1013</t>
  </si>
  <si>
    <t>B21-1017</t>
  </si>
  <si>
    <t>turn existing Sf to a triplex</t>
  </si>
  <si>
    <t>22-41-16-32-4-14-018</t>
  </si>
  <si>
    <t>BDR2020-0195</t>
  </si>
  <si>
    <t>Remodel  5771 sqft habitable (MIS2020-0035 slope the roof  MIS2020-0100 replace shakes)</t>
  </si>
  <si>
    <t>BDR2020-0197</t>
  </si>
  <si>
    <t>SFD 4855 sqft habitable 677 sqft non-habitable</t>
  </si>
  <si>
    <t>22-42-16-27-3-05-003</t>
  </si>
  <si>
    <t>B21-1040</t>
  </si>
  <si>
    <t>BDC2021-0036</t>
  </si>
  <si>
    <t>6,039 Sq Ft Interior remodel of restaurant A-2. 1,083 Sq Ft  A-2 7,309 Sq Ft A-3 2,084 Sq Ft S-2 429 Sq Ft M</t>
  </si>
  <si>
    <t>BDR2021-0239</t>
  </si>
  <si>
    <t>Remodel 1336sqft habitable Addition 1108sqft habitable 131sqft decks/porches</t>
  </si>
  <si>
    <t>B21-1056</t>
  </si>
  <si>
    <t>Interior remodel-fit out</t>
  </si>
  <si>
    <t>22-41-16-34-3-05-010</t>
  </si>
  <si>
    <t>BDR2021-0240</t>
  </si>
  <si>
    <t>Remodel 800 sqft habitable</t>
  </si>
  <si>
    <t>BDR2021-0241</t>
  </si>
  <si>
    <t>SFD with attached ARU  SFD 2045 sqft habitable 458 sqft non-habitable  ARU 483 sqft habitable 250 sqft non-habitable</t>
  </si>
  <si>
    <t>22-42-15-10-1-09-006</t>
  </si>
  <si>
    <t>B21-1070</t>
  </si>
  <si>
    <t>Addition -alteration to existing home</t>
  </si>
  <si>
    <t>BDR2021-0242</t>
  </si>
  <si>
    <t>SFD 4866 sqft habitable 744 sqft non habitable  1403 sqft covered patio 108 sqft deck   (ARU BDR2021-0243    Office/Garage BDR2021-0244)</t>
  </si>
  <si>
    <t>22-44-18-19-1-01-007</t>
  </si>
  <si>
    <t>BDR2021-0243</t>
  </si>
  <si>
    <t>ARU 994 sqft habitable   808 sqft covered patio   (SFD BDR2021-0242    Office/Garage BDR2021-0244)</t>
  </si>
  <si>
    <t>BDR2021-0244</t>
  </si>
  <si>
    <t>Garage/Office  2491 sqft habitable 808 sqft non habitable    886 sqft deck   (SFD BDR2021-0242 ARU BDR2021-0243)</t>
  </si>
  <si>
    <t>BDR2021-0245</t>
  </si>
  <si>
    <t>demo of existing SFD</t>
  </si>
  <si>
    <t>22-42-16-20-3-01-003</t>
  </si>
  <si>
    <t>SFD 7574 sqft habitable 1956 sqft non-habitable 599 sqft covered porches</t>
  </si>
  <si>
    <t>BDR2021-0246</t>
  </si>
  <si>
    <t>New garage addition 616 sqft non-habitable</t>
  </si>
  <si>
    <t>BDR2021-0247</t>
  </si>
  <si>
    <t>New SFD 3012sqft habitable 719sqft non-habitable 387sqft decks/porches</t>
  </si>
  <si>
    <t>22-44-18-20-3-06-002</t>
  </si>
  <si>
    <t>BDR2021-0248</t>
  </si>
  <si>
    <t>New SFD 2492sqft habitable 2478sqft non-habitable</t>
  </si>
  <si>
    <t>22-44-18-20-3-10-003</t>
  </si>
  <si>
    <t>B21-1110</t>
  </si>
  <si>
    <t>Addition to existing START bus facility</t>
  </si>
  <si>
    <t>BDR2021-0250</t>
  </si>
  <si>
    <t>Addition of 917 sq ft, Remodel of 1,720 sq ft.</t>
  </si>
  <si>
    <t>22-41-16-21-3-17-002</t>
  </si>
  <si>
    <t>BDR2021-0251</t>
  </si>
  <si>
    <t>Shed 654 sqft non-habitable</t>
  </si>
  <si>
    <t>22-41-16-17-2-03-006</t>
  </si>
  <si>
    <t>BDR2021-0252</t>
  </si>
  <si>
    <t>ARU 996.5 sq ft habitable and attached garage 897 non-habitable.</t>
  </si>
  <si>
    <t>22-41-17-12-1-01-007</t>
  </si>
  <si>
    <t>BDR2021-0253</t>
  </si>
  <si>
    <t>Garage 2,736 sq ft non-habitable with 98 sq ft habitable bathroom.</t>
  </si>
  <si>
    <t>BDR2021-0254</t>
  </si>
  <si>
    <t>SFD 6982 sqft habitable 948.75 sqft non-habitable</t>
  </si>
  <si>
    <t>B21-1125</t>
  </si>
  <si>
    <t>demo retail</t>
  </si>
  <si>
    <t>demo of 157 N Glenwood Street</t>
  </si>
  <si>
    <t>demo at 165 N Glenwood Street</t>
  </si>
  <si>
    <t>commercial garage space and common areas</t>
  </si>
  <si>
    <t>B21-1126</t>
  </si>
  <si>
    <t>New townome unit 22</t>
  </si>
  <si>
    <t>B21-1127</t>
  </si>
  <si>
    <t>new townhome unit 23</t>
  </si>
  <si>
    <t>B21-1128</t>
  </si>
  <si>
    <t>new townhome unit 24</t>
  </si>
  <si>
    <t>B21-1129</t>
  </si>
  <si>
    <t>new townhome unit 25</t>
  </si>
  <si>
    <t>B21-1130</t>
  </si>
  <si>
    <t>new townhome unit 26</t>
  </si>
  <si>
    <t>B21-1131</t>
  </si>
  <si>
    <t>New Townhome unit 27</t>
  </si>
  <si>
    <t>B21-1132</t>
  </si>
  <si>
    <t>New Townhome unit 28</t>
  </si>
  <si>
    <t>B21-1133</t>
  </si>
  <si>
    <t>new townhome unit 29</t>
  </si>
  <si>
    <t>B21-1134</t>
  </si>
  <si>
    <t>New townhome unit 30</t>
  </si>
  <si>
    <t>B21-1135</t>
  </si>
  <si>
    <t>new townhome unit 31</t>
  </si>
  <si>
    <t>B21-1151</t>
  </si>
  <si>
    <t>22-41-16-34-1-AD-007</t>
  </si>
  <si>
    <t>BDR2021-0255</t>
  </si>
  <si>
    <t>SFD 988 sqft habitable</t>
  </si>
  <si>
    <t>22-41-16-31-3-09-003</t>
  </si>
  <si>
    <t>BDR2021-0256</t>
  </si>
  <si>
    <t>SFD 7245 sqft habitable 1730 sqft non-habitable 802 sqft covered porches</t>
  </si>
  <si>
    <t>22-40-17-12-1-01-015</t>
  </si>
  <si>
    <t>BDR2021-0257</t>
  </si>
  <si>
    <t>ARU 1000 sqft habitable 405 sqft covered porches</t>
  </si>
  <si>
    <t>BDC2021-0037</t>
  </si>
  <si>
    <t>DEM2021-0015</t>
  </si>
  <si>
    <t>Demolish Snack Shack</t>
  </si>
  <si>
    <t>Clubhouse A2 2833 sqft  A4 3985 sqft  Deck 1847 sqft</t>
  </si>
  <si>
    <t>BDR2020-0203</t>
  </si>
  <si>
    <t>SFD 1986 sqft habitable 2531 sqft non-habitable</t>
  </si>
  <si>
    <t>22-44-18-20-3-01-006</t>
  </si>
  <si>
    <t>BDR2020-0204</t>
  </si>
  <si>
    <t>22-44-18-20-3-01-007</t>
  </si>
  <si>
    <t>BDR2021-0259</t>
  </si>
  <si>
    <t>SFD 3801 sqft habitable Deck 849 sqft decks   (Garage BDR2021-0260.)</t>
  </si>
  <si>
    <t>22-44-18-20-3-10-009</t>
  </si>
  <si>
    <t>BDR2021-0260</t>
  </si>
  <si>
    <t>Garage 784 sqft non-habitable 376 sqft habitable   (SFD BDR2021-0259)</t>
  </si>
  <si>
    <t>B21-1164</t>
  </si>
  <si>
    <t>22-41-16-34-2-40-003</t>
  </si>
  <si>
    <t>BDR2021-0261</t>
  </si>
  <si>
    <t>SFD 3,443 sq ft habitable SFD, 583 sq ft non-habitable garage, 516 sq ft deck .</t>
  </si>
  <si>
    <t>22-41-17-33-4-03-010</t>
  </si>
  <si>
    <t>B21-1169</t>
  </si>
  <si>
    <t>22-41-16-27-3-19-005</t>
  </si>
  <si>
    <t>demo of 75 N Gros Ventre Street</t>
  </si>
  <si>
    <t>B21-1172</t>
  </si>
  <si>
    <t>Demolition of Cabin</t>
  </si>
  <si>
    <t>22-41-16-27-3-19-001</t>
  </si>
  <si>
    <t>BDR2021-0262</t>
  </si>
  <si>
    <t>New SFD 8875sqft habitable 1734sqft non-habitable (Guest house BDR2021-0263)</t>
  </si>
  <si>
    <t>22-41-16-19-1-04-004</t>
  </si>
  <si>
    <t>BDR2021-0263</t>
  </si>
  <si>
    <t>New SFD (ARU) 999sqft habitable (Main House BDR2021-0262)</t>
  </si>
  <si>
    <t>BDR2021-0264</t>
  </si>
  <si>
    <t>SFD 6959  sqft habitable  5592 sqft non-habitable 292 sqft covered patios</t>
  </si>
  <si>
    <t>22-42-16-28-1-02-002</t>
  </si>
  <si>
    <t>B21-1175</t>
  </si>
  <si>
    <t>new garage with roof top deck</t>
  </si>
  <si>
    <t>22-41-16-34-4-04-009</t>
  </si>
  <si>
    <t>B21-1177</t>
  </si>
  <si>
    <t>JHMR New apartment - Phase 2</t>
  </si>
  <si>
    <t>22-41-16-32-4-43-004</t>
  </si>
  <si>
    <t>B21-1178</t>
  </si>
  <si>
    <t>22-41-16-32-4-43-005</t>
  </si>
  <si>
    <t>B21-1179</t>
  </si>
  <si>
    <t>22-41-16-32-4-43-006</t>
  </si>
  <si>
    <t>B22-0001</t>
  </si>
  <si>
    <t>rebuild fire damaged home and add ARU</t>
  </si>
  <si>
    <t>22-41-16-33-4-10-013</t>
  </si>
  <si>
    <t>B16-0464</t>
  </si>
  <si>
    <t>BDR2022-0001</t>
  </si>
  <si>
    <t>Addition 862 sqft habitable 115 sqft deck Remodel 924 sqft habitable  revisions submitted 8/25/22 BN adding16sqft non=habitable and 16sqft habitable</t>
  </si>
  <si>
    <t>BDR2020-0207</t>
  </si>
  <si>
    <t>Addition 544 sqft habitable 428 sqft non-habitable Remodel 229 sqft habitable</t>
  </si>
  <si>
    <t>22-41-17-14-4-33-002</t>
  </si>
  <si>
    <t>BDR2022-0002</t>
  </si>
  <si>
    <t>SFD 6594 sqft habitable 1248 sqft non-habitable 194 sqft decks/porches Revisions submitted reducing the square footage to 6423.00 habitable 1189 sqft non-habitable 5/12/2022  MR</t>
  </si>
  <si>
    <t>22-42-16-10-4-06-011</t>
  </si>
  <si>
    <t>B22-0024</t>
  </si>
  <si>
    <t>demo portion of living center-change of use</t>
  </si>
  <si>
    <t>BDR2020-0215</t>
  </si>
  <si>
    <t>SFD 1320 sqft habitable 768 sqft non-habitable Added 1320 SQFT of Habitable Basement</t>
  </si>
  <si>
    <t>22-45-18-32-4-02-006</t>
  </si>
  <si>
    <t>BDR2022-0003</t>
  </si>
  <si>
    <t>Addition 391sqft habitable 290sqft remodel  Revisions submitted altering the covered porch.  05/13/2022 MR</t>
  </si>
  <si>
    <t>22-42-16-29-2-00-008</t>
  </si>
  <si>
    <t>BDR2022-0004</t>
  </si>
  <si>
    <t>New SFD 6597sqft habitable 1776sqft non-habitable</t>
  </si>
  <si>
    <t>22-42-16-21-4-02-001</t>
  </si>
  <si>
    <t>BDR2022-0005</t>
  </si>
  <si>
    <t>New ARU 889sqft habitable</t>
  </si>
  <si>
    <t>BDR2022-0006</t>
  </si>
  <si>
    <t>ARU 956 sqft habitable 109 sqft decks/porches Revisions submitted for review changing building height, and other structural changes.  04/26/2022  MR</t>
  </si>
  <si>
    <t>BDR2022-0007</t>
  </si>
  <si>
    <t>Addition 283sqft habitable Remodel 4328sqft 206sqft decks/porches</t>
  </si>
  <si>
    <t>22-40-16-17-3-06-010</t>
  </si>
  <si>
    <t>BDR2022-0008</t>
  </si>
  <si>
    <t>New SFD 5591sqft habitable 1958sqft non-habitable 200sqft decks/porches</t>
  </si>
  <si>
    <t>22-42-16-15-2-06-014</t>
  </si>
  <si>
    <t>BDR2022-0009</t>
  </si>
  <si>
    <t>New SFD 3868sqft habitable 1127sqft non-habitable 675sqft decks/porches Revisions submitted 5/25/22 BN changing location of structure and septic elevations</t>
  </si>
  <si>
    <t>22-42-16-02-3-08-001</t>
  </si>
  <si>
    <t>B22-0045</t>
  </si>
  <si>
    <t>22-41-16-27-3-09-017</t>
  </si>
  <si>
    <t>B22-0066</t>
  </si>
  <si>
    <t>Covered deck addition</t>
  </si>
  <si>
    <t>22-41-16-34-2-12-004</t>
  </si>
  <si>
    <t>BDR2022-0010</t>
  </si>
  <si>
    <t>New SFD 9201sqft habitable 3478sqft non-habitable (Guest House BDR2022-0011) Planning corrections changed floor areas 7000 sqft habitable 1901sqft non-habitable</t>
  </si>
  <si>
    <t>22-40-16-18-3-09-003</t>
  </si>
  <si>
    <t>BDR2022-0011</t>
  </si>
  <si>
    <t>New Guest House 1000sqft habitable 80sqft non-habitable (Main House BDR2022-0010)</t>
  </si>
  <si>
    <t>BDR2022-0012</t>
  </si>
  <si>
    <t>New SFD 4324sqft habitable 1019sqft non-habitable 1255sqft decks/porches (ARU BDR2022-0013)</t>
  </si>
  <si>
    <t>22-42-16-27-3-02-003</t>
  </si>
  <si>
    <t>BDR2022-0013</t>
  </si>
  <si>
    <t>ARU 996 sqft habitable (Main House BDR2022-0012)</t>
  </si>
  <si>
    <t>BDR2022-0014</t>
  </si>
  <si>
    <t>New ARU 1000sqft habitable 944sqft non-habitable 468sqft decks/porches</t>
  </si>
  <si>
    <t>BDR2022-0015</t>
  </si>
  <si>
    <t>Addition 733sqft Remodel 177sqft 406sqft roof top deck</t>
  </si>
  <si>
    <t>22-40-16-18-3-09-004</t>
  </si>
  <si>
    <t>BDR2022-0016</t>
  </si>
  <si>
    <t>SFD 3592 sqft habitable 1999 sqft non-habitable</t>
  </si>
  <si>
    <t>22-44-18-17-4-03-003</t>
  </si>
  <si>
    <t>B22-0081</t>
  </si>
  <si>
    <t>foundation to move building on site</t>
  </si>
  <si>
    <t>22-41-16-34-2-00-027</t>
  </si>
  <si>
    <t>BDR2022-0017</t>
  </si>
  <si>
    <t>ARU 718 sqft habitable 261 sqft non-habitable 131 sqft covered porches</t>
  </si>
  <si>
    <t>B16-0488</t>
  </si>
  <si>
    <t>Change of use- basement laundrey into a residential unit</t>
  </si>
  <si>
    <t>BDR2022-0018</t>
  </si>
  <si>
    <t>SFD 3360 sqft habitable 99 sqft non-habitable 3413sqft decks/porches</t>
  </si>
  <si>
    <t>BDR2020-0218</t>
  </si>
  <si>
    <t>Addition 232 sqft habitable Remodel 334 sqft habitable</t>
  </si>
  <si>
    <t>22-42-17-24-1-01-014</t>
  </si>
  <si>
    <t>BDR2020-0219</t>
  </si>
  <si>
    <t>SFD 2968 sqft habitable (detached garage is BDR2020-0220)</t>
  </si>
  <si>
    <t>22-40-16-35-4-14-002</t>
  </si>
  <si>
    <t>BDR2022-0020</t>
  </si>
  <si>
    <t>Addition 1649sqft habitable 369sqft non-habitable</t>
  </si>
  <si>
    <t>22-41-17-11-1-49-003</t>
  </si>
  <si>
    <t>BDR2022-0021</t>
  </si>
  <si>
    <t>SFD 12975sqft habitable 2107sqft non-habitable 217sqft porches/decks</t>
  </si>
  <si>
    <t>22-41-17-02-3-00-005</t>
  </si>
  <si>
    <t>BDR2022-0022</t>
  </si>
  <si>
    <t>Addition 904sqft habitable 112sqft non-habitable 300sqft decks/porches</t>
  </si>
  <si>
    <t>BDR2022-0023</t>
  </si>
  <si>
    <t xml:space="preserve">SFD 4091sqft habitable 886 sqft non-habitable 654 sqft of covered deck </t>
  </si>
  <si>
    <t>22-44-18-05-2-01-004</t>
  </si>
  <si>
    <t>BDR2020-0220</t>
  </si>
  <si>
    <t>Garage 624 sqft non-habitable (SFD BDR2020-0219)</t>
  </si>
  <si>
    <t>BDR2022-0024</t>
  </si>
  <si>
    <t>ARU 999 sqft habitable 463 sqft decks/porches</t>
  </si>
  <si>
    <t>BDR2022-0025</t>
  </si>
  <si>
    <t>Addition 1134 sqft habitable 247 sqft non-habitable Remodel 332 sqft habitable 250 sqft non-habitable 564 sqft decks/porches</t>
  </si>
  <si>
    <t>22-40-16-17-2-02-135</t>
  </si>
  <si>
    <t>BDR2022-0026</t>
  </si>
  <si>
    <t>New SFD 12456 sqft habitable 1432 sqft non-habitable 1502 sqft decks/porches</t>
  </si>
  <si>
    <t>B22-0111</t>
  </si>
  <si>
    <t>New commercial kitchen</t>
  </si>
  <si>
    <t>22-40-16-06-1-00-029</t>
  </si>
  <si>
    <t>BDR2022-0029</t>
  </si>
  <si>
    <t>SFD 5890 sqft habitable 1022 sqft non-habitable 236 covered patio 196 sqft deck (ARU BDR2022-0030)</t>
  </si>
  <si>
    <t>22-41-17-25-3-00-013</t>
  </si>
  <si>
    <t>BDR2022-0030</t>
  </si>
  <si>
    <t>ARU 1000 sqft habitable (Main House BDR2022-0029)</t>
  </si>
  <si>
    <t>BDR2022-0031</t>
  </si>
  <si>
    <t>SFD 6804 sqft habitable 688 sqft deck</t>
  </si>
  <si>
    <t>BDR2020-0222</t>
  </si>
  <si>
    <t>New Garage 742 SQFT</t>
  </si>
  <si>
    <t>22-41-17-25-3-00-015</t>
  </si>
  <si>
    <t>BDR2020-0223</t>
  </si>
  <si>
    <t>BDR2020-0224</t>
  </si>
  <si>
    <t>Addition 714sqft remodel 1463sqft 780sqft decks</t>
  </si>
  <si>
    <t>BDR2022-0032</t>
  </si>
  <si>
    <t>New SFD 7994sqft habitable 1217sqft non-habitable 1320sqft decks/porches (Gym/yoga studio BDR2022-0033)</t>
  </si>
  <si>
    <t>22-42-16-16-3-00-002</t>
  </si>
  <si>
    <t>BDR2022-0033</t>
  </si>
  <si>
    <t>New Gym and Yoga studio 2514sqft habitable 27sqft non-habitable 200sqft decks/porches (BDR2022-0032 Main house)</t>
  </si>
  <si>
    <t>BDR2022-0034</t>
  </si>
  <si>
    <t>New SFD 3663sqft habitable 1334sqft non-habitable 132sqft cecks/porches</t>
  </si>
  <si>
    <t>BDR2022-0035</t>
  </si>
  <si>
    <t>SFD 4162 sqft habitable 827 sqft non-habitable  987 sqft covered porches</t>
  </si>
  <si>
    <t>22-39-17-11-1-08-004</t>
  </si>
  <si>
    <t>BDR2022-0036</t>
  </si>
  <si>
    <t>Remodel 600 sqft habitable to create office removing 170 sqft</t>
  </si>
  <si>
    <t>22-41-17-33-1-00-013</t>
  </si>
  <si>
    <t>BDR2020-0225</t>
  </si>
  <si>
    <t>Remodel 1202 sqft</t>
  </si>
  <si>
    <t>22-41-17-11-1-29-011</t>
  </si>
  <si>
    <t>BDR2022-0037</t>
  </si>
  <si>
    <t>New SFD 3912sqft habitable 871sqft non0habitable 215sqft decks/porches</t>
  </si>
  <si>
    <t>22-42-16-34-2-02-022</t>
  </si>
  <si>
    <t>BDR2022-0039</t>
  </si>
  <si>
    <t>New SFD 3780sqft habitable 859sqft non-habitable 743sqft decks/porches</t>
  </si>
  <si>
    <t>22-42-16-10-3-10-004</t>
  </si>
  <si>
    <t>BDR2022-0040</t>
  </si>
  <si>
    <t>Addition 2450sqft habitable 708sqft non-habitable 602sqft decks/porches Remodel 1000sqft habitable Revisions submitted 6/17/22 BN Reducing floor area 24sqft and removing some deck.</t>
  </si>
  <si>
    <t>22-42-16-27-1-26-002</t>
  </si>
  <si>
    <t>BDR2022-0041</t>
  </si>
  <si>
    <t xml:space="preserve">ARU 999 sqft habitable 2464 sqft non-habitable 260 sqft  deck </t>
  </si>
  <si>
    <t>22-41-17-23-1-08-001</t>
  </si>
  <si>
    <t>BDR2022-0042</t>
  </si>
  <si>
    <t>ARU 999 sqft habitable</t>
  </si>
  <si>
    <t>B22-0210</t>
  </si>
  <si>
    <t>Addition/remodel to rec center</t>
  </si>
  <si>
    <t>22-41-16-27-3-00-017</t>
  </si>
  <si>
    <t>B22-0211</t>
  </si>
  <si>
    <t>22-41-16-34-2-19-014</t>
  </si>
  <si>
    <t>B16-0499</t>
  </si>
  <si>
    <t>interior remodel/change of use</t>
  </si>
  <si>
    <t>22-41-16-34-2-03-010</t>
  </si>
  <si>
    <t>BDR2022-0043</t>
  </si>
  <si>
    <t>ARU 999.5 sqft habitable 516.8 sqft covered patio (Garage BDR2022-0044)</t>
  </si>
  <si>
    <t>BDR2022-0044</t>
  </si>
  <si>
    <t xml:space="preserve">Garage 558.6 sqft habitable 846.9 sqft non-habitable (ARU BDR2022-0043) </t>
  </si>
  <si>
    <t>B22-0219</t>
  </si>
  <si>
    <t>BDR2020-0228</t>
  </si>
  <si>
    <t>New SFD 4000sqft habitable 989sqft non-habitable</t>
  </si>
  <si>
    <t>22-42-16-22-4-03-002</t>
  </si>
  <si>
    <t>BDR2022-0045</t>
  </si>
  <si>
    <t>SFD 5038 sqft habitable 2197 sqft non-habitable Green design-build is no longer the contractor 6/3/22 BN</t>
  </si>
  <si>
    <t>BDR2022-0046</t>
  </si>
  <si>
    <t>Addition 928sqft habitable 600sqft non-habitable converting 672sqft to habitable 168sqft decks/porches</t>
  </si>
  <si>
    <t>BDR2022-0047</t>
  </si>
  <si>
    <t>New SFD 3926sqft habitable 1050sqft non-habitable 409sqft decks/porches</t>
  </si>
  <si>
    <t>22-40-17-10-3-03-020</t>
  </si>
  <si>
    <t>BDR2020-0229</t>
  </si>
  <si>
    <t>New SFD 4000sqft habitable 840sqft non-habitable</t>
  </si>
  <si>
    <t>22-42-16-15-4-04-008</t>
  </si>
  <si>
    <t>BDR2022-0049</t>
  </si>
  <si>
    <t>New SFD 4993Sqft habitable (BDR2022-0108 garage) (Barn/ARU BDR2022-0050)</t>
  </si>
  <si>
    <t>22-44-18-19-1-00-005</t>
  </si>
  <si>
    <t>BDR2022-0050</t>
  </si>
  <si>
    <t>New ARU &amp; Barn 1025 sqft habitable 933 sqft non-habitable 223 sqft decks/porches (Main house BDR2022-0049)</t>
  </si>
  <si>
    <t>BDR2022-0051</t>
  </si>
  <si>
    <t>Addition 4596sqft habitable 1471sqft non-habitable 210sqft decks/porches 7845sqft habitable remodel 2035sqft non-habitable remodel (converting to habitable)</t>
  </si>
  <si>
    <t>22-38-16-05-3-00-002</t>
  </si>
  <si>
    <t>BDR2022-0052</t>
  </si>
  <si>
    <t>Barn 1354sqft habitable 2144sqft non-habitable 167sqft decks/porches</t>
  </si>
  <si>
    <t>B22-0242</t>
  </si>
  <si>
    <t>22-41-16-27-3-06-007</t>
  </si>
  <si>
    <t>B22-0245</t>
  </si>
  <si>
    <t>remodel and addition to existing bld</t>
  </si>
  <si>
    <t>B22-0250</t>
  </si>
  <si>
    <t>22-41-16-33-1-65-015</t>
  </si>
  <si>
    <t>B16-0501</t>
  </si>
  <si>
    <t>22-41-16-27-3-07-017</t>
  </si>
  <si>
    <t>BDR2022-0053</t>
  </si>
  <si>
    <t>SFD 3512 sqft habitable 720 sqft non-habitable 256 sqft deck revised drawings dated 4/21/22 show habitable floor area of 3457</t>
  </si>
  <si>
    <t>22-41-16-30-2-05-003</t>
  </si>
  <si>
    <t>B22-0256</t>
  </si>
  <si>
    <t>New apartments  Bld #8</t>
  </si>
  <si>
    <t>22-41-16-33-1-20-001</t>
  </si>
  <si>
    <t>B16-0520</t>
  </si>
  <si>
    <t>B22-0258</t>
  </si>
  <si>
    <t>New apartments Bld #7</t>
  </si>
  <si>
    <t>BDR2022-0054</t>
  </si>
  <si>
    <t>Garage 1400 sqft non-habitable (Pool house BDR2022-0055)</t>
  </si>
  <si>
    <t>BDR2022-0055</t>
  </si>
  <si>
    <t>Pool house 1729 sqft habitable 382 sqft non-habitable   (Garage BDR2022-0054) Revision moving structure location 7/27/22 - CW</t>
  </si>
  <si>
    <t>BDR2022-0056</t>
  </si>
  <si>
    <t>Remodel 1232 sqft non-habitable space to make it habitable Plumbing permit work items added 8/23/22 CW Adding catering kitchen to garage, adding bath &amp; bunk rm in basement, changing retaining wall 9/14/22 BN</t>
  </si>
  <si>
    <t>BDR2022-0057</t>
  </si>
  <si>
    <t>Addition 1079.5 sqft habitable 83.8 sqft deck  Remodel 1518 sqft habitable</t>
  </si>
  <si>
    <t>22-42-17-24-3-10-011</t>
  </si>
  <si>
    <t>BDR2022-0058</t>
  </si>
  <si>
    <t xml:space="preserve">SFD 7136 sqft habitable 914 sqft non-habitable </t>
  </si>
  <si>
    <t>22-44-18-31-1-02-005</t>
  </si>
  <si>
    <t>BDR2022-0059</t>
  </si>
  <si>
    <t>ARU 832 sqft habitable 13 sqft non-habitable 258 sqft deck (Addition/Remodel BDR2022-0060)</t>
  </si>
  <si>
    <t>22-41-17-22-3-00-071</t>
  </si>
  <si>
    <t>BDR2022-0060</t>
  </si>
  <si>
    <t>Addition 459 sqft habitable  717 sqft deck  Remodel 418 sqft habitable  (ARU BDR2022-0059)</t>
  </si>
  <si>
    <t>BDR2022-0063</t>
  </si>
  <si>
    <t>SFD 4960 sqft habitable 983 sqft non-habitable (ARU BDR2022-0064)</t>
  </si>
  <si>
    <t>22-44-18-20-2-04-001</t>
  </si>
  <si>
    <t>BDR2022-0064</t>
  </si>
  <si>
    <t>ARU 983 sqft habitable 1313 sqft non-habitable  (Main house BDR2022-0063)</t>
  </si>
  <si>
    <t>BDR2022-0065</t>
  </si>
  <si>
    <t>Addition 770 sqft habitable 20 sqft non-habitable 113 sqft covered porch</t>
  </si>
  <si>
    <t>BDR2022-0066</t>
  </si>
  <si>
    <t>Garage 719 sqft non-habitable</t>
  </si>
  <si>
    <t>BDR2022-0067</t>
  </si>
  <si>
    <t>Fishing Cabin no kitchen 631 sqft habitable 631 sqft non-habitable 867 sqft deck</t>
  </si>
  <si>
    <t>BDR2022-0068</t>
  </si>
  <si>
    <t>Addition 1069 sqft habitable 166 sqft non-habitable 235 sqft deck</t>
  </si>
  <si>
    <t>22-41-16-31-4-01-013</t>
  </si>
  <si>
    <t>BDR2022-0069</t>
  </si>
  <si>
    <t xml:space="preserve">SFD 1246 sqft habitable 1000 sqft non-habitable </t>
  </si>
  <si>
    <t>22-41-17-22-3-00-077</t>
  </si>
  <si>
    <t>BDR2022-0070</t>
  </si>
  <si>
    <t>SFD 3157 sqft habitable 759 sqft non-habitable 129 sqft deck</t>
  </si>
  <si>
    <t>22-38-16-17-1-01-027</t>
  </si>
  <si>
    <t>BDC2022-0004</t>
  </si>
  <si>
    <t>Remodel 26,697 sqft business space  This application has been elevated to the Board of County Commissioners, scheduled 7/19/22</t>
  </si>
  <si>
    <t>B22-0284</t>
  </si>
  <si>
    <t>22-41-16-31-4-14-067</t>
  </si>
  <si>
    <t>B22-0286</t>
  </si>
  <si>
    <t>Addtion to existing home</t>
  </si>
  <si>
    <t>22-41-16-32-1-03-003</t>
  </si>
  <si>
    <t>B22-0287</t>
  </si>
  <si>
    <t>interior remodel of existing home</t>
  </si>
  <si>
    <t>BDR2020-0235</t>
  </si>
  <si>
    <t>New covered porch 414sqft new farm shelter 714sqft</t>
  </si>
  <si>
    <t>BDR2022-0071</t>
  </si>
  <si>
    <t xml:space="preserve">SFD 5968 sqft habitable 1744 sqft non-habitable  </t>
  </si>
  <si>
    <t>22-42-16-15-3-02-005</t>
  </si>
  <si>
    <t>BDR2022-0072</t>
  </si>
  <si>
    <t>Studio 2326 sqft habitable 102 sqft non-habitable</t>
  </si>
  <si>
    <t>BDR2022-0073</t>
  </si>
  <si>
    <t>ARU 998 sqft habitable 2122 sqft non-habitable</t>
  </si>
  <si>
    <t>22-42-16-22-1-00-007</t>
  </si>
  <si>
    <t>BDR2022-0074</t>
  </si>
  <si>
    <t xml:space="preserve"> SFD 1000 sqft habitable 146 sqft covered porch (being added to existing garage)</t>
  </si>
  <si>
    <t>22-44-18-20-4-00-020</t>
  </si>
  <si>
    <t>BDR2022-0075</t>
  </si>
  <si>
    <t>Barn 930 sqft habitable 2353 sqft non-habitable</t>
  </si>
  <si>
    <t>BDR2021-0001</t>
  </si>
  <si>
    <t>Garage 1224 sqft non-habitable</t>
  </si>
  <si>
    <t>22-40-17-35-2-06-003</t>
  </si>
  <si>
    <t>B22-0318</t>
  </si>
  <si>
    <t>22-41-16-33-1-10-010</t>
  </si>
  <si>
    <t>BDR2022-0076</t>
  </si>
  <si>
    <t>ARU 999 sqft habitable 1023 sqft non-habitable 550 sqft deck</t>
  </si>
  <si>
    <t>BDR2022-0077</t>
  </si>
  <si>
    <t>SFD 1305 sqft habitable 1128 sqft non-habitable 689 sqft deck</t>
  </si>
  <si>
    <t>22-40-17-10-3-04-008</t>
  </si>
  <si>
    <t>BDR2022-0078</t>
  </si>
  <si>
    <t>SFD 6879 sqft habitable 875 sqft non-habitable 203 sqft deck</t>
  </si>
  <si>
    <t>22-41-16-16-4-11-001</t>
  </si>
  <si>
    <t>BDC2022-0005</t>
  </si>
  <si>
    <t>Addition 300 sqft Covered Deck   Remodel 1377 sqft</t>
  </si>
  <si>
    <t>BDR2022-0079</t>
  </si>
  <si>
    <t>SFD 7970 sqft habitable 1330 sqft non-habitable 2090 sqft decks/covered porches</t>
  </si>
  <si>
    <t>BDR2021-0003</t>
  </si>
  <si>
    <t>New SFD 4996 SQFT Habitable, 1303 SQ FT Non-Habitable, 313 Sq Ft Decks Planning is waiting on Surety 2/25/2021 JB</t>
  </si>
  <si>
    <t>22-41-16-06-3-03-012</t>
  </si>
  <si>
    <t>BDR2021-0005</t>
  </si>
  <si>
    <t>New SFD 3881sqft habitable 1075sqft non-habitable 425decks Revisions submitted for review adding 72 sqft habitable 11/9/2021  MR</t>
  </si>
  <si>
    <t>22-42-16-22-4-03-001</t>
  </si>
  <si>
    <t>BDR2022-0082</t>
  </si>
  <si>
    <t xml:space="preserve">Barn 5618 sqft non-habitable </t>
  </si>
  <si>
    <t>BDR2022-0084</t>
  </si>
  <si>
    <t>ARU Relocate historic cabin to property  548 sqft habitable Addition 452 sqft habitable deck 473 sqft Revision submitted relocating structure 8/23/22 CW</t>
  </si>
  <si>
    <t>move</t>
  </si>
  <si>
    <t>B22-0345</t>
  </si>
  <si>
    <t>BDR2022-0085</t>
  </si>
  <si>
    <t>SFD 4502.1 sqft habitable 1051.1 sqft non-habitable 336.69 sqft deck</t>
  </si>
  <si>
    <t>22-41-16-20-2-01-111</t>
  </si>
  <si>
    <t>BDR2022-0086</t>
  </si>
  <si>
    <t>Addition 114 sqft habitable Remodel 200 sqft non-habitable</t>
  </si>
  <si>
    <t>22-39-15-31-1-05-002</t>
  </si>
  <si>
    <t>B16-0526</t>
  </si>
  <si>
    <t>roof modifications</t>
  </si>
  <si>
    <t>BDR2022-0087</t>
  </si>
  <si>
    <t>SFD 3776 sqft habitable 784 sqft non-habitable 944 sqft decks</t>
  </si>
  <si>
    <t>22-39-16-14-4-00-026</t>
  </si>
  <si>
    <t>B22-0360</t>
  </si>
  <si>
    <t>B22-0361</t>
  </si>
  <si>
    <t>B22-0362</t>
  </si>
  <si>
    <t>BDR2021-0006</t>
  </si>
  <si>
    <t>SFD 6,070 sqft habitable, 1,154 sqft non-habitable 1,715 sqft decks</t>
  </si>
  <si>
    <t>BDR2021-0008</t>
  </si>
  <si>
    <t>Garage 432sqft non-habitable  (New SFD 1000sqft habitable 349sqft decks/porches BDR2020-0232) Fees applied to BDR2020-0232</t>
  </si>
  <si>
    <t>BDR2022-0088</t>
  </si>
  <si>
    <t>Remodel garage to create an ARU 837.6 sqft habitable  (There may be a discrepancy on the actual square footage effected, but this was entered based off of the application and plan numbers)</t>
  </si>
  <si>
    <t>B22-0407</t>
  </si>
  <si>
    <t>22-41-16-34-2-25-003</t>
  </si>
  <si>
    <t>B16-0579</t>
  </si>
  <si>
    <t>BDR2022-0089</t>
  </si>
  <si>
    <t>Addition 448 sqft habitable 65 sqft deck Remodel 1095 sqft habitable</t>
  </si>
  <si>
    <t>BDC2022-0010</t>
  </si>
  <si>
    <t>110 sqft rooftop box for cell antennas  For the month of May please contact Tom Walker  tom.walker@smartlinkgroup.com since the main contact will be out of the office.</t>
  </si>
  <si>
    <t>BDR2022-0090</t>
  </si>
  <si>
    <t>ARU 998 sqft habitable 598 sqft non-habitable 510 sqft covered porches</t>
  </si>
  <si>
    <t>BDR2022-0091</t>
  </si>
  <si>
    <t>SFD 4159 sqft habitable 824 sqft non-habitable 677 sqft covered porches</t>
  </si>
  <si>
    <t>22-42-16-15-4-03-012</t>
  </si>
  <si>
    <t>BDR2022-0092</t>
  </si>
  <si>
    <t>Addition 1820 sqft habitable 1143 sqft non-habitable Remodel 1679 sqft habitable</t>
  </si>
  <si>
    <t>22-42-16-22-3-08-004</t>
  </si>
  <si>
    <t>BDR2022-0093</t>
  </si>
  <si>
    <t xml:space="preserve">ARU 1000 sqft habitable 500 sqft non-habitable </t>
  </si>
  <si>
    <t>BDR2022-0094</t>
  </si>
  <si>
    <t>Addition 1248 sqft non-habitable Remodel 816 sqft non-habitable</t>
  </si>
  <si>
    <t>BDC2022-0011</t>
  </si>
  <si>
    <t>Shop and employee housing for JH Builders F-1 2715 sqft B 734 sqft R-2 4352 sqft</t>
  </si>
  <si>
    <t>22-40-16-17-4-17-003</t>
  </si>
  <si>
    <t>B22-0430</t>
  </si>
  <si>
    <t>interior alteration/bringing into compliance</t>
  </si>
  <si>
    <t>22-41-16-34-1-27-005</t>
  </si>
  <si>
    <t>BDR2022-0095</t>
  </si>
  <si>
    <t>SFD 3931 sqft habitable 942 sqft non-habitable 973 sqft deck (barn/garage BDR2022-0096)</t>
  </si>
  <si>
    <t>22-44-18-16-3-03-003</t>
  </si>
  <si>
    <t>BDR2022-0096</t>
  </si>
  <si>
    <t>Barn/garage 850 sqft non-habitable (Main house BDR2022-0095)</t>
  </si>
  <si>
    <t>BDR2022-0097</t>
  </si>
  <si>
    <t>ARU 1000 sqft habitable 611 sqft non-habitable 973 sqft covered patios</t>
  </si>
  <si>
    <t>BDR2022-0098</t>
  </si>
  <si>
    <t>SFD 2392 sqft habitable 1185 sqft non-habitable</t>
  </si>
  <si>
    <t>22-42-16-20-3-00-009</t>
  </si>
  <si>
    <t>BDR2022-0099</t>
  </si>
  <si>
    <t xml:space="preserve">SFD 4552 sqft habitable 1486 sqft non-habitable </t>
  </si>
  <si>
    <t>BDR2022-0100</t>
  </si>
  <si>
    <t xml:space="preserve">Bunkhouse 1915 sqft habitable 25 sqft non-habitable </t>
  </si>
  <si>
    <t>B22-0441</t>
  </si>
  <si>
    <t>BDR2021-0015</t>
  </si>
  <si>
    <t>898 sqft habitable 1008 sqft non-habitable</t>
  </si>
  <si>
    <t>22-41-17-26-2-04-001</t>
  </si>
  <si>
    <t>BDC2022-0012</t>
  </si>
  <si>
    <t>New Lime building  F1 380 SQFT, Equilization basin 1750 sqft  Digester basin 900 sqft</t>
  </si>
  <si>
    <t>BDC2022-0013</t>
  </si>
  <si>
    <t>Clarifier building F2 2080 sqft    Chlorine Room  H3 100 sqft</t>
  </si>
  <si>
    <t>BDC2022-0014</t>
  </si>
  <si>
    <t xml:space="preserve">Storage Shed  2300 sqft </t>
  </si>
  <si>
    <t>BDR2022-0101</t>
  </si>
  <si>
    <t>SFD 15136 sqft habitable 3369 sqft non-habitable 1264  sqft decks/covered porches</t>
  </si>
  <si>
    <t>22-42-17-24-4-46-003</t>
  </si>
  <si>
    <t>BDR2022-0102</t>
  </si>
  <si>
    <t xml:space="preserve">SFD 3189 sqft habitable 770 sqft non-habitable (ARU BDR2022-0103) </t>
  </si>
  <si>
    <t>22-44-18-17-1-03-001</t>
  </si>
  <si>
    <t>BDR2022-0103</t>
  </si>
  <si>
    <t xml:space="preserve">ARU 997sqft habitable 997 sqft non-habitable (Main House BDR2022-0102) </t>
  </si>
  <si>
    <t>BDR2022-0104</t>
  </si>
  <si>
    <t>Addition 1006 sqft habitable Remodel 3121 sqft habitable  (Gazebo BDR2022-0105)</t>
  </si>
  <si>
    <t>BDR2022-0105</t>
  </si>
  <si>
    <t>Gazebo 234 sqft</t>
  </si>
  <si>
    <t>BDR2022-0106</t>
  </si>
  <si>
    <t>Remodel 2433 sqft habitable 2105 sqft deck</t>
  </si>
  <si>
    <t>BDR2022-0107</t>
  </si>
  <si>
    <t>SFD 3945 sqft habitable 1603 sqft non-habitable</t>
  </si>
  <si>
    <t>22-40-16-20-2-12-019</t>
  </si>
  <si>
    <t>B22-0464</t>
  </si>
  <si>
    <t>B14-0615</t>
  </si>
  <si>
    <t>New live/work unit</t>
  </si>
  <si>
    <t>BDR2022-0108</t>
  </si>
  <si>
    <t>1749sqft non-habitable Garage (BDR2022-0049 main house) (Barn/ARU BDR2022-0050) Permit and plan review fees paid on BDR2022-0049</t>
  </si>
  <si>
    <t>BDR2022-0109</t>
  </si>
  <si>
    <t>SFD 2463 sqft habitable 1997 sqft decks</t>
  </si>
  <si>
    <t>BDR2022-0110</t>
  </si>
  <si>
    <t xml:space="preserve">SFD 6716.2 sqft habitable 1087.2 sqft non-habitable </t>
  </si>
  <si>
    <t>22-44-18-31-1-02-011</t>
  </si>
  <si>
    <t>BDR2022-0111</t>
  </si>
  <si>
    <t>SFD 3550 sqft habitable 2349 sqft non-habitable 830 covered porches</t>
  </si>
  <si>
    <t>22-41-17-28-1-00-023</t>
  </si>
  <si>
    <t>BDR2021-0027</t>
  </si>
  <si>
    <t>New SFD 3658sqft habitable 875sqft non-habitable</t>
  </si>
  <si>
    <t>22-40-16-20-2-03-088</t>
  </si>
  <si>
    <t>B22-0491</t>
  </si>
  <si>
    <t>Trailer Replacement for spc #16 S</t>
  </si>
  <si>
    <t>B22-0494</t>
  </si>
  <si>
    <t>Add rooftop deck to existing building</t>
  </si>
  <si>
    <t>BDR2022-0112</t>
  </si>
  <si>
    <t>ARU 928 sqft habitable 864 sqft non-habitable 465 sqft deck</t>
  </si>
  <si>
    <t>22-41-17-25-4-04-006</t>
  </si>
  <si>
    <t>BDR2022-0113</t>
  </si>
  <si>
    <t>SFD 2945 sqft habitable 42 sqft non-habitable 320 sqft deck</t>
  </si>
  <si>
    <t>BDR2022-0114</t>
  </si>
  <si>
    <t>New SFD 3324sqft habitable 2040sqft non-habitable 511sqft decks/porches</t>
  </si>
  <si>
    <t>22-45-13-07-4-00-053</t>
  </si>
  <si>
    <t>B22-0500</t>
  </si>
  <si>
    <t>22-41-16-27-3-10-002</t>
  </si>
  <si>
    <t>B22-0502</t>
  </si>
  <si>
    <t>New museum</t>
  </si>
  <si>
    <t>22-41-16-27-3-35-006</t>
  </si>
  <si>
    <t>B14-0619</t>
  </si>
  <si>
    <t>New work/live unit</t>
  </si>
  <si>
    <t>B22-0503</t>
  </si>
  <si>
    <t>22-41-16-34-4-06-002</t>
  </si>
  <si>
    <t>B22-0509</t>
  </si>
  <si>
    <t>Interior remodel of basement</t>
  </si>
  <si>
    <t>22-41-16-34-1-13-016</t>
  </si>
  <si>
    <t>BDR2022-0115</t>
  </si>
  <si>
    <t>New SFD 6869sqft habitable 1396sqft non-habitable 674sqft decks/porches</t>
  </si>
  <si>
    <t>BDR2022-0116</t>
  </si>
  <si>
    <t>New ARU 999.8sqft habitable 1453.25sqft decks/porches</t>
  </si>
  <si>
    <t>BDR2022-0117</t>
  </si>
  <si>
    <t>New Spa Building 999.2sqft habitable 1453.25sqft decks/porches</t>
  </si>
  <si>
    <t>BDR2022-0118</t>
  </si>
  <si>
    <t>SFD 7034sqft habitable 1611sqft non-habitable 318sqft decks/porches (ARU BDR2022-0119)</t>
  </si>
  <si>
    <t>22-42-17-25-1-01-053</t>
  </si>
  <si>
    <t>BDR2022-0119</t>
  </si>
  <si>
    <t>ARU 964sqft habitable 48sqft non-habitable (Main House BDR2022-0118)</t>
  </si>
  <si>
    <t>BDR2022-0120</t>
  </si>
  <si>
    <t>Addition 369sqft habitable 229sqft non-habitable 7992sqft remodel</t>
  </si>
  <si>
    <t>BDR2022-0121</t>
  </si>
  <si>
    <t>New SFD 2492sqft habitable (Garage BDR2022-0122)</t>
  </si>
  <si>
    <t>22-42-16-15-2-06-013</t>
  </si>
  <si>
    <t>BDR2022-0122</t>
  </si>
  <si>
    <t>Detached Garage 1696sqft non-habitable (Main house BDR2022-0121)</t>
  </si>
  <si>
    <t>BDR2022-0123</t>
  </si>
  <si>
    <t>New SFD w/ attached ARU 4161sqft habitable 792sqft non-habitable 921sqft decks/porches</t>
  </si>
  <si>
    <t>22-39-16-26-2-06-003</t>
  </si>
  <si>
    <t>BDR2022-0124</t>
  </si>
  <si>
    <t>New SFD 7095sqft habitable 1763sqft non-habitable 1227sqft decks/porches (Guest House BDR2022-0125)</t>
  </si>
  <si>
    <t>22-41-17-36-3-07-001</t>
  </si>
  <si>
    <t>BDR2022-0125</t>
  </si>
  <si>
    <t>New SFD 835sqft habitable 306sqft non-habitable (Main House BDR2022-0124)</t>
  </si>
  <si>
    <t>BDR2022-0126</t>
  </si>
  <si>
    <t xml:space="preserve">ARU/Barn 1048sqft habitable 1546sqft non-habitable 220sqft decks/porches </t>
  </si>
  <si>
    <t>BDR2022-0127</t>
  </si>
  <si>
    <t>SFD 7383sqft habitable 1896sqft non-habitable</t>
  </si>
  <si>
    <t>22-42-16-27-3-02-020</t>
  </si>
  <si>
    <t>BDR2022-0128</t>
  </si>
  <si>
    <t>Addition 837sqft habitable</t>
  </si>
  <si>
    <t>B22-0550</t>
  </si>
  <si>
    <t>new duplex</t>
  </si>
  <si>
    <t>22-41-16-34-1-28-008</t>
  </si>
  <si>
    <t>B16-0399</t>
  </si>
  <si>
    <t>New 6-unit apartment bld</t>
  </si>
  <si>
    <t>22-41-16-34-1-81-001</t>
  </si>
  <si>
    <t>B22-0551</t>
  </si>
  <si>
    <t>B16-0672</t>
  </si>
  <si>
    <t>New single family with an attached accesory</t>
  </si>
  <si>
    <t>22-41-16-33-1-10-008</t>
  </si>
  <si>
    <t>B22-0555</t>
  </si>
  <si>
    <t>New garage with ARU above</t>
  </si>
  <si>
    <t>B22-0569</t>
  </si>
  <si>
    <t>New apartments Bld #9</t>
  </si>
  <si>
    <t>B22-0570</t>
  </si>
  <si>
    <t>New apartments Bld #5</t>
  </si>
  <si>
    <t>22-41-16-33-1-20-002</t>
  </si>
  <si>
    <t>B22-0571</t>
  </si>
  <si>
    <t>New apartments Bld #6</t>
  </si>
  <si>
    <t>B16-0674</t>
  </si>
  <si>
    <t>B22-0572</t>
  </si>
  <si>
    <t>New apartments Bld #4</t>
  </si>
  <si>
    <t>22-41-16-33-1-20-003</t>
  </si>
  <si>
    <t>B17-0120</t>
  </si>
  <si>
    <t>22-41-16-34-1-35-002</t>
  </si>
  <si>
    <t>BDR2022-0129</t>
  </si>
  <si>
    <t>New shop 3344 sqft non-habitable</t>
  </si>
  <si>
    <t>22-39-16-03-4-00-034</t>
  </si>
  <si>
    <t>BDR2022-0130</t>
  </si>
  <si>
    <t>Remodel 952sqft habitable</t>
  </si>
  <si>
    <t>22-41-17-22-4-00-007</t>
  </si>
  <si>
    <t>BDR2022-0131</t>
  </si>
  <si>
    <t>New SFD 999sqft habitable</t>
  </si>
  <si>
    <t>22-41-17-27-1-01-004</t>
  </si>
  <si>
    <t>BDR2022-0132</t>
  </si>
  <si>
    <t>new SFD (ARU) 1000sqft habitable</t>
  </si>
  <si>
    <t>B22-0576</t>
  </si>
  <si>
    <t>New single Family home</t>
  </si>
  <si>
    <t>22-41-16-27-3-09-015</t>
  </si>
  <si>
    <t>BDR2022-0133</t>
  </si>
  <si>
    <t>SFD 5127 sf Hab 1170 sf NonHab</t>
  </si>
  <si>
    <t>22-42-16-27-3-23-001</t>
  </si>
  <si>
    <t>BDR2022-0134</t>
  </si>
  <si>
    <t xml:space="preserve">ARU/Garage 1044 sf habitable 1010 sf non-habitable </t>
  </si>
  <si>
    <t>BDR2022-0135</t>
  </si>
  <si>
    <t>ARU 965 sf Hab 34 sf Non-Hab</t>
  </si>
  <si>
    <t>B22-0589</t>
  </si>
  <si>
    <t>Interior remodel- parking lot change</t>
  </si>
  <si>
    <t>B22-0606</t>
  </si>
  <si>
    <t>Interior remodel- spa</t>
  </si>
  <si>
    <t>22-41-16-28-4-06-011</t>
  </si>
  <si>
    <t>BDR2022-0136</t>
  </si>
  <si>
    <t>New SFD  (no kitchen) 786sqft habitable 55sqft non-habitable "Norwegian Cabin"</t>
  </si>
  <si>
    <t>BDR2022-0137</t>
  </si>
  <si>
    <t>SFD (no kitchen) 1572sqft habitable "Too Sweet Cabin"</t>
  </si>
  <si>
    <t>BDR2022-0138</t>
  </si>
  <si>
    <t>New SFD 3658sqft habitable 1104sqft non-habitable 518sqft decks/porches</t>
  </si>
  <si>
    <t>BDR2022-0139</t>
  </si>
  <si>
    <t>New SFD 12998sqft habitable 1995sqft non-habitable 1567sqft decks/porches</t>
  </si>
  <si>
    <t>22-41-16-08-1-00-006</t>
  </si>
  <si>
    <t>B22-0608</t>
  </si>
  <si>
    <t>22-41-16-34-4-04-022</t>
  </si>
  <si>
    <t>B22-0613</t>
  </si>
  <si>
    <t>New single family with detached garage</t>
  </si>
  <si>
    <t>22-41-16-34-1-21-031</t>
  </si>
  <si>
    <t>B17-0143</t>
  </si>
  <si>
    <t>22-41-16-27-3-07-001</t>
  </si>
  <si>
    <t>BDC2022-0015</t>
  </si>
  <si>
    <t>Addition 3391sqft A2 dining area New A5 Swimming Pool Bar/lounge area 1440sqft New Pool equipment rm 548sqft Covered porches/decks 780sqft</t>
  </si>
  <si>
    <t>BDR2022-0140</t>
  </si>
  <si>
    <t>New SFD 6161sqft habitable 1369sqft non-habitable 1761sqft decks/porches</t>
  </si>
  <si>
    <t>BDR2022-0141</t>
  </si>
  <si>
    <t>New SFD 1148sqft habitable 765sqft non-habitable 440sqft decks/porches</t>
  </si>
  <si>
    <t>22-40-17-35-2-06-001</t>
  </si>
  <si>
    <t>BDR2021-0030</t>
  </si>
  <si>
    <t>New SFD 3036sqft Habitable 819sqft non-habitable</t>
  </si>
  <si>
    <t>22-42-16-27-1-28-006</t>
  </si>
  <si>
    <t>BDR2022-0143</t>
  </si>
  <si>
    <t>Addition 544sqft habitable 1302sqft remodel habitable</t>
  </si>
  <si>
    <t>22-41-16-21-1-11-037</t>
  </si>
  <si>
    <t>BDR2022-0144</t>
  </si>
  <si>
    <t>New SFD 2988sqft habitable 800sqft non-habitable 959sqft decks/porches</t>
  </si>
  <si>
    <t>22-42-16-22-3-00-061</t>
  </si>
  <si>
    <t>BDR2022-0145</t>
  </si>
  <si>
    <t>New SFD 5431sqft habitable 1545sqft non-habitable (ARU BDR2022-0146)</t>
  </si>
  <si>
    <t>22-42-16-27-3-05-006</t>
  </si>
  <si>
    <t>BDR2022-0146</t>
  </si>
  <si>
    <t>New SFD 997sqft habitable (Main House BDR2022-0145)</t>
  </si>
  <si>
    <t>BDR2022-0147</t>
  </si>
  <si>
    <t>Addition 616sqft habitable 680sqft non-habitable</t>
  </si>
  <si>
    <t>BDR2022-0148</t>
  </si>
  <si>
    <t>New SFD 8365sqft habitable 1923sqft non-habitable (ARU BDR2022-0149)</t>
  </si>
  <si>
    <t>22-41-16-04-4-00-001</t>
  </si>
  <si>
    <t>BDR2022-0149</t>
  </si>
  <si>
    <t>New SFD 999sqft habitable (Main House BDR2022-0148)</t>
  </si>
  <si>
    <t>B17-0165</t>
  </si>
  <si>
    <t>BDR2022-0150</t>
  </si>
  <si>
    <t>New SFD 4165sqft habitable 516sqft decks/porches (ARU BDR2022-0151 Garage BDR2022-0152)</t>
  </si>
  <si>
    <t>22-41-17-12-3-00-022</t>
  </si>
  <si>
    <t>BDR2022-0151</t>
  </si>
  <si>
    <t>New SFD 990sqft habitable (Main house BDR2022-0150 Garage BDR2022-0152)</t>
  </si>
  <si>
    <t>BDR2022-0152</t>
  </si>
  <si>
    <t>Detached Garage 701sqft habitable 1066sqft non-habitable (Main house BDR2022-0150 ARU BDR2022-0151)</t>
  </si>
  <si>
    <t>B22-0653</t>
  </si>
  <si>
    <t>BDR2021-0032</t>
  </si>
  <si>
    <t>New SFD 5028 sqft habitable 1120sqft non-habitable 119sqft decks/porches (shop is BDR2021-0033)</t>
  </si>
  <si>
    <t>BDR2022-0153</t>
  </si>
  <si>
    <t>New SFD 2458sqft habitable 1048sqft non-habitable</t>
  </si>
  <si>
    <t>22-43-18-06-1-00-004</t>
  </si>
  <si>
    <t>BDR2022-0154</t>
  </si>
  <si>
    <t xml:space="preserve">Addition 780sqft habitable Remodel 2364sqft habitable </t>
  </si>
  <si>
    <t>22-41-17-12-3-00-032</t>
  </si>
  <si>
    <t>BDR2022-0155</t>
  </si>
  <si>
    <t>New SFD w/ attached ARU 3795sqft habitable 1600sqft non-habitable 192sqft decks/porches</t>
  </si>
  <si>
    <t>22-39-17-11-1-08-008</t>
  </si>
  <si>
    <t>BDC2022-0016</t>
  </si>
  <si>
    <t>Tenant improvement 3437sqft Habitable</t>
  </si>
  <si>
    <t>BDC2022-0017</t>
  </si>
  <si>
    <t>Remodel 1246sqft habitable</t>
  </si>
  <si>
    <t>B22-0688</t>
  </si>
  <si>
    <t>remodel basement and add lower level entry</t>
  </si>
  <si>
    <t>22-41-16-34-1-29-015</t>
  </si>
  <si>
    <t>BDR2022-0156</t>
  </si>
  <si>
    <t>SFD 985sqft habitable</t>
  </si>
  <si>
    <t>BDR2022-0157</t>
  </si>
  <si>
    <t>Addition 4627sqft habitable 594sqft non-habitable Remodel 3373sqft habitable 665sqft non-habitable 1052sqft decks/porches</t>
  </si>
  <si>
    <t>BDR2022-0158</t>
  </si>
  <si>
    <t>Garage 2184sqft non-habitable</t>
  </si>
  <si>
    <t>22-44-18-17-1-00-004</t>
  </si>
  <si>
    <t>BDR2022-0159</t>
  </si>
  <si>
    <t>SFD 5482.9sqft habitable 909.1sqft non-habitable 129.2sqft decks/porches (Studio BDR2022-0160, Dog Barn BDR2022-0161)</t>
  </si>
  <si>
    <t>22-41-16-04-1-00-017</t>
  </si>
  <si>
    <t>BDR2022-0160</t>
  </si>
  <si>
    <t>Studio/gym 431.1sqft habitable 30sqft decks/porches (Main house BDR2022-0159, Dog Barn BDR2022-0161)</t>
  </si>
  <si>
    <t>BDR2022-0161</t>
  </si>
  <si>
    <t>Dog Barn 792.7sqft habitable 484.6sqft non-habitable 984.2sqft decks/porches (Main house BDR2022-0159, Studio BDR2022-0160)</t>
  </si>
  <si>
    <t>BDR2022-0162</t>
  </si>
  <si>
    <t>remodel 7608sqft habitable 1432sqft non-habitable 762sqft decks/porches</t>
  </si>
  <si>
    <t>B22-0698</t>
  </si>
  <si>
    <t>install egress window in basement</t>
  </si>
  <si>
    <t>22-41-16-33-4-18-004</t>
  </si>
  <si>
    <t>BDR2022-0163</t>
  </si>
  <si>
    <t>Addition 123sqft habitable 1011sqft non-habitable 302sqft decks/porches 246sqft habitable remodel</t>
  </si>
  <si>
    <t>22-43-18-07-1-01-003</t>
  </si>
  <si>
    <t>BDR2022-0164</t>
  </si>
  <si>
    <t>Addition 1254.3sqft habitable 216sqft non-habitable 2552.9sqft habitable remodel</t>
  </si>
  <si>
    <t>22-41-17-11-4-16-017</t>
  </si>
  <si>
    <t>BDR2022-0165</t>
  </si>
  <si>
    <t>New SFD 6393sqft habitable 1275sqft non-habitable 525sqft decks/porches (Guest House BDR2022-0166 &amp; Pond House BDR2022-0167)</t>
  </si>
  <si>
    <t>22-41-17-34-1-00-014</t>
  </si>
  <si>
    <t>BDR2022-0166</t>
  </si>
  <si>
    <t>New SFD 1000sqft habitable (Main House BDR2022-0165&amp; Pond House BDR2022-0167)</t>
  </si>
  <si>
    <t>BDR2022-0167</t>
  </si>
  <si>
    <t>New Pond house 600sqft habitable 650sqft non-habitable 875sqft decks/porches (Main House BDR2022-0165 &amp; Guest House BDR2022-0166)</t>
  </si>
  <si>
    <t>B22-0709</t>
  </si>
  <si>
    <t>22-41-16-27-3-08-003</t>
  </si>
  <si>
    <t>B22-0714</t>
  </si>
  <si>
    <t>Install two egress windows</t>
  </si>
  <si>
    <t>22-41-16-34-1-38-011</t>
  </si>
  <si>
    <t>B22-0720</t>
  </si>
  <si>
    <t>interior remodel/repair</t>
  </si>
  <si>
    <t>22-41-16-32-4-05-004</t>
  </si>
  <si>
    <t>BDR2022-0168</t>
  </si>
  <si>
    <t>Addition 1473sqft habitable remodel 1085sqft habitable</t>
  </si>
  <si>
    <t>22-42-16-27-4-03-002</t>
  </si>
  <si>
    <t>BDR2022-0169</t>
  </si>
  <si>
    <t>New SFD 12510sqft habitable 1631sqft non-habitable 2436sqft decks/porches (ARU BDR2022-0170)</t>
  </si>
  <si>
    <t>22-40-17-12-1-01-008</t>
  </si>
  <si>
    <t>BDR2022-0170</t>
  </si>
  <si>
    <t>New ARU 668sqft habitable 438sqft non-habitable 142sqft decks/porches (main house BDR2022-0169)</t>
  </si>
  <si>
    <t>BDR2022-0171</t>
  </si>
  <si>
    <t>Addition 1759sqft habitable 192sqft non-habitable (This is for the detached garage) 576sqft non-habitable remodel (detached garage)</t>
  </si>
  <si>
    <t>22-42-16-15-4-03-004</t>
  </si>
  <si>
    <t>BDR2022-0172</t>
  </si>
  <si>
    <t xml:space="preserve">Addition 460sqft habitable 890sqft habitable remodel </t>
  </si>
  <si>
    <t>BDR2022-0173</t>
  </si>
  <si>
    <t>Remodel 2924sqft habitable 345sqft decks/porches</t>
  </si>
  <si>
    <t>22-42-16-09-4-00-003</t>
  </si>
  <si>
    <t>BDR2022-0174</t>
  </si>
  <si>
    <t>Addition 317sqft habitable remodel 2682sqft habitable 576sqft decks/porches</t>
  </si>
  <si>
    <t>22-41-16-30-2-02-002</t>
  </si>
  <si>
    <t>BDR2022-0175</t>
  </si>
  <si>
    <t>New SFD 4212sqft habitable 676sqft non-habitable 299sqft deck (guest house BDR2022-0176)</t>
  </si>
  <si>
    <t>22-41-17-22-2-03-001</t>
  </si>
  <si>
    <t>BDR2022-0176</t>
  </si>
  <si>
    <t>Remodel 691sqft habitable to convert to guest house (main house BDR2022-0175)</t>
  </si>
  <si>
    <t>B22-0723</t>
  </si>
  <si>
    <t>Addition of enclosed stairs &amp; interior remodel</t>
  </si>
  <si>
    <t>B22-0724</t>
  </si>
  <si>
    <t>Add a egress window in basement</t>
  </si>
  <si>
    <t>22-41-16-33-4-18-003</t>
  </si>
  <si>
    <t>BDR2022-0177</t>
  </si>
  <si>
    <t>New SFD 5688sqft habitable 968sqft non-habitable 1264sqft decks/porches</t>
  </si>
  <si>
    <t>BDR2022-0179</t>
  </si>
  <si>
    <t>ARU/Garage addition 1575sqft habitable 1667sqft non-habitable 137sqft deck</t>
  </si>
  <si>
    <t>22-40-16-21-2-01-020</t>
  </si>
  <si>
    <t>B17-0220</t>
  </si>
  <si>
    <t>New credit union</t>
  </si>
  <si>
    <t>22-41-16-32-4-13-003</t>
  </si>
  <si>
    <t>B17-0592</t>
  </si>
  <si>
    <t>New detached accessory</t>
  </si>
  <si>
    <t>22-41-16-34-1-28-003</t>
  </si>
  <si>
    <t>BDC2014-0001</t>
  </si>
  <si>
    <t xml:space="preserve">New 5-story mixed use residential and hotel building (8 condos, condo lounge, restuarant/bar, coffee shop, retail space, spa/locker room, 2 employee housing units, basement level parking) </t>
  </si>
  <si>
    <t>BDR2015-0042</t>
  </si>
  <si>
    <t>demo existing, and build new 4-bedroom, 6-bath SFD w/ attached garage</t>
  </si>
  <si>
    <t>22-40-17-10-2-00-002</t>
  </si>
  <si>
    <t>BDR2015-0137</t>
  </si>
  <si>
    <t>New SFD with 4 bedrooms and 5 bath.  10/29/15  Revision cover added to patio</t>
  </si>
  <si>
    <t>B22-0738</t>
  </si>
  <si>
    <t>New 3 story mixed use building</t>
  </si>
  <si>
    <t>9928-9932</t>
  </si>
  <si>
    <t>STR</t>
  </si>
  <si>
    <t>BDR2022-0180</t>
  </si>
  <si>
    <t>New Garage/Barn 1460sqft non-habitable</t>
  </si>
  <si>
    <t>B22-0746</t>
  </si>
  <si>
    <t>22-41-16-34-2-19-003</t>
  </si>
  <si>
    <t>BDR2016-0054</t>
  </si>
  <si>
    <t>New SFD 2 bedrooms, 3 baths, garage</t>
  </si>
  <si>
    <t>B22-0747</t>
  </si>
  <si>
    <t>move/change existing trailer to a duplex</t>
  </si>
  <si>
    <t>B22-0748</t>
  </si>
  <si>
    <t>move/change existing trailer into a duples</t>
  </si>
  <si>
    <t>BDR2021-0033</t>
  </si>
  <si>
    <t>Garage/Shop 1024sqft non-habitable (house is BDR2021-0032)</t>
  </si>
  <si>
    <t>B22-0755</t>
  </si>
  <si>
    <t>new apartments Bld #3</t>
  </si>
  <si>
    <t>22-41-16-33-1-24-004</t>
  </si>
  <si>
    <t>BDR2016-0085</t>
  </si>
  <si>
    <t xml:space="preserve">New SFD 5 bedrooms, 5 1/2 baths, attached garage; 10-17-16 revision of covered walkway </t>
  </si>
  <si>
    <t>22-41-17-12-2-03-011</t>
  </si>
  <si>
    <t>BDR2022-0181</t>
  </si>
  <si>
    <t>addition2211.7sqft habitable 146.52sqft non-habitable 116sqft decks Remodel 880.23sqft habitable</t>
  </si>
  <si>
    <t>22-42-16-10-4-06-012</t>
  </si>
  <si>
    <t>BDR2022-0182</t>
  </si>
  <si>
    <t>New SFD 1332Sqft habitable 364sqft decks/porches</t>
  </si>
  <si>
    <t>BDR2022-0183</t>
  </si>
  <si>
    <t>Remodel kitchen 350sqft habitable</t>
  </si>
  <si>
    <t>22-41-16-19-1-04-003</t>
  </si>
  <si>
    <t>BDR2022-0184</t>
  </si>
  <si>
    <t>New SFD 1994sqft habitable 940sqft decks/porches</t>
  </si>
  <si>
    <t>22-39-16-13-1-00-003</t>
  </si>
  <si>
    <t>BDR2022-0185</t>
  </si>
  <si>
    <t>New SFD 2561sqft habitable 2403sqft non-habitable</t>
  </si>
  <si>
    <t>22-42-15-10-1-13-005</t>
  </si>
  <si>
    <t>BDR2022-0186</t>
  </si>
  <si>
    <t>New SFD 896sqft habitable 200sqft decks/porches (Garage/Office BDR2022-0187)</t>
  </si>
  <si>
    <t>22-41-17-12-3-00-047</t>
  </si>
  <si>
    <t>BDR2022-0187</t>
  </si>
  <si>
    <t>New Garage/Office 781sqft habitable 1208sqft non-habitable 1056sqft decks/porches</t>
  </si>
  <si>
    <t>BDR2022-0188</t>
  </si>
  <si>
    <t>Barn/ARU 800sqft habitable 1600sqft non-habitable 525sqft non-habitable remodel</t>
  </si>
  <si>
    <t>22-40-16-29-2-01-011</t>
  </si>
  <si>
    <t>B22-0774</t>
  </si>
  <si>
    <t>interior remodel-new loft-change of use</t>
  </si>
  <si>
    <t>B22-0776</t>
  </si>
  <si>
    <t>New apartment Bld- #2</t>
  </si>
  <si>
    <t>B22-0777</t>
  </si>
  <si>
    <t>New apartment bld- #1</t>
  </si>
  <si>
    <t>22-41-16-33-1-24-005</t>
  </si>
  <si>
    <t>BDR2022-0189</t>
  </si>
  <si>
    <t>ARU 1000sqft habitable 1333sqft non-habitable 417sqft decks/porches</t>
  </si>
  <si>
    <t>BDR2016-0104</t>
  </si>
  <si>
    <t>New SFD 3 bedrooms, 3 bathrooms, attached garage</t>
  </si>
  <si>
    <t>22-41-17-27-1-03-010</t>
  </si>
  <si>
    <t>BDR2022-0190</t>
  </si>
  <si>
    <t>SFD 7119sqft habitable 960sqft non-habitable 2655sqft decks/porches (guest house BDR2022-0191)</t>
  </si>
  <si>
    <t>BDR2022-0191</t>
  </si>
  <si>
    <t>SFD 1188sqft habitable 588sqft non-habitable  (main house BDR2022-0190) (building permit plan check fee paid on BDR2022-0190 building permit fee for BDR2022-0190 is also included)</t>
  </si>
  <si>
    <t>BDR2022-0192</t>
  </si>
  <si>
    <t>open air outdoor pavilion/kitchen and entry gate 600sqft non-habitable</t>
  </si>
  <si>
    <t>BDR2022-0193</t>
  </si>
  <si>
    <t>addition 2820sqft habitable 680sqft decks/porches</t>
  </si>
  <si>
    <t>22-44-18-17-1-02-001</t>
  </si>
  <si>
    <t>BDC2022-0018</t>
  </si>
  <si>
    <t>alteration 400sqft habitable</t>
  </si>
  <si>
    <t>B22-0804</t>
  </si>
  <si>
    <t>remodel to convert studio to 1 bedroom</t>
  </si>
  <si>
    <t>BDR2017-0001</t>
  </si>
  <si>
    <t>new SFD 6 bedrooms, 4 full bathrooms, 2 half bathrooms, attached garage</t>
  </si>
  <si>
    <t>22-41-17-12-3-05-005</t>
  </si>
  <si>
    <t>BDR2017-0087</t>
  </si>
  <si>
    <t>SFD 3 bedrooms, 2 bathrooms, attached garage</t>
  </si>
  <si>
    <t>22-41-17-15-3-02-002</t>
  </si>
  <si>
    <t>B22-0809</t>
  </si>
  <si>
    <t>New 48 unit apartment bld</t>
  </si>
  <si>
    <t>15434-15435</t>
  </si>
  <si>
    <t>BDR2022-0195</t>
  </si>
  <si>
    <t>Remodel 576sqft habitable</t>
  </si>
  <si>
    <t>BDR2022-0196</t>
  </si>
  <si>
    <t>SFD 3541sf habitable 938sf Garage</t>
  </si>
  <si>
    <t>22-40-16-20-2-01-022</t>
  </si>
  <si>
    <t>BDR2022-0197</t>
  </si>
  <si>
    <t>Addition 288 sf non-hab 288 sf deck</t>
  </si>
  <si>
    <t>BDR2022-0198</t>
  </si>
  <si>
    <t>New SFD 3862sqft habitable 679sqft non-habitable</t>
  </si>
  <si>
    <t>22-40-17-12-4-01-050</t>
  </si>
  <si>
    <t>BDR2022-0199</t>
  </si>
  <si>
    <t>New SFD 3871sqft habitable 991sqft non-habitable 2281sqft decks/porches</t>
  </si>
  <si>
    <t>BDR2022-0200</t>
  </si>
  <si>
    <t>Garage/Spa 575sqft habitable 698sqft non-habitable</t>
  </si>
  <si>
    <t>MIS2022-0110</t>
  </si>
  <si>
    <t>turning part of garage to habitable mudroom 70.7sqft replacing windows</t>
  </si>
  <si>
    <t>22-42-16-27-3-19-001</t>
  </si>
  <si>
    <t>MIS2022-0111</t>
  </si>
  <si>
    <t>Addition to barn 300sqft non-habitable</t>
  </si>
  <si>
    <t>22-41-17-27-1-02-007</t>
  </si>
  <si>
    <t>BDR2022-0201</t>
  </si>
  <si>
    <t>New SFD 1979sqft habitable 39sqft decks/porches</t>
  </si>
  <si>
    <t>22-41-17-21-2-00-009</t>
  </si>
  <si>
    <t>BDR2022-0202</t>
  </si>
  <si>
    <t>ARU 991sqft habitable 1263sqft non-habitable 254sqft decks/porches</t>
  </si>
  <si>
    <t>BDR2022-0203</t>
  </si>
  <si>
    <t>New SFD 3043sqft habitable 1587sqft non-habitable 1066sqft decks/porches</t>
  </si>
  <si>
    <t>22-40-16-35-2-07-003</t>
  </si>
  <si>
    <t>BDR2022-0204</t>
  </si>
  <si>
    <t>addition 33sqft habitable 131sqft non-habitable remodel 3853sqft habitable 576sqft non-habitable</t>
  </si>
  <si>
    <t>22-41-17-34-4-17-001</t>
  </si>
  <si>
    <t>BDR2022-0205</t>
  </si>
  <si>
    <t>addition 300sqft habitable 643sqft remodel removing 300sqft non-habitable from guest house</t>
  </si>
  <si>
    <t>B22-0837</t>
  </si>
  <si>
    <t>Change temp fire station into assembly</t>
  </si>
  <si>
    <t>BDR2022-0206</t>
  </si>
  <si>
    <t>New SFD 810sqft habitable 1080sqft non-habitable</t>
  </si>
  <si>
    <t>22-41-17-12-2-09-006</t>
  </si>
  <si>
    <t>BDR2022-0207</t>
  </si>
  <si>
    <t>New SFD 1000sqft habitable 1000sqft non-habitable 620sqft decks/porches</t>
  </si>
  <si>
    <t>22-44-18-17-2-03-003</t>
  </si>
  <si>
    <t>MIS2022-0113</t>
  </si>
  <si>
    <t>rebuild 700sqft deck adding 260sqft of deck</t>
  </si>
  <si>
    <t>22-41-17-33-4-05-004</t>
  </si>
  <si>
    <t>BDR2022-0208</t>
  </si>
  <si>
    <t>New SFD (ARU) 998sqft habitable 575sqft decks/porches</t>
  </si>
  <si>
    <t>22-41-16-06-3-05-022</t>
  </si>
  <si>
    <t>MIS2022-0114</t>
  </si>
  <si>
    <t>extend deck 343sqft</t>
  </si>
  <si>
    <t>22-41-17-23-1-09-007</t>
  </si>
  <si>
    <t>B22-0866</t>
  </si>
  <si>
    <t>B22-0878</t>
  </si>
  <si>
    <t>22-41-16-27-3-01-017</t>
  </si>
  <si>
    <t>BDR2018-0009</t>
  </si>
  <si>
    <t>New SFD 7089 sq ft habitable 832 sq ft non-habitable; Revisions changing the entire floor plan submitted for review 10/19/2018    New square footages are as follows:   3296 sqft habitable 624 sqft non-habitable</t>
  </si>
  <si>
    <t>BDC2022-0019</t>
  </si>
  <si>
    <t>Hanger 3 35,209sqt S1 IIB, 8200sqft F1 IIB, 621sqft B IIB</t>
  </si>
  <si>
    <t>22-42-16-14-3-00-002</t>
  </si>
  <si>
    <t>BDR2021-0062</t>
  </si>
  <si>
    <t>New barn 1500sqft non-habitable **OFFICE DRAWINGS**  Are located in the permit folder.</t>
  </si>
  <si>
    <t>BDR2022-0209</t>
  </si>
  <si>
    <t>garage 171sqft habitable 513sqft non-habitable 304sqft decks/porches</t>
  </si>
  <si>
    <t>BDR2022-0210</t>
  </si>
  <si>
    <t>New SFD 1494sqft habitable</t>
  </si>
  <si>
    <t>22-42-15-10-1-20-004</t>
  </si>
  <si>
    <t>BDR2022-0211</t>
  </si>
  <si>
    <t>New SFD 3360sqft habitable 856sqft non-habitable 704sqft decks/porches</t>
  </si>
  <si>
    <t>BDR2022-0212</t>
  </si>
  <si>
    <t>New SFD 12842sqft habitable 8417sqft non-habitable</t>
  </si>
  <si>
    <t>22-41-16-10-1-00-008</t>
  </si>
  <si>
    <t>BDR2022-0213</t>
  </si>
  <si>
    <t>Addition 804sqft habitable remodel 1258sqft habitable 59sqft decks/porches</t>
  </si>
  <si>
    <t>22-42-15-10-1-15-002</t>
  </si>
  <si>
    <t>BDR2022-0214</t>
  </si>
  <si>
    <t>interior remodel 800sqft habitable</t>
  </si>
  <si>
    <t>BDR2022-0215</t>
  </si>
  <si>
    <t>New Barn 2304sqft non-habitable</t>
  </si>
  <si>
    <t>B22-0907</t>
  </si>
  <si>
    <t>interior remodel and floor addition</t>
  </si>
  <si>
    <t>22-41-16-32-4-04-003</t>
  </si>
  <si>
    <t>New 15 unit apartment bld</t>
  </si>
  <si>
    <t>MIS2022-0120</t>
  </si>
  <si>
    <t>Remove old shake roof 7 reinstall asphalt shingle roof</t>
  </si>
  <si>
    <t>22-39-16-14-4-00-040</t>
  </si>
  <si>
    <t>BDR2022-0216</t>
  </si>
  <si>
    <t>Addition 5885.5 sqft habitable 642sqft non-habitable 4574sqft habitable remodel 1541sqft decks/porches</t>
  </si>
  <si>
    <t>BDR2022-0217</t>
  </si>
  <si>
    <t>1080 sf non-habitable garage</t>
  </si>
  <si>
    <t>MIS2022-0123</t>
  </si>
  <si>
    <t>Changing roof pitch 157.57sqft</t>
  </si>
  <si>
    <t>22-40-16-17-2-02-132</t>
  </si>
  <si>
    <t>BDR2022-0218</t>
  </si>
  <si>
    <t>New SFD 4853sqft habitable 3060sqft non-habitable (Detached Garage BDR2022-0219)</t>
  </si>
  <si>
    <t>22-42-16-03-4-00-021</t>
  </si>
  <si>
    <t>BDR2022-0219</t>
  </si>
  <si>
    <t>New Garage 728sqft  non-habitable (Main House BDR2022-0218)</t>
  </si>
  <si>
    <t>BDR2022-0220</t>
  </si>
  <si>
    <t>New SFD 999sqft habitable 844sqft non-habitable</t>
  </si>
  <si>
    <t>BDR2022-0221</t>
  </si>
  <si>
    <t>New barn 2400sqft non-habitable</t>
  </si>
  <si>
    <t>BDR2022-0222</t>
  </si>
  <si>
    <t>New SFD 12046sqft habitable 3640sqft non-habitable (ARU BDR2022-0223)</t>
  </si>
  <si>
    <t>22-40-17-04-4-00-004</t>
  </si>
  <si>
    <t>BDR2022-0223</t>
  </si>
  <si>
    <t>New ARU 713sqft habitable 713sqft non-habitable (main house BDR2022-0222)</t>
  </si>
  <si>
    <t>B22-0954</t>
  </si>
  <si>
    <t>B22-0957</t>
  </si>
  <si>
    <t>new gable overhang</t>
  </si>
  <si>
    <t>22-41-16-34-2-00-006</t>
  </si>
  <si>
    <t>BDR2022-0224</t>
  </si>
  <si>
    <t>Utility Building (main house BDR2022-0127)</t>
  </si>
  <si>
    <t>BDC2022-0021</t>
  </si>
  <si>
    <t>Addition 3857sqft Remodel 5981sqft</t>
  </si>
  <si>
    <t>22-41-16-21-2-16-001</t>
  </si>
  <si>
    <t>BDR2022-0225</t>
  </si>
  <si>
    <t>New ARU 998sqft habitable 88sqft non-habitable</t>
  </si>
  <si>
    <t>22-44-18-20-3-16-001</t>
  </si>
  <si>
    <t>BDR2022-0226</t>
  </si>
  <si>
    <t>New SFD 3663sqft habitable 1334sqft non-habitable 2864sqft decks/porches (Bunk House BDR2022-0227)</t>
  </si>
  <si>
    <t>BDR2022-0227</t>
  </si>
  <si>
    <t>New SFD 1384sqft habitable 28sqft non-habitable 280sqft decks/porches (Main house BDR2022-0226)</t>
  </si>
  <si>
    <t>BDR2022-0228</t>
  </si>
  <si>
    <t>New SFD 4087sqft habitable 898sqft non-habitable (Garage BDR2022-0229)</t>
  </si>
  <si>
    <t>22-41-17-01-4-06-006</t>
  </si>
  <si>
    <t>BDR2022-0229</t>
  </si>
  <si>
    <t>Garage 82sqft habitable 1007sqft non-habitable (House BDR2022-0228)</t>
  </si>
  <si>
    <t>BDR2022-0230</t>
  </si>
  <si>
    <t>Addition 1758sqft habitable</t>
  </si>
  <si>
    <t>BDR2022-0231</t>
  </si>
  <si>
    <t>New SFD 7908sqft habitable 1268sqft non-habitable</t>
  </si>
  <si>
    <t>BDR2022-0232</t>
  </si>
  <si>
    <t>New barn 1452sqft non-habitable</t>
  </si>
  <si>
    <t>22-44-18-20-1-00-004</t>
  </si>
  <si>
    <t>BDR2022-0233</t>
  </si>
  <si>
    <t>new barn 900sqft non-habitable</t>
  </si>
  <si>
    <t>22-40-16-18-3-00-041</t>
  </si>
  <si>
    <t>BDR2022-0234</t>
  </si>
  <si>
    <t>New Barn 1266.2 Sq Ft Habitable 4669 Sq Ft Non Habitable 40.7 Sq Ft Deck</t>
  </si>
  <si>
    <t>22-41-16-04-2-00-012</t>
  </si>
  <si>
    <t>MIS2022-0125</t>
  </si>
  <si>
    <t>Remodel 125.10 SQ FT. Habitable &amp; 23.02 SQ FT Non Habitable &amp; 186.55 Sq FT Deck</t>
  </si>
  <si>
    <t>B22-0977</t>
  </si>
  <si>
    <t>remodel existing basement</t>
  </si>
  <si>
    <t>22-41-16-33-3-07-008</t>
  </si>
  <si>
    <t>BDR2022-0235</t>
  </si>
  <si>
    <t>Addition 1161 sq ft habitable, 218 sq ft non-habitable, remodel 167 sq ft, 1350 sq ft deck</t>
  </si>
  <si>
    <t>22-40-17-35-2-02-004</t>
  </si>
  <si>
    <t>BDR2022-0236</t>
  </si>
  <si>
    <t>780 sq ft garage non habitable, 376 sq ft deck</t>
  </si>
  <si>
    <t>22-41-17-27-2-00-020</t>
  </si>
  <si>
    <t>B22-0992</t>
  </si>
  <si>
    <t>B22-0993</t>
  </si>
  <si>
    <t>B22-0994</t>
  </si>
  <si>
    <t>BDR2022-0237</t>
  </si>
  <si>
    <t>New SFD 10,780sq. ft. Habitable, 941 sq. ft. non habitable</t>
  </si>
  <si>
    <t>MIS2022-0127</t>
  </si>
  <si>
    <t>Garage interior remodel</t>
  </si>
  <si>
    <t>22-41-15-18-4-01-005</t>
  </si>
  <si>
    <t>MIS2022-0128</t>
  </si>
  <si>
    <t>New Foundation 490 sq ft, 350 sq ft deck</t>
  </si>
  <si>
    <t>B17-0071</t>
  </si>
  <si>
    <t>22-41-16-34-3-06-001</t>
  </si>
  <si>
    <t>MIS2022-0129</t>
  </si>
  <si>
    <t>ReRoof</t>
  </si>
  <si>
    <t>BDC2022-0022</t>
  </si>
  <si>
    <t>Remodel</t>
  </si>
  <si>
    <t>BDR2022-0239</t>
  </si>
  <si>
    <t>SFD 192sf hab addition 1205sf hab remodel</t>
  </si>
  <si>
    <t>22-41-17-27-2-00-009</t>
  </si>
  <si>
    <t>MIS2022-0130</t>
  </si>
  <si>
    <t>MIS Gas Piping at Hotel Terra</t>
  </si>
  <si>
    <t>22-42-17-24-4-39-001</t>
  </si>
  <si>
    <t>BDC2022-0023</t>
  </si>
  <si>
    <t>Caldera House, Shin Shin Restaurant</t>
  </si>
  <si>
    <t>BDR2022-0238</t>
  </si>
  <si>
    <t>New SFD 8830 sq ft habitable, 2370 non habitable, 2457 sq ft in decks</t>
  </si>
  <si>
    <t>5519, 5520</t>
  </si>
  <si>
    <t>MIS2022-0131</t>
  </si>
  <si>
    <t>Interior remodel 2000sqft habitable</t>
  </si>
  <si>
    <t>22-38-16-08-1-03-003</t>
  </si>
  <si>
    <t>B22-1019</t>
  </si>
  <si>
    <t>22-40-16-06-2-05-009</t>
  </si>
  <si>
    <t>B22-1063</t>
  </si>
  <si>
    <t>Change of use Add 2nd floor SF and interior remodel</t>
  </si>
  <si>
    <t>22-41-16-33-1-03-005</t>
  </si>
  <si>
    <t>B22-1065</t>
  </si>
  <si>
    <t>Tenant fitout for commercial space</t>
  </si>
  <si>
    <t>BDR2022-0240</t>
  </si>
  <si>
    <t>Addition 1395.05sqft habitable 118sqft non-habitable</t>
  </si>
  <si>
    <t>22-42-17-24-4-35-076</t>
  </si>
  <si>
    <t>BDR2022-0241</t>
  </si>
  <si>
    <t>New SFD 6618sqft habitable 2284sqft non-habitable 2676sqft decks/porches</t>
  </si>
  <si>
    <t>22-42-16-15-2-06-008</t>
  </si>
  <si>
    <t>BDC2018-0008</t>
  </si>
  <si>
    <t>1373 sqft recreation hall (Johnson Hall)</t>
  </si>
  <si>
    <t>BDR2022-0242</t>
  </si>
  <si>
    <t>New SFD 3639sqft habitable 1007sqft non-habitable</t>
  </si>
  <si>
    <t>22-41-17-22-1-02-019</t>
  </si>
  <si>
    <t>MIS2022-0133</t>
  </si>
  <si>
    <t>carport 572sqft</t>
  </si>
  <si>
    <t>22-41-17-28-1-00-013</t>
  </si>
  <si>
    <t>B22-1084</t>
  </si>
  <si>
    <t>22-41-16-33-4-11-007</t>
  </si>
  <si>
    <t>B22-1085</t>
  </si>
  <si>
    <t>remodel of duplex</t>
  </si>
  <si>
    <t>22-41-16-34-1-42-006</t>
  </si>
  <si>
    <t>BDC2022-0024</t>
  </si>
  <si>
    <t>New Entry Gate</t>
  </si>
  <si>
    <t>B22-1093</t>
  </si>
  <si>
    <t>adding a pool/ spa</t>
  </si>
  <si>
    <t>BDR2022-0243</t>
  </si>
  <si>
    <t>Install a 960 sq ft Stack Home ADU</t>
  </si>
  <si>
    <t>BDR2022-0244</t>
  </si>
  <si>
    <t>SH-Moody 640 SQ ft ADU</t>
  </si>
  <si>
    <t>22-41-17-22-3-02-001</t>
  </si>
  <si>
    <t>BDR2022-0245</t>
  </si>
  <si>
    <t>Residential Home Construction</t>
  </si>
  <si>
    <t>22-41-17-11-1-28-002</t>
  </si>
  <si>
    <t>BDR2022-0246</t>
  </si>
  <si>
    <t>New Residential Development</t>
  </si>
  <si>
    <t>22-42-17-26-1-01-003</t>
  </si>
  <si>
    <t>BDR2022-0247</t>
  </si>
  <si>
    <t>New Residence and ARU</t>
  </si>
  <si>
    <t>22-41-17-21-2-00-008</t>
  </si>
  <si>
    <t>BDR2022-0248</t>
  </si>
  <si>
    <t>Remodel Existing Building</t>
  </si>
  <si>
    <t>22-40-16-19-2-02-003</t>
  </si>
  <si>
    <t>BDR2022-0249</t>
  </si>
  <si>
    <t>Single Family Residence, New Construction</t>
  </si>
  <si>
    <t>BDR2022-0250</t>
  </si>
  <si>
    <t>B22-1127</t>
  </si>
  <si>
    <t>22-41-16-27-3-08-002</t>
  </si>
  <si>
    <t>B22-1132</t>
  </si>
  <si>
    <t>22-41-16-32-4-40-007</t>
  </si>
  <si>
    <t>BDR2022-0251</t>
  </si>
  <si>
    <t>addition 1092sqft habitable 156sqft non-habitable 1910sqft habitable remodel 506 non-habitable remodel</t>
  </si>
  <si>
    <t>BDR2022-0252</t>
  </si>
  <si>
    <t>Building Permit</t>
  </si>
  <si>
    <t>BDR2022-0253</t>
  </si>
  <si>
    <t>Remodel 492sqft attic to habitable</t>
  </si>
  <si>
    <t>22-40-16-20-2-02-037</t>
  </si>
  <si>
    <t>BDR2022-0254</t>
  </si>
  <si>
    <t>Construction of new single family residence and attached garage</t>
  </si>
  <si>
    <t>22-41-17-12-2-00-005</t>
  </si>
  <si>
    <t>MIS2022-0134</t>
  </si>
  <si>
    <t>Terrace, Spa and Open-sided Overhead Structure</t>
  </si>
  <si>
    <t>BDR2022-0255</t>
  </si>
  <si>
    <t>SFD 3830sf habitable 648sf garage</t>
  </si>
  <si>
    <t>22-44-18-32-2-01-010</t>
  </si>
  <si>
    <t>BDR2022-0256</t>
  </si>
  <si>
    <t>remodel and addition to sf home</t>
  </si>
  <si>
    <t>22-41-17-11-1-70-005</t>
  </si>
  <si>
    <t>BDR2022-0257</t>
  </si>
  <si>
    <t>new horse barn w/ 2 car garage</t>
  </si>
  <si>
    <t>22-39-17-11-1-08-010</t>
  </si>
  <si>
    <t>MIS2022-0135</t>
  </si>
  <si>
    <t>Re Roof</t>
  </si>
  <si>
    <t>22-40-16-05-2-04-006</t>
  </si>
  <si>
    <t>BDC2022-0025</t>
  </si>
  <si>
    <t>Existing fieldhouse proposed building addition</t>
  </si>
  <si>
    <t>BDR2022-0258</t>
  </si>
  <si>
    <t>New SFD 3494 Habitable 998 Non Habitable &amp; 678 Decks and porches</t>
  </si>
  <si>
    <t>22-41-16-06-3-06-001</t>
  </si>
  <si>
    <t>BDR2022-0259</t>
  </si>
  <si>
    <t>22-38-16-16-3-02-003</t>
  </si>
  <si>
    <t>B22-1154</t>
  </si>
  <si>
    <t>22-41-16-34-1-57-010</t>
  </si>
  <si>
    <t>B22-1156</t>
  </si>
  <si>
    <t>22-41-16-27-3-00-005</t>
  </si>
  <si>
    <t>MIS2022-0137</t>
  </si>
  <si>
    <t>Increase window size in Living Rooms</t>
  </si>
  <si>
    <t>22-40-16-20-1-09-010</t>
  </si>
  <si>
    <t>BDR2022-0261</t>
  </si>
  <si>
    <t>Addition to an existing house</t>
  </si>
  <si>
    <t>BDR2022-0262</t>
  </si>
  <si>
    <t>Accessory Residential Unit (ARU)</t>
  </si>
  <si>
    <t>BDR2022-0263</t>
  </si>
  <si>
    <t>Building Residential Permit (BDR)</t>
  </si>
  <si>
    <t>BDR2022-0264</t>
  </si>
  <si>
    <t>22-38-16-17-1-01-024</t>
  </si>
  <si>
    <t>BDR2022-0265</t>
  </si>
  <si>
    <t>SMALL REMODEL</t>
  </si>
  <si>
    <t>BDC2018-0009</t>
  </si>
  <si>
    <t>264 sqft student cabin (A1)</t>
  </si>
  <si>
    <t>BDR2022-0266</t>
  </si>
  <si>
    <t>New Residence</t>
  </si>
  <si>
    <t>22-41-17-22-4-00-003</t>
  </si>
  <si>
    <t>5,8</t>
  </si>
  <si>
    <t>BDR2022-0267</t>
  </si>
  <si>
    <t>Remodel of 160sf (Reduction of 115sf)</t>
  </si>
  <si>
    <t>22-43-15-24-1-00-004</t>
  </si>
  <si>
    <t>ARU2012-0004</t>
  </si>
  <si>
    <t>22-40-16-20-1-12-003</t>
  </si>
  <si>
    <t>B19-0162</t>
  </si>
  <si>
    <t>Demo damaged building</t>
  </si>
  <si>
    <t>22-41-16-34-1-20-008</t>
  </si>
  <si>
    <t>B19-0450</t>
  </si>
  <si>
    <t>Demo existing SFD and apartment</t>
  </si>
  <si>
    <t>22-41-16-34-2-59-001</t>
  </si>
  <si>
    <t>BDC2010-0006R</t>
  </si>
  <si>
    <t>BDC2010-0012R</t>
  </si>
  <si>
    <t>BDC2014-0021</t>
  </si>
  <si>
    <t>Remodel of existing guest ranch lodge for dining area &amp; kitchen (present use) &amp; adding to existing library, media, &amp; buffet serving area</t>
  </si>
  <si>
    <t>BDC2015-0033R</t>
  </si>
  <si>
    <t>Remodel of existing guest ranch lodge for dining area &amp; kitchen (present use) &amp; adding to existing library, media, &amp; buffet serving area. 3/26/15 Added a sprinkler system and employee housing to the upper floor of the addition/remodel.</t>
  </si>
  <si>
    <t>BDR2008-0181R</t>
  </si>
  <si>
    <t>BDR2009-0076R</t>
  </si>
  <si>
    <t>New SFD W/ Attached Garage Plans resubmitted on 06/03/09  Submitted revisions 10/13/09, routed to Jen A. VA</t>
  </si>
  <si>
    <t>BDR2009-0090R</t>
  </si>
  <si>
    <t>New 4-bedroom, 7-bath, 2-story SFD W/ garage</t>
  </si>
  <si>
    <t>BDR2009-0106R</t>
  </si>
  <si>
    <t>Move on 384 sq. ft. building to be used as ARU  July 27, 2011 Porject updated to be a new SFD.  Moved building scraped.  This is all new construction</t>
  </si>
  <si>
    <t>BDR2010-0010R</t>
  </si>
  <si>
    <t>BDR2010-0091R</t>
  </si>
  <si>
    <t>BDR2010-0099R</t>
  </si>
  <si>
    <t>BDR2010-0124R</t>
  </si>
  <si>
    <t>BDR2010-0125R</t>
  </si>
  <si>
    <t>BDR2010-0142R</t>
  </si>
  <si>
    <t>BDR2011-0062R</t>
  </si>
  <si>
    <t>22-42-17-25-1-01-086</t>
  </si>
  <si>
    <t>BDR2011-0067R</t>
  </si>
  <si>
    <t>BDR2011-0107R</t>
  </si>
  <si>
    <t>BDR2011-0108R</t>
  </si>
  <si>
    <t>BDR2011-0143R</t>
  </si>
  <si>
    <t>BDR2011-0146R</t>
  </si>
  <si>
    <t>BDR2011-0153R</t>
  </si>
  <si>
    <t>BP 2007-0152</t>
  </si>
  <si>
    <t>BDR2014-0065R</t>
  </si>
  <si>
    <t>BP 2008-0197R</t>
  </si>
  <si>
    <t>Build Detached Garage w/ Guest Studio  08/25/09 corrections for revision BP2008-0197R sent to applicant. Awaiting response</t>
  </si>
  <si>
    <t>BP 2008-0285R</t>
  </si>
  <si>
    <t>New 5-bedroom SFD w/ attached Garage and ARU</t>
  </si>
  <si>
    <t>22-42-16-28-3-00-011</t>
  </si>
  <si>
    <t>BP 2009-0032R</t>
  </si>
  <si>
    <t>BDR2016-0099</t>
  </si>
  <si>
    <t xml:space="preserve">SFD Addition of 447 sqft habitable, 1294 sqft non-habitable, 45sqft decks, remodel of 3911sqft </t>
  </si>
  <si>
    <t>BDC2018-0026</t>
  </si>
  <si>
    <t>264 sqft student cabin (A18)</t>
  </si>
  <si>
    <t>BDC2018-0025</t>
  </si>
  <si>
    <t>264 sqft student cabin (A17)</t>
  </si>
  <si>
    <t>BDC2018-0028</t>
  </si>
  <si>
    <t>264 sqft student cabin (A20)</t>
  </si>
  <si>
    <t>B16-0584</t>
  </si>
  <si>
    <t>B16-0588</t>
  </si>
  <si>
    <t>2 temp office trailers for ski school storage/office</t>
  </si>
  <si>
    <t>22-41-16-34-2-00-015</t>
  </si>
  <si>
    <t>B16-0639</t>
  </si>
  <si>
    <t>replace existing deck</t>
  </si>
  <si>
    <t>B16-0640</t>
  </si>
  <si>
    <t>Change of use-interior alteration</t>
  </si>
  <si>
    <t>22-41-16-34-2-04-008</t>
  </si>
  <si>
    <t>B16-0645</t>
  </si>
  <si>
    <t>B16-0650</t>
  </si>
  <si>
    <t>new windows  remove wall and update bathrooms</t>
  </si>
  <si>
    <t>22-41-16-34-1-22-002</t>
  </si>
  <si>
    <t>BDC2018-0027</t>
  </si>
  <si>
    <t>264 sqft student cabin (A19)</t>
  </si>
  <si>
    <t>B16-0665</t>
  </si>
  <si>
    <t>22-41-16-34-4-09-003</t>
  </si>
  <si>
    <t>BDC2018-0023</t>
  </si>
  <si>
    <t>264 sqft student cabin (A15)</t>
  </si>
  <si>
    <t>BDC2018-0030</t>
  </si>
  <si>
    <t>264 sqft student cabin (A22)</t>
  </si>
  <si>
    <t>BDC2018-0031</t>
  </si>
  <si>
    <t>264 sqft student cabin (A23)</t>
  </si>
  <si>
    <t>B16-0683</t>
  </si>
  <si>
    <t>interior remodel and new windows</t>
  </si>
  <si>
    <t>BDC2018-0033</t>
  </si>
  <si>
    <t>264 sqft student cabin (A25)</t>
  </si>
  <si>
    <t>BDC2018-0034</t>
  </si>
  <si>
    <t>264 sqft student cabin (A26)</t>
  </si>
  <si>
    <t>B17-0006</t>
  </si>
  <si>
    <t>22-41-16-34-1-21-019</t>
  </si>
  <si>
    <t>B17-0010</t>
  </si>
  <si>
    <t>interior remodel- Salon</t>
  </si>
  <si>
    <t>BDC2018-0035</t>
  </si>
  <si>
    <t>264 sqft student cabin (A27)</t>
  </si>
  <si>
    <t>B17-0015</t>
  </si>
  <si>
    <t>Interior stair alteration</t>
  </si>
  <si>
    <t>22-41-16-34-2-05-005.01</t>
  </si>
  <si>
    <t>BDC2018-0036</t>
  </si>
  <si>
    <t>264 sqft student cabin  (A28)</t>
  </si>
  <si>
    <t>BDC2018-0029</t>
  </si>
  <si>
    <t>264 sqft student cabin (A21)</t>
  </si>
  <si>
    <t>B17-0057</t>
  </si>
  <si>
    <t>B17-0077</t>
  </si>
  <si>
    <t>replace and enlarge deck</t>
  </si>
  <si>
    <t>22-41-16-33-3-07-050</t>
  </si>
  <si>
    <t>BDC2018-0021</t>
  </si>
  <si>
    <t>264 sqft student cabin (A13)</t>
  </si>
  <si>
    <t>B17-0101</t>
  </si>
  <si>
    <t>B17-0102</t>
  </si>
  <si>
    <t>move bathroom to a differant location</t>
  </si>
  <si>
    <t>B17-0138</t>
  </si>
  <si>
    <t>Change the pitch of existing roof</t>
  </si>
  <si>
    <t>22-41-16-33-4-32-006</t>
  </si>
  <si>
    <t>B17-0139</t>
  </si>
  <si>
    <t>Repair rotted header</t>
  </si>
  <si>
    <t>22-41-16-28-4-06-014</t>
  </si>
  <si>
    <t>B17-0171</t>
  </si>
  <si>
    <t>Interior alteration for medical office Sp#110</t>
  </si>
  <si>
    <t>BDC2018-0010</t>
  </si>
  <si>
    <t>264 sqft student cabin (A2)</t>
  </si>
  <si>
    <t>B17-0217</t>
  </si>
  <si>
    <t>Tenant fitout for new office space St B</t>
  </si>
  <si>
    <t>B17-0237</t>
  </si>
  <si>
    <t>turn garage/office space into a ARU</t>
  </si>
  <si>
    <t>22-41-16-35-3-01-007.01</t>
  </si>
  <si>
    <t>s</t>
  </si>
  <si>
    <t>B17-0266</t>
  </si>
  <si>
    <t>NSF- Detached accessory unit</t>
  </si>
  <si>
    <t>22-41-16-34-2-03-012.02</t>
  </si>
  <si>
    <t>B17-0286</t>
  </si>
  <si>
    <t>Hair salon - Change of use</t>
  </si>
  <si>
    <t>22-41-16-34-2-05-004</t>
  </si>
  <si>
    <t>BDC2018-0011</t>
  </si>
  <si>
    <t>264 sqft student cabin (A3)</t>
  </si>
  <si>
    <t>B17-0289</t>
  </si>
  <si>
    <t>interior fit out for tasting room</t>
  </si>
  <si>
    <t>BDC2018-0012</t>
  </si>
  <si>
    <t>264 sqft student cabin (A4)</t>
  </si>
  <si>
    <t>BDC2018-0013</t>
  </si>
  <si>
    <t>264 sqft student cabin (A5)</t>
  </si>
  <si>
    <t>B17-0301</t>
  </si>
  <si>
    <t>B17-0304</t>
  </si>
  <si>
    <t>tenant alteration</t>
  </si>
  <si>
    <t>B17-0315</t>
  </si>
  <si>
    <t>22-40-16-05-2-04-034</t>
  </si>
  <si>
    <t>B17-0333</t>
  </si>
  <si>
    <t>interior remodel Ste 212</t>
  </si>
  <si>
    <t>22-41-16-27-4-00-003.02</t>
  </si>
  <si>
    <t>B17-0405</t>
  </si>
  <si>
    <t>Covered entryway &amp; patio addition</t>
  </si>
  <si>
    <t>22-41-16-34-2-19-008</t>
  </si>
  <si>
    <t>B17-0451</t>
  </si>
  <si>
    <t>Stair repair for snake river grill</t>
  </si>
  <si>
    <t>B17-0515</t>
  </si>
  <si>
    <t>Adding 3 egress windows to basements</t>
  </si>
  <si>
    <t>BDC2018-0014</t>
  </si>
  <si>
    <t>264 sqft student cabin (A6)</t>
  </si>
  <si>
    <t>BDC2018-0015</t>
  </si>
  <si>
    <t>264 sqft student cabin (A7)</t>
  </si>
  <si>
    <t>B17-0543</t>
  </si>
  <si>
    <t>BDC2018-0016</t>
  </si>
  <si>
    <t>264 sqft student cabin (A8)</t>
  </si>
  <si>
    <t>BDC2014-0024</t>
  </si>
  <si>
    <t>BDC2015-0040R</t>
  </si>
  <si>
    <t>demo existing and re-build a little larger 30X50 pool. 5/20/15 Added a 320 sq. ft. equipment shed.</t>
  </si>
  <si>
    <t>BDC2015-0038</t>
  </si>
  <si>
    <t>New 6000 sq. ft. canopy &amp; scale for County transfer station</t>
  </si>
  <si>
    <t>BDC2015-0039</t>
  </si>
  <si>
    <t>New 480 sq. ft. modular scale house office</t>
  </si>
  <si>
    <t>BDC2015-0051</t>
  </si>
  <si>
    <t>remodel of office space, interior only</t>
  </si>
  <si>
    <t>BDC2015-0057</t>
  </si>
  <si>
    <t>Restroom facility on Golf Course</t>
  </si>
  <si>
    <t>BDC2016-0005</t>
  </si>
  <si>
    <t>Pool, spa, restrooms. 5-20-16 revision-Reduced snow melt and structural changes.</t>
  </si>
  <si>
    <t>BDC2018-0017</t>
  </si>
  <si>
    <t>264 sqft student cabin (A9)</t>
  </si>
  <si>
    <t>BDC2016-0046</t>
  </si>
  <si>
    <t>New Commercial Building; Factory/Residential/Storage; 12-23-16 revision of 466 sq ft non-habitable storage.</t>
  </si>
  <si>
    <t>22-40-16-17-4-17-005</t>
  </si>
  <si>
    <t>BDC2016-0050</t>
  </si>
  <si>
    <t>antenna on cell tower</t>
  </si>
  <si>
    <t>BDC2016-0055</t>
  </si>
  <si>
    <t>irrigation pump house</t>
  </si>
  <si>
    <t>22-38-16-08-1-01-080</t>
  </si>
  <si>
    <t>BDC2018-0022</t>
  </si>
  <si>
    <t>264 sqft student cabin (A14)</t>
  </si>
  <si>
    <t>BDC2016-0057</t>
  </si>
  <si>
    <t>change in space to a workout studio</t>
  </si>
  <si>
    <t>BDC2016-0059</t>
  </si>
  <si>
    <t>converting trash room to office space</t>
  </si>
  <si>
    <t>22-42-17-24-4-23-008</t>
  </si>
  <si>
    <t>BDC2016-0061</t>
  </si>
  <si>
    <t>install new telecommunications equipment</t>
  </si>
  <si>
    <t>BDC2017-0001</t>
  </si>
  <si>
    <t>remodel of Hotel Terra Phase II</t>
  </si>
  <si>
    <t>22-42-17-24-4-37-001</t>
  </si>
  <si>
    <t>BDC2017-0002</t>
  </si>
  <si>
    <t>convert changing area to lockers &amp; remove attendant counter</t>
  </si>
  <si>
    <t>BDC2018-0018</t>
  </si>
  <si>
    <t>264 sqft student cabin (A10)</t>
  </si>
  <si>
    <t>BDC2017-0010</t>
  </si>
  <si>
    <t>change in use-interior walls</t>
  </si>
  <si>
    <t>BDC2017-0021</t>
  </si>
  <si>
    <t>Alteration of ski valet and expansion into existing conference rm. 9/26/2017 revision to stairs.</t>
  </si>
  <si>
    <t>BDC2018-0032</t>
  </si>
  <si>
    <t>264 sqft student cabin (A24)</t>
  </si>
  <si>
    <t>BDC2018-0019</t>
  </si>
  <si>
    <t>264 sqft student cabin (A11)</t>
  </si>
  <si>
    <t>BDC2017-0033</t>
  </si>
  <si>
    <t>Office Remodel</t>
  </si>
  <si>
    <t>BDR2014-0004</t>
  </si>
  <si>
    <t>New 6-bedroom, 8-bath SFD w/ garage attached by roof</t>
  </si>
  <si>
    <t>22-40-17-12-1-01-014</t>
  </si>
  <si>
    <t>BDR2014-0037</t>
  </si>
  <si>
    <t>22-41-17-25-3-00-044</t>
  </si>
  <si>
    <t>BDC2018-0024</t>
  </si>
  <si>
    <t>264 sqft student cabin (A16)</t>
  </si>
  <si>
    <t>BDR2014-0044</t>
  </si>
  <si>
    <t>New detached 2448 sq. ft storage barn</t>
  </si>
  <si>
    <t>BDR2014-0067</t>
  </si>
  <si>
    <t>New 5-bedroom, 4-1/2-bath SFD w/ attached garage</t>
  </si>
  <si>
    <t>22-41-17-11-4-13-012</t>
  </si>
  <si>
    <t>BDC2018-0020</t>
  </si>
  <si>
    <t>264 sqft student cabin (A12)</t>
  </si>
  <si>
    <t>BDR2014-0095</t>
  </si>
  <si>
    <t>New 1-bedroom, 1-bath SFD w/ attached garage</t>
  </si>
  <si>
    <t>BDR2019-0126</t>
  </si>
  <si>
    <t>Garage 2362 sqft non-habitable</t>
  </si>
  <si>
    <t>BDR2014-0122</t>
  </si>
  <si>
    <t>BDR2017-0050</t>
  </si>
  <si>
    <t>addition of 250sqft</t>
  </si>
  <si>
    <t>BDC2019-0002</t>
  </si>
  <si>
    <t xml:space="preserve">Remodel dog kennels 2135 sqft    Revisions submitted changing every page of the plans.   2800 sqft remodel.  </t>
  </si>
  <si>
    <t>BDR2014-0128</t>
  </si>
  <si>
    <t xml:space="preserve">Add 4858 sq. ft. (1-bedroom, 2-baths) of habitable, 147sq. non-habitable, and remodel existing SFD.  10/10/14 Structrual revisions </t>
  </si>
  <si>
    <t>BDR2017-0129</t>
  </si>
  <si>
    <t>re-permit existing garage/shop and change to SFD guest house, 1 bedroom, 1 bathroom</t>
  </si>
  <si>
    <t>22-39-16-23-3-01-003</t>
  </si>
  <si>
    <t>BDR2014-0132</t>
  </si>
  <si>
    <t>New 4-bedroom, 3.5-bath SFD w/ attached garage</t>
  </si>
  <si>
    <t>22-41-17-01-4-06-005</t>
  </si>
  <si>
    <t>BDR2014-0138</t>
  </si>
  <si>
    <t>New 2-bedroom, 6-bath SFD w/ attached garage</t>
  </si>
  <si>
    <t>22-42-16-21-3-00-013</t>
  </si>
  <si>
    <t>BDR2014-0148</t>
  </si>
  <si>
    <t>demo existing shop and build new with 2-bedroom, 2-bath ARU (Accessory Residential Unit) above</t>
  </si>
  <si>
    <t>22-39-16-03-4-00-016</t>
  </si>
  <si>
    <t>BDR2017-0112</t>
  </si>
  <si>
    <t>SFD addition of 353 sqft habitable, remodel of 289 sqft habitable</t>
  </si>
  <si>
    <t>22-39-16-27-1-06-002</t>
  </si>
  <si>
    <t>BDR2014-0198</t>
  </si>
  <si>
    <t>22-41-17-12-3-12-004</t>
  </si>
  <si>
    <t>BDR2015-0002</t>
  </si>
  <si>
    <t>New 4-bedroom 4.5-bath SFD w/ attached garage. 7/7/15 Added 175 sq. ft and increased deck size.</t>
  </si>
  <si>
    <t>22-41-17-22-1-01-008</t>
  </si>
  <si>
    <t>BDR2015-0003</t>
  </si>
  <si>
    <t>22-41-17-36-1-06-001</t>
  </si>
  <si>
    <t>BDR2015-0020</t>
  </si>
  <si>
    <t>BDR2015-0024</t>
  </si>
  <si>
    <t>convert 830 sq. ft. of existing garage into 1-bedroom, 1-bath ARU</t>
  </si>
  <si>
    <t>22-45-13-21-1-01-005</t>
  </si>
  <si>
    <t>BDR2015-0025</t>
  </si>
  <si>
    <t>22-41-17-23-4-05-010</t>
  </si>
  <si>
    <t>BDR2017-0056</t>
  </si>
  <si>
    <t>SFD addition of 844 sqft habitable</t>
  </si>
  <si>
    <t>22-39-16-27-4-02-003</t>
  </si>
  <si>
    <t>BDR2015-0026</t>
  </si>
  <si>
    <t>BDR2015-0029</t>
  </si>
  <si>
    <t>22-40-17-01-1-01-018</t>
  </si>
  <si>
    <t>BDR2015-0034</t>
  </si>
  <si>
    <t>New 4-bedroom, 5-bath SFD W/ Garage</t>
  </si>
  <si>
    <t>22-42-17-25-2-02-001</t>
  </si>
  <si>
    <t>BDR2015-0036</t>
  </si>
  <si>
    <t>New 4-bedroom, 4-bath SFD W/ attached garage, revision 1-8-16 structural</t>
  </si>
  <si>
    <t>22-41-16-06-3-05-023</t>
  </si>
  <si>
    <t>BDR2013-0163</t>
  </si>
  <si>
    <t xml:space="preserve">1920 sq. ft. addition to existing barn, &amp; retaining wall </t>
  </si>
  <si>
    <t>BDR2015-0037</t>
  </si>
  <si>
    <t>New 2-bedroom ARU (accessory residential unit)</t>
  </si>
  <si>
    <t>BDR2015-0039</t>
  </si>
  <si>
    <t>BDR2015-0092</t>
  </si>
  <si>
    <t>373 sq. ft. kitchen and living room bumpouts &amp; remodel to existing SFD</t>
  </si>
  <si>
    <t>BDR2012-0144</t>
  </si>
  <si>
    <t>405 sq. ft. master bedroom, &amp; 285 sq. ft. garage additions to SFD</t>
  </si>
  <si>
    <t>BDR2019-0033</t>
  </si>
  <si>
    <t>Addition of 898 sqft habitable</t>
  </si>
  <si>
    <t>22-40-16-17-2-02-137</t>
  </si>
  <si>
    <t>BDR2015-0045</t>
  </si>
  <si>
    <t xml:space="preserve">New 4-bedroom, 4 1/2- bath SFD w/ attached garage. 6/8/15 Changes to the structure to allow for a 2 car garage and other minor changes.  11/30/15 House increased by 644 sguare feet and </t>
  </si>
  <si>
    <t>BDR2015-0055</t>
  </si>
  <si>
    <t>New 5-bedroom, 5 1/2-bath SDF w/ attached garage</t>
  </si>
  <si>
    <t>22-42-17-24-4-35-073</t>
  </si>
  <si>
    <t>BDR2015-0059</t>
  </si>
  <si>
    <t>New 6-bedroom, 6 1/2-bath SFD w/ attached garage</t>
  </si>
  <si>
    <t>22-42-17-35-1-00-036</t>
  </si>
  <si>
    <t>BDR2015-0061</t>
  </si>
  <si>
    <t>New 5-bedroom, 8-bath SFD w/ attached garage. 8/12/15 Revision adding 196 sq. ft.</t>
  </si>
  <si>
    <t>22-42-17-24-4-40-001</t>
  </si>
  <si>
    <t>BDR2015-0082</t>
  </si>
  <si>
    <t xml:space="preserve">New detached garage </t>
  </si>
  <si>
    <t>22-40-17-35-2-02-011</t>
  </si>
  <si>
    <t>BDC2015-0044</t>
  </si>
  <si>
    <t>remodel existing commercial building into dental office</t>
  </si>
  <si>
    <t>BDR2015-0083</t>
  </si>
  <si>
    <t>New 1360 sq. ft. garage</t>
  </si>
  <si>
    <t>22-42-17-25-2-01-004</t>
  </si>
  <si>
    <t>BDR2015-0084</t>
  </si>
  <si>
    <t>New 5-bedroom, 5-full 2 1/2-bath SFD w/ attached garage</t>
  </si>
  <si>
    <t>22-40-17-12-1-01-001</t>
  </si>
  <si>
    <t>BDR2015-0085</t>
  </si>
  <si>
    <t>new 2-bedroom, 2-bath ARU (accessory residential unit)</t>
  </si>
  <si>
    <t>BDR2015-0086</t>
  </si>
  <si>
    <t>BDC2014-0023</t>
  </si>
  <si>
    <t>convert 1000 sq. ft. of existing storage space into office space &amp; 2-bathrooms</t>
  </si>
  <si>
    <t>BDR2015-0100</t>
  </si>
  <si>
    <t>New 5-bedroom, 6-bath SFD w/ attached garage (Lot 6, Type A1)</t>
  </si>
  <si>
    <t>BDR2015-0101</t>
  </si>
  <si>
    <t>New 5-bedroom, 6-bath SFD w/ attached garage (Lot 8, Type A1)</t>
  </si>
  <si>
    <t>BDR2016-0125</t>
  </si>
  <si>
    <t>remodel of 1458 sqft, for ARU</t>
  </si>
  <si>
    <t>22-40-16-17-4-05-001</t>
  </si>
  <si>
    <t>BDR2018-0185</t>
  </si>
  <si>
    <t>Addition 314 sqft habitable  Remodel 134 sqft habitable</t>
  </si>
  <si>
    <t>22-40-16-18-1-03-188</t>
  </si>
  <si>
    <t>BDR2015-0105</t>
  </si>
  <si>
    <t>New 5-bedroom, 6-bath SFD w/ attached garage (Lot 14, Type A1)</t>
  </si>
  <si>
    <t>BDR2015-0106</t>
  </si>
  <si>
    <t>New 5-bedroom, 6-bath SFD w/ attached garage (Lot 5, Type A2)</t>
  </si>
  <si>
    <t>BDR2018-0092</t>
  </si>
  <si>
    <t>Addition 801 sqft habitable 144 sqft non-habitable 576 covered porches   Remodel 1880 sqft habitable 576 sqft non-habitable</t>
  </si>
  <si>
    <t>22-40-16-18-1-04-224</t>
  </si>
  <si>
    <t>BDR2015-0107</t>
  </si>
  <si>
    <t>New 5-bedroom, 6-bath SFD w/ attached garage (Lot 13, Type A2)</t>
  </si>
  <si>
    <t>BDR2018-0067</t>
  </si>
  <si>
    <t>378 sq ft addition to garage 200 sqft kitchen and loft remodel</t>
  </si>
  <si>
    <t>BDR2015-0108</t>
  </si>
  <si>
    <t>New 4-bedroom, 5-bath SFD w/ attached garage (Lot 7, B1)</t>
  </si>
  <si>
    <t>BDR2015-0110</t>
  </si>
  <si>
    <t>New 4-bedroom, 5-bath SFD w/ attached garage (Lot 15, B2)</t>
  </si>
  <si>
    <t>BDR2015-0111</t>
  </si>
  <si>
    <t>New 4-bedroom, 5-bath SFD w/ attached garage (Lot 16, B2)</t>
  </si>
  <si>
    <t>BDR2015-0113</t>
  </si>
  <si>
    <t>580 sq. ft. Outdoor room.</t>
  </si>
  <si>
    <t>BDR2015-0115</t>
  </si>
  <si>
    <t xml:space="preserve">New SFD with attached garage. </t>
  </si>
  <si>
    <t>22-42-17-25-1-01-052</t>
  </si>
  <si>
    <t>BDR2015-0124</t>
  </si>
  <si>
    <t>new 6 bedroom 6 1/2 bath SFD with attached garage 10/23/15 Plans revised building reduced in overall size.</t>
  </si>
  <si>
    <t>22-40-17-12-4-03-001</t>
  </si>
  <si>
    <t>BDR2015-0128</t>
  </si>
  <si>
    <t>adding a 1 bedroom apt above a garage</t>
  </si>
  <si>
    <t>BDR2015-0132</t>
  </si>
  <si>
    <t>3 bedroom 2 1/2 bath SFD</t>
  </si>
  <si>
    <t>BDR2018-0042</t>
  </si>
  <si>
    <t xml:space="preserve">Addition of 865 sqft habitable </t>
  </si>
  <si>
    <t>BDR2015-0136</t>
  </si>
  <si>
    <t xml:space="preserve">New 4 bedroom, 4 + 2-1/2 bath, SFD with an attached garage. </t>
  </si>
  <si>
    <t>22-40-17-13-1-01-037</t>
  </si>
  <si>
    <t>BDR2015-0139</t>
  </si>
  <si>
    <t>add 60 square feet by enclosing existing patio.</t>
  </si>
  <si>
    <t>22-42-16-19-2-03-013</t>
  </si>
  <si>
    <t>BDR2015-0140</t>
  </si>
  <si>
    <t>4 bedroom 6 bath SFD with attached garage</t>
  </si>
  <si>
    <t>22-42-17-25-1-01-077</t>
  </si>
  <si>
    <t>BDR2015-0146</t>
  </si>
  <si>
    <t xml:space="preserve">New SFD 4 bedrooms 6 bathrooms, attached garage. </t>
  </si>
  <si>
    <t>22-42-17-24-3-02-107</t>
  </si>
  <si>
    <t>BDR2015-0151</t>
  </si>
  <si>
    <t xml:space="preserve">SFD ADD and Remodel </t>
  </si>
  <si>
    <t>BDR2015-0153</t>
  </si>
  <si>
    <t xml:space="preserve">New SFD 5 bedrooms, 6 baths, with attached garage </t>
  </si>
  <si>
    <t>22-42-17-25-1-01-078</t>
  </si>
  <si>
    <t>BDR2016-0233</t>
  </si>
  <si>
    <t>addition of 388sqft, mud room and bump out, remodel of 25sqft for addtional bathroom</t>
  </si>
  <si>
    <t>22-40-16-18-1-06-009</t>
  </si>
  <si>
    <t>BDR2015-0160</t>
  </si>
  <si>
    <t>New SFD-with attached garage, 3 bedrooms, 3.5 baths</t>
  </si>
  <si>
    <t>22-41-17-22-4-07-008</t>
  </si>
  <si>
    <t>BDR2015-0164</t>
  </si>
  <si>
    <t>New SFD 4 Bedrooms, 4 baths</t>
  </si>
  <si>
    <t>22-41-17-23-1-09-003</t>
  </si>
  <si>
    <t>BDR2015-0169</t>
  </si>
  <si>
    <t xml:space="preserve">SFD-ARU, add of 1 bedroom 1 bath  See also GEC2015-0028 assocaited with BDR2015-0034, as it included this ARU structure. 11/12/15  Revision changing from helical piers to footings.  </t>
  </si>
  <si>
    <t>BDR2017-0082</t>
  </si>
  <si>
    <t xml:space="preserve">breezeway 120sqft; revision of truss roof </t>
  </si>
  <si>
    <t>22-40-16-18-3-00-025</t>
  </si>
  <si>
    <t>BDR2017-0069</t>
  </si>
  <si>
    <t>sfd addition of 207 sqft, living room and 1 bathroom, remodel 880 sqft habitable; 6-6-17 revision change in floor plans</t>
  </si>
  <si>
    <t>BDR2015-0171</t>
  </si>
  <si>
    <t>ACC, Pole Barn</t>
  </si>
  <si>
    <t>22-41-17-23-2-01-005</t>
  </si>
  <si>
    <t>BDR2015-0173</t>
  </si>
  <si>
    <t>New SFD, 5 bedrooms, 5.5 baths, attached garage</t>
  </si>
  <si>
    <t>22-42-17-25-1-01-047</t>
  </si>
  <si>
    <t>BDR2015-0181</t>
  </si>
  <si>
    <t>New SFD 4 Bedrooms, 4.5 baths 10/29/15 Revision 408 feet of coverd deck added.</t>
  </si>
  <si>
    <t>22-40-17-12-1-01-028</t>
  </si>
  <si>
    <t>BDR2015-0188</t>
  </si>
  <si>
    <t>New SFD 6 bedrooms 6.5 baths, attached garage</t>
  </si>
  <si>
    <t>22-41-17-34-3-12-005</t>
  </si>
  <si>
    <t>BDR2015-0190</t>
  </si>
  <si>
    <t>New SFD, 5 bedrooms 6.5 baths, attached garage</t>
  </si>
  <si>
    <t>22-41-17-15-2-00-036</t>
  </si>
  <si>
    <t>BDR2015-0192</t>
  </si>
  <si>
    <t>New SFD 4 bedrooms, 5 bathrooms, attached garage</t>
  </si>
  <si>
    <t>22-40-17-12-1-02-004</t>
  </si>
  <si>
    <t>BDR2015-0193</t>
  </si>
  <si>
    <t>22-39-16-34-1-03-001</t>
  </si>
  <si>
    <t>BDR2015-0194</t>
  </si>
  <si>
    <t>ARU, attached garage and gameroom</t>
  </si>
  <si>
    <t>22-41-17-12-4-05-010</t>
  </si>
  <si>
    <t>BDR2015-0195</t>
  </si>
  <si>
    <t xml:space="preserve">New SFD 3 bedrooms, 3 baths, attached garage </t>
  </si>
  <si>
    <t>22-42-17-25-2-02-012</t>
  </si>
  <si>
    <t>BDR2015-0198</t>
  </si>
  <si>
    <t>BDR2015-0200</t>
  </si>
  <si>
    <t>new SFD 3 bedrooms 3.5 bathrooms attached garage</t>
  </si>
  <si>
    <t>22-42-17-25-2-02-019</t>
  </si>
  <si>
    <t>BDR2015-0203</t>
  </si>
  <si>
    <t>interior remodel /patio</t>
  </si>
  <si>
    <t>22-41-17-33-3-03-053</t>
  </si>
  <si>
    <t>BDR2015-0204</t>
  </si>
  <si>
    <t>ARU 870 Sq.ft.</t>
  </si>
  <si>
    <t>BDR2015-0207</t>
  </si>
  <si>
    <t>New SFD 3 bedrooms, 4 bathrooms, attached garage Lot 63 Shooting Star</t>
  </si>
  <si>
    <t>22-42-17-24-4-35-063</t>
  </si>
  <si>
    <t>BDR2015-0208</t>
  </si>
  <si>
    <t>New SFD 3 bedrooms, 4 baths, attached garage</t>
  </si>
  <si>
    <t>22-42-17-24-4-35-064</t>
  </si>
  <si>
    <t>BDR2015-0209</t>
  </si>
  <si>
    <t>22-42-17-24-4-35-075</t>
  </si>
  <si>
    <t>BDR2018-0114</t>
  </si>
  <si>
    <t>Addition 762 sqft habitable</t>
  </si>
  <si>
    <t>BDR2015-0210</t>
  </si>
  <si>
    <t>BDR2015-0214</t>
  </si>
  <si>
    <t xml:space="preserve">Addition of kitchen 88 sq ft, roof repair, window replacement </t>
  </si>
  <si>
    <t>22-41-17-14-3-24-009</t>
  </si>
  <si>
    <t>BDR2015-0215</t>
  </si>
  <si>
    <t>New SFD 3 bedrooms, 3 bathrooms</t>
  </si>
  <si>
    <t>22-44-18-20-4-10-006</t>
  </si>
  <si>
    <t>BDR2015-0216</t>
  </si>
  <si>
    <t>remodel, enclose garage for storage</t>
  </si>
  <si>
    <t>22-42-16-27-2-30-003</t>
  </si>
  <si>
    <t>BDR2016-0001</t>
  </si>
  <si>
    <t>Add of 383 sq ft to SFD and 373 sq ft to attached garage</t>
  </si>
  <si>
    <t>BDR2016-0003</t>
  </si>
  <si>
    <t>New SFD 5 bedrooms, 6 bathrooms, attached garage</t>
  </si>
  <si>
    <t>22-42-17-24-4-35-074</t>
  </si>
  <si>
    <t>BDR2016-0005</t>
  </si>
  <si>
    <t>Addition and remodel of SFD, new sqft of 2307; 6-29-16 revision addition of covered entry porch</t>
  </si>
  <si>
    <t>22-42-15-11-1-00-011</t>
  </si>
  <si>
    <t>BDR2018-0196</t>
  </si>
  <si>
    <t>Remodel 1320 sqft habitable Addition 664 sqft habitable and 480 sqft deck</t>
  </si>
  <si>
    <t>22-40-16-18-4-00-010</t>
  </si>
  <si>
    <t>BDR2016-0006</t>
  </si>
  <si>
    <t>addition of porches and car port; 10-7-16 revision of garage &amp; decks</t>
  </si>
  <si>
    <t>BDR2016-0011</t>
  </si>
  <si>
    <t>New SFD 3 bedrooms, 3 baths, attached garage</t>
  </si>
  <si>
    <t>22-40-17-13-1-01-043</t>
  </si>
  <si>
    <t>BDR2016-0012</t>
  </si>
  <si>
    <t>New ARU SFD 2 bedrooms, 2 baths</t>
  </si>
  <si>
    <t>BDR2016-0014</t>
  </si>
  <si>
    <t>ARU, 1 bedrooms (838), 1 bathrooms, attached garage (406) deck (345)</t>
  </si>
  <si>
    <t>BDR2016-0018</t>
  </si>
  <si>
    <t>New SFD 4 bedrooms, 4.5 baths with attached garage</t>
  </si>
  <si>
    <t>22-41-17-11-4-11-005</t>
  </si>
  <si>
    <t>BDR2016-0021</t>
  </si>
  <si>
    <t>addition of 444 sqft habitable, 88 non-habitable, remodel of 2156 sqft; 5-25-16 revision of roof over garage, window and lighting adjustments.</t>
  </si>
  <si>
    <t>22-41-17-23-2-02-004</t>
  </si>
  <si>
    <t>BDR2016-0027</t>
  </si>
  <si>
    <t>New SFD 3 bedrooms, 4.5 baths with attached garage (713)</t>
  </si>
  <si>
    <t>BDR2016-0029</t>
  </si>
  <si>
    <t>new SFD 3 bedrooms, 2.5 baths with attached garage</t>
  </si>
  <si>
    <t>22-41-17-22-4-14-052</t>
  </si>
  <si>
    <t>BDR2016-0031</t>
  </si>
  <si>
    <t>remodel of SFD 2807 sqft habitable, 856 non habitable</t>
  </si>
  <si>
    <t>BDR2016-0034</t>
  </si>
  <si>
    <t>New SFD 3 bedrooms, 3.5 baths, attached garage</t>
  </si>
  <si>
    <t>22-41-16-28-3-03-007</t>
  </si>
  <si>
    <t>BDR2016-0035</t>
  </si>
  <si>
    <t>remodel of SFD 2655 habitable, 282 non habitable</t>
  </si>
  <si>
    <t>22-41-17-36-1-05-003</t>
  </si>
  <si>
    <t>BDR2016-0037</t>
  </si>
  <si>
    <t>storage building, revision 4-22-16; revision of application to single family dwelling 1378 habitable and 3602 non habitable. 5-16-16; 7-7-16 revision of utility room to bathroom</t>
  </si>
  <si>
    <t>22-39-16-02-3-00-017</t>
  </si>
  <si>
    <t>BDR2016-0039</t>
  </si>
  <si>
    <t>add to garage of 594 sq ft</t>
  </si>
  <si>
    <t>22-42-16-22-4-00-021</t>
  </si>
  <si>
    <t>BDR2016-0040</t>
  </si>
  <si>
    <t>New SFD 2 bedrooms, 2 baths, attached garage. Revised Eng. drawings 5/16/16; revision of roof pitch 6/22/16</t>
  </si>
  <si>
    <t>22-42-16-15-4-03-014</t>
  </si>
  <si>
    <t>BDR2016-0041</t>
  </si>
  <si>
    <t>new SFD 5 bedrooms, 7 baths, attached garage</t>
  </si>
  <si>
    <t>22-42-16-27-3-02-027</t>
  </si>
  <si>
    <t>BDR2016-0042</t>
  </si>
  <si>
    <t>New ARU 2 bedrooms, 1 bath, attached garage</t>
  </si>
  <si>
    <t>BDR2016-0046</t>
  </si>
  <si>
    <t>new SFD 4 bedrooms, 4.5 baths, attached garage</t>
  </si>
  <si>
    <t>BDR2016-0047</t>
  </si>
  <si>
    <t>22-40-16-18-3-06-003</t>
  </si>
  <si>
    <t>BDR2016-0049</t>
  </si>
  <si>
    <t>new SFD 3 bedrooms, 3 1/2 baths, attached garage</t>
  </si>
  <si>
    <t>22-42-16-27-4-04-003</t>
  </si>
  <si>
    <t>BDR2016-0050</t>
  </si>
  <si>
    <t>New SFD 3 bedrooms, 2 1/2 baths</t>
  </si>
  <si>
    <t>22-39-17-11-1-08-002</t>
  </si>
  <si>
    <t>BDR2016-0051</t>
  </si>
  <si>
    <t>new garage</t>
  </si>
  <si>
    <t>BDR2016-0055</t>
  </si>
  <si>
    <t>New SFD 4 bedrooms, 4 1/4 baths with attached guest house</t>
  </si>
  <si>
    <t>BDC2019-0010</t>
  </si>
  <si>
    <t>480 sqft office addition &amp; remodel</t>
  </si>
  <si>
    <t>BDR2016-0058</t>
  </si>
  <si>
    <t>new SFD 2 bedrooms 1 bath, attached garage, revision 5-3-16</t>
  </si>
  <si>
    <t>22-41-17-21-3-00-025</t>
  </si>
  <si>
    <t>BDR2016-0059</t>
  </si>
  <si>
    <t>22-41-17-21-3-00-026</t>
  </si>
  <si>
    <t>BDR2016-0064</t>
  </si>
  <si>
    <t>Addition of 489 sqft, 1 bedroom, 1 bath, mud room, remodel 110</t>
  </si>
  <si>
    <t>BDR2019-0006</t>
  </si>
  <si>
    <t>Garage addition 220 sqft non-habitable</t>
  </si>
  <si>
    <t>22-40-16-20-1-08-008</t>
  </si>
  <si>
    <t>BDR2016-0200</t>
  </si>
  <si>
    <t>SFD-addition of 1042sqft habitable, 144sqft non habitable, remodel of 267sqft habitable &amp; 96 sqft non-habitable, 1 bedroom, 1 bathroom</t>
  </si>
  <si>
    <t>22-40-16-20-1-10-005</t>
  </si>
  <si>
    <t>BDR2017-0035</t>
  </si>
  <si>
    <t>SFD Addition of 348.5sqft habitable and remodel of 650 sqft habitable</t>
  </si>
  <si>
    <t>BDR2016-0066</t>
  </si>
  <si>
    <t>New SFD, 4 bedrooms, 5 baths/garage</t>
  </si>
  <si>
    <t>22-42-17-24-3-02-084</t>
  </si>
  <si>
    <t>BDR2016-0067</t>
  </si>
  <si>
    <t>new SFD 4 bedrooms, 5 baths/garage; 6-15-16 revision of garage &amp; mechanical space added;</t>
  </si>
  <si>
    <t>BDR2016-0069</t>
  </si>
  <si>
    <t xml:space="preserve">new SFD 3 bedrooms, 5 bathrooms, attached garage </t>
  </si>
  <si>
    <t>22-42-16-28-1-02-006</t>
  </si>
  <si>
    <t>BDR2016-0071</t>
  </si>
  <si>
    <t>New SFD 4 bedrooms, 5 baths</t>
  </si>
  <si>
    <t>22-38-16-16-2-01-019</t>
  </si>
  <si>
    <t>BDR2016-0072</t>
  </si>
  <si>
    <t>detached garage</t>
  </si>
  <si>
    <t>BDR2016-0074</t>
  </si>
  <si>
    <t>new SFD 3 bedrooms, 2 1/2 baths, attached garage; revision 5-2-16 foundation plans</t>
  </si>
  <si>
    <t>22-44-18-19-4-05-002</t>
  </si>
  <si>
    <t>BDR2016-0077</t>
  </si>
  <si>
    <t>BDR2019-0074</t>
  </si>
  <si>
    <t>Addition 288 sqft habitable</t>
  </si>
  <si>
    <t>22-40-16-20-2-01-031</t>
  </si>
  <si>
    <t>BDR2016-0081</t>
  </si>
  <si>
    <t>New SFD guest house, 2 bedrooms, 2 baths, attached garage</t>
  </si>
  <si>
    <t>BDR2016-0084</t>
  </si>
  <si>
    <t>Addition of 68 sqft habitable and 148 sqft decks</t>
  </si>
  <si>
    <t>22-41-17-11-1-49-004</t>
  </si>
  <si>
    <t>BDR2016-0087</t>
  </si>
  <si>
    <t>New SFD, 3 bedrooms, 4 baths, attached garage</t>
  </si>
  <si>
    <t>BDR2016-0088</t>
  </si>
  <si>
    <t>new SFD 2 bedrooms, 2 1/2 baths, attached garage</t>
  </si>
  <si>
    <t>22-41-17-26-2-00-008</t>
  </si>
  <si>
    <t>BDR2016-0089</t>
  </si>
  <si>
    <t>New SFD, 1 bedroom, 1 bath</t>
  </si>
  <si>
    <t>BDR2016-0092</t>
  </si>
  <si>
    <t>New SFD ARU, 1 bedroom, 1 bath</t>
  </si>
  <si>
    <t>22-41-17-23-2-11-001</t>
  </si>
  <si>
    <t>BDR2016-0094</t>
  </si>
  <si>
    <t xml:space="preserve">New SFD 3 bedrooms, 2 1/2 baths, attached garage </t>
  </si>
  <si>
    <t>22-44-18-21-4-00-001</t>
  </si>
  <si>
    <t>BDR2016-0100</t>
  </si>
  <si>
    <t>New SFD 5 bedrooms, 4 1/2 baths, attached garage</t>
  </si>
  <si>
    <t>22-41-17-11-1-49-011</t>
  </si>
  <si>
    <t>BDR2016-0141</t>
  </si>
  <si>
    <t>Addition of 754 sqft 1 bedroom &amp; 1 bathroom</t>
  </si>
  <si>
    <t>BDR2016-0103</t>
  </si>
  <si>
    <t>SFD Addition of 1249sqft habitable, 297 sqft non habitable, 867 decks</t>
  </si>
  <si>
    <t>BDR2016-0105</t>
  </si>
  <si>
    <t>BDR2016-0098</t>
  </si>
  <si>
    <t>New SFD (ARU) 2 bedrooms, 1 bath, attached garage</t>
  </si>
  <si>
    <t>BDR2017-0149</t>
  </si>
  <si>
    <t>New ARU Modular</t>
  </si>
  <si>
    <t>22-41-17-12-3-07-005</t>
  </si>
  <si>
    <t>BDR2017-0066</t>
  </si>
  <si>
    <t>guest house garage</t>
  </si>
  <si>
    <t>22-40-16-18-4-00-054</t>
  </si>
  <si>
    <t>BDR2017-0065</t>
  </si>
  <si>
    <t>SFD guest house 2 bedrooms, 2 bathrooms</t>
  </si>
  <si>
    <t>BDR2016-0073</t>
  </si>
  <si>
    <t>New SFD 3 bedrooms, 2 full &amp; 2 half baths, attached garage</t>
  </si>
  <si>
    <t>22-41-16-30-2-03-005</t>
  </si>
  <si>
    <t>BDR2017-0039</t>
  </si>
  <si>
    <t>new SFD 1 bedroom, 1 bathroom, unfinished basement</t>
  </si>
  <si>
    <t>22-42-16-02-3-06-003</t>
  </si>
  <si>
    <t>BDR2019-0001</t>
  </si>
  <si>
    <t>Add 885 sqft habitable and 163 sqft deck, remodel 403 sqft habitable  Revisions submitted 4/18/19 BN</t>
  </si>
  <si>
    <t>BDR2017-0016</t>
  </si>
  <si>
    <t>new SFD 3 bedrooms, 4 bathrooms, attached garage Revisions submitted for review 1/4/2018  MR</t>
  </si>
  <si>
    <t>22-40-16-21-2-01-008</t>
  </si>
  <si>
    <t>BDR2016-0158</t>
  </si>
  <si>
    <t>new SFD 3 bedrooms, 3 bathrooms</t>
  </si>
  <si>
    <t>22-42-16-15-4-00-008</t>
  </si>
  <si>
    <t>BDR2016-0159</t>
  </si>
  <si>
    <t>BDR2016-0010</t>
  </si>
  <si>
    <t>SFD 2 bedrooms, 2 1/2 baths</t>
  </si>
  <si>
    <t>22-39-16-03-4-01-005</t>
  </si>
  <si>
    <t>BDR2016-0107</t>
  </si>
  <si>
    <t>Addition of SFD 1123 sqft habitable, 166 sqft decks, 366 sqft remodel</t>
  </si>
  <si>
    <t>22-40-16-18-4-00-011</t>
  </si>
  <si>
    <t>BDR2017-0002</t>
  </si>
  <si>
    <t>BDR2016-0165</t>
  </si>
  <si>
    <t>new SFD 3 bedrooms, 4 bathrooms, attached garage</t>
  </si>
  <si>
    <t>22-42-17-24-4-40-008</t>
  </si>
  <si>
    <t>BDR2016-0219</t>
  </si>
  <si>
    <t>SFD 3 bedroom, 3 1/2 bathrooms</t>
  </si>
  <si>
    <t>22-40-17-35-2-02-002</t>
  </si>
  <si>
    <t>BDR2015-0206</t>
  </si>
  <si>
    <t>New SFD 5 bedrooms, 5 1/2 baths attached garage</t>
  </si>
  <si>
    <t>22-41-16-21-1-16-002</t>
  </si>
  <si>
    <t>BDR2018-0072</t>
  </si>
  <si>
    <t>Addition of 305 sqft habitable and 160 sqft deck and covered porches</t>
  </si>
  <si>
    <t>BDR2016-0147</t>
  </si>
  <si>
    <t>Addition of 2442 sqft, 4 bedrooms, 2 1/2 bathrooms</t>
  </si>
  <si>
    <t>22-40-16-35-4-06-006</t>
  </si>
  <si>
    <t>BDC2016-0011</t>
  </si>
  <si>
    <t>entrance arch</t>
  </si>
  <si>
    <t>22-39-16-32-4-01-001</t>
  </si>
  <si>
    <t>BDR2016-0155</t>
  </si>
  <si>
    <t>sfd addition of 1080 sqft habitable, 664 sqft non habitable, 756 sqft decks, remodel of 955 sqft habitable, 42 sqft non habitable</t>
  </si>
  <si>
    <t>BDR2015-0027</t>
  </si>
  <si>
    <t>22-42-17-25-1-01-042</t>
  </si>
  <si>
    <t>BDC2017-0014</t>
  </si>
  <si>
    <t>interim transfer station building</t>
  </si>
  <si>
    <t>BDR2016-0056</t>
  </si>
  <si>
    <t>BDR2017-0013</t>
  </si>
  <si>
    <t>22-41-17-21-2-00-003</t>
  </si>
  <si>
    <t>BDR2019-0092</t>
  </si>
  <si>
    <t>Demolish 297 sqft lean-to  Add 250 sqft office and bathroom and 100 sqft storage in it's place.</t>
  </si>
  <si>
    <t>BDR2018-0035</t>
  </si>
  <si>
    <t>New 145 sqft habitable 557 sqft deck/porch  Remodel 855 sqft habitable</t>
  </si>
  <si>
    <t>BDR2017-0213</t>
  </si>
  <si>
    <t>remodel/addition 2076sqft habitable 94sqft nonhabitable</t>
  </si>
  <si>
    <t>BDR2016-0201</t>
  </si>
  <si>
    <t>new SFD 3 bedrooms, 4 bathrooms</t>
  </si>
  <si>
    <t>22-40-17-01-2-03-001</t>
  </si>
  <si>
    <t>BDR2016-0202</t>
  </si>
  <si>
    <t>BDR2016-0258</t>
  </si>
  <si>
    <t>New SFD, 5 bedrooms, 4.5 bathrooms, attached garage &amp; ARU</t>
  </si>
  <si>
    <t>22-41-17-23-1-00-043</t>
  </si>
  <si>
    <t>BDR2017-0247</t>
  </si>
  <si>
    <t>Addition of 200 sq ft habitable</t>
  </si>
  <si>
    <t>BDC2018-0062</t>
  </si>
  <si>
    <t>Add exterior stairs and fire escapes 187 sqft non-habitable; 3 creek golf club - outdoor rec?</t>
  </si>
  <si>
    <t>BDR2016-0075</t>
  </si>
  <si>
    <t>New SFD 4 bedrooms, 5 baths, attached garage</t>
  </si>
  <si>
    <t>22-41-17-14-2-17-014</t>
  </si>
  <si>
    <t>BDR2016-0235</t>
  </si>
  <si>
    <t>New SFD 5 bedrooms, 5 1/2 bathrooms, attached garage</t>
  </si>
  <si>
    <t>22-42-17-25-1-05-001</t>
  </si>
  <si>
    <t>BDR2017-0150</t>
  </si>
  <si>
    <t>New SFD modular</t>
  </si>
  <si>
    <t>B16-0428</t>
  </si>
  <si>
    <t>BDR2016-0111</t>
  </si>
  <si>
    <t xml:space="preserve">New barn/ARU, 1 bedroom, 1 bath; 8-29-16 revision of barn no ARU </t>
  </si>
  <si>
    <t>BDR2019-0064</t>
  </si>
  <si>
    <t>1200 sq. ft. shop, storage, bathroom, &amp; covered porch additions to existing SFD
The original permit was BDR2010-0059  That permit expired.   This one was opened per the Building Official in order for the project to receive all of the required final inspe</t>
  </si>
  <si>
    <t>BDR2017-0040</t>
  </si>
  <si>
    <t>new SFD 3 bedrooms, 3 bathrooms, attached garage</t>
  </si>
  <si>
    <t>BDR2016-0170</t>
  </si>
  <si>
    <t>addition of 1 bedroom, 1 bathroom, 310 sqft habitable, 455 sqft non habitable, 100 sqft decks</t>
  </si>
  <si>
    <t>BDR2018-0008</t>
  </si>
  <si>
    <t>1087 square foot addition.</t>
  </si>
  <si>
    <t>BDR2017-0019</t>
  </si>
  <si>
    <t>convert garage into guest house, 1 bedroom, 1 bathroom, Called Rick on 11/6/2017 regarding expiration  M.R.Letter sent to applicant on 12/7/2017  M.R.Final notice sent to owner and applicant on 1/4/2018  M.R.</t>
  </si>
  <si>
    <t>22-41-16-02-3-00-004</t>
  </si>
  <si>
    <t>BDR2017-0043</t>
  </si>
  <si>
    <t>22-40-16-18-1-04-260</t>
  </si>
  <si>
    <t>BDR2017-0189</t>
  </si>
  <si>
    <t>New SFD 4128sqft habitable 757sqft nonhabitable</t>
  </si>
  <si>
    <t>BDR2017-0032</t>
  </si>
  <si>
    <t xml:space="preserve">New SFD 7 bedrooms, 7 full plus 2 half bathrooms, attached garage </t>
  </si>
  <si>
    <t>22-41-16-06-1-01-007</t>
  </si>
  <si>
    <t>BDR2018-0122</t>
  </si>
  <si>
    <t>ARU 798 sqft habitable (built on top of existing garage)</t>
  </si>
  <si>
    <t>22-41-16-06-3-03-013</t>
  </si>
  <si>
    <t>BDR2018-0170</t>
  </si>
  <si>
    <t>Addition 606 sqft habitable  Remodel 500 sqft habitable</t>
  </si>
  <si>
    <t>BDR2016-0190</t>
  </si>
  <si>
    <t>SFD Addition of 590sqft habitable and remodel of 965sqft habitable</t>
  </si>
  <si>
    <t>22-41-16-06-3-04-001</t>
  </si>
  <si>
    <t>BDR2017-0232</t>
  </si>
  <si>
    <t xml:space="preserve">New sfd 2002 sq ft habitable There will be a basement 2002sqft habitable 11/14/17BN
</t>
  </si>
  <si>
    <t>22-39-16-13-1-00-011</t>
  </si>
  <si>
    <t>BDR2017-0130</t>
  </si>
  <si>
    <t>22-42-16-15-4-03-025</t>
  </si>
  <si>
    <t>BDR2016-0205</t>
  </si>
  <si>
    <t>SFD addition of 1430 sq.ft. and remodel of 594 sq.ft.</t>
  </si>
  <si>
    <t>BDR2016-0086</t>
  </si>
  <si>
    <t>detached garage; 10-17-16 revision of sqft</t>
  </si>
  <si>
    <t>BDR2019-0057</t>
  </si>
  <si>
    <t>Addition 948sqft habitable 900sqft remodel 336sqft decks/covered porches</t>
  </si>
  <si>
    <t>22-41-16-17-2-03-002</t>
  </si>
  <si>
    <t>BDR2018-0038</t>
  </si>
  <si>
    <t>addition of 492 sqft habitable remodel 38 sqft habitable and 700 sqft non-habitable</t>
  </si>
  <si>
    <t>BDR2018-0138</t>
  </si>
  <si>
    <t>Addition of 378 sqft habitable remodel 114 sqft habitable demo 232 sqft habitable</t>
  </si>
  <si>
    <t>22-41-16-17-3-05-005</t>
  </si>
  <si>
    <t>BDR2017-0064</t>
  </si>
  <si>
    <t>BDR2016-0060</t>
  </si>
  <si>
    <t>22-41-17-21-3-00-027</t>
  </si>
  <si>
    <t>BDR2016-0061</t>
  </si>
  <si>
    <t>22-41-17-21-3-00-028</t>
  </si>
  <si>
    <t>BDR2016-0186</t>
  </si>
  <si>
    <t>22-42-16-34-2-03-021</t>
  </si>
  <si>
    <t>BDR2017-0217</t>
  </si>
  <si>
    <t>new sfd 2100 habitable</t>
  </si>
  <si>
    <t>22-40-16-18-1-03-140</t>
  </si>
  <si>
    <t>BDR2017-0218</t>
  </si>
  <si>
    <t>detached garage 846sqft</t>
  </si>
  <si>
    <t>BDR2018-0064</t>
  </si>
  <si>
    <t>Addition of 2014 sqft habitable 189 and remodel of 100 sqft habitable (When this is finaled (BDR2017-0226 also needs to be finaled)</t>
  </si>
  <si>
    <t>BDR2017-0161</t>
  </si>
  <si>
    <t>BDR2016-0221</t>
  </si>
  <si>
    <t>22-44-18-32-1-01-004</t>
  </si>
  <si>
    <t>BDR2016-0222</t>
  </si>
  <si>
    <t>BDR2017-0131</t>
  </si>
  <si>
    <t xml:space="preserve">SFD remodel/addition; addition of 782sqft habitable, 204sqft non habitable, remodel of 4190sqft habitable, 576sqft non habitable, 548sqft decks </t>
  </si>
  <si>
    <t>22-41-16-21-1-05-017</t>
  </si>
  <si>
    <t>BDR2016-0191</t>
  </si>
  <si>
    <t>SFD addition of 736sqft habitable, 286sqft non habitable, remodel of 3964sqft</t>
  </si>
  <si>
    <t>22-41-16-21-2-07-020</t>
  </si>
  <si>
    <t>BDR2016-0113</t>
  </si>
  <si>
    <t xml:space="preserve">new SFD 2 bedrooms, 2 baths </t>
  </si>
  <si>
    <t>22-44-18-17-1-02-008</t>
  </si>
  <si>
    <t>BDR2017-0227</t>
  </si>
  <si>
    <t>BDR2017-0214</t>
  </si>
  <si>
    <t>B17-0118</t>
  </si>
  <si>
    <t>22-41-16-33-3-07-010</t>
  </si>
  <si>
    <t>BDR2017-0121</t>
  </si>
  <si>
    <t>SFD 4 bedrooms, 3 bathrooms, attached garage; 7-7-17 revision of sqft, no garage or decks</t>
  </si>
  <si>
    <t>22-41-17-25-4-02-001</t>
  </si>
  <si>
    <t>BDR2016-0228</t>
  </si>
  <si>
    <t>new SFD 4 bedrooms, 4.25 bathrooms, attached garage</t>
  </si>
  <si>
    <t>22-40-16-20-1-10-001</t>
  </si>
  <si>
    <t>BDR2015-0165</t>
  </si>
  <si>
    <t>SFD ADD of 85 sq ft and redmodel of 2560 square feet</t>
  </si>
  <si>
    <t>BDR2016-0121</t>
  </si>
  <si>
    <t>BDR2017-0084</t>
  </si>
  <si>
    <t>SFD guest house 2 bedrooms, 1 bathroom, attached garage</t>
  </si>
  <si>
    <t>BDR2016-0015</t>
  </si>
  <si>
    <t>New SFD 6 bedrooms, 6.5 bathrooms with attached garage (1161)</t>
  </si>
  <si>
    <t>22-42-17-25-2-02-027</t>
  </si>
  <si>
    <t>B17-0374</t>
  </si>
  <si>
    <t>NSF with garage</t>
  </si>
  <si>
    <t>22-41-16-33-1-67-001</t>
  </si>
  <si>
    <t>B18-0369</t>
  </si>
  <si>
    <t>Converting part of business into a dwelling</t>
  </si>
  <si>
    <t>22-41-16-32-1-00-030</t>
  </si>
  <si>
    <t>BDR2016-0022</t>
  </si>
  <si>
    <t>New SFD 5 bedrooms, 5 baths, garage; revision, reduction of living areas</t>
  </si>
  <si>
    <t>22-42-17-24-1-01-012</t>
  </si>
  <si>
    <t>BDR2017-0078</t>
  </si>
  <si>
    <t>SFD addition/remodel, addition of 2487sqft habitable, 757sqft non habitable, remodel 1750sqft habitable, remodel 566sqft non habitable, 3 new bedrooms, 2.5 new bathrooms</t>
  </si>
  <si>
    <t>22-41-17-01-3-02-011</t>
  </si>
  <si>
    <t>BDR2017-0091</t>
  </si>
  <si>
    <t>Barn; 7-24-17 revision of doors and windows, add a dog wash, vanity and a toliet</t>
  </si>
  <si>
    <t>22-42-16-09-4-00-006</t>
  </si>
  <si>
    <t>BDR2018-0007</t>
  </si>
  <si>
    <t>Enclose an existing patio to make an dditional 114 sqft of habitable space.</t>
  </si>
  <si>
    <t>BDR2017-0026</t>
  </si>
  <si>
    <t>new SFD, 3 bedrooms, 3.5 bathrooms, attached garage</t>
  </si>
  <si>
    <t>22-42-16-11-2-01-005</t>
  </si>
  <si>
    <t>BDR2018-0077</t>
  </si>
  <si>
    <t>Adding 480sqft habitable adding 200sqft of deck</t>
  </si>
  <si>
    <t>22-41-17-11-1-12-001</t>
  </si>
  <si>
    <t>BDC2017-0018</t>
  </si>
  <si>
    <t>New Amerigas office and distribution hub</t>
  </si>
  <si>
    <t>22-40-16-17-4-00-024</t>
  </si>
  <si>
    <t>BDR2016-0244</t>
  </si>
  <si>
    <t>New SFD 4 bedrooms, 4 bathroom, attached garage</t>
  </si>
  <si>
    <t>22-42-17-24-4-40-010</t>
  </si>
  <si>
    <t>BDR2016-0245</t>
  </si>
  <si>
    <t>New SFD 4 bedrooms, 4 bathrooms, attached garage</t>
  </si>
  <si>
    <t>22-42-17-24-4-40-009</t>
  </si>
  <si>
    <t>BDR2017-0088</t>
  </si>
  <si>
    <t>SFD 4 bedrooms, 3 bathrooms, attached garage</t>
  </si>
  <si>
    <t>22-42-16-15-4-03-017</t>
  </si>
  <si>
    <t>BDR2017-0007</t>
  </si>
  <si>
    <t>22-41-17-36-3-08-003</t>
  </si>
  <si>
    <t>BDR2017-0006</t>
  </si>
  <si>
    <t>new SFD 4 Bedrooms, 5 baths</t>
  </si>
  <si>
    <t>BDR2017-0089</t>
  </si>
  <si>
    <t>SFD guest house 2 bedrooms, 2 bathrooms, attached garage</t>
  </si>
  <si>
    <t>BDR2016-0129</t>
  </si>
  <si>
    <t>New SFD 3 bedrooms, 2 1/2 baths attached garage</t>
  </si>
  <si>
    <t>22-40-17-10-3-03-042</t>
  </si>
  <si>
    <t>BDR2017-0100</t>
  </si>
  <si>
    <t>SFD guest house2 bedrooms, 1 bathroom, attached garage</t>
  </si>
  <si>
    <t>BDR2016-0168</t>
  </si>
  <si>
    <t>new SFD 5 bedrooms, 5 1/2 baths, attached garage; 10-7-16 revision of habitable(-49sqft)</t>
  </si>
  <si>
    <t>22-40-17-13-1-01-041</t>
  </si>
  <si>
    <t>BDR2016-0130</t>
  </si>
  <si>
    <t>New SFD , 1 bedroom, 1 bathroom, attached garage</t>
  </si>
  <si>
    <t>22-39-17-11-1-06-001</t>
  </si>
  <si>
    <t>B17-0228</t>
  </si>
  <si>
    <t>22-41-16-34-1-04-003</t>
  </si>
  <si>
    <t>BDC2018-0065</t>
  </si>
  <si>
    <t>Replace At&amp;t equipment and extend clock tower.    150 sqft non-habitable</t>
  </si>
  <si>
    <t>BDR2016-0131</t>
  </si>
  <si>
    <t>BDR2017-0081</t>
  </si>
  <si>
    <t>SFD 4 bedrooms, 4.5 bathrooms, attached garage</t>
  </si>
  <si>
    <t>22-40-16-20-2-17-007</t>
  </si>
  <si>
    <t>BDR2018-0144</t>
  </si>
  <si>
    <t>Addition 544 sqft habitable</t>
  </si>
  <si>
    <t>BDR2016-0195</t>
  </si>
  <si>
    <t>garage; 10-28-16, revision-changing to a morton building</t>
  </si>
  <si>
    <t>22-45-13-07-1-00-008</t>
  </si>
  <si>
    <t>BDR2017-0044</t>
  </si>
  <si>
    <t>new SFD guest house 1 bedroom, 1 bathroom</t>
  </si>
  <si>
    <t>B17-0342</t>
  </si>
  <si>
    <t>BDR2016-0134</t>
  </si>
  <si>
    <t>New SFD 2 bedrooms, 2 bathrooms</t>
  </si>
  <si>
    <t>22-41-17-26-2-00-026</t>
  </si>
  <si>
    <t>BDR2017-0015</t>
  </si>
  <si>
    <t>4 bedrooms, 4.5 bathrooms, attached garage</t>
  </si>
  <si>
    <t>22-41-17-14-1-19-018</t>
  </si>
  <si>
    <t>BDR2016-0265</t>
  </si>
  <si>
    <t>SFD 4 bedrooms, 4 1/2 bathrooms, attached garage</t>
  </si>
  <si>
    <t>22-42-16-27-4-12-022</t>
  </si>
  <si>
    <t>BDR2016-0236</t>
  </si>
  <si>
    <t>new SFD 7 bedrooms, 8 bathrooms</t>
  </si>
  <si>
    <t>22-41-16-05-3-00-006</t>
  </si>
  <si>
    <t>BDR2017-0003</t>
  </si>
  <si>
    <t>BDR2017-0063</t>
  </si>
  <si>
    <t>SFD addition of 773sqft., 2 bedroom, 1 bathroom</t>
  </si>
  <si>
    <t>BDR2018-0183</t>
  </si>
  <si>
    <t>Addition 712 sqft habitable  remodel 498 sqft habitable</t>
  </si>
  <si>
    <t>BDR2019-0034</t>
  </si>
  <si>
    <t>SFD 2874 sqft habitable 742 sqft non-habitable</t>
  </si>
  <si>
    <t>22-41-17-12-3-00-033</t>
  </si>
  <si>
    <t>BDR2017-0025</t>
  </si>
  <si>
    <t xml:space="preserve">new SFD guest house, 2 bathrooms, 2 bedrooms, attached garage </t>
  </si>
  <si>
    <t>BDR2016-0119</t>
  </si>
  <si>
    <t>new SFD 4 bedrooms, 3 bathrooms, attached garage</t>
  </si>
  <si>
    <t>BDR2017-0009</t>
  </si>
  <si>
    <t>new SFD 4 bedrooms, 5 bathrooms, attached garage</t>
  </si>
  <si>
    <t>22-40-17-12-4-01-067</t>
  </si>
  <si>
    <t>BDR2016-0132</t>
  </si>
  <si>
    <t>New SFD-ARU, 2 bedrooms, 2 bathrooms, attached garage</t>
  </si>
  <si>
    <t>B16-0400</t>
  </si>
  <si>
    <t>9-unit apartment bld</t>
  </si>
  <si>
    <t>22-41-16-34-1-81-003</t>
  </si>
  <si>
    <t>B16-0406</t>
  </si>
  <si>
    <t>new 6-unit apartment</t>
  </si>
  <si>
    <t>BDR2017-0061</t>
  </si>
  <si>
    <t>new SFD 6 bedrooms, 6 bathrooms, attached garage</t>
  </si>
  <si>
    <t>BDR2016-0136</t>
  </si>
  <si>
    <t>New SFD, 3 bedrooms, 2 baths, attached garage</t>
  </si>
  <si>
    <t>22-39-16-03-2-00-040</t>
  </si>
  <si>
    <t>BDR2016-0052</t>
  </si>
  <si>
    <t>New SFD 4 bedrooms, 6 1/2 baths, attched garage</t>
  </si>
  <si>
    <t>22-42-17-25-2-02-007</t>
  </si>
  <si>
    <t>BDR2016-0053</t>
  </si>
  <si>
    <t>New SFD, ARU , 2 bedrooms, 1 bath</t>
  </si>
  <si>
    <t>BDR2015-0019</t>
  </si>
  <si>
    <t>New 8-bedroom, 10-bath SFD w/ attached garage</t>
  </si>
  <si>
    <t>22-40-17-04-4-00-005</t>
  </si>
  <si>
    <t>BDR2019-0101</t>
  </si>
  <si>
    <t>Addition 324 sqft habitable 752 sqft non-habitable 285 sqft deck  Remodel 1758 sqft habitable</t>
  </si>
  <si>
    <t>22-41-17-13-2-00-014</t>
  </si>
  <si>
    <t>BDR2017-0070</t>
  </si>
  <si>
    <t>Storage Barn</t>
  </si>
  <si>
    <t>22-39-16-11-4-00-021</t>
  </si>
  <si>
    <t>BDC2017-0007</t>
  </si>
  <si>
    <t>new commercial building for Frederick Landscaping, office, storage, &amp; apts; 5-30-17 revision of lower level bathroom.</t>
  </si>
  <si>
    <t>BDR2017-0053</t>
  </si>
  <si>
    <t>new SFD, 3 bedrooms, 2.5 bathrooms, attached garage</t>
  </si>
  <si>
    <t>22-40-16-18-1-23-006</t>
  </si>
  <si>
    <t>BDR2017-0132</t>
  </si>
  <si>
    <t>SFD guest home 3 bedrooms, 2 bathrooms</t>
  </si>
  <si>
    <t>22-38-15-04-3-01-002</t>
  </si>
  <si>
    <t>BDR2016-0038</t>
  </si>
  <si>
    <t xml:space="preserve">Addition of SFD 297 sq. ft. 7/19/16 Add new foundation to 1350 sq. ft. of the existing home. </t>
  </si>
  <si>
    <t>22-41-17-13-2-00-018</t>
  </si>
  <si>
    <t>B16-0401</t>
  </si>
  <si>
    <t>1 unit apartment over garage</t>
  </si>
  <si>
    <t>B16-0403</t>
  </si>
  <si>
    <t>B16-0404</t>
  </si>
  <si>
    <t>1unit apartment over garage</t>
  </si>
  <si>
    <t>B16-0405</t>
  </si>
  <si>
    <t>BDR2017-0114</t>
  </si>
  <si>
    <t>new SFD 4 bedrooms, 3.5 bathrooms, attached garage</t>
  </si>
  <si>
    <t>BDR2016-0137</t>
  </si>
  <si>
    <t>New SFD 1 bedroom, 1 bathroom, attached garage</t>
  </si>
  <si>
    <t>22-42-16-22-4-00-085</t>
  </si>
  <si>
    <t>B16-0402</t>
  </si>
  <si>
    <t>1-unit apartment over garage</t>
  </si>
  <si>
    <t>BDR2016-0163</t>
  </si>
  <si>
    <t>BDR2014-0049</t>
  </si>
  <si>
    <t>591 sq. ft. connector bridge from existing ARU to existing SFD</t>
  </si>
  <si>
    <t>22-41-17-13-2-05-003</t>
  </si>
  <si>
    <t>BDR2017-0079</t>
  </si>
  <si>
    <t>SFD addition of 289sqft habitable, 1 new bathroom; 7-10-17 added propane tank</t>
  </si>
  <si>
    <t>BDR2016-0210</t>
  </si>
  <si>
    <t>22-41-17-34-1-02-011</t>
  </si>
  <si>
    <t>BDR2016-0175</t>
  </si>
  <si>
    <t>New SFD, 2 bedrooms, 2 bathrooms</t>
  </si>
  <si>
    <t>22-40-17-12-2-00-005</t>
  </si>
  <si>
    <t>BDR2016-0176</t>
  </si>
  <si>
    <t>BDR2017-0014</t>
  </si>
  <si>
    <t>new SFD 4 bedrooms, 4 bathrooms, attached garage, Lodges at Teton Village</t>
  </si>
  <si>
    <t>22-42-17-24-4-40-006</t>
  </si>
  <si>
    <t>BDR2017-0018</t>
  </si>
  <si>
    <t>new SFD 4 bedrooms, 4 bathrooms, attached garage</t>
  </si>
  <si>
    <t>22-42-17-24-4-40-013</t>
  </si>
  <si>
    <t>BDC2017-0004</t>
  </si>
  <si>
    <t>BDR2014-0009</t>
  </si>
  <si>
    <t>944 sq. ft. addition &amp; interior remodel to SFD</t>
  </si>
  <si>
    <t>22-41-17-14-1-02-005</t>
  </si>
  <si>
    <t>BDC2017-0024</t>
  </si>
  <si>
    <t>(5) 2 bedroom apts, shop, office</t>
  </si>
  <si>
    <t>22-40-16-17-4-00-021</t>
  </si>
  <si>
    <t>BDR2017-0049</t>
  </si>
  <si>
    <t>new SFD 5 bedrooms, 5.5 bathrooms, attached garage</t>
  </si>
  <si>
    <t>BDR2016-0152</t>
  </si>
  <si>
    <t>22-41-17-27-1-01-003</t>
  </si>
  <si>
    <t>BDR2016-0154</t>
  </si>
  <si>
    <t>new SFD, ARU, 2 bedrooms, 1 bathroom</t>
  </si>
  <si>
    <t>BP 2007-0309</t>
  </si>
  <si>
    <t>Add 2 Bedrooms, 2 Baths, Mud Room, and Laundry to SFD</t>
  </si>
  <si>
    <t>22-41-17-14-1-19-001</t>
  </si>
  <si>
    <t>BDR2016-0179</t>
  </si>
  <si>
    <t xml:space="preserve">New SFD 3 bedrooms, 4 bathrooms, attached garage; 11-4-16 revision of site plan </t>
  </si>
  <si>
    <t>22-41-15-18-4-01-008</t>
  </si>
  <si>
    <t>BDR2017-0038</t>
  </si>
  <si>
    <t>SFD addition of 460 sqft habitable, remodel habitable of 308sqft, and new decks 285sqft</t>
  </si>
  <si>
    <t>B17-0166</t>
  </si>
  <si>
    <t>22-41-16-34-2-29-005.01</t>
  </si>
  <si>
    <t>BDR2016-0166</t>
  </si>
  <si>
    <t>New SFD-ARU, one bedroom, one bathroom</t>
  </si>
  <si>
    <t>22-41-17-26-2-00-028</t>
  </si>
  <si>
    <t>BDR2016-0097</t>
  </si>
  <si>
    <t>22-42-16-10-2-03-001</t>
  </si>
  <si>
    <t>BDR2016-0138</t>
  </si>
  <si>
    <t>addition of barn &amp; guest house</t>
  </si>
  <si>
    <t>BDR2016-0162</t>
  </si>
  <si>
    <t>new SFD, 3 bedrooms, 4 baths, attached garage</t>
  </si>
  <si>
    <t>BDR2016-0139</t>
  </si>
  <si>
    <t>new SFD 6 bedrooms, 6.5 bathrooms, attached garage</t>
  </si>
  <si>
    <t>22-42-17-25-1-01-079</t>
  </si>
  <si>
    <t>BDR2018-0091</t>
  </si>
  <si>
    <t>Garage 252 sqft non-habitable</t>
  </si>
  <si>
    <t>BDR2015-0072</t>
  </si>
  <si>
    <t>New Yoga/Fitness Building Yoga studio (ARU #1 per PRD -includes cooking/bathing - associated with unit #2)</t>
  </si>
  <si>
    <t>22-41-16-05-3-00-009</t>
  </si>
  <si>
    <t>BDR2015-0071</t>
  </si>
  <si>
    <t>New 4-bedroom, 4-bath Guest Cabin Guest cottage (SFD #2 per PRD)</t>
  </si>
  <si>
    <t>BDR2017-0159</t>
  </si>
  <si>
    <t>New SFD 1543 habitable 748 non-habitable detached garage</t>
  </si>
  <si>
    <t>22-41-17-33-4-06-004</t>
  </si>
  <si>
    <t>BDR2017-0005</t>
  </si>
  <si>
    <t>New SFD 6 bedrooms, 6 1/2 Bathrooms, attached garage See permit BDR2017-0216 for addition and added EMP BDR2017-0216 will be referenced as</t>
  </si>
  <si>
    <t>22-42-17-24-4-35-072</t>
  </si>
  <si>
    <t>BDR2018-0165</t>
  </si>
  <si>
    <t>Addition 559 sqft habitable</t>
  </si>
  <si>
    <t>22-41-17-14-1-21-004</t>
  </si>
  <si>
    <t>BDR2015-0184</t>
  </si>
  <si>
    <t>garage and brewing room</t>
  </si>
  <si>
    <t>22-41-17-14-2-14-005</t>
  </si>
  <si>
    <t>BDR2019-0035</t>
  </si>
  <si>
    <t>Addition of 410 sqft habitable</t>
  </si>
  <si>
    <t>BDR2016-0234</t>
  </si>
  <si>
    <t>SFD guest house, 1 bedroom, 1 1/2 bathrooms</t>
  </si>
  <si>
    <t>BDR2016-0184</t>
  </si>
  <si>
    <t>New SFD 5 bedrooms, 5 1/2 bathrooms, attached ARU and garage</t>
  </si>
  <si>
    <t>22-42-17-24-1-01-027</t>
  </si>
  <si>
    <t>BDR2016-0198</t>
  </si>
  <si>
    <t>SFD Addition of 447 sqft habitable, 419 sqft nonhabitable, 221 ft decks and remodel of 800sqft habitable, 2 new bedrooms, 3 new bathrooms</t>
  </si>
  <si>
    <t>22-41-17-14-2-18-007</t>
  </si>
  <si>
    <t>BDR2018-0059</t>
  </si>
  <si>
    <t>ARU 807 sqft habitable 118 sqft covered porch</t>
  </si>
  <si>
    <t>22-40-16-19-2-00-007</t>
  </si>
  <si>
    <t>BDR2016-0140</t>
  </si>
  <si>
    <t>New SFD 3 bedrooms, 2 1/2 baths, attached garage</t>
  </si>
  <si>
    <t>22-40-17-35-2-06-007</t>
  </si>
  <si>
    <t>BDR2017-0208</t>
  </si>
  <si>
    <t>new duplex 1406sqft habitable 315sqft nonhabitable</t>
  </si>
  <si>
    <t>22-42-16-19-2-03-016</t>
  </si>
  <si>
    <t>BDR2017-0211</t>
  </si>
  <si>
    <t>BDR2017-0209</t>
  </si>
  <si>
    <t>BDR2017-0210</t>
  </si>
  <si>
    <t>BDR2018-0141</t>
  </si>
  <si>
    <t>Addition 80 sqft habitable 395 sqft deck Remodel 395 sqft habitable</t>
  </si>
  <si>
    <t>BDR2018-0113</t>
  </si>
  <si>
    <t>Addition 1383 sqft habitable, 101 sqft non-habitable and 100 sqft deck   Remodel 1492 sqft habitable</t>
  </si>
  <si>
    <t>22-41-17-14-3-24-013</t>
  </si>
  <si>
    <t>B18-0473</t>
  </si>
  <si>
    <t>addition to existing restaurant</t>
  </si>
  <si>
    <t>BDR2017-0055</t>
  </si>
  <si>
    <t>SFD addition of 1811 sqft habitable, 573 sqft non-habitable, 127 sqft decks, remodel of 2962 sqft habitable, 2 new bedrooms, 1 new bathroom Applying for different footprint, exp. extended mr 10/26/2017  Revisions submitted for review 1285sqft habitable 13</t>
  </si>
  <si>
    <t>BDR2017-0134</t>
  </si>
  <si>
    <t>B17-0152</t>
  </si>
  <si>
    <t>new 4 unit condos</t>
  </si>
  <si>
    <t>B17-0153</t>
  </si>
  <si>
    <t>new 4 unit condo</t>
  </si>
  <si>
    <t>BDR2019-0010</t>
  </si>
  <si>
    <t>Addition 1276 sqft habitable</t>
  </si>
  <si>
    <t>22-41-17-22-1-00-007</t>
  </si>
  <si>
    <t>BDR2017-0104</t>
  </si>
  <si>
    <t>SFD Addition of 1190 sqft habitable, 1 new bedroom, 1 new bathroom &amp; 645sqft cover deck</t>
  </si>
  <si>
    <t>22-41-17-22-2-01-001</t>
  </si>
  <si>
    <t>BDR2017-0103</t>
  </si>
  <si>
    <t>garage. revised footings 8/16/2017</t>
  </si>
  <si>
    <t>22-44-18-29-2-00-026</t>
  </si>
  <si>
    <t>BDR2017-0153</t>
  </si>
  <si>
    <t>SFD2 bedrooms, 2 bathrooms</t>
  </si>
  <si>
    <t>BDR2015-0033</t>
  </si>
  <si>
    <t>add garage w/ living space above to existing SFD</t>
  </si>
  <si>
    <t>BDR2018-0106</t>
  </si>
  <si>
    <t>Addition 916 sqft habitable 87 sqft non-habitable 785 sqft deck/porch Remodel 1898 sqft habitable</t>
  </si>
  <si>
    <t>22-41-17-22-4-14-018</t>
  </si>
  <si>
    <t>BDR2018-0044</t>
  </si>
  <si>
    <t>ARU 972 sqft cabin</t>
  </si>
  <si>
    <t>BDR2018-0010</t>
  </si>
  <si>
    <t>New SFD 835 sqft habitable 1170 sqft non-habitable</t>
  </si>
  <si>
    <t>BDR2017-0224</t>
  </si>
  <si>
    <t>2500 sq ft barn</t>
  </si>
  <si>
    <t>22-42-16-15-4-08-005</t>
  </si>
  <si>
    <t>BDR2017-0207</t>
  </si>
  <si>
    <t>BDR2017-0204</t>
  </si>
  <si>
    <t>BDR2017-0205</t>
  </si>
  <si>
    <t>BDR2017-0206</t>
  </si>
  <si>
    <t>BDR2016-0204</t>
  </si>
  <si>
    <t>SFD-guest house, 2bedrooms, 2 bathrooms, attached garage</t>
  </si>
  <si>
    <t>22-40-17-35-1-05-006</t>
  </si>
  <si>
    <t>BDR2017-0168</t>
  </si>
  <si>
    <t>new hay shed 4320sqft nonhabitable</t>
  </si>
  <si>
    <t>BDR2016-0143</t>
  </si>
  <si>
    <t>New SFD, ARU, 2 bedrooms, 1 bathroom, attached garage</t>
  </si>
  <si>
    <t>22-39-17-11-1-02-001</t>
  </si>
  <si>
    <t>BDR2017-0182</t>
  </si>
  <si>
    <t>new SFD 2623sqft 4bd 4.5bath 11/30/17 NOTE: no conditions were added to the BDR2017-0182 -Jen's error!  Added today, but not on actual building permit.</t>
  </si>
  <si>
    <t>22-38-16-08-1-04-009</t>
  </si>
  <si>
    <t>BDR2018-0187</t>
  </si>
  <si>
    <t>Addition of 1827 sqft habitable 1060 sqft non habitable and 600 sqft deck.   Remodel 4965 sqft habitable and 636 sqft non-habitable</t>
  </si>
  <si>
    <t>BDR2016-0261</t>
  </si>
  <si>
    <t>22-44-18-20-3-11-006</t>
  </si>
  <si>
    <t>BDR2016-0260</t>
  </si>
  <si>
    <t>new SFD, 3 bedrooms. 2.5 bathrooms</t>
  </si>
  <si>
    <t>BDC2017-0029</t>
  </si>
  <si>
    <t>New fuel and Glycol facility 527sqft</t>
  </si>
  <si>
    <t>BDR2017-0011</t>
  </si>
  <si>
    <t>22-40-16-35-4-13-002</t>
  </si>
  <si>
    <t>BDC2017-0022</t>
  </si>
  <si>
    <t>lift station</t>
  </si>
  <si>
    <t>22-41-16-19-4-00-006</t>
  </si>
  <si>
    <t>BDR2016-0144</t>
  </si>
  <si>
    <t>new SFD-ARU, 2 bedrooms, 2 bathrooms, attached garage</t>
  </si>
  <si>
    <t>22-41-16-05-4-00-003</t>
  </si>
  <si>
    <t>BDR2016-0146</t>
  </si>
  <si>
    <t xml:space="preserve">new SFD-ARU attached garage </t>
  </si>
  <si>
    <t>BDR2018-0082</t>
  </si>
  <si>
    <t>1297 sq ft garage 672 sqft office 288 sqft deck Revisions submitted for review 7/24/2018  M.R.</t>
  </si>
  <si>
    <t>BDR2018-0001</t>
  </si>
  <si>
    <t>New SFD 2822 sq ft habitable 768 sq ft non-habitable 168 sq ft covered porch</t>
  </si>
  <si>
    <t>22-39-16-02-4-03-002</t>
  </si>
  <si>
    <t>BDR2017-0152</t>
  </si>
  <si>
    <t>SFD, 3 bedrooms, 3.5 bathrooms, attached garage</t>
  </si>
  <si>
    <t>22-40-17-12-4-01-051</t>
  </si>
  <si>
    <t>BDR2019-0061</t>
  </si>
  <si>
    <t xml:space="preserve">Add ARU to barn 996 sqft habitable 630 sqft non-habitable 444 sqft deck; convert 1301 and add 325 </t>
  </si>
  <si>
    <t>BDR2015-0178</t>
  </si>
  <si>
    <t xml:space="preserve">SFD ADD of 1052 ft, 1 bedroom, 1 bath </t>
  </si>
  <si>
    <t>22-41-17-25-4-04-007</t>
  </si>
  <si>
    <t>BDR2017-0108</t>
  </si>
  <si>
    <t>22-40-16-20-2-02-041</t>
  </si>
  <si>
    <t>BDR2017-0202</t>
  </si>
  <si>
    <t>New SFD 1406sqft habitable 315sqft garage</t>
  </si>
  <si>
    <t>BDR2017-0203</t>
  </si>
  <si>
    <t>new SFD 1406sqft habitable 315 nonhabitable</t>
  </si>
  <si>
    <t>BDR2016-0120</t>
  </si>
  <si>
    <t xml:space="preserve">addition/remodel SFD; new habitable 1056.5 sqft; non habitable 1087 sqft; decks 392 sqft; remodel of 360 sqft; 2.5 new bathrooms; 11-4-16 revision replacing footings and basement wall. </t>
  </si>
  <si>
    <t>22-41-17-25-4-06-016</t>
  </si>
  <si>
    <t>BDR2018-0178</t>
  </si>
  <si>
    <t>Addition 950 sqft habitable  Remodel 625 sqft habitable</t>
  </si>
  <si>
    <t>BDR2017-0085</t>
  </si>
  <si>
    <t>SFD 3 bedrooms, 4 bathrooms, attached garage</t>
  </si>
  <si>
    <t>22-42-15-10-1-01-028</t>
  </si>
  <si>
    <t>BDR2016-0194</t>
  </si>
  <si>
    <t>new SFD 5 bedrooms, 5 1/2 baths, attached garage</t>
  </si>
  <si>
    <t>22-40-17-13-1-01-044</t>
  </si>
  <si>
    <t>BDR2015-0170</t>
  </si>
  <si>
    <t>22-42-15-10-1-01-004</t>
  </si>
  <si>
    <t>BDR2017-0126</t>
  </si>
  <si>
    <t>SFD 3 bedrooms, 4 bathrooms, attached garage; mech. revision brought in 7-17-17</t>
  </si>
  <si>
    <t>22-42-16-34-2-02-032</t>
  </si>
  <si>
    <t>BDR2016-0115</t>
  </si>
  <si>
    <t>New SFD 5 bedrooms, 6 baths, attached garage</t>
  </si>
  <si>
    <t>22-42-17-25-2-02-026</t>
  </si>
  <si>
    <t>BDR2016-0208</t>
  </si>
  <si>
    <t>SFD Addition of 587sqft habitable and 568sqft decks</t>
  </si>
  <si>
    <t>BDR2019-0021</t>
  </si>
  <si>
    <t>Addition 1558 sqft habitable 186 sqft covered porch</t>
  </si>
  <si>
    <t>BDR2017-0249</t>
  </si>
  <si>
    <t>Addition of 411 sq ft  remodel 438 sq ft</t>
  </si>
  <si>
    <t>BDR2015-0073</t>
  </si>
  <si>
    <t>Treehouse.  Accessory structure, 2-bath (Accessory structure with no bathing/cooking.  Considered part of unit #2)</t>
  </si>
  <si>
    <t>BDR2018-0041</t>
  </si>
  <si>
    <t>Add 419 sqft of habitable and remodel 175 sqft of habitable Demo 240 sqft of habitable</t>
  </si>
  <si>
    <t>BDR2018-0204</t>
  </si>
  <si>
    <t>Addition 1256 sqft habitable  Remodel 5518 sqft habitable   996 sqft deck</t>
  </si>
  <si>
    <t>BDR2017-0222</t>
  </si>
  <si>
    <t xml:space="preserve">Fishing Cabin 754 sqf habitable </t>
  </si>
  <si>
    <t>22-41-16-19-4-00-011</t>
  </si>
  <si>
    <t>BDR2017-0188</t>
  </si>
  <si>
    <t>856sqft addition 215sqft of deck</t>
  </si>
  <si>
    <t>22-41-17-33-1-00-011</t>
  </si>
  <si>
    <t>BDC2018-0003</t>
  </si>
  <si>
    <t xml:space="preserve">New mixed use 5 2-bed apartments over office/shop  8325 sq ft total </t>
  </si>
  <si>
    <t>22-40-16-17-4-00-020</t>
  </si>
  <si>
    <t>BDR2016-0148</t>
  </si>
  <si>
    <t>new SFD/ARU, 1 bedroom, 1 bathroom</t>
  </si>
  <si>
    <t>BDR2018-0050</t>
  </si>
  <si>
    <t>New Garage 1152 sqft non-habitable</t>
  </si>
  <si>
    <t>BDR2017-0093</t>
  </si>
  <si>
    <t>SFD 8 bedrooms, 9.5 bathrooms, attached garage</t>
  </si>
  <si>
    <t>22-42-17-25-2-02-004</t>
  </si>
  <si>
    <t>BDR2017-0220</t>
  </si>
  <si>
    <t>addition 234sqft nonhabitable storage remodel garage to habitable 337sqft</t>
  </si>
  <si>
    <t>BDR2016-0209</t>
  </si>
  <si>
    <t>SFD addition of 1880 sqft habitable, 1 bedroom, 1 bathroom, decks 619sqft and remodel of 3032sqft habitable</t>
  </si>
  <si>
    <t>BDR2016-0023</t>
  </si>
  <si>
    <t>New SFD, ARU, 1 bedroom, 1 bath</t>
  </si>
  <si>
    <t>BDR2019-0166</t>
  </si>
  <si>
    <t>Addition 547 sqft habitable 653 sqft non-habitable</t>
  </si>
  <si>
    <t>BDR2016-0082</t>
  </si>
  <si>
    <t>New SFD, 5 bedrooms, 7 baths, attached garage</t>
  </si>
  <si>
    <t>22-42-17-25-2-02-040</t>
  </si>
  <si>
    <t>BDR2017-0187</t>
  </si>
  <si>
    <t>New SFD guest house and garage</t>
  </si>
  <si>
    <t>BDR2018-0174</t>
  </si>
  <si>
    <t xml:space="preserve">Addition 436 sqft habitable </t>
  </si>
  <si>
    <t>22-42-15-10-1-05-002</t>
  </si>
  <si>
    <t>BDR2017-0077</t>
  </si>
  <si>
    <t>22-40-17-12-1-01-042</t>
  </si>
  <si>
    <t>BDR2017-0171</t>
  </si>
  <si>
    <t>New Garage 1296sqft</t>
  </si>
  <si>
    <t>22-42-16-33-1-01-008</t>
  </si>
  <si>
    <t>BDR2018-0095</t>
  </si>
  <si>
    <t>SFD 1503 sqft habitable  (detached garage is BDR2018-0096)</t>
  </si>
  <si>
    <t>22-42-18-05-1-00-004</t>
  </si>
  <si>
    <t>BDR2018-0096</t>
  </si>
  <si>
    <t>Detached Garage 1152 sqft non-habitable  (house is  BDR2018-0095)</t>
  </si>
  <si>
    <t>BDR2017-0090</t>
  </si>
  <si>
    <t>SFD cabin to be moved; addition of 310sqft, 690sqft remodel</t>
  </si>
  <si>
    <t>22-42-15-10-1-07-003</t>
  </si>
  <si>
    <t>BDR2015-0091</t>
  </si>
  <si>
    <t>22-44-18-21-3-01-004</t>
  </si>
  <si>
    <t>BDR2018-0031</t>
  </si>
  <si>
    <t>New SFD 1789 sqft habitable 541 sqft non-habitable 272 sqft deck/covered porches</t>
  </si>
  <si>
    <t>22-41-17-22-3-12-003</t>
  </si>
  <si>
    <t>BDR2017-0141</t>
  </si>
  <si>
    <t>BDR2017-0027</t>
  </si>
  <si>
    <t>new SFD 4 bedrooms, 4.5 bathrooms, attached garage</t>
  </si>
  <si>
    <t>22-44-18-20-4-10-002</t>
  </si>
  <si>
    <t>BDR2015-0058</t>
  </si>
  <si>
    <t>22-40-17-35-1-04-009</t>
  </si>
  <si>
    <t>BDR2017-0186</t>
  </si>
  <si>
    <t>New garage with exercise room above.</t>
  </si>
  <si>
    <t>22-42-16-02-3-05-004</t>
  </si>
  <si>
    <t>BDR2017-0083</t>
  </si>
  <si>
    <t>SFD addition of 721sqft habitable, remodel of 441sqft habitable, decks 114sqft, 1 new bedroom &amp; 1 new bathroom; 8-9-17 revision of sqft</t>
  </si>
  <si>
    <t>BDR2017-0092</t>
  </si>
  <si>
    <t>addition of 105sqft mech. room on garage</t>
  </si>
  <si>
    <t>BDR2016-0150</t>
  </si>
  <si>
    <t>BDR2016-0153</t>
  </si>
  <si>
    <t>B17-0447</t>
  </si>
  <si>
    <t>NSF with attached accessory unit</t>
  </si>
  <si>
    <t>22-41-16-34-2-03-012.03</t>
  </si>
  <si>
    <t>BDR2017-0219</t>
  </si>
  <si>
    <t>Remodel and  adding 130sqft habitable from existing garage</t>
  </si>
  <si>
    <t>BDR2018-0123</t>
  </si>
  <si>
    <t>Addition to garage 162 sqft</t>
  </si>
  <si>
    <t>22-42-16-15-3-07-013</t>
  </si>
  <si>
    <t>BDR2017-0106</t>
  </si>
  <si>
    <t>SFD guest house</t>
  </si>
  <si>
    <t>BDR2017-0138</t>
  </si>
  <si>
    <t>SFD, 4 bedrooms, 4.5 bathrooms, attached garage</t>
  </si>
  <si>
    <t>22-41-17-14-2-18-005</t>
  </si>
  <si>
    <t>BDR2017-0095</t>
  </si>
  <si>
    <t>SFD addition of 1146sqft habitable, remodel of 1622sqft habitable</t>
  </si>
  <si>
    <t>22-42-16-15-4-03-016</t>
  </si>
  <si>
    <t>B18-0244</t>
  </si>
  <si>
    <t>22-40-16-05-2-04-029</t>
  </si>
  <si>
    <t>BDR2018-0060</t>
  </si>
  <si>
    <t>SFD 2268 sqft habitable  682 sqft non-habitable</t>
  </si>
  <si>
    <t>22-40-16-18-1-06-042</t>
  </si>
  <si>
    <t>BDR2018-0084</t>
  </si>
  <si>
    <t>Garage with ARU 997 sqft habitable 1050 sqft non-habitable 130 sqft deck</t>
  </si>
  <si>
    <t>22-41-16-28-1-04-003</t>
  </si>
  <si>
    <t>BDR2017-0042</t>
  </si>
  <si>
    <t>BDR2014-0002</t>
  </si>
  <si>
    <t>Move on two buildings to create art/yoga studio</t>
  </si>
  <si>
    <t>22-41-17-15-1-04-001</t>
  </si>
  <si>
    <t>BDR2017-0045</t>
  </si>
  <si>
    <t>22-45-13-07-1-00-022</t>
  </si>
  <si>
    <t>BDR2018-0153</t>
  </si>
  <si>
    <t>Addition to guest cabin 225 sqft habitable</t>
  </si>
  <si>
    <t>BDR2016-0096</t>
  </si>
  <si>
    <t>new SFD, 7 bedrooms, 7 bathrooms, attached garage</t>
  </si>
  <si>
    <t>22-40-17-04-3-00-002</t>
  </si>
  <si>
    <t>BDR2015-0081</t>
  </si>
  <si>
    <t>22-42-17-25-2-02-009</t>
  </si>
  <si>
    <t>BDR2016-0109</t>
  </si>
  <si>
    <t>22-41-17-23-1-00-051</t>
  </si>
  <si>
    <t>BDR2016-0110</t>
  </si>
  <si>
    <t>New SFD, Guest house</t>
  </si>
  <si>
    <t>BDR2017-0139</t>
  </si>
  <si>
    <t>addition to garage, 650sqft</t>
  </si>
  <si>
    <t>22-42-16-15-4-04-009</t>
  </si>
  <si>
    <t>BDR2017-0080</t>
  </si>
  <si>
    <t>SFD, 4 bedrooms, 5 Bathrooms, attached garage</t>
  </si>
  <si>
    <t>22-42-16-10-4-11-010</t>
  </si>
  <si>
    <t>BDR2016-0118</t>
  </si>
  <si>
    <t>BDR2017-0098</t>
  </si>
  <si>
    <t xml:space="preserve">SFD guest house 2 bedrooms, 2 bathrooms </t>
  </si>
  <si>
    <t>BDR2017-0075</t>
  </si>
  <si>
    <t>SFD guest house 1 bedroom, 2 bathrooms, attached garage; 7-5-17 revision added 111sqft habitable art studio</t>
  </si>
  <si>
    <t>22-42-17-26-3-00-009</t>
  </si>
  <si>
    <t>BDR2017-0034</t>
  </si>
  <si>
    <t>new SFD, guest house, 2 bedrooms, 2 bathrooms</t>
  </si>
  <si>
    <t>22-41-17-27-1-02-004</t>
  </si>
  <si>
    <t>BDR2018-0108</t>
  </si>
  <si>
    <t>SFD 2255 sqft habitable 900 sqft non-habitable</t>
  </si>
  <si>
    <t>22-42-16-22-1-00-006</t>
  </si>
  <si>
    <t>BDR2017-0115</t>
  </si>
  <si>
    <t>SFD Lodge at Teton Village, 4 bedrooms, 4 bathrooms, attached garage</t>
  </si>
  <si>
    <t>22-42-17-24-4-40-004</t>
  </si>
  <si>
    <t>BDR2017-0174</t>
  </si>
  <si>
    <t>New SFE 2623sqft habitable 4bd 4.5baths</t>
  </si>
  <si>
    <t>22-38-16-08-1-04-002</t>
  </si>
  <si>
    <t>BDR2017-0175</t>
  </si>
  <si>
    <t>detached garage 613sqft</t>
  </si>
  <si>
    <t>BDR2017-0183</t>
  </si>
  <si>
    <t>BDR2017-0178</t>
  </si>
  <si>
    <t>new SFD 2623sqft 4bd 4.5bath</t>
  </si>
  <si>
    <t>22-38-16-08-1-04-006</t>
  </si>
  <si>
    <t>BDR2017-0179</t>
  </si>
  <si>
    <t>BDR2016-0065</t>
  </si>
  <si>
    <t>New SFD, 6 bedrooms, 9 baths/garage</t>
  </si>
  <si>
    <t>22-42-17-25-2-02-013</t>
  </si>
  <si>
    <t>BDR2018-0065</t>
  </si>
  <si>
    <t>Addition 2484 sqft habitable 215 sqft non-habitable</t>
  </si>
  <si>
    <t>22-42-16-22-1-05-001</t>
  </si>
  <si>
    <t>BDR2019-0080</t>
  </si>
  <si>
    <t>Addition of 1076 sqft non-habitable garage to barn</t>
  </si>
  <si>
    <t>BDR2018-0086</t>
  </si>
  <si>
    <t>Addition of 126 sqft habitable</t>
  </si>
  <si>
    <t>B18-0258</t>
  </si>
  <si>
    <t>Addition to cabin/adding basement ARU</t>
  </si>
  <si>
    <t>22-41-16-34-2-20-008</t>
  </si>
  <si>
    <t>BDR2016-0160</t>
  </si>
  <si>
    <t>new SFD-ARU2 bedrooms, 2 bathrooms</t>
  </si>
  <si>
    <t>BDR2018-0063</t>
  </si>
  <si>
    <t xml:space="preserve">Addition of 862 sqft habitable 187 sqft non-habitable and 150 sqft remodel Revisions submitted for review.  9/19/2018  M.R. </t>
  </si>
  <si>
    <t>22-42-16-28-4-10-005</t>
  </si>
  <si>
    <t>BDR2017-0195</t>
  </si>
  <si>
    <t>detached garage 613sqft nonhabitable</t>
  </si>
  <si>
    <t>22-38-16-08-1-04-015</t>
  </si>
  <si>
    <t>BDR2017-0028</t>
  </si>
  <si>
    <t>addition of 391 sqft &amp; remodel of 2465 sqft habitable</t>
  </si>
  <si>
    <t>22-42-16-32-1-00-016</t>
  </si>
  <si>
    <t>BDR2017-0096</t>
  </si>
  <si>
    <t>SFD 5 bedrooms, 4.5 bathrooms, 2 attached garages</t>
  </si>
  <si>
    <t>22-42-16-11-2-01-004</t>
  </si>
  <si>
    <t>BDR2017-0244</t>
  </si>
  <si>
    <t xml:space="preserve">New SFD 1444 sq ft habitable </t>
  </si>
  <si>
    <t>22-42-16-18-4-00-004</t>
  </si>
  <si>
    <t>BDR2016-0252</t>
  </si>
  <si>
    <t>SFD addition of 750 sqft habitable, remodel 225sqft</t>
  </si>
  <si>
    <t>BDR2017-0245</t>
  </si>
  <si>
    <t>Addition 610 sq ft habitable</t>
  </si>
  <si>
    <t>22-42-16-33-1-03-005</t>
  </si>
  <si>
    <t>BDR2017-0046</t>
  </si>
  <si>
    <t>22-45-13-07-4-00-062</t>
  </si>
  <si>
    <t>BDR2017-0148</t>
  </si>
  <si>
    <t>New SFD 2870sqft Habitable</t>
  </si>
  <si>
    <t>22-45-13-07-4-00-060</t>
  </si>
  <si>
    <t>B17-0334</t>
  </si>
  <si>
    <t>22-41-16-33-3-07-028</t>
  </si>
  <si>
    <t>BDR2016-0124</t>
  </si>
  <si>
    <t>new SFD 2 bedrooms, 1.5 bathrooms</t>
  </si>
  <si>
    <t>22-39-16-23-3-08-002</t>
  </si>
  <si>
    <t>BDR2017-0184</t>
  </si>
  <si>
    <t>Detached shed with breeze way.</t>
  </si>
  <si>
    <t>BDR2017-0172</t>
  </si>
  <si>
    <t>New SFD 4BD 4.5Baths 2623sqft habitable</t>
  </si>
  <si>
    <t>22-38-16-08-1-04-001</t>
  </si>
  <si>
    <t>BDR2017-0173</t>
  </si>
  <si>
    <t>Detached garage 613sqft nonhabitable</t>
  </si>
  <si>
    <t>BDR2018-0045</t>
  </si>
  <si>
    <t>1285 sqft garage</t>
  </si>
  <si>
    <t>BDR2017-0074</t>
  </si>
  <si>
    <t xml:space="preserve">SFD guest house, 2 bedrooms, 2 bathrooms </t>
  </si>
  <si>
    <t>B18-0336</t>
  </si>
  <si>
    <t>22-40-16-06-2-43-008</t>
  </si>
  <si>
    <t>B18-0266</t>
  </si>
  <si>
    <t>New ARU with garage</t>
  </si>
  <si>
    <t>22-41-16-34-1-54-003</t>
  </si>
  <si>
    <t>BDR2017-0185</t>
  </si>
  <si>
    <t>addition of 776sqft</t>
  </si>
  <si>
    <t>B18-0078</t>
  </si>
  <si>
    <t>Interior fit out</t>
  </si>
  <si>
    <t>22-40-16-05-2-07-015</t>
  </si>
  <si>
    <t>BDR2018-0180</t>
  </si>
  <si>
    <t>800sqft garage non-habitable</t>
  </si>
  <si>
    <t>BDR2017-0117</t>
  </si>
  <si>
    <t>new SFD 5 bedrooms, 4.5 bathrooms, attached garage</t>
  </si>
  <si>
    <t>BDR2017-0180</t>
  </si>
  <si>
    <t>22-38-16-08-1-04-008</t>
  </si>
  <si>
    <t>BDR2017-0181</t>
  </si>
  <si>
    <t>BDR2017-0176</t>
  </si>
  <si>
    <t xml:space="preserve">new SFD 2623sqft 4bd 4.5baths </t>
  </si>
  <si>
    <t>22-38-16-08-1-04-004</t>
  </si>
  <si>
    <t>BDR2017-0177</t>
  </si>
  <si>
    <t>BDC2016-0010</t>
  </si>
  <si>
    <t>Gate House</t>
  </si>
  <si>
    <t>BDR2017-0246</t>
  </si>
  <si>
    <t>New SFD 4681 sq ft habitable  947 sq ft non-habitable</t>
  </si>
  <si>
    <t>22-40-17-12-4-01-059</t>
  </si>
  <si>
    <t>BDR2016-0207</t>
  </si>
  <si>
    <t>SFD addition of 1487sqft habitable, 876 sqft deck, remodel of 3044sqft habitable and 670sqft non habitable</t>
  </si>
  <si>
    <t>22-42-17-24-3-02-037</t>
  </si>
  <si>
    <t>BDR2017-0190</t>
  </si>
  <si>
    <t>New SFD 2623sqft habitable</t>
  </si>
  <si>
    <t>22-38-16-08-1-04-011</t>
  </si>
  <si>
    <t>BDR2017-0191</t>
  </si>
  <si>
    <t>BDR2017-0140</t>
  </si>
  <si>
    <t>Garage/office</t>
  </si>
  <si>
    <t>BDR2017-0193</t>
  </si>
  <si>
    <t>22-38-16-08-1-04-013</t>
  </si>
  <si>
    <t>B18-0085</t>
  </si>
  <si>
    <t>22-40-16-05-2-07-012</t>
  </si>
  <si>
    <t>BDR2016-0048</t>
  </si>
  <si>
    <t>Addition of SFD 1935 sq ft habitable; 8-11-16 revision-addition of 168sqft habitable</t>
  </si>
  <si>
    <t>BDR2016-0247</t>
  </si>
  <si>
    <t>New SFD 7 bedrooms, 10 bathrooms, attached garage</t>
  </si>
  <si>
    <t>B18-0194</t>
  </si>
  <si>
    <t>22-41-16-33-3-07-019</t>
  </si>
  <si>
    <t>B17-0576</t>
  </si>
  <si>
    <t>Single family with attached accessory</t>
  </si>
  <si>
    <t>22-41-16-34-2-30-009</t>
  </si>
  <si>
    <t>B18-0280</t>
  </si>
  <si>
    <t>completing NSF with garage</t>
  </si>
  <si>
    <t>BDR2016-0243</t>
  </si>
  <si>
    <t>New SFD 5 bedrooms, 7 baths, attached garage</t>
  </si>
  <si>
    <t>22-42-17-25-1-01-081</t>
  </si>
  <si>
    <t>BDR2016-0266</t>
  </si>
  <si>
    <t>new SFD 4 bedrooms, 4 1/2 bathrooms, attached garage</t>
  </si>
  <si>
    <t>22-40-16-19-3-03-002</t>
  </si>
  <si>
    <t>B17-0609</t>
  </si>
  <si>
    <t>New detached ARU with garage</t>
  </si>
  <si>
    <t>22-41-16-32-4-12-012.01</t>
  </si>
  <si>
    <t>BDR2016-0161</t>
  </si>
  <si>
    <t>SFD addition of 160sqft habitable, remodel 480sqft</t>
  </si>
  <si>
    <t>BDR2018-0014</t>
  </si>
  <si>
    <t>New SFD 4646 sqft habitable 802 non-habitable 150 sq ft deck</t>
  </si>
  <si>
    <t>22-40-17-12-1-01-030</t>
  </si>
  <si>
    <t>BDR2017-0004</t>
  </si>
  <si>
    <t>addition of 465 sqft, remodel 5691 sqft habitable, remodel 589 sqft non habitable, 1294 sqft decks</t>
  </si>
  <si>
    <t>22-42-17-24-3-02-128</t>
  </si>
  <si>
    <t>BDC2019-0022</t>
  </si>
  <si>
    <t>Remodel 2052 sqft Addition 142 sqft</t>
  </si>
  <si>
    <t>BDR2017-0012</t>
  </si>
  <si>
    <t>SFD addition of 272 sqft habitable, 20 sqft non habitable, decks 194 sqft, remodel of 671 sqft, demo of existing home</t>
  </si>
  <si>
    <t>22-42-17-35-1-00-014</t>
  </si>
  <si>
    <t>BDR2018-0069</t>
  </si>
  <si>
    <t>SFD 3760 sqft habitable 762.50 sqft non-habitable</t>
  </si>
  <si>
    <t>22-42-17-35-1-00-015</t>
  </si>
  <si>
    <t>BDR2016-0090</t>
  </si>
  <si>
    <t>Add SFD 1605 sqft Habitable, 1761 sqft non habitable, 972 sqft new and replaced decks, 1500 sqft remodel</t>
  </si>
  <si>
    <t>22-42-17-35-3-00-028</t>
  </si>
  <si>
    <t>BDR2019-0022</t>
  </si>
  <si>
    <t>Addition 1672 sqft habitable 86 sqft non-habitable 312 sqft deck</t>
  </si>
  <si>
    <t>BDC2017-0025</t>
  </si>
  <si>
    <t>Addition of 2073sqft of deck and stairs</t>
  </si>
  <si>
    <t>BDR2019-0015</t>
  </si>
  <si>
    <t>Addition/remodel 2290 sqft habitable    Revisions to mechanical system submitted for review.  8/15/2019  MR</t>
  </si>
  <si>
    <t>22-44-18-17-4-04-006</t>
  </si>
  <si>
    <t>BDR2019-0029</t>
  </si>
  <si>
    <t>Garage 863 sqft non-habitable</t>
  </si>
  <si>
    <t>22-44-18-19-4-00-009</t>
  </si>
  <si>
    <t>BDR2019-0158</t>
  </si>
  <si>
    <t>Addition 362 sqft habitable</t>
  </si>
  <si>
    <t>22-44-18-29-1-00-002</t>
  </si>
  <si>
    <t>BDR2018-0071</t>
  </si>
  <si>
    <t>Addition  sqft  Remodel 21 sqft</t>
  </si>
  <si>
    <t>BDR2016-0164</t>
  </si>
  <si>
    <t>New SFD 3 bedrooms, 4 bathrooms, attached garage</t>
  </si>
  <si>
    <t>22-42-17-24-4-40-007</t>
  </si>
  <si>
    <t>BDR2018-0034</t>
  </si>
  <si>
    <t>Addition 1040 sqft non-habitable</t>
  </si>
  <si>
    <t>BDR2016-0169</t>
  </si>
  <si>
    <t>22-40-16-19-3-00-017</t>
  </si>
  <si>
    <t>BDR2018-0137</t>
  </si>
  <si>
    <t>Remodel a barn to add upstairs ARU  212 sqft habitable addition, 132 sqft non-habitable addition 732sqft habitable remodel.</t>
  </si>
  <si>
    <t>BDR2016-0173</t>
  </si>
  <si>
    <t>new SFD-ARU 2 bedrooms, 2 bathrooms</t>
  </si>
  <si>
    <t>BDC2018-0040</t>
  </si>
  <si>
    <t>New Addition to existing Hotel.  A2 3590sqft, R1 1940sqft, B 490sqft, S1 3355sqft</t>
  </si>
  <si>
    <t>BDR2016-0174</t>
  </si>
  <si>
    <t>New SFD 3 bedrooms, 2 baths, attached garage</t>
  </si>
  <si>
    <t>22-39-16-12-3-00-013</t>
  </si>
  <si>
    <t>BDR2016-0178</t>
  </si>
  <si>
    <t>SFD addition of 232.66 sqft elevator/mechanical room, remodel of 256.67 sqft upper master bedroom, new foundation</t>
  </si>
  <si>
    <t>BDR2014-0125</t>
  </si>
  <si>
    <t>444 sq. ft. garage addition to existing w/ roof deck above</t>
  </si>
  <si>
    <t>BDC2016-0056</t>
  </si>
  <si>
    <t>addition of 3200 sqft storage and bus parking</t>
  </si>
  <si>
    <t>BDR2018-0048</t>
  </si>
  <si>
    <t>198 sqft addition of habitable 757 sqft remodel</t>
  </si>
  <si>
    <t>BDR2015-0163</t>
  </si>
  <si>
    <t>ACC ADD to garage</t>
  </si>
  <si>
    <t>22-39-15-31-1-05-001</t>
  </si>
  <si>
    <t>BDC2018-0039</t>
  </si>
  <si>
    <t xml:space="preserve">21966 sqft transfer facility and 895 sqft office </t>
  </si>
  <si>
    <t>BDC2018-0007</t>
  </si>
  <si>
    <t>Remodel 577 sqft to add in office space</t>
  </si>
  <si>
    <t>BDC2018-0038</t>
  </si>
  <si>
    <t>264 sqft student cabin (A30)</t>
  </si>
  <si>
    <t>BDC2018-0004</t>
  </si>
  <si>
    <t xml:space="preserve">320 sq foot addition of  maintenance garage and storage area </t>
  </si>
  <si>
    <t>22-41-17-11-1-50-001</t>
  </si>
  <si>
    <t>BDR2017-0022</t>
  </si>
  <si>
    <t>new guest house 2 bedrooms, 1 bathroom</t>
  </si>
  <si>
    <t>BDR2018-0081</t>
  </si>
  <si>
    <t xml:space="preserve">SFD 2566 sqft habitable 2377 sqft non-habitable </t>
  </si>
  <si>
    <t>BDR2017-0250</t>
  </si>
  <si>
    <t>New SFD 3755 sq ft habitable 1020 non-habitable</t>
  </si>
  <si>
    <t>22-40-16-20-2-17-009</t>
  </si>
  <si>
    <t>B17-0122</t>
  </si>
  <si>
    <t>Addition/ Alteration to existing home</t>
  </si>
  <si>
    <t>22-41-16-35-3-02-024</t>
  </si>
  <si>
    <t>BDR2016-0180</t>
  </si>
  <si>
    <t>SFD Addition of 1402sqft, 1 bedroom, 1 bathroom</t>
  </si>
  <si>
    <t>22-40-16-29-2-01-005</t>
  </si>
  <si>
    <t>B18-0726</t>
  </si>
  <si>
    <t>BDR2016-0181</t>
  </si>
  <si>
    <t>BP 2007-0179</t>
  </si>
  <si>
    <t>Build Barn w/Tack Room, Covered Porch</t>
  </si>
  <si>
    <t>BP 2008-0268</t>
  </si>
  <si>
    <t>22-40-16-18-3-00-026</t>
  </si>
  <si>
    <t>B19-0231</t>
  </si>
  <si>
    <t>BDR2016-0182</t>
  </si>
  <si>
    <t>SFD addition of 166sqft, 1 bathroom</t>
  </si>
  <si>
    <t>BP 2008-0176</t>
  </si>
  <si>
    <t>Build Garage w/Storage above</t>
  </si>
  <si>
    <t>BDC2018-0049</t>
  </si>
  <si>
    <t xml:space="preserve">2520 sq ft commercial storage building </t>
  </si>
  <si>
    <t>BDR2018-0125</t>
  </si>
  <si>
    <t>ARU 605 sqft habitable 112 sqft covered porch (Unit #35)</t>
  </si>
  <si>
    <t>BDR2018-0126</t>
  </si>
  <si>
    <t>ARU 605 sqft habitable 112 sqft covered porch (Unit #36)</t>
  </si>
  <si>
    <t>BDR2018-0127</t>
  </si>
  <si>
    <t>ARU 605 sqft habitable 112 sqft covered porch (Unit #37)</t>
  </si>
  <si>
    <t>BDR2018-0128</t>
  </si>
  <si>
    <t>ARU 605 sqft habitable 112 sqft covered porch (Unit #38)</t>
  </si>
  <si>
    <t>BDR2018-0129</t>
  </si>
  <si>
    <t>ARU 605 sqft habitable 112 sqft covered porch (Unit #39)</t>
  </si>
  <si>
    <t>BDR2018-0130</t>
  </si>
  <si>
    <t>ARU 605 sqft habitable 112 sqft covered porch (Unit #40)</t>
  </si>
  <si>
    <t>BDR2018-0131</t>
  </si>
  <si>
    <t>ARU 605 sqft habitable 112 sqft covered porch (Unit #41)</t>
  </si>
  <si>
    <t>BDR2018-0132</t>
  </si>
  <si>
    <t>ARU 605 sqft habitable 112 sqft covered porch (Unit #44)</t>
  </si>
  <si>
    <t>BDR2018-0133</t>
  </si>
  <si>
    <t>ARU 605 sqft habitable 112 sqft covered porch (Unit #45)</t>
  </si>
  <si>
    <t>BDR2017-0165</t>
  </si>
  <si>
    <t>new SFD 3561 habitable 703 nonhabitable</t>
  </si>
  <si>
    <t>22-38-16-08-1-03-007</t>
  </si>
  <si>
    <t>BDR2015-0201</t>
  </si>
  <si>
    <t>pool building-ARU</t>
  </si>
  <si>
    <t>BDR2016-0256</t>
  </si>
  <si>
    <t>new SFD 7 bedrooms, 8 bathrooms, attached garage</t>
  </si>
  <si>
    <t>22-42-17-25-2-02-017</t>
  </si>
  <si>
    <t>B18-0407</t>
  </si>
  <si>
    <t>addition to existing SF</t>
  </si>
  <si>
    <t>22-41-16-34-4-02-001</t>
  </si>
  <si>
    <t>BDR2016-0183</t>
  </si>
  <si>
    <t>Car barn</t>
  </si>
  <si>
    <t>B19-0249</t>
  </si>
  <si>
    <t>22-41-16-34-2-28-004</t>
  </si>
  <si>
    <t>B19-0026</t>
  </si>
  <si>
    <t>22-41-16-34-2-38-013</t>
  </si>
  <si>
    <t>B18-0603</t>
  </si>
  <si>
    <t>9 new lodging cabins</t>
  </si>
  <si>
    <t>BDR2017-0198</t>
  </si>
  <si>
    <t>new SFD 2623sqft habitable</t>
  </si>
  <si>
    <t>22-38-16-08-1-04-018</t>
  </si>
  <si>
    <t>B18-0372</t>
  </si>
  <si>
    <t>22-41-16-31-1-06-005</t>
  </si>
  <si>
    <t>BDR2017-0199</t>
  </si>
  <si>
    <t>B17-0316</t>
  </si>
  <si>
    <t>NSF with attached accessory</t>
  </si>
  <si>
    <t>22-41-16-34-2-85-001</t>
  </si>
  <si>
    <t>BDR2017-0060</t>
  </si>
  <si>
    <t>SFD 5 bedrooms, 5.5 bathrooms, attached garage</t>
  </si>
  <si>
    <t>B18-0193</t>
  </si>
  <si>
    <t>New single family with an ARU in basement</t>
  </si>
  <si>
    <t>22-41-16-34-1-09-003</t>
  </si>
  <si>
    <t>BDR2017-0215</t>
  </si>
  <si>
    <t>new sfd 6919sqft habitable 1222sqft nonhabitable</t>
  </si>
  <si>
    <t>22-42-17-25-1-01-083</t>
  </si>
  <si>
    <t>BDR2017-0200</t>
  </si>
  <si>
    <t>22-38-16-08-1-04-019</t>
  </si>
  <si>
    <t>BDR2016-0185</t>
  </si>
  <si>
    <t>SFD Alteration of 200sqft-ARU</t>
  </si>
  <si>
    <t>B16-0153</t>
  </si>
  <si>
    <t>remove portion of house that is straddling lot line</t>
  </si>
  <si>
    <t>B17-0530</t>
  </si>
  <si>
    <t>remove portion/restore old cabin</t>
  </si>
  <si>
    <t>BDR2018-0140</t>
  </si>
  <si>
    <t>SFD 1704 sqft habitable 708 sqft non-habitable</t>
  </si>
  <si>
    <t>B17-0219</t>
  </si>
  <si>
    <t>addition of ARU unit over new garage</t>
  </si>
  <si>
    <t>22-41-16-34-2-12-007</t>
  </si>
  <si>
    <t>B18-0408</t>
  </si>
  <si>
    <t>New SF ARU</t>
  </si>
  <si>
    <t>B18-0197</t>
  </si>
  <si>
    <t>DAYCAREinterior alteration/change of use</t>
  </si>
  <si>
    <t>22-41-16-34-2-06-004</t>
  </si>
  <si>
    <t>BDR2014-0084</t>
  </si>
  <si>
    <t>22-41-16-21-1-16-006</t>
  </si>
  <si>
    <t>BDR2017-0260</t>
  </si>
  <si>
    <t>SFD 2623 sq ft hablitable</t>
  </si>
  <si>
    <t>22-38-16-08-1-04-012</t>
  </si>
  <si>
    <t>BDR2017-0223</t>
  </si>
  <si>
    <t xml:space="preserve">New SFD 3243 sf habitable 856 non habitable </t>
  </si>
  <si>
    <t>22-42-17-24-4-40-005</t>
  </si>
  <si>
    <t>BDR2018-0145</t>
  </si>
  <si>
    <t>Garage 1104 sqft non-habitable 377 sqft habitable</t>
  </si>
  <si>
    <t>BDR2017-0263</t>
  </si>
  <si>
    <t>Detached garage 450 sq ft non-habitable</t>
  </si>
  <si>
    <t>22-38-16-08-1-04-014</t>
  </si>
  <si>
    <t>BDR2017-0262</t>
  </si>
  <si>
    <t>SFD 2623 sq ft habitable</t>
  </si>
  <si>
    <t>BDR2018-0073</t>
  </si>
  <si>
    <t>SFD 2812 sqft habitable 1522 sqft non-habitable</t>
  </si>
  <si>
    <t>22-42-16-22-4-00-024</t>
  </si>
  <si>
    <t>BDR2018-0135</t>
  </si>
  <si>
    <t>ARU 708 sqft habitable 112 sqft covered porch (Unit #43)</t>
  </si>
  <si>
    <t>BDR2018-0134</t>
  </si>
  <si>
    <t>ARU 708 sqft habitable 112 sqft covered porch (Unit #42)</t>
  </si>
  <si>
    <t>BDR2018-0124</t>
  </si>
  <si>
    <t>ARU 439 sqft habitable 112 sqft covered porch (Unit #46)</t>
  </si>
  <si>
    <t>B17-0119</t>
  </si>
  <si>
    <t>22-41-16-34-1-AE-006</t>
  </si>
  <si>
    <t>B19-0127</t>
  </si>
  <si>
    <t xml:space="preserve">turning basement into Apartment </t>
  </si>
  <si>
    <t>B20-0056</t>
  </si>
  <si>
    <t>Interior alteration-bring illegal duplex into compliance</t>
  </si>
  <si>
    <t>BDC2018-0006</t>
  </si>
  <si>
    <t>New wash bay 8590 sq ft S-1   4620 sqft B   16825 sqft U</t>
  </si>
  <si>
    <t>BDR2017-0192</t>
  </si>
  <si>
    <t>BDR2017-0194</t>
  </si>
  <si>
    <t>BDC2018-0063</t>
  </si>
  <si>
    <t>Remodel 4356 sqft Addition of 547 sqft to the Westbank Grille</t>
  </si>
  <si>
    <t>22-42-17-24-1-13-001</t>
  </si>
  <si>
    <t>BDR2017-0162</t>
  </si>
  <si>
    <t>New SFD 4152 habitable 828 nonhabitable 1506 Decks &amp; porches</t>
  </si>
  <si>
    <t>BP 2005-0228</t>
  </si>
  <si>
    <t>22-39-16-26-2-05-005</t>
  </si>
  <si>
    <t>BDC2018-0067</t>
  </si>
  <si>
    <t>960 sqft non-habitable live fire training center</t>
  </si>
  <si>
    <t>22-40-16-17-1-00-012</t>
  </si>
  <si>
    <t>B14-0604</t>
  </si>
  <si>
    <t>work/live unit</t>
  </si>
  <si>
    <t>BDR2011-0116</t>
  </si>
  <si>
    <t>Relocation of existing 24'X24' 2-Bay Log Garage</t>
  </si>
  <si>
    <t>BDR2015-0070</t>
  </si>
  <si>
    <t>New 5-bedroom, 8-bath SFD.  Main house (SFD #1 per PRD). 9/27/15 Revision to original permit, added arcade and archery range.</t>
  </si>
  <si>
    <t>B17-0450</t>
  </si>
  <si>
    <t>addition to SF</t>
  </si>
  <si>
    <t>BDC2014-0012</t>
  </si>
  <si>
    <t>New mechanical entry gate for subdivison</t>
  </si>
  <si>
    <t>BDR2017-0170</t>
  </si>
  <si>
    <t>New SFD 5095sqft habitable 837sqft nonhabitable</t>
  </si>
  <si>
    <t>22-42-17-24-4-40-003</t>
  </si>
  <si>
    <t>BDR2017-0120</t>
  </si>
  <si>
    <t xml:space="preserve">SFD, guest house, 2 bedrooms, 2 bathrooms, attached garage; 8-9-17 revision added 48sqft to garage </t>
  </si>
  <si>
    <t>B17-0387</t>
  </si>
  <si>
    <t>BDR2018-0156</t>
  </si>
  <si>
    <t>SFD 2346 sqft habitable 778 sqft non-habitable 921 sqft deck/porch</t>
  </si>
  <si>
    <t>22-42-16-15-4-03-013</t>
  </si>
  <si>
    <t>BDR2017-0264</t>
  </si>
  <si>
    <t>22-38-16-08-1-04-016</t>
  </si>
  <si>
    <t>BDR2017-0265</t>
  </si>
  <si>
    <t>Detached Garage 550 sq ft non-habitable</t>
  </si>
  <si>
    <t>BDR2017-0258</t>
  </si>
  <si>
    <t>22-38-16-08-1-04-010</t>
  </si>
  <si>
    <t>BDR2017-0259</t>
  </si>
  <si>
    <t>B19-0436</t>
  </si>
  <si>
    <t>addition/alteration of exisiting home</t>
  </si>
  <si>
    <t>22-41-16-34-1-33-001</t>
  </si>
  <si>
    <t>BDR2016-0188</t>
  </si>
  <si>
    <t>New SFD 2 bedrooms, 2 bathrooms, attached garage</t>
  </si>
  <si>
    <t>22-44-18-29-2-00-027</t>
  </si>
  <si>
    <t>BDR2018-0117</t>
  </si>
  <si>
    <t>SFD 5092 sqft habitable 562 sqft attached garage</t>
  </si>
  <si>
    <t>22-39-16-34-1-07-001</t>
  </si>
  <si>
    <t>BDR2017-0059</t>
  </si>
  <si>
    <t>SFD 6 bedrooms, 5 1/2 bathrooms, attached garage; revision change of structural design to sip panels</t>
  </si>
  <si>
    <t>22-40-17-12-1-01-013</t>
  </si>
  <si>
    <t>BDR2017-0163</t>
  </si>
  <si>
    <t>New SFD 3561 Habitable 703 nonhabitable</t>
  </si>
  <si>
    <t>22-38-16-08-1-03-006</t>
  </si>
  <si>
    <t>BDR2018-0119</t>
  </si>
  <si>
    <t>SFD with attached garage 945 sqft habitable 1843 sqft non-habitable</t>
  </si>
  <si>
    <t>22-39-16-02-4-00-014</t>
  </si>
  <si>
    <t>BDR2014-0090</t>
  </si>
  <si>
    <t>New 1-bedroom, 2-bath SFD w/ attached garage</t>
  </si>
  <si>
    <t>22-42-17-35-2-00-036</t>
  </si>
  <si>
    <t>B18-0471</t>
  </si>
  <si>
    <t>22-40-16-05-2-04-028</t>
  </si>
  <si>
    <t>B18-0327</t>
  </si>
  <si>
    <t>New single family with attached garage</t>
  </si>
  <si>
    <t>22-41-16-28-4-31-001</t>
  </si>
  <si>
    <t>BDR2018-0015</t>
  </si>
  <si>
    <t>New SFD 3392 sft habitable 628 sqft non-habitable 270 sqft deck/porch</t>
  </si>
  <si>
    <t>BDR2017-0212</t>
  </si>
  <si>
    <t>748 sqft detached garage with permit BDR2017-0159</t>
  </si>
  <si>
    <t>BDR2017-0196</t>
  </si>
  <si>
    <t>22-38-16-08-1-04-017</t>
  </si>
  <si>
    <t>B18-0105</t>
  </si>
  <si>
    <t>addition to existing ARU-adding another ARU/garage</t>
  </si>
  <si>
    <t>22-41-16-34-1-28-014</t>
  </si>
  <si>
    <t>B17-0640</t>
  </si>
  <si>
    <t>22-41-16-34-1-28-022.02</t>
  </si>
  <si>
    <t>BDR2017-0230</t>
  </si>
  <si>
    <t>New SFD 3601 sq ft habitable 1155 sq fot non-habitable</t>
  </si>
  <si>
    <t>22-43-18-05-1-00-010</t>
  </si>
  <si>
    <t>BDR2018-0068</t>
  </si>
  <si>
    <t>ARU 996 sqft habitable 40 sqft non-habitable</t>
  </si>
  <si>
    <t>B18-0765</t>
  </si>
  <si>
    <t>22-41-16-34-1-28-022</t>
  </si>
  <si>
    <t>B17-0622</t>
  </si>
  <si>
    <t>New apartment</t>
  </si>
  <si>
    <t>BDR2018-0016</t>
  </si>
  <si>
    <t>New SFD 3005 sqft habitable  625 sqft non-habitable</t>
  </si>
  <si>
    <t>22-42-16-27-4-17-002</t>
  </si>
  <si>
    <t>22-41-16-34-1-28-021.01</t>
  </si>
  <si>
    <t>BDR2018-0171</t>
  </si>
  <si>
    <t>ARU 980 sqft habitable 628 sqft non-habitable</t>
  </si>
  <si>
    <t>22-41-17-23-3-00-032</t>
  </si>
  <si>
    <t>BDC2017-0006</t>
  </si>
  <si>
    <t>4 suites for American Wilderness Leadership School-Safari Club</t>
  </si>
  <si>
    <t>BDC2017-0005</t>
  </si>
  <si>
    <t>BDR2018-0164</t>
  </si>
  <si>
    <t>SFD 961 sqft house for caretaker</t>
  </si>
  <si>
    <t>BDC2018-0051</t>
  </si>
  <si>
    <t xml:space="preserve">Office 523 sqft </t>
  </si>
  <si>
    <t>BDC2018-0053</t>
  </si>
  <si>
    <t xml:space="preserve">Restrooms 237 sqft </t>
  </si>
  <si>
    <t>BDC2018-0057</t>
  </si>
  <si>
    <t>Picnic Shelter 346 sqft</t>
  </si>
  <si>
    <t>BDR2017-0261</t>
  </si>
  <si>
    <t>Detached Garage 450 sq ft non-habitable</t>
  </si>
  <si>
    <t>BDC2018-0066</t>
  </si>
  <si>
    <t>Facilities storage building 451 sqft non-habitable</t>
  </si>
  <si>
    <t>BDR2018-0189</t>
  </si>
  <si>
    <t>ARU 672 sqft habitable  624 sqft non-habitable Permit is on hold until the Wilson Sewer connection fee is paid.  Garage now 672 sf C.W. and the sewer connection is no longer needed as all of the plumbing has been removed from the plans.</t>
  </si>
  <si>
    <t>22-41-17-22-3-03-003</t>
  </si>
  <si>
    <t>BDC2018-0050</t>
  </si>
  <si>
    <t>10,000 sqft temporary concrrete batch plant for transfer facility construction</t>
  </si>
  <si>
    <t>BDR2018-0115</t>
  </si>
  <si>
    <t>SFD 2953 sqft habitable 874 sqft non-habitable 602 sqft deck</t>
  </si>
  <si>
    <t>22-42-16-27-4-04-020</t>
  </si>
  <si>
    <t>B18-0613</t>
  </si>
  <si>
    <t>New garage with ARU</t>
  </si>
  <si>
    <t>22-41-16-34-1-26-009</t>
  </si>
  <si>
    <t>BDR2018-0012</t>
  </si>
  <si>
    <t>New SFD 3898 sqft habitable 730 sqft non-habitable</t>
  </si>
  <si>
    <t>22-40-17-12-4-01-054</t>
  </si>
  <si>
    <t>B18-0619</t>
  </si>
  <si>
    <t>detached garage with ARU</t>
  </si>
  <si>
    <t>BDC2019-0014</t>
  </si>
  <si>
    <t>New School Building 1 4205sqft    Revisions submitted for review 8/9/2019  MR</t>
  </si>
  <si>
    <t>BDC2019-0015</t>
  </si>
  <si>
    <t>New school Building 2 4426sqft    Revisions submitted for review 8/9/2019  MR</t>
  </si>
  <si>
    <t>BDC2019-0016</t>
  </si>
  <si>
    <t>New school building 3 4205sqft    Revisions submitted for review 8/9/2019  MR</t>
  </si>
  <si>
    <t>BDC2019-0017</t>
  </si>
  <si>
    <t>New school building 4 4426sqft    Revisions submitted for review 8/9/2019  MR</t>
  </si>
  <si>
    <t>B18-0612</t>
  </si>
  <si>
    <t>New SF with an attached ARU</t>
  </si>
  <si>
    <t>B18-0620</t>
  </si>
  <si>
    <t>22-40-16-06-2-43-007</t>
  </si>
  <si>
    <t>B18-0618</t>
  </si>
  <si>
    <t>BDC2016-0045</t>
  </si>
  <si>
    <t>paddle-tennis court and warming hut; 11-10-16 revision of paddle-tennis court</t>
  </si>
  <si>
    <t>22-38-16-08-4-01-077</t>
  </si>
  <si>
    <t>BDR2018-0191</t>
  </si>
  <si>
    <t>Addition of 1151 sqft non-habitable garage and 305 sqft deck</t>
  </si>
  <si>
    <t>B18-0191</t>
  </si>
  <si>
    <t>22-41-16-34-1-21-030</t>
  </si>
  <si>
    <t>BDR2017-0256</t>
  </si>
  <si>
    <t>22-38-16-08-1-04-007</t>
  </si>
  <si>
    <t>BDR2017-0257</t>
  </si>
  <si>
    <t>BDR2017-0252</t>
  </si>
  <si>
    <t xml:space="preserve">New SFD 2623 sq ft habitable </t>
  </si>
  <si>
    <t>22-38-16-08-1-04-003</t>
  </si>
  <si>
    <t>BDR2017-0253</t>
  </si>
  <si>
    <t>Detached Garage 550 sq ft</t>
  </si>
  <si>
    <t>BDR2016-0116</t>
  </si>
  <si>
    <t xml:space="preserve">new SFD, (ARU) 2 bedrooms, 2 baths, attached garage </t>
  </si>
  <si>
    <t>BDR2017-0107</t>
  </si>
  <si>
    <t>SFD 6 bedrooms, 7.5 bathrooms, attached garage</t>
  </si>
  <si>
    <t>22-42-17-25-2-02-020</t>
  </si>
  <si>
    <t>BDR2014-0199</t>
  </si>
  <si>
    <t>BDR2017-0166</t>
  </si>
  <si>
    <t>22-38-16-08-1-03-005</t>
  </si>
  <si>
    <t>BDR2018-0061</t>
  </si>
  <si>
    <t>SFD 2124 sqft habitable 592 covered porch  (Detached garage is BDR2018-0062)</t>
  </si>
  <si>
    <t>22-44-18-20-3-04-004</t>
  </si>
  <si>
    <t>BDR2018-0062</t>
  </si>
  <si>
    <t>Detached garage 752 sqft non-habitable  (House is under BDR2018-0061)</t>
  </si>
  <si>
    <t>BDR2017-0010</t>
  </si>
  <si>
    <t>New SFD 4 bedrooms, 4 bathrooms, attached garage; 6-30-17 revision in sqft, habitable and non-habitable reduction</t>
  </si>
  <si>
    <t>22-41-17-25-3-00-030</t>
  </si>
  <si>
    <t>BDR2016-0192</t>
  </si>
  <si>
    <t xml:space="preserve">SFD Addition of 218sqft habitable, 454sqft non habitable </t>
  </si>
  <si>
    <t>22-41-16-21-1-18-002</t>
  </si>
  <si>
    <t>B19-0155</t>
  </si>
  <si>
    <t>22-41-16-34-1-20-014</t>
  </si>
  <si>
    <t>BDR2017-0067</t>
  </si>
  <si>
    <t>new SFD 3 bedrooms, 5 bathrooms.  Revised basement egress. 6/6/17</t>
  </si>
  <si>
    <t>22-41-17-33-1-08-001</t>
  </si>
  <si>
    <t>BDR2017-0068</t>
  </si>
  <si>
    <t>B19-0156</t>
  </si>
  <si>
    <t>22-41-16-34-1-AQ-001</t>
  </si>
  <si>
    <t>B19-0198</t>
  </si>
  <si>
    <t>22-41-16-34-1-AQ-002</t>
  </si>
  <si>
    <t>BDR2016-0199</t>
  </si>
  <si>
    <t>new SFD ARU, 2 bedrooms, 2 bathrooms</t>
  </si>
  <si>
    <t>22-42-16-28-1-12-001</t>
  </si>
  <si>
    <t>B18-0367</t>
  </si>
  <si>
    <t>mudroom/entry addition</t>
  </si>
  <si>
    <t>BDR2011-0133</t>
  </si>
  <si>
    <t>New barn w/ (ARU) accessory residential unit above</t>
  </si>
  <si>
    <t>22-41-17-27-2-00-008</t>
  </si>
  <si>
    <t>BDR2018-0176</t>
  </si>
  <si>
    <t xml:space="preserve">Barn 1480 sqft non-habitable </t>
  </si>
  <si>
    <t>22-43-18-05-1-00-012</t>
  </si>
  <si>
    <t>BDR2016-0211</t>
  </si>
  <si>
    <t>SFD Addition of 416 sqft habitable, 1Bedroom and 425 sqft decks</t>
  </si>
  <si>
    <t>BDR2015-0197</t>
  </si>
  <si>
    <t>New SFD, 5 bedrooms, 4 bathroms</t>
  </si>
  <si>
    <t>B15-0599</t>
  </si>
  <si>
    <t>BDR2016-0108</t>
  </si>
  <si>
    <t>new SFD 5 Bedrooms, 8 bathrooms, attached garage</t>
  </si>
  <si>
    <t>B15-0458</t>
  </si>
  <si>
    <t>22-41-16-34-1-03-002</t>
  </si>
  <si>
    <t>BDR2017-0254</t>
  </si>
  <si>
    <t>New SFD 2623 sq ft habitable</t>
  </si>
  <si>
    <t>22-38-16-08-1-04-005</t>
  </si>
  <si>
    <t>BDR2017-0124</t>
  </si>
  <si>
    <t>art studio</t>
  </si>
  <si>
    <t>BDR2017-0113</t>
  </si>
  <si>
    <t>new SFD 3 bedrooms, 3.5 bathrooms, attached garage</t>
  </si>
  <si>
    <t>22-42-16-15-2-06-005</t>
  </si>
  <si>
    <t>BDC2019-0004</t>
  </si>
  <si>
    <t>ISWR 2441 sqft non-habitable drop off area</t>
  </si>
  <si>
    <t>B19-0043</t>
  </si>
  <si>
    <t>New geothermal pump house</t>
  </si>
  <si>
    <t>22-41-16-27-3-34-014</t>
  </si>
  <si>
    <t>BDR2017-0197</t>
  </si>
  <si>
    <t>B17-0285</t>
  </si>
  <si>
    <t>addition to existing single family</t>
  </si>
  <si>
    <t>B18-0200</t>
  </si>
  <si>
    <t>Single Family with attached ARU-unit D</t>
  </si>
  <si>
    <t>22-41-16-33-4-06-006</t>
  </si>
  <si>
    <t>B18-0202</t>
  </si>
  <si>
    <t>Single Family with attached ARU- unit B</t>
  </si>
  <si>
    <t>22-41-16-33-4-06-007</t>
  </si>
  <si>
    <t>BDR2018-0011</t>
  </si>
  <si>
    <t>New SFD 4030 sqft habitable 955 sqft non-habitable</t>
  </si>
  <si>
    <t>22-42-16-22-3-00-077</t>
  </si>
  <si>
    <t>BDR2018-0173</t>
  </si>
  <si>
    <t xml:space="preserve">Barn  504 sqft habitable 2016 sqft non-habitable </t>
  </si>
  <si>
    <t>B18-0276</t>
  </si>
  <si>
    <t>22-41-16-34-4-03-002</t>
  </si>
  <si>
    <t>B16-0644</t>
  </si>
  <si>
    <t>22-41-16-34-1-13-013</t>
  </si>
  <si>
    <t>BDR2017-0164</t>
  </si>
  <si>
    <t>New SFD 3561 habitable 703 nonhabitable</t>
  </si>
  <si>
    <t>22-38-16-08-1-03-008</t>
  </si>
  <si>
    <t>BDR2017-0144</t>
  </si>
  <si>
    <t>SFD guest house 1 bedroom, 1 bathroom</t>
  </si>
  <si>
    <t>22-41-17-27-1-01-001</t>
  </si>
  <si>
    <t>B20-0179</t>
  </si>
  <si>
    <t>22-41-16-33-4-10-004</t>
  </si>
  <si>
    <t>BDR2018-0190</t>
  </si>
  <si>
    <t>Utility building 864 sqft non-habitable</t>
  </si>
  <si>
    <t>22-42-17-24-4-46-007</t>
  </si>
  <si>
    <t>BDR2018-0033</t>
  </si>
  <si>
    <t>New SFD 3951 sqft habitable 788 sqft non-habitable 754 covered porch/deck</t>
  </si>
  <si>
    <t>22-42-16-10-4-11-013</t>
  </si>
  <si>
    <t>BDC2018-0037</t>
  </si>
  <si>
    <t>264 sqft student cabin (A29)</t>
  </si>
  <si>
    <t>B18-0500</t>
  </si>
  <si>
    <t>adding a garage and expanding  ARU</t>
  </si>
  <si>
    <t>22-41-16-33-4-07-007</t>
  </si>
  <si>
    <t>BDR2016-0212</t>
  </si>
  <si>
    <t>repair of  Ryegrass, Bluegrass, Rice condos, extend overhangs of back decks roofs &amp; covered walkway roofs, replace columns, and stairways (covered patios 4500 sq ft? rk)</t>
  </si>
  <si>
    <t>22-41-17-11-1-25-001</t>
  </si>
  <si>
    <t>BDR2017-0136</t>
  </si>
  <si>
    <t>TMP005408</t>
  </si>
  <si>
    <t>BDR2018-0152</t>
  </si>
  <si>
    <t>SFD 4646 sqft habitable 958 sqft non-habitable 150 sqft deck</t>
  </si>
  <si>
    <t>22-40-17-12-4-01-080</t>
  </si>
  <si>
    <t>BDR2018-0093</t>
  </si>
  <si>
    <t>ARU 972 sqft habitable garage 1698 sqft non-habitable</t>
  </si>
  <si>
    <t>B19-0642</t>
  </si>
  <si>
    <t>BDR2017-0251</t>
  </si>
  <si>
    <t>ARU 2455 habitable  696 non-habitable</t>
  </si>
  <si>
    <t>BDR2018-0040</t>
  </si>
  <si>
    <t>SFD 7986 sqft habitable 1396 sqft non-habitable</t>
  </si>
  <si>
    <t>22-42-17-25-1-01-048</t>
  </si>
  <si>
    <t>BDR2016-0214</t>
  </si>
  <si>
    <t>New SFD 3 bedrooms, 2 1/2 bathrooms</t>
  </si>
  <si>
    <t>BDR2018-0111</t>
  </si>
  <si>
    <t>SFD 747 sq ft habitable 83 sqft deck  (barn is BDR2018-0112)</t>
  </si>
  <si>
    <t>B18-0071</t>
  </si>
  <si>
    <t>creating ARU in the basement-interior remodel</t>
  </si>
  <si>
    <t>22-41-16-33-1-34-006</t>
  </si>
  <si>
    <t>B18-0411</t>
  </si>
  <si>
    <t>adding a basement and garage to existing home</t>
  </si>
  <si>
    <t>BDR2016-0257</t>
  </si>
  <si>
    <t>New SFD 4 bedrooms, 6 bathrooms, attached garage</t>
  </si>
  <si>
    <t>B17-0620</t>
  </si>
  <si>
    <t>split existing home into 2 units</t>
  </si>
  <si>
    <t>B18-0491</t>
  </si>
  <si>
    <t>SIngle car garage with  ARU</t>
  </si>
  <si>
    <t>22-41-16-34-4-10-002</t>
  </si>
  <si>
    <t>BDR2016-0215</t>
  </si>
  <si>
    <t>BDR2019-0045</t>
  </si>
  <si>
    <t>ARU 998 sqft habitable 631 sqft non-habitable</t>
  </si>
  <si>
    <t>B18-0199</t>
  </si>
  <si>
    <t>New SF with attached ARU -unit C</t>
  </si>
  <si>
    <t>B18-0201</t>
  </si>
  <si>
    <t>Single Family with attached ARU-unit A</t>
  </si>
  <si>
    <t>BDR2019-0102</t>
  </si>
  <si>
    <t>ARU 1000 sq ft habitable with garage</t>
  </si>
  <si>
    <t>22-41-17-15-4-00-029</t>
  </si>
  <si>
    <t>B16-0691</t>
  </si>
  <si>
    <t>New detached accessory unit</t>
  </si>
  <si>
    <t>B15-0538</t>
  </si>
  <si>
    <t>BDR2018-0197</t>
  </si>
  <si>
    <t xml:space="preserve">SFD 1881 sqft habitable 907 sqft non-habitable </t>
  </si>
  <si>
    <t>22-41-17-26-2-00-049</t>
  </si>
  <si>
    <t>BDR2016-0019</t>
  </si>
  <si>
    <t>New SFD 1 Bedroom, 1 bath</t>
  </si>
  <si>
    <t>22-42-15-10-1-01-007</t>
  </si>
  <si>
    <t>B18-0929</t>
  </si>
  <si>
    <t>Move cabin onto site</t>
  </si>
  <si>
    <t>BDR2017-0201</t>
  </si>
  <si>
    <t>BDR2017-0255</t>
  </si>
  <si>
    <t>B18-0521</t>
  </si>
  <si>
    <t>new hotel building</t>
  </si>
  <si>
    <t>B19-0488</t>
  </si>
  <si>
    <t>tenant fitout-change of use</t>
  </si>
  <si>
    <t>BDR2018-0006</t>
  </si>
  <si>
    <t>New ARU 644 sqft habitable</t>
  </si>
  <si>
    <t>22-41-16-18-4-03-006</t>
  </si>
  <si>
    <t>BDR2018-0148</t>
  </si>
  <si>
    <t xml:space="preserve">SFD 4586 sqft habitable 715 sqft non-habitable 806 sqft deck/porch  </t>
  </si>
  <si>
    <t>22-41-16-19-3-08-002</t>
  </si>
  <si>
    <t>BDR2017-0135</t>
  </si>
  <si>
    <t>TMP005411</t>
  </si>
  <si>
    <t>BDR2017-0221</t>
  </si>
  <si>
    <t xml:space="preserve">new SFD 1904sqft habitable 572 nonhabitable </t>
  </si>
  <si>
    <t>22-40-16-18-1-23-007</t>
  </si>
  <si>
    <t>BDR2018-0157</t>
  </si>
  <si>
    <t>Pool house and spa 286 sqft Revisions removing the storage building, deck and driveway have been submitted for review.  10/3/2018 M.R.</t>
  </si>
  <si>
    <t>BDR2018-0172</t>
  </si>
  <si>
    <t>ARU 998 sqft habitable 820 sqft non-habitable</t>
  </si>
  <si>
    <t>22-41-17-27-2-00-028</t>
  </si>
  <si>
    <t>BDR2017-0167</t>
  </si>
  <si>
    <t>New SFD 6920 sqft Habitable 1188 sqft nonhabitable</t>
  </si>
  <si>
    <t>22-42-16-33-1-05-002</t>
  </si>
  <si>
    <t>B18-0170</t>
  </si>
  <si>
    <t>interior/exterior remodel - change of use</t>
  </si>
  <si>
    <t>BDR2016-0218</t>
  </si>
  <si>
    <t>new SFD guest house</t>
  </si>
  <si>
    <t>22-41-17-25-4-04-012</t>
  </si>
  <si>
    <t>BDC2019-0021</t>
  </si>
  <si>
    <t>Storage for school 696 sqft non-habitable</t>
  </si>
  <si>
    <t>22-44-18-20-3-00-019</t>
  </si>
  <si>
    <t>BDR2018-0100</t>
  </si>
  <si>
    <t>ARU 988 sqft habitable 743 sqft non-habitable 700 sqft deck</t>
  </si>
  <si>
    <t>BDR2019-0011</t>
  </si>
  <si>
    <t>SFD 3712 sqft habitable 896 sqft non-habitable 672 sqft deck</t>
  </si>
  <si>
    <t>22-42-16-15-4-08-008</t>
  </si>
  <si>
    <t>B18-0208</t>
  </si>
  <si>
    <t>B17-0154</t>
  </si>
  <si>
    <t>New 4 unit condo</t>
  </si>
  <si>
    <t>B17-0157</t>
  </si>
  <si>
    <t>new  4-unit condo</t>
  </si>
  <si>
    <t>BDC2012-0010</t>
  </si>
  <si>
    <t xml:space="preserve">New cell tower building Sep 28, 2012 Building moved </t>
  </si>
  <si>
    <t>BDR2017-0169</t>
  </si>
  <si>
    <t>New SFD 7392 habitable 2315 nonhabitable</t>
  </si>
  <si>
    <t>22-41-16-31-2-06-003</t>
  </si>
  <si>
    <t>BDR2016-0223</t>
  </si>
  <si>
    <t>remodel of bathroom 70sqft and new deck 246sqft</t>
  </si>
  <si>
    <t>B19-0125</t>
  </si>
  <si>
    <t>New SF with garage</t>
  </si>
  <si>
    <t>22-40-16-06-2-43-006</t>
  </si>
  <si>
    <t>BDR2018-0005</t>
  </si>
  <si>
    <t>New SFD 5380 sqft habitable 1605 sqft non-habitable</t>
  </si>
  <si>
    <t>BDR2019-0131</t>
  </si>
  <si>
    <t>Shop 3150 sqft non-habitable  (Garage #1 Bill's BDR2019-0129 Garage #2 Tom's BDR2019-0130)</t>
  </si>
  <si>
    <t>BDR2019-0130</t>
  </si>
  <si>
    <t>Garage 624 sqft (#2 Tom's)    (Garage #1 Bill's BDR2019-0129    Shop BDR2019-0131)</t>
  </si>
  <si>
    <t>BDR2019-0129</t>
  </si>
  <si>
    <t>Garage 624 sqft (#1 Bill's)    (Garage #2 Tom's BDR2019-0130    Shop BDR2019-0131)</t>
  </si>
  <si>
    <t>BDC2019-0012</t>
  </si>
  <si>
    <t>184 sqft mechanical shed, a new pole and AT&amp;T equipment    Contractor was changed via letter on 9/20/2019 from Atlas Tower to Eagle Ridge MR</t>
  </si>
  <si>
    <t>B15-0267</t>
  </si>
  <si>
    <t>interior remodel for bowling alley/restaurant/bar</t>
  </si>
  <si>
    <t>BDR2018-0107</t>
  </si>
  <si>
    <t>SFD 6322 sqft habitable  2020 sqft non-habitable 447 sqft deck</t>
  </si>
  <si>
    <t>22-41-16-19-4-04-005</t>
  </si>
  <si>
    <t>B18-0181</t>
  </si>
  <si>
    <t>addition to existing bank-2 ARU's</t>
  </si>
  <si>
    <t>BDR2018-0074</t>
  </si>
  <si>
    <t>ARU 980 sqft habitable 18 sqft non-habitable</t>
  </si>
  <si>
    <t>BDR2019-0060</t>
  </si>
  <si>
    <t>New ARU w/ attached garage 990sqft habitable 990sqft non-habitable 140sqft porches/decks</t>
  </si>
  <si>
    <t>22-41-17-23-2-10-002</t>
  </si>
  <si>
    <t>B15-0415</t>
  </si>
  <si>
    <t>alteration for change of use</t>
  </si>
  <si>
    <t>22-41-16-32-1-00-045</t>
  </si>
  <si>
    <t>B18-0416</t>
  </si>
  <si>
    <t>change of use to daycare</t>
  </si>
  <si>
    <t>BDR2016-0229</t>
  </si>
  <si>
    <t>BDC2019-0028</t>
  </si>
  <si>
    <t>200 sqft Verizon equipment shed</t>
  </si>
  <si>
    <t>B18-0248</t>
  </si>
  <si>
    <t>22-41-16-31-4-14-086</t>
  </si>
  <si>
    <t>BDR2018-0175</t>
  </si>
  <si>
    <t xml:space="preserve">SFD 3385 sqft habitable 1603 sqft non-habitable </t>
  </si>
  <si>
    <t>22-41-17-21-1-00-010</t>
  </si>
  <si>
    <t>BDR2016-0248</t>
  </si>
  <si>
    <t>BDR2017-0072</t>
  </si>
  <si>
    <t>new SFD 4 bedrooms, 6 bathrooms, attached garage</t>
  </si>
  <si>
    <t>BDR2018-0053</t>
  </si>
  <si>
    <t>LODGE 2SFD 4074 sqft habitable 637 sqft non-habitable 541 sqft covered porch</t>
  </si>
  <si>
    <t>22-42-17-24-4-44-002</t>
  </si>
  <si>
    <t>B16-0569</t>
  </si>
  <si>
    <t>Change of use from lodging to dormitory</t>
  </si>
  <si>
    <t>22-41-16-28-4-06-001</t>
  </si>
  <si>
    <t>BDR2018-0047</t>
  </si>
  <si>
    <t>SFD 4425 sqft habitable 537 sqft non-habitable 58 sqft deck</t>
  </si>
  <si>
    <t>22-42-16-27-4-12-033</t>
  </si>
  <si>
    <t>BDR2017-0119</t>
  </si>
  <si>
    <t>TMP005409</t>
  </si>
  <si>
    <t>BDR2016-0251</t>
  </si>
  <si>
    <t xml:space="preserve">SFD addition of 380sqft habitable, 46sqft decks, and remodel 396sqft </t>
  </si>
  <si>
    <t>22-41-17-14-1-20-003</t>
  </si>
  <si>
    <t>BDR2018-0169</t>
  </si>
  <si>
    <t>BDR2019-0056</t>
  </si>
  <si>
    <t xml:space="preserve">New ARU 1000sqft habitable 780sqft non-habitable  (SWP2019-0007 goes with this permit) </t>
  </si>
  <si>
    <t>22-41-17-14-4-00-040</t>
  </si>
  <si>
    <t>B18-0871</t>
  </si>
  <si>
    <t>New MF dwelling</t>
  </si>
  <si>
    <t>B19-0124</t>
  </si>
  <si>
    <t>SF with garage</t>
  </si>
  <si>
    <t>22-40-16-06-2-43-005</t>
  </si>
  <si>
    <t>BDR2019-0055</t>
  </si>
  <si>
    <t>New 648sqft garage</t>
  </si>
  <si>
    <t>22-41-17-13-2-02-003</t>
  </si>
  <si>
    <t>BDR2016-0242</t>
  </si>
  <si>
    <t>guest house</t>
  </si>
  <si>
    <t>22-40-17-01-3-00-003</t>
  </si>
  <si>
    <t>B20-0266</t>
  </si>
  <si>
    <t>Addition to exising building</t>
  </si>
  <si>
    <t>BDR2019-0079</t>
  </si>
  <si>
    <t>Barn 3972 sqft non-habitable    Revisions submitted for review changing it from metal framing to wood framing.  7/24/2019 MR</t>
  </si>
  <si>
    <t>B18-0579</t>
  </si>
  <si>
    <t>22-41-16-27-3-33-001</t>
  </si>
  <si>
    <t>B18-0627</t>
  </si>
  <si>
    <t>B18-0045</t>
  </si>
  <si>
    <t>interior remodel- retail back to restaurant</t>
  </si>
  <si>
    <t>22-41-16-27-3-16-006</t>
  </si>
  <si>
    <t>B17-0577</t>
  </si>
  <si>
    <t>new bank</t>
  </si>
  <si>
    <t>22-41-16-27-3-15-002</t>
  </si>
  <si>
    <t>BDR2018-0054</t>
  </si>
  <si>
    <t>LODGE 3SFD 4074 sqft habitable 637 sqft non-habitable 541 sqft covered porch Revisions submitted 5/30/18 BN</t>
  </si>
  <si>
    <t>BDR2018-0168</t>
  </si>
  <si>
    <t>SFD 2014 sqft habitable 2027 sqft non-habitable</t>
  </si>
  <si>
    <t>22-39-16-12-3-00-010</t>
  </si>
  <si>
    <t>BDR2019-0038</t>
  </si>
  <si>
    <t>22-41-17-26-2-02-002</t>
  </si>
  <si>
    <t>BDR2016-0255</t>
  </si>
  <si>
    <t>New SFD guest house 2 bedrooms, 2 bathrooms</t>
  </si>
  <si>
    <t>BDR2017-0147</t>
  </si>
  <si>
    <t xml:space="preserve">New Garage </t>
  </si>
  <si>
    <t>22-45-13-07-1-00-021</t>
  </si>
  <si>
    <t>BDR2017-0008</t>
  </si>
  <si>
    <t>remodel of 1977 sqft habitable</t>
  </si>
  <si>
    <t>BDR2017-0097</t>
  </si>
  <si>
    <t>SFD guest house 2 bedrooms. 2 bathrooms</t>
  </si>
  <si>
    <t>B16-0385</t>
  </si>
  <si>
    <t>BDR2017-0109</t>
  </si>
  <si>
    <t>22-41-17-22-1-01-006</t>
  </si>
  <si>
    <t>B18-0238</t>
  </si>
  <si>
    <t>22-41-16-27-3-08-006</t>
  </si>
  <si>
    <t>B17-0145</t>
  </si>
  <si>
    <t>BDR2015-0031</t>
  </si>
  <si>
    <t>BDR2015-0032</t>
  </si>
  <si>
    <t>New 2-bedroom, 1-bath ARU (Accessory Residential Unit)</t>
  </si>
  <si>
    <t>BDR2018-0202</t>
  </si>
  <si>
    <t>SFD 3693 sqft habitable 1013 sqft non-habitable</t>
  </si>
  <si>
    <t>22-42-16-33-1-00-009</t>
  </si>
  <si>
    <t>B18-0373</t>
  </si>
  <si>
    <t>14 additional rental units, 6 employee units</t>
  </si>
  <si>
    <t>22-41-16-27-3-00-024</t>
  </si>
  <si>
    <t>B19-0561</t>
  </si>
  <si>
    <t>B18-0606</t>
  </si>
  <si>
    <t>addition to rec center</t>
  </si>
  <si>
    <t>BDR2016-0241</t>
  </si>
  <si>
    <t>BDR2018-0192</t>
  </si>
  <si>
    <t>ARU 990 sqft habitable 794 sqft non-habitable 270 sqft deck</t>
  </si>
  <si>
    <t>22-42-17-24-3-02-103</t>
  </si>
  <si>
    <t>BDC2019-0036</t>
  </si>
  <si>
    <t>Wastewater treatment plant garage 2700 sqft non-habitable</t>
  </si>
  <si>
    <t>22-40-16-29-1-00-003</t>
  </si>
  <si>
    <t>B19-0677</t>
  </si>
  <si>
    <t>kitchen addition</t>
  </si>
  <si>
    <t>B18-0545</t>
  </si>
  <si>
    <t>addition to existing townhome</t>
  </si>
  <si>
    <t>22-40-16-06-2-19-002</t>
  </si>
  <si>
    <t>B17-0541</t>
  </si>
  <si>
    <t>addition of closet &amp; storage addition</t>
  </si>
  <si>
    <t>22-40-16-06-2-10-006</t>
  </si>
  <si>
    <t>B17-0728</t>
  </si>
  <si>
    <t>Addition to existing SF</t>
  </si>
  <si>
    <t>22-40-16-06-2-09-024</t>
  </si>
  <si>
    <t>BDR2019-0124</t>
  </si>
  <si>
    <t>Garage 1155 sqft non-habitable</t>
  </si>
  <si>
    <t>22-42-16-02-1-09-001</t>
  </si>
  <si>
    <t>B19-0512</t>
  </si>
  <si>
    <t>BDR2017-0024</t>
  </si>
  <si>
    <t>finish basement of 3373 sqft habitable</t>
  </si>
  <si>
    <t>B18-0188</t>
  </si>
  <si>
    <t>22-40-16-06-2-05-008</t>
  </si>
  <si>
    <t>BDR2016-0240</t>
  </si>
  <si>
    <t>outdoor room</t>
  </si>
  <si>
    <t>BDR2016-0239</t>
  </si>
  <si>
    <t>BDR2018-0147</t>
  </si>
  <si>
    <t>SFD 998 sqft habitable 1449 sqft non-habitable 643 sqft deck/porch (pergola is BDR2018-0149)</t>
  </si>
  <si>
    <t>BDR2019-0040</t>
  </si>
  <si>
    <t xml:space="preserve">SFD 2512 sqft habitable    390 sqft habitable remodel  </t>
  </si>
  <si>
    <t>BDR2019-0058</t>
  </si>
  <si>
    <t>New ARU 853sqft habitable  Barn/garage 3351sqft non-habitable 1436sqft covered porches</t>
  </si>
  <si>
    <t>BDR2017-0029</t>
  </si>
  <si>
    <t>new SFD, 1 bedroom, 1 bathroomAmendment to CCr/declaration recorded.Permit from DEQ on sewer received.</t>
  </si>
  <si>
    <t>BDR2018-0177</t>
  </si>
  <si>
    <t>ARU/barn 987 sqft habitable  2336 sqft non-habitable</t>
  </si>
  <si>
    <t>22-42-15-10-3-00-009</t>
  </si>
  <si>
    <t>BDR2017-0137</t>
  </si>
  <si>
    <t>TMP005410</t>
  </si>
  <si>
    <t>BDR2019-0031</t>
  </si>
  <si>
    <t>SFD 3664 sqft habitable 1327 sqft non habitable 388 sqft deck/porch    Revisions submitted for review 5/22/2017  MR</t>
  </si>
  <si>
    <t>B16-0524</t>
  </si>
  <si>
    <t>22-41-16-33-4-38-021</t>
  </si>
  <si>
    <t>B16-0525</t>
  </si>
  <si>
    <t>B19-0199</t>
  </si>
  <si>
    <t>interior alteration to dentist office</t>
  </si>
  <si>
    <t>22-40-16-06-1-11-005</t>
  </si>
  <si>
    <t>BDR2018-0102</t>
  </si>
  <si>
    <t>SFD 5141 sqft habitable 787 sqft non-habitable 115 sqft deck</t>
  </si>
  <si>
    <t>B18-0189</t>
  </si>
  <si>
    <t>22-40-16-05-2-03-004</t>
  </si>
  <si>
    <t>B19-0149</t>
  </si>
  <si>
    <t xml:space="preserve">New MF - hidden hollow </t>
  </si>
  <si>
    <t>BDR2017-0030</t>
  </si>
  <si>
    <t>new SFD 1 bedroom, 1 bathroomAmendment to CCr/declaration recorded.Permit from DEQ on sewer received.</t>
  </si>
  <si>
    <t>B14-0611</t>
  </si>
  <si>
    <t>B14-0605</t>
  </si>
  <si>
    <t>BDR2019-0016</t>
  </si>
  <si>
    <t>Detached Garage 1120 sqft</t>
  </si>
  <si>
    <t>BDR2018-0104</t>
  </si>
  <si>
    <t>BDR2018-0103</t>
  </si>
  <si>
    <t>B14-0608</t>
  </si>
  <si>
    <t>BDR2018-0089</t>
  </si>
  <si>
    <t>SFD 7964 sqft habitable 1121 sqft non-habitable</t>
  </si>
  <si>
    <t>22-42-17-24-4-40-002</t>
  </si>
  <si>
    <t>BDR2019-0007</t>
  </si>
  <si>
    <t xml:space="preserve">SFD 2524 sqft habitable 672 sqft habitable     Revisions reducing square footage submitted for review 2/21/2019  M.R.  New SQFT is 2497 </t>
  </si>
  <si>
    <t>22-42-16-27-2-27-007</t>
  </si>
  <si>
    <t>BDR2019-0023</t>
  </si>
  <si>
    <t>New SFD 4646sqft habitable 820sqft non-habitable 150sqft of deck  (SWP2019-0004 goes with this one)    Revisions adding an outdoor masonry fireplace  were submitted for review.  8/29/2019  MR</t>
  </si>
  <si>
    <t>22-40-17-12-1-01-031</t>
  </si>
  <si>
    <t>B14-0612</t>
  </si>
  <si>
    <t>BDR2019-0077</t>
  </si>
  <si>
    <t>SFD 621 sqft habitable 268 sqft non-habitable    Revisions submitted for structural changes.  11/20/2019  MR</t>
  </si>
  <si>
    <t>22-45-13-07-1-00-066</t>
  </si>
  <si>
    <t>BDR2019-0044</t>
  </si>
  <si>
    <t>ARU 400 sqft habitable 400 sqft non-habitable  72 sqft deck</t>
  </si>
  <si>
    <t>BDR2019-0043</t>
  </si>
  <si>
    <t>SFD 1577 sqft habitable 367 sqft non-habitable</t>
  </si>
  <si>
    <t>BDR2019-0028</t>
  </si>
  <si>
    <t xml:space="preserve">SFD 3923 sqft habitable 1007 sqft non-habitable 342 sqft deck    </t>
  </si>
  <si>
    <t>22-41-16-30-2-06-001</t>
  </si>
  <si>
    <t>BDR2018-0094</t>
  </si>
  <si>
    <t>SFD 4212 sqft habitable 1505 sqft non-habitable 697 sqft deck/porch</t>
  </si>
  <si>
    <t>22-41-16-28-3-03-005</t>
  </si>
  <si>
    <t>B18-0140</t>
  </si>
  <si>
    <t>New single Family with garage</t>
  </si>
  <si>
    <t>22-41-16-34-4-04-024</t>
  </si>
  <si>
    <t>B14-0609</t>
  </si>
  <si>
    <t>BDR2019-0008</t>
  </si>
  <si>
    <t>SFD 3561 sqft habitable 703 sqft non-habitable 338 sqft deck    Brought in lost job site set to get it stamped.  6/14/19  MR</t>
  </si>
  <si>
    <t>22-38-16-17-1-01-026</t>
  </si>
  <si>
    <t>B14-0610</t>
  </si>
  <si>
    <t>B14-0607</t>
  </si>
  <si>
    <t>new live/work unit</t>
  </si>
  <si>
    <t>BDR2018-0002</t>
  </si>
  <si>
    <t>New SFD 7981.15 sq ft habitable 1767.16 sq ft non-habitable. Permit placed on hold to highlight inspection fee required ($100 to Teton County) before next inspection. See Plumbing rough-in notes. -WP Hold released. -WP</t>
  </si>
  <si>
    <t>BDR2018-0049</t>
  </si>
  <si>
    <t>Detached Garage 1767.16 sq ft non-habitable</t>
  </si>
  <si>
    <t>BDR2019-0014</t>
  </si>
  <si>
    <t>New SFD 3980 sqft habitable 1020 sqft non-habitable</t>
  </si>
  <si>
    <t>22-42-16-10-3-09-004</t>
  </si>
  <si>
    <t>BDR2018-0154</t>
  </si>
  <si>
    <t>SFD 3354 sqft habitable 838 sqft non-habitable 1747 sqft deck</t>
  </si>
  <si>
    <t>22-42-16-15-2-05-006</t>
  </si>
  <si>
    <t>BDR2020-0085</t>
  </si>
  <si>
    <t>guest house 2772 habitable</t>
  </si>
  <si>
    <t>BDR2018-0037</t>
  </si>
  <si>
    <t>New SFD4075 sqft habitable 924 sqft non-habitable 1460 porch</t>
  </si>
  <si>
    <t>22-41-16-28-3-03-009</t>
  </si>
  <si>
    <t>BDR2019-0108</t>
  </si>
  <si>
    <t>SFD 3021 sq ft habitable, 759 sq ft non-habitable</t>
  </si>
  <si>
    <t>22-44-18-31-1-02-003</t>
  </si>
  <si>
    <t>BDR2018-0056</t>
  </si>
  <si>
    <t>LODGE 5SFD 4074 sqft habitable 637 sqft non-habitable 541 sqft covered porch</t>
  </si>
  <si>
    <t>BDR2018-0030</t>
  </si>
  <si>
    <t>New SFD 4448 sqft 758 sqft 647 covered porches</t>
  </si>
  <si>
    <t>22-40-17-12-4-01-069</t>
  </si>
  <si>
    <t>BDR2016-0238</t>
  </si>
  <si>
    <t>New SFD 5 bedrooms, 8 bathrooms</t>
  </si>
  <si>
    <t>BDR2018-0039</t>
  </si>
  <si>
    <t>New SFD 4945 sqft habitable 787 sqft non-habitable 289 sq ft covered porches</t>
  </si>
  <si>
    <t>22-42-17-24-1-01-030</t>
  </si>
  <si>
    <t>BDR2019-0041</t>
  </si>
  <si>
    <t>ARU 998 sqft habitable 1113 sqft non-habitable  Revisions submitted for review 8/6/2019  MR</t>
  </si>
  <si>
    <t>22-41-17-23-2-01-006</t>
  </si>
  <si>
    <t>BDR2017-0116</t>
  </si>
  <si>
    <t>workshop</t>
  </si>
  <si>
    <t>22-40-16-18-3-00-046</t>
  </si>
  <si>
    <t>B14-0616</t>
  </si>
  <si>
    <t>B14-0613</t>
  </si>
  <si>
    <t>BDR2019-0149</t>
  </si>
  <si>
    <t xml:space="preserve">SFD 2300 sqft habitable </t>
  </si>
  <si>
    <t>22-44-18-17-3-00-020</t>
  </si>
  <si>
    <t>BDR2019-0165</t>
  </si>
  <si>
    <t>ARU  988 sqft habitable 728 sqft non-habitable</t>
  </si>
  <si>
    <t>B14-0617</t>
  </si>
  <si>
    <t>BDR2018-0155</t>
  </si>
  <si>
    <t>SFD 5445 sqft habitable 864 sqft non-habitable  5364 sqft deck/porch</t>
  </si>
  <si>
    <t>22-42-16-21-1-00-010</t>
  </si>
  <si>
    <t>BDR2019-0111</t>
  </si>
  <si>
    <t>Barn 1728 sqft non-habitable    Revisions for interior changes submitted for review 9/23/2019  MR</t>
  </si>
  <si>
    <t>22-38-16-05-3-00-003</t>
  </si>
  <si>
    <t>BDR2018-0205</t>
  </si>
  <si>
    <t>SFD 3878 sqft habitable 913 sqft non-habitable 770 sqft deck</t>
  </si>
  <si>
    <t>22-42-16-27-4-17-001</t>
  </si>
  <si>
    <t>BDR2019-0100</t>
  </si>
  <si>
    <t>SFD 3659 sqft habitable 1304 sqft non-habitable</t>
  </si>
  <si>
    <t>22-40-16-20-1-10-004</t>
  </si>
  <si>
    <t>B14-0614</t>
  </si>
  <si>
    <t>BDR2018-0195</t>
  </si>
  <si>
    <t>SFD 3561 sqft habitable 703 sqft non-habitable 338 sqft deck</t>
  </si>
  <si>
    <t>22-38-16-08-4-01-007</t>
  </si>
  <si>
    <t>BDC2019-0024</t>
  </si>
  <si>
    <t>School field house 9876 sqft    Revisions submitted for review 9/25/2019 MR  Revisions submitted for review adding on commercial kitchen 10/10/2019 MR  Revisions submitted for review raising finished floor, etc.  11/21/2019  MR</t>
  </si>
  <si>
    <t>B18-0508</t>
  </si>
  <si>
    <t>addition to exsiting SF</t>
  </si>
  <si>
    <t>BDC2019-0006</t>
  </si>
  <si>
    <t>New Bath House 1612 sqft and picnic shelter</t>
  </si>
  <si>
    <t>BDR2019-0142</t>
  </si>
  <si>
    <t>New Garage 1920 sqft non-habitable</t>
  </si>
  <si>
    <t>22-41-17-14-4-00-006</t>
  </si>
  <si>
    <t>BDR2017-0031</t>
  </si>
  <si>
    <t>New SFD, 1 bedroom, 1 bathroom, Amendment to CCr/declaration recorded. Permit from DEQ on sewer received.</t>
  </si>
  <si>
    <t>BDR2019-0146</t>
  </si>
  <si>
    <t xml:space="preserve">ARU 979 sqft habitable 1367 sqft non-habitable 800 sqft deck    Revisions adding 32sqft non-habitable and enlarging the driveway by 542sqft submitted for review 12/10/2019  MR  </t>
  </si>
  <si>
    <t>BDR2016-0227</t>
  </si>
  <si>
    <t>SFD Addition of 2021sqft habitable, 71sqft nonhabitable, addition of, 1 bedroom &amp; 1 bathroom; 11-18-16 revision of square feet, 1765sqft habitable, 37sqft nonhabitable</t>
  </si>
  <si>
    <t>BDR2019-0030</t>
  </si>
  <si>
    <t>ARU 1000 sqft habitable 1496 sqft non-habitable    Revisions submitted adding stairs to inside of garage and changing the fireplace and adding to the breezeway.   6/4/2019  MR    Contractor changed 2/12/2020 per email from owner.  MR</t>
  </si>
  <si>
    <t>BDR2018-0184</t>
  </si>
  <si>
    <t xml:space="preserve">Addition of 489 sqft habitable </t>
  </si>
  <si>
    <t>22-40-16-18-1-06-057</t>
  </si>
  <si>
    <t>BDR2017-0037</t>
  </si>
  <si>
    <t>addition of 68 sqft on second story deck</t>
  </si>
  <si>
    <t>BDR2018-0052</t>
  </si>
  <si>
    <t>LODGE 1 SFD 4074 sqft habitable 637 sqft non-habitable 541 sqft covered porch</t>
  </si>
  <si>
    <t>BDR2017-0041</t>
  </si>
  <si>
    <t>Barn, 1 bathroom</t>
  </si>
  <si>
    <t>BDR2014-0172</t>
  </si>
  <si>
    <t>New 2-bedroom, 2-bath ARU (accessory residential unit) w/ garage</t>
  </si>
  <si>
    <t>B18-0303</t>
  </si>
  <si>
    <t>Maintenance &amp; housing facility Housing- 4,425 sf, Light Industrial- 11,675 sf, Office- 4,370 sf, Developed Recreation (Expo)- 6,000 sf</t>
  </si>
  <si>
    <t>B19-0534</t>
  </si>
  <si>
    <t>22-41-16-33-3-07-018</t>
  </si>
  <si>
    <t>B19-0659</t>
  </si>
  <si>
    <t>convert classroom trailer to duplex</t>
  </si>
  <si>
    <t>BDR2019-0162</t>
  </si>
  <si>
    <t>Barn 214 sqft habitable 2328 sqft non-habitable</t>
  </si>
  <si>
    <t>BDR2017-0105</t>
  </si>
  <si>
    <t>SFD 1 bedroom, 1 bathroom; 6-28-17 revision of 992sqft non-habitable</t>
  </si>
  <si>
    <t>22-41-16-31-2-06-002</t>
  </si>
  <si>
    <t>B19-0658</t>
  </si>
  <si>
    <t>converting classroom trailer to duplex</t>
  </si>
  <si>
    <t>BDR2015-0185</t>
  </si>
  <si>
    <t>B19-0201</t>
  </si>
  <si>
    <t xml:space="preserve">new mixed use - cowboy coffee </t>
  </si>
  <si>
    <t>22-41-16-32-3-02-003</t>
  </si>
  <si>
    <t>B20-0007</t>
  </si>
  <si>
    <t>new storage sheds</t>
  </si>
  <si>
    <t>B19-0769</t>
  </si>
  <si>
    <t>22-41-16-34-1-20-009</t>
  </si>
  <si>
    <t>BDC2018-0005</t>
  </si>
  <si>
    <t>New 3375 sqft repair shop Revisions submitted for review 5/14/2018  M.R. changed building to 3150 sqft</t>
  </si>
  <si>
    <t>22-41-17-23-1-00-025</t>
  </si>
  <si>
    <t>BDR2019-0134</t>
  </si>
  <si>
    <t>Barn 1080 sqft non-habitable</t>
  </si>
  <si>
    <t>22-42-16-28-2-01-011</t>
  </si>
  <si>
    <t>BDR2018-0143</t>
  </si>
  <si>
    <t>SFD 4128 sqft habitable 838 sqft non-habitable 673 sqft deck/porch</t>
  </si>
  <si>
    <t>22-41-16-19-3-09-004</t>
  </si>
  <si>
    <t>BDR2017-0047</t>
  </si>
  <si>
    <t>22-42-16-34-2-03-022</t>
  </si>
  <si>
    <t>BDR2017-0216</t>
  </si>
  <si>
    <t>adding 1015sqft habitable to permit BDR2017-0005.  This permit will be inspected and referenced as BDR2017-0005R</t>
  </si>
  <si>
    <t>BDR2019-0086</t>
  </si>
  <si>
    <t xml:space="preserve">ARU 1000 sqft habitable 1156 sqft non-habitable </t>
  </si>
  <si>
    <t>22-40-16-20-3-04-001</t>
  </si>
  <si>
    <t>BDR2019-0020</t>
  </si>
  <si>
    <t>SFD 3976 sqft habitable 780 sqft non-habitable 520 deck</t>
  </si>
  <si>
    <t>22-41-16-21-1-01-005</t>
  </si>
  <si>
    <t>BDR2019-0048</t>
  </si>
  <si>
    <t>SFD 3952 sqft habitable 936 sqft non-habitable    Revisions increasing square footage submitted for review 6/4/2019  MR</t>
  </si>
  <si>
    <t>22-42-16-33-1-01-007</t>
  </si>
  <si>
    <t>BDR2019-0159</t>
  </si>
  <si>
    <t>Garage with ARU 1243 sqft habitable 1032 sqft non-habitable 84 sqft deck</t>
  </si>
  <si>
    <t>22-41-17-01-4-04-002</t>
  </si>
  <si>
    <t>B19-0195</t>
  </si>
  <si>
    <t>22-41-16-28-4-00-033</t>
  </si>
  <si>
    <t>BDR2018-0151</t>
  </si>
  <si>
    <t>SFD 9763 sqft habitable 1511 sqft non-habitable 259 sqft deck</t>
  </si>
  <si>
    <t>22-40-17-13-1-01-035</t>
  </si>
  <si>
    <t>BDR2018-0066</t>
  </si>
  <si>
    <t>New SFD 6286 sqft habitable 1148 sqft non-habitable 1027 sqft porches</t>
  </si>
  <si>
    <t>2MHs</t>
  </si>
  <si>
    <t>BDR2018-0098</t>
  </si>
  <si>
    <t>SFD with attached garage 3249.5 sqft habitable 721.50 sqft non-habitable 637 covered decks and porches</t>
  </si>
  <si>
    <t>22-42-16-10-1-06-003</t>
  </si>
  <si>
    <t>3952, 3953</t>
  </si>
  <si>
    <t>BDC2019-0038</t>
  </si>
  <si>
    <t>2988 sqft bird living structure Education MEW</t>
  </si>
  <si>
    <t>BDC2019-0040</t>
  </si>
  <si>
    <t>1960 sqft raptor clinic and rehab center</t>
  </si>
  <si>
    <t>4 buildings</t>
  </si>
  <si>
    <t>BDR2018-0139</t>
  </si>
  <si>
    <t>New SFD 5466 sqft habitable 2086 sqft non-habitable 370 sqft deck/porch</t>
  </si>
  <si>
    <t>22-42-16-02-3-08-004</t>
  </si>
  <si>
    <t>BDR2019-0012</t>
  </si>
  <si>
    <t xml:space="preserve">SFD 2456 sqft habitable 2489 sqft non-habitable </t>
  </si>
  <si>
    <t>22-42-16-22-3-00-027</t>
  </si>
  <si>
    <t>BDR2019-0059</t>
  </si>
  <si>
    <t>New SFD 6351sqft habitable 1051sqft non-habitable 1156sqft porches/decks</t>
  </si>
  <si>
    <t>22-42-17-24-3-02-051</t>
  </si>
  <si>
    <t>BDC2020-0011</t>
  </si>
  <si>
    <t xml:space="preserve">T-mobile 220 sqft equipment shed </t>
  </si>
  <si>
    <t>B19-0636</t>
  </si>
  <si>
    <t>22-40-16-06-2-43-002</t>
  </si>
  <si>
    <t>BDR2019-0157</t>
  </si>
  <si>
    <t>SFD 3631 sqft habitable 1136 sqft non-habitable    Revisions to the fireplace submitted for review 12/4/2019</t>
  </si>
  <si>
    <t>22-44-18-20-3-11-001</t>
  </si>
  <si>
    <t>BDR2017-0086</t>
  </si>
  <si>
    <t>SFD 4 bedrooms, 3.5 bathrooms, attached garage; 7-5-17 revision of square feet habitable and non-habitable 10-2-17 Revisions to roof pitch, window size changes, and sqft above garage. 11/7/17 withdrew revision which reduced 222 sf habitable. $50 is due be</t>
  </si>
  <si>
    <t>5005, 5006</t>
  </si>
  <si>
    <t>BDR2017-0052</t>
  </si>
  <si>
    <t>new SFD guest house, 2 bedroom, 1.5 bathrooms, attached garage</t>
  </si>
  <si>
    <t>22-41-17-14-4-00-049</t>
  </si>
  <si>
    <t>BDR2017-0062</t>
  </si>
  <si>
    <t>BDR2020-0097</t>
  </si>
  <si>
    <t>ARU 942 sqft habitable revision submitted increased to 999sqft habitable Revision submitted 8/24/2020 Making closet into bathroom BN</t>
  </si>
  <si>
    <t>BDR2019-0036</t>
  </si>
  <si>
    <t>SFD 3561 sqft habitable 703 sqft non-habitable</t>
  </si>
  <si>
    <t>BDR2018-0160</t>
  </si>
  <si>
    <t>SFD 2225 sqft habitable (detached garage is BDR2018-0161)</t>
  </si>
  <si>
    <t>BDR2018-0161</t>
  </si>
  <si>
    <t>Detached garage 325 sqftg non-habitable (house is BDR2018-0160)</t>
  </si>
  <si>
    <t>BDR2018-0158</t>
  </si>
  <si>
    <t>SFD 2672 sqft habitable (detached garage BDR2018-0162)</t>
  </si>
  <si>
    <t>22-42-16-34-2-03-020</t>
  </si>
  <si>
    <t>BDR2018-0162</t>
  </si>
  <si>
    <t>Garage 1378 sqft non-habitable   (house BDR2018-0158)</t>
  </si>
  <si>
    <t>BDR2018-0150</t>
  </si>
  <si>
    <t>New SFD w/attached garage 7996 sqft habitable  1829 sqft non habitable 665 sqft porch</t>
  </si>
  <si>
    <t>22-41-17-12-2-10-004</t>
  </si>
  <si>
    <t>BDR2014-0180</t>
  </si>
  <si>
    <t>22-42-16-15-2-06-001</t>
  </si>
  <si>
    <t>BDR2019-0050</t>
  </si>
  <si>
    <t>SFD 3288 sqft habitable 671 sqft non-habitable 586 sqft deck</t>
  </si>
  <si>
    <t>22-38-16-16-3-02-004</t>
  </si>
  <si>
    <t>BDR2017-0071</t>
  </si>
  <si>
    <t>BDR2018-0055</t>
  </si>
  <si>
    <t>LODGE 4SFD 4074 sqft habitable 637 sqft non-habitable 541 sqft covered porch</t>
  </si>
  <si>
    <t>7454, 7455</t>
  </si>
  <si>
    <t>22-41-16-34-2-23-005</t>
  </si>
  <si>
    <t>B19-0390</t>
  </si>
  <si>
    <t>4 unit condos Bld#1</t>
  </si>
  <si>
    <t>BDR2018-0017</t>
  </si>
  <si>
    <t>New ARU 850 sqft habitable 265 sqft non-habitable 256sqft rooftop deck. Unit 1.</t>
  </si>
  <si>
    <t>BDR2021-0070</t>
  </si>
  <si>
    <t>New barn 3312sqft non-habitable Revisions submitted for review changing structural drawings.  08/10/2021  MR</t>
  </si>
  <si>
    <t>BDR2021-0076</t>
  </si>
  <si>
    <t>New SFD 4147sqft habitable 848sqft non-habitable 921sqft decks/porches</t>
  </si>
  <si>
    <t>22-41-17-22-1-02-008</t>
  </si>
  <si>
    <t>BDR2021-0079</t>
  </si>
  <si>
    <t>New SFD 3685sqft habitable 1034.36sqft non-habitable  Revisions submitted for review decreasing footprint.  7/6/2021  MR</t>
  </si>
  <si>
    <t>22-38-16-16-2-01-016</t>
  </si>
  <si>
    <t>BDR2021-0088</t>
  </si>
  <si>
    <t>New SFD 2183sqft habitable 624sqft non-habitable 90sqft decks/porches</t>
  </si>
  <si>
    <t>22-41-17-22-4-20-001</t>
  </si>
  <si>
    <t>BDR2021-0089</t>
  </si>
  <si>
    <t>22-41-17-22-4-20-002</t>
  </si>
  <si>
    <t>BDR2021-0122</t>
  </si>
  <si>
    <t>ARU  1000 sqft habitable 1440 sqft non-habitable 674 sqft deck</t>
  </si>
  <si>
    <t>22-40-16-35-2-07-007</t>
  </si>
  <si>
    <t>BDR2021-0130</t>
  </si>
  <si>
    <t>exercise cabin 488 sqft habitable</t>
  </si>
  <si>
    <t>BDR2021-0159</t>
  </si>
  <si>
    <t>New barn 2400 sqft non-habitable</t>
  </si>
  <si>
    <t>22-41-17-27-4-00-026</t>
  </si>
  <si>
    <t>BDR2021-0160</t>
  </si>
  <si>
    <t>Addition 1073 sqft habitable 180 covered porches  Remodel 489 sqft habitable Structural revisions submitted for review.  10/6/2021  MR Revisions submitted for review changing window sizes and an interior stair.  12/16/2021 MR</t>
  </si>
  <si>
    <t>22-42-17-24-1-01-028</t>
  </si>
  <si>
    <t>BDR2021-0163</t>
  </si>
  <si>
    <t>Remodel 1400 sqft habitable Revision submitted changing 2nd floor bathroom layout and contractor.  11/10/2021 JPL</t>
  </si>
  <si>
    <t>22-42-17-24-4-05-003</t>
  </si>
  <si>
    <t>BDR2021-0173</t>
  </si>
  <si>
    <t>Garage 1512 sqft non-habitable</t>
  </si>
  <si>
    <t>22-39-16-14-4-00-037</t>
  </si>
  <si>
    <t>BDR2021-0180</t>
  </si>
  <si>
    <t>SFD 4344 sqft habitable 576 sqft non-habitable 1273 sqft deck  Revisions submitted for review changing from wool insulation to spray foam in roof structure.  1/5/2022  MR</t>
  </si>
  <si>
    <t>22-40-16-35-4-00-025</t>
  </si>
  <si>
    <t>BDR2021-0188</t>
  </si>
  <si>
    <t>New SFD 1325sqft habitable 1652sqft non-habitable 349sqft decks/porches  Revisions submitted for review changing 2nd floor layout, mechanical and plumbing.  01/'05/2022  MR</t>
  </si>
  <si>
    <t>22-42-16-10-3-08-006</t>
  </si>
  <si>
    <t>BDR2021-0195</t>
  </si>
  <si>
    <t>Moving 883 sq ft barn to new location with new foundation, addition of 362 sq ft non habitable (Main House BDR2021-0169 both structures will be using SWF2021-0109)</t>
  </si>
  <si>
    <t>BDR2021-0212</t>
  </si>
  <si>
    <t>Add 1800 sqft deck/covered patio</t>
  </si>
  <si>
    <t>22-41-16-17-3-05-001</t>
  </si>
  <si>
    <t>BDR2021-0258</t>
  </si>
  <si>
    <t>Addition 1,680 sqft non-habitable Remodel 672 sqft non-habitable</t>
  </si>
  <si>
    <t>BDR2022-0048</t>
  </si>
  <si>
    <t>remodel 1320sqft habitable</t>
  </si>
  <si>
    <t>BDR2022-0080</t>
  </si>
  <si>
    <t>SFD 4438 sqft habitable 901 sqft non-habitable 1091 sqft deck</t>
  </si>
  <si>
    <t>22-42-16-28-1-12-005</t>
  </si>
  <si>
    <t>BDR2022-0081</t>
  </si>
  <si>
    <t xml:space="preserve">ARU 933 sqft habitable   </t>
  </si>
  <si>
    <t>BDR2022-0142</t>
  </si>
  <si>
    <t>interior remodel 4518sqft habitable</t>
  </si>
  <si>
    <t>DEM2022-0007</t>
  </si>
  <si>
    <t>Single Family Residence Demolition</t>
  </si>
  <si>
    <t>22-41-16-27-3-00-009</t>
  </si>
  <si>
    <t>22-41-16-34-2-05-008</t>
  </si>
  <si>
    <t>22-41-16-34-2-05-006</t>
  </si>
  <si>
    <t>BDR2019-0128</t>
  </si>
  <si>
    <t>ARU 925 sqft habitable 964sqft of pool/spa</t>
  </si>
  <si>
    <t>BDR2018-0136</t>
  </si>
  <si>
    <t>SFD 2623 sqft habitable 478 sqft non-habitable (detached garage is BDR2018-0142)</t>
  </si>
  <si>
    <t>BDR2019-0070</t>
  </si>
  <si>
    <t>22-38-16-16-3-02-005</t>
  </si>
  <si>
    <t>BDR2020-0038</t>
  </si>
  <si>
    <t>New SFD 2827sqft habitable 672sqft non-habitable 378sqft decks</t>
  </si>
  <si>
    <t>BDR2018-0193</t>
  </si>
  <si>
    <t>3561 sqft habitable 703 sqft non-habitable 338 sqft deck</t>
  </si>
  <si>
    <t>22-38-16-17-1-01-023</t>
  </si>
  <si>
    <t>BDR2019-0027</t>
  </si>
  <si>
    <t>SFD 2670 sqft habitable 1604 sqft non-habitable 678 sqft deck/covered porch</t>
  </si>
  <si>
    <t>22-39-16-02-4-00-016</t>
  </si>
  <si>
    <t>BDR2019-0107</t>
  </si>
  <si>
    <t>SFD 1172 sqft habitable 960 sqft non-habitable 321sqft deck    Revisions changing footing and floor system submitted for review 8/26/2019  Revisions changing interior items submitted for review 9/17/2019</t>
  </si>
  <si>
    <t>22-39-16-02-4-00-017</t>
  </si>
  <si>
    <t>BDR2020-0037</t>
  </si>
  <si>
    <t>Barn/Shop</t>
  </si>
  <si>
    <t>BDR2020-0058</t>
  </si>
  <si>
    <t>Addition of  766 sqft habitable 552 non-habitable remodel of 4664 sqft habitable 1110sqft non-habitable and 1260sqft decks/porches    Revisions submitted for review adding to all square footage. 7/7/2020  MR</t>
  </si>
  <si>
    <t>22-39-16-11-4-05-008</t>
  </si>
  <si>
    <t>BDR2019-0160</t>
  </si>
  <si>
    <t>Addition 1731 sqft habitable 1030 sqft non-habitable 1286 sqft deck  Remodel 900 sqft habitable</t>
  </si>
  <si>
    <t>22-39-16-12-4-00-012</t>
  </si>
  <si>
    <t>BDR2020-0117</t>
  </si>
  <si>
    <t>Addition 240 sqft habitable and 100 sqft deck   Remodel 682 sqft habitable</t>
  </si>
  <si>
    <t>22-39-16-26-2-02-015</t>
  </si>
  <si>
    <t>BDR2020-0031</t>
  </si>
  <si>
    <t>Addition 2528sqft habitable 985sqft non-habitable 400sqft decks/porches 56sqft remodel</t>
  </si>
  <si>
    <t>22-39-16-27-4-04-001</t>
  </si>
  <si>
    <t>BDR2020-0139</t>
  </si>
  <si>
    <t>SFD 1493 sqft habitable</t>
  </si>
  <si>
    <t>22-39-16-31-4-00-004</t>
  </si>
  <si>
    <t>BP 2009-0067</t>
  </si>
  <si>
    <t>New 2-story, 3-bedroom SFD W/ Attached Garage &amp; Unfinished Basement</t>
  </si>
  <si>
    <t>22-39-17-11-4-05-020</t>
  </si>
  <si>
    <t>B18-0186</t>
  </si>
  <si>
    <t>22-40-16-05-2-06-002</t>
  </si>
  <si>
    <t>18 unit apartment-perimeter units</t>
  </si>
  <si>
    <t>B19-0759</t>
  </si>
  <si>
    <t>8 apartment units- Center Units</t>
  </si>
  <si>
    <t>B20-0704</t>
  </si>
  <si>
    <t>Change of use -interior alteration</t>
  </si>
  <si>
    <t>B19-0087</t>
  </si>
  <si>
    <t>hitting facility for youth baseball</t>
  </si>
  <si>
    <t>B20-0604</t>
  </si>
  <si>
    <t>Detached garage with storage</t>
  </si>
  <si>
    <t>B20-0183</t>
  </si>
  <si>
    <t>22-40-16-06-2-11-004</t>
  </si>
  <si>
    <t>B19-0349</t>
  </si>
  <si>
    <t>22-40-16-06-2-14-008</t>
  </si>
  <si>
    <t>B20-0192</t>
  </si>
  <si>
    <t>22-40-16-06-2-43-001</t>
  </si>
  <si>
    <t>B19-0557</t>
  </si>
  <si>
    <t>22-40-16-06-2-43-003</t>
  </si>
  <si>
    <t>BDR2019-0052</t>
  </si>
  <si>
    <t>ARU  1769 sqft habitable  68 sqft porch    Remodel 962 sqft habitable</t>
  </si>
  <si>
    <t>22-40-16-17-4-05-007</t>
  </si>
  <si>
    <t>BDR2019-0171</t>
  </si>
  <si>
    <t>Addition 1051 sqft habitable 153 sqft non-habitable 214 sqft deck Remodel 2465 sqft habitable</t>
  </si>
  <si>
    <t>BDR2017-0225</t>
  </si>
  <si>
    <t>999 sq ft habitable ARU 1080 sq ft attached garage</t>
  </si>
  <si>
    <t>BDR2020-0135</t>
  </si>
  <si>
    <t>New Barn 1584sqft non-habitable 1296sqft decks/porches</t>
  </si>
  <si>
    <t>BDR2020-0200</t>
  </si>
  <si>
    <t>Addition 120 sqft habitable Remodel 1370 sqft habitable</t>
  </si>
  <si>
    <t>BDR2020-0114</t>
  </si>
  <si>
    <t>SFD 2710 sqft habitable 816 sqft non-habitable Revision submitted 9/1/2020 BN</t>
  </si>
  <si>
    <t>BDR2021-0035</t>
  </si>
  <si>
    <t>Enclosing deck to make sun room 231 sqft habitable</t>
  </si>
  <si>
    <t>BDR2020-0118</t>
  </si>
  <si>
    <t>Shed 652 sqft non-habitable</t>
  </si>
  <si>
    <t>BDR2019-0047</t>
  </si>
  <si>
    <t>SFD 4705 sqft habitable 2315 sqft non-habitable 894 sqft deck/porch</t>
  </si>
  <si>
    <t>22-40-16-21-2-01-018</t>
  </si>
  <si>
    <t>BDR2021-0022</t>
  </si>
  <si>
    <t>2nd floor addition 409sqft habitable 112sqft decks</t>
  </si>
  <si>
    <t>BDR2019-0099</t>
  </si>
  <si>
    <t>SFD 3499 sqft habitable 1274 sqft non-habitable 547 sqft deck    First extension granted from 12/16/2019 to 6/13/2020 BN</t>
  </si>
  <si>
    <t>22-40-16-33-4-00-014</t>
  </si>
  <si>
    <t>BDR2019-0154</t>
  </si>
  <si>
    <t>Barn 3072 sqft non-habitable</t>
  </si>
  <si>
    <t>BDR2020-0153</t>
  </si>
  <si>
    <t>Barn 840 sqft non-habitable</t>
  </si>
  <si>
    <t>22-40-16-35-4-06-011</t>
  </si>
  <si>
    <t>BDR2020-0078</t>
  </si>
  <si>
    <t>Addition 311 sqft habitable (changing part of the garage to habitable) 2089 sqft habitable remodel</t>
  </si>
  <si>
    <t>BDR2020-0110</t>
  </si>
  <si>
    <t>SFD 4741 sqft habitable 840 sqft non-habitable 823 sqft deck</t>
  </si>
  <si>
    <t>22-40-17-01-2-02-002</t>
  </si>
  <si>
    <t>BDR2018-0203</t>
  </si>
  <si>
    <t>SFD 4925.6 sqft habitable</t>
  </si>
  <si>
    <t>22-40-17-02-2-00-006</t>
  </si>
  <si>
    <t>BDR2018-0166</t>
  </si>
  <si>
    <t>SFD 5030 sqft habitable 1133 sqft non habitable 2115 deck/porch</t>
  </si>
  <si>
    <t>22-40-17-04-4-00-003</t>
  </si>
  <si>
    <t>BDR2019-0075</t>
  </si>
  <si>
    <t>ARU 1570 sqft habitable 7 sqft non 430 sqft deck (2nd SFD of 2-unit PRD)</t>
  </si>
  <si>
    <t>BDR2019-0076</t>
  </si>
  <si>
    <t>Art Studio 559 sqft habitable 20 sqft non-habitable 69 sqft deck</t>
  </si>
  <si>
    <t>BDR2020-0050</t>
  </si>
  <si>
    <t>new ARU 999sqft habitable 1488 non-habitable barn</t>
  </si>
  <si>
    <t>BDR2018-0163</t>
  </si>
  <si>
    <t>Barn 4625 sqft non-habitable</t>
  </si>
  <si>
    <t>BDR2019-0071</t>
  </si>
  <si>
    <t>SFD 3243 sqft habitable 832 sqft non-habitable 1069 sqft deck</t>
  </si>
  <si>
    <t>22-40-17-10-3-03-028</t>
  </si>
  <si>
    <t>BDR2020-0036</t>
  </si>
  <si>
    <t>New SFD 4203 sqft habitable 795 sqft non-habitable 916 sqft deck/covered porches</t>
  </si>
  <si>
    <t>22-40-17-12-1-01-016</t>
  </si>
  <si>
    <t>BDR2019-0132</t>
  </si>
  <si>
    <t>SFD 4505 sqft habitable 713 sqft non-habitable</t>
  </si>
  <si>
    <t>22-40-17-12-1-01-020</t>
  </si>
  <si>
    <t>BDR2018-0118</t>
  </si>
  <si>
    <t>SFD 4456 sqft habitable 964 sqft non-habitable 159 sqft deck 357 sqft covered patio</t>
  </si>
  <si>
    <t>22-40-17-12-1-01-027</t>
  </si>
  <si>
    <t>BDR2020-0033</t>
  </si>
  <si>
    <t>SFD 4461 sqft habitable 872 sqft non-habitable</t>
  </si>
  <si>
    <t>22-40-17-12-1-01-045</t>
  </si>
  <si>
    <t>BDR2019-0148</t>
  </si>
  <si>
    <t>SFD 4168 sqft habitable 750 sqft non-habitable 120 sqft deck</t>
  </si>
  <si>
    <t>22-40-17-12-4-01-053</t>
  </si>
  <si>
    <t>BDR2019-0085</t>
  </si>
  <si>
    <t>BDR2019-0112</t>
  </si>
  <si>
    <t>SFD 4681 sqft habitable 947 sqft non-habitable 180 sqft deck</t>
  </si>
  <si>
    <t>22-40-17-12-4-01-070</t>
  </si>
  <si>
    <t>BDR2020-0061</t>
  </si>
  <si>
    <t>Addition 542sqft habitable 288sqft non-habitable 120sqft remodel Revisions submitted 2/25/21 BN</t>
  </si>
  <si>
    <t>BDR2020-0012</t>
  </si>
  <si>
    <t>SFD 4646 sqft habitable 814 sqft non-habitable 150 sqft deck</t>
  </si>
  <si>
    <t>BDR2021-0044</t>
  </si>
  <si>
    <t>New SFD 5509sqft habitable 858sqft non-habitable  Plans submitted for review changing the entry and adding cover to porch.  12/17/2021  MR</t>
  </si>
  <si>
    <t>22-40-17-15-2-05-004</t>
  </si>
  <si>
    <t>BDR2019-0066</t>
  </si>
  <si>
    <t>SFD 5820 sqft habitable 2049 sqft non-habitabale 1700 sqft decks/porches</t>
  </si>
  <si>
    <t>22-40-17-15-2-05-006</t>
  </si>
  <si>
    <t>BDR2017-0033</t>
  </si>
  <si>
    <t>car barn</t>
  </si>
  <si>
    <t>BDR2019-0144</t>
  </si>
  <si>
    <t>SFD 3448 sqft habitable 803 sqft non-habitable 462 sqft deck</t>
  </si>
  <si>
    <t>22-41-16-06-3-05-003</t>
  </si>
  <si>
    <t>BDR2020-0190</t>
  </si>
  <si>
    <t>Addition 90sqft habitable 1848sqft habitable remodel 317sqft non-habitable remodel 126sqft deck (Certificate of Placement requirement has been removed - JB 11/23/2020)  (Planning Final is now required. 3/8/2021 JB) Revisions submitted 3/8/2021 Need Summary of changes JL</t>
  </si>
  <si>
    <t>BDR2019-0089</t>
  </si>
  <si>
    <t>SFD 6102.71 sqft habitable 1209 sqft non-habitable 1480 sqft deck (ARU  BDR2019-0090  Garage BDR2019-0091)</t>
  </si>
  <si>
    <t>22-41-16-08-1-00-004</t>
  </si>
  <si>
    <t>BDR2019-0091</t>
  </si>
  <si>
    <t>Garage  391 sqft non-habitable  (Main House BDR2019-0089 ARU  BDR2019-0090)</t>
  </si>
  <si>
    <t>BDR2019-0090</t>
  </si>
  <si>
    <t>ARU 1000 sqft habitable 400 sqft deck (Main House   BDR2019-0089  Garage BDR2019-0091)</t>
  </si>
  <si>
    <t>BDR2020-0073</t>
  </si>
  <si>
    <t>Addition 726sqft garage</t>
  </si>
  <si>
    <t>BDR2019-0072</t>
  </si>
  <si>
    <t>New SFD 3335sqft habitable 1150sqft non-habitable 1687sqft porches/decks</t>
  </si>
  <si>
    <t>22-41-16-18-4-03-002</t>
  </si>
  <si>
    <t>BDR2020-0138</t>
  </si>
  <si>
    <t>ARU 460 sqft habitable</t>
  </si>
  <si>
    <t>BDR2019-0156</t>
  </si>
  <si>
    <t>Addition 585 sqft habitable 174 sqft non-habitable 860 sqft decks Remodel 280 sqft non-habitable</t>
  </si>
  <si>
    <t>22-41-16-21-2-07-015</t>
  </si>
  <si>
    <t>BDR2020-0007</t>
  </si>
  <si>
    <t>Addition 70 sqft habitable 103 sqft decks  Remodel 902 sqft habitable 159 sqft non-habitable</t>
  </si>
  <si>
    <t>B19-0741</t>
  </si>
  <si>
    <t>remodel basement &amp; build exterior staircase</t>
  </si>
  <si>
    <t>22-41-16-27-3-06-002</t>
  </si>
  <si>
    <t>B19-0623</t>
  </si>
  <si>
    <t>New detached ARU</t>
  </si>
  <si>
    <t>B20-0904</t>
  </si>
  <si>
    <t>22-41-16-27-3-09-010</t>
  </si>
  <si>
    <t>B20-0903</t>
  </si>
  <si>
    <t>NEW Single Family with attached garage</t>
  </si>
  <si>
    <t>B20-0905</t>
  </si>
  <si>
    <t>22-41-16-27-3-09-012</t>
  </si>
  <si>
    <t>B19-0453</t>
  </si>
  <si>
    <t>22-41-16-27-3-10-004</t>
  </si>
  <si>
    <t>B19-0128</t>
  </si>
  <si>
    <t>13021, 13022</t>
  </si>
  <si>
    <t>B20-0157</t>
  </si>
  <si>
    <t>22-41-16-27-3-36-019</t>
  </si>
  <si>
    <t>B20-0158</t>
  </si>
  <si>
    <t>22-41-16-27-3-36-020</t>
  </si>
  <si>
    <t>B20-0159</t>
  </si>
  <si>
    <t>22-41-16-27-3-36-021</t>
  </si>
  <si>
    <t>B21-0758</t>
  </si>
  <si>
    <t>Trailer replacement sp #12S</t>
  </si>
  <si>
    <t>B21-0084</t>
  </si>
  <si>
    <t>Replace Trailer</t>
  </si>
  <si>
    <t>remove old trailer</t>
  </si>
  <si>
    <t>remove old trailer SP #12S</t>
  </si>
  <si>
    <t>BDR2019-0002</t>
  </si>
  <si>
    <t>SFD 7918 sqft habitable   (ARU BDR2019-0003   ART STUDIO BDR2019-0004 withdrawn SWF2018-0087 must be final before this permit can get a CofO)  Revisions submitted for review removing the heat from the garage and removing the fire pits 3/29/2019  MR Revisi</t>
  </si>
  <si>
    <t>B18-0003</t>
  </si>
  <si>
    <t>Phase B-hut  interior remodel/change of use</t>
  </si>
  <si>
    <t>B19-0746</t>
  </si>
  <si>
    <t>22-41-16-28-4-16-038</t>
  </si>
  <si>
    <t>B19-0217</t>
  </si>
  <si>
    <t>22-41-16-31-1-06-013</t>
  </si>
  <si>
    <t>B19-0384</t>
  </si>
  <si>
    <t>4 unit condo- Bld 3</t>
  </si>
  <si>
    <t>B19-0391</t>
  </si>
  <si>
    <t>new 4 unit condo Bld #4</t>
  </si>
  <si>
    <t>B19-0392</t>
  </si>
  <si>
    <t>new 4 unit condo Bld 2</t>
  </si>
  <si>
    <t>B21-0045</t>
  </si>
  <si>
    <t>REI - interior remodel-loading dock</t>
  </si>
  <si>
    <t>B20-0160</t>
  </si>
  <si>
    <t>Change SF to a triplex</t>
  </si>
  <si>
    <t>22-41-16-32-4-12-036</t>
  </si>
  <si>
    <t>B18-0301</t>
  </si>
  <si>
    <t>90 unit apartment building</t>
  </si>
  <si>
    <t>B20-0267</t>
  </si>
  <si>
    <t>Vestibule addition</t>
  </si>
  <si>
    <t>addtion and interior alteration</t>
  </si>
  <si>
    <t>B20-0172</t>
  </si>
  <si>
    <t>New car Wash Facility</t>
  </si>
  <si>
    <t>22-41-16-33-1-70-002</t>
  </si>
  <si>
    <t>B19-0590</t>
  </si>
  <si>
    <t>trash enclosure for the grove</t>
  </si>
  <si>
    <t>22-41-16-33-3-00-037</t>
  </si>
  <si>
    <t>B17-0151</t>
  </si>
  <si>
    <t>4-unit condos</t>
  </si>
  <si>
    <t>B17-0158</t>
  </si>
  <si>
    <t>B21-0708</t>
  </si>
  <si>
    <t>22-41-16-33-3-07-015</t>
  </si>
  <si>
    <t>B19-0830</t>
  </si>
  <si>
    <t>B20-0338</t>
  </si>
  <si>
    <t>B18-0442</t>
  </si>
  <si>
    <t>22-41-16-34-1-02-006</t>
  </si>
  <si>
    <t>B19-0562</t>
  </si>
  <si>
    <t>addition-alteration of existing home</t>
  </si>
  <si>
    <t>22-41-16-34-1-05-002</t>
  </si>
  <si>
    <t>B19-0593</t>
  </si>
  <si>
    <t>22-41-16-34-1-17-005</t>
  </si>
  <si>
    <t>B20-0272</t>
  </si>
  <si>
    <t>Garage with an ARU above</t>
  </si>
  <si>
    <t>22-41-16-34-1-20-012</t>
  </si>
  <si>
    <t>B19-0906</t>
  </si>
  <si>
    <t>22-41-16-34-1-21-002</t>
  </si>
  <si>
    <t>B19-0060</t>
  </si>
  <si>
    <t>22-41-16-34-1-21-024</t>
  </si>
  <si>
    <t>B19-0360</t>
  </si>
  <si>
    <t>B19-0359</t>
  </si>
  <si>
    <t>B17-0094</t>
  </si>
  <si>
    <t>NSF-detached accessory with garage</t>
  </si>
  <si>
    <t>22-41-16-34-1-30-010.01</t>
  </si>
  <si>
    <t>B18-0628</t>
  </si>
  <si>
    <t>detached ARU with garage</t>
  </si>
  <si>
    <t>B18-0850</t>
  </si>
  <si>
    <t>B20-0551</t>
  </si>
  <si>
    <t>convert basement to ARU</t>
  </si>
  <si>
    <t>B17-0575</t>
  </si>
  <si>
    <t>B19-0533</t>
  </si>
  <si>
    <t>B19-0541</t>
  </si>
  <si>
    <t>8 unit apartment</t>
  </si>
  <si>
    <t>B19-0710</t>
  </si>
  <si>
    <t>enclosing existing porch to make a mudroom</t>
  </si>
  <si>
    <t>22-41-16-34-2-57-001</t>
  </si>
  <si>
    <t>B19-0333</t>
  </si>
  <si>
    <t>B19-0218</t>
  </si>
  <si>
    <t>Alteration to existing home</t>
  </si>
  <si>
    <t>22-41-16-35-3-01-005</t>
  </si>
  <si>
    <t>B20-0742</t>
  </si>
  <si>
    <t>Addition of attached garage and ARU</t>
  </si>
  <si>
    <t>22-41-16-35-3-04-001</t>
  </si>
  <si>
    <t>B20-0248</t>
  </si>
  <si>
    <t>22-41-16-35-3-06-002</t>
  </si>
  <si>
    <t>B20-0219</t>
  </si>
  <si>
    <t>BDR2020-0001</t>
  </si>
  <si>
    <t>SFD 3536.36 sqft habitable 882.10 sqft non-habitable</t>
  </si>
  <si>
    <t>22-41-17-01-4-06-004</t>
  </si>
  <si>
    <t>BDR2020-0187</t>
  </si>
  <si>
    <t>Addition 436 sqft habitable Remodel 872 sqft habitable</t>
  </si>
  <si>
    <t>BDR2021-0071</t>
  </si>
  <si>
    <t>New Garage 704 sqft non-habitable</t>
  </si>
  <si>
    <t>22-41-17-12-1-02-008</t>
  </si>
  <si>
    <t>BDR2019-0068</t>
  </si>
  <si>
    <t>SFD 7911 sqft habitable 2335 sqft non-habitable 1648 sqft deck/porch</t>
  </si>
  <si>
    <t>22-41-17-12-1-02-009</t>
  </si>
  <si>
    <t>BDR2019-0120</t>
  </si>
  <si>
    <t>Addition of 395 sqft habitable and an ARU 989 sqft  habitable</t>
  </si>
  <si>
    <t>22-41-17-12-2-09-007</t>
  </si>
  <si>
    <t>BDR2020-0041</t>
  </si>
  <si>
    <t>1018 sqft habitable 2445 sqft non-habitable 126sqft decks</t>
  </si>
  <si>
    <t>22-41-17-12-3-00-027</t>
  </si>
  <si>
    <t>BDR2020-0014</t>
  </si>
  <si>
    <t>ARU 600 sqft habitalbe 900 sqft non- Contractor changed to owner/builder per email from owner.  5/19/2020 MR Revisions submitted for review removing heated slab in garage and changing some interior structure.  8/13/2020  MR</t>
  </si>
  <si>
    <t>BDR2020-0143</t>
  </si>
  <si>
    <t>Addition 148sqft Remodel 1984.5sqft</t>
  </si>
  <si>
    <t>22-41-17-14-1-06-002</t>
  </si>
  <si>
    <t>BDR2020-0104</t>
  </si>
  <si>
    <t>ARU 496 sqft habitable  (addition to existing garage)</t>
  </si>
  <si>
    <t>BDR2019-0078</t>
  </si>
  <si>
    <t>Addition 840 sqft habitable</t>
  </si>
  <si>
    <t>BDR2019-0172</t>
  </si>
  <si>
    <t>Addition 70 sqft habitable</t>
  </si>
  <si>
    <t>BDC2020-0015</t>
  </si>
  <si>
    <t>Storage 441 sqft non-habitable</t>
  </si>
  <si>
    <t>BDC2020-0004</t>
  </si>
  <si>
    <t>3708 sqft flight rehab barn</t>
  </si>
  <si>
    <t>BDR2018-0003</t>
  </si>
  <si>
    <t>ARU 483 sq ft habitable</t>
  </si>
  <si>
    <t>BDR2018-0018</t>
  </si>
  <si>
    <t>New ARU 850 sqft habitable 265 sqft non-habitable 256sqft rooftop deck. Unit 2.</t>
  </si>
  <si>
    <t>BDR2018-0019</t>
  </si>
  <si>
    <t>New ARU 850 sqft habitable 265 sqft non-habitable 256sqft rooftop deck. Unit 3.</t>
  </si>
  <si>
    <t>BDR2018-0020</t>
  </si>
  <si>
    <t>New ARU 850 sqft habitable 265 sqft non-habitable 256sqft rooftop deck. Unit 4.</t>
  </si>
  <si>
    <t>BDR2018-0021</t>
  </si>
  <si>
    <t>New ARU 850 sqft habitable 265 sqft non-habitable 256sqft rooftop deck. Unit 5.</t>
  </si>
  <si>
    <t>BDR2018-0022</t>
  </si>
  <si>
    <t>New ARU 850 sqft habitable 265 sqft non-habitable 256sqft rooftop deck. Unit 6.</t>
  </si>
  <si>
    <t>BDR2018-0023</t>
  </si>
  <si>
    <t>New ARU 850 sqft habitable 265 sqft non-habitable 256sqft rooftop deck. Unit 7.</t>
  </si>
  <si>
    <t>BDR2018-0024</t>
  </si>
  <si>
    <t>New ARU 850 sqft habitable 265 sqft non-habitable 256sqft rooftop deck. Unit 8.</t>
  </si>
  <si>
    <t>BDR2018-0025</t>
  </si>
  <si>
    <t>New ARU 850 sqft habitable 265 sqft non-habitable 256sqft rooftop deck. Unit 9.</t>
  </si>
  <si>
    <t>BDR2018-0026</t>
  </si>
  <si>
    <t>New ARU 850 sqft habitable 265 sqft non-habitable 256sqft rooftop deck. Unit 10.</t>
  </si>
  <si>
    <t>BDR2018-0027</t>
  </si>
  <si>
    <t>New ARU 850 sqft habitable 265 sqft non-habitable 256sqft rooftop deck. Unit 11.</t>
  </si>
  <si>
    <t>BDR2018-0028</t>
  </si>
  <si>
    <t>New ARU 850 sqft habitable 265 sqft non-habitable 256sqft rooftop deck. Unit 12.</t>
  </si>
  <si>
    <t>BDC2019-0030</t>
  </si>
  <si>
    <t>Addition 918 sqft habitable 389 sqft non-habitable   Remodel 520 sqft to change it from non-habitable to habitable</t>
  </si>
  <si>
    <t>22-41-17-23-1-06-001</t>
  </si>
  <si>
    <t>BDR2019-0042</t>
  </si>
  <si>
    <t>Remodel 2850sqft addition of 2730sqft habitable and 816sqft non-habitable    Revisions submitted changing the roof to a flat roof. 12/10/2019  MR</t>
  </si>
  <si>
    <t>22-41-17-23-1-09-006</t>
  </si>
  <si>
    <t>BDR2020-0174</t>
  </si>
  <si>
    <t>Garage  900 sqft non-habitable Do Not Issue until setbacks resolved- Chandler 11.9 Revisions submitted 12/23/2020 BN adding 360sqft covered porch/carport</t>
  </si>
  <si>
    <t>BDR2018-0199</t>
  </si>
  <si>
    <t>SFD 3907 sqft habitable 686 sqft non-habitable 776 sqft deck</t>
  </si>
  <si>
    <t>BDR2020-0043</t>
  </si>
  <si>
    <t>576 sqft detached garage (house is BDR2020-0042)</t>
  </si>
  <si>
    <t>22-41-17-27-2-00-027</t>
  </si>
  <si>
    <t>BDR2020-0042</t>
  </si>
  <si>
    <t>New guest house 986sqft habitable 646sqft covered porches</t>
  </si>
  <si>
    <t>BDR2020-0008</t>
  </si>
  <si>
    <t>Barn 2590 sqft non-habitable (main house is BDR2019-0151)</t>
  </si>
  <si>
    <t>BDR2020-0027</t>
  </si>
  <si>
    <t>ARU 1000 sqft habitable 391 sqft non-habitable</t>
  </si>
  <si>
    <t>BDR2019-0105</t>
  </si>
  <si>
    <t>ARU 991 sqft habitable    submitted revisions 9/12/19 BN</t>
  </si>
  <si>
    <t>BDR2018-0087</t>
  </si>
  <si>
    <t>SFD 5972 sqft habitable 1155 sqft non habitable 1269 sqft deck/porch (detached ceramic studio is under BDR2018-0088)</t>
  </si>
  <si>
    <t>22-41-17-34-1-02-001</t>
  </si>
  <si>
    <t>BDR2018-0159</t>
  </si>
  <si>
    <t>ARU 1000 sqft habitable</t>
  </si>
  <si>
    <t>BDR2019-0009</t>
  </si>
  <si>
    <t>SFD 4811 sqft habitable 2141 sqft non-habitable (accessory cabin BDR2019-0013)</t>
  </si>
  <si>
    <t>22-41-17-36-1-01-004</t>
  </si>
  <si>
    <t>BDR2019-0013</t>
  </si>
  <si>
    <t>accessory cabin 1157 sqft habitable (no bathroom no kitchen)  (Main house is BDR2019-0009)</t>
  </si>
  <si>
    <t>BDR2019-0017</t>
  </si>
  <si>
    <t>New Barn 3024 sqft non-habitable</t>
  </si>
  <si>
    <t>BDR2018-0083</t>
  </si>
  <si>
    <t>Addition 835 sqft habitable 466 sqft non-habitable 60.1 sqft deck Remodel 2158 sqft habitable 428 sqft non-habitable</t>
  </si>
  <si>
    <t>22-42-16-02-3-03-003</t>
  </si>
  <si>
    <t>BDR2020-0101</t>
  </si>
  <si>
    <t>New garage 1080sqft</t>
  </si>
  <si>
    <t>BDR2020-0075</t>
  </si>
  <si>
    <t>Addition 1682 sqft habitable 112 sqft deck Remodel 1769 sqft habitable</t>
  </si>
  <si>
    <t>BDR2018-0200</t>
  </si>
  <si>
    <t>SFD 5820 sqft habitable 1324 sqft non-habitable 241 sqft deck</t>
  </si>
  <si>
    <t>22-42-16-10-3-10-001</t>
  </si>
  <si>
    <t>BDR2019-0117</t>
  </si>
  <si>
    <t>SFD 5936 sqft habitable 972 sqft non-habitable  2174 sqft deck</t>
  </si>
  <si>
    <t>22-42-16-10-4-10-008</t>
  </si>
  <si>
    <t>BDR2019-0115</t>
  </si>
  <si>
    <t>SFD 5085 sqft habitable 1497 sqft non-habitable 1050 sqft deck</t>
  </si>
  <si>
    <t>22-42-16-10-4-11-009</t>
  </si>
  <si>
    <t>BDR2021-0143</t>
  </si>
  <si>
    <t>SFD 7949 sqft habitable 925 sqft non-habitable   Revisions submitted for review changing the location of a portion of the residence at the request of the HOA 10/11/2021  MR</t>
  </si>
  <si>
    <t>22-42-16-15-2-06-004</t>
  </si>
  <si>
    <t>BDR2020-0009</t>
  </si>
  <si>
    <t>SFD 5277 sqft habitable 1134 sqft non-habitable 864 sqft deck</t>
  </si>
  <si>
    <t>22-42-16-15-2-07-003</t>
  </si>
  <si>
    <t>BDR2020-0109</t>
  </si>
  <si>
    <t>ARU 646 sqft habitable 350 sqft non-habitable 166 sqft deck</t>
  </si>
  <si>
    <t>BDR2020-0136</t>
  </si>
  <si>
    <t>Garage 800 sqft non-habitable</t>
  </si>
  <si>
    <t>22-42-16-22-3-00-029</t>
  </si>
  <si>
    <t>BDR2019-0119</t>
  </si>
  <si>
    <t>SFD 5278 sqft habitable 1654 sqft non-habitable    Granted extention will bring in a redesign. 1/30/2020 BN</t>
  </si>
  <si>
    <t>22-42-16-27-4-12-034</t>
  </si>
  <si>
    <t>BDR2019-0150</t>
  </si>
  <si>
    <t>SFD 4369 sqft habitable 1090 sqft non-habitable 993 sqft deck    Revisions submitted for review moving one exterior wall.  2/3/2020  MR</t>
  </si>
  <si>
    <t>BDR2019-0125</t>
  </si>
  <si>
    <t>Addition 157 sqft habitable</t>
  </si>
  <si>
    <t>BDR2020-0006</t>
  </si>
  <si>
    <t>Addition 769 sqft habitable  Remodel 2299 sqft habitable</t>
  </si>
  <si>
    <t>22-42-16-34-2-03-018</t>
  </si>
  <si>
    <t>BDR2018-0043</t>
  </si>
  <si>
    <t>SFD 8731 sqft habitable 1209 non-habitable 953 sqft deck/porch</t>
  </si>
  <si>
    <t>22-42-17-24-1-01-015</t>
  </si>
  <si>
    <t>BDR2018-0004</t>
  </si>
  <si>
    <t>New SFD 8790 sqft habitable 4060 sqft non-habitable</t>
  </si>
  <si>
    <t>BDR2020-0003</t>
  </si>
  <si>
    <t>Addition 490 sqft haitable  Remodel 1300 sqft habitable</t>
  </si>
  <si>
    <t>22-42-17-24-3-10-016</t>
  </si>
  <si>
    <t>BDR2018-0057</t>
  </si>
  <si>
    <t>LODGE 6 SFD 4074 sqft habitable 637 sqft non-habitable 541 sqft covered porch</t>
  </si>
  <si>
    <t>BDR2019-0167</t>
  </si>
  <si>
    <t>Addition 787 sqft habitable  Remodel 2640 sqft habitable</t>
  </si>
  <si>
    <t>BDR2019-0097</t>
  </si>
  <si>
    <t>SFD 7899.21 sqft habitable 1437.99 sqft non-habitable</t>
  </si>
  <si>
    <t>22-42-17-25-2-02-005</t>
  </si>
  <si>
    <t>BDR2021-0049</t>
  </si>
  <si>
    <t>New SFD 7130sqft habitable 1296sqft non-habitable 643sqft decks/porches</t>
  </si>
  <si>
    <t>22-42-17-25-2-02-022</t>
  </si>
  <si>
    <t>BDR2019-0046</t>
  </si>
  <si>
    <t>ARU 1000 sqft habitable 625 sqft non-habitable</t>
  </si>
  <si>
    <t>BDR2018-0075</t>
  </si>
  <si>
    <t>SFD 2826 sqft habitable 838 sqft non-habitable</t>
  </si>
  <si>
    <t>22-44-18-05-2-01-001</t>
  </si>
  <si>
    <t>BDR2019-0118</t>
  </si>
  <si>
    <t>SFD 4537 sqft habitable 975 sqft non-habitable 729 sqft deck</t>
  </si>
  <si>
    <t>22-44-18-17-2-02-001</t>
  </si>
  <si>
    <t>BDR2020-0201</t>
  </si>
  <si>
    <t>SFD 2830 sqft habitable 863 sqft non-habitable 886 sqft deck</t>
  </si>
  <si>
    <t>22-44-18-17-2-02-003</t>
  </si>
  <si>
    <t>BDR2020-0107</t>
  </si>
  <si>
    <t>Garage 1024 sqft non-habitable 96 sqft deck</t>
  </si>
  <si>
    <t>BDR2019-0087</t>
  </si>
  <si>
    <t>SFD 1650 sqft habitable 927 sqft non-habitable</t>
  </si>
  <si>
    <t>22-44-18-17-4-05-007</t>
  </si>
  <si>
    <t>BDR2019-0153</t>
  </si>
  <si>
    <t>SFD 3311 sqft habitable 602 sqft non-habitable 180 sqft deck</t>
  </si>
  <si>
    <t>22-44-18-19-1-06-001</t>
  </si>
  <si>
    <t>BDR2019-0109</t>
  </si>
  <si>
    <t>SFD 2299 sqft habitable 765 sqft non-habitable</t>
  </si>
  <si>
    <t>22-44-18-19-4-06-001</t>
  </si>
  <si>
    <t>BDR2018-0201</t>
  </si>
  <si>
    <t>Remodel 1045 sqft habitable   Addition of 1103 sqft habitable and 387 sqft non-habitable</t>
  </si>
  <si>
    <t>22-44-18-19-4-06-002</t>
  </si>
  <si>
    <t>BDR2019-0026</t>
  </si>
  <si>
    <t>SFD 4172 sqft habitable 792 sqft non-habitable  616 sqft deck/porch    Revisions reducing snow melt and moving some walls was submitted for review 7/19/2019</t>
  </si>
  <si>
    <t>22-44-18-20-3-09-008</t>
  </si>
  <si>
    <t>BDR2018-0146</t>
  </si>
  <si>
    <t>SFD 6584 sqft habitable   attached garage 1890 sqft sqft non-habitable attached ARU 816 sqft habitable</t>
  </si>
  <si>
    <t>22-44-18-20-3-10-008</t>
  </si>
  <si>
    <t>BDR2020-0032</t>
  </si>
  <si>
    <t>New SFD 2445 sqft habitable 825 sqft non-habitalbe 264 sqft deck</t>
  </si>
  <si>
    <t>22-44-18-32-2-01-008</t>
  </si>
  <si>
    <t>BDR2018-0116</t>
  </si>
  <si>
    <t>SFD 3324 sqft habitable 141sqft non habitable 549 sqft covered patio 883sqft attached garage</t>
  </si>
  <si>
    <t>22-44-18-32-3-00-009</t>
  </si>
  <si>
    <t>BDR2020-0039</t>
  </si>
  <si>
    <t>New SFD 2367sqft habitable 1359 9sqft non-habitable 132sqft decks</t>
  </si>
  <si>
    <t>22-45-12-21-2-01-001</t>
  </si>
  <si>
    <t>22-41-16-27-3-14-002</t>
  </si>
  <si>
    <t>2018?</t>
  </si>
  <si>
    <t>22-41-16-28-4-03-009</t>
  </si>
  <si>
    <t>22-41-16-28-4-03-011</t>
  </si>
  <si>
    <t>See BuildingPermits sheet: data in this data table auto populates from that data sheet</t>
  </si>
  <si>
    <t xml:space="preserve">From building permit and planning databases. </t>
  </si>
  <si>
    <t>Early in the dataset building permit and net use change issues were not very refined.</t>
  </si>
  <si>
    <t>Best data is from 2017 and later when the net impact of each permit, including any demolition was verified against aerial photography</t>
  </si>
  <si>
    <t>Building Permit Dataset</t>
  </si>
  <si>
    <t>ResUnits</t>
  </si>
  <si>
    <t>See Growth by Use notes above, same data source</t>
  </si>
  <si>
    <t>Building department databases</t>
  </si>
  <si>
    <t>New = new building</t>
  </si>
  <si>
    <t>Redev = new building on the site of a building that was demolished, list the ID# from the existing development GIS files for the buildings demolished and add a demo record for each. For square footage by use, enter the gross information for the new building, the negatives for the demo in the demo record, and allow the net difference to be calculated in the datasheet</t>
  </si>
  <si>
    <t>Demo = a builidng demolished, the floor area/units should be negatives and match the indicated record from the existing development GIS file, use aerial photography to identify demos if not indicated in the Smart Gov records, let the final be the year of the new building if there is one</t>
  </si>
  <si>
    <t>Mod = an addition, remodel, or change of use. For these enter the ID# of the existing building being updated and only enter the net addtion, change of use. If it is a remodel with no net change enter the remodel sf under the PLNG_Remodeled FA column</t>
  </si>
  <si>
    <t xml:space="preserve">Use the SmartGov data, building permit applications, aerial photos and existing development GIS files to fill out the NetType, Ex_Bldg, and sf/units by use columns. Do as much as possible quickly by querry of vacant PIDNs and PIDNs with only 1 existing building, then explore the less obvious permits in more detail. </t>
  </si>
  <si>
    <t>Move = a building that is being moved from one location to another</t>
  </si>
  <si>
    <t>Run a report of SmartGov for all building permits submitted in the past year. Pull as many of the columns as possible (as of 2023 there are not saved reports, because SmartGov was too new in Jan 2023, but once the best fields are identified report should be saved). Paste these into a working file while you make sure you code the data in Step 2</t>
  </si>
  <si>
    <t xml:space="preserve">Paste the coded data into this sheet. </t>
  </si>
  <si>
    <t>Run a report of all of the permits that were issued, finaled, withdrawn, or expired in the past year. Use this report to update null date fields in this table. If something was already finaled and got finalled again don't update the final date.</t>
  </si>
  <si>
    <t>Copy all records finaled in the past year into a separate file and use it to create an update existing development GIS file</t>
  </si>
  <si>
    <t>The estimate does not include an estimate of backcountry campers in BTNF or CTNF (although BTNF began estimating dispersed campers in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</si>
</sst>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0.0"/>
    <numFmt numFmtId="166" formatCode="_(&quot;$&quot;* #,##0_);_(&quot;$&quot;* \(#,##0\);_(&quot;$&quot;* &quot;-&quot;??_);_(@_)"/>
    <numFmt numFmtId="167" formatCode="0.000"/>
    <numFmt numFmtId="168" formatCode="_(* #,##0_);_(* \(#,##0\);_(* &quot;-&quot;??_);_(@_)"/>
    <numFmt numFmtId="169" formatCode="#,##0.00000"/>
    <numFmt numFmtId="170" formatCode="&quot;$&quot;#,##0"/>
  </numFmts>
  <fonts count="42" x14ac:knownFonts="1">
    <font>
      <sz val="11"/>
      <color theme="1"/>
      <name val="Calibri"/>
      <family val="2"/>
      <scheme val="minor"/>
    </font>
    <font>
      <sz val="11"/>
      <color theme="1"/>
      <name val="Calibri"/>
      <family val="2"/>
      <scheme val="minor"/>
    </font>
    <font>
      <b/>
      <sz val="11"/>
      <color theme="1"/>
      <name val="Calibri"/>
      <family val="2"/>
      <scheme val="minor"/>
    </font>
    <font>
      <sz val="16"/>
      <name val="Century Gothic"/>
      <family val="2"/>
    </font>
    <font>
      <sz val="11"/>
      <name val="Calibri"/>
      <family val="2"/>
      <scheme val="minor"/>
    </font>
    <font>
      <sz val="11"/>
      <color rgb="FFC00000"/>
      <name val="Calibri"/>
      <family val="2"/>
      <scheme val="minor"/>
    </font>
    <font>
      <sz val="11"/>
      <color theme="1" tint="0.34998626667073579"/>
      <name val="Calibri"/>
      <family val="2"/>
      <scheme val="minor"/>
    </font>
    <font>
      <sz val="10"/>
      <color indexed="8"/>
      <name val="Arial"/>
      <family val="2"/>
    </font>
    <font>
      <sz val="11"/>
      <color indexed="8"/>
      <name val="Calibri"/>
      <family val="2"/>
      <scheme val="minor"/>
    </font>
    <font>
      <sz val="11"/>
      <color rgb="FF000000"/>
      <name val="Calibri"/>
      <family val="2"/>
      <scheme val="minor"/>
    </font>
    <font>
      <sz val="12"/>
      <color rgb="FFC00000"/>
      <name val="Century Gothic"/>
      <family val="2"/>
    </font>
    <font>
      <b/>
      <sz val="11"/>
      <color rgb="FFC00000"/>
      <name val="Calibri"/>
      <family val="2"/>
      <scheme val="minor"/>
    </font>
    <font>
      <b/>
      <sz val="11"/>
      <name val="Calibri"/>
      <family val="2"/>
      <scheme val="minor"/>
    </font>
    <font>
      <u/>
      <sz val="11"/>
      <color theme="10"/>
      <name val="Calibri"/>
      <family val="2"/>
      <scheme val="minor"/>
    </font>
    <font>
      <u/>
      <sz val="11"/>
      <name val="Calibri"/>
      <family val="2"/>
      <scheme val="minor"/>
    </font>
    <font>
      <sz val="10"/>
      <name val="Arial"/>
      <family val="2"/>
    </font>
    <font>
      <sz val="11"/>
      <color rgb="FF9C5700"/>
      <name val="Calibri"/>
      <family val="2"/>
      <scheme val="minor"/>
    </font>
    <font>
      <sz val="12"/>
      <color theme="9" tint="-0.249977111117893"/>
      <name val="Century Gothic"/>
      <family val="2"/>
    </font>
    <font>
      <sz val="12"/>
      <color theme="5" tint="-0.249977111117893"/>
      <name val="Century Gothic"/>
      <family val="2"/>
    </font>
    <font>
      <sz val="11"/>
      <color theme="5" tint="-0.249977111117893"/>
      <name val="Calibri"/>
      <family val="2"/>
      <scheme val="minor"/>
    </font>
    <font>
      <sz val="16"/>
      <color rgb="FF9999FF"/>
      <name val="Century Gothic"/>
      <family val="2"/>
    </font>
    <font>
      <sz val="12"/>
      <color theme="4" tint="-0.249977111117893"/>
      <name val="Century Gothic"/>
      <family val="2"/>
    </font>
    <font>
      <sz val="11"/>
      <color theme="9" tint="-0.249977111117893"/>
      <name val="Calibri"/>
      <family val="2"/>
      <scheme val="minor"/>
    </font>
    <font>
      <sz val="11"/>
      <color theme="1" tint="0.499984740745262"/>
      <name val="Calibri"/>
      <family val="2"/>
      <scheme val="minor"/>
    </font>
    <font>
      <b/>
      <sz val="11"/>
      <color theme="1" tint="0.499984740745262"/>
      <name val="Calibri"/>
      <family val="2"/>
      <scheme val="minor"/>
    </font>
    <font>
      <sz val="8"/>
      <name val="Calibri"/>
      <family val="2"/>
      <scheme val="minor"/>
    </font>
    <font>
      <b/>
      <sz val="11"/>
      <color theme="5" tint="-0.249977111117893"/>
      <name val="Calibri"/>
      <family val="2"/>
      <scheme val="minor"/>
    </font>
    <font>
      <sz val="11"/>
      <color rgb="FF006100"/>
      <name val="Calibri"/>
      <family val="2"/>
      <scheme val="minor"/>
    </font>
    <font>
      <sz val="11"/>
      <color rgb="FF9C0006"/>
      <name val="Calibri"/>
      <family val="2"/>
      <scheme val="minor"/>
    </font>
    <font>
      <u/>
      <sz val="11"/>
      <color rgb="FFC00000"/>
      <name val="Calibri"/>
      <family val="2"/>
      <scheme val="minor"/>
    </font>
    <font>
      <i/>
      <sz val="11"/>
      <color theme="1"/>
      <name val="Calibri"/>
      <family val="2"/>
      <scheme val="minor"/>
    </font>
    <font>
      <sz val="11"/>
      <color theme="4" tint="-0.249977111117893"/>
      <name val="Calibri"/>
      <family val="2"/>
      <scheme val="minor"/>
    </font>
    <font>
      <b/>
      <sz val="11"/>
      <color theme="4" tint="-0.249977111117893"/>
      <name val="Calibri"/>
      <family val="2"/>
      <scheme val="minor"/>
    </font>
    <font>
      <sz val="11"/>
      <color theme="1"/>
      <name val="Calibri"/>
      <family val="2"/>
    </font>
    <font>
      <sz val="11"/>
      <color theme="0"/>
      <name val="Calibri"/>
      <family val="2"/>
      <scheme val="minor"/>
    </font>
    <font>
      <sz val="11"/>
      <color rgb="FF9999FF"/>
      <name val="Calibri"/>
      <family val="2"/>
      <scheme val="minor"/>
    </font>
    <font>
      <vertAlign val="subscript"/>
      <sz val="11"/>
      <color theme="9" tint="-0.249977111117893"/>
      <name val="Calibri"/>
      <family val="2"/>
      <scheme val="minor"/>
    </font>
    <font>
      <sz val="11"/>
      <color theme="5" tint="-0.249977111117893"/>
      <name val="Calibri"/>
      <family val="2"/>
    </font>
    <font>
      <sz val="11"/>
      <name val="Calibri"/>
      <family val="2"/>
    </font>
    <font>
      <b/>
      <sz val="11"/>
      <color theme="9" tint="-0.249977111117893"/>
      <name val="Calibri"/>
      <family val="2"/>
      <scheme val="minor"/>
    </font>
    <font>
      <sz val="10"/>
      <name val="Arial"/>
      <family val="2"/>
    </font>
    <font>
      <sz val="8"/>
      <color rgb="FF000000"/>
      <name val="Arial"/>
      <family val="2"/>
    </font>
  </fonts>
  <fills count="19">
    <fill>
      <patternFill patternType="none"/>
    </fill>
    <fill>
      <patternFill patternType="gray125"/>
    </fill>
    <fill>
      <patternFill patternType="solid">
        <fgColor theme="1"/>
        <bgColor indexed="64"/>
      </patternFill>
    </fill>
    <fill>
      <patternFill patternType="solid">
        <fgColor rgb="FFFFFF00"/>
        <bgColor indexed="64"/>
      </patternFill>
    </fill>
    <fill>
      <patternFill patternType="solid">
        <fgColor rgb="FFFFEB9C"/>
      </patternFill>
    </fill>
    <fill>
      <patternFill patternType="solid">
        <fgColor theme="1" tint="0.49998474074526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9"/>
        <bgColor indexed="64"/>
      </patternFill>
    </fill>
    <fill>
      <patternFill patternType="solid">
        <fgColor rgb="FF00B0F0"/>
        <bgColor indexed="64"/>
      </patternFill>
    </fill>
    <fill>
      <patternFill patternType="solid">
        <fgColor rgb="FFC00000"/>
        <bgColor indexed="64"/>
      </patternFill>
    </fill>
    <fill>
      <patternFill patternType="solid">
        <fgColor theme="9" tint="-0.499984740745262"/>
        <bgColor indexed="64"/>
      </patternFill>
    </fill>
    <fill>
      <patternFill patternType="solid">
        <fgColor theme="7" tint="-0.499984740745262"/>
        <bgColor indexed="64"/>
      </patternFill>
    </fill>
    <fill>
      <patternFill patternType="solid">
        <fgColor rgb="FF9999FF"/>
        <bgColor indexed="64"/>
      </patternFill>
    </fill>
    <fill>
      <patternFill patternType="solid">
        <fgColor theme="2"/>
        <bgColor indexed="64"/>
      </patternFill>
    </fill>
    <fill>
      <patternFill patternType="solid">
        <fgColor theme="0"/>
        <bgColor indexed="64"/>
      </patternFill>
    </fill>
  </fills>
  <borders count="20">
    <border>
      <left/>
      <right/>
      <top/>
      <bottom/>
      <diagonal/>
    </border>
    <border>
      <left/>
      <right/>
      <top/>
      <bottom style="medium">
        <color rgb="FFC00000"/>
      </bottom>
      <diagonal/>
    </border>
    <border>
      <left style="thin">
        <color auto="1"/>
      </left>
      <right/>
      <top/>
      <bottom/>
      <diagonal/>
    </border>
    <border>
      <left/>
      <right/>
      <top/>
      <bottom style="double">
        <color rgb="FFC00000"/>
      </bottom>
      <diagonal/>
    </border>
    <border>
      <left/>
      <right/>
      <top/>
      <bottom style="thin">
        <color rgb="FFC00000"/>
      </bottom>
      <diagonal/>
    </border>
    <border>
      <left/>
      <right/>
      <top style="double">
        <color rgb="FFC00000"/>
      </top>
      <bottom/>
      <diagonal/>
    </border>
    <border>
      <left style="thin">
        <color rgb="FFC00000"/>
      </left>
      <right/>
      <top/>
      <bottom/>
      <diagonal/>
    </border>
    <border>
      <left style="thin">
        <color rgb="FFC00000"/>
      </left>
      <right/>
      <top style="double">
        <color rgb="FFC00000"/>
      </top>
      <bottom/>
      <diagonal/>
    </border>
    <border>
      <left/>
      <right/>
      <top/>
      <bottom style="thin">
        <color theme="9" tint="-0.249977111117893"/>
      </bottom>
      <diagonal/>
    </border>
    <border>
      <left/>
      <right/>
      <top style="thin">
        <color theme="9" tint="-0.249977111117893"/>
      </top>
      <bottom style="thin">
        <color theme="9" tint="-0.249977111117893"/>
      </bottom>
      <diagonal/>
    </border>
    <border>
      <left/>
      <right/>
      <top/>
      <bottom style="thin">
        <color theme="5" tint="-0.24994659260841701"/>
      </bottom>
      <diagonal/>
    </border>
    <border>
      <left/>
      <right/>
      <top style="thin">
        <color theme="5" tint="-0.24994659260841701"/>
      </top>
      <bottom style="thin">
        <color theme="5" tint="-0.24994659260841701"/>
      </bottom>
      <diagonal/>
    </border>
    <border>
      <left/>
      <right/>
      <top/>
      <bottom style="double">
        <color theme="5" tint="-0.249977111117893"/>
      </bottom>
      <diagonal/>
    </border>
    <border>
      <left/>
      <right/>
      <top/>
      <bottom style="medium">
        <color theme="9" tint="-0.499984740745262"/>
      </bottom>
      <diagonal/>
    </border>
    <border>
      <left/>
      <right/>
      <top style="thin">
        <color theme="4" tint="-0.24994659260841701"/>
      </top>
      <bottom style="thin">
        <color theme="4" tint="-0.24994659260841701"/>
      </bottom>
      <diagonal/>
    </border>
    <border>
      <left/>
      <right/>
      <top/>
      <bottom style="double">
        <color theme="9" tint="-0.24994659260841701"/>
      </bottom>
      <diagonal/>
    </border>
    <border>
      <left/>
      <right/>
      <top/>
      <bottom style="thin">
        <color theme="4" tint="-0.24994659260841701"/>
      </bottom>
      <diagonal/>
    </border>
    <border>
      <left/>
      <right/>
      <top/>
      <bottom style="double">
        <color theme="4" tint="-0.24994659260841701"/>
      </bottom>
      <diagonal/>
    </border>
    <border>
      <left style="thin">
        <color rgb="FFC00000"/>
      </left>
      <right/>
      <top/>
      <bottom style="double">
        <color rgb="FFC00000"/>
      </bottom>
      <diagonal/>
    </border>
    <border>
      <left/>
      <right/>
      <top style="double">
        <color rgb="FFC00000"/>
      </top>
      <bottom style="double">
        <color rgb="FFC00000"/>
      </bottom>
      <diagonal/>
    </border>
  </borders>
  <cellStyleXfs count="15">
    <xf numFmtId="0" fontId="0" fillId="0" borderId="0"/>
    <xf numFmtId="43" fontId="1" fillId="0" borderId="0" applyFont="0" applyFill="0" applyBorder="0" applyAlignment="0" applyProtection="0"/>
    <xf numFmtId="0" fontId="7" fillId="0" borderId="0"/>
    <xf numFmtId="0" fontId="13" fillId="0" borderId="0" applyNumberFormat="0" applyFill="0" applyBorder="0" applyAlignment="0" applyProtection="0"/>
    <xf numFmtId="0" fontId="15" fillId="0" borderId="0"/>
    <xf numFmtId="0" fontId="15" fillId="0" borderId="0"/>
    <xf numFmtId="44" fontId="1" fillId="0" borderId="0" applyFont="0" applyFill="0" applyBorder="0" applyAlignment="0" applyProtection="0"/>
    <xf numFmtId="9" fontId="1" fillId="0" borderId="0" applyFont="0" applyFill="0" applyBorder="0" applyAlignment="0" applyProtection="0"/>
    <xf numFmtId="0" fontId="16" fillId="4" borderId="0" applyNumberFormat="0" applyBorder="0" applyAlignment="0" applyProtection="0"/>
    <xf numFmtId="0" fontId="15" fillId="0" borderId="0"/>
    <xf numFmtId="0" fontId="27" fillId="9" borderId="0" applyNumberFormat="0" applyBorder="0" applyAlignment="0" applyProtection="0"/>
    <xf numFmtId="0" fontId="28" fillId="10" borderId="0" applyNumberFormat="0" applyBorder="0" applyAlignment="0" applyProtection="0"/>
    <xf numFmtId="0" fontId="40" fillId="0" borderId="0" applyNumberFormat="0" applyFill="0" applyBorder="0" applyAlignment="0" applyProtection="0"/>
    <xf numFmtId="0" fontId="38" fillId="0" borderId="0"/>
    <xf numFmtId="0" fontId="7" fillId="0" borderId="0">
      <alignment vertical="top"/>
    </xf>
  </cellStyleXfs>
  <cellXfs count="285">
    <xf numFmtId="0" fontId="0" fillId="0" borderId="0" xfId="0"/>
    <xf numFmtId="0" fontId="0" fillId="0" borderId="0" xfId="0" applyAlignment="1">
      <alignment horizontal="right"/>
    </xf>
    <xf numFmtId="0" fontId="0" fillId="2" borderId="0" xfId="0" applyFill="1"/>
    <xf numFmtId="0" fontId="0" fillId="2" borderId="0" xfId="0" applyFill="1" applyAlignment="1">
      <alignment horizontal="right"/>
    </xf>
    <xf numFmtId="0" fontId="4" fillId="0" borderId="0" xfId="0" applyFont="1"/>
    <xf numFmtId="0" fontId="3" fillId="0" borderId="1" xfId="0" applyFont="1" applyBorder="1"/>
    <xf numFmtId="0" fontId="4" fillId="0" borderId="1" xfId="0" applyFont="1" applyBorder="1" applyAlignment="1">
      <alignment horizontal="right"/>
    </xf>
    <xf numFmtId="0" fontId="4" fillId="0" borderId="1" xfId="0" applyFont="1" applyBorder="1"/>
    <xf numFmtId="0" fontId="5" fillId="0" borderId="0" xfId="0" applyFont="1"/>
    <xf numFmtId="0" fontId="5" fillId="0" borderId="0" xfId="0" applyFont="1" applyAlignment="1">
      <alignment horizontal="right"/>
    </xf>
    <xf numFmtId="0" fontId="6" fillId="0" borderId="0" xfId="0" applyFont="1"/>
    <xf numFmtId="0" fontId="6" fillId="0" borderId="0" xfId="0" applyFont="1" applyAlignment="1">
      <alignment horizontal="right"/>
    </xf>
    <xf numFmtId="0" fontId="0" fillId="0" borderId="2" xfId="0" applyBorder="1"/>
    <xf numFmtId="0" fontId="0" fillId="0" borderId="0" xfId="0" applyAlignment="1">
      <alignment horizontal="center"/>
    </xf>
    <xf numFmtId="43" fontId="0" fillId="0" borderId="0" xfId="1" applyFont="1"/>
    <xf numFmtId="14" fontId="8" fillId="0" borderId="0" xfId="2" applyNumberFormat="1" applyFont="1" applyAlignment="1">
      <alignment vertical="top"/>
    </xf>
    <xf numFmtId="0" fontId="8" fillId="0" borderId="0" xfId="2" applyFont="1" applyAlignment="1">
      <alignment vertical="top"/>
    </xf>
    <xf numFmtId="43" fontId="8" fillId="0" borderId="0" xfId="1" applyFont="1" applyFill="1" applyBorder="1" applyAlignment="1">
      <alignment vertical="top"/>
    </xf>
    <xf numFmtId="43" fontId="0" fillId="0" borderId="0" xfId="1" applyFont="1" applyFill="1" applyBorder="1"/>
    <xf numFmtId="1" fontId="0" fillId="0" borderId="0" xfId="0" applyNumberFormat="1"/>
    <xf numFmtId="1" fontId="0" fillId="0" borderId="0" xfId="1" applyNumberFormat="1" applyFont="1" applyFill="1" applyBorder="1"/>
    <xf numFmtId="14" fontId="0" fillId="0" borderId="0" xfId="0" applyNumberFormat="1"/>
    <xf numFmtId="0" fontId="9" fillId="0" borderId="0" xfId="0" applyFont="1"/>
    <xf numFmtId="0" fontId="9" fillId="0" borderId="0" xfId="0" applyFont="1" applyAlignment="1">
      <alignment vertical="center"/>
    </xf>
    <xf numFmtId="0" fontId="0" fillId="0" borderId="0" xfId="0" applyAlignment="1">
      <alignment vertical="center"/>
    </xf>
    <xf numFmtId="0" fontId="0" fillId="0" borderId="3" xfId="0" applyBorder="1"/>
    <xf numFmtId="0" fontId="0" fillId="0" borderId="4" xfId="0" applyBorder="1"/>
    <xf numFmtId="0" fontId="0" fillId="0" borderId="4" xfId="0" applyBorder="1" applyAlignment="1">
      <alignment horizontal="right"/>
    </xf>
    <xf numFmtId="0" fontId="10" fillId="0" borderId="4" xfId="0" applyFont="1" applyBorder="1"/>
    <xf numFmtId="0" fontId="2" fillId="0" borderId="0" xfId="0" applyFont="1" applyAlignment="1">
      <alignment horizontal="right"/>
    </xf>
    <xf numFmtId="0" fontId="2" fillId="0" borderId="3" xfId="0" applyFont="1" applyBorder="1" applyAlignment="1">
      <alignment horizontal="right"/>
    </xf>
    <xf numFmtId="0" fontId="0" fillId="0" borderId="6" xfId="0" applyBorder="1"/>
    <xf numFmtId="1" fontId="0" fillId="0" borderId="6" xfId="0" applyNumberFormat="1" applyBorder="1"/>
    <xf numFmtId="0" fontId="4" fillId="0" borderId="6" xfId="0" applyFont="1" applyBorder="1"/>
    <xf numFmtId="0" fontId="4" fillId="0" borderId="0" xfId="0" applyFont="1" applyAlignment="1">
      <alignment horizontal="center" vertical="top"/>
    </xf>
    <xf numFmtId="43" fontId="4" fillId="0" borderId="0" xfId="1" applyFont="1" applyFill="1" applyBorder="1" applyAlignment="1">
      <alignment horizontal="center" vertical="top" wrapText="1"/>
    </xf>
    <xf numFmtId="0" fontId="4" fillId="3" borderId="0" xfId="0" applyFont="1" applyFill="1" applyAlignment="1">
      <alignment horizontal="left" vertical="top"/>
    </xf>
    <xf numFmtId="0" fontId="4" fillId="3" borderId="0" xfId="0" applyFont="1" applyFill="1" applyAlignment="1">
      <alignment horizontal="center" vertical="top"/>
    </xf>
    <xf numFmtId="0" fontId="4" fillId="0" borderId="0" xfId="0" applyFont="1" applyAlignment="1">
      <alignment horizontal="right" vertical="top"/>
    </xf>
    <xf numFmtId="3" fontId="0" fillId="0" borderId="0" xfId="0" applyNumberFormat="1"/>
    <xf numFmtId="20" fontId="0" fillId="0" borderId="0" xfId="0" applyNumberFormat="1" applyAlignment="1">
      <alignment horizontal="center"/>
    </xf>
    <xf numFmtId="3" fontId="6" fillId="0" borderId="0" xfId="0" applyNumberFormat="1" applyFont="1"/>
    <xf numFmtId="3" fontId="5" fillId="0" borderId="0" xfId="0" applyNumberFormat="1" applyFont="1"/>
    <xf numFmtId="0" fontId="14" fillId="0" borderId="0" xfId="3" applyFont="1"/>
    <xf numFmtId="0" fontId="12" fillId="0" borderId="0" xfId="0" applyFont="1" applyAlignment="1">
      <alignment horizontal="right"/>
    </xf>
    <xf numFmtId="0" fontId="4" fillId="3" borderId="0" xfId="0" applyFont="1" applyFill="1" applyAlignment="1">
      <alignment horizontal="left"/>
    </xf>
    <xf numFmtId="0" fontId="2" fillId="0" borderId="0" xfId="0" applyFont="1" applyAlignment="1">
      <alignment horizontal="center" vertical="center" wrapText="1"/>
    </xf>
    <xf numFmtId="0" fontId="0" fillId="0" borderId="0" xfId="0" applyAlignment="1">
      <alignment vertical="center" wrapText="1"/>
    </xf>
    <xf numFmtId="0" fontId="2" fillId="2" borderId="0" xfId="0" applyFont="1" applyFill="1" applyAlignment="1">
      <alignment horizontal="center" vertical="center" wrapText="1"/>
    </xf>
    <xf numFmtId="0" fontId="0" fillId="2" borderId="0" xfId="0" applyFill="1" applyAlignment="1">
      <alignment vertical="center" wrapText="1"/>
    </xf>
    <xf numFmtId="0" fontId="11" fillId="0" borderId="0" xfId="0" applyFont="1" applyAlignment="1">
      <alignment horizontal="center" vertical="center" wrapText="1"/>
    </xf>
    <xf numFmtId="0" fontId="10" fillId="2" borderId="4" xfId="0" applyFont="1" applyFill="1" applyBorder="1"/>
    <xf numFmtId="0" fontId="4" fillId="2" borderId="0" xfId="0" applyFont="1" applyFill="1"/>
    <xf numFmtId="0" fontId="17" fillId="0" borderId="8" xfId="0" applyFont="1" applyBorder="1"/>
    <xf numFmtId="0" fontId="17" fillId="0" borderId="9" xfId="0" applyFont="1" applyBorder="1"/>
    <xf numFmtId="0" fontId="18" fillId="0" borderId="10" xfId="0" applyFont="1" applyBorder="1"/>
    <xf numFmtId="0" fontId="18" fillId="0" borderId="11" xfId="0" applyFont="1" applyBorder="1"/>
    <xf numFmtId="0" fontId="0" fillId="0" borderId="12" xfId="0" applyBorder="1"/>
    <xf numFmtId="0" fontId="2" fillId="0" borderId="12" xfId="0" applyFont="1" applyBorder="1" applyAlignment="1">
      <alignment horizontal="right"/>
    </xf>
    <xf numFmtId="3" fontId="4" fillId="0" borderId="0" xfId="0" applyNumberFormat="1" applyFont="1"/>
    <xf numFmtId="9" fontId="4" fillId="0" borderId="0" xfId="7" applyFont="1"/>
    <xf numFmtId="0" fontId="20" fillId="0" borderId="13" xfId="0" applyFont="1" applyBorder="1"/>
    <xf numFmtId="0" fontId="4" fillId="0" borderId="13" xfId="0" applyFont="1" applyBorder="1" applyAlignment="1">
      <alignment horizontal="right"/>
    </xf>
    <xf numFmtId="0" fontId="4" fillId="0" borderId="13" xfId="0" applyFont="1" applyBorder="1"/>
    <xf numFmtId="0" fontId="0" fillId="5" borderId="0" xfId="0" applyFill="1"/>
    <xf numFmtId="0" fontId="0" fillId="5" borderId="0" xfId="0" applyFill="1" applyAlignment="1">
      <alignment horizontal="right"/>
    </xf>
    <xf numFmtId="0" fontId="4" fillId="5" borderId="0" xfId="0" applyFont="1" applyFill="1"/>
    <xf numFmtId="0" fontId="12" fillId="5" borderId="0" xfId="0" applyFont="1" applyFill="1" applyAlignment="1">
      <alignment horizontal="right"/>
    </xf>
    <xf numFmtId="3" fontId="4" fillId="5" borderId="0" xfId="0" applyNumberFormat="1" applyFont="1" applyFill="1"/>
    <xf numFmtId="3" fontId="4" fillId="0" borderId="0" xfId="7" applyNumberFormat="1" applyFont="1"/>
    <xf numFmtId="0" fontId="21" fillId="0" borderId="14" xfId="0" applyFont="1" applyBorder="1"/>
    <xf numFmtId="0" fontId="0" fillId="0" borderId="15" xfId="0" applyBorder="1"/>
    <xf numFmtId="0" fontId="2" fillId="0" borderId="15" xfId="0" applyFont="1" applyBorder="1" applyAlignment="1">
      <alignment horizontal="right"/>
    </xf>
    <xf numFmtId="0" fontId="4" fillId="0" borderId="0" xfId="7" applyNumberFormat="1" applyFont="1"/>
    <xf numFmtId="3" fontId="22" fillId="0" borderId="0" xfId="0" applyNumberFormat="1" applyFont="1"/>
    <xf numFmtId="3" fontId="12" fillId="0" borderId="0" xfId="0" applyNumberFormat="1" applyFont="1" applyAlignment="1">
      <alignment horizontal="right"/>
    </xf>
    <xf numFmtId="3" fontId="22" fillId="0" borderId="0" xfId="7" applyNumberFormat="1" applyFont="1"/>
    <xf numFmtId="3" fontId="1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23" fillId="0" borderId="0" xfId="0" applyFont="1"/>
    <xf numFmtId="0" fontId="23" fillId="0" borderId="0" xfId="0" applyFont="1" applyAlignment="1">
      <alignment horizontal="right"/>
    </xf>
    <xf numFmtId="3" fontId="23" fillId="0" borderId="0" xfId="0" applyNumberFormat="1" applyFont="1"/>
    <xf numFmtId="3" fontId="24" fillId="0" borderId="0" xfId="0" applyNumberFormat="1" applyFont="1" applyAlignment="1">
      <alignment horizontal="center" vertical="center" wrapText="1"/>
    </xf>
    <xf numFmtId="3" fontId="5" fillId="0" borderId="0" xfId="0" applyNumberFormat="1" applyFont="1" applyAlignment="1">
      <alignment horizontal="center" vertical="center" wrapText="1"/>
    </xf>
    <xf numFmtId="3" fontId="23" fillId="0" borderId="0" xfId="0" applyNumberFormat="1" applyFont="1" applyAlignment="1">
      <alignment horizontal="center" vertical="center" wrapText="1"/>
    </xf>
    <xf numFmtId="9" fontId="0" fillId="0" borderId="0" xfId="0" applyNumberFormat="1"/>
    <xf numFmtId="0" fontId="21" fillId="0" borderId="16" xfId="0" applyFont="1" applyBorder="1"/>
    <xf numFmtId="0" fontId="18" fillId="0" borderId="16" xfId="0" applyFont="1" applyBorder="1"/>
    <xf numFmtId="0" fontId="0" fillId="0" borderId="17" xfId="0" applyBorder="1"/>
    <xf numFmtId="164" fontId="0" fillId="0" borderId="0" xfId="7" applyNumberFormat="1" applyFont="1"/>
    <xf numFmtId="164" fontId="0" fillId="0" borderId="0" xfId="0" applyNumberFormat="1"/>
    <xf numFmtId="0" fontId="19" fillId="0" borderId="0" xfId="0" applyFont="1"/>
    <xf numFmtId="0" fontId="26" fillId="0" borderId="0" xfId="0" applyFont="1" applyAlignment="1">
      <alignment horizontal="right"/>
    </xf>
    <xf numFmtId="3" fontId="19" fillId="0" borderId="0" xfId="7" applyNumberFormat="1" applyFont="1"/>
    <xf numFmtId="0" fontId="4" fillId="0" borderId="0" xfId="0" applyFont="1" applyAlignment="1">
      <alignment horizontal="right"/>
    </xf>
    <xf numFmtId="0" fontId="2" fillId="0" borderId="17" xfId="0" applyFont="1" applyBorder="1" applyAlignment="1">
      <alignment horizontal="right"/>
    </xf>
    <xf numFmtId="3" fontId="4" fillId="5" borderId="0" xfId="7" applyNumberFormat="1" applyFont="1" applyFill="1" applyBorder="1"/>
    <xf numFmtId="4" fontId="4" fillId="0" borderId="0" xfId="7" applyNumberFormat="1" applyFont="1"/>
    <xf numFmtId="164" fontId="4" fillId="0" borderId="0" xfId="7" applyNumberFormat="1" applyFont="1" applyFill="1" applyBorder="1"/>
    <xf numFmtId="165" fontId="0" fillId="0" borderId="0" xfId="0" applyNumberFormat="1"/>
    <xf numFmtId="3" fontId="23" fillId="0" borderId="0" xfId="7" applyNumberFormat="1" applyFont="1"/>
    <xf numFmtId="3" fontId="0" fillId="3" borderId="0" xfId="0" applyNumberFormat="1" applyFill="1"/>
    <xf numFmtId="164" fontId="4" fillId="0" borderId="0" xfId="7" applyNumberFormat="1" applyFont="1"/>
    <xf numFmtId="166" fontId="0" fillId="0" borderId="5" xfId="6" applyNumberFormat="1" applyFont="1" applyBorder="1"/>
    <xf numFmtId="166" fontId="5" fillId="0" borderId="5" xfId="6" applyNumberFormat="1" applyFont="1" applyBorder="1"/>
    <xf numFmtId="166" fontId="0" fillId="0" borderId="0" xfId="6" applyNumberFormat="1" applyFont="1" applyBorder="1"/>
    <xf numFmtId="166" fontId="4" fillId="0" borderId="5" xfId="6" applyNumberFormat="1" applyFont="1" applyBorder="1"/>
    <xf numFmtId="166" fontId="4" fillId="0" borderId="0" xfId="6" applyNumberFormat="1" applyFont="1" applyBorder="1"/>
    <xf numFmtId="0" fontId="4" fillId="0" borderId="5" xfId="0" applyFont="1" applyBorder="1"/>
    <xf numFmtId="0" fontId="12" fillId="0" borderId="5" xfId="0" applyFont="1" applyBorder="1" applyAlignment="1">
      <alignment horizontal="right"/>
    </xf>
    <xf numFmtId="6" fontId="0" fillId="0" borderId="5" xfId="0" applyNumberFormat="1" applyBorder="1"/>
    <xf numFmtId="166" fontId="0" fillId="0" borderId="0" xfId="6" applyNumberFormat="1" applyFont="1"/>
    <xf numFmtId="3" fontId="2" fillId="0" borderId="0" xfId="0" applyNumberFormat="1" applyFont="1" applyAlignment="1">
      <alignment horizontal="right"/>
    </xf>
    <xf numFmtId="3" fontId="24" fillId="0" borderId="0" xfId="0" applyNumberFormat="1" applyFont="1" applyAlignment="1">
      <alignment horizontal="right"/>
    </xf>
    <xf numFmtId="3" fontId="23" fillId="0" borderId="0" xfId="6" applyNumberFormat="1" applyFont="1" applyBorder="1"/>
    <xf numFmtId="3" fontId="0" fillId="0" borderId="0" xfId="6" applyNumberFormat="1" applyFont="1" applyBorder="1"/>
    <xf numFmtId="3" fontId="5" fillId="0" borderId="0" xfId="6" applyNumberFormat="1" applyFont="1" applyBorder="1"/>
    <xf numFmtId="3" fontId="0" fillId="0" borderId="0" xfId="0" applyNumberFormat="1" applyAlignment="1">
      <alignment horizontal="right"/>
    </xf>
    <xf numFmtId="3" fontId="0" fillId="6" borderId="0" xfId="0" applyNumberFormat="1" applyFill="1" applyAlignment="1">
      <alignment horizontal="right"/>
    </xf>
    <xf numFmtId="3" fontId="0" fillId="7" borderId="0" xfId="0" applyNumberFormat="1" applyFill="1" applyAlignment="1">
      <alignment horizontal="right"/>
    </xf>
    <xf numFmtId="0" fontId="0" fillId="7" borderId="0" xfId="0" applyFill="1"/>
    <xf numFmtId="0" fontId="0" fillId="6" borderId="0" xfId="0" applyFill="1"/>
    <xf numFmtId="0" fontId="5" fillId="0" borderId="0" xfId="0" applyFont="1" applyAlignment="1">
      <alignment vertical="center" wrapText="1"/>
    </xf>
    <xf numFmtId="3" fontId="4" fillId="8" borderId="0" xfId="0" applyNumberFormat="1" applyFont="1" applyFill="1"/>
    <xf numFmtId="3" fontId="0" fillId="8" borderId="0" xfId="0" applyNumberFormat="1" applyFill="1" applyAlignment="1">
      <alignment horizontal="right"/>
    </xf>
    <xf numFmtId="0" fontId="0" fillId="8" borderId="0" xfId="0" applyFill="1"/>
    <xf numFmtId="0" fontId="0" fillId="3" borderId="0" xfId="0" applyFill="1"/>
    <xf numFmtId="3" fontId="0" fillId="0" borderId="0" xfId="0" applyNumberFormat="1" applyAlignment="1">
      <alignment vertical="center" wrapText="1"/>
    </xf>
    <xf numFmtId="164" fontId="0" fillId="0" borderId="0" xfId="7" applyNumberFormat="1" applyFont="1" applyBorder="1"/>
    <xf numFmtId="0" fontId="4" fillId="3" borderId="0" xfId="0" applyFont="1" applyFill="1"/>
    <xf numFmtId="167" fontId="4" fillId="0" borderId="0" xfId="7" applyNumberFormat="1" applyFont="1"/>
    <xf numFmtId="0" fontId="4" fillId="0" borderId="0" xfId="8" applyFont="1" applyFill="1"/>
    <xf numFmtId="10" fontId="4" fillId="0" borderId="0" xfId="7" applyNumberFormat="1" applyFont="1"/>
    <xf numFmtId="0" fontId="31" fillId="0" borderId="0" xfId="0" applyFont="1"/>
    <xf numFmtId="0" fontId="32" fillId="0" borderId="0" xfId="0" applyFont="1" applyAlignment="1">
      <alignment horizontal="right"/>
    </xf>
    <xf numFmtId="3" fontId="31" fillId="0" borderId="0" xfId="7" applyNumberFormat="1" applyFont="1"/>
    <xf numFmtId="0" fontId="24" fillId="0" borderId="0" xfId="0" applyFont="1" applyAlignment="1">
      <alignment horizontal="right"/>
    </xf>
    <xf numFmtId="4" fontId="0" fillId="0" borderId="0" xfId="0" applyNumberFormat="1"/>
    <xf numFmtId="164" fontId="23" fillId="0" borderId="0" xfId="7" applyNumberFormat="1" applyFont="1"/>
    <xf numFmtId="4" fontId="23" fillId="0" borderId="0" xfId="0" applyNumberFormat="1" applyFont="1"/>
    <xf numFmtId="164" fontId="23" fillId="0" borderId="0" xfId="7" applyNumberFormat="1" applyFont="1" applyBorder="1"/>
    <xf numFmtId="2" fontId="23" fillId="0" borderId="0" xfId="0" applyNumberFormat="1" applyFont="1"/>
    <xf numFmtId="0" fontId="3" fillId="0" borderId="1" xfId="0" applyFont="1" applyBorder="1" applyAlignment="1">
      <alignment horizontal="center"/>
    </xf>
    <xf numFmtId="0" fontId="10" fillId="0" borderId="4" xfId="0" applyFont="1" applyBorder="1" applyAlignment="1">
      <alignment horizontal="center"/>
    </xf>
    <xf numFmtId="0" fontId="0" fillId="12" borderId="0" xfId="0" applyFill="1"/>
    <xf numFmtId="3" fontId="11" fillId="0" borderId="0" xfId="0" applyNumberFormat="1" applyFont="1" applyAlignment="1">
      <alignment horizontal="right"/>
    </xf>
    <xf numFmtId="3" fontId="0" fillId="0" borderId="0" xfId="6" applyNumberFormat="1" applyFont="1" applyFill="1" applyBorder="1"/>
    <xf numFmtId="3" fontId="5" fillId="0" borderId="0" xfId="6" applyNumberFormat="1" applyFont="1" applyFill="1" applyBorder="1"/>
    <xf numFmtId="3" fontId="4" fillId="0" borderId="0" xfId="6" applyNumberFormat="1" applyFont="1" applyBorder="1"/>
    <xf numFmtId="3" fontId="4" fillId="0" borderId="0" xfId="6" applyNumberFormat="1" applyFont="1" applyFill="1" applyBorder="1"/>
    <xf numFmtId="0" fontId="0" fillId="13" borderId="0" xfId="0" applyFill="1"/>
    <xf numFmtId="3" fontId="4" fillId="13" borderId="0" xfId="7" applyNumberFormat="1" applyFont="1" applyFill="1"/>
    <xf numFmtId="9" fontId="20" fillId="0" borderId="13" xfId="7" applyFont="1" applyBorder="1"/>
    <xf numFmtId="9" fontId="20" fillId="0" borderId="0" xfId="7" applyFont="1" applyBorder="1"/>
    <xf numFmtId="9" fontId="0" fillId="0" borderId="0" xfId="7" applyFont="1"/>
    <xf numFmtId="3" fontId="20" fillId="0" borderId="0" xfId="0" applyNumberFormat="1" applyFont="1"/>
    <xf numFmtId="3" fontId="0" fillId="0" borderId="0" xfId="7" applyNumberFormat="1" applyFont="1"/>
    <xf numFmtId="167" fontId="0" fillId="0" borderId="0" xfId="0" applyNumberFormat="1"/>
    <xf numFmtId="0" fontId="0" fillId="0" borderId="0" xfId="0" applyAlignment="1">
      <alignment vertical="top"/>
    </xf>
    <xf numFmtId="0" fontId="35" fillId="0" borderId="0" xfId="0" applyFont="1"/>
    <xf numFmtId="0" fontId="34" fillId="14" borderId="0" xfId="0" applyFont="1" applyFill="1"/>
    <xf numFmtId="0" fontId="34" fillId="14" borderId="0" xfId="0" applyFont="1" applyFill="1" applyAlignment="1">
      <alignment horizontal="center"/>
    </xf>
    <xf numFmtId="9" fontId="34" fillId="14" borderId="0" xfId="7" applyFont="1" applyFill="1" applyAlignment="1">
      <alignment horizontal="center"/>
    </xf>
    <xf numFmtId="9" fontId="34" fillId="14" borderId="0" xfId="7" applyFont="1" applyFill="1" applyAlignment="1">
      <alignment horizontal="center" wrapText="1"/>
    </xf>
    <xf numFmtId="3" fontId="34" fillId="14" borderId="0" xfId="0" applyNumberFormat="1" applyFont="1" applyFill="1" applyAlignment="1">
      <alignment horizontal="center" wrapText="1"/>
    </xf>
    <xf numFmtId="0" fontId="14" fillId="0" borderId="0" xfId="3" applyFont="1" applyFill="1" applyBorder="1"/>
    <xf numFmtId="3" fontId="5" fillId="0" borderId="0" xfId="0" applyNumberFormat="1" applyFont="1" applyAlignment="1">
      <alignment horizontal="right"/>
    </xf>
    <xf numFmtId="3" fontId="4" fillId="0" borderId="0" xfId="0" applyNumberFormat="1" applyFont="1" applyAlignment="1">
      <alignment vertical="center" wrapText="1"/>
    </xf>
    <xf numFmtId="3" fontId="5" fillId="0" borderId="0" xfId="0" applyNumberFormat="1" applyFont="1" applyAlignment="1">
      <alignment vertical="center" wrapText="1"/>
    </xf>
    <xf numFmtId="2" fontId="23" fillId="0" borderId="0" xfId="7" applyNumberFormat="1" applyFont="1"/>
    <xf numFmtId="0" fontId="23" fillId="0" borderId="0" xfId="7" applyNumberFormat="1" applyFont="1"/>
    <xf numFmtId="164" fontId="23" fillId="10" borderId="0" xfId="11" applyNumberFormat="1" applyFont="1" applyBorder="1"/>
    <xf numFmtId="0" fontId="4" fillId="11" borderId="0" xfId="0" applyFont="1" applyFill="1"/>
    <xf numFmtId="164" fontId="5" fillId="0" borderId="0" xfId="7" applyNumberFormat="1" applyFont="1"/>
    <xf numFmtId="3" fontId="23" fillId="0" borderId="0" xfId="7" applyNumberFormat="1" applyFont="1" applyBorder="1"/>
    <xf numFmtId="0" fontId="23" fillId="3" borderId="0" xfId="0" applyFont="1" applyFill="1"/>
    <xf numFmtId="2" fontId="4" fillId="0" borderId="0" xfId="0" applyNumberFormat="1" applyFont="1"/>
    <xf numFmtId="0" fontId="0" fillId="11" borderId="0" xfId="0" applyFill="1"/>
    <xf numFmtId="4" fontId="4" fillId="0" borderId="0" xfId="0" applyNumberFormat="1" applyFont="1"/>
    <xf numFmtId="0" fontId="17" fillId="0" borderId="0" xfId="0" applyFont="1"/>
    <xf numFmtId="3" fontId="4" fillId="11" borderId="0" xfId="7" applyNumberFormat="1" applyFont="1" applyFill="1"/>
    <xf numFmtId="0" fontId="4" fillId="13" borderId="0" xfId="0" applyFont="1" applyFill="1"/>
    <xf numFmtId="0" fontId="0" fillId="15" borderId="0" xfId="0" applyFill="1"/>
    <xf numFmtId="0" fontId="4" fillId="15" borderId="0" xfId="0" applyFont="1" applyFill="1"/>
    <xf numFmtId="0" fontId="12" fillId="15" borderId="0" xfId="0" applyFont="1" applyFill="1" applyAlignment="1">
      <alignment horizontal="right"/>
    </xf>
    <xf numFmtId="0" fontId="4" fillId="15" borderId="0" xfId="7" applyNumberFormat="1" applyFont="1" applyFill="1"/>
    <xf numFmtId="3" fontId="4" fillId="15" borderId="0" xfId="7" applyNumberFormat="1" applyFont="1" applyFill="1"/>
    <xf numFmtId="9" fontId="23" fillId="0" borderId="0" xfId="7" applyFont="1"/>
    <xf numFmtId="10" fontId="23" fillId="0" borderId="0" xfId="7" applyNumberFormat="1" applyFont="1"/>
    <xf numFmtId="0" fontId="23" fillId="11" borderId="0" xfId="0" applyFont="1" applyFill="1"/>
    <xf numFmtId="0" fontId="34" fillId="16" borderId="0" xfId="0" applyFont="1" applyFill="1"/>
    <xf numFmtId="9" fontId="34" fillId="16" borderId="0" xfId="7" applyFont="1" applyFill="1"/>
    <xf numFmtId="9" fontId="34" fillId="16" borderId="0" xfId="7" applyFont="1" applyFill="1" applyAlignment="1">
      <alignment wrapText="1"/>
    </xf>
    <xf numFmtId="3" fontId="34" fillId="16" borderId="0" xfId="0" applyNumberFormat="1" applyFont="1" applyFill="1" applyAlignment="1">
      <alignment wrapText="1"/>
    </xf>
    <xf numFmtId="166" fontId="5" fillId="0" borderId="0" xfId="6" applyNumberFormat="1" applyFont="1" applyBorder="1"/>
    <xf numFmtId="0" fontId="4" fillId="0" borderId="0" xfId="11" applyFont="1" applyFill="1"/>
    <xf numFmtId="0" fontId="4" fillId="0" borderId="0" xfId="10" applyFont="1" applyFill="1"/>
    <xf numFmtId="0" fontId="0" fillId="0" borderId="0" xfId="0" applyAlignment="1">
      <alignment horizontal="left"/>
    </xf>
    <xf numFmtId="164" fontId="19" fillId="0" borderId="0" xfId="7" applyNumberFormat="1" applyFont="1"/>
    <xf numFmtId="0" fontId="0" fillId="3" borderId="3" xfId="0" applyFill="1" applyBorder="1"/>
    <xf numFmtId="0" fontId="4" fillId="0" borderId="0" xfId="0" applyFont="1" applyAlignment="1">
      <alignment horizontal="left" vertical="top"/>
    </xf>
    <xf numFmtId="0" fontId="4" fillId="0" borderId="6" xfId="0" applyFont="1" applyBorder="1" applyAlignment="1">
      <alignment horizontal="left"/>
    </xf>
    <xf numFmtId="0" fontId="4" fillId="3" borderId="0" xfId="0" applyFont="1" applyFill="1" applyAlignment="1">
      <alignment horizontal="center" vertical="top" wrapText="1"/>
    </xf>
    <xf numFmtId="0" fontId="4" fillId="3" borderId="0" xfId="0" applyFont="1" applyFill="1" applyAlignment="1">
      <alignment horizontal="right" vertical="top"/>
    </xf>
    <xf numFmtId="43" fontId="4" fillId="3" borderId="0" xfId="1" applyFont="1" applyFill="1" applyBorder="1" applyAlignment="1">
      <alignment horizontal="center" vertical="top" wrapText="1"/>
    </xf>
    <xf numFmtId="0" fontId="4" fillId="3" borderId="6" xfId="0" applyFont="1" applyFill="1" applyBorder="1"/>
    <xf numFmtId="0" fontId="4" fillId="3" borderId="6" xfId="0" applyFont="1" applyFill="1" applyBorder="1" applyAlignment="1">
      <alignment horizontal="center"/>
    </xf>
    <xf numFmtId="3" fontId="39" fillId="0" borderId="0" xfId="0" applyNumberFormat="1" applyFont="1" applyAlignment="1">
      <alignment horizontal="right"/>
    </xf>
    <xf numFmtId="0" fontId="4" fillId="0" borderId="0" xfId="0" applyFont="1" applyAlignment="1">
      <alignment vertical="top"/>
    </xf>
    <xf numFmtId="14" fontId="4" fillId="0" borderId="0" xfId="0" applyNumberFormat="1" applyFont="1" applyAlignment="1">
      <alignment horizontal="right" vertical="top"/>
    </xf>
    <xf numFmtId="3" fontId="12" fillId="0" borderId="0" xfId="0" applyNumberFormat="1" applyFont="1" applyAlignment="1">
      <alignment horizontal="center" vertical="center" wrapText="1"/>
    </xf>
    <xf numFmtId="0" fontId="13" fillId="0" borderId="0" xfId="3"/>
    <xf numFmtId="168" fontId="0" fillId="0" borderId="0" xfId="1" applyNumberFormat="1" applyFont="1"/>
    <xf numFmtId="1" fontId="0" fillId="0" borderId="0" xfId="1" applyNumberFormat="1" applyFont="1"/>
    <xf numFmtId="8" fontId="0" fillId="0" borderId="0" xfId="0" applyNumberFormat="1"/>
    <xf numFmtId="6" fontId="0" fillId="0" borderId="0" xfId="0" applyNumberFormat="1"/>
    <xf numFmtId="164" fontId="4" fillId="3" borderId="0" xfId="7" applyNumberFormat="1" applyFont="1" applyFill="1" applyBorder="1"/>
    <xf numFmtId="3" fontId="1" fillId="0" borderId="0" xfId="6" applyNumberFormat="1" applyFont="1" applyFill="1" applyBorder="1"/>
    <xf numFmtId="168" fontId="0" fillId="0" borderId="0" xfId="0" applyNumberFormat="1"/>
    <xf numFmtId="14" fontId="0" fillId="0" borderId="0" xfId="0" applyNumberFormat="1" applyAlignment="1">
      <alignment horizontal="center"/>
    </xf>
    <xf numFmtId="43" fontId="0" fillId="0" borderId="0" xfId="0" applyNumberFormat="1"/>
    <xf numFmtId="0" fontId="38" fillId="0" borderId="0" xfId="13"/>
    <xf numFmtId="43" fontId="5" fillId="0" borderId="0" xfId="1" applyFont="1"/>
    <xf numFmtId="10" fontId="5" fillId="0" borderId="0" xfId="7" applyNumberFormat="1" applyFont="1"/>
    <xf numFmtId="9" fontId="0" fillId="0" borderId="3" xfId="7" applyFont="1" applyBorder="1"/>
    <xf numFmtId="1" fontId="23" fillId="0" borderId="0" xfId="0" applyNumberFormat="1" applyFont="1"/>
    <xf numFmtId="18" fontId="5" fillId="0" borderId="0" xfId="0" applyNumberFormat="1" applyFont="1"/>
    <xf numFmtId="0" fontId="11" fillId="0" borderId="5" xfId="0" applyFont="1" applyBorder="1" applyAlignment="1">
      <alignment horizontal="center" vertical="top"/>
    </xf>
    <xf numFmtId="168" fontId="0" fillId="8" borderId="0" xfId="1" applyNumberFormat="1" applyFont="1" applyFill="1"/>
    <xf numFmtId="168" fontId="0" fillId="0" borderId="0" xfId="1" applyNumberFormat="1" applyFont="1" applyAlignment="1">
      <alignment vertical="center" wrapText="1"/>
    </xf>
    <xf numFmtId="44" fontId="0" fillId="0" borderId="3" xfId="0" applyNumberFormat="1" applyBorder="1"/>
    <xf numFmtId="3" fontId="41" fillId="0" borderId="0" xfId="0" applyNumberFormat="1" applyFont="1"/>
    <xf numFmtId="3" fontId="16" fillId="4" borderId="0" xfId="8" applyNumberFormat="1"/>
    <xf numFmtId="10" fontId="31" fillId="0" borderId="0" xfId="7" applyNumberFormat="1" applyFont="1"/>
    <xf numFmtId="3" fontId="0" fillId="0" borderId="3" xfId="0" applyNumberFormat="1" applyBorder="1"/>
    <xf numFmtId="9" fontId="0" fillId="0" borderId="0" xfId="7" applyFont="1" applyBorder="1"/>
    <xf numFmtId="44" fontId="0" fillId="0" borderId="0" xfId="0" applyNumberFormat="1"/>
    <xf numFmtId="3" fontId="0" fillId="17" borderId="0" xfId="0" applyNumberFormat="1" applyFill="1"/>
    <xf numFmtId="3" fontId="6" fillId="17" borderId="0" xfId="0" applyNumberFormat="1" applyFont="1" applyFill="1"/>
    <xf numFmtId="3" fontId="5" fillId="17" borderId="0" xfId="0" applyNumberFormat="1" applyFont="1" applyFill="1"/>
    <xf numFmtId="3" fontId="0" fillId="0" borderId="0" xfId="0" applyNumberFormat="1" applyAlignment="1">
      <alignment vertical="center"/>
    </xf>
    <xf numFmtId="1" fontId="0" fillId="0" borderId="0" xfId="0" applyNumberFormat="1" applyAlignment="1">
      <alignment vertical="center" wrapText="1"/>
    </xf>
    <xf numFmtId="3" fontId="28" fillId="10" borderId="0" xfId="11" applyNumberFormat="1"/>
    <xf numFmtId="0" fontId="16" fillId="4" borderId="0" xfId="8"/>
    <xf numFmtId="164" fontId="4" fillId="0" borderId="0" xfId="7" applyNumberFormat="1" applyFont="1" applyFill="1"/>
    <xf numFmtId="0" fontId="5" fillId="0" borderId="5" xfId="0" applyFont="1" applyBorder="1" applyAlignment="1">
      <alignment horizontal="left"/>
    </xf>
    <xf numFmtId="0" fontId="28" fillId="10" borderId="0" xfId="11"/>
    <xf numFmtId="0" fontId="10" fillId="0" borderId="0" xfId="0" applyFont="1"/>
    <xf numFmtId="0" fontId="11" fillId="0" borderId="7" xfId="0" applyFont="1" applyBorder="1"/>
    <xf numFmtId="0" fontId="11" fillId="0" borderId="5" xfId="0" applyFont="1" applyBorder="1"/>
    <xf numFmtId="0" fontId="5" fillId="0" borderId="5" xfId="0" applyFont="1" applyBorder="1"/>
    <xf numFmtId="0" fontId="11" fillId="0" borderId="3" xfId="0" applyFont="1" applyBorder="1" applyAlignment="1">
      <alignment horizontal="center" vertical="top"/>
    </xf>
    <xf numFmtId="0" fontId="5" fillId="0" borderId="18" xfId="0" applyFont="1" applyBorder="1"/>
    <xf numFmtId="0" fontId="5" fillId="0" borderId="3" xfId="0" applyFont="1" applyBorder="1"/>
    <xf numFmtId="169" fontId="4" fillId="0" borderId="0" xfId="0" applyNumberFormat="1" applyFont="1"/>
    <xf numFmtId="166" fontId="4" fillId="3" borderId="0" xfId="6" applyNumberFormat="1" applyFont="1" applyFill="1" applyBorder="1"/>
    <xf numFmtId="4" fontId="23" fillId="0" borderId="0" xfId="7" applyNumberFormat="1" applyFont="1"/>
    <xf numFmtId="3" fontId="27" fillId="9" borderId="0" xfId="10" applyNumberFormat="1" applyBorder="1"/>
    <xf numFmtId="3" fontId="16" fillId="4" borderId="0" xfId="8" applyNumberFormat="1" applyBorder="1"/>
    <xf numFmtId="0" fontId="28" fillId="0" borderId="0" xfId="11" applyFill="1"/>
    <xf numFmtId="0" fontId="27" fillId="0" borderId="0" xfId="10" applyFill="1"/>
    <xf numFmtId="0" fontId="16" fillId="0" borderId="0" xfId="8" applyFill="1"/>
    <xf numFmtId="170" fontId="0" fillId="0" borderId="0" xfId="0" applyNumberFormat="1"/>
    <xf numFmtId="0" fontId="13" fillId="0" borderId="0" xfId="3" applyFill="1"/>
    <xf numFmtId="0" fontId="11" fillId="0" borderId="19" xfId="0" applyFont="1" applyBorder="1"/>
    <xf numFmtId="14" fontId="11" fillId="0" borderId="19" xfId="0" applyNumberFormat="1" applyFont="1" applyBorder="1"/>
    <xf numFmtId="170" fontId="11" fillId="0" borderId="19" xfId="0" applyNumberFormat="1" applyFont="1" applyBorder="1"/>
    <xf numFmtId="14" fontId="4" fillId="0" borderId="5" xfId="0" applyNumberFormat="1" applyFont="1" applyBorder="1"/>
    <xf numFmtId="170" fontId="4" fillId="0" borderId="5" xfId="0" applyNumberFormat="1" applyFont="1" applyBorder="1"/>
    <xf numFmtId="14" fontId="4" fillId="0" borderId="0" xfId="0" applyNumberFormat="1" applyFont="1"/>
    <xf numFmtId="170" fontId="4" fillId="0" borderId="0" xfId="0" applyNumberFormat="1" applyFont="1"/>
    <xf numFmtId="0" fontId="4" fillId="0" borderId="3" xfId="0" applyFont="1" applyBorder="1"/>
    <xf numFmtId="14" fontId="4" fillId="0" borderId="3" xfId="0" applyNumberFormat="1" applyFont="1" applyBorder="1"/>
    <xf numFmtId="170" fontId="4" fillId="0" borderId="3" xfId="0" applyNumberFormat="1" applyFont="1" applyBorder="1"/>
    <xf numFmtId="0" fontId="4" fillId="0" borderId="0" xfId="3" applyFont="1" applyFill="1" applyBorder="1"/>
    <xf numFmtId="0" fontId="23" fillId="18" borderId="0" xfId="0" applyFont="1" applyFill="1"/>
    <xf numFmtId="0" fontId="11" fillId="0" borderId="5" xfId="0" applyFont="1" applyBorder="1" applyAlignment="1">
      <alignment horizontal="center" vertical="top"/>
    </xf>
    <xf numFmtId="0" fontId="11" fillId="0" borderId="3" xfId="0" applyFont="1" applyBorder="1" applyAlignment="1">
      <alignment horizontal="center" vertical="top"/>
    </xf>
    <xf numFmtId="43" fontId="11" fillId="0" borderId="5" xfId="1" applyFont="1" applyFill="1" applyBorder="1" applyAlignment="1">
      <alignment horizontal="center" vertical="top" wrapText="1"/>
    </xf>
    <xf numFmtId="43" fontId="11" fillId="0" borderId="3" xfId="1" applyFont="1" applyFill="1" applyBorder="1" applyAlignment="1">
      <alignment horizontal="center" vertical="top" wrapText="1"/>
    </xf>
    <xf numFmtId="0" fontId="11" fillId="0" borderId="7" xfId="0" applyFont="1" applyBorder="1" applyAlignment="1">
      <alignment horizontal="center"/>
    </xf>
    <xf numFmtId="0" fontId="11" fillId="0" borderId="18" xfId="0" applyFont="1" applyBorder="1" applyAlignment="1">
      <alignment horizontal="center"/>
    </xf>
    <xf numFmtId="0" fontId="11" fillId="0" borderId="5" xfId="0" applyFont="1" applyBorder="1" applyAlignment="1">
      <alignment horizontal="center" vertical="top" wrapText="1"/>
    </xf>
    <xf numFmtId="0" fontId="11" fillId="0" borderId="3" xfId="0" applyFont="1" applyBorder="1" applyAlignment="1">
      <alignment horizontal="center" vertical="top" wrapText="1"/>
    </xf>
    <xf numFmtId="0" fontId="0" fillId="0" borderId="0" xfId="0" applyAlignment="1">
      <alignment horizontal="left" wrapText="1"/>
    </xf>
  </cellXfs>
  <cellStyles count="15">
    <cellStyle name="Bad" xfId="11" builtinId="27"/>
    <cellStyle name="Comma" xfId="1" builtinId="3"/>
    <cellStyle name="Currency" xfId="6" builtinId="4"/>
    <cellStyle name="Good" xfId="10" builtinId="26"/>
    <cellStyle name="Hyperlink" xfId="3" builtinId="8"/>
    <cellStyle name="Neutral" xfId="8" builtinId="28"/>
    <cellStyle name="Normal" xfId="0" builtinId="0"/>
    <cellStyle name="Normal 2" xfId="4" xr:uid="{2109A397-F9A4-47EA-9288-80DCE4464387}"/>
    <cellStyle name="Normal 3" xfId="12" xr:uid="{616646D4-A730-41B2-B0B6-60F906625B9B}"/>
    <cellStyle name="Normal 4" xfId="9" xr:uid="{6671FB14-4383-47BA-87C2-C5160874461F}"/>
    <cellStyle name="Normal 5" xfId="13" xr:uid="{A1E386FC-C4D2-47FB-9A8E-C4600925C1D2}"/>
    <cellStyle name="Normal 6" xfId="14" xr:uid="{371EACF1-1BA4-4F22-B6AD-54401402585C}"/>
    <cellStyle name="Normal 9" xfId="5" xr:uid="{A1B3E13A-BA90-4F0F-B071-D5264C7DF5C7}"/>
    <cellStyle name="Normal_Sheet3" xfId="2" xr:uid="{554098C8-0E07-4138-9A41-7EA4C6C5BF2B}"/>
    <cellStyle name="Percent" xfId="7" builtinId="5"/>
  </cellStyles>
  <dxfs count="0"/>
  <tableStyles count="0" defaultTableStyle="TableStyleMedium2" defaultPivotStyle="PivotStyleLight16"/>
  <colors>
    <mruColors>
      <color rgb="FFEE00EE"/>
      <color rgb="FF9999FF"/>
      <color rgb="FFFF6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Location of Actual Growth</a:t>
            </a:r>
          </a:p>
        </c:rich>
      </c:tx>
      <c:layout>
        <c:manualLayout>
          <c:xMode val="edge"/>
          <c:yMode val="edge"/>
          <c:x val="3.4596812165797214E-2"/>
          <c:y val="5.074971164936562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57704088054713"/>
          <c:y val="5.0925925925925923E-2"/>
          <c:w val="0.82424622499452227"/>
          <c:h val="0.8416746864975212"/>
        </c:manualLayout>
      </c:layout>
      <c:barChart>
        <c:barDir val="col"/>
        <c:grouping val="percentStacked"/>
        <c:varyColors val="0"/>
        <c:ser>
          <c:idx val="1"/>
          <c:order val="0"/>
          <c:tx>
            <c:strRef>
              <c:f>Indicators!$C$216</c:f>
              <c:strCache>
                <c:ptCount val="1"/>
                <c:pt idx="0">
                  <c:v>Percentage of New Residential Units in Complete Neighborhoods</c:v>
                </c:pt>
              </c:strCache>
            </c:strRef>
          </c:tx>
          <c:spPr>
            <a:solidFill>
              <a:schemeClr val="accent2"/>
            </a:solidFill>
            <a:ln w="19050">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Indicators!$I$216:$AK$216</c:f>
              <c:numCache>
                <c:formatCode>0%</c:formatCode>
                <c:ptCount val="29"/>
                <c:pt idx="0">
                  <c:v>0.54838709677419351</c:v>
                </c:pt>
                <c:pt idx="1">
                  <c:v>0.73796791443850263</c:v>
                </c:pt>
                <c:pt idx="2">
                  <c:v>0.60124610591900307</c:v>
                </c:pt>
                <c:pt idx="3">
                  <c:v>0.51282051282051277</c:v>
                </c:pt>
                <c:pt idx="4">
                  <c:v>0.57587548638132291</c:v>
                </c:pt>
                <c:pt idx="5">
                  <c:v>0.4759036144578313</c:v>
                </c:pt>
                <c:pt idx="6">
                  <c:v>0.51515151515151514</c:v>
                </c:pt>
                <c:pt idx="7">
                  <c:v>0.5524861878453039</c:v>
                </c:pt>
                <c:pt idx="8">
                  <c:v>0.48823529411764705</c:v>
                </c:pt>
                <c:pt idx="9">
                  <c:v>0.39705882352941174</c:v>
                </c:pt>
                <c:pt idx="10">
                  <c:v>0.53030303030303028</c:v>
                </c:pt>
                <c:pt idx="11">
                  <c:v>0.55555555555555558</c:v>
                </c:pt>
                <c:pt idx="12">
                  <c:v>0.56603773584905659</c:v>
                </c:pt>
                <c:pt idx="13">
                  <c:v>0.61417322834645671</c:v>
                </c:pt>
                <c:pt idx="14">
                  <c:v>0.60150375939849621</c:v>
                </c:pt>
                <c:pt idx="15">
                  <c:v>0.37209302325581395</c:v>
                </c:pt>
                <c:pt idx="16">
                  <c:v>0.6954022988505747</c:v>
                </c:pt>
                <c:pt idx="17">
                  <c:v>0.63223140495867769</c:v>
                </c:pt>
                <c:pt idx="18">
                  <c:v>0.76595744680851063</c:v>
                </c:pt>
                <c:pt idx="19">
                  <c:v>0.74678111587982832</c:v>
                </c:pt>
                <c:pt idx="20">
                  <c:v>0.47413793103448276</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782D-4615-AEF6-48E799AC175E}"/>
            </c:ext>
          </c:extLst>
        </c:ser>
        <c:ser>
          <c:idx val="0"/>
          <c:order val="1"/>
          <c:tx>
            <c:strRef>
              <c:f>Indicators!$C$215</c:f>
              <c:strCache>
                <c:ptCount val="1"/>
                <c:pt idx="0">
                  <c:v>Percentage of New Residential Units in Rural Areas</c:v>
                </c:pt>
              </c:strCache>
            </c:strRef>
          </c:tx>
          <c:spPr>
            <a:solidFill>
              <a:schemeClr val="accent6"/>
            </a:solidFill>
            <a:ln w="25400">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Indicators!$I$215:$AK$215</c:f>
              <c:numCache>
                <c:formatCode>0%</c:formatCode>
                <c:ptCount val="29"/>
                <c:pt idx="0">
                  <c:v>0.45161290322580644</c:v>
                </c:pt>
                <c:pt idx="1">
                  <c:v>0.26203208556149732</c:v>
                </c:pt>
                <c:pt idx="2">
                  <c:v>0.39875389408099687</c:v>
                </c:pt>
                <c:pt idx="3">
                  <c:v>0.48717948717948717</c:v>
                </c:pt>
                <c:pt idx="4">
                  <c:v>0.42412451361867703</c:v>
                </c:pt>
                <c:pt idx="5">
                  <c:v>0.52409638554216864</c:v>
                </c:pt>
                <c:pt idx="6">
                  <c:v>0.48484848484848486</c:v>
                </c:pt>
                <c:pt idx="7">
                  <c:v>0.44751381215469616</c:v>
                </c:pt>
                <c:pt idx="8">
                  <c:v>0.5117647058823529</c:v>
                </c:pt>
                <c:pt idx="9">
                  <c:v>0.6029411764705882</c:v>
                </c:pt>
                <c:pt idx="10">
                  <c:v>0.46969696969696972</c:v>
                </c:pt>
                <c:pt idx="11">
                  <c:v>0.44444444444444442</c:v>
                </c:pt>
                <c:pt idx="12">
                  <c:v>0.43396226415094341</c:v>
                </c:pt>
                <c:pt idx="13">
                  <c:v>0.38582677165354329</c:v>
                </c:pt>
                <c:pt idx="14">
                  <c:v>0.39849624060150374</c:v>
                </c:pt>
                <c:pt idx="15">
                  <c:v>0.62790697674418605</c:v>
                </c:pt>
                <c:pt idx="16">
                  <c:v>0.3045977011494253</c:v>
                </c:pt>
                <c:pt idx="17">
                  <c:v>0.36776859504132231</c:v>
                </c:pt>
                <c:pt idx="18">
                  <c:v>0.23404255319148937</c:v>
                </c:pt>
                <c:pt idx="19">
                  <c:v>0.25321888412017168</c:v>
                </c:pt>
                <c:pt idx="20">
                  <c:v>0.52586206896551724</c:v>
                </c:pt>
                <c:pt idx="21">
                  <c:v>1</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782D-4615-AEF6-48E799AC175E}"/>
            </c:ext>
          </c:extLst>
        </c:ser>
        <c:dLbls>
          <c:showLegendKey val="0"/>
          <c:showVal val="0"/>
          <c:showCatName val="0"/>
          <c:showSerName val="0"/>
          <c:showPercent val="0"/>
          <c:showBubbleSize val="0"/>
        </c:dLbls>
        <c:gapWidth val="150"/>
        <c:overlap val="100"/>
        <c:axId val="820790392"/>
        <c:axId val="820794232"/>
      </c:barChart>
      <c:lineChart>
        <c:grouping val="standard"/>
        <c:varyColors val="0"/>
        <c:ser>
          <c:idx val="2"/>
          <c:order val="2"/>
          <c:tx>
            <c:strRef>
              <c:f>Indicators!$C$217</c:f>
              <c:strCache>
                <c:ptCount val="1"/>
                <c:pt idx="0">
                  <c:v>New Residential Units</c:v>
                </c:pt>
              </c:strCache>
            </c:strRef>
          </c:tx>
          <c:spPr>
            <a:ln w="19050" cap="rnd">
              <a:solidFill>
                <a:schemeClr val="accent3"/>
              </a:solidFill>
              <a:prstDash val="sysDot"/>
              <a:round/>
            </a:ln>
            <a:effectLst/>
          </c:spPr>
          <c:marker>
            <c:symbol val="circle"/>
            <c:size val="5"/>
            <c:spPr>
              <a:solidFill>
                <a:schemeClr val="accent3"/>
              </a:solidFill>
              <a:ln w="9525">
                <a:no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Indicators!$I$217:$AK$217</c:f>
              <c:numCache>
                <c:formatCode>#,##0</c:formatCode>
                <c:ptCount val="29"/>
                <c:pt idx="0">
                  <c:v>62</c:v>
                </c:pt>
                <c:pt idx="1">
                  <c:v>187</c:v>
                </c:pt>
                <c:pt idx="2">
                  <c:v>321</c:v>
                </c:pt>
                <c:pt idx="3">
                  <c:v>156</c:v>
                </c:pt>
                <c:pt idx="4">
                  <c:v>257</c:v>
                </c:pt>
                <c:pt idx="5">
                  <c:v>166</c:v>
                </c:pt>
                <c:pt idx="6">
                  <c:v>165</c:v>
                </c:pt>
                <c:pt idx="7">
                  <c:v>181</c:v>
                </c:pt>
                <c:pt idx="8">
                  <c:v>170</c:v>
                </c:pt>
                <c:pt idx="9">
                  <c:v>68</c:v>
                </c:pt>
                <c:pt idx="10">
                  <c:v>66</c:v>
                </c:pt>
                <c:pt idx="11">
                  <c:v>63</c:v>
                </c:pt>
                <c:pt idx="12">
                  <c:v>106</c:v>
                </c:pt>
                <c:pt idx="13">
                  <c:v>127</c:v>
                </c:pt>
                <c:pt idx="14">
                  <c:v>133</c:v>
                </c:pt>
                <c:pt idx="15">
                  <c:v>86</c:v>
                </c:pt>
                <c:pt idx="16">
                  <c:v>174</c:v>
                </c:pt>
                <c:pt idx="17">
                  <c:v>242</c:v>
                </c:pt>
                <c:pt idx="18">
                  <c:v>235</c:v>
                </c:pt>
                <c:pt idx="19">
                  <c:v>233</c:v>
                </c:pt>
                <c:pt idx="20">
                  <c:v>116</c:v>
                </c:pt>
                <c:pt idx="21">
                  <c:v>-1</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3-782D-4615-AEF6-48E799AC175E}"/>
            </c:ext>
          </c:extLst>
        </c:ser>
        <c:dLbls>
          <c:showLegendKey val="0"/>
          <c:showVal val="0"/>
          <c:showCatName val="0"/>
          <c:showSerName val="0"/>
          <c:showPercent val="0"/>
          <c:showBubbleSize val="0"/>
        </c:dLbls>
        <c:marker val="1"/>
        <c:smooth val="0"/>
        <c:axId val="820799672"/>
        <c:axId val="82079711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new residential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valAx>
        <c:axId val="8207971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New residential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9672"/>
        <c:crosses val="max"/>
        <c:crossBetween val="between"/>
      </c:valAx>
      <c:catAx>
        <c:axId val="820799672"/>
        <c:scaling>
          <c:orientation val="minMax"/>
        </c:scaling>
        <c:delete val="1"/>
        <c:axPos val="b"/>
        <c:numFmt formatCode="General" sourceLinked="1"/>
        <c:majorTickMark val="out"/>
        <c:minorTickMark val="none"/>
        <c:tickLblPos val="nextTo"/>
        <c:crossAx val="820797112"/>
        <c:crosses val="autoZero"/>
        <c:auto val="1"/>
        <c:lblAlgn val="ctr"/>
        <c:lblOffset val="100"/>
        <c:noMultiLvlLbl val="0"/>
      </c:catAx>
      <c:spPr>
        <a:noFill/>
        <a:ln>
          <a:noFill/>
        </a:ln>
        <a:effectLst/>
      </c:spPr>
    </c:plotArea>
    <c:legend>
      <c:legendPos val="l"/>
      <c:layout>
        <c:manualLayout>
          <c:xMode val="edge"/>
          <c:yMode val="edge"/>
          <c:x val="2.8781769951935408E-2"/>
          <c:y val="0.20658147835326812"/>
          <c:w val="8.2722563127884854E-2"/>
          <c:h val="0.568687028308312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Jobs by Industry</a:t>
            </a:r>
          </a:p>
        </c:rich>
      </c:tx>
      <c:layout>
        <c:manualLayout>
          <c:xMode val="edge"/>
          <c:yMode val="edge"/>
          <c:x val="8.1616549899766452E-2"/>
          <c:y val="0.14814814814814814"/>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444802041119235"/>
          <c:y val="5.0925925925925923E-2"/>
          <c:w val="0.83048444642343833"/>
          <c:h val="0.8657407407407407"/>
        </c:manualLayout>
      </c:layout>
      <c:barChart>
        <c:barDir val="col"/>
        <c:grouping val="stacked"/>
        <c:varyColors val="0"/>
        <c:ser>
          <c:idx val="0"/>
          <c:order val="0"/>
          <c:tx>
            <c:strRef>
              <c:f>Indicators!$C$879</c:f>
              <c:strCache>
                <c:ptCount val="1"/>
                <c:pt idx="0">
                  <c:v>Farm employment</c:v>
                </c:pt>
              </c:strCache>
            </c:strRef>
          </c:tx>
          <c:spPr>
            <a:solidFill>
              <a:schemeClr val="accent1"/>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Indicators!$I$879:$AK$879</c:f>
              <c:numCache>
                <c:formatCode>#,##0</c:formatCode>
                <c:ptCount val="29"/>
                <c:pt idx="0">
                  <c:v>159</c:v>
                </c:pt>
                <c:pt idx="1">
                  <c:v>153</c:v>
                </c:pt>
                <c:pt idx="2">
                  <c:v>155</c:v>
                </c:pt>
                <c:pt idx="3">
                  <c:v>156</c:v>
                </c:pt>
                <c:pt idx="4">
                  <c:v>156</c:v>
                </c:pt>
                <c:pt idx="5">
                  <c:v>178</c:v>
                </c:pt>
                <c:pt idx="6">
                  <c:v>181</c:v>
                </c:pt>
                <c:pt idx="7">
                  <c:v>177</c:v>
                </c:pt>
                <c:pt idx="8">
                  <c:v>181</c:v>
                </c:pt>
                <c:pt idx="9">
                  <c:v>190</c:v>
                </c:pt>
                <c:pt idx="10">
                  <c:v>193</c:v>
                </c:pt>
                <c:pt idx="11">
                  <c:v>195</c:v>
                </c:pt>
                <c:pt idx="12">
                  <c:v>200</c:v>
                </c:pt>
                <c:pt idx="13">
                  <c:v>212</c:v>
                </c:pt>
                <c:pt idx="14">
                  <c:v>218</c:v>
                </c:pt>
                <c:pt idx="15">
                  <c:v>225</c:v>
                </c:pt>
                <c:pt idx="16">
                  <c:v>217</c:v>
                </c:pt>
                <c:pt idx="17">
                  <c:v>222</c:v>
                </c:pt>
                <c:pt idx="18">
                  <c:v>217</c:v>
                </c:pt>
                <c:pt idx="19">
                  <c:v>213</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828A-4AA5-9E94-4F2ACDDD0680}"/>
            </c:ext>
          </c:extLst>
        </c:ser>
        <c:ser>
          <c:idx val="1"/>
          <c:order val="1"/>
          <c:tx>
            <c:strRef>
              <c:f>Indicators!$C$880</c:f>
              <c:strCache>
                <c:ptCount val="1"/>
                <c:pt idx="0">
                  <c:v>Forestry, fishing, and related activities</c:v>
                </c:pt>
              </c:strCache>
            </c:strRef>
          </c:tx>
          <c:spPr>
            <a:solidFill>
              <a:schemeClr val="accent2"/>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Indicators!$I$880:$AK$880</c:f>
              <c:numCache>
                <c:formatCode>#,##0</c:formatCode>
                <c:ptCount val="29"/>
                <c:pt idx="0">
                  <c:v>0</c:v>
                </c:pt>
                <c:pt idx="1">
                  <c:v>0</c:v>
                </c:pt>
                <c:pt idx="2">
                  <c:v>0</c:v>
                </c:pt>
                <c:pt idx="3">
                  <c:v>106</c:v>
                </c:pt>
                <c:pt idx="4">
                  <c:v>108</c:v>
                </c:pt>
                <c:pt idx="5">
                  <c:v>0</c:v>
                </c:pt>
                <c:pt idx="6">
                  <c:v>125</c:v>
                </c:pt>
                <c:pt idx="7">
                  <c:v>129</c:v>
                </c:pt>
                <c:pt idx="8">
                  <c:v>141</c:v>
                </c:pt>
                <c:pt idx="9">
                  <c:v>0</c:v>
                </c:pt>
                <c:pt idx="10">
                  <c:v>0</c:v>
                </c:pt>
                <c:pt idx="11">
                  <c:v>157</c:v>
                </c:pt>
                <c:pt idx="12">
                  <c:v>0</c:v>
                </c:pt>
                <c:pt idx="13">
                  <c:v>127</c:v>
                </c:pt>
                <c:pt idx="14">
                  <c:v>144</c:v>
                </c:pt>
                <c:pt idx="15">
                  <c:v>144</c:v>
                </c:pt>
                <c:pt idx="16">
                  <c:v>148</c:v>
                </c:pt>
                <c:pt idx="17">
                  <c:v>130</c:v>
                </c:pt>
                <c:pt idx="18">
                  <c:v>145</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828A-4AA5-9E94-4F2ACDDD0680}"/>
            </c:ext>
          </c:extLst>
        </c:ser>
        <c:ser>
          <c:idx val="2"/>
          <c:order val="2"/>
          <c:tx>
            <c:strRef>
              <c:f>Indicators!$C$881</c:f>
              <c:strCache>
                <c:ptCount val="1"/>
                <c:pt idx="0">
                  <c:v>Mining</c:v>
                </c:pt>
              </c:strCache>
            </c:strRef>
          </c:tx>
          <c:spPr>
            <a:solidFill>
              <a:schemeClr val="accent3"/>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Indicators!$I$881:$AK$881</c:f>
              <c:numCache>
                <c:formatCode>#,##0</c:formatCode>
                <c:ptCount val="29"/>
                <c:pt idx="0">
                  <c:v>0</c:v>
                </c:pt>
                <c:pt idx="1">
                  <c:v>0</c:v>
                </c:pt>
                <c:pt idx="2">
                  <c:v>0</c:v>
                </c:pt>
                <c:pt idx="3">
                  <c:v>99</c:v>
                </c:pt>
                <c:pt idx="4">
                  <c:v>154</c:v>
                </c:pt>
                <c:pt idx="5">
                  <c:v>0</c:v>
                </c:pt>
                <c:pt idx="6">
                  <c:v>220</c:v>
                </c:pt>
                <c:pt idx="7">
                  <c:v>189</c:v>
                </c:pt>
                <c:pt idx="8">
                  <c:v>223</c:v>
                </c:pt>
                <c:pt idx="9">
                  <c:v>0</c:v>
                </c:pt>
                <c:pt idx="10">
                  <c:v>0</c:v>
                </c:pt>
                <c:pt idx="11">
                  <c:v>242</c:v>
                </c:pt>
                <c:pt idx="12">
                  <c:v>0</c:v>
                </c:pt>
                <c:pt idx="13">
                  <c:v>234</c:v>
                </c:pt>
                <c:pt idx="14">
                  <c:v>197</c:v>
                </c:pt>
                <c:pt idx="15">
                  <c:v>183</c:v>
                </c:pt>
                <c:pt idx="16">
                  <c:v>149</c:v>
                </c:pt>
                <c:pt idx="17">
                  <c:v>125</c:v>
                </c:pt>
                <c:pt idx="18">
                  <c:v>140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828A-4AA5-9E94-4F2ACDDD0680}"/>
            </c:ext>
          </c:extLst>
        </c:ser>
        <c:ser>
          <c:idx val="3"/>
          <c:order val="3"/>
          <c:tx>
            <c:strRef>
              <c:f>Indicators!$C$882</c:f>
              <c:strCache>
                <c:ptCount val="1"/>
                <c:pt idx="0">
                  <c:v>Utilities</c:v>
                </c:pt>
              </c:strCache>
            </c:strRef>
          </c:tx>
          <c:spPr>
            <a:solidFill>
              <a:schemeClr val="accent4"/>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Indicators!$I$882:$AK$882</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828A-4AA5-9E94-4F2ACDDD0680}"/>
            </c:ext>
          </c:extLst>
        </c:ser>
        <c:ser>
          <c:idx val="4"/>
          <c:order val="4"/>
          <c:tx>
            <c:strRef>
              <c:f>Indicators!$C$883</c:f>
              <c:strCache>
                <c:ptCount val="1"/>
                <c:pt idx="0">
                  <c:v>Construction</c:v>
                </c:pt>
              </c:strCache>
            </c:strRef>
          </c:tx>
          <c:spPr>
            <a:solidFill>
              <a:schemeClr val="accent5"/>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Indicators!$I$883:$AK$883</c:f>
              <c:numCache>
                <c:formatCode>#,##0</c:formatCode>
                <c:ptCount val="29"/>
                <c:pt idx="0">
                  <c:v>3167</c:v>
                </c:pt>
                <c:pt idx="1">
                  <c:v>2826</c:v>
                </c:pt>
                <c:pt idx="2">
                  <c:v>2675</c:v>
                </c:pt>
                <c:pt idx="3">
                  <c:v>2752</c:v>
                </c:pt>
                <c:pt idx="4">
                  <c:v>2948</c:v>
                </c:pt>
                <c:pt idx="5">
                  <c:v>3169</c:v>
                </c:pt>
                <c:pt idx="6">
                  <c:v>3236</c:v>
                </c:pt>
                <c:pt idx="7">
                  <c:v>2748</c:v>
                </c:pt>
                <c:pt idx="8">
                  <c:v>2200</c:v>
                </c:pt>
                <c:pt idx="9">
                  <c:v>2206</c:v>
                </c:pt>
                <c:pt idx="10">
                  <c:v>2321</c:v>
                </c:pt>
                <c:pt idx="11">
                  <c:v>2452</c:v>
                </c:pt>
                <c:pt idx="12">
                  <c:v>2567</c:v>
                </c:pt>
                <c:pt idx="13">
                  <c:v>2672</c:v>
                </c:pt>
                <c:pt idx="14">
                  <c:v>2846</c:v>
                </c:pt>
                <c:pt idx="15">
                  <c:v>2832</c:v>
                </c:pt>
                <c:pt idx="16">
                  <c:v>2789</c:v>
                </c:pt>
                <c:pt idx="17">
                  <c:v>2877</c:v>
                </c:pt>
                <c:pt idx="18">
                  <c:v>3030</c:v>
                </c:pt>
                <c:pt idx="19">
                  <c:v>3185</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4-828A-4AA5-9E94-4F2ACDDD0680}"/>
            </c:ext>
          </c:extLst>
        </c:ser>
        <c:ser>
          <c:idx val="5"/>
          <c:order val="5"/>
          <c:tx>
            <c:strRef>
              <c:f>Indicators!$C$884</c:f>
              <c:strCache>
                <c:ptCount val="1"/>
                <c:pt idx="0">
                  <c:v>Manufacturing</c:v>
                </c:pt>
              </c:strCache>
            </c:strRef>
          </c:tx>
          <c:spPr>
            <a:solidFill>
              <a:schemeClr val="accent6"/>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Indicators!$I$884:$AK$884</c:f>
              <c:numCache>
                <c:formatCode>#,##0</c:formatCode>
                <c:ptCount val="29"/>
                <c:pt idx="0">
                  <c:v>308</c:v>
                </c:pt>
                <c:pt idx="1">
                  <c:v>279</c:v>
                </c:pt>
                <c:pt idx="2">
                  <c:v>260</c:v>
                </c:pt>
                <c:pt idx="3">
                  <c:v>254</c:v>
                </c:pt>
                <c:pt idx="4">
                  <c:v>267</c:v>
                </c:pt>
                <c:pt idx="5">
                  <c:v>240</c:v>
                </c:pt>
                <c:pt idx="6">
                  <c:v>243</c:v>
                </c:pt>
                <c:pt idx="7">
                  <c:v>262</c:v>
                </c:pt>
                <c:pt idx="8">
                  <c:v>257</c:v>
                </c:pt>
                <c:pt idx="9">
                  <c:v>286</c:v>
                </c:pt>
                <c:pt idx="10">
                  <c:v>271</c:v>
                </c:pt>
                <c:pt idx="11">
                  <c:v>287</c:v>
                </c:pt>
                <c:pt idx="12">
                  <c:v>286</c:v>
                </c:pt>
                <c:pt idx="13">
                  <c:v>315</c:v>
                </c:pt>
                <c:pt idx="14">
                  <c:v>332</c:v>
                </c:pt>
                <c:pt idx="15">
                  <c:v>370</c:v>
                </c:pt>
                <c:pt idx="16">
                  <c:v>415</c:v>
                </c:pt>
                <c:pt idx="17">
                  <c:v>364</c:v>
                </c:pt>
                <c:pt idx="18">
                  <c:v>358</c:v>
                </c:pt>
                <c:pt idx="19">
                  <c:v>393</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5-828A-4AA5-9E94-4F2ACDDD0680}"/>
            </c:ext>
          </c:extLst>
        </c:ser>
        <c:ser>
          <c:idx val="6"/>
          <c:order val="6"/>
          <c:tx>
            <c:strRef>
              <c:f>Indicators!$C$885</c:f>
              <c:strCache>
                <c:ptCount val="1"/>
                <c:pt idx="0">
                  <c:v>Wholesale trade</c:v>
                </c:pt>
              </c:strCache>
            </c:strRef>
          </c:tx>
          <c:spPr>
            <a:solidFill>
              <a:schemeClr val="accent1">
                <a:lumMod val="6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Indicators!$I$885:$AK$885</c:f>
              <c:numCache>
                <c:formatCode>#,##0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6-828A-4AA5-9E94-4F2ACDDD0680}"/>
            </c:ext>
          </c:extLst>
        </c:ser>
        <c:ser>
          <c:idx val="7"/>
          <c:order val="7"/>
          <c:tx>
            <c:strRef>
              <c:f>Indicators!$C$886</c:f>
              <c:strCache>
                <c:ptCount val="1"/>
                <c:pt idx="0">
                  <c:v>Retail trade</c:v>
                </c:pt>
              </c:strCache>
            </c:strRef>
          </c:tx>
          <c:spPr>
            <a:solidFill>
              <a:schemeClr val="accent2">
                <a:lumMod val="6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Indicators!$I$886:$AK$886</c:f>
              <c:numCache>
                <c:formatCode>#,##0</c:formatCode>
                <c:ptCount val="29"/>
                <c:pt idx="0">
                  <c:v>2453</c:v>
                </c:pt>
                <c:pt idx="1">
                  <c:v>2300</c:v>
                </c:pt>
                <c:pt idx="2">
                  <c:v>2250</c:v>
                </c:pt>
                <c:pt idx="3">
                  <c:v>2247</c:v>
                </c:pt>
                <c:pt idx="4">
                  <c:v>2320</c:v>
                </c:pt>
                <c:pt idx="5">
                  <c:v>2360</c:v>
                </c:pt>
                <c:pt idx="6">
                  <c:v>2352</c:v>
                </c:pt>
                <c:pt idx="7">
                  <c:v>2222</c:v>
                </c:pt>
                <c:pt idx="8">
                  <c:v>2131</c:v>
                </c:pt>
                <c:pt idx="9">
                  <c:v>2141</c:v>
                </c:pt>
                <c:pt idx="10">
                  <c:v>2169</c:v>
                </c:pt>
                <c:pt idx="11">
                  <c:v>2348</c:v>
                </c:pt>
                <c:pt idx="12">
                  <c:v>2488</c:v>
                </c:pt>
                <c:pt idx="13">
                  <c:v>2641</c:v>
                </c:pt>
                <c:pt idx="14">
                  <c:v>2674</c:v>
                </c:pt>
                <c:pt idx="15">
                  <c:v>2603</c:v>
                </c:pt>
                <c:pt idx="16">
                  <c:v>2683</c:v>
                </c:pt>
                <c:pt idx="17">
                  <c:v>2629</c:v>
                </c:pt>
                <c:pt idx="18">
                  <c:v>2337</c:v>
                </c:pt>
                <c:pt idx="19">
                  <c:v>2413</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7-828A-4AA5-9E94-4F2ACDDD0680}"/>
            </c:ext>
          </c:extLst>
        </c:ser>
        <c:ser>
          <c:idx val="8"/>
          <c:order val="8"/>
          <c:tx>
            <c:strRef>
              <c:f>Indicators!$C$887</c:f>
              <c:strCache>
                <c:ptCount val="1"/>
                <c:pt idx="0">
                  <c:v>Transportation and warehousing</c:v>
                </c:pt>
              </c:strCache>
            </c:strRef>
          </c:tx>
          <c:spPr>
            <a:solidFill>
              <a:schemeClr val="accent3">
                <a:lumMod val="6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Indicators!$I$887:$AK$887</c:f>
              <c:numCache>
                <c:formatCode>#,##0</c:formatCode>
                <c:ptCount val="29"/>
                <c:pt idx="0">
                  <c:v>395</c:v>
                </c:pt>
                <c:pt idx="1">
                  <c:v>402</c:v>
                </c:pt>
                <c:pt idx="2">
                  <c:v>432</c:v>
                </c:pt>
                <c:pt idx="3">
                  <c:v>426</c:v>
                </c:pt>
                <c:pt idx="4">
                  <c:v>426</c:v>
                </c:pt>
                <c:pt idx="5">
                  <c:v>449</c:v>
                </c:pt>
                <c:pt idx="6">
                  <c:v>472</c:v>
                </c:pt>
                <c:pt idx="7">
                  <c:v>470</c:v>
                </c:pt>
                <c:pt idx="8">
                  <c:v>483</c:v>
                </c:pt>
                <c:pt idx="9">
                  <c:v>460</c:v>
                </c:pt>
                <c:pt idx="10">
                  <c:v>494</c:v>
                </c:pt>
                <c:pt idx="11">
                  <c:v>539</c:v>
                </c:pt>
                <c:pt idx="12">
                  <c:v>514</c:v>
                </c:pt>
                <c:pt idx="13">
                  <c:v>566</c:v>
                </c:pt>
                <c:pt idx="14">
                  <c:v>581</c:v>
                </c:pt>
                <c:pt idx="15">
                  <c:v>666</c:v>
                </c:pt>
                <c:pt idx="16">
                  <c:v>742</c:v>
                </c:pt>
                <c:pt idx="17">
                  <c:v>745</c:v>
                </c:pt>
                <c:pt idx="18">
                  <c:v>663</c:v>
                </c:pt>
                <c:pt idx="19">
                  <c:v>762</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8-828A-4AA5-9E94-4F2ACDDD0680}"/>
            </c:ext>
          </c:extLst>
        </c:ser>
        <c:ser>
          <c:idx val="9"/>
          <c:order val="9"/>
          <c:tx>
            <c:strRef>
              <c:f>Indicators!$C$888</c:f>
              <c:strCache>
                <c:ptCount val="1"/>
                <c:pt idx="0">
                  <c:v>Information</c:v>
                </c:pt>
              </c:strCache>
            </c:strRef>
          </c:tx>
          <c:spPr>
            <a:solidFill>
              <a:schemeClr val="accent4">
                <a:lumMod val="6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Indicators!$I$888:$AK$888</c:f>
              <c:numCache>
                <c:formatCode>#,##0</c:formatCode>
                <c:ptCount val="29"/>
                <c:pt idx="0">
                  <c:v>394</c:v>
                </c:pt>
                <c:pt idx="1">
                  <c:v>385</c:v>
                </c:pt>
                <c:pt idx="2">
                  <c:v>370</c:v>
                </c:pt>
                <c:pt idx="3">
                  <c:v>365</c:v>
                </c:pt>
                <c:pt idx="4">
                  <c:v>361</c:v>
                </c:pt>
                <c:pt idx="5">
                  <c:v>348</c:v>
                </c:pt>
                <c:pt idx="6">
                  <c:v>351</c:v>
                </c:pt>
                <c:pt idx="7">
                  <c:v>342</c:v>
                </c:pt>
                <c:pt idx="8">
                  <c:v>332</c:v>
                </c:pt>
                <c:pt idx="9">
                  <c:v>349</c:v>
                </c:pt>
                <c:pt idx="10">
                  <c:v>352</c:v>
                </c:pt>
                <c:pt idx="11">
                  <c:v>364</c:v>
                </c:pt>
                <c:pt idx="12">
                  <c:v>377</c:v>
                </c:pt>
                <c:pt idx="13">
                  <c:v>347</c:v>
                </c:pt>
                <c:pt idx="14">
                  <c:v>362</c:v>
                </c:pt>
                <c:pt idx="15">
                  <c:v>396</c:v>
                </c:pt>
                <c:pt idx="16">
                  <c:v>386</c:v>
                </c:pt>
                <c:pt idx="17">
                  <c:v>354</c:v>
                </c:pt>
                <c:pt idx="18">
                  <c:v>360</c:v>
                </c:pt>
                <c:pt idx="19">
                  <c:v>380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9-828A-4AA5-9E94-4F2ACDDD0680}"/>
            </c:ext>
          </c:extLst>
        </c:ser>
        <c:ser>
          <c:idx val="10"/>
          <c:order val="10"/>
          <c:tx>
            <c:strRef>
              <c:f>Indicators!$C$889</c:f>
              <c:strCache>
                <c:ptCount val="1"/>
                <c:pt idx="0">
                  <c:v>Finance and insurance</c:v>
                </c:pt>
              </c:strCache>
            </c:strRef>
          </c:tx>
          <c:spPr>
            <a:solidFill>
              <a:schemeClr val="accent5">
                <a:lumMod val="6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Indicators!$I$889:$AK$889</c:f>
              <c:numCache>
                <c:formatCode>#,##0</c:formatCode>
                <c:ptCount val="29"/>
                <c:pt idx="0">
                  <c:v>932</c:v>
                </c:pt>
                <c:pt idx="1">
                  <c:v>1007</c:v>
                </c:pt>
                <c:pt idx="2">
                  <c:v>1054</c:v>
                </c:pt>
                <c:pt idx="3">
                  <c:v>1140</c:v>
                </c:pt>
                <c:pt idx="4">
                  <c:v>1218</c:v>
                </c:pt>
                <c:pt idx="5">
                  <c:v>1452</c:v>
                </c:pt>
                <c:pt idx="6">
                  <c:v>1670</c:v>
                </c:pt>
                <c:pt idx="7">
                  <c:v>1937</c:v>
                </c:pt>
                <c:pt idx="8">
                  <c:v>1798</c:v>
                </c:pt>
                <c:pt idx="9">
                  <c:v>2015</c:v>
                </c:pt>
                <c:pt idx="10">
                  <c:v>2067</c:v>
                </c:pt>
                <c:pt idx="11">
                  <c:v>2222</c:v>
                </c:pt>
                <c:pt idx="12">
                  <c:v>2290</c:v>
                </c:pt>
                <c:pt idx="13">
                  <c:v>2356</c:v>
                </c:pt>
                <c:pt idx="14">
                  <c:v>2457</c:v>
                </c:pt>
                <c:pt idx="15">
                  <c:v>2509</c:v>
                </c:pt>
                <c:pt idx="16">
                  <c:v>2882</c:v>
                </c:pt>
                <c:pt idx="17">
                  <c:v>3015</c:v>
                </c:pt>
                <c:pt idx="18">
                  <c:v>3917</c:v>
                </c:pt>
                <c:pt idx="19">
                  <c:v>4225</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A-828A-4AA5-9E94-4F2ACDDD0680}"/>
            </c:ext>
          </c:extLst>
        </c:ser>
        <c:ser>
          <c:idx val="11"/>
          <c:order val="11"/>
          <c:tx>
            <c:strRef>
              <c:f>Indicators!$C$890</c:f>
              <c:strCache>
                <c:ptCount val="1"/>
                <c:pt idx="0">
                  <c:v>Real estate and rental and leasing</c:v>
                </c:pt>
              </c:strCache>
            </c:strRef>
          </c:tx>
          <c:spPr>
            <a:solidFill>
              <a:schemeClr val="accent6">
                <a:lumMod val="6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Indicators!$I$890:$AK$890</c:f>
              <c:numCache>
                <c:formatCode>#,##0</c:formatCode>
                <c:ptCount val="29"/>
                <c:pt idx="0">
                  <c:v>1652</c:v>
                </c:pt>
                <c:pt idx="1">
                  <c:v>1682</c:v>
                </c:pt>
                <c:pt idx="2">
                  <c:v>1885</c:v>
                </c:pt>
                <c:pt idx="3">
                  <c:v>2177</c:v>
                </c:pt>
                <c:pt idx="4">
                  <c:v>2479</c:v>
                </c:pt>
                <c:pt idx="5">
                  <c:v>2679</c:v>
                </c:pt>
                <c:pt idx="6">
                  <c:v>2986</c:v>
                </c:pt>
                <c:pt idx="7">
                  <c:v>2825</c:v>
                </c:pt>
                <c:pt idx="8">
                  <c:v>2922</c:v>
                </c:pt>
                <c:pt idx="9">
                  <c:v>2940</c:v>
                </c:pt>
                <c:pt idx="10">
                  <c:v>2911</c:v>
                </c:pt>
                <c:pt idx="11">
                  <c:v>3088</c:v>
                </c:pt>
                <c:pt idx="12">
                  <c:v>3272</c:v>
                </c:pt>
                <c:pt idx="13">
                  <c:v>3268</c:v>
                </c:pt>
                <c:pt idx="14">
                  <c:v>3387</c:v>
                </c:pt>
                <c:pt idx="15">
                  <c:v>3521</c:v>
                </c:pt>
                <c:pt idx="16">
                  <c:v>3706</c:v>
                </c:pt>
                <c:pt idx="17">
                  <c:v>3707</c:v>
                </c:pt>
                <c:pt idx="18">
                  <c:v>4218</c:v>
                </c:pt>
                <c:pt idx="19">
                  <c:v>4422</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B-828A-4AA5-9E94-4F2ACDDD0680}"/>
            </c:ext>
          </c:extLst>
        </c:ser>
        <c:ser>
          <c:idx val="12"/>
          <c:order val="12"/>
          <c:tx>
            <c:strRef>
              <c:f>Indicators!$C$891</c:f>
              <c:strCache>
                <c:ptCount val="1"/>
                <c:pt idx="0">
                  <c:v>Professional, scientific, and technical services</c:v>
                </c:pt>
              </c:strCache>
            </c:strRef>
          </c:tx>
          <c:spPr>
            <a:solidFill>
              <a:schemeClr val="accent1">
                <a:lumMod val="80000"/>
                <a:lumOff val="2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Indicators!$I$891:$AK$891</c:f>
              <c:numCache>
                <c:formatCode>#,##0</c:formatCode>
                <c:ptCount val="29"/>
                <c:pt idx="0">
                  <c:v>1575</c:v>
                </c:pt>
                <c:pt idx="1">
                  <c:v>1574</c:v>
                </c:pt>
                <c:pt idx="2">
                  <c:v>1669</c:v>
                </c:pt>
                <c:pt idx="3">
                  <c:v>1636</c:v>
                </c:pt>
                <c:pt idx="4">
                  <c:v>1729</c:v>
                </c:pt>
                <c:pt idx="5">
                  <c:v>1915</c:v>
                </c:pt>
                <c:pt idx="6">
                  <c:v>1920</c:v>
                </c:pt>
                <c:pt idx="7">
                  <c:v>1819</c:v>
                </c:pt>
                <c:pt idx="8">
                  <c:v>1852</c:v>
                </c:pt>
                <c:pt idx="9">
                  <c:v>1813</c:v>
                </c:pt>
                <c:pt idx="10">
                  <c:v>1869</c:v>
                </c:pt>
                <c:pt idx="11">
                  <c:v>1997</c:v>
                </c:pt>
                <c:pt idx="12">
                  <c:v>2144</c:v>
                </c:pt>
                <c:pt idx="13">
                  <c:v>2226</c:v>
                </c:pt>
                <c:pt idx="14">
                  <c:v>2268</c:v>
                </c:pt>
                <c:pt idx="15">
                  <c:v>2291</c:v>
                </c:pt>
                <c:pt idx="16">
                  <c:v>2396</c:v>
                </c:pt>
                <c:pt idx="17">
                  <c:v>2457</c:v>
                </c:pt>
                <c:pt idx="18">
                  <c:v>2486</c:v>
                </c:pt>
                <c:pt idx="19">
                  <c:v>2640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C-828A-4AA5-9E94-4F2ACDDD0680}"/>
            </c:ext>
          </c:extLst>
        </c:ser>
        <c:ser>
          <c:idx val="13"/>
          <c:order val="13"/>
          <c:tx>
            <c:strRef>
              <c:f>Indicators!$C$892</c:f>
              <c:strCache>
                <c:ptCount val="1"/>
                <c:pt idx="0">
                  <c:v>Management of companies and enterprises</c:v>
                </c:pt>
              </c:strCache>
            </c:strRef>
          </c:tx>
          <c:spPr>
            <a:solidFill>
              <a:schemeClr val="accent2">
                <a:lumMod val="80000"/>
                <a:lumOff val="2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Indicators!$I$892:$AK$892</c:f>
              <c:numCache>
                <c:formatCode>#,##0</c:formatCode>
                <c:ptCount val="29"/>
                <c:pt idx="0">
                  <c:v>78</c:v>
                </c:pt>
                <c:pt idx="1">
                  <c:v>79</c:v>
                </c:pt>
                <c:pt idx="2">
                  <c:v>100</c:v>
                </c:pt>
                <c:pt idx="3">
                  <c:v>114</c:v>
                </c:pt>
                <c:pt idx="4">
                  <c:v>131</c:v>
                </c:pt>
                <c:pt idx="5">
                  <c:v>126</c:v>
                </c:pt>
                <c:pt idx="6">
                  <c:v>102</c:v>
                </c:pt>
                <c:pt idx="7">
                  <c:v>94</c:v>
                </c:pt>
                <c:pt idx="8">
                  <c:v>86</c:v>
                </c:pt>
                <c:pt idx="9">
                  <c:v>88</c:v>
                </c:pt>
                <c:pt idx="10">
                  <c:v>93</c:v>
                </c:pt>
                <c:pt idx="11">
                  <c:v>74</c:v>
                </c:pt>
                <c:pt idx="12">
                  <c:v>147</c:v>
                </c:pt>
                <c:pt idx="13">
                  <c:v>163</c:v>
                </c:pt>
                <c:pt idx="14">
                  <c:v>295</c:v>
                </c:pt>
                <c:pt idx="15">
                  <c:v>254</c:v>
                </c:pt>
                <c:pt idx="16">
                  <c:v>194</c:v>
                </c:pt>
                <c:pt idx="17">
                  <c:v>190</c:v>
                </c:pt>
                <c:pt idx="18">
                  <c:v>235</c:v>
                </c:pt>
                <c:pt idx="19">
                  <c:v>261</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D-828A-4AA5-9E94-4F2ACDDD0680}"/>
            </c:ext>
          </c:extLst>
        </c:ser>
        <c:ser>
          <c:idx val="14"/>
          <c:order val="14"/>
          <c:tx>
            <c:strRef>
              <c:f>Indicators!$C$893</c:f>
              <c:strCache>
                <c:ptCount val="1"/>
                <c:pt idx="0">
                  <c:v>Administrative and waste management services</c:v>
                </c:pt>
              </c:strCache>
            </c:strRef>
          </c:tx>
          <c:spPr>
            <a:solidFill>
              <a:schemeClr val="accent3">
                <a:lumMod val="80000"/>
                <a:lumOff val="2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Indicators!$I$893:$AK$893</c:f>
              <c:numCache>
                <c:formatCode>#,##0</c:formatCode>
                <c:ptCount val="29"/>
                <c:pt idx="0">
                  <c:v>1028</c:v>
                </c:pt>
                <c:pt idx="1">
                  <c:v>1044</c:v>
                </c:pt>
                <c:pt idx="2">
                  <c:v>1058</c:v>
                </c:pt>
                <c:pt idx="3">
                  <c:v>1048</c:v>
                </c:pt>
                <c:pt idx="4">
                  <c:v>1124</c:v>
                </c:pt>
                <c:pt idx="5">
                  <c:v>1203</c:v>
                </c:pt>
                <c:pt idx="6">
                  <c:v>1203</c:v>
                </c:pt>
                <c:pt idx="7">
                  <c:v>1186</c:v>
                </c:pt>
                <c:pt idx="8">
                  <c:v>1123</c:v>
                </c:pt>
                <c:pt idx="9">
                  <c:v>1109</c:v>
                </c:pt>
                <c:pt idx="10">
                  <c:v>1185</c:v>
                </c:pt>
                <c:pt idx="11">
                  <c:v>1317</c:v>
                </c:pt>
                <c:pt idx="12">
                  <c:v>1308</c:v>
                </c:pt>
                <c:pt idx="13">
                  <c:v>1347</c:v>
                </c:pt>
                <c:pt idx="14">
                  <c:v>1550</c:v>
                </c:pt>
                <c:pt idx="15">
                  <c:v>1503</c:v>
                </c:pt>
                <c:pt idx="16">
                  <c:v>1512</c:v>
                </c:pt>
                <c:pt idx="17">
                  <c:v>1589</c:v>
                </c:pt>
                <c:pt idx="18">
                  <c:v>1532</c:v>
                </c:pt>
                <c:pt idx="19">
                  <c:v>1651</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E-828A-4AA5-9E94-4F2ACDDD0680}"/>
            </c:ext>
          </c:extLst>
        </c:ser>
        <c:ser>
          <c:idx val="15"/>
          <c:order val="15"/>
          <c:tx>
            <c:strRef>
              <c:f>Indicators!$C$894</c:f>
              <c:strCache>
                <c:ptCount val="1"/>
                <c:pt idx="0">
                  <c:v>Educational services</c:v>
                </c:pt>
              </c:strCache>
            </c:strRef>
          </c:tx>
          <c:spPr>
            <a:solidFill>
              <a:schemeClr val="accent4">
                <a:lumMod val="80000"/>
                <a:lumOff val="2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Indicators!$I$894:$AK$894</c:f>
              <c:numCache>
                <c:formatCode>#,##0</c:formatCode>
                <c:ptCount val="29"/>
                <c:pt idx="0">
                  <c:v>205</c:v>
                </c:pt>
                <c:pt idx="1">
                  <c:v>228</c:v>
                </c:pt>
                <c:pt idx="2">
                  <c:v>258</c:v>
                </c:pt>
                <c:pt idx="3">
                  <c:v>287</c:v>
                </c:pt>
                <c:pt idx="4">
                  <c:v>293</c:v>
                </c:pt>
                <c:pt idx="5">
                  <c:v>288</c:v>
                </c:pt>
                <c:pt idx="6">
                  <c:v>327</c:v>
                </c:pt>
                <c:pt idx="7">
                  <c:v>324</c:v>
                </c:pt>
                <c:pt idx="8">
                  <c:v>361</c:v>
                </c:pt>
                <c:pt idx="9">
                  <c:v>362</c:v>
                </c:pt>
                <c:pt idx="10">
                  <c:v>360</c:v>
                </c:pt>
                <c:pt idx="11">
                  <c:v>459</c:v>
                </c:pt>
                <c:pt idx="12">
                  <c:v>486</c:v>
                </c:pt>
                <c:pt idx="13">
                  <c:v>508</c:v>
                </c:pt>
                <c:pt idx="14">
                  <c:v>573</c:v>
                </c:pt>
                <c:pt idx="15">
                  <c:v>551</c:v>
                </c:pt>
                <c:pt idx="16">
                  <c:v>527</c:v>
                </c:pt>
                <c:pt idx="17">
                  <c:v>595</c:v>
                </c:pt>
                <c:pt idx="18">
                  <c:v>536</c:v>
                </c:pt>
                <c:pt idx="19">
                  <c:v>579</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F-828A-4AA5-9E94-4F2ACDDD0680}"/>
            </c:ext>
          </c:extLst>
        </c:ser>
        <c:ser>
          <c:idx val="16"/>
          <c:order val="16"/>
          <c:tx>
            <c:strRef>
              <c:f>Indicators!$C$895</c:f>
              <c:strCache>
                <c:ptCount val="1"/>
                <c:pt idx="0">
                  <c:v>Health care and social assistance</c:v>
                </c:pt>
              </c:strCache>
            </c:strRef>
          </c:tx>
          <c:spPr>
            <a:solidFill>
              <a:schemeClr val="accent5">
                <a:lumMod val="80000"/>
                <a:lumOff val="2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Indicators!$I$895:$AK$895</c:f>
              <c:numCache>
                <c:formatCode>#,##0</c:formatCode>
                <c:ptCount val="29"/>
                <c:pt idx="0">
                  <c:v>777</c:v>
                </c:pt>
                <c:pt idx="1">
                  <c:v>813</c:v>
                </c:pt>
                <c:pt idx="2">
                  <c:v>837</c:v>
                </c:pt>
                <c:pt idx="3">
                  <c:v>874</c:v>
                </c:pt>
                <c:pt idx="4">
                  <c:v>901</c:v>
                </c:pt>
                <c:pt idx="5">
                  <c:v>924</c:v>
                </c:pt>
                <c:pt idx="6">
                  <c:v>931</c:v>
                </c:pt>
                <c:pt idx="7">
                  <c:v>951</c:v>
                </c:pt>
                <c:pt idx="8">
                  <c:v>972</c:v>
                </c:pt>
                <c:pt idx="9">
                  <c:v>975</c:v>
                </c:pt>
                <c:pt idx="10">
                  <c:v>1025</c:v>
                </c:pt>
                <c:pt idx="11">
                  <c:v>1076</c:v>
                </c:pt>
                <c:pt idx="12">
                  <c:v>1092</c:v>
                </c:pt>
                <c:pt idx="13">
                  <c:v>1123</c:v>
                </c:pt>
                <c:pt idx="14">
                  <c:v>1168</c:v>
                </c:pt>
                <c:pt idx="15">
                  <c:v>1187</c:v>
                </c:pt>
                <c:pt idx="16">
                  <c:v>1230</c:v>
                </c:pt>
                <c:pt idx="17">
                  <c:v>1246</c:v>
                </c:pt>
                <c:pt idx="18">
                  <c:v>1218</c:v>
                </c:pt>
                <c:pt idx="19">
                  <c:v>1240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10-828A-4AA5-9E94-4F2ACDDD0680}"/>
            </c:ext>
          </c:extLst>
        </c:ser>
        <c:ser>
          <c:idx val="17"/>
          <c:order val="17"/>
          <c:tx>
            <c:strRef>
              <c:f>Indicators!$C$896</c:f>
              <c:strCache>
                <c:ptCount val="1"/>
                <c:pt idx="0">
                  <c:v>Arts, entertainment, and recreation</c:v>
                </c:pt>
              </c:strCache>
            </c:strRef>
          </c:tx>
          <c:spPr>
            <a:solidFill>
              <a:schemeClr val="accent6">
                <a:lumMod val="80000"/>
                <a:lumOff val="2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Indicators!$I$896:$AK$896</c:f>
              <c:numCache>
                <c:formatCode>#,##0</c:formatCode>
                <c:ptCount val="29"/>
                <c:pt idx="0">
                  <c:v>828</c:v>
                </c:pt>
                <c:pt idx="1">
                  <c:v>875</c:v>
                </c:pt>
                <c:pt idx="2">
                  <c:v>946</c:v>
                </c:pt>
                <c:pt idx="3">
                  <c:v>1051</c:v>
                </c:pt>
                <c:pt idx="4">
                  <c:v>1093</c:v>
                </c:pt>
                <c:pt idx="5">
                  <c:v>1209</c:v>
                </c:pt>
                <c:pt idx="6">
                  <c:v>1248</c:v>
                </c:pt>
                <c:pt idx="7">
                  <c:v>1172</c:v>
                </c:pt>
                <c:pt idx="8">
                  <c:v>1217</c:v>
                </c:pt>
                <c:pt idx="9">
                  <c:v>1267</c:v>
                </c:pt>
                <c:pt idx="10">
                  <c:v>1307</c:v>
                </c:pt>
                <c:pt idx="11">
                  <c:v>1324</c:v>
                </c:pt>
                <c:pt idx="12">
                  <c:v>1441</c:v>
                </c:pt>
                <c:pt idx="13">
                  <c:v>1329</c:v>
                </c:pt>
                <c:pt idx="14">
                  <c:v>1446</c:v>
                </c:pt>
                <c:pt idx="15">
                  <c:v>1648</c:v>
                </c:pt>
                <c:pt idx="16">
                  <c:v>1708</c:v>
                </c:pt>
                <c:pt idx="17">
                  <c:v>1623</c:v>
                </c:pt>
                <c:pt idx="18">
                  <c:v>1432</c:v>
                </c:pt>
                <c:pt idx="19">
                  <c:v>1586</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11-828A-4AA5-9E94-4F2ACDDD0680}"/>
            </c:ext>
          </c:extLst>
        </c:ser>
        <c:ser>
          <c:idx val="18"/>
          <c:order val="18"/>
          <c:tx>
            <c:strRef>
              <c:f>Indicators!$C$897</c:f>
              <c:strCache>
                <c:ptCount val="1"/>
                <c:pt idx="0">
                  <c:v>Accommodation and food services</c:v>
                </c:pt>
              </c:strCache>
            </c:strRef>
          </c:tx>
          <c:spPr>
            <a:solidFill>
              <a:schemeClr val="accent1">
                <a:lumMod val="8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Indicators!$I$897:$AK$897</c:f>
              <c:numCache>
                <c:formatCode>#,##0</c:formatCode>
                <c:ptCount val="29"/>
                <c:pt idx="0">
                  <c:v>5431</c:v>
                </c:pt>
                <c:pt idx="1">
                  <c:v>5635</c:v>
                </c:pt>
                <c:pt idx="2">
                  <c:v>5865</c:v>
                </c:pt>
                <c:pt idx="3">
                  <c:v>5971</c:v>
                </c:pt>
                <c:pt idx="4">
                  <c:v>6163</c:v>
                </c:pt>
                <c:pt idx="5">
                  <c:v>6310</c:v>
                </c:pt>
                <c:pt idx="6">
                  <c:v>6613</c:v>
                </c:pt>
                <c:pt idx="7">
                  <c:v>6110</c:v>
                </c:pt>
                <c:pt idx="8">
                  <c:v>6252</c:v>
                </c:pt>
                <c:pt idx="9">
                  <c:v>6264</c:v>
                </c:pt>
                <c:pt idx="10">
                  <c:v>6446</c:v>
                </c:pt>
                <c:pt idx="11">
                  <c:v>6540</c:v>
                </c:pt>
                <c:pt idx="12">
                  <c:v>6813</c:v>
                </c:pt>
                <c:pt idx="13">
                  <c:v>7091</c:v>
                </c:pt>
                <c:pt idx="14">
                  <c:v>7328</c:v>
                </c:pt>
                <c:pt idx="15">
                  <c:v>7528</c:v>
                </c:pt>
                <c:pt idx="16">
                  <c:v>7569</c:v>
                </c:pt>
                <c:pt idx="17">
                  <c:v>7741</c:v>
                </c:pt>
                <c:pt idx="18">
                  <c:v>5976</c:v>
                </c:pt>
                <c:pt idx="19">
                  <c:v>6956</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12-828A-4AA5-9E94-4F2ACDDD0680}"/>
            </c:ext>
          </c:extLst>
        </c:ser>
        <c:ser>
          <c:idx val="19"/>
          <c:order val="19"/>
          <c:tx>
            <c:strRef>
              <c:f>Indicators!$C$898</c:f>
              <c:strCache>
                <c:ptCount val="1"/>
                <c:pt idx="0">
                  <c:v>Other services, except public administration</c:v>
                </c:pt>
              </c:strCache>
            </c:strRef>
          </c:tx>
          <c:spPr>
            <a:solidFill>
              <a:schemeClr val="accent2">
                <a:lumMod val="8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Indicators!$I$898:$AK$898</c:f>
              <c:numCache>
                <c:formatCode>#,##0</c:formatCode>
                <c:ptCount val="29"/>
                <c:pt idx="0">
                  <c:v>1108</c:v>
                </c:pt>
                <c:pt idx="1">
                  <c:v>1122</c:v>
                </c:pt>
                <c:pt idx="2">
                  <c:v>1152</c:v>
                </c:pt>
                <c:pt idx="3">
                  <c:v>1205</c:v>
                </c:pt>
                <c:pt idx="4">
                  <c:v>1228</c:v>
                </c:pt>
                <c:pt idx="5">
                  <c:v>1271</c:v>
                </c:pt>
                <c:pt idx="6">
                  <c:v>1215</c:v>
                </c:pt>
                <c:pt idx="7">
                  <c:v>1132</c:v>
                </c:pt>
                <c:pt idx="8">
                  <c:v>1068</c:v>
                </c:pt>
                <c:pt idx="9">
                  <c:v>1110</c:v>
                </c:pt>
                <c:pt idx="10">
                  <c:v>1191</c:v>
                </c:pt>
                <c:pt idx="11">
                  <c:v>1247</c:v>
                </c:pt>
                <c:pt idx="12">
                  <c:v>1240</c:v>
                </c:pt>
                <c:pt idx="13">
                  <c:v>1285</c:v>
                </c:pt>
                <c:pt idx="14">
                  <c:v>1298</c:v>
                </c:pt>
                <c:pt idx="15">
                  <c:v>1345</c:v>
                </c:pt>
                <c:pt idx="16">
                  <c:v>1414</c:v>
                </c:pt>
                <c:pt idx="17">
                  <c:v>1384</c:v>
                </c:pt>
                <c:pt idx="18">
                  <c:v>1287</c:v>
                </c:pt>
                <c:pt idx="19">
                  <c:v>1335</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13-828A-4AA5-9E94-4F2ACDDD0680}"/>
            </c:ext>
          </c:extLst>
        </c:ser>
        <c:ser>
          <c:idx val="20"/>
          <c:order val="20"/>
          <c:tx>
            <c:strRef>
              <c:f>Indicators!$C$899</c:f>
              <c:strCache>
                <c:ptCount val="1"/>
                <c:pt idx="0">
                  <c:v>Government and government enterprises</c:v>
                </c:pt>
              </c:strCache>
            </c:strRef>
          </c:tx>
          <c:spPr>
            <a:solidFill>
              <a:schemeClr val="accent3">
                <a:lumMod val="80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Indicators!$I$899:$AK$899</c:f>
              <c:numCache>
                <c:formatCode>#,##0</c:formatCode>
                <c:ptCount val="29"/>
                <c:pt idx="0">
                  <c:v>2170</c:v>
                </c:pt>
                <c:pt idx="1">
                  <c:v>2224</c:v>
                </c:pt>
                <c:pt idx="2">
                  <c:v>2220</c:v>
                </c:pt>
                <c:pt idx="3">
                  <c:v>2267</c:v>
                </c:pt>
                <c:pt idx="4">
                  <c:v>2299</c:v>
                </c:pt>
                <c:pt idx="5">
                  <c:v>2269</c:v>
                </c:pt>
                <c:pt idx="6">
                  <c:v>2283</c:v>
                </c:pt>
                <c:pt idx="7">
                  <c:v>2356</c:v>
                </c:pt>
                <c:pt idx="8">
                  <c:v>2386</c:v>
                </c:pt>
                <c:pt idx="9">
                  <c:v>2394</c:v>
                </c:pt>
                <c:pt idx="10">
                  <c:v>2397</c:v>
                </c:pt>
                <c:pt idx="11">
                  <c:v>2415</c:v>
                </c:pt>
                <c:pt idx="12">
                  <c:v>2474</c:v>
                </c:pt>
                <c:pt idx="13">
                  <c:v>2522</c:v>
                </c:pt>
                <c:pt idx="14">
                  <c:v>2599</c:v>
                </c:pt>
                <c:pt idx="15">
                  <c:v>2647</c:v>
                </c:pt>
                <c:pt idx="16">
                  <c:v>2623</c:v>
                </c:pt>
                <c:pt idx="17">
                  <c:v>2697</c:v>
                </c:pt>
                <c:pt idx="18">
                  <c:v>2661</c:v>
                </c:pt>
                <c:pt idx="19">
                  <c:v>2751</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14-828A-4AA5-9E94-4F2ACDDD0680}"/>
            </c:ext>
          </c:extLst>
        </c:ser>
        <c:dLbls>
          <c:showLegendKey val="0"/>
          <c:showVal val="0"/>
          <c:showCatName val="0"/>
          <c:showSerName val="0"/>
          <c:showPercent val="0"/>
          <c:showBubbleSize val="0"/>
        </c:dLbls>
        <c:gapWidth val="150"/>
        <c:overlap val="100"/>
        <c:axId val="614338104"/>
        <c:axId val="614336184"/>
      </c:barChart>
      <c:catAx>
        <c:axId val="614338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336184"/>
        <c:crosses val="autoZero"/>
        <c:auto val="1"/>
        <c:lblAlgn val="ctr"/>
        <c:lblOffset val="100"/>
        <c:noMultiLvlLbl val="0"/>
      </c:catAx>
      <c:valAx>
        <c:axId val="6143361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All Fulltime and Part-time Jobs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338104"/>
        <c:crosses val="autoZero"/>
        <c:crossBetween val="between"/>
      </c:valAx>
      <c:spPr>
        <a:noFill/>
        <a:ln>
          <a:noFill/>
        </a:ln>
        <a:effectLst/>
      </c:spPr>
    </c:plotArea>
    <c:legend>
      <c:legendPos val="l"/>
      <c:layout>
        <c:manualLayout>
          <c:xMode val="edge"/>
          <c:yMode val="edge"/>
          <c:x val="3.0792917628945341E-3"/>
          <c:y val="2.8642825896762904E-2"/>
          <c:w val="9.7973931087713337E-2"/>
          <c:h val="0.961232866724992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83902167756935"/>
          <c:y val="5.0925925925925923E-2"/>
          <c:w val="0.82487819488258951"/>
          <c:h val="0.8416746864975212"/>
        </c:manualLayout>
      </c:layout>
      <c:barChart>
        <c:barDir val="col"/>
        <c:grouping val="clustered"/>
        <c:varyColors val="0"/>
        <c:ser>
          <c:idx val="0"/>
          <c:order val="0"/>
          <c:tx>
            <c:strRef>
              <c:f>Indicators!$D$606</c:f>
              <c:strCache>
                <c:ptCount val="1"/>
                <c:pt idx="0">
                  <c:v>Residential Units</c:v>
                </c:pt>
              </c:strCache>
            </c:strRef>
          </c:tx>
          <c:spPr>
            <a:solidFill>
              <a:schemeClr val="accent4"/>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(Indicators!$O$606,Indicators!$S$606,Indicators!$Z$606,Indicators!$AC$606)</c:f>
              <c:numCache>
                <c:formatCode>0.00%</c:formatCode>
                <c:ptCount val="4"/>
                <c:pt idx="0">
                  <c:v>2.600855872699322E-2</c:v>
                </c:pt>
                <c:pt idx="1">
                  <c:v>1.3072776280323439E-2</c:v>
                </c:pt>
                <c:pt idx="2">
                  <c:v>1.4869364754098375E-2</c:v>
                </c:pt>
                <c:pt idx="3">
                  <c:v>1.8440111205199877E-2</c:v>
                </c:pt>
              </c:numCache>
            </c:numRef>
          </c:val>
          <c:extLst>
            <c:ext xmlns:c16="http://schemas.microsoft.com/office/drawing/2014/chart" uri="{C3380CC4-5D6E-409C-BE32-E72D297353CC}">
              <c16:uniqueId val="{00000001-47DB-4567-A86D-509E4E41F177}"/>
            </c:ext>
          </c:extLst>
        </c:ser>
        <c:ser>
          <c:idx val="1"/>
          <c:order val="1"/>
          <c:tx>
            <c:strRef>
              <c:f>Indicators!$D$607</c:f>
              <c:strCache>
                <c:ptCount val="1"/>
                <c:pt idx="0">
                  <c:v>Lodging Units</c:v>
                </c:pt>
              </c:strCache>
            </c:strRef>
          </c:tx>
          <c:spPr>
            <a:solidFill>
              <a:schemeClr val="accent4">
                <a:lumMod val="75000"/>
              </a:schemeClr>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(Indicators!$O$607,Indicators!$S$607,Indicators!$Z$607,Indicators!$AC$607)</c:f>
              <c:numCache>
                <c:formatCode>0.00%</c:formatCode>
                <c:ptCount val="4"/>
                <c:pt idx="0">
                  <c:v>1.0200429491768062E-2</c:v>
                </c:pt>
                <c:pt idx="1">
                  <c:v>3.709949409780755E-3</c:v>
                </c:pt>
                <c:pt idx="2">
                  <c:v>1.7447657028913138E-3</c:v>
                </c:pt>
                <c:pt idx="3">
                  <c:v>5.4994664696708844E-3</c:v>
                </c:pt>
              </c:numCache>
            </c:numRef>
          </c:val>
          <c:extLst>
            <c:ext xmlns:c16="http://schemas.microsoft.com/office/drawing/2014/chart" uri="{C3380CC4-5D6E-409C-BE32-E72D297353CC}">
              <c16:uniqueId val="{00000002-47DB-4567-A86D-509E4E41F177}"/>
            </c:ext>
          </c:extLst>
        </c:ser>
        <c:ser>
          <c:idx val="2"/>
          <c:order val="2"/>
          <c:tx>
            <c:strRef>
              <c:f>Indicators!$D$608</c:f>
              <c:strCache>
                <c:ptCount val="1"/>
                <c:pt idx="0">
                  <c:v>Commercial Floor Area</c:v>
                </c:pt>
              </c:strCache>
            </c:strRef>
          </c:tx>
          <c:spPr>
            <a:solidFill>
              <a:schemeClr val="accent3"/>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(Indicators!$O$608,Indicators!$S$608,Indicators!$Z$608,Indicators!$AC$608)</c:f>
              <c:numCache>
                <c:formatCode>0.00%</c:formatCode>
                <c:ptCount val="4"/>
                <c:pt idx="0">
                  <c:v>2.6026729693641948E-2</c:v>
                </c:pt>
                <c:pt idx="1">
                  <c:v>1.3324624908194305E-2</c:v>
                </c:pt>
                <c:pt idx="2">
                  <c:v>8.0507154420630701E-3</c:v>
                </c:pt>
                <c:pt idx="3">
                  <c:v>8.9578693945546739E-4</c:v>
                </c:pt>
              </c:numCache>
            </c:numRef>
          </c:val>
          <c:extLst>
            <c:ext xmlns:c16="http://schemas.microsoft.com/office/drawing/2014/chart" uri="{C3380CC4-5D6E-409C-BE32-E72D297353CC}">
              <c16:uniqueId val="{00000003-47DB-4567-A86D-509E4E41F177}"/>
            </c:ext>
          </c:extLst>
        </c:ser>
        <c:ser>
          <c:idx val="3"/>
          <c:order val="3"/>
          <c:tx>
            <c:strRef>
              <c:f>Indicators!$D$609</c:f>
              <c:strCache>
                <c:ptCount val="1"/>
                <c:pt idx="0">
                  <c:v>Institutional Floor Area</c:v>
                </c:pt>
              </c:strCache>
            </c:strRef>
          </c:tx>
          <c:spPr>
            <a:solidFill>
              <a:schemeClr val="bg2">
                <a:lumMod val="90000"/>
              </a:schemeClr>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(Indicators!$O$609,Indicators!$S$609,Indicators!$Z$609,Indicators!$AC$609)</c:f>
              <c:numCache>
                <c:formatCode>0.00%</c:formatCode>
                <c:ptCount val="4"/>
                <c:pt idx="0">
                  <c:v>6.4216403735466554E-2</c:v>
                </c:pt>
                <c:pt idx="1">
                  <c:v>1.7106197337692919E-2</c:v>
                </c:pt>
                <c:pt idx="2">
                  <c:v>1.2185481137547851E-2</c:v>
                </c:pt>
                <c:pt idx="3">
                  <c:v>1.0333438351528113E-2</c:v>
                </c:pt>
              </c:numCache>
            </c:numRef>
          </c:val>
          <c:extLst>
            <c:ext xmlns:c16="http://schemas.microsoft.com/office/drawing/2014/chart" uri="{C3380CC4-5D6E-409C-BE32-E72D297353CC}">
              <c16:uniqueId val="{00000004-47DB-4567-A86D-509E4E41F177}"/>
            </c:ext>
          </c:extLst>
        </c:ser>
        <c:ser>
          <c:idx val="4"/>
          <c:order val="4"/>
          <c:tx>
            <c:strRef>
              <c:f>Indicators!$D$610</c:f>
              <c:strCache>
                <c:ptCount val="1"/>
                <c:pt idx="0">
                  <c:v>Summer Effective Population</c:v>
                </c:pt>
              </c:strCache>
            </c:strRef>
          </c:tx>
          <c:spPr>
            <a:solidFill>
              <a:schemeClr val="accent5">
                <a:lumMod val="50000"/>
              </a:schemeClr>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(Indicators!$O$610,Indicators!$S$610,Indicators!$Z$610,Indicators!$AC$610)</c:f>
              <c:numCache>
                <c:formatCode>0.00%</c:formatCode>
                <c:ptCount val="4"/>
                <c:pt idx="0">
                  <c:v>0</c:v>
                </c:pt>
                <c:pt idx="1">
                  <c:v>0</c:v>
                </c:pt>
                <c:pt idx="2">
                  <c:v>1.0326578685920669E-2</c:v>
                </c:pt>
                <c:pt idx="3">
                  <c:v>8.8286041768033865E-3</c:v>
                </c:pt>
              </c:numCache>
            </c:numRef>
          </c:val>
          <c:extLst>
            <c:ext xmlns:c16="http://schemas.microsoft.com/office/drawing/2014/chart" uri="{C3380CC4-5D6E-409C-BE32-E72D297353CC}">
              <c16:uniqueId val="{00000005-47DB-4567-A86D-509E4E41F177}"/>
            </c:ext>
          </c:extLst>
        </c:ser>
        <c:ser>
          <c:idx val="5"/>
          <c:order val="5"/>
          <c:tx>
            <c:strRef>
              <c:f>Indicators!$D$611</c:f>
              <c:strCache>
                <c:ptCount val="1"/>
                <c:pt idx="0">
                  <c:v>Winter Effective Population</c:v>
                </c:pt>
              </c:strCache>
            </c:strRef>
          </c:tx>
          <c:spPr>
            <a:solidFill>
              <a:schemeClr val="accent5"/>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(Indicators!$O$611,Indicators!$S$611,Indicators!$Z$611,Indicators!$AC$611)</c:f>
              <c:numCache>
                <c:formatCode>0.00%</c:formatCode>
                <c:ptCount val="4"/>
                <c:pt idx="0">
                  <c:v>0</c:v>
                </c:pt>
                <c:pt idx="1">
                  <c:v>0</c:v>
                </c:pt>
                <c:pt idx="2">
                  <c:v>2.4246392580390248E-2</c:v>
                </c:pt>
                <c:pt idx="3">
                  <c:v>1.8468656887241419E-2</c:v>
                </c:pt>
              </c:numCache>
            </c:numRef>
          </c:val>
          <c:extLst>
            <c:ext xmlns:c16="http://schemas.microsoft.com/office/drawing/2014/chart" uri="{C3380CC4-5D6E-409C-BE32-E72D297353CC}">
              <c16:uniqueId val="{00000006-47DB-4567-A86D-509E4E41F177}"/>
            </c:ext>
          </c:extLst>
        </c:ser>
        <c:ser>
          <c:idx val="6"/>
          <c:order val="6"/>
          <c:tx>
            <c:strRef>
              <c:f>Indicators!$D$612</c:f>
              <c:strCache>
                <c:ptCount val="1"/>
                <c:pt idx="0">
                  <c:v>Shoulder Effective Population</c:v>
                </c:pt>
              </c:strCache>
            </c:strRef>
          </c:tx>
          <c:spPr>
            <a:solidFill>
              <a:schemeClr val="accent5">
                <a:lumMod val="60000"/>
                <a:lumOff val="40000"/>
              </a:schemeClr>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(Indicators!$O$612,Indicators!$S$612,Indicators!$Z$612,Indicators!$AC$612)</c:f>
              <c:numCache>
                <c:formatCode>0.00%</c:formatCode>
                <c:ptCount val="4"/>
                <c:pt idx="0">
                  <c:v>0</c:v>
                </c:pt>
                <c:pt idx="1">
                  <c:v>0</c:v>
                </c:pt>
                <c:pt idx="2">
                  <c:v>1.6009034702288854E-2</c:v>
                </c:pt>
                <c:pt idx="3">
                  <c:v>2.783090552351301E-2</c:v>
                </c:pt>
              </c:numCache>
            </c:numRef>
          </c:val>
          <c:extLst>
            <c:ext xmlns:c16="http://schemas.microsoft.com/office/drawing/2014/chart" uri="{C3380CC4-5D6E-409C-BE32-E72D297353CC}">
              <c16:uniqueId val="{00000007-47DB-4567-A86D-509E4E41F177}"/>
            </c:ext>
          </c:extLst>
        </c:ser>
        <c:ser>
          <c:idx val="7"/>
          <c:order val="7"/>
          <c:tx>
            <c:strRef>
              <c:f>Indicators!$D$614</c:f>
              <c:strCache>
                <c:ptCount val="1"/>
                <c:pt idx="0">
                  <c:v>Wage Jobs (QCEW)</c:v>
                </c:pt>
              </c:strCache>
            </c:strRef>
          </c:tx>
          <c:spPr>
            <a:solidFill>
              <a:schemeClr val="accent6">
                <a:lumMod val="60000"/>
                <a:lumOff val="40000"/>
              </a:schemeClr>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(Indicators!$O$614,Indicators!$S$614,Indicators!$Z$614,Indicators!$AC$614)</c:f>
              <c:numCache>
                <c:formatCode>0.00%</c:formatCode>
                <c:ptCount val="4"/>
                <c:pt idx="0">
                  <c:v>2.2148596082112837E-2</c:v>
                </c:pt>
                <c:pt idx="1">
                  <c:v>-1.9669508185160056E-2</c:v>
                </c:pt>
                <c:pt idx="2">
                  <c:v>3.2890959889773405E-2</c:v>
                </c:pt>
                <c:pt idx="3">
                  <c:v>1.7436088416734608E-2</c:v>
                </c:pt>
              </c:numCache>
            </c:numRef>
          </c:val>
          <c:extLst>
            <c:ext xmlns:c16="http://schemas.microsoft.com/office/drawing/2014/chart" uri="{C3380CC4-5D6E-409C-BE32-E72D297353CC}">
              <c16:uniqueId val="{00000008-47DB-4567-A86D-509E4E41F177}"/>
            </c:ext>
          </c:extLst>
        </c:ser>
        <c:ser>
          <c:idx val="8"/>
          <c:order val="8"/>
          <c:tx>
            <c:strRef>
              <c:f>Indicators!$D$616</c:f>
              <c:strCache>
                <c:ptCount val="1"/>
                <c:pt idx="0">
                  <c:v>Per Capita GDP</c:v>
                </c:pt>
              </c:strCache>
            </c:strRef>
          </c:tx>
          <c:spPr>
            <a:solidFill>
              <a:schemeClr val="accent6"/>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(Indicators!$O$616,Indicators!$S$616,Indicators!$Z$616,Indicators!$AC$616)</c:f>
              <c:numCache>
                <c:formatCode>0.00%</c:formatCode>
                <c:ptCount val="4"/>
                <c:pt idx="0">
                  <c:v>4.2539274818977311E-2</c:v>
                </c:pt>
                <c:pt idx="1">
                  <c:v>1.4896901752124436E-2</c:v>
                </c:pt>
                <c:pt idx="2">
                  <c:v>5.1527086815194086E-2</c:v>
                </c:pt>
                <c:pt idx="3">
                  <c:v>0.14570801227089036</c:v>
                </c:pt>
              </c:numCache>
            </c:numRef>
          </c:val>
          <c:extLst>
            <c:ext xmlns:c16="http://schemas.microsoft.com/office/drawing/2014/chart" uri="{C3380CC4-5D6E-409C-BE32-E72D297353CC}">
              <c16:uniqueId val="{00000009-47DB-4567-A86D-509E4E41F177}"/>
            </c:ext>
          </c:extLst>
        </c:ser>
        <c:ser>
          <c:idx val="9"/>
          <c:order val="9"/>
          <c:tx>
            <c:strRef>
              <c:f>Indicators!$D$617</c:f>
              <c:strCache>
                <c:ptCount val="1"/>
                <c:pt idx="0">
                  <c:v>Per Capita Income</c:v>
                </c:pt>
              </c:strCache>
            </c:strRef>
          </c:tx>
          <c:spPr>
            <a:solidFill>
              <a:schemeClr val="accent6">
                <a:lumMod val="50000"/>
              </a:schemeClr>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(Indicators!$O$617,Indicators!$S$617,Indicators!$Z$617,Indicators!$AC$617)</c:f>
              <c:numCache>
                <c:formatCode>0.00%</c:formatCode>
                <c:ptCount val="4"/>
                <c:pt idx="0">
                  <c:v>0.16080881714831208</c:v>
                </c:pt>
                <c:pt idx="1">
                  <c:v>5.5870513038924319E-2</c:v>
                </c:pt>
                <c:pt idx="2">
                  <c:v>6.2457361519793829E-2</c:v>
                </c:pt>
                <c:pt idx="3">
                  <c:v>7.1075634594268688E-2</c:v>
                </c:pt>
              </c:numCache>
            </c:numRef>
          </c:val>
          <c:extLst>
            <c:ext xmlns:c16="http://schemas.microsoft.com/office/drawing/2014/chart" uri="{C3380CC4-5D6E-409C-BE32-E72D297353CC}">
              <c16:uniqueId val="{0000000A-47DB-4567-A86D-509E4E41F177}"/>
            </c:ext>
          </c:extLst>
        </c:ser>
        <c:ser>
          <c:idx val="10"/>
          <c:order val="10"/>
          <c:tx>
            <c:strRef>
              <c:f>Indicators!$E$619</c:f>
              <c:strCache>
                <c:ptCount val="1"/>
                <c:pt idx="0">
                  <c:v>Cost of Home Purchase</c:v>
                </c:pt>
              </c:strCache>
            </c:strRef>
          </c:tx>
          <c:spPr>
            <a:solidFill>
              <a:schemeClr val="accent2">
                <a:lumMod val="60000"/>
                <a:lumOff val="40000"/>
              </a:schemeClr>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(Indicators!$O$619,Indicators!$S$619,Indicators!$Z$619,Indicators!$AC$619)</c:f>
              <c:numCache>
                <c:formatCode>0.00%</c:formatCode>
                <c:ptCount val="4"/>
                <c:pt idx="0">
                  <c:v>0.15532733093237291</c:v>
                </c:pt>
                <c:pt idx="1">
                  <c:v>-9.7449007515435726E-2</c:v>
                </c:pt>
                <c:pt idx="2">
                  <c:v>4.6725556849444717E-2</c:v>
                </c:pt>
                <c:pt idx="3">
                  <c:v>0.47611387740174987</c:v>
                </c:pt>
              </c:numCache>
            </c:numRef>
          </c:val>
          <c:extLst>
            <c:ext xmlns:c16="http://schemas.microsoft.com/office/drawing/2014/chart" uri="{C3380CC4-5D6E-409C-BE32-E72D297353CC}">
              <c16:uniqueId val="{0000000B-47DB-4567-A86D-509E4E41F177}"/>
            </c:ext>
          </c:extLst>
        </c:ser>
        <c:ser>
          <c:idx val="12"/>
          <c:order val="11"/>
          <c:tx>
            <c:strRef>
              <c:f>Indicators!$E$620</c:f>
              <c:strCache>
                <c:ptCount val="1"/>
                <c:pt idx="0">
                  <c:v>Cost of Rent</c:v>
                </c:pt>
              </c:strCache>
            </c:strRef>
          </c:tx>
          <c:spPr>
            <a:solidFill>
              <a:schemeClr val="accent2"/>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(Indicators!$O$620,Indicators!$S$620,Indicators!$Z$620,Indicators!$AC$620)</c:f>
              <c:numCache>
                <c:formatCode>0.00%</c:formatCode>
                <c:ptCount val="4"/>
                <c:pt idx="0">
                  <c:v>2.3358366985026319E-2</c:v>
                </c:pt>
                <c:pt idx="1">
                  <c:v>-3.1964913660261385E-2</c:v>
                </c:pt>
                <c:pt idx="2">
                  <c:v>5.5565278620326106E-2</c:v>
                </c:pt>
                <c:pt idx="3">
                  <c:v>5.706298521270995E-2</c:v>
                </c:pt>
              </c:numCache>
            </c:numRef>
          </c:val>
          <c:extLst>
            <c:ext xmlns:c16="http://schemas.microsoft.com/office/drawing/2014/chart" uri="{C3380CC4-5D6E-409C-BE32-E72D297353CC}">
              <c16:uniqueId val="{00000001-0D68-49AD-A4E7-5DB7642945CA}"/>
            </c:ext>
          </c:extLst>
        </c:ser>
        <c:ser>
          <c:idx val="11"/>
          <c:order val="12"/>
          <c:tx>
            <c:strRef>
              <c:f>Indicators!$D$613</c:f>
              <c:strCache>
                <c:ptCount val="1"/>
                <c:pt idx="0">
                  <c:v>Vehicle Miles Traveled</c:v>
                </c:pt>
              </c:strCache>
            </c:strRef>
          </c:tx>
          <c:spPr>
            <a:solidFill>
              <a:schemeClr val="accent2">
                <a:lumMod val="50000"/>
              </a:schemeClr>
            </a:solidFill>
            <a:ln>
              <a:noFill/>
            </a:ln>
            <a:effectLst/>
          </c:spPr>
          <c:invertIfNegative val="0"/>
          <c:cat>
            <c:strRef>
              <c:f>(Indicators!$O$605,Indicators!$S$605,Indicators!$Z$605,Indicators!$AC$605)</c:f>
              <c:strCache>
                <c:ptCount val="4"/>
                <c:pt idx="0">
                  <c:v>2002-2008</c:v>
                </c:pt>
                <c:pt idx="1">
                  <c:v>2008-2012</c:v>
                </c:pt>
                <c:pt idx="2">
                  <c:v>2012-2019</c:v>
                </c:pt>
                <c:pt idx="3">
                  <c:v>2019-2022</c:v>
                </c:pt>
              </c:strCache>
            </c:strRef>
          </c:cat>
          <c:val>
            <c:numRef>
              <c:f>(Indicators!$O$613,Indicators!$S$613,Indicators!$Z$613,Indicators!$AC$613)</c:f>
              <c:numCache>
                <c:formatCode>0.00%</c:formatCode>
                <c:ptCount val="4"/>
                <c:pt idx="0">
                  <c:v>-2.8097335871503279E-3</c:v>
                </c:pt>
                <c:pt idx="1">
                  <c:v>1.091448070315304E-2</c:v>
                </c:pt>
                <c:pt idx="2">
                  <c:v>3.7680552069471948E-2</c:v>
                </c:pt>
                <c:pt idx="3">
                  <c:v>-1.6739486746030578E-3</c:v>
                </c:pt>
              </c:numCache>
            </c:numRef>
          </c:val>
          <c:extLst>
            <c:ext xmlns:c16="http://schemas.microsoft.com/office/drawing/2014/chart" uri="{C3380CC4-5D6E-409C-BE32-E72D297353CC}">
              <c16:uniqueId val="{0000000C-47DB-4567-A86D-509E4E41F177}"/>
            </c:ext>
          </c:extLst>
        </c:ser>
        <c:dLbls>
          <c:showLegendKey val="0"/>
          <c:showVal val="0"/>
          <c:showCatName val="0"/>
          <c:showSerName val="0"/>
          <c:showPercent val="0"/>
          <c:showBubbleSize val="0"/>
        </c:dLbls>
        <c:gapWidth val="219"/>
        <c:overlap val="-27"/>
        <c:axId val="430857296"/>
        <c:axId val="430857936"/>
      </c:barChart>
      <c:catAx>
        <c:axId val="430857296"/>
        <c:scaling>
          <c:orientation val="minMax"/>
        </c:scaling>
        <c:delete val="0"/>
        <c:axPos val="b"/>
        <c:numFmt formatCode="General" sourceLinked="1"/>
        <c:majorTickMark val="cross"/>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857936"/>
        <c:crosses val="autoZero"/>
        <c:auto val="1"/>
        <c:lblAlgn val="ctr"/>
        <c:lblOffset val="100"/>
        <c:tickMarkSkip val="1"/>
        <c:noMultiLvlLbl val="0"/>
      </c:catAx>
      <c:valAx>
        <c:axId val="430857936"/>
        <c:scaling>
          <c:orientation val="minMax"/>
          <c:max val="0.5"/>
          <c:min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a:t>
                </a:r>
                <a:r>
                  <a:rPr lang="en-US" baseline="0"/>
                  <a:t> Annual Percent Change within Time Period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857296"/>
        <c:crosses val="autoZero"/>
        <c:crossBetween val="between"/>
      </c:valAx>
      <c:spPr>
        <a:noFill/>
        <a:ln>
          <a:noFill/>
        </a:ln>
        <a:effectLst/>
      </c:spPr>
    </c:plotArea>
    <c:legend>
      <c:legendPos val="l"/>
      <c:layout>
        <c:manualLayout>
          <c:xMode val="edge"/>
          <c:yMode val="edge"/>
          <c:x val="4.6565774155995342E-3"/>
          <c:y val="3.3272455526392533E-2"/>
          <c:w val="8.8574526794519479E-2"/>
          <c:h val="0.934838750692495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 of Jobs, Housing, Shopping, </a:t>
            </a:r>
          </a:p>
          <a:p>
            <a:pPr>
              <a:defRPr/>
            </a:pPr>
            <a:r>
              <a:rPr lang="en-US"/>
              <a:t>Education, Cultural Activity in Town</a:t>
            </a:r>
          </a:p>
        </c:rich>
      </c:tx>
      <c:layout>
        <c:manualLayout>
          <c:xMode val="edge"/>
          <c:yMode val="edge"/>
          <c:x val="1.0028653295128941E-2"/>
          <c:y val="5.5555555555555552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87741195310975"/>
          <c:y val="5.0925925925925923E-2"/>
          <c:w val="0.8059040344070959"/>
          <c:h val="0.8416746864975212"/>
        </c:manualLayout>
      </c:layout>
      <c:lineChart>
        <c:grouping val="standard"/>
        <c:varyColors val="0"/>
        <c:ser>
          <c:idx val="1"/>
          <c:order val="0"/>
          <c:tx>
            <c:strRef>
              <c:f>Indicators!$C$345</c:f>
              <c:strCache>
                <c:ptCount val="1"/>
                <c:pt idx="0">
                  <c:v>Percentage of Wage Jobs in Town</c:v>
                </c:pt>
              </c:strCache>
            </c:strRef>
          </c:tx>
          <c:spPr>
            <a:ln w="19050" cap="rnd">
              <a:solidFill>
                <a:schemeClr val="accent6"/>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Indicators!$I$345:$AK$345</c:f>
              <c:numCache>
                <c:formatCode>0.0%</c:formatCode>
                <c:ptCount val="29"/>
                <c:pt idx="0">
                  <c:v>0.73057671381936884</c:v>
                </c:pt>
                <c:pt idx="1">
                  <c:v>0.72231567143257636</c:v>
                </c:pt>
                <c:pt idx="2">
                  <c:v>0.73826516607191872</c:v>
                </c:pt>
                <c:pt idx="3">
                  <c:v>0.73426527096859684</c:v>
                </c:pt>
                <c:pt idx="4">
                  <c:v>0.73431758107149769</c:v>
                </c:pt>
                <c:pt idx="5">
                  <c:v>0.70436187399030692</c:v>
                </c:pt>
                <c:pt idx="6">
                  <c:v>0.68617737003058099</c:v>
                </c:pt>
                <c:pt idx="7">
                  <c:v>0.64659135688953107</c:v>
                </c:pt>
                <c:pt idx="8">
                  <c:v>0.7266617380200282</c:v>
                </c:pt>
                <c:pt idx="9">
                  <c:v>0.6753360215053763</c:v>
                </c:pt>
                <c:pt idx="10">
                  <c:v>0.60095802009181021</c:v>
                </c:pt>
                <c:pt idx="11">
                  <c:v>0.59251905463395893</c:v>
                </c:pt>
                <c:pt idx="12">
                  <c:v>0.59621848739495797</c:v>
                </c:pt>
                <c:pt idx="13">
                  <c:v>0.6023552847433794</c:v>
                </c:pt>
                <c:pt idx="14">
                  <c:v>0.61090465683428175</c:v>
                </c:pt>
                <c:pt idx="15">
                  <c:v>0.60778990525790899</c:v>
                </c:pt>
                <c:pt idx="16">
                  <c:v>0.59928922908693272</c:v>
                </c:pt>
                <c:pt idx="17">
                  <c:v>0.57195386087744926</c:v>
                </c:pt>
                <c:pt idx="18">
                  <c:v>0.61522285180209124</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49A0-466B-949A-DC10008B63E3}"/>
            </c:ext>
          </c:extLst>
        </c:ser>
        <c:ser>
          <c:idx val="0"/>
          <c:order val="1"/>
          <c:tx>
            <c:strRef>
              <c:f>Indicators!$C$346</c:f>
              <c:strCache>
                <c:ptCount val="1"/>
                <c:pt idx="0">
                  <c:v>Percentage of Residential Units in Town</c:v>
                </c:pt>
              </c:strCache>
            </c:strRef>
          </c:tx>
          <c:spPr>
            <a:ln w="19050" cap="rnd">
              <a:solidFill>
                <a:schemeClr val="accent2"/>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Indicators!$I$346:$AK$346</c:f>
              <c:numCache>
                <c:formatCode>0.0%</c:formatCode>
                <c:ptCount val="29"/>
                <c:pt idx="0">
                  <c:v>0.46025515210991169</c:v>
                </c:pt>
                <c:pt idx="1">
                  <c:v>0.46084662429547907</c:v>
                </c:pt>
                <c:pt idx="2">
                  <c:v>0.46420323325635104</c:v>
                </c:pt>
                <c:pt idx="3">
                  <c:v>0.46404264972776771</c:v>
                </c:pt>
                <c:pt idx="4">
                  <c:v>0.46577758183621737</c:v>
                </c:pt>
                <c:pt idx="5">
                  <c:v>0.46357830934083777</c:v>
                </c:pt>
                <c:pt idx="6">
                  <c:v>0.46139940450871969</c:v>
                </c:pt>
                <c:pt idx="7">
                  <c:v>0.45946791862284819</c:v>
                </c:pt>
                <c:pt idx="8">
                  <c:v>0.4556637621732445</c:v>
                </c:pt>
                <c:pt idx="9">
                  <c:v>0.45424004886490887</c:v>
                </c:pt>
                <c:pt idx="10">
                  <c:v>0.45403984224896349</c:v>
                </c:pt>
                <c:pt idx="11">
                  <c:v>0.452572347266881</c:v>
                </c:pt>
                <c:pt idx="12">
                  <c:v>0.45337045138198451</c:v>
                </c:pt>
                <c:pt idx="13">
                  <c:v>0.45203730976926854</c:v>
                </c:pt>
                <c:pt idx="14">
                  <c:v>0.45221942236867613</c:v>
                </c:pt>
                <c:pt idx="15">
                  <c:v>0.44790465205690116</c:v>
                </c:pt>
                <c:pt idx="16">
                  <c:v>0.44753261486103235</c:v>
                </c:pt>
                <c:pt idx="17">
                  <c:v>0.45</c:v>
                </c:pt>
                <c:pt idx="18">
                  <c:v>0.45554047942107645</c:v>
                </c:pt>
                <c:pt idx="19">
                  <c:v>0.46066619418851878</c:v>
                </c:pt>
                <c:pt idx="20">
                  <c:v>0.45975096457383374</c:v>
                </c:pt>
                <c:pt idx="21">
                  <c:v>0.45979128299570288</c:v>
                </c:pt>
                <c:pt idx="22">
                  <c:v>0.45979128299570288</c:v>
                </c:pt>
                <c:pt idx="23">
                  <c:v>0.45979128299570288</c:v>
                </c:pt>
                <c:pt idx="24">
                  <c:v>0.45979128299570288</c:v>
                </c:pt>
                <c:pt idx="25">
                  <c:v>0.45979128299570288</c:v>
                </c:pt>
                <c:pt idx="26">
                  <c:v>0.45979128299570288</c:v>
                </c:pt>
                <c:pt idx="27">
                  <c:v>0.45979128299570288</c:v>
                </c:pt>
                <c:pt idx="28">
                  <c:v>0.45979128299570288</c:v>
                </c:pt>
              </c:numCache>
            </c:numRef>
          </c:val>
          <c:smooth val="0"/>
          <c:extLst>
            <c:ext xmlns:c16="http://schemas.microsoft.com/office/drawing/2014/chart" uri="{C3380CC4-5D6E-409C-BE32-E72D297353CC}">
              <c16:uniqueId val="{00000001-49A0-466B-949A-DC10008B63E3}"/>
            </c:ext>
          </c:extLst>
        </c:ser>
        <c:ser>
          <c:idx val="6"/>
          <c:order val="2"/>
          <c:tx>
            <c:strRef>
              <c:f>Indicators!$C$351</c:f>
              <c:strCache>
                <c:ptCount val="1"/>
                <c:pt idx="0">
                  <c:v>Percentage of Shopping in Town</c:v>
                </c:pt>
              </c:strCache>
            </c:strRef>
          </c:tx>
          <c:spPr>
            <a:ln w="19050" cap="rnd">
              <a:solidFill>
                <a:schemeClr val="accent1">
                  <a:lumMod val="60000"/>
                </a:schemeClr>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Indicators!$I$351:$AK$351</c:f>
              <c:numCache>
                <c:formatCode>0.0%</c:formatCode>
                <c:ptCount val="29"/>
              </c:numCache>
            </c:numRef>
          </c:val>
          <c:smooth val="0"/>
          <c:extLst>
            <c:ext xmlns:c16="http://schemas.microsoft.com/office/drawing/2014/chart" uri="{C3380CC4-5D6E-409C-BE32-E72D297353CC}">
              <c16:uniqueId val="{00000005-7DEF-43DF-A27C-B5744BD00534}"/>
            </c:ext>
          </c:extLst>
        </c:ser>
        <c:ser>
          <c:idx val="7"/>
          <c:order val="3"/>
          <c:tx>
            <c:strRef>
              <c:f>Indicators!$C$352</c:f>
              <c:strCache>
                <c:ptCount val="1"/>
                <c:pt idx="0">
                  <c:v>Percentage of Education Floor Area in Town</c:v>
                </c:pt>
              </c:strCache>
            </c:strRef>
          </c:tx>
          <c:spPr>
            <a:ln w="19050" cap="rnd">
              <a:solidFill>
                <a:schemeClr val="accent3"/>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Indicators!$I$352:$AK$352</c:f>
              <c:numCache>
                <c:formatCode>0.0%</c:formatCode>
                <c:ptCount val="29"/>
                <c:pt idx="0">
                  <c:v>0.76300573014263473</c:v>
                </c:pt>
                <c:pt idx="1">
                  <c:v>0.75757264153715076</c:v>
                </c:pt>
                <c:pt idx="2">
                  <c:v>0.75918531881168616</c:v>
                </c:pt>
                <c:pt idx="3">
                  <c:v>0.71662310945439667</c:v>
                </c:pt>
                <c:pt idx="4">
                  <c:v>0.67031079406651317</c:v>
                </c:pt>
                <c:pt idx="5">
                  <c:v>0.67031079406651317</c:v>
                </c:pt>
                <c:pt idx="6">
                  <c:v>0.6702284380194139</c:v>
                </c:pt>
                <c:pt idx="7">
                  <c:v>0.6702284380194139</c:v>
                </c:pt>
                <c:pt idx="8">
                  <c:v>0.67432736312428643</c:v>
                </c:pt>
                <c:pt idx="9">
                  <c:v>0.67432736312428643</c:v>
                </c:pt>
                <c:pt idx="10">
                  <c:v>0.67432736312428643</c:v>
                </c:pt>
                <c:pt idx="11">
                  <c:v>0.67432736312428643</c:v>
                </c:pt>
                <c:pt idx="12">
                  <c:v>0.67432736312428643</c:v>
                </c:pt>
                <c:pt idx="13">
                  <c:v>0.67817986911109307</c:v>
                </c:pt>
                <c:pt idx="14">
                  <c:v>0.67817986911109307</c:v>
                </c:pt>
                <c:pt idx="15">
                  <c:v>0.67817986911109307</c:v>
                </c:pt>
                <c:pt idx="16">
                  <c:v>0.59979499663666358</c:v>
                </c:pt>
                <c:pt idx="17">
                  <c:v>0.59740872900791697</c:v>
                </c:pt>
                <c:pt idx="18">
                  <c:v>0.58868949255404479</c:v>
                </c:pt>
                <c:pt idx="19">
                  <c:v>0.58868949255404479</c:v>
                </c:pt>
                <c:pt idx="20">
                  <c:v>0.58869006038483951</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6-7DEF-43DF-A27C-B5744BD00534}"/>
            </c:ext>
          </c:extLst>
        </c:ser>
        <c:ser>
          <c:idx val="10"/>
          <c:order val="4"/>
          <c:tx>
            <c:strRef>
              <c:f>Indicators!$C$355</c:f>
              <c:strCache>
                <c:ptCount val="1"/>
                <c:pt idx="0">
                  <c:v>Percentage of Cultural Activities in Town</c:v>
                </c:pt>
              </c:strCache>
            </c:strRef>
          </c:tx>
          <c:spPr>
            <a:ln w="19050" cap="rnd">
              <a:solidFill>
                <a:schemeClr val="accent5">
                  <a:lumMod val="60000"/>
                </a:schemeClr>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Indicators!$I$355:$AK$355</c:f>
              <c:numCache>
                <c:formatCode>0.0%</c:formatCode>
                <c:ptCount val="29"/>
              </c:numCache>
            </c:numRef>
          </c:val>
          <c:smooth val="0"/>
          <c:extLst>
            <c:ext xmlns:c16="http://schemas.microsoft.com/office/drawing/2014/chart" uri="{C3380CC4-5D6E-409C-BE32-E72D297353CC}">
              <c16:uniqueId val="{00000009-7DEF-43DF-A27C-B5744BD00534}"/>
            </c:ext>
          </c:extLst>
        </c:ser>
        <c:dLbls>
          <c:showLegendKey val="0"/>
          <c:showVal val="0"/>
          <c:showCatName val="0"/>
          <c:showSerName val="0"/>
          <c:showPercent val="0"/>
          <c:showBubbleSize val="0"/>
        </c:dLbls>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 in Town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ayout>
        <c:manualLayout>
          <c:xMode val="edge"/>
          <c:yMode val="edge"/>
          <c:x val="2.0392572704916182E-2"/>
          <c:y val="0.31799686497521146"/>
          <c:w val="0.14631066703875359"/>
          <c:h val="0.389276080974307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Capital Project Group 1 (Hwy 22) </a:t>
            </a:r>
          </a:p>
          <a:p>
            <a:pPr>
              <a:defRPr/>
            </a:pPr>
            <a:r>
              <a:rPr lang="en-US"/>
              <a:t>Benchmarks</a:t>
            </a:r>
          </a:p>
        </c:rich>
      </c:tx>
      <c:layout>
        <c:manualLayout>
          <c:xMode val="edge"/>
          <c:yMode val="edge"/>
          <c:x val="1.4219694276573054E-2"/>
          <c:y val="6.7796610169491525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77535682195434"/>
          <c:y val="5.0925925925925923E-2"/>
          <c:w val="0.82422416358993167"/>
          <c:h val="0.8416746864975212"/>
        </c:manualLayout>
      </c:layout>
      <c:areaChart>
        <c:grouping val="stacked"/>
        <c:varyColors val="0"/>
        <c:ser>
          <c:idx val="3"/>
          <c:order val="0"/>
          <c:tx>
            <c:v>Below 1st Bench</c:v>
          </c:tx>
          <c:spPr>
            <a:noFill/>
            <a:ln>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Indicators!$I$1018:$AK$1018</c:f>
              <c:numCache>
                <c:formatCode>#,##0</c:formatCode>
                <c:ptCount val="29"/>
                <c:pt idx="0">
                  <c:v>18600</c:v>
                </c:pt>
                <c:pt idx="1">
                  <c:v>18600</c:v>
                </c:pt>
                <c:pt idx="2">
                  <c:v>18600</c:v>
                </c:pt>
                <c:pt idx="3">
                  <c:v>18600</c:v>
                </c:pt>
                <c:pt idx="4">
                  <c:v>18600</c:v>
                </c:pt>
                <c:pt idx="5">
                  <c:v>18600</c:v>
                </c:pt>
                <c:pt idx="6">
                  <c:v>18600</c:v>
                </c:pt>
                <c:pt idx="7">
                  <c:v>18600</c:v>
                </c:pt>
                <c:pt idx="8">
                  <c:v>18600</c:v>
                </c:pt>
                <c:pt idx="9">
                  <c:v>18600</c:v>
                </c:pt>
                <c:pt idx="10">
                  <c:v>18600</c:v>
                </c:pt>
                <c:pt idx="11">
                  <c:v>18600</c:v>
                </c:pt>
                <c:pt idx="12">
                  <c:v>18600</c:v>
                </c:pt>
                <c:pt idx="13">
                  <c:v>18600</c:v>
                </c:pt>
                <c:pt idx="14">
                  <c:v>18600</c:v>
                </c:pt>
                <c:pt idx="15">
                  <c:v>18600</c:v>
                </c:pt>
                <c:pt idx="16">
                  <c:v>18600</c:v>
                </c:pt>
                <c:pt idx="17">
                  <c:v>18600</c:v>
                </c:pt>
                <c:pt idx="18">
                  <c:v>18600</c:v>
                </c:pt>
                <c:pt idx="19">
                  <c:v>18600</c:v>
                </c:pt>
                <c:pt idx="20">
                  <c:v>18600</c:v>
                </c:pt>
                <c:pt idx="21">
                  <c:v>18600</c:v>
                </c:pt>
                <c:pt idx="22">
                  <c:v>18600</c:v>
                </c:pt>
                <c:pt idx="23">
                  <c:v>18600</c:v>
                </c:pt>
                <c:pt idx="24">
                  <c:v>18600</c:v>
                </c:pt>
                <c:pt idx="25">
                  <c:v>18600</c:v>
                </c:pt>
                <c:pt idx="26">
                  <c:v>18600</c:v>
                </c:pt>
                <c:pt idx="27">
                  <c:v>18600</c:v>
                </c:pt>
                <c:pt idx="28">
                  <c:v>18600</c:v>
                </c:pt>
              </c:numCache>
            </c:numRef>
          </c:val>
          <c:extLst>
            <c:ext xmlns:c16="http://schemas.microsoft.com/office/drawing/2014/chart" uri="{C3380CC4-5D6E-409C-BE32-E72D297353CC}">
              <c16:uniqueId val="{00000003-BD54-4768-8D69-5FE6F34D1207}"/>
            </c:ext>
          </c:extLst>
        </c:ser>
        <c:ser>
          <c:idx val="1"/>
          <c:order val="1"/>
          <c:tx>
            <c:strRef>
              <c:f>Indicators!$D$1018</c:f>
              <c:strCache>
                <c:ptCount val="1"/>
                <c:pt idx="0">
                  <c:v>Preliminary Engineering Benchmark</c:v>
                </c:pt>
              </c:strCache>
            </c:strRef>
          </c:tx>
          <c:spPr>
            <a:solidFill>
              <a:schemeClr val="accent2">
                <a:alpha val="50000"/>
              </a:schemeClr>
            </a:solidFill>
            <a:ln w="25400">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Indicators!$I$1017:$AK$1017</c:f>
              <c:numCache>
                <c:formatCode>#,##0</c:formatCode>
                <c:ptCount val="29"/>
                <c:pt idx="0">
                  <c:v>1400</c:v>
                </c:pt>
                <c:pt idx="1">
                  <c:v>1400</c:v>
                </c:pt>
                <c:pt idx="2">
                  <c:v>1400</c:v>
                </c:pt>
                <c:pt idx="3">
                  <c:v>1400</c:v>
                </c:pt>
                <c:pt idx="4">
                  <c:v>1400</c:v>
                </c:pt>
                <c:pt idx="5">
                  <c:v>1400</c:v>
                </c:pt>
                <c:pt idx="6">
                  <c:v>1400</c:v>
                </c:pt>
                <c:pt idx="7">
                  <c:v>1400</c:v>
                </c:pt>
                <c:pt idx="8">
                  <c:v>1400</c:v>
                </c:pt>
                <c:pt idx="9">
                  <c:v>1400</c:v>
                </c:pt>
                <c:pt idx="10">
                  <c:v>1400</c:v>
                </c:pt>
                <c:pt idx="11">
                  <c:v>1400</c:v>
                </c:pt>
                <c:pt idx="12">
                  <c:v>1400</c:v>
                </c:pt>
                <c:pt idx="13">
                  <c:v>1400</c:v>
                </c:pt>
                <c:pt idx="14">
                  <c:v>1400</c:v>
                </c:pt>
                <c:pt idx="15">
                  <c:v>1400</c:v>
                </c:pt>
                <c:pt idx="16">
                  <c:v>1400</c:v>
                </c:pt>
                <c:pt idx="17">
                  <c:v>1400</c:v>
                </c:pt>
                <c:pt idx="18">
                  <c:v>1400</c:v>
                </c:pt>
                <c:pt idx="19">
                  <c:v>1400</c:v>
                </c:pt>
                <c:pt idx="20">
                  <c:v>1400</c:v>
                </c:pt>
                <c:pt idx="21">
                  <c:v>1400</c:v>
                </c:pt>
                <c:pt idx="22">
                  <c:v>1400</c:v>
                </c:pt>
                <c:pt idx="23">
                  <c:v>1400</c:v>
                </c:pt>
                <c:pt idx="24">
                  <c:v>1400</c:v>
                </c:pt>
                <c:pt idx="25">
                  <c:v>1400</c:v>
                </c:pt>
                <c:pt idx="26">
                  <c:v>1400</c:v>
                </c:pt>
                <c:pt idx="27">
                  <c:v>1400</c:v>
                </c:pt>
                <c:pt idx="28">
                  <c:v>1400</c:v>
                </c:pt>
              </c:numCache>
            </c:numRef>
          </c:val>
          <c:extLst>
            <c:ext xmlns:c16="http://schemas.microsoft.com/office/drawing/2014/chart" uri="{C3380CC4-5D6E-409C-BE32-E72D297353CC}">
              <c16:uniqueId val="{00000002-BD54-4768-8D69-5FE6F34D1207}"/>
            </c:ext>
          </c:extLst>
        </c:ser>
        <c:ser>
          <c:idx val="0"/>
          <c:order val="2"/>
          <c:tx>
            <c:strRef>
              <c:f>Indicators!$D$1016</c:f>
              <c:strCache>
                <c:ptCount val="1"/>
                <c:pt idx="0">
                  <c:v>Construction Benchmark</c:v>
                </c:pt>
              </c:strCache>
            </c:strRef>
          </c:tx>
          <c:spPr>
            <a:solidFill>
              <a:srgbClr val="C00000">
                <a:alpha val="50000"/>
              </a:srgbClr>
            </a:solidFill>
            <a:ln w="25400">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Indicators!$I$1015:$AK$1015</c:f>
              <c:numCache>
                <c:formatCode>#,##0</c:formatCode>
                <c:ptCount val="29"/>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numCache>
            </c:numRef>
          </c:val>
          <c:extLst>
            <c:ext xmlns:c16="http://schemas.microsoft.com/office/drawing/2014/chart" uri="{C3380CC4-5D6E-409C-BE32-E72D297353CC}">
              <c16:uniqueId val="{00000001-BD54-4768-8D69-5FE6F34D1207}"/>
            </c:ext>
          </c:extLst>
        </c:ser>
        <c:dLbls>
          <c:showLegendKey val="0"/>
          <c:showVal val="0"/>
          <c:showCatName val="0"/>
          <c:showSerName val="0"/>
          <c:showPercent val="0"/>
          <c:showBubbleSize val="0"/>
        </c:dLbls>
        <c:axId val="820790392"/>
        <c:axId val="820794232"/>
      </c:areaChart>
      <c:barChart>
        <c:barDir val="col"/>
        <c:grouping val="clustered"/>
        <c:varyColors val="0"/>
        <c:ser>
          <c:idx val="5"/>
          <c:order val="5"/>
          <c:tx>
            <c:strRef>
              <c:f>Indicators!$D$1021</c:f>
              <c:strCache>
                <c:ptCount val="1"/>
                <c:pt idx="0">
                  <c:v>Actual Summer Average MAWT</c:v>
                </c:pt>
              </c:strCache>
            </c:strRef>
          </c:tx>
          <c:spPr>
            <a:solidFill>
              <a:schemeClr val="accent1"/>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Indicators!$I$1021:$AK$1021</c:f>
              <c:numCache>
                <c:formatCode>#,##0</c:formatCode>
                <c:ptCount val="29"/>
                <c:pt idx="0">
                  <c:v>0</c:v>
                </c:pt>
                <c:pt idx="1">
                  <c:v>0</c:v>
                </c:pt>
                <c:pt idx="2">
                  <c:v>0</c:v>
                </c:pt>
                <c:pt idx="3">
                  <c:v>0</c:v>
                </c:pt>
                <c:pt idx="4">
                  <c:v>0</c:v>
                </c:pt>
                <c:pt idx="5">
                  <c:v>0</c:v>
                </c:pt>
                <c:pt idx="6">
                  <c:v>0</c:v>
                </c:pt>
                <c:pt idx="7">
                  <c:v>20377.75</c:v>
                </c:pt>
                <c:pt idx="8">
                  <c:v>20220.25</c:v>
                </c:pt>
                <c:pt idx="9">
                  <c:v>19752.75</c:v>
                </c:pt>
                <c:pt idx="10">
                  <c:v>20511.75</c:v>
                </c:pt>
                <c:pt idx="11">
                  <c:v>20922.5</c:v>
                </c:pt>
                <c:pt idx="12">
                  <c:v>21379.25</c:v>
                </c:pt>
                <c:pt idx="13">
                  <c:v>22202.25</c:v>
                </c:pt>
                <c:pt idx="14">
                  <c:v>23337</c:v>
                </c:pt>
                <c:pt idx="15">
                  <c:v>21767.5</c:v>
                </c:pt>
                <c:pt idx="16">
                  <c:v>22745</c:v>
                </c:pt>
                <c:pt idx="17">
                  <c:v>23378.25</c:v>
                </c:pt>
                <c:pt idx="18">
                  <c:v>22217.75</c:v>
                </c:pt>
                <c:pt idx="19">
                  <c:v>22474.25</c:v>
                </c:pt>
                <c:pt idx="20">
                  <c:v>24225</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6-BD54-4768-8D69-5FE6F34D1207}"/>
            </c:ext>
          </c:extLst>
        </c:ser>
        <c:dLbls>
          <c:showLegendKey val="0"/>
          <c:showVal val="0"/>
          <c:showCatName val="0"/>
          <c:showSerName val="0"/>
          <c:showPercent val="0"/>
          <c:showBubbleSize val="0"/>
        </c:dLbls>
        <c:gapWidth val="150"/>
        <c:axId val="820790392"/>
        <c:axId val="820794232"/>
      </c:barChart>
      <c:lineChart>
        <c:grouping val="standard"/>
        <c:varyColors val="0"/>
        <c:ser>
          <c:idx val="2"/>
          <c:order val="3"/>
          <c:tx>
            <c:strRef>
              <c:f>Indicators!$D$1019</c:f>
              <c:strCache>
                <c:ptCount val="1"/>
                <c:pt idx="0">
                  <c:v>Baseline Forecast</c:v>
                </c:pt>
              </c:strCache>
            </c:strRef>
          </c:tx>
          <c:spPr>
            <a:ln w="38100" cap="rnd">
              <a:solidFill>
                <a:schemeClr val="accent5"/>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Indicators!$I$1019:$AK$1019</c:f>
              <c:numCache>
                <c:formatCode>#,##0</c:formatCode>
                <c:ptCount val="29"/>
                <c:pt idx="7">
                  <c:v>19436.363636363647</c:v>
                </c:pt>
                <c:pt idx="8">
                  <c:v>19727.272727272823</c:v>
                </c:pt>
                <c:pt idx="9">
                  <c:v>20018.181818181882</c:v>
                </c:pt>
                <c:pt idx="10">
                  <c:v>20309.090909090941</c:v>
                </c:pt>
                <c:pt idx="11">
                  <c:v>20600</c:v>
                </c:pt>
                <c:pt idx="12">
                  <c:v>20890.909090909176</c:v>
                </c:pt>
                <c:pt idx="13">
                  <c:v>21181.818181818235</c:v>
                </c:pt>
                <c:pt idx="14">
                  <c:v>21472.727272727294</c:v>
                </c:pt>
                <c:pt idx="15">
                  <c:v>21763.636363636469</c:v>
                </c:pt>
                <c:pt idx="16">
                  <c:v>22054.545454545529</c:v>
                </c:pt>
                <c:pt idx="17">
                  <c:v>22345.454545454588</c:v>
                </c:pt>
                <c:pt idx="18">
                  <c:v>22636.363636363647</c:v>
                </c:pt>
                <c:pt idx="19">
                  <c:v>22927.272727272823</c:v>
                </c:pt>
                <c:pt idx="20">
                  <c:v>23218.181818181882</c:v>
                </c:pt>
                <c:pt idx="21">
                  <c:v>23509.090909090941</c:v>
                </c:pt>
                <c:pt idx="22">
                  <c:v>23800</c:v>
                </c:pt>
                <c:pt idx="23">
                  <c:v>24090.909090909176</c:v>
                </c:pt>
                <c:pt idx="24">
                  <c:v>24381.818181818235</c:v>
                </c:pt>
                <c:pt idx="25">
                  <c:v>24672.727272727294</c:v>
                </c:pt>
                <c:pt idx="26">
                  <c:v>24963.636363636469</c:v>
                </c:pt>
                <c:pt idx="27">
                  <c:v>25254.545454545529</c:v>
                </c:pt>
                <c:pt idx="28">
                  <c:v>25545.454545454588</c:v>
                </c:pt>
              </c:numCache>
            </c:numRef>
          </c:val>
          <c:smooth val="0"/>
          <c:extLst>
            <c:ext xmlns:c16="http://schemas.microsoft.com/office/drawing/2014/chart" uri="{C3380CC4-5D6E-409C-BE32-E72D297353CC}">
              <c16:uniqueId val="{00000005-BD54-4768-8D69-5FE6F34D1207}"/>
            </c:ext>
          </c:extLst>
        </c:ser>
        <c:ser>
          <c:idx val="4"/>
          <c:order val="4"/>
          <c:tx>
            <c:strRef>
              <c:f>Indicators!$D$1020</c:f>
              <c:strCache>
                <c:ptCount val="1"/>
                <c:pt idx="0">
                  <c:v>ITP Scenario</c:v>
                </c:pt>
              </c:strCache>
            </c:strRef>
          </c:tx>
          <c:spPr>
            <a:ln w="25400" cap="rnd">
              <a:solidFill>
                <a:schemeClr val="accent6"/>
              </a:solidFill>
              <a:prstDash val="dash"/>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Indicators!$I$1020:$AK$1020</c:f>
              <c:numCache>
                <c:formatCode>#,##0</c:formatCode>
                <c:ptCount val="29"/>
                <c:pt idx="14">
                  <c:v>21463.636363636353</c:v>
                </c:pt>
                <c:pt idx="15">
                  <c:v>21618.181818181765</c:v>
                </c:pt>
                <c:pt idx="16">
                  <c:v>21772.727272727236</c:v>
                </c:pt>
                <c:pt idx="17">
                  <c:v>21927.272727272706</c:v>
                </c:pt>
                <c:pt idx="18">
                  <c:v>22081.818181818177</c:v>
                </c:pt>
                <c:pt idx="19">
                  <c:v>22236.363636363589</c:v>
                </c:pt>
                <c:pt idx="20">
                  <c:v>22390.909090909059</c:v>
                </c:pt>
                <c:pt idx="21">
                  <c:v>22545.45454545453</c:v>
                </c:pt>
                <c:pt idx="22">
                  <c:v>22700</c:v>
                </c:pt>
                <c:pt idx="23">
                  <c:v>22854.545454545412</c:v>
                </c:pt>
                <c:pt idx="24">
                  <c:v>23009.090909090883</c:v>
                </c:pt>
                <c:pt idx="25">
                  <c:v>23163.636363636353</c:v>
                </c:pt>
                <c:pt idx="26">
                  <c:v>23318.181818181765</c:v>
                </c:pt>
                <c:pt idx="27">
                  <c:v>23472.727272727236</c:v>
                </c:pt>
                <c:pt idx="28">
                  <c:v>23627.272727272706</c:v>
                </c:pt>
              </c:numCache>
            </c:numRef>
          </c:val>
          <c:smooth val="0"/>
          <c:extLst>
            <c:ext xmlns:c16="http://schemas.microsoft.com/office/drawing/2014/chart" uri="{C3380CC4-5D6E-409C-BE32-E72D297353CC}">
              <c16:uniqueId val="{00000004-BD54-4768-8D69-5FE6F34D1207}"/>
            </c:ext>
          </c:extLst>
        </c:ser>
        <c:dLbls>
          <c:showLegendKey val="0"/>
          <c:showVal val="0"/>
          <c:showCatName val="0"/>
          <c:showSerName val="0"/>
          <c:showPercent val="0"/>
          <c:showBubbleSize val="0"/>
        </c:dLbls>
        <c:marker val="1"/>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max val="27000"/>
          <c:min val="17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 Summer Weekday Vehicles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egendEntry>
        <c:idx val="2"/>
        <c:delete val="1"/>
      </c:legendEntry>
      <c:layout>
        <c:manualLayout>
          <c:xMode val="edge"/>
          <c:yMode val="edge"/>
          <c:x val="2.1329541414859581E-2"/>
          <c:y val="0.30932052137550597"/>
          <c:w val="7.969451916626312E-2"/>
          <c:h val="0.381358601361270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Capital Project Group 2 (Moose-Wilson) </a:t>
            </a:r>
          </a:p>
          <a:p>
            <a:pPr>
              <a:defRPr/>
            </a:pPr>
            <a:r>
              <a:rPr lang="en-US"/>
              <a:t>Benchmarks</a:t>
            </a:r>
          </a:p>
        </c:rich>
      </c:tx>
      <c:layout>
        <c:manualLayout>
          <c:xMode val="edge"/>
          <c:yMode val="edge"/>
          <c:x val="1.1375755421258443E-2"/>
          <c:y val="5.4237288135593219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77535682195434"/>
          <c:y val="5.0925925925925923E-2"/>
          <c:w val="0.82422416358993167"/>
          <c:h val="0.8416746864975212"/>
        </c:manualLayout>
      </c:layout>
      <c:areaChart>
        <c:grouping val="stacked"/>
        <c:varyColors val="0"/>
        <c:ser>
          <c:idx val="3"/>
          <c:order val="0"/>
          <c:tx>
            <c:v>Below 1st Bench</c:v>
          </c:tx>
          <c:spPr>
            <a:noFill/>
            <a:ln w="25400">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Indicators!$I$1041:$AK$1041</c:f>
              <c:numCache>
                <c:formatCode>#,##0</c:formatCode>
                <c:ptCount val="29"/>
                <c:pt idx="0">
                  <c:v>14136</c:v>
                </c:pt>
                <c:pt idx="1">
                  <c:v>14137</c:v>
                </c:pt>
                <c:pt idx="2">
                  <c:v>14138</c:v>
                </c:pt>
                <c:pt idx="3">
                  <c:v>14139</c:v>
                </c:pt>
                <c:pt idx="4">
                  <c:v>14140</c:v>
                </c:pt>
                <c:pt idx="5">
                  <c:v>14141</c:v>
                </c:pt>
                <c:pt idx="6">
                  <c:v>14142</c:v>
                </c:pt>
                <c:pt idx="7">
                  <c:v>14143</c:v>
                </c:pt>
                <c:pt idx="8">
                  <c:v>14144</c:v>
                </c:pt>
                <c:pt idx="9">
                  <c:v>14145</c:v>
                </c:pt>
                <c:pt idx="10">
                  <c:v>14146</c:v>
                </c:pt>
                <c:pt idx="11">
                  <c:v>14147</c:v>
                </c:pt>
                <c:pt idx="12">
                  <c:v>14148</c:v>
                </c:pt>
                <c:pt idx="13">
                  <c:v>14149</c:v>
                </c:pt>
                <c:pt idx="14">
                  <c:v>14150</c:v>
                </c:pt>
                <c:pt idx="15">
                  <c:v>14151</c:v>
                </c:pt>
                <c:pt idx="16">
                  <c:v>14152</c:v>
                </c:pt>
                <c:pt idx="17">
                  <c:v>14153</c:v>
                </c:pt>
                <c:pt idx="18">
                  <c:v>14154</c:v>
                </c:pt>
                <c:pt idx="19">
                  <c:v>14155</c:v>
                </c:pt>
                <c:pt idx="20">
                  <c:v>14156</c:v>
                </c:pt>
                <c:pt idx="21">
                  <c:v>14157</c:v>
                </c:pt>
                <c:pt idx="22">
                  <c:v>14158</c:v>
                </c:pt>
                <c:pt idx="23">
                  <c:v>14159</c:v>
                </c:pt>
                <c:pt idx="24">
                  <c:v>14160</c:v>
                </c:pt>
                <c:pt idx="25">
                  <c:v>14161</c:v>
                </c:pt>
                <c:pt idx="26">
                  <c:v>14162</c:v>
                </c:pt>
                <c:pt idx="27">
                  <c:v>14163</c:v>
                </c:pt>
                <c:pt idx="28">
                  <c:v>14164</c:v>
                </c:pt>
              </c:numCache>
            </c:numRef>
          </c:val>
          <c:extLst>
            <c:ext xmlns:c16="http://schemas.microsoft.com/office/drawing/2014/chart" uri="{C3380CC4-5D6E-409C-BE32-E72D297353CC}">
              <c16:uniqueId val="{00000000-73A5-4CA1-BCCE-0CBCDA07C38B}"/>
            </c:ext>
          </c:extLst>
        </c:ser>
        <c:ser>
          <c:idx val="1"/>
          <c:order val="1"/>
          <c:tx>
            <c:strRef>
              <c:f>Indicators!$D$1018</c:f>
              <c:strCache>
                <c:ptCount val="1"/>
                <c:pt idx="0">
                  <c:v>Preliminary Engineering Benchmark</c:v>
                </c:pt>
              </c:strCache>
            </c:strRef>
          </c:tx>
          <c:spPr>
            <a:solidFill>
              <a:schemeClr val="accent2">
                <a:alpha val="50000"/>
              </a:schemeClr>
            </a:solidFill>
            <a:ln w="25400">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Indicators!$I$1040:$AK$1040</c:f>
              <c:numCache>
                <c:formatCode>#,##0</c:formatCode>
                <c:ptCount val="29"/>
                <c:pt idx="0">
                  <c:v>1064</c:v>
                </c:pt>
                <c:pt idx="1">
                  <c:v>1063</c:v>
                </c:pt>
                <c:pt idx="2">
                  <c:v>1062</c:v>
                </c:pt>
                <c:pt idx="3">
                  <c:v>1061</c:v>
                </c:pt>
                <c:pt idx="4">
                  <c:v>1060</c:v>
                </c:pt>
                <c:pt idx="5">
                  <c:v>1059</c:v>
                </c:pt>
                <c:pt idx="6">
                  <c:v>1058</c:v>
                </c:pt>
                <c:pt idx="7">
                  <c:v>1057</c:v>
                </c:pt>
                <c:pt idx="8">
                  <c:v>1056</c:v>
                </c:pt>
                <c:pt idx="9">
                  <c:v>1055</c:v>
                </c:pt>
                <c:pt idx="10">
                  <c:v>1054</c:v>
                </c:pt>
                <c:pt idx="11">
                  <c:v>1053</c:v>
                </c:pt>
                <c:pt idx="12">
                  <c:v>1052</c:v>
                </c:pt>
                <c:pt idx="13">
                  <c:v>1051</c:v>
                </c:pt>
                <c:pt idx="14">
                  <c:v>1050</c:v>
                </c:pt>
                <c:pt idx="15">
                  <c:v>1049</c:v>
                </c:pt>
                <c:pt idx="16">
                  <c:v>1048</c:v>
                </c:pt>
                <c:pt idx="17">
                  <c:v>1047</c:v>
                </c:pt>
                <c:pt idx="18">
                  <c:v>1046</c:v>
                </c:pt>
                <c:pt idx="19">
                  <c:v>1045</c:v>
                </c:pt>
                <c:pt idx="20">
                  <c:v>1044</c:v>
                </c:pt>
                <c:pt idx="21">
                  <c:v>1043</c:v>
                </c:pt>
                <c:pt idx="22">
                  <c:v>1042</c:v>
                </c:pt>
                <c:pt idx="23">
                  <c:v>1041</c:v>
                </c:pt>
                <c:pt idx="24">
                  <c:v>1040</c:v>
                </c:pt>
                <c:pt idx="25">
                  <c:v>1039</c:v>
                </c:pt>
                <c:pt idx="26">
                  <c:v>1038</c:v>
                </c:pt>
                <c:pt idx="27">
                  <c:v>1037</c:v>
                </c:pt>
                <c:pt idx="28">
                  <c:v>1036</c:v>
                </c:pt>
              </c:numCache>
            </c:numRef>
          </c:val>
          <c:extLst>
            <c:ext xmlns:c16="http://schemas.microsoft.com/office/drawing/2014/chart" uri="{C3380CC4-5D6E-409C-BE32-E72D297353CC}">
              <c16:uniqueId val="{00000001-73A5-4CA1-BCCE-0CBCDA07C38B}"/>
            </c:ext>
          </c:extLst>
        </c:ser>
        <c:ser>
          <c:idx val="0"/>
          <c:order val="2"/>
          <c:tx>
            <c:strRef>
              <c:f>Indicators!$D$1016</c:f>
              <c:strCache>
                <c:ptCount val="1"/>
                <c:pt idx="0">
                  <c:v>Construction Benchmark</c:v>
                </c:pt>
              </c:strCache>
            </c:strRef>
          </c:tx>
          <c:spPr>
            <a:solidFill>
              <a:srgbClr val="C00000">
                <a:alpha val="50000"/>
              </a:srgbClr>
            </a:solidFill>
            <a:ln w="25400">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Indicators!$I$1038:$AK$1038</c:f>
              <c:numCache>
                <c:formatCode>#,##0</c:formatCode>
                <c:ptCount val="29"/>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numCache>
            </c:numRef>
          </c:val>
          <c:extLst>
            <c:ext xmlns:c16="http://schemas.microsoft.com/office/drawing/2014/chart" uri="{C3380CC4-5D6E-409C-BE32-E72D297353CC}">
              <c16:uniqueId val="{00000002-73A5-4CA1-BCCE-0CBCDA07C38B}"/>
            </c:ext>
          </c:extLst>
        </c:ser>
        <c:dLbls>
          <c:showLegendKey val="0"/>
          <c:showVal val="0"/>
          <c:showCatName val="0"/>
          <c:showSerName val="0"/>
          <c:showPercent val="0"/>
          <c:showBubbleSize val="0"/>
        </c:dLbls>
        <c:axId val="820790392"/>
        <c:axId val="820794232"/>
      </c:areaChart>
      <c:barChart>
        <c:barDir val="col"/>
        <c:grouping val="clustered"/>
        <c:varyColors val="0"/>
        <c:ser>
          <c:idx val="5"/>
          <c:order val="5"/>
          <c:tx>
            <c:strRef>
              <c:f>Indicators!$D$1021</c:f>
              <c:strCache>
                <c:ptCount val="1"/>
                <c:pt idx="0">
                  <c:v>Actual Summer Average MAWT</c:v>
                </c:pt>
              </c:strCache>
            </c:strRef>
          </c:tx>
          <c:spPr>
            <a:solidFill>
              <a:schemeClr val="accent1"/>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Indicators!$I$1044:$AK$1044</c:f>
              <c:numCache>
                <c:formatCode>#,##0</c:formatCode>
                <c:ptCount val="29"/>
                <c:pt idx="0">
                  <c:v>0</c:v>
                </c:pt>
                <c:pt idx="1">
                  <c:v>0</c:v>
                </c:pt>
                <c:pt idx="2">
                  <c:v>0</c:v>
                </c:pt>
                <c:pt idx="3">
                  <c:v>0</c:v>
                </c:pt>
                <c:pt idx="4">
                  <c:v>0</c:v>
                </c:pt>
                <c:pt idx="5">
                  <c:v>0</c:v>
                </c:pt>
                <c:pt idx="6">
                  <c:v>0</c:v>
                </c:pt>
                <c:pt idx="7">
                  <c:v>13429.300000000017</c:v>
                </c:pt>
                <c:pt idx="8">
                  <c:v>13778</c:v>
                </c:pt>
                <c:pt idx="9">
                  <c:v>13591</c:v>
                </c:pt>
                <c:pt idx="10">
                  <c:v>14059</c:v>
                </c:pt>
                <c:pt idx="11">
                  <c:v>14097.5</c:v>
                </c:pt>
                <c:pt idx="12">
                  <c:v>14575</c:v>
                </c:pt>
                <c:pt idx="13">
                  <c:v>15202.75</c:v>
                </c:pt>
                <c:pt idx="14">
                  <c:v>15152</c:v>
                </c:pt>
                <c:pt idx="15">
                  <c:v>15379.5</c:v>
                </c:pt>
                <c:pt idx="16">
                  <c:v>15551.75</c:v>
                </c:pt>
                <c:pt idx="17">
                  <c:v>15165.75</c:v>
                </c:pt>
                <c:pt idx="18">
                  <c:v>14394</c:v>
                </c:pt>
                <c:pt idx="19">
                  <c:v>15467.25</c:v>
                </c:pt>
                <c:pt idx="20">
                  <c:v>14559</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73A5-4CA1-BCCE-0CBCDA07C38B}"/>
            </c:ext>
          </c:extLst>
        </c:ser>
        <c:dLbls>
          <c:showLegendKey val="0"/>
          <c:showVal val="0"/>
          <c:showCatName val="0"/>
          <c:showSerName val="0"/>
          <c:showPercent val="0"/>
          <c:showBubbleSize val="0"/>
        </c:dLbls>
        <c:gapWidth val="150"/>
        <c:axId val="820790392"/>
        <c:axId val="820794232"/>
      </c:barChart>
      <c:lineChart>
        <c:grouping val="standard"/>
        <c:varyColors val="0"/>
        <c:ser>
          <c:idx val="2"/>
          <c:order val="3"/>
          <c:tx>
            <c:strRef>
              <c:f>Indicators!$D$1019</c:f>
              <c:strCache>
                <c:ptCount val="1"/>
                <c:pt idx="0">
                  <c:v>Baseline Forecast</c:v>
                </c:pt>
              </c:strCache>
            </c:strRef>
          </c:tx>
          <c:spPr>
            <a:ln w="38100" cap="rnd">
              <a:solidFill>
                <a:schemeClr val="accent5"/>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Indicators!$I$1042:$AK$1042</c:f>
              <c:numCache>
                <c:formatCode>#,##0</c:formatCode>
                <c:ptCount val="29"/>
                <c:pt idx="7">
                  <c:v>13118.181818181823</c:v>
                </c:pt>
                <c:pt idx="8">
                  <c:v>13363.636363636411</c:v>
                </c:pt>
                <c:pt idx="9">
                  <c:v>13609.090909090941</c:v>
                </c:pt>
                <c:pt idx="10">
                  <c:v>13854.54545454547</c:v>
                </c:pt>
                <c:pt idx="11">
                  <c:v>14100</c:v>
                </c:pt>
                <c:pt idx="12">
                  <c:v>14345.454545454588</c:v>
                </c:pt>
                <c:pt idx="13">
                  <c:v>14590.909090909117</c:v>
                </c:pt>
                <c:pt idx="14">
                  <c:v>14836.363636363647</c:v>
                </c:pt>
                <c:pt idx="15">
                  <c:v>15081.818181818235</c:v>
                </c:pt>
                <c:pt idx="16">
                  <c:v>15327.272727272764</c:v>
                </c:pt>
                <c:pt idx="17">
                  <c:v>15572.727272727294</c:v>
                </c:pt>
                <c:pt idx="18">
                  <c:v>15818.181818181823</c:v>
                </c:pt>
                <c:pt idx="19">
                  <c:v>16063.636363636411</c:v>
                </c:pt>
                <c:pt idx="20">
                  <c:v>16309.090909090941</c:v>
                </c:pt>
                <c:pt idx="21">
                  <c:v>16554.54545454547</c:v>
                </c:pt>
                <c:pt idx="22">
                  <c:v>16800</c:v>
                </c:pt>
                <c:pt idx="23">
                  <c:v>17045.454545454588</c:v>
                </c:pt>
                <c:pt idx="24">
                  <c:v>17290.909090909117</c:v>
                </c:pt>
                <c:pt idx="25">
                  <c:v>17536.363636363647</c:v>
                </c:pt>
                <c:pt idx="26">
                  <c:v>17781.818181818235</c:v>
                </c:pt>
                <c:pt idx="27">
                  <c:v>18027.272727272764</c:v>
                </c:pt>
                <c:pt idx="28">
                  <c:v>18272.727272727294</c:v>
                </c:pt>
              </c:numCache>
            </c:numRef>
          </c:val>
          <c:smooth val="0"/>
          <c:extLst>
            <c:ext xmlns:c16="http://schemas.microsoft.com/office/drawing/2014/chart" uri="{C3380CC4-5D6E-409C-BE32-E72D297353CC}">
              <c16:uniqueId val="{00000004-73A5-4CA1-BCCE-0CBCDA07C38B}"/>
            </c:ext>
          </c:extLst>
        </c:ser>
        <c:ser>
          <c:idx val="4"/>
          <c:order val="4"/>
          <c:tx>
            <c:strRef>
              <c:f>Indicators!$D$1020</c:f>
              <c:strCache>
                <c:ptCount val="1"/>
                <c:pt idx="0">
                  <c:v>ITP Scenario</c:v>
                </c:pt>
              </c:strCache>
            </c:strRef>
          </c:tx>
          <c:spPr>
            <a:ln w="25400" cap="rnd">
              <a:solidFill>
                <a:schemeClr val="accent6"/>
              </a:solidFill>
              <a:prstDash val="dash"/>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Indicators!$I$1043:$AK$1043</c:f>
              <c:numCache>
                <c:formatCode>#,##0</c:formatCode>
                <c:ptCount val="29"/>
                <c:pt idx="14">
                  <c:v>14881.818181818177</c:v>
                </c:pt>
                <c:pt idx="15">
                  <c:v>15009.090909090883</c:v>
                </c:pt>
                <c:pt idx="16">
                  <c:v>15136.363636363618</c:v>
                </c:pt>
                <c:pt idx="17">
                  <c:v>15263.636363636353</c:v>
                </c:pt>
                <c:pt idx="18">
                  <c:v>15390.909090909088</c:v>
                </c:pt>
                <c:pt idx="19">
                  <c:v>15518.181818181794</c:v>
                </c:pt>
                <c:pt idx="20">
                  <c:v>15645.45454545453</c:v>
                </c:pt>
                <c:pt idx="21">
                  <c:v>15772.727272727265</c:v>
                </c:pt>
                <c:pt idx="22">
                  <c:v>15900</c:v>
                </c:pt>
                <c:pt idx="23">
                  <c:v>16027.272727272706</c:v>
                </c:pt>
                <c:pt idx="24">
                  <c:v>16154.545454545441</c:v>
                </c:pt>
                <c:pt idx="25">
                  <c:v>16281.818181818177</c:v>
                </c:pt>
                <c:pt idx="26">
                  <c:v>16409.090909090883</c:v>
                </c:pt>
                <c:pt idx="27">
                  <c:v>16536.363636363618</c:v>
                </c:pt>
                <c:pt idx="28">
                  <c:v>16663.636363636353</c:v>
                </c:pt>
              </c:numCache>
            </c:numRef>
          </c:val>
          <c:smooth val="0"/>
          <c:extLst>
            <c:ext xmlns:c16="http://schemas.microsoft.com/office/drawing/2014/chart" uri="{C3380CC4-5D6E-409C-BE32-E72D297353CC}">
              <c16:uniqueId val="{00000005-73A5-4CA1-BCCE-0CBCDA07C38B}"/>
            </c:ext>
          </c:extLst>
        </c:ser>
        <c:dLbls>
          <c:showLegendKey val="0"/>
          <c:showVal val="0"/>
          <c:showCatName val="0"/>
          <c:showSerName val="0"/>
          <c:showPercent val="0"/>
          <c:showBubbleSize val="0"/>
        </c:dLbls>
        <c:marker val="1"/>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max val="22000"/>
          <c:min val="1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 Summer Weekday Vehicles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egendEntry>
        <c:idx val="2"/>
        <c:delete val="1"/>
      </c:legendEntry>
      <c:layout>
        <c:manualLayout>
          <c:xMode val="edge"/>
          <c:yMode val="edge"/>
          <c:x val="2.7017419125488801E-2"/>
          <c:y val="0.26864255527381109"/>
          <c:w val="7.969451916626312E-2"/>
          <c:h val="0.381358601361270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Capital Project Group 3 (North 89) </a:t>
            </a:r>
          </a:p>
          <a:p>
            <a:pPr>
              <a:defRPr/>
            </a:pPr>
            <a:r>
              <a:rPr lang="en-US"/>
              <a:t>Benchmark</a:t>
            </a:r>
          </a:p>
        </c:rich>
      </c:tx>
      <c:layout>
        <c:manualLayout>
          <c:xMode val="edge"/>
          <c:yMode val="edge"/>
          <c:x val="1.7676274290811412E-2"/>
          <c:y val="6.327683615819208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77535682195434"/>
          <c:y val="5.0925925925925923E-2"/>
          <c:w val="0.82422416358993167"/>
          <c:h val="0.8416746864975212"/>
        </c:manualLayout>
      </c:layout>
      <c:areaChart>
        <c:grouping val="stacked"/>
        <c:varyColors val="0"/>
        <c:ser>
          <c:idx val="3"/>
          <c:order val="0"/>
          <c:tx>
            <c:v>Below 1st Bench</c:v>
          </c:tx>
          <c:spPr>
            <a:noFill/>
            <a:ln w="25400">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Indicators!$I$1064:$AK$1064</c:f>
              <c:numCache>
                <c:formatCode>#,##0</c:formatCode>
                <c:ptCount val="29"/>
                <c:pt idx="0">
                  <c:v>17200</c:v>
                </c:pt>
                <c:pt idx="1">
                  <c:v>17200</c:v>
                </c:pt>
                <c:pt idx="2">
                  <c:v>17200</c:v>
                </c:pt>
                <c:pt idx="3">
                  <c:v>17200</c:v>
                </c:pt>
                <c:pt idx="4">
                  <c:v>17200</c:v>
                </c:pt>
                <c:pt idx="5">
                  <c:v>17200</c:v>
                </c:pt>
                <c:pt idx="6">
                  <c:v>17200</c:v>
                </c:pt>
                <c:pt idx="7">
                  <c:v>17200</c:v>
                </c:pt>
                <c:pt idx="8">
                  <c:v>17200</c:v>
                </c:pt>
                <c:pt idx="9">
                  <c:v>17200</c:v>
                </c:pt>
                <c:pt idx="10">
                  <c:v>17200</c:v>
                </c:pt>
                <c:pt idx="11">
                  <c:v>17200</c:v>
                </c:pt>
                <c:pt idx="12">
                  <c:v>17200</c:v>
                </c:pt>
                <c:pt idx="13">
                  <c:v>17200</c:v>
                </c:pt>
                <c:pt idx="14">
                  <c:v>17200</c:v>
                </c:pt>
                <c:pt idx="15">
                  <c:v>17200</c:v>
                </c:pt>
                <c:pt idx="16">
                  <c:v>17200</c:v>
                </c:pt>
                <c:pt idx="17">
                  <c:v>17200</c:v>
                </c:pt>
                <c:pt idx="18">
                  <c:v>17200</c:v>
                </c:pt>
                <c:pt idx="19">
                  <c:v>17200</c:v>
                </c:pt>
                <c:pt idx="20">
                  <c:v>17200</c:v>
                </c:pt>
                <c:pt idx="21">
                  <c:v>17200</c:v>
                </c:pt>
                <c:pt idx="22">
                  <c:v>17200</c:v>
                </c:pt>
                <c:pt idx="23">
                  <c:v>17200</c:v>
                </c:pt>
                <c:pt idx="24">
                  <c:v>17200</c:v>
                </c:pt>
                <c:pt idx="25">
                  <c:v>17200</c:v>
                </c:pt>
                <c:pt idx="26">
                  <c:v>17200</c:v>
                </c:pt>
                <c:pt idx="27">
                  <c:v>17200</c:v>
                </c:pt>
                <c:pt idx="28">
                  <c:v>17200</c:v>
                </c:pt>
              </c:numCache>
            </c:numRef>
          </c:val>
          <c:extLst>
            <c:ext xmlns:c16="http://schemas.microsoft.com/office/drawing/2014/chart" uri="{C3380CC4-5D6E-409C-BE32-E72D297353CC}">
              <c16:uniqueId val="{00000000-9D2C-4807-8510-480A1FBCA9AD}"/>
            </c:ext>
          </c:extLst>
        </c:ser>
        <c:ser>
          <c:idx val="1"/>
          <c:order val="1"/>
          <c:tx>
            <c:strRef>
              <c:f>Indicators!$D$1064</c:f>
              <c:strCache>
                <c:ptCount val="1"/>
                <c:pt idx="0">
                  <c:v>NEPA/PEL Benchmark</c:v>
                </c:pt>
              </c:strCache>
            </c:strRef>
          </c:tx>
          <c:spPr>
            <a:solidFill>
              <a:schemeClr val="accent2">
                <a:alpha val="50000"/>
              </a:schemeClr>
            </a:solidFill>
            <a:ln w="25400">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Indicators!$I$1063:$AK$1063</c:f>
              <c:numCache>
                <c:formatCode>#,##0</c:formatCode>
                <c:ptCount val="29"/>
                <c:pt idx="0">
                  <c:v>2800</c:v>
                </c:pt>
                <c:pt idx="1">
                  <c:v>2800</c:v>
                </c:pt>
                <c:pt idx="2">
                  <c:v>2800</c:v>
                </c:pt>
                <c:pt idx="3">
                  <c:v>2800</c:v>
                </c:pt>
                <c:pt idx="4">
                  <c:v>2800</c:v>
                </c:pt>
                <c:pt idx="5">
                  <c:v>2800</c:v>
                </c:pt>
                <c:pt idx="6">
                  <c:v>2800</c:v>
                </c:pt>
                <c:pt idx="7">
                  <c:v>2800</c:v>
                </c:pt>
                <c:pt idx="8">
                  <c:v>2800</c:v>
                </c:pt>
                <c:pt idx="9">
                  <c:v>2800</c:v>
                </c:pt>
                <c:pt idx="10">
                  <c:v>2800</c:v>
                </c:pt>
                <c:pt idx="11">
                  <c:v>2800</c:v>
                </c:pt>
                <c:pt idx="12">
                  <c:v>2800</c:v>
                </c:pt>
                <c:pt idx="13">
                  <c:v>2800</c:v>
                </c:pt>
                <c:pt idx="14">
                  <c:v>2800</c:v>
                </c:pt>
                <c:pt idx="15">
                  <c:v>2800</c:v>
                </c:pt>
                <c:pt idx="16">
                  <c:v>2800</c:v>
                </c:pt>
                <c:pt idx="17">
                  <c:v>2800</c:v>
                </c:pt>
                <c:pt idx="18">
                  <c:v>2800</c:v>
                </c:pt>
                <c:pt idx="19">
                  <c:v>2800</c:v>
                </c:pt>
                <c:pt idx="20">
                  <c:v>2800</c:v>
                </c:pt>
                <c:pt idx="21">
                  <c:v>2800</c:v>
                </c:pt>
                <c:pt idx="22">
                  <c:v>2800</c:v>
                </c:pt>
                <c:pt idx="23">
                  <c:v>2800</c:v>
                </c:pt>
                <c:pt idx="24">
                  <c:v>2800</c:v>
                </c:pt>
                <c:pt idx="25">
                  <c:v>2800</c:v>
                </c:pt>
                <c:pt idx="26">
                  <c:v>2800</c:v>
                </c:pt>
                <c:pt idx="27">
                  <c:v>2800</c:v>
                </c:pt>
                <c:pt idx="28">
                  <c:v>2800</c:v>
                </c:pt>
              </c:numCache>
            </c:numRef>
          </c:val>
          <c:extLst>
            <c:ext xmlns:c16="http://schemas.microsoft.com/office/drawing/2014/chart" uri="{C3380CC4-5D6E-409C-BE32-E72D297353CC}">
              <c16:uniqueId val="{00000001-9D2C-4807-8510-480A1FBCA9AD}"/>
            </c:ext>
          </c:extLst>
        </c:ser>
        <c:ser>
          <c:idx val="0"/>
          <c:order val="2"/>
          <c:tx>
            <c:strRef>
              <c:f>Indicators!$D$1062</c:f>
              <c:strCache>
                <c:ptCount val="1"/>
                <c:pt idx="0">
                  <c:v>Construction Benchmark</c:v>
                </c:pt>
              </c:strCache>
            </c:strRef>
          </c:tx>
          <c:spPr>
            <a:solidFill>
              <a:srgbClr val="C00000">
                <a:alpha val="50000"/>
              </a:srgbClr>
            </a:solidFill>
            <a:ln w="25400">
              <a:noFill/>
            </a:ln>
            <a:effectLst/>
          </c:spP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Indicators!$I$1061:$AK$1061</c:f>
              <c:numCache>
                <c:formatCode>#,##0</c:formatCode>
                <c:ptCount val="29"/>
                <c:pt idx="0">
                  <c:v>100000</c:v>
                </c:pt>
                <c:pt idx="1">
                  <c:v>100000</c:v>
                </c:pt>
                <c:pt idx="2">
                  <c:v>100000</c:v>
                </c:pt>
                <c:pt idx="3">
                  <c:v>100000</c:v>
                </c:pt>
                <c:pt idx="4">
                  <c:v>100000</c:v>
                </c:pt>
                <c:pt idx="5">
                  <c:v>100000</c:v>
                </c:pt>
                <c:pt idx="6">
                  <c:v>100000</c:v>
                </c:pt>
                <c:pt idx="7">
                  <c:v>100000</c:v>
                </c:pt>
                <c:pt idx="8">
                  <c:v>100000</c:v>
                </c:pt>
                <c:pt idx="9">
                  <c:v>100000</c:v>
                </c:pt>
                <c:pt idx="10">
                  <c:v>100000</c:v>
                </c:pt>
                <c:pt idx="11">
                  <c:v>100000</c:v>
                </c:pt>
                <c:pt idx="12">
                  <c:v>100000</c:v>
                </c:pt>
                <c:pt idx="13">
                  <c:v>100000</c:v>
                </c:pt>
                <c:pt idx="14">
                  <c:v>100000</c:v>
                </c:pt>
                <c:pt idx="15">
                  <c:v>100000</c:v>
                </c:pt>
                <c:pt idx="16">
                  <c:v>100000</c:v>
                </c:pt>
                <c:pt idx="17">
                  <c:v>100000</c:v>
                </c:pt>
                <c:pt idx="18">
                  <c:v>100000</c:v>
                </c:pt>
                <c:pt idx="19">
                  <c:v>100000</c:v>
                </c:pt>
                <c:pt idx="20">
                  <c:v>100000</c:v>
                </c:pt>
                <c:pt idx="21">
                  <c:v>100000</c:v>
                </c:pt>
                <c:pt idx="22">
                  <c:v>100000</c:v>
                </c:pt>
                <c:pt idx="23">
                  <c:v>100000</c:v>
                </c:pt>
                <c:pt idx="24">
                  <c:v>100000</c:v>
                </c:pt>
                <c:pt idx="25">
                  <c:v>100000</c:v>
                </c:pt>
                <c:pt idx="26">
                  <c:v>100000</c:v>
                </c:pt>
                <c:pt idx="27">
                  <c:v>100000</c:v>
                </c:pt>
                <c:pt idx="28">
                  <c:v>100000</c:v>
                </c:pt>
              </c:numCache>
            </c:numRef>
          </c:val>
          <c:extLst>
            <c:ext xmlns:c16="http://schemas.microsoft.com/office/drawing/2014/chart" uri="{C3380CC4-5D6E-409C-BE32-E72D297353CC}">
              <c16:uniqueId val="{00000002-9D2C-4807-8510-480A1FBCA9AD}"/>
            </c:ext>
          </c:extLst>
        </c:ser>
        <c:dLbls>
          <c:showLegendKey val="0"/>
          <c:showVal val="0"/>
          <c:showCatName val="0"/>
          <c:showSerName val="0"/>
          <c:showPercent val="0"/>
          <c:showBubbleSize val="0"/>
        </c:dLbls>
        <c:axId val="820790392"/>
        <c:axId val="820794232"/>
      </c:areaChart>
      <c:barChart>
        <c:barDir val="col"/>
        <c:grouping val="clustered"/>
        <c:varyColors val="0"/>
        <c:ser>
          <c:idx val="5"/>
          <c:order val="5"/>
          <c:tx>
            <c:strRef>
              <c:f>Indicators!$D$1067</c:f>
              <c:strCache>
                <c:ptCount val="1"/>
                <c:pt idx="0">
                  <c:v>Actual Summer Average MAWT</c:v>
                </c:pt>
              </c:strCache>
            </c:strRef>
          </c:tx>
          <c:spPr>
            <a:solidFill>
              <a:schemeClr val="accent1"/>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Indicators!$I$1067:$AK$1067</c:f>
              <c:numCache>
                <c:formatCode>#,##0</c:formatCode>
                <c:ptCount val="29"/>
                <c:pt idx="0">
                  <c:v>0</c:v>
                </c:pt>
                <c:pt idx="1">
                  <c:v>0</c:v>
                </c:pt>
                <c:pt idx="2">
                  <c:v>0</c:v>
                </c:pt>
                <c:pt idx="3">
                  <c:v>0</c:v>
                </c:pt>
                <c:pt idx="4">
                  <c:v>0</c:v>
                </c:pt>
                <c:pt idx="5">
                  <c:v>0</c:v>
                </c:pt>
                <c:pt idx="6">
                  <c:v>0</c:v>
                </c:pt>
                <c:pt idx="7">
                  <c:v>11266.642857142884</c:v>
                </c:pt>
                <c:pt idx="8">
                  <c:v>11597.553571428594</c:v>
                </c:pt>
                <c:pt idx="9">
                  <c:v>11928.464285714319</c:v>
                </c:pt>
                <c:pt idx="10">
                  <c:v>12439.75</c:v>
                </c:pt>
                <c:pt idx="11">
                  <c:v>12159.25</c:v>
                </c:pt>
                <c:pt idx="12">
                  <c:v>12770</c:v>
                </c:pt>
                <c:pt idx="13">
                  <c:v>13095.25</c:v>
                </c:pt>
                <c:pt idx="14">
                  <c:v>14009.25</c:v>
                </c:pt>
                <c:pt idx="15">
                  <c:v>14492.25</c:v>
                </c:pt>
                <c:pt idx="16">
                  <c:v>14516.5</c:v>
                </c:pt>
                <c:pt idx="17">
                  <c:v>13858.25</c:v>
                </c:pt>
                <c:pt idx="18">
                  <c:v>13269.5</c:v>
                </c:pt>
                <c:pt idx="19">
                  <c:v>15697.75</c:v>
                </c:pt>
                <c:pt idx="20">
                  <c:v>14806.25</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9D2C-4807-8510-480A1FBCA9AD}"/>
            </c:ext>
          </c:extLst>
        </c:ser>
        <c:dLbls>
          <c:showLegendKey val="0"/>
          <c:showVal val="0"/>
          <c:showCatName val="0"/>
          <c:showSerName val="0"/>
          <c:showPercent val="0"/>
          <c:showBubbleSize val="0"/>
        </c:dLbls>
        <c:gapWidth val="150"/>
        <c:axId val="820790392"/>
        <c:axId val="820794232"/>
      </c:barChart>
      <c:lineChart>
        <c:grouping val="standard"/>
        <c:varyColors val="0"/>
        <c:ser>
          <c:idx val="2"/>
          <c:order val="3"/>
          <c:tx>
            <c:strRef>
              <c:f>Indicators!$D$1065</c:f>
              <c:strCache>
                <c:ptCount val="1"/>
                <c:pt idx="0">
                  <c:v>Baseline Forecast</c:v>
                </c:pt>
              </c:strCache>
            </c:strRef>
          </c:tx>
          <c:spPr>
            <a:ln w="38100" cap="rnd">
              <a:solidFill>
                <a:schemeClr val="accent5"/>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Indicators!$I$1065:$AK$1065</c:f>
              <c:numCache>
                <c:formatCode>#,##0</c:formatCode>
                <c:ptCount val="29"/>
                <c:pt idx="7">
                  <c:v>11545.45454545453</c:v>
                </c:pt>
                <c:pt idx="8">
                  <c:v>11709.090909090883</c:v>
                </c:pt>
                <c:pt idx="9">
                  <c:v>11872.727272727236</c:v>
                </c:pt>
                <c:pt idx="10">
                  <c:v>12036.363636363589</c:v>
                </c:pt>
                <c:pt idx="11">
                  <c:v>12200</c:v>
                </c:pt>
                <c:pt idx="12">
                  <c:v>12363.636363636353</c:v>
                </c:pt>
                <c:pt idx="13">
                  <c:v>12527.272727272706</c:v>
                </c:pt>
                <c:pt idx="14">
                  <c:v>12690.909090909059</c:v>
                </c:pt>
                <c:pt idx="15">
                  <c:v>12854.545454545412</c:v>
                </c:pt>
                <c:pt idx="16">
                  <c:v>13018.181818181823</c:v>
                </c:pt>
                <c:pt idx="17">
                  <c:v>13181.818181818177</c:v>
                </c:pt>
                <c:pt idx="18">
                  <c:v>13345.45454545453</c:v>
                </c:pt>
                <c:pt idx="19">
                  <c:v>13509.090909090883</c:v>
                </c:pt>
                <c:pt idx="20">
                  <c:v>13672.727272727236</c:v>
                </c:pt>
                <c:pt idx="21">
                  <c:v>13836.363636363589</c:v>
                </c:pt>
                <c:pt idx="22">
                  <c:v>14000</c:v>
                </c:pt>
                <c:pt idx="23">
                  <c:v>14163.636363636353</c:v>
                </c:pt>
                <c:pt idx="24">
                  <c:v>14327.272727272706</c:v>
                </c:pt>
                <c:pt idx="25">
                  <c:v>14490.909090909059</c:v>
                </c:pt>
                <c:pt idx="26">
                  <c:v>14654.545454545412</c:v>
                </c:pt>
                <c:pt idx="27">
                  <c:v>14818.181818181823</c:v>
                </c:pt>
                <c:pt idx="28">
                  <c:v>14981.818181818177</c:v>
                </c:pt>
              </c:numCache>
            </c:numRef>
          </c:val>
          <c:smooth val="0"/>
          <c:extLst>
            <c:ext xmlns:c16="http://schemas.microsoft.com/office/drawing/2014/chart" uri="{C3380CC4-5D6E-409C-BE32-E72D297353CC}">
              <c16:uniqueId val="{00000004-9D2C-4807-8510-480A1FBCA9AD}"/>
            </c:ext>
          </c:extLst>
        </c:ser>
        <c:ser>
          <c:idx val="4"/>
          <c:order val="4"/>
          <c:tx>
            <c:strRef>
              <c:f>Indicators!$D$1066</c:f>
              <c:strCache>
                <c:ptCount val="1"/>
                <c:pt idx="0">
                  <c:v>ITP Scenario</c:v>
                </c:pt>
              </c:strCache>
            </c:strRef>
          </c:tx>
          <c:spPr>
            <a:ln w="25400" cap="rnd">
              <a:solidFill>
                <a:schemeClr val="accent6"/>
              </a:solidFill>
              <a:prstDash val="dash"/>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Indicators!$I$1066:$AK$1066</c:f>
              <c:numCache>
                <c:formatCode>#,##0</c:formatCode>
                <c:ptCount val="29"/>
                <c:pt idx="14">
                  <c:v>12745.45454545453</c:v>
                </c:pt>
                <c:pt idx="15">
                  <c:v>12827.272727272706</c:v>
                </c:pt>
                <c:pt idx="16">
                  <c:v>12909.090909090912</c:v>
                </c:pt>
                <c:pt idx="17">
                  <c:v>12990.909090909088</c:v>
                </c:pt>
                <c:pt idx="18">
                  <c:v>13072.727272727265</c:v>
                </c:pt>
                <c:pt idx="19">
                  <c:v>13154.545454545441</c:v>
                </c:pt>
                <c:pt idx="20">
                  <c:v>13236.363636363618</c:v>
                </c:pt>
                <c:pt idx="21">
                  <c:v>13318.181818181794</c:v>
                </c:pt>
                <c:pt idx="22">
                  <c:v>13400</c:v>
                </c:pt>
                <c:pt idx="23">
                  <c:v>13481.818181818177</c:v>
                </c:pt>
                <c:pt idx="24">
                  <c:v>13563.636363636353</c:v>
                </c:pt>
                <c:pt idx="25">
                  <c:v>13645.45454545453</c:v>
                </c:pt>
                <c:pt idx="26">
                  <c:v>13727.272727272706</c:v>
                </c:pt>
                <c:pt idx="27">
                  <c:v>13809.090909090912</c:v>
                </c:pt>
                <c:pt idx="28">
                  <c:v>13890.909090909088</c:v>
                </c:pt>
              </c:numCache>
            </c:numRef>
          </c:val>
          <c:smooth val="0"/>
          <c:extLst>
            <c:ext xmlns:c16="http://schemas.microsoft.com/office/drawing/2014/chart" uri="{C3380CC4-5D6E-409C-BE32-E72D297353CC}">
              <c16:uniqueId val="{00000005-9D2C-4807-8510-480A1FBCA9AD}"/>
            </c:ext>
          </c:extLst>
        </c:ser>
        <c:dLbls>
          <c:showLegendKey val="0"/>
          <c:showVal val="0"/>
          <c:showCatName val="0"/>
          <c:showSerName val="0"/>
          <c:showPercent val="0"/>
          <c:showBubbleSize val="0"/>
        </c:dLbls>
        <c:marker val="1"/>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max val="21000"/>
          <c:min val="1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 Summer Weekday Vehicles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egendEntry>
        <c:idx val="2"/>
        <c:delete val="1"/>
      </c:legendEntry>
      <c:layout>
        <c:manualLayout>
          <c:xMode val="edge"/>
          <c:yMode val="edge"/>
          <c:x val="3.1283327408460716E-2"/>
          <c:y val="0.29576119934160766"/>
          <c:w val="7.243534657705647E-2"/>
          <c:h val="0.3813586013612705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Greenhouse Gas Emissions</a:t>
            </a:r>
          </a:p>
        </c:rich>
      </c:tx>
      <c:layout>
        <c:manualLayout>
          <c:xMode val="edge"/>
          <c:yMode val="edge"/>
          <c:x val="2.9746220037616899E-2"/>
          <c:y val="3.229527104959630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51331347945271"/>
          <c:y val="5.5539510848341189E-2"/>
          <c:w val="0.8177224656928459"/>
          <c:h val="0.8416746864975212"/>
        </c:manualLayout>
      </c:layout>
      <c:barChart>
        <c:barDir val="col"/>
        <c:grouping val="stacked"/>
        <c:varyColors val="0"/>
        <c:ser>
          <c:idx val="1"/>
          <c:order val="0"/>
          <c:tx>
            <c:strRef>
              <c:f>Indicators!$C$143</c:f>
              <c:strCache>
                <c:ptCount val="1"/>
                <c:pt idx="0">
                  <c:v>Electricity Emissions Estimate</c:v>
                </c:pt>
              </c:strCache>
            </c:strRef>
          </c:tx>
          <c:spPr>
            <a:solidFill>
              <a:schemeClr val="accent2"/>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Indicators!$I$143:$AK$143</c:f>
              <c:numCache>
                <c:formatCode>#,##0</c:formatCode>
                <c:ptCount val="29"/>
                <c:pt idx="6">
                  <c:v>21896</c:v>
                </c:pt>
                <c:pt idx="7">
                  <c:v>20601.037805877622</c:v>
                </c:pt>
                <c:pt idx="8">
                  <c:v>19475.992904644219</c:v>
                </c:pt>
                <c:pt idx="9">
                  <c:v>18439.852568977545</c:v>
                </c:pt>
                <c:pt idx="10">
                  <c:v>16591.72860126993</c:v>
                </c:pt>
                <c:pt idx="11">
                  <c:v>16602.178526069278</c:v>
                </c:pt>
                <c:pt idx="12">
                  <c:v>14794.535493311681</c:v>
                </c:pt>
                <c:pt idx="13">
                  <c:v>13476.043043996118</c:v>
                </c:pt>
                <c:pt idx="14">
                  <c:v>12853.321427017019</c:v>
                </c:pt>
                <c:pt idx="15">
                  <c:v>12017.561125988132</c:v>
                </c:pt>
                <c:pt idx="16">
                  <c:v>10673</c:v>
                </c:pt>
                <c:pt idx="17">
                  <c:v>9947.3163135539507</c:v>
                </c:pt>
                <c:pt idx="18">
                  <c:v>8502.1985031749191</c:v>
                </c:pt>
                <c:pt idx="19">
                  <c:v>7107.2679271629167</c:v>
                </c:pt>
                <c:pt idx="20">
                  <c:v>6254.3275388025659</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6D5D-4E5D-ACA2-43499D46668A}"/>
            </c:ext>
          </c:extLst>
        </c:ser>
        <c:ser>
          <c:idx val="0"/>
          <c:order val="1"/>
          <c:tx>
            <c:strRef>
              <c:f>Indicators!$C$148</c:f>
              <c:strCache>
                <c:ptCount val="1"/>
                <c:pt idx="0">
                  <c:v>Gas Emissions Estimate</c:v>
                </c:pt>
              </c:strCache>
            </c:strRef>
          </c:tx>
          <c:spPr>
            <a:solidFill>
              <a:schemeClr val="accent4"/>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Indicators!$I$148:$AK$148</c:f>
              <c:numCache>
                <c:formatCode>#,##0</c:formatCode>
                <c:ptCount val="29"/>
                <c:pt idx="6">
                  <c:v>48463.999999999993</c:v>
                </c:pt>
                <c:pt idx="7">
                  <c:v>47071.547422386444</c:v>
                </c:pt>
                <c:pt idx="8">
                  <c:v>51020.12310568877</c:v>
                </c:pt>
                <c:pt idx="9">
                  <c:v>48822.734154975878</c:v>
                </c:pt>
                <c:pt idx="10">
                  <c:v>46172.129437550342</c:v>
                </c:pt>
                <c:pt idx="11">
                  <c:v>50470.860806124096</c:v>
                </c:pt>
                <c:pt idx="12">
                  <c:v>50686.28809361202</c:v>
                </c:pt>
                <c:pt idx="13">
                  <c:v>60320.777785436345</c:v>
                </c:pt>
                <c:pt idx="14">
                  <c:v>66446.231736909904</c:v>
                </c:pt>
                <c:pt idx="15">
                  <c:v>70236.527932735815</c:v>
                </c:pt>
                <c:pt idx="16">
                  <c:v>71115</c:v>
                </c:pt>
                <c:pt idx="17">
                  <c:v>75966.478340240879</c:v>
                </c:pt>
                <c:pt idx="18">
                  <c:v>72537.803505034681</c:v>
                </c:pt>
                <c:pt idx="19">
                  <c:v>71750.271935168304</c:v>
                </c:pt>
                <c:pt idx="20">
                  <c:v>82130.754937698715</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6D5D-4E5D-ACA2-43499D46668A}"/>
            </c:ext>
          </c:extLst>
        </c:ser>
        <c:ser>
          <c:idx val="2"/>
          <c:order val="2"/>
          <c:tx>
            <c:strRef>
              <c:f>Indicators!$C$153</c:f>
              <c:strCache>
                <c:ptCount val="1"/>
                <c:pt idx="0">
                  <c:v>Surface Transportation Emissions Estimate</c:v>
                </c:pt>
              </c:strCache>
            </c:strRef>
          </c:tx>
          <c:spPr>
            <a:solidFill>
              <a:schemeClr val="accent6"/>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Indicators!$I$153:$AK$153</c:f>
              <c:numCache>
                <c:formatCode>#,##0</c:formatCode>
                <c:ptCount val="29"/>
                <c:pt idx="6">
                  <c:v>254638</c:v>
                </c:pt>
                <c:pt idx="7">
                  <c:v>277863.56755864667</c:v>
                </c:pt>
                <c:pt idx="8">
                  <c:v>273415.75259788206</c:v>
                </c:pt>
                <c:pt idx="9">
                  <c:v>260349.9060783656</c:v>
                </c:pt>
                <c:pt idx="10">
                  <c:v>255426.18072038129</c:v>
                </c:pt>
                <c:pt idx="11">
                  <c:v>250978.77392450644</c:v>
                </c:pt>
                <c:pt idx="12">
                  <c:v>255373.56190166582</c:v>
                </c:pt>
                <c:pt idx="13">
                  <c:v>265635.05288536509</c:v>
                </c:pt>
                <c:pt idx="14">
                  <c:v>265677.6734354801</c:v>
                </c:pt>
                <c:pt idx="15">
                  <c:v>297402.34173040756</c:v>
                </c:pt>
                <c:pt idx="16">
                  <c:v>308207</c:v>
                </c:pt>
                <c:pt idx="17">
                  <c:v>299955.37210755498</c:v>
                </c:pt>
                <c:pt idx="18">
                  <c:v>286268.41540222015</c:v>
                </c:pt>
                <c:pt idx="19">
                  <c:v>321971.69221831055</c:v>
                </c:pt>
                <c:pt idx="20">
                  <c:v>288708.34623933473</c:v>
                </c:pt>
                <c:pt idx="21">
                  <c:v>166008.7817895808</c:v>
                </c:pt>
                <c:pt idx="22">
                  <c:v>164120.56288418453</c:v>
                </c:pt>
                <c:pt idx="23">
                  <c:v>162232.34397878827</c:v>
                </c:pt>
                <c:pt idx="24">
                  <c:v>160344.125073392</c:v>
                </c:pt>
                <c:pt idx="25">
                  <c:v>158455.90616799574</c:v>
                </c:pt>
                <c:pt idx="26">
                  <c:v>156567.68726259944</c:v>
                </c:pt>
                <c:pt idx="27">
                  <c:v>154679.46835720318</c:v>
                </c:pt>
                <c:pt idx="28">
                  <c:v>152791.24945180691</c:v>
                </c:pt>
              </c:numCache>
            </c:numRef>
          </c:val>
          <c:extLst>
            <c:ext xmlns:c16="http://schemas.microsoft.com/office/drawing/2014/chart" uri="{C3380CC4-5D6E-409C-BE32-E72D297353CC}">
              <c16:uniqueId val="{00000002-6D5D-4E5D-ACA2-43499D46668A}"/>
            </c:ext>
          </c:extLst>
        </c:ser>
        <c:ser>
          <c:idx val="3"/>
          <c:order val="3"/>
          <c:tx>
            <c:strRef>
              <c:f>Indicators!$C$166</c:f>
              <c:strCache>
                <c:ptCount val="1"/>
                <c:pt idx="0">
                  <c:v>Air Travel Emissions Estimate</c:v>
                </c:pt>
              </c:strCache>
            </c:strRef>
          </c:tx>
          <c:spPr>
            <a:solidFill>
              <a:schemeClr val="accent5"/>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Indicators!$I$166:$AK$166</c:f>
              <c:numCache>
                <c:formatCode>#,##0</c:formatCode>
                <c:ptCount val="29"/>
                <c:pt idx="6">
                  <c:v>70546</c:v>
                </c:pt>
                <c:pt idx="7">
                  <c:v>65264.47092272681</c:v>
                </c:pt>
                <c:pt idx="8">
                  <c:v>65853.460091159184</c:v>
                </c:pt>
                <c:pt idx="9">
                  <c:v>63494.012838279865</c:v>
                </c:pt>
                <c:pt idx="10">
                  <c:v>61378.766106358169</c:v>
                </c:pt>
                <c:pt idx="11">
                  <c:v>65135.652096991413</c:v>
                </c:pt>
                <c:pt idx="12">
                  <c:v>68487.239847891513</c:v>
                </c:pt>
                <c:pt idx="13">
                  <c:v>68774.477656951814</c:v>
                </c:pt>
                <c:pt idx="14">
                  <c:v>75862.146902429871</c:v>
                </c:pt>
                <c:pt idx="15">
                  <c:v>75911.897601890698</c:v>
                </c:pt>
                <c:pt idx="16">
                  <c:v>83466</c:v>
                </c:pt>
                <c:pt idx="17">
                  <c:v>96369.891250047003</c:v>
                </c:pt>
                <c:pt idx="18">
                  <c:v>59922.6710681818</c:v>
                </c:pt>
                <c:pt idx="19">
                  <c:v>106537.15933290187</c:v>
                </c:pt>
                <c:pt idx="20">
                  <c:v>84413.658523846752</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6D5D-4E5D-ACA2-43499D46668A}"/>
            </c:ext>
          </c:extLst>
        </c:ser>
        <c:ser>
          <c:idx val="4"/>
          <c:order val="4"/>
          <c:tx>
            <c:strRef>
              <c:f>Indicators!$C$171</c:f>
              <c:strCache>
                <c:ptCount val="1"/>
                <c:pt idx="0">
                  <c:v>Other Emissions Estimate</c:v>
                </c:pt>
              </c:strCache>
            </c:strRef>
          </c:tx>
          <c:spPr>
            <a:solidFill>
              <a:srgbClr val="9999FF"/>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Indicators!$I$171:$AK$171</c:f>
              <c:numCache>
                <c:formatCode>#,##0</c:formatCode>
                <c:ptCount val="29"/>
                <c:pt idx="6">
                  <c:v>9313.0054428981475</c:v>
                </c:pt>
                <c:pt idx="7">
                  <c:v>9672.2196381535523</c:v>
                </c:pt>
                <c:pt idx="8">
                  <c:v>9647.8438213908448</c:v>
                </c:pt>
                <c:pt idx="9">
                  <c:v>9208.5255136818469</c:v>
                </c:pt>
                <c:pt idx="10">
                  <c:v>8936.8726252131291</c:v>
                </c:pt>
                <c:pt idx="11">
                  <c:v>9022.0732724785921</c:v>
                </c:pt>
                <c:pt idx="12">
                  <c:v>9166.9717551156355</c:v>
                </c:pt>
                <c:pt idx="13">
                  <c:v>9611.1380077834456</c:v>
                </c:pt>
                <c:pt idx="14">
                  <c:v>9908.5800214602004</c:v>
                </c:pt>
                <c:pt idx="15">
                  <c:v>10726.266412630706</c:v>
                </c:pt>
                <c:pt idx="16">
                  <c:v>11147.54583560868</c:v>
                </c:pt>
                <c:pt idx="17">
                  <c:v>11354.223479658936</c:v>
                </c:pt>
                <c:pt idx="18">
                  <c:v>10059.071689563258</c:v>
                </c:pt>
                <c:pt idx="19">
                  <c:v>11945.841587226514</c:v>
                </c:pt>
                <c:pt idx="20">
                  <c:v>10866.093318061294</c:v>
                </c:pt>
                <c:pt idx="21">
                  <c:v>3908.6440152682303</c:v>
                </c:pt>
                <c:pt idx="22">
                  <c:v>3864.1862736684625</c:v>
                </c:pt>
                <c:pt idx="23">
                  <c:v>3819.7285320686942</c:v>
                </c:pt>
                <c:pt idx="24">
                  <c:v>3775.2707904689264</c:v>
                </c:pt>
                <c:pt idx="25">
                  <c:v>3730.8130488691586</c:v>
                </c:pt>
                <c:pt idx="26">
                  <c:v>3686.3553072693899</c:v>
                </c:pt>
                <c:pt idx="27">
                  <c:v>3641.8975656696221</c:v>
                </c:pt>
                <c:pt idx="28">
                  <c:v>3597.4398240698542</c:v>
                </c:pt>
              </c:numCache>
            </c:numRef>
          </c:val>
          <c:extLst>
            <c:ext xmlns:c16="http://schemas.microsoft.com/office/drawing/2014/chart" uri="{C3380CC4-5D6E-409C-BE32-E72D297353CC}">
              <c16:uniqueId val="{00000004-6D5D-4E5D-ACA2-43499D46668A}"/>
            </c:ext>
          </c:extLst>
        </c:ser>
        <c:dLbls>
          <c:showLegendKey val="0"/>
          <c:showVal val="0"/>
          <c:showCatName val="0"/>
          <c:showSerName val="0"/>
          <c:showPercent val="0"/>
          <c:showBubbleSize val="0"/>
        </c:dLbls>
        <c:gapWidth val="150"/>
        <c:overlap val="100"/>
        <c:axId val="820790392"/>
        <c:axId val="820794232"/>
      </c:barChart>
      <c:lineChart>
        <c:grouping val="standard"/>
        <c:varyColors val="0"/>
        <c:ser>
          <c:idx val="5"/>
          <c:order val="5"/>
          <c:tx>
            <c:v>Per Capita (Eff Pop) Emissions</c:v>
          </c:tx>
          <c:spPr>
            <a:ln w="19050" cap="rnd">
              <a:solidFill>
                <a:schemeClr val="tx1">
                  <a:lumMod val="50000"/>
                  <a:lumOff val="50000"/>
                </a:schemeClr>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Indicators!$I$176:$AK$176</c:f>
              <c:numCache>
                <c:formatCode>#,##0</c:formatCode>
                <c:ptCount val="29"/>
                <c:pt idx="8">
                  <c:v>804.85744375503725</c:v>
                </c:pt>
                <c:pt idx="9">
                  <c:v>768.21038105090201</c:v>
                </c:pt>
                <c:pt idx="10">
                  <c:v>745.52254350181181</c:v>
                </c:pt>
                <c:pt idx="11">
                  <c:v>752.6172990366091</c:v>
                </c:pt>
                <c:pt idx="12">
                  <c:v>764.67258728929426</c:v>
                </c:pt>
                <c:pt idx="13">
                  <c:v>801.71450124629473</c:v>
                </c:pt>
                <c:pt idx="14">
                  <c:v>826.51160210695991</c:v>
                </c:pt>
                <c:pt idx="15">
                  <c:v>894.69984961413513</c:v>
                </c:pt>
                <c:pt idx="16">
                  <c:v>929.83531957049388</c:v>
                </c:pt>
                <c:pt idx="17">
                  <c:v>947.09165602684755</c:v>
                </c:pt>
                <c:pt idx="18">
                  <c:v>839.14860290015338</c:v>
                </c:pt>
                <c:pt idx="19">
                  <c:v>996.41519559084418</c:v>
                </c:pt>
                <c:pt idx="20">
                  <c:v>906.32816826870703</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B22D-4869-9429-FF32E8D55365}"/>
            </c:ext>
          </c:extLst>
        </c:ser>
        <c:dLbls>
          <c:showLegendKey val="0"/>
          <c:showVal val="0"/>
          <c:showCatName val="0"/>
          <c:showSerName val="0"/>
          <c:showPercent val="0"/>
          <c:showBubbleSize val="0"/>
        </c:dLbls>
        <c:marker val="1"/>
        <c:smooth val="0"/>
        <c:axId val="598598096"/>
        <c:axId val="598597776"/>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Tons CO2 equivalent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valAx>
        <c:axId val="5985977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Tons CO2 equivalent per person (effective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8598096"/>
        <c:crosses val="max"/>
        <c:crossBetween val="between"/>
      </c:valAx>
      <c:catAx>
        <c:axId val="598598096"/>
        <c:scaling>
          <c:orientation val="minMax"/>
        </c:scaling>
        <c:delete val="1"/>
        <c:axPos val="b"/>
        <c:numFmt formatCode="General" sourceLinked="1"/>
        <c:majorTickMark val="out"/>
        <c:minorTickMark val="none"/>
        <c:tickLblPos val="nextTo"/>
        <c:crossAx val="598597776"/>
        <c:crosses val="autoZero"/>
        <c:auto val="1"/>
        <c:lblAlgn val="ctr"/>
        <c:lblOffset val="100"/>
        <c:noMultiLvlLbl val="0"/>
      </c:catAx>
      <c:spPr>
        <a:noFill/>
        <a:ln>
          <a:noFill/>
        </a:ln>
        <a:effectLst/>
      </c:spPr>
    </c:plotArea>
    <c:legend>
      <c:legendPos val="l"/>
      <c:layout>
        <c:manualLayout>
          <c:xMode val="edge"/>
          <c:yMode val="edge"/>
          <c:x val="1.8247548101252942E-2"/>
          <c:y val="0.22503591895303746"/>
          <c:w val="8.9809421030493011E-2"/>
          <c:h val="0.468753280839895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Effective Population</a:t>
            </a:r>
          </a:p>
        </c:rich>
      </c:tx>
      <c:layout>
        <c:manualLayout>
          <c:xMode val="edge"/>
          <c:yMode val="edge"/>
          <c:x val="3.6635866659575474E-2"/>
          <c:y val="5.405405405405405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93322901825326"/>
          <c:y val="5.0925925925925923E-2"/>
          <c:w val="0.82390218641795265"/>
          <c:h val="0.8416746864975212"/>
        </c:manualLayout>
      </c:layout>
      <c:lineChart>
        <c:grouping val="standard"/>
        <c:varyColors val="0"/>
        <c:ser>
          <c:idx val="0"/>
          <c:order val="0"/>
          <c:tx>
            <c:v>Summer (2021-)</c:v>
          </c:tx>
          <c:spPr>
            <a:ln w="19050" cap="rnd">
              <a:solidFill>
                <a:schemeClr val="accent6"/>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Indicators!$I$672:$AK$672</c:f>
              <c:numCache>
                <c:formatCode>#,##0</c:formatCode>
                <c:ptCount val="29"/>
                <c:pt idx="8">
                  <c:v>52293.402712498806</c:v>
                </c:pt>
                <c:pt idx="9">
                  <c:v>51735.435970537277</c:v>
                </c:pt>
                <c:pt idx="10">
                  <c:v>52689.205434570787</c:v>
                </c:pt>
                <c:pt idx="11">
                  <c:v>53610.353818085816</c:v>
                </c:pt>
                <c:pt idx="12">
                  <c:v>55263.37780913469</c:v>
                </c:pt>
                <c:pt idx="13">
                  <c:v>56411.357828689303</c:v>
                </c:pt>
                <c:pt idx="14">
                  <c:v>57136.799845249698</c:v>
                </c:pt>
                <c:pt idx="15">
                  <c:v>58602.467989843542</c:v>
                </c:pt>
                <c:pt idx="16">
                  <c:v>57545.018453834258</c:v>
                </c:pt>
                <c:pt idx="17">
                  <c:v>56497.90001530193</c:v>
                </c:pt>
                <c:pt idx="18">
                  <c:v>48748.810951692947</c:v>
                </c:pt>
                <c:pt idx="19">
                  <c:v>58232.082255748908</c:v>
                </c:pt>
                <c:pt idx="20">
                  <c:v>57994.292803469078</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646D-4054-8C7E-96942DA708AE}"/>
            </c:ext>
          </c:extLst>
        </c:ser>
        <c:ser>
          <c:idx val="1"/>
          <c:order val="1"/>
          <c:tx>
            <c:v>Winter (2021-)</c:v>
          </c:tx>
          <c:spPr>
            <a:ln w="19050" cap="rnd">
              <a:solidFill>
                <a:schemeClr val="accent5"/>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Indicators!$I$673:$AK$673</c:f>
              <c:numCache>
                <c:formatCode>#,##0</c:formatCode>
                <c:ptCount val="29"/>
                <c:pt idx="8">
                  <c:v>34633.765685241582</c:v>
                </c:pt>
                <c:pt idx="9">
                  <c:v>34388.442445419292</c:v>
                </c:pt>
                <c:pt idx="10">
                  <c:v>35416.201304376642</c:v>
                </c:pt>
                <c:pt idx="11">
                  <c:v>36515.34923490505</c:v>
                </c:pt>
                <c:pt idx="12">
                  <c:v>38321.308827588131</c:v>
                </c:pt>
                <c:pt idx="13">
                  <c:v>38871.761106685386</c:v>
                </c:pt>
                <c:pt idx="14">
                  <c:v>39577.483891943572</c:v>
                </c:pt>
                <c:pt idx="15">
                  <c:v>40615.458353883361</c:v>
                </c:pt>
                <c:pt idx="16">
                  <c:v>41364.934967978508</c:v>
                </c:pt>
                <c:pt idx="17">
                  <c:v>41427.207148100963</c:v>
                </c:pt>
                <c:pt idx="18">
                  <c:v>41371.989003644499</c:v>
                </c:pt>
                <c:pt idx="19">
                  <c:v>42061.7120683182</c:v>
                </c:pt>
                <c:pt idx="20">
                  <c:v>43722.521771945816</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646D-4054-8C7E-96942DA708AE}"/>
            </c:ext>
          </c:extLst>
        </c:ser>
        <c:ser>
          <c:idx val="2"/>
          <c:order val="2"/>
          <c:tx>
            <c:v>Shoulder (2021-)</c:v>
          </c:tx>
          <c:spPr>
            <a:ln w="19050" cap="rnd">
              <a:solidFill>
                <a:schemeClr val="accent2"/>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Indicators!$I$674:$AK$674</c:f>
              <c:numCache>
                <c:formatCode>#,##0</c:formatCode>
                <c:ptCount val="29"/>
                <c:pt idx="8">
                  <c:v>31819.664219673821</c:v>
                </c:pt>
                <c:pt idx="9">
                  <c:v>31453.668788045103</c:v>
                </c:pt>
                <c:pt idx="10">
                  <c:v>32799.168420509624</c:v>
                </c:pt>
                <c:pt idx="11">
                  <c:v>33102.327755850201</c:v>
                </c:pt>
                <c:pt idx="12">
                  <c:v>34850.757608941043</c:v>
                </c:pt>
                <c:pt idx="13">
                  <c:v>35222.111616054986</c:v>
                </c:pt>
                <c:pt idx="14">
                  <c:v>36279.013657654694</c:v>
                </c:pt>
                <c:pt idx="15">
                  <c:v>36807.760250272404</c:v>
                </c:pt>
                <c:pt idx="16">
                  <c:v>37322.60984452792</c:v>
                </c:pt>
                <c:pt idx="17">
                  <c:v>36474.74959866071</c:v>
                </c:pt>
                <c:pt idx="18">
                  <c:v>34402.993045482042</c:v>
                </c:pt>
                <c:pt idx="19">
                  <c:v>39789.822978180178</c:v>
                </c:pt>
                <c:pt idx="20">
                  <c:v>39520.125528883073</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2-646D-4054-8C7E-96942DA708AE}"/>
            </c:ext>
          </c:extLst>
        </c:ser>
        <c:ser>
          <c:idx val="3"/>
          <c:order val="3"/>
          <c:tx>
            <c:v>Summer (2013-2020)</c:v>
          </c:tx>
          <c:spPr>
            <a:ln w="19050" cap="rnd">
              <a:solidFill>
                <a:schemeClr val="accent6"/>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Indicators!$I$1351:$AK$1351</c:f>
              <c:numCache>
                <c:formatCode>#,##0</c:formatCode>
                <c:ptCount val="29"/>
                <c:pt idx="8">
                  <c:v>61854.594733575243</c:v>
                </c:pt>
                <c:pt idx="9">
                  <c:v>61472.320372440183</c:v>
                </c:pt>
                <c:pt idx="10">
                  <c:v>62771.766105667324</c:v>
                </c:pt>
                <c:pt idx="11">
                  <c:v>63412.898057939841</c:v>
                </c:pt>
                <c:pt idx="12">
                  <c:v>65597.512965263522</c:v>
                </c:pt>
                <c:pt idx="13">
                  <c:v>67248.744769017649</c:v>
                </c:pt>
                <c:pt idx="14">
                  <c:v>68316.510544643999</c:v>
                </c:pt>
                <c:pt idx="15">
                  <c:v>69493.768616850342</c:v>
                </c:pt>
                <c:pt idx="16">
                  <c:v>68059.497964700815</c:v>
                </c:pt>
                <c:pt idx="17">
                  <c:v>68671.693917541459</c:v>
                </c:pt>
                <c:pt idx="18">
                  <c:v>55917.605042835159</c:v>
                </c:pt>
                <c:pt idx="19">
                  <c:v>68644.566227947915</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3-646D-4054-8C7E-96942DA708AE}"/>
            </c:ext>
          </c:extLst>
        </c:ser>
        <c:ser>
          <c:idx val="4"/>
          <c:order val="4"/>
          <c:tx>
            <c:v>Winter (2013-2020)</c:v>
          </c:tx>
          <c:spPr>
            <a:ln w="19050" cap="rnd">
              <a:solidFill>
                <a:schemeClr val="accent5"/>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Indicators!$I$1357:$AK$1357</c:f>
              <c:numCache>
                <c:formatCode>#,##0</c:formatCode>
                <c:ptCount val="29"/>
                <c:pt idx="8">
                  <c:v>39940.806696110056</c:v>
                </c:pt>
                <c:pt idx="9">
                  <c:v>39859.038356920195</c:v>
                </c:pt>
                <c:pt idx="10">
                  <c:v>41577.862205700978</c:v>
                </c:pt>
                <c:pt idx="11">
                  <c:v>42964.069202938575</c:v>
                </c:pt>
                <c:pt idx="12">
                  <c:v>45688.124256029325</c:v>
                </c:pt>
                <c:pt idx="13">
                  <c:v>45950.738584101768</c:v>
                </c:pt>
                <c:pt idx="14">
                  <c:v>47263.960440116665</c:v>
                </c:pt>
                <c:pt idx="15">
                  <c:v>48136.422044892031</c:v>
                </c:pt>
                <c:pt idx="16">
                  <c:v>48745.541783588429</c:v>
                </c:pt>
                <c:pt idx="17">
                  <c:v>50522.602960983801</c:v>
                </c:pt>
                <c:pt idx="18">
                  <c:v>48652.902964609464</c:v>
                </c:pt>
                <c:pt idx="19">
                  <c:v>49974.365375037516</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4-646D-4054-8C7E-96942DA708AE}"/>
            </c:ext>
          </c:extLst>
        </c:ser>
        <c:ser>
          <c:idx val="5"/>
          <c:order val="5"/>
          <c:tx>
            <c:v>Shoulder (2013-2020)</c:v>
          </c:tx>
          <c:spPr>
            <a:ln w="19050" cap="rnd">
              <a:solidFill>
                <a:schemeClr val="accent2"/>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Indicators!$I$1363:$AK$1363</c:f>
              <c:numCache>
                <c:formatCode>General</c:formatCode>
                <c:ptCount val="29"/>
                <c:pt idx="8" formatCode="#,##0">
                  <c:v>35542.970077350226</c:v>
                </c:pt>
                <c:pt idx="9" formatCode="#,##0">
                  <c:v>35117.035068003286</c:v>
                </c:pt>
                <c:pt idx="10" formatCode="#,##0">
                  <c:v>37219.767045844434</c:v>
                </c:pt>
                <c:pt idx="11" formatCode="#,##0">
                  <c:v>37162.686737881857</c:v>
                </c:pt>
                <c:pt idx="12" formatCode="#,##0">
                  <c:v>39402.899688016187</c:v>
                </c:pt>
                <c:pt idx="13" formatCode="#,##0">
                  <c:v>40411.215651281716</c:v>
                </c:pt>
                <c:pt idx="14" formatCode="#,##0">
                  <c:v>41768.90939583876</c:v>
                </c:pt>
                <c:pt idx="15" formatCode="#,##0">
                  <c:v>42443.170174650288</c:v>
                </c:pt>
                <c:pt idx="16" formatCode="#,##0">
                  <c:v>43021.058185637987</c:v>
                </c:pt>
                <c:pt idx="17" formatCode="#,##0">
                  <c:v>43731.727323006184</c:v>
                </c:pt>
                <c:pt idx="18" formatCode="#,##0">
                  <c:v>38398.490142543465</c:v>
                </c:pt>
                <c:pt idx="19" formatCode="#,##0">
                  <c:v>46457.371568520211</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numCache>
            </c:numRef>
          </c:val>
          <c:smooth val="0"/>
          <c:extLst>
            <c:ext xmlns:c16="http://schemas.microsoft.com/office/drawing/2014/chart" uri="{C3380CC4-5D6E-409C-BE32-E72D297353CC}">
              <c16:uniqueId val="{00000005-646D-4054-8C7E-96942DA708AE}"/>
            </c:ext>
          </c:extLst>
        </c:ser>
        <c:dLbls>
          <c:showLegendKey val="0"/>
          <c:showVal val="0"/>
          <c:showCatName val="0"/>
          <c:showSerName val="0"/>
          <c:showPercent val="0"/>
          <c:showBubbleSize val="0"/>
        </c:dLbls>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Persons in the community any given 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ayout>
        <c:manualLayout>
          <c:xMode val="edge"/>
          <c:yMode val="edge"/>
          <c:x val="3.4961488328000945E-2"/>
          <c:y val="0.22703092856636159"/>
          <c:w val="5.6128198081033323E-2"/>
          <c:h val="0.456084273249627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0" i="0" u="none" strike="noStrike" kern="1200" spc="0" baseline="0">
                <a:solidFill>
                  <a:schemeClr val="tx1">
                    <a:lumMod val="65000"/>
                    <a:lumOff val="35000"/>
                  </a:schemeClr>
                </a:solidFill>
                <a:latin typeface="+mn-lt"/>
                <a:ea typeface="+mn-ea"/>
                <a:cs typeface="+mn-cs"/>
              </a:defRPr>
            </a:pPr>
            <a:r>
              <a:rPr lang="en-US"/>
              <a:t>Workforce Housing</a:t>
            </a:r>
          </a:p>
          <a:p>
            <a:pPr>
              <a:defRPr/>
            </a:pPr>
            <a:r>
              <a:rPr lang="en-US"/>
              <a:t>Pipeline</a:t>
            </a:r>
          </a:p>
        </c:rich>
      </c:tx>
      <c:layout>
        <c:manualLayout>
          <c:xMode val="edge"/>
          <c:yMode val="edge"/>
          <c:x val="1.7913486414606963E-2"/>
          <c:y val="5.0749711649365627E-2"/>
        </c:manualLayout>
      </c:layout>
      <c:overlay val="1"/>
      <c:spPr>
        <a:noFill/>
        <a:ln>
          <a:noFill/>
        </a:ln>
        <a:effectLst/>
      </c:spPr>
      <c:txPr>
        <a:bodyPr rot="0" spcFirstLastPara="1" vertOverflow="ellipsis" vert="horz" wrap="square" anchor="t" anchorCtr="0"/>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83552055993002"/>
          <c:y val="5.0925925925925923E-2"/>
          <c:w val="0.80610844998541853"/>
          <c:h val="0.8416746864975212"/>
        </c:manualLayout>
      </c:layout>
      <c:barChart>
        <c:barDir val="col"/>
        <c:grouping val="stacked"/>
        <c:varyColors val="0"/>
        <c:ser>
          <c:idx val="1"/>
          <c:order val="0"/>
          <c:tx>
            <c:strRef>
              <c:f>Indicators!$C$306</c:f>
              <c:strCache>
                <c:ptCount val="1"/>
                <c:pt idx="0">
                  <c:v>Restricted Affordable Units</c:v>
                </c:pt>
              </c:strCache>
            </c:strRef>
          </c:tx>
          <c:spPr>
            <a:solidFill>
              <a:schemeClr val="accent6"/>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Indicators!$I$306:$AK$306</c:f>
              <c:numCache>
                <c:formatCode>#,##0</c:formatCode>
                <c:ptCount val="29"/>
                <c:pt idx="14">
                  <c:v>72</c:v>
                </c:pt>
                <c:pt idx="15">
                  <c:v>94</c:v>
                </c:pt>
                <c:pt idx="16">
                  <c:v>60</c:v>
                </c:pt>
                <c:pt idx="17">
                  <c:v>96</c:v>
                </c:pt>
                <c:pt idx="18">
                  <c:v>94</c:v>
                </c:pt>
                <c:pt idx="19">
                  <c:v>133</c:v>
                </c:pt>
                <c:pt idx="20">
                  <c:v>153</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6E6D-440A-A6EE-8FD2C2267955}"/>
            </c:ext>
          </c:extLst>
        </c:ser>
        <c:ser>
          <c:idx val="0"/>
          <c:order val="1"/>
          <c:tx>
            <c:strRef>
              <c:f>Indicators!$C$307</c:f>
              <c:strCache>
                <c:ptCount val="1"/>
                <c:pt idx="0">
                  <c:v>Restricted Workforce Units</c:v>
                </c:pt>
              </c:strCache>
            </c:strRef>
          </c:tx>
          <c:spPr>
            <a:solidFill>
              <a:schemeClr val="accent1"/>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Indicators!$I$307:$AK$307</c:f>
              <c:numCache>
                <c:formatCode>#,##0</c:formatCode>
                <c:ptCount val="29"/>
                <c:pt idx="14">
                  <c:v>115</c:v>
                </c:pt>
                <c:pt idx="15">
                  <c:v>150</c:v>
                </c:pt>
                <c:pt idx="16">
                  <c:v>123</c:v>
                </c:pt>
                <c:pt idx="17">
                  <c:v>106</c:v>
                </c:pt>
                <c:pt idx="18">
                  <c:v>177</c:v>
                </c:pt>
                <c:pt idx="19">
                  <c:v>226</c:v>
                </c:pt>
                <c:pt idx="20">
                  <c:v>395</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6E6D-440A-A6EE-8FD2C2267955}"/>
            </c:ext>
          </c:extLst>
        </c:ser>
        <c:ser>
          <c:idx val="2"/>
          <c:order val="2"/>
          <c:tx>
            <c:strRef>
              <c:f>Indicators!$C$308</c:f>
              <c:strCache>
                <c:ptCount val="1"/>
                <c:pt idx="0">
                  <c:v>Market Rental Units</c:v>
                </c:pt>
              </c:strCache>
            </c:strRef>
          </c:tx>
          <c:spPr>
            <a:solidFill>
              <a:srgbClr val="9999FF"/>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Indicators!$I$308:$AK$308</c:f>
              <c:numCache>
                <c:formatCode>#,##0</c:formatCode>
                <c:ptCount val="29"/>
                <c:pt idx="14">
                  <c:v>0</c:v>
                </c:pt>
                <c:pt idx="15">
                  <c:v>74</c:v>
                </c:pt>
                <c:pt idx="16">
                  <c:v>78</c:v>
                </c:pt>
                <c:pt idx="17">
                  <c:v>162</c:v>
                </c:pt>
                <c:pt idx="18">
                  <c:v>67</c:v>
                </c:pt>
                <c:pt idx="19">
                  <c:v>82</c:v>
                </c:pt>
                <c:pt idx="20">
                  <c:v>126</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6E6D-440A-A6EE-8FD2C2267955}"/>
            </c:ext>
          </c:extLst>
        </c:ser>
        <c:ser>
          <c:idx val="3"/>
          <c:order val="3"/>
          <c:tx>
            <c:strRef>
              <c:f>Indicators!$C$309</c:f>
              <c:strCache>
                <c:ptCount val="1"/>
                <c:pt idx="0">
                  <c:v>Market Ownership Units</c:v>
                </c:pt>
              </c:strCache>
            </c:strRef>
          </c:tx>
          <c:spPr>
            <a:solidFill>
              <a:srgbClr val="C00000"/>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Indicators!$I$309:$AK$309</c:f>
              <c:numCache>
                <c:formatCode>#,##0</c:formatCode>
                <c:ptCount val="29"/>
                <c:pt idx="14">
                  <c:v>188</c:v>
                </c:pt>
                <c:pt idx="15">
                  <c:v>324</c:v>
                </c:pt>
                <c:pt idx="16">
                  <c:v>236</c:v>
                </c:pt>
                <c:pt idx="17">
                  <c:v>202</c:v>
                </c:pt>
                <c:pt idx="18">
                  <c:v>131</c:v>
                </c:pt>
                <c:pt idx="19">
                  <c:v>227</c:v>
                </c:pt>
                <c:pt idx="20">
                  <c:v>148</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6E6D-440A-A6EE-8FD2C2267955}"/>
            </c:ext>
          </c:extLst>
        </c:ser>
        <c:dLbls>
          <c:showLegendKey val="0"/>
          <c:showVal val="0"/>
          <c:showCatName val="0"/>
          <c:showSerName val="0"/>
          <c:showPercent val="0"/>
          <c:showBubbleSize val="0"/>
        </c:dLbls>
        <c:gapWidth val="150"/>
        <c:overlap val="100"/>
        <c:axId val="566188600"/>
        <c:axId val="566189240"/>
      </c:barChart>
      <c:lineChart>
        <c:grouping val="standard"/>
        <c:varyColors val="0"/>
        <c:ser>
          <c:idx val="4"/>
          <c:order val="4"/>
          <c:tx>
            <c:strRef>
              <c:f>Indicators!$C$310</c:f>
              <c:strCache>
                <c:ptCount val="1"/>
                <c:pt idx="0">
                  <c:v>Percent Restricted or Rental</c:v>
                </c:pt>
              </c:strCache>
            </c:strRef>
          </c:tx>
          <c:spPr>
            <a:ln w="19050" cap="rnd">
              <a:solidFill>
                <a:schemeClr val="tx1"/>
              </a:solidFill>
              <a:prstDash val="sysDash"/>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Indicators!$I$310:$AK$310</c:f>
              <c:numCache>
                <c:formatCode>#,##0</c:formatCode>
                <c:ptCount val="29"/>
                <c:pt idx="14" formatCode="0%">
                  <c:v>0.49866666666666665</c:v>
                </c:pt>
                <c:pt idx="15" formatCode="0%">
                  <c:v>0.49532710280373832</c:v>
                </c:pt>
                <c:pt idx="16" formatCode="0%">
                  <c:v>0.52515090543259557</c:v>
                </c:pt>
                <c:pt idx="17" formatCode="0%">
                  <c:v>0.64310954063604242</c:v>
                </c:pt>
                <c:pt idx="18" formatCode="0%">
                  <c:v>0.72068230277185497</c:v>
                </c:pt>
                <c:pt idx="19" formatCode="0%">
                  <c:v>0.66017964071856283</c:v>
                </c:pt>
                <c:pt idx="20" formatCode="0%">
                  <c:v>0.81995133819951338</c:v>
                </c:pt>
                <c:pt idx="21" formatCode="0%">
                  <c:v>0</c:v>
                </c:pt>
                <c:pt idx="22" formatCode="0%">
                  <c:v>0</c:v>
                </c:pt>
                <c:pt idx="23" formatCode="0%">
                  <c:v>0</c:v>
                </c:pt>
                <c:pt idx="24" formatCode="0%">
                  <c:v>0</c:v>
                </c:pt>
                <c:pt idx="25" formatCode="0%">
                  <c:v>0</c:v>
                </c:pt>
                <c:pt idx="26" formatCode="0%">
                  <c:v>0</c:v>
                </c:pt>
                <c:pt idx="27" formatCode="0%">
                  <c:v>0</c:v>
                </c:pt>
                <c:pt idx="28" formatCode="0%">
                  <c:v>0</c:v>
                </c:pt>
              </c:numCache>
            </c:numRef>
          </c:val>
          <c:smooth val="0"/>
          <c:extLst>
            <c:ext xmlns:c16="http://schemas.microsoft.com/office/drawing/2014/chart" uri="{C3380CC4-5D6E-409C-BE32-E72D297353CC}">
              <c16:uniqueId val="{00000007-6E6D-440A-A6EE-8FD2C2267955}"/>
            </c:ext>
          </c:extLst>
        </c:ser>
        <c:dLbls>
          <c:showLegendKey val="0"/>
          <c:showVal val="0"/>
          <c:showCatName val="0"/>
          <c:showSerName val="0"/>
          <c:showPercent val="0"/>
          <c:showBubbleSize val="0"/>
        </c:dLbls>
        <c:marker val="1"/>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 of Permitted Units that are Restricted or Rental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valAx>
        <c:axId val="56618924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Permitted (not yet built) Residential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188600"/>
        <c:crosses val="max"/>
        <c:crossBetween val="between"/>
      </c:valAx>
      <c:catAx>
        <c:axId val="566188600"/>
        <c:scaling>
          <c:orientation val="minMax"/>
        </c:scaling>
        <c:delete val="1"/>
        <c:axPos val="b"/>
        <c:numFmt formatCode="General" sourceLinked="1"/>
        <c:majorTickMark val="out"/>
        <c:minorTickMark val="none"/>
        <c:tickLblPos val="nextTo"/>
        <c:crossAx val="566189240"/>
        <c:crosses val="autoZero"/>
        <c:auto val="1"/>
        <c:lblAlgn val="ctr"/>
        <c:lblOffset val="100"/>
        <c:noMultiLvlLbl val="0"/>
      </c:catAx>
      <c:spPr>
        <a:noFill/>
        <a:ln>
          <a:noFill/>
        </a:ln>
        <a:effectLst/>
      </c:spPr>
    </c:plotArea>
    <c:legend>
      <c:legendPos val="l"/>
      <c:layout>
        <c:manualLayout>
          <c:xMode val="edge"/>
          <c:yMode val="edge"/>
          <c:x val="9.5292891658854337E-3"/>
          <c:y val="0.28039924075234535"/>
          <c:w val="6.5004884806065907E-2"/>
          <c:h val="0.389276080974307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0" i="0" u="none" strike="noStrike" kern="1200" spc="0" baseline="0">
                <a:solidFill>
                  <a:schemeClr val="tx1">
                    <a:lumMod val="65000"/>
                    <a:lumOff val="35000"/>
                  </a:schemeClr>
                </a:solidFill>
                <a:latin typeface="+mn-lt"/>
                <a:ea typeface="+mn-ea"/>
                <a:cs typeface="+mn-cs"/>
              </a:defRPr>
            </a:pPr>
            <a:r>
              <a:rPr lang="en-US"/>
              <a:t>Housing Stock Profile</a:t>
            </a:r>
          </a:p>
        </c:rich>
      </c:tx>
      <c:layout>
        <c:manualLayout>
          <c:xMode val="edge"/>
          <c:yMode val="edge"/>
          <c:x val="1.7913486414606963E-2"/>
          <c:y val="5.0749711649365627E-2"/>
        </c:manualLayout>
      </c:layout>
      <c:overlay val="1"/>
      <c:spPr>
        <a:noFill/>
        <a:ln>
          <a:noFill/>
        </a:ln>
        <a:effectLst/>
      </c:spPr>
      <c:txPr>
        <a:bodyPr rot="0" spcFirstLastPara="1" vertOverflow="ellipsis" vert="horz" wrap="square" anchor="t" anchorCtr="0"/>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983552055993002"/>
          <c:y val="5.0925925925925923E-2"/>
          <c:w val="0.80610844998541853"/>
          <c:h val="0.8416746864975212"/>
        </c:manualLayout>
      </c:layout>
      <c:barChart>
        <c:barDir val="col"/>
        <c:grouping val="stacked"/>
        <c:varyColors val="0"/>
        <c:ser>
          <c:idx val="7"/>
          <c:order val="0"/>
          <c:tx>
            <c:strRef>
              <c:f>Indicators!$E$526</c:f>
              <c:strCache>
                <c:ptCount val="1"/>
                <c:pt idx="0">
                  <c:v>Vacant units</c:v>
                </c:pt>
              </c:strCache>
            </c:strRef>
          </c:tx>
          <c:spPr>
            <a:solidFill>
              <a:srgbClr val="C00000"/>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Indicators!$I$526:$AK$526</c:f>
              <c:numCache>
                <c:formatCode>#,##0</c:formatCode>
                <c:ptCount val="29"/>
                <c:pt idx="8">
                  <c:v>653</c:v>
                </c:pt>
                <c:pt idx="9">
                  <c:v>776.71529135705896</c:v>
                </c:pt>
                <c:pt idx="10">
                  <c:v>822.56824403597966</c:v>
                </c:pt>
                <c:pt idx="11">
                  <c:v>834.01862534219799</c:v>
                </c:pt>
                <c:pt idx="12">
                  <c:v>880.01222135314856</c:v>
                </c:pt>
                <c:pt idx="13">
                  <c:v>941.03632186155664</c:v>
                </c:pt>
                <c:pt idx="14">
                  <c:v>989.40574892452059</c:v>
                </c:pt>
                <c:pt idx="15">
                  <c:v>1033.0591024638234</c:v>
                </c:pt>
                <c:pt idx="16">
                  <c:v>1128.8954829878767</c:v>
                </c:pt>
                <c:pt idx="17">
                  <c:v>1417.5938111067644</c:v>
                </c:pt>
                <c:pt idx="18">
                  <c:v>1414</c:v>
                </c:pt>
                <c:pt idx="19">
                  <c:v>1725</c:v>
                </c:pt>
                <c:pt idx="20">
                  <c:v>1527.8505920679727</c:v>
                </c:pt>
                <c:pt idx="21">
                  <c:v>1309.9623338558013</c:v>
                </c:pt>
                <c:pt idx="22">
                  <c:v>954.68542076665653</c:v>
                </c:pt>
                <c:pt idx="23">
                  <c:v>728.8623012852222</c:v>
                </c:pt>
                <c:pt idx="24">
                  <c:v>389.16871528552656</c:v>
                </c:pt>
                <c:pt idx="25">
                  <c:v>226.46398398117162</c:v>
                </c:pt>
                <c:pt idx="26">
                  <c:v>-11.933832680286287</c:v>
                </c:pt>
                <c:pt idx="27">
                  <c:v>-256.4460085994815</c:v>
                </c:pt>
                <c:pt idx="28">
                  <c:v>-495.63322380947648</c:v>
                </c:pt>
              </c:numCache>
            </c:numRef>
          </c:val>
          <c:extLst>
            <c:ext xmlns:c16="http://schemas.microsoft.com/office/drawing/2014/chart" uri="{C3380CC4-5D6E-409C-BE32-E72D297353CC}">
              <c16:uniqueId val="{0000000A-C620-4ADD-88EB-408C4527F960}"/>
            </c:ext>
          </c:extLst>
        </c:ser>
        <c:ser>
          <c:idx val="8"/>
          <c:order val="1"/>
          <c:tx>
            <c:strRef>
              <c:f>Indicators!$E$527</c:f>
              <c:strCache>
                <c:ptCount val="1"/>
                <c:pt idx="0">
                  <c:v>Units occupied by nonworking households</c:v>
                </c:pt>
              </c:strCache>
            </c:strRef>
          </c:tx>
          <c:spPr>
            <a:solidFill>
              <a:srgbClr val="FF61FF"/>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Indicators!$I$527:$AK$527</c:f>
              <c:numCache>
                <c:formatCode>#,##0</c:formatCode>
                <c:ptCount val="29"/>
                <c:pt idx="8">
                  <c:v>2767</c:v>
                </c:pt>
                <c:pt idx="9">
                  <c:v>2823.284708642941</c:v>
                </c:pt>
                <c:pt idx="10">
                  <c:v>2627.4317559640203</c:v>
                </c:pt>
                <c:pt idx="11">
                  <c:v>2421.106374657802</c:v>
                </c:pt>
                <c:pt idx="12">
                  <c:v>2243.2377786468514</c:v>
                </c:pt>
                <c:pt idx="13">
                  <c:v>2093.3386781384434</c:v>
                </c:pt>
                <c:pt idx="14">
                  <c:v>1965.0942510754794</c:v>
                </c:pt>
                <c:pt idx="15">
                  <c:v>1994.5658975361766</c:v>
                </c:pt>
                <c:pt idx="16">
                  <c:v>1861.8545170121233</c:v>
                </c:pt>
                <c:pt idx="17">
                  <c:v>1945.2811888932356</c:v>
                </c:pt>
                <c:pt idx="18">
                  <c:v>1027</c:v>
                </c:pt>
                <c:pt idx="19">
                  <c:v>1373</c:v>
                </c:pt>
                <c:pt idx="20">
                  <c:v>1368.5382257405327</c:v>
                </c:pt>
                <c:pt idx="21">
                  <c:v>1380.0627909125069</c:v>
                </c:pt>
                <c:pt idx="22">
                  <c:v>1500.2103458196743</c:v>
                </c:pt>
                <c:pt idx="23">
                  <c:v>1533.1472205899245</c:v>
                </c:pt>
                <c:pt idx="24">
                  <c:v>1629.7445413652131</c:v>
                </c:pt>
                <c:pt idx="25">
                  <c:v>1615.3440965931295</c:v>
                </c:pt>
                <c:pt idx="26">
                  <c:v>1645.3100498437016</c:v>
                </c:pt>
                <c:pt idx="27">
                  <c:v>1681.4334229546894</c:v>
                </c:pt>
                <c:pt idx="28">
                  <c:v>1712.2676197987585</c:v>
                </c:pt>
              </c:numCache>
            </c:numRef>
          </c:val>
          <c:extLst>
            <c:ext xmlns:c16="http://schemas.microsoft.com/office/drawing/2014/chart" uri="{C3380CC4-5D6E-409C-BE32-E72D297353CC}">
              <c16:uniqueId val="{0000000B-C620-4ADD-88EB-408C4527F960}"/>
            </c:ext>
          </c:extLst>
        </c:ser>
        <c:ser>
          <c:idx val="4"/>
          <c:order val="2"/>
          <c:tx>
            <c:strRef>
              <c:f>Indicators!$E$523</c:f>
              <c:strCache>
                <c:ptCount val="1"/>
                <c:pt idx="0">
                  <c:v>Unrestricted ownership (working)</c:v>
                </c:pt>
              </c:strCache>
            </c:strRef>
          </c:tx>
          <c:spPr>
            <a:solidFill>
              <a:srgbClr val="9999FF"/>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Indicators!$I$523:$AK$523</c:f>
              <c:numCache>
                <c:formatCode>#,##0</c:formatCode>
                <c:ptCount val="29"/>
                <c:pt idx="8">
                  <c:v>2716.3854898027416</c:v>
                </c:pt>
                <c:pt idx="9">
                  <c:v>2661.8811414443535</c:v>
                </c:pt>
                <c:pt idx="10">
                  <c:v>2671.5524406344143</c:v>
                </c:pt>
                <c:pt idx="11">
                  <c:v>2783.9751833835749</c:v>
                </c:pt>
                <c:pt idx="12">
                  <c:v>2995.8325543552965</c:v>
                </c:pt>
                <c:pt idx="13">
                  <c:v>3294.0175110458463</c:v>
                </c:pt>
                <c:pt idx="14">
                  <c:v>3491.5197969736769</c:v>
                </c:pt>
                <c:pt idx="15">
                  <c:v>3487.5022635585542</c:v>
                </c:pt>
                <c:pt idx="16">
                  <c:v>3669.0092306748129</c:v>
                </c:pt>
                <c:pt idx="17">
                  <c:v>3765.5386320226917</c:v>
                </c:pt>
                <c:pt idx="18">
                  <c:v>4460.5158705380372</c:v>
                </c:pt>
                <c:pt idx="19">
                  <c:v>4272.2179204700451</c:v>
                </c:pt>
                <c:pt idx="20">
                  <c:v>4511.8257415156504</c:v>
                </c:pt>
                <c:pt idx="21">
                  <c:v>5315.5301879752869</c:v>
                </c:pt>
                <c:pt idx="22">
                  <c:v>5543.702035573283</c:v>
                </c:pt>
                <c:pt idx="23">
                  <c:v>5151.7040371706735</c:v>
                </c:pt>
                <c:pt idx="24">
                  <c:v>5991.5521978172947</c:v>
                </c:pt>
                <c:pt idx="25">
                  <c:v>6195.1143357218552</c:v>
                </c:pt>
                <c:pt idx="26">
                  <c:v>6422.6991640606548</c:v>
                </c:pt>
                <c:pt idx="27">
                  <c:v>6654.2025974598964</c:v>
                </c:pt>
                <c:pt idx="28">
                  <c:v>6889.6245621530043</c:v>
                </c:pt>
              </c:numCache>
            </c:numRef>
          </c:val>
          <c:extLst>
            <c:ext xmlns:c16="http://schemas.microsoft.com/office/drawing/2014/chart" uri="{C3380CC4-5D6E-409C-BE32-E72D297353CC}">
              <c16:uniqueId val="{00000007-C620-4ADD-88EB-408C4527F960}"/>
            </c:ext>
          </c:extLst>
        </c:ser>
        <c:ser>
          <c:idx val="2"/>
          <c:order val="3"/>
          <c:tx>
            <c:strRef>
              <c:f>Indicators!$E$521</c:f>
              <c:strCache>
                <c:ptCount val="1"/>
                <c:pt idx="0">
                  <c:v>Unrestricted rental (workIng)</c:v>
                </c:pt>
              </c:strCache>
            </c:strRef>
          </c:tx>
          <c:spPr>
            <a:solidFill>
              <a:schemeClr val="accent1"/>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Indicators!$I$521:$AK$521</c:f>
              <c:numCache>
                <c:formatCode>#,##0</c:formatCode>
                <c:ptCount val="29"/>
                <c:pt idx="8">
                  <c:v>1582.4066644377576</c:v>
                </c:pt>
                <c:pt idx="9">
                  <c:v>1449.9884934309357</c:v>
                </c:pt>
                <c:pt idx="10">
                  <c:v>1637.9769724456028</c:v>
                </c:pt>
                <c:pt idx="11">
                  <c:v>1886.3589272409004</c:v>
                </c:pt>
                <c:pt idx="12">
                  <c:v>2041.6725490984609</c:v>
                </c:pt>
                <c:pt idx="13">
                  <c:v>2054.2331174484689</c:v>
                </c:pt>
                <c:pt idx="14">
                  <c:v>2228.196839590285</c:v>
                </c:pt>
                <c:pt idx="15">
                  <c:v>2333.6220662496512</c:v>
                </c:pt>
                <c:pt idx="16">
                  <c:v>2395.7741815987815</c:v>
                </c:pt>
                <c:pt idx="17">
                  <c:v>2054.1217880302765</c:v>
                </c:pt>
                <c:pt idx="18">
                  <c:v>3078.9400561973152</c:v>
                </c:pt>
                <c:pt idx="19">
                  <c:v>2430.6618403105654</c:v>
                </c:pt>
                <c:pt idx="20">
                  <c:v>2842.847384691981</c:v>
                </c:pt>
                <c:pt idx="21">
                  <c:v>3794.2873925479757</c:v>
                </c:pt>
                <c:pt idx="22">
                  <c:v>3988.0319288480759</c:v>
                </c:pt>
                <c:pt idx="23">
                  <c:v>3613.0534066198452</c:v>
                </c:pt>
                <c:pt idx="24">
                  <c:v>4441.4604573044307</c:v>
                </c:pt>
                <c:pt idx="25">
                  <c:v>4570.6279159954029</c:v>
                </c:pt>
                <c:pt idx="26">
                  <c:v>4837.7742311475349</c:v>
                </c:pt>
                <c:pt idx="27">
                  <c:v>4990.8230035957013</c:v>
                </c:pt>
                <c:pt idx="28">
                  <c:v>5246.5008750712814</c:v>
                </c:pt>
              </c:numCache>
            </c:numRef>
          </c:val>
          <c:extLst>
            <c:ext xmlns:c16="http://schemas.microsoft.com/office/drawing/2014/chart" uri="{C3380CC4-5D6E-409C-BE32-E72D297353CC}">
              <c16:uniqueId val="{00000002-C620-4ADD-88EB-408C4527F960}"/>
            </c:ext>
          </c:extLst>
        </c:ser>
        <c:ser>
          <c:idx val="0"/>
          <c:order val="4"/>
          <c:tx>
            <c:strRef>
              <c:f>Indicators!$E$520</c:f>
              <c:strCache>
                <c:ptCount val="1"/>
                <c:pt idx="0">
                  <c:v>LDR Restricted Workforce</c:v>
                </c:pt>
              </c:strCache>
            </c:strRef>
          </c:tx>
          <c:spPr>
            <a:solidFill>
              <a:srgbClr val="00B0F0"/>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Indicators!$I$520:$AK$520</c:f>
              <c:numCache>
                <c:formatCode>#,##0</c:formatCode>
                <c:ptCount val="29"/>
                <c:pt idx="8">
                  <c:v>135</c:v>
                </c:pt>
                <c:pt idx="9">
                  <c:v>137</c:v>
                </c:pt>
                <c:pt idx="10">
                  <c:v>141</c:v>
                </c:pt>
                <c:pt idx="11">
                  <c:v>144</c:v>
                </c:pt>
                <c:pt idx="12">
                  <c:v>151</c:v>
                </c:pt>
                <c:pt idx="13">
                  <c:v>155</c:v>
                </c:pt>
                <c:pt idx="14">
                  <c:v>161</c:v>
                </c:pt>
                <c:pt idx="15">
                  <c:v>169</c:v>
                </c:pt>
                <c:pt idx="16">
                  <c:v>173</c:v>
                </c:pt>
                <c:pt idx="17">
                  <c:v>177</c:v>
                </c:pt>
                <c:pt idx="18">
                  <c:v>177</c:v>
                </c:pt>
                <c:pt idx="19">
                  <c:v>177</c:v>
                </c:pt>
                <c:pt idx="20">
                  <c:v>177</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C620-4ADD-88EB-408C4527F960}"/>
            </c:ext>
          </c:extLst>
        </c:ser>
        <c:ser>
          <c:idx val="1"/>
          <c:order val="5"/>
          <c:tx>
            <c:strRef>
              <c:f>Indicators!$E$519</c:f>
              <c:strCache>
                <c:ptCount val="1"/>
                <c:pt idx="0">
                  <c:v>Deed Restricted Workforce &amp; Affordable</c:v>
                </c:pt>
              </c:strCache>
            </c:strRef>
          </c:tx>
          <c:spPr>
            <a:solidFill>
              <a:schemeClr val="accent6"/>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Indicators!$I$519:$AK$519</c:f>
              <c:numCache>
                <c:formatCode>#,##0</c:formatCode>
                <c:ptCount val="29"/>
                <c:pt idx="8">
                  <c:v>649</c:v>
                </c:pt>
                <c:pt idx="9">
                  <c:v>649</c:v>
                </c:pt>
                <c:pt idx="10">
                  <c:v>702</c:v>
                </c:pt>
                <c:pt idx="11">
                  <c:v>729</c:v>
                </c:pt>
                <c:pt idx="12">
                  <c:v>738</c:v>
                </c:pt>
                <c:pt idx="13">
                  <c:v>811</c:v>
                </c:pt>
                <c:pt idx="14">
                  <c:v>873</c:v>
                </c:pt>
                <c:pt idx="15">
                  <c:v>883</c:v>
                </c:pt>
                <c:pt idx="16">
                  <c:v>963</c:v>
                </c:pt>
                <c:pt idx="17">
                  <c:v>1005</c:v>
                </c:pt>
                <c:pt idx="18">
                  <c:v>1079</c:v>
                </c:pt>
                <c:pt idx="19">
                  <c:v>1160</c:v>
                </c:pt>
                <c:pt idx="20">
                  <c:v>1196</c:v>
                </c:pt>
                <c:pt idx="21">
                  <c:v>0</c:v>
                </c:pt>
                <c:pt idx="22">
                  <c:v>0</c:v>
                </c:pt>
                <c:pt idx="23">
                  <c:v>1152</c:v>
                </c:pt>
                <c:pt idx="24">
                  <c:v>0</c:v>
                </c:pt>
                <c:pt idx="25">
                  <c:v>0</c:v>
                </c:pt>
                <c:pt idx="26">
                  <c:v>0</c:v>
                </c:pt>
                <c:pt idx="27">
                  <c:v>0</c:v>
                </c:pt>
                <c:pt idx="28">
                  <c:v>0</c:v>
                </c:pt>
              </c:numCache>
            </c:numRef>
          </c:val>
          <c:extLst>
            <c:ext xmlns:c16="http://schemas.microsoft.com/office/drawing/2014/chart" uri="{C3380CC4-5D6E-409C-BE32-E72D297353CC}">
              <c16:uniqueId val="{00000000-C620-4ADD-88EB-408C4527F960}"/>
            </c:ext>
          </c:extLst>
        </c:ser>
        <c:dLbls>
          <c:showLegendKey val="0"/>
          <c:showVal val="0"/>
          <c:showCatName val="0"/>
          <c:showSerName val="0"/>
          <c:showPercent val="0"/>
          <c:showBubbleSize val="0"/>
        </c:dLbls>
        <c:gapWidth val="150"/>
        <c:overlap val="100"/>
        <c:axId val="820790392"/>
        <c:axId val="820794232"/>
      </c:bar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 of Units Occupied by the Workforce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ayout>
        <c:manualLayout>
          <c:xMode val="edge"/>
          <c:yMode val="edge"/>
          <c:x val="1.1381124234470691E-2"/>
          <c:y val="0.18812703775349882"/>
          <c:w val="8.1930956547098283E-2"/>
          <c:h val="0.544986513364030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Location of Potential Growth</a:t>
            </a:r>
          </a:p>
        </c:rich>
      </c:tx>
      <c:layout>
        <c:manualLayout>
          <c:xMode val="edge"/>
          <c:yMode val="edge"/>
          <c:x val="2.8912975576099155E-2"/>
          <c:y val="3.229527104959630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01324457000601"/>
          <c:y val="5.0925925925925923E-2"/>
          <c:w val="0.82481983002568715"/>
          <c:h val="0.8416746864975212"/>
        </c:manualLayout>
      </c:layout>
      <c:barChart>
        <c:barDir val="col"/>
        <c:grouping val="stacked"/>
        <c:varyColors val="0"/>
        <c:ser>
          <c:idx val="1"/>
          <c:order val="0"/>
          <c:tx>
            <c:strRef>
              <c:f>Indicators!$C$250</c:f>
              <c:strCache>
                <c:ptCount val="1"/>
                <c:pt idx="0">
                  <c:v>Potential Complete Neighborhood Residential Units</c:v>
                </c:pt>
              </c:strCache>
            </c:strRef>
          </c:tx>
          <c:spPr>
            <a:solidFill>
              <a:schemeClr val="accent2"/>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Indicators!$I$250:$AK$250</c:f>
              <c:numCache>
                <c:formatCode>#,##0</c:formatCode>
                <c:ptCount val="29"/>
                <c:pt idx="4">
                  <c:v>3835</c:v>
                </c:pt>
                <c:pt idx="5">
                  <c:v>3765</c:v>
                </c:pt>
                <c:pt idx="6">
                  <c:v>3698</c:v>
                </c:pt>
                <c:pt idx="7">
                  <c:v>3618</c:v>
                </c:pt>
                <c:pt idx="8">
                  <c:v>3535</c:v>
                </c:pt>
                <c:pt idx="9">
                  <c:v>3576</c:v>
                </c:pt>
                <c:pt idx="10">
                  <c:v>3541</c:v>
                </c:pt>
                <c:pt idx="11">
                  <c:v>3506</c:v>
                </c:pt>
                <c:pt idx="12">
                  <c:v>3446</c:v>
                </c:pt>
                <c:pt idx="13">
                  <c:v>4194</c:v>
                </c:pt>
                <c:pt idx="14">
                  <c:v>4075</c:v>
                </c:pt>
                <c:pt idx="15">
                  <c:v>4058</c:v>
                </c:pt>
                <c:pt idx="16">
                  <c:v>5693.2</c:v>
                </c:pt>
                <c:pt idx="17">
                  <c:v>5547.2</c:v>
                </c:pt>
                <c:pt idx="18">
                  <c:v>5356.2</c:v>
                </c:pt>
                <c:pt idx="19">
                  <c:v>5180.2</c:v>
                </c:pt>
                <c:pt idx="20">
                  <c:v>5117.2</c:v>
                </c:pt>
                <c:pt idx="21">
                  <c:v>5117.2</c:v>
                </c:pt>
                <c:pt idx="22">
                  <c:v>5117.2</c:v>
                </c:pt>
                <c:pt idx="23">
                  <c:v>5117.2</c:v>
                </c:pt>
                <c:pt idx="24">
                  <c:v>5117.2</c:v>
                </c:pt>
                <c:pt idx="25">
                  <c:v>5117.2</c:v>
                </c:pt>
                <c:pt idx="26">
                  <c:v>5117.2</c:v>
                </c:pt>
                <c:pt idx="27">
                  <c:v>5117.2</c:v>
                </c:pt>
                <c:pt idx="28">
                  <c:v>5117.2</c:v>
                </c:pt>
              </c:numCache>
            </c:numRef>
          </c:val>
          <c:extLst>
            <c:ext xmlns:c16="http://schemas.microsoft.com/office/drawing/2014/chart" uri="{C3380CC4-5D6E-409C-BE32-E72D297353CC}">
              <c16:uniqueId val="{00000000-D83E-4033-B42C-AE4206235C9B}"/>
            </c:ext>
          </c:extLst>
        </c:ser>
        <c:ser>
          <c:idx val="0"/>
          <c:order val="1"/>
          <c:tx>
            <c:strRef>
              <c:f>Indicators!$C$249</c:f>
              <c:strCache>
                <c:ptCount val="1"/>
                <c:pt idx="0">
                  <c:v>Potential Rural Area Residential Units</c:v>
                </c:pt>
              </c:strCache>
            </c:strRef>
          </c:tx>
          <c:spPr>
            <a:solidFill>
              <a:schemeClr val="accent6"/>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Indicators!$I$249:$AK$249</c:f>
              <c:numCache>
                <c:formatCode>#,##0</c:formatCode>
                <c:ptCount val="29"/>
                <c:pt idx="4">
                  <c:v>6861</c:v>
                </c:pt>
                <c:pt idx="5">
                  <c:v>6684</c:v>
                </c:pt>
                <c:pt idx="6">
                  <c:v>6598</c:v>
                </c:pt>
                <c:pt idx="7">
                  <c:v>6515</c:v>
                </c:pt>
                <c:pt idx="8">
                  <c:v>6427</c:v>
                </c:pt>
                <c:pt idx="9">
                  <c:v>6385</c:v>
                </c:pt>
                <c:pt idx="10">
                  <c:v>6322</c:v>
                </c:pt>
                <c:pt idx="11">
                  <c:v>6282</c:v>
                </c:pt>
                <c:pt idx="12">
                  <c:v>6222</c:v>
                </c:pt>
                <c:pt idx="13">
                  <c:v>3722</c:v>
                </c:pt>
                <c:pt idx="14">
                  <c:v>3625.8</c:v>
                </c:pt>
                <c:pt idx="15">
                  <c:v>3569.8</c:v>
                </c:pt>
                <c:pt idx="16">
                  <c:v>3510.8</c:v>
                </c:pt>
                <c:pt idx="17">
                  <c:v>3421.8</c:v>
                </c:pt>
                <c:pt idx="18">
                  <c:v>3364.8</c:v>
                </c:pt>
                <c:pt idx="19">
                  <c:v>3307.8</c:v>
                </c:pt>
                <c:pt idx="20">
                  <c:v>3270.8</c:v>
                </c:pt>
                <c:pt idx="21">
                  <c:v>3271.8</c:v>
                </c:pt>
                <c:pt idx="22">
                  <c:v>3271.8</c:v>
                </c:pt>
                <c:pt idx="23">
                  <c:v>3271.8</c:v>
                </c:pt>
                <c:pt idx="24">
                  <c:v>3271.8</c:v>
                </c:pt>
                <c:pt idx="25">
                  <c:v>3271.8</c:v>
                </c:pt>
                <c:pt idx="26">
                  <c:v>3271.8</c:v>
                </c:pt>
                <c:pt idx="27">
                  <c:v>3271.8</c:v>
                </c:pt>
                <c:pt idx="28">
                  <c:v>3271.8</c:v>
                </c:pt>
              </c:numCache>
            </c:numRef>
          </c:val>
          <c:extLst>
            <c:ext xmlns:c16="http://schemas.microsoft.com/office/drawing/2014/chart" uri="{C3380CC4-5D6E-409C-BE32-E72D297353CC}">
              <c16:uniqueId val="{00000001-D83E-4033-B42C-AE4206235C9B}"/>
            </c:ext>
          </c:extLst>
        </c:ser>
        <c:dLbls>
          <c:showLegendKey val="0"/>
          <c:showVal val="0"/>
          <c:showCatName val="0"/>
          <c:showSerName val="0"/>
          <c:showPercent val="0"/>
          <c:showBubbleSize val="0"/>
        </c:dLbls>
        <c:gapWidth val="150"/>
        <c:overlap val="100"/>
        <c:axId val="820790392"/>
        <c:axId val="820794232"/>
      </c:barChart>
      <c:lineChart>
        <c:grouping val="standard"/>
        <c:varyColors val="0"/>
        <c:ser>
          <c:idx val="2"/>
          <c:order val="2"/>
          <c:tx>
            <c:strRef>
              <c:f>Indicators!$C$251</c:f>
              <c:strCache>
                <c:ptCount val="1"/>
                <c:pt idx="0">
                  <c:v>Percent of Potential in Complete Neighborhoods</c:v>
                </c:pt>
              </c:strCache>
            </c:strRef>
          </c:tx>
          <c:spPr>
            <a:ln w="19050"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Indicators!$I$251:$AK$251</c:f>
              <c:numCache>
                <c:formatCode>#,##0</c:formatCode>
                <c:ptCount val="29"/>
                <c:pt idx="4" formatCode="0%">
                  <c:v>0.35854525056095737</c:v>
                </c:pt>
                <c:pt idx="5" formatCode="0%">
                  <c:v>0.36032156187194947</c:v>
                </c:pt>
                <c:pt idx="6" formatCode="0%">
                  <c:v>0.35916860916860915</c:v>
                </c:pt>
                <c:pt idx="7" formatCode="0%">
                  <c:v>0.35705121879009177</c:v>
                </c:pt>
                <c:pt idx="8" formatCode="0%">
                  <c:v>0.35484842401124272</c:v>
                </c:pt>
                <c:pt idx="9" formatCode="0%">
                  <c:v>0.35900010039152697</c:v>
                </c:pt>
                <c:pt idx="10" formatCode="0%">
                  <c:v>0.35901855419243639</c:v>
                </c:pt>
                <c:pt idx="11" formatCode="0%">
                  <c:v>0.35819370657948507</c:v>
                </c:pt>
                <c:pt idx="12" formatCode="0%">
                  <c:v>0.35643359536615637</c:v>
                </c:pt>
                <c:pt idx="13" formatCode="0%">
                  <c:v>0.52981303688731685</c:v>
                </c:pt>
                <c:pt idx="14" formatCode="0%">
                  <c:v>0.52916580095574484</c:v>
                </c:pt>
                <c:pt idx="15" formatCode="0%">
                  <c:v>0.53200136343375548</c:v>
                </c:pt>
                <c:pt idx="16" formatCode="0%">
                  <c:v>0.61855714906562365</c:v>
                </c:pt>
                <c:pt idx="17" formatCode="0%">
                  <c:v>0.61848589586352987</c:v>
                </c:pt>
                <c:pt idx="18" formatCode="0%">
                  <c:v>0.61417268661850699</c:v>
                </c:pt>
                <c:pt idx="19" formatCode="0%">
                  <c:v>0.61029688972667295</c:v>
                </c:pt>
                <c:pt idx="20" formatCode="0%">
                  <c:v>0.61006199332379585</c:v>
                </c:pt>
                <c:pt idx="21" formatCode="0%">
                  <c:v>0.60998927166527595</c:v>
                </c:pt>
                <c:pt idx="22" formatCode="0%">
                  <c:v>0.60998927166527595</c:v>
                </c:pt>
                <c:pt idx="23" formatCode="0%">
                  <c:v>0.60998927166527595</c:v>
                </c:pt>
                <c:pt idx="24" formatCode="0%">
                  <c:v>0.60998927166527595</c:v>
                </c:pt>
                <c:pt idx="25" formatCode="0%">
                  <c:v>0.60998927166527595</c:v>
                </c:pt>
                <c:pt idx="26" formatCode="0%">
                  <c:v>0.60998927166527595</c:v>
                </c:pt>
                <c:pt idx="27" formatCode="0%">
                  <c:v>0.60998927166527595</c:v>
                </c:pt>
                <c:pt idx="28" formatCode="0%">
                  <c:v>0.60998927166527595</c:v>
                </c:pt>
              </c:numCache>
            </c:numRef>
          </c:val>
          <c:smooth val="0"/>
          <c:extLst>
            <c:ext xmlns:c16="http://schemas.microsoft.com/office/drawing/2014/chart" uri="{C3380CC4-5D6E-409C-BE32-E72D297353CC}">
              <c16:uniqueId val="{00000001-6D6D-4C79-BA2A-CB425D99D115}"/>
            </c:ext>
          </c:extLst>
        </c:ser>
        <c:dLbls>
          <c:showLegendKey val="0"/>
          <c:showVal val="0"/>
          <c:showCatName val="0"/>
          <c:showSerName val="0"/>
          <c:showPercent val="0"/>
          <c:showBubbleSize val="0"/>
        </c:dLbls>
        <c:marker val="1"/>
        <c:smooth val="0"/>
        <c:axId val="583579320"/>
        <c:axId val="583578680"/>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Future Residential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valAx>
        <c:axId val="583578680"/>
        <c:scaling>
          <c:orientation val="minMax"/>
          <c:max val="3"/>
        </c:scaling>
        <c:delete val="0"/>
        <c:axPos val="r"/>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en-US"/>
          </a:p>
        </c:txPr>
        <c:crossAx val="583579320"/>
        <c:crosses val="max"/>
        <c:crossBetween val="between"/>
      </c:valAx>
      <c:catAx>
        <c:axId val="583579320"/>
        <c:scaling>
          <c:orientation val="minMax"/>
        </c:scaling>
        <c:delete val="1"/>
        <c:axPos val="b"/>
        <c:numFmt formatCode="General" sourceLinked="1"/>
        <c:majorTickMark val="out"/>
        <c:minorTickMark val="none"/>
        <c:tickLblPos val="nextTo"/>
        <c:crossAx val="583578680"/>
        <c:crosses val="autoZero"/>
        <c:auto val="1"/>
        <c:lblAlgn val="ctr"/>
        <c:lblOffset val="100"/>
        <c:noMultiLvlLbl val="0"/>
      </c:catAx>
      <c:spPr>
        <a:noFill/>
        <a:ln>
          <a:noFill/>
        </a:ln>
        <a:effectLst/>
      </c:spPr>
    </c:plotArea>
    <c:legend>
      <c:legendPos val="l"/>
      <c:legendEntry>
        <c:idx val="2"/>
        <c:delete val="1"/>
      </c:legendEntry>
      <c:layout>
        <c:manualLayout>
          <c:xMode val="edge"/>
          <c:yMode val="edge"/>
          <c:x val="3.1150035197642929E-2"/>
          <c:y val="0.30346729150205703"/>
          <c:w val="9.7071649347561573E-2"/>
          <c:h val="0.155710432389722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Housing Affordability</a:t>
            </a:r>
          </a:p>
        </c:rich>
      </c:tx>
      <c:layout>
        <c:manualLayout>
          <c:xMode val="edge"/>
          <c:yMode val="edge"/>
          <c:x val="3.6635866659575474E-2"/>
          <c:y val="5.405405405405405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64327414992074"/>
          <c:y val="5.0925925925925923E-2"/>
          <c:w val="0.8244863881883232"/>
          <c:h val="0.8416746864975212"/>
        </c:manualLayout>
      </c:layout>
      <c:lineChart>
        <c:grouping val="standard"/>
        <c:varyColors val="0"/>
        <c:ser>
          <c:idx val="2"/>
          <c:order val="0"/>
          <c:tx>
            <c:v>Median Single-Family Home Price</c:v>
          </c:tx>
          <c:spPr>
            <a:ln w="19050" cap="rnd">
              <a:solidFill>
                <a:schemeClr val="accent1"/>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Indicators!$I$1488:$AK$1488</c:f>
              <c:numCache>
                <c:formatCode>0%</c:formatCode>
                <c:ptCount val="29"/>
                <c:pt idx="0">
                  <c:v>8.3333333333333339</c:v>
                </c:pt>
                <c:pt idx="1">
                  <c:v>7.8683834048640913</c:v>
                </c:pt>
                <c:pt idx="2">
                  <c:v>8.1673306772908365</c:v>
                </c:pt>
                <c:pt idx="3">
                  <c:v>10.067114093959731</c:v>
                </c:pt>
                <c:pt idx="4">
                  <c:v>13.154362416107382</c:v>
                </c:pt>
                <c:pt idx="5">
                  <c:v>15.436241610738255</c:v>
                </c:pt>
                <c:pt idx="6">
                  <c:v>15.006002400960384</c:v>
                </c:pt>
                <c:pt idx="7">
                  <c:v>11.173184357541899</c:v>
                </c:pt>
                <c:pt idx="8">
                  <c:v>14.525139664804469</c:v>
                </c:pt>
                <c:pt idx="9">
                  <c:v>10.010537407797681</c:v>
                </c:pt>
                <c:pt idx="10">
                  <c:v>9.4594594594594597</c:v>
                </c:pt>
                <c:pt idx="11">
                  <c:v>8.670820353063343</c:v>
                </c:pt>
                <c:pt idx="12">
                  <c:v>9.9690082644628095</c:v>
                </c:pt>
                <c:pt idx="13">
                  <c:v>13.230429988974642</c:v>
                </c:pt>
                <c:pt idx="14">
                  <c:v>13.170163170163169</c:v>
                </c:pt>
                <c:pt idx="15">
                  <c:v>14.223194748358862</c:v>
                </c:pt>
                <c:pt idx="16">
                  <c:v>16.345177664974621</c:v>
                </c:pt>
                <c:pt idx="17">
                  <c:v>17.025440313111545</c:v>
                </c:pt>
                <c:pt idx="18">
                  <c:v>22.583559168925024</c:v>
                </c:pt>
                <c:pt idx="19">
                  <c:v>25.951557093425606</c:v>
                </c:pt>
                <c:pt idx="20">
                  <c:v>30.27681660899654</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3-1077-442C-A821-7330CAD878B7}"/>
            </c:ext>
          </c:extLst>
        </c:ser>
        <c:ser>
          <c:idx val="1"/>
          <c:order val="1"/>
          <c:tx>
            <c:v>Medain Home Price</c:v>
          </c:tx>
          <c:spPr>
            <a:ln w="19050" cap="rnd">
              <a:solidFill>
                <a:srgbClr val="C00000"/>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Indicators!$I$1487:$AK$1487</c:f>
              <c:numCache>
                <c:formatCode>0%</c:formatCode>
                <c:ptCount val="29"/>
                <c:pt idx="1">
                  <c:v>6.437768240343348</c:v>
                </c:pt>
                <c:pt idx="2">
                  <c:v>6.0590969455511292</c:v>
                </c:pt>
                <c:pt idx="3">
                  <c:v>8.053691275167786</c:v>
                </c:pt>
                <c:pt idx="4">
                  <c:v>9.1946308724832218</c:v>
                </c:pt>
                <c:pt idx="5">
                  <c:v>10.738255033557047</c:v>
                </c:pt>
                <c:pt idx="6">
                  <c:v>11.437575030012004</c:v>
                </c:pt>
                <c:pt idx="7">
                  <c:v>9.0363128491620106</c:v>
                </c:pt>
                <c:pt idx="8">
                  <c:v>8.8826815642458108</c:v>
                </c:pt>
                <c:pt idx="9">
                  <c:v>6.8493150684931505</c:v>
                </c:pt>
                <c:pt idx="10">
                  <c:v>6.252598752598753</c:v>
                </c:pt>
                <c:pt idx="11">
                  <c:v>6.4763551401869162</c:v>
                </c:pt>
                <c:pt idx="12">
                  <c:v>7.5929752066115705</c:v>
                </c:pt>
                <c:pt idx="13">
                  <c:v>9.7023153252480707</c:v>
                </c:pt>
                <c:pt idx="14">
                  <c:v>9.1491841491841495</c:v>
                </c:pt>
                <c:pt idx="15">
                  <c:v>8.9715536105032818</c:v>
                </c:pt>
                <c:pt idx="16">
                  <c:v>9.8984771573604053</c:v>
                </c:pt>
                <c:pt idx="17">
                  <c:v>10.029354207436398</c:v>
                </c:pt>
                <c:pt idx="18">
                  <c:v>13.098464317976513</c:v>
                </c:pt>
                <c:pt idx="19">
                  <c:v>15.916955017301039</c:v>
                </c:pt>
                <c:pt idx="20">
                  <c:v>22.491349480968857</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1077-442C-A821-7330CAD878B7}"/>
            </c:ext>
          </c:extLst>
        </c:ser>
        <c:ser>
          <c:idx val="0"/>
          <c:order val="2"/>
          <c:tx>
            <c:v>Affordable</c:v>
          </c:tx>
          <c:spPr>
            <a:ln w="19050" cap="rnd">
              <a:solidFill>
                <a:schemeClr val="accent6"/>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Indicators!$I$1486:$AK$1486</c:f>
              <c:numCache>
                <c:formatCode>0%</c:formatCode>
                <c:ptCount val="29"/>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numCache>
            </c:numRef>
          </c:val>
          <c:smooth val="0"/>
          <c:extLst>
            <c:ext xmlns:c16="http://schemas.microsoft.com/office/drawing/2014/chart" uri="{C3380CC4-5D6E-409C-BE32-E72D297353CC}">
              <c16:uniqueId val="{00000000-1077-442C-A821-7330CAD878B7}"/>
            </c:ext>
          </c:extLst>
        </c:ser>
        <c:dLbls>
          <c:showLegendKey val="0"/>
          <c:showVal val="0"/>
          <c:showCatName val="0"/>
          <c:showSerName val="0"/>
          <c:showPercent val="0"/>
          <c:showBubbleSize val="0"/>
        </c:dLbls>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1"/>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Price as a % of Median Income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ayout>
        <c:manualLayout>
          <c:xMode val="edge"/>
          <c:yMode val="edge"/>
          <c:x val="2.9273610617371725E-2"/>
          <c:y val="0.30811200964744268"/>
          <c:w val="7.2321700988940543E-2"/>
          <c:h val="0.228042136624813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Conservation</a:t>
            </a:r>
            <a:r>
              <a:rPr lang="en-US" baseline="0"/>
              <a:t> vs. Subdivision of Rural Areas</a:t>
            </a:r>
            <a:endParaRPr lang="en-US"/>
          </a:p>
        </c:rich>
      </c:tx>
      <c:layout>
        <c:manualLayout>
          <c:xMode val="edge"/>
          <c:yMode val="edge"/>
          <c:x val="7.1249353155899914E-3"/>
          <c:y val="5.0749649444504372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57704088054713"/>
          <c:y val="5.0925925925925923E-2"/>
          <c:w val="0.82424622499452227"/>
          <c:h val="0.8416746864975212"/>
        </c:manualLayout>
      </c:layout>
      <c:lineChart>
        <c:grouping val="standard"/>
        <c:varyColors val="0"/>
        <c:ser>
          <c:idx val="1"/>
          <c:order val="0"/>
          <c:tx>
            <c:strRef>
              <c:f>Indicators!$D$69</c:f>
              <c:strCache>
                <c:ptCount val="1"/>
                <c:pt idx="0">
                  <c:v>Rural Acres Conserved over Subdivided</c:v>
                </c:pt>
              </c:strCache>
            </c:strRef>
          </c:tx>
          <c:spPr>
            <a:ln w="19050" cap="rnd">
              <a:solidFill>
                <a:schemeClr val="accent6"/>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Indicators!$I$69:$AK$69</c:f>
              <c:numCache>
                <c:formatCode>#,##0</c:formatCode>
                <c:ptCount val="29"/>
                <c:pt idx="10">
                  <c:v>436.77</c:v>
                </c:pt>
                <c:pt idx="11">
                  <c:v>613.66</c:v>
                </c:pt>
                <c:pt idx="12">
                  <c:v>935.74</c:v>
                </c:pt>
                <c:pt idx="13">
                  <c:v>1249.6499999999999</c:v>
                </c:pt>
                <c:pt idx="14">
                  <c:v>2020.2599999999998</c:v>
                </c:pt>
                <c:pt idx="15">
                  <c:v>1087.9100000000001</c:v>
                </c:pt>
                <c:pt idx="16">
                  <c:v>997.54</c:v>
                </c:pt>
                <c:pt idx="17">
                  <c:v>850.01300000000015</c:v>
                </c:pt>
                <c:pt idx="18">
                  <c:v>737.30300000000011</c:v>
                </c:pt>
                <c:pt idx="19">
                  <c:v>785.68299999999999</c:v>
                </c:pt>
                <c:pt idx="20">
                  <c:v>515.07299999999987</c:v>
                </c:pt>
                <c:pt idx="21">
                  <c:v>475.65299999999979</c:v>
                </c:pt>
                <c:pt idx="22">
                  <c:v>475.65299999999979</c:v>
                </c:pt>
                <c:pt idx="23">
                  <c:v>475.65299999999979</c:v>
                </c:pt>
                <c:pt idx="24">
                  <c:v>475.65299999999979</c:v>
                </c:pt>
                <c:pt idx="25">
                  <c:v>475.65299999999979</c:v>
                </c:pt>
                <c:pt idx="26">
                  <c:v>475.65299999999979</c:v>
                </c:pt>
                <c:pt idx="27">
                  <c:v>475.65299999999979</c:v>
                </c:pt>
                <c:pt idx="28">
                  <c:v>475.65299999999979</c:v>
                </c:pt>
              </c:numCache>
            </c:numRef>
          </c:val>
          <c:smooth val="0"/>
          <c:extLst>
            <c:ext xmlns:c16="http://schemas.microsoft.com/office/drawing/2014/chart" uri="{C3380CC4-5D6E-409C-BE32-E72D297353CC}">
              <c16:uniqueId val="{00000000-F768-4ABD-A9D9-CB51FF129B15}"/>
            </c:ext>
          </c:extLst>
        </c:ser>
        <c:dLbls>
          <c:showLegendKey val="0"/>
          <c:showVal val="0"/>
          <c:showCatName val="0"/>
          <c:showSerName val="0"/>
          <c:showPercent val="0"/>
          <c:showBubbleSize val="0"/>
        </c:dLbls>
        <c:marker val="1"/>
        <c:smooth val="0"/>
        <c:axId val="820790392"/>
        <c:axId val="820794232"/>
      </c:lineChart>
      <c:lineChart>
        <c:grouping val="standard"/>
        <c:varyColors val="0"/>
        <c:ser>
          <c:idx val="0"/>
          <c:order val="1"/>
          <c:tx>
            <c:strRef>
              <c:f>Indicators!$D$70</c:f>
              <c:strCache>
                <c:ptCount val="1"/>
                <c:pt idx="0">
                  <c:v>Rural Potential Removed over Parcels Created</c:v>
                </c:pt>
              </c:strCache>
            </c:strRef>
          </c:tx>
          <c:spPr>
            <a:ln w="19050" cap="rnd">
              <a:solidFill>
                <a:srgbClr val="7030A0"/>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Indicators!$I$70:$AK$70</c:f>
              <c:numCache>
                <c:formatCode>#,##0</c:formatCode>
                <c:ptCount val="29"/>
                <c:pt idx="10">
                  <c:v>27</c:v>
                </c:pt>
                <c:pt idx="11">
                  <c:v>28</c:v>
                </c:pt>
                <c:pt idx="12">
                  <c:v>42</c:v>
                </c:pt>
                <c:pt idx="13">
                  <c:v>133</c:v>
                </c:pt>
                <c:pt idx="14">
                  <c:v>172.2</c:v>
                </c:pt>
                <c:pt idx="15">
                  <c:v>115.19999999999999</c:v>
                </c:pt>
                <c:pt idx="16">
                  <c:v>117.19999999999999</c:v>
                </c:pt>
                <c:pt idx="17">
                  <c:v>112.19999999999999</c:v>
                </c:pt>
                <c:pt idx="18">
                  <c:v>112.19999999999999</c:v>
                </c:pt>
                <c:pt idx="19">
                  <c:v>109.19999999999999</c:v>
                </c:pt>
                <c:pt idx="20">
                  <c:v>89.199999999999989</c:v>
                </c:pt>
                <c:pt idx="21">
                  <c:v>87.199999999999989</c:v>
                </c:pt>
                <c:pt idx="22">
                  <c:v>87.199999999999989</c:v>
                </c:pt>
                <c:pt idx="23">
                  <c:v>87.199999999999989</c:v>
                </c:pt>
                <c:pt idx="24">
                  <c:v>87.199999999999989</c:v>
                </c:pt>
                <c:pt idx="25">
                  <c:v>87.199999999999989</c:v>
                </c:pt>
                <c:pt idx="26">
                  <c:v>87.199999999999989</c:v>
                </c:pt>
                <c:pt idx="27">
                  <c:v>87.199999999999989</c:v>
                </c:pt>
                <c:pt idx="28">
                  <c:v>87.199999999999989</c:v>
                </c:pt>
              </c:numCache>
            </c:numRef>
          </c:val>
          <c:smooth val="0"/>
          <c:extLst>
            <c:ext xmlns:c16="http://schemas.microsoft.com/office/drawing/2014/chart" uri="{C3380CC4-5D6E-409C-BE32-E72D297353CC}">
              <c16:uniqueId val="{00000001-F768-4ABD-A9D9-CB51FF129B15}"/>
            </c:ext>
          </c:extLst>
        </c:ser>
        <c:dLbls>
          <c:showLegendKey val="0"/>
          <c:showVal val="0"/>
          <c:showCatName val="0"/>
          <c:showSerName val="0"/>
          <c:showPercent val="0"/>
          <c:showBubbleSize val="0"/>
        </c:dLbls>
        <c:marker val="1"/>
        <c:smooth val="0"/>
        <c:axId val="541895752"/>
        <c:axId val="5419010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Residential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valAx>
        <c:axId val="541901032"/>
        <c:scaling>
          <c:orientation val="minMax"/>
        </c:scaling>
        <c:delete val="0"/>
        <c:axPos val="r"/>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1895752"/>
        <c:crosses val="max"/>
        <c:crossBetween val="between"/>
      </c:valAx>
      <c:catAx>
        <c:axId val="541895752"/>
        <c:scaling>
          <c:orientation val="minMax"/>
        </c:scaling>
        <c:delete val="1"/>
        <c:axPos val="b"/>
        <c:numFmt formatCode="General" sourceLinked="1"/>
        <c:majorTickMark val="out"/>
        <c:minorTickMark val="none"/>
        <c:tickLblPos val="nextTo"/>
        <c:crossAx val="541901032"/>
        <c:crosses val="autoZero"/>
        <c:auto val="1"/>
        <c:lblAlgn val="ctr"/>
        <c:lblOffset val="100"/>
        <c:noMultiLvlLbl val="0"/>
      </c:catAx>
      <c:spPr>
        <a:noFill/>
        <a:ln>
          <a:noFill/>
        </a:ln>
        <a:effectLst/>
      </c:spPr>
    </c:plotArea>
    <c:legend>
      <c:legendPos val="l"/>
      <c:layout>
        <c:manualLayout>
          <c:xMode val="edge"/>
          <c:yMode val="edge"/>
          <c:x val="2.8781769951935408E-2"/>
          <c:y val="0.20658147835326812"/>
          <c:w val="9.3930509130408429E-2"/>
          <c:h val="0.154110667673390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12416156313793"/>
          <c:y val="5.0925925925925923E-2"/>
          <c:w val="0.80565317876932052"/>
          <c:h val="0.8416746864975212"/>
        </c:manualLayout>
      </c:layout>
      <c:barChart>
        <c:barDir val="col"/>
        <c:grouping val="clustered"/>
        <c:varyColors val="0"/>
        <c:ser>
          <c:idx val="0"/>
          <c:order val="0"/>
          <c:tx>
            <c:v>Total Electricity Usage</c:v>
          </c:tx>
          <c:spPr>
            <a:solidFill>
              <a:schemeClr val="accent1">
                <a:lumMod val="75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Indicators!$I$1145:$AK$1145</c:f>
              <c:numCache>
                <c:formatCode>#,##0</c:formatCode>
                <c:ptCount val="29"/>
                <c:pt idx="5">
                  <c:v>462730210</c:v>
                </c:pt>
                <c:pt idx="6">
                  <c:v>491236648</c:v>
                </c:pt>
                <c:pt idx="7">
                  <c:v>489100503</c:v>
                </c:pt>
                <c:pt idx="8">
                  <c:v>490983728</c:v>
                </c:pt>
                <c:pt idx="9">
                  <c:v>495504205</c:v>
                </c:pt>
                <c:pt idx="10">
                  <c:v>477303862</c:v>
                </c:pt>
                <c:pt idx="11">
                  <c:v>513865900</c:v>
                </c:pt>
                <c:pt idx="12">
                  <c:v>495539345</c:v>
                </c:pt>
                <c:pt idx="13">
                  <c:v>491782351</c:v>
                </c:pt>
                <c:pt idx="14">
                  <c:v>515173782</c:v>
                </c:pt>
                <c:pt idx="15">
                  <c:v>534196454</c:v>
                </c:pt>
                <c:pt idx="16">
                  <c:v>532490423</c:v>
                </c:pt>
                <c:pt idx="17">
                  <c:v>565490897</c:v>
                </c:pt>
                <c:pt idx="18">
                  <c:v>561660217</c:v>
                </c:pt>
                <c:pt idx="19">
                  <c:v>560304510</c:v>
                </c:pt>
                <c:pt idx="20">
                  <c:v>611270503</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AB92-4E3E-A492-9216ACF52666}"/>
            </c:ext>
          </c:extLst>
        </c:ser>
        <c:dLbls>
          <c:showLegendKey val="0"/>
          <c:showVal val="0"/>
          <c:showCatName val="0"/>
          <c:showSerName val="0"/>
          <c:showPercent val="0"/>
          <c:showBubbleSize val="0"/>
        </c:dLbls>
        <c:gapWidth val="150"/>
        <c:axId val="820790392"/>
        <c:axId val="820794232"/>
      </c:barChart>
      <c:lineChart>
        <c:grouping val="standard"/>
        <c:varyColors val="0"/>
        <c:ser>
          <c:idx val="1"/>
          <c:order val="1"/>
          <c:tx>
            <c:v>Per Capita (Summer)</c:v>
          </c:tx>
          <c:spPr>
            <a:ln w="19050" cap="rnd">
              <a:solidFill>
                <a:schemeClr val="accent6"/>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Indicators!$I$1151:$AK$1151</c:f>
              <c:numCache>
                <c:formatCode>General</c:formatCode>
                <c:ptCount val="29"/>
                <c:pt idx="8" formatCode="#,##0">
                  <c:v>1996.0150661690991</c:v>
                </c:pt>
                <c:pt idx="9" formatCode="#,##0">
                  <c:v>2032.7555921579035</c:v>
                </c:pt>
                <c:pt idx="10" formatCode="#,##0">
                  <c:v>1946.049674536258</c:v>
                </c:pt>
                <c:pt idx="11" formatCode="#,##0">
                  <c:v>1915.0106006674635</c:v>
                </c:pt>
                <c:pt idx="12" formatCode="#,##0">
                  <c:v>1890.4869467485582</c:v>
                </c:pt>
                <c:pt idx="13" formatCode="#,##0">
                  <c:v>1817.7263593523226</c:v>
                </c:pt>
                <c:pt idx="14" formatCode="#,##0">
                  <c:v>1842.3324463820632</c:v>
                </c:pt>
                <c:pt idx="15" formatCode="#,##0">
                  <c:v>1807.5248399975619</c:v>
                </c:pt>
                <c:pt idx="16" formatCode="#,##0">
                  <c:v>1820.9563353564299</c:v>
                </c:pt>
                <c:pt idx="17" formatCode="#,##0">
                  <c:v>1871.9057105880424</c:v>
                </c:pt>
                <c:pt idx="18" formatCode="#,##0">
                  <c:v>2263.4973351065864</c:v>
                </c:pt>
                <c:pt idx="19" formatCode="#,##0">
                  <c:v>1857.1534209520059</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numCache>
            </c:numRef>
          </c:val>
          <c:smooth val="0"/>
          <c:extLst>
            <c:ext xmlns:c16="http://schemas.microsoft.com/office/drawing/2014/chart" uri="{C3380CC4-5D6E-409C-BE32-E72D297353CC}">
              <c16:uniqueId val="{00000003-AB92-4E3E-A492-9216ACF52666}"/>
            </c:ext>
          </c:extLst>
        </c:ser>
        <c:ser>
          <c:idx val="2"/>
          <c:order val="2"/>
          <c:tx>
            <c:v>Per Capita (Winter)</c:v>
          </c:tx>
          <c:spPr>
            <a:ln w="19050" cap="rnd">
              <a:solidFill>
                <a:schemeClr val="accent5"/>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Indicators!$I$1152:$AK$1152</c:f>
              <c:numCache>
                <c:formatCode>General</c:formatCode>
                <c:ptCount val="29"/>
                <c:pt idx="8" formatCode="#,##0">
                  <c:v>5572.4393774369228</c:v>
                </c:pt>
                <c:pt idx="9" formatCode="#,##0">
                  <c:v>5656.0420746041173</c:v>
                </c:pt>
                <c:pt idx="10" formatCode="#,##0">
                  <c:v>5344.6216618980097</c:v>
                </c:pt>
                <c:pt idx="11" formatCode="#,##0">
                  <c:v>5537.0533893407137</c:v>
                </c:pt>
                <c:pt idx="12" formatCode="#,##0">
                  <c:v>4913.5856123569001</c:v>
                </c:pt>
                <c:pt idx="13" formatCode="#,##0">
                  <c:v>5024.3720147705881</c:v>
                </c:pt>
                <c:pt idx="14" formatCode="#,##0">
                  <c:v>5184.0778834105504</c:v>
                </c:pt>
                <c:pt idx="15" formatCode="#,##0">
                  <c:v>5149.8209769063033</c:v>
                </c:pt>
                <c:pt idx="16" formatCode="#,##0">
                  <c:v>5076.5247435061592</c:v>
                </c:pt>
                <c:pt idx="17" formatCode="#,##0">
                  <c:v>5227.676020650877</c:v>
                </c:pt>
                <c:pt idx="18" formatCode="#,##0">
                  <c:v>5640.6858641020226</c:v>
                </c:pt>
                <c:pt idx="19" formatCode="#,##0">
                  <c:v>5274.0520869456295</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numCache>
            </c:numRef>
          </c:val>
          <c:smooth val="0"/>
          <c:extLst>
            <c:ext xmlns:c16="http://schemas.microsoft.com/office/drawing/2014/chart" uri="{C3380CC4-5D6E-409C-BE32-E72D297353CC}">
              <c16:uniqueId val="{00000004-AB92-4E3E-A492-9216ACF52666}"/>
            </c:ext>
          </c:extLst>
        </c:ser>
        <c:ser>
          <c:idx val="3"/>
          <c:order val="3"/>
          <c:tx>
            <c:v>Per Capita (Shoulder)</c:v>
          </c:tx>
          <c:spPr>
            <a:ln w="19050" cap="rnd">
              <a:solidFill>
                <a:srgbClr val="C00000"/>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Indicators!$I$1153:$AK$1153</c:f>
              <c:numCache>
                <c:formatCode>General</c:formatCode>
                <c:ptCount val="29"/>
                <c:pt idx="8" formatCode="#,##0">
                  <c:v>4078.2551566328316</c:v>
                </c:pt>
                <c:pt idx="9" formatCode="#,##0">
                  <c:v>4131.9434775462751</c:v>
                </c:pt>
                <c:pt idx="10" formatCode="#,##0">
                  <c:v>3571.460934622949</c:v>
                </c:pt>
                <c:pt idx="11" formatCode="#,##0">
                  <c:v>4158.3425894359316</c:v>
                </c:pt>
                <c:pt idx="12" formatCode="#,##0">
                  <c:v>3731.5932117736684</c:v>
                </c:pt>
                <c:pt idx="13" formatCode="#,##0">
                  <c:v>3431.4466359192998</c:v>
                </c:pt>
                <c:pt idx="14" formatCode="#,##0">
                  <c:v>3454.5313269389585</c:v>
                </c:pt>
                <c:pt idx="15" formatCode="#,##0">
                  <c:v>3786.0222113185732</c:v>
                </c:pt>
                <c:pt idx="16" formatCode="#,##0">
                  <c:v>3744.6568446747506</c:v>
                </c:pt>
                <c:pt idx="17" formatCode="#,##0">
                  <c:v>3952.0085663087762</c:v>
                </c:pt>
                <c:pt idx="18" formatCode="#,##0">
                  <c:v>4183.8917208362509</c:v>
                </c:pt>
                <c:pt idx="19" formatCode="#,##0">
                  <c:v>3643.2025163190087</c:v>
                </c:pt>
                <c:pt idx="20" formatCode="#,##0">
                  <c:v>0</c:v>
                </c:pt>
                <c:pt idx="21" formatCode="#,##0">
                  <c:v>0</c:v>
                </c:pt>
                <c:pt idx="22" formatCode="#,##0">
                  <c:v>0</c:v>
                </c:pt>
                <c:pt idx="23" formatCode="#,##0">
                  <c:v>0</c:v>
                </c:pt>
                <c:pt idx="24" formatCode="#,##0">
                  <c:v>0</c:v>
                </c:pt>
                <c:pt idx="25" formatCode="#,##0">
                  <c:v>0</c:v>
                </c:pt>
                <c:pt idx="26" formatCode="#,##0">
                  <c:v>0</c:v>
                </c:pt>
                <c:pt idx="27" formatCode="#,##0">
                  <c:v>0</c:v>
                </c:pt>
                <c:pt idx="28" formatCode="#,##0">
                  <c:v>0</c:v>
                </c:pt>
              </c:numCache>
            </c:numRef>
          </c:val>
          <c:smooth val="0"/>
          <c:extLst>
            <c:ext xmlns:c16="http://schemas.microsoft.com/office/drawing/2014/chart" uri="{C3380CC4-5D6E-409C-BE32-E72D297353CC}">
              <c16:uniqueId val="{00000005-AB92-4E3E-A492-9216ACF52666}"/>
            </c:ext>
          </c:extLst>
        </c:ser>
        <c:dLbls>
          <c:showLegendKey val="0"/>
          <c:showVal val="0"/>
          <c:showCatName val="0"/>
          <c:showSerName val="0"/>
          <c:showPercent val="0"/>
          <c:showBubbleSize val="0"/>
        </c:dLbls>
        <c:marker val="1"/>
        <c:smooth val="0"/>
        <c:axId val="831167224"/>
        <c:axId val="831169144"/>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Electricity Use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valAx>
        <c:axId val="83116914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Electricity per Capita (Effective Population) (kWh/person)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167224"/>
        <c:crosses val="max"/>
        <c:crossBetween val="between"/>
      </c:valAx>
      <c:catAx>
        <c:axId val="831167224"/>
        <c:scaling>
          <c:orientation val="minMax"/>
        </c:scaling>
        <c:delete val="1"/>
        <c:axPos val="b"/>
        <c:numFmt formatCode="General" sourceLinked="1"/>
        <c:majorTickMark val="out"/>
        <c:minorTickMark val="none"/>
        <c:tickLblPos val="nextTo"/>
        <c:crossAx val="831169144"/>
        <c:crosses val="autoZero"/>
        <c:auto val="1"/>
        <c:lblAlgn val="ctr"/>
        <c:lblOffset val="100"/>
        <c:noMultiLvlLbl val="0"/>
      </c:catAx>
      <c:spPr>
        <a:noFill/>
        <a:ln>
          <a:noFill/>
        </a:ln>
        <a:effectLst/>
      </c:spPr>
    </c:plotArea>
    <c:legend>
      <c:legendPos val="l"/>
      <c:layout>
        <c:manualLayout>
          <c:xMode val="edge"/>
          <c:yMode val="edge"/>
          <c:x val="3.6781609195402297E-3"/>
          <c:y val="0.11892279090113737"/>
          <c:w val="5.5556726461823851E-2"/>
          <c:h val="0.305086881089016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 of the Workforce Living Locally</a:t>
            </a:r>
          </a:p>
        </c:rich>
      </c:tx>
      <c:layout>
        <c:manualLayout>
          <c:xMode val="edge"/>
          <c:yMode val="edge"/>
          <c:x val="9.9597201967244302E-3"/>
          <c:y val="4.954954954954955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64327414992074"/>
          <c:y val="5.0925925925925923E-2"/>
          <c:w val="0.8244863881883232"/>
          <c:h val="0.8416746864975212"/>
        </c:manualLayout>
      </c:layout>
      <c:lineChart>
        <c:grouping val="standard"/>
        <c:varyColors val="0"/>
        <c:ser>
          <c:idx val="0"/>
          <c:order val="0"/>
          <c:tx>
            <c:v>2005 Benchmark (Past Indicator Reports</c:v>
          </c:tx>
          <c:spPr>
            <a:ln w="19050" cap="rnd">
              <a:solidFill>
                <a:srgbClr val="C00000"/>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Indicators!$I$1453:$AK$1453</c:f>
              <c:numCache>
                <c:formatCode>0.0%</c:formatCode>
                <c:ptCount val="29"/>
                <c:pt idx="0">
                  <c:v>0.71380564352313636</c:v>
                </c:pt>
                <c:pt idx="1">
                  <c:v>0.70348746886977098</c:v>
                </c:pt>
                <c:pt idx="2">
                  <c:v>0.69305665215697454</c:v>
                </c:pt>
                <c:pt idx="3">
                  <c:v>0.68</c:v>
                </c:pt>
                <c:pt idx="4">
                  <c:v>0.66145089566248738</c:v>
                </c:pt>
                <c:pt idx="5">
                  <c:v>0.65277971062436346</c:v>
                </c:pt>
                <c:pt idx="6">
                  <c:v>0.62622276612317462</c:v>
                </c:pt>
                <c:pt idx="7">
                  <c:v>0.5957560570168432</c:v>
                </c:pt>
                <c:pt idx="8">
                  <c:v>0.58417042809857922</c:v>
                </c:pt>
                <c:pt idx="9">
                  <c:v>0.57569901790478273</c:v>
                </c:pt>
                <c:pt idx="10">
                  <c:v>0.57391347452641928</c:v>
                </c:pt>
                <c:pt idx="11">
                  <c:v>0.56541196554010276</c:v>
                </c:pt>
                <c:pt idx="12">
                  <c:v>0.56085599178573819</c:v>
                </c:pt>
                <c:pt idx="13">
                  <c:v>0.56354641334650624</c:v>
                </c:pt>
                <c:pt idx="14">
                  <c:v>0.5666254348690033</c:v>
                </c:pt>
                <c:pt idx="15">
                  <c:v>0.56595516338414087</c:v>
                </c:pt>
                <c:pt idx="16">
                  <c:v>0.55050210575640202</c:v>
                </c:pt>
                <c:pt idx="17">
                  <c:v>0.54579829850602135</c:v>
                </c:pt>
                <c:pt idx="18">
                  <c:v>0.53143148620583003</c:v>
                </c:pt>
                <c:pt idx="19">
                  <c:v>0.5328827616910059</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E1DB-4420-845A-317529302A95}"/>
            </c:ext>
          </c:extLst>
        </c:ser>
        <c:ser>
          <c:idx val="1"/>
          <c:order val="1"/>
          <c:tx>
            <c:v>2014 Benchmark (Housing Action Plan)</c:v>
          </c:tx>
          <c:spPr>
            <a:ln w="19050" cap="rnd">
              <a:solidFill>
                <a:schemeClr val="accent1">
                  <a:lumMod val="75000"/>
                </a:schemeClr>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Indicators!$I$1455:$AK$1455</c:f>
              <c:numCache>
                <c:formatCode>0.0%</c:formatCode>
                <c:ptCount val="29"/>
                <c:pt idx="0">
                  <c:v>0.7890786680824371</c:v>
                </c:pt>
                <c:pt idx="1">
                  <c:v>0.7776724098293728</c:v>
                </c:pt>
                <c:pt idx="2">
                  <c:v>0.76614163106147048</c:v>
                </c:pt>
                <c:pt idx="3">
                  <c:v>0.75170811433724039</c:v>
                </c:pt>
                <c:pt idx="4">
                  <c:v>0.73120294927224572</c:v>
                </c:pt>
                <c:pt idx="5">
                  <c:v>0.7216173608103672</c:v>
                </c:pt>
                <c:pt idx="6">
                  <c:v>0.69225990393750347</c:v>
                </c:pt>
                <c:pt idx="7">
                  <c:v>0.65858038562517729</c:v>
                </c:pt>
                <c:pt idx="8">
                  <c:v>0.6457730161140609</c:v>
                </c:pt>
                <c:pt idx="9">
                  <c:v>0.63640826937500783</c:v>
                </c:pt>
                <c:pt idx="10">
                  <c:v>0.63443443489557116</c:v>
                </c:pt>
                <c:pt idx="11">
                  <c:v>0.62503641535274024</c:v>
                </c:pt>
                <c:pt idx="12">
                  <c:v>0.61999999999999988</c:v>
                </c:pt>
                <c:pt idx="13">
                  <c:v>0.62297413487973108</c:v>
                </c:pt>
                <c:pt idx="14">
                  <c:v>0.62637784879543701</c:v>
                </c:pt>
                <c:pt idx="15">
                  <c:v>0.6256368950984077</c:v>
                </c:pt>
                <c:pt idx="16">
                  <c:v>0.60855426449533101</c:v>
                </c:pt>
                <c:pt idx="17">
                  <c:v>0.60335442614475809</c:v>
                </c:pt>
                <c:pt idx="18">
                  <c:v>0.58747258881650233</c:v>
                </c:pt>
                <c:pt idx="19">
                  <c:v>0.58907690581406913</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E1DB-4420-845A-317529302A95}"/>
            </c:ext>
          </c:extLst>
        </c:ser>
        <c:dLbls>
          <c:showLegendKey val="0"/>
          <c:showVal val="0"/>
          <c:showCatName val="0"/>
          <c:showSerName val="0"/>
          <c:showPercent val="0"/>
          <c:showBubbleSize val="0"/>
        </c:dLbls>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1"/>
      </c:catAx>
      <c:valAx>
        <c:axId val="820794232"/>
        <c:scaling>
          <c:orientation val="minMax"/>
          <c:max val="0.8"/>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 of the Workforce Living Locally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majorUnit val="5.000000000000001E-2"/>
      </c:valAx>
      <c:spPr>
        <a:noFill/>
        <a:ln>
          <a:noFill/>
        </a:ln>
        <a:effectLst/>
      </c:spPr>
    </c:plotArea>
    <c:legend>
      <c:legendPos val="l"/>
      <c:layout>
        <c:manualLayout>
          <c:xMode val="edge"/>
          <c:yMode val="edge"/>
          <c:x val="2.1215783860646993E-2"/>
          <c:y val="0.20000390153933462"/>
          <c:w val="8.40386544287723E-2"/>
          <c:h val="0.152028091083209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Wildlife Vehicle Collisions</a:t>
            </a:r>
          </a:p>
        </c:rich>
      </c:tx>
      <c:layout>
        <c:manualLayout>
          <c:xMode val="edge"/>
          <c:yMode val="edge"/>
          <c:x val="3.7944078533020183E-2"/>
          <c:y val="5.4237288135593219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8006238377686"/>
          <c:y val="5.0925925925925923E-2"/>
          <c:w val="0.82419893389614962"/>
          <c:h val="0.8416746864975212"/>
        </c:manualLayout>
      </c:layout>
      <c:lineChart>
        <c:grouping val="standard"/>
        <c:varyColors val="0"/>
        <c:ser>
          <c:idx val="0"/>
          <c:order val="0"/>
          <c:tx>
            <c:strRef>
              <c:f>Indicators!$C$1079</c:f>
              <c:strCache>
                <c:ptCount val="1"/>
                <c:pt idx="0">
                  <c:v>Single Year Count</c:v>
                </c:pt>
              </c:strCache>
            </c:strRef>
          </c:tx>
          <c:spPr>
            <a:ln w="19050" cap="rnd">
              <a:noFill/>
              <a:round/>
            </a:ln>
            <a:effectLst/>
          </c:spPr>
          <c:marker>
            <c:symbol val="circle"/>
            <c:size val="5"/>
            <c:spPr>
              <a:solidFill>
                <a:schemeClr val="accent6">
                  <a:lumMod val="50000"/>
                </a:schemeClr>
              </a:solidFill>
              <a:ln w="9525">
                <a:no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Indicators!$I$1079:$AK$1079</c:f>
              <c:numCache>
                <c:formatCode>#,##0</c:formatCode>
                <c:ptCount val="29"/>
                <c:pt idx="0">
                  <c:v>0</c:v>
                </c:pt>
                <c:pt idx="1">
                  <c:v>129</c:v>
                </c:pt>
                <c:pt idx="2">
                  <c:v>251</c:v>
                </c:pt>
                <c:pt idx="3">
                  <c:v>146</c:v>
                </c:pt>
                <c:pt idx="4">
                  <c:v>264</c:v>
                </c:pt>
                <c:pt idx="5">
                  <c:v>197</c:v>
                </c:pt>
                <c:pt idx="6">
                  <c:v>220</c:v>
                </c:pt>
                <c:pt idx="7">
                  <c:v>179</c:v>
                </c:pt>
                <c:pt idx="8">
                  <c:v>136</c:v>
                </c:pt>
                <c:pt idx="9">
                  <c:v>371</c:v>
                </c:pt>
                <c:pt idx="10">
                  <c:v>206</c:v>
                </c:pt>
                <c:pt idx="11">
                  <c:v>171</c:v>
                </c:pt>
                <c:pt idx="12">
                  <c:v>213</c:v>
                </c:pt>
                <c:pt idx="13">
                  <c:v>277</c:v>
                </c:pt>
                <c:pt idx="14">
                  <c:v>284</c:v>
                </c:pt>
                <c:pt idx="15">
                  <c:v>358</c:v>
                </c:pt>
                <c:pt idx="16">
                  <c:v>181</c:v>
                </c:pt>
                <c:pt idx="17">
                  <c:v>267</c:v>
                </c:pt>
                <c:pt idx="18">
                  <c:v>220</c:v>
                </c:pt>
                <c:pt idx="19">
                  <c:v>165</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B621-45E3-965B-86D8FF6F9324}"/>
            </c:ext>
          </c:extLst>
        </c:ser>
        <c:ser>
          <c:idx val="1"/>
          <c:order val="1"/>
          <c:tx>
            <c:strRef>
              <c:f>Indicators!$C$1080</c:f>
              <c:strCache>
                <c:ptCount val="1"/>
                <c:pt idx="0">
                  <c:v>3-Year Average</c:v>
                </c:pt>
              </c:strCache>
            </c:strRef>
          </c:tx>
          <c:spPr>
            <a:ln w="19050" cap="rnd">
              <a:solidFill>
                <a:schemeClr val="accent3"/>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Indicators!$I$1080:$AK$1080</c:f>
              <c:numCache>
                <c:formatCode>#,##0</c:formatCode>
                <c:ptCount val="29"/>
                <c:pt idx="3">
                  <c:v>175.33333333333334</c:v>
                </c:pt>
                <c:pt idx="4">
                  <c:v>220.33333333333334</c:v>
                </c:pt>
                <c:pt idx="5">
                  <c:v>202.33333333333334</c:v>
                </c:pt>
                <c:pt idx="6">
                  <c:v>227</c:v>
                </c:pt>
                <c:pt idx="7">
                  <c:v>198.66666666666666</c:v>
                </c:pt>
                <c:pt idx="8">
                  <c:v>178.33333333333334</c:v>
                </c:pt>
                <c:pt idx="9">
                  <c:v>228.66666666666666</c:v>
                </c:pt>
                <c:pt idx="10">
                  <c:v>237.66666666666666</c:v>
                </c:pt>
                <c:pt idx="11">
                  <c:v>249.33333333333334</c:v>
                </c:pt>
                <c:pt idx="12">
                  <c:v>196.66666666666666</c:v>
                </c:pt>
                <c:pt idx="13">
                  <c:v>220.33333333333334</c:v>
                </c:pt>
                <c:pt idx="14">
                  <c:v>258</c:v>
                </c:pt>
                <c:pt idx="15">
                  <c:v>306.33333333333331</c:v>
                </c:pt>
                <c:pt idx="16">
                  <c:v>274.33333333333331</c:v>
                </c:pt>
                <c:pt idx="17">
                  <c:v>268.66666666666669</c:v>
                </c:pt>
                <c:pt idx="18">
                  <c:v>222.66666666666666</c:v>
                </c:pt>
                <c:pt idx="19">
                  <c:v>217.33333333333334</c:v>
                </c:pt>
                <c:pt idx="20">
                  <c:v>128.33333333333334</c:v>
                </c:pt>
                <c:pt idx="21">
                  <c:v>55</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B621-45E3-965B-86D8FF6F9324}"/>
            </c:ext>
          </c:extLst>
        </c:ser>
        <c:ser>
          <c:idx val="2"/>
          <c:order val="2"/>
          <c:tx>
            <c:strRef>
              <c:f>Indicators!$C$1081</c:f>
              <c:strCache>
                <c:ptCount val="1"/>
                <c:pt idx="0">
                  <c:v>5-Year Average</c:v>
                </c:pt>
              </c:strCache>
            </c:strRef>
          </c:tx>
          <c:spPr>
            <a:ln w="19050" cap="rnd">
              <a:solidFill>
                <a:schemeClr val="accent6"/>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Indicators!$I$1081:$AK$1081</c:f>
              <c:numCache>
                <c:formatCode>#,##0</c:formatCode>
                <c:ptCount val="29"/>
                <c:pt idx="5">
                  <c:v>197.4</c:v>
                </c:pt>
                <c:pt idx="6">
                  <c:v>215.6</c:v>
                </c:pt>
                <c:pt idx="7">
                  <c:v>201.2</c:v>
                </c:pt>
                <c:pt idx="8">
                  <c:v>199.2</c:v>
                </c:pt>
                <c:pt idx="9">
                  <c:v>220.6</c:v>
                </c:pt>
                <c:pt idx="10">
                  <c:v>222.4</c:v>
                </c:pt>
                <c:pt idx="11">
                  <c:v>212.6</c:v>
                </c:pt>
                <c:pt idx="12">
                  <c:v>219.4</c:v>
                </c:pt>
                <c:pt idx="13">
                  <c:v>247.6</c:v>
                </c:pt>
                <c:pt idx="14">
                  <c:v>230.2</c:v>
                </c:pt>
                <c:pt idx="15">
                  <c:v>260.60000000000002</c:v>
                </c:pt>
                <c:pt idx="16">
                  <c:v>262.60000000000002</c:v>
                </c:pt>
                <c:pt idx="17">
                  <c:v>273.39999999999998</c:v>
                </c:pt>
                <c:pt idx="18">
                  <c:v>262</c:v>
                </c:pt>
                <c:pt idx="19">
                  <c:v>238.2</c:v>
                </c:pt>
                <c:pt idx="20">
                  <c:v>166.6</c:v>
                </c:pt>
                <c:pt idx="21">
                  <c:v>130.4</c:v>
                </c:pt>
                <c:pt idx="22">
                  <c:v>77</c:v>
                </c:pt>
                <c:pt idx="23">
                  <c:v>33</c:v>
                </c:pt>
                <c:pt idx="24">
                  <c:v>0</c:v>
                </c:pt>
                <c:pt idx="25">
                  <c:v>0</c:v>
                </c:pt>
                <c:pt idx="26">
                  <c:v>0</c:v>
                </c:pt>
                <c:pt idx="27">
                  <c:v>0</c:v>
                </c:pt>
                <c:pt idx="28">
                  <c:v>0</c:v>
                </c:pt>
              </c:numCache>
            </c:numRef>
          </c:val>
          <c:smooth val="0"/>
          <c:extLst>
            <c:ext xmlns:c16="http://schemas.microsoft.com/office/drawing/2014/chart" uri="{C3380CC4-5D6E-409C-BE32-E72D297353CC}">
              <c16:uniqueId val="{00000002-B621-45E3-965B-86D8FF6F9324}"/>
            </c:ext>
          </c:extLst>
        </c:ser>
        <c:dLbls>
          <c:showLegendKey val="0"/>
          <c:showVal val="0"/>
          <c:showCatName val="0"/>
          <c:showSerName val="0"/>
          <c:showPercent val="0"/>
          <c:showBubbleSize val="0"/>
        </c:dLbls>
        <c:marker val="1"/>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Wildlife Vehicle Collisions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ayout>
        <c:manualLayout>
          <c:xMode val="edge"/>
          <c:yMode val="edge"/>
          <c:x val="4.8233202986135801E-2"/>
          <c:y val="0.2409566261844388"/>
          <c:w val="5.0935014702109607E-2"/>
          <c:h val="0.228815160816762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START Ridership</a:t>
            </a:r>
          </a:p>
        </c:rich>
      </c:tx>
      <c:layout>
        <c:manualLayout>
          <c:xMode val="edge"/>
          <c:yMode val="edge"/>
          <c:x val="4.1180145782714332E-2"/>
          <c:y val="5.405405405405405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11541814822607"/>
          <c:y val="5.0925925925925923E-2"/>
          <c:w val="0.80520685348208598"/>
          <c:h val="0.8416746864975212"/>
        </c:manualLayout>
      </c:layout>
      <c:barChart>
        <c:barDir val="col"/>
        <c:grouping val="clustered"/>
        <c:varyColors val="0"/>
        <c:ser>
          <c:idx val="0"/>
          <c:order val="0"/>
          <c:tx>
            <c:v>Total Annual Rides</c:v>
          </c:tx>
          <c:spPr>
            <a:solidFill>
              <a:schemeClr val="accent1">
                <a:lumMod val="75000"/>
              </a:schemeClr>
            </a:solidFill>
            <a:ln>
              <a:noFill/>
            </a:ln>
            <a:effectLst/>
          </c:spPr>
          <c:invertIfNegative val="0"/>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Indicators!$I$938:$AK$938</c:f>
              <c:numCache>
                <c:formatCode>#,##0</c:formatCode>
                <c:ptCount val="29"/>
                <c:pt idx="0">
                  <c:v>337450</c:v>
                </c:pt>
                <c:pt idx="1">
                  <c:v>363180</c:v>
                </c:pt>
                <c:pt idx="2">
                  <c:v>437923</c:v>
                </c:pt>
                <c:pt idx="3">
                  <c:v>530642</c:v>
                </c:pt>
                <c:pt idx="4">
                  <c:v>625874</c:v>
                </c:pt>
                <c:pt idx="5">
                  <c:v>712562</c:v>
                </c:pt>
                <c:pt idx="6">
                  <c:v>880898</c:v>
                </c:pt>
                <c:pt idx="7">
                  <c:v>817327</c:v>
                </c:pt>
                <c:pt idx="8">
                  <c:v>803942</c:v>
                </c:pt>
                <c:pt idx="9">
                  <c:v>838150</c:v>
                </c:pt>
                <c:pt idx="10">
                  <c:v>878833</c:v>
                </c:pt>
                <c:pt idx="11">
                  <c:v>905794</c:v>
                </c:pt>
                <c:pt idx="12">
                  <c:v>982131</c:v>
                </c:pt>
                <c:pt idx="13">
                  <c:v>936245</c:v>
                </c:pt>
                <c:pt idx="14">
                  <c:v>981599</c:v>
                </c:pt>
                <c:pt idx="15">
                  <c:v>1019392</c:v>
                </c:pt>
                <c:pt idx="16">
                  <c:v>1071736</c:v>
                </c:pt>
                <c:pt idx="17">
                  <c:v>1098706</c:v>
                </c:pt>
                <c:pt idx="18">
                  <c:v>589568</c:v>
                </c:pt>
                <c:pt idx="19">
                  <c:v>516512</c:v>
                </c:pt>
                <c:pt idx="20">
                  <c:v>758100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31BF-4AFE-B202-D679B8A115FD}"/>
            </c:ext>
          </c:extLst>
        </c:ser>
        <c:dLbls>
          <c:showLegendKey val="0"/>
          <c:showVal val="0"/>
          <c:showCatName val="0"/>
          <c:showSerName val="0"/>
          <c:showPercent val="0"/>
          <c:showBubbleSize val="0"/>
        </c:dLbls>
        <c:gapWidth val="150"/>
        <c:axId val="820790392"/>
        <c:axId val="820794232"/>
      </c:barChart>
      <c:lineChart>
        <c:grouping val="standard"/>
        <c:varyColors val="0"/>
        <c:ser>
          <c:idx val="1"/>
          <c:order val="1"/>
          <c:tx>
            <c:v>Per Capita Rides per Month (Summer)</c:v>
          </c:tx>
          <c:spPr>
            <a:ln w="19050" cap="rnd">
              <a:solidFill>
                <a:schemeClr val="accent6"/>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Indicators!$I$940:$AK$940</c:f>
              <c:numCache>
                <c:formatCode>#,##0.00</c:formatCode>
                <c:ptCount val="29"/>
                <c:pt idx="8">
                  <c:v>1.0202945402380399</c:v>
                </c:pt>
                <c:pt idx="9">
                  <c:v>1.1116049215208927</c:v>
                </c:pt>
                <c:pt idx="10">
                  <c:v>1.1489745394232898</c:v>
                </c:pt>
                <c:pt idx="11">
                  <c:v>1.1364019561932848</c:v>
                </c:pt>
                <c:pt idx="12">
                  <c:v>1.232781007404486</c:v>
                </c:pt>
                <c:pt idx="13">
                  <c:v>1.1578751123355664</c:v>
                </c:pt>
                <c:pt idx="14">
                  <c:v>1.2355326788843728</c:v>
                </c:pt>
                <c:pt idx="15">
                  <c:v>1.2780185037992484</c:v>
                </c:pt>
                <c:pt idx="16">
                  <c:v>1.3356855220615695</c:v>
                </c:pt>
                <c:pt idx="17">
                  <c:v>1.372939637253727</c:v>
                </c:pt>
                <c:pt idx="18">
                  <c:v>0.43250350455037656</c:v>
                </c:pt>
                <c:pt idx="19">
                  <c:v>0.60245231945651168</c:v>
                </c:pt>
                <c:pt idx="20">
                  <c:v>0.94869438319671118</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31BF-4AFE-B202-D679B8A115FD}"/>
            </c:ext>
          </c:extLst>
        </c:ser>
        <c:ser>
          <c:idx val="2"/>
          <c:order val="2"/>
          <c:tx>
            <c:v>Per Capita Rides per Month (Winter)</c:v>
          </c:tx>
          <c:spPr>
            <a:ln w="19050" cap="rnd">
              <a:solidFill>
                <a:schemeClr val="accent5"/>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Indicators!$I$941:$AK$941</c:f>
              <c:numCache>
                <c:formatCode>#,##0.00</c:formatCode>
                <c:ptCount val="29"/>
                <c:pt idx="8">
                  <c:v>3.224531159173301</c:v>
                </c:pt>
                <c:pt idx="9">
                  <c:v>3.3746759133707958</c:v>
                </c:pt>
                <c:pt idx="10">
                  <c:v>3.2947084771739563</c:v>
                </c:pt>
                <c:pt idx="11">
                  <c:v>3.3950547649191383</c:v>
                </c:pt>
                <c:pt idx="12">
                  <c:v>3.4835125771875655</c:v>
                </c:pt>
                <c:pt idx="13">
                  <c:v>3.4060938913114205</c:v>
                </c:pt>
                <c:pt idx="14">
                  <c:v>3.3906656593798443</c:v>
                </c:pt>
                <c:pt idx="15">
                  <c:v>3.3051546124513633</c:v>
                </c:pt>
                <c:pt idx="16">
                  <c:v>3.4664410897565388</c:v>
                </c:pt>
                <c:pt idx="17">
                  <c:v>3.5581236124874738</c:v>
                </c:pt>
                <c:pt idx="18">
                  <c:v>3.0662913785966008</c:v>
                </c:pt>
                <c:pt idx="19">
                  <c:v>1.4696974127656317</c:v>
                </c:pt>
                <c:pt idx="20">
                  <c:v>2.0919094409280796</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2-31BF-4AFE-B202-D679B8A115FD}"/>
            </c:ext>
          </c:extLst>
        </c:ser>
        <c:ser>
          <c:idx val="3"/>
          <c:order val="3"/>
          <c:tx>
            <c:v>Per Capita Rides per Month (Shoulder)</c:v>
          </c:tx>
          <c:spPr>
            <a:ln w="19050" cap="rnd">
              <a:solidFill>
                <a:schemeClr val="accent2"/>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Indicators!$I$942:$AK$942</c:f>
              <c:numCache>
                <c:formatCode>#,##0.00</c:formatCode>
                <c:ptCount val="29"/>
                <c:pt idx="8">
                  <c:v>1.1406268398249773</c:v>
                </c:pt>
                <c:pt idx="9">
                  <c:v>1.2173299434529858</c:v>
                </c:pt>
                <c:pt idx="10">
                  <c:v>1.2295372209920514</c:v>
                </c:pt>
                <c:pt idx="11">
                  <c:v>1.2008882325069616</c:v>
                </c:pt>
                <c:pt idx="12">
                  <c:v>1.2089321586228865</c:v>
                </c:pt>
                <c:pt idx="13">
                  <c:v>1.0608867724750186</c:v>
                </c:pt>
                <c:pt idx="14">
                  <c:v>1.092555267462179</c:v>
                </c:pt>
                <c:pt idx="15">
                  <c:v>1.2499339797963336</c:v>
                </c:pt>
                <c:pt idx="16">
                  <c:v>1.2898261690685577</c:v>
                </c:pt>
                <c:pt idx="17">
                  <c:v>1.4744683356586277</c:v>
                </c:pt>
                <c:pt idx="18">
                  <c:v>0.41842504959615345</c:v>
                </c:pt>
                <c:pt idx="19">
                  <c:v>0.67216971153834792</c:v>
                </c:pt>
                <c:pt idx="20">
                  <c:v>0.99216313138656764</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3-31BF-4AFE-B202-D679B8A115FD}"/>
            </c:ext>
          </c:extLst>
        </c:ser>
        <c:dLbls>
          <c:showLegendKey val="0"/>
          <c:showVal val="0"/>
          <c:showCatName val="0"/>
          <c:showSerName val="0"/>
          <c:showPercent val="0"/>
          <c:showBubbleSize val="0"/>
        </c:dLbls>
        <c:marker val="1"/>
        <c:smooth val="0"/>
        <c:axId val="831177144"/>
        <c:axId val="831180664"/>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Rides per Year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valAx>
        <c:axId val="83118066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Rides per Month per Person (Effective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177144"/>
        <c:crosses val="max"/>
        <c:crossBetween val="between"/>
      </c:valAx>
      <c:catAx>
        <c:axId val="831177144"/>
        <c:scaling>
          <c:orientation val="minMax"/>
        </c:scaling>
        <c:delete val="1"/>
        <c:axPos val="b"/>
        <c:numFmt formatCode="General" sourceLinked="1"/>
        <c:majorTickMark val="out"/>
        <c:minorTickMark val="none"/>
        <c:tickLblPos val="nextTo"/>
        <c:crossAx val="831180664"/>
        <c:crosses val="autoZero"/>
        <c:auto val="1"/>
        <c:lblAlgn val="ctr"/>
        <c:lblOffset val="100"/>
        <c:noMultiLvlLbl val="0"/>
      </c:catAx>
      <c:spPr>
        <a:noFill/>
        <a:ln>
          <a:noFill/>
        </a:ln>
        <a:effectLst/>
      </c:spPr>
    </c:plotArea>
    <c:legend>
      <c:legendPos val="l"/>
      <c:layout>
        <c:manualLayout>
          <c:xMode val="edge"/>
          <c:yMode val="edge"/>
          <c:x val="2.0801832259686737E-2"/>
          <c:y val="0.2045084060438391"/>
          <c:w val="8.4770361705481023E-2"/>
          <c:h val="0.368775980705114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Walk/Bike Modeshare</a:t>
            </a:r>
          </a:p>
        </c:rich>
      </c:tx>
      <c:layout>
        <c:manualLayout>
          <c:xMode val="edge"/>
          <c:yMode val="edge"/>
          <c:x val="3.2313079599497252E-2"/>
          <c:y val="6.306306306306305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377535682195434"/>
          <c:y val="5.0925925925925923E-2"/>
          <c:w val="0.82422416358993167"/>
          <c:h val="0.8416746864975212"/>
        </c:manualLayout>
      </c:layout>
      <c:lineChart>
        <c:grouping val="standard"/>
        <c:varyColors val="0"/>
        <c:ser>
          <c:idx val="2"/>
          <c:order val="0"/>
          <c:tx>
            <c:v>Percentage of Trips by Walk or Bike</c:v>
          </c:tx>
          <c:spPr>
            <a:ln w="19050" cap="rnd">
              <a:solidFill>
                <a:schemeClr val="accent1">
                  <a:lumMod val="75000"/>
                </a:schemeClr>
              </a:solidFill>
              <a:round/>
            </a:ln>
            <a:effectLst/>
          </c:spPr>
          <c:marker>
            <c:symbol val="square"/>
            <c:size val="5"/>
            <c:spPr>
              <a:solidFill>
                <a:schemeClr val="accent1">
                  <a:lumMod val="75000"/>
                </a:schemeClr>
              </a:solidFill>
              <a:ln w="9525">
                <a:no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Indicators!$I$983:$AK$983</c:f>
              <c:numCache>
                <c:formatCode>#,##0</c:formatCode>
                <c:ptCount val="29"/>
                <c:pt idx="8" formatCode="0.0%">
                  <c:v>0.21190687798163468</c:v>
                </c:pt>
                <c:pt idx="9" formatCode="0.0%">
                  <c:v>0.24400224398633799</c:v>
                </c:pt>
                <c:pt idx="10" formatCode="0.0%">
                  <c:v>0.17319093451488318</c:v>
                </c:pt>
                <c:pt idx="11" formatCode="0.0%">
                  <c:v>0.161</c:v>
                </c:pt>
                <c:pt idx="12" formatCode="0.0%">
                  <c:v>0.18592522367303818</c:v>
                </c:pt>
                <c:pt idx="13" formatCode="0.0%">
                  <c:v>0.18168581430100816</c:v>
                </c:pt>
                <c:pt idx="14" formatCode="0.0%">
                  <c:v>0.19793914186377654</c:v>
                </c:pt>
                <c:pt idx="15" formatCode="0.0%">
                  <c:v>0.19168473616588325</c:v>
                </c:pt>
                <c:pt idx="16" formatCode="0.0%">
                  <c:v>0.22016226106860598</c:v>
                </c:pt>
                <c:pt idx="17" formatCode="0.0%">
                  <c:v>0.19414487659138485</c:v>
                </c:pt>
                <c:pt idx="18" formatCode="0.0%">
                  <c:v>0.19521441330550826</c:v>
                </c:pt>
                <c:pt idx="19" formatCode="0.0%">
                  <c:v>0.19704381529413026</c:v>
                </c:pt>
                <c:pt idx="20" formatCode="0.0%">
                  <c:v>0</c:v>
                </c:pt>
                <c:pt idx="21" formatCode="0.0%">
                  <c:v>0</c:v>
                </c:pt>
                <c:pt idx="22" formatCode="0.0%">
                  <c:v>0</c:v>
                </c:pt>
                <c:pt idx="23" formatCode="0.0%">
                  <c:v>0</c:v>
                </c:pt>
                <c:pt idx="24" formatCode="0.0%">
                  <c:v>0</c:v>
                </c:pt>
                <c:pt idx="25" formatCode="0.0%">
                  <c:v>0</c:v>
                </c:pt>
                <c:pt idx="26" formatCode="0.0%">
                  <c:v>0</c:v>
                </c:pt>
                <c:pt idx="27" formatCode="0.0%">
                  <c:v>0</c:v>
                </c:pt>
                <c:pt idx="28" formatCode="0.0%">
                  <c:v>0</c:v>
                </c:pt>
              </c:numCache>
            </c:numRef>
          </c:val>
          <c:smooth val="0"/>
          <c:extLst>
            <c:ext xmlns:c16="http://schemas.microsoft.com/office/drawing/2014/chart" uri="{C3380CC4-5D6E-409C-BE32-E72D297353CC}">
              <c16:uniqueId val="{00000002-FCDE-4591-92F8-A8828073A8F5}"/>
            </c:ext>
          </c:extLst>
        </c:ser>
        <c:dLbls>
          <c:showLegendKey val="0"/>
          <c:showVal val="0"/>
          <c:showCatName val="0"/>
          <c:showSerName val="0"/>
          <c:showPercent val="0"/>
          <c:showBubbleSize val="0"/>
        </c:dLbls>
        <c:marker val="1"/>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0"/>
      </c:catAx>
      <c:valAx>
        <c:axId val="8207942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 of Trips by Walk or Bike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valAx>
      <c:spPr>
        <a:noFill/>
        <a:ln>
          <a:noFill/>
        </a:ln>
        <a:effectLst/>
      </c:spPr>
    </c:plotArea>
    <c:legend>
      <c:legendPos val="l"/>
      <c:layout>
        <c:manualLayout>
          <c:xMode val="edge"/>
          <c:yMode val="edge"/>
          <c:x val="2.4647470079393292E-2"/>
          <c:y val="0.20523622047244092"/>
          <c:w val="7.5627798569259899E-2"/>
          <c:h val="7.60140455416045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 of the Workforce Living Locally</a:t>
            </a:r>
          </a:p>
        </c:rich>
      </c:tx>
      <c:layout>
        <c:manualLayout>
          <c:xMode val="edge"/>
          <c:yMode val="edge"/>
          <c:x val="5.8265290603338668E-3"/>
          <c:y val="4.954954954954955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039641753707494"/>
          <c:y val="5.0925925925925923E-2"/>
          <c:w val="0.8057020017339791"/>
          <c:h val="0.8416746864975212"/>
        </c:manualLayout>
      </c:layout>
      <c:lineChart>
        <c:grouping val="standard"/>
        <c:varyColors val="0"/>
        <c:ser>
          <c:idx val="2"/>
          <c:order val="0"/>
          <c:tx>
            <c:v>LAUS, QCEW, LEHD method (2021-)</c:v>
          </c:tx>
          <c:spPr>
            <a:ln w="19050" cap="rnd">
              <a:solidFill>
                <a:schemeClr val="tx1"/>
              </a:solidFill>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Indicators!$I$456:$AK$456</c:f>
              <c:numCache>
                <c:formatCode>0.0%</c:formatCode>
                <c:ptCount val="29"/>
                <c:pt idx="0">
                  <c:v>0.68431269725075916</c:v>
                </c:pt>
                <c:pt idx="1">
                  <c:v>0.66848706070421648</c:v>
                </c:pt>
                <c:pt idx="2">
                  <c:v>0.66751916762689811</c:v>
                </c:pt>
                <c:pt idx="3">
                  <c:v>0.65979459423559561</c:v>
                </c:pt>
                <c:pt idx="4">
                  <c:v>0.65954266551171603</c:v>
                </c:pt>
                <c:pt idx="5">
                  <c:v>0.64251197151464401</c:v>
                </c:pt>
                <c:pt idx="6">
                  <c:v>0.62304375163940751</c:v>
                </c:pt>
                <c:pt idx="7">
                  <c:v>0.60434262279761386</c:v>
                </c:pt>
                <c:pt idx="8">
                  <c:v>0.59929764089770898</c:v>
                </c:pt>
                <c:pt idx="9">
                  <c:v>0.60401186816582397</c:v>
                </c:pt>
                <c:pt idx="10">
                  <c:v>0.59522688462954088</c:v>
                </c:pt>
                <c:pt idx="11">
                  <c:v>0.59357063313718583</c:v>
                </c:pt>
                <c:pt idx="12">
                  <c:v>0.57753170099086393</c:v>
                </c:pt>
                <c:pt idx="13">
                  <c:v>0.59749712318735504</c:v>
                </c:pt>
                <c:pt idx="14">
                  <c:v>0.59921132808610156</c:v>
                </c:pt>
                <c:pt idx="15">
                  <c:v>0.58799380783798172</c:v>
                </c:pt>
                <c:pt idx="16">
                  <c:v>0.58253490174830713</c:v>
                </c:pt>
                <c:pt idx="17">
                  <c:v>0.59147408507879828</c:v>
                </c:pt>
                <c:pt idx="18">
                  <c:v>0.58400655634539367</c:v>
                </c:pt>
                <c:pt idx="19">
                  <c:v>0.59586108165680485</c:v>
                </c:pt>
                <c:pt idx="20">
                  <c:v>0.58892099754002447</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E4BC-40DB-9ABC-BCC323F87520}"/>
            </c:ext>
          </c:extLst>
        </c:ser>
        <c:ser>
          <c:idx val="3"/>
          <c:order val="1"/>
          <c:tx>
            <c:v>2005 Employee Survey</c:v>
          </c:tx>
          <c:spPr>
            <a:ln w="19050" cap="rnd">
              <a:noFill/>
              <a:round/>
            </a:ln>
            <a:effectLst/>
          </c:spPr>
          <c:marker>
            <c:symbol val="circle"/>
            <c:size val="7"/>
            <c:spPr>
              <a:solidFill>
                <a:srgbClr val="C00000"/>
              </a:solidFill>
              <a:ln w="9525">
                <a:no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Indicators!$I$470:$AK$470</c:f>
              <c:numCache>
                <c:formatCode>0%</c:formatCode>
                <c:ptCount val="29"/>
                <c:pt idx="3">
                  <c:v>0.68</c:v>
                </c:pt>
              </c:numCache>
            </c:numRef>
          </c:val>
          <c:smooth val="0"/>
          <c:extLst>
            <c:ext xmlns:c16="http://schemas.microsoft.com/office/drawing/2014/chart" uri="{C3380CC4-5D6E-409C-BE32-E72D297353CC}">
              <c16:uniqueId val="{00000003-9170-478F-9D42-7DEA9A7EE4C0}"/>
            </c:ext>
          </c:extLst>
        </c:ser>
        <c:ser>
          <c:idx val="4"/>
          <c:order val="2"/>
          <c:tx>
            <c:v>2014 Employee Survey</c:v>
          </c:tx>
          <c:spPr>
            <a:ln w="19050" cap="rnd">
              <a:noFill/>
              <a:round/>
            </a:ln>
            <a:effectLst/>
          </c:spPr>
          <c:marker>
            <c:symbol val="circle"/>
            <c:size val="7"/>
            <c:spPr>
              <a:solidFill>
                <a:schemeClr val="accent1">
                  <a:lumMod val="75000"/>
                </a:schemeClr>
              </a:solidFill>
              <a:ln w="9525">
                <a:no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Indicators!$I$471:$AK$471</c:f>
              <c:numCache>
                <c:formatCode>0%</c:formatCode>
                <c:ptCount val="29"/>
                <c:pt idx="12">
                  <c:v>0.61999999999999988</c:v>
                </c:pt>
              </c:numCache>
            </c:numRef>
          </c:val>
          <c:smooth val="0"/>
          <c:extLst>
            <c:ext xmlns:c16="http://schemas.microsoft.com/office/drawing/2014/chart" uri="{C3380CC4-5D6E-409C-BE32-E72D297353CC}">
              <c16:uniqueId val="{00000004-9170-478F-9D42-7DEA9A7EE4C0}"/>
            </c:ext>
          </c:extLst>
        </c:ser>
        <c:ser>
          <c:idx val="0"/>
          <c:order val="3"/>
          <c:tx>
            <c:v>2005 Benchmark Method (2013-2020)</c:v>
          </c:tx>
          <c:spPr>
            <a:ln w="19050" cap="rnd">
              <a:solidFill>
                <a:srgbClr val="C00000"/>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Indicators!$I$1453:$AK$1453</c:f>
              <c:numCache>
                <c:formatCode>0.0%</c:formatCode>
                <c:ptCount val="29"/>
                <c:pt idx="0">
                  <c:v>0.71380564352313636</c:v>
                </c:pt>
                <c:pt idx="1">
                  <c:v>0.70348746886977098</c:v>
                </c:pt>
                <c:pt idx="2">
                  <c:v>0.69305665215697454</c:v>
                </c:pt>
                <c:pt idx="3">
                  <c:v>0.68</c:v>
                </c:pt>
                <c:pt idx="4">
                  <c:v>0.66145089566248738</c:v>
                </c:pt>
                <c:pt idx="5">
                  <c:v>0.65277971062436346</c:v>
                </c:pt>
                <c:pt idx="6">
                  <c:v>0.62622276612317462</c:v>
                </c:pt>
                <c:pt idx="7">
                  <c:v>0.5957560570168432</c:v>
                </c:pt>
                <c:pt idx="8">
                  <c:v>0.58417042809857922</c:v>
                </c:pt>
                <c:pt idx="9">
                  <c:v>0.57569901790478273</c:v>
                </c:pt>
                <c:pt idx="10">
                  <c:v>0.57391347452641928</c:v>
                </c:pt>
                <c:pt idx="11">
                  <c:v>0.56541196554010276</c:v>
                </c:pt>
                <c:pt idx="12">
                  <c:v>0.56085599178573819</c:v>
                </c:pt>
                <c:pt idx="13">
                  <c:v>0.56354641334650624</c:v>
                </c:pt>
                <c:pt idx="14">
                  <c:v>0.5666254348690033</c:v>
                </c:pt>
                <c:pt idx="15">
                  <c:v>0.56595516338414087</c:v>
                </c:pt>
                <c:pt idx="16">
                  <c:v>0.55050210575640202</c:v>
                </c:pt>
                <c:pt idx="17">
                  <c:v>0.54579829850602135</c:v>
                </c:pt>
                <c:pt idx="18">
                  <c:v>0.53143148620583003</c:v>
                </c:pt>
                <c:pt idx="19">
                  <c:v>0.5328827616910059</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9170-478F-9D42-7DEA9A7EE4C0}"/>
            </c:ext>
          </c:extLst>
        </c:ser>
        <c:ser>
          <c:idx val="1"/>
          <c:order val="4"/>
          <c:tx>
            <c:v>2014 Benchmark Method (2020)</c:v>
          </c:tx>
          <c:spPr>
            <a:ln w="19050" cap="rnd">
              <a:solidFill>
                <a:schemeClr val="accent1">
                  <a:lumMod val="75000"/>
                </a:schemeClr>
              </a:solidFill>
              <a:prstDash val="sysDot"/>
              <a:round/>
            </a:ln>
            <a:effectLst/>
          </c:spPr>
          <c:marker>
            <c:symbol val="none"/>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Indicators!$I$1455:$AK$1455</c:f>
              <c:numCache>
                <c:formatCode>0.0%</c:formatCode>
                <c:ptCount val="29"/>
                <c:pt idx="0">
                  <c:v>0.7890786680824371</c:v>
                </c:pt>
                <c:pt idx="1">
                  <c:v>0.7776724098293728</c:v>
                </c:pt>
                <c:pt idx="2">
                  <c:v>0.76614163106147048</c:v>
                </c:pt>
                <c:pt idx="3">
                  <c:v>0.75170811433724039</c:v>
                </c:pt>
                <c:pt idx="4">
                  <c:v>0.73120294927224572</c:v>
                </c:pt>
                <c:pt idx="5">
                  <c:v>0.7216173608103672</c:v>
                </c:pt>
                <c:pt idx="6">
                  <c:v>0.69225990393750347</c:v>
                </c:pt>
                <c:pt idx="7">
                  <c:v>0.65858038562517729</c:v>
                </c:pt>
                <c:pt idx="8">
                  <c:v>0.6457730161140609</c:v>
                </c:pt>
                <c:pt idx="9">
                  <c:v>0.63640826937500783</c:v>
                </c:pt>
                <c:pt idx="10">
                  <c:v>0.63443443489557116</c:v>
                </c:pt>
                <c:pt idx="11">
                  <c:v>0.62503641535274024</c:v>
                </c:pt>
                <c:pt idx="12">
                  <c:v>0.61999999999999988</c:v>
                </c:pt>
                <c:pt idx="13">
                  <c:v>0.62297413487973108</c:v>
                </c:pt>
                <c:pt idx="14">
                  <c:v>0.62637784879543701</c:v>
                </c:pt>
                <c:pt idx="15">
                  <c:v>0.6256368950984077</c:v>
                </c:pt>
                <c:pt idx="16">
                  <c:v>0.60855426449533101</c:v>
                </c:pt>
                <c:pt idx="17">
                  <c:v>0.60335442614475809</c:v>
                </c:pt>
                <c:pt idx="18">
                  <c:v>0.58747258881650233</c:v>
                </c:pt>
                <c:pt idx="19">
                  <c:v>0.58907690581406913</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9170-478F-9D42-7DEA9A7EE4C0}"/>
            </c:ext>
          </c:extLst>
        </c:ser>
        <c:ser>
          <c:idx val="5"/>
          <c:order val="5"/>
          <c:tx>
            <c:v>2021 Survey</c:v>
          </c:tx>
          <c:spPr>
            <a:ln w="0" cap="rnd">
              <a:solidFill>
                <a:schemeClr val="bg1"/>
              </a:solidFill>
              <a:round/>
            </a:ln>
            <a:effectLst/>
          </c:spPr>
          <c:marker>
            <c:symbol val="circle"/>
            <c:size val="5"/>
            <c:spPr>
              <a:solidFill>
                <a:schemeClr val="accent6"/>
              </a:solidFill>
              <a:ln w="19050">
                <a:solidFill>
                  <a:schemeClr val="accent6"/>
                </a:solid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Indicators!$I$472:$AK$472</c:f>
              <c:numCache>
                <c:formatCode>0%</c:formatCode>
                <c:ptCount val="29"/>
                <c:pt idx="19">
                  <c:v>0.61</c:v>
                </c:pt>
              </c:numCache>
            </c:numRef>
          </c:val>
          <c:smooth val="0"/>
          <c:extLst>
            <c:ext xmlns:c16="http://schemas.microsoft.com/office/drawing/2014/chart" uri="{C3380CC4-5D6E-409C-BE32-E72D297353CC}">
              <c16:uniqueId val="{00000001-AE57-4CDA-8812-63A4CE0A56B3}"/>
            </c:ext>
          </c:extLst>
        </c:ser>
        <c:dLbls>
          <c:showLegendKey val="0"/>
          <c:showVal val="0"/>
          <c:showCatName val="0"/>
          <c:showSerName val="0"/>
          <c:showPercent val="0"/>
          <c:showBubbleSize val="0"/>
        </c:dLbls>
        <c:smooth val="0"/>
        <c:axId val="820790392"/>
        <c:axId val="820794232"/>
      </c:lineChart>
      <c:catAx>
        <c:axId val="820790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4232"/>
        <c:crosses val="autoZero"/>
        <c:auto val="1"/>
        <c:lblAlgn val="ctr"/>
        <c:lblOffset val="100"/>
        <c:noMultiLvlLbl val="1"/>
      </c:catAx>
      <c:valAx>
        <c:axId val="820794232"/>
        <c:scaling>
          <c:orientation val="minMax"/>
          <c:max val="0.8"/>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Percentage of the Workforce Living Locally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790392"/>
        <c:crosses val="autoZero"/>
        <c:crossBetween val="between"/>
        <c:majorUnit val="5.000000000000001E-2"/>
      </c:valAx>
      <c:spPr>
        <a:noFill/>
        <a:ln>
          <a:noFill/>
        </a:ln>
        <a:effectLst/>
      </c:spPr>
    </c:plotArea>
    <c:legend>
      <c:legendPos val="l"/>
      <c:layout>
        <c:manualLayout>
          <c:xMode val="edge"/>
          <c:yMode val="edge"/>
          <c:x val="1.9793814432989689E-2"/>
          <c:y val="0.25405795559338867"/>
          <c:w val="8.2114324108236034E-2"/>
          <c:h val="0.456084273249627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Lodging Occupancy</a:t>
            </a:r>
          </a:p>
        </c:rich>
      </c:tx>
      <c:layout>
        <c:manualLayout>
          <c:xMode val="edge"/>
          <c:yMode val="edge"/>
          <c:x val="3.2493648217636915E-2"/>
          <c:y val="5.9976931949250287E-2"/>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652936512706905"/>
          <c:y val="5.0925925925925923E-2"/>
          <c:w val="0.8428958212284533"/>
          <c:h val="0.8657407407407407"/>
        </c:manualLayout>
      </c:layout>
      <c:lineChart>
        <c:grouping val="standard"/>
        <c:varyColors val="0"/>
        <c:ser>
          <c:idx val="0"/>
          <c:order val="0"/>
          <c:tx>
            <c:strRef>
              <c:f>Indicators!$C$848</c:f>
              <c:strCache>
                <c:ptCount val="1"/>
                <c:pt idx="0">
                  <c:v>January</c:v>
                </c:pt>
              </c:strCache>
            </c:strRef>
          </c:tx>
          <c:spPr>
            <a:ln w="28575" cap="rnd">
              <a:solidFill>
                <a:schemeClr val="accent1"/>
              </a:solidFill>
              <a:round/>
            </a:ln>
            <a:effectLst/>
          </c:spPr>
          <c:marker>
            <c:symbol val="diamond"/>
            <c:size val="8"/>
            <c:spPr>
              <a:solidFill>
                <a:schemeClr val="accent1"/>
              </a:solidFill>
              <a:ln w="9525">
                <a:no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Indicators!$I$848:$AK$848</c:f>
              <c:numCache>
                <c:formatCode>0.0%</c:formatCode>
                <c:ptCount val="29"/>
                <c:pt idx="5">
                  <c:v>0.52900000000000003</c:v>
                </c:pt>
                <c:pt idx="6">
                  <c:v>0.54600000000000004</c:v>
                </c:pt>
                <c:pt idx="7">
                  <c:v>0.48</c:v>
                </c:pt>
                <c:pt idx="8">
                  <c:v>0.42</c:v>
                </c:pt>
                <c:pt idx="9">
                  <c:v>0.4</c:v>
                </c:pt>
                <c:pt idx="10">
                  <c:v>0.42299999999999999</c:v>
                </c:pt>
                <c:pt idx="11">
                  <c:v>0.42</c:v>
                </c:pt>
                <c:pt idx="12">
                  <c:v>0.51</c:v>
                </c:pt>
                <c:pt idx="13">
                  <c:v>0.53100000000000003</c:v>
                </c:pt>
                <c:pt idx="14">
                  <c:v>0.53200000000000003</c:v>
                </c:pt>
                <c:pt idx="15">
                  <c:v>0.58399999999999996</c:v>
                </c:pt>
                <c:pt idx="16">
                  <c:v>0.622</c:v>
                </c:pt>
                <c:pt idx="17">
                  <c:v>0.621</c:v>
                </c:pt>
                <c:pt idx="18">
                  <c:v>0.60599999999999998</c:v>
                </c:pt>
                <c:pt idx="19">
                  <c:v>0.627</c:v>
                </c:pt>
                <c:pt idx="20">
                  <c:v>0.65900000000000003</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9E16-4011-BFBA-0A35078556D7}"/>
            </c:ext>
          </c:extLst>
        </c:ser>
        <c:ser>
          <c:idx val="1"/>
          <c:order val="1"/>
          <c:tx>
            <c:strRef>
              <c:f>Indicators!$C$849</c:f>
              <c:strCache>
                <c:ptCount val="1"/>
                <c:pt idx="0">
                  <c:v>April</c:v>
                </c:pt>
              </c:strCache>
            </c:strRef>
          </c:tx>
          <c:spPr>
            <a:ln w="28575" cap="rnd">
              <a:solidFill>
                <a:schemeClr val="accent2"/>
              </a:solidFill>
              <a:round/>
            </a:ln>
            <a:effectLst/>
          </c:spPr>
          <c:marker>
            <c:symbol val="square"/>
            <c:size val="6"/>
            <c:spPr>
              <a:solidFill>
                <a:schemeClr val="accent2"/>
              </a:solidFill>
              <a:ln w="9525">
                <a:no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Indicators!$I$849:$AK$849</c:f>
              <c:numCache>
                <c:formatCode>0.0%</c:formatCode>
                <c:ptCount val="29"/>
                <c:pt idx="5">
                  <c:v>0.246</c:v>
                </c:pt>
                <c:pt idx="6">
                  <c:v>0.217</c:v>
                </c:pt>
                <c:pt idx="7">
                  <c:v>0.157</c:v>
                </c:pt>
                <c:pt idx="8">
                  <c:v>0.156</c:v>
                </c:pt>
                <c:pt idx="9">
                  <c:v>0.13</c:v>
                </c:pt>
                <c:pt idx="10">
                  <c:v>0.18</c:v>
                </c:pt>
                <c:pt idx="11">
                  <c:v>0.16</c:v>
                </c:pt>
                <c:pt idx="12">
                  <c:v>0.11</c:v>
                </c:pt>
                <c:pt idx="13">
                  <c:v>0.154</c:v>
                </c:pt>
                <c:pt idx="14">
                  <c:v>0.14299999999999999</c:v>
                </c:pt>
                <c:pt idx="15">
                  <c:v>0.127</c:v>
                </c:pt>
                <c:pt idx="16">
                  <c:v>0.16400000000000001</c:v>
                </c:pt>
                <c:pt idx="17">
                  <c:v>0.185</c:v>
                </c:pt>
                <c:pt idx="18">
                  <c:v>5.0999999999999997E-2</c:v>
                </c:pt>
                <c:pt idx="19">
                  <c:v>0.48299999999999998</c:v>
                </c:pt>
                <c:pt idx="20">
                  <c:v>0.33100000000000002</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1-9E16-4011-BFBA-0A35078556D7}"/>
            </c:ext>
          </c:extLst>
        </c:ser>
        <c:ser>
          <c:idx val="2"/>
          <c:order val="2"/>
          <c:tx>
            <c:strRef>
              <c:f>Indicators!$C$850</c:f>
              <c:strCache>
                <c:ptCount val="1"/>
                <c:pt idx="0">
                  <c:v>July</c:v>
                </c:pt>
              </c:strCache>
            </c:strRef>
          </c:tx>
          <c:spPr>
            <a:ln w="28575" cap="rnd">
              <a:solidFill>
                <a:schemeClr val="accent6"/>
              </a:solidFill>
              <a:round/>
            </a:ln>
            <a:effectLst/>
          </c:spPr>
          <c:marker>
            <c:symbol val="triangle"/>
            <c:size val="8"/>
            <c:spPr>
              <a:solidFill>
                <a:schemeClr val="accent6"/>
              </a:solidFill>
              <a:ln w="9525">
                <a:no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Indicators!$I$850:$AK$850</c:f>
              <c:numCache>
                <c:formatCode>0.0%</c:formatCode>
                <c:ptCount val="29"/>
                <c:pt idx="5">
                  <c:v>0.95399999999999996</c:v>
                </c:pt>
                <c:pt idx="6">
                  <c:v>0.86599999999999999</c:v>
                </c:pt>
                <c:pt idx="7">
                  <c:v>0.83</c:v>
                </c:pt>
                <c:pt idx="8">
                  <c:v>0.88500000000000001</c:v>
                </c:pt>
                <c:pt idx="9">
                  <c:v>0.88500000000000001</c:v>
                </c:pt>
                <c:pt idx="10">
                  <c:v>0.87</c:v>
                </c:pt>
                <c:pt idx="11">
                  <c:v>0.82</c:v>
                </c:pt>
                <c:pt idx="12">
                  <c:v>0.88</c:v>
                </c:pt>
                <c:pt idx="13">
                  <c:v>0.9</c:v>
                </c:pt>
                <c:pt idx="14">
                  <c:v>0.92300000000000004</c:v>
                </c:pt>
                <c:pt idx="15">
                  <c:v>0.86899999999999999</c:v>
                </c:pt>
                <c:pt idx="16">
                  <c:v>0.877</c:v>
                </c:pt>
                <c:pt idx="17">
                  <c:v>0.86</c:v>
                </c:pt>
                <c:pt idx="18">
                  <c:v>0.70699999999999996</c:v>
                </c:pt>
                <c:pt idx="19">
                  <c:v>0.93400000000000005</c:v>
                </c:pt>
                <c:pt idx="20">
                  <c:v>0.81799999999999995</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2-9E16-4011-BFBA-0A35078556D7}"/>
            </c:ext>
          </c:extLst>
        </c:ser>
        <c:ser>
          <c:idx val="3"/>
          <c:order val="3"/>
          <c:tx>
            <c:strRef>
              <c:f>Indicators!$C$851</c:f>
              <c:strCache>
                <c:ptCount val="1"/>
                <c:pt idx="0">
                  <c:v>October</c:v>
                </c:pt>
              </c:strCache>
            </c:strRef>
          </c:tx>
          <c:spPr>
            <a:ln w="28575" cap="rnd">
              <a:solidFill>
                <a:schemeClr val="accent4"/>
              </a:solidFill>
              <a:round/>
            </a:ln>
            <a:effectLst/>
          </c:spPr>
          <c:marker>
            <c:symbol val="x"/>
            <c:size val="8"/>
            <c:spPr>
              <a:noFill/>
              <a:ln w="9525">
                <a:solidFill>
                  <a:schemeClr val="accent4"/>
                </a:solidFill>
              </a:ln>
              <a:effectLst/>
            </c:spPr>
          </c:marker>
          <c:cat>
            <c:numRef>
              <c:f>Indicators!$I$2:$AK$2</c:f>
              <c:numCache>
                <c:formatCode>General</c:formatCode>
                <c:ptCount val="29"/>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numCache>
            </c:numRef>
          </c:cat>
          <c:val>
            <c:numRef>
              <c:f>Indicators!$I$851:$AK$851</c:f>
              <c:numCache>
                <c:formatCode>0.0%</c:formatCode>
                <c:ptCount val="29"/>
                <c:pt idx="5">
                  <c:v>0.501</c:v>
                </c:pt>
                <c:pt idx="6">
                  <c:v>0.4</c:v>
                </c:pt>
                <c:pt idx="7">
                  <c:v>0.32100000000000001</c:v>
                </c:pt>
                <c:pt idx="8">
                  <c:v>0.37</c:v>
                </c:pt>
                <c:pt idx="9">
                  <c:v>0.34499999999999997</c:v>
                </c:pt>
                <c:pt idx="10">
                  <c:v>0.36</c:v>
                </c:pt>
                <c:pt idx="11">
                  <c:v>0.31</c:v>
                </c:pt>
                <c:pt idx="12">
                  <c:v>0.41</c:v>
                </c:pt>
                <c:pt idx="13">
                  <c:v>0.40600000000000003</c:v>
                </c:pt>
                <c:pt idx="14">
                  <c:v>0.432</c:v>
                </c:pt>
                <c:pt idx="15">
                  <c:v>0.45500000000000002</c:v>
                </c:pt>
                <c:pt idx="16">
                  <c:v>0.45300000000000001</c:v>
                </c:pt>
                <c:pt idx="17">
                  <c:v>0.47399999999999998</c:v>
                </c:pt>
                <c:pt idx="18">
                  <c:v>0.64700000000000002</c:v>
                </c:pt>
                <c:pt idx="19">
                  <c:v>0.54400000000000004</c:v>
                </c:pt>
                <c:pt idx="20">
                  <c:v>0.45700000000000002</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3-9E16-4011-BFBA-0A35078556D7}"/>
            </c:ext>
          </c:extLst>
        </c:ser>
        <c:dLbls>
          <c:showLegendKey val="0"/>
          <c:showVal val="0"/>
          <c:showCatName val="0"/>
          <c:showSerName val="0"/>
          <c:showPercent val="0"/>
          <c:showBubbleSize val="0"/>
        </c:dLbls>
        <c:marker val="1"/>
        <c:smooth val="0"/>
        <c:axId val="614338104"/>
        <c:axId val="614336184"/>
      </c:lineChart>
      <c:catAx>
        <c:axId val="614338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336184"/>
        <c:crosses val="autoZero"/>
        <c:auto val="1"/>
        <c:lblAlgn val="ctr"/>
        <c:lblOffset val="100"/>
        <c:noMultiLvlLbl val="0"/>
      </c:catAx>
      <c:valAx>
        <c:axId val="61433618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Lodging Units Occupied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338104"/>
        <c:crosses val="autoZero"/>
        <c:crossBetween val="between"/>
      </c:valAx>
      <c:spPr>
        <a:noFill/>
        <a:ln>
          <a:noFill/>
        </a:ln>
        <a:effectLst/>
      </c:spPr>
    </c:plotArea>
    <c:legend>
      <c:legendPos val="l"/>
      <c:layout>
        <c:manualLayout>
          <c:xMode val="edge"/>
          <c:yMode val="edge"/>
          <c:x val="4.5074518356961107E-2"/>
          <c:y val="0.28892606417277428"/>
          <c:w val="2.9019807638548997E-2"/>
          <c:h val="0.3114208647794458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6</xdr:col>
      <xdr:colOff>9524</xdr:colOff>
      <xdr:row>199</xdr:row>
      <xdr:rowOff>52387</xdr:rowOff>
    </xdr:from>
    <xdr:to>
      <xdr:col>37</xdr:col>
      <xdr:colOff>609599</xdr:colOff>
      <xdr:row>213</xdr:row>
      <xdr:rowOff>128587</xdr:rowOff>
    </xdr:to>
    <xdr:graphicFrame macro="">
      <xdr:nvGraphicFramePr>
        <xdr:cNvPr id="2" name="Chart 1">
          <a:extLst>
            <a:ext uri="{FF2B5EF4-FFF2-40B4-BE49-F238E27FC236}">
              <a16:creationId xmlns:a16="http://schemas.microsoft.com/office/drawing/2014/main" id="{C73219A2-47B9-4743-B18A-4461538EAF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9524</xdr:colOff>
      <xdr:row>233</xdr:row>
      <xdr:rowOff>52387</xdr:rowOff>
    </xdr:from>
    <xdr:to>
      <xdr:col>37</xdr:col>
      <xdr:colOff>609599</xdr:colOff>
      <xdr:row>247</xdr:row>
      <xdr:rowOff>128587</xdr:rowOff>
    </xdr:to>
    <xdr:graphicFrame macro="">
      <xdr:nvGraphicFramePr>
        <xdr:cNvPr id="3" name="Chart 2">
          <a:extLst>
            <a:ext uri="{FF2B5EF4-FFF2-40B4-BE49-F238E27FC236}">
              <a16:creationId xmlns:a16="http://schemas.microsoft.com/office/drawing/2014/main" id="{ACD45384-7F29-4CF8-9110-1823393F4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1129</xdr:row>
      <xdr:rowOff>38099</xdr:rowOff>
    </xdr:from>
    <xdr:to>
      <xdr:col>39</xdr:col>
      <xdr:colOff>0</xdr:colOff>
      <xdr:row>1143</xdr:row>
      <xdr:rowOff>190499</xdr:rowOff>
    </xdr:to>
    <xdr:graphicFrame macro="">
      <xdr:nvGraphicFramePr>
        <xdr:cNvPr id="5" name="Chart 4">
          <a:extLst>
            <a:ext uri="{FF2B5EF4-FFF2-40B4-BE49-F238E27FC236}">
              <a16:creationId xmlns:a16="http://schemas.microsoft.com/office/drawing/2014/main" id="{317DEA47-326B-4489-AB22-157C2D03D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1435</xdr:row>
      <xdr:rowOff>28575</xdr:rowOff>
    </xdr:from>
    <xdr:to>
      <xdr:col>37</xdr:col>
      <xdr:colOff>581025</xdr:colOff>
      <xdr:row>1449</xdr:row>
      <xdr:rowOff>171450</xdr:rowOff>
    </xdr:to>
    <xdr:graphicFrame macro="">
      <xdr:nvGraphicFramePr>
        <xdr:cNvPr id="6" name="Chart 5">
          <a:extLst>
            <a:ext uri="{FF2B5EF4-FFF2-40B4-BE49-F238E27FC236}">
              <a16:creationId xmlns:a16="http://schemas.microsoft.com/office/drawing/2014/main" id="{6375B8E5-6997-4960-B765-4421E9789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1081</xdr:row>
      <xdr:rowOff>0</xdr:rowOff>
    </xdr:from>
    <xdr:to>
      <xdr:col>37</xdr:col>
      <xdr:colOff>581025</xdr:colOff>
      <xdr:row>1095</xdr:row>
      <xdr:rowOff>142875</xdr:rowOff>
    </xdr:to>
    <xdr:graphicFrame macro="">
      <xdr:nvGraphicFramePr>
        <xdr:cNvPr id="7" name="Chart 6">
          <a:extLst>
            <a:ext uri="{FF2B5EF4-FFF2-40B4-BE49-F238E27FC236}">
              <a16:creationId xmlns:a16="http://schemas.microsoft.com/office/drawing/2014/main" id="{1B9A9CF3-6589-47BE-8CEC-6E880F1CB7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922</xdr:row>
      <xdr:rowOff>28575</xdr:rowOff>
    </xdr:from>
    <xdr:to>
      <xdr:col>39</xdr:col>
      <xdr:colOff>9525</xdr:colOff>
      <xdr:row>936</xdr:row>
      <xdr:rowOff>171450</xdr:rowOff>
    </xdr:to>
    <xdr:graphicFrame macro="">
      <xdr:nvGraphicFramePr>
        <xdr:cNvPr id="9" name="Chart 8">
          <a:extLst>
            <a:ext uri="{FF2B5EF4-FFF2-40B4-BE49-F238E27FC236}">
              <a16:creationId xmlns:a16="http://schemas.microsoft.com/office/drawing/2014/main" id="{245D85B3-3D88-4482-B5A6-83215FADC4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967</xdr:row>
      <xdr:rowOff>28575</xdr:rowOff>
    </xdr:from>
    <xdr:to>
      <xdr:col>37</xdr:col>
      <xdr:colOff>581025</xdr:colOff>
      <xdr:row>981</xdr:row>
      <xdr:rowOff>171450</xdr:rowOff>
    </xdr:to>
    <xdr:graphicFrame macro="">
      <xdr:nvGraphicFramePr>
        <xdr:cNvPr id="10" name="Chart 9">
          <a:extLst>
            <a:ext uri="{FF2B5EF4-FFF2-40B4-BE49-F238E27FC236}">
              <a16:creationId xmlns:a16="http://schemas.microsoft.com/office/drawing/2014/main" id="{EBC050F8-7DB0-476F-91E2-CF782C731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382</xdr:row>
      <xdr:rowOff>28575</xdr:rowOff>
    </xdr:from>
    <xdr:to>
      <xdr:col>38</xdr:col>
      <xdr:colOff>600075</xdr:colOff>
      <xdr:row>396</xdr:row>
      <xdr:rowOff>171450</xdr:rowOff>
    </xdr:to>
    <xdr:graphicFrame macro="">
      <xdr:nvGraphicFramePr>
        <xdr:cNvPr id="11" name="Chart 10">
          <a:extLst>
            <a:ext uri="{FF2B5EF4-FFF2-40B4-BE49-F238E27FC236}">
              <a16:creationId xmlns:a16="http://schemas.microsoft.com/office/drawing/2014/main" id="{670AE44B-DC22-4531-A425-39A30FC82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19050</xdr:colOff>
      <xdr:row>832</xdr:row>
      <xdr:rowOff>33337</xdr:rowOff>
    </xdr:from>
    <xdr:to>
      <xdr:col>37</xdr:col>
      <xdr:colOff>9525</xdr:colOff>
      <xdr:row>846</xdr:row>
      <xdr:rowOff>109537</xdr:rowOff>
    </xdr:to>
    <xdr:graphicFrame macro="">
      <xdr:nvGraphicFramePr>
        <xdr:cNvPr id="14" name="Chart 13">
          <a:extLst>
            <a:ext uri="{FF2B5EF4-FFF2-40B4-BE49-F238E27FC236}">
              <a16:creationId xmlns:a16="http://schemas.microsoft.com/office/drawing/2014/main" id="{281DB2F1-6CDE-46D1-8E1C-1AAF89B07E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9525</xdr:colOff>
      <xdr:row>862</xdr:row>
      <xdr:rowOff>57150</xdr:rowOff>
    </xdr:from>
    <xdr:to>
      <xdr:col>37</xdr:col>
      <xdr:colOff>409575</xdr:colOff>
      <xdr:row>876</xdr:row>
      <xdr:rowOff>133350</xdr:rowOff>
    </xdr:to>
    <xdr:graphicFrame macro="">
      <xdr:nvGraphicFramePr>
        <xdr:cNvPr id="16" name="Chart 15">
          <a:extLst>
            <a:ext uri="{FF2B5EF4-FFF2-40B4-BE49-F238E27FC236}">
              <a16:creationId xmlns:a16="http://schemas.microsoft.com/office/drawing/2014/main" id="{A58DD858-0FD5-4EEC-8E04-7D578BC73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19050</xdr:colOff>
      <xdr:row>565</xdr:row>
      <xdr:rowOff>28575</xdr:rowOff>
    </xdr:from>
    <xdr:to>
      <xdr:col>37</xdr:col>
      <xdr:colOff>600075</xdr:colOff>
      <xdr:row>579</xdr:row>
      <xdr:rowOff>104775</xdr:rowOff>
    </xdr:to>
    <xdr:graphicFrame macro="">
      <xdr:nvGraphicFramePr>
        <xdr:cNvPr id="4" name="Chart 3">
          <a:extLst>
            <a:ext uri="{FF2B5EF4-FFF2-40B4-BE49-F238E27FC236}">
              <a16:creationId xmlns:a16="http://schemas.microsoft.com/office/drawing/2014/main" id="{6748F78F-24E7-4E86-ABE4-F08C1622C0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9525</xdr:colOff>
      <xdr:row>329</xdr:row>
      <xdr:rowOff>52387</xdr:rowOff>
    </xdr:from>
    <xdr:to>
      <xdr:col>38</xdr:col>
      <xdr:colOff>600075</xdr:colOff>
      <xdr:row>343</xdr:row>
      <xdr:rowOff>128587</xdr:rowOff>
    </xdr:to>
    <xdr:graphicFrame macro="">
      <xdr:nvGraphicFramePr>
        <xdr:cNvPr id="15" name="Chart 14">
          <a:extLst>
            <a:ext uri="{FF2B5EF4-FFF2-40B4-BE49-F238E27FC236}">
              <a16:creationId xmlns:a16="http://schemas.microsoft.com/office/drawing/2014/main" id="{457F20BB-93A2-4DFB-BE5F-7B15621A3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0</xdr:colOff>
      <xdr:row>998</xdr:row>
      <xdr:rowOff>38100</xdr:rowOff>
    </xdr:from>
    <xdr:to>
      <xdr:col>37</xdr:col>
      <xdr:colOff>581025</xdr:colOff>
      <xdr:row>1012</xdr:row>
      <xdr:rowOff>180975</xdr:rowOff>
    </xdr:to>
    <xdr:graphicFrame macro="">
      <xdr:nvGraphicFramePr>
        <xdr:cNvPr id="17" name="Chart 16">
          <a:extLst>
            <a:ext uri="{FF2B5EF4-FFF2-40B4-BE49-F238E27FC236}">
              <a16:creationId xmlns:a16="http://schemas.microsoft.com/office/drawing/2014/main" id="{21535FDC-1A7F-4ECA-8978-41D6832F2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0</xdr:colOff>
      <xdr:row>1021</xdr:row>
      <xdr:rowOff>28575</xdr:rowOff>
    </xdr:from>
    <xdr:to>
      <xdr:col>37</xdr:col>
      <xdr:colOff>581025</xdr:colOff>
      <xdr:row>1035</xdr:row>
      <xdr:rowOff>171450</xdr:rowOff>
    </xdr:to>
    <xdr:graphicFrame macro="">
      <xdr:nvGraphicFramePr>
        <xdr:cNvPr id="18" name="Chart 17">
          <a:extLst>
            <a:ext uri="{FF2B5EF4-FFF2-40B4-BE49-F238E27FC236}">
              <a16:creationId xmlns:a16="http://schemas.microsoft.com/office/drawing/2014/main" id="{A566EBFF-4C8F-466E-821B-547826001F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0</xdr:colOff>
      <xdr:row>1044</xdr:row>
      <xdr:rowOff>0</xdr:rowOff>
    </xdr:from>
    <xdr:to>
      <xdr:col>37</xdr:col>
      <xdr:colOff>581025</xdr:colOff>
      <xdr:row>1058</xdr:row>
      <xdr:rowOff>142875</xdr:rowOff>
    </xdr:to>
    <xdr:graphicFrame macro="">
      <xdr:nvGraphicFramePr>
        <xdr:cNvPr id="19" name="Chart 18">
          <a:extLst>
            <a:ext uri="{FF2B5EF4-FFF2-40B4-BE49-F238E27FC236}">
              <a16:creationId xmlns:a16="http://schemas.microsoft.com/office/drawing/2014/main" id="{0F538FB5-6BD2-4B9C-ADCC-43559BD81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247649</xdr:colOff>
      <xdr:row>127</xdr:row>
      <xdr:rowOff>57150</xdr:rowOff>
    </xdr:from>
    <xdr:to>
      <xdr:col>38</xdr:col>
      <xdr:colOff>200024</xdr:colOff>
      <xdr:row>141</xdr:row>
      <xdr:rowOff>133350</xdr:rowOff>
    </xdr:to>
    <xdr:graphicFrame macro="">
      <xdr:nvGraphicFramePr>
        <xdr:cNvPr id="20" name="Chart 19">
          <a:extLst>
            <a:ext uri="{FF2B5EF4-FFF2-40B4-BE49-F238E27FC236}">
              <a16:creationId xmlns:a16="http://schemas.microsoft.com/office/drawing/2014/main" id="{4CC0619A-808F-41F5-A8F5-639E5F0DA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0</xdr:colOff>
      <xdr:row>654</xdr:row>
      <xdr:rowOff>28575</xdr:rowOff>
    </xdr:from>
    <xdr:to>
      <xdr:col>37</xdr:col>
      <xdr:colOff>581025</xdr:colOff>
      <xdr:row>668</xdr:row>
      <xdr:rowOff>171450</xdr:rowOff>
    </xdr:to>
    <xdr:graphicFrame macro="">
      <xdr:nvGraphicFramePr>
        <xdr:cNvPr id="21" name="Chart 20">
          <a:extLst>
            <a:ext uri="{FF2B5EF4-FFF2-40B4-BE49-F238E27FC236}">
              <a16:creationId xmlns:a16="http://schemas.microsoft.com/office/drawing/2014/main" id="{C42066EB-3E29-4A2E-BABE-6B636245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0</xdr:colOff>
      <xdr:row>289</xdr:row>
      <xdr:rowOff>57150</xdr:rowOff>
    </xdr:from>
    <xdr:to>
      <xdr:col>39</xdr:col>
      <xdr:colOff>0</xdr:colOff>
      <xdr:row>303</xdr:row>
      <xdr:rowOff>133350</xdr:rowOff>
    </xdr:to>
    <xdr:graphicFrame macro="">
      <xdr:nvGraphicFramePr>
        <xdr:cNvPr id="22" name="Chart 21">
          <a:extLst>
            <a:ext uri="{FF2B5EF4-FFF2-40B4-BE49-F238E27FC236}">
              <a16:creationId xmlns:a16="http://schemas.microsoft.com/office/drawing/2014/main" id="{477063DF-00AC-4F90-BD59-63612EE6A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0</xdr:colOff>
      <xdr:row>494</xdr:row>
      <xdr:rowOff>57150</xdr:rowOff>
    </xdr:from>
    <xdr:to>
      <xdr:col>39</xdr:col>
      <xdr:colOff>0</xdr:colOff>
      <xdr:row>508</xdr:row>
      <xdr:rowOff>133350</xdr:rowOff>
    </xdr:to>
    <xdr:graphicFrame macro="">
      <xdr:nvGraphicFramePr>
        <xdr:cNvPr id="23" name="Chart 22">
          <a:extLst>
            <a:ext uri="{FF2B5EF4-FFF2-40B4-BE49-F238E27FC236}">
              <a16:creationId xmlns:a16="http://schemas.microsoft.com/office/drawing/2014/main" id="{686B0A6F-839E-4392-98E5-746BBB848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0</xdr:colOff>
      <xdr:row>1470</xdr:row>
      <xdr:rowOff>28575</xdr:rowOff>
    </xdr:from>
    <xdr:to>
      <xdr:col>37</xdr:col>
      <xdr:colOff>581025</xdr:colOff>
      <xdr:row>1484</xdr:row>
      <xdr:rowOff>171450</xdr:rowOff>
    </xdr:to>
    <xdr:graphicFrame macro="">
      <xdr:nvGraphicFramePr>
        <xdr:cNvPr id="24" name="Chart 23">
          <a:extLst>
            <a:ext uri="{FF2B5EF4-FFF2-40B4-BE49-F238E27FC236}">
              <a16:creationId xmlns:a16="http://schemas.microsoft.com/office/drawing/2014/main" id="{DA8667F0-09B1-46A0-8484-AD42DD881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0</xdr:colOff>
      <xdr:row>29</xdr:row>
      <xdr:rowOff>47625</xdr:rowOff>
    </xdr:from>
    <xdr:to>
      <xdr:col>37</xdr:col>
      <xdr:colOff>600075</xdr:colOff>
      <xdr:row>43</xdr:row>
      <xdr:rowOff>152400</xdr:rowOff>
    </xdr:to>
    <xdr:graphicFrame macro="">
      <xdr:nvGraphicFramePr>
        <xdr:cNvPr id="25" name="Chart 24">
          <a:extLst>
            <a:ext uri="{FF2B5EF4-FFF2-40B4-BE49-F238E27FC236}">
              <a16:creationId xmlns:a16="http://schemas.microsoft.com/office/drawing/2014/main" id="{A6C8C2EA-BE81-4CC3-8B1B-A7A156241F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Kristi Malone" id="{8E6961DD-04E1-46CE-959F-9CEE4E8D32F4}" userId="S::kmalone@tetoncountywy.gov::69c193c8-c4c1-4856-881d-2c8d4f2fae4c" providerId="AD"/>
  <person displayName="Rian Rooney" id="{74BEBDEA-8A22-4488-AE5E-7F018BA8FD17}" userId="S::rrooney@tetoncountywy.gov::c0f470d8-96ee-4dee-a334-b57751f56e8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1" dT="2021-03-24T21:03:22.48" personId="{8E6961DD-04E1-46CE-959F-9CEE4E8D32F4}" id="{ADE65972-5EB0-4E27-90AC-466FC1606307}">
    <text>Do we also want to include Purpose of this doc? Need to clean this page up and expand if this will be public doc. See old methodology doc for example Purpose section: https://tetoncountywy.sharepoint.com/:w:/r/sites/LongRangePlanning/Shared%20Documents/Comprehensive%20Plan/Indicators/2020%20Update%20Work/2020%20IndctrMethodology%20Draft.docx?d=w6732589d65a04c6192c753456e7f7003&amp;csf=1&amp;web=1&amp;e=Aegcbr</text>
  </threadedComment>
  <threadedComment ref="B9" dT="2021-01-26T18:58:06.99" personId="{8E6961DD-04E1-46CE-959F-9CEE4E8D32F4}" id="{F3A81DD6-2C8E-4D4F-AFFF-A0ACFDB457FF}">
    <text>is this specific to Indicator sheet?</text>
  </threadedComment>
  <threadedComment ref="C15" dT="2021-01-26T18:59:09.28" personId="{8E6961DD-04E1-46CE-959F-9CEE4E8D32F4}" id="{B9AE5805-6C65-4444-AC71-3C72A1D46F3B}">
    <text>what does this mean?</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1-01-26T19:05:48.29" personId="{8E6961DD-04E1-46CE-959F-9CEE4E8D32F4}" id="{FFE0896F-FFCB-4F5C-ACBD-BBA9F5631A1F}">
    <text>what do these highlights indicate?</text>
  </threadedComment>
  <threadedComment ref="J30" dT="2021-01-26T19:44:13.99" personId="{8E6961DD-04E1-46CE-959F-9CEE4E8D32F4}" id="{8F178963-0709-472C-84B3-3F897B49FA60}">
    <text>should this be relabled "future"?</text>
  </threadedComment>
</ThreadedComments>
</file>

<file path=xl/threadedComments/threadedComment3.xml><?xml version="1.0" encoding="utf-8"?>
<ThreadedComments xmlns="http://schemas.microsoft.com/office/spreadsheetml/2018/threadedcomments" xmlns:x="http://schemas.openxmlformats.org/spreadsheetml/2006/main">
  <threadedComment ref="W118" dT="2022-02-02T21:33:52.68" personId="{74BEBDEA-8A22-4488-AE5E-7F018BA8FD17}" id="{37337567-C419-4AAF-8935-4818EFEB32CA}">
    <text>total lodging number - includes STRs</text>
  </threadedComment>
  <threadedComment ref="W118" dT="2022-03-28T16:01:58.03" personId="{74BEBDEA-8A22-4488-AE5E-7F018BA8FD17}" id="{1DD6D8E6-40F2-49D3-BC09-C83165488B30}" parentId="{37337567-C419-4AAF-8935-4818EFEB32CA}">
    <text>1163 STRs per 2017 existing development analysis</text>
  </threadedComment>
  <threadedComment ref="AB365" dT="2022-03-28T16:33:27.04" personId="{74BEBDEA-8A22-4488-AE5E-7F018BA8FD17}" id="{7DCD8766-1FC7-4B5F-A936-0A5B11755246}">
    <text>average change to project Q4 2021. Delete when data is available.</text>
  </threadedComment>
  <threadedComment ref="AB404" dT="2022-02-17T16:53:53.06" personId="{74BEBDEA-8A22-4488-AE5E-7F018BA8FD17}" id="{1DCD3131-CEE9-47B0-A8A1-8B96D12B96AB}">
    <text>prelim</text>
  </threadedComment>
  <threadedComment ref="AB417" dT="2022-02-17T16:54:00.36" personId="{74BEBDEA-8A22-4488-AE5E-7F018BA8FD17}" id="{805C63D5-EAFA-48B6-BC56-821332768E3A}">
    <text>prelim</text>
  </threadedComment>
  <threadedComment ref="AA578" dT="2022-03-28T16:34:59.00" personId="{74BEBDEA-8A22-4488-AE5E-7F018BA8FD17}" id="{6A7EB504-602E-4FC2-9771-DC66F566CFA9}">
    <text>No 2020 ACS 1 year estimates due to COVID</text>
  </threadedComment>
  <threadedComment ref="W912" dT="2021-03-10T16:12:45.07" personId="{74BEBDEA-8A22-4488-AE5E-7F018BA8FD17}" id="{BFE30EF4-42E0-45BA-B091-9E1734DC9F34}">
    <text>what is this?</text>
  </threadedComment>
  <threadedComment ref="AA1337" dT="2022-03-28T16:47:09.20" personId="{74BEBDEA-8A22-4488-AE5E-7F018BA8FD17}" id="{201D0D1A-F52E-4D38-A51E-C3E53CE707DA}">
    <text>2020 Field House Completed.</text>
  </threadedComment>
</ThreadedComments>
</file>

<file path=xl/threadedComments/threadedComment4.xml><?xml version="1.0" encoding="utf-8"?>
<ThreadedComments xmlns="http://schemas.microsoft.com/office/spreadsheetml/2018/threadedcomments" xmlns:x="http://schemas.openxmlformats.org/spreadsheetml/2006/main">
  <threadedComment ref="C1441" dT="2021-04-02T14:34:49.01" personId="{74BEBDEA-8A22-4488-AE5E-7F018BA8FD17}" id="{266C1F40-9C79-48F1-A410-BA442806FBA1}">
    <text>2005?</text>
  </threadedComment>
</ThreadedComments>
</file>

<file path=xl/threadedComments/threadedComment5.xml><?xml version="1.0" encoding="utf-8"?>
<ThreadedComments xmlns="http://schemas.microsoft.com/office/spreadsheetml/2018/threadedcomments" xmlns:x="http://schemas.openxmlformats.org/spreadsheetml/2006/main">
  <threadedComment ref="H174" dT="2022-02-23T22:54:52.34" personId="{74BEBDEA-8A22-4488-AE5E-7F018BA8FD17}" id="{5C2DBDBA-F006-47DE-B66F-DA33CD008CB1}">
    <text>created in 2022</text>
  </threadedComment>
  <threadedComment ref="H177" dT="2022-02-25T17:05:24.15" personId="{74BEBDEA-8A22-4488-AE5E-7F018BA8FD17}" id="{4474B3CF-1E58-4002-8589-BE22E9822233}">
    <text>CE not yet recorded in 2021</tex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hyperlink" Target="https://data.bls.gov/PDQWeb/la" TargetMode="External"/><Relationship Id="rId7" Type="http://schemas.openxmlformats.org/officeDocument/2006/relationships/comments" Target="../comments3.xml"/><Relationship Id="rId2" Type="http://schemas.openxmlformats.org/officeDocument/2006/relationships/hyperlink" Target="https://www.bls.gov/cew/data.htm" TargetMode="External"/><Relationship Id="rId1" Type="http://schemas.openxmlformats.org/officeDocument/2006/relationships/hyperlink" Target="https://apps.bea.gov/iTable/iTable.cfm?reqid=70&amp;step=1&amp;isuri=1" TargetMode="External"/><Relationship Id="rId6" Type="http://schemas.openxmlformats.org/officeDocument/2006/relationships/vmlDrawing" Target="../drawings/vmlDrawing3.vml"/><Relationship Id="rId5" Type="http://schemas.openxmlformats.org/officeDocument/2006/relationships/printerSettings" Target="../printerSettings/printerSettings1.bin"/><Relationship Id="rId4" Type="http://schemas.openxmlformats.org/officeDocument/2006/relationships/hyperlink" Target="https://apps.bea.gov/iTable/iTable.cfm?reqid=70&amp;step=1&amp;isuri=1" TargetMode="External"/><Relationship Id="rId9" Type="http://schemas.microsoft.com/office/2017/10/relationships/threadedComment" Target="../threadedComments/threadedComment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microsoft.com/office/2017/10/relationships/threadedComment" Target="../threadedComments/threadedComment4.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4.bin"/><Relationship Id="rId1" Type="http://schemas.openxmlformats.org/officeDocument/2006/relationships/hyperlink" Target="https://maps.greenwoodmap.com/tetonwy/clerk/scannedMaps/scanned_map.php?number=T-258R" TargetMode="External"/><Relationship Id="rId6" Type="http://schemas.microsoft.com/office/2017/10/relationships/threadedComment" Target="../threadedComments/threadedComment5.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CD36-2AFD-4C2F-8214-D6150140623A}">
  <dimension ref="A1:E18"/>
  <sheetViews>
    <sheetView workbookViewId="0">
      <selection activeCell="F32" sqref="F32"/>
    </sheetView>
  </sheetViews>
  <sheetFormatPr defaultRowHeight="15" x14ac:dyDescent="0.25"/>
  <cols>
    <col min="1" max="4" width="3.7109375" customWidth="1"/>
  </cols>
  <sheetData>
    <row r="1" spans="1:5" x14ac:dyDescent="0.25">
      <c r="A1" t="s">
        <v>728</v>
      </c>
    </row>
    <row r="2" spans="1:5" x14ac:dyDescent="0.25">
      <c r="B2" t="s">
        <v>729</v>
      </c>
    </row>
    <row r="3" spans="1:5" x14ac:dyDescent="0.25">
      <c r="C3" t="s">
        <v>730</v>
      </c>
    </row>
    <row r="4" spans="1:5" x14ac:dyDescent="0.25">
      <c r="C4" t="s">
        <v>731</v>
      </c>
    </row>
    <row r="5" spans="1:5" x14ac:dyDescent="0.25">
      <c r="B5" t="s">
        <v>732</v>
      </c>
    </row>
    <row r="6" spans="1:5" x14ac:dyDescent="0.25">
      <c r="C6" t="s">
        <v>733</v>
      </c>
    </row>
    <row r="7" spans="1:5" x14ac:dyDescent="0.25">
      <c r="B7" t="s">
        <v>734</v>
      </c>
    </row>
    <row r="8" spans="1:5" x14ac:dyDescent="0.25">
      <c r="C8" t="s">
        <v>735</v>
      </c>
    </row>
    <row r="9" spans="1:5" x14ac:dyDescent="0.25">
      <c r="B9" t="s">
        <v>736</v>
      </c>
    </row>
    <row r="10" spans="1:5" x14ac:dyDescent="0.25">
      <c r="C10" t="s">
        <v>737</v>
      </c>
    </row>
    <row r="11" spans="1:5" x14ac:dyDescent="0.25">
      <c r="D11" t="s">
        <v>738</v>
      </c>
    </row>
    <row r="12" spans="1:5" x14ac:dyDescent="0.25">
      <c r="D12" t="s">
        <v>739</v>
      </c>
    </row>
    <row r="13" spans="1:5" x14ac:dyDescent="0.25">
      <c r="D13" s="150"/>
      <c r="E13" t="s">
        <v>740</v>
      </c>
    </row>
    <row r="14" spans="1:5" x14ac:dyDescent="0.25">
      <c r="D14" t="s">
        <v>741</v>
      </c>
    </row>
    <row r="15" spans="1:5" x14ac:dyDescent="0.25">
      <c r="C15" t="s">
        <v>742</v>
      </c>
    </row>
    <row r="16" spans="1:5" x14ac:dyDescent="0.25">
      <c r="D16" t="s">
        <v>743</v>
      </c>
    </row>
    <row r="17" spans="3:5" x14ac:dyDescent="0.25">
      <c r="C17" t="s">
        <v>744</v>
      </c>
    </row>
    <row r="18" spans="3:5" x14ac:dyDescent="0.25">
      <c r="D18" s="177"/>
      <c r="E18" t="s">
        <v>745</v>
      </c>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BD04-AA23-42E5-87E0-0B042116A261}">
  <dimension ref="A1:L57"/>
  <sheetViews>
    <sheetView tabSelected="1" workbookViewId="0">
      <selection activeCell="C23" sqref="C23"/>
    </sheetView>
  </sheetViews>
  <sheetFormatPr defaultRowHeight="15" x14ac:dyDescent="0.25"/>
  <cols>
    <col min="1" max="1" width="3.7109375" customWidth="1"/>
    <col min="2" max="2" width="38.85546875" customWidth="1"/>
    <col min="3" max="3" width="41.5703125" customWidth="1"/>
    <col min="4" max="4" width="23.5703125" customWidth="1"/>
    <col min="5" max="5" width="2.7109375" style="2" customWidth="1"/>
    <col min="6" max="8" width="3.7109375" customWidth="1"/>
    <col min="9" max="9" width="52.5703125" customWidth="1"/>
    <col min="10" max="10" width="9.5703125" customWidth="1"/>
    <col min="11" max="11" width="10.7109375" style="13" customWidth="1"/>
    <col min="12" max="12" width="10.42578125" customWidth="1"/>
  </cols>
  <sheetData>
    <row r="1" spans="1:12" s="5" customFormat="1" ht="20.25" thickBot="1" x14ac:dyDescent="0.3">
      <c r="A1" s="5" t="s">
        <v>746</v>
      </c>
      <c r="K1" s="142"/>
    </row>
    <row r="2" spans="1:12" s="28" customFormat="1" ht="17.25" x14ac:dyDescent="0.3">
      <c r="A2" s="28" t="s">
        <v>747</v>
      </c>
      <c r="C2" s="28" t="s">
        <v>748</v>
      </c>
      <c r="D2" s="28" t="s">
        <v>749</v>
      </c>
      <c r="E2" s="51"/>
      <c r="F2" s="28" t="s">
        <v>736</v>
      </c>
      <c r="J2" s="28" t="s">
        <v>750</v>
      </c>
      <c r="K2" s="143" t="s">
        <v>751</v>
      </c>
      <c r="L2" s="28" t="s">
        <v>752</v>
      </c>
    </row>
    <row r="3" spans="1:12" x14ac:dyDescent="0.25">
      <c r="B3" s="211" t="s">
        <v>2</v>
      </c>
      <c r="C3" t="s">
        <v>753</v>
      </c>
      <c r="D3" t="s">
        <v>754</v>
      </c>
      <c r="G3" s="8" t="s">
        <v>755</v>
      </c>
    </row>
    <row r="4" spans="1:12" x14ac:dyDescent="0.25">
      <c r="B4" s="211" t="s">
        <v>6</v>
      </c>
      <c r="C4" t="s">
        <v>756</v>
      </c>
      <c r="D4" t="s">
        <v>754</v>
      </c>
      <c r="G4" s="259"/>
      <c r="H4" s="211" t="s">
        <v>757</v>
      </c>
      <c r="J4" s="195" t="s">
        <v>758</v>
      </c>
      <c r="K4" s="13">
        <v>1</v>
      </c>
    </row>
    <row r="5" spans="1:12" x14ac:dyDescent="0.25">
      <c r="B5" s="211" t="s">
        <v>759</v>
      </c>
      <c r="C5" t="s">
        <v>760</v>
      </c>
      <c r="D5" t="s">
        <v>754</v>
      </c>
      <c r="G5" s="260"/>
      <c r="H5" s="211" t="s">
        <v>11</v>
      </c>
      <c r="J5" s="131" t="s">
        <v>761</v>
      </c>
      <c r="K5" s="13" t="s">
        <v>762</v>
      </c>
      <c r="L5" t="s">
        <v>763</v>
      </c>
    </row>
    <row r="6" spans="1:12" x14ac:dyDescent="0.25">
      <c r="B6" s="211" t="s">
        <v>764</v>
      </c>
      <c r="C6" t="s">
        <v>765</v>
      </c>
      <c r="D6" t="s">
        <v>754</v>
      </c>
      <c r="G6" s="261"/>
      <c r="H6" s="211" t="s">
        <v>766</v>
      </c>
      <c r="J6" s="195" t="s">
        <v>758</v>
      </c>
      <c r="K6" s="13">
        <v>1</v>
      </c>
    </row>
    <row r="7" spans="1:12" x14ac:dyDescent="0.25">
      <c r="B7" s="211" t="s">
        <v>767</v>
      </c>
      <c r="C7" t="s">
        <v>427</v>
      </c>
      <c r="D7" t="s">
        <v>754</v>
      </c>
      <c r="G7" s="261"/>
      <c r="H7" s="211" t="s">
        <v>768</v>
      </c>
      <c r="J7" s="131" t="s">
        <v>758</v>
      </c>
      <c r="K7" s="13">
        <v>1</v>
      </c>
    </row>
    <row r="8" spans="1:12" x14ac:dyDescent="0.25">
      <c r="B8" s="211" t="s">
        <v>769</v>
      </c>
      <c r="C8" t="s">
        <v>427</v>
      </c>
      <c r="D8" t="s">
        <v>754</v>
      </c>
      <c r="G8" s="259"/>
      <c r="H8" s="211" t="s">
        <v>770</v>
      </c>
      <c r="J8" s="195" t="s">
        <v>758</v>
      </c>
      <c r="K8" s="13">
        <v>1</v>
      </c>
    </row>
    <row r="9" spans="1:12" x14ac:dyDescent="0.25">
      <c r="B9" s="211" t="s">
        <v>771</v>
      </c>
      <c r="C9" t="s">
        <v>427</v>
      </c>
      <c r="D9" t="s">
        <v>754</v>
      </c>
      <c r="G9" s="260"/>
      <c r="H9" s="211" t="s">
        <v>522</v>
      </c>
      <c r="J9" s="196" t="s">
        <v>761</v>
      </c>
      <c r="K9" s="13">
        <v>2</v>
      </c>
      <c r="L9" t="s">
        <v>763</v>
      </c>
    </row>
    <row r="10" spans="1:12" x14ac:dyDescent="0.25">
      <c r="B10" s="211" t="s">
        <v>33</v>
      </c>
      <c r="C10" t="s">
        <v>772</v>
      </c>
      <c r="D10" t="s">
        <v>754</v>
      </c>
      <c r="G10" s="260"/>
      <c r="H10" s="211" t="s">
        <v>773</v>
      </c>
      <c r="J10" s="4" t="s">
        <v>761</v>
      </c>
      <c r="K10" s="13">
        <v>3</v>
      </c>
      <c r="L10" t="s">
        <v>774</v>
      </c>
    </row>
    <row r="11" spans="1:12" x14ac:dyDescent="0.25">
      <c r="B11" s="211" t="s">
        <v>73</v>
      </c>
      <c r="C11" t="s">
        <v>775</v>
      </c>
      <c r="D11" t="s">
        <v>754</v>
      </c>
      <c r="G11" s="260"/>
      <c r="H11" s="211" t="s">
        <v>12</v>
      </c>
      <c r="J11" s="4" t="s">
        <v>761</v>
      </c>
      <c r="K11" s="13">
        <v>3</v>
      </c>
      <c r="L11" t="s">
        <v>776</v>
      </c>
    </row>
    <row r="12" spans="1:12" x14ac:dyDescent="0.25">
      <c r="B12" s="211" t="s">
        <v>777</v>
      </c>
      <c r="C12" t="s">
        <v>778</v>
      </c>
      <c r="D12" t="s">
        <v>779</v>
      </c>
      <c r="E12" s="52"/>
      <c r="G12" s="260"/>
      <c r="H12" s="211" t="s">
        <v>13</v>
      </c>
      <c r="J12" s="4" t="s">
        <v>761</v>
      </c>
      <c r="K12" s="13">
        <v>3</v>
      </c>
      <c r="L12" t="s">
        <v>774</v>
      </c>
    </row>
    <row r="13" spans="1:12" x14ac:dyDescent="0.25">
      <c r="B13" s="211" t="s">
        <v>780</v>
      </c>
      <c r="C13" t="s">
        <v>778</v>
      </c>
      <c r="D13" t="s">
        <v>779</v>
      </c>
      <c r="E13" s="52"/>
      <c r="G13" s="261"/>
      <c r="H13" s="211" t="s">
        <v>446</v>
      </c>
      <c r="J13" s="131" t="s">
        <v>761</v>
      </c>
      <c r="K13" s="13">
        <v>3</v>
      </c>
      <c r="L13" t="s">
        <v>763</v>
      </c>
    </row>
    <row r="14" spans="1:12" x14ac:dyDescent="0.25">
      <c r="B14" s="211" t="s">
        <v>781</v>
      </c>
      <c r="C14" t="s">
        <v>778</v>
      </c>
      <c r="D14" t="s">
        <v>779</v>
      </c>
      <c r="E14" s="52"/>
      <c r="G14" s="261"/>
      <c r="H14" s="211" t="s">
        <v>267</v>
      </c>
      <c r="J14" s="195" t="s">
        <v>782</v>
      </c>
      <c r="K14" s="13">
        <v>4</v>
      </c>
      <c r="L14" t="s">
        <v>763</v>
      </c>
    </row>
    <row r="15" spans="1:12" x14ac:dyDescent="0.25">
      <c r="B15" s="211" t="s">
        <v>783</v>
      </c>
      <c r="C15" t="s">
        <v>784</v>
      </c>
      <c r="D15" t="s">
        <v>785</v>
      </c>
      <c r="E15" s="52"/>
      <c r="G15" s="261"/>
      <c r="H15" s="211" t="s">
        <v>74</v>
      </c>
      <c r="J15" s="131" t="s">
        <v>761</v>
      </c>
      <c r="K15" s="13">
        <v>4</v>
      </c>
      <c r="L15" t="s">
        <v>763</v>
      </c>
    </row>
    <row r="16" spans="1:12" x14ac:dyDescent="0.25">
      <c r="B16" s="211" t="s">
        <v>786</v>
      </c>
      <c r="C16" t="s">
        <v>784</v>
      </c>
      <c r="D16" t="s">
        <v>787</v>
      </c>
      <c r="E16" s="52"/>
      <c r="G16" s="259"/>
      <c r="H16" s="211" t="s">
        <v>788</v>
      </c>
      <c r="J16" s="195" t="s">
        <v>758</v>
      </c>
      <c r="K16" s="13">
        <v>4</v>
      </c>
    </row>
    <row r="17" spans="2:12" x14ac:dyDescent="0.25">
      <c r="B17" s="211" t="s">
        <v>789</v>
      </c>
      <c r="C17" t="s">
        <v>790</v>
      </c>
      <c r="D17" t="s">
        <v>791</v>
      </c>
      <c r="E17" s="52"/>
      <c r="G17" s="261"/>
      <c r="H17" s="211" t="s">
        <v>603</v>
      </c>
      <c r="J17" s="131" t="s">
        <v>761</v>
      </c>
      <c r="K17" s="13">
        <v>4</v>
      </c>
      <c r="L17" t="s">
        <v>763</v>
      </c>
    </row>
    <row r="18" spans="2:12" x14ac:dyDescent="0.25">
      <c r="B18" s="211" t="s">
        <v>792</v>
      </c>
      <c r="C18" t="s">
        <v>790</v>
      </c>
      <c r="D18" t="s">
        <v>791</v>
      </c>
      <c r="G18" s="259"/>
      <c r="H18" s="211" t="s">
        <v>793</v>
      </c>
      <c r="J18" s="195" t="s">
        <v>758</v>
      </c>
      <c r="K18" s="13">
        <v>4</v>
      </c>
    </row>
    <row r="19" spans="2:12" x14ac:dyDescent="0.25">
      <c r="B19" s="211" t="s">
        <v>794</v>
      </c>
      <c r="C19" t="s">
        <v>795</v>
      </c>
      <c r="D19" t="s">
        <v>796</v>
      </c>
      <c r="G19" s="260"/>
      <c r="H19" s="211" t="s">
        <v>239</v>
      </c>
      <c r="J19" s="131" t="s">
        <v>761</v>
      </c>
      <c r="K19" s="13">
        <v>5</v>
      </c>
      <c r="L19" t="s">
        <v>774</v>
      </c>
    </row>
    <row r="20" spans="2:12" x14ac:dyDescent="0.25">
      <c r="B20" s="211" t="s">
        <v>326</v>
      </c>
      <c r="C20" t="s">
        <v>797</v>
      </c>
      <c r="D20" t="s">
        <v>796</v>
      </c>
      <c r="G20" s="261"/>
      <c r="H20" s="211" t="s">
        <v>35</v>
      </c>
      <c r="J20" s="131" t="s">
        <v>761</v>
      </c>
      <c r="K20" s="13">
        <v>5</v>
      </c>
      <c r="L20" t="s">
        <v>774</v>
      </c>
    </row>
    <row r="21" spans="2:12" x14ac:dyDescent="0.25">
      <c r="B21" s="211" t="s">
        <v>337</v>
      </c>
      <c r="C21" t="s">
        <v>798</v>
      </c>
      <c r="D21" t="s">
        <v>796</v>
      </c>
      <c r="G21" s="261"/>
      <c r="H21" s="211" t="s">
        <v>36</v>
      </c>
      <c r="J21" s="131"/>
      <c r="K21" s="13">
        <v>6</v>
      </c>
      <c r="L21" t="s">
        <v>776</v>
      </c>
    </row>
    <row r="22" spans="2:12" x14ac:dyDescent="0.25">
      <c r="B22" s="211" t="s">
        <v>799</v>
      </c>
      <c r="C22" t="s">
        <v>800</v>
      </c>
      <c r="D22" t="s">
        <v>796</v>
      </c>
      <c r="G22" s="260"/>
      <c r="I22" t="s">
        <v>801</v>
      </c>
      <c r="J22" s="4" t="s">
        <v>761</v>
      </c>
      <c r="K22" s="13">
        <v>6</v>
      </c>
      <c r="L22" t="s">
        <v>776</v>
      </c>
    </row>
    <row r="23" spans="2:12" x14ac:dyDescent="0.25">
      <c r="B23" s="211" t="s">
        <v>802</v>
      </c>
      <c r="C23" t="s">
        <v>800</v>
      </c>
      <c r="D23" t="s">
        <v>796</v>
      </c>
      <c r="G23" s="260"/>
      <c r="I23" t="s">
        <v>29</v>
      </c>
      <c r="J23" s="4" t="s">
        <v>761</v>
      </c>
      <c r="K23" s="13">
        <v>6</v>
      </c>
      <c r="L23" t="s">
        <v>803</v>
      </c>
    </row>
    <row r="24" spans="2:12" x14ac:dyDescent="0.25">
      <c r="B24" s="211" t="s">
        <v>804</v>
      </c>
      <c r="C24" t="s">
        <v>805</v>
      </c>
      <c r="D24" t="s">
        <v>796</v>
      </c>
      <c r="G24" s="260"/>
      <c r="I24" t="s">
        <v>806</v>
      </c>
      <c r="J24" s="4" t="s">
        <v>761</v>
      </c>
      <c r="K24" s="13">
        <v>6</v>
      </c>
      <c r="L24" t="s">
        <v>803</v>
      </c>
    </row>
    <row r="25" spans="2:12" x14ac:dyDescent="0.25">
      <c r="B25" s="211" t="s">
        <v>363</v>
      </c>
      <c r="C25" t="s">
        <v>807</v>
      </c>
      <c r="D25" t="s">
        <v>796</v>
      </c>
      <c r="G25" s="260"/>
      <c r="I25" t="s">
        <v>808</v>
      </c>
      <c r="J25" s="4" t="s">
        <v>761</v>
      </c>
      <c r="K25" s="13">
        <v>6</v>
      </c>
      <c r="L25" t="s">
        <v>803</v>
      </c>
    </row>
    <row r="26" spans="2:12" x14ac:dyDescent="0.25">
      <c r="B26" s="211" t="s">
        <v>809</v>
      </c>
      <c r="C26" t="s">
        <v>810</v>
      </c>
      <c r="D26" t="s">
        <v>796</v>
      </c>
      <c r="G26" s="261"/>
      <c r="I26" s="211" t="s">
        <v>811</v>
      </c>
      <c r="J26" s="131" t="s">
        <v>761</v>
      </c>
      <c r="K26" s="13">
        <v>6</v>
      </c>
      <c r="L26" t="s">
        <v>776</v>
      </c>
    </row>
    <row r="27" spans="2:12" x14ac:dyDescent="0.25">
      <c r="B27" s="211" t="s">
        <v>812</v>
      </c>
      <c r="C27" t="s">
        <v>810</v>
      </c>
      <c r="D27" t="s">
        <v>796</v>
      </c>
      <c r="G27" s="261"/>
      <c r="I27" s="211" t="s">
        <v>813</v>
      </c>
      <c r="J27" s="131" t="s">
        <v>761</v>
      </c>
      <c r="K27" s="13">
        <v>6</v>
      </c>
      <c r="L27" t="s">
        <v>776</v>
      </c>
    </row>
    <row r="28" spans="2:12" x14ac:dyDescent="0.25">
      <c r="B28" s="211" t="s">
        <v>814</v>
      </c>
      <c r="C28" t="s">
        <v>815</v>
      </c>
      <c r="D28" t="s">
        <v>816</v>
      </c>
      <c r="G28" s="261"/>
      <c r="I28" s="211" t="s">
        <v>817</v>
      </c>
      <c r="J28" s="131" t="s">
        <v>761</v>
      </c>
      <c r="K28" s="13">
        <v>6</v>
      </c>
      <c r="L28" t="s">
        <v>776</v>
      </c>
    </row>
    <row r="29" spans="2:12" x14ac:dyDescent="0.25">
      <c r="B29" s="211" t="s">
        <v>818</v>
      </c>
      <c r="C29" t="s">
        <v>815</v>
      </c>
      <c r="D29" t="s">
        <v>816</v>
      </c>
      <c r="G29" s="260"/>
      <c r="I29" t="s">
        <v>819</v>
      </c>
      <c r="J29" s="131" t="s">
        <v>761</v>
      </c>
      <c r="K29" s="13">
        <v>6</v>
      </c>
      <c r="L29" t="s">
        <v>776</v>
      </c>
    </row>
    <row r="30" spans="2:12" x14ac:dyDescent="0.25">
      <c r="B30" s="211" t="s">
        <v>405</v>
      </c>
      <c r="C30" t="s">
        <v>820</v>
      </c>
      <c r="D30" t="s">
        <v>821</v>
      </c>
      <c r="G30" s="260"/>
      <c r="I30" t="s">
        <v>822</v>
      </c>
      <c r="J30" s="131" t="s">
        <v>419</v>
      </c>
    </row>
    <row r="31" spans="2:12" x14ac:dyDescent="0.25">
      <c r="B31" s="211" t="s">
        <v>412</v>
      </c>
      <c r="C31" t="s">
        <v>823</v>
      </c>
      <c r="D31" t="s">
        <v>754</v>
      </c>
      <c r="G31" s="260"/>
      <c r="I31" t="s">
        <v>824</v>
      </c>
      <c r="J31" s="131" t="s">
        <v>825</v>
      </c>
      <c r="K31" s="13">
        <v>6</v>
      </c>
      <c r="L31" t="s">
        <v>763</v>
      </c>
    </row>
    <row r="32" spans="2:12" x14ac:dyDescent="0.25">
      <c r="B32" s="211" t="s">
        <v>418</v>
      </c>
      <c r="G32" s="260"/>
      <c r="I32" t="s">
        <v>826</v>
      </c>
      <c r="J32" s="131" t="s">
        <v>825</v>
      </c>
      <c r="K32" s="13">
        <v>6</v>
      </c>
      <c r="L32" t="s">
        <v>763</v>
      </c>
    </row>
    <row r="33" spans="2:12" x14ac:dyDescent="0.25">
      <c r="B33" s="211" t="s">
        <v>426</v>
      </c>
      <c r="C33" t="s">
        <v>827</v>
      </c>
      <c r="D33" t="s">
        <v>754</v>
      </c>
      <c r="G33" s="261"/>
      <c r="I33" t="s">
        <v>828</v>
      </c>
      <c r="J33" s="131" t="s">
        <v>829</v>
      </c>
      <c r="K33" s="13">
        <v>6</v>
      </c>
      <c r="L33" t="s">
        <v>763</v>
      </c>
    </row>
    <row r="34" spans="2:12" x14ac:dyDescent="0.25">
      <c r="B34" s="211" t="s">
        <v>446</v>
      </c>
      <c r="C34" t="s">
        <v>830</v>
      </c>
      <c r="D34" t="s">
        <v>754</v>
      </c>
      <c r="G34" s="260"/>
      <c r="I34" t="s">
        <v>831</v>
      </c>
      <c r="J34" s="4" t="s">
        <v>761</v>
      </c>
      <c r="K34" s="13">
        <v>6</v>
      </c>
      <c r="L34" t="s">
        <v>832</v>
      </c>
    </row>
    <row r="35" spans="2:12" x14ac:dyDescent="0.25">
      <c r="B35" s="211" t="s">
        <v>474</v>
      </c>
      <c r="C35" t="s">
        <v>833</v>
      </c>
      <c r="D35" t="s">
        <v>834</v>
      </c>
      <c r="G35" s="261"/>
      <c r="H35" s="211" t="s">
        <v>474</v>
      </c>
      <c r="J35" s="4" t="s">
        <v>761</v>
      </c>
      <c r="K35" s="13">
        <v>6</v>
      </c>
      <c r="L35" t="s">
        <v>774</v>
      </c>
    </row>
    <row r="36" spans="2:12" x14ac:dyDescent="0.25">
      <c r="B36" s="211" t="s">
        <v>835</v>
      </c>
      <c r="C36" t="s">
        <v>836</v>
      </c>
      <c r="D36" t="s">
        <v>837</v>
      </c>
      <c r="G36" s="260"/>
      <c r="H36" s="211" t="s">
        <v>105</v>
      </c>
      <c r="J36" s="131" t="s">
        <v>825</v>
      </c>
      <c r="K36" s="13">
        <v>6</v>
      </c>
      <c r="L36" t="s">
        <v>774</v>
      </c>
    </row>
    <row r="37" spans="2:12" x14ac:dyDescent="0.25">
      <c r="B37" s="211" t="s">
        <v>506</v>
      </c>
      <c r="C37" t="s">
        <v>838</v>
      </c>
      <c r="D37" t="s">
        <v>839</v>
      </c>
      <c r="G37" s="259"/>
      <c r="H37" s="211" t="s">
        <v>545</v>
      </c>
      <c r="J37" s="196" t="s">
        <v>758</v>
      </c>
      <c r="K37" s="13">
        <v>7</v>
      </c>
      <c r="L37" t="s">
        <v>840</v>
      </c>
    </row>
    <row r="38" spans="2:12" x14ac:dyDescent="0.25">
      <c r="B38" s="211" t="s">
        <v>841</v>
      </c>
      <c r="C38" t="s">
        <v>842</v>
      </c>
      <c r="D38" t="s">
        <v>821</v>
      </c>
      <c r="G38" s="260"/>
      <c r="H38" s="211" t="s">
        <v>563</v>
      </c>
      <c r="J38" s="4" t="s">
        <v>761</v>
      </c>
      <c r="K38" s="13">
        <v>7</v>
      </c>
      <c r="L38" t="s">
        <v>776</v>
      </c>
    </row>
    <row r="39" spans="2:12" x14ac:dyDescent="0.25">
      <c r="B39" s="211" t="s">
        <v>843</v>
      </c>
      <c r="C39" t="s">
        <v>842</v>
      </c>
      <c r="D39" t="s">
        <v>787</v>
      </c>
      <c r="G39" s="260"/>
      <c r="H39" s="211" t="s">
        <v>365</v>
      </c>
      <c r="J39" s="4" t="s">
        <v>825</v>
      </c>
      <c r="K39" s="13">
        <v>7</v>
      </c>
      <c r="L39" t="s">
        <v>776</v>
      </c>
    </row>
    <row r="40" spans="2:12" x14ac:dyDescent="0.25">
      <c r="B40" s="211" t="s">
        <v>844</v>
      </c>
      <c r="C40" t="s">
        <v>845</v>
      </c>
      <c r="D40" t="s">
        <v>2128</v>
      </c>
      <c r="G40" s="260"/>
      <c r="H40" s="211" t="s">
        <v>530</v>
      </c>
      <c r="J40" s="4" t="s">
        <v>761</v>
      </c>
      <c r="K40" s="13">
        <v>7</v>
      </c>
      <c r="L40" t="s">
        <v>776</v>
      </c>
    </row>
    <row r="41" spans="2:12" x14ac:dyDescent="0.25">
      <c r="B41" s="211" t="s">
        <v>847</v>
      </c>
      <c r="C41" t="s">
        <v>845</v>
      </c>
      <c r="D41" t="s">
        <v>834</v>
      </c>
      <c r="G41" s="261"/>
      <c r="H41" s="211" t="s">
        <v>848</v>
      </c>
      <c r="J41" s="4" t="s">
        <v>761</v>
      </c>
      <c r="K41" s="13">
        <v>7</v>
      </c>
      <c r="L41" t="s">
        <v>849</v>
      </c>
    </row>
    <row r="42" spans="2:12" x14ac:dyDescent="0.25">
      <c r="B42" s="211" t="s">
        <v>850</v>
      </c>
      <c r="G42" s="261"/>
      <c r="H42" s="211" t="s">
        <v>851</v>
      </c>
      <c r="J42" s="195" t="s">
        <v>758</v>
      </c>
      <c r="K42" s="13">
        <v>8</v>
      </c>
    </row>
    <row r="43" spans="2:12" x14ac:dyDescent="0.25">
      <c r="B43" s="211" t="s">
        <v>563</v>
      </c>
      <c r="C43" t="s">
        <v>550</v>
      </c>
      <c r="D43" t="s">
        <v>754</v>
      </c>
      <c r="G43" s="261"/>
      <c r="H43" s="211" t="s">
        <v>852</v>
      </c>
      <c r="J43" s="4" t="s">
        <v>761</v>
      </c>
      <c r="K43" s="13">
        <v>9</v>
      </c>
      <c r="L43" t="s">
        <v>774</v>
      </c>
    </row>
    <row r="44" spans="2:12" x14ac:dyDescent="0.25">
      <c r="B44" s="211" t="s">
        <v>569</v>
      </c>
      <c r="C44" t="s">
        <v>853</v>
      </c>
      <c r="D44" t="s">
        <v>846</v>
      </c>
      <c r="G44" s="8" t="s">
        <v>854</v>
      </c>
    </row>
    <row r="45" spans="2:12" x14ac:dyDescent="0.25">
      <c r="B45" s="211" t="s">
        <v>855</v>
      </c>
      <c r="C45" t="s">
        <v>856</v>
      </c>
      <c r="D45" t="s">
        <v>846</v>
      </c>
      <c r="H45" s="211" t="s">
        <v>857</v>
      </c>
      <c r="J45" s="4" t="s">
        <v>858</v>
      </c>
      <c r="K45" s="13">
        <v>2</v>
      </c>
      <c r="L45" t="s">
        <v>859</v>
      </c>
    </row>
    <row r="46" spans="2:12" x14ac:dyDescent="0.25">
      <c r="B46" s="211" t="s">
        <v>860</v>
      </c>
      <c r="C46" t="s">
        <v>856</v>
      </c>
      <c r="D46" t="s">
        <v>846</v>
      </c>
      <c r="H46" s="211" t="s">
        <v>33</v>
      </c>
      <c r="J46" s="4" t="s">
        <v>858</v>
      </c>
      <c r="K46" s="13">
        <v>3</v>
      </c>
      <c r="L46" t="s">
        <v>861</v>
      </c>
    </row>
    <row r="47" spans="2:12" x14ac:dyDescent="0.25">
      <c r="B47" s="211" t="s">
        <v>597</v>
      </c>
      <c r="C47" t="s">
        <v>2156</v>
      </c>
      <c r="D47" t="s">
        <v>834</v>
      </c>
      <c r="H47" s="211" t="s">
        <v>862</v>
      </c>
      <c r="J47" s="4" t="s">
        <v>858</v>
      </c>
      <c r="K47" s="13">
        <v>5</v>
      </c>
      <c r="L47" t="s">
        <v>863</v>
      </c>
    </row>
    <row r="48" spans="2:12" x14ac:dyDescent="0.25">
      <c r="B48" s="211" t="s">
        <v>864</v>
      </c>
      <c r="C48" t="s">
        <v>427</v>
      </c>
      <c r="D48" t="s">
        <v>754</v>
      </c>
      <c r="H48" s="211" t="s">
        <v>865</v>
      </c>
      <c r="J48" s="4" t="s">
        <v>858</v>
      </c>
      <c r="K48" s="13">
        <v>5</v>
      </c>
      <c r="L48" t="s">
        <v>861</v>
      </c>
    </row>
    <row r="49" spans="2:12" x14ac:dyDescent="0.25">
      <c r="B49" s="211" t="s">
        <v>625</v>
      </c>
      <c r="C49" t="s">
        <v>866</v>
      </c>
      <c r="D49" t="s">
        <v>754</v>
      </c>
      <c r="H49" s="211" t="s">
        <v>37</v>
      </c>
      <c r="J49" s="4" t="s">
        <v>858</v>
      </c>
      <c r="K49" s="13">
        <v>3</v>
      </c>
      <c r="L49" t="s">
        <v>861</v>
      </c>
    </row>
    <row r="50" spans="2:12" x14ac:dyDescent="0.25">
      <c r="G50" s="8" t="s">
        <v>867</v>
      </c>
    </row>
    <row r="51" spans="2:12" x14ac:dyDescent="0.25">
      <c r="H51" t="s">
        <v>868</v>
      </c>
      <c r="J51" s="4" t="s">
        <v>858</v>
      </c>
      <c r="K51" s="13">
        <v>1</v>
      </c>
      <c r="L51" t="s">
        <v>869</v>
      </c>
    </row>
    <row r="52" spans="2:12" x14ac:dyDescent="0.25">
      <c r="H52" t="s">
        <v>857</v>
      </c>
      <c r="J52" s="4" t="s">
        <v>858</v>
      </c>
      <c r="K52" s="13">
        <v>2</v>
      </c>
      <c r="L52" t="s">
        <v>870</v>
      </c>
    </row>
    <row r="53" spans="2:12" x14ac:dyDescent="0.25">
      <c r="H53" t="s">
        <v>871</v>
      </c>
      <c r="J53" s="4" t="s">
        <v>858</v>
      </c>
      <c r="K53" s="13">
        <v>3</v>
      </c>
      <c r="L53" t="s">
        <v>872</v>
      </c>
    </row>
    <row r="54" spans="2:12" x14ac:dyDescent="0.25">
      <c r="H54" t="s">
        <v>862</v>
      </c>
      <c r="J54" s="4" t="s">
        <v>858</v>
      </c>
      <c r="K54" s="13">
        <v>5</v>
      </c>
      <c r="L54" s="197">
        <v>2013</v>
      </c>
    </row>
    <row r="55" spans="2:12" x14ac:dyDescent="0.25">
      <c r="H55" t="s">
        <v>873</v>
      </c>
      <c r="J55" s="4" t="s">
        <v>858</v>
      </c>
      <c r="K55" s="13">
        <v>7</v>
      </c>
      <c r="L55" t="s">
        <v>872</v>
      </c>
    </row>
    <row r="56" spans="2:12" x14ac:dyDescent="0.25">
      <c r="H56" t="s">
        <v>874</v>
      </c>
      <c r="J56" s="4" t="s">
        <v>858</v>
      </c>
      <c r="K56" s="13">
        <v>7</v>
      </c>
      <c r="L56" t="s">
        <v>872</v>
      </c>
    </row>
    <row r="57" spans="2:12" x14ac:dyDescent="0.25">
      <c r="H57" t="s">
        <v>875</v>
      </c>
      <c r="J57" s="4" t="s">
        <v>858</v>
      </c>
      <c r="K57" s="13">
        <v>7</v>
      </c>
      <c r="L57" t="s">
        <v>872</v>
      </c>
    </row>
  </sheetData>
  <sheetProtection sheet="1" objects="1" scenarios="1"/>
  <phoneticPr fontId="25" type="noConversion"/>
  <hyperlinks>
    <hyperlink ref="B3" location="DaNetBuildout" display="Net Buildout Change" xr:uid="{5B84BC98-89A0-4D93-812B-817CE21738FB}"/>
    <hyperlink ref="B10" location="DaGrowthUse" display="Growth by Use" xr:uid="{5806219C-0AC1-41F4-AE08-051FBCF04335}"/>
    <hyperlink ref="B11" location="DaGrowthLoc" display="Growth by Location" xr:uid="{4822D6C6-3744-44F9-A7E2-9828723920FA}"/>
    <hyperlink ref="B12" location="DaBEAJobs" display="All Local Jobs (BEA)" xr:uid="{5CAB02E2-4B38-4434-B61B-51D8E3081574}"/>
    <hyperlink ref="B15" location="DaQCEW" display="Local Wage Jobs (QCEW)" xr:uid="{E8EDF3F3-9507-4288-9F27-82E070A32C82}"/>
    <hyperlink ref="B5" location="ConsevationBuildoutTracker!A1" display="Public, Private Land Transfers" xr:uid="{43AF065B-3611-4BCF-A33E-4F3801270D19}"/>
    <hyperlink ref="B7" location="ConsevationBuildoutTracker!A1" display="LDR Amendements, Zone Changes, PUDs" xr:uid="{70709777-C4DF-463A-93E6-B8A27E738173}"/>
    <hyperlink ref="B8" location="ConsevationBuildoutTracker!A1" display="Workforce Housing Bonus Units" xr:uid="{DCE314C5-7058-4464-8CC7-7E4984435DE8}"/>
    <hyperlink ref="B9" location="ConsevationBuildoutTracker!A1" display="CN-PRD Bonus Units" xr:uid="{264F9384-DBD0-4314-B4B7-ADAB16A9BD41}"/>
    <hyperlink ref="B16" location="DaLAUS" display="Employed Population (LAUS)" xr:uid="{A0098E13-F58D-4DAB-AA94-D7164E486931}"/>
    <hyperlink ref="B20" location="DaWorkersbyGeo" display="Workers by Workplace Geography" xr:uid="{032E4281-2E58-43B3-ACD9-D03752EDDB7F}"/>
    <hyperlink ref="B21" location="DaPermPop" display="Permanent Population" xr:uid="{8731C69A-2281-4E62-BA14-C9AC7BC8179D}"/>
    <hyperlink ref="B22" location="DaACSHsgChar" display="Average Household Size" xr:uid="{93DB08C0-AE2A-4BF5-B581-C9819786E89B}"/>
    <hyperlink ref="B23" location="DaACSHsgChar" display="Housing Tenure" xr:uid="{9065101B-38F4-4394-9584-438F8A57FEA1}"/>
    <hyperlink ref="B24" location="DaACSVac" display="2nd/Seasonal Vacant Homes" xr:uid="{D4F79372-61CD-486C-A90B-DA9E39940F19}"/>
    <hyperlink ref="B25" location="DaActiveMode" display="Active Commute Mode Share" xr:uid="{A7BB5AA3-AC4F-461F-A46E-71FC3DDFFE76}"/>
    <hyperlink ref="B26" location="DaHHIncome" display="Employed Households" xr:uid="{5D6B2279-E541-4D6C-9BE1-31BAEAA90ECD}"/>
    <hyperlink ref="B27" location="DaHHIncome" display="Median Income (ACS)" xr:uid="{C06CA97A-1116-43EA-A471-D661EDE54A49}"/>
    <hyperlink ref="B43" location="DaSTART" display="START Ridership" xr:uid="{3B4BC7A6-D5E1-4467-A16B-511F3F87DFCC}"/>
    <hyperlink ref="B44" location="DaWVCs" display="Wildlife Vehicle Collisions" xr:uid="{532D3E3A-B9F8-4A0E-BEB6-A1C7662CAB6D}"/>
    <hyperlink ref="B45" location="DaLVE" display="LVE Electricity" xr:uid="{BEC86AA3-BD04-4014-859E-3B999FB9DACB}"/>
    <hyperlink ref="B46" location="DaLVE" display="LVE Gas" xr:uid="{BD65E7E4-AEC2-492E-90C0-F867D36296EF}"/>
    <hyperlink ref="B39" location="DaYNPovernight" display="YNP Overnight Visistors" xr:uid="{126C650A-4003-49F2-B5DC-699E44636EB6}"/>
    <hyperlink ref="B38" location="DaGTNPovernight" display="GTNP Overnight Visitors" xr:uid="{1FCD4764-E125-4F0D-A2F7-C7025A382DC0}"/>
    <hyperlink ref="B37" location="DaCTNFcamp" display="CTNF Campground Occupancy" xr:uid="{D976E07A-A5DB-49E2-9A77-285CD9FFCF95}"/>
    <hyperlink ref="B36" location="DaBTNFcamp" display="BTNF Campround Occupancy" xr:uid="{5C6BC82E-E37E-4765-9955-79B97D3F661A}"/>
    <hyperlink ref="B35" location="DaLdgOcc" display="Lodging Occupancy" xr:uid="{781A5F4A-E6F2-4434-9FDD-ED99947104A2}"/>
    <hyperlink ref="B28" location="DaHUDMFI" display="Median Income (HUD)" xr:uid="{60DFF034-FAFD-451F-A800-0BA5E1A59007}"/>
    <hyperlink ref="B13" location="DaGDP" display="Gross Domestic Product" xr:uid="{322A00D4-759B-4C83-9093-C4C6B26D31A5}"/>
    <hyperlink ref="B14" location="DaBEAIncome" display="Per capita Income" xr:uid="{63EE078B-999E-4E5C-AF46-C2A6DB146E0B}"/>
    <hyperlink ref="B17" location="DaLEHDProfile" display="Work Area Profile" xr:uid="{41F6D9A6-1070-49E2-9C68-A4CA38930295}"/>
    <hyperlink ref="B18" location="DaLEHDProfile" display="Destinations (Residence-Workplace)" xr:uid="{E24D27CE-E21A-4EFC-B842-6E2D095D84CE}"/>
    <hyperlink ref="B6" location="ConsevationBuildoutTracker!A1" display="Rural Area Subdivisions" xr:uid="{B1DCE2E0-4BD5-4F53-B193-8018468DFB7D}"/>
    <hyperlink ref="B19" location="DaHHsFams" display="Household and Family Size" xr:uid="{76FC1338-4CDA-4EE6-9BA9-AF33693CC33C}"/>
    <hyperlink ref="B4" location="ConsevationBuildoutTracker!A1" display="Conservation Easements" xr:uid="{1E250D26-F6F2-4BF7-BCA8-21A8A43DB320}"/>
    <hyperlink ref="B29" location="DaHUDFMR" display="Fair Market Rent (HUD)" xr:uid="{7A7C72C1-9C76-405F-AD59-39FF78AB4A4B}"/>
    <hyperlink ref="B30" location="DaSUBPrice" display="Single-Family Home Price" xr:uid="{970F68D6-5190-4520-AC3A-45A5E0535AD1}"/>
    <hyperlink ref="B31" location="DaHomePrice" display="Home Price" xr:uid="{C48E42A4-9919-44A9-9EB2-C33A4F9C7485}"/>
    <hyperlink ref="B32" location="DaCoL" display="Other Costs of Living" xr:uid="{95CDEC7F-17FA-431E-AD62-4FCEF54A1C99}"/>
    <hyperlink ref="B33" location="DaRestricted" display="Restricted Units" xr:uid="{AF053741-82C2-4A65-ACEC-785FE45F4610}"/>
    <hyperlink ref="B34" location="DaPipeline" display="Workforce Housing Pipeline" xr:uid="{90B8F519-7E1E-430C-90C3-6CC2D91F4F78}"/>
    <hyperlink ref="B40" location="DaHwyVMT" display="Daily VMT" xr:uid="{41739438-18B7-4142-8E67-B8A6E3BB26A2}"/>
    <hyperlink ref="B41" location="DaATRs" display="ATR Monthly Avearge Weekday Daily Traffic" xr:uid="{65A19086-2F5B-4E44-99DB-5C3029662C97}"/>
    <hyperlink ref="B42" location="DaTravelTime" display="Travel time" xr:uid="{708EFE28-B539-4936-BBC8-7ED5DD812A54}"/>
    <hyperlink ref="B47" location="DaEnplane" display="Enplanements" xr:uid="{D7DB3D7E-A86C-4287-BD75-D70273DE8C90}"/>
    <hyperlink ref="B48" location="DaEdFac" display="Educational Facilities Inventory" xr:uid="{23A1F574-0DE3-4F40-B04A-3B280E01617D}"/>
    <hyperlink ref="B49" location="DaCompPlan" display="Comprehensive Plan Implementation" xr:uid="{74F22892-5236-4E1F-B251-922A15F3B096}"/>
    <hyperlink ref="H4" location="InNatSpecHealth" display="Health of Native Species" xr:uid="{0D397CA4-FB43-4FAC-B428-F2C4FC7FC604}"/>
    <hyperlink ref="H5" location="InConsSubRA" display="Conservation vs. Subdivision of Rural Areas" xr:uid="{422CED89-F330-4E9F-980B-AF718D7E2C9E}"/>
    <hyperlink ref="H6" location="InWaterQual" display="Water Quality" xr:uid="{F4415CA1-26A2-4CA7-B706-AD9AD844DCFB}"/>
    <hyperlink ref="H7" location="InAirQual" display="Air Quality" xr:uid="{928885D2-5079-4007-8B1D-38D9654259D2}"/>
    <hyperlink ref="H8" location="InAccesstoNat" display="Access to Enjoyment of Natural and Scenic Resources" xr:uid="{F4480D5D-07AB-4BC5-A0FD-BCF01225A069}"/>
    <hyperlink ref="H9" location="InGHGEmissions" display="Greenhouse Gas Emissions" xr:uid="{F358C7B7-9449-4F82-9867-903E2FB0ABEF}"/>
    <hyperlink ref="H10" location="InLocGrowth" display="Location of Actual Growth" xr:uid="{473FA572-38D4-4393-9764-86EB18BE7DF3}"/>
    <hyperlink ref="H11" location="InLocPotential" display="Location of Potential Growth" xr:uid="{B2E6B02C-9F3A-4888-B286-A29E9F4BDA61}"/>
    <hyperlink ref="H12" location="InAmtPotential" display="Amount of Potential Growth" xr:uid="{E196EC2E-B27D-4CA6-AADB-8D334E5DC5F4}"/>
    <hyperlink ref="H13" location="InWHPipeline" display="Workforce Housing Pipeline" xr:uid="{90B9B13B-884E-45CC-A35C-BEF849582BF8}"/>
    <hyperlink ref="H14" location="InTownPctg" display="Percentage of Jobs in Town" xr:uid="{7389E0C0-2602-4058-A3F0-C802518374CE}"/>
    <hyperlink ref="H15" location="InTownPctg" display="Percentage of Housing in Town" xr:uid="{96E96F1B-6623-413B-8DF8-EF2AAE9F0392}"/>
    <hyperlink ref="H16" location="InTownPctg" display="Percentage of Shopping in Town" xr:uid="{909D28A8-EE36-444C-ADC5-3369C734C3EF}"/>
    <hyperlink ref="H17" location="InTownPctg" display="Percentage of Education in Town" xr:uid="{69372EA5-173B-4856-9E24-29C0B08F7E32}"/>
    <hyperlink ref="H18" location="InTownPctg" display="Percentage of Cultural Activity in Town" xr:uid="{5E36258B-9B0C-44DA-A55B-E8D8646DFA55}"/>
    <hyperlink ref="H19" location="InLocalWF" display="Percentage of the Workforce Living Locally" xr:uid="{B7DF4D72-661C-43B4-80E6-267CA50C2070}"/>
    <hyperlink ref="H20" location="InHsgStock" display="Housing Stock Profile" xr:uid="{813182D8-EDE7-4BAA-9CAF-7B0C8E21E06C}"/>
    <hyperlink ref="H21" location="InGrowthRate" display="Annual Growth Rate Comparison" xr:uid="{8BDDBC8A-BE2A-4B93-8478-C494AEC87960}"/>
    <hyperlink ref="I26:I28" location="InEffPop" display="Summer Effective Population" xr:uid="{79139ADD-D902-4ED4-8B35-82E7DA2F5F34}"/>
    <hyperlink ref="H35" location="InLdgOcc" display="Lodging Occupancy" xr:uid="{C35C2E0D-6B7C-4DEA-9E66-D95C96374E68}"/>
    <hyperlink ref="H36" location="InJobsbyInd" display="Jobs by Industry" xr:uid="{5829FDD5-92C7-4D6C-9A26-07744E5A96F3}"/>
    <hyperlink ref="H37" location="InTravelTime" display="Single Occupancy Vehicle vs. Walk/Bike/Bus Travel Time" xr:uid="{6102E9FB-8806-403C-8D25-940411248A01}"/>
    <hyperlink ref="H38" location="InSTART" display="START Ridership" xr:uid="{C2CC0F78-7BD8-4993-8559-FAF19B1A5E01}"/>
    <hyperlink ref="H39" location="InActiveShare" display="Walk/Bike Modeshare" xr:uid="{DFE11779-B3EF-46E1-941B-B5366E332313}"/>
    <hyperlink ref="H40" location="InITPBenchmarks" display="Capital Project Group Benchmarks" xr:uid="{6CCEEEB0-1151-475C-AB3B-A46C69E080CF}"/>
    <hyperlink ref="H41" location="InWVCs" display="Wildlife Vehicle Collissions" xr:uid="{39B2986A-2BC2-45F0-800F-9F2E102876C3}"/>
    <hyperlink ref="H42" location="InLOS" display="Level of Service" xr:uid="{EA4F9266-0FB2-4C4F-8084-10777D6B1A8B}"/>
    <hyperlink ref="H43" location="InYrlyImp" display="Annual Monitoring and Implementation" xr:uid="{D341364D-36C5-4A44-8A94-5B97971F0646}"/>
    <hyperlink ref="H45" location="RtrdEnergyLoad" display="Energy Load" xr:uid="{33B86810-FBBF-4EDB-A82E-34583B87745A}"/>
    <hyperlink ref="H46" location="RtrdGrowthbyUse" display="Growth by Use" xr:uid="{63107F26-2BAB-4DA8-8A14-C85DA438433F}"/>
    <hyperlink ref="H47" location="RtrdLocalWF" display="Percentage of Workforce Living Locally" xr:uid="{3A3B7B82-1E53-43C4-B59B-80EB56190B7C}"/>
    <hyperlink ref="H48" location="RtrdAfford" display="Housing Affordability" xr:uid="{48DEFFD4-8A28-4B7B-8C1C-42D56EFB7A7D}"/>
    <hyperlink ref="H49" location="RtrdEffPop" display="Effective Population" xr:uid="{C7520AA5-F042-49B8-BEFD-8DDF73740C43}"/>
  </hyperlink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6F18C-DEBC-4089-8F2D-70BD295B8BF6}">
  <dimension ref="A1:AN1480"/>
  <sheetViews>
    <sheetView workbookViewId="0">
      <pane xSplit="7" ySplit="3" topLeftCell="H554" activePane="bottomRight" state="frozen"/>
      <selection pane="topRight" activeCell="H1" sqref="H1"/>
      <selection pane="bottomLeft" activeCell="A4" sqref="A4"/>
      <selection pane="bottomRight" activeCell="A566" sqref="A566"/>
    </sheetView>
  </sheetViews>
  <sheetFormatPr defaultRowHeight="15" x14ac:dyDescent="0.25"/>
  <cols>
    <col min="1" max="1" width="3.7109375" customWidth="1"/>
    <col min="2" max="2" width="10.7109375" style="1" customWidth="1"/>
    <col min="3" max="5" width="3.7109375" customWidth="1"/>
    <col min="6" max="6" width="3.5703125" customWidth="1"/>
    <col min="7" max="7" width="33.42578125" customWidth="1"/>
    <col min="8" max="8" width="8.42578125" customWidth="1"/>
    <col min="9" max="37" width="11.42578125" customWidth="1"/>
  </cols>
  <sheetData>
    <row r="1" spans="1:37" ht="20.25" thickBot="1" x14ac:dyDescent="0.3">
      <c r="A1" s="5" t="s">
        <v>0</v>
      </c>
      <c r="B1" s="6"/>
      <c r="C1" s="7"/>
      <c r="D1" s="7"/>
      <c r="E1" s="7"/>
      <c r="F1" s="7"/>
      <c r="G1" s="7"/>
      <c r="H1" s="4"/>
    </row>
    <row r="2" spans="1:37" x14ac:dyDescent="0.25">
      <c r="H2" t="s">
        <v>1</v>
      </c>
      <c r="I2">
        <v>2002</v>
      </c>
      <c r="J2">
        <v>2003</v>
      </c>
      <c r="K2">
        <v>2004</v>
      </c>
      <c r="L2">
        <v>2005</v>
      </c>
      <c r="M2">
        <v>2006</v>
      </c>
      <c r="N2">
        <v>2007</v>
      </c>
      <c r="O2">
        <v>2008</v>
      </c>
      <c r="P2">
        <v>2009</v>
      </c>
      <c r="Q2">
        <v>2010</v>
      </c>
      <c r="R2">
        <v>2011</v>
      </c>
      <c r="S2">
        <v>2012</v>
      </c>
      <c r="T2">
        <v>2013</v>
      </c>
      <c r="U2">
        <v>2014</v>
      </c>
      <c r="V2">
        <v>2015</v>
      </c>
      <c r="W2">
        <v>2016</v>
      </c>
      <c r="X2">
        <v>2017</v>
      </c>
      <c r="Y2">
        <v>2018</v>
      </c>
      <c r="Z2">
        <v>2019</v>
      </c>
      <c r="AA2">
        <v>2020</v>
      </c>
      <c r="AB2">
        <v>2021</v>
      </c>
      <c r="AC2">
        <v>2022</v>
      </c>
      <c r="AD2">
        <v>2023</v>
      </c>
      <c r="AE2">
        <v>2024</v>
      </c>
      <c r="AF2">
        <v>2025</v>
      </c>
      <c r="AG2">
        <v>2026</v>
      </c>
      <c r="AH2">
        <v>2027</v>
      </c>
      <c r="AI2">
        <v>2028</v>
      </c>
      <c r="AJ2">
        <v>2029</v>
      </c>
      <c r="AK2">
        <v>2030</v>
      </c>
    </row>
    <row r="3" spans="1:37" s="2" customFormat="1" x14ac:dyDescent="0.25">
      <c r="B3" s="3"/>
    </row>
    <row r="4" spans="1:37" s="26" customFormat="1" ht="17.25" x14ac:dyDescent="0.3">
      <c r="A4" s="28" t="s">
        <v>2</v>
      </c>
      <c r="B4" s="27"/>
    </row>
    <row r="5" spans="1:37" x14ac:dyDescent="0.25">
      <c r="B5" s="29" t="s">
        <v>3</v>
      </c>
      <c r="C5" t="s">
        <v>4</v>
      </c>
    </row>
    <row r="6" spans="1:37" x14ac:dyDescent="0.25">
      <c r="C6" t="s">
        <v>5</v>
      </c>
    </row>
    <row r="7" spans="1:37" x14ac:dyDescent="0.25">
      <c r="C7" t="s">
        <v>6</v>
      </c>
    </row>
    <row r="8" spans="1:37" x14ac:dyDescent="0.25">
      <c r="C8" t="s">
        <v>7</v>
      </c>
    </row>
    <row r="9" spans="1:37" x14ac:dyDescent="0.25">
      <c r="D9" s="8" t="s">
        <v>8</v>
      </c>
    </row>
    <row r="10" spans="1:37" x14ac:dyDescent="0.25">
      <c r="D10" s="43" t="s">
        <v>9</v>
      </c>
    </row>
    <row r="11" spans="1:37" x14ac:dyDescent="0.25">
      <c r="B11" s="29" t="s">
        <v>10</v>
      </c>
      <c r="C11" s="263" t="s">
        <v>11</v>
      </c>
      <c r="G11" s="4"/>
      <c r="H11" s="4"/>
    </row>
    <row r="12" spans="1:37" x14ac:dyDescent="0.25">
      <c r="B12" s="29"/>
      <c r="C12" s="263" t="s">
        <v>12</v>
      </c>
      <c r="G12" s="4"/>
      <c r="H12" s="4"/>
    </row>
    <row r="13" spans="1:37" x14ac:dyDescent="0.25">
      <c r="B13" s="29"/>
      <c r="C13" s="263" t="s">
        <v>13</v>
      </c>
      <c r="G13" s="4"/>
      <c r="H13" s="4"/>
    </row>
    <row r="14" spans="1:37" x14ac:dyDescent="0.25">
      <c r="B14" s="29" t="s">
        <v>14</v>
      </c>
      <c r="C14" t="s">
        <v>15</v>
      </c>
    </row>
    <row r="15" spans="1:37" x14ac:dyDescent="0.25">
      <c r="B15" s="29"/>
      <c r="C15" t="s">
        <v>16</v>
      </c>
    </row>
    <row r="16" spans="1:37" x14ac:dyDescent="0.25">
      <c r="B16" s="29" t="s">
        <v>17</v>
      </c>
      <c r="C16" t="s">
        <v>18</v>
      </c>
    </row>
    <row r="17" spans="2:37" s="25" customFormat="1" ht="15.75" thickBot="1" x14ac:dyDescent="0.3">
      <c r="B17" s="30" t="s">
        <v>19</v>
      </c>
      <c r="C17" s="25" t="s">
        <v>20</v>
      </c>
    </row>
    <row r="18" spans="2:37" s="8" customFormat="1" ht="15.75" thickTop="1" x14ac:dyDescent="0.25">
      <c r="B18" s="44" t="s">
        <v>21</v>
      </c>
      <c r="C18" s="8" t="s">
        <v>22</v>
      </c>
      <c r="H18" s="8" t="s">
        <v>23</v>
      </c>
      <c r="I18" s="42"/>
      <c r="J18" s="42"/>
      <c r="K18" s="42"/>
      <c r="L18" s="42"/>
      <c r="M18" s="42"/>
      <c r="N18" s="42">
        <f t="shared" ref="N18:AK18" si="0">SUM(N19,N22,N25,N28,N31)</f>
        <v>-81</v>
      </c>
      <c r="O18" s="42">
        <f t="shared" si="0"/>
        <v>12</v>
      </c>
      <c r="P18" s="42">
        <f t="shared" si="0"/>
        <v>18</v>
      </c>
      <c r="Q18" s="42">
        <f t="shared" si="0"/>
        <v>-1</v>
      </c>
      <c r="R18" s="42">
        <f t="shared" si="0"/>
        <v>67</v>
      </c>
      <c r="S18" s="42">
        <f t="shared" si="0"/>
        <v>-32</v>
      </c>
      <c r="T18" s="42">
        <f t="shared" si="0"/>
        <v>-12</v>
      </c>
      <c r="U18" s="42">
        <f t="shared" si="0"/>
        <v>-14</v>
      </c>
      <c r="V18" s="42">
        <f t="shared" si="0"/>
        <v>-2195</v>
      </c>
      <c r="W18" s="42">
        <f t="shared" si="0"/>
        <v>-82.2</v>
      </c>
      <c r="X18" s="42">
        <f t="shared" si="0"/>
        <v>15</v>
      </c>
      <c r="Y18" s="42">
        <f t="shared" si="0"/>
        <v>126.57239999999999</v>
      </c>
      <c r="Z18" s="42">
        <f t="shared" si="0"/>
        <v>5</v>
      </c>
      <c r="AA18" s="42">
        <f t="shared" si="0"/>
        <v>39</v>
      </c>
      <c r="AB18" s="42">
        <f t="shared" si="0"/>
        <v>78</v>
      </c>
      <c r="AC18" s="42">
        <f t="shared" si="0"/>
        <v>38</v>
      </c>
      <c r="AD18" s="42">
        <f t="shared" si="0"/>
        <v>109</v>
      </c>
      <c r="AE18" s="42">
        <f t="shared" si="0"/>
        <v>0</v>
      </c>
      <c r="AF18" s="42">
        <f t="shared" si="0"/>
        <v>0</v>
      </c>
      <c r="AG18" s="42">
        <f t="shared" si="0"/>
        <v>0</v>
      </c>
      <c r="AH18" s="42">
        <f t="shared" si="0"/>
        <v>0</v>
      </c>
      <c r="AI18" s="42">
        <f t="shared" si="0"/>
        <v>0</v>
      </c>
      <c r="AJ18" s="42">
        <f t="shared" si="0"/>
        <v>0</v>
      </c>
      <c r="AK18" s="42">
        <f t="shared" si="0"/>
        <v>0</v>
      </c>
    </row>
    <row r="19" spans="2:37" s="10" customFormat="1" x14ac:dyDescent="0.25">
      <c r="B19" s="11"/>
      <c r="D19" s="10" t="s">
        <v>24</v>
      </c>
      <c r="H19" s="10" t="s">
        <v>23</v>
      </c>
      <c r="I19" s="41"/>
      <c r="J19" s="41"/>
      <c r="K19" s="41"/>
      <c r="L19" s="41"/>
      <c r="M19" s="41"/>
      <c r="N19" s="41">
        <f t="shared" ref="N19:AK19" si="1">SUM(N20:N21)</f>
        <v>8</v>
      </c>
      <c r="O19" s="41">
        <f t="shared" si="1"/>
        <v>17</v>
      </c>
      <c r="P19" s="41">
        <f t="shared" si="1"/>
        <v>20</v>
      </c>
      <c r="Q19" s="41">
        <f t="shared" si="1"/>
        <v>0</v>
      </c>
      <c r="R19" s="41">
        <f t="shared" si="1"/>
        <v>68</v>
      </c>
      <c r="S19" s="41">
        <f t="shared" si="1"/>
        <v>-1</v>
      </c>
      <c r="T19" s="41">
        <f t="shared" si="1"/>
        <v>0</v>
      </c>
      <c r="U19" s="41">
        <f t="shared" si="1"/>
        <v>0</v>
      </c>
      <c r="V19" s="41">
        <f t="shared" si="1"/>
        <v>-2101</v>
      </c>
      <c r="W19" s="41">
        <f t="shared" si="1"/>
        <v>-39</v>
      </c>
      <c r="X19" s="41">
        <f t="shared" si="1"/>
        <v>16</v>
      </c>
      <c r="Y19" s="41">
        <f t="shared" si="1"/>
        <v>132.57239999999999</v>
      </c>
      <c r="Z19" s="41">
        <f t="shared" si="1"/>
        <v>0</v>
      </c>
      <c r="AA19" s="41">
        <f t="shared" si="1"/>
        <v>13</v>
      </c>
      <c r="AB19" s="41">
        <f t="shared" si="1"/>
        <v>7</v>
      </c>
      <c r="AC19" s="41">
        <f t="shared" si="1"/>
        <v>9</v>
      </c>
      <c r="AD19" s="41">
        <f t="shared" si="1"/>
        <v>0</v>
      </c>
      <c r="AE19" s="41">
        <f t="shared" si="1"/>
        <v>0</v>
      </c>
      <c r="AF19" s="41">
        <f t="shared" si="1"/>
        <v>0</v>
      </c>
      <c r="AG19" s="41">
        <f t="shared" si="1"/>
        <v>0</v>
      </c>
      <c r="AH19" s="41">
        <f t="shared" si="1"/>
        <v>0</v>
      </c>
      <c r="AI19" s="41">
        <f t="shared" si="1"/>
        <v>0</v>
      </c>
      <c r="AJ19" s="41">
        <f t="shared" si="1"/>
        <v>0</v>
      </c>
      <c r="AK19" s="41">
        <f t="shared" si="1"/>
        <v>0</v>
      </c>
    </row>
    <row r="20" spans="2:37" x14ac:dyDescent="0.25">
      <c r="E20" t="s">
        <v>25</v>
      </c>
      <c r="H20" t="s">
        <v>23</v>
      </c>
      <c r="I20" s="39"/>
      <c r="J20" s="39"/>
      <c r="K20" s="39"/>
      <c r="L20" s="39"/>
      <c r="M20" s="39"/>
      <c r="N20" s="39">
        <v>9</v>
      </c>
      <c r="O20" s="39">
        <v>18</v>
      </c>
      <c r="P20" s="39">
        <v>20</v>
      </c>
      <c r="Q20" s="39">
        <v>0</v>
      </c>
      <c r="R20" s="39">
        <v>68</v>
      </c>
      <c r="S20" s="39">
        <v>0</v>
      </c>
      <c r="T20" s="39">
        <v>0</v>
      </c>
      <c r="U20" s="39">
        <v>0</v>
      </c>
      <c r="V20" s="39">
        <v>256</v>
      </c>
      <c r="W20" s="39">
        <f>SUMIFS(ConsevationBuildoutTracker!$R$2:$R$284,ConsevationBuildoutTracker!$C$2:$C$284,"AMD",ConsevationBuildoutTracker!$E$2:$E$284,"CN",ConsevationBuildoutTracker!$G$2:$G$284,W$2)</f>
        <v>-39</v>
      </c>
      <c r="X20" s="39">
        <f>SUMIFS(ConsevationBuildoutTracker!$R$2:$R$284,ConsevationBuildoutTracker!$C$2:$C$284,"AMD",ConsevationBuildoutTracker!$E$2:$E$284,"CN",ConsevationBuildoutTracker!$G$2:$G$284,X$2)</f>
        <v>15</v>
      </c>
      <c r="Y20" s="39">
        <f>SUMIFS(ConsevationBuildoutTracker!$R$2:$R$284,ConsevationBuildoutTracker!$C$2:$C$284,"AMD",ConsevationBuildoutTracker!$E$2:$E$284,"CN",ConsevationBuildoutTracker!$G$2:$G$284,Y$2)</f>
        <v>132.57239999999999</v>
      </c>
      <c r="Z20" s="39">
        <f>SUMIFS(ConsevationBuildoutTracker!$R$2:$R$284,ConsevationBuildoutTracker!$C$2:$C$284,"AMD",ConsevationBuildoutTracker!$E$2:$E$284,"CN",ConsevationBuildoutTracker!$G$2:$G$284,Z$2)</f>
        <v>0</v>
      </c>
      <c r="AA20" s="39">
        <f>SUMIFS(ConsevationBuildoutTracker!$R$2:$R$284,ConsevationBuildoutTracker!$C$2:$C$284,"AMD",ConsevationBuildoutTracker!$E$2:$E$284,"CN",ConsevationBuildoutTracker!$G$2:$G$284,AA$2)</f>
        <v>13</v>
      </c>
      <c r="AB20" s="39">
        <f>SUMIFS(ConsevationBuildoutTracker!$R$2:$R$284,ConsevationBuildoutTracker!$C$2:$C$284,"AMD",ConsevationBuildoutTracker!$E$2:$E$284,"CN",ConsevationBuildoutTracker!$G$2:$G$284,AB$2)</f>
        <v>0</v>
      </c>
      <c r="AC20" s="39">
        <f>SUMIFS(ConsevationBuildoutTracker!$R$2:$R$284,ConsevationBuildoutTracker!$C$2:$C$284,"AMD",ConsevationBuildoutTracker!$E$2:$E$284,"CN",ConsevationBuildoutTracker!$G$2:$G$284,AC$2)</f>
        <v>-16</v>
      </c>
      <c r="AD20" s="39">
        <f>SUMIFS(ConsevationBuildoutTracker!$R$2:$R$284,ConsevationBuildoutTracker!$C$2:$C$284,"AMD",ConsevationBuildoutTracker!$E$2:$E$284,"CN",ConsevationBuildoutTracker!$G$2:$G$284,AD$2)</f>
        <v>0</v>
      </c>
      <c r="AE20" s="39">
        <f>SUMIFS(ConsevationBuildoutTracker!$R$2:$R$284,ConsevationBuildoutTracker!$C$2:$C$284,"AMD",ConsevationBuildoutTracker!$E$2:$E$284,"CN",ConsevationBuildoutTracker!$G$2:$G$284,AE$2)</f>
        <v>0</v>
      </c>
      <c r="AF20" s="39">
        <f>SUMIFS(ConsevationBuildoutTracker!$R$2:$R$284,ConsevationBuildoutTracker!$C$2:$C$284,"AMD",ConsevationBuildoutTracker!$E$2:$E$284,"CN",ConsevationBuildoutTracker!$G$2:$G$284,AF$2)</f>
        <v>0</v>
      </c>
      <c r="AG20" s="39">
        <f>SUMIFS(ConsevationBuildoutTracker!$R$2:$R$284,ConsevationBuildoutTracker!$C$2:$C$284,"AMD",ConsevationBuildoutTracker!$E$2:$E$284,"CN",ConsevationBuildoutTracker!$G$2:$G$284,AG$2)</f>
        <v>0</v>
      </c>
      <c r="AH20" s="39">
        <f>SUMIFS(ConsevationBuildoutTracker!$R$2:$R$284,ConsevationBuildoutTracker!$C$2:$C$284,"AMD",ConsevationBuildoutTracker!$E$2:$E$284,"CN",ConsevationBuildoutTracker!$G$2:$G$284,AH$2)</f>
        <v>0</v>
      </c>
      <c r="AI20" s="39">
        <f>SUMIFS(ConsevationBuildoutTracker!$R$2:$R$284,ConsevationBuildoutTracker!$C$2:$C$284,"AMD",ConsevationBuildoutTracker!$E$2:$E$284,"CN",ConsevationBuildoutTracker!$G$2:$G$284,AI$2)</f>
        <v>0</v>
      </c>
      <c r="AJ20" s="39">
        <f>SUMIFS(ConsevationBuildoutTracker!$R$2:$R$284,ConsevationBuildoutTracker!$C$2:$C$284,"AMD",ConsevationBuildoutTracker!$E$2:$E$284,"CN",ConsevationBuildoutTracker!$G$2:$G$284,AJ$2)</f>
        <v>0</v>
      </c>
      <c r="AK20" s="39">
        <f>SUMIFS(ConsevationBuildoutTracker!$R$2:$R$284,ConsevationBuildoutTracker!$C$2:$C$284,"AMD",ConsevationBuildoutTracker!$E$2:$E$284,"CN",ConsevationBuildoutTracker!$G$2:$G$284,AK$2)</f>
        <v>0</v>
      </c>
    </row>
    <row r="21" spans="2:37" x14ac:dyDescent="0.25">
      <c r="E21" t="s">
        <v>26</v>
      </c>
      <c r="H21" t="s">
        <v>23</v>
      </c>
      <c r="I21" s="39"/>
      <c r="J21" s="39"/>
      <c r="K21" s="39"/>
      <c r="L21" s="39"/>
      <c r="M21" s="39"/>
      <c r="N21" s="39">
        <v>-1</v>
      </c>
      <c r="O21" s="39">
        <v>-1</v>
      </c>
      <c r="P21" s="39">
        <v>0</v>
      </c>
      <c r="Q21" s="39">
        <v>0</v>
      </c>
      <c r="R21" s="39">
        <v>0</v>
      </c>
      <c r="S21" s="39">
        <v>-1</v>
      </c>
      <c r="T21" s="39">
        <v>0</v>
      </c>
      <c r="U21" s="39">
        <v>0</v>
      </c>
      <c r="V21" s="39">
        <v>-2357</v>
      </c>
      <c r="W21" s="39">
        <f>SUMIFS(ConsevationBuildoutTracker!$R$2:$R$284,ConsevationBuildoutTracker!$C$2:$C$284,"AMD",ConsevationBuildoutTracker!$E$2:$E$284,"R",ConsevationBuildoutTracker!$G$2:$G$284,W$2)</f>
        <v>0</v>
      </c>
      <c r="X21" s="39">
        <f>SUMIFS(ConsevationBuildoutTracker!$R$2:$R$284,ConsevationBuildoutTracker!$C$2:$C$284,"AMD",ConsevationBuildoutTracker!$E$2:$E$284,"R",ConsevationBuildoutTracker!$G$2:$G$284,X$2)</f>
        <v>1</v>
      </c>
      <c r="Y21" s="39">
        <f>SUMIFS(ConsevationBuildoutTracker!$R$2:$R$284,ConsevationBuildoutTracker!$C$2:$C$284,"AMD",ConsevationBuildoutTracker!$E$2:$E$284,"R",ConsevationBuildoutTracker!$G$2:$G$284,Y$2)</f>
        <v>0</v>
      </c>
      <c r="Z21" s="39">
        <f>SUMIFS(ConsevationBuildoutTracker!$R$2:$R$284,ConsevationBuildoutTracker!$C$2:$C$284,"AMD",ConsevationBuildoutTracker!$E$2:$E$284,"R",ConsevationBuildoutTracker!$G$2:$G$284,Z$2)</f>
        <v>0</v>
      </c>
      <c r="AA21" s="39">
        <f>SUMIFS(ConsevationBuildoutTracker!$R$2:$R$284,ConsevationBuildoutTracker!$C$2:$C$284,"AMD",ConsevationBuildoutTracker!$E$2:$E$284,"R",ConsevationBuildoutTracker!$G$2:$G$284,AA$2)</f>
        <v>0</v>
      </c>
      <c r="AB21" s="39">
        <f>SUMIFS(ConsevationBuildoutTracker!$R$2:$R$284,ConsevationBuildoutTracker!$C$2:$C$284,"AMD",ConsevationBuildoutTracker!$E$2:$E$284,"R",ConsevationBuildoutTracker!$G$2:$G$284,AB$2)</f>
        <v>7</v>
      </c>
      <c r="AC21" s="39">
        <f>SUMIFS(ConsevationBuildoutTracker!$R$2:$R$284,ConsevationBuildoutTracker!$C$2:$C$284,"AMD",ConsevationBuildoutTracker!$E$2:$E$284,"R",ConsevationBuildoutTracker!$G$2:$G$284,AC$2)</f>
        <v>25</v>
      </c>
      <c r="AD21" s="39">
        <f>SUMIFS(ConsevationBuildoutTracker!$R$2:$R$284,ConsevationBuildoutTracker!$C$2:$C$284,"AMD",ConsevationBuildoutTracker!$E$2:$E$284,"R",ConsevationBuildoutTracker!$G$2:$G$284,AD$2)</f>
        <v>0</v>
      </c>
      <c r="AE21" s="39">
        <f>SUMIFS(ConsevationBuildoutTracker!$R$2:$R$284,ConsevationBuildoutTracker!$C$2:$C$284,"AMD",ConsevationBuildoutTracker!$E$2:$E$284,"R",ConsevationBuildoutTracker!$G$2:$G$284,AE$2)</f>
        <v>0</v>
      </c>
      <c r="AF21" s="39">
        <f>SUMIFS(ConsevationBuildoutTracker!$R$2:$R$284,ConsevationBuildoutTracker!$C$2:$C$284,"AMD",ConsevationBuildoutTracker!$E$2:$E$284,"R",ConsevationBuildoutTracker!$G$2:$G$284,AF$2)</f>
        <v>0</v>
      </c>
      <c r="AG21" s="39">
        <f>SUMIFS(ConsevationBuildoutTracker!$R$2:$R$284,ConsevationBuildoutTracker!$C$2:$C$284,"AMD",ConsevationBuildoutTracker!$E$2:$E$284,"R",ConsevationBuildoutTracker!$G$2:$G$284,AG$2)</f>
        <v>0</v>
      </c>
      <c r="AH21" s="39">
        <f>SUMIFS(ConsevationBuildoutTracker!$R$2:$R$284,ConsevationBuildoutTracker!$C$2:$C$284,"AMD",ConsevationBuildoutTracker!$E$2:$E$284,"R",ConsevationBuildoutTracker!$G$2:$G$284,AH$2)</f>
        <v>0</v>
      </c>
      <c r="AI21" s="39">
        <f>SUMIFS(ConsevationBuildoutTracker!$R$2:$R$284,ConsevationBuildoutTracker!$C$2:$C$284,"AMD",ConsevationBuildoutTracker!$E$2:$E$284,"R",ConsevationBuildoutTracker!$G$2:$G$284,AI$2)</f>
        <v>0</v>
      </c>
      <c r="AJ21" s="39">
        <f>SUMIFS(ConsevationBuildoutTracker!$R$2:$R$284,ConsevationBuildoutTracker!$C$2:$C$284,"AMD",ConsevationBuildoutTracker!$E$2:$E$284,"R",ConsevationBuildoutTracker!$G$2:$G$284,AJ$2)</f>
        <v>0</v>
      </c>
      <c r="AK21" s="39">
        <f>SUMIFS(ConsevationBuildoutTracker!$R$2:$R$284,ConsevationBuildoutTracker!$C$2:$C$284,"AMD",ConsevationBuildoutTracker!$E$2:$E$284,"R",ConsevationBuildoutTracker!$G$2:$G$284,AK$2)</f>
        <v>0</v>
      </c>
    </row>
    <row r="22" spans="2:37" s="10" customFormat="1" x14ac:dyDescent="0.25">
      <c r="B22" s="11"/>
      <c r="D22" s="10" t="s">
        <v>6</v>
      </c>
      <c r="H22" s="10" t="s">
        <v>23</v>
      </c>
      <c r="I22" s="41"/>
      <c r="J22" s="41"/>
      <c r="K22" s="41"/>
      <c r="L22" s="41"/>
      <c r="M22" s="41">
        <f t="shared" ref="M22:AK22" si="2">SUM(M23:M24)</f>
        <v>-31</v>
      </c>
      <c r="N22" s="41">
        <f t="shared" si="2"/>
        <v>-89</v>
      </c>
      <c r="O22" s="41">
        <f t="shared" si="2"/>
        <v>-5</v>
      </c>
      <c r="P22" s="41">
        <f t="shared" si="2"/>
        <v>-2</v>
      </c>
      <c r="Q22" s="41">
        <f t="shared" si="2"/>
        <v>-1</v>
      </c>
      <c r="R22" s="41">
        <f t="shared" si="2"/>
        <v>-1</v>
      </c>
      <c r="S22" s="41">
        <f t="shared" si="2"/>
        <v>-28</v>
      </c>
      <c r="T22" s="41">
        <f t="shared" si="2"/>
        <v>-10</v>
      </c>
      <c r="U22" s="41">
        <f t="shared" si="2"/>
        <v>-14</v>
      </c>
      <c r="V22" s="41">
        <f t="shared" si="2"/>
        <v>-91</v>
      </c>
      <c r="W22" s="41">
        <f t="shared" si="2"/>
        <v>-1</v>
      </c>
      <c r="X22" s="41">
        <f t="shared" si="2"/>
        <v>-3</v>
      </c>
      <c r="Y22" s="41">
        <f t="shared" si="2"/>
        <v>-6</v>
      </c>
      <c r="Z22" s="41">
        <f t="shared" si="2"/>
        <v>-7</v>
      </c>
      <c r="AA22" s="41">
        <f t="shared" si="2"/>
        <v>0</v>
      </c>
      <c r="AB22" s="41">
        <f t="shared" si="2"/>
        <v>-5</v>
      </c>
      <c r="AC22" s="41">
        <f t="shared" si="2"/>
        <v>0</v>
      </c>
      <c r="AD22" s="41">
        <f t="shared" si="2"/>
        <v>0</v>
      </c>
      <c r="AE22" s="41">
        <f t="shared" si="2"/>
        <v>0</v>
      </c>
      <c r="AF22" s="41">
        <f t="shared" si="2"/>
        <v>0</v>
      </c>
      <c r="AG22" s="41">
        <f t="shared" si="2"/>
        <v>0</v>
      </c>
      <c r="AH22" s="41">
        <f t="shared" si="2"/>
        <v>0</v>
      </c>
      <c r="AI22" s="41">
        <f t="shared" si="2"/>
        <v>0</v>
      </c>
      <c r="AJ22" s="41">
        <f t="shared" si="2"/>
        <v>0</v>
      </c>
      <c r="AK22" s="41">
        <f t="shared" si="2"/>
        <v>0</v>
      </c>
    </row>
    <row r="23" spans="2:37" x14ac:dyDescent="0.25">
      <c r="E23" t="s">
        <v>25</v>
      </c>
      <c r="H23" t="s">
        <v>23</v>
      </c>
      <c r="I23" s="39"/>
      <c r="J23" s="39"/>
      <c r="K23" s="39"/>
      <c r="L23" s="39"/>
      <c r="M23" s="39">
        <f>SUMIFS(ConsevationBuildoutTracker!$R$2:$R$284,ConsevationBuildoutTracker!$C$2:$C$284,"CE",ConsevationBuildoutTracker!$E$2:$E$284,"CN",ConsevationBuildoutTracker!$G$2:$G$284,M$2)</f>
        <v>0</v>
      </c>
      <c r="N23" s="39">
        <f>SUMIFS(ConsevationBuildoutTracker!$R$2:$R$284,ConsevationBuildoutTracker!$C$2:$C$284,"CE",ConsevationBuildoutTracker!$E$2:$E$284,"CN",ConsevationBuildoutTracker!$G$2:$G$284,N$2)</f>
        <v>0</v>
      </c>
      <c r="O23" s="39">
        <f>SUMIFS(ConsevationBuildoutTracker!$R$2:$R$284,ConsevationBuildoutTracker!$C$2:$C$284,"CE",ConsevationBuildoutTracker!$E$2:$E$284,"CN",ConsevationBuildoutTracker!$G$2:$G$284,O$2)</f>
        <v>0</v>
      </c>
      <c r="P23" s="39">
        <f>SUMIFS(ConsevationBuildoutTracker!$R$2:$R$284,ConsevationBuildoutTracker!$C$2:$C$284,"CE",ConsevationBuildoutTracker!$E$2:$E$284,"CN",ConsevationBuildoutTracker!$G$2:$G$284,P$2)</f>
        <v>0</v>
      </c>
      <c r="Q23" s="39">
        <f>SUMIFS(ConsevationBuildoutTracker!$R$2:$R$284,ConsevationBuildoutTracker!$C$2:$C$284,"CE",ConsevationBuildoutTracker!$E$2:$E$284,"CN",ConsevationBuildoutTracker!$G$2:$G$284,Q$2)</f>
        <v>0</v>
      </c>
      <c r="R23" s="39">
        <f>SUMIFS(ConsevationBuildoutTracker!$R$2:$R$284,ConsevationBuildoutTracker!$C$2:$C$284,"CE",ConsevationBuildoutTracker!$E$2:$E$284,"CN",ConsevationBuildoutTracker!$G$2:$G$284,R$2)</f>
        <v>0</v>
      </c>
      <c r="S23" s="39">
        <f>SUMIFS(ConsevationBuildoutTracker!$R$2:$R$284,ConsevationBuildoutTracker!$C$2:$C$284,"CE",ConsevationBuildoutTracker!$E$2:$E$284,"CN",ConsevationBuildoutTracker!$G$2:$G$284,S$2)</f>
        <v>0</v>
      </c>
      <c r="T23" s="39">
        <f>SUMIFS(ConsevationBuildoutTracker!$R$2:$R$284,ConsevationBuildoutTracker!$C$2:$C$284,"CE",ConsevationBuildoutTracker!$E$2:$E$284,"CN",ConsevationBuildoutTracker!$G$2:$G$284,T$2)</f>
        <v>0</v>
      </c>
      <c r="U23" s="39">
        <f>SUMIFS(ConsevationBuildoutTracker!$R$2:$R$284,ConsevationBuildoutTracker!$C$2:$C$284,"CE",ConsevationBuildoutTracker!$E$2:$E$284,"CN",ConsevationBuildoutTracker!$G$2:$G$284,U$2)</f>
        <v>0</v>
      </c>
      <c r="V23" s="39">
        <f>SUMIFS(ConsevationBuildoutTracker!$R$2:$R$284,ConsevationBuildoutTracker!$C$2:$C$284,"CE",ConsevationBuildoutTracker!$E$2:$E$284,"CN",ConsevationBuildoutTracker!$G$2:$G$284,V$2)</f>
        <v>0</v>
      </c>
      <c r="W23" s="39">
        <f>SUMIFS(ConsevationBuildoutTracker!$R$2:$R$284,ConsevationBuildoutTracker!$C$2:$C$284,"CE",ConsevationBuildoutTracker!$E$2:$E$284,"CN",ConsevationBuildoutTracker!$G$2:$G$284,W$2)</f>
        <v>0</v>
      </c>
      <c r="X23" s="39">
        <f>SUMIFS(ConsevationBuildoutTracker!$R$2:$R$284,ConsevationBuildoutTracker!$C$2:$C$284,"CE",ConsevationBuildoutTracker!$E$2:$E$284,"CN",ConsevationBuildoutTracker!$G$2:$G$284,X$2)</f>
        <v>0</v>
      </c>
      <c r="Y23" s="39">
        <f>SUMIFS(ConsevationBuildoutTracker!$R$2:$R$284,ConsevationBuildoutTracker!$C$2:$C$284,"CE",ConsevationBuildoutTracker!$E$2:$E$284,"CN",ConsevationBuildoutTracker!$G$2:$G$284,Y$2)</f>
        <v>0</v>
      </c>
      <c r="Z23" s="39">
        <f>SUMIFS(ConsevationBuildoutTracker!$R$2:$R$284,ConsevationBuildoutTracker!$C$2:$C$284,"CE",ConsevationBuildoutTracker!$E$2:$E$284,"CN",ConsevationBuildoutTracker!$G$2:$G$284,Z$2)</f>
        <v>-7</v>
      </c>
      <c r="AA23" s="39">
        <f>SUMIFS(ConsevationBuildoutTracker!$R$2:$R$284,ConsevationBuildoutTracker!$C$2:$C$284,"CE",ConsevationBuildoutTracker!$E$2:$E$284,"CN",ConsevationBuildoutTracker!$G$2:$G$284,AA$2)</f>
        <v>0</v>
      </c>
      <c r="AB23" s="39">
        <f>SUMIFS(ConsevationBuildoutTracker!$R$2:$R$284,ConsevationBuildoutTracker!$C$2:$C$284,"CE",ConsevationBuildoutTracker!$E$2:$E$284,"CN",ConsevationBuildoutTracker!$G$2:$G$284,AB$2)</f>
        <v>0</v>
      </c>
      <c r="AC23" s="39">
        <f>SUMIFS(ConsevationBuildoutTracker!$R$2:$R$284,ConsevationBuildoutTracker!$C$2:$C$284,"CE",ConsevationBuildoutTracker!$E$2:$E$284,"CN",ConsevationBuildoutTracker!$G$2:$G$284,AC$2)</f>
        <v>0</v>
      </c>
      <c r="AD23" s="39">
        <f>SUMIFS(ConsevationBuildoutTracker!$R$2:$R$284,ConsevationBuildoutTracker!$C$2:$C$284,"CE",ConsevationBuildoutTracker!$E$2:$E$284,"CN",ConsevationBuildoutTracker!$G$2:$G$284,AD$2)</f>
        <v>0</v>
      </c>
      <c r="AE23" s="39">
        <f>SUMIFS(ConsevationBuildoutTracker!$R$2:$R$284,ConsevationBuildoutTracker!$C$2:$C$284,"CE",ConsevationBuildoutTracker!$E$2:$E$284,"CN",ConsevationBuildoutTracker!$G$2:$G$284,AE$2)</f>
        <v>0</v>
      </c>
      <c r="AF23" s="39">
        <f>SUMIFS(ConsevationBuildoutTracker!$R$2:$R$284,ConsevationBuildoutTracker!$C$2:$C$284,"CE",ConsevationBuildoutTracker!$E$2:$E$284,"CN",ConsevationBuildoutTracker!$G$2:$G$284,AF$2)</f>
        <v>0</v>
      </c>
      <c r="AG23" s="39">
        <f>SUMIFS(ConsevationBuildoutTracker!$R$2:$R$284,ConsevationBuildoutTracker!$C$2:$C$284,"CE",ConsevationBuildoutTracker!$E$2:$E$284,"CN",ConsevationBuildoutTracker!$G$2:$G$284,AG$2)</f>
        <v>0</v>
      </c>
      <c r="AH23" s="39">
        <f>SUMIFS(ConsevationBuildoutTracker!$R$2:$R$284,ConsevationBuildoutTracker!$C$2:$C$284,"CE",ConsevationBuildoutTracker!$E$2:$E$284,"CN",ConsevationBuildoutTracker!$G$2:$G$284,AH$2)</f>
        <v>0</v>
      </c>
      <c r="AI23" s="39">
        <f>SUMIFS(ConsevationBuildoutTracker!$R$2:$R$284,ConsevationBuildoutTracker!$C$2:$C$284,"CE",ConsevationBuildoutTracker!$E$2:$E$284,"CN",ConsevationBuildoutTracker!$G$2:$G$284,AI$2)</f>
        <v>0</v>
      </c>
      <c r="AJ23" s="39">
        <f>SUMIFS(ConsevationBuildoutTracker!$R$2:$R$284,ConsevationBuildoutTracker!$C$2:$C$284,"CE",ConsevationBuildoutTracker!$E$2:$E$284,"CN",ConsevationBuildoutTracker!$G$2:$G$284,AJ$2)</f>
        <v>0</v>
      </c>
      <c r="AK23" s="39">
        <f>SUMIFS(ConsevationBuildoutTracker!$R$2:$R$284,ConsevationBuildoutTracker!$C$2:$C$284,"CE",ConsevationBuildoutTracker!$E$2:$E$284,"CN",ConsevationBuildoutTracker!$G$2:$G$284,AK$2)</f>
        <v>0</v>
      </c>
    </row>
    <row r="24" spans="2:37" x14ac:dyDescent="0.25">
      <c r="E24" t="s">
        <v>26</v>
      </c>
      <c r="H24" t="s">
        <v>23</v>
      </c>
      <c r="I24" s="39"/>
      <c r="J24" s="39"/>
      <c r="K24" s="39"/>
      <c r="L24" s="39"/>
      <c r="M24" s="39">
        <f>SUMIFS(ConsevationBuildoutTracker!$R$2:$R$284,ConsevationBuildoutTracker!$C$2:$C$284,"CE",ConsevationBuildoutTracker!$E$2:$E$284,"R",ConsevationBuildoutTracker!$G$2:$G$284,M$2)</f>
        <v>-31</v>
      </c>
      <c r="N24" s="39">
        <f>SUMIFS(ConsevationBuildoutTracker!$R$2:$R$284,ConsevationBuildoutTracker!$C$2:$C$284,"CE",ConsevationBuildoutTracker!$E$2:$E$284,"R",ConsevationBuildoutTracker!$G$2:$G$284,N$2)</f>
        <v>-89</v>
      </c>
      <c r="O24" s="39">
        <f>SUMIFS(ConsevationBuildoutTracker!$R$2:$R$284,ConsevationBuildoutTracker!$C$2:$C$284,"CE",ConsevationBuildoutTracker!$E$2:$E$284,"R",ConsevationBuildoutTracker!$G$2:$G$284,O$2)</f>
        <v>-5</v>
      </c>
      <c r="P24" s="39">
        <f>SUMIFS(ConsevationBuildoutTracker!$R$2:$R$284,ConsevationBuildoutTracker!$C$2:$C$284,"CE",ConsevationBuildoutTracker!$E$2:$E$284,"R",ConsevationBuildoutTracker!$G$2:$G$284,P$2)</f>
        <v>-2</v>
      </c>
      <c r="Q24" s="39">
        <f>SUMIFS(ConsevationBuildoutTracker!$R$2:$R$284,ConsevationBuildoutTracker!$C$2:$C$284,"CE",ConsevationBuildoutTracker!$E$2:$E$284,"R",ConsevationBuildoutTracker!$G$2:$G$284,Q$2)</f>
        <v>-1</v>
      </c>
      <c r="R24" s="39">
        <f>SUMIFS(ConsevationBuildoutTracker!$R$2:$R$284,ConsevationBuildoutTracker!$C$2:$C$284,"CE",ConsevationBuildoutTracker!$E$2:$E$284,"R",ConsevationBuildoutTracker!$G$2:$G$284,R$2)</f>
        <v>-1</v>
      </c>
      <c r="S24" s="39">
        <f>SUMIFS(ConsevationBuildoutTracker!$R$2:$R$284,ConsevationBuildoutTracker!$C$2:$C$284,"CE",ConsevationBuildoutTracker!$E$2:$E$284,"R",ConsevationBuildoutTracker!$G$2:$G$284,S$2)</f>
        <v>-28</v>
      </c>
      <c r="T24" s="39">
        <f>SUMIFS(ConsevationBuildoutTracker!$R$2:$R$284,ConsevationBuildoutTracker!$C$2:$C$284,"CE",ConsevationBuildoutTracker!$E$2:$E$284,"R",ConsevationBuildoutTracker!$G$2:$G$284,T$2)</f>
        <v>-10</v>
      </c>
      <c r="U24" s="39">
        <f>SUMIFS(ConsevationBuildoutTracker!$R$2:$R$284,ConsevationBuildoutTracker!$C$2:$C$284,"CE",ConsevationBuildoutTracker!$E$2:$E$284,"R",ConsevationBuildoutTracker!$G$2:$G$284,U$2)</f>
        <v>-14</v>
      </c>
      <c r="V24" s="39">
        <f>SUMIFS(ConsevationBuildoutTracker!$R$2:$R$284,ConsevationBuildoutTracker!$C$2:$C$284,"CE",ConsevationBuildoutTracker!$E$2:$E$284,"R",ConsevationBuildoutTracker!$G$2:$G$284,V$2)</f>
        <v>-91</v>
      </c>
      <c r="W24" s="39">
        <f>SUMIFS(ConsevationBuildoutTracker!$R$2:$R$284,ConsevationBuildoutTracker!$C$2:$C$284,"CE",ConsevationBuildoutTracker!$E$2:$E$284,"R",ConsevationBuildoutTracker!$G$2:$G$284,W$2)</f>
        <v>-1</v>
      </c>
      <c r="X24" s="39">
        <f>SUMIFS(ConsevationBuildoutTracker!$R$2:$R$284,ConsevationBuildoutTracker!$C$2:$C$284,"CE",ConsevationBuildoutTracker!$E$2:$E$284,"R",ConsevationBuildoutTracker!$G$2:$G$284,X$2)</f>
        <v>-3</v>
      </c>
      <c r="Y24" s="39">
        <f>SUMIFS(ConsevationBuildoutTracker!$R$2:$R$284,ConsevationBuildoutTracker!$C$2:$C$284,"CE",ConsevationBuildoutTracker!$E$2:$E$284,"R",ConsevationBuildoutTracker!$G$2:$G$284,Y$2)</f>
        <v>-6</v>
      </c>
      <c r="Z24" s="39">
        <f>SUMIFS(ConsevationBuildoutTracker!$R$2:$R$284,ConsevationBuildoutTracker!$C$2:$C$284,"CE",ConsevationBuildoutTracker!$E$2:$E$284,"R",ConsevationBuildoutTracker!$G$2:$G$284,Z$2)</f>
        <v>0</v>
      </c>
      <c r="AA24" s="39">
        <f>SUMIFS(ConsevationBuildoutTracker!$R$2:$R$284,ConsevationBuildoutTracker!$C$2:$C$284,"CE",ConsevationBuildoutTracker!$E$2:$E$284,"R",ConsevationBuildoutTracker!$G$2:$G$284,AA$2)</f>
        <v>0</v>
      </c>
      <c r="AB24" s="39">
        <f>SUMIFS(ConsevationBuildoutTracker!$R$2:$R$284,ConsevationBuildoutTracker!$C$2:$C$284,"CE",ConsevationBuildoutTracker!$E$2:$E$284,"R",ConsevationBuildoutTracker!$G$2:$G$284,AB$2)</f>
        <v>-5</v>
      </c>
      <c r="AC24" s="39">
        <f>SUMIFS(ConsevationBuildoutTracker!$R$2:$R$284,ConsevationBuildoutTracker!$C$2:$C$284,"CE",ConsevationBuildoutTracker!$E$2:$E$284,"R",ConsevationBuildoutTracker!$G$2:$G$284,AC$2)</f>
        <v>0</v>
      </c>
      <c r="AD24" s="39">
        <f>SUMIFS(ConsevationBuildoutTracker!$R$2:$R$284,ConsevationBuildoutTracker!$C$2:$C$284,"CE",ConsevationBuildoutTracker!$E$2:$E$284,"R",ConsevationBuildoutTracker!$G$2:$G$284,AD$2)</f>
        <v>0</v>
      </c>
      <c r="AE24" s="39">
        <f>SUMIFS(ConsevationBuildoutTracker!$R$2:$R$284,ConsevationBuildoutTracker!$C$2:$C$284,"CE",ConsevationBuildoutTracker!$E$2:$E$284,"R",ConsevationBuildoutTracker!$G$2:$G$284,AE$2)</f>
        <v>0</v>
      </c>
      <c r="AF24" s="39">
        <f>SUMIFS(ConsevationBuildoutTracker!$R$2:$R$284,ConsevationBuildoutTracker!$C$2:$C$284,"CE",ConsevationBuildoutTracker!$E$2:$E$284,"R",ConsevationBuildoutTracker!$G$2:$G$284,AF$2)</f>
        <v>0</v>
      </c>
      <c r="AG24" s="39">
        <f>SUMIFS(ConsevationBuildoutTracker!$R$2:$R$284,ConsevationBuildoutTracker!$C$2:$C$284,"CE",ConsevationBuildoutTracker!$E$2:$E$284,"R",ConsevationBuildoutTracker!$G$2:$G$284,AG$2)</f>
        <v>0</v>
      </c>
      <c r="AH24" s="39">
        <f>SUMIFS(ConsevationBuildoutTracker!$R$2:$R$284,ConsevationBuildoutTracker!$C$2:$C$284,"CE",ConsevationBuildoutTracker!$E$2:$E$284,"R",ConsevationBuildoutTracker!$G$2:$G$284,AH$2)</f>
        <v>0</v>
      </c>
      <c r="AI24" s="39">
        <f>SUMIFS(ConsevationBuildoutTracker!$R$2:$R$284,ConsevationBuildoutTracker!$C$2:$C$284,"CE",ConsevationBuildoutTracker!$E$2:$E$284,"R",ConsevationBuildoutTracker!$G$2:$G$284,AI$2)</f>
        <v>0</v>
      </c>
      <c r="AJ24" s="39">
        <f>SUMIFS(ConsevationBuildoutTracker!$R$2:$R$284,ConsevationBuildoutTracker!$C$2:$C$284,"CE",ConsevationBuildoutTracker!$E$2:$E$284,"R",ConsevationBuildoutTracker!$G$2:$G$284,AJ$2)</f>
        <v>0</v>
      </c>
      <c r="AK24" s="39">
        <f>SUMIFS(ConsevationBuildoutTracker!$R$2:$R$284,ConsevationBuildoutTracker!$C$2:$C$284,"CE",ConsevationBuildoutTracker!$E$2:$E$284,"R",ConsevationBuildoutTracker!$G$2:$G$284,AK$2)</f>
        <v>0</v>
      </c>
    </row>
    <row r="25" spans="2:37" s="10" customFormat="1" x14ac:dyDescent="0.25">
      <c r="B25" s="11"/>
      <c r="D25" s="10" t="s">
        <v>27</v>
      </c>
      <c r="H25" s="10" t="s">
        <v>23</v>
      </c>
      <c r="I25" s="41"/>
      <c r="J25" s="41"/>
      <c r="K25" s="41"/>
      <c r="L25" s="41"/>
      <c r="M25" s="41"/>
      <c r="N25" s="41"/>
      <c r="O25" s="41"/>
      <c r="P25" s="41"/>
      <c r="Q25" s="41"/>
      <c r="R25" s="41"/>
      <c r="S25" s="41">
        <f t="shared" ref="S25:AK25" si="3">SUM(S26:S27)</f>
        <v>-3</v>
      </c>
      <c r="T25" s="41">
        <f t="shared" si="3"/>
        <v>-2</v>
      </c>
      <c r="U25" s="41">
        <f t="shared" si="3"/>
        <v>0</v>
      </c>
      <c r="V25" s="41">
        <f t="shared" si="3"/>
        <v>-3</v>
      </c>
      <c r="W25" s="41">
        <f t="shared" si="3"/>
        <v>-42.2</v>
      </c>
      <c r="X25" s="41">
        <f t="shared" si="3"/>
        <v>0</v>
      </c>
      <c r="Y25" s="41">
        <f t="shared" si="3"/>
        <v>0</v>
      </c>
      <c r="Z25" s="41">
        <f t="shared" si="3"/>
        <v>0</v>
      </c>
      <c r="AA25" s="41">
        <f t="shared" si="3"/>
        <v>-2</v>
      </c>
      <c r="AB25" s="41">
        <f t="shared" si="3"/>
        <v>0</v>
      </c>
      <c r="AC25" s="41">
        <f t="shared" si="3"/>
        <v>-1</v>
      </c>
      <c r="AD25" s="41">
        <f t="shared" si="3"/>
        <v>0</v>
      </c>
      <c r="AE25" s="41">
        <f t="shared" si="3"/>
        <v>0</v>
      </c>
      <c r="AF25" s="41">
        <f t="shared" si="3"/>
        <v>0</v>
      </c>
      <c r="AG25" s="41">
        <f t="shared" si="3"/>
        <v>0</v>
      </c>
      <c r="AH25" s="41">
        <f t="shared" si="3"/>
        <v>0</v>
      </c>
      <c r="AI25" s="41">
        <f t="shared" si="3"/>
        <v>0</v>
      </c>
      <c r="AJ25" s="41">
        <f t="shared" si="3"/>
        <v>0</v>
      </c>
      <c r="AK25" s="41">
        <f t="shared" si="3"/>
        <v>0</v>
      </c>
    </row>
    <row r="26" spans="2:37" x14ac:dyDescent="0.25">
      <c r="E26" t="s">
        <v>25</v>
      </c>
      <c r="H26" t="s">
        <v>23</v>
      </c>
      <c r="I26" s="39"/>
      <c r="J26" s="39"/>
      <c r="K26" s="39"/>
      <c r="L26" s="39"/>
      <c r="M26" s="39"/>
      <c r="N26" s="39"/>
      <c r="O26" s="39"/>
      <c r="P26" s="39"/>
      <c r="Q26" s="39"/>
      <c r="R26" s="39"/>
      <c r="S26" s="39">
        <v>0</v>
      </c>
      <c r="T26" s="39">
        <v>0</v>
      </c>
      <c r="U26" s="39">
        <v>0</v>
      </c>
      <c r="V26" s="39">
        <v>0</v>
      </c>
      <c r="W26" s="39">
        <f>SUMIFS(ConsevationBuildoutTracker!$R$2:$R$284,ConsevationBuildoutTracker!$C$2:$C$284,"PPT",ConsevationBuildoutTracker!$E$2:$E$284,"CN",ConsevationBuildoutTracker!$G$2:$G$284,W$2)</f>
        <v>0</v>
      </c>
      <c r="X26" s="39">
        <f>SUMIFS(ConsevationBuildoutTracker!$R$2:$R$284,ConsevationBuildoutTracker!$C$2:$C$284,"PPT",ConsevationBuildoutTracker!$E$2:$E$284,"CN",ConsevationBuildoutTracker!$G$2:$G$284,X$2)</f>
        <v>0</v>
      </c>
      <c r="Y26" s="39">
        <f>SUMIFS(ConsevationBuildoutTracker!$R$2:$R$284,ConsevationBuildoutTracker!$C$2:$C$284,"PPT",ConsevationBuildoutTracker!$E$2:$E$284,"CN",ConsevationBuildoutTracker!$G$2:$G$284,Y$2)</f>
        <v>0</v>
      </c>
      <c r="Z26" s="39">
        <f>SUMIFS(ConsevationBuildoutTracker!$R$2:$R$284,ConsevationBuildoutTracker!$C$2:$C$284,"PPT",ConsevationBuildoutTracker!$E$2:$E$284,"CN",ConsevationBuildoutTracker!$G$2:$G$284,Z$2)</f>
        <v>0</v>
      </c>
      <c r="AA26" s="39">
        <f>SUMIFS(ConsevationBuildoutTracker!$R$2:$R$284,ConsevationBuildoutTracker!$C$2:$C$284,"PPT",ConsevationBuildoutTracker!$E$2:$E$284,"CN",ConsevationBuildoutTracker!$G$2:$G$284,AA$2)</f>
        <v>0</v>
      </c>
      <c r="AB26" s="39">
        <f>SUMIFS(ConsevationBuildoutTracker!$R$2:$R$284,ConsevationBuildoutTracker!$C$2:$C$284,"PPT",ConsevationBuildoutTracker!$E$2:$E$284,"CN",ConsevationBuildoutTracker!$G$2:$G$284,AB$2)</f>
        <v>0</v>
      </c>
      <c r="AC26" s="39">
        <f>SUMIFS(ConsevationBuildoutTracker!$R$2:$R$284,ConsevationBuildoutTracker!$C$2:$C$284,"PPT",ConsevationBuildoutTracker!$E$2:$E$284,"CN",ConsevationBuildoutTracker!$G$2:$G$284,AC$2)</f>
        <v>0</v>
      </c>
      <c r="AD26" s="39">
        <f>SUMIFS(ConsevationBuildoutTracker!$R$2:$R$284,ConsevationBuildoutTracker!$C$2:$C$284,"PPT",ConsevationBuildoutTracker!$E$2:$E$284,"CN",ConsevationBuildoutTracker!$G$2:$G$284,AD$2)</f>
        <v>0</v>
      </c>
      <c r="AE26" s="39">
        <f>SUMIFS(ConsevationBuildoutTracker!$R$2:$R$284,ConsevationBuildoutTracker!$C$2:$C$284,"PPT",ConsevationBuildoutTracker!$E$2:$E$284,"CN",ConsevationBuildoutTracker!$G$2:$G$284,AE$2)</f>
        <v>0</v>
      </c>
      <c r="AF26" s="39">
        <f>SUMIFS(ConsevationBuildoutTracker!$R$2:$R$284,ConsevationBuildoutTracker!$C$2:$C$284,"PPT",ConsevationBuildoutTracker!$E$2:$E$284,"CN",ConsevationBuildoutTracker!$G$2:$G$284,AF$2)</f>
        <v>0</v>
      </c>
      <c r="AG26" s="39">
        <f>SUMIFS(ConsevationBuildoutTracker!$R$2:$R$284,ConsevationBuildoutTracker!$C$2:$C$284,"PPT",ConsevationBuildoutTracker!$E$2:$E$284,"CN",ConsevationBuildoutTracker!$G$2:$G$284,AG$2)</f>
        <v>0</v>
      </c>
      <c r="AH26" s="39">
        <f>SUMIFS(ConsevationBuildoutTracker!$R$2:$R$284,ConsevationBuildoutTracker!$C$2:$C$284,"PPT",ConsevationBuildoutTracker!$E$2:$E$284,"CN",ConsevationBuildoutTracker!$G$2:$G$284,AH$2)</f>
        <v>0</v>
      </c>
      <c r="AI26" s="39">
        <f>SUMIFS(ConsevationBuildoutTracker!$R$2:$R$284,ConsevationBuildoutTracker!$C$2:$C$284,"PPT",ConsevationBuildoutTracker!$E$2:$E$284,"CN",ConsevationBuildoutTracker!$G$2:$G$284,AI$2)</f>
        <v>0</v>
      </c>
      <c r="AJ26" s="39">
        <f>SUMIFS(ConsevationBuildoutTracker!$R$2:$R$284,ConsevationBuildoutTracker!$C$2:$C$284,"PPT",ConsevationBuildoutTracker!$E$2:$E$284,"CN",ConsevationBuildoutTracker!$G$2:$G$284,AJ$2)</f>
        <v>0</v>
      </c>
      <c r="AK26" s="39">
        <f>SUMIFS(ConsevationBuildoutTracker!$R$2:$R$284,ConsevationBuildoutTracker!$C$2:$C$284,"PPT",ConsevationBuildoutTracker!$E$2:$E$284,"CN",ConsevationBuildoutTracker!$G$2:$G$284,AK$2)</f>
        <v>0</v>
      </c>
    </row>
    <row r="27" spans="2:37" ht="12.95" customHeight="1" x14ac:dyDescent="0.25">
      <c r="E27" t="s">
        <v>26</v>
      </c>
      <c r="H27" t="s">
        <v>23</v>
      </c>
      <c r="I27" s="39"/>
      <c r="J27" s="39"/>
      <c r="K27" s="39"/>
      <c r="L27" s="39"/>
      <c r="M27" s="39"/>
      <c r="N27" s="39"/>
      <c r="O27" s="39"/>
      <c r="P27" s="39"/>
      <c r="Q27" s="39"/>
      <c r="R27" s="39"/>
      <c r="S27" s="39">
        <v>-3</v>
      </c>
      <c r="T27" s="39">
        <v>-2</v>
      </c>
      <c r="U27" s="39">
        <v>0</v>
      </c>
      <c r="V27" s="39">
        <v>-3</v>
      </c>
      <c r="W27" s="39">
        <f>SUMIFS(ConsevationBuildoutTracker!$R$2:$R$284,ConsevationBuildoutTracker!$C$2:$C$284,"PPT",ConsevationBuildoutTracker!$E$2:$E$284,"R",ConsevationBuildoutTracker!$G$2:$G$284,W$2)</f>
        <v>-42.2</v>
      </c>
      <c r="X27" s="39">
        <f>SUMIFS(ConsevationBuildoutTracker!$R$2:$R$284,ConsevationBuildoutTracker!$C$2:$C$284,"PPT",ConsevationBuildoutTracker!$E$2:$E$284,"R",ConsevationBuildoutTracker!$G$2:$G$284,X$2)</f>
        <v>0</v>
      </c>
      <c r="Y27" s="39">
        <f>SUMIFS(ConsevationBuildoutTracker!$R$2:$R$284,ConsevationBuildoutTracker!$C$2:$C$284,"PPT",ConsevationBuildoutTracker!$E$2:$E$284,"R",ConsevationBuildoutTracker!$G$2:$G$284,Y$2)</f>
        <v>0</v>
      </c>
      <c r="Z27" s="39">
        <f>SUMIFS(ConsevationBuildoutTracker!$R$2:$R$284,ConsevationBuildoutTracker!$C$2:$C$284,"PPT",ConsevationBuildoutTracker!$E$2:$E$284,"R",ConsevationBuildoutTracker!$G$2:$G$284,Z$2)</f>
        <v>0</v>
      </c>
      <c r="AA27" s="39">
        <f>SUMIFS(ConsevationBuildoutTracker!$R$2:$R$284,ConsevationBuildoutTracker!$C$2:$C$284,"PPT",ConsevationBuildoutTracker!$E$2:$E$284,"R",ConsevationBuildoutTracker!$G$2:$G$284,AA$2)</f>
        <v>-2</v>
      </c>
      <c r="AB27" s="39">
        <f>SUMIFS(ConsevationBuildoutTracker!$R$2:$R$284,ConsevationBuildoutTracker!$C$2:$C$284,"PPT",ConsevationBuildoutTracker!$E$2:$E$284,"R",ConsevationBuildoutTracker!$G$2:$G$284,AB$2)</f>
        <v>0</v>
      </c>
      <c r="AC27" s="39">
        <f>SUMIFS(ConsevationBuildoutTracker!$R$2:$R$284,ConsevationBuildoutTracker!$C$2:$C$284,"PPT",ConsevationBuildoutTracker!$E$2:$E$284,"R",ConsevationBuildoutTracker!$G$2:$G$284,AC$2)</f>
        <v>-1</v>
      </c>
      <c r="AD27" s="39">
        <f>SUMIFS(ConsevationBuildoutTracker!$R$2:$R$284,ConsevationBuildoutTracker!$C$2:$C$284,"PPT",ConsevationBuildoutTracker!$E$2:$E$284,"R",ConsevationBuildoutTracker!$G$2:$G$284,AD$2)</f>
        <v>0</v>
      </c>
      <c r="AE27" s="39">
        <f>SUMIFS(ConsevationBuildoutTracker!$R$2:$R$284,ConsevationBuildoutTracker!$C$2:$C$284,"PPT",ConsevationBuildoutTracker!$E$2:$E$284,"R",ConsevationBuildoutTracker!$G$2:$G$284,AE$2)</f>
        <v>0</v>
      </c>
      <c r="AF27" s="39">
        <f>SUMIFS(ConsevationBuildoutTracker!$R$2:$R$284,ConsevationBuildoutTracker!$C$2:$C$284,"PPT",ConsevationBuildoutTracker!$E$2:$E$284,"R",ConsevationBuildoutTracker!$G$2:$G$284,AF$2)</f>
        <v>0</v>
      </c>
      <c r="AG27" s="39">
        <f>SUMIFS(ConsevationBuildoutTracker!$R$2:$R$284,ConsevationBuildoutTracker!$C$2:$C$284,"PPT",ConsevationBuildoutTracker!$E$2:$E$284,"R",ConsevationBuildoutTracker!$G$2:$G$284,AG$2)</f>
        <v>0</v>
      </c>
      <c r="AH27" s="39">
        <f>SUMIFS(ConsevationBuildoutTracker!$R$2:$R$284,ConsevationBuildoutTracker!$C$2:$C$284,"PPT",ConsevationBuildoutTracker!$E$2:$E$284,"R",ConsevationBuildoutTracker!$G$2:$G$284,AH$2)</f>
        <v>0</v>
      </c>
      <c r="AI27" s="39">
        <f>SUMIFS(ConsevationBuildoutTracker!$R$2:$R$284,ConsevationBuildoutTracker!$C$2:$C$284,"PPT",ConsevationBuildoutTracker!$E$2:$E$284,"R",ConsevationBuildoutTracker!$G$2:$G$284,AI$2)</f>
        <v>0</v>
      </c>
      <c r="AJ27" s="39">
        <f>SUMIFS(ConsevationBuildoutTracker!$R$2:$R$284,ConsevationBuildoutTracker!$C$2:$C$284,"PPT",ConsevationBuildoutTracker!$E$2:$E$284,"R",ConsevationBuildoutTracker!$G$2:$G$284,AJ$2)</f>
        <v>0</v>
      </c>
      <c r="AK27" s="39">
        <f>SUMIFS(ConsevationBuildoutTracker!$R$2:$R$284,ConsevationBuildoutTracker!$C$2:$C$284,"PPT",ConsevationBuildoutTracker!$E$2:$E$284,"R",ConsevationBuildoutTracker!$G$2:$G$284,AK$2)</f>
        <v>0</v>
      </c>
    </row>
    <row r="28" spans="2:37" s="10" customFormat="1" x14ac:dyDescent="0.25">
      <c r="B28" s="11"/>
      <c r="D28" s="10" t="s">
        <v>2210</v>
      </c>
      <c r="H28" s="10" t="s">
        <v>23</v>
      </c>
      <c r="I28" s="41"/>
      <c r="J28" s="41"/>
      <c r="K28" s="41"/>
      <c r="L28" s="41"/>
      <c r="M28" s="41"/>
      <c r="N28" s="41"/>
      <c r="O28" s="41"/>
      <c r="P28" s="41"/>
      <c r="Q28" s="41"/>
      <c r="R28" s="41"/>
      <c r="S28" s="41"/>
      <c r="T28" s="41"/>
      <c r="U28" s="41"/>
      <c r="V28" s="41"/>
      <c r="W28" s="41">
        <f t="shared" ref="W28:AK28" si="4">SUM(W29:W30)</f>
        <v>0</v>
      </c>
      <c r="X28" s="41">
        <f t="shared" si="4"/>
        <v>2</v>
      </c>
      <c r="Y28" s="41">
        <f t="shared" si="4"/>
        <v>0</v>
      </c>
      <c r="Z28" s="41">
        <f t="shared" si="4"/>
        <v>12</v>
      </c>
      <c r="AA28" s="41">
        <f t="shared" si="4"/>
        <v>28</v>
      </c>
      <c r="AB28" s="41">
        <f t="shared" si="4"/>
        <v>76</v>
      </c>
      <c r="AC28" s="41">
        <f t="shared" si="4"/>
        <v>30</v>
      </c>
      <c r="AD28" s="41">
        <f t="shared" si="4"/>
        <v>109</v>
      </c>
      <c r="AE28" s="41">
        <f t="shared" si="4"/>
        <v>0</v>
      </c>
      <c r="AF28" s="41">
        <f t="shared" si="4"/>
        <v>0</v>
      </c>
      <c r="AG28" s="41">
        <f t="shared" si="4"/>
        <v>0</v>
      </c>
      <c r="AH28" s="41">
        <f t="shared" si="4"/>
        <v>0</v>
      </c>
      <c r="AI28" s="41">
        <f t="shared" si="4"/>
        <v>0</v>
      </c>
      <c r="AJ28" s="41">
        <f t="shared" si="4"/>
        <v>0</v>
      </c>
      <c r="AK28" s="41">
        <f t="shared" si="4"/>
        <v>0</v>
      </c>
    </row>
    <row r="29" spans="2:37" x14ac:dyDescent="0.25">
      <c r="E29" t="s">
        <v>25</v>
      </c>
      <c r="H29" t="s">
        <v>23</v>
      </c>
      <c r="I29" s="39"/>
      <c r="J29" s="39"/>
      <c r="K29" s="39"/>
      <c r="L29" s="39"/>
      <c r="M29" s="39"/>
      <c r="N29" s="39"/>
      <c r="O29" s="39"/>
      <c r="P29" s="39"/>
      <c r="Q29" s="39"/>
      <c r="R29" s="39"/>
      <c r="S29" s="39"/>
      <c r="T29" s="39"/>
      <c r="U29" s="39"/>
      <c r="V29" s="39"/>
      <c r="W29" s="39">
        <f>SUMIFS(ConsevationBuildoutTracker!$R$2:$R$284,ConsevationBuildoutTracker!$C$2:$C$284,"Pool",ConsevationBuildoutTracker!$E$2:$E$284,"CN",ConsevationBuildoutTracker!$G$2:$G$284,W$2)</f>
        <v>0</v>
      </c>
      <c r="X29" s="39">
        <f>SUMIFS(ConsevationBuildoutTracker!$R$2:$R$284,ConsevationBuildoutTracker!$C$2:$C$284,"Pool",ConsevationBuildoutTracker!$E$2:$E$284,"CN",ConsevationBuildoutTracker!$G$2:$G$284,X$2)</f>
        <v>2</v>
      </c>
      <c r="Y29" s="39">
        <f>SUMIFS(ConsevationBuildoutTracker!$R$2:$R$284,ConsevationBuildoutTracker!$C$2:$C$284,"Pool",ConsevationBuildoutTracker!$E$2:$E$284,"CN",ConsevationBuildoutTracker!$G$2:$G$284,Y$2)</f>
        <v>0</v>
      </c>
      <c r="Z29" s="39">
        <f>SUMIFS(ConsevationBuildoutTracker!$R$2:$R$284,ConsevationBuildoutTracker!$C$2:$C$284,"Pool",ConsevationBuildoutTracker!$E$2:$E$284,"CN",ConsevationBuildoutTracker!$G$2:$G$284,Z$2)</f>
        <v>12</v>
      </c>
      <c r="AA29" s="39">
        <f>SUMIFS(ConsevationBuildoutTracker!$R$2:$R$284,ConsevationBuildoutTracker!$C$2:$C$284,"Pool",ConsevationBuildoutTracker!$E$2:$E$284,"CN",ConsevationBuildoutTracker!$G$2:$G$284,AA$2)</f>
        <v>28</v>
      </c>
      <c r="AB29" s="39">
        <f>SUMIFS(ConsevationBuildoutTracker!$R$2:$R$284,ConsevationBuildoutTracker!$C$2:$C$284,"Pool",ConsevationBuildoutTracker!$E$2:$E$284,"CN",ConsevationBuildoutTracker!$G$2:$G$284,AB$2)</f>
        <v>76</v>
      </c>
      <c r="AC29" s="39">
        <f>SUMIFS(ConsevationBuildoutTracker!$R$2:$R$284,ConsevationBuildoutTracker!$C$2:$C$284,"Pool",ConsevationBuildoutTracker!$E$2:$E$284,"CN",ConsevationBuildoutTracker!$G$2:$G$284,AC$2)</f>
        <v>30</v>
      </c>
      <c r="AD29" s="39">
        <f>SUMIFS(ConsevationBuildoutTracker!$R$2:$R$284,ConsevationBuildoutTracker!$C$2:$C$284,"Pool",ConsevationBuildoutTracker!$E$2:$E$284,"CN",ConsevationBuildoutTracker!$G$2:$G$284,AD$2)</f>
        <v>109</v>
      </c>
      <c r="AE29" s="39">
        <f>SUMIFS(ConsevationBuildoutTracker!$R$2:$R$284,ConsevationBuildoutTracker!$C$2:$C$284,"Pool",ConsevationBuildoutTracker!$E$2:$E$284,"CN",ConsevationBuildoutTracker!$G$2:$G$284,AE$2)</f>
        <v>0</v>
      </c>
      <c r="AF29" s="39">
        <f>SUMIFS(ConsevationBuildoutTracker!$R$2:$R$284,ConsevationBuildoutTracker!$C$2:$C$284,"Pool",ConsevationBuildoutTracker!$E$2:$E$284,"CN",ConsevationBuildoutTracker!$G$2:$G$284,AF$2)</f>
        <v>0</v>
      </c>
      <c r="AG29" s="39">
        <f>SUMIFS(ConsevationBuildoutTracker!$R$2:$R$284,ConsevationBuildoutTracker!$C$2:$C$284,"Pool",ConsevationBuildoutTracker!$E$2:$E$284,"CN",ConsevationBuildoutTracker!$G$2:$G$284,AG$2)</f>
        <v>0</v>
      </c>
      <c r="AH29" s="39">
        <f>SUMIFS(ConsevationBuildoutTracker!$R$2:$R$284,ConsevationBuildoutTracker!$C$2:$C$284,"Pool",ConsevationBuildoutTracker!$E$2:$E$284,"CN",ConsevationBuildoutTracker!$G$2:$G$284,AH$2)</f>
        <v>0</v>
      </c>
      <c r="AI29" s="39">
        <f>SUMIFS(ConsevationBuildoutTracker!$R$2:$R$284,ConsevationBuildoutTracker!$C$2:$C$284,"Pool",ConsevationBuildoutTracker!$E$2:$E$284,"CN",ConsevationBuildoutTracker!$G$2:$G$284,AI$2)</f>
        <v>0</v>
      </c>
      <c r="AJ29" s="39">
        <f>SUMIFS(ConsevationBuildoutTracker!$R$2:$R$284,ConsevationBuildoutTracker!$C$2:$C$284,"Pool",ConsevationBuildoutTracker!$E$2:$E$284,"CN",ConsevationBuildoutTracker!$G$2:$G$284,AJ$2)</f>
        <v>0</v>
      </c>
      <c r="AK29" s="39">
        <f>SUMIFS(ConsevationBuildoutTracker!$R$2:$R$284,ConsevationBuildoutTracker!$C$2:$C$284,"Pool",ConsevationBuildoutTracker!$E$2:$E$284,"CN",ConsevationBuildoutTracker!$G$2:$G$284,AK$2)</f>
        <v>0</v>
      </c>
    </row>
    <row r="30" spans="2:37" x14ac:dyDescent="0.25">
      <c r="E30" t="s">
        <v>26</v>
      </c>
      <c r="H30" t="s">
        <v>23</v>
      </c>
      <c r="I30" s="39"/>
      <c r="J30" s="39"/>
      <c r="K30" s="39"/>
      <c r="L30" s="39"/>
      <c r="M30" s="39"/>
      <c r="N30" s="39"/>
      <c r="O30" s="39"/>
      <c r="P30" s="39"/>
      <c r="Q30" s="39"/>
      <c r="R30" s="39"/>
      <c r="S30" s="39"/>
      <c r="T30" s="39"/>
      <c r="U30" s="39"/>
      <c r="V30" s="39"/>
      <c r="W30" s="39">
        <f>SUMIFS(ConsevationBuildoutTracker!$R$2:$R$284,ConsevationBuildoutTracker!$C$2:$C$284,"Pool",ConsevationBuildoutTracker!$E$2:$E$284,"R",ConsevationBuildoutTracker!$G$2:$G$284,W$2)</f>
        <v>0</v>
      </c>
      <c r="X30" s="39">
        <f>SUMIFS(ConsevationBuildoutTracker!$R$2:$R$284,ConsevationBuildoutTracker!$C$2:$C$284,"Pool",ConsevationBuildoutTracker!$E$2:$E$284,"R",ConsevationBuildoutTracker!$G$2:$G$284,X$2)</f>
        <v>0</v>
      </c>
      <c r="Y30" s="39">
        <f>SUMIFS(ConsevationBuildoutTracker!$R$2:$R$284,ConsevationBuildoutTracker!$C$2:$C$284,"Pool",ConsevationBuildoutTracker!$E$2:$E$284,"R",ConsevationBuildoutTracker!$G$2:$G$284,Y$2)</f>
        <v>0</v>
      </c>
      <c r="Z30" s="39">
        <f>SUMIFS(ConsevationBuildoutTracker!$R$2:$R$284,ConsevationBuildoutTracker!$C$2:$C$284,"Pool",ConsevationBuildoutTracker!$E$2:$E$284,"R",ConsevationBuildoutTracker!$G$2:$G$284,Z$2)</f>
        <v>0</v>
      </c>
      <c r="AA30" s="39">
        <f>SUMIFS(ConsevationBuildoutTracker!$R$2:$R$284,ConsevationBuildoutTracker!$C$2:$C$284,"Pool",ConsevationBuildoutTracker!$E$2:$E$284,"R",ConsevationBuildoutTracker!$G$2:$G$284,AA$2)</f>
        <v>0</v>
      </c>
      <c r="AB30" s="39">
        <f>SUMIFS(ConsevationBuildoutTracker!$R$2:$R$284,ConsevationBuildoutTracker!$C$2:$C$284,"Pool",ConsevationBuildoutTracker!$E$2:$E$284,"R",ConsevationBuildoutTracker!$G$2:$G$284,AB$2)</f>
        <v>0</v>
      </c>
      <c r="AC30" s="39">
        <f>SUMIFS(ConsevationBuildoutTracker!$R$2:$R$284,ConsevationBuildoutTracker!$C$2:$C$284,"Pool",ConsevationBuildoutTracker!$E$2:$E$284,"R",ConsevationBuildoutTracker!$G$2:$G$284,AC$2)</f>
        <v>0</v>
      </c>
      <c r="AD30" s="39">
        <f>SUMIFS(ConsevationBuildoutTracker!$R$2:$R$284,ConsevationBuildoutTracker!$C$2:$C$284,"Pool",ConsevationBuildoutTracker!$E$2:$E$284,"R",ConsevationBuildoutTracker!$G$2:$G$284,AD$2)</f>
        <v>0</v>
      </c>
      <c r="AE30" s="39">
        <f>SUMIFS(ConsevationBuildoutTracker!$R$2:$R$284,ConsevationBuildoutTracker!$C$2:$C$284,"Pool",ConsevationBuildoutTracker!$E$2:$E$284,"R",ConsevationBuildoutTracker!$G$2:$G$284,AE$2)</f>
        <v>0</v>
      </c>
      <c r="AF30" s="39">
        <f>SUMIFS(ConsevationBuildoutTracker!$R$2:$R$284,ConsevationBuildoutTracker!$C$2:$C$284,"Pool",ConsevationBuildoutTracker!$E$2:$E$284,"R",ConsevationBuildoutTracker!$G$2:$G$284,AF$2)</f>
        <v>0</v>
      </c>
      <c r="AG30" s="39">
        <f>SUMIFS(ConsevationBuildoutTracker!$R$2:$R$284,ConsevationBuildoutTracker!$C$2:$C$284,"Pool",ConsevationBuildoutTracker!$E$2:$E$284,"R",ConsevationBuildoutTracker!$G$2:$G$284,AG$2)</f>
        <v>0</v>
      </c>
      <c r="AH30" s="39">
        <f>SUMIFS(ConsevationBuildoutTracker!$R$2:$R$284,ConsevationBuildoutTracker!$C$2:$C$284,"Pool",ConsevationBuildoutTracker!$E$2:$E$284,"R",ConsevationBuildoutTracker!$G$2:$G$284,AH$2)</f>
        <v>0</v>
      </c>
      <c r="AI30" s="39">
        <f>SUMIFS(ConsevationBuildoutTracker!$R$2:$R$284,ConsevationBuildoutTracker!$C$2:$C$284,"Pool",ConsevationBuildoutTracker!$E$2:$E$284,"R",ConsevationBuildoutTracker!$G$2:$G$284,AI$2)</f>
        <v>0</v>
      </c>
      <c r="AJ30" s="39">
        <f>SUMIFS(ConsevationBuildoutTracker!$R$2:$R$284,ConsevationBuildoutTracker!$C$2:$C$284,"Pool",ConsevationBuildoutTracker!$E$2:$E$284,"R",ConsevationBuildoutTracker!$G$2:$G$284,AJ$2)</f>
        <v>0</v>
      </c>
      <c r="AK30" s="39">
        <f>SUMIFS(ConsevationBuildoutTracker!$R$2:$R$284,ConsevationBuildoutTracker!$C$2:$C$284,"Pool",ConsevationBuildoutTracker!$E$2:$E$284,"R",ConsevationBuildoutTracker!$G$2:$G$284,AK$2)</f>
        <v>0</v>
      </c>
    </row>
    <row r="31" spans="2:37" x14ac:dyDescent="0.25">
      <c r="D31" s="10" t="s">
        <v>28</v>
      </c>
      <c r="E31" s="10"/>
      <c r="F31" s="10"/>
      <c r="G31" s="10"/>
      <c r="H31" s="10" t="s">
        <v>23</v>
      </c>
      <c r="I31" s="41"/>
      <c r="J31" s="41"/>
      <c r="K31" s="41"/>
      <c r="L31" s="41"/>
      <c r="M31" s="41"/>
      <c r="N31" s="41"/>
      <c r="O31" s="41"/>
      <c r="P31" s="41"/>
      <c r="Q31" s="41"/>
      <c r="R31" s="41"/>
      <c r="S31" s="41"/>
      <c r="T31" s="41"/>
      <c r="U31" s="41"/>
      <c r="V31" s="41"/>
      <c r="W31" s="41">
        <f t="shared" ref="W31:AK31" si="5">SUM(W32:W33)</f>
        <v>0</v>
      </c>
      <c r="X31" s="41">
        <f t="shared" si="5"/>
        <v>0</v>
      </c>
      <c r="Y31" s="41">
        <f t="shared" si="5"/>
        <v>0</v>
      </c>
      <c r="Z31" s="41">
        <f t="shared" si="5"/>
        <v>0</v>
      </c>
      <c r="AA31" s="41">
        <f t="shared" si="5"/>
        <v>0</v>
      </c>
      <c r="AB31" s="41">
        <f t="shared" si="5"/>
        <v>0</v>
      </c>
      <c r="AC31" s="41">
        <f t="shared" si="5"/>
        <v>0</v>
      </c>
      <c r="AD31" s="41">
        <f t="shared" si="5"/>
        <v>0</v>
      </c>
      <c r="AE31" s="41">
        <f t="shared" si="5"/>
        <v>0</v>
      </c>
      <c r="AF31" s="41">
        <f t="shared" si="5"/>
        <v>0</v>
      </c>
      <c r="AG31" s="41">
        <f t="shared" si="5"/>
        <v>0</v>
      </c>
      <c r="AH31" s="41">
        <f t="shared" si="5"/>
        <v>0</v>
      </c>
      <c r="AI31" s="41">
        <f t="shared" si="5"/>
        <v>0</v>
      </c>
      <c r="AJ31" s="41">
        <f t="shared" si="5"/>
        <v>0</v>
      </c>
      <c r="AK31" s="41">
        <f t="shared" si="5"/>
        <v>0</v>
      </c>
    </row>
    <row r="32" spans="2:37" x14ac:dyDescent="0.25">
      <c r="E32" t="s">
        <v>25</v>
      </c>
      <c r="H32" t="s">
        <v>23</v>
      </c>
      <c r="I32" s="39"/>
      <c r="J32" s="39"/>
      <c r="K32" s="39"/>
      <c r="L32" s="39"/>
      <c r="M32" s="39"/>
      <c r="N32" s="39"/>
      <c r="O32" s="39"/>
      <c r="P32" s="39"/>
      <c r="Q32" s="39"/>
      <c r="R32" s="39"/>
      <c r="S32" s="39"/>
      <c r="T32" s="39"/>
      <c r="U32" s="39"/>
      <c r="V32" s="39"/>
      <c r="W32" s="39">
        <f>SUMIFS(ConsevationBuildoutTracker!$R$2:$R$284,ConsevationBuildoutTracker!$C$2:$C$284,"CNPRD",ConsevationBuildoutTracker!$E$2:$E$284,"CN",ConsevationBuildoutTracker!$G$2:$G$284,W$2)</f>
        <v>0</v>
      </c>
      <c r="X32" s="39">
        <f>SUMIFS(ConsevationBuildoutTracker!$R$2:$R$284,ConsevationBuildoutTracker!$C$2:$C$284,"CNPRD",ConsevationBuildoutTracker!$E$2:$E$284,"CN",ConsevationBuildoutTracker!$G$2:$G$284,X$2)</f>
        <v>0</v>
      </c>
      <c r="Y32" s="39">
        <f>SUMIFS(ConsevationBuildoutTracker!$R$2:$R$284,ConsevationBuildoutTracker!$C$2:$C$284,"CNPRD",ConsevationBuildoutTracker!$E$2:$E$284,"CN",ConsevationBuildoutTracker!$G$2:$G$284,Y$2)</f>
        <v>0</v>
      </c>
      <c r="Z32" s="39">
        <f>SUMIFS(ConsevationBuildoutTracker!$R$2:$R$284,ConsevationBuildoutTracker!$C$2:$C$284,"CNPRD",ConsevationBuildoutTracker!$E$2:$E$284,"CN",ConsevationBuildoutTracker!$G$2:$G$284,Z$2)</f>
        <v>0</v>
      </c>
      <c r="AA32" s="39">
        <f>SUMIFS(ConsevationBuildoutTracker!$R$2:$R$284,ConsevationBuildoutTracker!$C$2:$C$284,"CNPRD",ConsevationBuildoutTracker!$E$2:$E$284,"CN",ConsevationBuildoutTracker!$G$2:$G$284,AA$2)</f>
        <v>0</v>
      </c>
      <c r="AB32" s="39">
        <f>SUMIFS(ConsevationBuildoutTracker!$R$2:$R$284,ConsevationBuildoutTracker!$C$2:$C$284,"CNPRD",ConsevationBuildoutTracker!$E$2:$E$284,"CN",ConsevationBuildoutTracker!$G$2:$G$284,AB$2)</f>
        <v>0</v>
      </c>
      <c r="AC32" s="39">
        <f>SUMIFS(ConsevationBuildoutTracker!$R$2:$R$284,ConsevationBuildoutTracker!$C$2:$C$284,"CNPRD",ConsevationBuildoutTracker!$E$2:$E$284,"CN",ConsevationBuildoutTracker!$G$2:$G$284,AC$2)</f>
        <v>0</v>
      </c>
      <c r="AD32" s="39">
        <f>SUMIFS(ConsevationBuildoutTracker!$R$2:$R$284,ConsevationBuildoutTracker!$C$2:$C$284,"CNPRD",ConsevationBuildoutTracker!$E$2:$E$284,"CN",ConsevationBuildoutTracker!$G$2:$G$284,AD$2)</f>
        <v>0</v>
      </c>
      <c r="AE32" s="39">
        <f>SUMIFS(ConsevationBuildoutTracker!$R$2:$R$284,ConsevationBuildoutTracker!$C$2:$C$284,"CNPRD",ConsevationBuildoutTracker!$E$2:$E$284,"CN",ConsevationBuildoutTracker!$G$2:$G$284,AE$2)</f>
        <v>0</v>
      </c>
      <c r="AF32" s="39">
        <f>SUMIFS(ConsevationBuildoutTracker!$R$2:$R$284,ConsevationBuildoutTracker!$C$2:$C$284,"CNPRD",ConsevationBuildoutTracker!$E$2:$E$284,"CN",ConsevationBuildoutTracker!$G$2:$G$284,AF$2)</f>
        <v>0</v>
      </c>
      <c r="AG32" s="39">
        <f>SUMIFS(ConsevationBuildoutTracker!$R$2:$R$284,ConsevationBuildoutTracker!$C$2:$C$284,"CNPRD",ConsevationBuildoutTracker!$E$2:$E$284,"CN",ConsevationBuildoutTracker!$G$2:$G$284,AG$2)</f>
        <v>0</v>
      </c>
      <c r="AH32" s="39">
        <f>SUMIFS(ConsevationBuildoutTracker!$R$2:$R$284,ConsevationBuildoutTracker!$C$2:$C$284,"CNPRD",ConsevationBuildoutTracker!$E$2:$E$284,"CN",ConsevationBuildoutTracker!$G$2:$G$284,AH$2)</f>
        <v>0</v>
      </c>
      <c r="AI32" s="39">
        <f>SUMIFS(ConsevationBuildoutTracker!$R$2:$R$284,ConsevationBuildoutTracker!$C$2:$C$284,"CNPRD",ConsevationBuildoutTracker!$E$2:$E$284,"CN",ConsevationBuildoutTracker!$G$2:$G$284,AI$2)</f>
        <v>0</v>
      </c>
      <c r="AJ32" s="39">
        <f>SUMIFS(ConsevationBuildoutTracker!$R$2:$R$284,ConsevationBuildoutTracker!$C$2:$C$284,"CNPRD",ConsevationBuildoutTracker!$E$2:$E$284,"CN",ConsevationBuildoutTracker!$G$2:$G$284,AJ$2)</f>
        <v>0</v>
      </c>
      <c r="AK32" s="39">
        <f>SUMIFS(ConsevationBuildoutTracker!$R$2:$R$284,ConsevationBuildoutTracker!$C$2:$C$284,"CNPRD",ConsevationBuildoutTracker!$E$2:$E$284,"CN",ConsevationBuildoutTracker!$G$2:$G$284,AK$2)</f>
        <v>0</v>
      </c>
    </row>
    <row r="33" spans="2:37" x14ac:dyDescent="0.25">
      <c r="E33" t="s">
        <v>26</v>
      </c>
      <c r="H33" t="s">
        <v>23</v>
      </c>
      <c r="I33" s="39"/>
      <c r="J33" s="39"/>
      <c r="K33" s="39"/>
      <c r="L33" s="39"/>
      <c r="M33" s="39"/>
      <c r="N33" s="39"/>
      <c r="O33" s="39"/>
      <c r="P33" s="39"/>
      <c r="Q33" s="39"/>
      <c r="R33" s="39"/>
      <c r="S33" s="39"/>
      <c r="T33" s="39"/>
      <c r="U33" s="39"/>
      <c r="V33" s="39"/>
      <c r="W33" s="39">
        <f>SUMIFS(ConsevationBuildoutTracker!$R$2:$R$284,ConsevationBuildoutTracker!$C$2:$C$284,"CNPRD",ConsevationBuildoutTracker!$E$2:$E$284,"R",ConsevationBuildoutTracker!$G$2:$G$284,W$2)</f>
        <v>0</v>
      </c>
      <c r="X33" s="39">
        <f>SUMIFS(ConsevationBuildoutTracker!$R$2:$R$284,ConsevationBuildoutTracker!$C$2:$C$284,"CNPRD",ConsevationBuildoutTracker!$E$2:$E$284,"R",ConsevationBuildoutTracker!$G$2:$G$284,X$2)</f>
        <v>0</v>
      </c>
      <c r="Y33" s="39">
        <f>SUMIFS(ConsevationBuildoutTracker!$R$2:$R$284,ConsevationBuildoutTracker!$C$2:$C$284,"CNPRD",ConsevationBuildoutTracker!$E$2:$E$284,"R",ConsevationBuildoutTracker!$G$2:$G$284,Y$2)</f>
        <v>0</v>
      </c>
      <c r="Z33" s="39">
        <f>SUMIFS(ConsevationBuildoutTracker!$R$2:$R$284,ConsevationBuildoutTracker!$C$2:$C$284,"CNPRD",ConsevationBuildoutTracker!$E$2:$E$284,"R",ConsevationBuildoutTracker!$G$2:$G$284,Z$2)</f>
        <v>0</v>
      </c>
      <c r="AA33" s="39">
        <f>SUMIFS(ConsevationBuildoutTracker!$R$2:$R$284,ConsevationBuildoutTracker!$C$2:$C$284,"CNPRD",ConsevationBuildoutTracker!$E$2:$E$284,"R",ConsevationBuildoutTracker!$G$2:$G$284,AA$2)</f>
        <v>0</v>
      </c>
      <c r="AB33" s="39">
        <f>SUMIFS(ConsevationBuildoutTracker!$R$2:$R$284,ConsevationBuildoutTracker!$C$2:$C$284,"CNPRD",ConsevationBuildoutTracker!$E$2:$E$284,"R",ConsevationBuildoutTracker!$G$2:$G$284,AB$2)</f>
        <v>0</v>
      </c>
      <c r="AC33" s="39">
        <f>SUMIFS(ConsevationBuildoutTracker!$R$2:$R$284,ConsevationBuildoutTracker!$C$2:$C$284,"CNPRD",ConsevationBuildoutTracker!$E$2:$E$284,"R",ConsevationBuildoutTracker!$G$2:$G$284,AC$2)</f>
        <v>0</v>
      </c>
      <c r="AD33" s="39">
        <f>SUMIFS(ConsevationBuildoutTracker!$R$2:$R$284,ConsevationBuildoutTracker!$C$2:$C$284,"CNPRD",ConsevationBuildoutTracker!$E$2:$E$284,"R",ConsevationBuildoutTracker!$G$2:$G$284,AD$2)</f>
        <v>0</v>
      </c>
      <c r="AE33" s="39">
        <f>SUMIFS(ConsevationBuildoutTracker!$R$2:$R$284,ConsevationBuildoutTracker!$C$2:$C$284,"CNPRD",ConsevationBuildoutTracker!$E$2:$E$284,"R",ConsevationBuildoutTracker!$G$2:$G$284,AE$2)</f>
        <v>0</v>
      </c>
      <c r="AF33" s="39">
        <f>SUMIFS(ConsevationBuildoutTracker!$R$2:$R$284,ConsevationBuildoutTracker!$C$2:$C$284,"CNPRD",ConsevationBuildoutTracker!$E$2:$E$284,"R",ConsevationBuildoutTracker!$G$2:$G$284,AF$2)</f>
        <v>0</v>
      </c>
      <c r="AG33" s="39">
        <f>SUMIFS(ConsevationBuildoutTracker!$R$2:$R$284,ConsevationBuildoutTracker!$C$2:$C$284,"CNPRD",ConsevationBuildoutTracker!$E$2:$E$284,"R",ConsevationBuildoutTracker!$G$2:$G$284,AG$2)</f>
        <v>0</v>
      </c>
      <c r="AH33" s="39">
        <f>SUMIFS(ConsevationBuildoutTracker!$R$2:$R$284,ConsevationBuildoutTracker!$C$2:$C$284,"CNPRD",ConsevationBuildoutTracker!$E$2:$E$284,"R",ConsevationBuildoutTracker!$G$2:$G$284,AH$2)</f>
        <v>0</v>
      </c>
      <c r="AI33" s="39">
        <f>SUMIFS(ConsevationBuildoutTracker!$R$2:$R$284,ConsevationBuildoutTracker!$C$2:$C$284,"CNPRD",ConsevationBuildoutTracker!$E$2:$E$284,"R",ConsevationBuildoutTracker!$G$2:$G$284,AI$2)</f>
        <v>0</v>
      </c>
      <c r="AJ33" s="39">
        <f>SUMIFS(ConsevationBuildoutTracker!$R$2:$R$284,ConsevationBuildoutTracker!$C$2:$C$284,"CNPRD",ConsevationBuildoutTracker!$E$2:$E$284,"R",ConsevationBuildoutTracker!$G$2:$G$284,AJ$2)</f>
        <v>0</v>
      </c>
      <c r="AK33" s="39">
        <f>SUMIFS(ConsevationBuildoutTracker!$R$2:$R$284,ConsevationBuildoutTracker!$C$2:$C$284,"CNPRD",ConsevationBuildoutTracker!$E$2:$E$284,"R",ConsevationBuildoutTracker!$G$2:$G$284,AK$2)</f>
        <v>0</v>
      </c>
    </row>
    <row r="34" spans="2:37" s="8" customFormat="1" x14ac:dyDescent="0.25">
      <c r="B34" s="9"/>
      <c r="C34" s="8" t="s">
        <v>29</v>
      </c>
      <c r="H34" s="8" t="s">
        <v>30</v>
      </c>
      <c r="I34" s="42"/>
      <c r="J34" s="42"/>
      <c r="K34" s="42"/>
      <c r="L34" s="42"/>
      <c r="M34" s="42"/>
      <c r="N34" s="42"/>
      <c r="O34" s="42"/>
      <c r="P34" s="42"/>
      <c r="Q34" s="42"/>
      <c r="R34" s="42"/>
      <c r="S34" s="42">
        <f t="shared" ref="S34:AK34" si="6">SUM(S35,S38,S41)</f>
        <v>0</v>
      </c>
      <c r="T34" s="42">
        <f t="shared" si="6"/>
        <v>0</v>
      </c>
      <c r="U34" s="42">
        <f t="shared" si="6"/>
        <v>0</v>
      </c>
      <c r="V34" s="42">
        <f t="shared" si="6"/>
        <v>-317</v>
      </c>
      <c r="W34" s="42">
        <f t="shared" si="6"/>
        <v>89.024727564102562</v>
      </c>
      <c r="X34" s="42">
        <f t="shared" si="6"/>
        <v>0</v>
      </c>
      <c r="Y34" s="42">
        <f t="shared" si="6"/>
        <v>0</v>
      </c>
      <c r="Z34" s="42">
        <f t="shared" si="6"/>
        <v>-22</v>
      </c>
      <c r="AA34" s="42">
        <f t="shared" si="6"/>
        <v>0</v>
      </c>
      <c r="AB34" s="42">
        <f t="shared" si="6"/>
        <v>0</v>
      </c>
      <c r="AC34" s="42">
        <f t="shared" si="6"/>
        <v>0</v>
      </c>
      <c r="AD34" s="42">
        <f t="shared" si="6"/>
        <v>0</v>
      </c>
      <c r="AE34" s="42">
        <f t="shared" si="6"/>
        <v>0</v>
      </c>
      <c r="AF34" s="42">
        <f t="shared" si="6"/>
        <v>0</v>
      </c>
      <c r="AG34" s="42">
        <f t="shared" si="6"/>
        <v>0</v>
      </c>
      <c r="AH34" s="42">
        <f t="shared" si="6"/>
        <v>0</v>
      </c>
      <c r="AI34" s="42">
        <f t="shared" si="6"/>
        <v>0</v>
      </c>
      <c r="AJ34" s="42">
        <f t="shared" si="6"/>
        <v>0</v>
      </c>
      <c r="AK34" s="42">
        <f t="shared" si="6"/>
        <v>0</v>
      </c>
    </row>
    <row r="35" spans="2:37" s="10" customFormat="1" x14ac:dyDescent="0.25">
      <c r="B35" s="11"/>
      <c r="D35" s="10" t="s">
        <v>24</v>
      </c>
      <c r="H35" s="10" t="s">
        <v>30</v>
      </c>
      <c r="I35" s="41"/>
      <c r="J35" s="41"/>
      <c r="K35" s="41"/>
      <c r="L35" s="41"/>
      <c r="M35" s="41"/>
      <c r="N35" s="41"/>
      <c r="O35" s="41"/>
      <c r="P35" s="41"/>
      <c r="Q35" s="41"/>
      <c r="R35" s="41"/>
      <c r="S35" s="41">
        <f t="shared" ref="S35:AK35" si="7">SUM(S36:S37)</f>
        <v>0</v>
      </c>
      <c r="T35" s="41">
        <f t="shared" si="7"/>
        <v>0</v>
      </c>
      <c r="U35" s="41">
        <f t="shared" si="7"/>
        <v>0</v>
      </c>
      <c r="V35" s="41">
        <f t="shared" si="7"/>
        <v>-317</v>
      </c>
      <c r="W35" s="41">
        <f t="shared" si="7"/>
        <v>89.024727564102562</v>
      </c>
      <c r="X35" s="41">
        <f t="shared" si="7"/>
        <v>0</v>
      </c>
      <c r="Y35" s="41">
        <f t="shared" si="7"/>
        <v>0</v>
      </c>
      <c r="Z35" s="41">
        <f t="shared" si="7"/>
        <v>0</v>
      </c>
      <c r="AA35" s="41">
        <f t="shared" si="7"/>
        <v>0</v>
      </c>
      <c r="AB35" s="41">
        <f t="shared" si="7"/>
        <v>0</v>
      </c>
      <c r="AC35" s="41">
        <f t="shared" si="7"/>
        <v>0</v>
      </c>
      <c r="AD35" s="41">
        <f t="shared" si="7"/>
        <v>0</v>
      </c>
      <c r="AE35" s="41">
        <f t="shared" si="7"/>
        <v>0</v>
      </c>
      <c r="AF35" s="41">
        <f t="shared" si="7"/>
        <v>0</v>
      </c>
      <c r="AG35" s="41">
        <f t="shared" si="7"/>
        <v>0</v>
      </c>
      <c r="AH35" s="41">
        <f t="shared" si="7"/>
        <v>0</v>
      </c>
      <c r="AI35" s="41">
        <f t="shared" si="7"/>
        <v>0</v>
      </c>
      <c r="AJ35" s="41">
        <f t="shared" si="7"/>
        <v>0</v>
      </c>
      <c r="AK35" s="41">
        <f t="shared" si="7"/>
        <v>0</v>
      </c>
    </row>
    <row r="36" spans="2:37" x14ac:dyDescent="0.25">
      <c r="E36" t="s">
        <v>25</v>
      </c>
      <c r="H36" t="s">
        <v>30</v>
      </c>
      <c r="I36" s="39"/>
      <c r="J36" s="39"/>
      <c r="K36" s="39"/>
      <c r="L36" s="39"/>
      <c r="M36" s="39"/>
      <c r="N36" s="39"/>
      <c r="O36" s="39"/>
      <c r="P36" s="39"/>
      <c r="Q36" s="39"/>
      <c r="R36" s="39"/>
      <c r="S36" s="39">
        <v>0</v>
      </c>
      <c r="T36" s="39">
        <v>0</v>
      </c>
      <c r="U36" s="39">
        <v>0</v>
      </c>
      <c r="V36" s="39">
        <v>-317</v>
      </c>
      <c r="W36" s="39">
        <f>SUMIFS(ConsevationBuildoutTracker!$S$2:$S$284,ConsevationBuildoutTracker!$C$2:$C$284,"AMD",ConsevationBuildoutTracker!$E$2:$E$284,"CN",ConsevationBuildoutTracker!$G$2:$G$284,W$2)</f>
        <v>89.024727564102562</v>
      </c>
      <c r="X36" s="39">
        <f>SUMIFS(ConsevationBuildoutTracker!$S$2:$S$284,ConsevationBuildoutTracker!$C$2:$C$284,"AMD",ConsevationBuildoutTracker!$E$2:$E$284,"CN",ConsevationBuildoutTracker!$G$2:$G$284,X$2)</f>
        <v>0</v>
      </c>
      <c r="Y36" s="39">
        <f>SUMIFS(ConsevationBuildoutTracker!$S$2:$S$284,ConsevationBuildoutTracker!$C$2:$C$284,"AMD",ConsevationBuildoutTracker!$E$2:$E$284,"CN",ConsevationBuildoutTracker!$G$2:$G$284,Y$2)</f>
        <v>0</v>
      </c>
      <c r="Z36" s="39">
        <f>SUMIFS(ConsevationBuildoutTracker!$S$2:$S$284,ConsevationBuildoutTracker!$C$2:$C$284,"AMD",ConsevationBuildoutTracker!$E$2:$E$284,"CN",ConsevationBuildoutTracker!$G$2:$G$284,Z$2)</f>
        <v>0</v>
      </c>
      <c r="AA36" s="39">
        <f>SUMIFS(ConsevationBuildoutTracker!$S$2:$S$284,ConsevationBuildoutTracker!$C$2:$C$284,"AMD",ConsevationBuildoutTracker!$E$2:$E$284,"CN",ConsevationBuildoutTracker!$G$2:$G$284,AA$2)</f>
        <v>0</v>
      </c>
      <c r="AB36" s="39">
        <f>SUMIFS(ConsevationBuildoutTracker!$S$2:$S$284,ConsevationBuildoutTracker!$C$2:$C$284,"AMD",ConsevationBuildoutTracker!$E$2:$E$284,"CN",ConsevationBuildoutTracker!$G$2:$G$284,AB$2)</f>
        <v>0</v>
      </c>
      <c r="AC36" s="39">
        <f>SUMIFS(ConsevationBuildoutTracker!$S$2:$S$284,ConsevationBuildoutTracker!$C$2:$C$284,"AMD",ConsevationBuildoutTracker!$E$2:$E$284,"CN",ConsevationBuildoutTracker!$G$2:$G$284,AC$2)</f>
        <v>0</v>
      </c>
      <c r="AD36" s="39">
        <f>SUMIFS(ConsevationBuildoutTracker!$S$2:$S$284,ConsevationBuildoutTracker!$C$2:$C$284,"AMD",ConsevationBuildoutTracker!$E$2:$E$284,"CN",ConsevationBuildoutTracker!$G$2:$G$284,AD$2)</f>
        <v>0</v>
      </c>
      <c r="AE36" s="39">
        <f>SUMIFS(ConsevationBuildoutTracker!$S$2:$S$284,ConsevationBuildoutTracker!$C$2:$C$284,"AMD",ConsevationBuildoutTracker!$E$2:$E$284,"CN",ConsevationBuildoutTracker!$G$2:$G$284,AE$2)</f>
        <v>0</v>
      </c>
      <c r="AF36" s="39">
        <f>SUMIFS(ConsevationBuildoutTracker!$S$2:$S$284,ConsevationBuildoutTracker!$C$2:$C$284,"AMD",ConsevationBuildoutTracker!$E$2:$E$284,"CN",ConsevationBuildoutTracker!$G$2:$G$284,AF$2)</f>
        <v>0</v>
      </c>
      <c r="AG36" s="39">
        <f>SUMIFS(ConsevationBuildoutTracker!$S$2:$S$284,ConsevationBuildoutTracker!$C$2:$C$284,"AMD",ConsevationBuildoutTracker!$E$2:$E$284,"CN",ConsevationBuildoutTracker!$G$2:$G$284,AG$2)</f>
        <v>0</v>
      </c>
      <c r="AH36" s="39">
        <f>SUMIFS(ConsevationBuildoutTracker!$S$2:$S$284,ConsevationBuildoutTracker!$C$2:$C$284,"AMD",ConsevationBuildoutTracker!$E$2:$E$284,"CN",ConsevationBuildoutTracker!$G$2:$G$284,AH$2)</f>
        <v>0</v>
      </c>
      <c r="AI36" s="39">
        <f>SUMIFS(ConsevationBuildoutTracker!$S$2:$S$284,ConsevationBuildoutTracker!$C$2:$C$284,"AMD",ConsevationBuildoutTracker!$E$2:$E$284,"CN",ConsevationBuildoutTracker!$G$2:$G$284,AI$2)</f>
        <v>0</v>
      </c>
      <c r="AJ36" s="39">
        <f>SUMIFS(ConsevationBuildoutTracker!$S$2:$S$284,ConsevationBuildoutTracker!$C$2:$C$284,"AMD",ConsevationBuildoutTracker!$E$2:$E$284,"CN",ConsevationBuildoutTracker!$G$2:$G$284,AJ$2)</f>
        <v>0</v>
      </c>
      <c r="AK36" s="39">
        <f>SUMIFS(ConsevationBuildoutTracker!$S$2:$S$284,ConsevationBuildoutTracker!$C$2:$C$284,"AMD",ConsevationBuildoutTracker!$E$2:$E$284,"CN",ConsevationBuildoutTracker!$G$2:$G$284,AK$2)</f>
        <v>0</v>
      </c>
    </row>
    <row r="37" spans="2:37" x14ac:dyDescent="0.25">
      <c r="E37" t="s">
        <v>26</v>
      </c>
      <c r="H37" t="s">
        <v>30</v>
      </c>
      <c r="I37" s="39"/>
      <c r="J37" s="39"/>
      <c r="K37" s="39"/>
      <c r="L37" s="39"/>
      <c r="M37" s="39"/>
      <c r="N37" s="39"/>
      <c r="O37" s="39"/>
      <c r="P37" s="39"/>
      <c r="Q37" s="39"/>
      <c r="R37" s="39"/>
      <c r="S37" s="39">
        <v>0</v>
      </c>
      <c r="T37" s="39">
        <v>0</v>
      </c>
      <c r="U37" s="39">
        <v>0</v>
      </c>
      <c r="V37" s="39">
        <v>0</v>
      </c>
      <c r="W37" s="39">
        <f>SUMIFS(ConsevationBuildoutTracker!$S$2:$S$284,ConsevationBuildoutTracker!$C$2:$C$284,"AMD",ConsevationBuildoutTracker!$E$2:$E$284,"R",ConsevationBuildoutTracker!$G$2:$G$284,W$2)</f>
        <v>0</v>
      </c>
      <c r="X37" s="39">
        <f>SUMIFS(ConsevationBuildoutTracker!$S$2:$S$284,ConsevationBuildoutTracker!$C$2:$C$284,"AMD",ConsevationBuildoutTracker!$E$2:$E$284,"R",ConsevationBuildoutTracker!$G$2:$G$284,X$2)</f>
        <v>0</v>
      </c>
      <c r="Y37" s="39">
        <f>SUMIFS(ConsevationBuildoutTracker!$S$2:$S$284,ConsevationBuildoutTracker!$C$2:$C$284,"AMD",ConsevationBuildoutTracker!$E$2:$E$284,"R",ConsevationBuildoutTracker!$G$2:$G$284,Y$2)</f>
        <v>0</v>
      </c>
      <c r="Z37" s="39">
        <f>SUMIFS(ConsevationBuildoutTracker!$S$2:$S$284,ConsevationBuildoutTracker!$C$2:$C$284,"AMD",ConsevationBuildoutTracker!$E$2:$E$284,"R",ConsevationBuildoutTracker!$G$2:$G$284,Z$2)</f>
        <v>0</v>
      </c>
      <c r="AA37" s="39">
        <f>SUMIFS(ConsevationBuildoutTracker!$S$2:$S$284,ConsevationBuildoutTracker!$C$2:$C$284,"AMD",ConsevationBuildoutTracker!$E$2:$E$284,"R",ConsevationBuildoutTracker!$G$2:$G$284,AA$2)</f>
        <v>0</v>
      </c>
      <c r="AB37" s="39">
        <f>SUMIFS(ConsevationBuildoutTracker!$S$2:$S$284,ConsevationBuildoutTracker!$C$2:$C$284,"AMD",ConsevationBuildoutTracker!$E$2:$E$284,"R",ConsevationBuildoutTracker!$G$2:$G$284,AB$2)</f>
        <v>0</v>
      </c>
      <c r="AC37" s="39">
        <f>SUMIFS(ConsevationBuildoutTracker!$S$2:$S$284,ConsevationBuildoutTracker!$C$2:$C$284,"AMD",ConsevationBuildoutTracker!$E$2:$E$284,"R",ConsevationBuildoutTracker!$G$2:$G$284,AC$2)</f>
        <v>0</v>
      </c>
      <c r="AD37" s="39">
        <f>SUMIFS(ConsevationBuildoutTracker!$S$2:$S$284,ConsevationBuildoutTracker!$C$2:$C$284,"AMD",ConsevationBuildoutTracker!$E$2:$E$284,"R",ConsevationBuildoutTracker!$G$2:$G$284,AD$2)</f>
        <v>0</v>
      </c>
      <c r="AE37" s="39">
        <f>SUMIFS(ConsevationBuildoutTracker!$S$2:$S$284,ConsevationBuildoutTracker!$C$2:$C$284,"AMD",ConsevationBuildoutTracker!$E$2:$E$284,"R",ConsevationBuildoutTracker!$G$2:$G$284,AE$2)</f>
        <v>0</v>
      </c>
      <c r="AF37" s="39">
        <f>SUMIFS(ConsevationBuildoutTracker!$S$2:$S$284,ConsevationBuildoutTracker!$C$2:$C$284,"AMD",ConsevationBuildoutTracker!$E$2:$E$284,"R",ConsevationBuildoutTracker!$G$2:$G$284,AF$2)</f>
        <v>0</v>
      </c>
      <c r="AG37" s="39">
        <f>SUMIFS(ConsevationBuildoutTracker!$S$2:$S$284,ConsevationBuildoutTracker!$C$2:$C$284,"AMD",ConsevationBuildoutTracker!$E$2:$E$284,"R",ConsevationBuildoutTracker!$G$2:$G$284,AG$2)</f>
        <v>0</v>
      </c>
      <c r="AH37" s="39">
        <f>SUMIFS(ConsevationBuildoutTracker!$S$2:$S$284,ConsevationBuildoutTracker!$C$2:$C$284,"AMD",ConsevationBuildoutTracker!$E$2:$E$284,"R",ConsevationBuildoutTracker!$G$2:$G$284,AH$2)</f>
        <v>0</v>
      </c>
      <c r="AI37" s="39">
        <f>SUMIFS(ConsevationBuildoutTracker!$S$2:$S$284,ConsevationBuildoutTracker!$C$2:$C$284,"AMD",ConsevationBuildoutTracker!$E$2:$E$284,"R",ConsevationBuildoutTracker!$G$2:$G$284,AI$2)</f>
        <v>0</v>
      </c>
      <c r="AJ37" s="39">
        <f>SUMIFS(ConsevationBuildoutTracker!$S$2:$S$284,ConsevationBuildoutTracker!$C$2:$C$284,"AMD",ConsevationBuildoutTracker!$E$2:$E$284,"R",ConsevationBuildoutTracker!$G$2:$G$284,AJ$2)</f>
        <v>0</v>
      </c>
      <c r="AK37" s="39">
        <f>SUMIFS(ConsevationBuildoutTracker!$S$2:$S$284,ConsevationBuildoutTracker!$C$2:$C$284,"AMD",ConsevationBuildoutTracker!$E$2:$E$284,"R",ConsevationBuildoutTracker!$G$2:$G$284,AK$2)</f>
        <v>0</v>
      </c>
    </row>
    <row r="38" spans="2:37" s="10" customFormat="1" x14ac:dyDescent="0.25">
      <c r="B38" s="11"/>
      <c r="D38" s="10" t="s">
        <v>6</v>
      </c>
      <c r="H38" s="10" t="s">
        <v>30</v>
      </c>
      <c r="I38" s="41"/>
      <c r="J38" s="41"/>
      <c r="K38" s="41"/>
      <c r="L38" s="41"/>
      <c r="M38" s="41"/>
      <c r="N38" s="41"/>
      <c r="O38" s="41"/>
      <c r="P38" s="41"/>
      <c r="Q38" s="41"/>
      <c r="R38" s="41"/>
      <c r="S38" s="41">
        <f t="shared" ref="S38:AK38" si="8">SUM(S39:S40)</f>
        <v>0</v>
      </c>
      <c r="T38" s="41">
        <f t="shared" si="8"/>
        <v>0</v>
      </c>
      <c r="U38" s="41">
        <f t="shared" si="8"/>
        <v>0</v>
      </c>
      <c r="V38" s="41">
        <f t="shared" si="8"/>
        <v>0</v>
      </c>
      <c r="W38" s="41">
        <f t="shared" si="8"/>
        <v>0</v>
      </c>
      <c r="X38" s="41">
        <f t="shared" si="8"/>
        <v>0</v>
      </c>
      <c r="Y38" s="41">
        <f t="shared" si="8"/>
        <v>0</v>
      </c>
      <c r="Z38" s="41">
        <f t="shared" si="8"/>
        <v>-22</v>
      </c>
      <c r="AA38" s="41">
        <f t="shared" si="8"/>
        <v>0</v>
      </c>
      <c r="AB38" s="41">
        <f t="shared" si="8"/>
        <v>0</v>
      </c>
      <c r="AC38" s="41">
        <f t="shared" si="8"/>
        <v>0</v>
      </c>
      <c r="AD38" s="41">
        <f t="shared" si="8"/>
        <v>0</v>
      </c>
      <c r="AE38" s="41">
        <f t="shared" si="8"/>
        <v>0</v>
      </c>
      <c r="AF38" s="41">
        <f t="shared" si="8"/>
        <v>0</v>
      </c>
      <c r="AG38" s="41">
        <f t="shared" si="8"/>
        <v>0</v>
      </c>
      <c r="AH38" s="41">
        <f t="shared" si="8"/>
        <v>0</v>
      </c>
      <c r="AI38" s="41">
        <f t="shared" si="8"/>
        <v>0</v>
      </c>
      <c r="AJ38" s="41">
        <f t="shared" si="8"/>
        <v>0</v>
      </c>
      <c r="AK38" s="41">
        <f t="shared" si="8"/>
        <v>0</v>
      </c>
    </row>
    <row r="39" spans="2:37" x14ac:dyDescent="0.25">
      <c r="E39" t="s">
        <v>25</v>
      </c>
      <c r="H39" t="s">
        <v>30</v>
      </c>
      <c r="I39" s="39"/>
      <c r="J39" s="39"/>
      <c r="K39" s="39"/>
      <c r="L39" s="39"/>
      <c r="M39" s="39"/>
      <c r="N39" s="39"/>
      <c r="O39" s="39"/>
      <c r="P39" s="39"/>
      <c r="Q39" s="39"/>
      <c r="R39" s="39"/>
      <c r="S39" s="39">
        <v>0</v>
      </c>
      <c r="T39" s="39">
        <v>0</v>
      </c>
      <c r="U39" s="39">
        <v>0</v>
      </c>
      <c r="V39" s="39">
        <v>0</v>
      </c>
      <c r="W39" s="39">
        <f>SUMIFS(ConsevationBuildoutTracker!$S$2:$S$284,ConsevationBuildoutTracker!$C$2:$C$284,"CE",ConsevationBuildoutTracker!$E$2:$E$284,"CN",ConsevationBuildoutTracker!$G$2:$G$284,W$2)</f>
        <v>0</v>
      </c>
      <c r="X39" s="39">
        <f>SUMIFS(ConsevationBuildoutTracker!$S$2:$S$284,ConsevationBuildoutTracker!$C$2:$C$284,"CE",ConsevationBuildoutTracker!$E$2:$E$284,"CN",ConsevationBuildoutTracker!$G$2:$G$284,X$2)</f>
        <v>0</v>
      </c>
      <c r="Y39" s="39">
        <f>SUMIFS(ConsevationBuildoutTracker!$S$2:$S$284,ConsevationBuildoutTracker!$C$2:$C$284,"CE",ConsevationBuildoutTracker!$E$2:$E$284,"CN",ConsevationBuildoutTracker!$G$2:$G$284,Y$2)</f>
        <v>0</v>
      </c>
      <c r="Z39" s="39">
        <f>SUMIFS(ConsevationBuildoutTracker!$S$2:$S$284,ConsevationBuildoutTracker!$C$2:$C$284,"CE",ConsevationBuildoutTracker!$E$2:$E$284,"CN",ConsevationBuildoutTracker!$G$2:$G$284,Z$2)</f>
        <v>-22</v>
      </c>
      <c r="AA39" s="39">
        <f>SUMIFS(ConsevationBuildoutTracker!$S$2:$S$284,ConsevationBuildoutTracker!$C$2:$C$284,"CE",ConsevationBuildoutTracker!$E$2:$E$284,"CN",ConsevationBuildoutTracker!$G$2:$G$284,AA$2)</f>
        <v>0</v>
      </c>
      <c r="AB39" s="39">
        <f>SUMIFS(ConsevationBuildoutTracker!$S$2:$S$284,ConsevationBuildoutTracker!$C$2:$C$284,"CE",ConsevationBuildoutTracker!$E$2:$E$284,"CN",ConsevationBuildoutTracker!$G$2:$G$284,AB$2)</f>
        <v>0</v>
      </c>
      <c r="AC39" s="39">
        <f>SUMIFS(ConsevationBuildoutTracker!$S$2:$S$284,ConsevationBuildoutTracker!$C$2:$C$284,"CE",ConsevationBuildoutTracker!$E$2:$E$284,"CN",ConsevationBuildoutTracker!$G$2:$G$284,AC$2)</f>
        <v>0</v>
      </c>
      <c r="AD39" s="39">
        <f>SUMIFS(ConsevationBuildoutTracker!$S$2:$S$284,ConsevationBuildoutTracker!$C$2:$C$284,"CE",ConsevationBuildoutTracker!$E$2:$E$284,"CN",ConsevationBuildoutTracker!$G$2:$G$284,AD$2)</f>
        <v>0</v>
      </c>
      <c r="AE39" s="39">
        <f>SUMIFS(ConsevationBuildoutTracker!$S$2:$S$284,ConsevationBuildoutTracker!$C$2:$C$284,"CE",ConsevationBuildoutTracker!$E$2:$E$284,"CN",ConsevationBuildoutTracker!$G$2:$G$284,AE$2)</f>
        <v>0</v>
      </c>
      <c r="AF39" s="39">
        <f>SUMIFS(ConsevationBuildoutTracker!$S$2:$S$284,ConsevationBuildoutTracker!$C$2:$C$284,"CE",ConsevationBuildoutTracker!$E$2:$E$284,"CN",ConsevationBuildoutTracker!$G$2:$G$284,AF$2)</f>
        <v>0</v>
      </c>
      <c r="AG39" s="39">
        <f>SUMIFS(ConsevationBuildoutTracker!$S$2:$S$284,ConsevationBuildoutTracker!$C$2:$C$284,"CE",ConsevationBuildoutTracker!$E$2:$E$284,"CN",ConsevationBuildoutTracker!$G$2:$G$284,AG$2)</f>
        <v>0</v>
      </c>
      <c r="AH39" s="39">
        <f>SUMIFS(ConsevationBuildoutTracker!$S$2:$S$284,ConsevationBuildoutTracker!$C$2:$C$284,"CE",ConsevationBuildoutTracker!$E$2:$E$284,"CN",ConsevationBuildoutTracker!$G$2:$G$284,AH$2)</f>
        <v>0</v>
      </c>
      <c r="AI39" s="39">
        <f>SUMIFS(ConsevationBuildoutTracker!$S$2:$S$284,ConsevationBuildoutTracker!$C$2:$C$284,"CE",ConsevationBuildoutTracker!$E$2:$E$284,"CN",ConsevationBuildoutTracker!$G$2:$G$284,AI$2)</f>
        <v>0</v>
      </c>
      <c r="AJ39" s="39">
        <f>SUMIFS(ConsevationBuildoutTracker!$S$2:$S$284,ConsevationBuildoutTracker!$C$2:$C$284,"CE",ConsevationBuildoutTracker!$E$2:$E$284,"CN",ConsevationBuildoutTracker!$G$2:$G$284,AJ$2)</f>
        <v>0</v>
      </c>
      <c r="AK39" s="39">
        <f>SUMIFS(ConsevationBuildoutTracker!$S$2:$S$284,ConsevationBuildoutTracker!$C$2:$C$284,"CE",ConsevationBuildoutTracker!$E$2:$E$284,"CN",ConsevationBuildoutTracker!$G$2:$G$284,AK$2)</f>
        <v>0</v>
      </c>
    </row>
    <row r="40" spans="2:37" x14ac:dyDescent="0.25">
      <c r="E40" t="s">
        <v>26</v>
      </c>
      <c r="H40" t="s">
        <v>30</v>
      </c>
      <c r="I40" s="39"/>
      <c r="J40" s="39"/>
      <c r="K40" s="39"/>
      <c r="L40" s="39"/>
      <c r="M40" s="39"/>
      <c r="N40" s="39"/>
      <c r="O40" s="39"/>
      <c r="P40" s="39"/>
      <c r="Q40" s="39"/>
      <c r="R40" s="39"/>
      <c r="S40" s="39">
        <v>0</v>
      </c>
      <c r="T40" s="39">
        <v>0</v>
      </c>
      <c r="U40" s="39">
        <v>0</v>
      </c>
      <c r="V40" s="39">
        <v>0</v>
      </c>
      <c r="W40" s="39">
        <f>SUMIFS(ConsevationBuildoutTracker!$S$2:$S$284,ConsevationBuildoutTracker!$C$2:$C$284,"CE",ConsevationBuildoutTracker!$E$2:$E$284,"R",ConsevationBuildoutTracker!$G$2:$G$284,W$2)</f>
        <v>0</v>
      </c>
      <c r="X40" s="39">
        <f>SUMIFS(ConsevationBuildoutTracker!$S$2:$S$284,ConsevationBuildoutTracker!$C$2:$C$284,"CE",ConsevationBuildoutTracker!$E$2:$E$284,"R",ConsevationBuildoutTracker!$G$2:$G$284,X$2)</f>
        <v>0</v>
      </c>
      <c r="Y40" s="39">
        <f>SUMIFS(ConsevationBuildoutTracker!$S$2:$S$284,ConsevationBuildoutTracker!$C$2:$C$284,"CE",ConsevationBuildoutTracker!$E$2:$E$284,"R",ConsevationBuildoutTracker!$G$2:$G$284,Y$2)</f>
        <v>0</v>
      </c>
      <c r="Z40" s="39">
        <f>SUMIFS(ConsevationBuildoutTracker!$S$2:$S$284,ConsevationBuildoutTracker!$C$2:$C$284,"CE",ConsevationBuildoutTracker!$E$2:$E$284,"R",ConsevationBuildoutTracker!$G$2:$G$284,Z$2)</f>
        <v>0</v>
      </c>
      <c r="AA40" s="39">
        <f>SUMIFS(ConsevationBuildoutTracker!$S$2:$S$284,ConsevationBuildoutTracker!$C$2:$C$284,"CE",ConsevationBuildoutTracker!$E$2:$E$284,"R",ConsevationBuildoutTracker!$G$2:$G$284,AA$2)</f>
        <v>0</v>
      </c>
      <c r="AB40" s="39">
        <f>SUMIFS(ConsevationBuildoutTracker!$S$2:$S$284,ConsevationBuildoutTracker!$C$2:$C$284,"CE",ConsevationBuildoutTracker!$E$2:$E$284,"R",ConsevationBuildoutTracker!$G$2:$G$284,AB$2)</f>
        <v>0</v>
      </c>
      <c r="AC40" s="39">
        <f>SUMIFS(ConsevationBuildoutTracker!$S$2:$S$284,ConsevationBuildoutTracker!$C$2:$C$284,"CE",ConsevationBuildoutTracker!$E$2:$E$284,"R",ConsevationBuildoutTracker!$G$2:$G$284,AC$2)</f>
        <v>0</v>
      </c>
      <c r="AD40" s="39">
        <f>SUMIFS(ConsevationBuildoutTracker!$S$2:$S$284,ConsevationBuildoutTracker!$C$2:$C$284,"CE",ConsevationBuildoutTracker!$E$2:$E$284,"R",ConsevationBuildoutTracker!$G$2:$G$284,AD$2)</f>
        <v>0</v>
      </c>
      <c r="AE40" s="39">
        <f>SUMIFS(ConsevationBuildoutTracker!$S$2:$S$284,ConsevationBuildoutTracker!$C$2:$C$284,"CE",ConsevationBuildoutTracker!$E$2:$E$284,"R",ConsevationBuildoutTracker!$G$2:$G$284,AE$2)</f>
        <v>0</v>
      </c>
      <c r="AF40" s="39">
        <f>SUMIFS(ConsevationBuildoutTracker!$S$2:$S$284,ConsevationBuildoutTracker!$C$2:$C$284,"CE",ConsevationBuildoutTracker!$E$2:$E$284,"R",ConsevationBuildoutTracker!$G$2:$G$284,AF$2)</f>
        <v>0</v>
      </c>
      <c r="AG40" s="39">
        <f>SUMIFS(ConsevationBuildoutTracker!$S$2:$S$284,ConsevationBuildoutTracker!$C$2:$C$284,"CE",ConsevationBuildoutTracker!$E$2:$E$284,"R",ConsevationBuildoutTracker!$G$2:$G$284,AG$2)</f>
        <v>0</v>
      </c>
      <c r="AH40" s="39">
        <f>SUMIFS(ConsevationBuildoutTracker!$S$2:$S$284,ConsevationBuildoutTracker!$C$2:$C$284,"CE",ConsevationBuildoutTracker!$E$2:$E$284,"R",ConsevationBuildoutTracker!$G$2:$G$284,AH$2)</f>
        <v>0</v>
      </c>
      <c r="AI40" s="39">
        <f>SUMIFS(ConsevationBuildoutTracker!$S$2:$S$284,ConsevationBuildoutTracker!$C$2:$C$284,"CE",ConsevationBuildoutTracker!$E$2:$E$284,"R",ConsevationBuildoutTracker!$G$2:$G$284,AI$2)</f>
        <v>0</v>
      </c>
      <c r="AJ40" s="39">
        <f>SUMIFS(ConsevationBuildoutTracker!$S$2:$S$284,ConsevationBuildoutTracker!$C$2:$C$284,"CE",ConsevationBuildoutTracker!$E$2:$E$284,"R",ConsevationBuildoutTracker!$G$2:$G$284,AJ$2)</f>
        <v>0</v>
      </c>
      <c r="AK40" s="39">
        <f>SUMIFS(ConsevationBuildoutTracker!$S$2:$S$284,ConsevationBuildoutTracker!$C$2:$C$284,"CE",ConsevationBuildoutTracker!$E$2:$E$284,"R",ConsevationBuildoutTracker!$G$2:$G$284,AK$2)</f>
        <v>0</v>
      </c>
    </row>
    <row r="41" spans="2:37" s="10" customFormat="1" x14ac:dyDescent="0.25">
      <c r="B41" s="11"/>
      <c r="D41" s="10" t="s">
        <v>27</v>
      </c>
      <c r="H41" s="10" t="s">
        <v>30</v>
      </c>
      <c r="I41" s="41"/>
      <c r="J41" s="41"/>
      <c r="K41" s="41"/>
      <c r="L41" s="41"/>
      <c r="M41" s="41"/>
      <c r="N41" s="41"/>
      <c r="O41" s="41"/>
      <c r="P41" s="41"/>
      <c r="Q41" s="41"/>
      <c r="R41" s="41"/>
      <c r="S41" s="41">
        <f t="shared" ref="S41:AK41" si="9">SUM(S42:S43)</f>
        <v>0</v>
      </c>
      <c r="T41" s="41">
        <f t="shared" si="9"/>
        <v>0</v>
      </c>
      <c r="U41" s="41">
        <f t="shared" si="9"/>
        <v>0</v>
      </c>
      <c r="V41" s="41">
        <f t="shared" si="9"/>
        <v>0</v>
      </c>
      <c r="W41" s="41">
        <f t="shared" si="9"/>
        <v>0</v>
      </c>
      <c r="X41" s="41">
        <f t="shared" si="9"/>
        <v>0</v>
      </c>
      <c r="Y41" s="41">
        <f t="shared" si="9"/>
        <v>0</v>
      </c>
      <c r="Z41" s="41">
        <f t="shared" si="9"/>
        <v>0</v>
      </c>
      <c r="AA41" s="41">
        <f t="shared" si="9"/>
        <v>0</v>
      </c>
      <c r="AB41" s="41">
        <f t="shared" si="9"/>
        <v>0</v>
      </c>
      <c r="AC41" s="41">
        <f t="shared" si="9"/>
        <v>0</v>
      </c>
      <c r="AD41" s="41">
        <f t="shared" si="9"/>
        <v>0</v>
      </c>
      <c r="AE41" s="41">
        <f t="shared" si="9"/>
        <v>0</v>
      </c>
      <c r="AF41" s="41">
        <f t="shared" si="9"/>
        <v>0</v>
      </c>
      <c r="AG41" s="41">
        <f t="shared" si="9"/>
        <v>0</v>
      </c>
      <c r="AH41" s="41">
        <f t="shared" si="9"/>
        <v>0</v>
      </c>
      <c r="AI41" s="41">
        <f t="shared" si="9"/>
        <v>0</v>
      </c>
      <c r="AJ41" s="41">
        <f t="shared" si="9"/>
        <v>0</v>
      </c>
      <c r="AK41" s="41">
        <f t="shared" si="9"/>
        <v>0</v>
      </c>
    </row>
    <row r="42" spans="2:37" x14ac:dyDescent="0.25">
      <c r="E42" t="s">
        <v>25</v>
      </c>
      <c r="H42" t="s">
        <v>30</v>
      </c>
      <c r="I42" s="39"/>
      <c r="J42" s="39"/>
      <c r="K42" s="39"/>
      <c r="L42" s="39"/>
      <c r="M42" s="39"/>
      <c r="N42" s="39"/>
      <c r="O42" s="39"/>
      <c r="P42" s="39"/>
      <c r="Q42" s="39"/>
      <c r="R42" s="39"/>
      <c r="S42" s="39">
        <v>0</v>
      </c>
      <c r="T42" s="39">
        <v>0</v>
      </c>
      <c r="U42" s="39">
        <v>0</v>
      </c>
      <c r="V42" s="39">
        <v>0</v>
      </c>
      <c r="W42" s="39">
        <f>SUMIFS(ConsevationBuildoutTracker!$S$2:$S$284,ConsevationBuildoutTracker!$C$2:$C$284,"PPT",ConsevationBuildoutTracker!$E$2:$E$284,"CN",ConsevationBuildoutTracker!$G$2:$G$284,W$2)</f>
        <v>0</v>
      </c>
      <c r="X42" s="39">
        <f>SUMIFS(ConsevationBuildoutTracker!$S$2:$S$284,ConsevationBuildoutTracker!$C$2:$C$284,"PPT",ConsevationBuildoutTracker!$E$2:$E$284,"CN",ConsevationBuildoutTracker!$G$2:$G$284,X$2)</f>
        <v>0</v>
      </c>
      <c r="Y42" s="39">
        <f>SUMIFS(ConsevationBuildoutTracker!$S$2:$S$284,ConsevationBuildoutTracker!$C$2:$C$284,"PPT",ConsevationBuildoutTracker!$E$2:$E$284,"CN",ConsevationBuildoutTracker!$G$2:$G$284,Y$2)</f>
        <v>0</v>
      </c>
      <c r="Z42" s="39">
        <f>SUMIFS(ConsevationBuildoutTracker!$S$2:$S$284,ConsevationBuildoutTracker!$C$2:$C$284,"PPT",ConsevationBuildoutTracker!$E$2:$E$284,"CN",ConsevationBuildoutTracker!$G$2:$G$284,Z$2)</f>
        <v>0</v>
      </c>
      <c r="AA42" s="39">
        <f>SUMIFS(ConsevationBuildoutTracker!$S$2:$S$284,ConsevationBuildoutTracker!$C$2:$C$284,"PPT",ConsevationBuildoutTracker!$E$2:$E$284,"CN",ConsevationBuildoutTracker!$G$2:$G$284,AA$2)</f>
        <v>0</v>
      </c>
      <c r="AB42" s="39">
        <f>SUMIFS(ConsevationBuildoutTracker!$S$2:$S$284,ConsevationBuildoutTracker!$C$2:$C$284,"PPT",ConsevationBuildoutTracker!$E$2:$E$284,"CN",ConsevationBuildoutTracker!$G$2:$G$284,AB$2)</f>
        <v>0</v>
      </c>
      <c r="AC42" s="39">
        <f>SUMIFS(ConsevationBuildoutTracker!$S$2:$S$284,ConsevationBuildoutTracker!$C$2:$C$284,"PPT",ConsevationBuildoutTracker!$E$2:$E$284,"CN",ConsevationBuildoutTracker!$G$2:$G$284,AC$2)</f>
        <v>0</v>
      </c>
      <c r="AD42" s="39">
        <f>SUMIFS(ConsevationBuildoutTracker!$S$2:$S$284,ConsevationBuildoutTracker!$C$2:$C$284,"PPT",ConsevationBuildoutTracker!$E$2:$E$284,"CN",ConsevationBuildoutTracker!$G$2:$G$284,AD$2)</f>
        <v>0</v>
      </c>
      <c r="AE42" s="39">
        <f>SUMIFS(ConsevationBuildoutTracker!$S$2:$S$284,ConsevationBuildoutTracker!$C$2:$C$284,"PPT",ConsevationBuildoutTracker!$E$2:$E$284,"CN",ConsevationBuildoutTracker!$G$2:$G$284,AE$2)</f>
        <v>0</v>
      </c>
      <c r="AF42" s="39">
        <f>SUMIFS(ConsevationBuildoutTracker!$S$2:$S$284,ConsevationBuildoutTracker!$C$2:$C$284,"PPT",ConsevationBuildoutTracker!$E$2:$E$284,"CN",ConsevationBuildoutTracker!$G$2:$G$284,AF$2)</f>
        <v>0</v>
      </c>
      <c r="AG42" s="39">
        <f>SUMIFS(ConsevationBuildoutTracker!$S$2:$S$284,ConsevationBuildoutTracker!$C$2:$C$284,"PPT",ConsevationBuildoutTracker!$E$2:$E$284,"CN",ConsevationBuildoutTracker!$G$2:$G$284,AG$2)</f>
        <v>0</v>
      </c>
      <c r="AH42" s="39">
        <f>SUMIFS(ConsevationBuildoutTracker!$S$2:$S$284,ConsevationBuildoutTracker!$C$2:$C$284,"PPT",ConsevationBuildoutTracker!$E$2:$E$284,"CN",ConsevationBuildoutTracker!$G$2:$G$284,AH$2)</f>
        <v>0</v>
      </c>
      <c r="AI42" s="39">
        <f>SUMIFS(ConsevationBuildoutTracker!$S$2:$S$284,ConsevationBuildoutTracker!$C$2:$C$284,"PPT",ConsevationBuildoutTracker!$E$2:$E$284,"CN",ConsevationBuildoutTracker!$G$2:$G$284,AI$2)</f>
        <v>0</v>
      </c>
      <c r="AJ42" s="39">
        <f>SUMIFS(ConsevationBuildoutTracker!$S$2:$S$284,ConsevationBuildoutTracker!$C$2:$C$284,"PPT",ConsevationBuildoutTracker!$E$2:$E$284,"CN",ConsevationBuildoutTracker!$G$2:$G$284,AJ$2)</f>
        <v>0</v>
      </c>
      <c r="AK42" s="39">
        <f>SUMIFS(ConsevationBuildoutTracker!$S$2:$S$284,ConsevationBuildoutTracker!$C$2:$C$284,"PPT",ConsevationBuildoutTracker!$E$2:$E$284,"CN",ConsevationBuildoutTracker!$G$2:$G$284,AK$2)</f>
        <v>0</v>
      </c>
    </row>
    <row r="43" spans="2:37" x14ac:dyDescent="0.25">
      <c r="E43" t="s">
        <v>26</v>
      </c>
      <c r="H43" t="s">
        <v>30</v>
      </c>
      <c r="I43" s="39"/>
      <c r="J43" s="39"/>
      <c r="K43" s="39"/>
      <c r="L43" s="39"/>
      <c r="M43" s="39"/>
      <c r="N43" s="39"/>
      <c r="O43" s="39"/>
      <c r="P43" s="39"/>
      <c r="Q43" s="39"/>
      <c r="R43" s="39"/>
      <c r="S43" s="39">
        <v>0</v>
      </c>
      <c r="T43" s="39">
        <v>0</v>
      </c>
      <c r="U43" s="39">
        <v>0</v>
      </c>
      <c r="V43" s="39">
        <v>0</v>
      </c>
      <c r="W43" s="39">
        <f>SUMIFS(ConsevationBuildoutTracker!$S$2:$S$284,ConsevationBuildoutTracker!$C$2:$C$284,"PPT",ConsevationBuildoutTracker!$E$2:$E$284,"R",ConsevationBuildoutTracker!$G$2:$G$284,W$2)</f>
        <v>0</v>
      </c>
      <c r="X43" s="39">
        <f>SUMIFS(ConsevationBuildoutTracker!$S$2:$S$284,ConsevationBuildoutTracker!$C$2:$C$284,"PPT",ConsevationBuildoutTracker!$E$2:$E$284,"R",ConsevationBuildoutTracker!$G$2:$G$284,X$2)</f>
        <v>0</v>
      </c>
      <c r="Y43" s="39">
        <f>SUMIFS(ConsevationBuildoutTracker!$S$2:$S$284,ConsevationBuildoutTracker!$C$2:$C$284,"PPT",ConsevationBuildoutTracker!$E$2:$E$284,"R",ConsevationBuildoutTracker!$G$2:$G$284,Y$2)</f>
        <v>0</v>
      </c>
      <c r="Z43" s="39">
        <f>SUMIFS(ConsevationBuildoutTracker!$S$2:$S$284,ConsevationBuildoutTracker!$C$2:$C$284,"PPT",ConsevationBuildoutTracker!$E$2:$E$284,"R",ConsevationBuildoutTracker!$G$2:$G$284,Z$2)</f>
        <v>0</v>
      </c>
      <c r="AA43" s="39">
        <f>SUMIFS(ConsevationBuildoutTracker!$S$2:$S$284,ConsevationBuildoutTracker!$C$2:$C$284,"PPT",ConsevationBuildoutTracker!$E$2:$E$284,"R",ConsevationBuildoutTracker!$G$2:$G$284,AA$2)</f>
        <v>0</v>
      </c>
      <c r="AB43" s="39">
        <f>SUMIFS(ConsevationBuildoutTracker!$S$2:$S$284,ConsevationBuildoutTracker!$C$2:$C$284,"PPT",ConsevationBuildoutTracker!$E$2:$E$284,"R",ConsevationBuildoutTracker!$G$2:$G$284,AB$2)</f>
        <v>0</v>
      </c>
      <c r="AC43" s="39">
        <f>SUMIFS(ConsevationBuildoutTracker!$S$2:$S$284,ConsevationBuildoutTracker!$C$2:$C$284,"PPT",ConsevationBuildoutTracker!$E$2:$E$284,"R",ConsevationBuildoutTracker!$G$2:$G$284,AC$2)</f>
        <v>0</v>
      </c>
      <c r="AD43" s="39">
        <f>SUMIFS(ConsevationBuildoutTracker!$S$2:$S$284,ConsevationBuildoutTracker!$C$2:$C$284,"PPT",ConsevationBuildoutTracker!$E$2:$E$284,"R",ConsevationBuildoutTracker!$G$2:$G$284,AD$2)</f>
        <v>0</v>
      </c>
      <c r="AE43" s="39">
        <f>SUMIFS(ConsevationBuildoutTracker!$S$2:$S$284,ConsevationBuildoutTracker!$C$2:$C$284,"PPT",ConsevationBuildoutTracker!$E$2:$E$284,"R",ConsevationBuildoutTracker!$G$2:$G$284,AE$2)</f>
        <v>0</v>
      </c>
      <c r="AF43" s="39">
        <f>SUMIFS(ConsevationBuildoutTracker!$S$2:$S$284,ConsevationBuildoutTracker!$C$2:$C$284,"PPT",ConsevationBuildoutTracker!$E$2:$E$284,"R",ConsevationBuildoutTracker!$G$2:$G$284,AF$2)</f>
        <v>0</v>
      </c>
      <c r="AG43" s="39">
        <f>SUMIFS(ConsevationBuildoutTracker!$S$2:$S$284,ConsevationBuildoutTracker!$C$2:$C$284,"PPT",ConsevationBuildoutTracker!$E$2:$E$284,"R",ConsevationBuildoutTracker!$G$2:$G$284,AG$2)</f>
        <v>0</v>
      </c>
      <c r="AH43" s="39">
        <f>SUMIFS(ConsevationBuildoutTracker!$S$2:$S$284,ConsevationBuildoutTracker!$C$2:$C$284,"PPT",ConsevationBuildoutTracker!$E$2:$E$284,"R",ConsevationBuildoutTracker!$G$2:$G$284,AH$2)</f>
        <v>0</v>
      </c>
      <c r="AI43" s="39">
        <f>SUMIFS(ConsevationBuildoutTracker!$S$2:$S$284,ConsevationBuildoutTracker!$C$2:$C$284,"PPT",ConsevationBuildoutTracker!$E$2:$E$284,"R",ConsevationBuildoutTracker!$G$2:$G$284,AI$2)</f>
        <v>0</v>
      </c>
      <c r="AJ43" s="39">
        <f>SUMIFS(ConsevationBuildoutTracker!$S$2:$S$284,ConsevationBuildoutTracker!$C$2:$C$284,"PPT",ConsevationBuildoutTracker!$E$2:$E$284,"R",ConsevationBuildoutTracker!$G$2:$G$284,AJ$2)</f>
        <v>0</v>
      </c>
      <c r="AK43" s="39">
        <f>SUMIFS(ConsevationBuildoutTracker!$S$2:$S$284,ConsevationBuildoutTracker!$C$2:$C$284,"PPT",ConsevationBuildoutTracker!$E$2:$E$284,"R",ConsevationBuildoutTracker!$G$2:$G$284,AK$2)</f>
        <v>0</v>
      </c>
    </row>
    <row r="44" spans="2:37" s="8" customFormat="1" x14ac:dyDescent="0.25">
      <c r="B44" s="9"/>
      <c r="C44" s="8" t="s">
        <v>31</v>
      </c>
      <c r="H44" s="8" t="s">
        <v>32</v>
      </c>
      <c r="I44" s="42"/>
      <c r="J44" s="42"/>
      <c r="K44" s="42"/>
      <c r="L44" s="42"/>
      <c r="M44" s="42"/>
      <c r="N44" s="42"/>
      <c r="O44" s="42"/>
      <c r="P44" s="42"/>
      <c r="Q44" s="42"/>
      <c r="R44" s="42"/>
      <c r="S44" s="42">
        <f t="shared" ref="S44:AK44" si="10">SUM(S45,S48,S51)</f>
        <v>0</v>
      </c>
      <c r="T44" s="42">
        <f t="shared" si="10"/>
        <v>0</v>
      </c>
      <c r="U44" s="42">
        <f t="shared" si="10"/>
        <v>0</v>
      </c>
      <c r="V44" s="42">
        <f t="shared" si="10"/>
        <v>-451</v>
      </c>
      <c r="W44" s="42">
        <f t="shared" si="10"/>
        <v>94379.124242499995</v>
      </c>
      <c r="X44" s="42">
        <f t="shared" si="10"/>
        <v>-30650.994000000002</v>
      </c>
      <c r="Y44" s="42">
        <f t="shared" si="10"/>
        <v>32476.594000000001</v>
      </c>
      <c r="Z44" s="42">
        <f t="shared" si="10"/>
        <v>-9339</v>
      </c>
      <c r="AA44" s="42">
        <f t="shared" si="10"/>
        <v>-8102.1599999999962</v>
      </c>
      <c r="AB44" s="42">
        <f t="shared" si="10"/>
        <v>0</v>
      </c>
      <c r="AC44" s="42">
        <f t="shared" si="10"/>
        <v>0</v>
      </c>
      <c r="AD44" s="42">
        <f t="shared" si="10"/>
        <v>0</v>
      </c>
      <c r="AE44" s="42">
        <f t="shared" si="10"/>
        <v>0</v>
      </c>
      <c r="AF44" s="42">
        <f t="shared" si="10"/>
        <v>0</v>
      </c>
      <c r="AG44" s="42">
        <f t="shared" si="10"/>
        <v>0</v>
      </c>
      <c r="AH44" s="42">
        <f t="shared" si="10"/>
        <v>0</v>
      </c>
      <c r="AI44" s="42">
        <f t="shared" si="10"/>
        <v>0</v>
      </c>
      <c r="AJ44" s="42">
        <f t="shared" si="10"/>
        <v>0</v>
      </c>
      <c r="AK44" s="42">
        <f t="shared" si="10"/>
        <v>0</v>
      </c>
    </row>
    <row r="45" spans="2:37" s="10" customFormat="1" x14ac:dyDescent="0.25">
      <c r="B45" s="11"/>
      <c r="D45" s="10" t="s">
        <v>24</v>
      </c>
      <c r="H45" s="10" t="s">
        <v>32</v>
      </c>
      <c r="I45" s="41"/>
      <c r="J45" s="41"/>
      <c r="K45" s="41"/>
      <c r="L45" s="41"/>
      <c r="M45" s="41"/>
      <c r="N45" s="41"/>
      <c r="O45" s="41"/>
      <c r="P45" s="41"/>
      <c r="Q45" s="41"/>
      <c r="R45" s="41"/>
      <c r="S45" s="41">
        <f t="shared" ref="S45:AK45" si="11">SUM(S46:S47)</f>
        <v>0</v>
      </c>
      <c r="T45" s="41">
        <f t="shared" si="11"/>
        <v>0</v>
      </c>
      <c r="U45" s="41">
        <f t="shared" si="11"/>
        <v>0</v>
      </c>
      <c r="V45" s="41">
        <f t="shared" si="11"/>
        <v>-451</v>
      </c>
      <c r="W45" s="41">
        <f t="shared" si="11"/>
        <v>104425.0185625</v>
      </c>
      <c r="X45" s="41">
        <f t="shared" si="11"/>
        <v>-30056.400000000001</v>
      </c>
      <c r="Y45" s="41">
        <f t="shared" si="11"/>
        <v>34854.97</v>
      </c>
      <c r="Z45" s="41">
        <f t="shared" si="11"/>
        <v>0</v>
      </c>
      <c r="AA45" s="41">
        <f t="shared" si="11"/>
        <v>-8102.1599999999962</v>
      </c>
      <c r="AB45" s="41">
        <f t="shared" si="11"/>
        <v>0</v>
      </c>
      <c r="AC45" s="41">
        <f t="shared" si="11"/>
        <v>0</v>
      </c>
      <c r="AD45" s="41">
        <f t="shared" si="11"/>
        <v>0</v>
      </c>
      <c r="AE45" s="41">
        <f t="shared" si="11"/>
        <v>0</v>
      </c>
      <c r="AF45" s="41">
        <f t="shared" si="11"/>
        <v>0</v>
      </c>
      <c r="AG45" s="41">
        <f t="shared" si="11"/>
        <v>0</v>
      </c>
      <c r="AH45" s="41">
        <f t="shared" si="11"/>
        <v>0</v>
      </c>
      <c r="AI45" s="41">
        <f t="shared" si="11"/>
        <v>0</v>
      </c>
      <c r="AJ45" s="41">
        <f t="shared" si="11"/>
        <v>0</v>
      </c>
      <c r="AK45" s="41">
        <f t="shared" si="11"/>
        <v>0</v>
      </c>
    </row>
    <row r="46" spans="2:37" x14ac:dyDescent="0.25">
      <c r="E46" t="s">
        <v>25</v>
      </c>
      <c r="H46" t="s">
        <v>32</v>
      </c>
      <c r="I46" s="39"/>
      <c r="J46" s="39"/>
      <c r="K46" s="39"/>
      <c r="L46" s="39"/>
      <c r="M46" s="39"/>
      <c r="N46" s="39"/>
      <c r="O46" s="39"/>
      <c r="P46" s="39"/>
      <c r="Q46" s="39"/>
      <c r="R46" s="39"/>
      <c r="S46" s="39">
        <v>0</v>
      </c>
      <c r="T46" s="39">
        <v>0</v>
      </c>
      <c r="U46" s="39">
        <v>0</v>
      </c>
      <c r="V46" s="39">
        <v>-451</v>
      </c>
      <c r="W46" s="39">
        <f>SUMIFS(ConsevationBuildoutTracker!$T$2:$T$284,ConsevationBuildoutTracker!$C$2:$C$284,"AMD",ConsevationBuildoutTracker!$E$2:$E$284,"CN",ConsevationBuildoutTracker!$G$2:$G$284,W$2)</f>
        <v>104425.0185625</v>
      </c>
      <c r="X46" s="39">
        <f>SUMIFS(ConsevationBuildoutTracker!$T$2:$T$284,ConsevationBuildoutTracker!$C$2:$C$284,"AMD",ConsevationBuildoutTracker!$E$2:$E$284,"CN",ConsevationBuildoutTracker!$G$2:$G$284,X$2)</f>
        <v>-30056.400000000001</v>
      </c>
      <c r="Y46" s="39">
        <f>SUMIFS(ConsevationBuildoutTracker!$T$2:$T$284,ConsevationBuildoutTracker!$C$2:$C$284,"AMD",ConsevationBuildoutTracker!$E$2:$E$284,"CN",ConsevationBuildoutTracker!$G$2:$G$284,Y$2)</f>
        <v>34854.97</v>
      </c>
      <c r="Z46" s="39">
        <f>SUMIFS(ConsevationBuildoutTracker!$T$2:$T$284,ConsevationBuildoutTracker!$C$2:$C$284,"AMD",ConsevationBuildoutTracker!$E$2:$E$284,"CN",ConsevationBuildoutTracker!$G$2:$G$284,Z$2)</f>
        <v>0</v>
      </c>
      <c r="AA46" s="39">
        <f>SUMIFS(ConsevationBuildoutTracker!$T$2:$T$284,ConsevationBuildoutTracker!$C$2:$C$284,"AMD",ConsevationBuildoutTracker!$E$2:$E$284,"CN",ConsevationBuildoutTracker!$G$2:$G$284,AA$2)</f>
        <v>-8102.1599999999962</v>
      </c>
      <c r="AB46" s="39">
        <f>SUMIFS(ConsevationBuildoutTracker!$T$2:$T$284,ConsevationBuildoutTracker!$C$2:$C$284,"AMD",ConsevationBuildoutTracker!$E$2:$E$284,"CN",ConsevationBuildoutTracker!$G$2:$G$284,AB$2)</f>
        <v>0</v>
      </c>
      <c r="AC46" s="39">
        <f>SUMIFS(ConsevationBuildoutTracker!$T$2:$T$284,ConsevationBuildoutTracker!$C$2:$C$284,"AMD",ConsevationBuildoutTracker!$E$2:$E$284,"CN",ConsevationBuildoutTracker!$G$2:$G$284,AC$2)</f>
        <v>0</v>
      </c>
      <c r="AD46" s="39">
        <f>SUMIFS(ConsevationBuildoutTracker!$T$2:$T$284,ConsevationBuildoutTracker!$C$2:$C$284,"AMD",ConsevationBuildoutTracker!$E$2:$E$284,"CN",ConsevationBuildoutTracker!$G$2:$G$284,AD$2)</f>
        <v>0</v>
      </c>
      <c r="AE46" s="39">
        <f>SUMIFS(ConsevationBuildoutTracker!$T$2:$T$284,ConsevationBuildoutTracker!$C$2:$C$284,"AMD",ConsevationBuildoutTracker!$E$2:$E$284,"CN",ConsevationBuildoutTracker!$G$2:$G$284,AE$2)</f>
        <v>0</v>
      </c>
      <c r="AF46" s="39">
        <f>SUMIFS(ConsevationBuildoutTracker!$T$2:$T$284,ConsevationBuildoutTracker!$C$2:$C$284,"AMD",ConsevationBuildoutTracker!$E$2:$E$284,"CN",ConsevationBuildoutTracker!$G$2:$G$284,AF$2)</f>
        <v>0</v>
      </c>
      <c r="AG46" s="39">
        <f>SUMIFS(ConsevationBuildoutTracker!$T$2:$T$284,ConsevationBuildoutTracker!$C$2:$C$284,"AMD",ConsevationBuildoutTracker!$E$2:$E$284,"CN",ConsevationBuildoutTracker!$G$2:$G$284,AG$2)</f>
        <v>0</v>
      </c>
      <c r="AH46" s="39">
        <f>SUMIFS(ConsevationBuildoutTracker!$T$2:$T$284,ConsevationBuildoutTracker!$C$2:$C$284,"AMD",ConsevationBuildoutTracker!$E$2:$E$284,"CN",ConsevationBuildoutTracker!$G$2:$G$284,AH$2)</f>
        <v>0</v>
      </c>
      <c r="AI46" s="39">
        <f>SUMIFS(ConsevationBuildoutTracker!$T$2:$T$284,ConsevationBuildoutTracker!$C$2:$C$284,"AMD",ConsevationBuildoutTracker!$E$2:$E$284,"CN",ConsevationBuildoutTracker!$G$2:$G$284,AI$2)</f>
        <v>0</v>
      </c>
      <c r="AJ46" s="39">
        <f>SUMIFS(ConsevationBuildoutTracker!$T$2:$T$284,ConsevationBuildoutTracker!$C$2:$C$284,"AMD",ConsevationBuildoutTracker!$E$2:$E$284,"CN",ConsevationBuildoutTracker!$G$2:$G$284,AJ$2)</f>
        <v>0</v>
      </c>
      <c r="AK46" s="39">
        <f>SUMIFS(ConsevationBuildoutTracker!$T$2:$T$284,ConsevationBuildoutTracker!$C$2:$C$284,"AMD",ConsevationBuildoutTracker!$E$2:$E$284,"CN",ConsevationBuildoutTracker!$G$2:$G$284,AK$2)</f>
        <v>0</v>
      </c>
    </row>
    <row r="47" spans="2:37" x14ac:dyDescent="0.25">
      <c r="E47" t="s">
        <v>26</v>
      </c>
      <c r="H47" t="s">
        <v>32</v>
      </c>
      <c r="I47" s="39"/>
      <c r="J47" s="39"/>
      <c r="K47" s="39"/>
      <c r="L47" s="39"/>
      <c r="M47" s="39"/>
      <c r="N47" s="39"/>
      <c r="O47" s="39"/>
      <c r="P47" s="39"/>
      <c r="Q47" s="39"/>
      <c r="R47" s="39"/>
      <c r="S47" s="39">
        <v>0</v>
      </c>
      <c r="T47" s="39">
        <v>0</v>
      </c>
      <c r="U47" s="39">
        <v>0</v>
      </c>
      <c r="V47" s="39">
        <v>0</v>
      </c>
      <c r="W47" s="39">
        <f>SUMIFS(ConsevationBuildoutTracker!$T$2:$T$284,ConsevationBuildoutTracker!$C$2:$C$284,"AMD",ConsevationBuildoutTracker!$E$2:$E$284,"R",ConsevationBuildoutTracker!$G$2:$G$284,W$2)</f>
        <v>0</v>
      </c>
      <c r="X47" s="39">
        <f>SUMIFS(ConsevationBuildoutTracker!$T$2:$T$284,ConsevationBuildoutTracker!$C$2:$C$284,"AMD",ConsevationBuildoutTracker!$E$2:$E$284,"R",ConsevationBuildoutTracker!$G$2:$G$284,X$2)</f>
        <v>0</v>
      </c>
      <c r="Y47" s="39">
        <f>SUMIFS(ConsevationBuildoutTracker!$T$2:$T$284,ConsevationBuildoutTracker!$C$2:$C$284,"AMD",ConsevationBuildoutTracker!$E$2:$E$284,"R",ConsevationBuildoutTracker!$G$2:$G$284,Y$2)</f>
        <v>0</v>
      </c>
      <c r="Z47" s="39">
        <f>SUMIFS(ConsevationBuildoutTracker!$T$2:$T$284,ConsevationBuildoutTracker!$C$2:$C$284,"AMD",ConsevationBuildoutTracker!$E$2:$E$284,"R",ConsevationBuildoutTracker!$G$2:$G$284,Z$2)</f>
        <v>0</v>
      </c>
      <c r="AA47" s="39">
        <f>SUMIFS(ConsevationBuildoutTracker!$T$2:$T$284,ConsevationBuildoutTracker!$C$2:$C$284,"AMD",ConsevationBuildoutTracker!$E$2:$E$284,"R",ConsevationBuildoutTracker!$G$2:$G$284,AA$2)</f>
        <v>0</v>
      </c>
      <c r="AB47" s="39">
        <f>SUMIFS(ConsevationBuildoutTracker!$T$2:$T$284,ConsevationBuildoutTracker!$C$2:$C$284,"AMD",ConsevationBuildoutTracker!$E$2:$E$284,"R",ConsevationBuildoutTracker!$G$2:$G$284,AB$2)</f>
        <v>0</v>
      </c>
      <c r="AC47" s="39">
        <f>SUMIFS(ConsevationBuildoutTracker!$T$2:$T$284,ConsevationBuildoutTracker!$C$2:$C$284,"AMD",ConsevationBuildoutTracker!$E$2:$E$284,"R",ConsevationBuildoutTracker!$G$2:$G$284,AC$2)</f>
        <v>0</v>
      </c>
      <c r="AD47" s="39">
        <f>SUMIFS(ConsevationBuildoutTracker!$T$2:$T$284,ConsevationBuildoutTracker!$C$2:$C$284,"AMD",ConsevationBuildoutTracker!$E$2:$E$284,"R",ConsevationBuildoutTracker!$G$2:$G$284,AD$2)</f>
        <v>0</v>
      </c>
      <c r="AE47" s="39">
        <f>SUMIFS(ConsevationBuildoutTracker!$T$2:$T$284,ConsevationBuildoutTracker!$C$2:$C$284,"AMD",ConsevationBuildoutTracker!$E$2:$E$284,"R",ConsevationBuildoutTracker!$G$2:$G$284,AE$2)</f>
        <v>0</v>
      </c>
      <c r="AF47" s="39">
        <f>SUMIFS(ConsevationBuildoutTracker!$T$2:$T$284,ConsevationBuildoutTracker!$C$2:$C$284,"AMD",ConsevationBuildoutTracker!$E$2:$E$284,"R",ConsevationBuildoutTracker!$G$2:$G$284,AF$2)</f>
        <v>0</v>
      </c>
      <c r="AG47" s="39">
        <f>SUMIFS(ConsevationBuildoutTracker!$T$2:$T$284,ConsevationBuildoutTracker!$C$2:$C$284,"AMD",ConsevationBuildoutTracker!$E$2:$E$284,"R",ConsevationBuildoutTracker!$G$2:$G$284,AG$2)</f>
        <v>0</v>
      </c>
      <c r="AH47" s="39">
        <f>SUMIFS(ConsevationBuildoutTracker!$T$2:$T$284,ConsevationBuildoutTracker!$C$2:$C$284,"AMD",ConsevationBuildoutTracker!$E$2:$E$284,"R",ConsevationBuildoutTracker!$G$2:$G$284,AH$2)</f>
        <v>0</v>
      </c>
      <c r="AI47" s="39">
        <f>SUMIFS(ConsevationBuildoutTracker!$T$2:$T$284,ConsevationBuildoutTracker!$C$2:$C$284,"AMD",ConsevationBuildoutTracker!$E$2:$E$284,"R",ConsevationBuildoutTracker!$G$2:$G$284,AI$2)</f>
        <v>0</v>
      </c>
      <c r="AJ47" s="39">
        <f>SUMIFS(ConsevationBuildoutTracker!$T$2:$T$284,ConsevationBuildoutTracker!$C$2:$C$284,"AMD",ConsevationBuildoutTracker!$E$2:$E$284,"R",ConsevationBuildoutTracker!$G$2:$G$284,AJ$2)</f>
        <v>0</v>
      </c>
      <c r="AK47" s="39">
        <f>SUMIFS(ConsevationBuildoutTracker!$T$2:$T$284,ConsevationBuildoutTracker!$C$2:$C$284,"AMD",ConsevationBuildoutTracker!$E$2:$E$284,"R",ConsevationBuildoutTracker!$G$2:$G$284,AK$2)</f>
        <v>0</v>
      </c>
    </row>
    <row r="48" spans="2:37" s="10" customFormat="1" x14ac:dyDescent="0.25">
      <c r="B48" s="11"/>
      <c r="D48" s="10" t="s">
        <v>6</v>
      </c>
      <c r="H48" s="10" t="s">
        <v>32</v>
      </c>
      <c r="I48" s="41"/>
      <c r="J48" s="41"/>
      <c r="K48" s="41"/>
      <c r="L48" s="41"/>
      <c r="M48" s="41"/>
      <c r="N48" s="41"/>
      <c r="O48" s="41"/>
      <c r="P48" s="41"/>
      <c r="Q48" s="41"/>
      <c r="R48" s="41"/>
      <c r="S48" s="41">
        <f t="shared" ref="S48:AK48" si="12">SUM(S49:S50)</f>
        <v>0</v>
      </c>
      <c r="T48" s="41">
        <f t="shared" si="12"/>
        <v>0</v>
      </c>
      <c r="U48" s="41">
        <f t="shared" si="12"/>
        <v>0</v>
      </c>
      <c r="V48" s="41">
        <f t="shared" si="12"/>
        <v>0</v>
      </c>
      <c r="W48" s="41">
        <f t="shared" si="12"/>
        <v>0</v>
      </c>
      <c r="X48" s="41">
        <f t="shared" si="12"/>
        <v>-594.59400000000005</v>
      </c>
      <c r="Y48" s="41">
        <f t="shared" si="12"/>
        <v>-2378.3760000000002</v>
      </c>
      <c r="Z48" s="41">
        <f t="shared" si="12"/>
        <v>-9339</v>
      </c>
      <c r="AA48" s="41">
        <f t="shared" si="12"/>
        <v>0</v>
      </c>
      <c r="AB48" s="41">
        <f t="shared" si="12"/>
        <v>0</v>
      </c>
      <c r="AC48" s="41">
        <f t="shared" si="12"/>
        <v>0</v>
      </c>
      <c r="AD48" s="41">
        <f t="shared" si="12"/>
        <v>0</v>
      </c>
      <c r="AE48" s="41">
        <f t="shared" si="12"/>
        <v>0</v>
      </c>
      <c r="AF48" s="41">
        <f t="shared" si="12"/>
        <v>0</v>
      </c>
      <c r="AG48" s="41">
        <f t="shared" si="12"/>
        <v>0</v>
      </c>
      <c r="AH48" s="41">
        <f t="shared" si="12"/>
        <v>0</v>
      </c>
      <c r="AI48" s="41">
        <f t="shared" si="12"/>
        <v>0</v>
      </c>
      <c r="AJ48" s="41">
        <f t="shared" si="12"/>
        <v>0</v>
      </c>
      <c r="AK48" s="41">
        <f t="shared" si="12"/>
        <v>0</v>
      </c>
    </row>
    <row r="49" spans="1:37" x14ac:dyDescent="0.25">
      <c r="E49" t="s">
        <v>25</v>
      </c>
      <c r="H49" t="s">
        <v>32</v>
      </c>
      <c r="I49" s="39"/>
      <c r="J49" s="39"/>
      <c r="K49" s="39"/>
      <c r="L49" s="39"/>
      <c r="M49" s="39"/>
      <c r="N49" s="39"/>
      <c r="O49" s="39"/>
      <c r="P49" s="39"/>
      <c r="Q49" s="39"/>
      <c r="R49" s="39"/>
      <c r="S49" s="39">
        <v>0</v>
      </c>
      <c r="T49" s="39">
        <v>0</v>
      </c>
      <c r="U49" s="39">
        <v>0</v>
      </c>
      <c r="V49" s="39">
        <v>0</v>
      </c>
      <c r="W49" s="39">
        <f>SUMIFS(ConsevationBuildoutTracker!$T$2:$T$284,ConsevationBuildoutTracker!$C$2:$C$284,"CE",ConsevationBuildoutTracker!$E$2:$E$284,"CN",ConsevationBuildoutTracker!$G$2:$G$284,W$2)</f>
        <v>0</v>
      </c>
      <c r="X49" s="39">
        <f>SUMIFS(ConsevationBuildoutTracker!$T$2:$T$284,ConsevationBuildoutTracker!$C$2:$C$284,"CE",ConsevationBuildoutTracker!$E$2:$E$284,"CN",ConsevationBuildoutTracker!$G$2:$G$284,X$2)</f>
        <v>0</v>
      </c>
      <c r="Y49" s="39">
        <f>SUMIFS(ConsevationBuildoutTracker!$T$2:$T$284,ConsevationBuildoutTracker!$C$2:$C$284,"CE",ConsevationBuildoutTracker!$E$2:$E$284,"CN",ConsevationBuildoutTracker!$G$2:$G$284,Y$2)</f>
        <v>0</v>
      </c>
      <c r="Z49" s="39">
        <f>SUMIFS(ConsevationBuildoutTracker!$T$2:$T$284,ConsevationBuildoutTracker!$C$2:$C$284,"CE",ConsevationBuildoutTracker!$E$2:$E$284,"CN",ConsevationBuildoutTracker!$G$2:$G$284,Z$2)</f>
        <v>-9339</v>
      </c>
      <c r="AA49" s="39">
        <f>SUMIFS(ConsevationBuildoutTracker!$T$2:$T$284,ConsevationBuildoutTracker!$C$2:$C$284,"CE",ConsevationBuildoutTracker!$E$2:$E$284,"CN",ConsevationBuildoutTracker!$G$2:$G$284,AA$2)</f>
        <v>0</v>
      </c>
      <c r="AB49" s="39">
        <f>SUMIFS(ConsevationBuildoutTracker!$T$2:$T$284,ConsevationBuildoutTracker!$C$2:$C$284,"CE",ConsevationBuildoutTracker!$E$2:$E$284,"CN",ConsevationBuildoutTracker!$G$2:$G$284,AB$2)</f>
        <v>0</v>
      </c>
      <c r="AC49" s="39">
        <f>SUMIFS(ConsevationBuildoutTracker!$T$2:$T$284,ConsevationBuildoutTracker!$C$2:$C$284,"CE",ConsevationBuildoutTracker!$E$2:$E$284,"CN",ConsevationBuildoutTracker!$G$2:$G$284,AC$2)</f>
        <v>0</v>
      </c>
      <c r="AD49" s="39">
        <f>SUMIFS(ConsevationBuildoutTracker!$T$2:$T$284,ConsevationBuildoutTracker!$C$2:$C$284,"CE",ConsevationBuildoutTracker!$E$2:$E$284,"CN",ConsevationBuildoutTracker!$G$2:$G$284,AD$2)</f>
        <v>0</v>
      </c>
      <c r="AE49" s="39">
        <f>SUMIFS(ConsevationBuildoutTracker!$T$2:$T$284,ConsevationBuildoutTracker!$C$2:$C$284,"CE",ConsevationBuildoutTracker!$E$2:$E$284,"CN",ConsevationBuildoutTracker!$G$2:$G$284,AE$2)</f>
        <v>0</v>
      </c>
      <c r="AF49" s="39">
        <f>SUMIFS(ConsevationBuildoutTracker!$T$2:$T$284,ConsevationBuildoutTracker!$C$2:$C$284,"CE",ConsevationBuildoutTracker!$E$2:$E$284,"CN",ConsevationBuildoutTracker!$G$2:$G$284,AF$2)</f>
        <v>0</v>
      </c>
      <c r="AG49" s="39">
        <f>SUMIFS(ConsevationBuildoutTracker!$T$2:$T$284,ConsevationBuildoutTracker!$C$2:$C$284,"CE",ConsevationBuildoutTracker!$E$2:$E$284,"CN",ConsevationBuildoutTracker!$G$2:$G$284,AG$2)</f>
        <v>0</v>
      </c>
      <c r="AH49" s="39">
        <f>SUMIFS(ConsevationBuildoutTracker!$T$2:$T$284,ConsevationBuildoutTracker!$C$2:$C$284,"CE",ConsevationBuildoutTracker!$E$2:$E$284,"CN",ConsevationBuildoutTracker!$G$2:$G$284,AH$2)</f>
        <v>0</v>
      </c>
      <c r="AI49" s="39">
        <f>SUMIFS(ConsevationBuildoutTracker!$T$2:$T$284,ConsevationBuildoutTracker!$C$2:$C$284,"CE",ConsevationBuildoutTracker!$E$2:$E$284,"CN",ConsevationBuildoutTracker!$G$2:$G$284,AI$2)</f>
        <v>0</v>
      </c>
      <c r="AJ49" s="39">
        <f>SUMIFS(ConsevationBuildoutTracker!$T$2:$T$284,ConsevationBuildoutTracker!$C$2:$C$284,"CE",ConsevationBuildoutTracker!$E$2:$E$284,"CN",ConsevationBuildoutTracker!$G$2:$G$284,AJ$2)</f>
        <v>0</v>
      </c>
      <c r="AK49" s="39">
        <f>SUMIFS(ConsevationBuildoutTracker!$T$2:$T$284,ConsevationBuildoutTracker!$C$2:$C$284,"CE",ConsevationBuildoutTracker!$E$2:$E$284,"CN",ConsevationBuildoutTracker!$G$2:$G$284,AK$2)</f>
        <v>0</v>
      </c>
    </row>
    <row r="50" spans="1:37" x14ac:dyDescent="0.25">
      <c r="E50" t="s">
        <v>26</v>
      </c>
      <c r="H50" t="s">
        <v>32</v>
      </c>
      <c r="I50" s="39"/>
      <c r="J50" s="39"/>
      <c r="K50" s="39"/>
      <c r="L50" s="39"/>
      <c r="M50" s="39"/>
      <c r="N50" s="39"/>
      <c r="O50" s="39"/>
      <c r="P50" s="39"/>
      <c r="Q50" s="39"/>
      <c r="R50" s="39"/>
      <c r="S50" s="39">
        <v>0</v>
      </c>
      <c r="T50" s="39">
        <v>0</v>
      </c>
      <c r="U50" s="39">
        <v>0</v>
      </c>
      <c r="V50" s="39">
        <v>0</v>
      </c>
      <c r="W50" s="39">
        <f>SUMIFS(ConsevationBuildoutTracker!$T$2:$T$284,ConsevationBuildoutTracker!$C$2:$C$284,"CE",ConsevationBuildoutTracker!$E$2:$E$284,"R",ConsevationBuildoutTracker!$G$2:$G$284,W$2)</f>
        <v>0</v>
      </c>
      <c r="X50" s="39">
        <f>SUMIFS(ConsevationBuildoutTracker!$T$2:$T$284,ConsevationBuildoutTracker!$C$2:$C$284,"CE",ConsevationBuildoutTracker!$E$2:$E$284,"R",ConsevationBuildoutTracker!$G$2:$G$284,X$2)</f>
        <v>-594.59400000000005</v>
      </c>
      <c r="Y50" s="39">
        <f>SUMIFS(ConsevationBuildoutTracker!$T$2:$T$284,ConsevationBuildoutTracker!$C$2:$C$284,"CE",ConsevationBuildoutTracker!$E$2:$E$284,"R",ConsevationBuildoutTracker!$G$2:$G$284,Y$2)</f>
        <v>-2378.3760000000002</v>
      </c>
      <c r="Z50" s="39">
        <f>SUMIFS(ConsevationBuildoutTracker!$T$2:$T$284,ConsevationBuildoutTracker!$C$2:$C$284,"CE",ConsevationBuildoutTracker!$E$2:$E$284,"R",ConsevationBuildoutTracker!$G$2:$G$284,Z$2)</f>
        <v>0</v>
      </c>
      <c r="AA50" s="39">
        <f>SUMIFS(ConsevationBuildoutTracker!$T$2:$T$284,ConsevationBuildoutTracker!$C$2:$C$284,"CE",ConsevationBuildoutTracker!$E$2:$E$284,"R",ConsevationBuildoutTracker!$G$2:$G$284,AA$2)</f>
        <v>0</v>
      </c>
      <c r="AB50" s="39">
        <f>SUMIFS(ConsevationBuildoutTracker!$T$2:$T$284,ConsevationBuildoutTracker!$C$2:$C$284,"CE",ConsevationBuildoutTracker!$E$2:$E$284,"R",ConsevationBuildoutTracker!$G$2:$G$284,AB$2)</f>
        <v>0</v>
      </c>
      <c r="AC50" s="39">
        <f>SUMIFS(ConsevationBuildoutTracker!$T$2:$T$284,ConsevationBuildoutTracker!$C$2:$C$284,"CE",ConsevationBuildoutTracker!$E$2:$E$284,"R",ConsevationBuildoutTracker!$G$2:$G$284,AC$2)</f>
        <v>0</v>
      </c>
      <c r="AD50" s="39">
        <f>SUMIFS(ConsevationBuildoutTracker!$T$2:$T$284,ConsevationBuildoutTracker!$C$2:$C$284,"CE",ConsevationBuildoutTracker!$E$2:$E$284,"R",ConsevationBuildoutTracker!$G$2:$G$284,AD$2)</f>
        <v>0</v>
      </c>
      <c r="AE50" s="39">
        <f>SUMIFS(ConsevationBuildoutTracker!$T$2:$T$284,ConsevationBuildoutTracker!$C$2:$C$284,"CE",ConsevationBuildoutTracker!$E$2:$E$284,"R",ConsevationBuildoutTracker!$G$2:$G$284,AE$2)</f>
        <v>0</v>
      </c>
      <c r="AF50" s="39">
        <f>SUMIFS(ConsevationBuildoutTracker!$T$2:$T$284,ConsevationBuildoutTracker!$C$2:$C$284,"CE",ConsevationBuildoutTracker!$E$2:$E$284,"R",ConsevationBuildoutTracker!$G$2:$G$284,AF$2)</f>
        <v>0</v>
      </c>
      <c r="AG50" s="39">
        <f>SUMIFS(ConsevationBuildoutTracker!$T$2:$T$284,ConsevationBuildoutTracker!$C$2:$C$284,"CE",ConsevationBuildoutTracker!$E$2:$E$284,"R",ConsevationBuildoutTracker!$G$2:$G$284,AG$2)</f>
        <v>0</v>
      </c>
      <c r="AH50" s="39">
        <f>SUMIFS(ConsevationBuildoutTracker!$T$2:$T$284,ConsevationBuildoutTracker!$C$2:$C$284,"CE",ConsevationBuildoutTracker!$E$2:$E$284,"R",ConsevationBuildoutTracker!$G$2:$G$284,AH$2)</f>
        <v>0</v>
      </c>
      <c r="AI50" s="39">
        <f>SUMIFS(ConsevationBuildoutTracker!$T$2:$T$284,ConsevationBuildoutTracker!$C$2:$C$284,"CE",ConsevationBuildoutTracker!$E$2:$E$284,"R",ConsevationBuildoutTracker!$G$2:$G$284,AI$2)</f>
        <v>0</v>
      </c>
      <c r="AJ50" s="39">
        <f>SUMIFS(ConsevationBuildoutTracker!$T$2:$T$284,ConsevationBuildoutTracker!$C$2:$C$284,"CE",ConsevationBuildoutTracker!$E$2:$E$284,"R",ConsevationBuildoutTracker!$G$2:$G$284,AJ$2)</f>
        <v>0</v>
      </c>
      <c r="AK50" s="39">
        <f>SUMIFS(ConsevationBuildoutTracker!$T$2:$T$284,ConsevationBuildoutTracker!$C$2:$C$284,"CE",ConsevationBuildoutTracker!$E$2:$E$284,"R",ConsevationBuildoutTracker!$G$2:$G$284,AK$2)</f>
        <v>0</v>
      </c>
    </row>
    <row r="51" spans="1:37" s="10" customFormat="1" x14ac:dyDescent="0.25">
      <c r="B51" s="11"/>
      <c r="D51" s="10" t="s">
        <v>27</v>
      </c>
      <c r="H51" s="10" t="s">
        <v>32</v>
      </c>
      <c r="I51" s="41"/>
      <c r="J51" s="41"/>
      <c r="K51" s="41"/>
      <c r="L51" s="41"/>
      <c r="M51" s="41"/>
      <c r="N51" s="41"/>
      <c r="O51" s="41"/>
      <c r="P51" s="41"/>
      <c r="Q51" s="41"/>
      <c r="R51" s="41"/>
      <c r="S51" s="41">
        <f t="shared" ref="S51:AK51" si="13">SUM(S52:S53)</f>
        <v>0</v>
      </c>
      <c r="T51" s="41">
        <f t="shared" si="13"/>
        <v>0</v>
      </c>
      <c r="U51" s="41">
        <f t="shared" si="13"/>
        <v>0</v>
      </c>
      <c r="V51" s="41">
        <f t="shared" si="13"/>
        <v>0</v>
      </c>
      <c r="W51" s="41">
        <f t="shared" si="13"/>
        <v>-10045.894319999999</v>
      </c>
      <c r="X51" s="41">
        <f t="shared" si="13"/>
        <v>0</v>
      </c>
      <c r="Y51" s="41">
        <f t="shared" si="13"/>
        <v>0</v>
      </c>
      <c r="Z51" s="41">
        <f t="shared" si="13"/>
        <v>0</v>
      </c>
      <c r="AA51" s="41">
        <f t="shared" si="13"/>
        <v>0</v>
      </c>
      <c r="AB51" s="41">
        <f t="shared" si="13"/>
        <v>0</v>
      </c>
      <c r="AC51" s="41">
        <f t="shared" si="13"/>
        <v>0</v>
      </c>
      <c r="AD51" s="41">
        <f t="shared" si="13"/>
        <v>0</v>
      </c>
      <c r="AE51" s="41">
        <f t="shared" si="13"/>
        <v>0</v>
      </c>
      <c r="AF51" s="41">
        <f t="shared" si="13"/>
        <v>0</v>
      </c>
      <c r="AG51" s="41">
        <f t="shared" si="13"/>
        <v>0</v>
      </c>
      <c r="AH51" s="41">
        <f t="shared" si="13"/>
        <v>0</v>
      </c>
      <c r="AI51" s="41">
        <f t="shared" si="13"/>
        <v>0</v>
      </c>
      <c r="AJ51" s="41">
        <f t="shared" si="13"/>
        <v>0</v>
      </c>
      <c r="AK51" s="41">
        <f t="shared" si="13"/>
        <v>0</v>
      </c>
    </row>
    <row r="52" spans="1:37" x14ac:dyDescent="0.25">
      <c r="E52" t="s">
        <v>25</v>
      </c>
      <c r="H52" t="s">
        <v>32</v>
      </c>
      <c r="I52" s="39"/>
      <c r="J52" s="39"/>
      <c r="K52" s="39"/>
      <c r="L52" s="39"/>
      <c r="M52" s="39"/>
      <c r="N52" s="39"/>
      <c r="O52" s="39"/>
      <c r="P52" s="39"/>
      <c r="Q52" s="39"/>
      <c r="R52" s="39"/>
      <c r="S52" s="39">
        <v>0</v>
      </c>
      <c r="T52" s="39">
        <v>0</v>
      </c>
      <c r="U52" s="39">
        <v>0</v>
      </c>
      <c r="V52" s="39">
        <v>0</v>
      </c>
      <c r="W52" s="39">
        <f>SUMIFS(ConsevationBuildoutTracker!$T$2:$T$284,ConsevationBuildoutTracker!$C$2:$C$284,"PPT",ConsevationBuildoutTracker!$E$2:$E$284,"CN",ConsevationBuildoutTracker!$G$2:$G$284,W$2)</f>
        <v>0</v>
      </c>
      <c r="X52" s="39">
        <f>SUMIFS(ConsevationBuildoutTracker!$T$2:$T$284,ConsevationBuildoutTracker!$C$2:$C$284,"PPT",ConsevationBuildoutTracker!$E$2:$E$284,"CN",ConsevationBuildoutTracker!$G$2:$G$284,X$2)</f>
        <v>0</v>
      </c>
      <c r="Y52" s="39">
        <f>SUMIFS(ConsevationBuildoutTracker!$T$2:$T$284,ConsevationBuildoutTracker!$C$2:$C$284,"PPT",ConsevationBuildoutTracker!$E$2:$E$284,"CN",ConsevationBuildoutTracker!$G$2:$G$284,Y$2)</f>
        <v>0</v>
      </c>
      <c r="Z52" s="39">
        <f>SUMIFS(ConsevationBuildoutTracker!$T$2:$T$284,ConsevationBuildoutTracker!$C$2:$C$284,"PPT",ConsevationBuildoutTracker!$E$2:$E$284,"CN",ConsevationBuildoutTracker!$G$2:$G$284,Z$2)</f>
        <v>0</v>
      </c>
      <c r="AA52" s="39">
        <f>SUMIFS(ConsevationBuildoutTracker!$T$2:$T$284,ConsevationBuildoutTracker!$C$2:$C$284,"PPT",ConsevationBuildoutTracker!$E$2:$E$284,"CN",ConsevationBuildoutTracker!$G$2:$G$284,AA$2)</f>
        <v>0</v>
      </c>
      <c r="AB52" s="39">
        <f>SUMIFS(ConsevationBuildoutTracker!$T$2:$T$284,ConsevationBuildoutTracker!$C$2:$C$284,"PPT",ConsevationBuildoutTracker!$E$2:$E$284,"CN",ConsevationBuildoutTracker!$G$2:$G$284,AB$2)</f>
        <v>0</v>
      </c>
      <c r="AC52" s="39">
        <f>SUMIFS(ConsevationBuildoutTracker!$T$2:$T$284,ConsevationBuildoutTracker!$C$2:$C$284,"PPT",ConsevationBuildoutTracker!$E$2:$E$284,"CN",ConsevationBuildoutTracker!$G$2:$G$284,AC$2)</f>
        <v>0</v>
      </c>
      <c r="AD52" s="39">
        <f>SUMIFS(ConsevationBuildoutTracker!$T$2:$T$284,ConsevationBuildoutTracker!$C$2:$C$284,"PPT",ConsevationBuildoutTracker!$E$2:$E$284,"CN",ConsevationBuildoutTracker!$G$2:$G$284,AD$2)</f>
        <v>0</v>
      </c>
      <c r="AE52" s="39">
        <f>SUMIFS(ConsevationBuildoutTracker!$T$2:$T$284,ConsevationBuildoutTracker!$C$2:$C$284,"PPT",ConsevationBuildoutTracker!$E$2:$E$284,"CN",ConsevationBuildoutTracker!$G$2:$G$284,AE$2)</f>
        <v>0</v>
      </c>
      <c r="AF52" s="39">
        <f>SUMIFS(ConsevationBuildoutTracker!$T$2:$T$284,ConsevationBuildoutTracker!$C$2:$C$284,"PPT",ConsevationBuildoutTracker!$E$2:$E$284,"CN",ConsevationBuildoutTracker!$G$2:$G$284,AF$2)</f>
        <v>0</v>
      </c>
      <c r="AG52" s="39">
        <f>SUMIFS(ConsevationBuildoutTracker!$T$2:$T$284,ConsevationBuildoutTracker!$C$2:$C$284,"PPT",ConsevationBuildoutTracker!$E$2:$E$284,"CN",ConsevationBuildoutTracker!$G$2:$G$284,AG$2)</f>
        <v>0</v>
      </c>
      <c r="AH52" s="39">
        <f>SUMIFS(ConsevationBuildoutTracker!$T$2:$T$284,ConsevationBuildoutTracker!$C$2:$C$284,"PPT",ConsevationBuildoutTracker!$E$2:$E$284,"CN",ConsevationBuildoutTracker!$G$2:$G$284,AH$2)</f>
        <v>0</v>
      </c>
      <c r="AI52" s="39">
        <f>SUMIFS(ConsevationBuildoutTracker!$T$2:$T$284,ConsevationBuildoutTracker!$C$2:$C$284,"PPT",ConsevationBuildoutTracker!$E$2:$E$284,"CN",ConsevationBuildoutTracker!$G$2:$G$284,AI$2)</f>
        <v>0</v>
      </c>
      <c r="AJ52" s="39">
        <f>SUMIFS(ConsevationBuildoutTracker!$T$2:$T$284,ConsevationBuildoutTracker!$C$2:$C$284,"PPT",ConsevationBuildoutTracker!$E$2:$E$284,"CN",ConsevationBuildoutTracker!$G$2:$G$284,AJ$2)</f>
        <v>0</v>
      </c>
      <c r="AK52" s="39">
        <f>SUMIFS(ConsevationBuildoutTracker!$T$2:$T$284,ConsevationBuildoutTracker!$C$2:$C$284,"PPT",ConsevationBuildoutTracker!$E$2:$E$284,"CN",ConsevationBuildoutTracker!$G$2:$G$284,AK$2)</f>
        <v>0</v>
      </c>
    </row>
    <row r="53" spans="1:37" x14ac:dyDescent="0.25">
      <c r="E53" t="s">
        <v>26</v>
      </c>
      <c r="H53" t="s">
        <v>32</v>
      </c>
      <c r="I53" s="39"/>
      <c r="J53" s="39"/>
      <c r="K53" s="39"/>
      <c r="L53" s="39"/>
      <c r="M53" s="39"/>
      <c r="N53" s="39"/>
      <c r="O53" s="39"/>
      <c r="P53" s="39"/>
      <c r="Q53" s="39"/>
      <c r="R53" s="39"/>
      <c r="S53" s="39">
        <v>0</v>
      </c>
      <c r="T53" s="39">
        <v>0</v>
      </c>
      <c r="U53" s="39">
        <v>0</v>
      </c>
      <c r="V53" s="39">
        <v>0</v>
      </c>
      <c r="W53" s="39">
        <f>SUMIFS(ConsevationBuildoutTracker!$T$2:$T$284,ConsevationBuildoutTracker!$C$2:$C$284,"PPT",ConsevationBuildoutTracker!$E$2:$E$284,"R",ConsevationBuildoutTracker!$G$2:$G$284,W$2)</f>
        <v>-10045.894319999999</v>
      </c>
      <c r="X53" s="39">
        <f>SUMIFS(ConsevationBuildoutTracker!$T$2:$T$284,ConsevationBuildoutTracker!$C$2:$C$284,"PPT",ConsevationBuildoutTracker!$E$2:$E$284,"R",ConsevationBuildoutTracker!$G$2:$G$284,X$2)</f>
        <v>0</v>
      </c>
      <c r="Y53" s="39">
        <f>SUMIFS(ConsevationBuildoutTracker!$T$2:$T$284,ConsevationBuildoutTracker!$C$2:$C$284,"PPT",ConsevationBuildoutTracker!$E$2:$E$284,"R",ConsevationBuildoutTracker!$G$2:$G$284,Y$2)</f>
        <v>0</v>
      </c>
      <c r="Z53" s="39">
        <f>SUMIFS(ConsevationBuildoutTracker!$T$2:$T$284,ConsevationBuildoutTracker!$C$2:$C$284,"PPT",ConsevationBuildoutTracker!$E$2:$E$284,"R",ConsevationBuildoutTracker!$G$2:$G$284,Z$2)</f>
        <v>0</v>
      </c>
      <c r="AA53" s="39">
        <f>SUMIFS(ConsevationBuildoutTracker!$T$2:$T$284,ConsevationBuildoutTracker!$C$2:$C$284,"PPT",ConsevationBuildoutTracker!$E$2:$E$284,"R",ConsevationBuildoutTracker!$G$2:$G$284,AA$2)</f>
        <v>0</v>
      </c>
      <c r="AB53" s="39">
        <f>SUMIFS(ConsevationBuildoutTracker!$T$2:$T$284,ConsevationBuildoutTracker!$C$2:$C$284,"PPT",ConsevationBuildoutTracker!$E$2:$E$284,"R",ConsevationBuildoutTracker!$G$2:$G$284,AB$2)</f>
        <v>0</v>
      </c>
      <c r="AC53" s="39">
        <f>SUMIFS(ConsevationBuildoutTracker!$T$2:$T$284,ConsevationBuildoutTracker!$C$2:$C$284,"PPT",ConsevationBuildoutTracker!$E$2:$E$284,"R",ConsevationBuildoutTracker!$G$2:$G$284,AC$2)</f>
        <v>0</v>
      </c>
      <c r="AD53" s="39">
        <f>SUMIFS(ConsevationBuildoutTracker!$T$2:$T$284,ConsevationBuildoutTracker!$C$2:$C$284,"PPT",ConsevationBuildoutTracker!$E$2:$E$284,"R",ConsevationBuildoutTracker!$G$2:$G$284,AD$2)</f>
        <v>0</v>
      </c>
      <c r="AE53" s="39">
        <f>SUMIFS(ConsevationBuildoutTracker!$T$2:$T$284,ConsevationBuildoutTracker!$C$2:$C$284,"PPT",ConsevationBuildoutTracker!$E$2:$E$284,"R",ConsevationBuildoutTracker!$G$2:$G$284,AE$2)</f>
        <v>0</v>
      </c>
      <c r="AF53" s="39">
        <f>SUMIFS(ConsevationBuildoutTracker!$T$2:$T$284,ConsevationBuildoutTracker!$C$2:$C$284,"PPT",ConsevationBuildoutTracker!$E$2:$E$284,"R",ConsevationBuildoutTracker!$G$2:$G$284,AF$2)</f>
        <v>0</v>
      </c>
      <c r="AG53" s="39">
        <f>SUMIFS(ConsevationBuildoutTracker!$T$2:$T$284,ConsevationBuildoutTracker!$C$2:$C$284,"PPT",ConsevationBuildoutTracker!$E$2:$E$284,"R",ConsevationBuildoutTracker!$G$2:$G$284,AG$2)</f>
        <v>0</v>
      </c>
      <c r="AH53" s="39">
        <f>SUMIFS(ConsevationBuildoutTracker!$T$2:$T$284,ConsevationBuildoutTracker!$C$2:$C$284,"PPT",ConsevationBuildoutTracker!$E$2:$E$284,"R",ConsevationBuildoutTracker!$G$2:$G$284,AH$2)</f>
        <v>0</v>
      </c>
      <c r="AI53" s="39">
        <f>SUMIFS(ConsevationBuildoutTracker!$T$2:$T$284,ConsevationBuildoutTracker!$C$2:$C$284,"PPT",ConsevationBuildoutTracker!$E$2:$E$284,"R",ConsevationBuildoutTracker!$G$2:$G$284,AI$2)</f>
        <v>0</v>
      </c>
      <c r="AJ53" s="39">
        <f>SUMIFS(ConsevationBuildoutTracker!$T$2:$T$284,ConsevationBuildoutTracker!$C$2:$C$284,"PPT",ConsevationBuildoutTracker!$E$2:$E$284,"R",ConsevationBuildoutTracker!$G$2:$G$284,AJ$2)</f>
        <v>0</v>
      </c>
      <c r="AK53" s="39">
        <f>SUMIFS(ConsevationBuildoutTracker!$T$2:$T$284,ConsevationBuildoutTracker!$C$2:$C$284,"PPT",ConsevationBuildoutTracker!$E$2:$E$284,"R",ConsevationBuildoutTracker!$G$2:$G$284,AK$2)</f>
        <v>0</v>
      </c>
    </row>
    <row r="54" spans="1:37" s="2" customFormat="1" x14ac:dyDescent="0.25">
      <c r="B54" s="3"/>
    </row>
    <row r="55" spans="1:37" s="28" customFormat="1" ht="17.25" x14ac:dyDescent="0.3">
      <c r="A55" s="28" t="s">
        <v>33</v>
      </c>
    </row>
    <row r="56" spans="1:37" x14ac:dyDescent="0.25">
      <c r="B56" s="29" t="s">
        <v>3</v>
      </c>
      <c r="C56" t="s">
        <v>34</v>
      </c>
    </row>
    <row r="57" spans="1:37" x14ac:dyDescent="0.25">
      <c r="B57" s="29"/>
      <c r="C57" s="43"/>
      <c r="D57" s="8" t="s">
        <v>8</v>
      </c>
    </row>
    <row r="58" spans="1:37" x14ac:dyDescent="0.25">
      <c r="B58" s="29"/>
      <c r="C58" s="43"/>
      <c r="D58" s="211" t="s">
        <v>20176</v>
      </c>
    </row>
    <row r="59" spans="1:37" x14ac:dyDescent="0.25">
      <c r="B59" s="29" t="s">
        <v>10</v>
      </c>
      <c r="C59" s="263" t="s">
        <v>35</v>
      </c>
    </row>
    <row r="60" spans="1:37" x14ac:dyDescent="0.25">
      <c r="C60" s="263" t="s">
        <v>36</v>
      </c>
    </row>
    <row r="61" spans="1:37" x14ac:dyDescent="0.25">
      <c r="B61" s="29"/>
      <c r="C61" s="263" t="s">
        <v>37</v>
      </c>
    </row>
    <row r="62" spans="1:37" x14ac:dyDescent="0.25">
      <c r="B62" s="29"/>
      <c r="C62" s="263" t="s">
        <v>38</v>
      </c>
    </row>
    <row r="63" spans="1:37" x14ac:dyDescent="0.25">
      <c r="B63" s="29"/>
      <c r="C63" s="263" t="s">
        <v>39</v>
      </c>
    </row>
    <row r="64" spans="1:37" x14ac:dyDescent="0.25">
      <c r="B64" s="29" t="s">
        <v>14</v>
      </c>
      <c r="C64" t="s">
        <v>20177</v>
      </c>
    </row>
    <row r="65" spans="2:37" x14ac:dyDescent="0.25">
      <c r="B65" s="29"/>
      <c r="C65" t="s">
        <v>20179</v>
      </c>
    </row>
    <row r="66" spans="2:37" x14ac:dyDescent="0.25">
      <c r="B66" s="29"/>
      <c r="C66" t="s">
        <v>20178</v>
      </c>
    </row>
    <row r="67" spans="2:37" x14ac:dyDescent="0.25">
      <c r="B67" s="29"/>
      <c r="C67" t="s">
        <v>40</v>
      </c>
    </row>
    <row r="68" spans="2:37" x14ac:dyDescent="0.25">
      <c r="B68" s="29" t="s">
        <v>17</v>
      </c>
      <c r="C68" t="s">
        <v>18</v>
      </c>
    </row>
    <row r="69" spans="2:37" x14ac:dyDescent="0.25">
      <c r="B69" s="29" t="s">
        <v>19</v>
      </c>
      <c r="C69" t="s">
        <v>41</v>
      </c>
    </row>
    <row r="70" spans="2:37" x14ac:dyDescent="0.25">
      <c r="B70" s="29"/>
      <c r="C70" t="s">
        <v>42</v>
      </c>
    </row>
    <row r="71" spans="2:37" x14ac:dyDescent="0.25">
      <c r="B71" s="29"/>
      <c r="C71" t="s">
        <v>43</v>
      </c>
    </row>
    <row r="72" spans="2:37" s="25" customFormat="1" ht="15.75" thickBot="1" x14ac:dyDescent="0.3">
      <c r="B72" s="30"/>
      <c r="C72" s="25" t="s">
        <v>44</v>
      </c>
    </row>
    <row r="73" spans="2:37" s="8" customFormat="1" ht="15.75" thickTop="1" x14ac:dyDescent="0.25">
      <c r="B73" s="44" t="s">
        <v>21</v>
      </c>
      <c r="D73" s="8" t="s">
        <v>45</v>
      </c>
      <c r="I73" s="42"/>
      <c r="J73" s="42"/>
      <c r="K73" s="42"/>
      <c r="L73" s="42"/>
      <c r="M73" s="42"/>
      <c r="N73" s="42"/>
      <c r="O73" s="42"/>
      <c r="P73" s="42"/>
      <c r="Q73" s="42"/>
      <c r="R73" s="42"/>
      <c r="S73" s="173"/>
      <c r="T73" s="173"/>
      <c r="U73" s="173"/>
      <c r="V73" s="173"/>
      <c r="W73" s="173"/>
      <c r="X73" s="173"/>
      <c r="Y73" s="173"/>
      <c r="Z73" s="173"/>
      <c r="AA73" s="173"/>
    </row>
    <row r="74" spans="2:37" s="10" customFormat="1" x14ac:dyDescent="0.25">
      <c r="B74" s="11"/>
      <c r="E74" s="10" t="s">
        <v>22</v>
      </c>
      <c r="H74" s="10" t="s">
        <v>23</v>
      </c>
      <c r="I74" s="41">
        <f t="shared" ref="I74:AK74" si="14">SUM(I75:I78,I80)</f>
        <v>62</v>
      </c>
      <c r="J74" s="41">
        <f t="shared" si="14"/>
        <v>187</v>
      </c>
      <c r="K74" s="41">
        <f t="shared" si="14"/>
        <v>321</v>
      </c>
      <c r="L74" s="41">
        <f t="shared" si="14"/>
        <v>156</v>
      </c>
      <c r="M74" s="41">
        <f t="shared" si="14"/>
        <v>257</v>
      </c>
      <c r="N74" s="41">
        <f t="shared" si="14"/>
        <v>166</v>
      </c>
      <c r="O74" s="41">
        <f t="shared" si="14"/>
        <v>165</v>
      </c>
      <c r="P74" s="41">
        <f t="shared" si="14"/>
        <v>181</v>
      </c>
      <c r="Q74" s="41">
        <f t="shared" si="14"/>
        <v>170</v>
      </c>
      <c r="R74" s="41">
        <f t="shared" si="14"/>
        <v>68</v>
      </c>
      <c r="S74" s="41">
        <f t="shared" si="14"/>
        <v>66</v>
      </c>
      <c r="T74" s="41">
        <f t="shared" si="14"/>
        <v>63</v>
      </c>
      <c r="U74" s="41">
        <f t="shared" si="14"/>
        <v>106</v>
      </c>
      <c r="V74" s="41">
        <f t="shared" si="14"/>
        <v>127</v>
      </c>
      <c r="W74" s="41">
        <f t="shared" si="14"/>
        <v>133</v>
      </c>
      <c r="X74" s="41">
        <f t="shared" si="14"/>
        <v>86</v>
      </c>
      <c r="Y74" s="41">
        <f t="shared" si="14"/>
        <v>174</v>
      </c>
      <c r="Z74" s="41">
        <f t="shared" si="14"/>
        <v>242</v>
      </c>
      <c r="AA74" s="41">
        <f t="shared" si="14"/>
        <v>235</v>
      </c>
      <c r="AB74" s="41">
        <f t="shared" si="14"/>
        <v>233</v>
      </c>
      <c r="AC74" s="41">
        <f t="shared" si="14"/>
        <v>116</v>
      </c>
      <c r="AD74" s="41">
        <f t="shared" si="14"/>
        <v>-1</v>
      </c>
      <c r="AE74" s="41">
        <f t="shared" si="14"/>
        <v>0</v>
      </c>
      <c r="AF74" s="41">
        <f t="shared" si="14"/>
        <v>0</v>
      </c>
      <c r="AG74" s="41">
        <f t="shared" si="14"/>
        <v>0</v>
      </c>
      <c r="AH74" s="41">
        <f t="shared" si="14"/>
        <v>0</v>
      </c>
      <c r="AI74" s="41">
        <f t="shared" si="14"/>
        <v>0</v>
      </c>
      <c r="AJ74" s="41">
        <f t="shared" si="14"/>
        <v>0</v>
      </c>
      <c r="AK74" s="41">
        <f t="shared" si="14"/>
        <v>0</v>
      </c>
    </row>
    <row r="75" spans="2:37" x14ac:dyDescent="0.25">
      <c r="G75" t="s">
        <v>46</v>
      </c>
      <c r="H75" s="4" t="s">
        <v>23</v>
      </c>
      <c r="I75">
        <f>SUMIFS(BuildingPermits!$AN:$AN,BuildingPermits!$N:$N,I$2)</f>
        <v>0</v>
      </c>
      <c r="J75">
        <f>SUMIFS(BuildingPermits!$AN:$AN,BuildingPermits!$N:$N,J$2)</f>
        <v>0</v>
      </c>
      <c r="K75">
        <f>SUMIFS(BuildingPermits!$AN:$AN,BuildingPermits!$N:$N,K$2)</f>
        <v>0</v>
      </c>
      <c r="L75">
        <f>SUMIFS(BuildingPermits!$AN:$AN,BuildingPermits!$N:$N,L$2)</f>
        <v>0</v>
      </c>
      <c r="M75">
        <f>SUMIFS(BuildingPermits!$AN:$AN,BuildingPermits!$N:$N,M$2)</f>
        <v>1</v>
      </c>
      <c r="N75">
        <f>SUMIFS(BuildingPermits!$AN:$AN,BuildingPermits!$N:$N,N$2)</f>
        <v>1</v>
      </c>
      <c r="O75">
        <f>SUMIFS(BuildingPermits!$AN:$AN,BuildingPermits!$N:$N,O$2)</f>
        <v>0</v>
      </c>
      <c r="P75">
        <f>SUMIFS(BuildingPermits!$AN:$AN,BuildingPermits!$N:$N,P$2)</f>
        <v>1</v>
      </c>
      <c r="Q75">
        <f>SUMIFS(BuildingPermits!$AN:$AN,BuildingPermits!$N:$N,Q$2)</f>
        <v>0</v>
      </c>
      <c r="R75">
        <f>SUMIFS(BuildingPermits!$AN:$AN,BuildingPermits!$N:$N,R$2)</f>
        <v>0</v>
      </c>
      <c r="S75">
        <f>SUMIFS(BuildingPermits!$AN:$AN,BuildingPermits!$N:$N,S$2)</f>
        <v>0</v>
      </c>
      <c r="T75">
        <f>SUMIFS(BuildingPermits!$AN:$AN,BuildingPermits!$N:$N,T$2)</f>
        <v>0</v>
      </c>
      <c r="U75">
        <f>SUMIFS(BuildingPermits!$AN:$AN,BuildingPermits!$N:$N,U$2)</f>
        <v>2</v>
      </c>
      <c r="V75">
        <f>SUMIFS(BuildingPermits!$AN:$AN,BuildingPermits!$N:$N,V$2)</f>
        <v>0</v>
      </c>
      <c r="W75">
        <f>SUMIFS(BuildingPermits!$AN:$AN,BuildingPermits!$N:$N,W$2)</f>
        <v>0</v>
      </c>
      <c r="X75">
        <f>SUMIFS(BuildingPermits!$AN:$AN,BuildingPermits!$N:$N,X$2)</f>
        <v>0</v>
      </c>
      <c r="Y75">
        <f>SUMIFS(BuildingPermits!$AN:$AN,BuildingPermits!$N:$N,Y$2)</f>
        <v>0</v>
      </c>
      <c r="Z75">
        <f>SUMIFS(BuildingPermits!$AN:$AN,BuildingPermits!$N:$N,Z$2)</f>
        <v>0</v>
      </c>
      <c r="AA75">
        <f>SUMIFS(BuildingPermits!$AN:$AN,BuildingPermits!$N:$N,AA$2)</f>
        <v>1</v>
      </c>
      <c r="AB75">
        <f>SUMIFS(BuildingPermits!$AN:$AN,BuildingPermits!$N:$N,AB$2)</f>
        <v>2</v>
      </c>
      <c r="AC75">
        <f>SUMIFS(BuildingPermits!$AN:$AN,BuildingPermits!$N:$N,AC$2)</f>
        <v>1</v>
      </c>
      <c r="AD75">
        <f>SUMIFS(BuildingPermits!$AN:$AN,BuildingPermits!$N:$N,AD$2)</f>
        <v>0</v>
      </c>
      <c r="AE75">
        <f>SUMIFS(BuildingPermits!$AN:$AN,BuildingPermits!$N:$N,AE$2)</f>
        <v>0</v>
      </c>
      <c r="AF75">
        <f>SUMIFS(BuildingPermits!$AN:$AN,BuildingPermits!$N:$N,AF$2)</f>
        <v>0</v>
      </c>
      <c r="AG75">
        <f>SUMIFS(BuildingPermits!$AN:$AN,BuildingPermits!$N:$N,AG$2)</f>
        <v>0</v>
      </c>
      <c r="AH75">
        <f>SUMIFS(BuildingPermits!$AN:$AN,BuildingPermits!$N:$N,AH$2)</f>
        <v>0</v>
      </c>
      <c r="AI75">
        <f>SUMIFS(BuildingPermits!$AN:$AN,BuildingPermits!$N:$N,AI$2)</f>
        <v>0</v>
      </c>
      <c r="AJ75">
        <f>SUMIFS(BuildingPermits!$AN:$AN,BuildingPermits!$N:$N,AJ$2)</f>
        <v>0</v>
      </c>
      <c r="AK75">
        <f>SUMIFS(BuildingPermits!$AN:$AN,BuildingPermits!$N:$N,AK$2)</f>
        <v>0</v>
      </c>
    </row>
    <row r="76" spans="2:37" x14ac:dyDescent="0.25">
      <c r="G76" t="s">
        <v>47</v>
      </c>
      <c r="H76" s="4" t="s">
        <v>23</v>
      </c>
      <c r="I76">
        <f>SUMIFS(BuildingPermits!$AO:$AO,BuildingPermits!$N:$N,I$2)</f>
        <v>43</v>
      </c>
      <c r="J76">
        <f>SUMIFS(BuildingPermits!$AO:$AO,BuildingPermits!$N:$N,J$2)</f>
        <v>111</v>
      </c>
      <c r="K76">
        <f>SUMIFS(BuildingPermits!$AO:$AO,BuildingPermits!$N:$N,K$2)</f>
        <v>83</v>
      </c>
      <c r="L76">
        <f>SUMIFS(BuildingPermits!$AO:$AO,BuildingPermits!$N:$N,L$2)</f>
        <v>91</v>
      </c>
      <c r="M76">
        <f>SUMIFS(BuildingPermits!$AO:$AO,BuildingPermits!$N:$N,M$2)</f>
        <v>130</v>
      </c>
      <c r="N76">
        <f>SUMIFS(BuildingPermits!$AO:$AO,BuildingPermits!$N:$N,N$2)</f>
        <v>102</v>
      </c>
      <c r="O76">
        <f>SUMIFS(BuildingPermits!$AO:$AO,BuildingPermits!$N:$N,O$2)</f>
        <v>131</v>
      </c>
      <c r="P76">
        <f>SUMIFS(BuildingPermits!$AO:$AO,BuildingPermits!$N:$N,P$2)</f>
        <v>90</v>
      </c>
      <c r="Q76">
        <f>SUMIFS(BuildingPermits!$AO:$AO,BuildingPermits!$N:$N,Q$2)</f>
        <v>96</v>
      </c>
      <c r="R76">
        <f>SUMIFS(BuildingPermits!$AO:$AO,BuildingPermits!$N:$N,R$2)</f>
        <v>45</v>
      </c>
      <c r="S76">
        <f>SUMIFS(BuildingPermits!$AO:$AO,BuildingPermits!$N:$N,S$2)</f>
        <v>48</v>
      </c>
      <c r="T76">
        <f>SUMIFS(BuildingPermits!$AO:$AO,BuildingPermits!$N:$N,T$2)</f>
        <v>48</v>
      </c>
      <c r="U76">
        <f>SUMIFS(BuildingPermits!$AO:$AO,BuildingPermits!$N:$N,U$2)</f>
        <v>54</v>
      </c>
      <c r="V76">
        <f>SUMIFS(BuildingPermits!$AO:$AO,BuildingPermits!$N:$N,V$2)</f>
        <v>94</v>
      </c>
      <c r="W76">
        <f>SUMIFS(BuildingPermits!$AO:$AO,BuildingPermits!$N:$N,W$2)</f>
        <v>84</v>
      </c>
      <c r="X76">
        <f>SUMIFS(BuildingPermits!$AO:$AO,BuildingPermits!$N:$N,X$2)</f>
        <v>96</v>
      </c>
      <c r="Y76">
        <f>SUMIFS(BuildingPermits!$AO:$AO,BuildingPermits!$N:$N,Y$2)</f>
        <v>96</v>
      </c>
      <c r="Z76">
        <f>SUMIFS(BuildingPermits!$AO:$AO,BuildingPermits!$N:$N,Z$2)</f>
        <v>104</v>
      </c>
      <c r="AA76">
        <f>SUMIFS(BuildingPermits!$AO:$AO,BuildingPermits!$N:$N,AA$2)</f>
        <v>78</v>
      </c>
      <c r="AB76">
        <f>SUMIFS(BuildingPermits!$AO:$AO,BuildingPermits!$N:$N,AB$2)</f>
        <v>56</v>
      </c>
      <c r="AC76">
        <f>SUMIFS(BuildingPermits!$AO:$AO,BuildingPermits!$N:$N,AC$2)</f>
        <v>54</v>
      </c>
      <c r="AD76">
        <f>SUMIFS(BuildingPermits!$AO:$AO,BuildingPermits!$N:$N,AD$2)</f>
        <v>-1</v>
      </c>
      <c r="AE76">
        <f>SUMIFS(BuildingPermits!$AO:$AO,BuildingPermits!$N:$N,AE$2)</f>
        <v>0</v>
      </c>
      <c r="AF76">
        <f>SUMIFS(BuildingPermits!$AO:$AO,BuildingPermits!$N:$N,AF$2)</f>
        <v>0</v>
      </c>
      <c r="AG76">
        <f>SUMIFS(BuildingPermits!$AO:$AO,BuildingPermits!$N:$N,AG$2)</f>
        <v>0</v>
      </c>
      <c r="AH76">
        <f>SUMIFS(BuildingPermits!$AO:$AO,BuildingPermits!$N:$N,AH$2)</f>
        <v>0</v>
      </c>
      <c r="AI76">
        <f>SUMIFS(BuildingPermits!$AO:$AO,BuildingPermits!$N:$N,AI$2)</f>
        <v>0</v>
      </c>
      <c r="AJ76">
        <f>SUMIFS(BuildingPermits!$AO:$AO,BuildingPermits!$N:$N,AJ$2)</f>
        <v>0</v>
      </c>
      <c r="AK76">
        <f>SUMIFS(BuildingPermits!$AO:$AO,BuildingPermits!$N:$N,AK$2)</f>
        <v>0</v>
      </c>
    </row>
    <row r="77" spans="2:37" x14ac:dyDescent="0.25">
      <c r="G77" t="s">
        <v>48</v>
      </c>
      <c r="H77" s="4" t="s">
        <v>23</v>
      </c>
      <c r="I77">
        <f>SUMIFS(BuildingPermits!$AP:$AP,BuildingPermits!$N:$N,I$2)</f>
        <v>13</v>
      </c>
      <c r="J77">
        <f>SUMIFS(BuildingPermits!$AP:$AP,BuildingPermits!$N:$N,J$2)</f>
        <v>14</v>
      </c>
      <c r="K77">
        <f>SUMIFS(BuildingPermits!$AP:$AP,BuildingPermits!$N:$N,K$2)</f>
        <v>91</v>
      </c>
      <c r="L77">
        <f>SUMIFS(BuildingPermits!$AP:$AP,BuildingPermits!$N:$N,L$2)</f>
        <v>3</v>
      </c>
      <c r="M77">
        <f>SUMIFS(BuildingPermits!$AP:$AP,BuildingPermits!$N:$N,M$2)</f>
        <v>62</v>
      </c>
      <c r="N77">
        <f>SUMIFS(BuildingPermits!$AP:$AP,BuildingPermits!$N:$N,N$2)</f>
        <v>11</v>
      </c>
      <c r="O77">
        <f>SUMIFS(BuildingPermits!$AP:$AP,BuildingPermits!$N:$N,O$2)</f>
        <v>18</v>
      </c>
      <c r="P77">
        <f>SUMIFS(BuildingPermits!$AP:$AP,BuildingPermits!$N:$N,P$2)</f>
        <v>58</v>
      </c>
      <c r="Q77">
        <f>SUMIFS(BuildingPermits!$AP:$AP,BuildingPermits!$N:$N,Q$2)</f>
        <v>58</v>
      </c>
      <c r="R77">
        <f>SUMIFS(BuildingPermits!$AP:$AP,BuildingPermits!$N:$N,R$2)</f>
        <v>21</v>
      </c>
      <c r="S77">
        <f>SUMIFS(BuildingPermits!$AP:$AP,BuildingPermits!$N:$N,S$2)</f>
        <v>14</v>
      </c>
      <c r="T77">
        <f>SUMIFS(BuildingPermits!$AP:$AP,BuildingPermits!$N:$N,T$2)</f>
        <v>12</v>
      </c>
      <c r="U77">
        <f>SUMIFS(BuildingPermits!$AP:$AP,BuildingPermits!$N:$N,U$2)</f>
        <v>14</v>
      </c>
      <c r="V77">
        <f>SUMIFS(BuildingPermits!$AP:$AP,BuildingPermits!$N:$N,V$2)</f>
        <v>9</v>
      </c>
      <c r="W77">
        <f>SUMIFS(BuildingPermits!$AP:$AP,BuildingPermits!$N:$N,W$2)</f>
        <v>34</v>
      </c>
      <c r="X77">
        <f>SUMIFS(BuildingPermits!$AP:$AP,BuildingPermits!$N:$N,X$2)</f>
        <v>1</v>
      </c>
      <c r="Y77">
        <f>SUMIFS(BuildingPermits!$AP:$AP,BuildingPermits!$N:$N,Y$2)</f>
        <v>32</v>
      </c>
      <c r="Z77">
        <f>SUMIFS(BuildingPermits!$AP:$AP,BuildingPermits!$N:$N,Z$2)</f>
        <v>39</v>
      </c>
      <c r="AA77">
        <f>SUMIFS(BuildingPermits!$AP:$AP,BuildingPermits!$N:$N,AA$2)</f>
        <v>12</v>
      </c>
      <c r="AB77">
        <f>SUMIFS(BuildingPermits!$AP:$AP,BuildingPermits!$N:$N,AB$2)</f>
        <v>28</v>
      </c>
      <c r="AC77">
        <f>SUMIFS(BuildingPermits!$AP:$AP,BuildingPermits!$N:$N,AC$2)</f>
        <v>15</v>
      </c>
      <c r="AD77">
        <f>SUMIFS(BuildingPermits!$AP:$AP,BuildingPermits!$N:$N,AD$2)</f>
        <v>0</v>
      </c>
      <c r="AE77">
        <f>SUMIFS(BuildingPermits!$AP:$AP,BuildingPermits!$N:$N,AE$2)</f>
        <v>0</v>
      </c>
      <c r="AF77">
        <f>SUMIFS(BuildingPermits!$AP:$AP,BuildingPermits!$N:$N,AF$2)</f>
        <v>0</v>
      </c>
      <c r="AG77">
        <f>SUMIFS(BuildingPermits!$AP:$AP,BuildingPermits!$N:$N,AG$2)</f>
        <v>0</v>
      </c>
      <c r="AH77">
        <f>SUMIFS(BuildingPermits!$AP:$AP,BuildingPermits!$N:$N,AH$2)</f>
        <v>0</v>
      </c>
      <c r="AI77">
        <f>SUMIFS(BuildingPermits!$AP:$AP,BuildingPermits!$N:$N,AI$2)</f>
        <v>0</v>
      </c>
      <c r="AJ77">
        <f>SUMIFS(BuildingPermits!$AP:$AP,BuildingPermits!$N:$N,AJ$2)</f>
        <v>0</v>
      </c>
      <c r="AK77">
        <f>SUMIFS(BuildingPermits!$AP:$AP,BuildingPermits!$N:$N,AK$2)</f>
        <v>0</v>
      </c>
    </row>
    <row r="78" spans="2:37" x14ac:dyDescent="0.25">
      <c r="G78" t="s">
        <v>49</v>
      </c>
      <c r="H78" s="4" t="s">
        <v>23</v>
      </c>
      <c r="I78">
        <f>SUMIFS(BuildingPermits!$AQ:$AQ,BuildingPermits!$N:$N,I$2)</f>
        <v>6</v>
      </c>
      <c r="J78">
        <f>SUMIFS(BuildingPermits!$AQ:$AQ,BuildingPermits!$N:$N,J$2)</f>
        <v>62</v>
      </c>
      <c r="K78">
        <f>SUMIFS(BuildingPermits!$AQ:$AQ,BuildingPermits!$N:$N,K$2)</f>
        <v>147</v>
      </c>
      <c r="L78">
        <f>SUMIFS(BuildingPermits!$AQ:$AQ,BuildingPermits!$N:$N,L$2)</f>
        <v>62</v>
      </c>
      <c r="M78">
        <f>SUMIFS(BuildingPermits!$AQ:$AQ,BuildingPermits!$N:$N,M$2)</f>
        <v>64</v>
      </c>
      <c r="N78">
        <f>SUMIFS(BuildingPermits!$AQ:$AQ,BuildingPermits!$N:$N,N$2)</f>
        <v>52</v>
      </c>
      <c r="O78">
        <f>SUMIFS(BuildingPermits!$AQ:$AQ,BuildingPermits!$N:$N,O$2)</f>
        <v>16</v>
      </c>
      <c r="P78">
        <f>SUMIFS(BuildingPermits!$AQ:$AQ,BuildingPermits!$N:$N,P$2)</f>
        <v>32</v>
      </c>
      <c r="Q78">
        <f>SUMIFS(BuildingPermits!$AQ:$AQ,BuildingPermits!$N:$N,Q$2)</f>
        <v>16</v>
      </c>
      <c r="R78">
        <f>SUMIFS(BuildingPermits!$AQ:$AQ,BuildingPermits!$N:$N,R$2)</f>
        <v>2</v>
      </c>
      <c r="S78">
        <f>SUMIFS(BuildingPermits!$AQ:$AQ,BuildingPermits!$N:$N,S$2)</f>
        <v>4</v>
      </c>
      <c r="T78">
        <f>SUMIFS(BuildingPermits!$AQ:$AQ,BuildingPermits!$N:$N,T$2)</f>
        <v>3</v>
      </c>
      <c r="U78">
        <f>SUMIFS(BuildingPermits!$AQ:$AQ,BuildingPermits!$N:$N,U$2)</f>
        <v>36</v>
      </c>
      <c r="V78">
        <f>SUMIFS(BuildingPermits!$AQ:$AQ,BuildingPermits!$N:$N,V$2)</f>
        <v>24</v>
      </c>
      <c r="W78">
        <f>SUMIFS(BuildingPermits!$AQ:$AQ,BuildingPermits!$N:$N,W$2)</f>
        <v>15</v>
      </c>
      <c r="X78">
        <f>SUMIFS(BuildingPermits!$AQ:$AQ,BuildingPermits!$N:$N,X$2)</f>
        <v>1</v>
      </c>
      <c r="Y78">
        <f>SUMIFS(BuildingPermits!$AQ:$AQ,BuildingPermits!$N:$N,Y$2)</f>
        <v>49</v>
      </c>
      <c r="Z78">
        <f>SUMIFS(BuildingPermits!$AQ:$AQ,BuildingPermits!$N:$N,Z$2)</f>
        <v>99</v>
      </c>
      <c r="AA78">
        <f>SUMIFS(BuildingPermits!$AQ:$AQ,BuildingPermits!$N:$N,AA$2)</f>
        <v>144</v>
      </c>
      <c r="AB78">
        <f>SUMIFS(BuildingPermits!$AQ:$AQ,BuildingPermits!$N:$N,AB$2)</f>
        <v>150</v>
      </c>
      <c r="AC78">
        <f>SUMIFS(BuildingPermits!$AQ:$AQ,BuildingPermits!$N:$N,AC$2)</f>
        <v>47</v>
      </c>
      <c r="AD78">
        <f>SUMIFS(BuildingPermits!$AQ:$AQ,BuildingPermits!$N:$N,AD$2)</f>
        <v>0</v>
      </c>
      <c r="AE78">
        <f>SUMIFS(BuildingPermits!$AQ:$AQ,BuildingPermits!$N:$N,AE$2)</f>
        <v>0</v>
      </c>
      <c r="AF78">
        <f>SUMIFS(BuildingPermits!$AQ:$AQ,BuildingPermits!$N:$N,AF$2)</f>
        <v>0</v>
      </c>
      <c r="AG78">
        <f>SUMIFS(BuildingPermits!$AQ:$AQ,BuildingPermits!$N:$N,AG$2)</f>
        <v>0</v>
      </c>
      <c r="AH78">
        <f>SUMIFS(BuildingPermits!$AQ:$AQ,BuildingPermits!$N:$N,AH$2)</f>
        <v>0</v>
      </c>
      <c r="AI78">
        <f>SUMIFS(BuildingPermits!$AQ:$AQ,BuildingPermits!$N:$N,AI$2)</f>
        <v>0</v>
      </c>
      <c r="AJ78">
        <f>SUMIFS(BuildingPermits!$AQ:$AQ,BuildingPermits!$N:$N,AJ$2)</f>
        <v>0</v>
      </c>
      <c r="AK78">
        <f>SUMIFS(BuildingPermits!$AQ:$AQ,BuildingPermits!$N:$N,AK$2)</f>
        <v>0</v>
      </c>
    </row>
    <row r="79" spans="2:37" x14ac:dyDescent="0.25">
      <c r="G79" t="s">
        <v>50</v>
      </c>
      <c r="H79" s="4" t="s">
        <v>51</v>
      </c>
      <c r="I79">
        <f>SUMIFS(BuildingPermits!$AR:$AR,BuildingPermits!$N:$N,I$2)</f>
        <v>2</v>
      </c>
      <c r="J79">
        <f>SUMIFS(BuildingPermits!$AR:$AR,BuildingPermits!$N:$N,J$2)</f>
        <v>20</v>
      </c>
      <c r="K79">
        <f>SUMIFS(BuildingPermits!$AR:$AR,BuildingPermits!$N:$N,K$2)</f>
        <v>23</v>
      </c>
      <c r="L79">
        <f>SUMIFS(BuildingPermits!$AR:$AR,BuildingPermits!$N:$N,L$2)</f>
        <v>20</v>
      </c>
      <c r="M79">
        <f>SUMIFS(BuildingPermits!$AR:$AR,BuildingPermits!$N:$N,M$2)</f>
        <v>17</v>
      </c>
      <c r="N79">
        <f>SUMIFS(BuildingPermits!$AR:$AR,BuildingPermits!$N:$N,N$2)</f>
        <v>22</v>
      </c>
      <c r="O79">
        <f>SUMIFS(BuildingPermits!$AR:$AR,BuildingPermits!$N:$N,O$2)</f>
        <v>14</v>
      </c>
      <c r="P79">
        <f>SUMIFS(BuildingPermits!$AR:$AR,BuildingPermits!$N:$N,P$2)</f>
        <v>27</v>
      </c>
      <c r="Q79">
        <f>SUMIFS(BuildingPermits!$AR:$AR,BuildingPermits!$N:$N,Q$2)</f>
        <v>21</v>
      </c>
      <c r="R79">
        <f>SUMIFS(BuildingPermits!$AR:$AR,BuildingPermits!$N:$N,R$2)</f>
        <v>20</v>
      </c>
      <c r="S79">
        <f>SUMIFS(BuildingPermits!$AR:$AR,BuildingPermits!$N:$N,S$2)</f>
        <v>12</v>
      </c>
      <c r="T79">
        <f>SUMIFS(BuildingPermits!$AR:$AR,BuildingPermits!$N:$N,T$2)</f>
        <v>15</v>
      </c>
      <c r="U79">
        <f>SUMIFS(BuildingPermits!$AR:$AR,BuildingPermits!$N:$N,U$2)</f>
        <v>11</v>
      </c>
      <c r="V79">
        <f>SUMIFS(BuildingPermits!$AR:$AR,BuildingPermits!$N:$N,V$2)</f>
        <v>21</v>
      </c>
      <c r="W79">
        <f>SUMIFS(BuildingPermits!$AR:$AR,BuildingPermits!$N:$N,W$2)</f>
        <v>21</v>
      </c>
      <c r="X79">
        <f>SUMIFS(BuildingPermits!$AR:$AR,BuildingPermits!$N:$N,X$2)</f>
        <v>26</v>
      </c>
      <c r="Y79">
        <f>SUMIFS(BuildingPermits!$AR:$AR,BuildingPermits!$N:$N,Y$2)</f>
        <v>24</v>
      </c>
      <c r="Z79">
        <f>SUMIFS(BuildingPermits!$AR:$AR,BuildingPermits!$N:$N,Z$2)</f>
        <v>26</v>
      </c>
      <c r="AA79">
        <f>SUMIFS(BuildingPermits!$AR:$AR,BuildingPermits!$N:$N,AA$2)</f>
        <v>30</v>
      </c>
      <c r="AB79">
        <f>SUMIFS(BuildingPermits!$AR:$AR,BuildingPermits!$N:$N,AB$2)</f>
        <v>25</v>
      </c>
      <c r="AC79">
        <f>SUMIFS(BuildingPermits!$AR:$AR,BuildingPermits!$N:$N,AC$2)</f>
        <v>22</v>
      </c>
      <c r="AD79">
        <f>SUMIFS(BuildingPermits!$AR:$AR,BuildingPermits!$N:$N,AD$2)</f>
        <v>-1</v>
      </c>
      <c r="AE79">
        <f>SUMIFS(BuildingPermits!$AR:$AR,BuildingPermits!$N:$N,AE$2)</f>
        <v>0</v>
      </c>
      <c r="AF79">
        <f>SUMIFS(BuildingPermits!$AR:$AR,BuildingPermits!$N:$N,AF$2)</f>
        <v>0</v>
      </c>
      <c r="AG79">
        <f>SUMIFS(BuildingPermits!$AR:$AR,BuildingPermits!$N:$N,AG$2)</f>
        <v>0</v>
      </c>
      <c r="AH79">
        <f>SUMIFS(BuildingPermits!$AR:$AR,BuildingPermits!$N:$N,AH$2)</f>
        <v>0</v>
      </c>
      <c r="AI79">
        <f>SUMIFS(BuildingPermits!$AR:$AR,BuildingPermits!$N:$N,AI$2)</f>
        <v>0</v>
      </c>
      <c r="AJ79">
        <f>SUMIFS(BuildingPermits!$AR:$AR,BuildingPermits!$N:$N,AJ$2)</f>
        <v>0</v>
      </c>
      <c r="AK79">
        <f>SUMIFS(BuildingPermits!$AR:$AR,BuildingPermits!$N:$N,AK$2)</f>
        <v>0</v>
      </c>
    </row>
    <row r="80" spans="2:37" x14ac:dyDescent="0.25">
      <c r="G80" t="s">
        <v>52</v>
      </c>
      <c r="H80" s="4" t="s">
        <v>23</v>
      </c>
      <c r="I80">
        <f>SUMIFS(BuildingPermits!$AS:$AS,BuildingPermits!$N:$N,I$2)</f>
        <v>0</v>
      </c>
      <c r="J80">
        <f>SUMIFS(BuildingPermits!$AS:$AS,BuildingPermits!$N:$N,J$2)</f>
        <v>0</v>
      </c>
      <c r="K80">
        <f>SUMIFS(BuildingPermits!$AS:$AS,BuildingPermits!$N:$N,K$2)</f>
        <v>0</v>
      </c>
      <c r="L80">
        <f>SUMIFS(BuildingPermits!$AS:$AS,BuildingPermits!$N:$N,L$2)</f>
        <v>0</v>
      </c>
      <c r="M80">
        <f>SUMIFS(BuildingPermits!$AS:$AS,BuildingPermits!$N:$N,M$2)</f>
        <v>0</v>
      </c>
      <c r="N80">
        <f>SUMIFS(BuildingPermits!$AS:$AS,BuildingPermits!$N:$N,N$2)</f>
        <v>0</v>
      </c>
      <c r="O80">
        <f>SUMIFS(BuildingPermits!$AS:$AS,BuildingPermits!$N:$N,O$2)</f>
        <v>0</v>
      </c>
      <c r="P80">
        <f>SUMIFS(BuildingPermits!$AS:$AS,BuildingPermits!$N:$N,P$2)</f>
        <v>0</v>
      </c>
      <c r="Q80">
        <f>SUMIFS(BuildingPermits!$AS:$AS,BuildingPermits!$N:$N,Q$2)</f>
        <v>0</v>
      </c>
      <c r="R80">
        <f>SUMIFS(BuildingPermits!$AS:$AS,BuildingPermits!$N:$N,R$2)</f>
        <v>0</v>
      </c>
      <c r="S80">
        <f>SUMIFS(BuildingPermits!$AS:$AS,BuildingPermits!$N:$N,S$2)</f>
        <v>0</v>
      </c>
      <c r="T80">
        <f>SUMIFS(BuildingPermits!$AS:$AS,BuildingPermits!$N:$N,T$2)</f>
        <v>0</v>
      </c>
      <c r="U80">
        <f>SUMIFS(BuildingPermits!$AS:$AS,BuildingPermits!$N:$N,U$2)</f>
        <v>0</v>
      </c>
      <c r="V80">
        <f>SUMIFS(BuildingPermits!$AS:$AS,BuildingPermits!$N:$N,V$2)</f>
        <v>0</v>
      </c>
      <c r="W80">
        <f>SUMIFS(BuildingPermits!$AS:$AS,BuildingPermits!$N:$N,W$2)</f>
        <v>0</v>
      </c>
      <c r="X80">
        <f>SUMIFS(BuildingPermits!$AS:$AS,BuildingPermits!$N:$N,X$2)</f>
        <v>-12</v>
      </c>
      <c r="Y80">
        <f>SUMIFS(BuildingPermits!$AS:$AS,BuildingPermits!$N:$N,Y$2)</f>
        <v>-3</v>
      </c>
      <c r="Z80">
        <f>SUMIFS(BuildingPermits!$AS:$AS,BuildingPermits!$N:$N,Z$2)</f>
        <v>0</v>
      </c>
      <c r="AA80">
        <f>SUMIFS(BuildingPermits!$AS:$AS,BuildingPermits!$N:$N,AA$2)</f>
        <v>0</v>
      </c>
      <c r="AB80">
        <f>SUMIFS(BuildingPermits!$AS:$AS,BuildingPermits!$N:$N,AB$2)</f>
        <v>-3</v>
      </c>
      <c r="AC80">
        <f>SUMIFS(BuildingPermits!$AS:$AS,BuildingPermits!$N:$N,AC$2)</f>
        <v>-1</v>
      </c>
      <c r="AD80">
        <f>SUMIFS(BuildingPermits!$AS:$AS,BuildingPermits!$N:$N,AD$2)</f>
        <v>0</v>
      </c>
      <c r="AE80">
        <f>SUMIFS(BuildingPermits!$AS:$AS,BuildingPermits!$N:$N,AE$2)</f>
        <v>0</v>
      </c>
      <c r="AF80">
        <f>SUMIFS(BuildingPermits!$AS:$AS,BuildingPermits!$N:$N,AF$2)</f>
        <v>0</v>
      </c>
      <c r="AG80">
        <f>SUMIFS(BuildingPermits!$AS:$AS,BuildingPermits!$N:$N,AG$2)</f>
        <v>0</v>
      </c>
      <c r="AH80">
        <f>SUMIFS(BuildingPermits!$AS:$AS,BuildingPermits!$N:$N,AH$2)</f>
        <v>0</v>
      </c>
      <c r="AI80">
        <f>SUMIFS(BuildingPermits!$AS:$AS,BuildingPermits!$N:$N,AI$2)</f>
        <v>0</v>
      </c>
      <c r="AJ80">
        <f>SUMIFS(BuildingPermits!$AS:$AS,BuildingPermits!$N:$N,AJ$2)</f>
        <v>0</v>
      </c>
      <c r="AK80">
        <f>SUMIFS(BuildingPermits!$AS:$AS,BuildingPermits!$N:$N,AK$2)</f>
        <v>0</v>
      </c>
    </row>
    <row r="81" spans="2:37" s="10" customFormat="1" x14ac:dyDescent="0.25">
      <c r="B81" s="11"/>
      <c r="E81" s="10" t="s">
        <v>53</v>
      </c>
      <c r="H81" s="10" t="s">
        <v>32</v>
      </c>
      <c r="I81" s="41">
        <f t="shared" ref="I81:AK81" si="15">SUM(I82:I84,I86)</f>
        <v>236965</v>
      </c>
      <c r="J81" s="41">
        <f t="shared" si="15"/>
        <v>475245</v>
      </c>
      <c r="K81" s="41">
        <f t="shared" si="15"/>
        <v>656258</v>
      </c>
      <c r="L81" s="41">
        <f t="shared" si="15"/>
        <v>578180</v>
      </c>
      <c r="M81" s="41">
        <f t="shared" si="15"/>
        <v>866461</v>
      </c>
      <c r="N81" s="41">
        <f t="shared" si="15"/>
        <v>647910</v>
      </c>
      <c r="O81" s="41">
        <f t="shared" si="15"/>
        <v>754882</v>
      </c>
      <c r="P81" s="41">
        <f t="shared" si="15"/>
        <v>665632</v>
      </c>
      <c r="Q81" s="41">
        <f t="shared" si="15"/>
        <v>574014</v>
      </c>
      <c r="R81" s="41">
        <f t="shared" si="15"/>
        <v>240092</v>
      </c>
      <c r="S81" s="41">
        <f t="shared" si="15"/>
        <v>324355</v>
      </c>
      <c r="T81" s="41">
        <f t="shared" si="15"/>
        <v>306951</v>
      </c>
      <c r="U81" s="41">
        <f t="shared" si="15"/>
        <v>417644</v>
      </c>
      <c r="V81" s="41">
        <f t="shared" si="15"/>
        <v>509709</v>
      </c>
      <c r="W81" s="41">
        <f t="shared" si="15"/>
        <v>658202</v>
      </c>
      <c r="X81" s="41">
        <f t="shared" si="15"/>
        <v>583270</v>
      </c>
      <c r="Y81" s="41">
        <f t="shared" si="15"/>
        <v>586374</v>
      </c>
      <c r="Z81" s="41">
        <f t="shared" si="15"/>
        <v>802950</v>
      </c>
      <c r="AA81" s="41">
        <f t="shared" si="15"/>
        <v>637589</v>
      </c>
      <c r="AB81" s="41">
        <f t="shared" si="15"/>
        <v>557048</v>
      </c>
      <c r="AC81" s="41">
        <f t="shared" si="15"/>
        <v>423082</v>
      </c>
      <c r="AD81" s="41">
        <f t="shared" si="15"/>
        <v>-10570</v>
      </c>
      <c r="AE81" s="41">
        <f t="shared" si="15"/>
        <v>0</v>
      </c>
      <c r="AF81" s="41">
        <f t="shared" si="15"/>
        <v>0</v>
      </c>
      <c r="AG81" s="41">
        <f t="shared" si="15"/>
        <v>0</v>
      </c>
      <c r="AH81" s="41">
        <f t="shared" si="15"/>
        <v>0</v>
      </c>
      <c r="AI81" s="41">
        <f t="shared" si="15"/>
        <v>0</v>
      </c>
      <c r="AJ81" s="41">
        <f t="shared" si="15"/>
        <v>0</v>
      </c>
      <c r="AK81" s="41">
        <f t="shared" si="15"/>
        <v>0</v>
      </c>
    </row>
    <row r="82" spans="2:37" x14ac:dyDescent="0.25">
      <c r="G82" t="s">
        <v>47</v>
      </c>
      <c r="H82" t="s">
        <v>32</v>
      </c>
      <c r="I82" s="39">
        <f>SUMIFS(BuildingPermits!$AC:$AC,BuildingPermits!$N:$N,I$2)</f>
        <v>207245</v>
      </c>
      <c r="J82" s="39">
        <f>SUMIFS(BuildingPermits!$AC:$AC,BuildingPermits!$N:$N,J$2)</f>
        <v>396196</v>
      </c>
      <c r="K82" s="39">
        <f>SUMIFS(BuildingPermits!$AC:$AC,BuildingPermits!$N:$N,K$2)</f>
        <v>367311</v>
      </c>
      <c r="L82" s="39">
        <f>SUMIFS(BuildingPermits!$AC:$AC,BuildingPermits!$N:$N,L$2)</f>
        <v>517030</v>
      </c>
      <c r="M82" s="39">
        <f>SUMIFS(BuildingPermits!$AC:$AC,BuildingPermits!$N:$N,M$2)</f>
        <v>689260</v>
      </c>
      <c r="N82" s="39">
        <f>SUMIFS(BuildingPermits!$AC:$AC,BuildingPermits!$N:$N,N$2)</f>
        <v>550811</v>
      </c>
      <c r="O82" s="39">
        <f>SUMIFS(BuildingPermits!$AC:$AC,BuildingPermits!$N:$N,O$2)</f>
        <v>691693</v>
      </c>
      <c r="P82" s="39">
        <f>SUMIFS(BuildingPermits!$AC:$AC,BuildingPermits!$N:$N,P$2)</f>
        <v>561202</v>
      </c>
      <c r="Q82" s="39">
        <f>SUMIFS(BuildingPermits!$AC:$AC,BuildingPermits!$N:$N,Q$2)</f>
        <v>490910</v>
      </c>
      <c r="R82" s="39">
        <f>SUMIFS(BuildingPermits!$AC:$AC,BuildingPermits!$N:$N,R$2)</f>
        <v>203405</v>
      </c>
      <c r="S82" s="39">
        <f>SUMIFS(BuildingPermits!$AC:$AC,BuildingPermits!$N:$N,S$2)</f>
        <v>301220</v>
      </c>
      <c r="T82" s="39">
        <f>SUMIFS(BuildingPermits!$AC:$AC,BuildingPermits!$N:$N,T$2)</f>
        <v>284907</v>
      </c>
      <c r="U82" s="39">
        <f>SUMIFS(BuildingPermits!$AC:$AC,BuildingPermits!$N:$N,U$2)</f>
        <v>361284</v>
      </c>
      <c r="V82" s="39">
        <f>SUMIFS(BuildingPermits!$AC:$AC,BuildingPermits!$N:$N,V$2)</f>
        <v>466842</v>
      </c>
      <c r="W82" s="39">
        <f>SUMIFS(BuildingPermits!$AC:$AC,BuildingPermits!$N:$N,W$2)</f>
        <v>582842</v>
      </c>
      <c r="X82" s="39">
        <f>SUMIFS(BuildingPermits!$AC:$AC,BuildingPermits!$N:$N,X$2)</f>
        <v>571733</v>
      </c>
      <c r="Y82" s="39">
        <f>SUMIFS(BuildingPermits!$AC:$AC,BuildingPermits!$N:$N,Y$2)</f>
        <v>506999</v>
      </c>
      <c r="Z82" s="39">
        <f>SUMIFS(BuildingPermits!$AC:$AC,BuildingPermits!$N:$N,Z$2)</f>
        <v>592641</v>
      </c>
      <c r="AA82" s="39">
        <f>SUMIFS(BuildingPermits!$AC:$AC,BuildingPermits!$N:$N,AA$2)</f>
        <v>507809</v>
      </c>
      <c r="AB82" s="39">
        <f>SUMIFS(BuildingPermits!$AC:$AC,BuildingPermits!$N:$N,AB$2)</f>
        <v>391567</v>
      </c>
      <c r="AC82" s="39">
        <f>SUMIFS(BuildingPermits!$AC:$AC,BuildingPermits!$N:$N,AC$2)</f>
        <v>330124</v>
      </c>
      <c r="AD82" s="39">
        <f>SUMIFS(BuildingPermits!$AC:$AC,BuildingPermits!$N:$N,AD$2)</f>
        <v>-10570</v>
      </c>
      <c r="AE82" s="39">
        <f>SUMIFS(BuildingPermits!$AC:$AC,BuildingPermits!$N:$N,AE$2)</f>
        <v>0</v>
      </c>
      <c r="AF82" s="39">
        <f>SUMIFS(BuildingPermits!$AC:$AC,BuildingPermits!$N:$N,AF$2)</f>
        <v>0</v>
      </c>
      <c r="AG82" s="39">
        <f>SUMIFS(BuildingPermits!$AC:$AC,BuildingPermits!$N:$N,AG$2)</f>
        <v>0</v>
      </c>
      <c r="AH82" s="39">
        <f>SUMIFS(BuildingPermits!$AC:$AC,BuildingPermits!$N:$N,AH$2)</f>
        <v>0</v>
      </c>
      <c r="AI82" s="39">
        <f>SUMIFS(BuildingPermits!$AC:$AC,BuildingPermits!$N:$N,AI$2)</f>
        <v>0</v>
      </c>
      <c r="AJ82" s="39">
        <f>SUMIFS(BuildingPermits!$AC:$AC,BuildingPermits!$N:$N,AJ$2)</f>
        <v>0</v>
      </c>
      <c r="AK82" s="39">
        <f>SUMIFS(BuildingPermits!$AC:$AC,BuildingPermits!$N:$N,AK$2)</f>
        <v>0</v>
      </c>
    </row>
    <row r="83" spans="2:37" x14ac:dyDescent="0.25">
      <c r="G83" t="s">
        <v>48</v>
      </c>
      <c r="H83" t="s">
        <v>32</v>
      </c>
      <c r="I83" s="39">
        <f>SUMIFS(BuildingPermits!$AD:$AD,BuildingPermits!$N:$N,I$2)</f>
        <v>21295</v>
      </c>
      <c r="J83" s="39">
        <f>SUMIFS(BuildingPermits!$AD:$AD,BuildingPermits!$N:$N,J$2)</f>
        <v>19392</v>
      </c>
      <c r="K83" s="39">
        <f>SUMIFS(BuildingPermits!$AD:$AD,BuildingPermits!$N:$N,K$2)</f>
        <v>159089</v>
      </c>
      <c r="L83" s="39">
        <f>SUMIFS(BuildingPermits!$AD:$AD,BuildingPermits!$N:$N,L$2)</f>
        <v>14370</v>
      </c>
      <c r="M83" s="39">
        <f>SUMIFS(BuildingPermits!$AD:$AD,BuildingPermits!$N:$N,M$2)</f>
        <v>101119</v>
      </c>
      <c r="N83" s="39">
        <f>SUMIFS(BuildingPermits!$AD:$AD,BuildingPermits!$N:$N,N$2)</f>
        <v>43420</v>
      </c>
      <c r="O83" s="39">
        <f>SUMIFS(BuildingPermits!$AD:$AD,BuildingPermits!$N:$N,O$2)</f>
        <v>46353</v>
      </c>
      <c r="P83" s="39">
        <f>SUMIFS(BuildingPermits!$AD:$AD,BuildingPermits!$N:$N,P$2)</f>
        <v>88733</v>
      </c>
      <c r="Q83" s="39">
        <f>SUMIFS(BuildingPermits!$AD:$AD,BuildingPermits!$N:$N,Q$2)</f>
        <v>70189</v>
      </c>
      <c r="R83" s="39">
        <f>SUMIFS(BuildingPermits!$AD:$AD,BuildingPermits!$N:$N,R$2)</f>
        <v>34385</v>
      </c>
      <c r="S83" s="39">
        <f>SUMIFS(BuildingPermits!$AD:$AD,BuildingPermits!$N:$N,S$2)</f>
        <v>14520</v>
      </c>
      <c r="T83" s="39">
        <f>SUMIFS(BuildingPermits!$AD:$AD,BuildingPermits!$N:$N,T$2)</f>
        <v>20580</v>
      </c>
      <c r="U83" s="39">
        <f>SUMIFS(BuildingPermits!$AD:$AD,BuildingPermits!$N:$N,U$2)</f>
        <v>20378</v>
      </c>
      <c r="V83" s="39">
        <f>SUMIFS(BuildingPermits!$AD:$AD,BuildingPermits!$N:$N,V$2)</f>
        <v>18079</v>
      </c>
      <c r="W83" s="39">
        <f>SUMIFS(BuildingPermits!$AD:$AD,BuildingPermits!$N:$N,W$2)</f>
        <v>58677</v>
      </c>
      <c r="X83" s="39">
        <f>SUMIFS(BuildingPermits!$AD:$AD,BuildingPermits!$N:$N,X$2)</f>
        <v>1018</v>
      </c>
      <c r="Y83" s="39">
        <f>SUMIFS(BuildingPermits!$AD:$AD,BuildingPermits!$N:$N,Y$2)</f>
        <v>46696</v>
      </c>
      <c r="Z83" s="39">
        <f>SUMIFS(BuildingPermits!$AD:$AD,BuildingPermits!$N:$N,Z$2)</f>
        <v>90481</v>
      </c>
      <c r="AA83" s="39">
        <f>SUMIFS(BuildingPermits!$AD:$AD,BuildingPermits!$N:$N,AA$2)</f>
        <v>15908</v>
      </c>
      <c r="AB83" s="39">
        <f>SUMIFS(BuildingPermits!$AD:$AD,BuildingPermits!$N:$N,AB$2)</f>
        <v>40651</v>
      </c>
      <c r="AC83" s="39">
        <f>SUMIFS(BuildingPermits!$AD:$AD,BuildingPermits!$N:$N,AC$2)</f>
        <v>43181</v>
      </c>
      <c r="AD83" s="39">
        <f>SUMIFS(BuildingPermits!$AD:$AD,BuildingPermits!$N:$N,AD$2)</f>
        <v>0</v>
      </c>
      <c r="AE83" s="39">
        <f>SUMIFS(BuildingPermits!$AD:$AD,BuildingPermits!$N:$N,AE$2)</f>
        <v>0</v>
      </c>
      <c r="AF83" s="39">
        <f>SUMIFS(BuildingPermits!$AD:$AD,BuildingPermits!$N:$N,AF$2)</f>
        <v>0</v>
      </c>
      <c r="AG83" s="39">
        <f>SUMIFS(BuildingPermits!$AD:$AD,BuildingPermits!$N:$N,AG$2)</f>
        <v>0</v>
      </c>
      <c r="AH83" s="39">
        <f>SUMIFS(BuildingPermits!$AD:$AD,BuildingPermits!$N:$N,AH$2)</f>
        <v>0</v>
      </c>
      <c r="AI83" s="39">
        <f>SUMIFS(BuildingPermits!$AD:$AD,BuildingPermits!$N:$N,AI$2)</f>
        <v>0</v>
      </c>
      <c r="AJ83" s="39">
        <f>SUMIFS(BuildingPermits!$AD:$AD,BuildingPermits!$N:$N,AJ$2)</f>
        <v>0</v>
      </c>
      <c r="AK83" s="39">
        <f>SUMIFS(BuildingPermits!$AD:$AD,BuildingPermits!$N:$N,AK$2)</f>
        <v>0</v>
      </c>
    </row>
    <row r="84" spans="2:37" x14ac:dyDescent="0.25">
      <c r="G84" t="s">
        <v>49</v>
      </c>
      <c r="H84" t="s">
        <v>32</v>
      </c>
      <c r="I84" s="39">
        <f>SUMIFS(BuildingPermits!$AE:$AE,BuildingPermits!$N:$N,I$2)</f>
        <v>8425</v>
      </c>
      <c r="J84" s="39">
        <f>SUMIFS(BuildingPermits!$AE:$AE,BuildingPermits!$N:$N,J$2)</f>
        <v>59657</v>
      </c>
      <c r="K84" s="39">
        <f>SUMIFS(BuildingPermits!$AE:$AE,BuildingPermits!$N:$N,K$2)</f>
        <v>129858</v>
      </c>
      <c r="L84" s="39">
        <f>SUMIFS(BuildingPermits!$AE:$AE,BuildingPermits!$N:$N,L$2)</f>
        <v>46780</v>
      </c>
      <c r="M84" s="39">
        <f>SUMIFS(BuildingPermits!$AE:$AE,BuildingPermits!$N:$N,M$2)</f>
        <v>75986</v>
      </c>
      <c r="N84" s="39">
        <f>SUMIFS(BuildingPermits!$AE:$AE,BuildingPermits!$N:$N,N$2)</f>
        <v>53679</v>
      </c>
      <c r="O84" s="39">
        <f>SUMIFS(BuildingPermits!$AE:$AE,BuildingPermits!$N:$N,O$2)</f>
        <v>16836</v>
      </c>
      <c r="P84" s="39">
        <f>SUMIFS(BuildingPermits!$AE:$AE,BuildingPermits!$N:$N,P$2)</f>
        <v>15697</v>
      </c>
      <c r="Q84" s="39">
        <f>SUMIFS(BuildingPermits!$AE:$AE,BuildingPermits!$N:$N,Q$2)</f>
        <v>12915</v>
      </c>
      <c r="R84" s="39">
        <f>SUMIFS(BuildingPermits!$AE:$AE,BuildingPermits!$N:$N,R$2)</f>
        <v>2302</v>
      </c>
      <c r="S84" s="39">
        <f>SUMIFS(BuildingPermits!$AE:$AE,BuildingPermits!$N:$N,S$2)</f>
        <v>8615</v>
      </c>
      <c r="T84" s="39">
        <f>SUMIFS(BuildingPermits!$AE:$AE,BuildingPermits!$N:$N,T$2)</f>
        <v>1464</v>
      </c>
      <c r="U84" s="39">
        <f>SUMIFS(BuildingPermits!$AE:$AE,BuildingPermits!$N:$N,U$2)</f>
        <v>35902</v>
      </c>
      <c r="V84" s="39">
        <f>SUMIFS(BuildingPermits!$AE:$AE,BuildingPermits!$N:$N,V$2)</f>
        <v>24788</v>
      </c>
      <c r="W84" s="39">
        <f>SUMIFS(BuildingPermits!$AE:$AE,BuildingPermits!$N:$N,W$2)</f>
        <v>16683</v>
      </c>
      <c r="X84" s="39">
        <f>SUMIFS(BuildingPermits!$AE:$AE,BuildingPermits!$N:$N,X$2)</f>
        <v>25111</v>
      </c>
      <c r="Y84" s="39">
        <f>SUMIFS(BuildingPermits!$AE:$AE,BuildingPermits!$N:$N,Y$2)</f>
        <v>36327</v>
      </c>
      <c r="Z84" s="39">
        <f>SUMIFS(BuildingPermits!$AE:$AE,BuildingPermits!$N:$N,Z$2)</f>
        <v>119828</v>
      </c>
      <c r="AA84" s="39">
        <f>SUMIFS(BuildingPermits!$AE:$AE,BuildingPermits!$N:$N,AA$2)</f>
        <v>113872</v>
      </c>
      <c r="AB84" s="39">
        <f>SUMIFS(BuildingPermits!$AE:$AE,BuildingPermits!$N:$N,AB$2)</f>
        <v>127891</v>
      </c>
      <c r="AC84" s="39">
        <f>SUMIFS(BuildingPermits!$AE:$AE,BuildingPermits!$N:$N,AC$2)</f>
        <v>50993</v>
      </c>
      <c r="AD84" s="39">
        <f>SUMIFS(BuildingPermits!$AE:$AE,BuildingPermits!$N:$N,AD$2)</f>
        <v>0</v>
      </c>
      <c r="AE84" s="39">
        <f>SUMIFS(BuildingPermits!$AE:$AE,BuildingPermits!$N:$N,AE$2)</f>
        <v>0</v>
      </c>
      <c r="AF84" s="39">
        <f>SUMIFS(BuildingPermits!$AE:$AE,BuildingPermits!$N:$N,AF$2)</f>
        <v>0</v>
      </c>
      <c r="AG84" s="39">
        <f>SUMIFS(BuildingPermits!$AE:$AE,BuildingPermits!$N:$N,AG$2)</f>
        <v>0</v>
      </c>
      <c r="AH84" s="39">
        <f>SUMIFS(BuildingPermits!$AE:$AE,BuildingPermits!$N:$N,AH$2)</f>
        <v>0</v>
      </c>
      <c r="AI84" s="39">
        <f>SUMIFS(BuildingPermits!$AE:$AE,BuildingPermits!$N:$N,AI$2)</f>
        <v>0</v>
      </c>
      <c r="AJ84" s="39">
        <f>SUMIFS(BuildingPermits!$AE:$AE,BuildingPermits!$N:$N,AJ$2)</f>
        <v>0</v>
      </c>
      <c r="AK84" s="39">
        <f>SUMIFS(BuildingPermits!$AE:$AE,BuildingPermits!$N:$N,AK$2)</f>
        <v>0</v>
      </c>
    </row>
    <row r="85" spans="2:37" x14ac:dyDescent="0.25">
      <c r="G85" t="s">
        <v>50</v>
      </c>
      <c r="H85" t="s">
        <v>32</v>
      </c>
      <c r="I85" s="39">
        <f>SUMIFS(BuildingPermits!$AF:$AF,BuildingPermits!$N:$N,I$2)</f>
        <v>1662</v>
      </c>
      <c r="J85" s="39">
        <f>SUMIFS(BuildingPermits!$AF:$AF,BuildingPermits!$N:$N,J$2)</f>
        <v>16789</v>
      </c>
      <c r="K85" s="39">
        <f>SUMIFS(BuildingPermits!$AF:$AF,BuildingPermits!$N:$N,K$2)</f>
        <v>19321</v>
      </c>
      <c r="L85" s="39">
        <f>SUMIFS(BuildingPermits!$AF:$AF,BuildingPermits!$N:$N,L$2)</f>
        <v>16623</v>
      </c>
      <c r="M85" s="39">
        <f>SUMIFS(BuildingPermits!$AF:$AF,BuildingPermits!$N:$N,M$2)</f>
        <v>13973</v>
      </c>
      <c r="N85" s="39">
        <f>SUMIFS(BuildingPermits!$AF:$AF,BuildingPermits!$N:$N,N$2)</f>
        <v>19572</v>
      </c>
      <c r="O85" s="39">
        <f>SUMIFS(BuildingPermits!$AF:$AF,BuildingPermits!$N:$N,O$2)</f>
        <v>11952</v>
      </c>
      <c r="P85" s="39">
        <f>SUMIFS(BuildingPermits!$AF:$AF,BuildingPermits!$N:$N,P$2)</f>
        <v>21478</v>
      </c>
      <c r="Q85" s="39">
        <f>SUMIFS(BuildingPermits!$AF:$AF,BuildingPermits!$N:$N,Q$2)</f>
        <v>18073</v>
      </c>
      <c r="R85" s="39">
        <f>SUMIFS(BuildingPermits!$AF:$AF,BuildingPermits!$N:$N,R$2)</f>
        <v>15330</v>
      </c>
      <c r="S85" s="39">
        <f>SUMIFS(BuildingPermits!$AF:$AF,BuildingPermits!$N:$N,S$2)</f>
        <v>8735</v>
      </c>
      <c r="T85" s="39">
        <f>SUMIFS(BuildingPermits!$AF:$AF,BuildingPermits!$N:$N,T$2)</f>
        <v>14536</v>
      </c>
      <c r="U85" s="39">
        <f>SUMIFS(BuildingPermits!$AF:$AF,BuildingPermits!$N:$N,U$2)</f>
        <v>8008</v>
      </c>
      <c r="V85" s="39">
        <f>SUMIFS(BuildingPermits!$AF:$AF,BuildingPermits!$N:$N,V$2)</f>
        <v>18781</v>
      </c>
      <c r="W85" s="39">
        <f>SUMIFS(BuildingPermits!$AF:$AF,BuildingPermits!$N:$N,W$2)</f>
        <v>20346</v>
      </c>
      <c r="X85" s="39">
        <f>SUMIFS(BuildingPermits!$AF:$AF,BuildingPermits!$N:$N,X$2)</f>
        <v>23744</v>
      </c>
      <c r="Y85" s="39">
        <f>SUMIFS(BuildingPermits!$AF:$AF,BuildingPermits!$N:$N,Y$2)</f>
        <v>20513</v>
      </c>
      <c r="Z85" s="39">
        <f>SUMIFS(BuildingPermits!$AF:$AF,BuildingPermits!$N:$N,Z$2)</f>
        <v>25577</v>
      </c>
      <c r="AA85" s="39">
        <f>SUMIFS(BuildingPermits!$AF:$AF,BuildingPermits!$N:$N,AA$2)</f>
        <v>29634</v>
      </c>
      <c r="AB85" s="39">
        <f>SUMIFS(BuildingPermits!$AF:$AF,BuildingPermits!$N:$N,AB$2)</f>
        <v>23809</v>
      </c>
      <c r="AC85" s="39">
        <f>SUMIFS(BuildingPermits!$AF:$AF,BuildingPermits!$N:$N,AC$2)</f>
        <v>19096</v>
      </c>
      <c r="AD85" s="39">
        <f>SUMIFS(BuildingPermits!$AF:$AF,BuildingPermits!$N:$N,AD$2)</f>
        <v>-999</v>
      </c>
      <c r="AE85" s="39">
        <f>SUMIFS(BuildingPermits!$AF:$AF,BuildingPermits!$N:$N,AE$2)</f>
        <v>0</v>
      </c>
      <c r="AF85" s="39">
        <f>SUMIFS(BuildingPermits!$AF:$AF,BuildingPermits!$N:$N,AF$2)</f>
        <v>0</v>
      </c>
      <c r="AG85" s="39">
        <f>SUMIFS(BuildingPermits!$AF:$AF,BuildingPermits!$N:$N,AG$2)</f>
        <v>0</v>
      </c>
      <c r="AH85" s="39">
        <f>SUMIFS(BuildingPermits!$AF:$AF,BuildingPermits!$N:$N,AH$2)</f>
        <v>0</v>
      </c>
      <c r="AI85" s="39">
        <f>SUMIFS(BuildingPermits!$AF:$AF,BuildingPermits!$N:$N,AI$2)</f>
        <v>0</v>
      </c>
      <c r="AJ85" s="39">
        <f>SUMIFS(BuildingPermits!$AF:$AF,BuildingPermits!$N:$N,AJ$2)</f>
        <v>0</v>
      </c>
      <c r="AK85" s="39">
        <f>SUMIFS(BuildingPermits!$AF:$AF,BuildingPermits!$N:$N,AK$2)</f>
        <v>0</v>
      </c>
    </row>
    <row r="86" spans="2:37" x14ac:dyDescent="0.25">
      <c r="G86" t="s">
        <v>52</v>
      </c>
      <c r="H86" t="s">
        <v>32</v>
      </c>
      <c r="I86" s="39">
        <f>SUMIFS(BuildingPermits!$AG:$AG,BuildingPermits!$N:$N,I$2)</f>
        <v>0</v>
      </c>
      <c r="J86" s="39">
        <f>SUMIFS(BuildingPermits!$AG:$AG,BuildingPermits!$N:$N,J$2)</f>
        <v>0</v>
      </c>
      <c r="K86" s="39">
        <f>SUMIFS(BuildingPermits!$AG:$AG,BuildingPermits!$N:$N,K$2)</f>
        <v>0</v>
      </c>
      <c r="L86" s="39">
        <f>SUMIFS(BuildingPermits!$AG:$AG,BuildingPermits!$N:$N,L$2)</f>
        <v>0</v>
      </c>
      <c r="M86" s="39">
        <f>SUMIFS(BuildingPermits!$AG:$AG,BuildingPermits!$N:$N,M$2)</f>
        <v>96</v>
      </c>
      <c r="N86" s="39">
        <f>SUMIFS(BuildingPermits!$AG:$AG,BuildingPermits!$N:$N,N$2)</f>
        <v>0</v>
      </c>
      <c r="O86" s="39">
        <f>SUMIFS(BuildingPermits!$AG:$AG,BuildingPermits!$N:$N,O$2)</f>
        <v>0</v>
      </c>
      <c r="P86" s="39">
        <f>SUMIFS(BuildingPermits!$AG:$AG,BuildingPermits!$N:$N,P$2)</f>
        <v>0</v>
      </c>
      <c r="Q86" s="39">
        <f>SUMIFS(BuildingPermits!$AG:$AG,BuildingPermits!$N:$N,Q$2)</f>
        <v>0</v>
      </c>
      <c r="R86" s="39">
        <f>SUMIFS(BuildingPermits!$AG:$AG,BuildingPermits!$N:$N,R$2)</f>
        <v>0</v>
      </c>
      <c r="S86" s="39">
        <f>SUMIFS(BuildingPermits!$AG:$AG,BuildingPermits!$N:$N,S$2)</f>
        <v>0</v>
      </c>
      <c r="T86" s="39">
        <f>SUMIFS(BuildingPermits!$AG:$AG,BuildingPermits!$N:$N,T$2)</f>
        <v>0</v>
      </c>
      <c r="U86" s="39">
        <f>SUMIFS(BuildingPermits!$AG:$AG,BuildingPermits!$N:$N,U$2)</f>
        <v>80</v>
      </c>
      <c r="V86" s="39">
        <f>SUMIFS(BuildingPermits!$AG:$AG,BuildingPermits!$N:$N,V$2)</f>
        <v>0</v>
      </c>
      <c r="W86" s="39">
        <f>SUMIFS(BuildingPermits!$AG:$AG,BuildingPermits!$N:$N,W$2)</f>
        <v>0</v>
      </c>
      <c r="X86" s="39">
        <f>SUMIFS(BuildingPermits!$AG:$AG,BuildingPermits!$N:$N,X$2)</f>
        <v>-14592</v>
      </c>
      <c r="Y86" s="39">
        <f>SUMIFS(BuildingPermits!$AG:$AG,BuildingPermits!$N:$N,Y$2)</f>
        <v>-3648</v>
      </c>
      <c r="Z86" s="39">
        <f>SUMIFS(BuildingPermits!$AG:$AG,BuildingPermits!$N:$N,Z$2)</f>
        <v>0</v>
      </c>
      <c r="AA86" s="39">
        <f>SUMIFS(BuildingPermits!$AG:$AG,BuildingPermits!$N:$N,AA$2)</f>
        <v>0</v>
      </c>
      <c r="AB86" s="39">
        <f>SUMIFS(BuildingPermits!$AG:$AG,BuildingPermits!$N:$N,AB$2)</f>
        <v>-3061</v>
      </c>
      <c r="AC86" s="39">
        <f>SUMIFS(BuildingPermits!$AG:$AG,BuildingPermits!$N:$N,AC$2)</f>
        <v>-1216</v>
      </c>
      <c r="AD86" s="39">
        <f>SUMIFS(BuildingPermits!$AG:$AG,BuildingPermits!$N:$N,AD$2)</f>
        <v>0</v>
      </c>
      <c r="AE86" s="39">
        <f>SUMIFS(BuildingPermits!$AG:$AG,BuildingPermits!$N:$N,AE$2)</f>
        <v>0</v>
      </c>
      <c r="AF86" s="39">
        <f>SUMIFS(BuildingPermits!$AG:$AG,BuildingPermits!$N:$N,AF$2)</f>
        <v>0</v>
      </c>
      <c r="AG86" s="39">
        <f>SUMIFS(BuildingPermits!$AG:$AG,BuildingPermits!$N:$N,AG$2)</f>
        <v>0</v>
      </c>
      <c r="AH86" s="39">
        <f>SUMIFS(BuildingPermits!$AG:$AG,BuildingPermits!$N:$N,AH$2)</f>
        <v>0</v>
      </c>
      <c r="AI86" s="39">
        <f>SUMIFS(BuildingPermits!$AG:$AG,BuildingPermits!$N:$N,AI$2)</f>
        <v>0</v>
      </c>
      <c r="AJ86" s="39">
        <f>SUMIFS(BuildingPermits!$AG:$AG,BuildingPermits!$N:$N,AJ$2)</f>
        <v>0</v>
      </c>
      <c r="AK86" s="39">
        <f>SUMIFS(BuildingPermits!$AG:$AG,BuildingPermits!$N:$N,AK$2)</f>
        <v>0</v>
      </c>
    </row>
    <row r="87" spans="2:37" s="8" customFormat="1" x14ac:dyDescent="0.25">
      <c r="B87" s="9"/>
      <c r="D87" s="8" t="s">
        <v>54</v>
      </c>
      <c r="I87" s="42"/>
      <c r="J87" s="42"/>
      <c r="K87" s="42"/>
      <c r="L87" s="42"/>
      <c r="M87" s="42"/>
      <c r="N87" s="42"/>
      <c r="O87" s="42"/>
      <c r="P87" s="42"/>
      <c r="Q87" s="42"/>
      <c r="R87" s="42"/>
      <c r="S87" s="42"/>
      <c r="T87" s="42"/>
      <c r="U87" s="42"/>
      <c r="V87" s="42"/>
      <c r="W87" s="42"/>
      <c r="X87" s="42"/>
      <c r="Y87" s="42"/>
      <c r="Z87" s="42"/>
    </row>
    <row r="88" spans="2:37" x14ac:dyDescent="0.25">
      <c r="E88" s="10" t="s">
        <v>29</v>
      </c>
      <c r="F88" s="10"/>
      <c r="G88" s="10"/>
      <c r="H88" s="10" t="s">
        <v>30</v>
      </c>
      <c r="I88" s="41">
        <f t="shared" ref="I88:AK88" si="16">SUM(I89:I90)</f>
        <v>0</v>
      </c>
      <c r="J88" s="41">
        <f t="shared" si="16"/>
        <v>39</v>
      </c>
      <c r="K88" s="41">
        <f t="shared" si="16"/>
        <v>49</v>
      </c>
      <c r="L88" s="41">
        <f t="shared" si="16"/>
        <v>86</v>
      </c>
      <c r="M88" s="41">
        <f t="shared" si="16"/>
        <v>88</v>
      </c>
      <c r="N88" s="41">
        <f t="shared" si="16"/>
        <v>54</v>
      </c>
      <c r="O88" s="41">
        <f t="shared" si="16"/>
        <v>26</v>
      </c>
      <c r="P88" s="41">
        <f t="shared" si="16"/>
        <v>27</v>
      </c>
      <c r="Q88" s="41">
        <f t="shared" si="16"/>
        <v>35</v>
      </c>
      <c r="R88" s="41">
        <f t="shared" si="16"/>
        <v>1</v>
      </c>
      <c r="S88" s="41">
        <f t="shared" si="16"/>
        <v>25</v>
      </c>
      <c r="T88" s="41">
        <f t="shared" si="16"/>
        <v>0</v>
      </c>
      <c r="U88" s="41">
        <f t="shared" si="16"/>
        <v>57</v>
      </c>
      <c r="V88" s="41">
        <f t="shared" si="16"/>
        <v>0</v>
      </c>
      <c r="W88" s="41">
        <f t="shared" si="16"/>
        <v>0</v>
      </c>
      <c r="X88" s="41">
        <f t="shared" si="16"/>
        <v>131</v>
      </c>
      <c r="Y88" s="41">
        <f t="shared" si="16"/>
        <v>74</v>
      </c>
      <c r="Z88" s="41">
        <f t="shared" si="16"/>
        <v>4</v>
      </c>
      <c r="AA88" s="41">
        <f t="shared" si="16"/>
        <v>16</v>
      </c>
      <c r="AB88" s="41">
        <f t="shared" si="16"/>
        <v>100</v>
      </c>
      <c r="AC88" s="41">
        <f t="shared" si="16"/>
        <v>12</v>
      </c>
      <c r="AD88" s="41">
        <f t="shared" si="16"/>
        <v>0</v>
      </c>
      <c r="AE88" s="41">
        <f t="shared" si="16"/>
        <v>0</v>
      </c>
      <c r="AF88" s="41">
        <f t="shared" si="16"/>
        <v>0</v>
      </c>
      <c r="AG88" s="41">
        <f t="shared" si="16"/>
        <v>0</v>
      </c>
      <c r="AH88" s="41">
        <f t="shared" si="16"/>
        <v>0</v>
      </c>
      <c r="AI88" s="41">
        <f t="shared" si="16"/>
        <v>0</v>
      </c>
      <c r="AJ88" s="41">
        <f t="shared" si="16"/>
        <v>0</v>
      </c>
      <c r="AK88" s="41">
        <f t="shared" si="16"/>
        <v>0</v>
      </c>
    </row>
    <row r="89" spans="2:37" x14ac:dyDescent="0.25">
      <c r="G89" t="s">
        <v>55</v>
      </c>
      <c r="H89" t="s">
        <v>30</v>
      </c>
      <c r="I89">
        <f>SUMIFS(BuildingPermits!$AT:$AT,BuildingPermits!$N:$N,I$2)</f>
        <v>0</v>
      </c>
      <c r="J89">
        <f>SUMIFS(BuildingPermits!$AT:$AT,BuildingPermits!$N:$N,J$2)</f>
        <v>39</v>
      </c>
      <c r="K89">
        <f>SUMIFS(BuildingPermits!$AT:$AT,BuildingPermits!$N:$N,K$2)</f>
        <v>49</v>
      </c>
      <c r="L89">
        <f>SUMIFS(BuildingPermits!$AT:$AT,BuildingPermits!$N:$N,L$2)</f>
        <v>86</v>
      </c>
      <c r="M89">
        <f>SUMIFS(BuildingPermits!$AT:$AT,BuildingPermits!$N:$N,M$2)</f>
        <v>88</v>
      </c>
      <c r="N89">
        <f>SUMIFS(BuildingPermits!$AT:$AT,BuildingPermits!$N:$N,N$2)</f>
        <v>54</v>
      </c>
      <c r="O89">
        <f>SUMIFS(BuildingPermits!$AT:$AT,BuildingPermits!$N:$N,O$2)</f>
        <v>26</v>
      </c>
      <c r="P89">
        <f>SUMIFS(BuildingPermits!$AT:$AT,BuildingPermits!$N:$N,P$2)</f>
        <v>27</v>
      </c>
      <c r="Q89">
        <f>SUMIFS(BuildingPermits!$AT:$AT,BuildingPermits!$N:$N,Q$2)</f>
        <v>35</v>
      </c>
      <c r="R89">
        <f>SUMIFS(BuildingPermits!$AT:$AT,BuildingPermits!$N:$N,R$2)</f>
        <v>1</v>
      </c>
      <c r="S89">
        <f>SUMIFS(BuildingPermits!$AT:$AT,BuildingPermits!$N:$N,S$2)</f>
        <v>25</v>
      </c>
      <c r="T89">
        <f>SUMIFS(BuildingPermits!$AT:$AT,BuildingPermits!$N:$N,T$2)</f>
        <v>0</v>
      </c>
      <c r="U89">
        <f>SUMIFS(BuildingPermits!$AT:$AT,BuildingPermits!$N:$N,U$2)</f>
        <v>57</v>
      </c>
      <c r="V89">
        <f>SUMIFS(BuildingPermits!$AT:$AT,BuildingPermits!$N:$N,V$2)</f>
        <v>0</v>
      </c>
      <c r="W89">
        <f>SUMIFS(BuildingPermits!$AT:$AT,BuildingPermits!$N:$N,W$2)</f>
        <v>0</v>
      </c>
      <c r="X89">
        <f>SUMIFS(BuildingPermits!$AT:$AT,BuildingPermits!$N:$N,X$2)</f>
        <v>131</v>
      </c>
      <c r="Y89">
        <f>SUMIFS(BuildingPermits!$AT:$AT,BuildingPermits!$N:$N,Y$2)</f>
        <v>74</v>
      </c>
      <c r="Z89">
        <f>SUMIFS(BuildingPermits!$AT:$AT,BuildingPermits!$N:$N,Z$2)</f>
        <v>4</v>
      </c>
      <c r="AA89">
        <f>SUMIFS(BuildingPermits!$AT:$AT,BuildingPermits!$N:$N,AA$2)</f>
        <v>16</v>
      </c>
      <c r="AB89">
        <f>SUMIFS(BuildingPermits!$AT:$AT,BuildingPermits!$N:$N,AB$2)</f>
        <v>100</v>
      </c>
      <c r="AC89">
        <f>SUMIFS(BuildingPermits!$AT:$AT,BuildingPermits!$N:$N,AC$2)</f>
        <v>12</v>
      </c>
      <c r="AD89">
        <f>SUMIFS(BuildingPermits!$AT:$AT,BuildingPermits!$N:$N,AD$2)</f>
        <v>0</v>
      </c>
      <c r="AE89">
        <f>SUMIFS(BuildingPermits!$AT:$AT,BuildingPermits!$N:$N,AE$2)</f>
        <v>0</v>
      </c>
      <c r="AF89">
        <f>SUMIFS(BuildingPermits!$AT:$AT,BuildingPermits!$N:$N,AF$2)</f>
        <v>0</v>
      </c>
      <c r="AG89">
        <f>SUMIFS(BuildingPermits!$AT:$AT,BuildingPermits!$N:$N,AG$2)</f>
        <v>0</v>
      </c>
      <c r="AH89">
        <f>SUMIFS(BuildingPermits!$AT:$AT,BuildingPermits!$N:$N,AH$2)</f>
        <v>0</v>
      </c>
      <c r="AI89">
        <f>SUMIFS(BuildingPermits!$AT:$AT,BuildingPermits!$N:$N,AI$2)</f>
        <v>0</v>
      </c>
      <c r="AJ89">
        <f>SUMIFS(BuildingPermits!$AT:$AT,BuildingPermits!$N:$N,AJ$2)</f>
        <v>0</v>
      </c>
      <c r="AK89">
        <f>SUMIFS(BuildingPermits!$AT:$AT,BuildingPermits!$N:$N,AK$2)</f>
        <v>0</v>
      </c>
    </row>
    <row r="90" spans="2:37" x14ac:dyDescent="0.25">
      <c r="G90" t="s">
        <v>56</v>
      </c>
      <c r="H90" t="s">
        <v>30</v>
      </c>
      <c r="I90" s="39"/>
      <c r="J90" s="39"/>
      <c r="K90" s="39"/>
      <c r="L90" s="39"/>
      <c r="M90" s="39"/>
      <c r="N90" s="39"/>
      <c r="O90" s="39"/>
      <c r="P90" s="39"/>
      <c r="Q90" s="39"/>
      <c r="R90" s="39"/>
      <c r="S90" s="39"/>
      <c r="T90" s="39"/>
      <c r="U90" s="39"/>
      <c r="V90" s="39"/>
      <c r="W90" s="39"/>
      <c r="X90" s="39"/>
      <c r="Y90" s="39"/>
      <c r="Z90" s="39"/>
    </row>
    <row r="91" spans="2:37" x14ac:dyDescent="0.25">
      <c r="E91" s="10" t="s">
        <v>57</v>
      </c>
      <c r="F91" s="10"/>
      <c r="G91" s="10"/>
      <c r="H91" s="10" t="s">
        <v>32</v>
      </c>
      <c r="I91" s="41">
        <f t="shared" ref="I91:AK91" si="17">SUM(I92:I93)</f>
        <v>800</v>
      </c>
      <c r="J91" s="41">
        <f t="shared" si="17"/>
        <v>52525</v>
      </c>
      <c r="K91" s="41">
        <f t="shared" si="17"/>
        <v>26448</v>
      </c>
      <c r="L91" s="41">
        <f t="shared" si="17"/>
        <v>164716</v>
      </c>
      <c r="M91" s="41">
        <f t="shared" si="17"/>
        <v>66199</v>
      </c>
      <c r="N91" s="41">
        <f t="shared" si="17"/>
        <v>81684</v>
      </c>
      <c r="O91" s="41">
        <f t="shared" si="17"/>
        <v>48147</v>
      </c>
      <c r="P91" s="41">
        <f t="shared" si="17"/>
        <v>48359</v>
      </c>
      <c r="Q91" s="41">
        <f t="shared" si="17"/>
        <v>46236</v>
      </c>
      <c r="R91" s="41">
        <f t="shared" si="17"/>
        <v>1520</v>
      </c>
      <c r="S91" s="41">
        <f t="shared" si="17"/>
        <v>17971</v>
      </c>
      <c r="T91" s="41">
        <f t="shared" si="17"/>
        <v>26427</v>
      </c>
      <c r="U91" s="41">
        <f t="shared" si="17"/>
        <v>56252</v>
      </c>
      <c r="V91" s="41">
        <f t="shared" si="17"/>
        <v>-1143</v>
      </c>
      <c r="W91" s="41">
        <f t="shared" si="17"/>
        <v>-1305</v>
      </c>
      <c r="X91" s="41">
        <f t="shared" si="17"/>
        <v>130411</v>
      </c>
      <c r="Y91" s="41">
        <f t="shared" si="17"/>
        <v>35534</v>
      </c>
      <c r="Z91" s="41">
        <f t="shared" si="17"/>
        <v>616</v>
      </c>
      <c r="AA91" s="41">
        <f t="shared" si="17"/>
        <v>23137</v>
      </c>
      <c r="AB91" s="41">
        <f t="shared" si="17"/>
        <v>104554</v>
      </c>
      <c r="AC91" s="41">
        <f t="shared" si="17"/>
        <v>9126</v>
      </c>
      <c r="AD91" s="41">
        <f t="shared" si="17"/>
        <v>0</v>
      </c>
      <c r="AE91" s="41">
        <f t="shared" si="17"/>
        <v>0</v>
      </c>
      <c r="AF91" s="41">
        <f t="shared" si="17"/>
        <v>0</v>
      </c>
      <c r="AG91" s="41">
        <f t="shared" si="17"/>
        <v>0</v>
      </c>
      <c r="AH91" s="41">
        <f t="shared" si="17"/>
        <v>0</v>
      </c>
      <c r="AI91" s="41">
        <f t="shared" si="17"/>
        <v>0</v>
      </c>
      <c r="AJ91" s="41">
        <f t="shared" si="17"/>
        <v>0</v>
      </c>
      <c r="AK91" s="41">
        <f t="shared" si="17"/>
        <v>0</v>
      </c>
    </row>
    <row r="92" spans="2:37" x14ac:dyDescent="0.25">
      <c r="G92" t="s">
        <v>55</v>
      </c>
      <c r="H92" t="s">
        <v>32</v>
      </c>
      <c r="I92" s="39">
        <f>SUMIFS(BuildingPermits!$AI:$AI,BuildingPermits!$N:$N,I$2)</f>
        <v>800</v>
      </c>
      <c r="J92" s="39">
        <f>SUMIFS(BuildingPermits!$AI:$AI,BuildingPermits!$N:$N,J$2)</f>
        <v>52525</v>
      </c>
      <c r="K92" s="39">
        <f>SUMIFS(BuildingPermits!$AI:$AI,BuildingPermits!$N:$N,K$2)</f>
        <v>26448</v>
      </c>
      <c r="L92" s="39">
        <f>SUMIFS(BuildingPermits!$AI:$AI,BuildingPermits!$N:$N,L$2)</f>
        <v>164716</v>
      </c>
      <c r="M92" s="39">
        <f>SUMIFS(BuildingPermits!$AI:$AI,BuildingPermits!$N:$N,M$2)</f>
        <v>66199</v>
      </c>
      <c r="N92" s="39">
        <f>SUMIFS(BuildingPermits!$AI:$AI,BuildingPermits!$N:$N,N$2)</f>
        <v>81684</v>
      </c>
      <c r="O92" s="39">
        <f>SUMIFS(BuildingPermits!$AI:$AI,BuildingPermits!$N:$N,O$2)</f>
        <v>48147</v>
      </c>
      <c r="P92" s="39">
        <f>SUMIFS(BuildingPermits!$AI:$AI,BuildingPermits!$N:$N,P$2)</f>
        <v>48359</v>
      </c>
      <c r="Q92" s="39">
        <f>SUMIFS(BuildingPermits!$AI:$AI,BuildingPermits!$N:$N,Q$2)</f>
        <v>46236</v>
      </c>
      <c r="R92" s="39">
        <f>SUMIFS(BuildingPermits!$AI:$AI,BuildingPermits!$N:$N,R$2)</f>
        <v>1520</v>
      </c>
      <c r="S92" s="39">
        <f>SUMIFS(BuildingPermits!$AI:$AI,BuildingPermits!$N:$N,S$2)</f>
        <v>17971</v>
      </c>
      <c r="T92" s="39">
        <f>SUMIFS(BuildingPermits!$AI:$AI,BuildingPermits!$N:$N,T$2)</f>
        <v>26427</v>
      </c>
      <c r="U92" s="39">
        <f>SUMIFS(BuildingPermits!$AI:$AI,BuildingPermits!$N:$N,U$2)</f>
        <v>56252</v>
      </c>
      <c r="V92" s="39">
        <f>SUMIFS(BuildingPermits!$AI:$AI,BuildingPermits!$N:$N,V$2)</f>
        <v>-1143</v>
      </c>
      <c r="W92" s="39">
        <f>SUMIFS(BuildingPermits!$AI:$AI,BuildingPermits!$N:$N,W$2)</f>
        <v>-1305</v>
      </c>
      <c r="X92" s="39">
        <f>SUMIFS(BuildingPermits!$AI:$AI,BuildingPermits!$N:$N,X$2)</f>
        <v>130411</v>
      </c>
      <c r="Y92" s="39">
        <f>SUMIFS(BuildingPermits!$AI:$AI,BuildingPermits!$N:$N,Y$2)</f>
        <v>35534</v>
      </c>
      <c r="Z92" s="39">
        <f>SUMIFS(BuildingPermits!$AI:$AI,BuildingPermits!$N:$N,Z$2)</f>
        <v>616</v>
      </c>
      <c r="AA92" s="39">
        <f>SUMIFS(BuildingPermits!$AI:$AI,BuildingPermits!$N:$N,AA$2)</f>
        <v>23137</v>
      </c>
      <c r="AB92" s="39">
        <f>SUMIFS(BuildingPermits!$AI:$AI,BuildingPermits!$N:$N,AB$2)</f>
        <v>104554</v>
      </c>
      <c r="AC92" s="39">
        <f>SUMIFS(BuildingPermits!$AI:$AI,BuildingPermits!$N:$N,AC$2)</f>
        <v>9126</v>
      </c>
      <c r="AD92" s="39">
        <f>SUMIFS(BuildingPermits!$AI:$AI,BuildingPermits!$N:$N,AD$2)</f>
        <v>0</v>
      </c>
      <c r="AE92" s="39">
        <f>SUMIFS(BuildingPermits!$AI:$AI,BuildingPermits!$N:$N,AE$2)</f>
        <v>0</v>
      </c>
      <c r="AF92" s="39">
        <f>SUMIFS(BuildingPermits!$AI:$AI,BuildingPermits!$N:$N,AF$2)</f>
        <v>0</v>
      </c>
      <c r="AG92" s="39">
        <f>SUMIFS(BuildingPermits!$AI:$AI,BuildingPermits!$N:$N,AG$2)</f>
        <v>0</v>
      </c>
      <c r="AH92" s="39">
        <f>SUMIFS(BuildingPermits!$AI:$AI,BuildingPermits!$N:$N,AH$2)</f>
        <v>0</v>
      </c>
      <c r="AI92" s="39">
        <f>SUMIFS(BuildingPermits!$AI:$AI,BuildingPermits!$N:$N,AI$2)</f>
        <v>0</v>
      </c>
      <c r="AJ92" s="39">
        <f>SUMIFS(BuildingPermits!$AI:$AI,BuildingPermits!$N:$N,AJ$2)</f>
        <v>0</v>
      </c>
      <c r="AK92" s="39">
        <f>SUMIFS(BuildingPermits!$AI:$AI,BuildingPermits!$N:$N,AK$2)</f>
        <v>0</v>
      </c>
    </row>
    <row r="93" spans="2:37" x14ac:dyDescent="0.25">
      <c r="G93" t="s">
        <v>56</v>
      </c>
      <c r="H93" t="s">
        <v>32</v>
      </c>
      <c r="I93" s="39"/>
      <c r="J93" s="39"/>
      <c r="K93" s="39"/>
      <c r="L93" s="39"/>
      <c r="M93" s="39"/>
      <c r="N93" s="39"/>
      <c r="O93" s="39"/>
      <c r="P93" s="39"/>
      <c r="Q93" s="39"/>
      <c r="R93" s="39"/>
      <c r="S93" s="39"/>
      <c r="T93" s="39"/>
      <c r="U93" s="39"/>
      <c r="V93" s="39"/>
      <c r="W93" s="39"/>
      <c r="X93" s="39"/>
      <c r="Y93" s="39"/>
      <c r="Z93" s="39"/>
    </row>
    <row r="94" spans="2:37" s="8" customFormat="1" x14ac:dyDescent="0.25">
      <c r="B94" s="9"/>
      <c r="D94" s="8" t="s">
        <v>58</v>
      </c>
      <c r="I94" s="42"/>
      <c r="J94" s="42"/>
      <c r="K94" s="42"/>
      <c r="L94" s="42"/>
      <c r="M94" s="42"/>
      <c r="N94" s="42"/>
      <c r="O94" s="42"/>
      <c r="P94" s="42"/>
      <c r="Q94" s="42"/>
      <c r="R94" s="42"/>
      <c r="S94" s="42"/>
      <c r="T94" s="42"/>
      <c r="U94" s="42"/>
      <c r="V94" s="42"/>
      <c r="W94" s="42"/>
      <c r="X94" s="42"/>
      <c r="Y94" s="42"/>
      <c r="Z94" s="42"/>
    </row>
    <row r="95" spans="2:37" s="10" customFormat="1" x14ac:dyDescent="0.25">
      <c r="B95" s="11"/>
      <c r="E95" s="10" t="s">
        <v>59</v>
      </c>
      <c r="H95" s="10" t="s">
        <v>32</v>
      </c>
      <c r="I95" s="41">
        <f t="shared" ref="I95:AK95" si="18">SUM(I97,I99,I100,I101:I104)</f>
        <v>154535</v>
      </c>
      <c r="J95" s="41">
        <f t="shared" si="18"/>
        <v>188026</v>
      </c>
      <c r="K95" s="41">
        <f t="shared" si="18"/>
        <v>201252</v>
      </c>
      <c r="L95" s="41">
        <f t="shared" si="18"/>
        <v>128319</v>
      </c>
      <c r="M95" s="41">
        <f t="shared" si="18"/>
        <v>260836</v>
      </c>
      <c r="N95" s="41">
        <f t="shared" si="18"/>
        <v>349728</v>
      </c>
      <c r="O95" s="41">
        <f t="shared" si="18"/>
        <v>79794</v>
      </c>
      <c r="P95" s="41">
        <f t="shared" si="18"/>
        <v>184790</v>
      </c>
      <c r="Q95" s="41">
        <f t="shared" si="18"/>
        <v>77912</v>
      </c>
      <c r="R95" s="41">
        <f t="shared" si="18"/>
        <v>66964</v>
      </c>
      <c r="S95" s="41">
        <f t="shared" si="18"/>
        <v>56515</v>
      </c>
      <c r="T95" s="41">
        <f>SUM(T97,T99,T100,T101:T104)</f>
        <v>45081</v>
      </c>
      <c r="U95" s="41">
        <f t="shared" si="18"/>
        <v>118924</v>
      </c>
      <c r="V95" s="41">
        <f t="shared" si="18"/>
        <v>53226</v>
      </c>
      <c r="W95" s="41">
        <f t="shared" si="18"/>
        <v>53593</v>
      </c>
      <c r="X95" s="41">
        <f t="shared" si="18"/>
        <v>44454</v>
      </c>
      <c r="Y95" s="41">
        <f t="shared" si="18"/>
        <v>103286</v>
      </c>
      <c r="Z95" s="41">
        <f t="shared" si="18"/>
        <v>111742</v>
      </c>
      <c r="AA95" s="41">
        <f>SUM(AA97,AA99,AA100,AA101:AA104)</f>
        <v>66487</v>
      </c>
      <c r="AB95" s="41">
        <f t="shared" si="18"/>
        <v>4242</v>
      </c>
      <c r="AC95" s="41">
        <f t="shared" si="18"/>
        <v>39971</v>
      </c>
      <c r="AD95" s="41">
        <f t="shared" si="18"/>
        <v>0</v>
      </c>
      <c r="AE95" s="41">
        <f t="shared" si="18"/>
        <v>0</v>
      </c>
      <c r="AF95" s="41">
        <f t="shared" si="18"/>
        <v>0</v>
      </c>
      <c r="AG95" s="41">
        <f t="shared" si="18"/>
        <v>0</v>
      </c>
      <c r="AH95" s="41">
        <f t="shared" si="18"/>
        <v>0</v>
      </c>
      <c r="AI95" s="41">
        <f t="shared" si="18"/>
        <v>0</v>
      </c>
      <c r="AJ95" s="41">
        <f t="shared" si="18"/>
        <v>0</v>
      </c>
      <c r="AK95" s="41">
        <f t="shared" si="18"/>
        <v>0</v>
      </c>
    </row>
    <row r="96" spans="2:37" s="10" customFormat="1" x14ac:dyDescent="0.25">
      <c r="B96" s="11"/>
      <c r="F96" s="10" t="s">
        <v>60</v>
      </c>
      <c r="H96" s="10" t="s">
        <v>32</v>
      </c>
      <c r="I96" s="41">
        <f t="shared" ref="I96:AK96" si="19">SUM(I99:I103)</f>
        <v>31170</v>
      </c>
      <c r="J96" s="41">
        <f t="shared" si="19"/>
        <v>172184</v>
      </c>
      <c r="K96" s="41">
        <f t="shared" si="19"/>
        <v>154688</v>
      </c>
      <c r="L96" s="41">
        <f t="shared" si="19"/>
        <v>31853</v>
      </c>
      <c r="M96" s="41">
        <f t="shared" si="19"/>
        <v>72013</v>
      </c>
      <c r="N96" s="41">
        <f t="shared" si="19"/>
        <v>142293</v>
      </c>
      <c r="O96" s="41">
        <f t="shared" si="19"/>
        <v>70636</v>
      </c>
      <c r="P96" s="41">
        <f t="shared" si="19"/>
        <v>179847</v>
      </c>
      <c r="Q96" s="41">
        <f t="shared" si="19"/>
        <v>41313</v>
      </c>
      <c r="R96" s="41">
        <f t="shared" si="19"/>
        <v>6277</v>
      </c>
      <c r="S96" s="41">
        <f t="shared" si="19"/>
        <v>26557</v>
      </c>
      <c r="T96" s="41">
        <f t="shared" si="19"/>
        <v>42578</v>
      </c>
      <c r="U96" s="41">
        <f t="shared" si="19"/>
        <v>105395</v>
      </c>
      <c r="V96" s="41">
        <f t="shared" si="19"/>
        <v>18152</v>
      </c>
      <c r="W96" s="41">
        <f t="shared" si="19"/>
        <v>49326</v>
      </c>
      <c r="X96" s="41">
        <f t="shared" si="19"/>
        <v>37172</v>
      </c>
      <c r="Y96" s="41">
        <f t="shared" si="19"/>
        <v>13832</v>
      </c>
      <c r="Z96" s="41">
        <f t="shared" si="19"/>
        <v>60782</v>
      </c>
      <c r="AA96" s="41">
        <f t="shared" si="19"/>
        <v>28475</v>
      </c>
      <c r="AB96" s="41">
        <f t="shared" si="19"/>
        <v>-6003</v>
      </c>
      <c r="AC96" s="41">
        <f t="shared" si="19"/>
        <v>-1885</v>
      </c>
      <c r="AD96" s="41">
        <f t="shared" si="19"/>
        <v>0</v>
      </c>
      <c r="AE96" s="41">
        <f t="shared" si="19"/>
        <v>0</v>
      </c>
      <c r="AF96" s="41">
        <f t="shared" si="19"/>
        <v>0</v>
      </c>
      <c r="AG96" s="41">
        <f t="shared" si="19"/>
        <v>0</v>
      </c>
      <c r="AH96" s="41">
        <f t="shared" si="19"/>
        <v>0</v>
      </c>
      <c r="AI96" s="41">
        <f t="shared" si="19"/>
        <v>0</v>
      </c>
      <c r="AJ96" s="41">
        <f t="shared" si="19"/>
        <v>0</v>
      </c>
      <c r="AK96" s="41">
        <f t="shared" si="19"/>
        <v>0</v>
      </c>
    </row>
    <row r="97" spans="2:37" x14ac:dyDescent="0.25">
      <c r="G97" t="s">
        <v>46</v>
      </c>
      <c r="H97" t="s">
        <v>32</v>
      </c>
      <c r="I97" s="39">
        <f>SUMIFS(BuildingPermits!$Y:$Y,BuildingPermits!$N:$N,I$2)</f>
        <v>104</v>
      </c>
      <c r="J97" s="39">
        <f>SUMIFS(BuildingPermits!$Y:$Y,BuildingPermits!$N:$N,J$2)</f>
        <v>840</v>
      </c>
      <c r="K97" s="39">
        <f>SUMIFS(BuildingPermits!$Y:$Y,BuildingPermits!$N:$N,K$2)</f>
        <v>13600</v>
      </c>
      <c r="L97" s="39">
        <f>SUMIFS(BuildingPermits!$Y:$Y,BuildingPermits!$N:$N,L$2)</f>
        <v>272</v>
      </c>
      <c r="M97" s="39">
        <f>SUMIFS(BuildingPermits!$Y:$Y,BuildingPermits!$N:$N,M$2)</f>
        <v>2400</v>
      </c>
      <c r="N97" s="39">
        <f>SUMIFS(BuildingPermits!$Y:$Y,BuildingPermits!$N:$N,N$2)</f>
        <v>16996</v>
      </c>
      <c r="O97" s="39">
        <f>SUMIFS(BuildingPermits!$Y:$Y,BuildingPermits!$N:$N,O$2)</f>
        <v>2100</v>
      </c>
      <c r="P97" s="39">
        <f>SUMIFS(BuildingPermits!$Y:$Y,BuildingPermits!$N:$N,P$2)</f>
        <v>1264</v>
      </c>
      <c r="Q97" s="39">
        <f>SUMIFS(BuildingPermits!$Y:$Y,BuildingPermits!$N:$N,Q$2)</f>
        <v>1008</v>
      </c>
      <c r="R97" s="39">
        <f>SUMIFS(BuildingPermits!$Y:$Y,BuildingPermits!$N:$N,R$2)</f>
        <v>0</v>
      </c>
      <c r="S97" s="39">
        <f>SUMIFS(BuildingPermits!$Y:$Y,BuildingPermits!$N:$N,S$2)</f>
        <v>0</v>
      </c>
      <c r="T97" s="39">
        <f>SUMIFS(BuildingPermits!$Y:$Y,BuildingPermits!$N:$N,T$2)</f>
        <v>0</v>
      </c>
      <c r="U97" s="39">
        <f>SUMIFS(BuildingPermits!$Y:$Y,BuildingPermits!$N:$N,U$2)</f>
        <v>3945</v>
      </c>
      <c r="V97" s="39">
        <f>SUMIFS(BuildingPermits!$Y:$Y,BuildingPermits!$N:$N,V$2)</f>
        <v>1593</v>
      </c>
      <c r="W97" s="39">
        <f>SUMIFS(BuildingPermits!$Y:$Y,BuildingPermits!$N:$N,W$2)</f>
        <v>0</v>
      </c>
      <c r="X97" s="39">
        <f>SUMIFS(BuildingPermits!$Y:$Y,BuildingPermits!$N:$N,X$2)</f>
        <v>0</v>
      </c>
      <c r="Y97" s="39">
        <f>SUMIFS(BuildingPermits!$Y:$Y,BuildingPermits!$N:$N,Y$2)</f>
        <v>0</v>
      </c>
      <c r="Z97" s="39">
        <f>SUMIFS(BuildingPermits!$Y:$Y,BuildingPermits!$N:$N,Z$2)</f>
        <v>2520</v>
      </c>
      <c r="AA97" s="39">
        <f>SUMIFS(BuildingPermits!$Y:$Y,BuildingPermits!$N:$N,AA$2)</f>
        <v>9322</v>
      </c>
      <c r="AB97" s="39">
        <f>SUMIFS(BuildingPermits!$Y:$Y,BuildingPermits!$N:$N,AB$2)</f>
        <v>6096</v>
      </c>
      <c r="AC97" s="39">
        <f>SUMIFS(BuildingPermits!$Y:$Y,BuildingPermits!$N:$N,AC$2)</f>
        <v>3305</v>
      </c>
      <c r="AD97" s="39">
        <f>SUMIFS(BuildingPermits!$Y:$Y,BuildingPermits!$N:$N,AD$2)</f>
        <v>0</v>
      </c>
      <c r="AE97" s="39">
        <f>SUMIFS(BuildingPermits!$Y:$Y,BuildingPermits!$N:$N,AE$2)</f>
        <v>0</v>
      </c>
      <c r="AF97" s="39">
        <f>SUMIFS(BuildingPermits!$Y:$Y,BuildingPermits!$N:$N,AF$2)</f>
        <v>0</v>
      </c>
      <c r="AG97" s="39">
        <f>SUMIFS(BuildingPermits!$Y:$Y,BuildingPermits!$N:$N,AG$2)</f>
        <v>0</v>
      </c>
      <c r="AH97" s="39">
        <f>SUMIFS(BuildingPermits!$Y:$Y,BuildingPermits!$N:$N,AH$2)</f>
        <v>0</v>
      </c>
      <c r="AI97" s="39">
        <f>SUMIFS(BuildingPermits!$Y:$Y,BuildingPermits!$N:$N,AI$2)</f>
        <v>0</v>
      </c>
      <c r="AJ97" s="39">
        <f>SUMIFS(BuildingPermits!$Y:$Y,BuildingPermits!$N:$N,AJ$2)</f>
        <v>0</v>
      </c>
      <c r="AK97" s="39">
        <f>SUMIFS(BuildingPermits!$Y:$Y,BuildingPermits!$N:$N,AK$2)</f>
        <v>0</v>
      </c>
    </row>
    <row r="98" spans="2:37" x14ac:dyDescent="0.25">
      <c r="B98" s="45" t="s">
        <v>61</v>
      </c>
      <c r="C98" t="s">
        <v>62</v>
      </c>
      <c r="G98" t="s">
        <v>63</v>
      </c>
      <c r="H98" t="s">
        <v>32</v>
      </c>
      <c r="I98" s="39">
        <f>SUMIFS(BuildingPermits!$AA:$AA,BuildingPermits!$N:$N,I$2)</f>
        <v>600</v>
      </c>
      <c r="J98" s="39">
        <f>SUMIFS(BuildingPermits!$AA:$AA,BuildingPermits!$N:$N,J$2)</f>
        <v>0</v>
      </c>
      <c r="K98" s="39">
        <f>SUMIFS(BuildingPermits!$AA:$AA,BuildingPermits!$N:$N,K$2)</f>
        <v>4320</v>
      </c>
      <c r="L98" s="39">
        <f>SUMIFS(BuildingPermits!$AA:$AA,BuildingPermits!$N:$N,L$2)</f>
        <v>3403</v>
      </c>
      <c r="M98" s="39">
        <f>SUMIFS(BuildingPermits!$AA:$AA,BuildingPermits!$N:$N,M$2)</f>
        <v>386</v>
      </c>
      <c r="N98" s="39">
        <f>SUMIFS(BuildingPermits!$AA:$AA,BuildingPermits!$N:$N,N$2)</f>
        <v>4231</v>
      </c>
      <c r="O98" s="39">
        <f>SUMIFS(BuildingPermits!$AA:$AA,BuildingPermits!$N:$N,O$2)</f>
        <v>564</v>
      </c>
      <c r="P98" s="39">
        <f>SUMIFS(BuildingPermits!$AA:$AA,BuildingPermits!$N:$N,P$2)</f>
        <v>2282</v>
      </c>
      <c r="Q98" s="39">
        <f>SUMIFS(BuildingPermits!$AA:$AA,BuildingPermits!$N:$N,Q$2)</f>
        <v>0</v>
      </c>
      <c r="R98" s="39">
        <f>SUMIFS(BuildingPermits!$AA:$AA,BuildingPermits!$N:$N,R$2)</f>
        <v>0</v>
      </c>
      <c r="S98" s="39">
        <f>SUMIFS(BuildingPermits!$AA:$AA,BuildingPermits!$N:$N,S$2)</f>
        <v>0</v>
      </c>
      <c r="T98" s="39">
        <f>SUMIFS(BuildingPermits!$AA:$AA,BuildingPermits!$N:$N,T$2)</f>
        <v>0</v>
      </c>
      <c r="U98" s="39">
        <f>SUMIFS(BuildingPermits!$AA:$AA,BuildingPermits!$N:$N,U$2)</f>
        <v>3564</v>
      </c>
      <c r="V98" s="39">
        <f>SUMIFS(BuildingPermits!$AA:$AA,BuildingPermits!$N:$N,V$2)</f>
        <v>0</v>
      </c>
      <c r="W98" s="39">
        <f>SUMIFS(BuildingPermits!$AA:$AA,BuildingPermits!$N:$N,W$2)</f>
        <v>1477</v>
      </c>
      <c r="X98" s="39">
        <f>SUMIFS(BuildingPermits!$AA:$AA,BuildingPermits!$N:$N,X$2)</f>
        <v>0</v>
      </c>
      <c r="Y98" s="39">
        <f>SUMIFS(BuildingPermits!$AA:$AA,BuildingPermits!$N:$N,Y$2)</f>
        <v>2566</v>
      </c>
      <c r="Z98" s="39">
        <f>SUMIFS(BuildingPermits!$AA:$AA,BuildingPermits!$N:$N,Z$2)</f>
        <v>416</v>
      </c>
      <c r="AA98" s="39">
        <f>SUMIFS(BuildingPermits!$AA:$AA,BuildingPermits!$N:$N,AA$2)</f>
        <v>0</v>
      </c>
      <c r="AB98" s="39">
        <f>SUMIFS(BuildingPermits!$AA:$AA,BuildingPermits!$N:$N,AB$2)</f>
        <v>0</v>
      </c>
      <c r="AC98" s="39">
        <f>SUMIFS(BuildingPermits!$AA:$AA,BuildingPermits!$N:$N,AC$2)</f>
        <v>1384</v>
      </c>
      <c r="AD98" s="39">
        <f>SUMIFS(BuildingPermits!$AA:$AA,BuildingPermits!$N:$N,AD$2)</f>
        <v>0</v>
      </c>
      <c r="AE98" s="39">
        <f>SUMIFS(BuildingPermits!$AA:$AA,BuildingPermits!$N:$N,AE$2)</f>
        <v>0</v>
      </c>
      <c r="AF98" s="39">
        <f>SUMIFS(BuildingPermits!$AA:$AA,BuildingPermits!$N:$N,AF$2)</f>
        <v>0</v>
      </c>
      <c r="AG98" s="39">
        <f>SUMIFS(BuildingPermits!$AA:$AA,BuildingPermits!$N:$N,AG$2)</f>
        <v>0</v>
      </c>
      <c r="AH98" s="39">
        <f>SUMIFS(BuildingPermits!$AA:$AA,BuildingPermits!$N:$N,AH$2)</f>
        <v>0</v>
      </c>
      <c r="AI98" s="39">
        <f>SUMIFS(BuildingPermits!$AA:$AA,BuildingPermits!$N:$N,AI$2)</f>
        <v>0</v>
      </c>
      <c r="AJ98" s="39">
        <f>SUMIFS(BuildingPermits!$AA:$AA,BuildingPermits!$N:$N,AJ$2)</f>
        <v>0</v>
      </c>
      <c r="AK98" s="39">
        <f>SUMIFS(BuildingPermits!$AA:$AA,BuildingPermits!$N:$N,AK$2)</f>
        <v>0</v>
      </c>
    </row>
    <row r="99" spans="2:37" x14ac:dyDescent="0.25">
      <c r="G99" t="s">
        <v>64</v>
      </c>
      <c r="H99" t="s">
        <v>32</v>
      </c>
      <c r="I99" s="39">
        <f>SUMIFS(BuildingPermits!$AB:$AB,BuildingPermits!$N:$N,I$2)</f>
        <v>256</v>
      </c>
      <c r="J99" s="39">
        <f>SUMIFS(BuildingPermits!$AB:$AB,BuildingPermits!$N:$N,J$2)</f>
        <v>10518</v>
      </c>
      <c r="K99" s="39">
        <f>SUMIFS(BuildingPermits!$AB:$AB,BuildingPermits!$N:$N,K$2)</f>
        <v>0</v>
      </c>
      <c r="L99" s="39">
        <f>SUMIFS(BuildingPermits!$AB:$AB,BuildingPermits!$N:$N,L$2)</f>
        <v>4267</v>
      </c>
      <c r="M99" s="39">
        <f>SUMIFS(BuildingPermits!$AB:$AB,BuildingPermits!$N:$N,M$2)</f>
        <v>11356</v>
      </c>
      <c r="N99" s="39">
        <f>SUMIFS(BuildingPermits!$AB:$AB,BuildingPermits!$N:$N,N$2)</f>
        <v>38977</v>
      </c>
      <c r="O99" s="39">
        <f>SUMIFS(BuildingPermits!$AB:$AB,BuildingPermits!$N:$N,O$2)</f>
        <v>17603</v>
      </c>
      <c r="P99" s="39">
        <f>SUMIFS(BuildingPermits!$AB:$AB,BuildingPermits!$N:$N,P$2)</f>
        <v>58450</v>
      </c>
      <c r="Q99" s="39">
        <f>SUMIFS(BuildingPermits!$AB:$AB,BuildingPermits!$N:$N,Q$2)</f>
        <v>2634</v>
      </c>
      <c r="R99" s="39">
        <f>SUMIFS(BuildingPermits!$AB:$AB,BuildingPermits!$N:$N,R$2)</f>
        <v>0</v>
      </c>
      <c r="S99" s="39">
        <f>SUMIFS(BuildingPermits!$AB:$AB,BuildingPermits!$N:$N,S$2)</f>
        <v>0</v>
      </c>
      <c r="T99" s="39">
        <f>SUMIFS(BuildingPermits!$AB:$AB,BuildingPermits!$N:$N,T$2)</f>
        <v>23039</v>
      </c>
      <c r="U99" s="39">
        <f>SUMIFS(BuildingPermits!$AB:$AB,BuildingPermits!$N:$N,U$2)</f>
        <v>1436</v>
      </c>
      <c r="V99" s="39">
        <f>SUMIFS(BuildingPermits!$AB:$AB,BuildingPermits!$N:$N,V$2)</f>
        <v>804</v>
      </c>
      <c r="W99" s="39">
        <f>SUMIFS(BuildingPermits!$AB:$AB,BuildingPermits!$N:$N,W$2)</f>
        <v>1779</v>
      </c>
      <c r="X99" s="39">
        <f>SUMIFS(BuildingPermits!$AB:$AB,BuildingPermits!$N:$N,X$2)</f>
        <v>3123</v>
      </c>
      <c r="Y99" s="39">
        <f>SUMIFS(BuildingPermits!$AB:$AB,BuildingPermits!$N:$N,Y$2)</f>
        <v>-4493</v>
      </c>
      <c r="Z99" s="39">
        <f>SUMIFS(BuildingPermits!$AB:$AB,BuildingPermits!$N:$N,Z$2)</f>
        <v>4233</v>
      </c>
      <c r="AA99" s="39">
        <f>SUMIFS(BuildingPermits!$AB:$AB,BuildingPermits!$N:$N,AA$2)</f>
        <v>8170</v>
      </c>
      <c r="AB99" s="39">
        <f>SUMIFS(BuildingPermits!$AB:$AB,BuildingPermits!$N:$N,AB$2)</f>
        <v>3300</v>
      </c>
      <c r="AC99" s="39">
        <f>SUMIFS(BuildingPermits!$AB:$AB,BuildingPermits!$N:$N,AC$2)</f>
        <v>3296</v>
      </c>
      <c r="AD99" s="39">
        <f>SUMIFS(BuildingPermits!$AB:$AB,BuildingPermits!$N:$N,AD$2)</f>
        <v>0</v>
      </c>
      <c r="AE99" s="39">
        <f>SUMIFS(BuildingPermits!$AB:$AB,BuildingPermits!$N:$N,AE$2)</f>
        <v>0</v>
      </c>
      <c r="AF99" s="39">
        <f>SUMIFS(BuildingPermits!$AB:$AB,BuildingPermits!$N:$N,AF$2)</f>
        <v>0</v>
      </c>
      <c r="AG99" s="39">
        <f>SUMIFS(BuildingPermits!$AB:$AB,BuildingPermits!$N:$N,AG$2)</f>
        <v>0</v>
      </c>
      <c r="AH99" s="39">
        <f>SUMIFS(BuildingPermits!$AB:$AB,BuildingPermits!$N:$N,AH$2)</f>
        <v>0</v>
      </c>
      <c r="AI99" s="39">
        <f>SUMIFS(BuildingPermits!$AB:$AB,BuildingPermits!$N:$N,AI$2)</f>
        <v>0</v>
      </c>
      <c r="AJ99" s="39">
        <f>SUMIFS(BuildingPermits!$AB:$AB,BuildingPermits!$N:$N,AJ$2)</f>
        <v>0</v>
      </c>
      <c r="AK99" s="39">
        <f>SUMIFS(BuildingPermits!$AB:$AB,BuildingPermits!$N:$N,AK$2)</f>
        <v>0</v>
      </c>
    </row>
    <row r="100" spans="2:37" x14ac:dyDescent="0.25">
      <c r="G100" t="s">
        <v>65</v>
      </c>
      <c r="H100" t="s">
        <v>32</v>
      </c>
      <c r="I100" s="39">
        <f>SUMIFS(BuildingPermits!$AH:$AH,BuildingPermits!$N:$N,I$2)</f>
        <v>1312</v>
      </c>
      <c r="J100" s="39">
        <f>SUMIFS(BuildingPermits!$AH:$AH,BuildingPermits!$N:$N,J$2)</f>
        <v>5326</v>
      </c>
      <c r="K100" s="39">
        <f>SUMIFS(BuildingPermits!$AH:$AH,BuildingPermits!$N:$N,K$2)</f>
        <v>7988</v>
      </c>
      <c r="L100" s="39">
        <f>SUMIFS(BuildingPermits!$AH:$AH,BuildingPermits!$N:$N,L$2)</f>
        <v>0</v>
      </c>
      <c r="M100" s="39">
        <f>SUMIFS(BuildingPermits!$AH:$AH,BuildingPermits!$N:$N,M$2)</f>
        <v>4159</v>
      </c>
      <c r="N100" s="39">
        <f>SUMIFS(BuildingPermits!$AH:$AH,BuildingPermits!$N:$N,N$2)</f>
        <v>4679</v>
      </c>
      <c r="O100" s="39">
        <f>SUMIFS(BuildingPermits!$AH:$AH,BuildingPermits!$N:$N,O$2)</f>
        <v>0</v>
      </c>
      <c r="P100" s="39">
        <f>SUMIFS(BuildingPermits!$AH:$AH,BuildingPermits!$N:$N,P$2)</f>
        <v>6164</v>
      </c>
      <c r="Q100" s="39">
        <f>SUMIFS(BuildingPermits!$AH:$AH,BuildingPermits!$N:$N,Q$2)</f>
        <v>3813</v>
      </c>
      <c r="R100" s="39">
        <f>SUMIFS(BuildingPermits!$AH:$AH,BuildingPermits!$N:$N,R$2)</f>
        <v>4739</v>
      </c>
      <c r="S100" s="39">
        <f>SUMIFS(BuildingPermits!$AH:$AH,BuildingPermits!$N:$N,S$2)</f>
        <v>0</v>
      </c>
      <c r="T100" s="39">
        <f>SUMIFS(BuildingPermits!$AH:$AH,BuildingPermits!$N:$N,T$2)</f>
        <v>2003</v>
      </c>
      <c r="U100" s="39">
        <f>SUMIFS(BuildingPermits!$AH:$AH,BuildingPermits!$N:$N,U$2)</f>
        <v>3031</v>
      </c>
      <c r="V100" s="39">
        <f>SUMIFS(BuildingPermits!$AH:$AH,BuildingPermits!$N:$N,V$2)</f>
        <v>0</v>
      </c>
      <c r="W100" s="39">
        <f>SUMIFS(BuildingPermits!$AH:$AH,BuildingPermits!$N:$N,W$2)</f>
        <v>4199</v>
      </c>
      <c r="X100" s="39">
        <f>SUMIFS(BuildingPermits!$AH:$AH,BuildingPermits!$N:$N,X$2)</f>
        <v>15908</v>
      </c>
      <c r="Y100" s="39">
        <f>SUMIFS(BuildingPermits!$AH:$AH,BuildingPermits!$N:$N,Y$2)</f>
        <v>16243</v>
      </c>
      <c r="Z100" s="39">
        <f>SUMIFS(BuildingPermits!$AH:$AH,BuildingPermits!$N:$N,Z$2)</f>
        <v>-3653</v>
      </c>
      <c r="AA100" s="39">
        <f>SUMIFS(BuildingPermits!$AH:$AH,BuildingPermits!$N:$N,AA$2)</f>
        <v>670</v>
      </c>
      <c r="AB100" s="39">
        <f>SUMIFS(BuildingPermits!$AH:$AH,BuildingPermits!$N:$N,AB$2)</f>
        <v>-3058</v>
      </c>
      <c r="AC100" s="39">
        <f>SUMIFS(BuildingPermits!$AH:$AH,BuildingPermits!$N:$N,AC$2)</f>
        <v>-2124</v>
      </c>
      <c r="AD100" s="39">
        <f>SUMIFS(BuildingPermits!$AH:$AH,BuildingPermits!$N:$N,AD$2)</f>
        <v>0</v>
      </c>
      <c r="AE100" s="39">
        <f>SUMIFS(BuildingPermits!$AH:$AH,BuildingPermits!$N:$N,AE$2)</f>
        <v>0</v>
      </c>
      <c r="AF100" s="39">
        <f>SUMIFS(BuildingPermits!$AH:$AH,BuildingPermits!$N:$N,AF$2)</f>
        <v>0</v>
      </c>
      <c r="AG100" s="39">
        <f>SUMIFS(BuildingPermits!$AH:$AH,BuildingPermits!$N:$N,AG$2)</f>
        <v>0</v>
      </c>
      <c r="AH100" s="39">
        <f>SUMIFS(BuildingPermits!$AH:$AH,BuildingPermits!$N:$N,AH$2)</f>
        <v>0</v>
      </c>
      <c r="AI100" s="39">
        <f>SUMIFS(BuildingPermits!$AH:$AH,BuildingPermits!$N:$N,AI$2)</f>
        <v>0</v>
      </c>
      <c r="AJ100" s="39">
        <f>SUMIFS(BuildingPermits!$AH:$AH,BuildingPermits!$N:$N,AJ$2)</f>
        <v>0</v>
      </c>
      <c r="AK100" s="39">
        <f>SUMIFS(BuildingPermits!$AH:$AH,BuildingPermits!$N:$N,AK$2)</f>
        <v>0</v>
      </c>
    </row>
    <row r="101" spans="2:37" x14ac:dyDescent="0.25">
      <c r="G101" t="s">
        <v>66</v>
      </c>
      <c r="H101" t="s">
        <v>32</v>
      </c>
      <c r="I101" s="39">
        <f>SUMIFS(BuildingPermits!$AJ:$AJ,BuildingPermits!$N:$N,I$2)</f>
        <v>16528</v>
      </c>
      <c r="J101" s="39">
        <f>SUMIFS(BuildingPermits!$AJ:$AJ,BuildingPermits!$N:$N,J$2)</f>
        <v>27703</v>
      </c>
      <c r="K101" s="39">
        <f>SUMIFS(BuildingPermits!$AJ:$AJ,BuildingPermits!$N:$N,K$2)</f>
        <v>26295</v>
      </c>
      <c r="L101" s="39">
        <f>SUMIFS(BuildingPermits!$AJ:$AJ,BuildingPermits!$N:$N,L$2)</f>
        <v>11492</v>
      </c>
      <c r="M101" s="39">
        <f>SUMIFS(BuildingPermits!$AJ:$AJ,BuildingPermits!$N:$N,M$2)</f>
        <v>45948</v>
      </c>
      <c r="N101" s="39">
        <f>SUMIFS(BuildingPermits!$AJ:$AJ,BuildingPermits!$N:$N,N$2)</f>
        <v>50626</v>
      </c>
      <c r="O101" s="39">
        <f>SUMIFS(BuildingPermits!$AJ:$AJ,BuildingPermits!$N:$N,O$2)</f>
        <v>30466</v>
      </c>
      <c r="P101" s="39">
        <f>SUMIFS(BuildingPermits!$AJ:$AJ,BuildingPermits!$N:$N,P$2)</f>
        <v>77395</v>
      </c>
      <c r="Q101" s="39">
        <f>SUMIFS(BuildingPermits!$AJ:$AJ,BuildingPermits!$N:$N,Q$2)</f>
        <v>18906</v>
      </c>
      <c r="R101" s="39">
        <f>SUMIFS(BuildingPermits!$AJ:$AJ,BuildingPermits!$N:$N,R$2)</f>
        <v>-1268</v>
      </c>
      <c r="S101" s="39">
        <f>SUMIFS(BuildingPermits!$AJ:$AJ,BuildingPermits!$N:$N,S$2)</f>
        <v>13606</v>
      </c>
      <c r="T101" s="39">
        <f>SUMIFS(BuildingPermits!$AJ:$AJ,BuildingPermits!$N:$N,T$2)</f>
        <v>3539</v>
      </c>
      <c r="U101" s="39">
        <f>SUMIFS(BuildingPermits!$AJ:$AJ,BuildingPermits!$N:$N,U$2)</f>
        <v>-524</v>
      </c>
      <c r="V101" s="39">
        <f>SUMIFS(BuildingPermits!$AJ:$AJ,BuildingPermits!$N:$N,V$2)</f>
        <v>3900</v>
      </c>
      <c r="W101" s="39">
        <f>SUMIFS(BuildingPermits!$AJ:$AJ,BuildingPermits!$N:$N,W$2)</f>
        <v>-3359</v>
      </c>
      <c r="X101" s="39">
        <f>SUMIFS(BuildingPermits!$AJ:$AJ,BuildingPermits!$N:$N,X$2)</f>
        <v>12662</v>
      </c>
      <c r="Y101" s="39">
        <f>SUMIFS(BuildingPermits!$AJ:$AJ,BuildingPermits!$N:$N,Y$2)</f>
        <v>10644</v>
      </c>
      <c r="Z101" s="39">
        <f>SUMIFS(BuildingPermits!$AJ:$AJ,BuildingPermits!$N:$N,Z$2)</f>
        <v>22989</v>
      </c>
      <c r="AA101" s="39">
        <f>SUMIFS(BuildingPermits!$AJ:$AJ,BuildingPermits!$N:$N,AA$2)</f>
        <v>3226</v>
      </c>
      <c r="AB101" s="39">
        <f>SUMIFS(BuildingPermits!$AJ:$AJ,BuildingPermits!$N:$N,AB$2)</f>
        <v>-1026</v>
      </c>
      <c r="AC101" s="39">
        <f>SUMIFS(BuildingPermits!$AJ:$AJ,BuildingPermits!$N:$N,AC$2)</f>
        <v>-7827</v>
      </c>
      <c r="AD101" s="39">
        <f>SUMIFS(BuildingPermits!$AJ:$AJ,BuildingPermits!$N:$N,AD$2)</f>
        <v>0</v>
      </c>
      <c r="AE101" s="39">
        <f>SUMIFS(BuildingPermits!$AJ:$AJ,BuildingPermits!$N:$N,AE$2)</f>
        <v>0</v>
      </c>
      <c r="AF101" s="39">
        <f>SUMIFS(BuildingPermits!$AJ:$AJ,BuildingPermits!$N:$N,AF$2)</f>
        <v>0</v>
      </c>
      <c r="AG101" s="39">
        <f>SUMIFS(BuildingPermits!$AJ:$AJ,BuildingPermits!$N:$N,AG$2)</f>
        <v>0</v>
      </c>
      <c r="AH101" s="39">
        <f>SUMIFS(BuildingPermits!$AJ:$AJ,BuildingPermits!$N:$N,AH$2)</f>
        <v>0</v>
      </c>
      <c r="AI101" s="39">
        <f>SUMIFS(BuildingPermits!$AJ:$AJ,BuildingPermits!$N:$N,AI$2)</f>
        <v>0</v>
      </c>
      <c r="AJ101" s="39">
        <f>SUMIFS(BuildingPermits!$AJ:$AJ,BuildingPermits!$N:$N,AJ$2)</f>
        <v>0</v>
      </c>
      <c r="AK101" s="39">
        <f>SUMIFS(BuildingPermits!$AJ:$AJ,BuildingPermits!$N:$N,AK$2)</f>
        <v>0</v>
      </c>
    </row>
    <row r="102" spans="2:37" x14ac:dyDescent="0.25">
      <c r="G102" t="s">
        <v>67</v>
      </c>
      <c r="H102" t="s">
        <v>32</v>
      </c>
      <c r="I102" s="39">
        <f>SUMIFS(BuildingPermits!$AK:$AK,BuildingPermits!$N:$N,I$2)</f>
        <v>10730</v>
      </c>
      <c r="J102" s="39">
        <f>SUMIFS(BuildingPermits!$AK:$AK,BuildingPermits!$N:$N,J$2)</f>
        <v>21103</v>
      </c>
      <c r="K102" s="39">
        <f>SUMIFS(BuildingPermits!$AK:$AK,BuildingPermits!$N:$N,K$2)</f>
        <v>10252</v>
      </c>
      <c r="L102" s="39">
        <f>SUMIFS(BuildingPermits!$AK:$AK,BuildingPermits!$N:$N,L$2)</f>
        <v>8250</v>
      </c>
      <c r="M102" s="39">
        <f>SUMIFS(BuildingPermits!$AK:$AK,BuildingPermits!$N:$N,M$2)</f>
        <v>10053</v>
      </c>
      <c r="N102" s="39">
        <f>SUMIFS(BuildingPermits!$AK:$AK,BuildingPermits!$N:$N,N$2)</f>
        <v>25850</v>
      </c>
      <c r="O102" s="39">
        <f>SUMIFS(BuildingPermits!$AK:$AK,BuildingPermits!$N:$N,O$2)</f>
        <v>5650</v>
      </c>
      <c r="P102" s="39">
        <f>SUMIFS(BuildingPermits!$AK:$AK,BuildingPermits!$N:$N,P$2)</f>
        <v>14300</v>
      </c>
      <c r="Q102" s="39">
        <f>SUMIFS(BuildingPermits!$AK:$AK,BuildingPermits!$N:$N,Q$2)</f>
        <v>2214</v>
      </c>
      <c r="R102" s="39">
        <f>SUMIFS(BuildingPermits!$AK:$AK,BuildingPermits!$N:$N,R$2)</f>
        <v>2806</v>
      </c>
      <c r="S102" s="39">
        <f>SUMIFS(BuildingPermits!$AK:$AK,BuildingPermits!$N:$N,S$2)</f>
        <v>0</v>
      </c>
      <c r="T102" s="39">
        <f>SUMIFS(BuildingPermits!$AK:$AK,BuildingPermits!$N:$N,T$2)</f>
        <v>15929</v>
      </c>
      <c r="U102" s="39">
        <f>SUMIFS(BuildingPermits!$AK:$AK,BuildingPermits!$N:$N,U$2)</f>
        <v>57893</v>
      </c>
      <c r="V102" s="39">
        <f>SUMIFS(BuildingPermits!$AK:$AK,BuildingPermits!$N:$N,V$2)</f>
        <v>5892</v>
      </c>
      <c r="W102" s="39">
        <f>SUMIFS(BuildingPermits!$AK:$AK,BuildingPermits!$N:$N,W$2)</f>
        <v>24157</v>
      </c>
      <c r="X102" s="39">
        <f>SUMIFS(BuildingPermits!$AK:$AK,BuildingPermits!$N:$N,X$2)</f>
        <v>-10211</v>
      </c>
      <c r="Y102" s="39">
        <f>SUMIFS(BuildingPermits!$AK:$AK,BuildingPermits!$N:$N,Y$2)</f>
        <v>-16909</v>
      </c>
      <c r="Z102" s="39">
        <f>SUMIFS(BuildingPermits!$AK:$AK,BuildingPermits!$N:$N,Z$2)</f>
        <v>5098</v>
      </c>
      <c r="AA102" s="39">
        <f>SUMIFS(BuildingPermits!$AK:$AK,BuildingPermits!$N:$N,AA$2)</f>
        <v>-4800</v>
      </c>
      <c r="AB102" s="39">
        <f>SUMIFS(BuildingPermits!$AK:$AK,BuildingPermits!$N:$N,AB$2)</f>
        <v>2597</v>
      </c>
      <c r="AC102" s="39">
        <f>SUMIFS(BuildingPermits!$AK:$AK,BuildingPermits!$N:$N,AC$2)</f>
        <v>20540</v>
      </c>
      <c r="AD102" s="39">
        <f>SUMIFS(BuildingPermits!$AK:$AK,BuildingPermits!$N:$N,AD$2)</f>
        <v>0</v>
      </c>
      <c r="AE102" s="39">
        <f>SUMIFS(BuildingPermits!$AK:$AK,BuildingPermits!$N:$N,AE$2)</f>
        <v>0</v>
      </c>
      <c r="AF102" s="39">
        <f>SUMIFS(BuildingPermits!$AK:$AK,BuildingPermits!$N:$N,AF$2)</f>
        <v>0</v>
      </c>
      <c r="AG102" s="39">
        <f>SUMIFS(BuildingPermits!$AK:$AK,BuildingPermits!$N:$N,AG$2)</f>
        <v>0</v>
      </c>
      <c r="AH102" s="39">
        <f>SUMIFS(BuildingPermits!$AK:$AK,BuildingPermits!$N:$N,AH$2)</f>
        <v>0</v>
      </c>
      <c r="AI102" s="39">
        <f>SUMIFS(BuildingPermits!$AK:$AK,BuildingPermits!$N:$N,AI$2)</f>
        <v>0</v>
      </c>
      <c r="AJ102" s="39">
        <f>SUMIFS(BuildingPermits!$AK:$AK,BuildingPermits!$N:$N,AJ$2)</f>
        <v>0</v>
      </c>
      <c r="AK102" s="39">
        <f>SUMIFS(BuildingPermits!$AK:$AK,BuildingPermits!$N:$N,AK$2)</f>
        <v>0</v>
      </c>
    </row>
    <row r="103" spans="2:37" x14ac:dyDescent="0.25">
      <c r="G103" t="s">
        <v>68</v>
      </c>
      <c r="H103" t="s">
        <v>32</v>
      </c>
      <c r="I103" s="39">
        <f>SUMIFS(BuildingPermits!$AL:$AL,BuildingPermits!$N:$N,I$2)</f>
        <v>2344</v>
      </c>
      <c r="J103" s="39">
        <f>SUMIFS(BuildingPermits!$AL:$AL,BuildingPermits!$N:$N,J$2)</f>
        <v>107534</v>
      </c>
      <c r="K103" s="39">
        <f>SUMIFS(BuildingPermits!$AL:$AL,BuildingPermits!$N:$N,K$2)</f>
        <v>110153</v>
      </c>
      <c r="L103" s="39">
        <f>SUMIFS(BuildingPermits!$AL:$AL,BuildingPermits!$N:$N,L$2)</f>
        <v>7844</v>
      </c>
      <c r="M103" s="39">
        <f>SUMIFS(BuildingPermits!$AL:$AL,BuildingPermits!$N:$N,M$2)</f>
        <v>497</v>
      </c>
      <c r="N103" s="39">
        <f>SUMIFS(BuildingPermits!$AL:$AL,BuildingPermits!$N:$N,N$2)</f>
        <v>22161</v>
      </c>
      <c r="O103" s="39">
        <f>SUMIFS(BuildingPermits!$AL:$AL,BuildingPermits!$N:$N,O$2)</f>
        <v>16917</v>
      </c>
      <c r="P103" s="39">
        <f>SUMIFS(BuildingPermits!$AL:$AL,BuildingPermits!$N:$N,P$2)</f>
        <v>23538</v>
      </c>
      <c r="Q103" s="39">
        <f>SUMIFS(BuildingPermits!$AL:$AL,BuildingPermits!$N:$N,Q$2)</f>
        <v>13746</v>
      </c>
      <c r="R103" s="39">
        <f>SUMIFS(BuildingPermits!$AL:$AL,BuildingPermits!$N:$N,R$2)</f>
        <v>0</v>
      </c>
      <c r="S103" s="39">
        <f>SUMIFS(BuildingPermits!$AL:$AL,BuildingPermits!$N:$N,S$2)</f>
        <v>12951</v>
      </c>
      <c r="T103" s="39">
        <f>SUMIFS(BuildingPermits!$AL:$AL,BuildingPermits!$N:$N,T$2)</f>
        <v>-1932</v>
      </c>
      <c r="U103" s="39">
        <f>SUMIFS(BuildingPermits!$AL:$AL,BuildingPermits!$N:$N,U$2)</f>
        <v>43559</v>
      </c>
      <c r="V103" s="39">
        <f>SUMIFS(BuildingPermits!$AL:$AL,BuildingPermits!$N:$N,V$2)</f>
        <v>7556</v>
      </c>
      <c r="W103" s="39">
        <f>SUMIFS(BuildingPermits!$AL:$AL,BuildingPermits!$N:$N,W$2)</f>
        <v>22550</v>
      </c>
      <c r="X103" s="39">
        <f>SUMIFS(BuildingPermits!$AL:$AL,BuildingPermits!$N:$N,X$2)</f>
        <v>15690</v>
      </c>
      <c r="Y103" s="39">
        <f>SUMIFS(BuildingPermits!$AL:$AL,BuildingPermits!$N:$N,Y$2)</f>
        <v>8347</v>
      </c>
      <c r="Z103" s="39">
        <f>SUMIFS(BuildingPermits!$AL:$AL,BuildingPermits!$N:$N,Z$2)</f>
        <v>32115</v>
      </c>
      <c r="AA103" s="39">
        <f>SUMIFS(BuildingPermits!$AL:$AL,BuildingPermits!$N:$N,AA$2)</f>
        <v>21209</v>
      </c>
      <c r="AB103" s="39">
        <f>SUMIFS(BuildingPermits!$AL:$AL,BuildingPermits!$N:$N,AB$2)</f>
        <v>-7816</v>
      </c>
      <c r="AC103" s="39">
        <f>SUMIFS(BuildingPermits!$AL:$AL,BuildingPermits!$N:$N,AC$2)</f>
        <v>-15770</v>
      </c>
      <c r="AD103" s="39">
        <f>SUMIFS(BuildingPermits!$AL:$AL,BuildingPermits!$N:$N,AD$2)</f>
        <v>0</v>
      </c>
      <c r="AE103" s="39">
        <f>SUMIFS(BuildingPermits!$AL:$AL,BuildingPermits!$N:$N,AE$2)</f>
        <v>0</v>
      </c>
      <c r="AF103" s="39">
        <f>SUMIFS(BuildingPermits!$AL:$AL,BuildingPermits!$N:$N,AF$2)</f>
        <v>0</v>
      </c>
      <c r="AG103" s="39">
        <f>SUMIFS(BuildingPermits!$AL:$AL,BuildingPermits!$N:$N,AG$2)</f>
        <v>0</v>
      </c>
      <c r="AH103" s="39">
        <f>SUMIFS(BuildingPermits!$AL:$AL,BuildingPermits!$N:$N,AH$2)</f>
        <v>0</v>
      </c>
      <c r="AI103" s="39">
        <f>SUMIFS(BuildingPermits!$AL:$AL,BuildingPermits!$N:$N,AI$2)</f>
        <v>0</v>
      </c>
      <c r="AJ103" s="39">
        <f>SUMIFS(BuildingPermits!$AL:$AL,BuildingPermits!$N:$N,AJ$2)</f>
        <v>0</v>
      </c>
      <c r="AK103" s="39">
        <f>SUMIFS(BuildingPermits!$AL:$AL,BuildingPermits!$N:$N,AK$2)</f>
        <v>0</v>
      </c>
    </row>
    <row r="104" spans="2:37" x14ac:dyDescent="0.25">
      <c r="G104" t="s">
        <v>69</v>
      </c>
      <c r="H104" t="s">
        <v>32</v>
      </c>
      <c r="I104" s="39">
        <f>SUMIFS(BuildingPermits!$AM:$AM,BuildingPermits!$N:$N,I$2)</f>
        <v>123261</v>
      </c>
      <c r="J104" s="39">
        <f>SUMIFS(BuildingPermits!$AM:$AM,BuildingPermits!$N:$N,J$2)</f>
        <v>15002</v>
      </c>
      <c r="K104" s="39">
        <f>SUMIFS(BuildingPermits!$AM:$AM,BuildingPermits!$N:$N,K$2)</f>
        <v>32964</v>
      </c>
      <c r="L104" s="39">
        <f>SUMIFS(BuildingPermits!$AM:$AM,BuildingPermits!$N:$N,L$2)</f>
        <v>96194</v>
      </c>
      <c r="M104" s="39">
        <f>SUMIFS(BuildingPermits!$AM:$AM,BuildingPermits!$N:$N,M$2)</f>
        <v>186423</v>
      </c>
      <c r="N104" s="39">
        <f>SUMIFS(BuildingPermits!$AM:$AM,BuildingPermits!$N:$N,N$2)</f>
        <v>190439</v>
      </c>
      <c r="O104" s="39">
        <f>SUMIFS(BuildingPermits!$AM:$AM,BuildingPermits!$N:$N,O$2)</f>
        <v>7058</v>
      </c>
      <c r="P104" s="39">
        <f>SUMIFS(BuildingPermits!$AM:$AM,BuildingPermits!$N:$N,P$2)</f>
        <v>3679</v>
      </c>
      <c r="Q104" s="39">
        <f>SUMIFS(BuildingPermits!$AM:$AM,BuildingPermits!$N:$N,Q$2)</f>
        <v>35591</v>
      </c>
      <c r="R104" s="39">
        <f>SUMIFS(BuildingPermits!$AM:$AM,BuildingPermits!$N:$N,R$2)</f>
        <v>60687</v>
      </c>
      <c r="S104" s="39">
        <f>SUMIFS(BuildingPermits!$AM:$AM,BuildingPermits!$N:$N,S$2)</f>
        <v>29958</v>
      </c>
      <c r="T104" s="39">
        <f>SUMIFS(BuildingPermits!$AM:$AM,BuildingPermits!$N:$N,T$2)</f>
        <v>2503</v>
      </c>
      <c r="U104" s="39">
        <f>SUMIFS(BuildingPermits!$AM:$AM,BuildingPermits!$N:$N,U$2)</f>
        <v>9584</v>
      </c>
      <c r="V104" s="39">
        <f>SUMIFS(BuildingPermits!$AM:$AM,BuildingPermits!$N:$N,V$2)</f>
        <v>33481</v>
      </c>
      <c r="W104" s="39">
        <f>SUMIFS(BuildingPermits!$AM:$AM,BuildingPermits!$N:$N,W$2)</f>
        <v>4267</v>
      </c>
      <c r="X104" s="39">
        <f>SUMIFS(BuildingPermits!$AM:$AM,BuildingPermits!$N:$N,X$2)</f>
        <v>7282</v>
      </c>
      <c r="Y104" s="39">
        <f>SUMIFS(BuildingPermits!$AM:$AM,BuildingPermits!$N:$N,Y$2)</f>
        <v>89454</v>
      </c>
      <c r="Z104" s="39">
        <f>SUMIFS(BuildingPermits!$AM:$AM,BuildingPermits!$N:$N,Z$2)</f>
        <v>48440</v>
      </c>
      <c r="AA104" s="39">
        <f>SUMIFS(BuildingPermits!$AM:$AM,BuildingPermits!$N:$N,AA$2)</f>
        <v>28690</v>
      </c>
      <c r="AB104" s="39">
        <f>SUMIFS(BuildingPermits!$AM:$AM,BuildingPermits!$N:$N,AB$2)</f>
        <v>4149</v>
      </c>
      <c r="AC104" s="39">
        <f>SUMIFS(BuildingPermits!$AM:$AM,BuildingPermits!$N:$N,AC$2)</f>
        <v>38551</v>
      </c>
      <c r="AD104" s="39">
        <f>SUMIFS(BuildingPermits!$AM:$AM,BuildingPermits!$N:$N,AD$2)</f>
        <v>0</v>
      </c>
      <c r="AE104" s="39">
        <f>SUMIFS(BuildingPermits!$AM:$AM,BuildingPermits!$N:$N,AE$2)</f>
        <v>0</v>
      </c>
      <c r="AF104" s="39">
        <f>SUMIFS(BuildingPermits!$AM:$AM,BuildingPermits!$N:$N,AF$2)</f>
        <v>0</v>
      </c>
      <c r="AG104" s="39">
        <f>SUMIFS(BuildingPermits!$AM:$AM,BuildingPermits!$N:$N,AG$2)</f>
        <v>0</v>
      </c>
      <c r="AH104" s="39">
        <f>SUMIFS(BuildingPermits!$AM:$AM,BuildingPermits!$N:$N,AH$2)</f>
        <v>0</v>
      </c>
      <c r="AI104" s="39">
        <f>SUMIFS(BuildingPermits!$AM:$AM,BuildingPermits!$N:$N,AI$2)</f>
        <v>0</v>
      </c>
      <c r="AJ104" s="39">
        <f>SUMIFS(BuildingPermits!$AM:$AM,BuildingPermits!$N:$N,AJ$2)</f>
        <v>0</v>
      </c>
      <c r="AK104" s="39">
        <f>SUMIFS(BuildingPermits!$AM:$AM,BuildingPermits!$N:$N,AK$2)</f>
        <v>0</v>
      </c>
    </row>
    <row r="105" spans="2:37" s="8" customFormat="1" x14ac:dyDescent="0.25">
      <c r="D105" s="8" t="s">
        <v>70</v>
      </c>
      <c r="I105" s="42"/>
      <c r="J105" s="42"/>
      <c r="K105" s="42"/>
      <c r="L105" s="42"/>
      <c r="M105" s="42"/>
      <c r="N105" s="42"/>
      <c r="O105" s="42"/>
      <c r="P105" s="42"/>
      <c r="Q105" s="42"/>
      <c r="R105" s="42"/>
      <c r="S105" s="42"/>
      <c r="T105" s="42"/>
      <c r="U105" s="42"/>
      <c r="V105" s="42"/>
      <c r="W105" s="42"/>
      <c r="X105" s="42"/>
      <c r="Y105" s="42"/>
      <c r="Z105" s="222"/>
      <c r="AC105" s="42"/>
      <c r="AF105" s="223"/>
    </row>
    <row r="106" spans="2:37" s="10" customFormat="1" x14ac:dyDescent="0.25">
      <c r="B106" s="11"/>
      <c r="E106" s="10" t="s">
        <v>22</v>
      </c>
      <c r="H106" s="10" t="s">
        <v>23</v>
      </c>
      <c r="I106" s="41">
        <f t="shared" ref="I106:Z106" si="20">SUM(I107:I110,I112)</f>
        <v>8023</v>
      </c>
      <c r="J106" s="41">
        <f t="shared" si="20"/>
        <v>8210</v>
      </c>
      <c r="K106" s="41">
        <f t="shared" si="20"/>
        <v>8531</v>
      </c>
      <c r="L106" s="41">
        <f t="shared" si="20"/>
        <v>8687</v>
      </c>
      <c r="M106" s="41">
        <f t="shared" si="20"/>
        <v>8944</v>
      </c>
      <c r="N106" s="41">
        <f t="shared" si="20"/>
        <v>9110</v>
      </c>
      <c r="O106" s="41">
        <f t="shared" si="20"/>
        <v>9275</v>
      </c>
      <c r="P106" s="41">
        <f t="shared" si="20"/>
        <v>9456</v>
      </c>
      <c r="Q106" s="41">
        <f t="shared" si="20"/>
        <v>9626</v>
      </c>
      <c r="R106" s="41">
        <f t="shared" si="20"/>
        <v>9694</v>
      </c>
      <c r="S106" s="238">
        <f t="shared" si="20"/>
        <v>9760</v>
      </c>
      <c r="T106" s="41">
        <f t="shared" si="20"/>
        <v>9835.125</v>
      </c>
      <c r="U106" s="41">
        <f t="shared" si="20"/>
        <v>9953.25</v>
      </c>
      <c r="V106" s="41">
        <f t="shared" si="20"/>
        <v>10092.375</v>
      </c>
      <c r="W106" s="41">
        <f t="shared" si="20"/>
        <v>10237.5</v>
      </c>
      <c r="X106" s="41">
        <f t="shared" si="20"/>
        <v>10335.625</v>
      </c>
      <c r="Y106" s="41">
        <f t="shared" si="20"/>
        <v>10521.75</v>
      </c>
      <c r="Z106" s="41">
        <f t="shared" si="20"/>
        <v>10775.875</v>
      </c>
      <c r="AA106" s="41">
        <f t="shared" ref="AA106:AK106" si="21">SUM(AA107:AA110,AA112)</f>
        <v>11023</v>
      </c>
      <c r="AB106" s="41">
        <f t="shared" si="21"/>
        <v>11256</v>
      </c>
      <c r="AC106" s="41">
        <f t="shared" si="21"/>
        <v>11372</v>
      </c>
      <c r="AD106" s="41">
        <f t="shared" si="21"/>
        <v>11371</v>
      </c>
      <c r="AE106" s="41">
        <f t="shared" si="21"/>
        <v>11371</v>
      </c>
      <c r="AF106" s="41">
        <f t="shared" si="21"/>
        <v>11371</v>
      </c>
      <c r="AG106" s="41">
        <f t="shared" si="21"/>
        <v>11371</v>
      </c>
      <c r="AH106" s="41">
        <f t="shared" si="21"/>
        <v>11371</v>
      </c>
      <c r="AI106" s="41">
        <f t="shared" si="21"/>
        <v>11371</v>
      </c>
      <c r="AJ106" s="41">
        <f t="shared" si="21"/>
        <v>11371</v>
      </c>
      <c r="AK106" s="41">
        <f t="shared" si="21"/>
        <v>11371</v>
      </c>
    </row>
    <row r="107" spans="2:37" x14ac:dyDescent="0.25">
      <c r="G107" t="s">
        <v>46</v>
      </c>
      <c r="H107" s="4" t="s">
        <v>23</v>
      </c>
      <c r="I107" s="39">
        <f t="shared" ref="I107:R107" si="22">J107-J75</f>
        <v>207</v>
      </c>
      <c r="J107" s="39">
        <f t="shared" si="22"/>
        <v>207</v>
      </c>
      <c r="K107" s="39">
        <f t="shared" si="22"/>
        <v>207</v>
      </c>
      <c r="L107" s="39">
        <f t="shared" si="22"/>
        <v>207</v>
      </c>
      <c r="M107" s="39">
        <f t="shared" si="22"/>
        <v>208</v>
      </c>
      <c r="N107" s="39">
        <f t="shared" si="22"/>
        <v>209</v>
      </c>
      <c r="O107" s="39">
        <f t="shared" si="22"/>
        <v>209</v>
      </c>
      <c r="P107" s="39">
        <f t="shared" si="22"/>
        <v>210</v>
      </c>
      <c r="Q107" s="39">
        <f t="shared" si="22"/>
        <v>210</v>
      </c>
      <c r="R107" s="39">
        <f t="shared" si="22"/>
        <v>210</v>
      </c>
      <c r="S107" s="237">
        <v>210</v>
      </c>
      <c r="T107" s="39">
        <f>S107+T75+($AB107-SUM($S107,$T75:$AB75))/8</f>
        <v>209.875</v>
      </c>
      <c r="U107" s="39">
        <f t="shared" ref="U107:AA108" si="23">T107+U75+($AB107-SUM($S107,$T75:$AB75))/8</f>
        <v>211.75</v>
      </c>
      <c r="V107" s="39">
        <f t="shared" si="23"/>
        <v>211.625</v>
      </c>
      <c r="W107" s="39">
        <f t="shared" si="23"/>
        <v>211.5</v>
      </c>
      <c r="X107" s="39">
        <f t="shared" si="23"/>
        <v>211.375</v>
      </c>
      <c r="Y107" s="39">
        <f t="shared" si="23"/>
        <v>211.25</v>
      </c>
      <c r="Z107" s="39">
        <f t="shared" si="23"/>
        <v>211.125</v>
      </c>
      <c r="AA107" s="39">
        <f t="shared" si="23"/>
        <v>212</v>
      </c>
      <c r="AB107" s="237">
        <v>214</v>
      </c>
      <c r="AC107" s="39">
        <f t="shared" ref="AC107:AK107" si="24">AB107+AC75</f>
        <v>215</v>
      </c>
      <c r="AD107" s="39">
        <f t="shared" si="24"/>
        <v>215</v>
      </c>
      <c r="AE107" s="39">
        <f t="shared" si="24"/>
        <v>215</v>
      </c>
      <c r="AF107" s="39">
        <f t="shared" si="24"/>
        <v>215</v>
      </c>
      <c r="AG107" s="39">
        <f t="shared" si="24"/>
        <v>215</v>
      </c>
      <c r="AH107" s="39">
        <f t="shared" si="24"/>
        <v>215</v>
      </c>
      <c r="AI107" s="39">
        <f t="shared" si="24"/>
        <v>215</v>
      </c>
      <c r="AJ107" s="39">
        <f t="shared" si="24"/>
        <v>215</v>
      </c>
      <c r="AK107" s="39">
        <f t="shared" si="24"/>
        <v>215</v>
      </c>
    </row>
    <row r="108" spans="2:37" x14ac:dyDescent="0.25">
      <c r="G108" t="s">
        <v>47</v>
      </c>
      <c r="H108" s="4" t="s">
        <v>23</v>
      </c>
      <c r="I108" s="39">
        <f t="shared" ref="I108:R108" si="25">J108-J76</f>
        <v>4971</v>
      </c>
      <c r="J108" s="39">
        <f t="shared" si="25"/>
        <v>5082</v>
      </c>
      <c r="K108" s="39">
        <f t="shared" si="25"/>
        <v>5165</v>
      </c>
      <c r="L108" s="39">
        <f t="shared" si="25"/>
        <v>5256</v>
      </c>
      <c r="M108" s="39">
        <f t="shared" si="25"/>
        <v>5386</v>
      </c>
      <c r="N108" s="39">
        <f t="shared" si="25"/>
        <v>5488</v>
      </c>
      <c r="O108" s="39">
        <f t="shared" si="25"/>
        <v>5619</v>
      </c>
      <c r="P108" s="39">
        <f t="shared" si="25"/>
        <v>5709</v>
      </c>
      <c r="Q108" s="39">
        <f t="shared" si="25"/>
        <v>5805</v>
      </c>
      <c r="R108" s="39">
        <f t="shared" si="25"/>
        <v>5850</v>
      </c>
      <c r="S108" s="237">
        <v>5898</v>
      </c>
      <c r="T108" s="39">
        <f>S108+T76+($AB108-SUM($S108,$T76:$AB76))/8</f>
        <v>5951.625</v>
      </c>
      <c r="U108" s="39">
        <f t="shared" si="23"/>
        <v>6011.25</v>
      </c>
      <c r="V108" s="39">
        <f t="shared" si="23"/>
        <v>6110.875</v>
      </c>
      <c r="W108" s="39">
        <f t="shared" si="23"/>
        <v>6200.5</v>
      </c>
      <c r="X108" s="39">
        <f t="shared" si="23"/>
        <v>6302.125</v>
      </c>
      <c r="Y108" s="39">
        <f t="shared" si="23"/>
        <v>6403.75</v>
      </c>
      <c r="Z108" s="39">
        <f t="shared" si="23"/>
        <v>6513.375</v>
      </c>
      <c r="AA108" s="39">
        <f t="shared" si="23"/>
        <v>6597</v>
      </c>
      <c r="AB108" s="237">
        <v>6653</v>
      </c>
      <c r="AC108" s="39">
        <f t="shared" ref="AC108:AK108" si="26">AB108+AC76</f>
        <v>6707</v>
      </c>
      <c r="AD108" s="39">
        <f t="shared" si="26"/>
        <v>6706</v>
      </c>
      <c r="AE108" s="39">
        <f t="shared" si="26"/>
        <v>6706</v>
      </c>
      <c r="AF108" s="39">
        <f t="shared" si="26"/>
        <v>6706</v>
      </c>
      <c r="AG108" s="39">
        <f t="shared" si="26"/>
        <v>6706</v>
      </c>
      <c r="AH108" s="39">
        <f t="shared" si="26"/>
        <v>6706</v>
      </c>
      <c r="AI108" s="39">
        <f t="shared" si="26"/>
        <v>6706</v>
      </c>
      <c r="AJ108" s="39">
        <f t="shared" si="26"/>
        <v>6706</v>
      </c>
      <c r="AK108" s="39">
        <f t="shared" si="26"/>
        <v>6706</v>
      </c>
    </row>
    <row r="109" spans="2:37" x14ac:dyDescent="0.25">
      <c r="G109" t="s">
        <v>48</v>
      </c>
      <c r="H109" s="4" t="s">
        <v>23</v>
      </c>
      <c r="I109" s="39">
        <f t="shared" ref="I109:R109" si="27">J109-J77</f>
        <v>1394</v>
      </c>
      <c r="J109" s="39">
        <f t="shared" si="27"/>
        <v>1408</v>
      </c>
      <c r="K109" s="39">
        <f t="shared" si="27"/>
        <v>1499</v>
      </c>
      <c r="L109" s="39">
        <f t="shared" si="27"/>
        <v>1502</v>
      </c>
      <c r="M109" s="39">
        <f t="shared" si="27"/>
        <v>1564</v>
      </c>
      <c r="N109" s="39">
        <f t="shared" si="27"/>
        <v>1575</v>
      </c>
      <c r="O109" s="39">
        <f t="shared" si="27"/>
        <v>1593</v>
      </c>
      <c r="P109" s="39">
        <f t="shared" si="27"/>
        <v>1651</v>
      </c>
      <c r="Q109" s="39">
        <f t="shared" si="27"/>
        <v>1709</v>
      </c>
      <c r="R109" s="39">
        <f t="shared" si="27"/>
        <v>1730</v>
      </c>
      <c r="S109" s="237">
        <v>1744</v>
      </c>
      <c r="T109" s="39">
        <f t="shared" ref="T109:AA109" si="28">S109+T77+($AB109-SUM($S109,$T77:$AB77))/8</f>
        <v>1749.625</v>
      </c>
      <c r="U109" s="39">
        <f t="shared" si="28"/>
        <v>1757.25</v>
      </c>
      <c r="V109" s="39">
        <f t="shared" si="28"/>
        <v>1759.875</v>
      </c>
      <c r="W109" s="39">
        <f t="shared" si="28"/>
        <v>1787.5</v>
      </c>
      <c r="X109" s="39">
        <f t="shared" si="28"/>
        <v>1782.125</v>
      </c>
      <c r="Y109" s="39">
        <f t="shared" si="28"/>
        <v>1807.75</v>
      </c>
      <c r="Z109" s="39">
        <f t="shared" si="28"/>
        <v>1840.375</v>
      </c>
      <c r="AA109" s="39">
        <f t="shared" si="28"/>
        <v>1846</v>
      </c>
      <c r="AB109" s="237">
        <v>1874</v>
      </c>
      <c r="AC109" s="39">
        <f t="shared" ref="AC109:AK109" si="29">AB109+AC77</f>
        <v>1889</v>
      </c>
      <c r="AD109" s="39">
        <f t="shared" si="29"/>
        <v>1889</v>
      </c>
      <c r="AE109" s="39">
        <f t="shared" si="29"/>
        <v>1889</v>
      </c>
      <c r="AF109" s="39">
        <f t="shared" si="29"/>
        <v>1889</v>
      </c>
      <c r="AG109" s="39">
        <f t="shared" si="29"/>
        <v>1889</v>
      </c>
      <c r="AH109" s="39">
        <f t="shared" si="29"/>
        <v>1889</v>
      </c>
      <c r="AI109" s="39">
        <f t="shared" si="29"/>
        <v>1889</v>
      </c>
      <c r="AJ109" s="39">
        <f t="shared" si="29"/>
        <v>1889</v>
      </c>
      <c r="AK109" s="39">
        <f t="shared" si="29"/>
        <v>1889</v>
      </c>
    </row>
    <row r="110" spans="2:37" x14ac:dyDescent="0.25">
      <c r="G110" t="s">
        <v>49</v>
      </c>
      <c r="H110" s="4" t="s">
        <v>23</v>
      </c>
      <c r="I110" s="39">
        <f t="shared" ref="I110:R110" si="30">J110-J78</f>
        <v>1104</v>
      </c>
      <c r="J110" s="39">
        <f t="shared" si="30"/>
        <v>1166</v>
      </c>
      <c r="K110" s="39">
        <f t="shared" si="30"/>
        <v>1313</v>
      </c>
      <c r="L110" s="39">
        <f t="shared" si="30"/>
        <v>1375</v>
      </c>
      <c r="M110" s="39">
        <f t="shared" si="30"/>
        <v>1439</v>
      </c>
      <c r="N110" s="39">
        <f t="shared" si="30"/>
        <v>1491</v>
      </c>
      <c r="O110" s="39">
        <f t="shared" si="30"/>
        <v>1507</v>
      </c>
      <c r="P110" s="39">
        <f t="shared" si="30"/>
        <v>1539</v>
      </c>
      <c r="Q110" s="39">
        <f t="shared" si="30"/>
        <v>1555</v>
      </c>
      <c r="R110" s="39">
        <f t="shared" si="30"/>
        <v>1557</v>
      </c>
      <c r="S110" s="237">
        <v>1561</v>
      </c>
      <c r="T110" s="39">
        <f t="shared" ref="T110:AA110" si="31">S110+T78+($AB110-SUM($S110,$T78:$AB78))/8</f>
        <v>1573.75</v>
      </c>
      <c r="U110" s="39">
        <f t="shared" si="31"/>
        <v>1619.5</v>
      </c>
      <c r="V110" s="39">
        <f t="shared" si="31"/>
        <v>1653.25</v>
      </c>
      <c r="W110" s="39">
        <f t="shared" si="31"/>
        <v>1678</v>
      </c>
      <c r="X110" s="39">
        <f t="shared" si="31"/>
        <v>1688.75</v>
      </c>
      <c r="Y110" s="39">
        <f t="shared" si="31"/>
        <v>1747.5</v>
      </c>
      <c r="Z110" s="39">
        <f t="shared" si="31"/>
        <v>1856.25</v>
      </c>
      <c r="AA110" s="39">
        <f t="shared" si="31"/>
        <v>2010</v>
      </c>
      <c r="AB110" s="237">
        <v>2160</v>
      </c>
      <c r="AC110" s="39">
        <f t="shared" ref="AC110:AK110" si="32">AB110+AC78</f>
        <v>2207</v>
      </c>
      <c r="AD110" s="39">
        <f t="shared" si="32"/>
        <v>2207</v>
      </c>
      <c r="AE110" s="39">
        <f t="shared" si="32"/>
        <v>2207</v>
      </c>
      <c r="AF110" s="39">
        <f t="shared" si="32"/>
        <v>2207</v>
      </c>
      <c r="AG110" s="39">
        <f t="shared" si="32"/>
        <v>2207</v>
      </c>
      <c r="AH110" s="39">
        <f t="shared" si="32"/>
        <v>2207</v>
      </c>
      <c r="AI110" s="39">
        <f t="shared" si="32"/>
        <v>2207</v>
      </c>
      <c r="AJ110" s="39">
        <f t="shared" si="32"/>
        <v>2207</v>
      </c>
      <c r="AK110" s="39">
        <f t="shared" si="32"/>
        <v>2207</v>
      </c>
    </row>
    <row r="111" spans="2:37" x14ac:dyDescent="0.25">
      <c r="G111" t="s">
        <v>50</v>
      </c>
      <c r="H111" s="4" t="s">
        <v>51</v>
      </c>
      <c r="I111" s="39">
        <f t="shared" ref="I111:R111" si="33">J111-J79</f>
        <v>574</v>
      </c>
      <c r="J111" s="39">
        <f t="shared" si="33"/>
        <v>594</v>
      </c>
      <c r="K111" s="39">
        <f t="shared" si="33"/>
        <v>617</v>
      </c>
      <c r="L111" s="39">
        <f t="shared" si="33"/>
        <v>637</v>
      </c>
      <c r="M111" s="39">
        <f t="shared" si="33"/>
        <v>654</v>
      </c>
      <c r="N111" s="39">
        <f t="shared" si="33"/>
        <v>676</v>
      </c>
      <c r="O111" s="39">
        <f t="shared" si="33"/>
        <v>690</v>
      </c>
      <c r="P111" s="39">
        <f t="shared" si="33"/>
        <v>717</v>
      </c>
      <c r="Q111" s="39">
        <f t="shared" si="33"/>
        <v>738</v>
      </c>
      <c r="R111" s="39">
        <f t="shared" si="33"/>
        <v>758</v>
      </c>
      <c r="S111" s="237">
        <v>770</v>
      </c>
      <c r="T111" s="39">
        <f t="shared" ref="T111:AA111" si="34">S111+T79+($AB111-SUM($S111,$T79:$AB79))/8</f>
        <v>783.875</v>
      </c>
      <c r="U111" s="39">
        <f t="shared" si="34"/>
        <v>793.75</v>
      </c>
      <c r="V111" s="39">
        <f t="shared" si="34"/>
        <v>813.625</v>
      </c>
      <c r="W111" s="39">
        <f t="shared" si="34"/>
        <v>833.5</v>
      </c>
      <c r="X111" s="39">
        <f t="shared" si="34"/>
        <v>858.375</v>
      </c>
      <c r="Y111" s="39">
        <f t="shared" si="34"/>
        <v>881.25</v>
      </c>
      <c r="Z111" s="39">
        <f t="shared" si="34"/>
        <v>906.125</v>
      </c>
      <c r="AA111" s="39">
        <f t="shared" si="34"/>
        <v>935</v>
      </c>
      <c r="AB111" s="237">
        <v>960</v>
      </c>
      <c r="AC111" s="39">
        <f t="shared" ref="AC111:AK111" si="35">AB111+AC79</f>
        <v>982</v>
      </c>
      <c r="AD111" s="39">
        <f t="shared" si="35"/>
        <v>981</v>
      </c>
      <c r="AE111" s="39">
        <f t="shared" si="35"/>
        <v>981</v>
      </c>
      <c r="AF111" s="39">
        <f t="shared" si="35"/>
        <v>981</v>
      </c>
      <c r="AG111" s="39">
        <f t="shared" si="35"/>
        <v>981</v>
      </c>
      <c r="AH111" s="39">
        <f t="shared" si="35"/>
        <v>981</v>
      </c>
      <c r="AI111" s="39">
        <f t="shared" si="35"/>
        <v>981</v>
      </c>
      <c r="AJ111" s="39">
        <f t="shared" si="35"/>
        <v>981</v>
      </c>
      <c r="AK111" s="39">
        <f t="shared" si="35"/>
        <v>981</v>
      </c>
    </row>
    <row r="112" spans="2:37" x14ac:dyDescent="0.25">
      <c r="G112" t="s">
        <v>52</v>
      </c>
      <c r="H112" s="4" t="s">
        <v>23</v>
      </c>
      <c r="I112" s="39">
        <f t="shared" ref="I112:R112" si="36">J112-J80</f>
        <v>347</v>
      </c>
      <c r="J112" s="39">
        <f t="shared" si="36"/>
        <v>347</v>
      </c>
      <c r="K112" s="39">
        <f t="shared" si="36"/>
        <v>347</v>
      </c>
      <c r="L112" s="39">
        <f t="shared" si="36"/>
        <v>347</v>
      </c>
      <c r="M112" s="39">
        <f t="shared" si="36"/>
        <v>347</v>
      </c>
      <c r="N112" s="39">
        <f t="shared" si="36"/>
        <v>347</v>
      </c>
      <c r="O112" s="39">
        <f t="shared" si="36"/>
        <v>347</v>
      </c>
      <c r="P112" s="39">
        <f t="shared" si="36"/>
        <v>347</v>
      </c>
      <c r="Q112" s="39">
        <f t="shared" si="36"/>
        <v>347</v>
      </c>
      <c r="R112" s="39">
        <f t="shared" si="36"/>
        <v>347</v>
      </c>
      <c r="S112" s="237">
        <v>347</v>
      </c>
      <c r="T112" s="39">
        <f t="shared" ref="T112:AA112" si="37">S112+T80+($AB112-SUM($S112,$T80:$AB80))/8</f>
        <v>350.25</v>
      </c>
      <c r="U112" s="39">
        <f t="shared" si="37"/>
        <v>353.5</v>
      </c>
      <c r="V112" s="39">
        <f t="shared" si="37"/>
        <v>356.75</v>
      </c>
      <c r="W112" s="39">
        <f t="shared" si="37"/>
        <v>360</v>
      </c>
      <c r="X112" s="39">
        <f t="shared" si="37"/>
        <v>351.25</v>
      </c>
      <c r="Y112" s="39">
        <f t="shared" si="37"/>
        <v>351.5</v>
      </c>
      <c r="Z112" s="39">
        <f t="shared" si="37"/>
        <v>354.75</v>
      </c>
      <c r="AA112" s="39">
        <f t="shared" si="37"/>
        <v>358</v>
      </c>
      <c r="AB112" s="237">
        <v>355</v>
      </c>
      <c r="AC112" s="39">
        <f t="shared" ref="AC112:AK112" si="38">AB112+AC80</f>
        <v>354</v>
      </c>
      <c r="AD112" s="39">
        <f t="shared" si="38"/>
        <v>354</v>
      </c>
      <c r="AE112" s="39">
        <f t="shared" si="38"/>
        <v>354</v>
      </c>
      <c r="AF112" s="39">
        <f t="shared" si="38"/>
        <v>354</v>
      </c>
      <c r="AG112" s="39">
        <f t="shared" si="38"/>
        <v>354</v>
      </c>
      <c r="AH112" s="39">
        <f t="shared" si="38"/>
        <v>354</v>
      </c>
      <c r="AI112" s="39">
        <f t="shared" si="38"/>
        <v>354</v>
      </c>
      <c r="AJ112" s="39">
        <f t="shared" si="38"/>
        <v>354</v>
      </c>
      <c r="AK112" s="39">
        <f t="shared" si="38"/>
        <v>354</v>
      </c>
    </row>
    <row r="113" spans="2:37" s="10" customFormat="1" x14ac:dyDescent="0.25">
      <c r="B113" s="11"/>
      <c r="E113" s="10" t="s">
        <v>53</v>
      </c>
      <c r="H113" s="10" t="s">
        <v>32</v>
      </c>
      <c r="I113" s="41">
        <f t="shared" ref="I113:Z113" si="39">SUM(I114:I116,I118)</f>
        <v>20692796</v>
      </c>
      <c r="J113" s="41">
        <f t="shared" si="39"/>
        <v>21168041</v>
      </c>
      <c r="K113" s="41">
        <f t="shared" si="39"/>
        <v>21824299</v>
      </c>
      <c r="L113" s="41">
        <f t="shared" si="39"/>
        <v>22402479</v>
      </c>
      <c r="M113" s="41">
        <f t="shared" si="39"/>
        <v>23268940</v>
      </c>
      <c r="N113" s="41">
        <f t="shared" si="39"/>
        <v>23916850</v>
      </c>
      <c r="O113" s="41">
        <f t="shared" si="39"/>
        <v>24671732</v>
      </c>
      <c r="P113" s="41">
        <f t="shared" si="39"/>
        <v>25337364</v>
      </c>
      <c r="Q113" s="41">
        <f t="shared" si="39"/>
        <v>25911378</v>
      </c>
      <c r="R113" s="41">
        <f t="shared" si="39"/>
        <v>26151470</v>
      </c>
      <c r="S113" s="238">
        <f t="shared" si="39"/>
        <v>26475825</v>
      </c>
      <c r="T113" s="41">
        <f t="shared" si="39"/>
        <v>26761999</v>
      </c>
      <c r="U113" s="41">
        <f t="shared" si="39"/>
        <v>27158866</v>
      </c>
      <c r="V113" s="41">
        <f t="shared" si="39"/>
        <v>27647798</v>
      </c>
      <c r="W113" s="41">
        <f t="shared" si="39"/>
        <v>28285223</v>
      </c>
      <c r="X113" s="41">
        <f t="shared" si="39"/>
        <v>28847716</v>
      </c>
      <c r="Y113" s="41">
        <f t="shared" si="39"/>
        <v>29413313</v>
      </c>
      <c r="Z113" s="41">
        <f t="shared" si="39"/>
        <v>30195486</v>
      </c>
      <c r="AA113" s="41">
        <f t="shared" ref="AA113:AK113" si="40">SUM(AA114:AA116,AA118)</f>
        <v>30812298</v>
      </c>
      <c r="AB113" s="238">
        <f t="shared" si="40"/>
        <v>31369346</v>
      </c>
      <c r="AC113" s="41">
        <f t="shared" si="40"/>
        <v>31792428</v>
      </c>
      <c r="AD113" s="41">
        <f t="shared" si="40"/>
        <v>31781858</v>
      </c>
      <c r="AE113" s="41">
        <f t="shared" si="40"/>
        <v>31781858</v>
      </c>
      <c r="AF113" s="41">
        <f t="shared" si="40"/>
        <v>31781858</v>
      </c>
      <c r="AG113" s="41">
        <f t="shared" si="40"/>
        <v>31781858</v>
      </c>
      <c r="AH113" s="41">
        <f t="shared" si="40"/>
        <v>31781858</v>
      </c>
      <c r="AI113" s="41">
        <f t="shared" si="40"/>
        <v>31781858</v>
      </c>
      <c r="AJ113" s="41">
        <f t="shared" si="40"/>
        <v>31781858</v>
      </c>
      <c r="AK113" s="41">
        <f t="shared" si="40"/>
        <v>31781858</v>
      </c>
    </row>
    <row r="114" spans="2:37" x14ac:dyDescent="0.25">
      <c r="G114" t="s">
        <v>47</v>
      </c>
      <c r="H114" t="s">
        <v>32</v>
      </c>
      <c r="I114" s="39">
        <f t="shared" ref="I114:R114" si="41">J114-J82</f>
        <v>17526411</v>
      </c>
      <c r="J114" s="39">
        <f t="shared" si="41"/>
        <v>17922607</v>
      </c>
      <c r="K114" s="39">
        <f t="shared" si="41"/>
        <v>18289918</v>
      </c>
      <c r="L114" s="39">
        <f t="shared" si="41"/>
        <v>18806948</v>
      </c>
      <c r="M114" s="39">
        <f t="shared" si="41"/>
        <v>19496208</v>
      </c>
      <c r="N114" s="39">
        <f t="shared" si="41"/>
        <v>20047019</v>
      </c>
      <c r="O114" s="39">
        <f t="shared" si="41"/>
        <v>20738712</v>
      </c>
      <c r="P114" s="39">
        <f t="shared" si="41"/>
        <v>21299914</v>
      </c>
      <c r="Q114" s="39">
        <f t="shared" si="41"/>
        <v>21790824</v>
      </c>
      <c r="R114" s="39">
        <f t="shared" si="41"/>
        <v>21994229</v>
      </c>
      <c r="S114" s="237">
        <v>22295449</v>
      </c>
      <c r="T114" s="39">
        <f t="shared" ref="T114:AA114" si="42">S114+T82+($AB114-SUM($S114,$T82:$AB82))/8</f>
        <v>22567895.125</v>
      </c>
      <c r="U114" s="39">
        <f t="shared" si="42"/>
        <v>22916718.25</v>
      </c>
      <c r="V114" s="39">
        <f t="shared" si="42"/>
        <v>23371099.375</v>
      </c>
      <c r="W114" s="39">
        <f t="shared" si="42"/>
        <v>23941480.5</v>
      </c>
      <c r="X114" s="39">
        <f t="shared" si="42"/>
        <v>24500752.625</v>
      </c>
      <c r="Y114" s="39">
        <f t="shared" si="42"/>
        <v>24995290.75</v>
      </c>
      <c r="Z114" s="39">
        <f t="shared" si="42"/>
        <v>25575470.875</v>
      </c>
      <c r="AA114" s="39">
        <f t="shared" si="42"/>
        <v>26070819</v>
      </c>
      <c r="AB114" s="237">
        <v>26462386</v>
      </c>
      <c r="AC114" s="39">
        <f t="shared" ref="AC114:AK114" si="43">AB114+AC82</f>
        <v>26792510</v>
      </c>
      <c r="AD114" s="39">
        <f t="shared" si="43"/>
        <v>26781940</v>
      </c>
      <c r="AE114" s="39">
        <f t="shared" si="43"/>
        <v>26781940</v>
      </c>
      <c r="AF114" s="39">
        <f t="shared" si="43"/>
        <v>26781940</v>
      </c>
      <c r="AG114" s="39">
        <f t="shared" si="43"/>
        <v>26781940</v>
      </c>
      <c r="AH114" s="39">
        <f t="shared" si="43"/>
        <v>26781940</v>
      </c>
      <c r="AI114" s="39">
        <f t="shared" si="43"/>
        <v>26781940</v>
      </c>
      <c r="AJ114" s="39">
        <f t="shared" si="43"/>
        <v>26781940</v>
      </c>
      <c r="AK114" s="39">
        <f t="shared" si="43"/>
        <v>26781940</v>
      </c>
    </row>
    <row r="115" spans="2:37" x14ac:dyDescent="0.25">
      <c r="G115" t="s">
        <v>48</v>
      </c>
      <c r="H115" t="s">
        <v>32</v>
      </c>
      <c r="I115" s="39">
        <f t="shared" ref="I115:R115" si="44">J115-J83</f>
        <v>1782052</v>
      </c>
      <c r="J115" s="39">
        <f t="shared" si="44"/>
        <v>1801444</v>
      </c>
      <c r="K115" s="39">
        <f t="shared" si="44"/>
        <v>1960533</v>
      </c>
      <c r="L115" s="39">
        <f t="shared" si="44"/>
        <v>1974903</v>
      </c>
      <c r="M115" s="39">
        <f t="shared" si="44"/>
        <v>2076022</v>
      </c>
      <c r="N115" s="39">
        <f t="shared" si="44"/>
        <v>2119442</v>
      </c>
      <c r="O115" s="39">
        <f t="shared" si="44"/>
        <v>2165795</v>
      </c>
      <c r="P115" s="39">
        <f t="shared" si="44"/>
        <v>2254528</v>
      </c>
      <c r="Q115" s="39">
        <f t="shared" si="44"/>
        <v>2324717</v>
      </c>
      <c r="R115" s="39">
        <f t="shared" si="44"/>
        <v>2359102</v>
      </c>
      <c r="S115" s="237">
        <v>2373622</v>
      </c>
      <c r="T115" s="39">
        <f t="shared" ref="T115:AA115" si="45">S115+T83+($AB115-SUM($S115,$T83:$AB83))/8</f>
        <v>2380440.25</v>
      </c>
      <c r="U115" s="39">
        <f t="shared" si="45"/>
        <v>2387056.5</v>
      </c>
      <c r="V115" s="39">
        <f t="shared" si="45"/>
        <v>2391373.75</v>
      </c>
      <c r="W115" s="39">
        <f t="shared" si="45"/>
        <v>2436289</v>
      </c>
      <c r="X115" s="39">
        <f t="shared" si="45"/>
        <v>2423545.25</v>
      </c>
      <c r="Y115" s="39">
        <f t="shared" si="45"/>
        <v>2456479.5</v>
      </c>
      <c r="Z115" s="39">
        <f t="shared" si="45"/>
        <v>2533198.75</v>
      </c>
      <c r="AA115" s="39">
        <f t="shared" si="45"/>
        <v>2535345</v>
      </c>
      <c r="AB115" s="237">
        <v>2575996</v>
      </c>
      <c r="AC115" s="39">
        <f t="shared" ref="AC115:AK115" si="46">AB115+AC83</f>
        <v>2619177</v>
      </c>
      <c r="AD115" s="39">
        <f t="shared" si="46"/>
        <v>2619177</v>
      </c>
      <c r="AE115" s="39">
        <f t="shared" si="46"/>
        <v>2619177</v>
      </c>
      <c r="AF115" s="39">
        <f t="shared" si="46"/>
        <v>2619177</v>
      </c>
      <c r="AG115" s="39">
        <f t="shared" si="46"/>
        <v>2619177</v>
      </c>
      <c r="AH115" s="39">
        <f t="shared" si="46"/>
        <v>2619177</v>
      </c>
      <c r="AI115" s="39">
        <f t="shared" si="46"/>
        <v>2619177</v>
      </c>
      <c r="AJ115" s="39">
        <f t="shared" si="46"/>
        <v>2619177</v>
      </c>
      <c r="AK115" s="39">
        <f t="shared" si="46"/>
        <v>2619177</v>
      </c>
    </row>
    <row r="116" spans="2:37" x14ac:dyDescent="0.25">
      <c r="G116" t="s">
        <v>49</v>
      </c>
      <c r="H116" t="s">
        <v>32</v>
      </c>
      <c r="I116" s="39">
        <f t="shared" ref="I116:R116" si="47">J116-J84</f>
        <v>848621</v>
      </c>
      <c r="J116" s="39">
        <f t="shared" si="47"/>
        <v>908278</v>
      </c>
      <c r="K116" s="39">
        <f t="shared" si="47"/>
        <v>1038136</v>
      </c>
      <c r="L116" s="39">
        <f t="shared" si="47"/>
        <v>1084916</v>
      </c>
      <c r="M116" s="39">
        <f t="shared" si="47"/>
        <v>1160902</v>
      </c>
      <c r="N116" s="39">
        <f t="shared" si="47"/>
        <v>1214581</v>
      </c>
      <c r="O116" s="39">
        <f t="shared" si="47"/>
        <v>1231417</v>
      </c>
      <c r="P116" s="39">
        <f t="shared" si="47"/>
        <v>1247114</v>
      </c>
      <c r="Q116" s="39">
        <f t="shared" si="47"/>
        <v>1260029</v>
      </c>
      <c r="R116" s="39">
        <f t="shared" si="47"/>
        <v>1262331</v>
      </c>
      <c r="S116" s="237">
        <v>1270946</v>
      </c>
      <c r="T116" s="39">
        <f t="shared" ref="T116:AA116" si="48">S116+T84+($AB116-SUM($S116,$T84:$AB84))/8</f>
        <v>1276627</v>
      </c>
      <c r="U116" s="39">
        <f t="shared" si="48"/>
        <v>1316746</v>
      </c>
      <c r="V116" s="39">
        <f t="shared" si="48"/>
        <v>1345751</v>
      </c>
      <c r="W116" s="39">
        <f t="shared" si="48"/>
        <v>1366651</v>
      </c>
      <c r="X116" s="39">
        <f t="shared" si="48"/>
        <v>1395979</v>
      </c>
      <c r="Y116" s="39">
        <f t="shared" si="48"/>
        <v>1436523</v>
      </c>
      <c r="Z116" s="39">
        <f t="shared" si="48"/>
        <v>1560568</v>
      </c>
      <c r="AA116" s="39">
        <f t="shared" si="48"/>
        <v>1678657</v>
      </c>
      <c r="AB116" s="237">
        <v>1806548</v>
      </c>
      <c r="AC116" s="39">
        <f t="shared" ref="AC116:AK116" si="49">AB116+AC84</f>
        <v>1857541</v>
      </c>
      <c r="AD116" s="39">
        <f t="shared" si="49"/>
        <v>1857541</v>
      </c>
      <c r="AE116" s="39">
        <f t="shared" si="49"/>
        <v>1857541</v>
      </c>
      <c r="AF116" s="39">
        <f t="shared" si="49"/>
        <v>1857541</v>
      </c>
      <c r="AG116" s="39">
        <f t="shared" si="49"/>
        <v>1857541</v>
      </c>
      <c r="AH116" s="39">
        <f t="shared" si="49"/>
        <v>1857541</v>
      </c>
      <c r="AI116" s="39">
        <f t="shared" si="49"/>
        <v>1857541</v>
      </c>
      <c r="AJ116" s="39">
        <f t="shared" si="49"/>
        <v>1857541</v>
      </c>
      <c r="AK116" s="39">
        <f t="shared" si="49"/>
        <v>1857541</v>
      </c>
    </row>
    <row r="117" spans="2:37" x14ac:dyDescent="0.25">
      <c r="G117" t="s">
        <v>50</v>
      </c>
      <c r="H117" t="s">
        <v>32</v>
      </c>
      <c r="I117" s="39">
        <f t="shared" ref="I117:R117" si="50">J117-J85</f>
        <v>584264</v>
      </c>
      <c r="J117" s="39">
        <f t="shared" si="50"/>
        <v>601053</v>
      </c>
      <c r="K117" s="39">
        <f t="shared" si="50"/>
        <v>620374</v>
      </c>
      <c r="L117" s="39">
        <f t="shared" si="50"/>
        <v>636997</v>
      </c>
      <c r="M117" s="39">
        <f t="shared" si="50"/>
        <v>650970</v>
      </c>
      <c r="N117" s="39">
        <f t="shared" si="50"/>
        <v>670542</v>
      </c>
      <c r="O117" s="39">
        <f t="shared" si="50"/>
        <v>682494</v>
      </c>
      <c r="P117" s="39">
        <f t="shared" si="50"/>
        <v>703972</v>
      </c>
      <c r="Q117" s="39">
        <f t="shared" si="50"/>
        <v>722045</v>
      </c>
      <c r="R117" s="39">
        <f t="shared" si="50"/>
        <v>737375</v>
      </c>
      <c r="S117" s="237">
        <v>746110</v>
      </c>
      <c r="T117" s="39">
        <f t="shared" ref="T117:AA117" si="51">S117+T85+($AB117-SUM($S117,$T85:$AB85))/8</f>
        <v>759562.875</v>
      </c>
      <c r="U117" s="39">
        <f t="shared" si="51"/>
        <v>766487.75</v>
      </c>
      <c r="V117" s="39">
        <f t="shared" si="51"/>
        <v>784185.625</v>
      </c>
      <c r="W117" s="39">
        <f t="shared" si="51"/>
        <v>803448.5</v>
      </c>
      <c r="X117" s="39">
        <f t="shared" si="51"/>
        <v>826109.375</v>
      </c>
      <c r="Y117" s="39">
        <f t="shared" si="51"/>
        <v>845539.25</v>
      </c>
      <c r="Z117" s="39">
        <f t="shared" si="51"/>
        <v>870033.125</v>
      </c>
      <c r="AA117" s="39">
        <f t="shared" si="51"/>
        <v>898584</v>
      </c>
      <c r="AB117" s="237">
        <v>922393</v>
      </c>
      <c r="AC117" s="39">
        <f t="shared" ref="AC117:AK117" si="52">AB117+AC85</f>
        <v>941489</v>
      </c>
      <c r="AD117" s="39">
        <f t="shared" si="52"/>
        <v>940490</v>
      </c>
      <c r="AE117" s="39">
        <f t="shared" si="52"/>
        <v>940490</v>
      </c>
      <c r="AF117" s="39">
        <f t="shared" si="52"/>
        <v>940490</v>
      </c>
      <c r="AG117" s="39">
        <f t="shared" si="52"/>
        <v>940490</v>
      </c>
      <c r="AH117" s="39">
        <f t="shared" si="52"/>
        <v>940490</v>
      </c>
      <c r="AI117" s="39">
        <f t="shared" si="52"/>
        <v>940490</v>
      </c>
      <c r="AJ117" s="39">
        <f t="shared" si="52"/>
        <v>940490</v>
      </c>
      <c r="AK117" s="39">
        <f t="shared" si="52"/>
        <v>940490</v>
      </c>
    </row>
    <row r="118" spans="2:37" x14ac:dyDescent="0.25">
      <c r="G118" t="s">
        <v>52</v>
      </c>
      <c r="H118" t="s">
        <v>32</v>
      </c>
      <c r="I118" s="39">
        <f t="shared" ref="I118:R118" si="53">J118-J86</f>
        <v>535712</v>
      </c>
      <c r="J118" s="39">
        <f t="shared" si="53"/>
        <v>535712</v>
      </c>
      <c r="K118" s="39">
        <f t="shared" si="53"/>
        <v>535712</v>
      </c>
      <c r="L118" s="39">
        <f t="shared" si="53"/>
        <v>535712</v>
      </c>
      <c r="M118" s="39">
        <f t="shared" si="53"/>
        <v>535808</v>
      </c>
      <c r="N118" s="39">
        <f t="shared" si="53"/>
        <v>535808</v>
      </c>
      <c r="O118" s="39">
        <f t="shared" si="53"/>
        <v>535808</v>
      </c>
      <c r="P118" s="39">
        <f t="shared" si="53"/>
        <v>535808</v>
      </c>
      <c r="Q118" s="39">
        <f t="shared" si="53"/>
        <v>535808</v>
      </c>
      <c r="R118" s="39">
        <f t="shared" si="53"/>
        <v>535808</v>
      </c>
      <c r="S118" s="237">
        <v>535808</v>
      </c>
      <c r="T118" s="39">
        <f t="shared" ref="T118:AA118" si="54">S118+T86+($AB118-SUM($S118,$T86:$AB86))/8</f>
        <v>537036.625</v>
      </c>
      <c r="U118" s="39">
        <f t="shared" si="54"/>
        <v>538345.25</v>
      </c>
      <c r="V118" s="39">
        <f t="shared" si="54"/>
        <v>539573.875</v>
      </c>
      <c r="W118" s="39">
        <f t="shared" si="54"/>
        <v>540802.5</v>
      </c>
      <c r="X118" s="39">
        <f t="shared" si="54"/>
        <v>527439.125</v>
      </c>
      <c r="Y118" s="39">
        <f t="shared" si="54"/>
        <v>525019.75</v>
      </c>
      <c r="Z118" s="39">
        <f t="shared" si="54"/>
        <v>526248.375</v>
      </c>
      <c r="AA118" s="39">
        <f t="shared" si="54"/>
        <v>527477</v>
      </c>
      <c r="AB118" s="237">
        <v>524416</v>
      </c>
      <c r="AC118" s="39">
        <f t="shared" ref="AC118:AK118" si="55">AB118+AC86</f>
        <v>523200</v>
      </c>
      <c r="AD118" s="39">
        <f t="shared" si="55"/>
        <v>523200</v>
      </c>
      <c r="AE118" s="39">
        <f t="shared" si="55"/>
        <v>523200</v>
      </c>
      <c r="AF118" s="39">
        <f t="shared" si="55"/>
        <v>523200</v>
      </c>
      <c r="AG118" s="39">
        <f t="shared" si="55"/>
        <v>523200</v>
      </c>
      <c r="AH118" s="39">
        <f t="shared" si="55"/>
        <v>523200</v>
      </c>
      <c r="AI118" s="39">
        <f t="shared" si="55"/>
        <v>523200</v>
      </c>
      <c r="AJ118" s="39">
        <f t="shared" si="55"/>
        <v>523200</v>
      </c>
      <c r="AK118" s="39">
        <f t="shared" si="55"/>
        <v>523200</v>
      </c>
    </row>
    <row r="119" spans="2:37" s="8" customFormat="1" x14ac:dyDescent="0.25">
      <c r="B119" s="9"/>
      <c r="D119" s="8" t="s">
        <v>71</v>
      </c>
      <c r="I119" s="42"/>
      <c r="J119" s="42"/>
      <c r="K119" s="42"/>
      <c r="L119" s="42"/>
      <c r="M119" s="42"/>
      <c r="N119" s="42"/>
      <c r="O119" s="42"/>
      <c r="P119" s="42"/>
      <c r="Q119" s="42"/>
      <c r="R119" s="42"/>
      <c r="S119" s="239"/>
      <c r="T119" s="42"/>
      <c r="U119" s="42"/>
      <c r="V119" s="42"/>
      <c r="W119" s="42"/>
      <c r="X119" s="42"/>
      <c r="Y119" s="42"/>
      <c r="Z119" s="42"/>
      <c r="AA119" s="42"/>
      <c r="AB119" s="239"/>
      <c r="AC119" s="42"/>
      <c r="AD119" s="42"/>
      <c r="AE119" s="42"/>
      <c r="AF119" s="42"/>
      <c r="AG119" s="42"/>
      <c r="AH119" s="42"/>
      <c r="AI119" s="42"/>
      <c r="AJ119" s="42"/>
      <c r="AK119" s="42"/>
    </row>
    <row r="120" spans="2:37" x14ac:dyDescent="0.25">
      <c r="E120" s="10" t="s">
        <v>29</v>
      </c>
      <c r="F120" s="10"/>
      <c r="G120" s="10"/>
      <c r="H120" s="10" t="s">
        <v>30</v>
      </c>
      <c r="I120" s="41">
        <f t="shared" ref="I120:Z120" si="56">SUM(I121:I122)</f>
        <v>5588</v>
      </c>
      <c r="J120" s="41">
        <f t="shared" si="56"/>
        <v>5627</v>
      </c>
      <c r="K120" s="41">
        <f t="shared" si="56"/>
        <v>5676</v>
      </c>
      <c r="L120" s="41">
        <f t="shared" si="56"/>
        <v>5762</v>
      </c>
      <c r="M120" s="41">
        <f t="shared" si="56"/>
        <v>5850</v>
      </c>
      <c r="N120" s="41">
        <f t="shared" si="56"/>
        <v>5904</v>
      </c>
      <c r="O120" s="41">
        <f t="shared" si="56"/>
        <v>5930</v>
      </c>
      <c r="P120" s="41">
        <f t="shared" si="56"/>
        <v>5957</v>
      </c>
      <c r="Q120" s="41">
        <f t="shared" si="56"/>
        <v>5992</v>
      </c>
      <c r="R120" s="41">
        <f t="shared" si="56"/>
        <v>5993</v>
      </c>
      <c r="S120" s="238">
        <f t="shared" si="56"/>
        <v>6018</v>
      </c>
      <c r="T120" s="41">
        <f t="shared" si="56"/>
        <v>5990.5</v>
      </c>
      <c r="U120" s="41">
        <f t="shared" si="56"/>
        <v>6020</v>
      </c>
      <c r="V120" s="41">
        <f t="shared" si="56"/>
        <v>5992.5</v>
      </c>
      <c r="W120" s="41">
        <f t="shared" si="56"/>
        <v>5965</v>
      </c>
      <c r="X120" s="41">
        <f t="shared" si="56"/>
        <v>6068.5</v>
      </c>
      <c r="Y120" s="41">
        <f t="shared" si="56"/>
        <v>6115</v>
      </c>
      <c r="Z120" s="41">
        <f t="shared" si="56"/>
        <v>6091.5</v>
      </c>
      <c r="AA120" s="41">
        <f t="shared" ref="AA120:AK120" si="57">SUM(AA121:AA122)</f>
        <v>6080</v>
      </c>
      <c r="AB120" s="238">
        <f t="shared" si="57"/>
        <v>6180</v>
      </c>
      <c r="AC120" s="41">
        <f t="shared" si="57"/>
        <v>6192</v>
      </c>
      <c r="AD120" s="41">
        <f t="shared" si="57"/>
        <v>6192</v>
      </c>
      <c r="AE120" s="41">
        <f t="shared" si="57"/>
        <v>6192</v>
      </c>
      <c r="AF120" s="41">
        <f t="shared" si="57"/>
        <v>6192</v>
      </c>
      <c r="AG120" s="41">
        <f t="shared" si="57"/>
        <v>6192</v>
      </c>
      <c r="AH120" s="41">
        <f t="shared" si="57"/>
        <v>6192</v>
      </c>
      <c r="AI120" s="41">
        <f t="shared" si="57"/>
        <v>6192</v>
      </c>
      <c r="AJ120" s="41">
        <f t="shared" si="57"/>
        <v>6192</v>
      </c>
      <c r="AK120" s="41">
        <f t="shared" si="57"/>
        <v>6192</v>
      </c>
    </row>
    <row r="121" spans="2:37" x14ac:dyDescent="0.25">
      <c r="G121" t="s">
        <v>55</v>
      </c>
      <c r="H121" t="s">
        <v>30</v>
      </c>
      <c r="I121" s="39">
        <f t="shared" ref="I121:R121" si="58">J121-J89</f>
        <v>5588</v>
      </c>
      <c r="J121" s="39">
        <f t="shared" si="58"/>
        <v>5627</v>
      </c>
      <c r="K121" s="39">
        <f t="shared" si="58"/>
        <v>5676</v>
      </c>
      <c r="L121" s="39">
        <f t="shared" si="58"/>
        <v>5762</v>
      </c>
      <c r="M121" s="39">
        <f t="shared" si="58"/>
        <v>5850</v>
      </c>
      <c r="N121" s="39">
        <f t="shared" si="58"/>
        <v>5904</v>
      </c>
      <c r="O121" s="39">
        <f t="shared" si="58"/>
        <v>5930</v>
      </c>
      <c r="P121" s="39">
        <f t="shared" si="58"/>
        <v>5957</v>
      </c>
      <c r="Q121" s="39">
        <f t="shared" si="58"/>
        <v>5992</v>
      </c>
      <c r="R121" s="39">
        <f t="shared" si="58"/>
        <v>5993</v>
      </c>
      <c r="S121" s="237">
        <v>6018</v>
      </c>
      <c r="T121" s="39">
        <f>S121+T89+($AB121-SUM($S121,$T89:$AB89))/8</f>
        <v>5990.5</v>
      </c>
      <c r="U121" s="39">
        <f t="shared" ref="U121:AA121" si="59">T121+U89+($AB121-SUM($S121,$T89:$AB89))/8</f>
        <v>6020</v>
      </c>
      <c r="V121" s="39">
        <f t="shared" si="59"/>
        <v>5992.5</v>
      </c>
      <c r="W121" s="39">
        <f t="shared" si="59"/>
        <v>5965</v>
      </c>
      <c r="X121" s="39">
        <f t="shared" si="59"/>
        <v>6068.5</v>
      </c>
      <c r="Y121" s="39">
        <f t="shared" si="59"/>
        <v>6115</v>
      </c>
      <c r="Z121" s="39">
        <f t="shared" si="59"/>
        <v>6091.5</v>
      </c>
      <c r="AA121" s="39">
        <f t="shared" si="59"/>
        <v>6080</v>
      </c>
      <c r="AB121" s="237">
        <v>6180</v>
      </c>
      <c r="AC121" s="39">
        <f t="shared" ref="AC121:AK121" si="60">AB121+AC89</f>
        <v>6192</v>
      </c>
      <c r="AD121" s="39">
        <f t="shared" si="60"/>
        <v>6192</v>
      </c>
      <c r="AE121" s="39">
        <f t="shared" si="60"/>
        <v>6192</v>
      </c>
      <c r="AF121" s="39">
        <f t="shared" si="60"/>
        <v>6192</v>
      </c>
      <c r="AG121" s="39">
        <f t="shared" si="60"/>
        <v>6192</v>
      </c>
      <c r="AH121" s="39">
        <f t="shared" si="60"/>
        <v>6192</v>
      </c>
      <c r="AI121" s="39">
        <f t="shared" si="60"/>
        <v>6192</v>
      </c>
      <c r="AJ121" s="39">
        <f t="shared" si="60"/>
        <v>6192</v>
      </c>
      <c r="AK121" s="39">
        <f t="shared" si="60"/>
        <v>6192</v>
      </c>
    </row>
    <row r="122" spans="2:37" x14ac:dyDescent="0.25">
      <c r="G122" t="s">
        <v>56</v>
      </c>
      <c r="H122" t="s">
        <v>30</v>
      </c>
      <c r="I122" s="39">
        <f t="shared" ref="I122:Q122" si="61">J122-J90</f>
        <v>0</v>
      </c>
      <c r="J122" s="39">
        <f t="shared" si="61"/>
        <v>0</v>
      </c>
      <c r="K122" s="39">
        <f t="shared" si="61"/>
        <v>0</v>
      </c>
      <c r="L122" s="39">
        <f t="shared" si="61"/>
        <v>0</v>
      </c>
      <c r="M122" s="39">
        <f t="shared" si="61"/>
        <v>0</v>
      </c>
      <c r="N122" s="39">
        <f t="shared" si="61"/>
        <v>0</v>
      </c>
      <c r="O122" s="39">
        <f t="shared" si="61"/>
        <v>0</v>
      </c>
      <c r="P122" s="39">
        <f t="shared" si="61"/>
        <v>0</v>
      </c>
      <c r="Q122" s="39">
        <f t="shared" si="61"/>
        <v>0</v>
      </c>
      <c r="R122" s="39">
        <v>0</v>
      </c>
      <c r="S122" s="237">
        <f>R122+S90</f>
        <v>0</v>
      </c>
      <c r="T122" s="39">
        <f>S122+T90</f>
        <v>0</v>
      </c>
      <c r="U122" s="39">
        <f>T122+U90</f>
        <v>0</v>
      </c>
      <c r="V122" s="39">
        <f>U122+V90</f>
        <v>0</v>
      </c>
      <c r="W122" s="39">
        <v>0</v>
      </c>
      <c r="X122" s="39">
        <f t="shared" ref="X122:AK122" si="62">W122+X90</f>
        <v>0</v>
      </c>
      <c r="Y122" s="39">
        <f t="shared" si="62"/>
        <v>0</v>
      </c>
      <c r="Z122" s="39">
        <f t="shared" si="62"/>
        <v>0</v>
      </c>
      <c r="AA122" s="39">
        <f t="shared" si="62"/>
        <v>0</v>
      </c>
      <c r="AB122" s="237">
        <f t="shared" si="62"/>
        <v>0</v>
      </c>
      <c r="AC122" s="39">
        <f t="shared" si="62"/>
        <v>0</v>
      </c>
      <c r="AD122" s="39">
        <f t="shared" si="62"/>
        <v>0</v>
      </c>
      <c r="AE122" s="39">
        <f t="shared" si="62"/>
        <v>0</v>
      </c>
      <c r="AF122" s="39">
        <f t="shared" si="62"/>
        <v>0</v>
      </c>
      <c r="AG122" s="39">
        <f t="shared" si="62"/>
        <v>0</v>
      </c>
      <c r="AH122" s="39">
        <f t="shared" si="62"/>
        <v>0</v>
      </c>
      <c r="AI122" s="39">
        <f t="shared" si="62"/>
        <v>0</v>
      </c>
      <c r="AJ122" s="39">
        <f t="shared" si="62"/>
        <v>0</v>
      </c>
      <c r="AK122" s="39">
        <f t="shared" si="62"/>
        <v>0</v>
      </c>
    </row>
    <row r="123" spans="2:37" x14ac:dyDescent="0.25">
      <c r="E123" s="10" t="s">
        <v>57</v>
      </c>
      <c r="F123" s="10"/>
      <c r="G123" s="10"/>
      <c r="H123" s="10" t="s">
        <v>32</v>
      </c>
      <c r="I123" s="41">
        <f t="shared" ref="I123:Z123" si="63">SUM(I124:I125)</f>
        <v>5031427</v>
      </c>
      <c r="J123" s="41">
        <f t="shared" si="63"/>
        <v>5083952</v>
      </c>
      <c r="K123" s="41">
        <f t="shared" si="63"/>
        <v>5110400</v>
      </c>
      <c r="L123" s="41">
        <f t="shared" si="63"/>
        <v>5275116</v>
      </c>
      <c r="M123" s="41">
        <f t="shared" si="63"/>
        <v>5341315</v>
      </c>
      <c r="N123" s="41">
        <f t="shared" si="63"/>
        <v>5422999</v>
      </c>
      <c r="O123" s="41">
        <f t="shared" si="63"/>
        <v>5471146</v>
      </c>
      <c r="P123" s="41">
        <f t="shared" si="63"/>
        <v>5519505</v>
      </c>
      <c r="Q123" s="41">
        <f t="shared" si="63"/>
        <v>5565741</v>
      </c>
      <c r="R123" s="41">
        <f t="shared" si="63"/>
        <v>5567261</v>
      </c>
      <c r="S123" s="238">
        <f t="shared" si="63"/>
        <v>5585232</v>
      </c>
      <c r="T123" s="41">
        <f t="shared" si="63"/>
        <v>5613056.25</v>
      </c>
      <c r="U123" s="41">
        <f t="shared" si="63"/>
        <v>5670705.5</v>
      </c>
      <c r="V123" s="41">
        <f t="shared" si="63"/>
        <v>5670959.75</v>
      </c>
      <c r="W123" s="41">
        <f t="shared" si="63"/>
        <v>5671052</v>
      </c>
      <c r="X123" s="41">
        <f t="shared" si="63"/>
        <v>5802860.25</v>
      </c>
      <c r="Y123" s="41">
        <f t="shared" si="63"/>
        <v>5839791.5</v>
      </c>
      <c r="Z123" s="41">
        <f t="shared" si="63"/>
        <v>5841804.75</v>
      </c>
      <c r="AA123" s="41">
        <f t="shared" ref="AA123:AK123" si="64">SUM(AA124:AA125)</f>
        <v>5866339</v>
      </c>
      <c r="AB123" s="238">
        <f t="shared" si="64"/>
        <v>5970893</v>
      </c>
      <c r="AC123" s="41">
        <f t="shared" si="64"/>
        <v>5980019</v>
      </c>
      <c r="AD123" s="41">
        <f t="shared" si="64"/>
        <v>5980019</v>
      </c>
      <c r="AE123" s="41">
        <f t="shared" si="64"/>
        <v>5980019</v>
      </c>
      <c r="AF123" s="41">
        <f t="shared" si="64"/>
        <v>5980019</v>
      </c>
      <c r="AG123" s="41">
        <f t="shared" si="64"/>
        <v>5980019</v>
      </c>
      <c r="AH123" s="41">
        <f t="shared" si="64"/>
        <v>5980019</v>
      </c>
      <c r="AI123" s="41">
        <f t="shared" si="64"/>
        <v>5980019</v>
      </c>
      <c r="AJ123" s="41">
        <f t="shared" si="64"/>
        <v>5980019</v>
      </c>
      <c r="AK123" s="41">
        <f t="shared" si="64"/>
        <v>5980019</v>
      </c>
    </row>
    <row r="124" spans="2:37" x14ac:dyDescent="0.25">
      <c r="G124" t="s">
        <v>55</v>
      </c>
      <c r="H124" t="s">
        <v>32</v>
      </c>
      <c r="I124" s="39">
        <f t="shared" ref="I124:R124" si="65">J124-J92</f>
        <v>5031427</v>
      </c>
      <c r="J124" s="39">
        <f t="shared" si="65"/>
        <v>5083952</v>
      </c>
      <c r="K124" s="39">
        <f t="shared" si="65"/>
        <v>5110400</v>
      </c>
      <c r="L124" s="39">
        <f t="shared" si="65"/>
        <v>5275116</v>
      </c>
      <c r="M124" s="39">
        <f t="shared" si="65"/>
        <v>5341315</v>
      </c>
      <c r="N124" s="39">
        <f t="shared" si="65"/>
        <v>5422999</v>
      </c>
      <c r="O124" s="39">
        <f t="shared" si="65"/>
        <v>5471146</v>
      </c>
      <c r="P124" s="39">
        <f t="shared" si="65"/>
        <v>5519505</v>
      </c>
      <c r="Q124" s="39">
        <f t="shared" si="65"/>
        <v>5565741</v>
      </c>
      <c r="R124" s="39">
        <f t="shared" si="65"/>
        <v>5567261</v>
      </c>
      <c r="S124" s="237">
        <v>5585232</v>
      </c>
      <c r="T124" s="39">
        <f>S124+T92+($AB124-SUM($S124,$T92:$AB92))/8</f>
        <v>5613056.25</v>
      </c>
      <c r="U124" s="39">
        <f t="shared" ref="U124:AA124" si="66">T124+U92+($AB124-SUM($S124,$T92:$AB92))/8</f>
        <v>5670705.5</v>
      </c>
      <c r="V124" s="39">
        <f t="shared" si="66"/>
        <v>5670959.75</v>
      </c>
      <c r="W124" s="39">
        <f t="shared" si="66"/>
        <v>5671052</v>
      </c>
      <c r="X124" s="39">
        <f t="shared" si="66"/>
        <v>5802860.25</v>
      </c>
      <c r="Y124" s="39">
        <f t="shared" si="66"/>
        <v>5839791.5</v>
      </c>
      <c r="Z124" s="39">
        <f t="shared" si="66"/>
        <v>5841804.75</v>
      </c>
      <c r="AA124" s="39">
        <f t="shared" si="66"/>
        <v>5866339</v>
      </c>
      <c r="AB124" s="237">
        <v>5970893</v>
      </c>
      <c r="AC124" s="39">
        <f t="shared" ref="AC124:AK124" si="67">AB124+AC92</f>
        <v>5980019</v>
      </c>
      <c r="AD124" s="39">
        <f t="shared" si="67"/>
        <v>5980019</v>
      </c>
      <c r="AE124" s="39">
        <f t="shared" si="67"/>
        <v>5980019</v>
      </c>
      <c r="AF124" s="39">
        <f t="shared" si="67"/>
        <v>5980019</v>
      </c>
      <c r="AG124" s="39">
        <f t="shared" si="67"/>
        <v>5980019</v>
      </c>
      <c r="AH124" s="39">
        <f t="shared" si="67"/>
        <v>5980019</v>
      </c>
      <c r="AI124" s="39">
        <f t="shared" si="67"/>
        <v>5980019</v>
      </c>
      <c r="AJ124" s="39">
        <f t="shared" si="67"/>
        <v>5980019</v>
      </c>
      <c r="AK124" s="39">
        <f t="shared" si="67"/>
        <v>5980019</v>
      </c>
    </row>
    <row r="125" spans="2:37" x14ac:dyDescent="0.25">
      <c r="G125" t="s">
        <v>56</v>
      </c>
      <c r="H125" t="s">
        <v>32</v>
      </c>
      <c r="I125" s="39">
        <f t="shared" ref="I125:Q125" si="68">J125-J93</f>
        <v>0</v>
      </c>
      <c r="J125" s="39">
        <f t="shared" si="68"/>
        <v>0</v>
      </c>
      <c r="K125" s="39">
        <f t="shared" si="68"/>
        <v>0</v>
      </c>
      <c r="L125" s="39">
        <f t="shared" si="68"/>
        <v>0</v>
      </c>
      <c r="M125" s="39">
        <f t="shared" si="68"/>
        <v>0</v>
      </c>
      <c r="N125" s="39">
        <f t="shared" si="68"/>
        <v>0</v>
      </c>
      <c r="O125" s="39">
        <f t="shared" si="68"/>
        <v>0</v>
      </c>
      <c r="P125" s="39">
        <f t="shared" si="68"/>
        <v>0</v>
      </c>
      <c r="Q125" s="39">
        <f t="shared" si="68"/>
        <v>0</v>
      </c>
      <c r="R125" s="39">
        <v>0</v>
      </c>
      <c r="S125" s="237">
        <f>R125+S93</f>
        <v>0</v>
      </c>
      <c r="T125" s="39">
        <f>S125+T93</f>
        <v>0</v>
      </c>
      <c r="U125" s="39">
        <f>T125+U93</f>
        <v>0</v>
      </c>
      <c r="V125" s="39">
        <f>U125+V93</f>
        <v>0</v>
      </c>
      <c r="W125" s="39">
        <f>V125+W93</f>
        <v>0</v>
      </c>
      <c r="X125" s="39">
        <f t="shared" ref="X125:AK125" si="69">W125+X93</f>
        <v>0</v>
      </c>
      <c r="Y125" s="39">
        <f t="shared" si="69"/>
        <v>0</v>
      </c>
      <c r="Z125" s="39">
        <f t="shared" si="69"/>
        <v>0</v>
      </c>
      <c r="AA125" s="39">
        <f t="shared" si="69"/>
        <v>0</v>
      </c>
      <c r="AB125" s="237">
        <f t="shared" si="69"/>
        <v>0</v>
      </c>
      <c r="AC125" s="39">
        <f t="shared" si="69"/>
        <v>0</v>
      </c>
      <c r="AD125" s="39">
        <f t="shared" si="69"/>
        <v>0</v>
      </c>
      <c r="AE125" s="39">
        <f t="shared" si="69"/>
        <v>0</v>
      </c>
      <c r="AF125" s="39">
        <f t="shared" si="69"/>
        <v>0</v>
      </c>
      <c r="AG125" s="39">
        <f t="shared" si="69"/>
        <v>0</v>
      </c>
      <c r="AH125" s="39">
        <f t="shared" si="69"/>
        <v>0</v>
      </c>
      <c r="AI125" s="39">
        <f t="shared" si="69"/>
        <v>0</v>
      </c>
      <c r="AJ125" s="39">
        <f t="shared" si="69"/>
        <v>0</v>
      </c>
      <c r="AK125" s="39">
        <f t="shared" si="69"/>
        <v>0</v>
      </c>
    </row>
    <row r="126" spans="2:37" s="8" customFormat="1" x14ac:dyDescent="0.25">
      <c r="B126" s="9"/>
      <c r="D126" s="8" t="s">
        <v>72</v>
      </c>
      <c r="I126" s="42"/>
      <c r="J126" s="42"/>
      <c r="K126" s="42"/>
      <c r="L126" s="42"/>
      <c r="M126" s="42"/>
      <c r="N126" s="42"/>
      <c r="O126" s="42"/>
      <c r="P126" s="42"/>
      <c r="Q126" s="42"/>
      <c r="R126" s="42"/>
      <c r="S126" s="239"/>
      <c r="T126" s="42"/>
      <c r="U126" s="42"/>
      <c r="V126" s="42"/>
      <c r="W126" s="42"/>
      <c r="X126" s="42"/>
      <c r="Y126" s="42"/>
      <c r="Z126" s="42"/>
      <c r="AA126" s="42"/>
      <c r="AB126" s="239"/>
      <c r="AC126" s="42"/>
      <c r="AD126" s="42"/>
      <c r="AE126" s="42"/>
      <c r="AF126" s="42"/>
      <c r="AG126" s="42"/>
      <c r="AH126" s="42"/>
      <c r="AI126" s="42"/>
      <c r="AJ126" s="42"/>
      <c r="AK126" s="42"/>
    </row>
    <row r="127" spans="2:37" s="10" customFormat="1" x14ac:dyDescent="0.25">
      <c r="B127" s="11"/>
      <c r="E127" s="10" t="s">
        <v>59</v>
      </c>
      <c r="H127" s="10" t="s">
        <v>32</v>
      </c>
      <c r="I127" s="41">
        <f t="shared" ref="I127:Z127" si="70">SUM(I129,I131,I132,I133:I136)</f>
        <v>6472408</v>
      </c>
      <c r="J127" s="41">
        <f t="shared" si="70"/>
        <v>6660434</v>
      </c>
      <c r="K127" s="41">
        <f t="shared" si="70"/>
        <v>6861686</v>
      </c>
      <c r="L127" s="41">
        <f t="shared" si="70"/>
        <v>6990005</v>
      </c>
      <c r="M127" s="41">
        <f t="shared" si="70"/>
        <v>7250841</v>
      </c>
      <c r="N127" s="41">
        <f t="shared" si="70"/>
        <v>7600569</v>
      </c>
      <c r="O127" s="41">
        <f t="shared" si="70"/>
        <v>7680363</v>
      </c>
      <c r="P127" s="41">
        <f t="shared" si="70"/>
        <v>7865153</v>
      </c>
      <c r="Q127" s="41">
        <f t="shared" si="70"/>
        <v>7943065</v>
      </c>
      <c r="R127" s="41">
        <f t="shared" si="70"/>
        <v>8010029</v>
      </c>
      <c r="S127" s="238">
        <f t="shared" si="70"/>
        <v>8066544</v>
      </c>
      <c r="T127" s="41">
        <f t="shared" si="70"/>
        <v>8101899.5</v>
      </c>
      <c r="U127" s="41">
        <f t="shared" si="70"/>
        <v>8211098</v>
      </c>
      <c r="V127" s="41">
        <f t="shared" si="70"/>
        <v>8254598.5</v>
      </c>
      <c r="W127" s="41">
        <f t="shared" si="70"/>
        <v>8298466</v>
      </c>
      <c r="X127" s="41">
        <f t="shared" si="70"/>
        <v>8333194.5</v>
      </c>
      <c r="Y127" s="41">
        <f t="shared" si="70"/>
        <v>8426755</v>
      </c>
      <c r="Z127" s="41">
        <f t="shared" si="70"/>
        <v>8528771.5</v>
      </c>
      <c r="AA127" s="41">
        <f t="shared" ref="AA127:AK127" si="71">SUM(AA129,AA131,AA132,AA133:AA136)</f>
        <v>8585533</v>
      </c>
      <c r="AB127" s="238">
        <f t="shared" si="71"/>
        <v>8589775</v>
      </c>
      <c r="AC127" s="41">
        <f t="shared" si="71"/>
        <v>8629746</v>
      </c>
      <c r="AD127" s="41">
        <f t="shared" si="71"/>
        <v>8629746</v>
      </c>
      <c r="AE127" s="41">
        <f t="shared" si="71"/>
        <v>8629746</v>
      </c>
      <c r="AF127" s="41">
        <f t="shared" si="71"/>
        <v>8629746</v>
      </c>
      <c r="AG127" s="41">
        <f t="shared" si="71"/>
        <v>8629746</v>
      </c>
      <c r="AH127" s="41">
        <f t="shared" si="71"/>
        <v>8629746</v>
      </c>
      <c r="AI127" s="41">
        <f t="shared" si="71"/>
        <v>8629746</v>
      </c>
      <c r="AJ127" s="41">
        <f t="shared" si="71"/>
        <v>8629746</v>
      </c>
      <c r="AK127" s="41">
        <f t="shared" si="71"/>
        <v>8629746</v>
      </c>
    </row>
    <row r="128" spans="2:37" s="10" customFormat="1" x14ac:dyDescent="0.25">
      <c r="B128" s="11"/>
      <c r="F128" s="10" t="s">
        <v>60</v>
      </c>
      <c r="H128" s="10" t="s">
        <v>32</v>
      </c>
      <c r="I128" s="41">
        <f t="shared" ref="I128:Z128" si="72">SUM(I131:I135)</f>
        <v>4121833</v>
      </c>
      <c r="J128" s="41">
        <f t="shared" si="72"/>
        <v>4294017</v>
      </c>
      <c r="K128" s="41">
        <f t="shared" si="72"/>
        <v>4448705</v>
      </c>
      <c r="L128" s="41">
        <f t="shared" si="72"/>
        <v>4480558</v>
      </c>
      <c r="M128" s="41">
        <f t="shared" si="72"/>
        <v>4552571</v>
      </c>
      <c r="N128" s="41">
        <f t="shared" si="72"/>
        <v>4694864</v>
      </c>
      <c r="O128" s="41">
        <f t="shared" si="72"/>
        <v>4765500</v>
      </c>
      <c r="P128" s="41">
        <f t="shared" si="72"/>
        <v>4945347</v>
      </c>
      <c r="Q128" s="41">
        <f t="shared" si="72"/>
        <v>4986660</v>
      </c>
      <c r="R128" s="41">
        <f t="shared" si="72"/>
        <v>4992937</v>
      </c>
      <c r="S128" s="238">
        <f t="shared" si="72"/>
        <v>5019494</v>
      </c>
      <c r="T128" s="41">
        <f t="shared" si="72"/>
        <v>5055734.375</v>
      </c>
      <c r="U128" s="41">
        <f t="shared" si="72"/>
        <v>5154791.75</v>
      </c>
      <c r="V128" s="41">
        <f t="shared" si="72"/>
        <v>5166606.125</v>
      </c>
      <c r="W128" s="41">
        <f t="shared" si="72"/>
        <v>5209594.5</v>
      </c>
      <c r="X128" s="41">
        <f t="shared" si="72"/>
        <v>5240428.875</v>
      </c>
      <c r="Y128" s="41">
        <f t="shared" si="72"/>
        <v>5247923.25</v>
      </c>
      <c r="Z128" s="41">
        <f t="shared" si="72"/>
        <v>5302367.625</v>
      </c>
      <c r="AA128" s="41">
        <f t="shared" ref="AA128:AK128" si="73">SUM(AA131:AA135)</f>
        <v>5324505</v>
      </c>
      <c r="AB128" s="238">
        <f t="shared" si="73"/>
        <v>5318502</v>
      </c>
      <c r="AC128" s="41">
        <f t="shared" si="73"/>
        <v>5316617</v>
      </c>
      <c r="AD128" s="41">
        <f t="shared" si="73"/>
        <v>5316617</v>
      </c>
      <c r="AE128" s="41">
        <f t="shared" si="73"/>
        <v>5316617</v>
      </c>
      <c r="AF128" s="41">
        <f t="shared" si="73"/>
        <v>5316617</v>
      </c>
      <c r="AG128" s="41">
        <f t="shared" si="73"/>
        <v>5316617</v>
      </c>
      <c r="AH128" s="41">
        <f t="shared" si="73"/>
        <v>5316617</v>
      </c>
      <c r="AI128" s="41">
        <f t="shared" si="73"/>
        <v>5316617</v>
      </c>
      <c r="AJ128" s="41">
        <f t="shared" si="73"/>
        <v>5316617</v>
      </c>
      <c r="AK128" s="41">
        <f t="shared" si="73"/>
        <v>5316617</v>
      </c>
    </row>
    <row r="129" spans="1:37" x14ac:dyDescent="0.25">
      <c r="G129" t="s">
        <v>46</v>
      </c>
      <c r="H129" t="s">
        <v>32</v>
      </c>
      <c r="I129" s="39">
        <f t="shared" ref="I129:R129" si="74">J129-J97</f>
        <v>980001</v>
      </c>
      <c r="J129" s="39">
        <f t="shared" si="74"/>
        <v>980841</v>
      </c>
      <c r="K129" s="39">
        <f t="shared" si="74"/>
        <v>994441</v>
      </c>
      <c r="L129" s="39">
        <f t="shared" si="74"/>
        <v>994713</v>
      </c>
      <c r="M129" s="39">
        <f t="shared" si="74"/>
        <v>997113</v>
      </c>
      <c r="N129" s="39">
        <f t="shared" si="74"/>
        <v>1014109</v>
      </c>
      <c r="O129" s="39">
        <f t="shared" si="74"/>
        <v>1016209</v>
      </c>
      <c r="P129" s="39">
        <f t="shared" si="74"/>
        <v>1017473</v>
      </c>
      <c r="Q129" s="39">
        <f t="shared" si="74"/>
        <v>1018481</v>
      </c>
      <c r="R129" s="39">
        <f t="shared" si="74"/>
        <v>1018481</v>
      </c>
      <c r="S129" s="237">
        <v>1018481</v>
      </c>
      <c r="T129" s="39">
        <f t="shared" ref="T129:AA129" si="75">S129+T97+($AB129-SUM($S129,$T97:$AB97))/8</f>
        <v>1018232.75</v>
      </c>
      <c r="U129" s="39">
        <f t="shared" si="75"/>
        <v>1021929.5</v>
      </c>
      <c r="V129" s="39">
        <f t="shared" si="75"/>
        <v>1023274.25</v>
      </c>
      <c r="W129" s="39">
        <f t="shared" si="75"/>
        <v>1023026</v>
      </c>
      <c r="X129" s="39">
        <f t="shared" si="75"/>
        <v>1022777.75</v>
      </c>
      <c r="Y129" s="39">
        <f t="shared" si="75"/>
        <v>1022529.5</v>
      </c>
      <c r="Z129" s="39">
        <f t="shared" si="75"/>
        <v>1024801.25</v>
      </c>
      <c r="AA129" s="39">
        <f t="shared" si="75"/>
        <v>1033875</v>
      </c>
      <c r="AB129" s="237">
        <v>1039971</v>
      </c>
      <c r="AC129" s="39">
        <f t="shared" ref="AC129:AK129" si="76">AB129+AC97</f>
        <v>1043276</v>
      </c>
      <c r="AD129" s="39">
        <f t="shared" si="76"/>
        <v>1043276</v>
      </c>
      <c r="AE129" s="39">
        <f t="shared" si="76"/>
        <v>1043276</v>
      </c>
      <c r="AF129" s="39">
        <f t="shared" si="76"/>
        <v>1043276</v>
      </c>
      <c r="AG129" s="39">
        <f t="shared" si="76"/>
        <v>1043276</v>
      </c>
      <c r="AH129" s="39">
        <f t="shared" si="76"/>
        <v>1043276</v>
      </c>
      <c r="AI129" s="39">
        <f t="shared" si="76"/>
        <v>1043276</v>
      </c>
      <c r="AJ129" s="39">
        <f t="shared" si="76"/>
        <v>1043276</v>
      </c>
      <c r="AK129" s="39">
        <f t="shared" si="76"/>
        <v>1043276</v>
      </c>
    </row>
    <row r="130" spans="1:37" x14ac:dyDescent="0.25">
      <c r="B130" s="45" t="s">
        <v>61</v>
      </c>
      <c r="G130" t="s">
        <v>63</v>
      </c>
      <c r="H130" t="s">
        <v>32</v>
      </c>
      <c r="I130" s="39">
        <f t="shared" ref="I130:R130" si="77">J130-J98</f>
        <v>38366</v>
      </c>
      <c r="J130" s="39">
        <f t="shared" si="77"/>
        <v>38366</v>
      </c>
      <c r="K130" s="39">
        <f t="shared" si="77"/>
        <v>42686</v>
      </c>
      <c r="L130" s="39">
        <f t="shared" si="77"/>
        <v>46089</v>
      </c>
      <c r="M130" s="39">
        <f t="shared" si="77"/>
        <v>46475</v>
      </c>
      <c r="N130" s="39">
        <f t="shared" si="77"/>
        <v>50706</v>
      </c>
      <c r="O130" s="39">
        <f t="shared" si="77"/>
        <v>51270</v>
      </c>
      <c r="P130" s="39">
        <f t="shared" si="77"/>
        <v>53552</v>
      </c>
      <c r="Q130" s="39">
        <f t="shared" si="77"/>
        <v>53552</v>
      </c>
      <c r="R130" s="39">
        <f t="shared" si="77"/>
        <v>53552</v>
      </c>
      <c r="S130" s="237">
        <v>53552</v>
      </c>
      <c r="T130" s="39">
        <f t="shared" ref="T130:AA130" si="78">S130+T98+($AB130-SUM($S130,$T98:$AB98))/8</f>
        <v>52950.125</v>
      </c>
      <c r="U130" s="39">
        <f t="shared" si="78"/>
        <v>55912.25</v>
      </c>
      <c r="V130" s="39">
        <f t="shared" si="78"/>
        <v>55310.375</v>
      </c>
      <c r="W130" s="39">
        <f t="shared" si="78"/>
        <v>56185.5</v>
      </c>
      <c r="X130" s="39">
        <f t="shared" si="78"/>
        <v>55583.625</v>
      </c>
      <c r="Y130" s="39">
        <f t="shared" si="78"/>
        <v>57547.75</v>
      </c>
      <c r="Z130" s="39">
        <f t="shared" si="78"/>
        <v>57361.875</v>
      </c>
      <c r="AA130" s="39">
        <f t="shared" si="78"/>
        <v>56760</v>
      </c>
      <c r="AB130" s="237">
        <v>56760</v>
      </c>
      <c r="AC130" s="39">
        <f t="shared" ref="AC130:AK130" si="79">AB130+AC98</f>
        <v>58144</v>
      </c>
      <c r="AD130" s="39">
        <f t="shared" si="79"/>
        <v>58144</v>
      </c>
      <c r="AE130" s="39">
        <f t="shared" si="79"/>
        <v>58144</v>
      </c>
      <c r="AF130" s="39">
        <f t="shared" si="79"/>
        <v>58144</v>
      </c>
      <c r="AG130" s="39">
        <f t="shared" si="79"/>
        <v>58144</v>
      </c>
      <c r="AH130" s="39">
        <f t="shared" si="79"/>
        <v>58144</v>
      </c>
      <c r="AI130" s="39">
        <f t="shared" si="79"/>
        <v>58144</v>
      </c>
      <c r="AJ130" s="39">
        <f t="shared" si="79"/>
        <v>58144</v>
      </c>
      <c r="AK130" s="39">
        <f t="shared" si="79"/>
        <v>58144</v>
      </c>
    </row>
    <row r="131" spans="1:37" x14ac:dyDescent="0.25">
      <c r="G131" t="s">
        <v>64</v>
      </c>
      <c r="H131" t="s">
        <v>32</v>
      </c>
      <c r="I131" s="39">
        <f t="shared" ref="I131:R131" si="80">J131-J99</f>
        <v>196709</v>
      </c>
      <c r="J131" s="39">
        <f t="shared" si="80"/>
        <v>207227</v>
      </c>
      <c r="K131" s="39">
        <f t="shared" si="80"/>
        <v>207227</v>
      </c>
      <c r="L131" s="39">
        <f t="shared" si="80"/>
        <v>211494</v>
      </c>
      <c r="M131" s="39">
        <f t="shared" si="80"/>
        <v>222850</v>
      </c>
      <c r="N131" s="39">
        <f t="shared" si="80"/>
        <v>261827</v>
      </c>
      <c r="O131" s="39">
        <f t="shared" si="80"/>
        <v>279430</v>
      </c>
      <c r="P131" s="39">
        <f t="shared" si="80"/>
        <v>337880</v>
      </c>
      <c r="Q131" s="39">
        <f t="shared" si="80"/>
        <v>340514</v>
      </c>
      <c r="R131" s="39">
        <f t="shared" si="80"/>
        <v>340514</v>
      </c>
      <c r="S131" s="237">
        <v>340514</v>
      </c>
      <c r="T131" s="39">
        <f t="shared" ref="T131:AA131" si="81">S131+T99+($AB131-SUM($S131,$T99:$AB99))/8</f>
        <v>363498</v>
      </c>
      <c r="U131" s="39">
        <f t="shared" si="81"/>
        <v>364879</v>
      </c>
      <c r="V131" s="39">
        <f t="shared" si="81"/>
        <v>365628</v>
      </c>
      <c r="W131" s="39">
        <f t="shared" si="81"/>
        <v>367352</v>
      </c>
      <c r="X131" s="39">
        <f t="shared" si="81"/>
        <v>370420</v>
      </c>
      <c r="Y131" s="39">
        <f t="shared" si="81"/>
        <v>365872</v>
      </c>
      <c r="Z131" s="39">
        <f t="shared" si="81"/>
        <v>370050</v>
      </c>
      <c r="AA131" s="39">
        <f t="shared" si="81"/>
        <v>378165</v>
      </c>
      <c r="AB131" s="237">
        <v>381465</v>
      </c>
      <c r="AC131" s="39">
        <f t="shared" ref="AC131:AK131" si="82">AB131+AC99</f>
        <v>384761</v>
      </c>
      <c r="AD131" s="39">
        <f t="shared" si="82"/>
        <v>384761</v>
      </c>
      <c r="AE131" s="39">
        <f t="shared" si="82"/>
        <v>384761</v>
      </c>
      <c r="AF131" s="39">
        <f t="shared" si="82"/>
        <v>384761</v>
      </c>
      <c r="AG131" s="39">
        <f t="shared" si="82"/>
        <v>384761</v>
      </c>
      <c r="AH131" s="39">
        <f t="shared" si="82"/>
        <v>384761</v>
      </c>
      <c r="AI131" s="39">
        <f t="shared" si="82"/>
        <v>384761</v>
      </c>
      <c r="AJ131" s="39">
        <f t="shared" si="82"/>
        <v>384761</v>
      </c>
      <c r="AK131" s="39">
        <f t="shared" si="82"/>
        <v>384761</v>
      </c>
    </row>
    <row r="132" spans="1:37" x14ac:dyDescent="0.25">
      <c r="G132" t="s">
        <v>65</v>
      </c>
      <c r="H132" t="s">
        <v>32</v>
      </c>
      <c r="I132" s="39">
        <f t="shared" ref="I132:R132" si="83">J132-J100</f>
        <v>396039</v>
      </c>
      <c r="J132" s="39">
        <f t="shared" si="83"/>
        <v>401365</v>
      </c>
      <c r="K132" s="39">
        <f t="shared" si="83"/>
        <v>409353</v>
      </c>
      <c r="L132" s="39">
        <f t="shared" si="83"/>
        <v>409353</v>
      </c>
      <c r="M132" s="39">
        <f t="shared" si="83"/>
        <v>413512</v>
      </c>
      <c r="N132" s="39">
        <f t="shared" si="83"/>
        <v>418191</v>
      </c>
      <c r="O132" s="39">
        <f t="shared" si="83"/>
        <v>418191</v>
      </c>
      <c r="P132" s="39">
        <f t="shared" si="83"/>
        <v>424355</v>
      </c>
      <c r="Q132" s="39">
        <f t="shared" si="83"/>
        <v>428168</v>
      </c>
      <c r="R132" s="39">
        <f t="shared" si="83"/>
        <v>432907</v>
      </c>
      <c r="S132" s="237">
        <v>432907</v>
      </c>
      <c r="T132" s="39">
        <f t="shared" ref="T132:AA132" si="84">S132+T100+($AB132-SUM($S132,$T100:$AB100))/8</f>
        <v>433633.125</v>
      </c>
      <c r="U132" s="39">
        <f t="shared" si="84"/>
        <v>435387.25</v>
      </c>
      <c r="V132" s="39">
        <f t="shared" si="84"/>
        <v>434110.375</v>
      </c>
      <c r="W132" s="39">
        <f t="shared" si="84"/>
        <v>437032.5</v>
      </c>
      <c r="X132" s="39">
        <f t="shared" si="84"/>
        <v>451663.625</v>
      </c>
      <c r="Y132" s="39">
        <f t="shared" si="84"/>
        <v>466629.75</v>
      </c>
      <c r="Z132" s="39">
        <f t="shared" si="84"/>
        <v>461699.875</v>
      </c>
      <c r="AA132" s="39">
        <f t="shared" si="84"/>
        <v>461093</v>
      </c>
      <c r="AB132" s="237">
        <v>458035</v>
      </c>
      <c r="AC132" s="39">
        <f t="shared" ref="AC132:AK132" si="85">AB132+AC100</f>
        <v>455911</v>
      </c>
      <c r="AD132" s="39">
        <f t="shared" si="85"/>
        <v>455911</v>
      </c>
      <c r="AE132" s="39">
        <f t="shared" si="85"/>
        <v>455911</v>
      </c>
      <c r="AF132" s="39">
        <f t="shared" si="85"/>
        <v>455911</v>
      </c>
      <c r="AG132" s="39">
        <f t="shared" si="85"/>
        <v>455911</v>
      </c>
      <c r="AH132" s="39">
        <f t="shared" si="85"/>
        <v>455911</v>
      </c>
      <c r="AI132" s="39">
        <f t="shared" si="85"/>
        <v>455911</v>
      </c>
      <c r="AJ132" s="39">
        <f t="shared" si="85"/>
        <v>455911</v>
      </c>
      <c r="AK132" s="39">
        <f t="shared" si="85"/>
        <v>455911</v>
      </c>
    </row>
    <row r="133" spans="1:37" x14ac:dyDescent="0.25">
      <c r="G133" t="s">
        <v>66</v>
      </c>
      <c r="H133" t="s">
        <v>32</v>
      </c>
      <c r="I133" s="39">
        <f t="shared" ref="I133:R133" si="86">J133-J101</f>
        <v>961194</v>
      </c>
      <c r="J133" s="39">
        <f t="shared" si="86"/>
        <v>988897</v>
      </c>
      <c r="K133" s="39">
        <f t="shared" si="86"/>
        <v>1015192</v>
      </c>
      <c r="L133" s="39">
        <f t="shared" si="86"/>
        <v>1026684</v>
      </c>
      <c r="M133" s="39">
        <f t="shared" si="86"/>
        <v>1072632</v>
      </c>
      <c r="N133" s="39">
        <f t="shared" si="86"/>
        <v>1123258</v>
      </c>
      <c r="O133" s="39">
        <f t="shared" si="86"/>
        <v>1153724</v>
      </c>
      <c r="P133" s="39">
        <f t="shared" si="86"/>
        <v>1231119</v>
      </c>
      <c r="Q133" s="39">
        <f t="shared" si="86"/>
        <v>1250025</v>
      </c>
      <c r="R133" s="39">
        <f t="shared" si="86"/>
        <v>1248757</v>
      </c>
      <c r="S133" s="237">
        <v>1262363</v>
      </c>
      <c r="T133" s="39">
        <f t="shared" ref="T133:AA133" si="87">S133+T101+($AB133-SUM($S133,$T101:$AB101))/8</f>
        <v>1265287.125</v>
      </c>
      <c r="U133" s="39">
        <f t="shared" si="87"/>
        <v>1264148.25</v>
      </c>
      <c r="V133" s="39">
        <f t="shared" si="87"/>
        <v>1267433.375</v>
      </c>
      <c r="W133" s="39">
        <f t="shared" si="87"/>
        <v>1263459.5</v>
      </c>
      <c r="X133" s="39">
        <f t="shared" si="87"/>
        <v>1275506.625</v>
      </c>
      <c r="Y133" s="39">
        <f t="shared" si="87"/>
        <v>1285535.75</v>
      </c>
      <c r="Z133" s="39">
        <f t="shared" si="87"/>
        <v>1307909.875</v>
      </c>
      <c r="AA133" s="39">
        <f t="shared" si="87"/>
        <v>1310521</v>
      </c>
      <c r="AB133" s="237">
        <v>1309495</v>
      </c>
      <c r="AC133" s="39">
        <f t="shared" ref="AC133:AK133" si="88">AB133+AC101</f>
        <v>1301668</v>
      </c>
      <c r="AD133" s="39">
        <f t="shared" si="88"/>
        <v>1301668</v>
      </c>
      <c r="AE133" s="39">
        <f t="shared" si="88"/>
        <v>1301668</v>
      </c>
      <c r="AF133" s="39">
        <f t="shared" si="88"/>
        <v>1301668</v>
      </c>
      <c r="AG133" s="39">
        <f t="shared" si="88"/>
        <v>1301668</v>
      </c>
      <c r="AH133" s="39">
        <f t="shared" si="88"/>
        <v>1301668</v>
      </c>
      <c r="AI133" s="39">
        <f t="shared" si="88"/>
        <v>1301668</v>
      </c>
      <c r="AJ133" s="39">
        <f t="shared" si="88"/>
        <v>1301668</v>
      </c>
      <c r="AK133" s="39">
        <f t="shared" si="88"/>
        <v>1301668</v>
      </c>
    </row>
    <row r="134" spans="1:37" x14ac:dyDescent="0.25">
      <c r="G134" t="s">
        <v>67</v>
      </c>
      <c r="H134" t="s">
        <v>32</v>
      </c>
      <c r="I134" s="39">
        <f t="shared" ref="I134:R134" si="89">J134-J102</f>
        <v>1506534</v>
      </c>
      <c r="J134" s="39">
        <f t="shared" si="89"/>
        <v>1527637</v>
      </c>
      <c r="K134" s="39">
        <f t="shared" si="89"/>
        <v>1537889</v>
      </c>
      <c r="L134" s="39">
        <f t="shared" si="89"/>
        <v>1546139</v>
      </c>
      <c r="M134" s="39">
        <f t="shared" si="89"/>
        <v>1556192</v>
      </c>
      <c r="N134" s="39">
        <f t="shared" si="89"/>
        <v>1582042</v>
      </c>
      <c r="O134" s="39">
        <f t="shared" si="89"/>
        <v>1587692</v>
      </c>
      <c r="P134" s="39">
        <f t="shared" si="89"/>
        <v>1601992</v>
      </c>
      <c r="Q134" s="39">
        <f t="shared" si="89"/>
        <v>1604206</v>
      </c>
      <c r="R134" s="39">
        <f t="shared" si="89"/>
        <v>1607012</v>
      </c>
      <c r="S134" s="237">
        <v>1607012</v>
      </c>
      <c r="T134" s="39">
        <f t="shared" ref="T134:AA134" si="90">S134+T102+($AB134-SUM($S134,$T102:$AB102))/8</f>
        <v>1614083.5</v>
      </c>
      <c r="U134" s="39">
        <f t="shared" si="90"/>
        <v>1663119</v>
      </c>
      <c r="V134" s="39">
        <f t="shared" si="90"/>
        <v>1660153.5</v>
      </c>
      <c r="W134" s="39">
        <f t="shared" si="90"/>
        <v>1675453</v>
      </c>
      <c r="X134" s="39">
        <f t="shared" si="90"/>
        <v>1656384.5</v>
      </c>
      <c r="Y134" s="39">
        <f t="shared" si="90"/>
        <v>1630618</v>
      </c>
      <c r="Z134" s="39">
        <f t="shared" si="90"/>
        <v>1626858.5</v>
      </c>
      <c r="AA134" s="39">
        <f t="shared" si="90"/>
        <v>1613201</v>
      </c>
      <c r="AB134" s="237">
        <v>1615798</v>
      </c>
      <c r="AC134" s="39">
        <f t="shared" ref="AC134:AK134" si="91">AB134+AC102</f>
        <v>1636338</v>
      </c>
      <c r="AD134" s="39">
        <f t="shared" si="91"/>
        <v>1636338</v>
      </c>
      <c r="AE134" s="39">
        <f t="shared" si="91"/>
        <v>1636338</v>
      </c>
      <c r="AF134" s="39">
        <f t="shared" si="91"/>
        <v>1636338</v>
      </c>
      <c r="AG134" s="39">
        <f t="shared" si="91"/>
        <v>1636338</v>
      </c>
      <c r="AH134" s="39">
        <f t="shared" si="91"/>
        <v>1636338</v>
      </c>
      <c r="AI134" s="39">
        <f t="shared" si="91"/>
        <v>1636338</v>
      </c>
      <c r="AJ134" s="39">
        <f t="shared" si="91"/>
        <v>1636338</v>
      </c>
      <c r="AK134" s="39">
        <f t="shared" si="91"/>
        <v>1636338</v>
      </c>
    </row>
    <row r="135" spans="1:37" x14ac:dyDescent="0.25">
      <c r="G135" t="s">
        <v>68</v>
      </c>
      <c r="H135" t="s">
        <v>32</v>
      </c>
      <c r="I135" s="39">
        <f t="shared" ref="I135:R135" si="92">J135-J103</f>
        <v>1061357</v>
      </c>
      <c r="J135" s="39">
        <f t="shared" si="92"/>
        <v>1168891</v>
      </c>
      <c r="K135" s="39">
        <f t="shared" si="92"/>
        <v>1279044</v>
      </c>
      <c r="L135" s="39">
        <f t="shared" si="92"/>
        <v>1286888</v>
      </c>
      <c r="M135" s="39">
        <f t="shared" si="92"/>
        <v>1287385</v>
      </c>
      <c r="N135" s="39">
        <f t="shared" si="92"/>
        <v>1309546</v>
      </c>
      <c r="O135" s="39">
        <f t="shared" si="92"/>
        <v>1326463</v>
      </c>
      <c r="P135" s="39">
        <f t="shared" si="92"/>
        <v>1350001</v>
      </c>
      <c r="Q135" s="39">
        <f t="shared" si="92"/>
        <v>1363747</v>
      </c>
      <c r="R135" s="39">
        <f t="shared" si="92"/>
        <v>1363747</v>
      </c>
      <c r="S135" s="237">
        <v>1376698</v>
      </c>
      <c r="T135" s="39">
        <f t="shared" ref="T135:AA135" si="93">S135+T103+($AB135-SUM($S135,$T103:$AB103))/8</f>
        <v>1379232.625</v>
      </c>
      <c r="U135" s="39">
        <f t="shared" si="93"/>
        <v>1427258.25</v>
      </c>
      <c r="V135" s="39">
        <f t="shared" si="93"/>
        <v>1439280.875</v>
      </c>
      <c r="W135" s="39">
        <f t="shared" si="93"/>
        <v>1466297.5</v>
      </c>
      <c r="X135" s="39">
        <f t="shared" si="93"/>
        <v>1486454.125</v>
      </c>
      <c r="Y135" s="39">
        <f t="shared" si="93"/>
        <v>1499267.75</v>
      </c>
      <c r="Z135" s="39">
        <f t="shared" si="93"/>
        <v>1535849.375</v>
      </c>
      <c r="AA135" s="39">
        <f t="shared" si="93"/>
        <v>1561525</v>
      </c>
      <c r="AB135" s="237">
        <v>1553709</v>
      </c>
      <c r="AC135" s="39">
        <f t="shared" ref="AC135:AK135" si="94">AB135+AC103</f>
        <v>1537939</v>
      </c>
      <c r="AD135" s="39">
        <f t="shared" si="94"/>
        <v>1537939</v>
      </c>
      <c r="AE135" s="39">
        <f t="shared" si="94"/>
        <v>1537939</v>
      </c>
      <c r="AF135" s="39">
        <f t="shared" si="94"/>
        <v>1537939</v>
      </c>
      <c r="AG135" s="39">
        <f t="shared" si="94"/>
        <v>1537939</v>
      </c>
      <c r="AH135" s="39">
        <f t="shared" si="94"/>
        <v>1537939</v>
      </c>
      <c r="AI135" s="39">
        <f t="shared" si="94"/>
        <v>1537939</v>
      </c>
      <c r="AJ135" s="39">
        <f t="shared" si="94"/>
        <v>1537939</v>
      </c>
      <c r="AK135" s="39">
        <f t="shared" si="94"/>
        <v>1537939</v>
      </c>
    </row>
    <row r="136" spans="1:37" x14ac:dyDescent="0.25">
      <c r="G136" t="s">
        <v>69</v>
      </c>
      <c r="H136" t="s">
        <v>32</v>
      </c>
      <c r="I136" s="39">
        <f t="shared" ref="I136:R136" si="95">J136-J104</f>
        <v>1370574</v>
      </c>
      <c r="J136" s="39">
        <f t="shared" si="95"/>
        <v>1385576</v>
      </c>
      <c r="K136" s="39">
        <f t="shared" si="95"/>
        <v>1418540</v>
      </c>
      <c r="L136" s="39">
        <f t="shared" si="95"/>
        <v>1514734</v>
      </c>
      <c r="M136" s="39">
        <f t="shared" si="95"/>
        <v>1701157</v>
      </c>
      <c r="N136" s="39">
        <f t="shared" si="95"/>
        <v>1891596</v>
      </c>
      <c r="O136" s="39">
        <f t="shared" si="95"/>
        <v>1898654</v>
      </c>
      <c r="P136" s="39">
        <f t="shared" si="95"/>
        <v>1902333</v>
      </c>
      <c r="Q136" s="39">
        <f t="shared" si="95"/>
        <v>1937924</v>
      </c>
      <c r="R136" s="39">
        <f t="shared" si="95"/>
        <v>1998611</v>
      </c>
      <c r="S136" s="237">
        <v>2028569</v>
      </c>
      <c r="T136" s="39">
        <f t="shared" ref="T136:AA136" si="96">S136+T104+($AB136-SUM($S136,$T104:$AB104))/8</f>
        <v>2027932.375</v>
      </c>
      <c r="U136" s="39">
        <f t="shared" si="96"/>
        <v>2034376.75</v>
      </c>
      <c r="V136" s="39">
        <f t="shared" si="96"/>
        <v>2064718.125</v>
      </c>
      <c r="W136" s="39">
        <f t="shared" si="96"/>
        <v>2065845.5</v>
      </c>
      <c r="X136" s="39">
        <f t="shared" si="96"/>
        <v>2069987.875</v>
      </c>
      <c r="Y136" s="39">
        <f t="shared" si="96"/>
        <v>2156302.25</v>
      </c>
      <c r="Z136" s="39">
        <f t="shared" si="96"/>
        <v>2201602.625</v>
      </c>
      <c r="AA136" s="39">
        <f t="shared" si="96"/>
        <v>2227153</v>
      </c>
      <c r="AB136" s="237">
        <v>2231302</v>
      </c>
      <c r="AC136" s="39">
        <f t="shared" ref="AC136:AK136" si="97">AB136+AC104</f>
        <v>2269853</v>
      </c>
      <c r="AD136" s="39">
        <f t="shared" si="97"/>
        <v>2269853</v>
      </c>
      <c r="AE136" s="39">
        <f t="shared" si="97"/>
        <v>2269853</v>
      </c>
      <c r="AF136" s="39">
        <f t="shared" si="97"/>
        <v>2269853</v>
      </c>
      <c r="AG136" s="39">
        <f t="shared" si="97"/>
        <v>2269853</v>
      </c>
      <c r="AH136" s="39">
        <f t="shared" si="97"/>
        <v>2269853</v>
      </c>
      <c r="AI136" s="39">
        <f t="shared" si="97"/>
        <v>2269853</v>
      </c>
      <c r="AJ136" s="39">
        <f t="shared" si="97"/>
        <v>2269853</v>
      </c>
      <c r="AK136" s="39">
        <f t="shared" si="97"/>
        <v>2269853</v>
      </c>
    </row>
    <row r="137" spans="1:37" s="2" customFormat="1" x14ac:dyDescent="0.25">
      <c r="B137" s="3"/>
    </row>
    <row r="138" spans="1:37" s="28" customFormat="1" ht="17.25" x14ac:dyDescent="0.3">
      <c r="A138" s="28" t="s">
        <v>73</v>
      </c>
    </row>
    <row r="139" spans="1:37" x14ac:dyDescent="0.25">
      <c r="B139" s="29" t="s">
        <v>3</v>
      </c>
      <c r="C139" t="s">
        <v>34</v>
      </c>
    </row>
    <row r="140" spans="1:37" x14ac:dyDescent="0.25">
      <c r="B140" s="29"/>
      <c r="C140" s="43"/>
      <c r="D140" s="8" t="s">
        <v>8</v>
      </c>
    </row>
    <row r="141" spans="1:37" x14ac:dyDescent="0.25">
      <c r="B141" s="29"/>
      <c r="C141" s="43"/>
      <c r="D141" s="211" t="s">
        <v>20176</v>
      </c>
    </row>
    <row r="142" spans="1:37" x14ac:dyDescent="0.25">
      <c r="B142" s="29" t="s">
        <v>10</v>
      </c>
      <c r="C142" s="263" t="s">
        <v>773</v>
      </c>
    </row>
    <row r="143" spans="1:37" x14ac:dyDescent="0.25">
      <c r="B143" s="29"/>
      <c r="C143" s="263" t="s">
        <v>12</v>
      </c>
    </row>
    <row r="144" spans="1:37" x14ac:dyDescent="0.25">
      <c r="B144" s="29"/>
      <c r="C144" s="263" t="s">
        <v>74</v>
      </c>
      <c r="I144" s="39"/>
      <c r="J144" s="39"/>
      <c r="K144" s="39"/>
      <c r="L144" s="39"/>
      <c r="M144" s="39"/>
      <c r="N144" s="39"/>
      <c r="O144" s="39"/>
      <c r="P144" s="39"/>
      <c r="Q144" s="39"/>
      <c r="R144" s="39"/>
      <c r="S144" s="39"/>
      <c r="T144" s="39"/>
      <c r="U144" s="39"/>
      <c r="V144" s="39"/>
      <c r="W144" s="39"/>
      <c r="X144" s="39"/>
      <c r="Y144" s="39"/>
      <c r="Z144" s="39"/>
      <c r="AA144" s="39"/>
    </row>
    <row r="145" spans="2:37" x14ac:dyDescent="0.25">
      <c r="B145" s="29" t="s">
        <v>14</v>
      </c>
      <c r="C145" t="s">
        <v>20182</v>
      </c>
    </row>
    <row r="146" spans="2:37" x14ac:dyDescent="0.25">
      <c r="B146" s="29" t="s">
        <v>17</v>
      </c>
      <c r="C146" t="s">
        <v>20182</v>
      </c>
      <c r="R146" s="39"/>
      <c r="S146" s="39"/>
      <c r="T146" s="39"/>
      <c r="U146" s="39"/>
      <c r="V146" s="39"/>
      <c r="W146" s="39"/>
      <c r="X146" s="39"/>
      <c r="Y146" s="39"/>
      <c r="Z146" s="39"/>
      <c r="AA146" s="39"/>
    </row>
    <row r="147" spans="2:37" s="25" customFormat="1" ht="15.75" thickBot="1" x14ac:dyDescent="0.3">
      <c r="B147" s="30" t="s">
        <v>19</v>
      </c>
      <c r="C147" s="25" t="s">
        <v>20182</v>
      </c>
    </row>
    <row r="148" spans="2:37" s="8" customFormat="1" ht="15.75" thickTop="1" x14ac:dyDescent="0.25">
      <c r="B148" s="44" t="s">
        <v>21</v>
      </c>
      <c r="C148" s="8" t="s">
        <v>75</v>
      </c>
      <c r="H148" s="8" t="s">
        <v>23</v>
      </c>
      <c r="I148" s="42">
        <f t="shared" ref="I148:AK148" si="98">SUM(I152:I163,I165:I169)</f>
        <v>62</v>
      </c>
      <c r="J148" s="42">
        <f t="shared" si="98"/>
        <v>187</v>
      </c>
      <c r="K148" s="42">
        <f t="shared" si="98"/>
        <v>321</v>
      </c>
      <c r="L148" s="42">
        <f t="shared" si="98"/>
        <v>156</v>
      </c>
      <c r="M148" s="42">
        <f t="shared" si="98"/>
        <v>257</v>
      </c>
      <c r="N148" s="42">
        <f t="shared" si="98"/>
        <v>166</v>
      </c>
      <c r="O148" s="42">
        <f t="shared" si="98"/>
        <v>165</v>
      </c>
      <c r="P148" s="42">
        <f t="shared" si="98"/>
        <v>181</v>
      </c>
      <c r="Q148" s="42">
        <f t="shared" si="98"/>
        <v>170</v>
      </c>
      <c r="R148" s="42">
        <f t="shared" si="98"/>
        <v>68</v>
      </c>
      <c r="S148" s="42">
        <f t="shared" si="98"/>
        <v>66</v>
      </c>
      <c r="T148" s="42">
        <f t="shared" si="98"/>
        <v>63</v>
      </c>
      <c r="U148" s="42">
        <f t="shared" si="98"/>
        <v>106</v>
      </c>
      <c r="V148" s="42">
        <f t="shared" si="98"/>
        <v>127</v>
      </c>
      <c r="W148" s="42">
        <f t="shared" si="98"/>
        <v>133</v>
      </c>
      <c r="X148" s="42">
        <f t="shared" si="98"/>
        <v>86</v>
      </c>
      <c r="Y148" s="42">
        <f t="shared" si="98"/>
        <v>174</v>
      </c>
      <c r="Z148" s="42">
        <f t="shared" si="98"/>
        <v>242</v>
      </c>
      <c r="AA148" s="42">
        <f t="shared" si="98"/>
        <v>235</v>
      </c>
      <c r="AB148" s="42">
        <f t="shared" si="98"/>
        <v>233</v>
      </c>
      <c r="AC148" s="42">
        <f t="shared" si="98"/>
        <v>116</v>
      </c>
      <c r="AD148" s="42">
        <f t="shared" si="98"/>
        <v>-1</v>
      </c>
      <c r="AE148" s="42">
        <f t="shared" si="98"/>
        <v>0</v>
      </c>
      <c r="AF148" s="42">
        <f t="shared" si="98"/>
        <v>0</v>
      </c>
      <c r="AG148" s="42">
        <f t="shared" si="98"/>
        <v>0</v>
      </c>
      <c r="AH148" s="42">
        <f t="shared" si="98"/>
        <v>0</v>
      </c>
      <c r="AI148" s="42">
        <f t="shared" si="98"/>
        <v>0</v>
      </c>
      <c r="AJ148" s="42">
        <f t="shared" si="98"/>
        <v>0</v>
      </c>
      <c r="AK148" s="42">
        <f t="shared" si="98"/>
        <v>0</v>
      </c>
    </row>
    <row r="149" spans="2:37" s="10" customFormat="1" x14ac:dyDescent="0.25">
      <c r="B149" s="11"/>
      <c r="D149" s="10" t="s">
        <v>76</v>
      </c>
      <c r="H149" s="10" t="s">
        <v>23</v>
      </c>
      <c r="I149" s="41">
        <f t="shared" ref="I149:AK149" si="99">SUM(I152:I163)</f>
        <v>34</v>
      </c>
      <c r="J149" s="41">
        <f t="shared" si="99"/>
        <v>138</v>
      </c>
      <c r="K149" s="41">
        <f t="shared" si="99"/>
        <v>193</v>
      </c>
      <c r="L149" s="41">
        <f t="shared" si="99"/>
        <v>80</v>
      </c>
      <c r="M149" s="41">
        <f t="shared" si="99"/>
        <v>148</v>
      </c>
      <c r="N149" s="41">
        <f t="shared" si="99"/>
        <v>79</v>
      </c>
      <c r="O149" s="41">
        <f t="shared" si="99"/>
        <v>85</v>
      </c>
      <c r="P149" s="41">
        <f t="shared" si="99"/>
        <v>100</v>
      </c>
      <c r="Q149" s="41">
        <f t="shared" si="99"/>
        <v>83</v>
      </c>
      <c r="R149" s="41">
        <f t="shared" si="99"/>
        <v>27</v>
      </c>
      <c r="S149" s="41">
        <f t="shared" si="99"/>
        <v>35</v>
      </c>
      <c r="T149" s="41">
        <f t="shared" si="99"/>
        <v>35</v>
      </c>
      <c r="U149" s="41">
        <f t="shared" si="99"/>
        <v>60</v>
      </c>
      <c r="V149" s="41">
        <f t="shared" si="99"/>
        <v>78</v>
      </c>
      <c r="W149" s="41">
        <f t="shared" si="99"/>
        <v>80</v>
      </c>
      <c r="X149" s="41">
        <f t="shared" si="99"/>
        <v>32</v>
      </c>
      <c r="Y149" s="41">
        <f t="shared" si="99"/>
        <v>121</v>
      </c>
      <c r="Z149" s="41">
        <f t="shared" si="99"/>
        <v>153</v>
      </c>
      <c r="AA149" s="41">
        <f t="shared" si="99"/>
        <v>180</v>
      </c>
      <c r="AB149" s="41">
        <f t="shared" si="99"/>
        <v>174</v>
      </c>
      <c r="AC149" s="41">
        <f t="shared" si="99"/>
        <v>55</v>
      </c>
      <c r="AD149" s="41">
        <f t="shared" si="99"/>
        <v>0</v>
      </c>
      <c r="AE149" s="41">
        <f t="shared" si="99"/>
        <v>0</v>
      </c>
      <c r="AF149" s="41">
        <f t="shared" si="99"/>
        <v>0</v>
      </c>
      <c r="AG149" s="41">
        <f t="shared" si="99"/>
        <v>0</v>
      </c>
      <c r="AH149" s="41">
        <f t="shared" si="99"/>
        <v>0</v>
      </c>
      <c r="AI149" s="41">
        <f t="shared" si="99"/>
        <v>0</v>
      </c>
      <c r="AJ149" s="41">
        <f t="shared" si="99"/>
        <v>0</v>
      </c>
      <c r="AK149" s="41">
        <f t="shared" si="99"/>
        <v>0</v>
      </c>
    </row>
    <row r="150" spans="2:37" s="10" customFormat="1" x14ac:dyDescent="0.25">
      <c r="B150" s="11"/>
      <c r="E150" s="10" t="s">
        <v>77</v>
      </c>
      <c r="H150" s="10" t="s">
        <v>23</v>
      </c>
      <c r="I150" s="41">
        <f>SUM(I152:I157)</f>
        <v>31</v>
      </c>
      <c r="J150" s="41">
        <f t="shared" ref="J150:AK150" si="100">SUM(J152:J157)</f>
        <v>91</v>
      </c>
      <c r="K150" s="41">
        <f t="shared" si="100"/>
        <v>177</v>
      </c>
      <c r="L150" s="41">
        <f t="shared" si="100"/>
        <v>71</v>
      </c>
      <c r="M150" s="41">
        <f t="shared" si="100"/>
        <v>135</v>
      </c>
      <c r="N150" s="41">
        <f t="shared" si="100"/>
        <v>57</v>
      </c>
      <c r="O150" s="41">
        <f t="shared" si="100"/>
        <v>56</v>
      </c>
      <c r="P150" s="41">
        <f t="shared" si="100"/>
        <v>65</v>
      </c>
      <c r="Q150" s="41">
        <f t="shared" si="100"/>
        <v>41</v>
      </c>
      <c r="R150" s="41">
        <f t="shared" si="100"/>
        <v>17</v>
      </c>
      <c r="S150" s="41">
        <f t="shared" si="100"/>
        <v>28</v>
      </c>
      <c r="T150" s="41">
        <f t="shared" si="100"/>
        <v>14</v>
      </c>
      <c r="U150" s="41">
        <f t="shared" si="100"/>
        <v>56</v>
      </c>
      <c r="V150" s="41">
        <f t="shared" si="100"/>
        <v>44</v>
      </c>
      <c r="W150" s="41">
        <f t="shared" si="100"/>
        <v>62</v>
      </c>
      <c r="X150" s="41">
        <f t="shared" si="100"/>
        <v>-6</v>
      </c>
      <c r="Y150" s="41">
        <f t="shared" si="100"/>
        <v>74</v>
      </c>
      <c r="Z150" s="41">
        <f t="shared" si="100"/>
        <v>135</v>
      </c>
      <c r="AA150" s="41">
        <f t="shared" si="100"/>
        <v>167</v>
      </c>
      <c r="AB150" s="41">
        <f t="shared" si="100"/>
        <v>164</v>
      </c>
      <c r="AC150" s="41">
        <f t="shared" si="100"/>
        <v>43</v>
      </c>
      <c r="AD150" s="41">
        <f t="shared" si="100"/>
        <v>0</v>
      </c>
      <c r="AE150" s="41">
        <f t="shared" si="100"/>
        <v>0</v>
      </c>
      <c r="AF150" s="41">
        <f t="shared" si="100"/>
        <v>0</v>
      </c>
      <c r="AG150" s="41">
        <f t="shared" si="100"/>
        <v>0</v>
      </c>
      <c r="AH150" s="41">
        <f t="shared" si="100"/>
        <v>0</v>
      </c>
      <c r="AI150" s="41">
        <f t="shared" si="100"/>
        <v>0</v>
      </c>
      <c r="AJ150" s="41">
        <f t="shared" si="100"/>
        <v>0</v>
      </c>
      <c r="AK150" s="41">
        <f t="shared" si="100"/>
        <v>0</v>
      </c>
    </row>
    <row r="151" spans="2:37" s="10" customFormat="1" x14ac:dyDescent="0.25">
      <c r="B151" s="11"/>
      <c r="E151" s="10" t="s">
        <v>78</v>
      </c>
      <c r="H151" s="10" t="s">
        <v>23</v>
      </c>
      <c r="I151" s="41">
        <f t="shared" ref="I151:AK151" si="101">SUM(I158:I163)</f>
        <v>3</v>
      </c>
      <c r="J151" s="41">
        <f t="shared" si="101"/>
        <v>47</v>
      </c>
      <c r="K151" s="41">
        <f t="shared" si="101"/>
        <v>16</v>
      </c>
      <c r="L151" s="41">
        <f t="shared" si="101"/>
        <v>9</v>
      </c>
      <c r="M151" s="41">
        <f t="shared" si="101"/>
        <v>13</v>
      </c>
      <c r="N151" s="41">
        <f t="shared" si="101"/>
        <v>22</v>
      </c>
      <c r="O151" s="41">
        <f t="shared" si="101"/>
        <v>29</v>
      </c>
      <c r="P151" s="41">
        <f t="shared" si="101"/>
        <v>35</v>
      </c>
      <c r="Q151" s="41">
        <f t="shared" si="101"/>
        <v>42</v>
      </c>
      <c r="R151" s="41">
        <f t="shared" si="101"/>
        <v>10</v>
      </c>
      <c r="S151" s="41">
        <f t="shared" si="101"/>
        <v>7</v>
      </c>
      <c r="T151" s="41">
        <f t="shared" si="101"/>
        <v>21</v>
      </c>
      <c r="U151" s="41">
        <f t="shared" si="101"/>
        <v>4</v>
      </c>
      <c r="V151" s="41">
        <f t="shared" si="101"/>
        <v>34</v>
      </c>
      <c r="W151" s="41">
        <f t="shared" si="101"/>
        <v>18</v>
      </c>
      <c r="X151" s="41">
        <f t="shared" si="101"/>
        <v>38</v>
      </c>
      <c r="Y151" s="41">
        <f t="shared" si="101"/>
        <v>47</v>
      </c>
      <c r="Z151" s="41">
        <f t="shared" si="101"/>
        <v>18</v>
      </c>
      <c r="AA151" s="41">
        <f t="shared" si="101"/>
        <v>13</v>
      </c>
      <c r="AB151" s="41">
        <f t="shared" si="101"/>
        <v>10</v>
      </c>
      <c r="AC151" s="41">
        <f t="shared" si="101"/>
        <v>12</v>
      </c>
      <c r="AD151" s="41">
        <f t="shared" si="101"/>
        <v>0</v>
      </c>
      <c r="AE151" s="41">
        <f t="shared" si="101"/>
        <v>0</v>
      </c>
      <c r="AF151" s="41">
        <f t="shared" si="101"/>
        <v>0</v>
      </c>
      <c r="AG151" s="41">
        <f t="shared" si="101"/>
        <v>0</v>
      </c>
      <c r="AH151" s="41">
        <f t="shared" si="101"/>
        <v>0</v>
      </c>
      <c r="AI151" s="41">
        <f t="shared" si="101"/>
        <v>0</v>
      </c>
      <c r="AJ151" s="41">
        <f t="shared" si="101"/>
        <v>0</v>
      </c>
      <c r="AK151" s="41">
        <f t="shared" si="101"/>
        <v>0</v>
      </c>
    </row>
    <row r="152" spans="2:37" x14ac:dyDescent="0.25">
      <c r="F152" t="s">
        <v>79</v>
      </c>
      <c r="H152" t="s">
        <v>23</v>
      </c>
      <c r="I152" s="39">
        <f>SUMIFS(BuildingPermits!$AU:$AU,BuildingPermits!$F:$F,1,BuildingPermits!$N:$N,I$2)</f>
        <v>0</v>
      </c>
      <c r="J152" s="39">
        <f>SUMIFS(BuildingPermits!$AU:$AU,BuildingPermits!$F:$F,1,BuildingPermits!$N:$N,J$2)</f>
        <v>0</v>
      </c>
      <c r="K152" s="39">
        <f>SUMIFS(BuildingPermits!$AU:$AU,BuildingPermits!$F:$F,1,BuildingPermits!$N:$N,K$2)</f>
        <v>0</v>
      </c>
      <c r="L152" s="39">
        <f>SUMIFS(BuildingPermits!$AU:$AU,BuildingPermits!$F:$F,1,BuildingPermits!$N:$N,L$2)</f>
        <v>0</v>
      </c>
      <c r="M152" s="39">
        <f>SUMIFS(BuildingPermits!$AU:$AU,BuildingPermits!$F:$F,1,BuildingPermits!$N:$N,M$2)</f>
        <v>0</v>
      </c>
      <c r="N152" s="39">
        <f>SUMIFS(BuildingPermits!$AU:$AU,BuildingPermits!$F:$F,1,BuildingPermits!$N:$N,N$2)</f>
        <v>0</v>
      </c>
      <c r="O152" s="39">
        <f>SUMIFS(BuildingPermits!$AU:$AU,BuildingPermits!$F:$F,1,BuildingPermits!$N:$N,O$2)</f>
        <v>1</v>
      </c>
      <c r="P152" s="39">
        <f>SUMIFS(BuildingPermits!$AU:$AU,BuildingPermits!$F:$F,1,BuildingPermits!$N:$N,P$2)</f>
        <v>0</v>
      </c>
      <c r="Q152" s="39">
        <f>SUMIFS(BuildingPermits!$AU:$AU,BuildingPermits!$F:$F,1,BuildingPermits!$N:$N,Q$2)</f>
        <v>0</v>
      </c>
      <c r="R152" s="39">
        <f>SUMIFS(BuildingPermits!$AU:$AU,BuildingPermits!$F:$F,1,BuildingPermits!$N:$N,R$2)</f>
        <v>0</v>
      </c>
      <c r="S152" s="39">
        <f>SUMIFS(BuildingPermits!$AU:$AU,BuildingPermits!$F:$F,1,BuildingPermits!$N:$N,S$2)</f>
        <v>0</v>
      </c>
      <c r="T152" s="39">
        <f>SUMIFS(BuildingPermits!$AU:$AU,BuildingPermits!$F:$F,1,BuildingPermits!$N:$N,T$2)</f>
        <v>0</v>
      </c>
      <c r="U152" s="39">
        <f>SUMIFS(BuildingPermits!$AU:$AU,BuildingPermits!$F:$F,1,BuildingPermits!$N:$N,U$2)</f>
        <v>1</v>
      </c>
      <c r="V152" s="39">
        <f>SUMIFS(BuildingPermits!$AU:$AU,BuildingPermits!$F:$F,1,BuildingPermits!$N:$N,V$2)</f>
        <v>0</v>
      </c>
      <c r="W152" s="39">
        <f>SUMIFS(BuildingPermits!$AU:$AU,BuildingPermits!$F:$F,1,BuildingPermits!$N:$N,W$2)</f>
        <v>0</v>
      </c>
      <c r="X152" s="39">
        <f>SUMIFS(BuildingPermits!$AU:$AU,BuildingPermits!$F:$F,1,BuildingPermits!$N:$N,X$2)</f>
        <v>0</v>
      </c>
      <c r="Y152" s="39">
        <f>SUMIFS(BuildingPermits!$AU:$AU,BuildingPermits!$F:$F,1,BuildingPermits!$N:$N,Y$2)</f>
        <v>0</v>
      </c>
      <c r="Z152" s="39">
        <f>SUMIFS(BuildingPermits!$AU:$AU,BuildingPermits!$F:$F,1,BuildingPermits!$N:$N,Z$2)</f>
        <v>0</v>
      </c>
      <c r="AA152" s="39">
        <f>SUMIFS(BuildingPermits!$AU:$AU,BuildingPermits!$F:$F,1,BuildingPermits!$N:$N,AA$2)</f>
        <v>0</v>
      </c>
      <c r="AB152" s="39">
        <f>SUMIFS(BuildingPermits!$AU:$AU,BuildingPermits!$F:$F,1,BuildingPermits!$N:$N,AB$2)</f>
        <v>0</v>
      </c>
      <c r="AC152" s="39">
        <f>SUMIFS(BuildingPermits!$AU:$AU,BuildingPermits!$F:$F,1,BuildingPermits!$N:$N,AC$2)</f>
        <v>0</v>
      </c>
      <c r="AD152" s="39">
        <f>SUMIFS(BuildingPermits!$AU:$AU,BuildingPermits!$F:$F,1,BuildingPermits!$N:$N,AD$2)</f>
        <v>0</v>
      </c>
      <c r="AE152" s="39">
        <f>SUMIFS(BuildingPermits!$AU:$AU,BuildingPermits!$F:$F,1,BuildingPermits!$N:$N,AE$2)</f>
        <v>0</v>
      </c>
      <c r="AF152" s="39">
        <f>SUMIFS(BuildingPermits!$AU:$AU,BuildingPermits!$F:$F,1,BuildingPermits!$N:$N,AF$2)</f>
        <v>0</v>
      </c>
      <c r="AG152" s="39">
        <f>SUMIFS(BuildingPermits!$AU:$AU,BuildingPermits!$F:$F,1,BuildingPermits!$N:$N,AG$2)</f>
        <v>0</v>
      </c>
      <c r="AH152" s="39">
        <f>SUMIFS(BuildingPermits!$AU:$AU,BuildingPermits!$F:$F,1,BuildingPermits!$N:$N,AH$2)</f>
        <v>0</v>
      </c>
      <c r="AI152" s="39">
        <f>SUMIFS(BuildingPermits!$AU:$AU,BuildingPermits!$F:$F,1,BuildingPermits!$N:$N,AI$2)</f>
        <v>0</v>
      </c>
      <c r="AJ152" s="39">
        <f>SUMIFS(BuildingPermits!$AU:$AU,BuildingPermits!$F:$F,1,BuildingPermits!$N:$N,AJ$2)</f>
        <v>0</v>
      </c>
      <c r="AK152" s="39">
        <f>SUMIFS(BuildingPermits!$AU:$AU,BuildingPermits!$F:$F,1,BuildingPermits!$N:$N,AK$2)</f>
        <v>0</v>
      </c>
    </row>
    <row r="153" spans="2:37" x14ac:dyDescent="0.25">
      <c r="F153" t="s">
        <v>80</v>
      </c>
      <c r="H153" t="s">
        <v>23</v>
      </c>
      <c r="I153" s="39">
        <f>SUMIFS(BuildingPermits!$AU:$AU,BuildingPermits!$F:$F,2,BuildingPermits!$N:$N,I$2)</f>
        <v>9</v>
      </c>
      <c r="J153" s="39">
        <f>SUMIFS(BuildingPermits!$AU:$AU,BuildingPermits!$F:$F,2,BuildingPermits!$N:$N,J$2)</f>
        <v>13</v>
      </c>
      <c r="K153" s="39">
        <f>SUMIFS(BuildingPermits!$AU:$AU,BuildingPermits!$F:$F,2,BuildingPermits!$N:$N,K$2)</f>
        <v>9</v>
      </c>
      <c r="L153" s="39">
        <f>SUMIFS(BuildingPermits!$AU:$AU,BuildingPermits!$F:$F,2,BuildingPermits!$N:$N,L$2)</f>
        <v>1</v>
      </c>
      <c r="M153" s="39">
        <f>SUMIFS(BuildingPermits!$AU:$AU,BuildingPermits!$F:$F,2,BuildingPermits!$N:$N,M$2)</f>
        <v>18</v>
      </c>
      <c r="N153" s="39">
        <f>SUMIFS(BuildingPermits!$AU:$AU,BuildingPermits!$F:$F,2,BuildingPermits!$N:$N,N$2)</f>
        <v>3</v>
      </c>
      <c r="O153" s="39">
        <f>SUMIFS(BuildingPermits!$AU:$AU,BuildingPermits!$F:$F,2,BuildingPermits!$N:$N,O$2)</f>
        <v>18</v>
      </c>
      <c r="P153" s="39">
        <f>SUMIFS(BuildingPermits!$AU:$AU,BuildingPermits!$F:$F,2,BuildingPermits!$N:$N,P$2)</f>
        <v>22</v>
      </c>
      <c r="Q153" s="39">
        <f>SUMIFS(BuildingPermits!$AU:$AU,BuildingPermits!$F:$F,2,BuildingPermits!$N:$N,Q$2)</f>
        <v>0</v>
      </c>
      <c r="R153" s="39">
        <f>SUMIFS(BuildingPermits!$AU:$AU,BuildingPermits!$F:$F,2,BuildingPermits!$N:$N,R$2)</f>
        <v>0</v>
      </c>
      <c r="S153" s="39">
        <f>SUMIFS(BuildingPermits!$AU:$AU,BuildingPermits!$F:$F,2,BuildingPermits!$N:$N,S$2)</f>
        <v>0</v>
      </c>
      <c r="T153" s="39">
        <f>SUMIFS(BuildingPermits!$AU:$AU,BuildingPermits!$F:$F,2,BuildingPermits!$N:$N,T$2)</f>
        <v>1</v>
      </c>
      <c r="U153" s="39">
        <f>SUMIFS(BuildingPermits!$AU:$AU,BuildingPermits!$F:$F,2,BuildingPermits!$N:$N,U$2)</f>
        <v>0</v>
      </c>
      <c r="V153" s="39">
        <f>SUMIFS(BuildingPermits!$AU:$AU,BuildingPermits!$F:$F,2,BuildingPermits!$N:$N,V$2)</f>
        <v>2</v>
      </c>
      <c r="W153" s="39">
        <f>SUMIFS(BuildingPermits!$AU:$AU,BuildingPermits!$F:$F,2,BuildingPermits!$N:$N,W$2)</f>
        <v>5</v>
      </c>
      <c r="X153" s="39">
        <f>SUMIFS(BuildingPermits!$AU:$AU,BuildingPermits!$F:$F,2,BuildingPermits!$N:$N,X$2)</f>
        <v>-27</v>
      </c>
      <c r="Y153" s="39">
        <f>SUMIFS(BuildingPermits!$AU:$AU,BuildingPermits!$F:$F,2,BuildingPermits!$N:$N,Y$2)</f>
        <v>7</v>
      </c>
      <c r="Z153" s="39">
        <f>SUMIFS(BuildingPermits!$AU:$AU,BuildingPermits!$F:$F,2,BuildingPermits!$N:$N,Z$2)</f>
        <v>38</v>
      </c>
      <c r="AA153" s="39">
        <f>SUMIFS(BuildingPermits!$AU:$AU,BuildingPermits!$F:$F,2,BuildingPermits!$N:$N,AA$2)</f>
        <v>31</v>
      </c>
      <c r="AB153" s="39">
        <f>SUMIFS(BuildingPermits!$AU:$AU,BuildingPermits!$F:$F,2,BuildingPermits!$N:$N,AB$2)</f>
        <v>8</v>
      </c>
      <c r="AC153" s="39">
        <f>SUMIFS(BuildingPermits!$AU:$AU,BuildingPermits!$F:$F,2,BuildingPermits!$N:$N,AC$2)</f>
        <v>32</v>
      </c>
      <c r="AD153" s="39">
        <f>SUMIFS(BuildingPermits!$AU:$AU,BuildingPermits!$F:$F,2,BuildingPermits!$N:$N,AD$2)</f>
        <v>0</v>
      </c>
      <c r="AE153" s="39">
        <f>SUMIFS(BuildingPermits!$AU:$AU,BuildingPermits!$F:$F,2,BuildingPermits!$N:$N,AE$2)</f>
        <v>0</v>
      </c>
      <c r="AF153" s="39">
        <f>SUMIFS(BuildingPermits!$AU:$AU,BuildingPermits!$F:$F,2,BuildingPermits!$N:$N,AF$2)</f>
        <v>0</v>
      </c>
      <c r="AG153" s="39">
        <f>SUMIFS(BuildingPermits!$AU:$AU,BuildingPermits!$F:$F,2,BuildingPermits!$N:$N,AG$2)</f>
        <v>0</v>
      </c>
      <c r="AH153" s="39">
        <f>SUMIFS(BuildingPermits!$AU:$AU,BuildingPermits!$F:$F,2,BuildingPermits!$N:$N,AH$2)</f>
        <v>0</v>
      </c>
      <c r="AI153" s="39">
        <f>SUMIFS(BuildingPermits!$AU:$AU,BuildingPermits!$F:$F,2,BuildingPermits!$N:$N,AI$2)</f>
        <v>0</v>
      </c>
      <c r="AJ153" s="39">
        <f>SUMIFS(BuildingPermits!$AU:$AU,BuildingPermits!$F:$F,2,BuildingPermits!$N:$N,AJ$2)</f>
        <v>0</v>
      </c>
      <c r="AK153" s="39">
        <f>SUMIFS(BuildingPermits!$AU:$AU,BuildingPermits!$F:$F,2,BuildingPermits!$N:$N,AK$2)</f>
        <v>0</v>
      </c>
    </row>
    <row r="154" spans="2:37" x14ac:dyDescent="0.25">
      <c r="F154" t="s">
        <v>81</v>
      </c>
      <c r="H154" t="s">
        <v>23</v>
      </c>
      <c r="I154" s="39">
        <f>SUMIFS(BuildingPermits!$AU:$AU,BuildingPermits!$F:$F,3,BuildingPermits!$N:$N,I$2)</f>
        <v>13</v>
      </c>
      <c r="J154" s="39">
        <f>SUMIFS(BuildingPermits!$AU:$AU,BuildingPermits!$F:$F,3,BuildingPermits!$N:$N,J$2)</f>
        <v>8</v>
      </c>
      <c r="K154" s="39">
        <f>SUMIFS(BuildingPermits!$AU:$AU,BuildingPermits!$F:$F,3,BuildingPermits!$N:$N,K$2)</f>
        <v>101</v>
      </c>
      <c r="L154" s="39">
        <f>SUMIFS(BuildingPermits!$AU:$AU,BuildingPermits!$F:$F,3,BuildingPermits!$N:$N,L$2)</f>
        <v>6</v>
      </c>
      <c r="M154" s="39">
        <f>SUMIFS(BuildingPermits!$AU:$AU,BuildingPermits!$F:$F,3,BuildingPermits!$N:$N,M$2)</f>
        <v>23</v>
      </c>
      <c r="N154" s="39">
        <f>SUMIFS(BuildingPermits!$AU:$AU,BuildingPermits!$F:$F,3,BuildingPermits!$N:$N,N$2)</f>
        <v>21</v>
      </c>
      <c r="O154" s="39">
        <f>SUMIFS(BuildingPermits!$AU:$AU,BuildingPermits!$F:$F,3,BuildingPermits!$N:$N,O$2)</f>
        <v>22</v>
      </c>
      <c r="P154" s="39">
        <f>SUMIFS(BuildingPermits!$AU:$AU,BuildingPermits!$F:$F,3,BuildingPermits!$N:$N,P$2)</f>
        <v>2</v>
      </c>
      <c r="Q154" s="39">
        <f>SUMIFS(BuildingPermits!$AU:$AU,BuildingPermits!$F:$F,3,BuildingPermits!$N:$N,Q$2)</f>
        <v>21</v>
      </c>
      <c r="R154" s="39">
        <f>SUMIFS(BuildingPermits!$AU:$AU,BuildingPermits!$F:$F,3,BuildingPermits!$N:$N,R$2)</f>
        <v>17</v>
      </c>
      <c r="S154" s="39">
        <f>SUMIFS(BuildingPermits!$AU:$AU,BuildingPermits!$F:$F,3,BuildingPermits!$N:$N,S$2)</f>
        <v>9</v>
      </c>
      <c r="T154" s="39">
        <f>SUMIFS(BuildingPermits!$AU:$AU,BuildingPermits!$F:$F,3,BuildingPermits!$N:$N,T$2)</f>
        <v>8</v>
      </c>
      <c r="U154" s="39">
        <f>SUMIFS(BuildingPermits!$AU:$AU,BuildingPermits!$F:$F,3,BuildingPermits!$N:$N,U$2)</f>
        <v>6</v>
      </c>
      <c r="V154" s="39">
        <f>SUMIFS(BuildingPermits!$AU:$AU,BuildingPermits!$F:$F,3,BuildingPermits!$N:$N,V$2)</f>
        <v>9</v>
      </c>
      <c r="W154" s="39">
        <f>SUMIFS(BuildingPermits!$AU:$AU,BuildingPermits!$F:$F,3,BuildingPermits!$N:$N,W$2)</f>
        <v>10</v>
      </c>
      <c r="X154" s="39">
        <f>SUMIFS(BuildingPermits!$AU:$AU,BuildingPermits!$F:$F,3,BuildingPermits!$N:$N,X$2)</f>
        <v>12</v>
      </c>
      <c r="Y154" s="39">
        <f>SUMIFS(BuildingPermits!$AU:$AU,BuildingPermits!$F:$F,3,BuildingPermits!$N:$N,Y$2)</f>
        <v>34</v>
      </c>
      <c r="Z154" s="39">
        <f>SUMIFS(BuildingPermits!$AU:$AU,BuildingPermits!$F:$F,3,BuildingPermits!$N:$N,Z$2)</f>
        <v>75</v>
      </c>
      <c r="AA154" s="39">
        <f>SUMIFS(BuildingPermits!$AU:$AU,BuildingPermits!$F:$F,3,BuildingPermits!$N:$N,AA$2)</f>
        <v>115</v>
      </c>
      <c r="AB154" s="39">
        <f>SUMIFS(BuildingPermits!$AU:$AU,BuildingPermits!$F:$F,3,BuildingPermits!$N:$N,AB$2)</f>
        <v>10</v>
      </c>
      <c r="AC154" s="39">
        <f>SUMIFS(BuildingPermits!$AU:$AU,BuildingPermits!$F:$F,3,BuildingPermits!$N:$N,AC$2)</f>
        <v>9</v>
      </c>
      <c r="AD154" s="39">
        <f>SUMIFS(BuildingPermits!$AU:$AU,BuildingPermits!$F:$F,3,BuildingPermits!$N:$N,AD$2)</f>
        <v>0</v>
      </c>
      <c r="AE154" s="39">
        <f>SUMIFS(BuildingPermits!$AU:$AU,BuildingPermits!$F:$F,3,BuildingPermits!$N:$N,AE$2)</f>
        <v>0</v>
      </c>
      <c r="AF154" s="39">
        <f>SUMIFS(BuildingPermits!$AU:$AU,BuildingPermits!$F:$F,3,BuildingPermits!$N:$N,AF$2)</f>
        <v>0</v>
      </c>
      <c r="AG154" s="39">
        <f>SUMIFS(BuildingPermits!$AU:$AU,BuildingPermits!$F:$F,3,BuildingPermits!$N:$N,AG$2)</f>
        <v>0</v>
      </c>
      <c r="AH154" s="39">
        <f>SUMIFS(BuildingPermits!$AU:$AU,BuildingPermits!$F:$F,3,BuildingPermits!$N:$N,AH$2)</f>
        <v>0</v>
      </c>
      <c r="AI154" s="39">
        <f>SUMIFS(BuildingPermits!$AU:$AU,BuildingPermits!$F:$F,3,BuildingPermits!$N:$N,AI$2)</f>
        <v>0</v>
      </c>
      <c r="AJ154" s="39">
        <f>SUMIFS(BuildingPermits!$AU:$AU,BuildingPermits!$F:$F,3,BuildingPermits!$N:$N,AJ$2)</f>
        <v>0</v>
      </c>
      <c r="AK154" s="39">
        <f>SUMIFS(BuildingPermits!$AU:$AU,BuildingPermits!$F:$F,3,BuildingPermits!$N:$N,AK$2)</f>
        <v>0</v>
      </c>
    </row>
    <row r="155" spans="2:37" x14ac:dyDescent="0.25">
      <c r="F155" t="s">
        <v>82</v>
      </c>
      <c r="H155" t="s">
        <v>23</v>
      </c>
      <c r="I155" s="39">
        <f>SUMIFS(BuildingPermits!$AU:$AU,BuildingPermits!$F:$F,4,BuildingPermits!$N:$N,I$2)</f>
        <v>1</v>
      </c>
      <c r="J155" s="39">
        <f>SUMIFS(BuildingPermits!$AU:$AU,BuildingPermits!$F:$F,4,BuildingPermits!$N:$N,J$2)</f>
        <v>0</v>
      </c>
      <c r="K155" s="39">
        <f>SUMIFS(BuildingPermits!$AU:$AU,BuildingPermits!$F:$F,4,BuildingPermits!$N:$N,K$2)</f>
        <v>56</v>
      </c>
      <c r="L155" s="39">
        <f>SUMIFS(BuildingPermits!$AU:$AU,BuildingPermits!$F:$F,4,BuildingPermits!$N:$N,L$2)</f>
        <v>0</v>
      </c>
      <c r="M155" s="39">
        <f>SUMIFS(BuildingPermits!$AU:$AU,BuildingPermits!$F:$F,4,BuildingPermits!$N:$N,M$2)</f>
        <v>0</v>
      </c>
      <c r="N155" s="39">
        <f>SUMIFS(BuildingPermits!$AU:$AU,BuildingPermits!$F:$F,4,BuildingPermits!$N:$N,N$2)</f>
        <v>0</v>
      </c>
      <c r="O155" s="39">
        <f>SUMIFS(BuildingPermits!$AU:$AU,BuildingPermits!$F:$F,4,BuildingPermits!$N:$N,O$2)</f>
        <v>3</v>
      </c>
      <c r="P155" s="39">
        <f>SUMIFS(BuildingPermits!$AU:$AU,BuildingPermits!$F:$F,4,BuildingPermits!$N:$N,P$2)</f>
        <v>5</v>
      </c>
      <c r="Q155" s="39">
        <f>SUMIFS(BuildingPermits!$AU:$AU,BuildingPermits!$F:$F,4,BuildingPermits!$N:$N,Q$2)</f>
        <v>0</v>
      </c>
      <c r="R155" s="39">
        <f>SUMIFS(BuildingPermits!$AU:$AU,BuildingPermits!$F:$F,4,BuildingPermits!$N:$N,R$2)</f>
        <v>0</v>
      </c>
      <c r="S155" s="39">
        <f>SUMIFS(BuildingPermits!$AU:$AU,BuildingPermits!$F:$F,4,BuildingPermits!$N:$N,S$2)</f>
        <v>12</v>
      </c>
      <c r="T155" s="39">
        <f>SUMIFS(BuildingPermits!$AU:$AU,BuildingPermits!$F:$F,4,BuildingPermits!$N:$N,T$2)</f>
        <v>0</v>
      </c>
      <c r="U155" s="39">
        <f>SUMIFS(BuildingPermits!$AU:$AU,BuildingPermits!$F:$F,4,BuildingPermits!$N:$N,U$2)</f>
        <v>19</v>
      </c>
      <c r="V155" s="39">
        <f>SUMIFS(BuildingPermits!$AU:$AU,BuildingPermits!$F:$F,4,BuildingPermits!$N:$N,V$2)</f>
        <v>20</v>
      </c>
      <c r="W155" s="39">
        <f>SUMIFS(BuildingPermits!$AU:$AU,BuildingPermits!$F:$F,4,BuildingPermits!$N:$N,W$2)</f>
        <v>33</v>
      </c>
      <c r="X155" s="39">
        <f>SUMIFS(BuildingPermits!$AU:$AU,BuildingPermits!$F:$F,4,BuildingPermits!$N:$N,X$2)</f>
        <v>1</v>
      </c>
      <c r="Y155" s="39">
        <f>SUMIFS(BuildingPermits!$AU:$AU,BuildingPermits!$F:$F,4,BuildingPermits!$N:$N,Y$2)</f>
        <v>24</v>
      </c>
      <c r="Z155" s="39">
        <f>SUMIFS(BuildingPermits!$AU:$AU,BuildingPermits!$F:$F,4,BuildingPermits!$N:$N,Z$2)</f>
        <v>4</v>
      </c>
      <c r="AA155" s="39">
        <f>SUMIFS(BuildingPermits!$AU:$AU,BuildingPermits!$F:$F,4,BuildingPermits!$N:$N,AA$2)</f>
        <v>8</v>
      </c>
      <c r="AB155" s="39">
        <f>SUMIFS(BuildingPermits!$AU:$AU,BuildingPermits!$F:$F,4,BuildingPermits!$N:$N,AB$2)</f>
        <v>116</v>
      </c>
      <c r="AC155" s="39">
        <f>SUMIFS(BuildingPermits!$AU:$AU,BuildingPermits!$F:$F,4,BuildingPermits!$N:$N,AC$2)</f>
        <v>0</v>
      </c>
      <c r="AD155" s="39">
        <f>SUMIFS(BuildingPermits!$AU:$AU,BuildingPermits!$F:$F,4,BuildingPermits!$N:$N,AD$2)</f>
        <v>0</v>
      </c>
      <c r="AE155" s="39">
        <f>SUMIFS(BuildingPermits!$AU:$AU,BuildingPermits!$F:$F,4,BuildingPermits!$N:$N,AE$2)</f>
        <v>0</v>
      </c>
      <c r="AF155" s="39">
        <f>SUMIFS(BuildingPermits!$AU:$AU,BuildingPermits!$F:$F,4,BuildingPermits!$N:$N,AF$2)</f>
        <v>0</v>
      </c>
      <c r="AG155" s="39">
        <f>SUMIFS(BuildingPermits!$AU:$AU,BuildingPermits!$F:$F,4,BuildingPermits!$N:$N,AG$2)</f>
        <v>0</v>
      </c>
      <c r="AH155" s="39">
        <f>SUMIFS(BuildingPermits!$AU:$AU,BuildingPermits!$F:$F,4,BuildingPermits!$N:$N,AH$2)</f>
        <v>0</v>
      </c>
      <c r="AI155" s="39">
        <f>SUMIFS(BuildingPermits!$AU:$AU,BuildingPermits!$F:$F,4,BuildingPermits!$N:$N,AI$2)</f>
        <v>0</v>
      </c>
      <c r="AJ155" s="39">
        <f>SUMIFS(BuildingPermits!$AU:$AU,BuildingPermits!$F:$F,4,BuildingPermits!$N:$N,AJ$2)</f>
        <v>0</v>
      </c>
      <c r="AK155" s="39">
        <f>SUMIFS(BuildingPermits!$AU:$AU,BuildingPermits!$F:$F,4,BuildingPermits!$N:$N,AK$2)</f>
        <v>0</v>
      </c>
    </row>
    <row r="156" spans="2:37" x14ac:dyDescent="0.25">
      <c r="F156" t="s">
        <v>83</v>
      </c>
      <c r="H156" t="s">
        <v>23</v>
      </c>
      <c r="I156" s="39">
        <f>SUMIFS(BuildingPermits!$AU:$AU,BuildingPermits!$F:$F,5,BuildingPermits!$N:$N,I$2)</f>
        <v>1</v>
      </c>
      <c r="J156" s="39">
        <f>SUMIFS(BuildingPermits!$AU:$AU,BuildingPermits!$F:$F,5,BuildingPermits!$N:$N,J$2)</f>
        <v>57</v>
      </c>
      <c r="K156" s="39">
        <f>SUMIFS(BuildingPermits!$AU:$AU,BuildingPermits!$F:$F,5,BuildingPermits!$N:$N,K$2)</f>
        <v>4</v>
      </c>
      <c r="L156" s="39">
        <f>SUMIFS(BuildingPermits!$AU:$AU,BuildingPermits!$F:$F,5,BuildingPermits!$N:$N,L$2)</f>
        <v>53</v>
      </c>
      <c r="M156" s="39">
        <f>SUMIFS(BuildingPermits!$AU:$AU,BuildingPermits!$F:$F,5,BuildingPermits!$N:$N,M$2)</f>
        <v>87</v>
      </c>
      <c r="N156" s="39">
        <f>SUMIFS(BuildingPermits!$AU:$AU,BuildingPermits!$F:$F,5,BuildingPermits!$N:$N,N$2)</f>
        <v>30</v>
      </c>
      <c r="O156" s="39">
        <f>SUMIFS(BuildingPermits!$AU:$AU,BuildingPermits!$F:$F,5,BuildingPermits!$N:$N,O$2)</f>
        <v>4</v>
      </c>
      <c r="P156" s="39">
        <f>SUMIFS(BuildingPermits!$AU:$AU,BuildingPermits!$F:$F,5,BuildingPermits!$N:$N,P$2)</f>
        <v>31</v>
      </c>
      <c r="Q156" s="39">
        <f>SUMIFS(BuildingPermits!$AU:$AU,BuildingPermits!$F:$F,5,BuildingPermits!$N:$N,Q$2)</f>
        <v>20</v>
      </c>
      <c r="R156" s="39">
        <f>SUMIFS(BuildingPermits!$AU:$AU,BuildingPermits!$F:$F,5,BuildingPermits!$N:$N,R$2)</f>
        <v>0</v>
      </c>
      <c r="S156" s="39">
        <f>SUMIFS(BuildingPermits!$AU:$AU,BuildingPermits!$F:$F,5,BuildingPermits!$N:$N,S$2)</f>
        <v>2</v>
      </c>
      <c r="T156" s="39">
        <f>SUMIFS(BuildingPermits!$AU:$AU,BuildingPermits!$F:$F,5,BuildingPermits!$N:$N,T$2)</f>
        <v>1</v>
      </c>
      <c r="U156" s="39">
        <f>SUMIFS(BuildingPermits!$AU:$AU,BuildingPermits!$F:$F,5,BuildingPermits!$N:$N,U$2)</f>
        <v>21</v>
      </c>
      <c r="V156" s="39">
        <f>SUMIFS(BuildingPermits!$AU:$AU,BuildingPermits!$F:$F,5,BuildingPermits!$N:$N,V$2)</f>
        <v>3</v>
      </c>
      <c r="W156" s="39">
        <f>SUMIFS(BuildingPermits!$AU:$AU,BuildingPermits!$F:$F,5,BuildingPermits!$N:$N,W$2)</f>
        <v>9</v>
      </c>
      <c r="X156" s="39">
        <f>SUMIFS(BuildingPermits!$AU:$AU,BuildingPermits!$F:$F,5,BuildingPermits!$N:$N,X$2)</f>
        <v>2</v>
      </c>
      <c r="Y156" s="39">
        <f>SUMIFS(BuildingPermits!$AU:$AU,BuildingPermits!$F:$F,5,BuildingPermits!$N:$N,Y$2)</f>
        <v>5</v>
      </c>
      <c r="Z156" s="39">
        <f>SUMIFS(BuildingPermits!$AU:$AU,BuildingPermits!$F:$F,5,BuildingPermits!$N:$N,Z$2)</f>
        <v>7</v>
      </c>
      <c r="AA156" s="39">
        <f>SUMIFS(BuildingPermits!$AU:$AU,BuildingPermits!$F:$F,5,BuildingPermits!$N:$N,AA$2)</f>
        <v>8</v>
      </c>
      <c r="AB156" s="39">
        <f>SUMIFS(BuildingPermits!$AU:$AU,BuildingPermits!$F:$F,5,BuildingPermits!$N:$N,AB$2)</f>
        <v>26</v>
      </c>
      <c r="AC156" s="39">
        <f>SUMIFS(BuildingPermits!$AU:$AU,BuildingPermits!$F:$F,5,BuildingPermits!$N:$N,AC$2)</f>
        <v>1</v>
      </c>
      <c r="AD156" s="39">
        <f>SUMIFS(BuildingPermits!$AU:$AU,BuildingPermits!$F:$F,5,BuildingPermits!$N:$N,AD$2)</f>
        <v>0</v>
      </c>
      <c r="AE156" s="39">
        <f>SUMIFS(BuildingPermits!$AU:$AU,BuildingPermits!$F:$F,5,BuildingPermits!$N:$N,AE$2)</f>
        <v>0</v>
      </c>
      <c r="AF156" s="39">
        <f>SUMIFS(BuildingPermits!$AU:$AU,BuildingPermits!$F:$F,5,BuildingPermits!$N:$N,AF$2)</f>
        <v>0</v>
      </c>
      <c r="AG156" s="39">
        <f>SUMIFS(BuildingPermits!$AU:$AU,BuildingPermits!$F:$F,5,BuildingPermits!$N:$N,AG$2)</f>
        <v>0</v>
      </c>
      <c r="AH156" s="39">
        <f>SUMIFS(BuildingPermits!$AU:$AU,BuildingPermits!$F:$F,5,BuildingPermits!$N:$N,AH$2)</f>
        <v>0</v>
      </c>
      <c r="AI156" s="39">
        <f>SUMIFS(BuildingPermits!$AU:$AU,BuildingPermits!$F:$F,5,BuildingPermits!$N:$N,AI$2)</f>
        <v>0</v>
      </c>
      <c r="AJ156" s="39">
        <f>SUMIFS(BuildingPermits!$AU:$AU,BuildingPermits!$F:$F,5,BuildingPermits!$N:$N,AJ$2)</f>
        <v>0</v>
      </c>
      <c r="AK156" s="39">
        <f>SUMIFS(BuildingPermits!$AU:$AU,BuildingPermits!$F:$F,5,BuildingPermits!$N:$N,AK$2)</f>
        <v>0</v>
      </c>
    </row>
    <row r="157" spans="2:37" x14ac:dyDescent="0.25">
      <c r="F157" t="s">
        <v>84</v>
      </c>
      <c r="H157" t="s">
        <v>23</v>
      </c>
      <c r="I157" s="39">
        <f>SUMIFS(BuildingPermits!$AU:$AU,BuildingPermits!$F:$F,6,BuildingPermits!$N:$N,I$2)</f>
        <v>7</v>
      </c>
      <c r="J157" s="39">
        <f>SUMIFS(BuildingPermits!$AU:$AU,BuildingPermits!$F:$F,6,BuildingPermits!$N:$N,J$2)</f>
        <v>13</v>
      </c>
      <c r="K157" s="39">
        <f>SUMIFS(BuildingPermits!$AU:$AU,BuildingPermits!$F:$F,6,BuildingPermits!$N:$N,K$2)</f>
        <v>7</v>
      </c>
      <c r="L157" s="39">
        <f>SUMIFS(BuildingPermits!$AU:$AU,BuildingPermits!$F:$F,6,BuildingPermits!$N:$N,L$2)</f>
        <v>11</v>
      </c>
      <c r="M157" s="39">
        <f>SUMIFS(BuildingPermits!$AU:$AU,BuildingPermits!$F:$F,6,BuildingPermits!$N:$N,M$2)</f>
        <v>7</v>
      </c>
      <c r="N157" s="39">
        <f>SUMIFS(BuildingPermits!$AU:$AU,BuildingPermits!$F:$F,6,BuildingPermits!$N:$N,N$2)</f>
        <v>3</v>
      </c>
      <c r="O157" s="39">
        <f>SUMIFS(BuildingPermits!$AU:$AU,BuildingPermits!$F:$F,6,BuildingPermits!$N:$N,O$2)</f>
        <v>8</v>
      </c>
      <c r="P157" s="39">
        <f>SUMIFS(BuildingPermits!$AU:$AU,BuildingPermits!$F:$F,6,BuildingPermits!$N:$N,P$2)</f>
        <v>5</v>
      </c>
      <c r="Q157" s="39">
        <f>SUMIFS(BuildingPermits!$AU:$AU,BuildingPermits!$F:$F,6,BuildingPermits!$N:$N,Q$2)</f>
        <v>0</v>
      </c>
      <c r="R157" s="39">
        <f>SUMIFS(BuildingPermits!$AU:$AU,BuildingPermits!$F:$F,6,BuildingPermits!$N:$N,R$2)</f>
        <v>0</v>
      </c>
      <c r="S157" s="39">
        <f>SUMIFS(BuildingPermits!$AU:$AU,BuildingPermits!$F:$F,6,BuildingPermits!$N:$N,S$2)</f>
        <v>5</v>
      </c>
      <c r="T157" s="39">
        <f>SUMIFS(BuildingPermits!$AU:$AU,BuildingPermits!$F:$F,6,BuildingPermits!$N:$N,T$2)</f>
        <v>4</v>
      </c>
      <c r="U157" s="39">
        <f>SUMIFS(BuildingPermits!$AU:$AU,BuildingPermits!$F:$F,6,BuildingPermits!$N:$N,U$2)</f>
        <v>9</v>
      </c>
      <c r="V157" s="39">
        <f>SUMIFS(BuildingPermits!$AU:$AU,BuildingPermits!$F:$F,6,BuildingPermits!$N:$N,V$2)</f>
        <v>10</v>
      </c>
      <c r="W157" s="39">
        <f>SUMIFS(BuildingPermits!$AU:$AU,BuildingPermits!$F:$F,6,BuildingPermits!$N:$N,W$2)</f>
        <v>5</v>
      </c>
      <c r="X157" s="39">
        <f>SUMIFS(BuildingPermits!$AU:$AU,BuildingPermits!$F:$F,6,BuildingPermits!$N:$N,X$2)</f>
        <v>6</v>
      </c>
      <c r="Y157" s="39">
        <f>SUMIFS(BuildingPermits!$AU:$AU,BuildingPermits!$F:$F,6,BuildingPermits!$N:$N,Y$2)</f>
        <v>4</v>
      </c>
      <c r="Z157" s="39">
        <f>SUMIFS(BuildingPermits!$AU:$AU,BuildingPermits!$F:$F,6,BuildingPermits!$N:$N,Z$2)</f>
        <v>11</v>
      </c>
      <c r="AA157" s="39">
        <f>SUMIFS(BuildingPermits!$AU:$AU,BuildingPermits!$F:$F,6,BuildingPermits!$N:$N,AA$2)</f>
        <v>5</v>
      </c>
      <c r="AB157" s="39">
        <f>SUMIFS(BuildingPermits!$AU:$AU,BuildingPermits!$F:$F,6,BuildingPermits!$N:$N,AB$2)</f>
        <v>4</v>
      </c>
      <c r="AC157" s="39">
        <f>SUMIFS(BuildingPermits!$AU:$AU,BuildingPermits!$F:$F,6,BuildingPermits!$N:$N,AC$2)</f>
        <v>1</v>
      </c>
      <c r="AD157" s="39">
        <f>SUMIFS(BuildingPermits!$AU:$AU,BuildingPermits!$F:$F,6,BuildingPermits!$N:$N,AD$2)</f>
        <v>0</v>
      </c>
      <c r="AE157" s="39">
        <f>SUMIFS(BuildingPermits!$AU:$AU,BuildingPermits!$F:$F,6,BuildingPermits!$N:$N,AE$2)</f>
        <v>0</v>
      </c>
      <c r="AF157" s="39">
        <f>SUMIFS(BuildingPermits!$AU:$AU,BuildingPermits!$F:$F,6,BuildingPermits!$N:$N,AF$2)</f>
        <v>0</v>
      </c>
      <c r="AG157" s="39">
        <f>SUMIFS(BuildingPermits!$AU:$AU,BuildingPermits!$F:$F,6,BuildingPermits!$N:$N,AG$2)</f>
        <v>0</v>
      </c>
      <c r="AH157" s="39">
        <f>SUMIFS(BuildingPermits!$AU:$AU,BuildingPermits!$F:$F,6,BuildingPermits!$N:$N,AH$2)</f>
        <v>0</v>
      </c>
      <c r="AI157" s="39">
        <f>SUMIFS(BuildingPermits!$AU:$AU,BuildingPermits!$F:$F,6,BuildingPermits!$N:$N,AI$2)</f>
        <v>0</v>
      </c>
      <c r="AJ157" s="39">
        <f>SUMIFS(BuildingPermits!$AU:$AU,BuildingPermits!$F:$F,6,BuildingPermits!$N:$N,AJ$2)</f>
        <v>0</v>
      </c>
      <c r="AK157" s="39">
        <f>SUMIFS(BuildingPermits!$AU:$AU,BuildingPermits!$F:$F,6,BuildingPermits!$N:$N,AK$2)</f>
        <v>0</v>
      </c>
    </row>
    <row r="158" spans="2:37" x14ac:dyDescent="0.25">
      <c r="F158" t="s">
        <v>85</v>
      </c>
      <c r="H158" t="s">
        <v>23</v>
      </c>
      <c r="I158" s="39">
        <f>SUMIFS(BuildingPermits!$AU:$AU,BuildingPermits!$F:$F,7,BuildingPermits!$N:$N,I$2)</f>
        <v>1</v>
      </c>
      <c r="J158" s="39">
        <f>SUMIFS(BuildingPermits!$AU:$AU,BuildingPermits!$F:$F,7,BuildingPermits!$N:$N,J$2)</f>
        <v>0</v>
      </c>
      <c r="K158" s="39">
        <f>SUMIFS(BuildingPermits!$AU:$AU,BuildingPermits!$F:$F,7,BuildingPermits!$N:$N,K$2)</f>
        <v>1</v>
      </c>
      <c r="L158" s="39">
        <f>SUMIFS(BuildingPermits!$AU:$AU,BuildingPermits!$F:$F,7,BuildingPermits!$N:$N,L$2)</f>
        <v>1</v>
      </c>
      <c r="M158" s="39">
        <f>SUMIFS(BuildingPermits!$AU:$AU,BuildingPermits!$F:$F,7,BuildingPermits!$N:$N,M$2)</f>
        <v>1</v>
      </c>
      <c r="N158" s="39">
        <f>SUMIFS(BuildingPermits!$AU:$AU,BuildingPermits!$F:$F,7,BuildingPermits!$N:$N,N$2)</f>
        <v>1</v>
      </c>
      <c r="O158" s="39">
        <f>SUMIFS(BuildingPermits!$AU:$AU,BuildingPermits!$F:$F,7,BuildingPermits!$N:$N,O$2)</f>
        <v>10</v>
      </c>
      <c r="P158" s="39">
        <f>SUMIFS(BuildingPermits!$AU:$AU,BuildingPermits!$F:$F,7,BuildingPermits!$N:$N,P$2)</f>
        <v>10</v>
      </c>
      <c r="Q158" s="39">
        <f>SUMIFS(BuildingPermits!$AU:$AU,BuildingPermits!$F:$F,7,BuildingPermits!$N:$N,Q$2)</f>
        <v>8</v>
      </c>
      <c r="R158" s="39">
        <f>SUMIFS(BuildingPermits!$AU:$AU,BuildingPermits!$F:$F,7,BuildingPermits!$N:$N,R$2)</f>
        <v>0</v>
      </c>
      <c r="S158" s="39">
        <f>SUMIFS(BuildingPermits!$AU:$AU,BuildingPermits!$F:$F,7,BuildingPermits!$N:$N,S$2)</f>
        <v>1</v>
      </c>
      <c r="T158" s="39">
        <f>SUMIFS(BuildingPermits!$AU:$AU,BuildingPermits!$F:$F,7,BuildingPermits!$N:$N,T$2)</f>
        <v>0</v>
      </c>
      <c r="U158" s="39">
        <f>SUMIFS(BuildingPermits!$AU:$AU,BuildingPermits!$F:$F,7,BuildingPermits!$N:$N,U$2)</f>
        <v>0</v>
      </c>
      <c r="V158" s="39">
        <f>SUMIFS(BuildingPermits!$AU:$AU,BuildingPermits!$F:$F,7,BuildingPermits!$N:$N,V$2)</f>
        <v>0</v>
      </c>
      <c r="W158" s="39">
        <f>SUMIFS(BuildingPermits!$AU:$AU,BuildingPermits!$F:$F,7,BuildingPermits!$N:$N,W$2)</f>
        <v>0</v>
      </c>
      <c r="X158" s="39">
        <f>SUMIFS(BuildingPermits!$AU:$AU,BuildingPermits!$F:$F,7,BuildingPermits!$N:$N,X$2)</f>
        <v>3</v>
      </c>
      <c r="Y158" s="39">
        <f>SUMIFS(BuildingPermits!$AU:$AU,BuildingPermits!$F:$F,7,BuildingPermits!$N:$N,Y$2)</f>
        <v>14</v>
      </c>
      <c r="Z158" s="39">
        <f>SUMIFS(BuildingPermits!$AU:$AU,BuildingPermits!$F:$F,7,BuildingPermits!$N:$N,Z$2)</f>
        <v>0</v>
      </c>
      <c r="AA158" s="39">
        <f>SUMIFS(BuildingPermits!$AU:$AU,BuildingPermits!$F:$F,7,BuildingPermits!$N:$N,AA$2)</f>
        <v>0</v>
      </c>
      <c r="AB158" s="39">
        <f>SUMIFS(BuildingPermits!$AU:$AU,BuildingPermits!$F:$F,7,BuildingPermits!$N:$N,AB$2)</f>
        <v>1</v>
      </c>
      <c r="AC158" s="39">
        <f>SUMIFS(BuildingPermits!$AU:$AU,BuildingPermits!$F:$F,7,BuildingPermits!$N:$N,AC$2)</f>
        <v>1</v>
      </c>
      <c r="AD158" s="39">
        <f>SUMIFS(BuildingPermits!$AU:$AU,BuildingPermits!$F:$F,7,BuildingPermits!$N:$N,AD$2)</f>
        <v>0</v>
      </c>
      <c r="AE158" s="39">
        <f>SUMIFS(BuildingPermits!$AU:$AU,BuildingPermits!$F:$F,7,BuildingPermits!$N:$N,AE$2)</f>
        <v>0</v>
      </c>
      <c r="AF158" s="39">
        <f>SUMIFS(BuildingPermits!$AU:$AU,BuildingPermits!$F:$F,7,BuildingPermits!$N:$N,AF$2)</f>
        <v>0</v>
      </c>
      <c r="AG158" s="39">
        <f>SUMIFS(BuildingPermits!$AU:$AU,BuildingPermits!$F:$F,7,BuildingPermits!$N:$N,AG$2)</f>
        <v>0</v>
      </c>
      <c r="AH158" s="39">
        <f>SUMIFS(BuildingPermits!$AU:$AU,BuildingPermits!$F:$F,7,BuildingPermits!$N:$N,AH$2)</f>
        <v>0</v>
      </c>
      <c r="AI158" s="39">
        <f>SUMIFS(BuildingPermits!$AU:$AU,BuildingPermits!$F:$F,7,BuildingPermits!$N:$N,AI$2)</f>
        <v>0</v>
      </c>
      <c r="AJ158" s="39">
        <f>SUMIFS(BuildingPermits!$AU:$AU,BuildingPermits!$F:$F,7,BuildingPermits!$N:$N,AJ$2)</f>
        <v>0</v>
      </c>
      <c r="AK158" s="39">
        <f>SUMIFS(BuildingPermits!$AU:$AU,BuildingPermits!$F:$F,7,BuildingPermits!$N:$N,AK$2)</f>
        <v>0</v>
      </c>
    </row>
    <row r="159" spans="2:37" x14ac:dyDescent="0.25">
      <c r="F159" t="s">
        <v>86</v>
      </c>
      <c r="H159" t="s">
        <v>23</v>
      </c>
      <c r="I159" s="39">
        <f>SUMIFS(BuildingPermits!$AU:$AU,BuildingPermits!$G:$G,8.4,BuildingPermits!$N:$N,I$2)</f>
        <v>0</v>
      </c>
      <c r="J159" s="39">
        <f>SUMIFS(BuildingPermits!$AU:$AU,BuildingPermits!$G:$G,8.4,BuildingPermits!$N:$N,J$2)</f>
        <v>2</v>
      </c>
      <c r="K159" s="39">
        <f>SUMIFS(BuildingPermits!$AU:$AU,BuildingPermits!$G:$G,8.4,BuildingPermits!$N:$N,K$2)</f>
        <v>0</v>
      </c>
      <c r="L159" s="39">
        <f>SUMIFS(BuildingPermits!$AU:$AU,BuildingPermits!$G:$G,8.4,BuildingPermits!$N:$N,L$2)</f>
        <v>0</v>
      </c>
      <c r="M159" s="39">
        <f>SUMIFS(BuildingPermits!$AU:$AU,BuildingPermits!$G:$G,8.4,BuildingPermits!$N:$N,M$2)</f>
        <v>1</v>
      </c>
      <c r="N159" s="39">
        <f>SUMIFS(BuildingPermits!$AU:$AU,BuildingPermits!$G:$G,8.4,BuildingPermits!$N:$N,N$2)</f>
        <v>1</v>
      </c>
      <c r="O159" s="39">
        <f>SUMIFS(BuildingPermits!$AU:$AU,BuildingPermits!$G:$G,8.4,BuildingPermits!$N:$N,O$2)</f>
        <v>1</v>
      </c>
      <c r="P159" s="39">
        <f>SUMIFS(BuildingPermits!$AU:$AU,BuildingPermits!$G:$G,8.4,BuildingPermits!$N:$N,P$2)</f>
        <v>0</v>
      </c>
      <c r="Q159" s="39">
        <f>SUMIFS(BuildingPermits!$AU:$AU,BuildingPermits!$G:$G,8.4,BuildingPermits!$N:$N,Q$2)</f>
        <v>0</v>
      </c>
      <c r="R159" s="39">
        <f>SUMIFS(BuildingPermits!$AU:$AU,BuildingPermits!$G:$G,8.4,BuildingPermits!$N:$N,R$2)</f>
        <v>0</v>
      </c>
      <c r="S159" s="39">
        <f>SUMIFS(BuildingPermits!$AU:$AU,BuildingPermits!$G:$G,8.4,BuildingPermits!$N:$N,S$2)</f>
        <v>0</v>
      </c>
      <c r="T159" s="39">
        <f>SUMIFS(BuildingPermits!$AU:$AU,BuildingPermits!$G:$G,8.4,BuildingPermits!$N:$N,T$2)</f>
        <v>0</v>
      </c>
      <c r="U159" s="39">
        <f>SUMIFS(BuildingPermits!$AU:$AU,BuildingPermits!$G:$G,8.4,BuildingPermits!$N:$N,U$2)</f>
        <v>0</v>
      </c>
      <c r="V159" s="39">
        <f>SUMIFS(BuildingPermits!$AU:$AU,BuildingPermits!$G:$G,8.4,BuildingPermits!$N:$N,V$2)</f>
        <v>0</v>
      </c>
      <c r="W159" s="39">
        <f>SUMIFS(BuildingPermits!$AU:$AU,BuildingPermits!$G:$G,8.4,BuildingPermits!$N:$N,W$2)</f>
        <v>0</v>
      </c>
      <c r="X159" s="39">
        <f>SUMIFS(BuildingPermits!$AU:$AU,BuildingPermits!$G:$G,8.4,BuildingPermits!$N:$N,X$2)</f>
        <v>0</v>
      </c>
      <c r="Y159" s="39">
        <f>SUMIFS(BuildingPermits!$AU:$AU,BuildingPermits!$G:$G,8.4,BuildingPermits!$N:$N,Y$2)</f>
        <v>0</v>
      </c>
      <c r="Z159" s="39">
        <f>SUMIFS(BuildingPermits!$AU:$AU,BuildingPermits!$G:$G,8.4,BuildingPermits!$N:$N,Z$2)</f>
        <v>1</v>
      </c>
      <c r="AA159" s="39">
        <f>SUMIFS(BuildingPermits!$AU:$AU,BuildingPermits!$G:$G,8.4,BuildingPermits!$N:$N,AA$2)</f>
        <v>0</v>
      </c>
      <c r="AB159" s="39">
        <f>SUMIFS(BuildingPermits!$AU:$AU,BuildingPermits!$G:$G,8.4,BuildingPermits!$N:$N,AB$2)</f>
        <v>0</v>
      </c>
      <c r="AC159" s="39">
        <f>SUMIFS(BuildingPermits!$AU:$AU,BuildingPermits!$G:$G,8.4,BuildingPermits!$N:$N,AC$2)</f>
        <v>0</v>
      </c>
      <c r="AD159" s="39">
        <f>SUMIFS(BuildingPermits!$AU:$AU,BuildingPermits!$G:$G,8.4,BuildingPermits!$N:$N,AD$2)</f>
        <v>0</v>
      </c>
      <c r="AE159" s="39">
        <f>SUMIFS(BuildingPermits!$AU:$AU,BuildingPermits!$G:$G,8.4,BuildingPermits!$N:$N,AE$2)</f>
        <v>0</v>
      </c>
      <c r="AF159" s="39">
        <f>SUMIFS(BuildingPermits!$AU:$AU,BuildingPermits!$G:$G,8.4,BuildingPermits!$N:$N,AF$2)</f>
        <v>0</v>
      </c>
      <c r="AG159" s="39">
        <f>SUMIFS(BuildingPermits!$AU:$AU,BuildingPermits!$G:$G,8.4,BuildingPermits!$N:$N,AG$2)</f>
        <v>0</v>
      </c>
      <c r="AH159" s="39">
        <f>SUMIFS(BuildingPermits!$AU:$AU,BuildingPermits!$G:$G,8.4,BuildingPermits!$N:$N,AH$2)</f>
        <v>0</v>
      </c>
      <c r="AI159" s="39">
        <f>SUMIFS(BuildingPermits!$AU:$AU,BuildingPermits!$G:$G,8.4,BuildingPermits!$N:$N,AI$2)</f>
        <v>0</v>
      </c>
      <c r="AJ159" s="39">
        <f>SUMIFS(BuildingPermits!$AU:$AU,BuildingPermits!$G:$G,8.4,BuildingPermits!$N:$N,AJ$2)</f>
        <v>0</v>
      </c>
      <c r="AK159" s="39">
        <f>SUMIFS(BuildingPermits!$AU:$AU,BuildingPermits!$G:$G,8.4,BuildingPermits!$N:$N,AK$2)</f>
        <v>0</v>
      </c>
    </row>
    <row r="160" spans="2:37" x14ac:dyDescent="0.25">
      <c r="F160" t="s">
        <v>87</v>
      </c>
      <c r="H160" t="s">
        <v>23</v>
      </c>
      <c r="I160" s="39">
        <f>SUMIFS(BuildingPermits!$AU:$AU,BuildingPermits!$F:$F,11,BuildingPermits!$N:$N,I$2)</f>
        <v>2</v>
      </c>
      <c r="J160" s="39">
        <f>SUMIFS(BuildingPermits!$AU:$AU,BuildingPermits!$F:$F,11,BuildingPermits!$N:$N,J$2)</f>
        <v>2</v>
      </c>
      <c r="K160" s="39">
        <f>SUMIFS(BuildingPermits!$AU:$AU,BuildingPermits!$F:$F,11,BuildingPermits!$N:$N,K$2)</f>
        <v>3</v>
      </c>
      <c r="L160" s="39">
        <f>SUMIFS(BuildingPermits!$AU:$AU,BuildingPermits!$F:$F,11,BuildingPermits!$N:$N,L$2)</f>
        <v>3</v>
      </c>
      <c r="M160" s="39">
        <f>SUMIFS(BuildingPermits!$AU:$AU,BuildingPermits!$F:$F,11,BuildingPermits!$N:$N,M$2)</f>
        <v>6</v>
      </c>
      <c r="N160" s="39">
        <f>SUMIFS(BuildingPermits!$AU:$AU,BuildingPermits!$F:$F,11,BuildingPermits!$N:$N,N$2)</f>
        <v>6</v>
      </c>
      <c r="O160" s="39">
        <f>SUMIFS(BuildingPermits!$AU:$AU,BuildingPermits!$F:$F,11,BuildingPermits!$N:$N,O$2)</f>
        <v>3</v>
      </c>
      <c r="P160" s="39">
        <f>SUMIFS(BuildingPermits!$AU:$AU,BuildingPermits!$F:$F,11,BuildingPermits!$N:$N,P$2)</f>
        <v>10</v>
      </c>
      <c r="Q160" s="39">
        <f>SUMIFS(BuildingPermits!$AU:$AU,BuildingPermits!$F:$F,11,BuildingPermits!$N:$N,Q$2)</f>
        <v>0</v>
      </c>
      <c r="R160" s="39">
        <f>SUMIFS(BuildingPermits!$AU:$AU,BuildingPermits!$F:$F,11,BuildingPermits!$N:$N,R$2)</f>
        <v>2</v>
      </c>
      <c r="S160" s="39">
        <f>SUMIFS(BuildingPermits!$AU:$AU,BuildingPermits!$F:$F,11,BuildingPermits!$N:$N,S$2)</f>
        <v>3</v>
      </c>
      <c r="T160" s="39">
        <f>SUMIFS(BuildingPermits!$AU:$AU,BuildingPermits!$F:$F,11,BuildingPermits!$N:$N,T$2)</f>
        <v>1</v>
      </c>
      <c r="U160" s="39">
        <f>SUMIFS(BuildingPermits!$AU:$AU,BuildingPermits!$F:$F,11,BuildingPermits!$N:$N,U$2)</f>
        <v>3</v>
      </c>
      <c r="V160" s="39">
        <f>SUMIFS(BuildingPermits!$AU:$AU,BuildingPermits!$F:$F,11,BuildingPermits!$N:$N,V$2)</f>
        <v>12</v>
      </c>
      <c r="W160" s="39">
        <f>SUMIFS(BuildingPermits!$AU:$AU,BuildingPermits!$F:$F,11,BuildingPermits!$N:$N,W$2)</f>
        <v>1</v>
      </c>
      <c r="X160" s="39">
        <f>SUMIFS(BuildingPermits!$AU:$AU,BuildingPermits!$F:$F,11,BuildingPermits!$N:$N,X$2)</f>
        <v>2</v>
      </c>
      <c r="Y160" s="39">
        <f>SUMIFS(BuildingPermits!$AU:$AU,BuildingPermits!$F:$F,11,BuildingPermits!$N:$N,Y$2)</f>
        <v>0</v>
      </c>
      <c r="Z160" s="39">
        <f>SUMIFS(BuildingPermits!$AU:$AU,BuildingPermits!$F:$F,11,BuildingPermits!$N:$N,Z$2)</f>
        <v>2</v>
      </c>
      <c r="AA160" s="39">
        <f>SUMIFS(BuildingPermits!$AU:$AU,BuildingPermits!$F:$F,11,BuildingPermits!$N:$N,AA$2)</f>
        <v>0</v>
      </c>
      <c r="AB160" s="39">
        <f>SUMIFS(BuildingPermits!$AU:$AU,BuildingPermits!$F:$F,11,BuildingPermits!$N:$N,AB$2)</f>
        <v>0</v>
      </c>
      <c r="AC160" s="39">
        <f>SUMIFS(BuildingPermits!$AU:$AU,BuildingPermits!$F:$F,11,BuildingPermits!$N:$N,AC$2)</f>
        <v>4</v>
      </c>
      <c r="AD160" s="39">
        <f>SUMIFS(BuildingPermits!$AU:$AU,BuildingPermits!$F:$F,11,BuildingPermits!$N:$N,AD$2)</f>
        <v>0</v>
      </c>
      <c r="AE160" s="39">
        <f>SUMIFS(BuildingPermits!$AU:$AU,BuildingPermits!$F:$F,11,BuildingPermits!$N:$N,AE$2)</f>
        <v>0</v>
      </c>
      <c r="AF160" s="39">
        <f>SUMIFS(BuildingPermits!$AU:$AU,BuildingPermits!$F:$F,11,BuildingPermits!$N:$N,AF$2)</f>
        <v>0</v>
      </c>
      <c r="AG160" s="39">
        <f>SUMIFS(BuildingPermits!$AU:$AU,BuildingPermits!$F:$F,11,BuildingPermits!$N:$N,AG$2)</f>
        <v>0</v>
      </c>
      <c r="AH160" s="39">
        <f>SUMIFS(BuildingPermits!$AU:$AU,BuildingPermits!$F:$F,11,BuildingPermits!$N:$N,AH$2)</f>
        <v>0</v>
      </c>
      <c r="AI160" s="39">
        <f>SUMIFS(BuildingPermits!$AU:$AU,BuildingPermits!$F:$F,11,BuildingPermits!$N:$N,AI$2)</f>
        <v>0</v>
      </c>
      <c r="AJ160" s="39">
        <f>SUMIFS(BuildingPermits!$AU:$AU,BuildingPermits!$F:$F,11,BuildingPermits!$N:$N,AJ$2)</f>
        <v>0</v>
      </c>
      <c r="AK160" s="39">
        <f>SUMIFS(BuildingPermits!$AU:$AU,BuildingPermits!$F:$F,11,BuildingPermits!$N:$N,AK$2)</f>
        <v>0</v>
      </c>
    </row>
    <row r="161" spans="2:37" x14ac:dyDescent="0.25">
      <c r="F161" t="s">
        <v>88</v>
      </c>
      <c r="H161" t="s">
        <v>23</v>
      </c>
      <c r="I161" s="39">
        <f>SUMIFS(BuildingPermits!$AU:$AU,BuildingPermits!$F:$F,12,BuildingPermits!$N:$N,I$2)</f>
        <v>0</v>
      </c>
      <c r="J161" s="39">
        <f>SUMIFS(BuildingPermits!$AU:$AU,BuildingPermits!$F:$F,12,BuildingPermits!$N:$N,J$2)</f>
        <v>40</v>
      </c>
      <c r="K161" s="39">
        <f>SUMIFS(BuildingPermits!$AU:$AU,BuildingPermits!$F:$F,12,BuildingPermits!$N:$N,K$2)</f>
        <v>10</v>
      </c>
      <c r="L161" s="39">
        <f>SUMIFS(BuildingPermits!$AU:$AU,BuildingPermits!$F:$F,12,BuildingPermits!$N:$N,L$2)</f>
        <v>1</v>
      </c>
      <c r="M161" s="39">
        <f>SUMIFS(BuildingPermits!$AU:$AU,BuildingPermits!$F:$F,12,BuildingPermits!$N:$N,M$2)</f>
        <v>2</v>
      </c>
      <c r="N161" s="39">
        <f>SUMIFS(BuildingPermits!$AU:$AU,BuildingPermits!$F:$F,12,BuildingPermits!$N:$N,N$2)</f>
        <v>1</v>
      </c>
      <c r="O161" s="39">
        <f>SUMIFS(BuildingPermits!$AU:$AU,BuildingPermits!$F:$F,12,BuildingPermits!$N:$N,O$2)</f>
        <v>5</v>
      </c>
      <c r="P161" s="39">
        <f>SUMIFS(BuildingPermits!$AU:$AU,BuildingPermits!$F:$F,12,BuildingPermits!$N:$N,P$2)</f>
        <v>2</v>
      </c>
      <c r="Q161" s="39">
        <f>SUMIFS(BuildingPermits!$AU:$AU,BuildingPermits!$F:$F,12,BuildingPermits!$N:$N,Q$2)</f>
        <v>2</v>
      </c>
      <c r="R161" s="39">
        <f>SUMIFS(BuildingPermits!$AU:$AU,BuildingPermits!$F:$F,12,BuildingPermits!$N:$N,R$2)</f>
        <v>2</v>
      </c>
      <c r="S161" s="39">
        <f>SUMIFS(BuildingPermits!$AU:$AU,BuildingPermits!$F:$F,12,BuildingPermits!$N:$N,S$2)</f>
        <v>0</v>
      </c>
      <c r="T161" s="39">
        <f>SUMIFS(BuildingPermits!$AU:$AU,BuildingPermits!$F:$F,12,BuildingPermits!$N:$N,T$2)</f>
        <v>2</v>
      </c>
      <c r="U161" s="39">
        <f>SUMIFS(BuildingPermits!$AU:$AU,BuildingPermits!$F:$F,12,BuildingPermits!$N:$N,U$2)</f>
        <v>1</v>
      </c>
      <c r="V161" s="39">
        <f>SUMIFS(BuildingPermits!$AU:$AU,BuildingPermits!$F:$F,12,BuildingPermits!$N:$N,V$2)</f>
        <v>1</v>
      </c>
      <c r="W161" s="39">
        <f>SUMIFS(BuildingPermits!$AU:$AU,BuildingPermits!$F:$F,12,BuildingPermits!$N:$N,W$2)</f>
        <v>1</v>
      </c>
      <c r="X161" s="39">
        <f>SUMIFS(BuildingPermits!$AU:$AU,BuildingPermits!$F:$F,12,BuildingPermits!$N:$N,X$2)</f>
        <v>4</v>
      </c>
      <c r="Y161" s="39">
        <f>SUMIFS(BuildingPermits!$AU:$AU,BuildingPermits!$F:$F,12,BuildingPermits!$N:$N,Y$2)</f>
        <v>3</v>
      </c>
      <c r="Z161" s="39">
        <f>SUMIFS(BuildingPermits!$AU:$AU,BuildingPermits!$F:$F,12,BuildingPermits!$N:$N,Z$2)</f>
        <v>1</v>
      </c>
      <c r="AA161" s="39">
        <f>SUMIFS(BuildingPermits!$AU:$AU,BuildingPermits!$F:$F,12,BuildingPermits!$N:$N,AA$2)</f>
        <v>0</v>
      </c>
      <c r="AB161" s="39">
        <f>SUMIFS(BuildingPermits!$AU:$AU,BuildingPermits!$F:$F,12,BuildingPermits!$N:$N,AB$2)</f>
        <v>0</v>
      </c>
      <c r="AC161" s="39">
        <f>SUMIFS(BuildingPermits!$AU:$AU,BuildingPermits!$F:$F,12,BuildingPermits!$N:$N,AC$2)</f>
        <v>1</v>
      </c>
      <c r="AD161" s="39">
        <f>SUMIFS(BuildingPermits!$AU:$AU,BuildingPermits!$F:$F,12,BuildingPermits!$N:$N,AD$2)</f>
        <v>0</v>
      </c>
      <c r="AE161" s="39">
        <f>SUMIFS(BuildingPermits!$AU:$AU,BuildingPermits!$F:$F,12,BuildingPermits!$N:$N,AE$2)</f>
        <v>0</v>
      </c>
      <c r="AF161" s="39">
        <f>SUMIFS(BuildingPermits!$AU:$AU,BuildingPermits!$F:$F,12,BuildingPermits!$N:$N,AF$2)</f>
        <v>0</v>
      </c>
      <c r="AG161" s="39">
        <f>SUMIFS(BuildingPermits!$AU:$AU,BuildingPermits!$F:$F,12,BuildingPermits!$N:$N,AG$2)</f>
        <v>0</v>
      </c>
      <c r="AH161" s="39">
        <f>SUMIFS(BuildingPermits!$AU:$AU,BuildingPermits!$F:$F,12,BuildingPermits!$N:$N,AH$2)</f>
        <v>0</v>
      </c>
      <c r="AI161" s="39">
        <f>SUMIFS(BuildingPermits!$AU:$AU,BuildingPermits!$F:$F,12,BuildingPermits!$N:$N,AI$2)</f>
        <v>0</v>
      </c>
      <c r="AJ161" s="39">
        <f>SUMIFS(BuildingPermits!$AU:$AU,BuildingPermits!$F:$F,12,BuildingPermits!$N:$N,AJ$2)</f>
        <v>0</v>
      </c>
      <c r="AK161" s="39">
        <f>SUMIFS(BuildingPermits!$AU:$AU,BuildingPermits!$F:$F,12,BuildingPermits!$N:$N,AK$2)</f>
        <v>0</v>
      </c>
    </row>
    <row r="162" spans="2:37" x14ac:dyDescent="0.25">
      <c r="F162" t="s">
        <v>89</v>
      </c>
      <c r="H162" t="s">
        <v>23</v>
      </c>
      <c r="I162" s="39">
        <f>SUMIFS(BuildingPermits!$AU:$AU,BuildingPermits!$F:$F,13,BuildingPermits!$N:$N,I$2)</f>
        <v>0</v>
      </c>
      <c r="J162" s="39">
        <f>SUMIFS(BuildingPermits!$AU:$AU,BuildingPermits!$F:$F,13,BuildingPermits!$N:$N,J$2)</f>
        <v>2</v>
      </c>
      <c r="K162" s="39">
        <f>SUMIFS(BuildingPermits!$AU:$AU,BuildingPermits!$F:$F,13,BuildingPermits!$N:$N,K$2)</f>
        <v>2</v>
      </c>
      <c r="L162" s="39">
        <f>SUMIFS(BuildingPermits!$AU:$AU,BuildingPermits!$F:$F,13,BuildingPermits!$N:$N,L$2)</f>
        <v>2</v>
      </c>
      <c r="M162" s="39">
        <f>SUMIFS(BuildingPermits!$AU:$AU,BuildingPermits!$F:$F,13,BuildingPermits!$N:$N,M$2)</f>
        <v>1</v>
      </c>
      <c r="N162" s="39">
        <f>SUMIFS(BuildingPermits!$AU:$AU,BuildingPermits!$F:$F,13,BuildingPermits!$N:$N,N$2)</f>
        <v>7</v>
      </c>
      <c r="O162" s="39">
        <f>SUMIFS(BuildingPermits!$AU:$AU,BuildingPermits!$F:$F,13,BuildingPermits!$N:$N,O$2)</f>
        <v>8</v>
      </c>
      <c r="P162" s="39">
        <f>SUMIFS(BuildingPermits!$AU:$AU,BuildingPermits!$F:$F,13,BuildingPermits!$N:$N,P$2)</f>
        <v>12</v>
      </c>
      <c r="Q162" s="39">
        <f>SUMIFS(BuildingPermits!$AU:$AU,BuildingPermits!$F:$F,13,BuildingPermits!$N:$N,Q$2)</f>
        <v>31</v>
      </c>
      <c r="R162" s="39">
        <f>SUMIFS(BuildingPermits!$AU:$AU,BuildingPermits!$F:$F,13,BuildingPermits!$N:$N,R$2)</f>
        <v>6</v>
      </c>
      <c r="S162" s="39">
        <f>SUMIFS(BuildingPermits!$AU:$AU,BuildingPermits!$F:$F,13,BuildingPermits!$N:$N,S$2)</f>
        <v>3</v>
      </c>
      <c r="T162" s="39">
        <f>SUMIFS(BuildingPermits!$AU:$AU,BuildingPermits!$F:$F,13,BuildingPermits!$N:$N,T$2)</f>
        <v>17</v>
      </c>
      <c r="U162" s="39">
        <f>SUMIFS(BuildingPermits!$AU:$AU,BuildingPermits!$F:$F,13,BuildingPermits!$N:$N,U$2)</f>
        <v>0</v>
      </c>
      <c r="V162" s="39">
        <f>SUMIFS(BuildingPermits!$AU:$AU,BuildingPermits!$F:$F,13,BuildingPermits!$N:$N,V$2)</f>
        <v>20</v>
      </c>
      <c r="W162" s="39">
        <f>SUMIFS(BuildingPermits!$AU:$AU,BuildingPermits!$F:$F,13,BuildingPermits!$N:$N,W$2)</f>
        <v>14</v>
      </c>
      <c r="X162" s="39">
        <f>SUMIFS(BuildingPermits!$AU:$AU,BuildingPermits!$F:$F,13,BuildingPermits!$N:$N,X$2)</f>
        <v>26</v>
      </c>
      <c r="Y162" s="39">
        <f>SUMIFS(BuildingPermits!$AU:$AU,BuildingPermits!$F:$F,13,BuildingPermits!$N:$N,Y$2)</f>
        <v>28</v>
      </c>
      <c r="Z162" s="39">
        <f>SUMIFS(BuildingPermits!$AU:$AU,BuildingPermits!$F:$F,13,BuildingPermits!$N:$N,Z$2)</f>
        <v>11</v>
      </c>
      <c r="AA162" s="39">
        <f>SUMIFS(BuildingPermits!$AU:$AU,BuildingPermits!$F:$F,13,BuildingPermits!$N:$N,AA$2)</f>
        <v>12</v>
      </c>
      <c r="AB162" s="39">
        <f>SUMIFS(BuildingPermits!$AU:$AU,BuildingPermits!$F:$F,13,BuildingPermits!$N:$N,AB$2)</f>
        <v>5</v>
      </c>
      <c r="AC162" s="39">
        <f>SUMIFS(BuildingPermits!$AU:$AU,BuildingPermits!$F:$F,13,BuildingPermits!$N:$N,AC$2)</f>
        <v>3</v>
      </c>
      <c r="AD162" s="39">
        <f>SUMIFS(BuildingPermits!$AU:$AU,BuildingPermits!$F:$F,13,BuildingPermits!$N:$N,AD$2)</f>
        <v>0</v>
      </c>
      <c r="AE162" s="39">
        <f>SUMIFS(BuildingPermits!$AU:$AU,BuildingPermits!$F:$F,13,BuildingPermits!$N:$N,AE$2)</f>
        <v>0</v>
      </c>
      <c r="AF162" s="39">
        <f>SUMIFS(BuildingPermits!$AU:$AU,BuildingPermits!$F:$F,13,BuildingPermits!$N:$N,AF$2)</f>
        <v>0</v>
      </c>
      <c r="AG162" s="39">
        <f>SUMIFS(BuildingPermits!$AU:$AU,BuildingPermits!$F:$F,13,BuildingPermits!$N:$N,AG$2)</f>
        <v>0</v>
      </c>
      <c r="AH162" s="39">
        <f>SUMIFS(BuildingPermits!$AU:$AU,BuildingPermits!$F:$F,13,BuildingPermits!$N:$N,AH$2)</f>
        <v>0</v>
      </c>
      <c r="AI162" s="39">
        <f>SUMIFS(BuildingPermits!$AU:$AU,BuildingPermits!$F:$F,13,BuildingPermits!$N:$N,AI$2)</f>
        <v>0</v>
      </c>
      <c r="AJ162" s="39">
        <f>SUMIFS(BuildingPermits!$AU:$AU,BuildingPermits!$F:$F,13,BuildingPermits!$N:$N,AJ$2)</f>
        <v>0</v>
      </c>
      <c r="AK162" s="39">
        <f>SUMIFS(BuildingPermits!$AU:$AU,BuildingPermits!$F:$F,13,BuildingPermits!$N:$N,AK$2)</f>
        <v>0</v>
      </c>
    </row>
    <row r="163" spans="2:37" x14ac:dyDescent="0.25">
      <c r="F163" t="s">
        <v>90</v>
      </c>
      <c r="H163" t="s">
        <v>23</v>
      </c>
      <c r="I163" s="39">
        <f>SUMIFS(BuildingPermits!$AU:$AU,BuildingPermits!$G:$G,14.2,BuildingPermits!$N:$N,I$2)+SUMIFS(BuildingPermits!$AU:$AU,BuildingPermits!$G:$G,14.3,BuildingPermits!$N:$N,I$2)</f>
        <v>0</v>
      </c>
      <c r="J163" s="39">
        <f>SUMIFS(BuildingPermits!$AU:$AU,BuildingPermits!$G:$G,14.2,BuildingPermits!$N:$N,J$2)+SUMIFS(BuildingPermits!$AU:$AU,BuildingPermits!$G:$G,14.3,BuildingPermits!$N:$N,J$2)</f>
        <v>1</v>
      </c>
      <c r="K163" s="39">
        <f>SUMIFS(BuildingPermits!$AU:$AU,BuildingPermits!$G:$G,14.2,BuildingPermits!$N:$N,K$2)+SUMIFS(BuildingPermits!$AU:$AU,BuildingPermits!$G:$G,14.3,BuildingPermits!$N:$N,K$2)</f>
        <v>0</v>
      </c>
      <c r="L163" s="39">
        <f>SUMIFS(BuildingPermits!$AU:$AU,BuildingPermits!$G:$G,14.2,BuildingPermits!$N:$N,L$2)+SUMIFS(BuildingPermits!$AU:$AU,BuildingPermits!$G:$G,14.3,BuildingPermits!$N:$N,L$2)</f>
        <v>2</v>
      </c>
      <c r="M163" s="39">
        <f>SUMIFS(BuildingPermits!$AU:$AU,BuildingPermits!$G:$G,14.2,BuildingPermits!$N:$N,M$2)+SUMIFS(BuildingPermits!$AU:$AU,BuildingPermits!$G:$G,14.3,BuildingPermits!$N:$N,M$2)</f>
        <v>2</v>
      </c>
      <c r="N163" s="39">
        <f>SUMIFS(BuildingPermits!$AU:$AU,BuildingPermits!$G:$G,14.2,BuildingPermits!$N:$N,N$2)+SUMIFS(BuildingPermits!$AU:$AU,BuildingPermits!$G:$G,14.3,BuildingPermits!$N:$N,N$2)</f>
        <v>6</v>
      </c>
      <c r="O163" s="39">
        <f>SUMIFS(BuildingPermits!$AU:$AU,BuildingPermits!$G:$G,14.2,BuildingPermits!$N:$N,O$2)+SUMIFS(BuildingPermits!$AU:$AU,BuildingPermits!$G:$G,14.3,BuildingPermits!$N:$N,O$2)</f>
        <v>2</v>
      </c>
      <c r="P163" s="39">
        <f>SUMIFS(BuildingPermits!$AU:$AU,BuildingPermits!$G:$G,14.2,BuildingPermits!$N:$N,P$2)+SUMIFS(BuildingPermits!$AU:$AU,BuildingPermits!$G:$G,14.3,BuildingPermits!$N:$N,P$2)</f>
        <v>1</v>
      </c>
      <c r="Q163" s="39">
        <f>SUMIFS(BuildingPermits!$AU:$AU,BuildingPermits!$G:$G,14.2,BuildingPermits!$N:$N,Q$2)+SUMIFS(BuildingPermits!$AU:$AU,BuildingPermits!$G:$G,14.3,BuildingPermits!$N:$N,Q$2)</f>
        <v>1</v>
      </c>
      <c r="R163" s="39">
        <f>SUMIFS(BuildingPermits!$AU:$AU,BuildingPermits!$G:$G,14.2,BuildingPermits!$N:$N,R$2)+SUMIFS(BuildingPermits!$AU:$AU,BuildingPermits!$G:$G,14.3,BuildingPermits!$N:$N,R$2)</f>
        <v>0</v>
      </c>
      <c r="S163" s="39">
        <f>SUMIFS(BuildingPermits!$AU:$AU,BuildingPermits!$G:$G,14.2,BuildingPermits!$N:$N,S$2)+SUMIFS(BuildingPermits!$AU:$AU,BuildingPermits!$G:$G,14.3,BuildingPermits!$N:$N,S$2)</f>
        <v>0</v>
      </c>
      <c r="T163" s="39">
        <f>SUMIFS(BuildingPermits!$AU:$AU,BuildingPermits!$G:$G,14.2,BuildingPermits!$N:$N,T$2)+SUMIFS(BuildingPermits!$AU:$AU,BuildingPermits!$G:$G,14.3,BuildingPermits!$N:$N,T$2)</f>
        <v>1</v>
      </c>
      <c r="U163" s="39">
        <f>SUMIFS(BuildingPermits!$AU:$AU,BuildingPermits!$G:$G,14.2,BuildingPermits!$N:$N,U$2)+SUMIFS(BuildingPermits!$AU:$AU,BuildingPermits!$G:$G,14.3,BuildingPermits!$N:$N,U$2)</f>
        <v>0</v>
      </c>
      <c r="V163" s="39">
        <f>SUMIFS(BuildingPermits!$AU:$AU,BuildingPermits!$G:$G,14.2,BuildingPermits!$N:$N,V$2)+SUMIFS(BuildingPermits!$AU:$AU,BuildingPermits!$G:$G,14.3,BuildingPermits!$N:$N,V$2)</f>
        <v>1</v>
      </c>
      <c r="W163" s="39">
        <f>SUMIFS(BuildingPermits!$AU:$AU,BuildingPermits!$G:$G,14.2,BuildingPermits!$N:$N,W$2)+SUMIFS(BuildingPermits!$AU:$AU,BuildingPermits!$G:$G,14.3,BuildingPermits!$N:$N,W$2)</f>
        <v>2</v>
      </c>
      <c r="X163" s="39">
        <f>SUMIFS(BuildingPermits!$AU:$AU,BuildingPermits!$G:$G,14.2,BuildingPermits!$N:$N,X$2)+SUMIFS(BuildingPermits!$AU:$AU,BuildingPermits!$G:$G,14.3,BuildingPermits!$N:$N,X$2)</f>
        <v>3</v>
      </c>
      <c r="Y163" s="39">
        <f>SUMIFS(BuildingPermits!$AU:$AU,BuildingPermits!$G:$G,14.2,BuildingPermits!$N:$N,Y$2)+SUMIFS(BuildingPermits!$AU:$AU,BuildingPermits!$G:$G,14.3,BuildingPermits!$N:$N,Y$2)</f>
        <v>2</v>
      </c>
      <c r="Z163" s="39">
        <f>SUMIFS(BuildingPermits!$AU:$AU,BuildingPermits!$G:$G,14.2,BuildingPermits!$N:$N,Z$2)+SUMIFS(BuildingPermits!$AU:$AU,BuildingPermits!$G:$G,14.3,BuildingPermits!$N:$N,Z$2)</f>
        <v>3</v>
      </c>
      <c r="AA163" s="39">
        <f>SUMIFS(BuildingPermits!$AU:$AU,BuildingPermits!$G:$G,14.2,BuildingPermits!$N:$N,AA$2)+SUMIFS(BuildingPermits!$AU:$AU,BuildingPermits!$G:$G,14.3,BuildingPermits!$N:$N,AA$2)</f>
        <v>1</v>
      </c>
      <c r="AB163" s="39">
        <f>SUMIFS(BuildingPermits!$AU:$AU,BuildingPermits!$G:$G,14.2,BuildingPermits!$N:$N,AB$2)+SUMIFS(BuildingPermits!$AU:$AU,BuildingPermits!$G:$G,14.3,BuildingPermits!$N:$N,AB$2)</f>
        <v>4</v>
      </c>
      <c r="AC163" s="39">
        <f>SUMIFS(BuildingPermits!$AU:$AU,BuildingPermits!$G:$G,14.2,BuildingPermits!$N:$N,AC$2)+SUMIFS(BuildingPermits!$AU:$AU,BuildingPermits!$G:$G,14.3,BuildingPermits!$N:$N,AC$2)</f>
        <v>3</v>
      </c>
      <c r="AD163" s="39">
        <f>SUMIFS(BuildingPermits!$AU:$AU,BuildingPermits!$G:$G,14.2,BuildingPermits!$N:$N,AD$2)+SUMIFS(BuildingPermits!$AU:$AU,BuildingPermits!$G:$G,14.3,BuildingPermits!$N:$N,AD$2)</f>
        <v>0</v>
      </c>
      <c r="AE163" s="39">
        <f>SUMIFS(BuildingPermits!$AU:$AU,BuildingPermits!$G:$G,14.2,BuildingPermits!$N:$N,AE$2)+SUMIFS(BuildingPermits!$AU:$AU,BuildingPermits!$G:$G,14.3,BuildingPermits!$N:$N,AE$2)</f>
        <v>0</v>
      </c>
      <c r="AF163" s="39">
        <f>SUMIFS(BuildingPermits!$AU:$AU,BuildingPermits!$G:$G,14.2,BuildingPermits!$N:$N,AF$2)+SUMIFS(BuildingPermits!$AU:$AU,BuildingPermits!$G:$G,14.3,BuildingPermits!$N:$N,AF$2)</f>
        <v>0</v>
      </c>
      <c r="AG163" s="39">
        <f>SUMIFS(BuildingPermits!$AU:$AU,BuildingPermits!$G:$G,14.2,BuildingPermits!$N:$N,AG$2)+SUMIFS(BuildingPermits!$AU:$AU,BuildingPermits!$G:$G,14.3,BuildingPermits!$N:$N,AG$2)</f>
        <v>0</v>
      </c>
      <c r="AH163" s="39">
        <f>SUMIFS(BuildingPermits!$AU:$AU,BuildingPermits!$G:$G,14.2,BuildingPermits!$N:$N,AH$2)+SUMIFS(BuildingPermits!$AU:$AU,BuildingPermits!$G:$G,14.3,BuildingPermits!$N:$N,AH$2)</f>
        <v>0</v>
      </c>
      <c r="AI163" s="39">
        <f>SUMIFS(BuildingPermits!$AU:$AU,BuildingPermits!$G:$G,14.2,BuildingPermits!$N:$N,AI$2)+SUMIFS(BuildingPermits!$AU:$AU,BuildingPermits!$G:$G,14.3,BuildingPermits!$N:$N,AI$2)</f>
        <v>0</v>
      </c>
      <c r="AJ163" s="39">
        <f>SUMIFS(BuildingPermits!$AU:$AU,BuildingPermits!$G:$G,14.2,BuildingPermits!$N:$N,AJ$2)+SUMIFS(BuildingPermits!$AU:$AU,BuildingPermits!$G:$G,14.3,BuildingPermits!$N:$N,AJ$2)</f>
        <v>0</v>
      </c>
      <c r="AK163" s="39">
        <f>SUMIFS(BuildingPermits!$AU:$AU,BuildingPermits!$G:$G,14.2,BuildingPermits!$N:$N,AK$2)+SUMIFS(BuildingPermits!$AU:$AU,BuildingPermits!$G:$G,14.3,BuildingPermits!$N:$N,AK$2)</f>
        <v>0</v>
      </c>
    </row>
    <row r="164" spans="2:37" s="10" customFormat="1" x14ac:dyDescent="0.25">
      <c r="B164" s="11"/>
      <c r="D164" s="10" t="s">
        <v>91</v>
      </c>
      <c r="H164" s="10" t="s">
        <v>23</v>
      </c>
      <c r="I164" s="41">
        <f t="shared" ref="I164:AK164" si="102">SUM(I165:I169)</f>
        <v>28</v>
      </c>
      <c r="J164" s="41">
        <f t="shared" si="102"/>
        <v>49</v>
      </c>
      <c r="K164" s="41">
        <f t="shared" si="102"/>
        <v>128</v>
      </c>
      <c r="L164" s="41">
        <f t="shared" si="102"/>
        <v>76</v>
      </c>
      <c r="M164" s="41">
        <f t="shared" si="102"/>
        <v>109</v>
      </c>
      <c r="N164" s="41">
        <f t="shared" si="102"/>
        <v>87</v>
      </c>
      <c r="O164" s="41">
        <f t="shared" si="102"/>
        <v>80</v>
      </c>
      <c r="P164" s="41">
        <f t="shared" si="102"/>
        <v>81</v>
      </c>
      <c r="Q164" s="41">
        <f t="shared" si="102"/>
        <v>87</v>
      </c>
      <c r="R164" s="41">
        <f t="shared" si="102"/>
        <v>41</v>
      </c>
      <c r="S164" s="41">
        <f t="shared" si="102"/>
        <v>31</v>
      </c>
      <c r="T164" s="41">
        <f t="shared" si="102"/>
        <v>28</v>
      </c>
      <c r="U164" s="41">
        <f t="shared" si="102"/>
        <v>46</v>
      </c>
      <c r="V164" s="41">
        <f t="shared" si="102"/>
        <v>49</v>
      </c>
      <c r="W164" s="41">
        <f t="shared" si="102"/>
        <v>53</v>
      </c>
      <c r="X164" s="41">
        <f t="shared" si="102"/>
        <v>54</v>
      </c>
      <c r="Y164" s="41">
        <f t="shared" si="102"/>
        <v>53</v>
      </c>
      <c r="Z164" s="41">
        <f t="shared" si="102"/>
        <v>89</v>
      </c>
      <c r="AA164" s="41">
        <f t="shared" si="102"/>
        <v>55</v>
      </c>
      <c r="AB164" s="41">
        <f t="shared" si="102"/>
        <v>59</v>
      </c>
      <c r="AC164" s="41">
        <f t="shared" si="102"/>
        <v>61</v>
      </c>
      <c r="AD164" s="41">
        <f t="shared" si="102"/>
        <v>-1</v>
      </c>
      <c r="AE164" s="41">
        <f t="shared" si="102"/>
        <v>0</v>
      </c>
      <c r="AF164" s="41">
        <f t="shared" si="102"/>
        <v>0</v>
      </c>
      <c r="AG164" s="41">
        <f t="shared" si="102"/>
        <v>0</v>
      </c>
      <c r="AH164" s="41">
        <f t="shared" si="102"/>
        <v>0</v>
      </c>
      <c r="AI164" s="41">
        <f t="shared" si="102"/>
        <v>0</v>
      </c>
      <c r="AJ164" s="41">
        <f t="shared" si="102"/>
        <v>0</v>
      </c>
      <c r="AK164" s="41">
        <f t="shared" si="102"/>
        <v>0</v>
      </c>
    </row>
    <row r="165" spans="2:37" x14ac:dyDescent="0.25">
      <c r="F165" t="s">
        <v>92</v>
      </c>
      <c r="H165" t="s">
        <v>23</v>
      </c>
      <c r="I165" s="39">
        <f>SUMIFS(BuildingPermits!$AU:$AU,BuildingPermits!$F:$F,8,BuildingPermits!$N:$N,I$2)-I159</f>
        <v>2</v>
      </c>
      <c r="J165" s="39">
        <f>SUMIFS(BuildingPermits!$AU:$AU,BuildingPermits!$F:$F,8,BuildingPermits!$N:$N,J$2)-J159</f>
        <v>1</v>
      </c>
      <c r="K165" s="39">
        <f>SUMIFS(BuildingPermits!$AU:$AU,BuildingPermits!$F:$F,8,BuildingPermits!$N:$N,K$2)-K159</f>
        <v>5</v>
      </c>
      <c r="L165" s="39">
        <f>SUMIFS(BuildingPermits!$AU:$AU,BuildingPermits!$F:$F,8,BuildingPermits!$N:$N,L$2)-L159</f>
        <v>9</v>
      </c>
      <c r="M165" s="39">
        <f>SUMIFS(BuildingPermits!$AU:$AU,BuildingPermits!$F:$F,8,BuildingPermits!$N:$N,M$2)-M159</f>
        <v>8</v>
      </c>
      <c r="N165" s="39">
        <f>SUMIFS(BuildingPermits!$AU:$AU,BuildingPermits!$F:$F,8,BuildingPermits!$N:$N,N$2)-N159</f>
        <v>23</v>
      </c>
      <c r="O165" s="39">
        <f>SUMIFS(BuildingPermits!$AU:$AU,BuildingPermits!$F:$F,8,BuildingPermits!$N:$N,O$2)-O159</f>
        <v>8</v>
      </c>
      <c r="P165" s="39">
        <f>SUMIFS(BuildingPermits!$AU:$AU,BuildingPermits!$F:$F,8,BuildingPermits!$N:$N,P$2)-P159</f>
        <v>30</v>
      </c>
      <c r="Q165" s="39">
        <f>SUMIFS(BuildingPermits!$AU:$AU,BuildingPermits!$F:$F,8,BuildingPermits!$N:$N,Q$2)-Q159</f>
        <v>22</v>
      </c>
      <c r="R165" s="39">
        <f>SUMIFS(BuildingPermits!$AU:$AU,BuildingPermits!$F:$F,8,BuildingPermits!$N:$N,R$2)-R159</f>
        <v>10</v>
      </c>
      <c r="S165" s="39">
        <f>SUMIFS(BuildingPermits!$AU:$AU,BuildingPermits!$F:$F,8,BuildingPermits!$N:$N,S$2)-S159</f>
        <v>4</v>
      </c>
      <c r="T165" s="39">
        <f>SUMIFS(BuildingPermits!$AU:$AU,BuildingPermits!$F:$F,8,BuildingPermits!$N:$N,T$2)-T159</f>
        <v>4</v>
      </c>
      <c r="U165" s="39">
        <f>SUMIFS(BuildingPermits!$AU:$AU,BuildingPermits!$F:$F,8,BuildingPermits!$N:$N,U$2)-U159</f>
        <v>10</v>
      </c>
      <c r="V165" s="39">
        <f>SUMIFS(BuildingPermits!$AU:$AU,BuildingPermits!$F:$F,8,BuildingPermits!$N:$N,V$2)-V159</f>
        <v>6</v>
      </c>
      <c r="W165" s="39">
        <f>SUMIFS(BuildingPermits!$AU:$AU,BuildingPermits!$F:$F,8,BuildingPermits!$N:$N,W$2)-W159</f>
        <v>15</v>
      </c>
      <c r="X165" s="39">
        <f>SUMIFS(BuildingPermits!$AU:$AU,BuildingPermits!$F:$F,8,BuildingPermits!$N:$N,X$2)-X159</f>
        <v>8</v>
      </c>
      <c r="Y165" s="39">
        <f>SUMIFS(BuildingPermits!$AU:$AU,BuildingPermits!$F:$F,8,BuildingPermits!$N:$N,Y$2)-Y159</f>
        <v>7</v>
      </c>
      <c r="Z165" s="39">
        <f>SUMIFS(BuildingPermits!$AU:$AU,BuildingPermits!$F:$F,8,BuildingPermits!$N:$N,Z$2)-Z159</f>
        <v>45</v>
      </c>
      <c r="AA165" s="39">
        <f>SUMIFS(BuildingPermits!$AU:$AU,BuildingPermits!$F:$F,8,BuildingPermits!$N:$N,AA$2)-AA159</f>
        <v>17</v>
      </c>
      <c r="AB165" s="39">
        <f>SUMIFS(BuildingPermits!$AU:$AU,BuildingPermits!$F:$F,8,BuildingPermits!$N:$N,AB$2)-AB159</f>
        <v>12</v>
      </c>
      <c r="AC165" s="39">
        <f>SUMIFS(BuildingPermits!$AU:$AU,BuildingPermits!$F:$F,8,BuildingPermits!$N:$N,AC$2)-AC159</f>
        <v>34</v>
      </c>
      <c r="AD165" s="39">
        <f>SUMIFS(BuildingPermits!$AU:$AU,BuildingPermits!$F:$F,8,BuildingPermits!$N:$N,AD$2)-AD159</f>
        <v>0</v>
      </c>
      <c r="AE165" s="39">
        <f>SUMIFS(BuildingPermits!$AU:$AU,BuildingPermits!$F:$F,8,BuildingPermits!$N:$N,AE$2)-AE159</f>
        <v>0</v>
      </c>
      <c r="AF165" s="39">
        <f>SUMIFS(BuildingPermits!$AU:$AU,BuildingPermits!$F:$F,8,BuildingPermits!$N:$N,AF$2)-AF159</f>
        <v>0</v>
      </c>
      <c r="AG165" s="39">
        <f>SUMIFS(BuildingPermits!$AU:$AU,BuildingPermits!$F:$F,8,BuildingPermits!$N:$N,AG$2)-AG159</f>
        <v>0</v>
      </c>
      <c r="AH165" s="39">
        <f>SUMIFS(BuildingPermits!$AU:$AU,BuildingPermits!$F:$F,8,BuildingPermits!$N:$N,AH$2)-AH159</f>
        <v>0</v>
      </c>
      <c r="AI165" s="39">
        <f>SUMIFS(BuildingPermits!$AU:$AU,BuildingPermits!$F:$F,8,BuildingPermits!$N:$N,AI$2)-AI159</f>
        <v>0</v>
      </c>
      <c r="AJ165" s="39">
        <f>SUMIFS(BuildingPermits!$AU:$AU,BuildingPermits!$F:$F,8,BuildingPermits!$N:$N,AJ$2)-AJ159</f>
        <v>0</v>
      </c>
      <c r="AK165" s="39">
        <f>SUMIFS(BuildingPermits!$AU:$AU,BuildingPermits!$F:$F,8,BuildingPermits!$N:$N,AK$2)-AK159</f>
        <v>0</v>
      </c>
    </row>
    <row r="166" spans="2:37" x14ac:dyDescent="0.25">
      <c r="F166" t="s">
        <v>93</v>
      </c>
      <c r="H166" t="s">
        <v>23</v>
      </c>
      <c r="I166" s="39">
        <f>SUMIFS(BuildingPermits!$AU:$AU,BuildingPermits!$F:$F,9,BuildingPermits!$N:$N,I$2)</f>
        <v>7</v>
      </c>
      <c r="J166" s="39">
        <f>SUMIFS(BuildingPermits!$AU:$AU,BuildingPermits!$F:$F,9,BuildingPermits!$N:$N,J$2)</f>
        <v>7</v>
      </c>
      <c r="K166" s="39">
        <f>SUMIFS(BuildingPermits!$AU:$AU,BuildingPermits!$F:$F,9,BuildingPermits!$N:$N,K$2)</f>
        <v>14</v>
      </c>
      <c r="L166" s="39">
        <f>SUMIFS(BuildingPermits!$AU:$AU,BuildingPermits!$F:$F,9,BuildingPermits!$N:$N,L$2)</f>
        <v>32</v>
      </c>
      <c r="M166" s="39">
        <f>SUMIFS(BuildingPermits!$AU:$AU,BuildingPermits!$F:$F,9,BuildingPermits!$N:$N,M$2)</f>
        <v>65</v>
      </c>
      <c r="N166" s="39">
        <f>SUMIFS(BuildingPermits!$AU:$AU,BuildingPermits!$F:$F,9,BuildingPermits!$N:$N,N$2)</f>
        <v>43</v>
      </c>
      <c r="O166" s="39">
        <f>SUMIFS(BuildingPermits!$AU:$AU,BuildingPermits!$F:$F,9,BuildingPermits!$N:$N,O$2)</f>
        <v>35</v>
      </c>
      <c r="P166" s="39">
        <f>SUMIFS(BuildingPermits!$AU:$AU,BuildingPermits!$F:$F,9,BuildingPermits!$N:$N,P$2)</f>
        <v>31</v>
      </c>
      <c r="Q166" s="39">
        <f>SUMIFS(BuildingPermits!$AU:$AU,BuildingPermits!$F:$F,9,BuildingPermits!$N:$N,Q$2)</f>
        <v>52</v>
      </c>
      <c r="R166" s="39">
        <f>SUMIFS(BuildingPermits!$AU:$AU,BuildingPermits!$F:$F,9,BuildingPermits!$N:$N,R$2)</f>
        <v>22</v>
      </c>
      <c r="S166" s="39">
        <f>SUMIFS(BuildingPermits!$AU:$AU,BuildingPermits!$F:$F,9,BuildingPermits!$N:$N,S$2)</f>
        <v>20</v>
      </c>
      <c r="T166" s="39">
        <f>SUMIFS(BuildingPermits!$AU:$AU,BuildingPermits!$F:$F,9,BuildingPermits!$N:$N,T$2)</f>
        <v>15</v>
      </c>
      <c r="U166" s="39">
        <f>SUMIFS(BuildingPermits!$AU:$AU,BuildingPermits!$F:$F,9,BuildingPermits!$N:$N,U$2)</f>
        <v>23</v>
      </c>
      <c r="V166" s="39">
        <f>SUMIFS(BuildingPermits!$AU:$AU,BuildingPermits!$F:$F,9,BuildingPermits!$N:$N,V$2)</f>
        <v>15</v>
      </c>
      <c r="W166" s="39">
        <f>SUMIFS(BuildingPermits!$AU:$AU,BuildingPermits!$F:$F,9,BuildingPermits!$N:$N,W$2)</f>
        <v>22</v>
      </c>
      <c r="X166" s="39">
        <f>SUMIFS(BuildingPermits!$AU:$AU,BuildingPermits!$F:$F,9,BuildingPermits!$N:$N,X$2)</f>
        <v>29</v>
      </c>
      <c r="Y166" s="39">
        <f>SUMIFS(BuildingPermits!$AU:$AU,BuildingPermits!$F:$F,9,BuildingPermits!$N:$N,Y$2)</f>
        <v>27</v>
      </c>
      <c r="Z166" s="39">
        <f>SUMIFS(BuildingPermits!$AU:$AU,BuildingPermits!$F:$F,9,BuildingPermits!$N:$N,Z$2)</f>
        <v>22</v>
      </c>
      <c r="AA166" s="39">
        <f>SUMIFS(BuildingPermits!$AU:$AU,BuildingPermits!$F:$F,9,BuildingPermits!$N:$N,AA$2)</f>
        <v>31</v>
      </c>
      <c r="AB166" s="39">
        <f>SUMIFS(BuildingPermits!$AU:$AU,BuildingPermits!$F:$F,9,BuildingPermits!$N:$N,AB$2)</f>
        <v>29</v>
      </c>
      <c r="AC166" s="39">
        <f>SUMIFS(BuildingPermits!$AU:$AU,BuildingPermits!$F:$F,9,BuildingPermits!$N:$N,AC$2)</f>
        <v>18</v>
      </c>
      <c r="AD166" s="39">
        <f>SUMIFS(BuildingPermits!$AU:$AU,BuildingPermits!$F:$F,9,BuildingPermits!$N:$N,AD$2)</f>
        <v>-1</v>
      </c>
      <c r="AE166" s="39">
        <f>SUMIFS(BuildingPermits!$AU:$AU,BuildingPermits!$F:$F,9,BuildingPermits!$N:$N,AE$2)</f>
        <v>0</v>
      </c>
      <c r="AF166" s="39">
        <f>SUMIFS(BuildingPermits!$AU:$AU,BuildingPermits!$F:$F,9,BuildingPermits!$N:$N,AF$2)</f>
        <v>0</v>
      </c>
      <c r="AG166" s="39">
        <f>SUMIFS(BuildingPermits!$AU:$AU,BuildingPermits!$F:$F,9,BuildingPermits!$N:$N,AG$2)</f>
        <v>0</v>
      </c>
      <c r="AH166" s="39">
        <f>SUMIFS(BuildingPermits!$AU:$AU,BuildingPermits!$F:$F,9,BuildingPermits!$N:$N,AH$2)</f>
        <v>0</v>
      </c>
      <c r="AI166" s="39">
        <f>SUMIFS(BuildingPermits!$AU:$AU,BuildingPermits!$F:$F,9,BuildingPermits!$N:$N,AI$2)</f>
        <v>0</v>
      </c>
      <c r="AJ166" s="39">
        <f>SUMIFS(BuildingPermits!$AU:$AU,BuildingPermits!$F:$F,9,BuildingPermits!$N:$N,AJ$2)</f>
        <v>0</v>
      </c>
      <c r="AK166" s="39">
        <f>SUMIFS(BuildingPermits!$AU:$AU,BuildingPermits!$F:$F,9,BuildingPermits!$N:$N,AK$2)</f>
        <v>0</v>
      </c>
    </row>
    <row r="167" spans="2:37" x14ac:dyDescent="0.25">
      <c r="F167" t="s">
        <v>94</v>
      </c>
      <c r="H167" t="s">
        <v>23</v>
      </c>
      <c r="I167" s="39">
        <f>SUMIFS(BuildingPermits!$AU:$AU,BuildingPermits!$F:$F,10,BuildingPermits!$N:$N,I$2)</f>
        <v>10</v>
      </c>
      <c r="J167" s="39">
        <f>SUMIFS(BuildingPermits!$AU:$AU,BuildingPermits!$F:$F,10,BuildingPermits!$N:$N,J$2)</f>
        <v>32</v>
      </c>
      <c r="K167" s="39">
        <f>SUMIFS(BuildingPermits!$AU:$AU,BuildingPermits!$F:$F,10,BuildingPermits!$N:$N,K$2)</f>
        <v>101</v>
      </c>
      <c r="L167" s="39">
        <f>SUMIFS(BuildingPermits!$AU:$AU,BuildingPermits!$F:$F,10,BuildingPermits!$N:$N,L$2)</f>
        <v>21</v>
      </c>
      <c r="M167" s="39">
        <f>SUMIFS(BuildingPermits!$AU:$AU,BuildingPermits!$F:$F,10,BuildingPermits!$N:$N,M$2)</f>
        <v>21</v>
      </c>
      <c r="N167" s="39">
        <f>SUMIFS(BuildingPermits!$AU:$AU,BuildingPermits!$F:$F,10,BuildingPermits!$N:$N,N$2)</f>
        <v>13</v>
      </c>
      <c r="O167" s="39">
        <f>SUMIFS(BuildingPermits!$AU:$AU,BuildingPermits!$F:$F,10,BuildingPermits!$N:$N,O$2)</f>
        <v>28</v>
      </c>
      <c r="P167" s="39">
        <f>SUMIFS(BuildingPermits!$AU:$AU,BuildingPermits!$F:$F,10,BuildingPermits!$N:$N,P$2)</f>
        <v>10</v>
      </c>
      <c r="Q167" s="39">
        <f>SUMIFS(BuildingPermits!$AU:$AU,BuildingPermits!$F:$F,10,BuildingPermits!$N:$N,Q$2)</f>
        <v>4</v>
      </c>
      <c r="R167" s="39">
        <f>SUMIFS(BuildingPermits!$AU:$AU,BuildingPermits!$F:$F,10,BuildingPermits!$N:$N,R$2)</f>
        <v>0</v>
      </c>
      <c r="S167" s="39">
        <f>SUMIFS(BuildingPermits!$AU:$AU,BuildingPermits!$F:$F,10,BuildingPermits!$N:$N,S$2)</f>
        <v>3</v>
      </c>
      <c r="T167" s="39">
        <f>SUMIFS(BuildingPermits!$AU:$AU,BuildingPermits!$F:$F,10,BuildingPermits!$N:$N,T$2)</f>
        <v>4</v>
      </c>
      <c r="U167" s="39">
        <f>SUMIFS(BuildingPermits!$AU:$AU,BuildingPermits!$F:$F,10,BuildingPermits!$N:$N,U$2)</f>
        <v>4</v>
      </c>
      <c r="V167" s="39">
        <f>SUMIFS(BuildingPermits!$AU:$AU,BuildingPermits!$F:$F,10,BuildingPermits!$N:$N,V$2)</f>
        <v>14</v>
      </c>
      <c r="W167" s="39">
        <f>SUMIFS(BuildingPermits!$AU:$AU,BuildingPermits!$F:$F,10,BuildingPermits!$N:$N,W$2)</f>
        <v>5</v>
      </c>
      <c r="X167" s="39">
        <f>SUMIFS(BuildingPermits!$AU:$AU,BuildingPermits!$F:$F,10,BuildingPermits!$N:$N,X$2)</f>
        <v>1</v>
      </c>
      <c r="Y167" s="39">
        <f>SUMIFS(BuildingPermits!$AU:$AU,BuildingPermits!$F:$F,10,BuildingPermits!$N:$N,Y$2)</f>
        <v>7</v>
      </c>
      <c r="Z167" s="39">
        <f>SUMIFS(BuildingPermits!$AU:$AU,BuildingPermits!$F:$F,10,BuildingPermits!$N:$N,Z$2)</f>
        <v>2</v>
      </c>
      <c r="AA167" s="39">
        <f>SUMIFS(BuildingPermits!$AU:$AU,BuildingPermits!$F:$F,10,BuildingPermits!$N:$N,AA$2)</f>
        <v>2</v>
      </c>
      <c r="AB167" s="39">
        <f>SUMIFS(BuildingPermits!$AU:$AU,BuildingPermits!$F:$F,10,BuildingPermits!$N:$N,AB$2)</f>
        <v>1</v>
      </c>
      <c r="AC167" s="39">
        <f>SUMIFS(BuildingPermits!$AU:$AU,BuildingPermits!$F:$F,10,BuildingPermits!$N:$N,AC$2)</f>
        <v>2</v>
      </c>
      <c r="AD167" s="39">
        <f>SUMIFS(BuildingPermits!$AU:$AU,BuildingPermits!$F:$F,10,BuildingPermits!$N:$N,AD$2)</f>
        <v>0</v>
      </c>
      <c r="AE167" s="39">
        <f>SUMIFS(BuildingPermits!$AU:$AU,BuildingPermits!$F:$F,10,BuildingPermits!$N:$N,AE$2)</f>
        <v>0</v>
      </c>
      <c r="AF167" s="39">
        <f>SUMIFS(BuildingPermits!$AU:$AU,BuildingPermits!$F:$F,10,BuildingPermits!$N:$N,AF$2)</f>
        <v>0</v>
      </c>
      <c r="AG167" s="39">
        <f>SUMIFS(BuildingPermits!$AU:$AU,BuildingPermits!$F:$F,10,BuildingPermits!$N:$N,AG$2)</f>
        <v>0</v>
      </c>
      <c r="AH167" s="39">
        <f>SUMIFS(BuildingPermits!$AU:$AU,BuildingPermits!$F:$F,10,BuildingPermits!$N:$N,AH$2)</f>
        <v>0</v>
      </c>
      <c r="AI167" s="39">
        <f>SUMIFS(BuildingPermits!$AU:$AU,BuildingPermits!$F:$F,10,BuildingPermits!$N:$N,AI$2)</f>
        <v>0</v>
      </c>
      <c r="AJ167" s="39">
        <f>SUMIFS(BuildingPermits!$AU:$AU,BuildingPermits!$F:$F,10,BuildingPermits!$N:$N,AJ$2)</f>
        <v>0</v>
      </c>
      <c r="AK167" s="39">
        <f>SUMIFS(BuildingPermits!$AU:$AU,BuildingPermits!$F:$F,10,BuildingPermits!$N:$N,AK$2)</f>
        <v>0</v>
      </c>
    </row>
    <row r="168" spans="2:37" x14ac:dyDescent="0.25">
      <c r="F168" t="s">
        <v>95</v>
      </c>
      <c r="H168" t="s">
        <v>23</v>
      </c>
      <c r="I168" s="39">
        <f>SUMIFS(BuildingPermits!$AU:$AU,BuildingPermits!$G:$G,14.1,BuildingPermits!$N:$N,I$2)</f>
        <v>2</v>
      </c>
      <c r="J168" s="39">
        <f>SUMIFS(BuildingPermits!$AU:$AU,BuildingPermits!$G:$G,14.1,BuildingPermits!$N:$N,J$2)</f>
        <v>1</v>
      </c>
      <c r="K168" s="39">
        <f>SUMIFS(BuildingPermits!$AU:$AU,BuildingPermits!$G:$G,14.1,BuildingPermits!$N:$N,K$2)</f>
        <v>1</v>
      </c>
      <c r="L168" s="39">
        <f>SUMIFS(BuildingPermits!$AU:$AU,BuildingPermits!$G:$G,14.1,BuildingPermits!$N:$N,L$2)</f>
        <v>3</v>
      </c>
      <c r="M168" s="39">
        <f>SUMIFS(BuildingPermits!$AU:$AU,BuildingPermits!$G:$G,14.1,BuildingPermits!$N:$N,M$2)</f>
        <v>6</v>
      </c>
      <c r="N168" s="39">
        <f>SUMIFS(BuildingPermits!$AU:$AU,BuildingPermits!$G:$G,14.1,BuildingPermits!$N:$N,N$2)</f>
        <v>3</v>
      </c>
      <c r="O168" s="39">
        <f>SUMIFS(BuildingPermits!$AU:$AU,BuildingPermits!$G:$G,14.1,BuildingPermits!$N:$N,O$2)</f>
        <v>3</v>
      </c>
      <c r="P168" s="39">
        <f>SUMIFS(BuildingPermits!$AU:$AU,BuildingPermits!$G:$G,14.1,BuildingPermits!$N:$N,P$2)</f>
        <v>2</v>
      </c>
      <c r="Q168" s="39">
        <f>SUMIFS(BuildingPermits!$AU:$AU,BuildingPermits!$G:$G,14.1,BuildingPermits!$N:$N,Q$2)</f>
        <v>4</v>
      </c>
      <c r="R168" s="39">
        <f>SUMIFS(BuildingPermits!$AU:$AU,BuildingPermits!$G:$G,14.1,BuildingPermits!$N:$N,R$2)</f>
        <v>2</v>
      </c>
      <c r="S168" s="39">
        <f>SUMIFS(BuildingPermits!$AU:$AU,BuildingPermits!$G:$G,14.1,BuildingPermits!$N:$N,S$2)</f>
        <v>1</v>
      </c>
      <c r="T168" s="39">
        <f>SUMIFS(BuildingPermits!$AU:$AU,BuildingPermits!$G:$G,14.1,BuildingPermits!$N:$N,T$2)</f>
        <v>0</v>
      </c>
      <c r="U168" s="39">
        <f>SUMIFS(BuildingPermits!$AU:$AU,BuildingPermits!$G:$G,14.1,BuildingPermits!$N:$N,U$2)</f>
        <v>4</v>
      </c>
      <c r="V168" s="39">
        <f>SUMIFS(BuildingPermits!$AU:$AU,BuildingPermits!$G:$G,14.1,BuildingPermits!$N:$N,V$2)</f>
        <v>4</v>
      </c>
      <c r="W168" s="39">
        <f>SUMIFS(BuildingPermits!$AU:$AU,BuildingPermits!$G:$G,14.1,BuildingPermits!$N:$N,W$2)</f>
        <v>2</v>
      </c>
      <c r="X168" s="39">
        <f>SUMIFS(BuildingPermits!$AU:$AU,BuildingPermits!$G:$G,14.1,BuildingPermits!$N:$N,X$2)</f>
        <v>3</v>
      </c>
      <c r="Y168" s="39">
        <f>SUMIFS(BuildingPermits!$AU:$AU,BuildingPermits!$G:$G,14.1,BuildingPermits!$N:$N,Y$2)</f>
        <v>1</v>
      </c>
      <c r="Z168" s="39">
        <f>SUMIFS(BuildingPermits!$AU:$AU,BuildingPermits!$G:$G,14.1,BuildingPermits!$N:$N,Z$2)</f>
        <v>3</v>
      </c>
      <c r="AA168" s="39">
        <f>SUMIFS(BuildingPermits!$AU:$AU,BuildingPermits!$G:$G,14.1,BuildingPermits!$N:$N,AA$2)</f>
        <v>2</v>
      </c>
      <c r="AB168" s="39">
        <f>SUMIFS(BuildingPermits!$AU:$AU,BuildingPermits!$G:$G,14.1,BuildingPermits!$N:$N,AB$2)</f>
        <v>6</v>
      </c>
      <c r="AC168" s="39">
        <f>SUMIFS(BuildingPermits!$AU:$AU,BuildingPermits!$G:$G,14.1,BuildingPermits!$N:$N,AC$2)</f>
        <v>1</v>
      </c>
      <c r="AD168" s="39">
        <f>SUMIFS(BuildingPermits!$AU:$AU,BuildingPermits!$G:$G,14.1,BuildingPermits!$N:$N,AD$2)</f>
        <v>0</v>
      </c>
      <c r="AE168" s="39">
        <f>SUMIFS(BuildingPermits!$AU:$AU,BuildingPermits!$G:$G,14.1,BuildingPermits!$N:$N,AE$2)</f>
        <v>0</v>
      </c>
      <c r="AF168" s="39">
        <f>SUMIFS(BuildingPermits!$AU:$AU,BuildingPermits!$G:$G,14.1,BuildingPermits!$N:$N,AF$2)</f>
        <v>0</v>
      </c>
      <c r="AG168" s="39">
        <f>SUMIFS(BuildingPermits!$AU:$AU,BuildingPermits!$G:$G,14.1,BuildingPermits!$N:$N,AG$2)</f>
        <v>0</v>
      </c>
      <c r="AH168" s="39">
        <f>SUMIFS(BuildingPermits!$AU:$AU,BuildingPermits!$G:$G,14.1,BuildingPermits!$N:$N,AH$2)</f>
        <v>0</v>
      </c>
      <c r="AI168" s="39">
        <f>SUMIFS(BuildingPermits!$AU:$AU,BuildingPermits!$G:$G,14.1,BuildingPermits!$N:$N,AI$2)</f>
        <v>0</v>
      </c>
      <c r="AJ168" s="39">
        <f>SUMIFS(BuildingPermits!$AU:$AU,BuildingPermits!$G:$G,14.1,BuildingPermits!$N:$N,AJ$2)</f>
        <v>0</v>
      </c>
      <c r="AK168" s="39">
        <f>SUMIFS(BuildingPermits!$AU:$AU,BuildingPermits!$G:$G,14.1,BuildingPermits!$N:$N,AK$2)</f>
        <v>0</v>
      </c>
    </row>
    <row r="169" spans="2:37" x14ac:dyDescent="0.25">
      <c r="F169" t="s">
        <v>96</v>
      </c>
      <c r="H169" t="s">
        <v>23</v>
      </c>
      <c r="I169" s="39">
        <f>SUMIFS(BuildingPermits!$AU:$AU,BuildingPermits!$F:$F,15,BuildingPermits!$N:$N,I$2)</f>
        <v>7</v>
      </c>
      <c r="J169" s="39">
        <f>SUMIFS(BuildingPermits!$AU:$AU,BuildingPermits!$F:$F,15,BuildingPermits!$N:$N,J$2)</f>
        <v>8</v>
      </c>
      <c r="K169" s="39">
        <f>SUMIFS(BuildingPermits!$AU:$AU,BuildingPermits!$F:$F,15,BuildingPermits!$N:$N,K$2)</f>
        <v>7</v>
      </c>
      <c r="L169" s="39">
        <f>SUMIFS(BuildingPermits!$AU:$AU,BuildingPermits!$F:$F,15,BuildingPermits!$N:$N,L$2)</f>
        <v>11</v>
      </c>
      <c r="M169" s="39">
        <f>SUMIFS(BuildingPermits!$AU:$AU,BuildingPermits!$F:$F,15,BuildingPermits!$N:$N,M$2)</f>
        <v>9</v>
      </c>
      <c r="N169" s="39">
        <f>SUMIFS(BuildingPermits!$AU:$AU,BuildingPermits!$F:$F,15,BuildingPermits!$N:$N,N$2)</f>
        <v>5</v>
      </c>
      <c r="O169" s="39">
        <f>SUMIFS(BuildingPermits!$AU:$AU,BuildingPermits!$F:$F,15,BuildingPermits!$N:$N,O$2)</f>
        <v>6</v>
      </c>
      <c r="P169" s="39">
        <f>SUMIFS(BuildingPermits!$AU:$AU,BuildingPermits!$F:$F,15,BuildingPermits!$N:$N,P$2)</f>
        <v>8</v>
      </c>
      <c r="Q169" s="39">
        <f>SUMIFS(BuildingPermits!$AU:$AU,BuildingPermits!$F:$F,15,BuildingPermits!$N:$N,Q$2)</f>
        <v>5</v>
      </c>
      <c r="R169" s="39">
        <f>SUMIFS(BuildingPermits!$AU:$AU,BuildingPermits!$F:$F,15,BuildingPermits!$N:$N,R$2)</f>
        <v>7</v>
      </c>
      <c r="S169" s="39">
        <f>SUMIFS(BuildingPermits!$AU:$AU,BuildingPermits!$F:$F,15,BuildingPermits!$N:$N,S$2)</f>
        <v>3</v>
      </c>
      <c r="T169" s="39">
        <f>SUMIFS(BuildingPermits!$AU:$AU,BuildingPermits!$F:$F,15,BuildingPermits!$N:$N,T$2)</f>
        <v>5</v>
      </c>
      <c r="U169" s="39">
        <f>SUMIFS(BuildingPermits!$AU:$AU,BuildingPermits!$F:$F,15,BuildingPermits!$N:$N,U$2)</f>
        <v>5</v>
      </c>
      <c r="V169" s="39">
        <f>SUMIFS(BuildingPermits!$AU:$AU,BuildingPermits!$F:$F,15,BuildingPermits!$N:$N,V$2)</f>
        <v>10</v>
      </c>
      <c r="W169" s="39">
        <f>SUMIFS(BuildingPermits!$AU:$AU,BuildingPermits!$F:$F,15,BuildingPermits!$N:$N,W$2)</f>
        <v>9</v>
      </c>
      <c r="X169" s="39">
        <f>SUMIFS(BuildingPermits!$AU:$AU,BuildingPermits!$F:$F,15,BuildingPermits!$N:$N,X$2)</f>
        <v>13</v>
      </c>
      <c r="Y169" s="39">
        <f>SUMIFS(BuildingPermits!$AU:$AU,BuildingPermits!$F:$F,15,BuildingPermits!$N:$N,Y$2)</f>
        <v>11</v>
      </c>
      <c r="Z169" s="39">
        <f>SUMIFS(BuildingPermits!$AU:$AU,BuildingPermits!$F:$F,15,BuildingPermits!$N:$N,Z$2)</f>
        <v>17</v>
      </c>
      <c r="AA169" s="39">
        <f>SUMIFS(BuildingPermits!$AU:$AU,BuildingPermits!$F:$F,15,BuildingPermits!$N:$N,AA$2)</f>
        <v>3</v>
      </c>
      <c r="AB169" s="39">
        <f>SUMIFS(BuildingPermits!$AU:$AU,BuildingPermits!$F:$F,15,BuildingPermits!$N:$N,AB$2)</f>
        <v>11</v>
      </c>
      <c r="AC169" s="39">
        <f>SUMIFS(BuildingPermits!$AU:$AU,BuildingPermits!$F:$F,15,BuildingPermits!$N:$N,AC$2)</f>
        <v>6</v>
      </c>
      <c r="AD169" s="39">
        <f>SUMIFS(BuildingPermits!$AU:$AU,BuildingPermits!$F:$F,15,BuildingPermits!$N:$N,AD$2)</f>
        <v>0</v>
      </c>
      <c r="AE169" s="39">
        <f>SUMIFS(BuildingPermits!$AU:$AU,BuildingPermits!$F:$F,15,BuildingPermits!$N:$N,AE$2)</f>
        <v>0</v>
      </c>
      <c r="AF169" s="39">
        <f>SUMIFS(BuildingPermits!$AU:$AU,BuildingPermits!$F:$F,15,BuildingPermits!$N:$N,AF$2)</f>
        <v>0</v>
      </c>
      <c r="AG169" s="39">
        <f>SUMIFS(BuildingPermits!$AU:$AU,BuildingPermits!$F:$F,15,BuildingPermits!$N:$N,AG$2)</f>
        <v>0</v>
      </c>
      <c r="AH169" s="39">
        <f>SUMIFS(BuildingPermits!$AU:$AU,BuildingPermits!$F:$F,15,BuildingPermits!$N:$N,AH$2)</f>
        <v>0</v>
      </c>
      <c r="AI169" s="39">
        <f>SUMIFS(BuildingPermits!$AU:$AU,BuildingPermits!$F:$F,15,BuildingPermits!$N:$N,AI$2)</f>
        <v>0</v>
      </c>
      <c r="AJ169" s="39">
        <f>SUMIFS(BuildingPermits!$AU:$AU,BuildingPermits!$F:$F,15,BuildingPermits!$N:$N,AJ$2)</f>
        <v>0</v>
      </c>
      <c r="AK169" s="39">
        <f>SUMIFS(BuildingPermits!$AU:$AU,BuildingPermits!$F:$F,15,BuildingPermits!$N:$N,AK$2)</f>
        <v>0</v>
      </c>
    </row>
    <row r="170" spans="2:37" s="8" customFormat="1" x14ac:dyDescent="0.25">
      <c r="B170" s="9"/>
      <c r="C170" s="8" t="s">
        <v>97</v>
      </c>
      <c r="H170" s="8" t="s">
        <v>32</v>
      </c>
      <c r="I170" s="42">
        <f t="shared" ref="I170:AK170" si="103">SUM(I172:I183,I185:I189)</f>
        <v>155935</v>
      </c>
      <c r="J170" s="42">
        <f t="shared" si="103"/>
        <v>240551</v>
      </c>
      <c r="K170" s="42">
        <f t="shared" si="103"/>
        <v>232020</v>
      </c>
      <c r="L170" s="42">
        <f t="shared" si="103"/>
        <v>296438</v>
      </c>
      <c r="M170" s="42">
        <f t="shared" si="103"/>
        <v>327421</v>
      </c>
      <c r="N170" s="42">
        <f t="shared" si="103"/>
        <v>435643</v>
      </c>
      <c r="O170" s="42">
        <f t="shared" si="103"/>
        <v>128505</v>
      </c>
      <c r="P170" s="42">
        <f t="shared" si="103"/>
        <v>235431</v>
      </c>
      <c r="Q170" s="42">
        <f t="shared" si="103"/>
        <v>124148</v>
      </c>
      <c r="R170" s="42">
        <f t="shared" si="103"/>
        <v>68484</v>
      </c>
      <c r="S170" s="42">
        <f t="shared" si="103"/>
        <v>74486</v>
      </c>
      <c r="T170" s="42">
        <f t="shared" si="103"/>
        <v>71508</v>
      </c>
      <c r="U170" s="42">
        <f t="shared" si="103"/>
        <v>178740</v>
      </c>
      <c r="V170" s="42">
        <f t="shared" si="103"/>
        <v>52083</v>
      </c>
      <c r="W170" s="42">
        <f t="shared" si="103"/>
        <v>53765</v>
      </c>
      <c r="X170" s="42">
        <f t="shared" si="103"/>
        <v>174865</v>
      </c>
      <c r="Y170" s="42">
        <f t="shared" si="103"/>
        <v>141386</v>
      </c>
      <c r="Z170" s="42">
        <f t="shared" si="103"/>
        <v>112774</v>
      </c>
      <c r="AA170" s="42">
        <f t="shared" si="103"/>
        <v>89624</v>
      </c>
      <c r="AB170" s="42">
        <f t="shared" si="103"/>
        <v>108796</v>
      </c>
      <c r="AC170" s="42">
        <f t="shared" si="103"/>
        <v>50481</v>
      </c>
      <c r="AD170" s="42">
        <f t="shared" si="103"/>
        <v>0</v>
      </c>
      <c r="AE170" s="42">
        <f t="shared" si="103"/>
        <v>0</v>
      </c>
      <c r="AF170" s="42">
        <f t="shared" si="103"/>
        <v>0</v>
      </c>
      <c r="AG170" s="42">
        <f t="shared" si="103"/>
        <v>0</v>
      </c>
      <c r="AH170" s="42">
        <f t="shared" si="103"/>
        <v>0</v>
      </c>
      <c r="AI170" s="42">
        <f t="shared" si="103"/>
        <v>0</v>
      </c>
      <c r="AJ170" s="42">
        <f t="shared" si="103"/>
        <v>0</v>
      </c>
      <c r="AK170" s="42">
        <f t="shared" si="103"/>
        <v>0</v>
      </c>
    </row>
    <row r="171" spans="2:37" s="10" customFormat="1" x14ac:dyDescent="0.25">
      <c r="B171" s="11"/>
      <c r="D171" s="10" t="s">
        <v>76</v>
      </c>
      <c r="H171" s="10" t="s">
        <v>32</v>
      </c>
      <c r="I171" s="41">
        <f t="shared" ref="I171:AK171" si="104">SUM(I172:I183)</f>
        <v>130854</v>
      </c>
      <c r="J171" s="41">
        <f t="shared" si="104"/>
        <v>226565</v>
      </c>
      <c r="K171" s="41">
        <f t="shared" si="104"/>
        <v>199116</v>
      </c>
      <c r="L171" s="41">
        <f t="shared" si="104"/>
        <v>151420</v>
      </c>
      <c r="M171" s="41">
        <f t="shared" si="104"/>
        <v>279788</v>
      </c>
      <c r="N171" s="41">
        <f t="shared" si="104"/>
        <v>299631</v>
      </c>
      <c r="O171" s="41">
        <f t="shared" si="104"/>
        <v>111882</v>
      </c>
      <c r="P171" s="41">
        <f t="shared" si="104"/>
        <v>217783</v>
      </c>
      <c r="Q171" s="41">
        <f t="shared" si="104"/>
        <v>99318</v>
      </c>
      <c r="R171" s="41">
        <f t="shared" si="104"/>
        <v>13072</v>
      </c>
      <c r="S171" s="41">
        <f t="shared" si="104"/>
        <v>69051</v>
      </c>
      <c r="T171" s="41">
        <f t="shared" si="104"/>
        <v>47484</v>
      </c>
      <c r="U171" s="41">
        <f t="shared" si="104"/>
        <v>166940</v>
      </c>
      <c r="V171" s="41">
        <f t="shared" si="104"/>
        <v>29765</v>
      </c>
      <c r="W171" s="41">
        <f t="shared" si="104"/>
        <v>53216</v>
      </c>
      <c r="X171" s="41">
        <f t="shared" si="104"/>
        <v>164390</v>
      </c>
      <c r="Y171" s="41">
        <f t="shared" si="104"/>
        <v>135261</v>
      </c>
      <c r="Z171" s="41">
        <f t="shared" si="104"/>
        <v>30403</v>
      </c>
      <c r="AA171" s="41">
        <f t="shared" si="104"/>
        <v>63924</v>
      </c>
      <c r="AB171" s="41">
        <f t="shared" si="104"/>
        <v>100123</v>
      </c>
      <c r="AC171" s="41">
        <f t="shared" si="104"/>
        <v>44675</v>
      </c>
      <c r="AD171" s="41">
        <f t="shared" si="104"/>
        <v>0</v>
      </c>
      <c r="AE171" s="41">
        <f t="shared" si="104"/>
        <v>0</v>
      </c>
      <c r="AF171" s="41">
        <f t="shared" si="104"/>
        <v>0</v>
      </c>
      <c r="AG171" s="41">
        <f t="shared" si="104"/>
        <v>0</v>
      </c>
      <c r="AH171" s="41">
        <f t="shared" si="104"/>
        <v>0</v>
      </c>
      <c r="AI171" s="41">
        <f t="shared" si="104"/>
        <v>0</v>
      </c>
      <c r="AJ171" s="41">
        <f t="shared" si="104"/>
        <v>0</v>
      </c>
      <c r="AK171" s="41">
        <f t="shared" si="104"/>
        <v>0</v>
      </c>
    </row>
    <row r="172" spans="2:37" x14ac:dyDescent="0.25">
      <c r="E172" t="s">
        <v>79</v>
      </c>
      <c r="H172" t="s">
        <v>32</v>
      </c>
      <c r="I172" s="39">
        <f>SUMIFS(BuildingPermits!$AV:$AV,BuildingPermits!$F:$F,1,BuildingPermits!$N:$N,I$2)</f>
        <v>0</v>
      </c>
      <c r="J172" s="39">
        <f>SUMIFS(BuildingPermits!$AV:$AV,BuildingPermits!$F:$F,1,BuildingPermits!$N:$N,J$2)</f>
        <v>1096</v>
      </c>
      <c r="K172" s="39">
        <f>SUMIFS(BuildingPermits!$AV:$AV,BuildingPermits!$F:$F,1,BuildingPermits!$N:$N,K$2)</f>
        <v>0</v>
      </c>
      <c r="L172" s="39">
        <f>SUMIFS(BuildingPermits!$AV:$AV,BuildingPermits!$F:$F,1,BuildingPermits!$N:$N,L$2)</f>
        <v>0</v>
      </c>
      <c r="M172" s="39">
        <f>SUMIFS(BuildingPermits!$AV:$AV,BuildingPermits!$F:$F,1,BuildingPermits!$N:$N,M$2)</f>
        <v>40</v>
      </c>
      <c r="N172" s="39">
        <f>SUMIFS(BuildingPermits!$AV:$AV,BuildingPermits!$F:$F,1,BuildingPermits!$N:$N,N$2)</f>
        <v>360</v>
      </c>
      <c r="O172" s="39">
        <f>SUMIFS(BuildingPermits!$AV:$AV,BuildingPermits!$F:$F,1,BuildingPermits!$N:$N,O$2)</f>
        <v>5193</v>
      </c>
      <c r="P172" s="39">
        <f>SUMIFS(BuildingPermits!$AV:$AV,BuildingPermits!$F:$F,1,BuildingPermits!$N:$N,P$2)</f>
        <v>41737</v>
      </c>
      <c r="Q172" s="39">
        <f>SUMIFS(BuildingPermits!$AV:$AV,BuildingPermits!$F:$F,1,BuildingPermits!$N:$N,Q$2)</f>
        <v>0</v>
      </c>
      <c r="R172" s="39">
        <f>SUMIFS(BuildingPermits!$AV:$AV,BuildingPermits!$F:$F,1,BuildingPermits!$N:$N,R$2)</f>
        <v>0</v>
      </c>
      <c r="S172" s="39">
        <f>SUMIFS(BuildingPermits!$AV:$AV,BuildingPermits!$F:$F,1,BuildingPermits!$N:$N,S$2)</f>
        <v>0</v>
      </c>
      <c r="T172" s="39">
        <f>SUMIFS(BuildingPermits!$AV:$AV,BuildingPermits!$F:$F,1,BuildingPermits!$N:$N,T$2)</f>
        <v>0</v>
      </c>
      <c r="U172" s="39">
        <f>SUMIFS(BuildingPermits!$AV:$AV,BuildingPermits!$F:$F,1,BuildingPermits!$N:$N,U$2)</f>
        <v>-675</v>
      </c>
      <c r="V172" s="39">
        <f>SUMIFS(BuildingPermits!$AV:$AV,BuildingPermits!$F:$F,1,BuildingPermits!$N:$N,V$2)</f>
        <v>0</v>
      </c>
      <c r="W172" s="39">
        <f>SUMIFS(BuildingPermits!$AV:$AV,BuildingPermits!$F:$F,1,BuildingPermits!$N:$N,W$2)</f>
        <v>961</v>
      </c>
      <c r="X172" s="39">
        <f>SUMIFS(BuildingPermits!$AV:$AV,BuildingPermits!$F:$F,1,BuildingPermits!$N:$N,X$2)</f>
        <v>0</v>
      </c>
      <c r="Y172" s="39">
        <f>SUMIFS(BuildingPermits!$AV:$AV,BuildingPermits!$F:$F,1,BuildingPermits!$N:$N,Y$2)</f>
        <v>0</v>
      </c>
      <c r="Z172" s="39">
        <f>SUMIFS(BuildingPermits!$AV:$AV,BuildingPermits!$F:$F,1,BuildingPermits!$N:$N,Z$2)</f>
        <v>-1198</v>
      </c>
      <c r="AA172" s="39">
        <f>SUMIFS(BuildingPermits!$AV:$AV,BuildingPermits!$F:$F,1,BuildingPermits!$N:$N,AA$2)</f>
        <v>0</v>
      </c>
      <c r="AB172" s="39">
        <f>SUMIFS(BuildingPermits!$AV:$AV,BuildingPermits!$F:$F,1,BuildingPermits!$N:$N,AB$2)</f>
        <v>0</v>
      </c>
      <c r="AC172" s="39">
        <f>SUMIFS(BuildingPermits!$AV:$AV,BuildingPermits!$F:$F,1,BuildingPermits!$N:$N,AC$2)</f>
        <v>0</v>
      </c>
      <c r="AD172" s="39">
        <f>SUMIFS(BuildingPermits!$AV:$AV,BuildingPermits!$F:$F,1,BuildingPermits!$N:$N,AD$2)</f>
        <v>0</v>
      </c>
      <c r="AE172" s="39">
        <f>SUMIFS(BuildingPermits!$AV:$AV,BuildingPermits!$F:$F,1,BuildingPermits!$N:$N,AE$2)</f>
        <v>0</v>
      </c>
      <c r="AF172" s="39">
        <f>SUMIFS(BuildingPermits!$AV:$AV,BuildingPermits!$F:$F,1,BuildingPermits!$N:$N,AF$2)</f>
        <v>0</v>
      </c>
      <c r="AG172" s="39">
        <f>SUMIFS(BuildingPermits!$AV:$AV,BuildingPermits!$F:$F,1,BuildingPermits!$N:$N,AG$2)</f>
        <v>0</v>
      </c>
      <c r="AH172" s="39">
        <f>SUMIFS(BuildingPermits!$AV:$AV,BuildingPermits!$F:$F,1,BuildingPermits!$N:$N,AH$2)</f>
        <v>0</v>
      </c>
      <c r="AI172" s="39">
        <f>SUMIFS(BuildingPermits!$AV:$AV,BuildingPermits!$F:$F,1,BuildingPermits!$N:$N,AI$2)</f>
        <v>0</v>
      </c>
      <c r="AJ172" s="39">
        <f>SUMIFS(BuildingPermits!$AV:$AV,BuildingPermits!$F:$F,1,BuildingPermits!$N:$N,AJ$2)</f>
        <v>0</v>
      </c>
      <c r="AK172" s="39">
        <f>SUMIFS(BuildingPermits!$AV:$AV,BuildingPermits!$F:$F,1,BuildingPermits!$N:$N,AK$2)</f>
        <v>0</v>
      </c>
    </row>
    <row r="173" spans="2:37" x14ac:dyDescent="0.25">
      <c r="E173" t="s">
        <v>80</v>
      </c>
      <c r="H173" t="s">
        <v>32</v>
      </c>
      <c r="I173" s="39">
        <f>SUMIFS(BuildingPermits!$AV:$AV,BuildingPermits!$F:$F,2,BuildingPermits!$N:$N,I$2)</f>
        <v>12431</v>
      </c>
      <c r="J173" s="39">
        <f>SUMIFS(BuildingPermits!$AV:$AV,BuildingPermits!$F:$F,2,BuildingPermits!$N:$N,J$2)</f>
        <v>67210</v>
      </c>
      <c r="K173" s="39">
        <f>SUMIFS(BuildingPermits!$AV:$AV,BuildingPermits!$F:$F,2,BuildingPermits!$N:$N,K$2)</f>
        <v>52420</v>
      </c>
      <c r="L173" s="39">
        <f>SUMIFS(BuildingPermits!$AV:$AV,BuildingPermits!$F:$F,2,BuildingPermits!$N:$N,L$2)</f>
        <v>121443</v>
      </c>
      <c r="M173" s="39">
        <f>SUMIFS(BuildingPermits!$AV:$AV,BuildingPermits!$F:$F,2,BuildingPermits!$N:$N,M$2)</f>
        <v>151461</v>
      </c>
      <c r="N173" s="39">
        <f>SUMIFS(BuildingPermits!$AV:$AV,BuildingPermits!$F:$F,2,BuildingPermits!$N:$N,N$2)</f>
        <v>209268</v>
      </c>
      <c r="O173" s="39">
        <f>SUMIFS(BuildingPermits!$AV:$AV,BuildingPermits!$F:$F,2,BuildingPermits!$N:$N,O$2)</f>
        <v>59160</v>
      </c>
      <c r="P173" s="39">
        <f>SUMIFS(BuildingPermits!$AV:$AV,BuildingPermits!$F:$F,2,BuildingPermits!$N:$N,P$2)</f>
        <v>1400</v>
      </c>
      <c r="Q173" s="39">
        <f>SUMIFS(BuildingPermits!$AV:$AV,BuildingPermits!$F:$F,2,BuildingPermits!$N:$N,Q$2)</f>
        <v>1445</v>
      </c>
      <c r="R173" s="39">
        <f>SUMIFS(BuildingPermits!$AV:$AV,BuildingPermits!$F:$F,2,BuildingPermits!$N:$N,R$2)</f>
        <v>4752</v>
      </c>
      <c r="S173" s="39">
        <f>SUMIFS(BuildingPermits!$AV:$AV,BuildingPermits!$F:$F,2,BuildingPermits!$N:$N,S$2)</f>
        <v>16025</v>
      </c>
      <c r="T173" s="39">
        <f>SUMIFS(BuildingPermits!$AV:$AV,BuildingPermits!$F:$F,2,BuildingPermits!$N:$N,T$2)</f>
        <v>36754</v>
      </c>
      <c r="U173" s="39">
        <f>SUMIFS(BuildingPermits!$AV:$AV,BuildingPermits!$F:$F,2,BuildingPermits!$N:$N,U$2)</f>
        <v>56693</v>
      </c>
      <c r="V173" s="39">
        <f>SUMIFS(BuildingPermits!$AV:$AV,BuildingPermits!$F:$F,2,BuildingPermits!$N:$N,V$2)</f>
        <v>14831</v>
      </c>
      <c r="W173" s="39">
        <f>SUMIFS(BuildingPermits!$AV:$AV,BuildingPermits!$F:$F,2,BuildingPermits!$N:$N,W$2)</f>
        <v>17964</v>
      </c>
      <c r="X173" s="39">
        <f>SUMIFS(BuildingPermits!$AV:$AV,BuildingPermits!$F:$F,2,BuildingPermits!$N:$N,X$2)</f>
        <v>147186</v>
      </c>
      <c r="Y173" s="39">
        <f>SUMIFS(BuildingPermits!$AV:$AV,BuildingPermits!$F:$F,2,BuildingPermits!$N:$N,Y$2)</f>
        <v>7457</v>
      </c>
      <c r="Z173" s="39">
        <f>SUMIFS(BuildingPermits!$AV:$AV,BuildingPermits!$F:$F,2,BuildingPermits!$N:$N,Z$2)</f>
        <v>13726</v>
      </c>
      <c r="AA173" s="39">
        <f>SUMIFS(BuildingPermits!$AV:$AV,BuildingPermits!$F:$F,2,BuildingPermits!$N:$N,AA$2)</f>
        <v>19485</v>
      </c>
      <c r="AB173" s="39">
        <f>SUMIFS(BuildingPermits!$AV:$AV,BuildingPermits!$F:$F,2,BuildingPermits!$N:$N,AB$2)</f>
        <v>94657</v>
      </c>
      <c r="AC173" s="39">
        <f>SUMIFS(BuildingPermits!$AV:$AV,BuildingPermits!$F:$F,2,BuildingPermits!$N:$N,AC$2)</f>
        <v>22398</v>
      </c>
      <c r="AD173" s="39">
        <f>SUMIFS(BuildingPermits!$AV:$AV,BuildingPermits!$F:$F,2,BuildingPermits!$N:$N,AD$2)</f>
        <v>0</v>
      </c>
      <c r="AE173" s="39">
        <f>SUMIFS(BuildingPermits!$AV:$AV,BuildingPermits!$F:$F,2,BuildingPermits!$N:$N,AE$2)</f>
        <v>0</v>
      </c>
      <c r="AF173" s="39">
        <f>SUMIFS(BuildingPermits!$AV:$AV,BuildingPermits!$F:$F,2,BuildingPermits!$N:$N,AF$2)</f>
        <v>0</v>
      </c>
      <c r="AG173" s="39">
        <f>SUMIFS(BuildingPermits!$AV:$AV,BuildingPermits!$F:$F,2,BuildingPermits!$N:$N,AG$2)</f>
        <v>0</v>
      </c>
      <c r="AH173" s="39">
        <f>SUMIFS(BuildingPermits!$AV:$AV,BuildingPermits!$F:$F,2,BuildingPermits!$N:$N,AH$2)</f>
        <v>0</v>
      </c>
      <c r="AI173" s="39">
        <f>SUMIFS(BuildingPermits!$AV:$AV,BuildingPermits!$F:$F,2,BuildingPermits!$N:$N,AI$2)</f>
        <v>0</v>
      </c>
      <c r="AJ173" s="39">
        <f>SUMIFS(BuildingPermits!$AV:$AV,BuildingPermits!$F:$F,2,BuildingPermits!$N:$N,AJ$2)</f>
        <v>0</v>
      </c>
      <c r="AK173" s="39">
        <f>SUMIFS(BuildingPermits!$AV:$AV,BuildingPermits!$F:$F,2,BuildingPermits!$N:$N,AK$2)</f>
        <v>0</v>
      </c>
    </row>
    <row r="174" spans="2:37" x14ac:dyDescent="0.25">
      <c r="E174" t="s">
        <v>81</v>
      </c>
      <c r="H174" t="s">
        <v>32</v>
      </c>
      <c r="I174" s="39">
        <f>SUMIFS(BuildingPermits!$AV:$AV,BuildingPermits!$F:$F,3,BuildingPermits!$N:$N,I$2)</f>
        <v>0</v>
      </c>
      <c r="J174" s="39">
        <f>SUMIFS(BuildingPermits!$AV:$AV,BuildingPermits!$F:$F,3,BuildingPermits!$N:$N,J$2)</f>
        <v>0</v>
      </c>
      <c r="K174" s="39">
        <f>SUMIFS(BuildingPermits!$AV:$AV,BuildingPermits!$F:$F,3,BuildingPermits!$N:$N,K$2)</f>
        <v>4294</v>
      </c>
      <c r="L174" s="39">
        <f>SUMIFS(BuildingPermits!$AV:$AV,BuildingPermits!$F:$F,3,BuildingPermits!$N:$N,L$2)</f>
        <v>0</v>
      </c>
      <c r="M174" s="39">
        <f>SUMIFS(BuildingPermits!$AV:$AV,BuildingPermits!$F:$F,3,BuildingPermits!$N:$N,M$2)</f>
        <v>49145</v>
      </c>
      <c r="N174" s="39">
        <f>SUMIFS(BuildingPermits!$AV:$AV,BuildingPermits!$F:$F,3,BuildingPermits!$N:$N,N$2)</f>
        <v>0</v>
      </c>
      <c r="O174" s="39">
        <f>SUMIFS(BuildingPermits!$AV:$AV,BuildingPermits!$F:$F,3,BuildingPermits!$N:$N,O$2)</f>
        <v>5500</v>
      </c>
      <c r="P174" s="39">
        <f>SUMIFS(BuildingPermits!$AV:$AV,BuildingPermits!$F:$F,3,BuildingPermits!$N:$N,P$2)</f>
        <v>0</v>
      </c>
      <c r="Q174" s="39">
        <f>SUMIFS(BuildingPermits!$AV:$AV,BuildingPermits!$F:$F,3,BuildingPermits!$N:$N,Q$2)</f>
        <v>384</v>
      </c>
      <c r="R174" s="39">
        <f>SUMIFS(BuildingPermits!$AV:$AV,BuildingPermits!$F:$F,3,BuildingPermits!$N:$N,R$2)</f>
        <v>0</v>
      </c>
      <c r="S174" s="39">
        <f>SUMIFS(BuildingPermits!$AV:$AV,BuildingPermits!$F:$F,3,BuildingPermits!$N:$N,S$2)</f>
        <v>0</v>
      </c>
      <c r="T174" s="39">
        <f>SUMIFS(BuildingPermits!$AV:$AV,BuildingPermits!$F:$F,3,BuildingPermits!$N:$N,T$2)</f>
        <v>0</v>
      </c>
      <c r="U174" s="39">
        <f>SUMIFS(BuildingPermits!$AV:$AV,BuildingPermits!$F:$F,3,BuildingPermits!$N:$N,U$2)</f>
        <v>393</v>
      </c>
      <c r="V174" s="39">
        <f>SUMIFS(BuildingPermits!$AV:$AV,BuildingPermits!$F:$F,3,BuildingPermits!$N:$N,V$2)</f>
        <v>0</v>
      </c>
      <c r="W174" s="39">
        <f>SUMIFS(BuildingPermits!$AV:$AV,BuildingPermits!$F:$F,3,BuildingPermits!$N:$N,W$2)</f>
        <v>888</v>
      </c>
      <c r="X174" s="39">
        <f>SUMIFS(BuildingPermits!$AV:$AV,BuildingPermits!$F:$F,3,BuildingPermits!$N:$N,X$2)</f>
        <v>150</v>
      </c>
      <c r="Y174" s="39">
        <f>SUMIFS(BuildingPermits!$AV:$AV,BuildingPermits!$F:$F,3,BuildingPermits!$N:$N,Y$2)</f>
        <v>0</v>
      </c>
      <c r="Z174" s="39">
        <f>SUMIFS(BuildingPermits!$AV:$AV,BuildingPermits!$F:$F,3,BuildingPermits!$N:$N,Z$2)</f>
        <v>616</v>
      </c>
      <c r="AA174" s="39">
        <f>SUMIFS(BuildingPermits!$AV:$AV,BuildingPermits!$F:$F,3,BuildingPermits!$N:$N,AA$2)</f>
        <v>29545</v>
      </c>
      <c r="AB174" s="39">
        <f>SUMIFS(BuildingPermits!$AV:$AV,BuildingPermits!$F:$F,3,BuildingPermits!$N:$N,AB$2)</f>
        <v>0</v>
      </c>
      <c r="AC174" s="39">
        <f>SUMIFS(BuildingPermits!$AV:$AV,BuildingPermits!$F:$F,3,BuildingPermits!$N:$N,AC$2)</f>
        <v>-77</v>
      </c>
      <c r="AD174" s="39">
        <f>SUMIFS(BuildingPermits!$AV:$AV,BuildingPermits!$F:$F,3,BuildingPermits!$N:$N,AD$2)</f>
        <v>0</v>
      </c>
      <c r="AE174" s="39">
        <f>SUMIFS(BuildingPermits!$AV:$AV,BuildingPermits!$F:$F,3,BuildingPermits!$N:$N,AE$2)</f>
        <v>0</v>
      </c>
      <c r="AF174" s="39">
        <f>SUMIFS(BuildingPermits!$AV:$AV,BuildingPermits!$F:$F,3,BuildingPermits!$N:$N,AF$2)</f>
        <v>0</v>
      </c>
      <c r="AG174" s="39">
        <f>SUMIFS(BuildingPermits!$AV:$AV,BuildingPermits!$F:$F,3,BuildingPermits!$N:$N,AG$2)</f>
        <v>0</v>
      </c>
      <c r="AH174" s="39">
        <f>SUMIFS(BuildingPermits!$AV:$AV,BuildingPermits!$F:$F,3,BuildingPermits!$N:$N,AH$2)</f>
        <v>0</v>
      </c>
      <c r="AI174" s="39">
        <f>SUMIFS(BuildingPermits!$AV:$AV,BuildingPermits!$F:$F,3,BuildingPermits!$N:$N,AI$2)</f>
        <v>0</v>
      </c>
      <c r="AJ174" s="39">
        <f>SUMIFS(BuildingPermits!$AV:$AV,BuildingPermits!$F:$F,3,BuildingPermits!$N:$N,AJ$2)</f>
        <v>0</v>
      </c>
      <c r="AK174" s="39">
        <f>SUMIFS(BuildingPermits!$AV:$AV,BuildingPermits!$F:$F,3,BuildingPermits!$N:$N,AK$2)</f>
        <v>0</v>
      </c>
    </row>
    <row r="175" spans="2:37" x14ac:dyDescent="0.25">
      <c r="E175" t="s">
        <v>82</v>
      </c>
      <c r="H175" t="s">
        <v>32</v>
      </c>
      <c r="I175" s="39">
        <f>SUMIFS(BuildingPermits!$AV:$AV,BuildingPermits!$F:$F,4,BuildingPermits!$N:$N,I$2)</f>
        <v>10671</v>
      </c>
      <c r="J175" s="39">
        <f>SUMIFS(BuildingPermits!$AV:$AV,BuildingPermits!$F:$F,4,BuildingPermits!$N:$N,J$2)</f>
        <v>36453</v>
      </c>
      <c r="K175" s="39">
        <f>SUMIFS(BuildingPermits!$AV:$AV,BuildingPermits!$F:$F,4,BuildingPermits!$N:$N,K$2)</f>
        <v>8765</v>
      </c>
      <c r="L175" s="39">
        <f>SUMIFS(BuildingPermits!$AV:$AV,BuildingPermits!$F:$F,4,BuildingPermits!$N:$N,L$2)</f>
        <v>16500</v>
      </c>
      <c r="M175" s="39">
        <f>SUMIFS(BuildingPermits!$AV:$AV,BuildingPermits!$F:$F,4,BuildingPermits!$N:$N,M$2)</f>
        <v>36963</v>
      </c>
      <c r="N175" s="39">
        <f>SUMIFS(BuildingPermits!$AV:$AV,BuildingPermits!$F:$F,4,BuildingPermits!$N:$N,N$2)</f>
        <v>13463</v>
      </c>
      <c r="O175" s="39">
        <f>SUMIFS(BuildingPermits!$AV:$AV,BuildingPermits!$F:$F,4,BuildingPermits!$N:$N,O$2)</f>
        <v>13400</v>
      </c>
      <c r="P175" s="39">
        <f>SUMIFS(BuildingPermits!$AV:$AV,BuildingPermits!$F:$F,4,BuildingPermits!$N:$N,P$2)</f>
        <v>47394</v>
      </c>
      <c r="Q175" s="39">
        <f>SUMIFS(BuildingPermits!$AV:$AV,BuildingPermits!$F:$F,4,BuildingPermits!$N:$N,Q$2)</f>
        <v>0</v>
      </c>
      <c r="R175" s="39">
        <f>SUMIFS(BuildingPermits!$AV:$AV,BuildingPermits!$F:$F,4,BuildingPermits!$N:$N,R$2)</f>
        <v>4086</v>
      </c>
      <c r="S175" s="39">
        <f>SUMIFS(BuildingPermits!$AV:$AV,BuildingPermits!$F:$F,4,BuildingPermits!$N:$N,S$2)</f>
        <v>20606</v>
      </c>
      <c r="T175" s="39">
        <f>SUMIFS(BuildingPermits!$AV:$AV,BuildingPermits!$F:$F,4,BuildingPermits!$N:$N,T$2)</f>
        <v>0</v>
      </c>
      <c r="U175" s="39">
        <f>SUMIFS(BuildingPermits!$AV:$AV,BuildingPermits!$F:$F,4,BuildingPermits!$N:$N,U$2)</f>
        <v>55460</v>
      </c>
      <c r="V175" s="39">
        <f>SUMIFS(BuildingPermits!$AV:$AV,BuildingPermits!$F:$F,4,BuildingPermits!$N:$N,V$2)</f>
        <v>5892</v>
      </c>
      <c r="W175" s="39">
        <f>SUMIFS(BuildingPermits!$AV:$AV,BuildingPermits!$F:$F,4,BuildingPermits!$N:$N,W$2)</f>
        <v>8513</v>
      </c>
      <c r="X175" s="39">
        <f>SUMIFS(BuildingPermits!$AV:$AV,BuildingPermits!$F:$F,4,BuildingPermits!$N:$N,X$2)</f>
        <v>165</v>
      </c>
      <c r="Y175" s="39">
        <f>SUMIFS(BuildingPermits!$AV:$AV,BuildingPermits!$F:$F,4,BuildingPermits!$N:$N,Y$2)</f>
        <v>5</v>
      </c>
      <c r="Z175" s="39">
        <f>SUMIFS(BuildingPermits!$AV:$AV,BuildingPermits!$F:$F,4,BuildingPermits!$N:$N,Z$2)</f>
        <v>9797</v>
      </c>
      <c r="AA175" s="39">
        <f>SUMIFS(BuildingPermits!$AV:$AV,BuildingPermits!$F:$F,4,BuildingPermits!$N:$N,AA$2)</f>
        <v>0</v>
      </c>
      <c r="AB175" s="39">
        <f>SUMIFS(BuildingPermits!$AV:$AV,BuildingPermits!$F:$F,4,BuildingPermits!$N:$N,AB$2)</f>
        <v>924</v>
      </c>
      <c r="AC175" s="39">
        <f>SUMIFS(BuildingPermits!$AV:$AV,BuildingPermits!$F:$F,4,BuildingPermits!$N:$N,AC$2)</f>
        <v>0</v>
      </c>
      <c r="AD175" s="39">
        <f>SUMIFS(BuildingPermits!$AV:$AV,BuildingPermits!$F:$F,4,BuildingPermits!$N:$N,AD$2)</f>
        <v>0</v>
      </c>
      <c r="AE175" s="39">
        <f>SUMIFS(BuildingPermits!$AV:$AV,BuildingPermits!$F:$F,4,BuildingPermits!$N:$N,AE$2)</f>
        <v>0</v>
      </c>
      <c r="AF175" s="39">
        <f>SUMIFS(BuildingPermits!$AV:$AV,BuildingPermits!$F:$F,4,BuildingPermits!$N:$N,AF$2)</f>
        <v>0</v>
      </c>
      <c r="AG175" s="39">
        <f>SUMIFS(BuildingPermits!$AV:$AV,BuildingPermits!$F:$F,4,BuildingPermits!$N:$N,AG$2)</f>
        <v>0</v>
      </c>
      <c r="AH175" s="39">
        <f>SUMIFS(BuildingPermits!$AV:$AV,BuildingPermits!$F:$F,4,BuildingPermits!$N:$N,AH$2)</f>
        <v>0</v>
      </c>
      <c r="AI175" s="39">
        <f>SUMIFS(BuildingPermits!$AV:$AV,BuildingPermits!$F:$F,4,BuildingPermits!$N:$N,AI$2)</f>
        <v>0</v>
      </c>
      <c r="AJ175" s="39">
        <f>SUMIFS(BuildingPermits!$AV:$AV,BuildingPermits!$F:$F,4,BuildingPermits!$N:$N,AJ$2)</f>
        <v>0</v>
      </c>
      <c r="AK175" s="39">
        <f>SUMIFS(BuildingPermits!$AV:$AV,BuildingPermits!$F:$F,4,BuildingPermits!$N:$N,AK$2)</f>
        <v>0</v>
      </c>
    </row>
    <row r="176" spans="2:37" x14ac:dyDescent="0.25">
      <c r="E176" t="s">
        <v>83</v>
      </c>
      <c r="H176" t="s">
        <v>32</v>
      </c>
      <c r="I176" s="39">
        <f>SUMIFS(BuildingPermits!$AV:$AV,BuildingPermits!$F:$F,5,BuildingPermits!$N:$N,I$2)</f>
        <v>100000</v>
      </c>
      <c r="J176" s="39">
        <f>SUMIFS(BuildingPermits!$AV:$AV,BuildingPermits!$F:$F,5,BuildingPermits!$N:$N,J$2)</f>
        <v>84123</v>
      </c>
      <c r="K176" s="39">
        <f>SUMIFS(BuildingPermits!$AV:$AV,BuildingPermits!$F:$F,5,BuildingPermits!$N:$N,K$2)</f>
        <v>21076</v>
      </c>
      <c r="L176" s="39">
        <f>SUMIFS(BuildingPermits!$AV:$AV,BuildingPermits!$F:$F,5,BuildingPermits!$N:$N,L$2)</f>
        <v>10912</v>
      </c>
      <c r="M176" s="39">
        <f>SUMIFS(BuildingPermits!$AV:$AV,BuildingPermits!$F:$F,5,BuildingPermits!$N:$N,M$2)</f>
        <v>41295</v>
      </c>
      <c r="N176" s="39">
        <f>SUMIFS(BuildingPermits!$AV:$AV,BuildingPermits!$F:$F,5,BuildingPermits!$N:$N,N$2)</f>
        <v>5998</v>
      </c>
      <c r="O176" s="39">
        <f>SUMIFS(BuildingPermits!$AV:$AV,BuildingPermits!$F:$F,5,BuildingPermits!$N:$N,O$2)</f>
        <v>0</v>
      </c>
      <c r="P176" s="39">
        <f>SUMIFS(BuildingPermits!$AV:$AV,BuildingPermits!$F:$F,5,BuildingPermits!$N:$N,P$2)</f>
        <v>0</v>
      </c>
      <c r="Q176" s="39">
        <f>SUMIFS(BuildingPermits!$AV:$AV,BuildingPermits!$F:$F,5,BuildingPermits!$N:$N,Q$2)</f>
        <v>8360</v>
      </c>
      <c r="R176" s="39">
        <f>SUMIFS(BuildingPermits!$AV:$AV,BuildingPermits!$F:$F,5,BuildingPermits!$N:$N,R$2)</f>
        <v>0</v>
      </c>
      <c r="S176" s="39">
        <f>SUMIFS(BuildingPermits!$AV:$AV,BuildingPermits!$F:$F,5,BuildingPermits!$N:$N,S$2)</f>
        <v>15476</v>
      </c>
      <c r="T176" s="39">
        <f>SUMIFS(BuildingPermits!$AV:$AV,BuildingPermits!$F:$F,5,BuildingPermits!$N:$N,T$2)</f>
        <v>10359</v>
      </c>
      <c r="U176" s="39">
        <f>SUMIFS(BuildingPermits!$AV:$AV,BuildingPermits!$F:$F,5,BuildingPermits!$N:$N,U$2)</f>
        <v>48068</v>
      </c>
      <c r="V176" s="39">
        <f>SUMIFS(BuildingPermits!$AV:$AV,BuildingPermits!$F:$F,5,BuildingPermits!$N:$N,V$2)</f>
        <v>0</v>
      </c>
      <c r="W176" s="39">
        <f>SUMIFS(BuildingPermits!$AV:$AV,BuildingPermits!$F:$F,5,BuildingPermits!$N:$N,W$2)</f>
        <v>9902</v>
      </c>
      <c r="X176" s="39">
        <f>SUMIFS(BuildingPermits!$AV:$AV,BuildingPermits!$F:$F,5,BuildingPermits!$N:$N,X$2)</f>
        <v>9333</v>
      </c>
      <c r="Y176" s="39">
        <f>SUMIFS(BuildingPermits!$AV:$AV,BuildingPermits!$F:$F,5,BuildingPermits!$N:$N,Y$2)</f>
        <v>4492</v>
      </c>
      <c r="Z176" s="39">
        <f>SUMIFS(BuildingPermits!$AV:$AV,BuildingPermits!$F:$F,5,BuildingPermits!$N:$N,Z$2)</f>
        <v>2734</v>
      </c>
      <c r="AA176" s="39">
        <f>SUMIFS(BuildingPermits!$AV:$AV,BuildingPermits!$F:$F,5,BuildingPermits!$N:$N,AA$2)</f>
        <v>8456</v>
      </c>
      <c r="AB176" s="39">
        <f>SUMIFS(BuildingPermits!$AV:$AV,BuildingPermits!$F:$F,5,BuildingPermits!$N:$N,AB$2)</f>
        <v>344</v>
      </c>
      <c r="AC176" s="39">
        <f>SUMIFS(BuildingPermits!$AV:$AV,BuildingPermits!$F:$F,5,BuildingPermits!$N:$N,AC$2)</f>
        <v>0</v>
      </c>
      <c r="AD176" s="39">
        <f>SUMIFS(BuildingPermits!$AV:$AV,BuildingPermits!$F:$F,5,BuildingPermits!$N:$N,AD$2)</f>
        <v>0</v>
      </c>
      <c r="AE176" s="39">
        <f>SUMIFS(BuildingPermits!$AV:$AV,BuildingPermits!$F:$F,5,BuildingPermits!$N:$N,AE$2)</f>
        <v>0</v>
      </c>
      <c r="AF176" s="39">
        <f>SUMIFS(BuildingPermits!$AV:$AV,BuildingPermits!$F:$F,5,BuildingPermits!$N:$N,AF$2)</f>
        <v>0</v>
      </c>
      <c r="AG176" s="39">
        <f>SUMIFS(BuildingPermits!$AV:$AV,BuildingPermits!$F:$F,5,BuildingPermits!$N:$N,AG$2)</f>
        <v>0</v>
      </c>
      <c r="AH176" s="39">
        <f>SUMIFS(BuildingPermits!$AV:$AV,BuildingPermits!$F:$F,5,BuildingPermits!$N:$N,AH$2)</f>
        <v>0</v>
      </c>
      <c r="AI176" s="39">
        <f>SUMIFS(BuildingPermits!$AV:$AV,BuildingPermits!$F:$F,5,BuildingPermits!$N:$N,AI$2)</f>
        <v>0</v>
      </c>
      <c r="AJ176" s="39">
        <f>SUMIFS(BuildingPermits!$AV:$AV,BuildingPermits!$F:$F,5,BuildingPermits!$N:$N,AJ$2)</f>
        <v>0</v>
      </c>
      <c r="AK176" s="39">
        <f>SUMIFS(BuildingPermits!$AV:$AV,BuildingPermits!$F:$F,5,BuildingPermits!$N:$N,AK$2)</f>
        <v>0</v>
      </c>
    </row>
    <row r="177" spans="2:37" x14ac:dyDescent="0.25">
      <c r="E177" t="s">
        <v>84</v>
      </c>
      <c r="H177" t="s">
        <v>32</v>
      </c>
      <c r="I177" s="39">
        <f>SUMIFS(BuildingPermits!$AV:$AV,BuildingPermits!$F:$F,6,BuildingPermits!$N:$N,I$2)</f>
        <v>0</v>
      </c>
      <c r="J177" s="39">
        <f>SUMIFS(BuildingPermits!$AV:$AV,BuildingPermits!$F:$F,6,BuildingPermits!$N:$N,J$2)</f>
        <v>0</v>
      </c>
      <c r="K177" s="39">
        <f>SUMIFS(BuildingPermits!$AV:$AV,BuildingPermits!$F:$F,6,BuildingPermits!$N:$N,K$2)</f>
        <v>0</v>
      </c>
      <c r="L177" s="39">
        <f>SUMIFS(BuildingPermits!$AV:$AV,BuildingPermits!$F:$F,6,BuildingPermits!$N:$N,L$2)</f>
        <v>0</v>
      </c>
      <c r="M177" s="39">
        <f>SUMIFS(BuildingPermits!$AV:$AV,BuildingPermits!$F:$F,6,BuildingPermits!$N:$N,M$2)</f>
        <v>0</v>
      </c>
      <c r="N177" s="39">
        <f>SUMIFS(BuildingPermits!$AV:$AV,BuildingPermits!$F:$F,6,BuildingPermits!$N:$N,N$2)</f>
        <v>0</v>
      </c>
      <c r="O177" s="39">
        <f>SUMIFS(BuildingPermits!$AV:$AV,BuildingPermits!$F:$F,6,BuildingPermits!$N:$N,O$2)</f>
        <v>0</v>
      </c>
      <c r="P177" s="39">
        <f>SUMIFS(BuildingPermits!$AV:$AV,BuildingPermits!$F:$F,6,BuildingPermits!$N:$N,P$2)</f>
        <v>0</v>
      </c>
      <c r="Q177" s="39">
        <f>SUMIFS(BuildingPermits!$AV:$AV,BuildingPermits!$F:$F,6,BuildingPermits!$N:$N,Q$2)</f>
        <v>0</v>
      </c>
      <c r="R177" s="39">
        <f>SUMIFS(BuildingPermits!$AV:$AV,BuildingPermits!$F:$F,6,BuildingPermits!$N:$N,R$2)</f>
        <v>0</v>
      </c>
      <c r="S177" s="39">
        <f>SUMIFS(BuildingPermits!$AV:$AV,BuildingPermits!$F:$F,6,BuildingPermits!$N:$N,S$2)</f>
        <v>3000</v>
      </c>
      <c r="T177" s="39">
        <f>SUMIFS(BuildingPermits!$AV:$AV,BuildingPermits!$F:$F,6,BuildingPermits!$N:$N,T$2)</f>
        <v>0</v>
      </c>
      <c r="U177" s="39">
        <f>SUMIFS(BuildingPermits!$AV:$AV,BuildingPermits!$F:$F,6,BuildingPermits!$N:$N,U$2)</f>
        <v>0</v>
      </c>
      <c r="V177" s="39">
        <f>SUMIFS(BuildingPermits!$AV:$AV,BuildingPermits!$F:$F,6,BuildingPermits!$N:$N,V$2)</f>
        <v>0</v>
      </c>
      <c r="W177" s="39">
        <f>SUMIFS(BuildingPermits!$AV:$AV,BuildingPermits!$F:$F,6,BuildingPermits!$N:$N,W$2)</f>
        <v>0</v>
      </c>
      <c r="X177" s="39">
        <f>SUMIFS(BuildingPermits!$AV:$AV,BuildingPermits!$F:$F,6,BuildingPermits!$N:$N,X$2)</f>
        <v>200</v>
      </c>
      <c r="Y177" s="39">
        <f>SUMIFS(BuildingPermits!$AV:$AV,BuildingPermits!$F:$F,6,BuildingPermits!$N:$N,Y$2)</f>
        <v>0</v>
      </c>
      <c r="Z177" s="39">
        <f>SUMIFS(BuildingPermits!$AV:$AV,BuildingPermits!$F:$F,6,BuildingPermits!$N:$N,Z$2)</f>
        <v>0</v>
      </c>
      <c r="AA177" s="39">
        <f>SUMIFS(BuildingPermits!$AV:$AV,BuildingPermits!$F:$F,6,BuildingPermits!$N:$N,AA$2)</f>
        <v>0</v>
      </c>
      <c r="AB177" s="39">
        <f>SUMIFS(BuildingPermits!$AV:$AV,BuildingPermits!$F:$F,6,BuildingPermits!$N:$N,AB$2)</f>
        <v>0</v>
      </c>
      <c r="AC177" s="39">
        <f>SUMIFS(BuildingPermits!$AV:$AV,BuildingPermits!$F:$F,6,BuildingPermits!$N:$N,AC$2)</f>
        <v>0</v>
      </c>
      <c r="AD177" s="39">
        <f>SUMIFS(BuildingPermits!$AV:$AV,BuildingPermits!$F:$F,6,BuildingPermits!$N:$N,AD$2)</f>
        <v>0</v>
      </c>
      <c r="AE177" s="39">
        <f>SUMIFS(BuildingPermits!$AV:$AV,BuildingPermits!$F:$F,6,BuildingPermits!$N:$N,AE$2)</f>
        <v>0</v>
      </c>
      <c r="AF177" s="39">
        <f>SUMIFS(BuildingPermits!$AV:$AV,BuildingPermits!$F:$F,6,BuildingPermits!$N:$N,AF$2)</f>
        <v>0</v>
      </c>
      <c r="AG177" s="39">
        <f>SUMIFS(BuildingPermits!$AV:$AV,BuildingPermits!$F:$F,6,BuildingPermits!$N:$N,AG$2)</f>
        <v>0</v>
      </c>
      <c r="AH177" s="39">
        <f>SUMIFS(BuildingPermits!$AV:$AV,BuildingPermits!$F:$F,6,BuildingPermits!$N:$N,AH$2)</f>
        <v>0</v>
      </c>
      <c r="AI177" s="39">
        <f>SUMIFS(BuildingPermits!$AV:$AV,BuildingPermits!$F:$F,6,BuildingPermits!$N:$N,AI$2)</f>
        <v>0</v>
      </c>
      <c r="AJ177" s="39">
        <f>SUMIFS(BuildingPermits!$AV:$AV,BuildingPermits!$F:$F,6,BuildingPermits!$N:$N,AJ$2)</f>
        <v>0</v>
      </c>
      <c r="AK177" s="39">
        <f>SUMIFS(BuildingPermits!$AV:$AV,BuildingPermits!$F:$F,6,BuildingPermits!$N:$N,AK$2)</f>
        <v>0</v>
      </c>
    </row>
    <row r="178" spans="2:37" x14ac:dyDescent="0.25">
      <c r="E178" t="s">
        <v>85</v>
      </c>
      <c r="H178" t="s">
        <v>32</v>
      </c>
      <c r="I178" s="39">
        <f>SUMIFS(BuildingPermits!$AV:$AV,BuildingPermits!$F:$F,7,BuildingPermits!$N:$N,I$2)</f>
        <v>2344</v>
      </c>
      <c r="J178" s="39">
        <f>SUMIFS(BuildingPermits!$AV:$AV,BuildingPermits!$F:$F,7,BuildingPermits!$N:$N,J$2)</f>
        <v>17573</v>
      </c>
      <c r="K178" s="39">
        <f>SUMIFS(BuildingPermits!$AV:$AV,BuildingPermits!$F:$F,7,BuildingPermits!$N:$N,K$2)</f>
        <v>102459</v>
      </c>
      <c r="L178" s="39">
        <f>SUMIFS(BuildingPermits!$AV:$AV,BuildingPermits!$F:$F,7,BuildingPermits!$N:$N,L$2)</f>
        <v>272</v>
      </c>
      <c r="M178" s="39">
        <f>SUMIFS(BuildingPermits!$AV:$AV,BuildingPermits!$F:$F,7,BuildingPermits!$N:$N,M$2)</f>
        <v>584</v>
      </c>
      <c r="N178" s="39">
        <f>SUMIFS(BuildingPermits!$AV:$AV,BuildingPermits!$F:$F,7,BuildingPermits!$N:$N,N$2)</f>
        <v>34147</v>
      </c>
      <c r="O178" s="39">
        <f>SUMIFS(BuildingPermits!$AV:$AV,BuildingPermits!$F:$F,7,BuildingPermits!$N:$N,O$2)</f>
        <v>16917</v>
      </c>
      <c r="P178" s="39">
        <f>SUMIFS(BuildingPermits!$AV:$AV,BuildingPermits!$F:$F,7,BuildingPermits!$N:$N,P$2)</f>
        <v>22280</v>
      </c>
      <c r="Q178" s="39">
        <f>SUMIFS(BuildingPermits!$AV:$AV,BuildingPermits!$F:$F,7,BuildingPermits!$N:$N,Q$2)</f>
        <v>25001</v>
      </c>
      <c r="R178" s="39">
        <f>SUMIFS(BuildingPermits!$AV:$AV,BuildingPermits!$F:$F,7,BuildingPermits!$N:$N,R$2)</f>
        <v>0</v>
      </c>
      <c r="S178" s="39">
        <f>SUMIFS(BuildingPermits!$AV:$AV,BuildingPermits!$F:$F,7,BuildingPermits!$N:$N,S$2)</f>
        <v>12951</v>
      </c>
      <c r="T178" s="39">
        <f>SUMIFS(BuildingPermits!$AV:$AV,BuildingPermits!$F:$F,7,BuildingPermits!$N:$N,T$2)</f>
        <v>0</v>
      </c>
      <c r="U178" s="39">
        <f>SUMIFS(BuildingPermits!$AV:$AV,BuildingPermits!$F:$F,7,BuildingPermits!$N:$N,U$2)</f>
        <v>25</v>
      </c>
      <c r="V178" s="39">
        <f>SUMIFS(BuildingPermits!$AV:$AV,BuildingPermits!$F:$F,7,BuildingPermits!$N:$N,V$2)</f>
        <v>7936</v>
      </c>
      <c r="W178" s="39">
        <f>SUMIFS(BuildingPermits!$AV:$AV,BuildingPermits!$F:$F,7,BuildingPermits!$N:$N,W$2)</f>
        <v>8840</v>
      </c>
      <c r="X178" s="39">
        <f>SUMIFS(BuildingPermits!$AV:$AV,BuildingPermits!$F:$F,7,BuildingPermits!$N:$N,X$2)</f>
        <v>5300</v>
      </c>
      <c r="Y178" s="39">
        <f>SUMIFS(BuildingPermits!$AV:$AV,BuildingPermits!$F:$F,7,BuildingPermits!$N:$N,Y$2)</f>
        <v>92905</v>
      </c>
      <c r="Z178" s="39">
        <f>SUMIFS(BuildingPermits!$AV:$AV,BuildingPermits!$F:$F,7,BuildingPermits!$N:$N,Z$2)</f>
        <v>4039</v>
      </c>
      <c r="AA178" s="39">
        <f>SUMIFS(BuildingPermits!$AV:$AV,BuildingPermits!$F:$F,7,BuildingPermits!$N:$N,AA$2)</f>
        <v>1040</v>
      </c>
      <c r="AB178" s="39">
        <f>SUMIFS(BuildingPermits!$AV:$AV,BuildingPermits!$F:$F,7,BuildingPermits!$N:$N,AB$2)</f>
        <v>0</v>
      </c>
      <c r="AC178" s="39">
        <f>SUMIFS(BuildingPermits!$AV:$AV,BuildingPermits!$F:$F,7,BuildingPermits!$N:$N,AC$2)</f>
        <v>22139</v>
      </c>
      <c r="AD178" s="39">
        <f>SUMIFS(BuildingPermits!$AV:$AV,BuildingPermits!$F:$F,7,BuildingPermits!$N:$N,AD$2)</f>
        <v>0</v>
      </c>
      <c r="AE178" s="39">
        <f>SUMIFS(BuildingPermits!$AV:$AV,BuildingPermits!$F:$F,7,BuildingPermits!$N:$N,AE$2)</f>
        <v>0</v>
      </c>
      <c r="AF178" s="39">
        <f>SUMIFS(BuildingPermits!$AV:$AV,BuildingPermits!$F:$F,7,BuildingPermits!$N:$N,AF$2)</f>
        <v>0</v>
      </c>
      <c r="AG178" s="39">
        <f>SUMIFS(BuildingPermits!$AV:$AV,BuildingPermits!$F:$F,7,BuildingPermits!$N:$N,AG$2)</f>
        <v>0</v>
      </c>
      <c r="AH178" s="39">
        <f>SUMIFS(BuildingPermits!$AV:$AV,BuildingPermits!$F:$F,7,BuildingPermits!$N:$N,AH$2)</f>
        <v>0</v>
      </c>
      <c r="AI178" s="39">
        <f>SUMIFS(BuildingPermits!$AV:$AV,BuildingPermits!$F:$F,7,BuildingPermits!$N:$N,AI$2)</f>
        <v>0</v>
      </c>
      <c r="AJ178" s="39">
        <f>SUMIFS(BuildingPermits!$AV:$AV,BuildingPermits!$F:$F,7,BuildingPermits!$N:$N,AJ$2)</f>
        <v>0</v>
      </c>
      <c r="AK178" s="39">
        <f>SUMIFS(BuildingPermits!$AV:$AV,BuildingPermits!$F:$F,7,BuildingPermits!$N:$N,AK$2)</f>
        <v>0</v>
      </c>
    </row>
    <row r="179" spans="2:37" x14ac:dyDescent="0.25">
      <c r="E179" t="s">
        <v>86</v>
      </c>
      <c r="H179" t="s">
        <v>32</v>
      </c>
      <c r="I179" s="39">
        <f>SUMIFS(BuildingPermits!$AV:$AV,BuildingPermits!$G:$G,8.4,BuildingPermits!$N:$N,I$2)</f>
        <v>0</v>
      </c>
      <c r="J179" s="39">
        <f>SUMIFS(BuildingPermits!$AV:$AV,BuildingPermits!$G:$G,8.4,BuildingPermits!$N:$N,J$2)</f>
        <v>7155</v>
      </c>
      <c r="K179" s="39">
        <f>SUMIFS(BuildingPermits!$AV:$AV,BuildingPermits!$G:$G,8.4,BuildingPermits!$N:$N,K$2)</f>
        <v>0</v>
      </c>
      <c r="L179" s="39">
        <f>SUMIFS(BuildingPermits!$AV:$AV,BuildingPermits!$G:$G,8.4,BuildingPermits!$N:$N,L$2)</f>
        <v>0</v>
      </c>
      <c r="M179" s="39">
        <f>SUMIFS(BuildingPermits!$AV:$AV,BuildingPermits!$G:$G,8.4,BuildingPermits!$N:$N,M$2)</f>
        <v>0</v>
      </c>
      <c r="N179" s="39">
        <f>SUMIFS(BuildingPermits!$AV:$AV,BuildingPermits!$G:$G,8.4,BuildingPermits!$N:$N,N$2)</f>
        <v>0</v>
      </c>
      <c r="O179" s="39">
        <f>SUMIFS(BuildingPermits!$AV:$AV,BuildingPermits!$G:$G,8.4,BuildingPermits!$N:$N,O$2)</f>
        <v>0</v>
      </c>
      <c r="P179" s="39">
        <f>SUMIFS(BuildingPermits!$AV:$AV,BuildingPermits!$G:$G,8.4,BuildingPermits!$N:$N,P$2)</f>
        <v>0</v>
      </c>
      <c r="Q179" s="39">
        <f>SUMIFS(BuildingPermits!$AV:$AV,BuildingPermits!$G:$G,8.4,BuildingPermits!$N:$N,Q$2)</f>
        <v>0</v>
      </c>
      <c r="R179" s="39">
        <f>SUMIFS(BuildingPermits!$AV:$AV,BuildingPermits!$G:$G,8.4,BuildingPermits!$N:$N,R$2)</f>
        <v>0</v>
      </c>
      <c r="S179" s="39">
        <f>SUMIFS(BuildingPermits!$AV:$AV,BuildingPermits!$G:$G,8.4,BuildingPermits!$N:$N,S$2)</f>
        <v>0</v>
      </c>
      <c r="T179" s="39">
        <f>SUMIFS(BuildingPermits!$AV:$AV,BuildingPermits!$G:$G,8.4,BuildingPermits!$N:$N,T$2)</f>
        <v>0</v>
      </c>
      <c r="U179" s="39">
        <f>SUMIFS(BuildingPermits!$AV:$AV,BuildingPermits!$G:$G,8.4,BuildingPermits!$N:$N,U$2)</f>
        <v>0</v>
      </c>
      <c r="V179" s="39">
        <f>SUMIFS(BuildingPermits!$AV:$AV,BuildingPermits!$G:$G,8.4,BuildingPermits!$N:$N,V$2)</f>
        <v>216</v>
      </c>
      <c r="W179" s="39">
        <f>SUMIFS(BuildingPermits!$AV:$AV,BuildingPermits!$G:$G,8.4,BuildingPermits!$N:$N,W$2)</f>
        <v>451</v>
      </c>
      <c r="X179" s="39">
        <f>SUMIFS(BuildingPermits!$AV:$AV,BuildingPermits!$G:$G,8.4,BuildingPermits!$N:$N,X$2)</f>
        <v>0</v>
      </c>
      <c r="Y179" s="39">
        <f>SUMIFS(BuildingPermits!$AV:$AV,BuildingPermits!$G:$G,8.4,BuildingPermits!$N:$N,Y$2)</f>
        <v>0</v>
      </c>
      <c r="Z179" s="39">
        <f>SUMIFS(BuildingPermits!$AV:$AV,BuildingPermits!$G:$G,8.4,BuildingPermits!$N:$N,Z$2)</f>
        <v>0</v>
      </c>
      <c r="AA179" s="39">
        <f>SUMIFS(BuildingPermits!$AV:$AV,BuildingPermits!$G:$G,8.4,BuildingPermits!$N:$N,AA$2)</f>
        <v>604</v>
      </c>
      <c r="AB179" s="39">
        <f>SUMIFS(BuildingPermits!$AV:$AV,BuildingPermits!$G:$G,8.4,BuildingPermits!$N:$N,AB$2)</f>
        <v>0</v>
      </c>
      <c r="AC179" s="39">
        <f>SUMIFS(BuildingPermits!$AV:$AV,BuildingPermits!$G:$G,8.4,BuildingPermits!$N:$N,AC$2)</f>
        <v>0</v>
      </c>
      <c r="AD179" s="39">
        <f>SUMIFS(BuildingPermits!$AV:$AV,BuildingPermits!$G:$G,8.4,BuildingPermits!$N:$N,AD$2)</f>
        <v>0</v>
      </c>
      <c r="AE179" s="39">
        <f>SUMIFS(BuildingPermits!$AV:$AV,BuildingPermits!$G:$G,8.4,BuildingPermits!$N:$N,AE$2)</f>
        <v>0</v>
      </c>
      <c r="AF179" s="39">
        <f>SUMIFS(BuildingPermits!$AV:$AV,BuildingPermits!$G:$G,8.4,BuildingPermits!$N:$N,AF$2)</f>
        <v>0</v>
      </c>
      <c r="AG179" s="39">
        <f>SUMIFS(BuildingPermits!$AV:$AV,BuildingPermits!$G:$G,8.4,BuildingPermits!$N:$N,AG$2)</f>
        <v>0</v>
      </c>
      <c r="AH179" s="39">
        <f>SUMIFS(BuildingPermits!$AV:$AV,BuildingPermits!$G:$G,8.4,BuildingPermits!$N:$N,AH$2)</f>
        <v>0</v>
      </c>
      <c r="AI179" s="39">
        <f>SUMIFS(BuildingPermits!$AV:$AV,BuildingPermits!$G:$G,8.4,BuildingPermits!$N:$N,AI$2)</f>
        <v>0</v>
      </c>
      <c r="AJ179" s="39">
        <f>SUMIFS(BuildingPermits!$AV:$AV,BuildingPermits!$G:$G,8.4,BuildingPermits!$N:$N,AJ$2)</f>
        <v>0</v>
      </c>
      <c r="AK179" s="39">
        <f>SUMIFS(BuildingPermits!$AV:$AV,BuildingPermits!$G:$G,8.4,BuildingPermits!$N:$N,AK$2)</f>
        <v>0</v>
      </c>
    </row>
    <row r="180" spans="2:37" x14ac:dyDescent="0.25">
      <c r="E180" t="s">
        <v>87</v>
      </c>
      <c r="H180" t="s">
        <v>32</v>
      </c>
      <c r="I180" s="39">
        <f>SUMIFS(BuildingPermits!$AV:$AV,BuildingPermits!$F:$F,11,BuildingPermits!$N:$N,I$2)</f>
        <v>5408</v>
      </c>
      <c r="J180" s="39">
        <f>SUMIFS(BuildingPermits!$AV:$AV,BuildingPermits!$F:$F,11,BuildingPermits!$N:$N,J$2)</f>
        <v>0</v>
      </c>
      <c r="K180" s="39">
        <f>SUMIFS(BuildingPermits!$AV:$AV,BuildingPermits!$F:$F,11,BuildingPermits!$N:$N,K$2)</f>
        <v>500</v>
      </c>
      <c r="L180" s="39">
        <f>SUMIFS(BuildingPermits!$AV:$AV,BuildingPermits!$F:$F,11,BuildingPermits!$N:$N,L$2)</f>
        <v>0</v>
      </c>
      <c r="M180" s="39">
        <f>SUMIFS(BuildingPermits!$AV:$AV,BuildingPermits!$F:$F,11,BuildingPermits!$N:$N,M$2)</f>
        <v>0</v>
      </c>
      <c r="N180" s="39">
        <f>SUMIFS(BuildingPermits!$AV:$AV,BuildingPermits!$F:$F,11,BuildingPermits!$N:$N,N$2)</f>
        <v>5837</v>
      </c>
      <c r="O180" s="39">
        <f>SUMIFS(BuildingPermits!$AV:$AV,BuildingPermits!$F:$F,11,BuildingPermits!$N:$N,O$2)</f>
        <v>96</v>
      </c>
      <c r="P180" s="39">
        <f>SUMIFS(BuildingPermits!$AV:$AV,BuildingPermits!$F:$F,11,BuildingPermits!$N:$N,P$2)</f>
        <v>500</v>
      </c>
      <c r="Q180" s="39">
        <f>SUMIFS(BuildingPermits!$AV:$AV,BuildingPermits!$F:$F,11,BuildingPermits!$N:$N,Q$2)</f>
        <v>11807</v>
      </c>
      <c r="R180" s="39">
        <f>SUMIFS(BuildingPermits!$AV:$AV,BuildingPermits!$F:$F,11,BuildingPermits!$N:$N,R$2)</f>
        <v>240</v>
      </c>
      <c r="S180" s="39">
        <f>SUMIFS(BuildingPermits!$AV:$AV,BuildingPermits!$F:$F,11,BuildingPermits!$N:$N,S$2)</f>
        <v>0</v>
      </c>
      <c r="T180" s="39">
        <f>SUMIFS(BuildingPermits!$AV:$AV,BuildingPermits!$F:$F,11,BuildingPermits!$N:$N,T$2)</f>
        <v>0</v>
      </c>
      <c r="U180" s="39">
        <f>SUMIFS(BuildingPermits!$AV:$AV,BuildingPermits!$F:$F,11,BuildingPermits!$N:$N,U$2)</f>
        <v>600</v>
      </c>
      <c r="V180" s="39">
        <f>SUMIFS(BuildingPermits!$AV:$AV,BuildingPermits!$F:$F,11,BuildingPermits!$N:$N,V$2)</f>
        <v>600</v>
      </c>
      <c r="W180" s="39">
        <f>SUMIFS(BuildingPermits!$AV:$AV,BuildingPermits!$F:$F,11,BuildingPermits!$N:$N,W$2)</f>
        <v>0</v>
      </c>
      <c r="X180" s="39">
        <f>SUMIFS(BuildingPermits!$AV:$AV,BuildingPermits!$F:$F,11,BuildingPermits!$N:$N,X$2)</f>
        <v>0</v>
      </c>
      <c r="Y180" s="39">
        <f>SUMIFS(BuildingPermits!$AV:$AV,BuildingPermits!$F:$F,11,BuildingPermits!$N:$N,Y$2)</f>
        <v>0</v>
      </c>
      <c r="Z180" s="39">
        <f>SUMIFS(BuildingPermits!$AV:$AV,BuildingPermits!$F:$F,11,BuildingPermits!$N:$N,Z$2)</f>
        <v>0</v>
      </c>
      <c r="AA180" s="39">
        <f>SUMIFS(BuildingPermits!$AV:$AV,BuildingPermits!$F:$F,11,BuildingPermits!$N:$N,AA$2)</f>
        <v>3948</v>
      </c>
      <c r="AB180" s="39">
        <f>SUMIFS(BuildingPermits!$AV:$AV,BuildingPermits!$F:$F,11,BuildingPermits!$N:$N,AB$2)</f>
        <v>3708</v>
      </c>
      <c r="AC180" s="39">
        <f>SUMIFS(BuildingPermits!$AV:$AV,BuildingPermits!$F:$F,11,BuildingPermits!$N:$N,AC$2)</f>
        <v>0</v>
      </c>
      <c r="AD180" s="39">
        <f>SUMIFS(BuildingPermits!$AV:$AV,BuildingPermits!$F:$F,11,BuildingPermits!$N:$N,AD$2)</f>
        <v>0</v>
      </c>
      <c r="AE180" s="39">
        <f>SUMIFS(BuildingPermits!$AV:$AV,BuildingPermits!$F:$F,11,BuildingPermits!$N:$N,AE$2)</f>
        <v>0</v>
      </c>
      <c r="AF180" s="39">
        <f>SUMIFS(BuildingPermits!$AV:$AV,BuildingPermits!$F:$F,11,BuildingPermits!$N:$N,AF$2)</f>
        <v>0</v>
      </c>
      <c r="AG180" s="39">
        <f>SUMIFS(BuildingPermits!$AV:$AV,BuildingPermits!$F:$F,11,BuildingPermits!$N:$N,AG$2)</f>
        <v>0</v>
      </c>
      <c r="AH180" s="39">
        <f>SUMIFS(BuildingPermits!$AV:$AV,BuildingPermits!$F:$F,11,BuildingPermits!$N:$N,AH$2)</f>
        <v>0</v>
      </c>
      <c r="AI180" s="39">
        <f>SUMIFS(BuildingPermits!$AV:$AV,BuildingPermits!$F:$F,11,BuildingPermits!$N:$N,AI$2)</f>
        <v>0</v>
      </c>
      <c r="AJ180" s="39">
        <f>SUMIFS(BuildingPermits!$AV:$AV,BuildingPermits!$F:$F,11,BuildingPermits!$N:$N,AJ$2)</f>
        <v>0</v>
      </c>
      <c r="AK180" s="39">
        <f>SUMIFS(BuildingPermits!$AV:$AV,BuildingPermits!$F:$F,11,BuildingPermits!$N:$N,AK$2)</f>
        <v>0</v>
      </c>
    </row>
    <row r="181" spans="2:37" x14ac:dyDescent="0.25">
      <c r="E181" t="s">
        <v>88</v>
      </c>
      <c r="H181" t="s">
        <v>32</v>
      </c>
      <c r="I181" s="39">
        <f>SUMIFS(BuildingPermits!$AV:$AV,BuildingPermits!$F:$F,12,BuildingPermits!$N:$N,I$2)</f>
        <v>0</v>
      </c>
      <c r="J181" s="39">
        <f>SUMIFS(BuildingPermits!$AV:$AV,BuildingPermits!$F:$F,12,BuildingPermits!$N:$N,J$2)</f>
        <v>650</v>
      </c>
      <c r="K181" s="39">
        <f>SUMIFS(BuildingPermits!$AV:$AV,BuildingPermits!$F:$F,12,BuildingPermits!$N:$N,K$2)</f>
        <v>446</v>
      </c>
      <c r="L181" s="39">
        <f>SUMIFS(BuildingPermits!$AV:$AV,BuildingPermits!$F:$F,12,BuildingPermits!$N:$N,L$2)</f>
        <v>892</v>
      </c>
      <c r="M181" s="39">
        <f>SUMIFS(BuildingPermits!$AV:$AV,BuildingPermits!$F:$F,12,BuildingPermits!$N:$N,M$2)</f>
        <v>0</v>
      </c>
      <c r="N181" s="39">
        <f>SUMIFS(BuildingPermits!$AV:$AV,BuildingPermits!$F:$F,12,BuildingPermits!$N:$N,N$2)</f>
        <v>71</v>
      </c>
      <c r="O181" s="39">
        <f>SUMIFS(BuildingPermits!$AV:$AV,BuildingPermits!$F:$F,12,BuildingPermits!$N:$N,O$2)</f>
        <v>0</v>
      </c>
      <c r="P181" s="39">
        <f>SUMIFS(BuildingPermits!$AV:$AV,BuildingPermits!$F:$F,12,BuildingPermits!$N:$N,P$2)</f>
        <v>4189</v>
      </c>
      <c r="Q181" s="39">
        <f>SUMIFS(BuildingPermits!$AV:$AV,BuildingPermits!$F:$F,12,BuildingPermits!$N:$N,Q$2)</f>
        <v>0</v>
      </c>
      <c r="R181" s="39">
        <f>SUMIFS(BuildingPermits!$AV:$AV,BuildingPermits!$F:$F,12,BuildingPermits!$N:$N,R$2)</f>
        <v>0</v>
      </c>
      <c r="S181" s="39">
        <f>SUMIFS(BuildingPermits!$AV:$AV,BuildingPermits!$F:$F,12,BuildingPermits!$N:$N,S$2)</f>
        <v>0</v>
      </c>
      <c r="T181" s="39">
        <f>SUMIFS(BuildingPermits!$AV:$AV,BuildingPermits!$F:$F,12,BuildingPermits!$N:$N,T$2)</f>
        <v>371</v>
      </c>
      <c r="U181" s="39">
        <f>SUMIFS(BuildingPermits!$AV:$AV,BuildingPermits!$F:$F,12,BuildingPermits!$N:$N,U$2)</f>
        <v>0</v>
      </c>
      <c r="V181" s="39">
        <f>SUMIFS(BuildingPermits!$AV:$AV,BuildingPermits!$F:$F,12,BuildingPermits!$N:$N,V$2)</f>
        <v>0</v>
      </c>
      <c r="W181" s="39">
        <f>SUMIFS(BuildingPermits!$AV:$AV,BuildingPermits!$F:$F,12,BuildingPermits!$N:$N,W$2)</f>
        <v>295</v>
      </c>
      <c r="X181" s="39">
        <f>SUMIFS(BuildingPermits!$AV:$AV,BuildingPermits!$F:$F,12,BuildingPermits!$N:$N,X$2)</f>
        <v>1940</v>
      </c>
      <c r="Y181" s="39">
        <f>SUMIFS(BuildingPermits!$AV:$AV,BuildingPermits!$F:$F,12,BuildingPermits!$N:$N,Y$2)</f>
        <v>320</v>
      </c>
      <c r="Z181" s="39">
        <f>SUMIFS(BuildingPermits!$AV:$AV,BuildingPermits!$F:$F,12,BuildingPermits!$N:$N,Z$2)</f>
        <v>0</v>
      </c>
      <c r="AA181" s="39">
        <f>SUMIFS(BuildingPermits!$AV:$AV,BuildingPermits!$F:$F,12,BuildingPermits!$N:$N,AA$2)</f>
        <v>150</v>
      </c>
      <c r="AB181" s="39">
        <f>SUMIFS(BuildingPermits!$AV:$AV,BuildingPermits!$F:$F,12,BuildingPermits!$N:$N,AB$2)</f>
        <v>0</v>
      </c>
      <c r="AC181" s="39">
        <f>SUMIFS(BuildingPermits!$AV:$AV,BuildingPermits!$F:$F,12,BuildingPermits!$N:$N,AC$2)</f>
        <v>215</v>
      </c>
      <c r="AD181" s="39">
        <f>SUMIFS(BuildingPermits!$AV:$AV,BuildingPermits!$F:$F,12,BuildingPermits!$N:$N,AD$2)</f>
        <v>0</v>
      </c>
      <c r="AE181" s="39">
        <f>SUMIFS(BuildingPermits!$AV:$AV,BuildingPermits!$F:$F,12,BuildingPermits!$N:$N,AE$2)</f>
        <v>0</v>
      </c>
      <c r="AF181" s="39">
        <f>SUMIFS(BuildingPermits!$AV:$AV,BuildingPermits!$F:$F,12,BuildingPermits!$N:$N,AF$2)</f>
        <v>0</v>
      </c>
      <c r="AG181" s="39">
        <f>SUMIFS(BuildingPermits!$AV:$AV,BuildingPermits!$F:$F,12,BuildingPermits!$N:$N,AG$2)</f>
        <v>0</v>
      </c>
      <c r="AH181" s="39">
        <f>SUMIFS(BuildingPermits!$AV:$AV,BuildingPermits!$F:$F,12,BuildingPermits!$N:$N,AH$2)</f>
        <v>0</v>
      </c>
      <c r="AI181" s="39">
        <f>SUMIFS(BuildingPermits!$AV:$AV,BuildingPermits!$F:$F,12,BuildingPermits!$N:$N,AI$2)</f>
        <v>0</v>
      </c>
      <c r="AJ181" s="39">
        <f>SUMIFS(BuildingPermits!$AV:$AV,BuildingPermits!$F:$F,12,BuildingPermits!$N:$N,AJ$2)</f>
        <v>0</v>
      </c>
      <c r="AK181" s="39">
        <f>SUMIFS(BuildingPermits!$AV:$AV,BuildingPermits!$F:$F,12,BuildingPermits!$N:$N,AK$2)</f>
        <v>0</v>
      </c>
    </row>
    <row r="182" spans="2:37" x14ac:dyDescent="0.25">
      <c r="E182" t="s">
        <v>89</v>
      </c>
      <c r="H182" t="s">
        <v>32</v>
      </c>
      <c r="I182" s="39">
        <f>SUMIFS(BuildingPermits!$AV:$AV,BuildingPermits!$F:$F,13,BuildingPermits!$N:$N,I$2)</f>
        <v>0</v>
      </c>
      <c r="J182" s="39">
        <f>SUMIFS(BuildingPermits!$AV:$AV,BuildingPermits!$F:$F,13,BuildingPermits!$N:$N,J$2)</f>
        <v>12257</v>
      </c>
      <c r="K182" s="39">
        <f>SUMIFS(BuildingPermits!$AV:$AV,BuildingPermits!$F:$F,13,BuildingPermits!$N:$N,K$2)</f>
        <v>0</v>
      </c>
      <c r="L182" s="39">
        <f>SUMIFS(BuildingPermits!$AV:$AV,BuildingPermits!$F:$F,13,BuildingPermits!$N:$N,L$2)</f>
        <v>1401</v>
      </c>
      <c r="M182" s="39">
        <f>SUMIFS(BuildingPermits!$AV:$AV,BuildingPermits!$F:$F,13,BuildingPermits!$N:$N,M$2)</f>
        <v>0</v>
      </c>
      <c r="N182" s="39">
        <f>SUMIFS(BuildingPermits!$AV:$AV,BuildingPermits!$F:$F,13,BuildingPermits!$N:$N,N$2)</f>
        <v>30487</v>
      </c>
      <c r="O182" s="39">
        <f>SUMIFS(BuildingPermits!$AV:$AV,BuildingPermits!$F:$F,13,BuildingPermits!$N:$N,O$2)</f>
        <v>11148</v>
      </c>
      <c r="P182" s="39">
        <f>SUMIFS(BuildingPermits!$AV:$AV,BuildingPermits!$F:$F,13,BuildingPermits!$N:$N,P$2)</f>
        <v>97653</v>
      </c>
      <c r="Q182" s="39">
        <f>SUMIFS(BuildingPermits!$AV:$AV,BuildingPermits!$F:$F,13,BuildingPermits!$N:$N,Q$2)</f>
        <v>52321</v>
      </c>
      <c r="R182" s="39">
        <f>SUMIFS(BuildingPermits!$AV:$AV,BuildingPermits!$F:$F,13,BuildingPermits!$N:$N,R$2)</f>
        <v>3994</v>
      </c>
      <c r="S182" s="39">
        <f>SUMIFS(BuildingPermits!$AV:$AV,BuildingPermits!$F:$F,13,BuildingPermits!$N:$N,S$2)</f>
        <v>993</v>
      </c>
      <c r="T182" s="39">
        <f>SUMIFS(BuildingPermits!$AV:$AV,BuildingPermits!$F:$F,13,BuildingPermits!$N:$N,T$2)</f>
        <v>0</v>
      </c>
      <c r="U182" s="39">
        <f>SUMIFS(BuildingPermits!$AV:$AV,BuildingPermits!$F:$F,13,BuildingPermits!$N:$N,U$2)</f>
        <v>6181</v>
      </c>
      <c r="V182" s="39">
        <f>SUMIFS(BuildingPermits!$AV:$AV,BuildingPermits!$F:$F,13,BuildingPermits!$N:$N,V$2)</f>
        <v>290</v>
      </c>
      <c r="W182" s="39">
        <f>SUMIFS(BuildingPermits!$AV:$AV,BuildingPermits!$F:$F,13,BuildingPermits!$N:$N,W$2)</f>
        <v>5402</v>
      </c>
      <c r="X182" s="39">
        <f>SUMIFS(BuildingPermits!$AV:$AV,BuildingPermits!$F:$F,13,BuildingPermits!$N:$N,X$2)</f>
        <v>116</v>
      </c>
      <c r="Y182" s="39">
        <f>SUMIFS(BuildingPermits!$AV:$AV,BuildingPermits!$F:$F,13,BuildingPermits!$N:$N,Y$2)</f>
        <v>30082</v>
      </c>
      <c r="Z182" s="39">
        <f>SUMIFS(BuildingPermits!$AV:$AV,BuildingPermits!$F:$F,13,BuildingPermits!$N:$N,Z$2)</f>
        <v>689</v>
      </c>
      <c r="AA182" s="39">
        <f>SUMIFS(BuildingPermits!$AV:$AV,BuildingPermits!$F:$F,13,BuildingPermits!$N:$N,AA$2)</f>
        <v>0</v>
      </c>
      <c r="AB182" s="39">
        <f>SUMIFS(BuildingPermits!$AV:$AV,BuildingPermits!$F:$F,13,BuildingPermits!$N:$N,AB$2)</f>
        <v>490</v>
      </c>
      <c r="AC182" s="39">
        <f>SUMIFS(BuildingPermits!$AV:$AV,BuildingPermits!$F:$F,13,BuildingPermits!$N:$N,AC$2)</f>
        <v>0</v>
      </c>
      <c r="AD182" s="39">
        <f>SUMIFS(BuildingPermits!$AV:$AV,BuildingPermits!$F:$F,13,BuildingPermits!$N:$N,AD$2)</f>
        <v>0</v>
      </c>
      <c r="AE182" s="39">
        <f>SUMIFS(BuildingPermits!$AV:$AV,BuildingPermits!$F:$F,13,BuildingPermits!$N:$N,AE$2)</f>
        <v>0</v>
      </c>
      <c r="AF182" s="39">
        <f>SUMIFS(BuildingPermits!$AV:$AV,BuildingPermits!$F:$F,13,BuildingPermits!$N:$N,AF$2)</f>
        <v>0</v>
      </c>
      <c r="AG182" s="39">
        <f>SUMIFS(BuildingPermits!$AV:$AV,BuildingPermits!$F:$F,13,BuildingPermits!$N:$N,AG$2)</f>
        <v>0</v>
      </c>
      <c r="AH182" s="39">
        <f>SUMIFS(BuildingPermits!$AV:$AV,BuildingPermits!$F:$F,13,BuildingPermits!$N:$N,AH$2)</f>
        <v>0</v>
      </c>
      <c r="AI182" s="39">
        <f>SUMIFS(BuildingPermits!$AV:$AV,BuildingPermits!$F:$F,13,BuildingPermits!$N:$N,AI$2)</f>
        <v>0</v>
      </c>
      <c r="AJ182" s="39">
        <f>SUMIFS(BuildingPermits!$AV:$AV,BuildingPermits!$F:$F,13,BuildingPermits!$N:$N,AJ$2)</f>
        <v>0</v>
      </c>
      <c r="AK182" s="39">
        <f>SUMIFS(BuildingPermits!$AV:$AV,BuildingPermits!$F:$F,13,BuildingPermits!$N:$N,AK$2)</f>
        <v>0</v>
      </c>
    </row>
    <row r="183" spans="2:37" x14ac:dyDescent="0.25">
      <c r="E183" t="s">
        <v>90</v>
      </c>
      <c r="H183" t="s">
        <v>32</v>
      </c>
      <c r="I183" s="39">
        <f>SUMIFS(BuildingPermits!$AV:$AV,BuildingPermits!$G:$G,14.2,BuildingPermits!$N:$N,I$2)+SUMIFS(BuildingPermits!$AV:$AV,BuildingPermits!$G:$G,14.3,BuildingPermits!$N:$N,I$2)</f>
        <v>0</v>
      </c>
      <c r="J183" s="39">
        <f>SUMIFS(BuildingPermits!$AV:$AV,BuildingPermits!$G:$G,14.2,BuildingPermits!$N:$N,J$2)+SUMIFS(BuildingPermits!$AV:$AV,BuildingPermits!$G:$G,14.3,BuildingPermits!$N:$N,J$2)</f>
        <v>48</v>
      </c>
      <c r="K183" s="39">
        <f>SUMIFS(BuildingPermits!$AV:$AV,BuildingPermits!$G:$G,14.2,BuildingPermits!$N:$N,K$2)+SUMIFS(BuildingPermits!$AV:$AV,BuildingPermits!$G:$G,14.3,BuildingPermits!$N:$N,K$2)</f>
        <v>9156</v>
      </c>
      <c r="L183" s="39">
        <f>SUMIFS(BuildingPermits!$AV:$AV,BuildingPermits!$G:$G,14.2,BuildingPermits!$N:$N,L$2)+SUMIFS(BuildingPermits!$AV:$AV,BuildingPermits!$G:$G,14.3,BuildingPermits!$N:$N,L$2)</f>
        <v>0</v>
      </c>
      <c r="M183" s="39">
        <f>SUMIFS(BuildingPermits!$AV:$AV,BuildingPermits!$G:$G,14.2,BuildingPermits!$N:$N,M$2)+SUMIFS(BuildingPermits!$AV:$AV,BuildingPermits!$G:$G,14.3,BuildingPermits!$N:$N,M$2)</f>
        <v>300</v>
      </c>
      <c r="N183" s="39">
        <f>SUMIFS(BuildingPermits!$AV:$AV,BuildingPermits!$G:$G,14.2,BuildingPermits!$N:$N,N$2)+SUMIFS(BuildingPermits!$AV:$AV,BuildingPermits!$G:$G,14.3,BuildingPermits!$N:$N,N$2)</f>
        <v>0</v>
      </c>
      <c r="O183" s="39">
        <f>SUMIFS(BuildingPermits!$AV:$AV,BuildingPermits!$G:$G,14.2,BuildingPermits!$N:$N,O$2)+SUMIFS(BuildingPermits!$AV:$AV,BuildingPermits!$G:$G,14.3,BuildingPermits!$N:$N,O$2)</f>
        <v>468</v>
      </c>
      <c r="P183" s="39">
        <f>SUMIFS(BuildingPermits!$AV:$AV,BuildingPermits!$G:$G,14.2,BuildingPermits!$N:$N,P$2)+SUMIFS(BuildingPermits!$AV:$AV,BuildingPermits!$G:$G,14.3,BuildingPermits!$N:$N,P$2)</f>
        <v>2630</v>
      </c>
      <c r="Q183" s="39">
        <f>SUMIFS(BuildingPermits!$AV:$AV,BuildingPermits!$G:$G,14.2,BuildingPermits!$N:$N,Q$2)+SUMIFS(BuildingPermits!$AV:$AV,BuildingPermits!$G:$G,14.3,BuildingPermits!$N:$N,Q$2)</f>
        <v>0</v>
      </c>
      <c r="R183" s="39">
        <f>SUMIFS(BuildingPermits!$AV:$AV,BuildingPermits!$G:$G,14.2,BuildingPermits!$N:$N,R$2)+SUMIFS(BuildingPermits!$AV:$AV,BuildingPermits!$G:$G,14.3,BuildingPermits!$N:$N,R$2)</f>
        <v>0</v>
      </c>
      <c r="S183" s="39">
        <f>SUMIFS(BuildingPermits!$AV:$AV,BuildingPermits!$G:$G,14.2,BuildingPermits!$N:$N,S$2)+SUMIFS(BuildingPermits!$AV:$AV,BuildingPermits!$G:$G,14.3,BuildingPermits!$N:$N,S$2)</f>
        <v>0</v>
      </c>
      <c r="T183" s="39">
        <f>SUMIFS(BuildingPermits!$AV:$AV,BuildingPermits!$G:$G,14.2,BuildingPermits!$N:$N,T$2)+SUMIFS(BuildingPermits!$AV:$AV,BuildingPermits!$G:$G,14.3,BuildingPermits!$N:$N,T$2)</f>
        <v>0</v>
      </c>
      <c r="U183" s="39">
        <f>SUMIFS(BuildingPermits!$AV:$AV,BuildingPermits!$G:$G,14.2,BuildingPermits!$N:$N,U$2)+SUMIFS(BuildingPermits!$AV:$AV,BuildingPermits!$G:$G,14.3,BuildingPermits!$N:$N,U$2)</f>
        <v>195</v>
      </c>
      <c r="V183" s="39">
        <f>SUMIFS(BuildingPermits!$AV:$AV,BuildingPermits!$G:$G,14.2,BuildingPermits!$N:$N,V$2)+SUMIFS(BuildingPermits!$AV:$AV,BuildingPermits!$G:$G,14.3,BuildingPermits!$N:$N,V$2)</f>
        <v>0</v>
      </c>
      <c r="W183" s="39">
        <f>SUMIFS(BuildingPermits!$AV:$AV,BuildingPermits!$G:$G,14.2,BuildingPermits!$N:$N,W$2)+SUMIFS(BuildingPermits!$AV:$AV,BuildingPermits!$G:$G,14.3,BuildingPermits!$N:$N,W$2)</f>
        <v>0</v>
      </c>
      <c r="X183" s="39">
        <f>SUMIFS(BuildingPermits!$AV:$AV,BuildingPermits!$G:$G,14.2,BuildingPermits!$N:$N,X$2)+SUMIFS(BuildingPermits!$AV:$AV,BuildingPermits!$G:$G,14.3,BuildingPermits!$N:$N,X$2)</f>
        <v>0</v>
      </c>
      <c r="Y183" s="39">
        <f>SUMIFS(BuildingPermits!$AV:$AV,BuildingPermits!$G:$G,14.2,BuildingPermits!$N:$N,Y$2)+SUMIFS(BuildingPermits!$AV:$AV,BuildingPermits!$G:$G,14.3,BuildingPermits!$N:$N,Y$2)</f>
        <v>0</v>
      </c>
      <c r="Z183" s="39">
        <f>SUMIFS(BuildingPermits!$AV:$AV,BuildingPermits!$G:$G,14.2,BuildingPermits!$N:$N,Z$2)+SUMIFS(BuildingPermits!$AV:$AV,BuildingPermits!$G:$G,14.3,BuildingPermits!$N:$N,Z$2)</f>
        <v>0</v>
      </c>
      <c r="AA183" s="39">
        <f>SUMIFS(BuildingPermits!$AV:$AV,BuildingPermits!$G:$G,14.2,BuildingPermits!$N:$N,AA$2)+SUMIFS(BuildingPermits!$AV:$AV,BuildingPermits!$G:$G,14.3,BuildingPermits!$N:$N,AA$2)</f>
        <v>696</v>
      </c>
      <c r="AB183" s="39">
        <f>SUMIFS(BuildingPermits!$AV:$AV,BuildingPermits!$G:$G,14.2,BuildingPermits!$N:$N,AB$2)+SUMIFS(BuildingPermits!$AV:$AV,BuildingPermits!$G:$G,14.3,BuildingPermits!$N:$N,AB$2)</f>
        <v>0</v>
      </c>
      <c r="AC183" s="39">
        <f>SUMIFS(BuildingPermits!$AV:$AV,BuildingPermits!$G:$G,14.2,BuildingPermits!$N:$N,AC$2)+SUMIFS(BuildingPermits!$AV:$AV,BuildingPermits!$G:$G,14.3,BuildingPermits!$N:$N,AC$2)</f>
        <v>0</v>
      </c>
      <c r="AD183" s="39">
        <f>SUMIFS(BuildingPermits!$AV:$AV,BuildingPermits!$G:$G,14.2,BuildingPermits!$N:$N,AD$2)+SUMIFS(BuildingPermits!$AV:$AV,BuildingPermits!$G:$G,14.3,BuildingPermits!$N:$N,AD$2)</f>
        <v>0</v>
      </c>
      <c r="AE183" s="39">
        <f>SUMIFS(BuildingPermits!$AV:$AV,BuildingPermits!$G:$G,14.2,BuildingPermits!$N:$N,AE$2)+SUMIFS(BuildingPermits!$AV:$AV,BuildingPermits!$G:$G,14.3,BuildingPermits!$N:$N,AE$2)</f>
        <v>0</v>
      </c>
      <c r="AF183" s="39">
        <f>SUMIFS(BuildingPermits!$AV:$AV,BuildingPermits!$G:$G,14.2,BuildingPermits!$N:$N,AF$2)+SUMIFS(BuildingPermits!$AV:$AV,BuildingPermits!$G:$G,14.3,BuildingPermits!$N:$N,AF$2)</f>
        <v>0</v>
      </c>
      <c r="AG183" s="39">
        <f>SUMIFS(BuildingPermits!$AV:$AV,BuildingPermits!$G:$G,14.2,BuildingPermits!$N:$N,AG$2)+SUMIFS(BuildingPermits!$AV:$AV,BuildingPermits!$G:$G,14.3,BuildingPermits!$N:$N,AG$2)</f>
        <v>0</v>
      </c>
      <c r="AH183" s="39">
        <f>SUMIFS(BuildingPermits!$AV:$AV,BuildingPermits!$G:$G,14.2,BuildingPermits!$N:$N,AH$2)+SUMIFS(BuildingPermits!$AV:$AV,BuildingPermits!$G:$G,14.3,BuildingPermits!$N:$N,AH$2)</f>
        <v>0</v>
      </c>
      <c r="AI183" s="39">
        <f>SUMIFS(BuildingPermits!$AV:$AV,BuildingPermits!$G:$G,14.2,BuildingPermits!$N:$N,AI$2)+SUMIFS(BuildingPermits!$AV:$AV,BuildingPermits!$G:$G,14.3,BuildingPermits!$N:$N,AI$2)</f>
        <v>0</v>
      </c>
      <c r="AJ183" s="39">
        <f>SUMIFS(BuildingPermits!$AV:$AV,BuildingPermits!$G:$G,14.2,BuildingPermits!$N:$N,AJ$2)+SUMIFS(BuildingPermits!$AV:$AV,BuildingPermits!$G:$G,14.3,BuildingPermits!$N:$N,AJ$2)</f>
        <v>0</v>
      </c>
      <c r="AK183" s="39">
        <f>SUMIFS(BuildingPermits!$AV:$AV,BuildingPermits!$G:$G,14.2,BuildingPermits!$N:$N,AK$2)+SUMIFS(BuildingPermits!$AV:$AV,BuildingPermits!$G:$G,14.3,BuildingPermits!$N:$N,AK$2)</f>
        <v>0</v>
      </c>
    </row>
    <row r="184" spans="2:37" s="10" customFormat="1" x14ac:dyDescent="0.25">
      <c r="B184" s="11"/>
      <c r="D184" s="10" t="s">
        <v>91</v>
      </c>
      <c r="H184" s="10" t="s">
        <v>32</v>
      </c>
      <c r="I184" s="41">
        <f t="shared" ref="I184" si="105">SUM(I185:I189)</f>
        <v>25081</v>
      </c>
      <c r="J184" s="41">
        <f t="shared" ref="J184:AK184" si="106">SUM(J185:J189)</f>
        <v>13986</v>
      </c>
      <c r="K184" s="41">
        <f t="shared" si="106"/>
        <v>32904</v>
      </c>
      <c r="L184" s="41">
        <f t="shared" si="106"/>
        <v>145018</v>
      </c>
      <c r="M184" s="41">
        <f t="shared" si="106"/>
        <v>47633</v>
      </c>
      <c r="N184" s="41">
        <f t="shared" si="106"/>
        <v>136012</v>
      </c>
      <c r="O184" s="41">
        <f t="shared" si="106"/>
        <v>16623</v>
      </c>
      <c r="P184" s="41">
        <f t="shared" si="106"/>
        <v>17648</v>
      </c>
      <c r="Q184" s="41">
        <f t="shared" si="106"/>
        <v>24830</v>
      </c>
      <c r="R184" s="41">
        <f t="shared" si="106"/>
        <v>55412</v>
      </c>
      <c r="S184" s="41">
        <f t="shared" si="106"/>
        <v>5435</v>
      </c>
      <c r="T184" s="41">
        <f t="shared" si="106"/>
        <v>24024</v>
      </c>
      <c r="U184" s="41">
        <f t="shared" si="106"/>
        <v>11800</v>
      </c>
      <c r="V184" s="41">
        <f t="shared" si="106"/>
        <v>22318</v>
      </c>
      <c r="W184" s="41">
        <f t="shared" si="106"/>
        <v>549</v>
      </c>
      <c r="X184" s="41">
        <f t="shared" si="106"/>
        <v>10475</v>
      </c>
      <c r="Y184" s="41">
        <f t="shared" si="106"/>
        <v>6125</v>
      </c>
      <c r="Z184" s="41">
        <f t="shared" si="106"/>
        <v>82371</v>
      </c>
      <c r="AA184" s="41">
        <f t="shared" si="106"/>
        <v>25700</v>
      </c>
      <c r="AB184" s="41">
        <f t="shared" si="106"/>
        <v>8673</v>
      </c>
      <c r="AC184" s="41">
        <f t="shared" si="106"/>
        <v>5806</v>
      </c>
      <c r="AD184" s="41">
        <f t="shared" si="106"/>
        <v>0</v>
      </c>
      <c r="AE184" s="41">
        <f t="shared" si="106"/>
        <v>0</v>
      </c>
      <c r="AF184" s="41">
        <f t="shared" si="106"/>
        <v>0</v>
      </c>
      <c r="AG184" s="41">
        <f t="shared" si="106"/>
        <v>0</v>
      </c>
      <c r="AH184" s="41">
        <f t="shared" si="106"/>
        <v>0</v>
      </c>
      <c r="AI184" s="41">
        <f t="shared" si="106"/>
        <v>0</v>
      </c>
      <c r="AJ184" s="41">
        <f t="shared" si="106"/>
        <v>0</v>
      </c>
      <c r="AK184" s="41">
        <f t="shared" si="106"/>
        <v>0</v>
      </c>
    </row>
    <row r="185" spans="2:37" x14ac:dyDescent="0.25">
      <c r="E185" t="s">
        <v>92</v>
      </c>
      <c r="H185" t="s">
        <v>32</v>
      </c>
      <c r="I185" s="39">
        <f>SUMIFS(BuildingPermits!$AV:$AV,BuildingPermits!$F:$F,8,BuildingPermits!$N:$N,I$2)-I179</f>
        <v>22877</v>
      </c>
      <c r="J185" s="39">
        <f>SUMIFS(BuildingPermits!$AV:$AV,BuildingPermits!$F:$F,8,BuildingPermits!$N:$N,J$2)-J179</f>
        <v>1500</v>
      </c>
      <c r="K185" s="39">
        <f>SUMIFS(BuildingPermits!$AV:$AV,BuildingPermits!$F:$F,8,BuildingPermits!$N:$N,K$2)-K179</f>
        <v>0</v>
      </c>
      <c r="L185" s="39">
        <f>SUMIFS(BuildingPermits!$AV:$AV,BuildingPermits!$F:$F,8,BuildingPermits!$N:$N,L$2)-L179</f>
        <v>1860</v>
      </c>
      <c r="M185" s="39">
        <f>SUMIFS(BuildingPermits!$AV:$AV,BuildingPermits!$F:$F,8,BuildingPermits!$N:$N,M$2)-M179</f>
        <v>1302</v>
      </c>
      <c r="N185" s="39">
        <f>SUMIFS(BuildingPermits!$AV:$AV,BuildingPermits!$F:$F,8,BuildingPermits!$N:$N,N$2)-N179</f>
        <v>7153</v>
      </c>
      <c r="O185" s="39">
        <f>SUMIFS(BuildingPermits!$AV:$AV,BuildingPermits!$F:$F,8,BuildingPermits!$N:$N,O$2)-O179</f>
        <v>5384</v>
      </c>
      <c r="P185" s="39">
        <f>SUMIFS(BuildingPermits!$AV:$AV,BuildingPermits!$F:$F,8,BuildingPermits!$N:$N,P$2)-P179</f>
        <v>804</v>
      </c>
      <c r="Q185" s="39">
        <f>SUMIFS(BuildingPermits!$AV:$AV,BuildingPermits!$F:$F,8,BuildingPermits!$N:$N,Q$2)-Q179</f>
        <v>1136</v>
      </c>
      <c r="R185" s="39">
        <f>SUMIFS(BuildingPermits!$AV:$AV,BuildingPermits!$F:$F,8,BuildingPermits!$N:$N,R$2)-R179</f>
        <v>0</v>
      </c>
      <c r="S185" s="39">
        <f>SUMIFS(BuildingPermits!$AV:$AV,BuildingPermits!$F:$F,8,BuildingPermits!$N:$N,S$2)-S179</f>
        <v>0</v>
      </c>
      <c r="T185" s="39">
        <f>SUMIFS(BuildingPermits!$AV:$AV,BuildingPermits!$F:$F,8,BuildingPermits!$N:$N,T$2)-T179</f>
        <v>23355</v>
      </c>
      <c r="U185" s="39">
        <f>SUMIFS(BuildingPermits!$AV:$AV,BuildingPermits!$F:$F,8,BuildingPermits!$N:$N,U$2)-U179</f>
        <v>2386</v>
      </c>
      <c r="V185" s="39">
        <f>SUMIFS(BuildingPermits!$AV:$AV,BuildingPermits!$F:$F,8,BuildingPermits!$N:$N,V$2)-V179</f>
        <v>-2356</v>
      </c>
      <c r="W185" s="39">
        <f>SUMIFS(BuildingPermits!$AV:$AV,BuildingPermits!$F:$F,8,BuildingPermits!$N:$N,W$2)-W179</f>
        <v>1633</v>
      </c>
      <c r="X185" s="39">
        <f>SUMIFS(BuildingPermits!$AV:$AV,BuildingPermits!$F:$F,8,BuildingPermits!$N:$N,X$2)-X179</f>
        <v>4113</v>
      </c>
      <c r="Y185" s="39">
        <f>SUMIFS(BuildingPermits!$AV:$AV,BuildingPermits!$F:$F,8,BuildingPermits!$N:$N,Y$2)-Y179</f>
        <v>70</v>
      </c>
      <c r="Z185" s="39">
        <f>SUMIFS(BuildingPermits!$AV:$AV,BuildingPermits!$F:$F,8,BuildingPermits!$N:$N,Z$2)-Z179</f>
        <v>5365</v>
      </c>
      <c r="AA185" s="39">
        <f>SUMIFS(BuildingPermits!$AV:$AV,BuildingPermits!$F:$F,8,BuildingPermits!$N:$N,AA$2)-AA179</f>
        <v>10132</v>
      </c>
      <c r="AB185" s="39">
        <f>SUMIFS(BuildingPermits!$AV:$AV,BuildingPermits!$F:$F,8,BuildingPermits!$N:$N,AB$2)-AB179</f>
        <v>0</v>
      </c>
      <c r="AC185" s="39">
        <f>SUMIFS(BuildingPermits!$AV:$AV,BuildingPermits!$F:$F,8,BuildingPermits!$N:$N,AC$2)-AC179</f>
        <v>2935</v>
      </c>
      <c r="AD185" s="39">
        <f>SUMIFS(BuildingPermits!$AV:$AV,BuildingPermits!$F:$F,8,BuildingPermits!$N:$N,AD$2)-AD179</f>
        <v>0</v>
      </c>
      <c r="AE185" s="39">
        <f>SUMIFS(BuildingPermits!$AV:$AV,BuildingPermits!$F:$F,8,BuildingPermits!$N:$N,AE$2)-AE179</f>
        <v>0</v>
      </c>
      <c r="AF185" s="39">
        <f>SUMIFS(BuildingPermits!$AV:$AV,BuildingPermits!$F:$F,8,BuildingPermits!$N:$N,AF$2)-AF179</f>
        <v>0</v>
      </c>
      <c r="AG185" s="39">
        <f>SUMIFS(BuildingPermits!$AV:$AV,BuildingPermits!$F:$F,8,BuildingPermits!$N:$N,AG$2)-AG179</f>
        <v>0</v>
      </c>
      <c r="AH185" s="39">
        <f>SUMIFS(BuildingPermits!$AV:$AV,BuildingPermits!$F:$F,8,BuildingPermits!$N:$N,AH$2)-AH179</f>
        <v>0</v>
      </c>
      <c r="AI185" s="39">
        <f>SUMIFS(BuildingPermits!$AV:$AV,BuildingPermits!$F:$F,8,BuildingPermits!$N:$N,AI$2)-AI179</f>
        <v>0</v>
      </c>
      <c r="AJ185" s="39">
        <f>SUMIFS(BuildingPermits!$AV:$AV,BuildingPermits!$F:$F,8,BuildingPermits!$N:$N,AJ$2)-AJ179</f>
        <v>0</v>
      </c>
      <c r="AK185" s="39">
        <f>SUMIFS(BuildingPermits!$AV:$AV,BuildingPermits!$F:$F,8,BuildingPermits!$N:$N,AK$2)-AK179</f>
        <v>0</v>
      </c>
    </row>
    <row r="186" spans="2:37" x14ac:dyDescent="0.25">
      <c r="E186" t="s">
        <v>93</v>
      </c>
      <c r="H186" t="s">
        <v>32</v>
      </c>
      <c r="I186" s="39">
        <f>SUMIFS(BuildingPermits!$AV:$AV,BuildingPermits!$F:$F,9,BuildingPermits!$N:$N,I$2)</f>
        <v>600</v>
      </c>
      <c r="J186" s="39">
        <f>SUMIFS(BuildingPermits!$AV:$AV,BuildingPermits!$F:$F,9,BuildingPermits!$N:$N,J$2)</f>
        <v>11486</v>
      </c>
      <c r="K186" s="39">
        <f>SUMIFS(BuildingPermits!$AV:$AV,BuildingPermits!$F:$F,9,BuildingPermits!$N:$N,K$2)</f>
        <v>18935</v>
      </c>
      <c r="L186" s="39">
        <f>SUMIFS(BuildingPermits!$AV:$AV,BuildingPermits!$F:$F,9,BuildingPermits!$N:$N,L$2)</f>
        <v>141048</v>
      </c>
      <c r="M186" s="39">
        <f>SUMIFS(BuildingPermits!$AV:$AV,BuildingPermits!$F:$F,9,BuildingPermits!$N:$N,M$2)</f>
        <v>39729</v>
      </c>
      <c r="N186" s="39">
        <f>SUMIFS(BuildingPermits!$AV:$AV,BuildingPermits!$F:$F,9,BuildingPermits!$N:$N,N$2)</f>
        <v>116150</v>
      </c>
      <c r="O186" s="39">
        <f>SUMIFS(BuildingPermits!$AV:$AV,BuildingPermits!$F:$F,9,BuildingPermits!$N:$N,O$2)</f>
        <v>8659</v>
      </c>
      <c r="P186" s="39">
        <f>SUMIFS(BuildingPermits!$AV:$AV,BuildingPermits!$F:$F,9,BuildingPermits!$N:$N,P$2)</f>
        <v>16460</v>
      </c>
      <c r="Q186" s="39">
        <f>SUMIFS(BuildingPermits!$AV:$AV,BuildingPermits!$F:$F,9,BuildingPermits!$N:$N,Q$2)</f>
        <v>10334</v>
      </c>
      <c r="R186" s="39">
        <f>SUMIFS(BuildingPermits!$AV:$AV,BuildingPermits!$F:$F,9,BuildingPermits!$N:$N,R$2)</f>
        <v>53000</v>
      </c>
      <c r="S186" s="39">
        <f>SUMIFS(BuildingPermits!$AV:$AV,BuildingPermits!$F:$F,9,BuildingPermits!$N:$N,S$2)</f>
        <v>3089</v>
      </c>
      <c r="T186" s="39">
        <f>SUMIFS(BuildingPermits!$AV:$AV,BuildingPermits!$F:$F,9,BuildingPermits!$N:$N,T$2)</f>
        <v>0</v>
      </c>
      <c r="U186" s="39">
        <f>SUMIFS(BuildingPermits!$AV:$AV,BuildingPermits!$F:$F,9,BuildingPermits!$N:$N,U$2)</f>
        <v>5434</v>
      </c>
      <c r="V186" s="39">
        <f>SUMIFS(BuildingPermits!$AV:$AV,BuildingPermits!$F:$F,9,BuildingPermits!$N:$N,V$2)</f>
        <v>22296</v>
      </c>
      <c r="W186" s="39">
        <f>SUMIFS(BuildingPermits!$AV:$AV,BuildingPermits!$F:$F,9,BuildingPermits!$N:$N,W$2)</f>
        <v>-1084</v>
      </c>
      <c r="X186" s="39">
        <f>SUMIFS(BuildingPermits!$AV:$AV,BuildingPermits!$F:$F,9,BuildingPermits!$N:$N,X$2)</f>
        <v>6362</v>
      </c>
      <c r="Y186" s="39">
        <f>SUMIFS(BuildingPermits!$AV:$AV,BuildingPermits!$F:$F,9,BuildingPermits!$N:$N,Y$2)</f>
        <v>6055</v>
      </c>
      <c r="Z186" s="39">
        <f>SUMIFS(BuildingPermits!$AV:$AV,BuildingPermits!$F:$F,9,BuildingPermits!$N:$N,Z$2)</f>
        <v>57224</v>
      </c>
      <c r="AA186" s="39">
        <f>SUMIFS(BuildingPermits!$AV:$AV,BuildingPermits!$F:$F,9,BuildingPermits!$N:$N,AA$2)</f>
        <v>5692</v>
      </c>
      <c r="AB186" s="39">
        <f>SUMIFS(BuildingPermits!$AV:$AV,BuildingPermits!$F:$F,9,BuildingPermits!$N:$N,AB$2)</f>
        <v>2577</v>
      </c>
      <c r="AC186" s="39">
        <f>SUMIFS(BuildingPermits!$AV:$AV,BuildingPermits!$F:$F,9,BuildingPermits!$N:$N,AC$2)</f>
        <v>2871</v>
      </c>
      <c r="AD186" s="39">
        <f>SUMIFS(BuildingPermits!$AV:$AV,BuildingPermits!$F:$F,9,BuildingPermits!$N:$N,AD$2)</f>
        <v>0</v>
      </c>
      <c r="AE186" s="39">
        <f>SUMIFS(BuildingPermits!$AV:$AV,BuildingPermits!$F:$F,9,BuildingPermits!$N:$N,AE$2)</f>
        <v>0</v>
      </c>
      <c r="AF186" s="39">
        <f>SUMIFS(BuildingPermits!$AV:$AV,BuildingPermits!$F:$F,9,BuildingPermits!$N:$N,AF$2)</f>
        <v>0</v>
      </c>
      <c r="AG186" s="39">
        <f>SUMIFS(BuildingPermits!$AV:$AV,BuildingPermits!$F:$F,9,BuildingPermits!$N:$N,AG$2)</f>
        <v>0</v>
      </c>
      <c r="AH186" s="39">
        <f>SUMIFS(BuildingPermits!$AV:$AV,BuildingPermits!$F:$F,9,BuildingPermits!$N:$N,AH$2)</f>
        <v>0</v>
      </c>
      <c r="AI186" s="39">
        <f>SUMIFS(BuildingPermits!$AV:$AV,BuildingPermits!$F:$F,9,BuildingPermits!$N:$N,AI$2)</f>
        <v>0</v>
      </c>
      <c r="AJ186" s="39">
        <f>SUMIFS(BuildingPermits!$AV:$AV,BuildingPermits!$F:$F,9,BuildingPermits!$N:$N,AJ$2)</f>
        <v>0</v>
      </c>
      <c r="AK186" s="39">
        <f>SUMIFS(BuildingPermits!$AV:$AV,BuildingPermits!$F:$F,9,BuildingPermits!$N:$N,AK$2)</f>
        <v>0</v>
      </c>
    </row>
    <row r="187" spans="2:37" x14ac:dyDescent="0.25">
      <c r="E187" t="s">
        <v>94</v>
      </c>
      <c r="H187" t="s">
        <v>32</v>
      </c>
      <c r="I187" s="39">
        <f>SUMIFS(BuildingPermits!$AV:$AV,BuildingPermits!$F:$F,10,BuildingPermits!$N:$N,I$2)</f>
        <v>1116</v>
      </c>
      <c r="J187" s="39">
        <f>SUMIFS(BuildingPermits!$AV:$AV,BuildingPermits!$F:$F,10,BuildingPermits!$N:$N,J$2)</f>
        <v>0</v>
      </c>
      <c r="K187" s="39">
        <f>SUMIFS(BuildingPermits!$AV:$AV,BuildingPermits!$F:$F,10,BuildingPermits!$N:$N,K$2)</f>
        <v>0</v>
      </c>
      <c r="L187" s="39">
        <f>SUMIFS(BuildingPermits!$AV:$AV,BuildingPermits!$F:$F,10,BuildingPermits!$N:$N,L$2)</f>
        <v>640</v>
      </c>
      <c r="M187" s="39">
        <f>SUMIFS(BuildingPermits!$AV:$AV,BuildingPermits!$F:$F,10,BuildingPermits!$N:$N,M$2)</f>
        <v>0</v>
      </c>
      <c r="N187" s="39">
        <f>SUMIFS(BuildingPermits!$AV:$AV,BuildingPermits!$F:$F,10,BuildingPermits!$N:$N,N$2)</f>
        <v>0</v>
      </c>
      <c r="O187" s="39">
        <f>SUMIFS(BuildingPermits!$AV:$AV,BuildingPermits!$F:$F,10,BuildingPermits!$N:$N,O$2)</f>
        <v>0</v>
      </c>
      <c r="P187" s="39">
        <f>SUMIFS(BuildingPermits!$AV:$AV,BuildingPermits!$F:$F,10,BuildingPermits!$N:$N,P$2)</f>
        <v>0</v>
      </c>
      <c r="Q187" s="39">
        <f>SUMIFS(BuildingPermits!$AV:$AV,BuildingPermits!$F:$F,10,BuildingPermits!$N:$N,Q$2)</f>
        <v>11960</v>
      </c>
      <c r="R187" s="39">
        <f>SUMIFS(BuildingPermits!$AV:$AV,BuildingPermits!$F:$F,10,BuildingPermits!$N:$N,R$2)</f>
        <v>0</v>
      </c>
      <c r="S187" s="39">
        <f>SUMIFS(BuildingPermits!$AV:$AV,BuildingPermits!$F:$F,10,BuildingPermits!$N:$N,S$2)</f>
        <v>0</v>
      </c>
      <c r="T187" s="39">
        <f>SUMIFS(BuildingPermits!$AV:$AV,BuildingPermits!$F:$F,10,BuildingPermits!$N:$N,T$2)</f>
        <v>669</v>
      </c>
      <c r="U187" s="39">
        <f>SUMIFS(BuildingPermits!$AV:$AV,BuildingPermits!$F:$F,10,BuildingPermits!$N:$N,U$2)</f>
        <v>0</v>
      </c>
      <c r="V187" s="39">
        <f>SUMIFS(BuildingPermits!$AV:$AV,BuildingPermits!$F:$F,10,BuildingPermits!$N:$N,V$2)</f>
        <v>0</v>
      </c>
      <c r="W187" s="39">
        <f>SUMIFS(BuildingPermits!$AV:$AV,BuildingPermits!$F:$F,10,BuildingPermits!$N:$N,W$2)</f>
        <v>0</v>
      </c>
      <c r="X187" s="39">
        <f>SUMIFS(BuildingPermits!$AV:$AV,BuildingPermits!$F:$F,10,BuildingPermits!$N:$N,X$2)</f>
        <v>0</v>
      </c>
      <c r="Y187" s="39">
        <f>SUMIFS(BuildingPermits!$AV:$AV,BuildingPermits!$F:$F,10,BuildingPermits!$N:$N,Y$2)</f>
        <v>0</v>
      </c>
      <c r="Z187" s="39">
        <f>SUMIFS(BuildingPermits!$AV:$AV,BuildingPermits!$F:$F,10,BuildingPermits!$N:$N,Z$2)</f>
        <v>19782</v>
      </c>
      <c r="AA187" s="39">
        <f>SUMIFS(BuildingPermits!$AV:$AV,BuildingPermits!$F:$F,10,BuildingPermits!$N:$N,AA$2)</f>
        <v>9876</v>
      </c>
      <c r="AB187" s="39">
        <f>SUMIFS(BuildingPermits!$AV:$AV,BuildingPermits!$F:$F,10,BuildingPermits!$N:$N,AB$2)</f>
        <v>0</v>
      </c>
      <c r="AC187" s="39">
        <f>SUMIFS(BuildingPermits!$AV:$AV,BuildingPermits!$F:$F,10,BuildingPermits!$N:$N,AC$2)</f>
        <v>0</v>
      </c>
      <c r="AD187" s="39">
        <f>SUMIFS(BuildingPermits!$AV:$AV,BuildingPermits!$F:$F,10,BuildingPermits!$N:$N,AD$2)</f>
        <v>0</v>
      </c>
      <c r="AE187" s="39">
        <f>SUMIFS(BuildingPermits!$AV:$AV,BuildingPermits!$F:$F,10,BuildingPermits!$N:$N,AE$2)</f>
        <v>0</v>
      </c>
      <c r="AF187" s="39">
        <f>SUMIFS(BuildingPermits!$AV:$AV,BuildingPermits!$F:$F,10,BuildingPermits!$N:$N,AF$2)</f>
        <v>0</v>
      </c>
      <c r="AG187" s="39">
        <f>SUMIFS(BuildingPermits!$AV:$AV,BuildingPermits!$F:$F,10,BuildingPermits!$N:$N,AG$2)</f>
        <v>0</v>
      </c>
      <c r="AH187" s="39">
        <f>SUMIFS(BuildingPermits!$AV:$AV,BuildingPermits!$F:$F,10,BuildingPermits!$N:$N,AH$2)</f>
        <v>0</v>
      </c>
      <c r="AI187" s="39">
        <f>SUMIFS(BuildingPermits!$AV:$AV,BuildingPermits!$F:$F,10,BuildingPermits!$N:$N,AI$2)</f>
        <v>0</v>
      </c>
      <c r="AJ187" s="39">
        <f>SUMIFS(BuildingPermits!$AV:$AV,BuildingPermits!$F:$F,10,BuildingPermits!$N:$N,AJ$2)</f>
        <v>0</v>
      </c>
      <c r="AK187" s="39">
        <f>SUMIFS(BuildingPermits!$AV:$AV,BuildingPermits!$F:$F,10,BuildingPermits!$N:$N,AK$2)</f>
        <v>0</v>
      </c>
    </row>
    <row r="188" spans="2:37" x14ac:dyDescent="0.25">
      <c r="E188" t="s">
        <v>95</v>
      </c>
      <c r="H188" t="s">
        <v>32</v>
      </c>
      <c r="I188" s="39">
        <f>SUMIFS(BuildingPermits!$AV:$AV,BuildingPermits!$G:$G,14.1,BuildingPermits!$N:$N,I$2)</f>
        <v>0</v>
      </c>
      <c r="J188" s="39">
        <f>SUMIFS(BuildingPermits!$AV:$AV,BuildingPermits!$G:$G,14.1,BuildingPermits!$N:$N,J$2)</f>
        <v>0</v>
      </c>
      <c r="K188" s="39">
        <f>SUMIFS(BuildingPermits!$AV:$AV,BuildingPermits!$G:$G,14.1,BuildingPermits!$N:$N,K$2)</f>
        <v>369</v>
      </c>
      <c r="L188" s="39">
        <f>SUMIFS(BuildingPermits!$AV:$AV,BuildingPermits!$G:$G,14.1,BuildingPermits!$N:$N,L$2)</f>
        <v>0</v>
      </c>
      <c r="M188" s="39">
        <f>SUMIFS(BuildingPermits!$AV:$AV,BuildingPermits!$G:$G,14.1,BuildingPermits!$N:$N,M$2)</f>
        <v>0</v>
      </c>
      <c r="N188" s="39">
        <f>SUMIFS(BuildingPermits!$AV:$AV,BuildingPermits!$G:$G,14.1,BuildingPermits!$N:$N,N$2)</f>
        <v>0</v>
      </c>
      <c r="O188" s="39">
        <f>SUMIFS(BuildingPermits!$AV:$AV,BuildingPermits!$G:$G,14.1,BuildingPermits!$N:$N,O$2)</f>
        <v>2100</v>
      </c>
      <c r="P188" s="39">
        <f>SUMIFS(BuildingPermits!$AV:$AV,BuildingPermits!$G:$G,14.1,BuildingPermits!$N:$N,P$2)</f>
        <v>192</v>
      </c>
      <c r="Q188" s="39">
        <f>SUMIFS(BuildingPermits!$AV:$AV,BuildingPermits!$G:$G,14.1,BuildingPermits!$N:$N,Q$2)</f>
        <v>0</v>
      </c>
      <c r="R188" s="39">
        <f>SUMIFS(BuildingPermits!$AV:$AV,BuildingPermits!$G:$G,14.1,BuildingPermits!$N:$N,R$2)</f>
        <v>1008</v>
      </c>
      <c r="S188" s="39">
        <f>SUMIFS(BuildingPermits!$AV:$AV,BuildingPermits!$G:$G,14.1,BuildingPermits!$N:$N,S$2)</f>
        <v>0</v>
      </c>
      <c r="T188" s="39">
        <f>SUMIFS(BuildingPermits!$AV:$AV,BuildingPermits!$G:$G,14.1,BuildingPermits!$N:$N,T$2)</f>
        <v>0</v>
      </c>
      <c r="U188" s="39">
        <f>SUMIFS(BuildingPermits!$AV:$AV,BuildingPermits!$G:$G,14.1,BuildingPermits!$N:$N,U$2)</f>
        <v>0</v>
      </c>
      <c r="V188" s="39">
        <f>SUMIFS(BuildingPermits!$AV:$AV,BuildingPermits!$G:$G,14.1,BuildingPermits!$N:$N,V$2)</f>
        <v>0</v>
      </c>
      <c r="W188" s="39">
        <f>SUMIFS(BuildingPermits!$AV:$AV,BuildingPermits!$G:$G,14.1,BuildingPermits!$N:$N,W$2)</f>
        <v>0</v>
      </c>
      <c r="X188" s="39">
        <f>SUMIFS(BuildingPermits!$AV:$AV,BuildingPermits!$G:$G,14.1,BuildingPermits!$N:$N,X$2)</f>
        <v>0</v>
      </c>
      <c r="Y188" s="39">
        <f>SUMIFS(BuildingPermits!$AV:$AV,BuildingPermits!$G:$G,14.1,BuildingPermits!$N:$N,Y$2)</f>
        <v>0</v>
      </c>
      <c r="Z188" s="39">
        <f>SUMIFS(BuildingPermits!$AV:$AV,BuildingPermits!$G:$G,14.1,BuildingPermits!$N:$N,Z$2)</f>
        <v>0</v>
      </c>
      <c r="AA188" s="39">
        <f>SUMIFS(BuildingPermits!$AV:$AV,BuildingPermits!$G:$G,14.1,BuildingPermits!$N:$N,AA$2)</f>
        <v>0</v>
      </c>
      <c r="AB188" s="39">
        <f>SUMIFS(BuildingPermits!$AV:$AV,BuildingPermits!$G:$G,14.1,BuildingPermits!$N:$N,AB$2)</f>
        <v>0</v>
      </c>
      <c r="AC188" s="39">
        <f>SUMIFS(BuildingPermits!$AV:$AV,BuildingPermits!$G:$G,14.1,BuildingPermits!$N:$N,AC$2)</f>
        <v>0</v>
      </c>
      <c r="AD188" s="39">
        <f>SUMIFS(BuildingPermits!$AV:$AV,BuildingPermits!$G:$G,14.1,BuildingPermits!$N:$N,AD$2)</f>
        <v>0</v>
      </c>
      <c r="AE188" s="39">
        <f>SUMIFS(BuildingPermits!$AV:$AV,BuildingPermits!$G:$G,14.1,BuildingPermits!$N:$N,AE$2)</f>
        <v>0</v>
      </c>
      <c r="AF188" s="39">
        <f>SUMIFS(BuildingPermits!$AV:$AV,BuildingPermits!$G:$G,14.1,BuildingPermits!$N:$N,AF$2)</f>
        <v>0</v>
      </c>
      <c r="AG188" s="39">
        <f>SUMIFS(BuildingPermits!$AV:$AV,BuildingPermits!$G:$G,14.1,BuildingPermits!$N:$N,AG$2)</f>
        <v>0</v>
      </c>
      <c r="AH188" s="39">
        <f>SUMIFS(BuildingPermits!$AV:$AV,BuildingPermits!$G:$G,14.1,BuildingPermits!$N:$N,AH$2)</f>
        <v>0</v>
      </c>
      <c r="AI188" s="39">
        <f>SUMIFS(BuildingPermits!$AV:$AV,BuildingPermits!$G:$G,14.1,BuildingPermits!$N:$N,AI$2)</f>
        <v>0</v>
      </c>
      <c r="AJ188" s="39">
        <f>SUMIFS(BuildingPermits!$AV:$AV,BuildingPermits!$G:$G,14.1,BuildingPermits!$N:$N,AJ$2)</f>
        <v>0</v>
      </c>
      <c r="AK188" s="39">
        <f>SUMIFS(BuildingPermits!$AV:$AV,BuildingPermits!$G:$G,14.1,BuildingPermits!$N:$N,AK$2)</f>
        <v>0</v>
      </c>
    </row>
    <row r="189" spans="2:37" x14ac:dyDescent="0.25">
      <c r="E189" t="s">
        <v>96</v>
      </c>
      <c r="H189" t="s">
        <v>32</v>
      </c>
      <c r="I189" s="39">
        <f>SUMIFS(BuildingPermits!$AV:$AV,BuildingPermits!$F:$F,15,BuildingPermits!$N:$N,I$2)</f>
        <v>488</v>
      </c>
      <c r="J189" s="39">
        <f>SUMIFS(BuildingPermits!$AV:$AV,BuildingPermits!$F:$F,15,BuildingPermits!$N:$N,J$2)</f>
        <v>1000</v>
      </c>
      <c r="K189" s="39">
        <f>SUMIFS(BuildingPermits!$AV:$AV,BuildingPermits!$F:$F,15,BuildingPermits!$N:$N,K$2)</f>
        <v>13600</v>
      </c>
      <c r="L189" s="39">
        <f>SUMIFS(BuildingPermits!$AV:$AV,BuildingPermits!$F:$F,15,BuildingPermits!$N:$N,L$2)</f>
        <v>1470</v>
      </c>
      <c r="M189" s="39">
        <f>SUMIFS(BuildingPermits!$AV:$AV,BuildingPermits!$F:$F,15,BuildingPermits!$N:$N,M$2)</f>
        <v>6602</v>
      </c>
      <c r="N189" s="39">
        <f>SUMIFS(BuildingPermits!$AV:$AV,BuildingPermits!$F:$F,15,BuildingPermits!$N:$N,N$2)</f>
        <v>12709</v>
      </c>
      <c r="O189" s="39">
        <f>SUMIFS(BuildingPermits!$AV:$AV,BuildingPermits!$F:$F,15,BuildingPermits!$N:$N,O$2)</f>
        <v>480</v>
      </c>
      <c r="P189" s="39">
        <f>SUMIFS(BuildingPermits!$AV:$AV,BuildingPermits!$F:$F,15,BuildingPermits!$N:$N,P$2)</f>
        <v>192</v>
      </c>
      <c r="Q189" s="39">
        <f>SUMIFS(BuildingPermits!$AV:$AV,BuildingPermits!$F:$F,15,BuildingPermits!$N:$N,Q$2)</f>
        <v>1400</v>
      </c>
      <c r="R189" s="39">
        <f>SUMIFS(BuildingPermits!$AV:$AV,BuildingPermits!$F:$F,15,BuildingPermits!$N:$N,R$2)</f>
        <v>1404</v>
      </c>
      <c r="S189" s="39">
        <f>SUMIFS(BuildingPermits!$AV:$AV,BuildingPermits!$F:$F,15,BuildingPermits!$N:$N,S$2)</f>
        <v>2346</v>
      </c>
      <c r="T189" s="39">
        <f>SUMIFS(BuildingPermits!$AV:$AV,BuildingPermits!$F:$F,15,BuildingPermits!$N:$N,T$2)</f>
        <v>0</v>
      </c>
      <c r="U189" s="39">
        <f>SUMIFS(BuildingPermits!$AV:$AV,BuildingPermits!$F:$F,15,BuildingPermits!$N:$N,U$2)</f>
        <v>3980</v>
      </c>
      <c r="V189" s="39">
        <f>SUMIFS(BuildingPermits!$AV:$AV,BuildingPermits!$F:$F,15,BuildingPermits!$N:$N,V$2)</f>
        <v>2378</v>
      </c>
      <c r="W189" s="39">
        <f>SUMIFS(BuildingPermits!$AV:$AV,BuildingPermits!$F:$F,15,BuildingPermits!$N:$N,W$2)</f>
        <v>0</v>
      </c>
      <c r="X189" s="39">
        <f>SUMIFS(BuildingPermits!$AV:$AV,BuildingPermits!$F:$F,15,BuildingPermits!$N:$N,X$2)</f>
        <v>0</v>
      </c>
      <c r="Y189" s="39">
        <f>SUMIFS(BuildingPermits!$AV:$AV,BuildingPermits!$F:$F,15,BuildingPermits!$N:$N,Y$2)</f>
        <v>0</v>
      </c>
      <c r="Z189" s="39">
        <f>SUMIFS(BuildingPermits!$AV:$AV,BuildingPermits!$F:$F,15,BuildingPermits!$N:$N,Z$2)</f>
        <v>0</v>
      </c>
      <c r="AA189" s="39">
        <f>SUMIFS(BuildingPermits!$AV:$AV,BuildingPermits!$F:$F,15,BuildingPermits!$N:$N,AA$2)</f>
        <v>0</v>
      </c>
      <c r="AB189" s="39">
        <f>SUMIFS(BuildingPermits!$AV:$AV,BuildingPermits!$F:$F,15,BuildingPermits!$N:$N,AB$2)</f>
        <v>6096</v>
      </c>
      <c r="AC189" s="39">
        <f>SUMIFS(BuildingPermits!$AV:$AV,BuildingPermits!$F:$F,15,BuildingPermits!$N:$N,AC$2)</f>
        <v>0</v>
      </c>
      <c r="AD189" s="39">
        <f>SUMIFS(BuildingPermits!$AV:$AV,BuildingPermits!$F:$F,15,BuildingPermits!$N:$N,AD$2)</f>
        <v>0</v>
      </c>
      <c r="AE189" s="39">
        <f>SUMIFS(BuildingPermits!$AV:$AV,BuildingPermits!$F:$F,15,BuildingPermits!$N:$N,AE$2)</f>
        <v>0</v>
      </c>
      <c r="AF189" s="39">
        <f>SUMIFS(BuildingPermits!$AV:$AV,BuildingPermits!$F:$F,15,BuildingPermits!$N:$N,AF$2)</f>
        <v>0</v>
      </c>
      <c r="AG189" s="39">
        <f>SUMIFS(BuildingPermits!$AV:$AV,BuildingPermits!$F:$F,15,BuildingPermits!$N:$N,AG$2)</f>
        <v>0</v>
      </c>
      <c r="AH189" s="39">
        <f>SUMIFS(BuildingPermits!$AV:$AV,BuildingPermits!$F:$F,15,BuildingPermits!$N:$N,AH$2)</f>
        <v>0</v>
      </c>
      <c r="AI189" s="39">
        <f>SUMIFS(BuildingPermits!$AV:$AV,BuildingPermits!$F:$F,15,BuildingPermits!$N:$N,AI$2)</f>
        <v>0</v>
      </c>
      <c r="AJ189" s="39">
        <f>SUMIFS(BuildingPermits!$AV:$AV,BuildingPermits!$F:$F,15,BuildingPermits!$N:$N,AJ$2)</f>
        <v>0</v>
      </c>
      <c r="AK189" s="39">
        <f>SUMIFS(BuildingPermits!$AV:$AV,BuildingPermits!$F:$F,15,BuildingPermits!$N:$N,AK$2)</f>
        <v>0</v>
      </c>
    </row>
    <row r="190" spans="2:37" x14ac:dyDescent="0.25">
      <c r="C190" s="8" t="s">
        <v>98</v>
      </c>
      <c r="D190" s="8"/>
      <c r="E190" s="8"/>
      <c r="F190" s="8"/>
      <c r="G190" s="8"/>
      <c r="H190" s="8" t="s">
        <v>23</v>
      </c>
      <c r="I190" s="42">
        <f t="shared" ref="I190:Z190" si="107">SUM(I194:I205,I207:I211)</f>
        <v>8152</v>
      </c>
      <c r="J190" s="42">
        <f t="shared" si="107"/>
        <v>8339</v>
      </c>
      <c r="K190" s="42">
        <f t="shared" si="107"/>
        <v>8660</v>
      </c>
      <c r="L190" s="42">
        <f t="shared" si="107"/>
        <v>8816</v>
      </c>
      <c r="M190" s="42">
        <f t="shared" si="107"/>
        <v>9073</v>
      </c>
      <c r="N190" s="42">
        <f t="shared" si="107"/>
        <v>9239</v>
      </c>
      <c r="O190" s="42">
        <f t="shared" si="107"/>
        <v>9404</v>
      </c>
      <c r="P190" s="42">
        <f t="shared" si="107"/>
        <v>9585</v>
      </c>
      <c r="Q190" s="42">
        <f t="shared" si="107"/>
        <v>9755</v>
      </c>
      <c r="R190" s="42">
        <f t="shared" si="107"/>
        <v>9823</v>
      </c>
      <c r="S190" s="42">
        <f t="shared" si="107"/>
        <v>9889</v>
      </c>
      <c r="T190" s="42">
        <f t="shared" si="107"/>
        <v>9952</v>
      </c>
      <c r="U190" s="42">
        <f t="shared" si="107"/>
        <v>10058</v>
      </c>
      <c r="V190" s="42">
        <f t="shared" si="107"/>
        <v>10185</v>
      </c>
      <c r="W190" s="42">
        <f t="shared" si="107"/>
        <v>10318</v>
      </c>
      <c r="X190" s="42">
        <f t="shared" si="107"/>
        <v>10404</v>
      </c>
      <c r="Y190" s="42">
        <f t="shared" si="107"/>
        <v>10578</v>
      </c>
      <c r="Z190" s="42">
        <f t="shared" si="107"/>
        <v>10820</v>
      </c>
      <c r="AA190" s="42">
        <f t="shared" ref="AA190:AK190" si="108">SUM(AA194:AA205,AA207:AA211)</f>
        <v>11055</v>
      </c>
      <c r="AB190" s="42">
        <f t="shared" si="108"/>
        <v>11288</v>
      </c>
      <c r="AC190" s="42">
        <f t="shared" si="108"/>
        <v>11404</v>
      </c>
      <c r="AD190" s="42">
        <f t="shared" si="108"/>
        <v>11403</v>
      </c>
      <c r="AE190" s="42">
        <f t="shared" si="108"/>
        <v>11403</v>
      </c>
      <c r="AF190" s="42">
        <f t="shared" si="108"/>
        <v>11403</v>
      </c>
      <c r="AG190" s="42">
        <f t="shared" si="108"/>
        <v>11403</v>
      </c>
      <c r="AH190" s="42">
        <f t="shared" si="108"/>
        <v>11403</v>
      </c>
      <c r="AI190" s="42">
        <f t="shared" si="108"/>
        <v>11403</v>
      </c>
      <c r="AJ190" s="42">
        <f t="shared" si="108"/>
        <v>11403</v>
      </c>
      <c r="AK190" s="42">
        <f t="shared" si="108"/>
        <v>11403</v>
      </c>
    </row>
    <row r="191" spans="2:37" x14ac:dyDescent="0.25">
      <c r="C191" s="10"/>
      <c r="D191" s="10" t="s">
        <v>76</v>
      </c>
      <c r="E191" s="10"/>
      <c r="F191" s="10"/>
      <c r="G191" s="10"/>
      <c r="H191" s="10" t="s">
        <v>23</v>
      </c>
      <c r="I191" s="41">
        <f t="shared" ref="I191:Z191" si="109">SUM(I194:I205)</f>
        <v>4572</v>
      </c>
      <c r="J191" s="41">
        <f t="shared" si="109"/>
        <v>4710</v>
      </c>
      <c r="K191" s="41">
        <f t="shared" si="109"/>
        <v>4903</v>
      </c>
      <c r="L191" s="41">
        <f t="shared" si="109"/>
        <v>4983</v>
      </c>
      <c r="M191" s="41">
        <f t="shared" si="109"/>
        <v>5131</v>
      </c>
      <c r="N191" s="41">
        <f t="shared" si="109"/>
        <v>5210</v>
      </c>
      <c r="O191" s="41">
        <f t="shared" si="109"/>
        <v>5295</v>
      </c>
      <c r="P191" s="41">
        <f t="shared" si="109"/>
        <v>5395</v>
      </c>
      <c r="Q191" s="41">
        <f t="shared" si="109"/>
        <v>5478</v>
      </c>
      <c r="R191" s="41">
        <f t="shared" si="109"/>
        <v>5505</v>
      </c>
      <c r="S191" s="41">
        <f t="shared" si="109"/>
        <v>5540</v>
      </c>
      <c r="T191" s="41">
        <f t="shared" si="109"/>
        <v>5575</v>
      </c>
      <c r="U191" s="41">
        <f t="shared" si="109"/>
        <v>5635</v>
      </c>
      <c r="V191" s="41">
        <f t="shared" si="109"/>
        <v>5713</v>
      </c>
      <c r="W191" s="41">
        <f t="shared" si="109"/>
        <v>5793</v>
      </c>
      <c r="X191" s="41">
        <f t="shared" si="109"/>
        <v>5825</v>
      </c>
      <c r="Y191" s="41">
        <f t="shared" si="109"/>
        <v>5946</v>
      </c>
      <c r="Z191" s="41">
        <f t="shared" si="109"/>
        <v>6099</v>
      </c>
      <c r="AA191" s="41">
        <f t="shared" ref="AA191:AK191" si="110">SUM(AA194:AA205)</f>
        <v>6279</v>
      </c>
      <c r="AB191" s="41">
        <f t="shared" si="110"/>
        <v>6453</v>
      </c>
      <c r="AC191" s="41">
        <f t="shared" si="110"/>
        <v>6508</v>
      </c>
      <c r="AD191" s="41">
        <f t="shared" si="110"/>
        <v>6508</v>
      </c>
      <c r="AE191" s="41">
        <f t="shared" si="110"/>
        <v>6508</v>
      </c>
      <c r="AF191" s="41">
        <f t="shared" si="110"/>
        <v>6508</v>
      </c>
      <c r="AG191" s="41">
        <f t="shared" si="110"/>
        <v>6508</v>
      </c>
      <c r="AH191" s="41">
        <f t="shared" si="110"/>
        <v>6508</v>
      </c>
      <c r="AI191" s="41">
        <f t="shared" si="110"/>
        <v>6508</v>
      </c>
      <c r="AJ191" s="41">
        <f t="shared" si="110"/>
        <v>6508</v>
      </c>
      <c r="AK191" s="41">
        <f t="shared" si="110"/>
        <v>6508</v>
      </c>
    </row>
    <row r="192" spans="2:37" x14ac:dyDescent="0.25">
      <c r="C192" s="10"/>
      <c r="D192" s="10"/>
      <c r="E192" s="10" t="s">
        <v>77</v>
      </c>
      <c r="F192" s="10"/>
      <c r="G192" s="10"/>
      <c r="H192" s="10" t="s">
        <v>23</v>
      </c>
      <c r="I192" s="41">
        <f t="shared" ref="I192:Z192" si="111">SUM(I194:I199)</f>
        <v>3752</v>
      </c>
      <c r="J192" s="41">
        <f t="shared" si="111"/>
        <v>3843</v>
      </c>
      <c r="K192" s="41">
        <f t="shared" si="111"/>
        <v>4020</v>
      </c>
      <c r="L192" s="41">
        <f t="shared" si="111"/>
        <v>4091</v>
      </c>
      <c r="M192" s="41">
        <f t="shared" si="111"/>
        <v>4226</v>
      </c>
      <c r="N192" s="41">
        <f t="shared" si="111"/>
        <v>4283</v>
      </c>
      <c r="O192" s="41">
        <f t="shared" si="111"/>
        <v>4339</v>
      </c>
      <c r="P192" s="41">
        <f t="shared" si="111"/>
        <v>4404</v>
      </c>
      <c r="Q192" s="41">
        <f t="shared" si="111"/>
        <v>4445</v>
      </c>
      <c r="R192" s="41">
        <f t="shared" si="111"/>
        <v>4462</v>
      </c>
      <c r="S192" s="41">
        <f t="shared" si="111"/>
        <v>4490</v>
      </c>
      <c r="T192" s="41">
        <f t="shared" si="111"/>
        <v>4504</v>
      </c>
      <c r="U192" s="41">
        <f t="shared" si="111"/>
        <v>4560</v>
      </c>
      <c r="V192" s="41">
        <f t="shared" si="111"/>
        <v>4604</v>
      </c>
      <c r="W192" s="41">
        <f t="shared" si="111"/>
        <v>4666</v>
      </c>
      <c r="X192" s="41">
        <f t="shared" si="111"/>
        <v>4660</v>
      </c>
      <c r="Y192" s="41">
        <f t="shared" si="111"/>
        <v>4734</v>
      </c>
      <c r="Z192" s="41">
        <f t="shared" si="111"/>
        <v>4869</v>
      </c>
      <c r="AA192" s="41">
        <f t="shared" ref="AA192:AK192" si="112">SUM(AA194:AA199)</f>
        <v>5036</v>
      </c>
      <c r="AB192" s="41">
        <f t="shared" si="112"/>
        <v>5200</v>
      </c>
      <c r="AC192" s="41">
        <f t="shared" si="112"/>
        <v>5243</v>
      </c>
      <c r="AD192" s="41">
        <f t="shared" si="112"/>
        <v>5243</v>
      </c>
      <c r="AE192" s="41">
        <f t="shared" si="112"/>
        <v>5243</v>
      </c>
      <c r="AF192" s="41">
        <f t="shared" si="112"/>
        <v>5243</v>
      </c>
      <c r="AG192" s="41">
        <f t="shared" si="112"/>
        <v>5243</v>
      </c>
      <c r="AH192" s="41">
        <f t="shared" si="112"/>
        <v>5243</v>
      </c>
      <c r="AI192" s="41">
        <f t="shared" si="112"/>
        <v>5243</v>
      </c>
      <c r="AJ192" s="41">
        <f t="shared" si="112"/>
        <v>5243</v>
      </c>
      <c r="AK192" s="41">
        <f t="shared" si="112"/>
        <v>5243</v>
      </c>
    </row>
    <row r="193" spans="3:37" x14ac:dyDescent="0.25">
      <c r="C193" s="10"/>
      <c r="D193" s="10"/>
      <c r="E193" s="10" t="s">
        <v>78</v>
      </c>
      <c r="F193" s="10"/>
      <c r="G193" s="10"/>
      <c r="H193" s="10" t="s">
        <v>23</v>
      </c>
      <c r="I193" s="41">
        <f t="shared" ref="I193:Z193" si="113">SUM(I200:I205)</f>
        <v>820</v>
      </c>
      <c r="J193" s="41">
        <f t="shared" si="113"/>
        <v>867</v>
      </c>
      <c r="K193" s="41">
        <f t="shared" si="113"/>
        <v>883</v>
      </c>
      <c r="L193" s="41">
        <f t="shared" si="113"/>
        <v>892</v>
      </c>
      <c r="M193" s="41">
        <f t="shared" si="113"/>
        <v>905</v>
      </c>
      <c r="N193" s="41">
        <f t="shared" si="113"/>
        <v>927</v>
      </c>
      <c r="O193" s="41">
        <f t="shared" si="113"/>
        <v>956</v>
      </c>
      <c r="P193" s="41">
        <f t="shared" si="113"/>
        <v>991</v>
      </c>
      <c r="Q193" s="41">
        <f t="shared" si="113"/>
        <v>1033</v>
      </c>
      <c r="R193" s="41">
        <f t="shared" si="113"/>
        <v>1043</v>
      </c>
      <c r="S193" s="41">
        <f t="shared" si="113"/>
        <v>1050</v>
      </c>
      <c r="T193" s="41">
        <f t="shared" si="113"/>
        <v>1071</v>
      </c>
      <c r="U193" s="41">
        <f t="shared" si="113"/>
        <v>1075</v>
      </c>
      <c r="V193" s="41">
        <f t="shared" si="113"/>
        <v>1109</v>
      </c>
      <c r="W193" s="41">
        <f t="shared" si="113"/>
        <v>1127</v>
      </c>
      <c r="X193" s="41">
        <f t="shared" si="113"/>
        <v>1165</v>
      </c>
      <c r="Y193" s="41">
        <f t="shared" si="113"/>
        <v>1212</v>
      </c>
      <c r="Z193" s="41">
        <f t="shared" si="113"/>
        <v>1230</v>
      </c>
      <c r="AA193" s="41">
        <f t="shared" ref="AA193:AK193" si="114">SUM(AA200:AA205)</f>
        <v>1243</v>
      </c>
      <c r="AB193" s="41">
        <f t="shared" si="114"/>
        <v>1253</v>
      </c>
      <c r="AC193" s="41">
        <f t="shared" si="114"/>
        <v>1265</v>
      </c>
      <c r="AD193" s="41">
        <f t="shared" si="114"/>
        <v>1265</v>
      </c>
      <c r="AE193" s="41">
        <f t="shared" si="114"/>
        <v>1265</v>
      </c>
      <c r="AF193" s="41">
        <f t="shared" si="114"/>
        <v>1265</v>
      </c>
      <c r="AG193" s="41">
        <f t="shared" si="114"/>
        <v>1265</v>
      </c>
      <c r="AH193" s="41">
        <f t="shared" si="114"/>
        <v>1265</v>
      </c>
      <c r="AI193" s="41">
        <f t="shared" si="114"/>
        <v>1265</v>
      </c>
      <c r="AJ193" s="41">
        <f t="shared" si="114"/>
        <v>1265</v>
      </c>
      <c r="AK193" s="41">
        <f t="shared" si="114"/>
        <v>1265</v>
      </c>
    </row>
    <row r="194" spans="3:37" x14ac:dyDescent="0.25">
      <c r="F194" t="s">
        <v>79</v>
      </c>
      <c r="H194" t="s">
        <v>23</v>
      </c>
      <c r="I194" s="39">
        <f t="shared" ref="I194:V209" si="115">J194-J152</f>
        <v>1</v>
      </c>
      <c r="J194" s="39">
        <f t="shared" si="115"/>
        <v>1</v>
      </c>
      <c r="K194" s="39">
        <f t="shared" si="115"/>
        <v>1</v>
      </c>
      <c r="L194" s="39">
        <f t="shared" si="115"/>
        <v>1</v>
      </c>
      <c r="M194" s="39">
        <f t="shared" si="115"/>
        <v>1</v>
      </c>
      <c r="N194" s="39">
        <f t="shared" si="115"/>
        <v>1</v>
      </c>
      <c r="O194" s="39">
        <f t="shared" si="115"/>
        <v>2</v>
      </c>
      <c r="P194" s="39">
        <f t="shared" si="115"/>
        <v>2</v>
      </c>
      <c r="Q194" s="39">
        <f t="shared" si="115"/>
        <v>2</v>
      </c>
      <c r="R194" s="39">
        <f t="shared" si="115"/>
        <v>2</v>
      </c>
      <c r="S194" s="39">
        <f t="shared" si="115"/>
        <v>2</v>
      </c>
      <c r="T194" s="39">
        <f t="shared" si="115"/>
        <v>2</v>
      </c>
      <c r="U194" s="39">
        <f t="shared" si="115"/>
        <v>3</v>
      </c>
      <c r="V194" s="39">
        <f t="shared" si="115"/>
        <v>3</v>
      </c>
      <c r="W194" s="39">
        <v>3</v>
      </c>
      <c r="X194" s="39">
        <f>W194+X152</f>
        <v>3</v>
      </c>
      <c r="Y194" s="39">
        <f>X194+Y152</f>
        <v>3</v>
      </c>
      <c r="Z194" s="39">
        <f>Y194+Z152</f>
        <v>3</v>
      </c>
      <c r="AA194" s="39">
        <f t="shared" ref="AA194:AK194" si="116">Z194+AA152</f>
        <v>3</v>
      </c>
      <c r="AB194" s="39">
        <f t="shared" si="116"/>
        <v>3</v>
      </c>
      <c r="AC194" s="39">
        <f t="shared" si="116"/>
        <v>3</v>
      </c>
      <c r="AD194" s="39">
        <f t="shared" si="116"/>
        <v>3</v>
      </c>
      <c r="AE194" s="39">
        <f t="shared" si="116"/>
        <v>3</v>
      </c>
      <c r="AF194" s="39">
        <f t="shared" si="116"/>
        <v>3</v>
      </c>
      <c r="AG194" s="39">
        <f t="shared" si="116"/>
        <v>3</v>
      </c>
      <c r="AH194" s="39">
        <f t="shared" si="116"/>
        <v>3</v>
      </c>
      <c r="AI194" s="39">
        <f t="shared" si="116"/>
        <v>3</v>
      </c>
      <c r="AJ194" s="39">
        <f t="shared" si="116"/>
        <v>3</v>
      </c>
      <c r="AK194" s="39">
        <f t="shared" si="116"/>
        <v>3</v>
      </c>
    </row>
    <row r="195" spans="3:37" x14ac:dyDescent="0.25">
      <c r="F195" t="s">
        <v>80</v>
      </c>
      <c r="H195" t="s">
        <v>23</v>
      </c>
      <c r="I195" s="39">
        <f t="shared" si="115"/>
        <v>599</v>
      </c>
      <c r="J195" s="39">
        <f t="shared" si="115"/>
        <v>612</v>
      </c>
      <c r="K195" s="39">
        <f t="shared" si="115"/>
        <v>621</v>
      </c>
      <c r="L195" s="39">
        <f t="shared" si="115"/>
        <v>622</v>
      </c>
      <c r="M195" s="39">
        <f t="shared" si="115"/>
        <v>640</v>
      </c>
      <c r="N195" s="39">
        <f t="shared" si="115"/>
        <v>643</v>
      </c>
      <c r="O195" s="39">
        <f t="shared" si="115"/>
        <v>661</v>
      </c>
      <c r="P195" s="39">
        <f t="shared" si="115"/>
        <v>683</v>
      </c>
      <c r="Q195" s="39">
        <f t="shared" si="115"/>
        <v>683</v>
      </c>
      <c r="R195" s="39">
        <f t="shared" si="115"/>
        <v>683</v>
      </c>
      <c r="S195" s="39">
        <f t="shared" si="115"/>
        <v>683</v>
      </c>
      <c r="T195" s="39">
        <f t="shared" si="115"/>
        <v>684</v>
      </c>
      <c r="U195" s="39">
        <f t="shared" si="115"/>
        <v>684</v>
      </c>
      <c r="V195" s="39">
        <f t="shared" si="115"/>
        <v>686</v>
      </c>
      <c r="W195" s="39">
        <v>691</v>
      </c>
      <c r="X195" s="39">
        <f t="shared" ref="X195:Z205" si="117">W195+X153</f>
        <v>664</v>
      </c>
      <c r="Y195" s="39">
        <f t="shared" si="117"/>
        <v>671</v>
      </c>
      <c r="Z195" s="39">
        <f t="shared" si="117"/>
        <v>709</v>
      </c>
      <c r="AA195" s="39">
        <f t="shared" ref="AA195:AK195" si="118">Z195+AA153</f>
        <v>740</v>
      </c>
      <c r="AB195" s="39">
        <f t="shared" si="118"/>
        <v>748</v>
      </c>
      <c r="AC195" s="39">
        <f t="shared" si="118"/>
        <v>780</v>
      </c>
      <c r="AD195" s="39">
        <f t="shared" si="118"/>
        <v>780</v>
      </c>
      <c r="AE195" s="39">
        <f t="shared" si="118"/>
        <v>780</v>
      </c>
      <c r="AF195" s="39">
        <f t="shared" si="118"/>
        <v>780</v>
      </c>
      <c r="AG195" s="39">
        <f t="shared" si="118"/>
        <v>780</v>
      </c>
      <c r="AH195" s="39">
        <f t="shared" si="118"/>
        <v>780</v>
      </c>
      <c r="AI195" s="39">
        <f t="shared" si="118"/>
        <v>780</v>
      </c>
      <c r="AJ195" s="39">
        <f t="shared" si="118"/>
        <v>780</v>
      </c>
      <c r="AK195" s="39">
        <f t="shared" si="118"/>
        <v>780</v>
      </c>
    </row>
    <row r="196" spans="3:37" x14ac:dyDescent="0.25">
      <c r="F196" t="s">
        <v>81</v>
      </c>
      <c r="H196" t="s">
        <v>23</v>
      </c>
      <c r="I196" s="39">
        <f t="shared" si="115"/>
        <v>1232</v>
      </c>
      <c r="J196" s="39">
        <f t="shared" si="115"/>
        <v>1240</v>
      </c>
      <c r="K196" s="39">
        <f t="shared" si="115"/>
        <v>1341</v>
      </c>
      <c r="L196" s="39">
        <f t="shared" si="115"/>
        <v>1347</v>
      </c>
      <c r="M196" s="39">
        <f t="shared" si="115"/>
        <v>1370</v>
      </c>
      <c r="N196" s="39">
        <f t="shared" si="115"/>
        <v>1391</v>
      </c>
      <c r="O196" s="39">
        <f t="shared" si="115"/>
        <v>1413</v>
      </c>
      <c r="P196" s="39">
        <f t="shared" si="115"/>
        <v>1415</v>
      </c>
      <c r="Q196" s="39">
        <f t="shared" si="115"/>
        <v>1436</v>
      </c>
      <c r="R196" s="39">
        <f t="shared" si="115"/>
        <v>1453</v>
      </c>
      <c r="S196" s="39">
        <f t="shared" si="115"/>
        <v>1462</v>
      </c>
      <c r="T196" s="39">
        <f t="shared" si="115"/>
        <v>1470</v>
      </c>
      <c r="U196" s="39">
        <f t="shared" si="115"/>
        <v>1476</v>
      </c>
      <c r="V196" s="39">
        <f t="shared" si="115"/>
        <v>1485</v>
      </c>
      <c r="W196" s="39">
        <v>1495</v>
      </c>
      <c r="X196" s="39">
        <f t="shared" si="117"/>
        <v>1507</v>
      </c>
      <c r="Y196" s="39">
        <f t="shared" si="117"/>
        <v>1541</v>
      </c>
      <c r="Z196" s="39">
        <f t="shared" si="117"/>
        <v>1616</v>
      </c>
      <c r="AA196" s="39">
        <f t="shared" ref="AA196:AK196" si="119">Z196+AA154</f>
        <v>1731</v>
      </c>
      <c r="AB196" s="39">
        <f t="shared" si="119"/>
        <v>1741</v>
      </c>
      <c r="AC196" s="39">
        <f t="shared" si="119"/>
        <v>1750</v>
      </c>
      <c r="AD196" s="39">
        <f t="shared" si="119"/>
        <v>1750</v>
      </c>
      <c r="AE196" s="39">
        <f t="shared" si="119"/>
        <v>1750</v>
      </c>
      <c r="AF196" s="39">
        <f t="shared" si="119"/>
        <v>1750</v>
      </c>
      <c r="AG196" s="39">
        <f t="shared" si="119"/>
        <v>1750</v>
      </c>
      <c r="AH196" s="39">
        <f t="shared" si="119"/>
        <v>1750</v>
      </c>
      <c r="AI196" s="39">
        <f t="shared" si="119"/>
        <v>1750</v>
      </c>
      <c r="AJ196" s="39">
        <f t="shared" si="119"/>
        <v>1750</v>
      </c>
      <c r="AK196" s="39">
        <f t="shared" si="119"/>
        <v>1750</v>
      </c>
    </row>
    <row r="197" spans="3:37" x14ac:dyDescent="0.25">
      <c r="F197" t="s">
        <v>82</v>
      </c>
      <c r="H197" t="s">
        <v>23</v>
      </c>
      <c r="I197" s="39">
        <f t="shared" si="115"/>
        <v>753</v>
      </c>
      <c r="J197" s="39">
        <f t="shared" si="115"/>
        <v>753</v>
      </c>
      <c r="K197" s="39">
        <f t="shared" si="115"/>
        <v>809</v>
      </c>
      <c r="L197" s="39">
        <f t="shared" si="115"/>
        <v>809</v>
      </c>
      <c r="M197" s="39">
        <f t="shared" si="115"/>
        <v>809</v>
      </c>
      <c r="N197" s="39">
        <f t="shared" si="115"/>
        <v>809</v>
      </c>
      <c r="O197" s="39">
        <f t="shared" si="115"/>
        <v>812</v>
      </c>
      <c r="P197" s="39">
        <f t="shared" si="115"/>
        <v>817</v>
      </c>
      <c r="Q197" s="39">
        <f t="shared" si="115"/>
        <v>817</v>
      </c>
      <c r="R197" s="39">
        <f t="shared" si="115"/>
        <v>817</v>
      </c>
      <c r="S197" s="39">
        <f t="shared" si="115"/>
        <v>829</v>
      </c>
      <c r="T197" s="39">
        <f t="shared" si="115"/>
        <v>829</v>
      </c>
      <c r="U197" s="39">
        <f t="shared" si="115"/>
        <v>848</v>
      </c>
      <c r="V197" s="39">
        <f t="shared" si="115"/>
        <v>868</v>
      </c>
      <c r="W197" s="39">
        <v>901</v>
      </c>
      <c r="X197" s="39">
        <f t="shared" si="117"/>
        <v>902</v>
      </c>
      <c r="Y197" s="39">
        <f t="shared" si="117"/>
        <v>926</v>
      </c>
      <c r="Z197" s="39">
        <f t="shared" si="117"/>
        <v>930</v>
      </c>
      <c r="AA197" s="39">
        <f t="shared" ref="AA197:AK197" si="120">Z197+AA155</f>
        <v>938</v>
      </c>
      <c r="AB197" s="39">
        <f t="shared" si="120"/>
        <v>1054</v>
      </c>
      <c r="AC197" s="39">
        <f t="shared" si="120"/>
        <v>1054</v>
      </c>
      <c r="AD197" s="39">
        <f t="shared" si="120"/>
        <v>1054</v>
      </c>
      <c r="AE197" s="39">
        <f t="shared" si="120"/>
        <v>1054</v>
      </c>
      <c r="AF197" s="39">
        <f t="shared" si="120"/>
        <v>1054</v>
      </c>
      <c r="AG197" s="39">
        <f t="shared" si="120"/>
        <v>1054</v>
      </c>
      <c r="AH197" s="39">
        <f t="shared" si="120"/>
        <v>1054</v>
      </c>
      <c r="AI197" s="39">
        <f t="shared" si="120"/>
        <v>1054</v>
      </c>
      <c r="AJ197" s="39">
        <f t="shared" si="120"/>
        <v>1054</v>
      </c>
      <c r="AK197" s="39">
        <f t="shared" si="120"/>
        <v>1054</v>
      </c>
    </row>
    <row r="198" spans="3:37" x14ac:dyDescent="0.25">
      <c r="F198" t="s">
        <v>83</v>
      </c>
      <c r="H198" t="s">
        <v>23</v>
      </c>
      <c r="I198" s="39">
        <f t="shared" si="115"/>
        <v>751</v>
      </c>
      <c r="J198" s="39">
        <f t="shared" si="115"/>
        <v>808</v>
      </c>
      <c r="K198" s="39">
        <f t="shared" si="115"/>
        <v>812</v>
      </c>
      <c r="L198" s="39">
        <f t="shared" si="115"/>
        <v>865</v>
      </c>
      <c r="M198" s="39">
        <f t="shared" si="115"/>
        <v>952</v>
      </c>
      <c r="N198" s="39">
        <f t="shared" si="115"/>
        <v>982</v>
      </c>
      <c r="O198" s="39">
        <f t="shared" si="115"/>
        <v>986</v>
      </c>
      <c r="P198" s="39">
        <f t="shared" si="115"/>
        <v>1017</v>
      </c>
      <c r="Q198" s="39">
        <f t="shared" si="115"/>
        <v>1037</v>
      </c>
      <c r="R198" s="39">
        <f t="shared" si="115"/>
        <v>1037</v>
      </c>
      <c r="S198" s="39">
        <f t="shared" si="115"/>
        <v>1039</v>
      </c>
      <c r="T198" s="39">
        <f t="shared" si="115"/>
        <v>1040</v>
      </c>
      <c r="U198" s="39">
        <f t="shared" si="115"/>
        <v>1061</v>
      </c>
      <c r="V198" s="39">
        <f t="shared" si="115"/>
        <v>1064</v>
      </c>
      <c r="W198" s="39">
        <v>1073</v>
      </c>
      <c r="X198" s="39">
        <f t="shared" si="117"/>
        <v>1075</v>
      </c>
      <c r="Y198" s="39">
        <f t="shared" si="117"/>
        <v>1080</v>
      </c>
      <c r="Z198" s="39">
        <f t="shared" si="117"/>
        <v>1087</v>
      </c>
      <c r="AA198" s="39">
        <f t="shared" ref="AA198:AK198" si="121">Z198+AA156</f>
        <v>1095</v>
      </c>
      <c r="AB198" s="39">
        <f t="shared" si="121"/>
        <v>1121</v>
      </c>
      <c r="AC198" s="39">
        <f t="shared" si="121"/>
        <v>1122</v>
      </c>
      <c r="AD198" s="39">
        <f t="shared" si="121"/>
        <v>1122</v>
      </c>
      <c r="AE198" s="39">
        <f t="shared" si="121"/>
        <v>1122</v>
      </c>
      <c r="AF198" s="39">
        <f t="shared" si="121"/>
        <v>1122</v>
      </c>
      <c r="AG198" s="39">
        <f t="shared" si="121"/>
        <v>1122</v>
      </c>
      <c r="AH198" s="39">
        <f t="shared" si="121"/>
        <v>1122</v>
      </c>
      <c r="AI198" s="39">
        <f t="shared" si="121"/>
        <v>1122</v>
      </c>
      <c r="AJ198" s="39">
        <f t="shared" si="121"/>
        <v>1122</v>
      </c>
      <c r="AK198" s="39">
        <f t="shared" si="121"/>
        <v>1122</v>
      </c>
    </row>
    <row r="199" spans="3:37" x14ac:dyDescent="0.25">
      <c r="F199" t="s">
        <v>84</v>
      </c>
      <c r="H199" t="s">
        <v>23</v>
      </c>
      <c r="I199" s="39">
        <f t="shared" si="115"/>
        <v>416</v>
      </c>
      <c r="J199" s="39">
        <f t="shared" si="115"/>
        <v>429</v>
      </c>
      <c r="K199" s="39">
        <f t="shared" si="115"/>
        <v>436</v>
      </c>
      <c r="L199" s="39">
        <f t="shared" si="115"/>
        <v>447</v>
      </c>
      <c r="M199" s="39">
        <f t="shared" si="115"/>
        <v>454</v>
      </c>
      <c r="N199" s="39">
        <f t="shared" si="115"/>
        <v>457</v>
      </c>
      <c r="O199" s="39">
        <f t="shared" si="115"/>
        <v>465</v>
      </c>
      <c r="P199" s="39">
        <f t="shared" si="115"/>
        <v>470</v>
      </c>
      <c r="Q199" s="39">
        <f t="shared" si="115"/>
        <v>470</v>
      </c>
      <c r="R199" s="39">
        <f t="shared" si="115"/>
        <v>470</v>
      </c>
      <c r="S199" s="39">
        <f t="shared" si="115"/>
        <v>475</v>
      </c>
      <c r="T199" s="39">
        <f t="shared" si="115"/>
        <v>479</v>
      </c>
      <c r="U199" s="39">
        <f t="shared" si="115"/>
        <v>488</v>
      </c>
      <c r="V199" s="39">
        <f t="shared" si="115"/>
        <v>498</v>
      </c>
      <c r="W199" s="39">
        <v>503</v>
      </c>
      <c r="X199" s="39">
        <f t="shared" si="117"/>
        <v>509</v>
      </c>
      <c r="Y199" s="39">
        <f t="shared" si="117"/>
        <v>513</v>
      </c>
      <c r="Z199" s="39">
        <f t="shared" si="117"/>
        <v>524</v>
      </c>
      <c r="AA199" s="39">
        <f t="shared" ref="AA199:AK199" si="122">Z199+AA157</f>
        <v>529</v>
      </c>
      <c r="AB199" s="39">
        <f t="shared" si="122"/>
        <v>533</v>
      </c>
      <c r="AC199" s="39">
        <f t="shared" si="122"/>
        <v>534</v>
      </c>
      <c r="AD199" s="39">
        <f t="shared" si="122"/>
        <v>534</v>
      </c>
      <c r="AE199" s="39">
        <f t="shared" si="122"/>
        <v>534</v>
      </c>
      <c r="AF199" s="39">
        <f t="shared" si="122"/>
        <v>534</v>
      </c>
      <c r="AG199" s="39">
        <f t="shared" si="122"/>
        <v>534</v>
      </c>
      <c r="AH199" s="39">
        <f t="shared" si="122"/>
        <v>534</v>
      </c>
      <c r="AI199" s="39">
        <f t="shared" si="122"/>
        <v>534</v>
      </c>
      <c r="AJ199" s="39">
        <f t="shared" si="122"/>
        <v>534</v>
      </c>
      <c r="AK199" s="39">
        <f t="shared" si="122"/>
        <v>534</v>
      </c>
    </row>
    <row r="200" spans="3:37" x14ac:dyDescent="0.25">
      <c r="F200" t="s">
        <v>85</v>
      </c>
      <c r="H200" t="s">
        <v>23</v>
      </c>
      <c r="I200" s="39">
        <f t="shared" si="115"/>
        <v>144</v>
      </c>
      <c r="J200" s="39">
        <f t="shared" si="115"/>
        <v>144</v>
      </c>
      <c r="K200" s="39">
        <f t="shared" si="115"/>
        <v>145</v>
      </c>
      <c r="L200" s="39">
        <f t="shared" si="115"/>
        <v>146</v>
      </c>
      <c r="M200" s="39">
        <f t="shared" si="115"/>
        <v>147</v>
      </c>
      <c r="N200" s="39">
        <f t="shared" si="115"/>
        <v>148</v>
      </c>
      <c r="O200" s="39">
        <f t="shared" si="115"/>
        <v>158</v>
      </c>
      <c r="P200" s="39">
        <f t="shared" si="115"/>
        <v>168</v>
      </c>
      <c r="Q200" s="39">
        <f t="shared" si="115"/>
        <v>176</v>
      </c>
      <c r="R200" s="39">
        <f t="shared" si="115"/>
        <v>176</v>
      </c>
      <c r="S200" s="39">
        <f t="shared" si="115"/>
        <v>177</v>
      </c>
      <c r="T200" s="39">
        <f t="shared" si="115"/>
        <v>177</v>
      </c>
      <c r="U200" s="39">
        <f t="shared" si="115"/>
        <v>177</v>
      </c>
      <c r="V200" s="39">
        <f t="shared" si="115"/>
        <v>177</v>
      </c>
      <c r="W200" s="39">
        <v>177</v>
      </c>
      <c r="X200" s="39">
        <f t="shared" si="117"/>
        <v>180</v>
      </c>
      <c r="Y200" s="39">
        <f t="shared" si="117"/>
        <v>194</v>
      </c>
      <c r="Z200" s="39">
        <f t="shared" si="117"/>
        <v>194</v>
      </c>
      <c r="AA200" s="39">
        <f t="shared" ref="AA200:AK200" si="123">Z200+AA158</f>
        <v>194</v>
      </c>
      <c r="AB200" s="39">
        <f t="shared" si="123"/>
        <v>195</v>
      </c>
      <c r="AC200" s="39">
        <f t="shared" si="123"/>
        <v>196</v>
      </c>
      <c r="AD200" s="39">
        <f t="shared" si="123"/>
        <v>196</v>
      </c>
      <c r="AE200" s="39">
        <f t="shared" si="123"/>
        <v>196</v>
      </c>
      <c r="AF200" s="39">
        <f t="shared" si="123"/>
        <v>196</v>
      </c>
      <c r="AG200" s="39">
        <f t="shared" si="123"/>
        <v>196</v>
      </c>
      <c r="AH200" s="39">
        <f t="shared" si="123"/>
        <v>196</v>
      </c>
      <c r="AI200" s="39">
        <f t="shared" si="123"/>
        <v>196</v>
      </c>
      <c r="AJ200" s="39">
        <f t="shared" si="123"/>
        <v>196</v>
      </c>
      <c r="AK200" s="39">
        <f t="shared" si="123"/>
        <v>196</v>
      </c>
    </row>
    <row r="201" spans="3:37" x14ac:dyDescent="0.25">
      <c r="F201" t="s">
        <v>86</v>
      </c>
      <c r="H201" t="s">
        <v>23</v>
      </c>
      <c r="I201" s="39">
        <f t="shared" si="115"/>
        <v>91</v>
      </c>
      <c r="J201" s="39">
        <f t="shared" si="115"/>
        <v>93</v>
      </c>
      <c r="K201" s="39">
        <f t="shared" si="115"/>
        <v>93</v>
      </c>
      <c r="L201" s="39">
        <f t="shared" si="115"/>
        <v>93</v>
      </c>
      <c r="M201" s="39">
        <f t="shared" si="115"/>
        <v>94</v>
      </c>
      <c r="N201" s="39">
        <f t="shared" si="115"/>
        <v>95</v>
      </c>
      <c r="O201" s="39">
        <f t="shared" si="115"/>
        <v>96</v>
      </c>
      <c r="P201" s="39">
        <f t="shared" si="115"/>
        <v>96</v>
      </c>
      <c r="Q201" s="39">
        <f t="shared" si="115"/>
        <v>96</v>
      </c>
      <c r="R201" s="39">
        <f t="shared" si="115"/>
        <v>96</v>
      </c>
      <c r="S201" s="39">
        <f t="shared" si="115"/>
        <v>96</v>
      </c>
      <c r="T201" s="39">
        <f t="shared" si="115"/>
        <v>96</v>
      </c>
      <c r="U201" s="39">
        <f t="shared" si="115"/>
        <v>96</v>
      </c>
      <c r="V201" s="39">
        <f t="shared" si="115"/>
        <v>96</v>
      </c>
      <c r="W201" s="39">
        <v>96</v>
      </c>
      <c r="X201" s="39">
        <f t="shared" si="117"/>
        <v>96</v>
      </c>
      <c r="Y201" s="39">
        <f t="shared" si="117"/>
        <v>96</v>
      </c>
      <c r="Z201" s="39">
        <f t="shared" si="117"/>
        <v>97</v>
      </c>
      <c r="AA201" s="39">
        <f t="shared" ref="AA201:AK201" si="124">Z201+AA159</f>
        <v>97</v>
      </c>
      <c r="AB201" s="39">
        <f t="shared" si="124"/>
        <v>97</v>
      </c>
      <c r="AC201" s="39">
        <f t="shared" si="124"/>
        <v>97</v>
      </c>
      <c r="AD201" s="39">
        <f t="shared" si="124"/>
        <v>97</v>
      </c>
      <c r="AE201" s="39">
        <f t="shared" si="124"/>
        <v>97</v>
      </c>
      <c r="AF201" s="39">
        <f t="shared" si="124"/>
        <v>97</v>
      </c>
      <c r="AG201" s="39">
        <f t="shared" si="124"/>
        <v>97</v>
      </c>
      <c r="AH201" s="39">
        <f t="shared" si="124"/>
        <v>97</v>
      </c>
      <c r="AI201" s="39">
        <f t="shared" si="124"/>
        <v>97</v>
      </c>
      <c r="AJ201" s="39">
        <f t="shared" si="124"/>
        <v>97</v>
      </c>
      <c r="AK201" s="39">
        <f t="shared" si="124"/>
        <v>97</v>
      </c>
    </row>
    <row r="202" spans="3:37" x14ac:dyDescent="0.25">
      <c r="F202" t="s">
        <v>87</v>
      </c>
      <c r="H202" t="s">
        <v>23</v>
      </c>
      <c r="I202" s="39">
        <f t="shared" si="115"/>
        <v>150</v>
      </c>
      <c r="J202" s="39">
        <f t="shared" si="115"/>
        <v>152</v>
      </c>
      <c r="K202" s="39">
        <f t="shared" si="115"/>
        <v>155</v>
      </c>
      <c r="L202" s="39">
        <f t="shared" si="115"/>
        <v>158</v>
      </c>
      <c r="M202" s="39">
        <f t="shared" si="115"/>
        <v>164</v>
      </c>
      <c r="N202" s="39">
        <f t="shared" si="115"/>
        <v>170</v>
      </c>
      <c r="O202" s="39">
        <f t="shared" si="115"/>
        <v>173</v>
      </c>
      <c r="P202" s="39">
        <f t="shared" si="115"/>
        <v>183</v>
      </c>
      <c r="Q202" s="39">
        <f t="shared" si="115"/>
        <v>183</v>
      </c>
      <c r="R202" s="39">
        <f t="shared" si="115"/>
        <v>185</v>
      </c>
      <c r="S202" s="39">
        <f t="shared" si="115"/>
        <v>188</v>
      </c>
      <c r="T202" s="39">
        <f t="shared" si="115"/>
        <v>189</v>
      </c>
      <c r="U202" s="39">
        <f t="shared" si="115"/>
        <v>192</v>
      </c>
      <c r="V202" s="39">
        <f t="shared" si="115"/>
        <v>204</v>
      </c>
      <c r="W202" s="39">
        <v>205</v>
      </c>
      <c r="X202" s="39">
        <f t="shared" si="117"/>
        <v>207</v>
      </c>
      <c r="Y202" s="39">
        <f t="shared" si="117"/>
        <v>207</v>
      </c>
      <c r="Z202" s="39">
        <f t="shared" si="117"/>
        <v>209</v>
      </c>
      <c r="AA202" s="39">
        <f t="shared" ref="AA202:AK202" si="125">Z202+AA160</f>
        <v>209</v>
      </c>
      <c r="AB202" s="39">
        <f t="shared" si="125"/>
        <v>209</v>
      </c>
      <c r="AC202" s="39">
        <f t="shared" si="125"/>
        <v>213</v>
      </c>
      <c r="AD202" s="39">
        <f t="shared" si="125"/>
        <v>213</v>
      </c>
      <c r="AE202" s="39">
        <f t="shared" si="125"/>
        <v>213</v>
      </c>
      <c r="AF202" s="39">
        <f t="shared" si="125"/>
        <v>213</v>
      </c>
      <c r="AG202" s="39">
        <f t="shared" si="125"/>
        <v>213</v>
      </c>
      <c r="AH202" s="39">
        <f t="shared" si="125"/>
        <v>213</v>
      </c>
      <c r="AI202" s="39">
        <f t="shared" si="125"/>
        <v>213</v>
      </c>
      <c r="AJ202" s="39">
        <f t="shared" si="125"/>
        <v>213</v>
      </c>
      <c r="AK202" s="39">
        <f t="shared" si="125"/>
        <v>213</v>
      </c>
    </row>
    <row r="203" spans="3:37" x14ac:dyDescent="0.25">
      <c r="F203" t="s">
        <v>88</v>
      </c>
      <c r="H203" t="s">
        <v>23</v>
      </c>
      <c r="I203" s="39">
        <f t="shared" si="115"/>
        <v>215</v>
      </c>
      <c r="J203" s="39">
        <f t="shared" si="115"/>
        <v>255</v>
      </c>
      <c r="K203" s="39">
        <f t="shared" si="115"/>
        <v>265</v>
      </c>
      <c r="L203" s="39">
        <f t="shared" si="115"/>
        <v>266</v>
      </c>
      <c r="M203" s="39">
        <f t="shared" si="115"/>
        <v>268</v>
      </c>
      <c r="N203" s="39">
        <f t="shared" si="115"/>
        <v>269</v>
      </c>
      <c r="O203" s="39">
        <f t="shared" si="115"/>
        <v>274</v>
      </c>
      <c r="P203" s="39">
        <f t="shared" si="115"/>
        <v>276</v>
      </c>
      <c r="Q203" s="39">
        <f t="shared" si="115"/>
        <v>278</v>
      </c>
      <c r="R203" s="39">
        <f t="shared" si="115"/>
        <v>280</v>
      </c>
      <c r="S203" s="39">
        <f t="shared" si="115"/>
        <v>280</v>
      </c>
      <c r="T203" s="39">
        <f t="shared" si="115"/>
        <v>282</v>
      </c>
      <c r="U203" s="39">
        <f t="shared" si="115"/>
        <v>283</v>
      </c>
      <c r="V203" s="39">
        <f t="shared" si="115"/>
        <v>284</v>
      </c>
      <c r="W203" s="39">
        <v>285</v>
      </c>
      <c r="X203" s="39">
        <f t="shared" si="117"/>
        <v>289</v>
      </c>
      <c r="Y203" s="39">
        <f t="shared" si="117"/>
        <v>292</v>
      </c>
      <c r="Z203" s="39">
        <f t="shared" si="117"/>
        <v>293</v>
      </c>
      <c r="AA203" s="39">
        <f t="shared" ref="AA203:AK203" si="126">Z203+AA161</f>
        <v>293</v>
      </c>
      <c r="AB203" s="39">
        <f t="shared" si="126"/>
        <v>293</v>
      </c>
      <c r="AC203" s="39">
        <f t="shared" si="126"/>
        <v>294</v>
      </c>
      <c r="AD203" s="39">
        <f t="shared" si="126"/>
        <v>294</v>
      </c>
      <c r="AE203" s="39">
        <f t="shared" si="126"/>
        <v>294</v>
      </c>
      <c r="AF203" s="39">
        <f t="shared" si="126"/>
        <v>294</v>
      </c>
      <c r="AG203" s="39">
        <f t="shared" si="126"/>
        <v>294</v>
      </c>
      <c r="AH203" s="39">
        <f t="shared" si="126"/>
        <v>294</v>
      </c>
      <c r="AI203" s="39">
        <f t="shared" si="126"/>
        <v>294</v>
      </c>
      <c r="AJ203" s="39">
        <f t="shared" si="126"/>
        <v>294</v>
      </c>
      <c r="AK203" s="39">
        <f t="shared" si="126"/>
        <v>294</v>
      </c>
    </row>
    <row r="204" spans="3:37" x14ac:dyDescent="0.25">
      <c r="F204" t="s">
        <v>89</v>
      </c>
      <c r="H204" t="s">
        <v>23</v>
      </c>
      <c r="I204" s="39">
        <f t="shared" si="115"/>
        <v>151</v>
      </c>
      <c r="J204" s="39">
        <f t="shared" si="115"/>
        <v>153</v>
      </c>
      <c r="K204" s="39">
        <f t="shared" si="115"/>
        <v>155</v>
      </c>
      <c r="L204" s="39">
        <f t="shared" si="115"/>
        <v>157</v>
      </c>
      <c r="M204" s="39">
        <f t="shared" si="115"/>
        <v>158</v>
      </c>
      <c r="N204" s="39">
        <f t="shared" si="115"/>
        <v>165</v>
      </c>
      <c r="O204" s="39">
        <f t="shared" si="115"/>
        <v>173</v>
      </c>
      <c r="P204" s="39">
        <f t="shared" si="115"/>
        <v>185</v>
      </c>
      <c r="Q204" s="39">
        <f t="shared" si="115"/>
        <v>216</v>
      </c>
      <c r="R204" s="39">
        <f t="shared" si="115"/>
        <v>222</v>
      </c>
      <c r="S204" s="39">
        <f t="shared" si="115"/>
        <v>225</v>
      </c>
      <c r="T204" s="39">
        <f t="shared" si="115"/>
        <v>242</v>
      </c>
      <c r="U204" s="39">
        <f t="shared" si="115"/>
        <v>242</v>
      </c>
      <c r="V204" s="39">
        <f t="shared" si="115"/>
        <v>262</v>
      </c>
      <c r="W204" s="39">
        <v>276</v>
      </c>
      <c r="X204" s="39">
        <f t="shared" si="117"/>
        <v>302</v>
      </c>
      <c r="Y204" s="39">
        <f t="shared" si="117"/>
        <v>330</v>
      </c>
      <c r="Z204" s="39">
        <f t="shared" si="117"/>
        <v>341</v>
      </c>
      <c r="AA204" s="39">
        <f t="shared" ref="AA204:AK204" si="127">Z204+AA162</f>
        <v>353</v>
      </c>
      <c r="AB204" s="39">
        <f t="shared" si="127"/>
        <v>358</v>
      </c>
      <c r="AC204" s="39">
        <f t="shared" si="127"/>
        <v>361</v>
      </c>
      <c r="AD204" s="39">
        <f t="shared" si="127"/>
        <v>361</v>
      </c>
      <c r="AE204" s="39">
        <f t="shared" si="127"/>
        <v>361</v>
      </c>
      <c r="AF204" s="39">
        <f t="shared" si="127"/>
        <v>361</v>
      </c>
      <c r="AG204" s="39">
        <f t="shared" si="127"/>
        <v>361</v>
      </c>
      <c r="AH204" s="39">
        <f t="shared" si="127"/>
        <v>361</v>
      </c>
      <c r="AI204" s="39">
        <f t="shared" si="127"/>
        <v>361</v>
      </c>
      <c r="AJ204" s="39">
        <f t="shared" si="127"/>
        <v>361</v>
      </c>
      <c r="AK204" s="39">
        <f t="shared" si="127"/>
        <v>361</v>
      </c>
    </row>
    <row r="205" spans="3:37" x14ac:dyDescent="0.25">
      <c r="F205" t="s">
        <v>90</v>
      </c>
      <c r="H205" t="s">
        <v>23</v>
      </c>
      <c r="I205" s="39">
        <f t="shared" si="115"/>
        <v>69</v>
      </c>
      <c r="J205" s="39">
        <f t="shared" si="115"/>
        <v>70</v>
      </c>
      <c r="K205" s="39">
        <f t="shared" si="115"/>
        <v>70</v>
      </c>
      <c r="L205" s="39">
        <f t="shared" si="115"/>
        <v>72</v>
      </c>
      <c r="M205" s="39">
        <f t="shared" si="115"/>
        <v>74</v>
      </c>
      <c r="N205" s="39">
        <f t="shared" si="115"/>
        <v>80</v>
      </c>
      <c r="O205" s="39">
        <f t="shared" si="115"/>
        <v>82</v>
      </c>
      <c r="P205" s="39">
        <f t="shared" si="115"/>
        <v>83</v>
      </c>
      <c r="Q205" s="39">
        <f t="shared" si="115"/>
        <v>84</v>
      </c>
      <c r="R205" s="39">
        <f t="shared" si="115"/>
        <v>84</v>
      </c>
      <c r="S205" s="39">
        <f t="shared" si="115"/>
        <v>84</v>
      </c>
      <c r="T205" s="39">
        <f t="shared" si="115"/>
        <v>85</v>
      </c>
      <c r="U205" s="39">
        <f t="shared" si="115"/>
        <v>85</v>
      </c>
      <c r="V205" s="39">
        <f t="shared" si="115"/>
        <v>86</v>
      </c>
      <c r="W205" s="39">
        <v>88</v>
      </c>
      <c r="X205" s="39">
        <f t="shared" si="117"/>
        <v>91</v>
      </c>
      <c r="Y205" s="39">
        <f t="shared" si="117"/>
        <v>93</v>
      </c>
      <c r="Z205" s="39">
        <f t="shared" si="117"/>
        <v>96</v>
      </c>
      <c r="AA205" s="39">
        <f t="shared" ref="AA205:AK205" si="128">Z205+AA163</f>
        <v>97</v>
      </c>
      <c r="AB205" s="39">
        <f t="shared" si="128"/>
        <v>101</v>
      </c>
      <c r="AC205" s="39">
        <f t="shared" si="128"/>
        <v>104</v>
      </c>
      <c r="AD205" s="39">
        <f t="shared" si="128"/>
        <v>104</v>
      </c>
      <c r="AE205" s="39">
        <f t="shared" si="128"/>
        <v>104</v>
      </c>
      <c r="AF205" s="39">
        <f t="shared" si="128"/>
        <v>104</v>
      </c>
      <c r="AG205" s="39">
        <f t="shared" si="128"/>
        <v>104</v>
      </c>
      <c r="AH205" s="39">
        <f t="shared" si="128"/>
        <v>104</v>
      </c>
      <c r="AI205" s="39">
        <f t="shared" si="128"/>
        <v>104</v>
      </c>
      <c r="AJ205" s="39">
        <f t="shared" si="128"/>
        <v>104</v>
      </c>
      <c r="AK205" s="39">
        <f t="shared" si="128"/>
        <v>104</v>
      </c>
    </row>
    <row r="206" spans="3:37" x14ac:dyDescent="0.25">
      <c r="C206" s="10"/>
      <c r="D206" s="10" t="s">
        <v>91</v>
      </c>
      <c r="E206" s="10"/>
      <c r="F206" s="10"/>
      <c r="G206" s="10"/>
      <c r="H206" s="10" t="s">
        <v>23</v>
      </c>
      <c r="I206" s="41">
        <f t="shared" ref="I206:AK206" si="129">SUM(I207:I211)</f>
        <v>3580</v>
      </c>
      <c r="J206" s="41">
        <f t="shared" si="129"/>
        <v>3629</v>
      </c>
      <c r="K206" s="41">
        <f t="shared" si="129"/>
        <v>3757</v>
      </c>
      <c r="L206" s="41">
        <f t="shared" si="129"/>
        <v>3833</v>
      </c>
      <c r="M206" s="41">
        <f t="shared" si="129"/>
        <v>3942</v>
      </c>
      <c r="N206" s="41">
        <f t="shared" si="129"/>
        <v>4029</v>
      </c>
      <c r="O206" s="41">
        <f t="shared" si="129"/>
        <v>4109</v>
      </c>
      <c r="P206" s="41">
        <f t="shared" si="129"/>
        <v>4190</v>
      </c>
      <c r="Q206" s="41">
        <f t="shared" si="129"/>
        <v>4277</v>
      </c>
      <c r="R206" s="41">
        <f t="shared" si="129"/>
        <v>4318</v>
      </c>
      <c r="S206" s="41">
        <f t="shared" si="129"/>
        <v>4349</v>
      </c>
      <c r="T206" s="41">
        <f t="shared" si="129"/>
        <v>4377</v>
      </c>
      <c r="U206" s="41">
        <f t="shared" si="129"/>
        <v>4423</v>
      </c>
      <c r="V206" s="41">
        <f t="shared" si="129"/>
        <v>4472</v>
      </c>
      <c r="W206" s="41">
        <f t="shared" si="129"/>
        <v>4525</v>
      </c>
      <c r="X206" s="41">
        <f t="shared" si="129"/>
        <v>4579</v>
      </c>
      <c r="Y206" s="41">
        <f t="shared" si="129"/>
        <v>4632</v>
      </c>
      <c r="Z206" s="41">
        <f t="shared" si="129"/>
        <v>4721</v>
      </c>
      <c r="AA206" s="41">
        <f t="shared" si="129"/>
        <v>4776</v>
      </c>
      <c r="AB206" s="41">
        <f t="shared" si="129"/>
        <v>4835</v>
      </c>
      <c r="AC206" s="41">
        <f t="shared" si="129"/>
        <v>4896</v>
      </c>
      <c r="AD206" s="41">
        <f t="shared" si="129"/>
        <v>4895</v>
      </c>
      <c r="AE206" s="41">
        <f t="shared" si="129"/>
        <v>4895</v>
      </c>
      <c r="AF206" s="41">
        <f t="shared" si="129"/>
        <v>4895</v>
      </c>
      <c r="AG206" s="41">
        <f t="shared" si="129"/>
        <v>4895</v>
      </c>
      <c r="AH206" s="41">
        <f t="shared" si="129"/>
        <v>4895</v>
      </c>
      <c r="AI206" s="41">
        <f t="shared" si="129"/>
        <v>4895</v>
      </c>
      <c r="AJ206" s="41">
        <f t="shared" si="129"/>
        <v>4895</v>
      </c>
      <c r="AK206" s="41">
        <f t="shared" si="129"/>
        <v>4895</v>
      </c>
    </row>
    <row r="207" spans="3:37" x14ac:dyDescent="0.25">
      <c r="F207" t="s">
        <v>92</v>
      </c>
      <c r="H207" t="s">
        <v>23</v>
      </c>
      <c r="I207" s="39">
        <f t="shared" si="115"/>
        <v>772</v>
      </c>
      <c r="J207" s="39">
        <f t="shared" si="115"/>
        <v>773</v>
      </c>
      <c r="K207" s="39">
        <f t="shared" si="115"/>
        <v>778</v>
      </c>
      <c r="L207" s="39">
        <f t="shared" si="115"/>
        <v>787</v>
      </c>
      <c r="M207" s="39">
        <f t="shared" si="115"/>
        <v>795</v>
      </c>
      <c r="N207" s="39">
        <f t="shared" si="115"/>
        <v>818</v>
      </c>
      <c r="O207" s="39">
        <f t="shared" si="115"/>
        <v>826</v>
      </c>
      <c r="P207" s="39">
        <f t="shared" si="115"/>
        <v>856</v>
      </c>
      <c r="Q207" s="39">
        <f t="shared" si="115"/>
        <v>878</v>
      </c>
      <c r="R207" s="39">
        <f t="shared" si="115"/>
        <v>888</v>
      </c>
      <c r="S207" s="39">
        <f t="shared" si="115"/>
        <v>892</v>
      </c>
      <c r="T207" s="39">
        <f t="shared" si="115"/>
        <v>896</v>
      </c>
      <c r="U207" s="39">
        <f t="shared" si="115"/>
        <v>906</v>
      </c>
      <c r="V207" s="39">
        <f t="shared" si="115"/>
        <v>912</v>
      </c>
      <c r="W207" s="39">
        <v>927</v>
      </c>
      <c r="X207" s="39">
        <f t="shared" ref="X207:Z211" si="130">W207+X165</f>
        <v>935</v>
      </c>
      <c r="Y207" s="39">
        <f t="shared" si="130"/>
        <v>942</v>
      </c>
      <c r="Z207" s="39">
        <f t="shared" si="130"/>
        <v>987</v>
      </c>
      <c r="AA207" s="39">
        <f t="shared" ref="AA207:AK207" si="131">Z207+AA165</f>
        <v>1004</v>
      </c>
      <c r="AB207" s="39">
        <f t="shared" si="131"/>
        <v>1016</v>
      </c>
      <c r="AC207" s="39">
        <f t="shared" si="131"/>
        <v>1050</v>
      </c>
      <c r="AD207" s="39">
        <f t="shared" si="131"/>
        <v>1050</v>
      </c>
      <c r="AE207" s="39">
        <f t="shared" si="131"/>
        <v>1050</v>
      </c>
      <c r="AF207" s="39">
        <f t="shared" si="131"/>
        <v>1050</v>
      </c>
      <c r="AG207" s="39">
        <f t="shared" si="131"/>
        <v>1050</v>
      </c>
      <c r="AH207" s="39">
        <f t="shared" si="131"/>
        <v>1050</v>
      </c>
      <c r="AI207" s="39">
        <f t="shared" si="131"/>
        <v>1050</v>
      </c>
      <c r="AJ207" s="39">
        <f t="shared" si="131"/>
        <v>1050</v>
      </c>
      <c r="AK207" s="39">
        <f t="shared" si="131"/>
        <v>1050</v>
      </c>
    </row>
    <row r="208" spans="3:37" x14ac:dyDescent="0.25">
      <c r="F208" t="s">
        <v>93</v>
      </c>
      <c r="H208" t="s">
        <v>23</v>
      </c>
      <c r="I208" s="39">
        <f t="shared" si="115"/>
        <v>1128</v>
      </c>
      <c r="J208" s="39">
        <f t="shared" si="115"/>
        <v>1135</v>
      </c>
      <c r="K208" s="39">
        <f t="shared" si="115"/>
        <v>1149</v>
      </c>
      <c r="L208" s="39">
        <f t="shared" si="115"/>
        <v>1181</v>
      </c>
      <c r="M208" s="39">
        <f t="shared" si="115"/>
        <v>1246</v>
      </c>
      <c r="N208" s="39">
        <f t="shared" si="115"/>
        <v>1289</v>
      </c>
      <c r="O208" s="39">
        <f t="shared" si="115"/>
        <v>1324</v>
      </c>
      <c r="P208" s="39">
        <f t="shared" si="115"/>
        <v>1355</v>
      </c>
      <c r="Q208" s="39">
        <f t="shared" si="115"/>
        <v>1407</v>
      </c>
      <c r="R208" s="39">
        <f t="shared" si="115"/>
        <v>1429</v>
      </c>
      <c r="S208" s="39">
        <f t="shared" si="115"/>
        <v>1449</v>
      </c>
      <c r="T208" s="39">
        <f t="shared" si="115"/>
        <v>1464</v>
      </c>
      <c r="U208" s="39">
        <f t="shared" si="115"/>
        <v>1487</v>
      </c>
      <c r="V208" s="39">
        <f t="shared" si="115"/>
        <v>1502</v>
      </c>
      <c r="W208" s="39">
        <v>1524</v>
      </c>
      <c r="X208" s="39">
        <f t="shared" si="130"/>
        <v>1553</v>
      </c>
      <c r="Y208" s="39">
        <f t="shared" si="130"/>
        <v>1580</v>
      </c>
      <c r="Z208" s="39">
        <f t="shared" si="130"/>
        <v>1602</v>
      </c>
      <c r="AA208" s="39">
        <f t="shared" ref="AA208:AK208" si="132">Z208+AA166</f>
        <v>1633</v>
      </c>
      <c r="AB208" s="39">
        <f t="shared" si="132"/>
        <v>1662</v>
      </c>
      <c r="AC208" s="39">
        <f t="shared" si="132"/>
        <v>1680</v>
      </c>
      <c r="AD208" s="39">
        <f t="shared" si="132"/>
        <v>1679</v>
      </c>
      <c r="AE208" s="39">
        <f t="shared" si="132"/>
        <v>1679</v>
      </c>
      <c r="AF208" s="39">
        <f t="shared" si="132"/>
        <v>1679</v>
      </c>
      <c r="AG208" s="39">
        <f t="shared" si="132"/>
        <v>1679</v>
      </c>
      <c r="AH208" s="39">
        <f t="shared" si="132"/>
        <v>1679</v>
      </c>
      <c r="AI208" s="39">
        <f t="shared" si="132"/>
        <v>1679</v>
      </c>
      <c r="AJ208" s="39">
        <f t="shared" si="132"/>
        <v>1679</v>
      </c>
      <c r="AK208" s="39">
        <f t="shared" si="132"/>
        <v>1679</v>
      </c>
    </row>
    <row r="209" spans="3:37" x14ac:dyDescent="0.25">
      <c r="F209" t="s">
        <v>94</v>
      </c>
      <c r="H209" t="s">
        <v>23</v>
      </c>
      <c r="I209" s="39">
        <f t="shared" si="115"/>
        <v>768</v>
      </c>
      <c r="J209" s="39">
        <f t="shared" si="115"/>
        <v>800</v>
      </c>
      <c r="K209" s="39">
        <f t="shared" si="115"/>
        <v>901</v>
      </c>
      <c r="L209" s="39">
        <f t="shared" si="115"/>
        <v>922</v>
      </c>
      <c r="M209" s="39">
        <f t="shared" si="115"/>
        <v>943</v>
      </c>
      <c r="N209" s="39">
        <f t="shared" si="115"/>
        <v>956</v>
      </c>
      <c r="O209" s="39">
        <f t="shared" si="115"/>
        <v>984</v>
      </c>
      <c r="P209" s="39">
        <f t="shared" si="115"/>
        <v>994</v>
      </c>
      <c r="Q209" s="39">
        <f t="shared" si="115"/>
        <v>998</v>
      </c>
      <c r="R209" s="39">
        <f t="shared" si="115"/>
        <v>998</v>
      </c>
      <c r="S209" s="39">
        <f t="shared" si="115"/>
        <v>1001</v>
      </c>
      <c r="T209" s="39">
        <f t="shared" si="115"/>
        <v>1005</v>
      </c>
      <c r="U209" s="39">
        <f t="shared" si="115"/>
        <v>1009</v>
      </c>
      <c r="V209" s="39">
        <f t="shared" si="115"/>
        <v>1023</v>
      </c>
      <c r="W209" s="39">
        <v>1028</v>
      </c>
      <c r="X209" s="39">
        <f t="shared" si="130"/>
        <v>1029</v>
      </c>
      <c r="Y209" s="39">
        <f t="shared" si="130"/>
        <v>1036</v>
      </c>
      <c r="Z209" s="39">
        <f t="shared" si="130"/>
        <v>1038</v>
      </c>
      <c r="AA209" s="39">
        <f t="shared" ref="AA209:AK209" si="133">Z209+AA167</f>
        <v>1040</v>
      </c>
      <c r="AB209" s="39">
        <f t="shared" si="133"/>
        <v>1041</v>
      </c>
      <c r="AC209" s="39">
        <f t="shared" si="133"/>
        <v>1043</v>
      </c>
      <c r="AD209" s="39">
        <f t="shared" si="133"/>
        <v>1043</v>
      </c>
      <c r="AE209" s="39">
        <f t="shared" si="133"/>
        <v>1043</v>
      </c>
      <c r="AF209" s="39">
        <f t="shared" si="133"/>
        <v>1043</v>
      </c>
      <c r="AG209" s="39">
        <f t="shared" si="133"/>
        <v>1043</v>
      </c>
      <c r="AH209" s="39">
        <f t="shared" si="133"/>
        <v>1043</v>
      </c>
      <c r="AI209" s="39">
        <f t="shared" si="133"/>
        <v>1043</v>
      </c>
      <c r="AJ209" s="39">
        <f t="shared" si="133"/>
        <v>1043</v>
      </c>
      <c r="AK209" s="39">
        <f t="shared" si="133"/>
        <v>1043</v>
      </c>
    </row>
    <row r="210" spans="3:37" x14ac:dyDescent="0.25">
      <c r="F210" t="s">
        <v>95</v>
      </c>
      <c r="H210" t="s">
        <v>23</v>
      </c>
      <c r="I210" s="39">
        <f t="shared" ref="I210:V211" si="134">J210-J168</f>
        <v>134</v>
      </c>
      <c r="J210" s="39">
        <f t="shared" si="134"/>
        <v>135</v>
      </c>
      <c r="K210" s="39">
        <f t="shared" si="134"/>
        <v>136</v>
      </c>
      <c r="L210" s="39">
        <f t="shared" si="134"/>
        <v>139</v>
      </c>
      <c r="M210" s="39">
        <f t="shared" si="134"/>
        <v>145</v>
      </c>
      <c r="N210" s="39">
        <f t="shared" si="134"/>
        <v>148</v>
      </c>
      <c r="O210" s="39">
        <f t="shared" si="134"/>
        <v>151</v>
      </c>
      <c r="P210" s="39">
        <f t="shared" si="134"/>
        <v>153</v>
      </c>
      <c r="Q210" s="39">
        <f t="shared" si="134"/>
        <v>157</v>
      </c>
      <c r="R210" s="39">
        <f t="shared" si="134"/>
        <v>159</v>
      </c>
      <c r="S210" s="39">
        <f t="shared" si="134"/>
        <v>160</v>
      </c>
      <c r="T210" s="39">
        <f t="shared" si="134"/>
        <v>160</v>
      </c>
      <c r="U210" s="39">
        <f t="shared" si="134"/>
        <v>164</v>
      </c>
      <c r="V210" s="39">
        <f t="shared" si="134"/>
        <v>168</v>
      </c>
      <c r="W210" s="39">
        <v>170</v>
      </c>
      <c r="X210" s="39">
        <f t="shared" si="130"/>
        <v>173</v>
      </c>
      <c r="Y210" s="39">
        <f t="shared" si="130"/>
        <v>174</v>
      </c>
      <c r="Z210" s="39">
        <f t="shared" si="130"/>
        <v>177</v>
      </c>
      <c r="AA210" s="39">
        <f t="shared" ref="AA210:AK210" si="135">Z210+AA168</f>
        <v>179</v>
      </c>
      <c r="AB210" s="39">
        <f t="shared" si="135"/>
        <v>185</v>
      </c>
      <c r="AC210" s="39">
        <f t="shared" si="135"/>
        <v>186</v>
      </c>
      <c r="AD210" s="39">
        <f t="shared" si="135"/>
        <v>186</v>
      </c>
      <c r="AE210" s="39">
        <f t="shared" si="135"/>
        <v>186</v>
      </c>
      <c r="AF210" s="39">
        <f t="shared" si="135"/>
        <v>186</v>
      </c>
      <c r="AG210" s="39">
        <f t="shared" si="135"/>
        <v>186</v>
      </c>
      <c r="AH210" s="39">
        <f t="shared" si="135"/>
        <v>186</v>
      </c>
      <c r="AI210" s="39">
        <f t="shared" si="135"/>
        <v>186</v>
      </c>
      <c r="AJ210" s="39">
        <f t="shared" si="135"/>
        <v>186</v>
      </c>
      <c r="AK210" s="39">
        <f t="shared" si="135"/>
        <v>186</v>
      </c>
    </row>
    <row r="211" spans="3:37" x14ac:dyDescent="0.25">
      <c r="F211" t="s">
        <v>96</v>
      </c>
      <c r="H211" t="s">
        <v>23</v>
      </c>
      <c r="I211" s="39">
        <f t="shared" si="134"/>
        <v>778</v>
      </c>
      <c r="J211" s="39">
        <f t="shared" si="134"/>
        <v>786</v>
      </c>
      <c r="K211" s="39">
        <f t="shared" si="134"/>
        <v>793</v>
      </c>
      <c r="L211" s="39">
        <f t="shared" si="134"/>
        <v>804</v>
      </c>
      <c r="M211" s="39">
        <f t="shared" si="134"/>
        <v>813</v>
      </c>
      <c r="N211" s="39">
        <f t="shared" si="134"/>
        <v>818</v>
      </c>
      <c r="O211" s="39">
        <f t="shared" si="134"/>
        <v>824</v>
      </c>
      <c r="P211" s="39">
        <f t="shared" si="134"/>
        <v>832</v>
      </c>
      <c r="Q211" s="39">
        <f t="shared" si="134"/>
        <v>837</v>
      </c>
      <c r="R211" s="39">
        <f t="shared" si="134"/>
        <v>844</v>
      </c>
      <c r="S211" s="39">
        <f t="shared" si="134"/>
        <v>847</v>
      </c>
      <c r="T211" s="39">
        <f t="shared" si="134"/>
        <v>852</v>
      </c>
      <c r="U211" s="39">
        <f t="shared" si="134"/>
        <v>857</v>
      </c>
      <c r="V211" s="39">
        <f t="shared" si="134"/>
        <v>867</v>
      </c>
      <c r="W211" s="39">
        <v>876</v>
      </c>
      <c r="X211" s="39">
        <f t="shared" si="130"/>
        <v>889</v>
      </c>
      <c r="Y211" s="39">
        <f t="shared" si="130"/>
        <v>900</v>
      </c>
      <c r="Z211" s="39">
        <f t="shared" si="130"/>
        <v>917</v>
      </c>
      <c r="AA211" s="39">
        <f t="shared" ref="AA211:AK211" si="136">Z211+AA169</f>
        <v>920</v>
      </c>
      <c r="AB211" s="39">
        <f t="shared" si="136"/>
        <v>931</v>
      </c>
      <c r="AC211" s="39">
        <f t="shared" si="136"/>
        <v>937</v>
      </c>
      <c r="AD211" s="39">
        <f t="shared" si="136"/>
        <v>937</v>
      </c>
      <c r="AE211" s="39">
        <f t="shared" si="136"/>
        <v>937</v>
      </c>
      <c r="AF211" s="39">
        <f t="shared" si="136"/>
        <v>937</v>
      </c>
      <c r="AG211" s="39">
        <f t="shared" si="136"/>
        <v>937</v>
      </c>
      <c r="AH211" s="39">
        <f t="shared" si="136"/>
        <v>937</v>
      </c>
      <c r="AI211" s="39">
        <f t="shared" si="136"/>
        <v>937</v>
      </c>
      <c r="AJ211" s="39">
        <f t="shared" si="136"/>
        <v>937</v>
      </c>
      <c r="AK211" s="39">
        <f t="shared" si="136"/>
        <v>937</v>
      </c>
    </row>
    <row r="212" spans="3:37" x14ac:dyDescent="0.25">
      <c r="C212" s="8" t="s">
        <v>99</v>
      </c>
      <c r="D212" s="8"/>
      <c r="E212" s="8"/>
      <c r="F212" s="8"/>
      <c r="G212" s="8"/>
      <c r="H212" s="8" t="s">
        <v>32</v>
      </c>
      <c r="I212" s="42">
        <f t="shared" ref="I212:U212" si="137">SUM(I214:I225,I227:I231)</f>
        <v>11073860</v>
      </c>
      <c r="J212" s="42">
        <f t="shared" si="137"/>
        <v>11314411</v>
      </c>
      <c r="K212" s="42">
        <f t="shared" si="137"/>
        <v>11546431</v>
      </c>
      <c r="L212" s="42">
        <f t="shared" si="137"/>
        <v>11842869</v>
      </c>
      <c r="M212" s="42">
        <f t="shared" si="137"/>
        <v>12170290</v>
      </c>
      <c r="N212" s="42">
        <f t="shared" si="137"/>
        <v>12605933</v>
      </c>
      <c r="O212" s="42">
        <f t="shared" si="137"/>
        <v>12734438</v>
      </c>
      <c r="P212" s="42">
        <f t="shared" si="137"/>
        <v>12969869</v>
      </c>
      <c r="Q212" s="42">
        <f t="shared" si="137"/>
        <v>13094017</v>
      </c>
      <c r="R212" s="42">
        <f t="shared" si="137"/>
        <v>13162501</v>
      </c>
      <c r="S212" s="42">
        <f t="shared" si="137"/>
        <v>13236987</v>
      </c>
      <c r="T212" s="42">
        <f t="shared" si="137"/>
        <v>13308495</v>
      </c>
      <c r="U212" s="42">
        <f t="shared" si="137"/>
        <v>13487235</v>
      </c>
      <c r="V212" s="42">
        <f>SUM(V214:V225,V227:V231)</f>
        <v>13539318</v>
      </c>
      <c r="W212" s="42">
        <f>SUM(W214:W225,W227:W231)</f>
        <v>13593083</v>
      </c>
      <c r="X212" s="42">
        <f t="shared" ref="X212:AK212" si="138">SUM(X214:X225,X227:X231)</f>
        <v>13767948</v>
      </c>
      <c r="Y212" s="42">
        <f t="shared" si="138"/>
        <v>13909334</v>
      </c>
      <c r="Z212" s="42">
        <f t="shared" si="138"/>
        <v>14022108</v>
      </c>
      <c r="AA212" s="42">
        <f t="shared" si="138"/>
        <v>14111732</v>
      </c>
      <c r="AB212" s="42">
        <f t="shared" si="138"/>
        <v>14220528</v>
      </c>
      <c r="AC212" s="42">
        <f t="shared" si="138"/>
        <v>14271009</v>
      </c>
      <c r="AD212" s="42">
        <f t="shared" si="138"/>
        <v>14271009</v>
      </c>
      <c r="AE212" s="42">
        <f t="shared" si="138"/>
        <v>14271009</v>
      </c>
      <c r="AF212" s="42">
        <f t="shared" si="138"/>
        <v>14271009</v>
      </c>
      <c r="AG212" s="42">
        <f t="shared" si="138"/>
        <v>14271009</v>
      </c>
      <c r="AH212" s="42">
        <f t="shared" si="138"/>
        <v>14271009</v>
      </c>
      <c r="AI212" s="42">
        <f t="shared" si="138"/>
        <v>14271009</v>
      </c>
      <c r="AJ212" s="42">
        <f t="shared" si="138"/>
        <v>14271009</v>
      </c>
      <c r="AK212" s="42">
        <f t="shared" si="138"/>
        <v>14271009</v>
      </c>
    </row>
    <row r="213" spans="3:37" x14ac:dyDescent="0.25">
      <c r="C213" s="10"/>
      <c r="D213" s="10" t="s">
        <v>76</v>
      </c>
      <c r="E213" s="10"/>
      <c r="F213" s="10"/>
      <c r="G213" s="10"/>
      <c r="H213" s="10" t="s">
        <v>32</v>
      </c>
      <c r="I213" s="41">
        <f t="shared" ref="I213:AK213" si="139">SUM(I214:I225)</f>
        <v>8726288</v>
      </c>
      <c r="J213" s="41">
        <f t="shared" si="139"/>
        <v>8952853</v>
      </c>
      <c r="K213" s="41">
        <f t="shared" si="139"/>
        <v>9151969</v>
      </c>
      <c r="L213" s="41">
        <f t="shared" si="139"/>
        <v>9303389</v>
      </c>
      <c r="M213" s="41">
        <f t="shared" si="139"/>
        <v>9583177</v>
      </c>
      <c r="N213" s="41">
        <f t="shared" si="139"/>
        <v>9882808</v>
      </c>
      <c r="O213" s="41">
        <f t="shared" si="139"/>
        <v>9994690</v>
      </c>
      <c r="P213" s="41">
        <f t="shared" si="139"/>
        <v>10212473</v>
      </c>
      <c r="Q213" s="41">
        <f t="shared" si="139"/>
        <v>10311791</v>
      </c>
      <c r="R213" s="41">
        <f t="shared" si="139"/>
        <v>10324863</v>
      </c>
      <c r="S213" s="41">
        <f t="shared" si="139"/>
        <v>10393914</v>
      </c>
      <c r="T213" s="41">
        <f t="shared" si="139"/>
        <v>10441398</v>
      </c>
      <c r="U213" s="41">
        <f t="shared" si="139"/>
        <v>10608338</v>
      </c>
      <c r="V213" s="41">
        <f t="shared" si="139"/>
        <v>10638103</v>
      </c>
      <c r="W213" s="41">
        <f t="shared" si="139"/>
        <v>10691319</v>
      </c>
      <c r="X213" s="41">
        <f t="shared" si="139"/>
        <v>10855709</v>
      </c>
      <c r="Y213" s="41">
        <f t="shared" si="139"/>
        <v>10990970</v>
      </c>
      <c r="Z213" s="41">
        <f t="shared" si="139"/>
        <v>11021373</v>
      </c>
      <c r="AA213" s="41">
        <f t="shared" si="139"/>
        <v>11085297</v>
      </c>
      <c r="AB213" s="41">
        <f t="shared" si="139"/>
        <v>11185420</v>
      </c>
      <c r="AC213" s="41">
        <f t="shared" si="139"/>
        <v>11230095</v>
      </c>
      <c r="AD213" s="41">
        <f t="shared" si="139"/>
        <v>11230095</v>
      </c>
      <c r="AE213" s="41">
        <f t="shared" si="139"/>
        <v>11230095</v>
      </c>
      <c r="AF213" s="41">
        <f t="shared" si="139"/>
        <v>11230095</v>
      </c>
      <c r="AG213" s="41">
        <f t="shared" si="139"/>
        <v>11230095</v>
      </c>
      <c r="AH213" s="41">
        <f t="shared" si="139"/>
        <v>11230095</v>
      </c>
      <c r="AI213" s="41">
        <f t="shared" si="139"/>
        <v>11230095</v>
      </c>
      <c r="AJ213" s="41">
        <f t="shared" si="139"/>
        <v>11230095</v>
      </c>
      <c r="AK213" s="41">
        <f t="shared" si="139"/>
        <v>11230095</v>
      </c>
    </row>
    <row r="214" spans="3:37" x14ac:dyDescent="0.25">
      <c r="E214" t="s">
        <v>79</v>
      </c>
      <c r="H214" t="s">
        <v>32</v>
      </c>
      <c r="I214" s="39">
        <f t="shared" ref="I214:U225" si="140">J214-J172</f>
        <v>550283</v>
      </c>
      <c r="J214" s="39">
        <f t="shared" si="140"/>
        <v>551379</v>
      </c>
      <c r="K214" s="39">
        <f t="shared" si="140"/>
        <v>551379</v>
      </c>
      <c r="L214" s="39">
        <f t="shared" si="140"/>
        <v>551379</v>
      </c>
      <c r="M214" s="39">
        <f t="shared" si="140"/>
        <v>551419</v>
      </c>
      <c r="N214" s="39">
        <f t="shared" si="140"/>
        <v>551779</v>
      </c>
      <c r="O214" s="39">
        <f t="shared" si="140"/>
        <v>556972</v>
      </c>
      <c r="P214" s="39">
        <f t="shared" si="140"/>
        <v>598709</v>
      </c>
      <c r="Q214" s="39">
        <f t="shared" si="140"/>
        <v>598709</v>
      </c>
      <c r="R214" s="39">
        <f t="shared" si="140"/>
        <v>598709</v>
      </c>
      <c r="S214" s="39">
        <f t="shared" si="140"/>
        <v>598709</v>
      </c>
      <c r="T214" s="39">
        <f t="shared" si="140"/>
        <v>598709</v>
      </c>
      <c r="U214" s="39">
        <f t="shared" si="140"/>
        <v>598034</v>
      </c>
      <c r="V214" s="39">
        <f t="shared" ref="V214:V225" si="141">W214-W172</f>
        <v>598034</v>
      </c>
      <c r="W214" s="39">
        <v>598995</v>
      </c>
      <c r="X214" s="39">
        <f>W214+X172</f>
        <v>598995</v>
      </c>
      <c r="Y214" s="39">
        <f t="shared" ref="Y214:AK214" si="142">X214+Y172</f>
        <v>598995</v>
      </c>
      <c r="Z214" s="39">
        <f t="shared" si="142"/>
        <v>597797</v>
      </c>
      <c r="AA214" s="39">
        <f t="shared" si="142"/>
        <v>597797</v>
      </c>
      <c r="AB214" s="39">
        <f t="shared" si="142"/>
        <v>597797</v>
      </c>
      <c r="AC214" s="39">
        <f t="shared" si="142"/>
        <v>597797</v>
      </c>
      <c r="AD214" s="39">
        <f t="shared" si="142"/>
        <v>597797</v>
      </c>
      <c r="AE214" s="39">
        <f t="shared" si="142"/>
        <v>597797</v>
      </c>
      <c r="AF214" s="39">
        <f t="shared" si="142"/>
        <v>597797</v>
      </c>
      <c r="AG214" s="39">
        <f t="shared" si="142"/>
        <v>597797</v>
      </c>
      <c r="AH214" s="39">
        <f t="shared" si="142"/>
        <v>597797</v>
      </c>
      <c r="AI214" s="39">
        <f t="shared" si="142"/>
        <v>597797</v>
      </c>
      <c r="AJ214" s="39">
        <f t="shared" si="142"/>
        <v>597797</v>
      </c>
      <c r="AK214" s="39">
        <f t="shared" si="142"/>
        <v>597797</v>
      </c>
    </row>
    <row r="215" spans="3:37" x14ac:dyDescent="0.25">
      <c r="E215" t="s">
        <v>80</v>
      </c>
      <c r="H215" t="s">
        <v>32</v>
      </c>
      <c r="I215" s="39">
        <f t="shared" si="140"/>
        <v>2149177</v>
      </c>
      <c r="J215" s="39">
        <f t="shared" si="140"/>
        <v>2216387</v>
      </c>
      <c r="K215" s="39">
        <f t="shared" si="140"/>
        <v>2268807</v>
      </c>
      <c r="L215" s="39">
        <f t="shared" si="140"/>
        <v>2390250</v>
      </c>
      <c r="M215" s="39">
        <f t="shared" si="140"/>
        <v>2541711</v>
      </c>
      <c r="N215" s="39">
        <f t="shared" si="140"/>
        <v>2750979</v>
      </c>
      <c r="O215" s="39">
        <f t="shared" si="140"/>
        <v>2810139</v>
      </c>
      <c r="P215" s="39">
        <f t="shared" si="140"/>
        <v>2811539</v>
      </c>
      <c r="Q215" s="39">
        <f t="shared" si="140"/>
        <v>2812984</v>
      </c>
      <c r="R215" s="39">
        <f t="shared" si="140"/>
        <v>2817736</v>
      </c>
      <c r="S215" s="39">
        <f t="shared" si="140"/>
        <v>2833761</v>
      </c>
      <c r="T215" s="39">
        <f t="shared" si="140"/>
        <v>2870515</v>
      </c>
      <c r="U215" s="39">
        <f t="shared" si="140"/>
        <v>2927208</v>
      </c>
      <c r="V215" s="39">
        <f t="shared" si="141"/>
        <v>2942039</v>
      </c>
      <c r="W215" s="39">
        <v>2960003</v>
      </c>
      <c r="X215" s="39">
        <f>W215+X173</f>
        <v>3107189</v>
      </c>
      <c r="Y215" s="39">
        <f t="shared" ref="Y215:AK215" si="143">X215+Y173</f>
        <v>3114646</v>
      </c>
      <c r="Z215" s="39">
        <f t="shared" si="143"/>
        <v>3128372</v>
      </c>
      <c r="AA215" s="39">
        <f t="shared" si="143"/>
        <v>3147857</v>
      </c>
      <c r="AB215" s="39">
        <f t="shared" si="143"/>
        <v>3242514</v>
      </c>
      <c r="AC215" s="39">
        <f t="shared" si="143"/>
        <v>3264912</v>
      </c>
      <c r="AD215" s="39">
        <f t="shared" si="143"/>
        <v>3264912</v>
      </c>
      <c r="AE215" s="39">
        <f t="shared" si="143"/>
        <v>3264912</v>
      </c>
      <c r="AF215" s="39">
        <f t="shared" si="143"/>
        <v>3264912</v>
      </c>
      <c r="AG215" s="39">
        <f t="shared" si="143"/>
        <v>3264912</v>
      </c>
      <c r="AH215" s="39">
        <f t="shared" si="143"/>
        <v>3264912</v>
      </c>
      <c r="AI215" s="39">
        <f t="shared" si="143"/>
        <v>3264912</v>
      </c>
      <c r="AJ215" s="39">
        <f t="shared" si="143"/>
        <v>3264912</v>
      </c>
      <c r="AK215" s="39">
        <f t="shared" si="143"/>
        <v>3264912</v>
      </c>
    </row>
    <row r="216" spans="3:37" x14ac:dyDescent="0.25">
      <c r="E216" t="s">
        <v>81</v>
      </c>
      <c r="H216" t="s">
        <v>32</v>
      </c>
      <c r="I216" s="39">
        <f t="shared" si="140"/>
        <v>240995</v>
      </c>
      <c r="J216" s="39">
        <f t="shared" si="140"/>
        <v>240995</v>
      </c>
      <c r="K216" s="39">
        <f t="shared" si="140"/>
        <v>245289</v>
      </c>
      <c r="L216" s="39">
        <f t="shared" si="140"/>
        <v>245289</v>
      </c>
      <c r="M216" s="39">
        <f t="shared" si="140"/>
        <v>294434</v>
      </c>
      <c r="N216" s="39">
        <f t="shared" si="140"/>
        <v>294434</v>
      </c>
      <c r="O216" s="39">
        <f t="shared" si="140"/>
        <v>299934</v>
      </c>
      <c r="P216" s="39">
        <f t="shared" si="140"/>
        <v>299934</v>
      </c>
      <c r="Q216" s="39">
        <f t="shared" si="140"/>
        <v>300318</v>
      </c>
      <c r="R216" s="39">
        <f t="shared" si="140"/>
        <v>300318</v>
      </c>
      <c r="S216" s="39">
        <f t="shared" si="140"/>
        <v>300318</v>
      </c>
      <c r="T216" s="39">
        <f t="shared" si="140"/>
        <v>300318</v>
      </c>
      <c r="U216" s="39">
        <f t="shared" si="140"/>
        <v>300711</v>
      </c>
      <c r="V216" s="39">
        <f t="shared" si="141"/>
        <v>300711</v>
      </c>
      <c r="W216" s="39">
        <v>301599</v>
      </c>
      <c r="X216" s="39">
        <f t="shared" ref="X216:AK216" si="144">W216+X174</f>
        <v>301749</v>
      </c>
      <c r="Y216" s="39">
        <f t="shared" si="144"/>
        <v>301749</v>
      </c>
      <c r="Z216" s="39">
        <f t="shared" si="144"/>
        <v>302365</v>
      </c>
      <c r="AA216" s="39">
        <f t="shared" si="144"/>
        <v>331910</v>
      </c>
      <c r="AB216" s="39">
        <f t="shared" si="144"/>
        <v>331910</v>
      </c>
      <c r="AC216" s="39">
        <f t="shared" si="144"/>
        <v>331833</v>
      </c>
      <c r="AD216" s="39">
        <f t="shared" si="144"/>
        <v>331833</v>
      </c>
      <c r="AE216" s="39">
        <f t="shared" si="144"/>
        <v>331833</v>
      </c>
      <c r="AF216" s="39">
        <f t="shared" si="144"/>
        <v>331833</v>
      </c>
      <c r="AG216" s="39">
        <f t="shared" si="144"/>
        <v>331833</v>
      </c>
      <c r="AH216" s="39">
        <f t="shared" si="144"/>
        <v>331833</v>
      </c>
      <c r="AI216" s="39">
        <f t="shared" si="144"/>
        <v>331833</v>
      </c>
      <c r="AJ216" s="39">
        <f t="shared" si="144"/>
        <v>331833</v>
      </c>
      <c r="AK216" s="39">
        <f t="shared" si="144"/>
        <v>331833</v>
      </c>
    </row>
    <row r="217" spans="3:37" x14ac:dyDescent="0.25">
      <c r="E217" t="s">
        <v>82</v>
      </c>
      <c r="H217" t="s">
        <v>32</v>
      </c>
      <c r="I217" s="39">
        <f t="shared" si="140"/>
        <v>1112469</v>
      </c>
      <c r="J217" s="39">
        <f t="shared" si="140"/>
        <v>1148922</v>
      </c>
      <c r="K217" s="39">
        <f t="shared" si="140"/>
        <v>1157687</v>
      </c>
      <c r="L217" s="39">
        <f t="shared" si="140"/>
        <v>1174187</v>
      </c>
      <c r="M217" s="39">
        <f t="shared" si="140"/>
        <v>1211150</v>
      </c>
      <c r="N217" s="39">
        <f t="shared" si="140"/>
        <v>1224613</v>
      </c>
      <c r="O217" s="39">
        <f t="shared" si="140"/>
        <v>1238013</v>
      </c>
      <c r="P217" s="39">
        <f t="shared" si="140"/>
        <v>1285407</v>
      </c>
      <c r="Q217" s="39">
        <f t="shared" si="140"/>
        <v>1285407</v>
      </c>
      <c r="R217" s="39">
        <f t="shared" si="140"/>
        <v>1289493</v>
      </c>
      <c r="S217" s="39">
        <f t="shared" si="140"/>
        <v>1310099</v>
      </c>
      <c r="T217" s="39">
        <f t="shared" si="140"/>
        <v>1310099</v>
      </c>
      <c r="U217" s="39">
        <f t="shared" si="140"/>
        <v>1365559</v>
      </c>
      <c r="V217" s="39">
        <f t="shared" si="141"/>
        <v>1371451</v>
      </c>
      <c r="W217" s="39">
        <v>1379964</v>
      </c>
      <c r="X217" s="39">
        <f t="shared" ref="X217:AK217" si="145">W217+X175</f>
        <v>1380129</v>
      </c>
      <c r="Y217" s="39">
        <f t="shared" si="145"/>
        <v>1380134</v>
      </c>
      <c r="Z217" s="39">
        <f t="shared" si="145"/>
        <v>1389931</v>
      </c>
      <c r="AA217" s="39">
        <f t="shared" si="145"/>
        <v>1389931</v>
      </c>
      <c r="AB217" s="39">
        <f t="shared" si="145"/>
        <v>1390855</v>
      </c>
      <c r="AC217" s="39">
        <f t="shared" si="145"/>
        <v>1390855</v>
      </c>
      <c r="AD217" s="39">
        <f t="shared" si="145"/>
        <v>1390855</v>
      </c>
      <c r="AE217" s="39">
        <f t="shared" si="145"/>
        <v>1390855</v>
      </c>
      <c r="AF217" s="39">
        <f t="shared" si="145"/>
        <v>1390855</v>
      </c>
      <c r="AG217" s="39">
        <f t="shared" si="145"/>
        <v>1390855</v>
      </c>
      <c r="AH217" s="39">
        <f t="shared" si="145"/>
        <v>1390855</v>
      </c>
      <c r="AI217" s="39">
        <f t="shared" si="145"/>
        <v>1390855</v>
      </c>
      <c r="AJ217" s="39">
        <f t="shared" si="145"/>
        <v>1390855</v>
      </c>
      <c r="AK217" s="39">
        <f t="shared" si="145"/>
        <v>1390855</v>
      </c>
    </row>
    <row r="218" spans="3:37" x14ac:dyDescent="0.25">
      <c r="E218" t="s">
        <v>83</v>
      </c>
      <c r="H218" t="s">
        <v>32</v>
      </c>
      <c r="I218" s="39">
        <f t="shared" si="140"/>
        <v>911621</v>
      </c>
      <c r="J218" s="39">
        <f t="shared" si="140"/>
        <v>995744</v>
      </c>
      <c r="K218" s="39">
        <f t="shared" si="140"/>
        <v>1016820</v>
      </c>
      <c r="L218" s="39">
        <f t="shared" si="140"/>
        <v>1027732</v>
      </c>
      <c r="M218" s="39">
        <f t="shared" si="140"/>
        <v>1069027</v>
      </c>
      <c r="N218" s="39">
        <f t="shared" si="140"/>
        <v>1075025</v>
      </c>
      <c r="O218" s="39">
        <f t="shared" si="140"/>
        <v>1075025</v>
      </c>
      <c r="P218" s="39">
        <f t="shared" si="140"/>
        <v>1075025</v>
      </c>
      <c r="Q218" s="39">
        <f t="shared" si="140"/>
        <v>1083385</v>
      </c>
      <c r="R218" s="39">
        <f t="shared" si="140"/>
        <v>1083385</v>
      </c>
      <c r="S218" s="39">
        <f t="shared" si="140"/>
        <v>1098861</v>
      </c>
      <c r="T218" s="39">
        <f t="shared" si="140"/>
        <v>1109220</v>
      </c>
      <c r="U218" s="39">
        <f t="shared" si="140"/>
        <v>1157288</v>
      </c>
      <c r="V218" s="39">
        <f t="shared" si="141"/>
        <v>1157288</v>
      </c>
      <c r="W218" s="39">
        <v>1167190</v>
      </c>
      <c r="X218" s="39">
        <f t="shared" ref="X218:AK218" si="146">W218+X176</f>
        <v>1176523</v>
      </c>
      <c r="Y218" s="39">
        <f t="shared" si="146"/>
        <v>1181015</v>
      </c>
      <c r="Z218" s="39">
        <f t="shared" si="146"/>
        <v>1183749</v>
      </c>
      <c r="AA218" s="39">
        <f t="shared" si="146"/>
        <v>1192205</v>
      </c>
      <c r="AB218" s="39">
        <f t="shared" si="146"/>
        <v>1192549</v>
      </c>
      <c r="AC218" s="39">
        <f t="shared" si="146"/>
        <v>1192549</v>
      </c>
      <c r="AD218" s="39">
        <f t="shared" si="146"/>
        <v>1192549</v>
      </c>
      <c r="AE218" s="39">
        <f t="shared" si="146"/>
        <v>1192549</v>
      </c>
      <c r="AF218" s="39">
        <f t="shared" si="146"/>
        <v>1192549</v>
      </c>
      <c r="AG218" s="39">
        <f t="shared" si="146"/>
        <v>1192549</v>
      </c>
      <c r="AH218" s="39">
        <f t="shared" si="146"/>
        <v>1192549</v>
      </c>
      <c r="AI218" s="39">
        <f t="shared" si="146"/>
        <v>1192549</v>
      </c>
      <c r="AJ218" s="39">
        <f t="shared" si="146"/>
        <v>1192549</v>
      </c>
      <c r="AK218" s="39">
        <f t="shared" si="146"/>
        <v>1192549</v>
      </c>
    </row>
    <row r="219" spans="3:37" x14ac:dyDescent="0.25">
      <c r="E219" t="s">
        <v>84</v>
      </c>
      <c r="H219" t="s">
        <v>32</v>
      </c>
      <c r="I219" s="39">
        <f t="shared" si="140"/>
        <v>2500</v>
      </c>
      <c r="J219" s="39">
        <f t="shared" si="140"/>
        <v>2500</v>
      </c>
      <c r="K219" s="39">
        <f t="shared" si="140"/>
        <v>2500</v>
      </c>
      <c r="L219" s="39">
        <f t="shared" si="140"/>
        <v>2500</v>
      </c>
      <c r="M219" s="39">
        <f t="shared" si="140"/>
        <v>2500</v>
      </c>
      <c r="N219" s="39">
        <f t="shared" si="140"/>
        <v>2500</v>
      </c>
      <c r="O219" s="39">
        <f t="shared" si="140"/>
        <v>2500</v>
      </c>
      <c r="P219" s="39">
        <f t="shared" si="140"/>
        <v>2500</v>
      </c>
      <c r="Q219" s="39">
        <f t="shared" si="140"/>
        <v>2500</v>
      </c>
      <c r="R219" s="39">
        <f t="shared" si="140"/>
        <v>2500</v>
      </c>
      <c r="S219" s="39">
        <f t="shared" si="140"/>
        <v>5500</v>
      </c>
      <c r="T219" s="39">
        <f t="shared" si="140"/>
        <v>5500</v>
      </c>
      <c r="U219" s="39">
        <f t="shared" si="140"/>
        <v>5500</v>
      </c>
      <c r="V219" s="39">
        <f t="shared" si="141"/>
        <v>5500</v>
      </c>
      <c r="W219" s="39">
        <v>5500</v>
      </c>
      <c r="X219" s="39">
        <f t="shared" ref="X219:AK219" si="147">W219+X177</f>
        <v>5700</v>
      </c>
      <c r="Y219" s="39">
        <f t="shared" si="147"/>
        <v>5700</v>
      </c>
      <c r="Z219" s="39">
        <f t="shared" si="147"/>
        <v>5700</v>
      </c>
      <c r="AA219" s="39">
        <f t="shared" si="147"/>
        <v>5700</v>
      </c>
      <c r="AB219" s="39">
        <f t="shared" si="147"/>
        <v>5700</v>
      </c>
      <c r="AC219" s="39">
        <f t="shared" si="147"/>
        <v>5700</v>
      </c>
      <c r="AD219" s="39">
        <f t="shared" si="147"/>
        <v>5700</v>
      </c>
      <c r="AE219" s="39">
        <f t="shared" si="147"/>
        <v>5700</v>
      </c>
      <c r="AF219" s="39">
        <f t="shared" si="147"/>
        <v>5700</v>
      </c>
      <c r="AG219" s="39">
        <f t="shared" si="147"/>
        <v>5700</v>
      </c>
      <c r="AH219" s="39">
        <f t="shared" si="147"/>
        <v>5700</v>
      </c>
      <c r="AI219" s="39">
        <f t="shared" si="147"/>
        <v>5700</v>
      </c>
      <c r="AJ219" s="39">
        <f t="shared" si="147"/>
        <v>5700</v>
      </c>
      <c r="AK219" s="39">
        <f t="shared" si="147"/>
        <v>5700</v>
      </c>
    </row>
    <row r="220" spans="3:37" x14ac:dyDescent="0.25">
      <c r="E220" t="s">
        <v>85</v>
      </c>
      <c r="H220" t="s">
        <v>32</v>
      </c>
      <c r="I220" s="39">
        <f t="shared" si="140"/>
        <v>607212</v>
      </c>
      <c r="J220" s="39">
        <f t="shared" si="140"/>
        <v>624785</v>
      </c>
      <c r="K220" s="39">
        <f t="shared" si="140"/>
        <v>727244</v>
      </c>
      <c r="L220" s="39">
        <f t="shared" si="140"/>
        <v>727516</v>
      </c>
      <c r="M220" s="39">
        <f t="shared" si="140"/>
        <v>728100</v>
      </c>
      <c r="N220" s="39">
        <f t="shared" si="140"/>
        <v>762247</v>
      </c>
      <c r="O220" s="39">
        <f t="shared" si="140"/>
        <v>779164</v>
      </c>
      <c r="P220" s="39">
        <f t="shared" si="140"/>
        <v>801444</v>
      </c>
      <c r="Q220" s="39">
        <f t="shared" si="140"/>
        <v>826445</v>
      </c>
      <c r="R220" s="39">
        <f t="shared" si="140"/>
        <v>826445</v>
      </c>
      <c r="S220" s="39">
        <f t="shared" si="140"/>
        <v>839396</v>
      </c>
      <c r="T220" s="39">
        <f t="shared" si="140"/>
        <v>839396</v>
      </c>
      <c r="U220" s="39">
        <f t="shared" si="140"/>
        <v>839421</v>
      </c>
      <c r="V220" s="39">
        <f t="shared" si="141"/>
        <v>847357</v>
      </c>
      <c r="W220" s="39">
        <v>856197</v>
      </c>
      <c r="X220" s="39">
        <f t="shared" ref="X220:AK220" si="148">W220+X178</f>
        <v>861497</v>
      </c>
      <c r="Y220" s="39">
        <f t="shared" si="148"/>
        <v>954402</v>
      </c>
      <c r="Z220" s="39">
        <f t="shared" si="148"/>
        <v>958441</v>
      </c>
      <c r="AA220" s="39">
        <f t="shared" si="148"/>
        <v>959481</v>
      </c>
      <c r="AB220" s="39">
        <f t="shared" si="148"/>
        <v>959481</v>
      </c>
      <c r="AC220" s="39">
        <f t="shared" si="148"/>
        <v>981620</v>
      </c>
      <c r="AD220" s="39">
        <f t="shared" si="148"/>
        <v>981620</v>
      </c>
      <c r="AE220" s="39">
        <f t="shared" si="148"/>
        <v>981620</v>
      </c>
      <c r="AF220" s="39">
        <f t="shared" si="148"/>
        <v>981620</v>
      </c>
      <c r="AG220" s="39">
        <f t="shared" si="148"/>
        <v>981620</v>
      </c>
      <c r="AH220" s="39">
        <f t="shared" si="148"/>
        <v>981620</v>
      </c>
      <c r="AI220" s="39">
        <f t="shared" si="148"/>
        <v>981620</v>
      </c>
      <c r="AJ220" s="39">
        <f t="shared" si="148"/>
        <v>981620</v>
      </c>
      <c r="AK220" s="39">
        <f t="shared" si="148"/>
        <v>981620</v>
      </c>
    </row>
    <row r="221" spans="3:37" x14ac:dyDescent="0.25">
      <c r="E221" t="s">
        <v>86</v>
      </c>
      <c r="H221" t="s">
        <v>32</v>
      </c>
      <c r="I221" s="39">
        <f t="shared" si="140"/>
        <v>4528</v>
      </c>
      <c r="J221" s="39">
        <f t="shared" si="140"/>
        <v>11683</v>
      </c>
      <c r="K221" s="39">
        <f t="shared" si="140"/>
        <v>11683</v>
      </c>
      <c r="L221" s="39">
        <f t="shared" si="140"/>
        <v>11683</v>
      </c>
      <c r="M221" s="39">
        <f t="shared" si="140"/>
        <v>11683</v>
      </c>
      <c r="N221" s="39">
        <f t="shared" si="140"/>
        <v>11683</v>
      </c>
      <c r="O221" s="39">
        <f t="shared" si="140"/>
        <v>11683</v>
      </c>
      <c r="P221" s="39">
        <f t="shared" si="140"/>
        <v>11683</v>
      </c>
      <c r="Q221" s="39">
        <f t="shared" si="140"/>
        <v>11683</v>
      </c>
      <c r="R221" s="39">
        <f t="shared" si="140"/>
        <v>11683</v>
      </c>
      <c r="S221" s="39">
        <f t="shared" si="140"/>
        <v>11683</v>
      </c>
      <c r="T221" s="39">
        <f t="shared" si="140"/>
        <v>11683</v>
      </c>
      <c r="U221" s="39">
        <f t="shared" si="140"/>
        <v>11683</v>
      </c>
      <c r="V221" s="39">
        <f t="shared" si="141"/>
        <v>11899</v>
      </c>
      <c r="W221" s="39">
        <v>12350</v>
      </c>
      <c r="X221" s="39">
        <f t="shared" ref="X221:AK221" si="149">W221+X179</f>
        <v>12350</v>
      </c>
      <c r="Y221" s="39">
        <f t="shared" si="149"/>
        <v>12350</v>
      </c>
      <c r="Z221" s="39">
        <f t="shared" si="149"/>
        <v>12350</v>
      </c>
      <c r="AA221" s="39">
        <f t="shared" si="149"/>
        <v>12954</v>
      </c>
      <c r="AB221" s="39">
        <f t="shared" si="149"/>
        <v>12954</v>
      </c>
      <c r="AC221" s="39">
        <f t="shared" si="149"/>
        <v>12954</v>
      </c>
      <c r="AD221" s="39">
        <f t="shared" si="149"/>
        <v>12954</v>
      </c>
      <c r="AE221" s="39">
        <f t="shared" si="149"/>
        <v>12954</v>
      </c>
      <c r="AF221" s="39">
        <f t="shared" si="149"/>
        <v>12954</v>
      </c>
      <c r="AG221" s="39">
        <f t="shared" si="149"/>
        <v>12954</v>
      </c>
      <c r="AH221" s="39">
        <f t="shared" si="149"/>
        <v>12954</v>
      </c>
      <c r="AI221" s="39">
        <f t="shared" si="149"/>
        <v>12954</v>
      </c>
      <c r="AJ221" s="39">
        <f t="shared" si="149"/>
        <v>12954</v>
      </c>
      <c r="AK221" s="39">
        <f t="shared" si="149"/>
        <v>12954</v>
      </c>
    </row>
    <row r="222" spans="3:37" x14ac:dyDescent="0.25">
      <c r="E222" t="s">
        <v>87</v>
      </c>
      <c r="H222" t="s">
        <v>32</v>
      </c>
      <c r="I222" s="39">
        <f t="shared" si="140"/>
        <v>122060</v>
      </c>
      <c r="J222" s="39">
        <f t="shared" si="140"/>
        <v>122060</v>
      </c>
      <c r="K222" s="39">
        <f t="shared" si="140"/>
        <v>122560</v>
      </c>
      <c r="L222" s="39">
        <f t="shared" si="140"/>
        <v>122560</v>
      </c>
      <c r="M222" s="39">
        <f t="shared" si="140"/>
        <v>122560</v>
      </c>
      <c r="N222" s="39">
        <f t="shared" si="140"/>
        <v>128397</v>
      </c>
      <c r="O222" s="39">
        <f t="shared" si="140"/>
        <v>128493</v>
      </c>
      <c r="P222" s="39">
        <f t="shared" si="140"/>
        <v>128993</v>
      </c>
      <c r="Q222" s="39">
        <f t="shared" si="140"/>
        <v>140800</v>
      </c>
      <c r="R222" s="39">
        <f t="shared" si="140"/>
        <v>141040</v>
      </c>
      <c r="S222" s="39">
        <f t="shared" si="140"/>
        <v>141040</v>
      </c>
      <c r="T222" s="39">
        <f t="shared" si="140"/>
        <v>141040</v>
      </c>
      <c r="U222" s="39">
        <f t="shared" si="140"/>
        <v>141640</v>
      </c>
      <c r="V222" s="39">
        <f t="shared" si="141"/>
        <v>142240</v>
      </c>
      <c r="W222" s="39">
        <v>142240</v>
      </c>
      <c r="X222" s="39">
        <f t="shared" ref="X222:AK222" si="150">W222+X180</f>
        <v>142240</v>
      </c>
      <c r="Y222" s="39">
        <f t="shared" si="150"/>
        <v>142240</v>
      </c>
      <c r="Z222" s="39">
        <f t="shared" si="150"/>
        <v>142240</v>
      </c>
      <c r="AA222" s="39">
        <f t="shared" si="150"/>
        <v>146188</v>
      </c>
      <c r="AB222" s="39">
        <f t="shared" si="150"/>
        <v>149896</v>
      </c>
      <c r="AC222" s="39">
        <f t="shared" si="150"/>
        <v>149896</v>
      </c>
      <c r="AD222" s="39">
        <f t="shared" si="150"/>
        <v>149896</v>
      </c>
      <c r="AE222" s="39">
        <f t="shared" si="150"/>
        <v>149896</v>
      </c>
      <c r="AF222" s="39">
        <f t="shared" si="150"/>
        <v>149896</v>
      </c>
      <c r="AG222" s="39">
        <f t="shared" si="150"/>
        <v>149896</v>
      </c>
      <c r="AH222" s="39">
        <f t="shared" si="150"/>
        <v>149896</v>
      </c>
      <c r="AI222" s="39">
        <f t="shared" si="150"/>
        <v>149896</v>
      </c>
      <c r="AJ222" s="39">
        <f t="shared" si="150"/>
        <v>149896</v>
      </c>
      <c r="AK222" s="39">
        <f t="shared" si="150"/>
        <v>149896</v>
      </c>
    </row>
    <row r="223" spans="3:37" x14ac:dyDescent="0.25">
      <c r="E223" t="s">
        <v>88</v>
      </c>
      <c r="H223" t="s">
        <v>32</v>
      </c>
      <c r="I223" s="39">
        <f t="shared" si="140"/>
        <v>1053368</v>
      </c>
      <c r="J223" s="39">
        <f t="shared" si="140"/>
        <v>1054018</v>
      </c>
      <c r="K223" s="39">
        <f t="shared" si="140"/>
        <v>1054464</v>
      </c>
      <c r="L223" s="39">
        <f t="shared" si="140"/>
        <v>1055356</v>
      </c>
      <c r="M223" s="39">
        <f t="shared" si="140"/>
        <v>1055356</v>
      </c>
      <c r="N223" s="39">
        <f t="shared" si="140"/>
        <v>1055427</v>
      </c>
      <c r="O223" s="39">
        <f t="shared" si="140"/>
        <v>1055427</v>
      </c>
      <c r="P223" s="39">
        <f t="shared" si="140"/>
        <v>1059616</v>
      </c>
      <c r="Q223" s="39">
        <f t="shared" si="140"/>
        <v>1059616</v>
      </c>
      <c r="R223" s="39">
        <f t="shared" si="140"/>
        <v>1059616</v>
      </c>
      <c r="S223" s="39">
        <f t="shared" si="140"/>
        <v>1059616</v>
      </c>
      <c r="T223" s="39">
        <f t="shared" si="140"/>
        <v>1059987</v>
      </c>
      <c r="U223" s="39">
        <f t="shared" si="140"/>
        <v>1059987</v>
      </c>
      <c r="V223" s="39">
        <f t="shared" si="141"/>
        <v>1059987</v>
      </c>
      <c r="W223" s="39">
        <v>1060282</v>
      </c>
      <c r="X223" s="39">
        <f t="shared" ref="X223:AK223" si="151">W223+X181</f>
        <v>1062222</v>
      </c>
      <c r="Y223" s="39">
        <f t="shared" si="151"/>
        <v>1062542</v>
      </c>
      <c r="Z223" s="39">
        <f t="shared" si="151"/>
        <v>1062542</v>
      </c>
      <c r="AA223" s="39">
        <f t="shared" si="151"/>
        <v>1062692</v>
      </c>
      <c r="AB223" s="39">
        <f t="shared" si="151"/>
        <v>1062692</v>
      </c>
      <c r="AC223" s="39">
        <f t="shared" si="151"/>
        <v>1062907</v>
      </c>
      <c r="AD223" s="39">
        <f t="shared" si="151"/>
        <v>1062907</v>
      </c>
      <c r="AE223" s="39">
        <f t="shared" si="151"/>
        <v>1062907</v>
      </c>
      <c r="AF223" s="39">
        <f t="shared" si="151"/>
        <v>1062907</v>
      </c>
      <c r="AG223" s="39">
        <f t="shared" si="151"/>
        <v>1062907</v>
      </c>
      <c r="AH223" s="39">
        <f t="shared" si="151"/>
        <v>1062907</v>
      </c>
      <c r="AI223" s="39">
        <f t="shared" si="151"/>
        <v>1062907</v>
      </c>
      <c r="AJ223" s="39">
        <f t="shared" si="151"/>
        <v>1062907</v>
      </c>
      <c r="AK223" s="39">
        <f t="shared" si="151"/>
        <v>1062907</v>
      </c>
    </row>
    <row r="224" spans="3:37" x14ac:dyDescent="0.25">
      <c r="E224" t="s">
        <v>89</v>
      </c>
      <c r="H224" t="s">
        <v>32</v>
      </c>
      <c r="I224" s="39">
        <f t="shared" si="140"/>
        <v>1890603</v>
      </c>
      <c r="J224" s="39">
        <f t="shared" si="140"/>
        <v>1902860</v>
      </c>
      <c r="K224" s="39">
        <f t="shared" si="140"/>
        <v>1902860</v>
      </c>
      <c r="L224" s="39">
        <f t="shared" si="140"/>
        <v>1904261</v>
      </c>
      <c r="M224" s="39">
        <f t="shared" si="140"/>
        <v>1904261</v>
      </c>
      <c r="N224" s="39">
        <f t="shared" si="140"/>
        <v>1934748</v>
      </c>
      <c r="O224" s="39">
        <f t="shared" si="140"/>
        <v>1945896</v>
      </c>
      <c r="P224" s="39">
        <f t="shared" si="140"/>
        <v>2043549</v>
      </c>
      <c r="Q224" s="39">
        <f t="shared" si="140"/>
        <v>2095870</v>
      </c>
      <c r="R224" s="39">
        <f t="shared" si="140"/>
        <v>2099864</v>
      </c>
      <c r="S224" s="39">
        <f t="shared" si="140"/>
        <v>2100857</v>
      </c>
      <c r="T224" s="39">
        <f t="shared" si="140"/>
        <v>2100857</v>
      </c>
      <c r="U224" s="39">
        <f t="shared" si="140"/>
        <v>2107038</v>
      </c>
      <c r="V224" s="39">
        <f t="shared" si="141"/>
        <v>2107328</v>
      </c>
      <c r="W224" s="39">
        <v>2112730</v>
      </c>
      <c r="X224" s="39">
        <f t="shared" ref="X224:AK224" si="152">W224+X182</f>
        <v>2112846</v>
      </c>
      <c r="Y224" s="39">
        <f t="shared" si="152"/>
        <v>2142928</v>
      </c>
      <c r="Z224" s="39">
        <f t="shared" si="152"/>
        <v>2143617</v>
      </c>
      <c r="AA224" s="39">
        <f t="shared" si="152"/>
        <v>2143617</v>
      </c>
      <c r="AB224" s="39">
        <f t="shared" si="152"/>
        <v>2144107</v>
      </c>
      <c r="AC224" s="39">
        <f t="shared" si="152"/>
        <v>2144107</v>
      </c>
      <c r="AD224" s="39">
        <f t="shared" si="152"/>
        <v>2144107</v>
      </c>
      <c r="AE224" s="39">
        <f t="shared" si="152"/>
        <v>2144107</v>
      </c>
      <c r="AF224" s="39">
        <f t="shared" si="152"/>
        <v>2144107</v>
      </c>
      <c r="AG224" s="39">
        <f t="shared" si="152"/>
        <v>2144107</v>
      </c>
      <c r="AH224" s="39">
        <f t="shared" si="152"/>
        <v>2144107</v>
      </c>
      <c r="AI224" s="39">
        <f t="shared" si="152"/>
        <v>2144107</v>
      </c>
      <c r="AJ224" s="39">
        <f t="shared" si="152"/>
        <v>2144107</v>
      </c>
      <c r="AK224" s="39">
        <f t="shared" si="152"/>
        <v>2144107</v>
      </c>
    </row>
    <row r="225" spans="1:37" x14ac:dyDescent="0.25">
      <c r="E225" t="s">
        <v>90</v>
      </c>
      <c r="H225" t="s">
        <v>32</v>
      </c>
      <c r="I225" s="39">
        <f t="shared" si="140"/>
        <v>81472</v>
      </c>
      <c r="J225" s="39">
        <f t="shared" si="140"/>
        <v>81520</v>
      </c>
      <c r="K225" s="39">
        <f t="shared" si="140"/>
        <v>90676</v>
      </c>
      <c r="L225" s="39">
        <f t="shared" si="140"/>
        <v>90676</v>
      </c>
      <c r="M225" s="39">
        <f t="shared" si="140"/>
        <v>90976</v>
      </c>
      <c r="N225" s="39">
        <f t="shared" si="140"/>
        <v>90976</v>
      </c>
      <c r="O225" s="39">
        <f t="shared" si="140"/>
        <v>91444</v>
      </c>
      <c r="P225" s="39">
        <f t="shared" si="140"/>
        <v>94074</v>
      </c>
      <c r="Q225" s="39">
        <f t="shared" si="140"/>
        <v>94074</v>
      </c>
      <c r="R225" s="39">
        <f t="shared" si="140"/>
        <v>94074</v>
      </c>
      <c r="S225" s="39">
        <f t="shared" si="140"/>
        <v>94074</v>
      </c>
      <c r="T225" s="39">
        <f t="shared" si="140"/>
        <v>94074</v>
      </c>
      <c r="U225" s="39">
        <f t="shared" si="140"/>
        <v>94269</v>
      </c>
      <c r="V225" s="39">
        <f t="shared" si="141"/>
        <v>94269</v>
      </c>
      <c r="W225" s="39">
        <v>94269</v>
      </c>
      <c r="X225" s="39">
        <f t="shared" ref="X225:AK225" si="153">W225+X183</f>
        <v>94269</v>
      </c>
      <c r="Y225" s="39">
        <f t="shared" si="153"/>
        <v>94269</v>
      </c>
      <c r="Z225" s="39">
        <f t="shared" si="153"/>
        <v>94269</v>
      </c>
      <c r="AA225" s="39">
        <f t="shared" si="153"/>
        <v>94965</v>
      </c>
      <c r="AB225" s="39">
        <f t="shared" si="153"/>
        <v>94965</v>
      </c>
      <c r="AC225" s="39">
        <f t="shared" si="153"/>
        <v>94965</v>
      </c>
      <c r="AD225" s="39">
        <f t="shared" si="153"/>
        <v>94965</v>
      </c>
      <c r="AE225" s="39">
        <f t="shared" si="153"/>
        <v>94965</v>
      </c>
      <c r="AF225" s="39">
        <f t="shared" si="153"/>
        <v>94965</v>
      </c>
      <c r="AG225" s="39">
        <f t="shared" si="153"/>
        <v>94965</v>
      </c>
      <c r="AH225" s="39">
        <f t="shared" si="153"/>
        <v>94965</v>
      </c>
      <c r="AI225" s="39">
        <f t="shared" si="153"/>
        <v>94965</v>
      </c>
      <c r="AJ225" s="39">
        <f t="shared" si="153"/>
        <v>94965</v>
      </c>
      <c r="AK225" s="39">
        <f t="shared" si="153"/>
        <v>94965</v>
      </c>
    </row>
    <row r="226" spans="1:37" x14ac:dyDescent="0.25">
      <c r="C226" s="10"/>
      <c r="D226" s="10" t="s">
        <v>91</v>
      </c>
      <c r="E226" s="10"/>
      <c r="F226" s="10"/>
      <c r="G226" s="10"/>
      <c r="H226" s="10" t="s">
        <v>32</v>
      </c>
      <c r="I226" s="41">
        <f t="shared" ref="I226:AK226" si="154">SUM(I227:I231)</f>
        <v>2347572</v>
      </c>
      <c r="J226" s="41">
        <f t="shared" si="154"/>
        <v>2361558</v>
      </c>
      <c r="K226" s="41">
        <f t="shared" si="154"/>
        <v>2394462</v>
      </c>
      <c r="L226" s="41">
        <f t="shared" si="154"/>
        <v>2539480</v>
      </c>
      <c r="M226" s="41">
        <f t="shared" si="154"/>
        <v>2587113</v>
      </c>
      <c r="N226" s="41">
        <f t="shared" si="154"/>
        <v>2723125</v>
      </c>
      <c r="O226" s="41">
        <f t="shared" si="154"/>
        <v>2739748</v>
      </c>
      <c r="P226" s="41">
        <f t="shared" si="154"/>
        <v>2757396</v>
      </c>
      <c r="Q226" s="41">
        <f t="shared" si="154"/>
        <v>2782226</v>
      </c>
      <c r="R226" s="41">
        <f t="shared" si="154"/>
        <v>2837638</v>
      </c>
      <c r="S226" s="41">
        <f t="shared" si="154"/>
        <v>2843073</v>
      </c>
      <c r="T226" s="41">
        <f t="shared" si="154"/>
        <v>2867097</v>
      </c>
      <c r="U226" s="41">
        <f t="shared" si="154"/>
        <v>2878897</v>
      </c>
      <c r="V226" s="41">
        <f t="shared" si="154"/>
        <v>2901215</v>
      </c>
      <c r="W226" s="41">
        <f t="shared" si="154"/>
        <v>2901764</v>
      </c>
      <c r="X226" s="41">
        <f t="shared" si="154"/>
        <v>2912239</v>
      </c>
      <c r="Y226" s="41">
        <f t="shared" si="154"/>
        <v>2918364</v>
      </c>
      <c r="Z226" s="41">
        <f t="shared" si="154"/>
        <v>3000735</v>
      </c>
      <c r="AA226" s="41">
        <f t="shared" si="154"/>
        <v>3026435</v>
      </c>
      <c r="AB226" s="41">
        <f t="shared" si="154"/>
        <v>3035108</v>
      </c>
      <c r="AC226" s="41">
        <f t="shared" si="154"/>
        <v>3040914</v>
      </c>
      <c r="AD226" s="41">
        <f t="shared" si="154"/>
        <v>3040914</v>
      </c>
      <c r="AE226" s="41">
        <f t="shared" si="154"/>
        <v>3040914</v>
      </c>
      <c r="AF226" s="41">
        <f t="shared" si="154"/>
        <v>3040914</v>
      </c>
      <c r="AG226" s="41">
        <f t="shared" si="154"/>
        <v>3040914</v>
      </c>
      <c r="AH226" s="41">
        <f t="shared" si="154"/>
        <v>3040914</v>
      </c>
      <c r="AI226" s="41">
        <f t="shared" si="154"/>
        <v>3040914</v>
      </c>
      <c r="AJ226" s="41">
        <f t="shared" si="154"/>
        <v>3040914</v>
      </c>
      <c r="AK226" s="41">
        <f t="shared" si="154"/>
        <v>3040914</v>
      </c>
    </row>
    <row r="227" spans="1:37" x14ac:dyDescent="0.25">
      <c r="E227" t="s">
        <v>92</v>
      </c>
      <c r="H227" t="s">
        <v>32</v>
      </c>
      <c r="I227" s="39">
        <f t="shared" ref="I227:U231" si="155">J227-J185</f>
        <v>344955</v>
      </c>
      <c r="J227" s="39">
        <f t="shared" si="155"/>
        <v>346455</v>
      </c>
      <c r="K227" s="39">
        <f t="shared" si="155"/>
        <v>346455</v>
      </c>
      <c r="L227" s="39">
        <f t="shared" si="155"/>
        <v>348315</v>
      </c>
      <c r="M227" s="39">
        <f t="shared" si="155"/>
        <v>349617</v>
      </c>
      <c r="N227" s="39">
        <f t="shared" si="155"/>
        <v>356770</v>
      </c>
      <c r="O227" s="39">
        <f t="shared" si="155"/>
        <v>362154</v>
      </c>
      <c r="P227" s="39">
        <f t="shared" si="155"/>
        <v>362958</v>
      </c>
      <c r="Q227" s="39">
        <f t="shared" si="155"/>
        <v>364094</v>
      </c>
      <c r="R227" s="39">
        <f t="shared" si="155"/>
        <v>364094</v>
      </c>
      <c r="S227" s="39">
        <f t="shared" si="155"/>
        <v>364094</v>
      </c>
      <c r="T227" s="39">
        <f t="shared" si="155"/>
        <v>387449</v>
      </c>
      <c r="U227" s="39">
        <f t="shared" si="155"/>
        <v>389835</v>
      </c>
      <c r="V227" s="39">
        <f>W227-W185</f>
        <v>387479</v>
      </c>
      <c r="W227" s="39">
        <v>389112</v>
      </c>
      <c r="X227" s="39">
        <f t="shared" ref="X227:AK227" si="156">W227+X185</f>
        <v>393225</v>
      </c>
      <c r="Y227" s="39">
        <f t="shared" si="156"/>
        <v>393295</v>
      </c>
      <c r="Z227" s="39">
        <f t="shared" si="156"/>
        <v>398660</v>
      </c>
      <c r="AA227" s="39">
        <f t="shared" si="156"/>
        <v>408792</v>
      </c>
      <c r="AB227" s="39">
        <f t="shared" si="156"/>
        <v>408792</v>
      </c>
      <c r="AC227" s="39">
        <f t="shared" si="156"/>
        <v>411727</v>
      </c>
      <c r="AD227" s="39">
        <f t="shared" si="156"/>
        <v>411727</v>
      </c>
      <c r="AE227" s="39">
        <f t="shared" si="156"/>
        <v>411727</v>
      </c>
      <c r="AF227" s="39">
        <f t="shared" si="156"/>
        <v>411727</v>
      </c>
      <c r="AG227" s="39">
        <f t="shared" si="156"/>
        <v>411727</v>
      </c>
      <c r="AH227" s="39">
        <f t="shared" si="156"/>
        <v>411727</v>
      </c>
      <c r="AI227" s="39">
        <f t="shared" si="156"/>
        <v>411727</v>
      </c>
      <c r="AJ227" s="39">
        <f t="shared" si="156"/>
        <v>411727</v>
      </c>
      <c r="AK227" s="39">
        <f t="shared" si="156"/>
        <v>411727</v>
      </c>
    </row>
    <row r="228" spans="1:37" x14ac:dyDescent="0.25">
      <c r="E228" t="s">
        <v>93</v>
      </c>
      <c r="H228" t="s">
        <v>32</v>
      </c>
      <c r="I228" s="39">
        <f t="shared" si="155"/>
        <v>1155374</v>
      </c>
      <c r="J228" s="39">
        <f t="shared" si="155"/>
        <v>1166860</v>
      </c>
      <c r="K228" s="39">
        <f t="shared" si="155"/>
        <v>1185795</v>
      </c>
      <c r="L228" s="39">
        <f t="shared" si="155"/>
        <v>1326843</v>
      </c>
      <c r="M228" s="39">
        <f t="shared" si="155"/>
        <v>1366572</v>
      </c>
      <c r="N228" s="39">
        <f t="shared" si="155"/>
        <v>1482722</v>
      </c>
      <c r="O228" s="39">
        <f t="shared" si="155"/>
        <v>1491381</v>
      </c>
      <c r="P228" s="39">
        <f t="shared" si="155"/>
        <v>1507841</v>
      </c>
      <c r="Q228" s="39">
        <f t="shared" si="155"/>
        <v>1518175</v>
      </c>
      <c r="R228" s="39">
        <f t="shared" si="155"/>
        <v>1571175</v>
      </c>
      <c r="S228" s="39">
        <f t="shared" si="155"/>
        <v>1574264</v>
      </c>
      <c r="T228" s="39">
        <f t="shared" si="155"/>
        <v>1574264</v>
      </c>
      <c r="U228" s="39">
        <f t="shared" si="155"/>
        <v>1579698</v>
      </c>
      <c r="V228" s="39">
        <f>W228-W186</f>
        <v>1601994</v>
      </c>
      <c r="W228" s="39">
        <v>1600910</v>
      </c>
      <c r="X228" s="39">
        <f t="shared" ref="X228:AK228" si="157">W228+X186</f>
        <v>1607272</v>
      </c>
      <c r="Y228" s="39">
        <f t="shared" si="157"/>
        <v>1613327</v>
      </c>
      <c r="Z228" s="39">
        <f t="shared" si="157"/>
        <v>1670551</v>
      </c>
      <c r="AA228" s="39">
        <f t="shared" si="157"/>
        <v>1676243</v>
      </c>
      <c r="AB228" s="39">
        <f t="shared" si="157"/>
        <v>1678820</v>
      </c>
      <c r="AC228" s="39">
        <f t="shared" si="157"/>
        <v>1681691</v>
      </c>
      <c r="AD228" s="39">
        <f t="shared" si="157"/>
        <v>1681691</v>
      </c>
      <c r="AE228" s="39">
        <f t="shared" si="157"/>
        <v>1681691</v>
      </c>
      <c r="AF228" s="39">
        <f t="shared" si="157"/>
        <v>1681691</v>
      </c>
      <c r="AG228" s="39">
        <f t="shared" si="157"/>
        <v>1681691</v>
      </c>
      <c r="AH228" s="39">
        <f t="shared" si="157"/>
        <v>1681691</v>
      </c>
      <c r="AI228" s="39">
        <f t="shared" si="157"/>
        <v>1681691</v>
      </c>
      <c r="AJ228" s="39">
        <f t="shared" si="157"/>
        <v>1681691</v>
      </c>
      <c r="AK228" s="39">
        <f t="shared" si="157"/>
        <v>1681691</v>
      </c>
    </row>
    <row r="229" spans="1:37" x14ac:dyDescent="0.25">
      <c r="E229" t="s">
        <v>94</v>
      </c>
      <c r="H229" t="s">
        <v>32</v>
      </c>
      <c r="I229" s="39">
        <f t="shared" si="155"/>
        <v>71960</v>
      </c>
      <c r="J229" s="39">
        <f t="shared" si="155"/>
        <v>71960</v>
      </c>
      <c r="K229" s="39">
        <f t="shared" si="155"/>
        <v>71960</v>
      </c>
      <c r="L229" s="39">
        <f t="shared" si="155"/>
        <v>72600</v>
      </c>
      <c r="M229" s="39">
        <f t="shared" si="155"/>
        <v>72600</v>
      </c>
      <c r="N229" s="39">
        <f t="shared" si="155"/>
        <v>72600</v>
      </c>
      <c r="O229" s="39">
        <f t="shared" si="155"/>
        <v>72600</v>
      </c>
      <c r="P229" s="39">
        <f t="shared" si="155"/>
        <v>72600</v>
      </c>
      <c r="Q229" s="39">
        <f t="shared" si="155"/>
        <v>84560</v>
      </c>
      <c r="R229" s="39">
        <f t="shared" si="155"/>
        <v>84560</v>
      </c>
      <c r="S229" s="39">
        <f t="shared" si="155"/>
        <v>84560</v>
      </c>
      <c r="T229" s="39">
        <f t="shared" si="155"/>
        <v>85229</v>
      </c>
      <c r="U229" s="39">
        <f t="shared" si="155"/>
        <v>85229</v>
      </c>
      <c r="V229" s="39">
        <f>W229-W187</f>
        <v>85229</v>
      </c>
      <c r="W229" s="39">
        <v>85229</v>
      </c>
      <c r="X229" s="39">
        <f t="shared" ref="X229:AK229" si="158">W229+X187</f>
        <v>85229</v>
      </c>
      <c r="Y229" s="39">
        <f t="shared" si="158"/>
        <v>85229</v>
      </c>
      <c r="Z229" s="39">
        <f t="shared" si="158"/>
        <v>105011</v>
      </c>
      <c r="AA229" s="39">
        <f t="shared" si="158"/>
        <v>114887</v>
      </c>
      <c r="AB229" s="39">
        <f t="shared" si="158"/>
        <v>114887</v>
      </c>
      <c r="AC229" s="39">
        <f t="shared" si="158"/>
        <v>114887</v>
      </c>
      <c r="AD229" s="39">
        <f t="shared" si="158"/>
        <v>114887</v>
      </c>
      <c r="AE229" s="39">
        <f t="shared" si="158"/>
        <v>114887</v>
      </c>
      <c r="AF229" s="39">
        <f t="shared" si="158"/>
        <v>114887</v>
      </c>
      <c r="AG229" s="39">
        <f t="shared" si="158"/>
        <v>114887</v>
      </c>
      <c r="AH229" s="39">
        <f t="shared" si="158"/>
        <v>114887</v>
      </c>
      <c r="AI229" s="39">
        <f t="shared" si="158"/>
        <v>114887</v>
      </c>
      <c r="AJ229" s="39">
        <f t="shared" si="158"/>
        <v>114887</v>
      </c>
      <c r="AK229" s="39">
        <f t="shared" si="158"/>
        <v>114887</v>
      </c>
    </row>
    <row r="230" spans="1:37" x14ac:dyDescent="0.25">
      <c r="E230" t="s">
        <v>95</v>
      </c>
      <c r="H230" t="s">
        <v>32</v>
      </c>
      <c r="I230" s="39">
        <f t="shared" si="155"/>
        <v>230997</v>
      </c>
      <c r="J230" s="39">
        <f t="shared" si="155"/>
        <v>230997</v>
      </c>
      <c r="K230" s="39">
        <f t="shared" si="155"/>
        <v>231366</v>
      </c>
      <c r="L230" s="39">
        <f t="shared" si="155"/>
        <v>231366</v>
      </c>
      <c r="M230" s="39">
        <f t="shared" si="155"/>
        <v>231366</v>
      </c>
      <c r="N230" s="39">
        <f t="shared" si="155"/>
        <v>231366</v>
      </c>
      <c r="O230" s="39">
        <f t="shared" si="155"/>
        <v>233466</v>
      </c>
      <c r="P230" s="39">
        <f t="shared" si="155"/>
        <v>233658</v>
      </c>
      <c r="Q230" s="39">
        <f t="shared" si="155"/>
        <v>233658</v>
      </c>
      <c r="R230" s="39">
        <f t="shared" si="155"/>
        <v>234666</v>
      </c>
      <c r="S230" s="39">
        <f t="shared" si="155"/>
        <v>234666</v>
      </c>
      <c r="T230" s="39">
        <f t="shared" si="155"/>
        <v>234666</v>
      </c>
      <c r="U230" s="39">
        <f t="shared" si="155"/>
        <v>234666</v>
      </c>
      <c r="V230" s="39">
        <f>W230-W188</f>
        <v>234666</v>
      </c>
      <c r="W230" s="39">
        <v>234666</v>
      </c>
      <c r="X230" s="39">
        <f t="shared" ref="X230:AK230" si="159">W230+X188</f>
        <v>234666</v>
      </c>
      <c r="Y230" s="39">
        <f t="shared" si="159"/>
        <v>234666</v>
      </c>
      <c r="Z230" s="39">
        <f t="shared" si="159"/>
        <v>234666</v>
      </c>
      <c r="AA230" s="39">
        <f t="shared" si="159"/>
        <v>234666</v>
      </c>
      <c r="AB230" s="39">
        <f t="shared" si="159"/>
        <v>234666</v>
      </c>
      <c r="AC230" s="39">
        <f t="shared" si="159"/>
        <v>234666</v>
      </c>
      <c r="AD230" s="39">
        <f t="shared" si="159"/>
        <v>234666</v>
      </c>
      <c r="AE230" s="39">
        <f t="shared" si="159"/>
        <v>234666</v>
      </c>
      <c r="AF230" s="39">
        <f t="shared" si="159"/>
        <v>234666</v>
      </c>
      <c r="AG230" s="39">
        <f t="shared" si="159"/>
        <v>234666</v>
      </c>
      <c r="AH230" s="39">
        <f t="shared" si="159"/>
        <v>234666</v>
      </c>
      <c r="AI230" s="39">
        <f t="shared" si="159"/>
        <v>234666</v>
      </c>
      <c r="AJ230" s="39">
        <f t="shared" si="159"/>
        <v>234666</v>
      </c>
      <c r="AK230" s="39">
        <f t="shared" si="159"/>
        <v>234666</v>
      </c>
    </row>
    <row r="231" spans="1:37" x14ac:dyDescent="0.25">
      <c r="E231" t="s">
        <v>96</v>
      </c>
      <c r="H231" t="s">
        <v>32</v>
      </c>
      <c r="I231" s="39">
        <f t="shared" si="155"/>
        <v>544286</v>
      </c>
      <c r="J231" s="39">
        <f t="shared" si="155"/>
        <v>545286</v>
      </c>
      <c r="K231" s="39">
        <f t="shared" si="155"/>
        <v>558886</v>
      </c>
      <c r="L231" s="39">
        <f t="shared" si="155"/>
        <v>560356</v>
      </c>
      <c r="M231" s="39">
        <f t="shared" si="155"/>
        <v>566958</v>
      </c>
      <c r="N231" s="39">
        <f t="shared" si="155"/>
        <v>579667</v>
      </c>
      <c r="O231" s="39">
        <f t="shared" si="155"/>
        <v>580147</v>
      </c>
      <c r="P231" s="39">
        <f t="shared" si="155"/>
        <v>580339</v>
      </c>
      <c r="Q231" s="39">
        <f t="shared" si="155"/>
        <v>581739</v>
      </c>
      <c r="R231" s="39">
        <f t="shared" si="155"/>
        <v>583143</v>
      </c>
      <c r="S231" s="39">
        <f t="shared" si="155"/>
        <v>585489</v>
      </c>
      <c r="T231" s="39">
        <f t="shared" si="155"/>
        <v>585489</v>
      </c>
      <c r="U231" s="39">
        <f t="shared" si="155"/>
        <v>589469</v>
      </c>
      <c r="V231" s="39">
        <f>W231-W189</f>
        <v>591847</v>
      </c>
      <c r="W231" s="39">
        <v>591847</v>
      </c>
      <c r="X231" s="39">
        <f t="shared" ref="X231:AK231" si="160">W231+X189</f>
        <v>591847</v>
      </c>
      <c r="Y231" s="39">
        <f t="shared" si="160"/>
        <v>591847</v>
      </c>
      <c r="Z231" s="39">
        <f t="shared" si="160"/>
        <v>591847</v>
      </c>
      <c r="AA231" s="39">
        <f t="shared" si="160"/>
        <v>591847</v>
      </c>
      <c r="AB231" s="39">
        <f t="shared" si="160"/>
        <v>597943</v>
      </c>
      <c r="AC231" s="39">
        <f t="shared" si="160"/>
        <v>597943</v>
      </c>
      <c r="AD231" s="39">
        <f t="shared" si="160"/>
        <v>597943</v>
      </c>
      <c r="AE231" s="39">
        <f t="shared" si="160"/>
        <v>597943</v>
      </c>
      <c r="AF231" s="39">
        <f t="shared" si="160"/>
        <v>597943</v>
      </c>
      <c r="AG231" s="39">
        <f t="shared" si="160"/>
        <v>597943</v>
      </c>
      <c r="AH231" s="39">
        <f t="shared" si="160"/>
        <v>597943</v>
      </c>
      <c r="AI231" s="39">
        <f t="shared" si="160"/>
        <v>597943</v>
      </c>
      <c r="AJ231" s="39">
        <f t="shared" si="160"/>
        <v>597943</v>
      </c>
      <c r="AK231" s="39">
        <f t="shared" si="160"/>
        <v>597943</v>
      </c>
    </row>
    <row r="232" spans="1:37" s="2" customFormat="1" x14ac:dyDescent="0.25">
      <c r="B232" s="3"/>
    </row>
    <row r="233" spans="1:37" s="28" customFormat="1" ht="17.25" x14ac:dyDescent="0.3">
      <c r="A233" s="28" t="s">
        <v>100</v>
      </c>
    </row>
    <row r="234" spans="1:37" x14ac:dyDescent="0.25">
      <c r="B234" s="29" t="s">
        <v>3</v>
      </c>
      <c r="C234" t="s">
        <v>101</v>
      </c>
    </row>
    <row r="235" spans="1:37" x14ac:dyDescent="0.25">
      <c r="B235" s="29"/>
      <c r="C235" s="211" t="s">
        <v>102</v>
      </c>
    </row>
    <row r="236" spans="1:37" x14ac:dyDescent="0.25">
      <c r="B236" s="29" t="s">
        <v>10</v>
      </c>
      <c r="C236" s="263" t="s">
        <v>103</v>
      </c>
    </row>
    <row r="237" spans="1:37" x14ac:dyDescent="0.25">
      <c r="B237" s="29"/>
      <c r="C237" s="263" t="s">
        <v>104</v>
      </c>
    </row>
    <row r="238" spans="1:37" x14ac:dyDescent="0.25">
      <c r="B238" s="29"/>
      <c r="C238" s="263" t="s">
        <v>105</v>
      </c>
    </row>
    <row r="239" spans="1:37" x14ac:dyDescent="0.25">
      <c r="B239" s="29"/>
      <c r="C239" s="263" t="s">
        <v>106</v>
      </c>
    </row>
    <row r="240" spans="1:37" x14ac:dyDescent="0.25">
      <c r="B240" s="29" t="s">
        <v>14</v>
      </c>
      <c r="C240" t="s">
        <v>107</v>
      </c>
    </row>
    <row r="241" spans="2:28" x14ac:dyDescent="0.25">
      <c r="B241" s="29" t="s">
        <v>17</v>
      </c>
      <c r="C241" t="s">
        <v>108</v>
      </c>
    </row>
    <row r="242" spans="2:28" s="25" customFormat="1" ht="15.75" thickBot="1" x14ac:dyDescent="0.3">
      <c r="B242" s="30" t="s">
        <v>19</v>
      </c>
      <c r="C242" s="25" t="s">
        <v>109</v>
      </c>
    </row>
    <row r="243" spans="2:28" ht="15.75" thickTop="1" x14ac:dyDescent="0.25">
      <c r="B243" s="44" t="s">
        <v>21</v>
      </c>
    </row>
    <row r="244" spans="2:28" x14ac:dyDescent="0.25">
      <c r="B244">
        <v>10</v>
      </c>
      <c r="C244" t="s">
        <v>110</v>
      </c>
      <c r="H244" t="s">
        <v>111</v>
      </c>
      <c r="I244" s="39">
        <v>23136</v>
      </c>
      <c r="J244" s="39">
        <v>23137</v>
      </c>
      <c r="K244" s="39">
        <v>23668</v>
      </c>
      <c r="L244" s="39">
        <v>24464</v>
      </c>
      <c r="M244" s="39">
        <v>25714</v>
      </c>
      <c r="N244" s="39">
        <v>27029</v>
      </c>
      <c r="O244" s="39">
        <v>28029</v>
      </c>
      <c r="P244" s="39">
        <v>26773</v>
      </c>
      <c r="Q244" s="39">
        <v>26308</v>
      </c>
      <c r="R244" s="39">
        <v>26607</v>
      </c>
      <c r="S244" s="39">
        <v>27348</v>
      </c>
      <c r="T244" s="39">
        <v>28653</v>
      </c>
      <c r="U244" s="39">
        <v>29898</v>
      </c>
      <c r="V244" s="39">
        <v>30711</v>
      </c>
      <c r="W244" s="240">
        <v>32068</v>
      </c>
      <c r="X244" s="240">
        <v>32744</v>
      </c>
      <c r="Y244" s="240">
        <v>33631</v>
      </c>
      <c r="Z244" s="240">
        <v>34019</v>
      </c>
      <c r="AA244" s="240">
        <v>33081</v>
      </c>
      <c r="AB244" s="240">
        <v>35628</v>
      </c>
    </row>
    <row r="245" spans="2:28" x14ac:dyDescent="0.25">
      <c r="B245" t="s">
        <v>112</v>
      </c>
      <c r="D245" t="s">
        <v>113</v>
      </c>
      <c r="H245" t="s">
        <v>111</v>
      </c>
      <c r="I245" s="39" t="s">
        <v>114</v>
      </c>
      <c r="J245" s="39" t="s">
        <v>114</v>
      </c>
      <c r="K245" s="39" t="s">
        <v>114</v>
      </c>
      <c r="L245" s="39" t="s">
        <v>114</v>
      </c>
      <c r="M245" s="39" t="s">
        <v>114</v>
      </c>
      <c r="N245" s="39" t="s">
        <v>114</v>
      </c>
      <c r="O245" s="39" t="s">
        <v>114</v>
      </c>
      <c r="P245" s="39" t="s">
        <v>114</v>
      </c>
      <c r="Q245" s="39" t="s">
        <v>114</v>
      </c>
      <c r="R245" s="39" t="s">
        <v>114</v>
      </c>
      <c r="S245" s="39" t="s">
        <v>114</v>
      </c>
      <c r="T245" s="39"/>
      <c r="U245" s="39"/>
      <c r="V245" s="39"/>
      <c r="W245" s="24"/>
      <c r="X245" s="24"/>
      <c r="Y245" s="24"/>
      <c r="Z245" s="24"/>
      <c r="AA245" s="24"/>
      <c r="AB245" s="24"/>
    </row>
    <row r="246" spans="2:28" x14ac:dyDescent="0.25">
      <c r="B246">
        <v>20</v>
      </c>
      <c r="E246" t="s">
        <v>115</v>
      </c>
      <c r="H246" t="s">
        <v>111</v>
      </c>
      <c r="I246" s="39">
        <v>17783</v>
      </c>
      <c r="J246" s="39">
        <v>17511</v>
      </c>
      <c r="K246" s="39">
        <v>17570</v>
      </c>
      <c r="L246" s="39">
        <v>17984</v>
      </c>
      <c r="M246" s="39">
        <v>18648</v>
      </c>
      <c r="N246" s="39">
        <v>19215</v>
      </c>
      <c r="O246" s="39">
        <v>19685</v>
      </c>
      <c r="P246" s="39">
        <v>18090</v>
      </c>
      <c r="Q246" s="39">
        <v>17600</v>
      </c>
      <c r="R246" s="39">
        <v>17585</v>
      </c>
      <c r="S246" s="39">
        <v>18094</v>
      </c>
      <c r="T246" s="39">
        <v>18836</v>
      </c>
      <c r="U246" s="39">
        <v>19564</v>
      </c>
      <c r="V246" s="39">
        <v>20323</v>
      </c>
      <c r="W246" s="240">
        <v>21068</v>
      </c>
      <c r="X246" s="240">
        <v>21517</v>
      </c>
      <c r="Y246" s="240">
        <v>21692</v>
      </c>
      <c r="Z246" s="240">
        <v>22236</v>
      </c>
      <c r="AA246" s="240">
        <v>19821</v>
      </c>
      <c r="AB246" s="240">
        <v>21919</v>
      </c>
    </row>
    <row r="247" spans="2:28" x14ac:dyDescent="0.25">
      <c r="B247">
        <v>40</v>
      </c>
      <c r="E247" t="s">
        <v>116</v>
      </c>
      <c r="H247" t="s">
        <v>111</v>
      </c>
      <c r="I247" s="39">
        <v>5353</v>
      </c>
      <c r="J247" s="39">
        <v>5626</v>
      </c>
      <c r="K247" s="39">
        <v>6098</v>
      </c>
      <c r="L247" s="39">
        <v>6480</v>
      </c>
      <c r="M247" s="39">
        <v>7066</v>
      </c>
      <c r="N247" s="39">
        <v>7814</v>
      </c>
      <c r="O247" s="39">
        <v>8344</v>
      </c>
      <c r="P247" s="39">
        <v>8683</v>
      </c>
      <c r="Q247" s="39">
        <v>8708</v>
      </c>
      <c r="R247" s="39">
        <v>9022</v>
      </c>
      <c r="S247" s="39">
        <v>9254</v>
      </c>
      <c r="T247" s="39">
        <v>9817</v>
      </c>
      <c r="U247" s="39">
        <v>10334</v>
      </c>
      <c r="V247" s="39">
        <v>10388</v>
      </c>
      <c r="W247" s="240">
        <v>11000</v>
      </c>
      <c r="X247" s="240">
        <v>11227</v>
      </c>
      <c r="Y247" s="240">
        <v>11939</v>
      </c>
      <c r="Z247" s="240">
        <v>11783</v>
      </c>
      <c r="AA247" s="240">
        <v>13260</v>
      </c>
      <c r="AB247" s="240">
        <v>13709</v>
      </c>
    </row>
    <row r="248" spans="2:28" x14ac:dyDescent="0.25">
      <c r="B248">
        <v>50</v>
      </c>
      <c r="F248" t="s">
        <v>117</v>
      </c>
      <c r="H248" t="s">
        <v>111</v>
      </c>
      <c r="I248" s="39">
        <v>98</v>
      </c>
      <c r="J248" s="39">
        <v>96</v>
      </c>
      <c r="K248" s="39">
        <v>99</v>
      </c>
      <c r="L248" s="39">
        <v>103</v>
      </c>
      <c r="M248" s="39">
        <v>104</v>
      </c>
      <c r="N248" s="39">
        <v>129</v>
      </c>
      <c r="O248" s="39">
        <v>129</v>
      </c>
      <c r="P248" s="39">
        <v>127</v>
      </c>
      <c r="Q248" s="39">
        <v>129</v>
      </c>
      <c r="R248" s="39">
        <v>129</v>
      </c>
      <c r="S248" s="39">
        <v>124</v>
      </c>
      <c r="T248" s="39">
        <v>126</v>
      </c>
      <c r="U248" s="39">
        <v>134</v>
      </c>
      <c r="V248" s="39">
        <v>141</v>
      </c>
      <c r="W248" s="24">
        <v>146</v>
      </c>
      <c r="X248" s="24">
        <v>145</v>
      </c>
      <c r="Y248" s="24">
        <v>145</v>
      </c>
      <c r="Z248" s="24">
        <v>146</v>
      </c>
      <c r="AA248" s="24">
        <v>146</v>
      </c>
      <c r="AB248" s="24">
        <v>149</v>
      </c>
    </row>
    <row r="249" spans="2:28" x14ac:dyDescent="0.25">
      <c r="B249">
        <v>60</v>
      </c>
      <c r="F249" t="s">
        <v>118</v>
      </c>
      <c r="H249" t="s">
        <v>111</v>
      </c>
      <c r="I249" s="39">
        <v>5255</v>
      </c>
      <c r="J249" s="39">
        <v>5530</v>
      </c>
      <c r="K249" s="39">
        <v>5999</v>
      </c>
      <c r="L249" s="39">
        <v>6377</v>
      </c>
      <c r="M249" s="39">
        <v>6962</v>
      </c>
      <c r="N249" s="39">
        <v>7685</v>
      </c>
      <c r="O249" s="39">
        <v>8215</v>
      </c>
      <c r="P249" s="39">
        <v>8556</v>
      </c>
      <c r="Q249" s="39">
        <v>8579</v>
      </c>
      <c r="R249" s="39">
        <v>8893</v>
      </c>
      <c r="S249" s="39">
        <v>9130</v>
      </c>
      <c r="T249" s="39">
        <v>9691</v>
      </c>
      <c r="U249" s="39">
        <v>10200</v>
      </c>
      <c r="V249" s="39">
        <v>10247</v>
      </c>
      <c r="W249" s="240">
        <v>10854</v>
      </c>
      <c r="X249" s="240">
        <v>11082</v>
      </c>
      <c r="Y249" s="240">
        <v>11794</v>
      </c>
      <c r="Z249" s="240">
        <v>11637</v>
      </c>
      <c r="AA249" s="240">
        <v>13114</v>
      </c>
      <c r="AB249" s="240">
        <v>13560</v>
      </c>
    </row>
    <row r="250" spans="2:28" x14ac:dyDescent="0.25">
      <c r="B250" t="s">
        <v>112</v>
      </c>
      <c r="D250" t="s">
        <v>119</v>
      </c>
      <c r="H250" t="s">
        <v>111</v>
      </c>
      <c r="I250" s="39" t="s">
        <v>114</v>
      </c>
      <c r="J250" s="39" t="s">
        <v>114</v>
      </c>
      <c r="K250" s="39" t="s">
        <v>114</v>
      </c>
      <c r="L250" s="39" t="s">
        <v>114</v>
      </c>
      <c r="M250" s="39" t="s">
        <v>114</v>
      </c>
      <c r="N250" s="39" t="s">
        <v>114</v>
      </c>
      <c r="O250" s="39" t="s">
        <v>114</v>
      </c>
      <c r="P250" s="39" t="s">
        <v>114</v>
      </c>
      <c r="Q250" s="39" t="s">
        <v>114</v>
      </c>
      <c r="R250" s="39" t="s">
        <v>114</v>
      </c>
      <c r="S250" s="39" t="s">
        <v>114</v>
      </c>
      <c r="T250" s="39"/>
      <c r="U250" s="39"/>
      <c r="V250" s="39"/>
      <c r="W250" s="24"/>
      <c r="X250" s="24"/>
      <c r="Y250" s="24"/>
      <c r="Z250" s="24"/>
      <c r="AA250" s="24"/>
      <c r="AB250" s="24"/>
    </row>
    <row r="251" spans="2:28" x14ac:dyDescent="0.25">
      <c r="B251">
        <v>70</v>
      </c>
      <c r="E251" t="s">
        <v>120</v>
      </c>
      <c r="H251" t="s">
        <v>111</v>
      </c>
      <c r="I251" s="39">
        <v>159</v>
      </c>
      <c r="J251" s="39">
        <v>153</v>
      </c>
      <c r="K251" s="39">
        <v>155</v>
      </c>
      <c r="L251" s="39">
        <v>156</v>
      </c>
      <c r="M251" s="39">
        <v>156</v>
      </c>
      <c r="N251" s="39">
        <v>178</v>
      </c>
      <c r="O251" s="39">
        <v>181</v>
      </c>
      <c r="P251" s="39">
        <v>177</v>
      </c>
      <c r="Q251" s="39">
        <v>181</v>
      </c>
      <c r="R251" s="39">
        <v>190</v>
      </c>
      <c r="S251" s="39">
        <v>193</v>
      </c>
      <c r="T251" s="39">
        <v>195</v>
      </c>
      <c r="U251" s="39">
        <v>200</v>
      </c>
      <c r="V251" s="39">
        <v>212</v>
      </c>
      <c r="W251" s="24">
        <v>218</v>
      </c>
      <c r="X251" s="24">
        <v>225</v>
      </c>
      <c r="Y251" s="24">
        <v>217</v>
      </c>
      <c r="Z251" s="24">
        <v>222</v>
      </c>
      <c r="AA251" s="24">
        <v>217</v>
      </c>
      <c r="AB251" s="24">
        <v>213</v>
      </c>
    </row>
    <row r="252" spans="2:28" x14ac:dyDescent="0.25">
      <c r="B252">
        <v>80</v>
      </c>
      <c r="E252" t="s">
        <v>121</v>
      </c>
      <c r="H252" t="s">
        <v>111</v>
      </c>
      <c r="I252" s="39">
        <v>22977</v>
      </c>
      <c r="J252" s="39">
        <v>22984</v>
      </c>
      <c r="K252" s="39">
        <v>23513</v>
      </c>
      <c r="L252" s="39">
        <v>24308</v>
      </c>
      <c r="M252" s="39">
        <v>25558</v>
      </c>
      <c r="N252" s="39">
        <v>26851</v>
      </c>
      <c r="O252" s="39">
        <v>27848</v>
      </c>
      <c r="P252" s="39">
        <v>26596</v>
      </c>
      <c r="Q252" s="39">
        <v>26127</v>
      </c>
      <c r="R252" s="39">
        <v>26417</v>
      </c>
      <c r="S252" s="39">
        <v>27155</v>
      </c>
      <c r="T252" s="39">
        <v>28458</v>
      </c>
      <c r="U252" s="39">
        <v>29698</v>
      </c>
      <c r="V252" s="39">
        <v>30499</v>
      </c>
      <c r="W252" s="240">
        <v>31850</v>
      </c>
      <c r="X252" s="240">
        <v>32519</v>
      </c>
      <c r="Y252" s="240">
        <v>33414</v>
      </c>
      <c r="Z252" s="240">
        <v>33797</v>
      </c>
      <c r="AA252" s="240">
        <v>32864</v>
      </c>
      <c r="AB252" s="240">
        <v>35415</v>
      </c>
    </row>
    <row r="253" spans="2:28" x14ac:dyDescent="0.25">
      <c r="B253">
        <v>90</v>
      </c>
      <c r="F253" t="s">
        <v>122</v>
      </c>
      <c r="H253" t="s">
        <v>111</v>
      </c>
      <c r="I253" s="39">
        <v>20807</v>
      </c>
      <c r="J253" s="39">
        <v>20760</v>
      </c>
      <c r="K253" s="39">
        <v>21293</v>
      </c>
      <c r="L253" s="39">
        <v>22041</v>
      </c>
      <c r="M253" s="39">
        <v>23259</v>
      </c>
      <c r="N253" s="39">
        <v>24582</v>
      </c>
      <c r="O253" s="39">
        <v>25565</v>
      </c>
      <c r="P253" s="39">
        <v>24240</v>
      </c>
      <c r="Q253" s="39">
        <v>23741</v>
      </c>
      <c r="R253" s="39">
        <v>24023</v>
      </c>
      <c r="S253" s="39">
        <v>24758</v>
      </c>
      <c r="T253" s="39">
        <v>26043</v>
      </c>
      <c r="U253" s="39">
        <v>27224</v>
      </c>
      <c r="V253" s="39">
        <v>27977</v>
      </c>
      <c r="W253" s="240">
        <v>29251</v>
      </c>
      <c r="X253" s="240">
        <v>29872</v>
      </c>
      <c r="Y253" s="240">
        <v>30791</v>
      </c>
      <c r="Z253" s="240">
        <v>31100</v>
      </c>
      <c r="AA253" s="240">
        <v>30203</v>
      </c>
      <c r="AB253" s="240">
        <v>32664</v>
      </c>
    </row>
    <row r="254" spans="2:28" x14ac:dyDescent="0.25">
      <c r="B254">
        <v>100</v>
      </c>
      <c r="G254" t="s">
        <v>123</v>
      </c>
      <c r="H254" t="s">
        <v>111</v>
      </c>
      <c r="I254" s="39" t="s">
        <v>124</v>
      </c>
      <c r="J254" s="39" t="s">
        <v>124</v>
      </c>
      <c r="K254" s="39" t="s">
        <v>124</v>
      </c>
      <c r="L254" s="39">
        <v>106</v>
      </c>
      <c r="M254" s="39">
        <v>108</v>
      </c>
      <c r="N254" s="39" t="s">
        <v>124</v>
      </c>
      <c r="O254" s="39">
        <v>125</v>
      </c>
      <c r="P254" s="39">
        <v>129</v>
      </c>
      <c r="Q254" s="39">
        <v>141</v>
      </c>
      <c r="R254" s="39" t="s">
        <v>124</v>
      </c>
      <c r="S254" s="39" t="s">
        <v>124</v>
      </c>
      <c r="T254" s="39">
        <v>157</v>
      </c>
      <c r="U254" s="39" t="s">
        <v>124</v>
      </c>
      <c r="V254" s="39">
        <v>127</v>
      </c>
      <c r="W254" s="24">
        <v>144</v>
      </c>
      <c r="X254" s="24">
        <v>144</v>
      </c>
      <c r="Y254" s="24">
        <v>148</v>
      </c>
      <c r="Z254" s="24">
        <v>130</v>
      </c>
      <c r="AA254" s="24">
        <v>145</v>
      </c>
      <c r="AB254" s="24" t="s">
        <v>124</v>
      </c>
    </row>
    <row r="255" spans="2:28" x14ac:dyDescent="0.25">
      <c r="B255">
        <v>200</v>
      </c>
      <c r="G255" t="s">
        <v>125</v>
      </c>
      <c r="H255" t="s">
        <v>111</v>
      </c>
      <c r="I255" s="39" t="s">
        <v>124</v>
      </c>
      <c r="J255" s="39" t="s">
        <v>124</v>
      </c>
      <c r="K255" s="39" t="s">
        <v>124</v>
      </c>
      <c r="L255" s="39">
        <v>99</v>
      </c>
      <c r="M255" s="39">
        <v>154</v>
      </c>
      <c r="N255" s="39" t="s">
        <v>124</v>
      </c>
      <c r="O255" s="39">
        <v>220</v>
      </c>
      <c r="P255" s="39">
        <v>189</v>
      </c>
      <c r="Q255" s="39">
        <v>223</v>
      </c>
      <c r="R255" s="39" t="s">
        <v>124</v>
      </c>
      <c r="S255" s="39" t="s">
        <v>124</v>
      </c>
      <c r="T255" s="39">
        <v>242</v>
      </c>
      <c r="U255" s="39" t="s">
        <v>124</v>
      </c>
      <c r="V255" s="39">
        <v>234</v>
      </c>
      <c r="W255" s="24">
        <v>197</v>
      </c>
      <c r="X255" s="24">
        <v>183</v>
      </c>
      <c r="Y255" s="24">
        <v>149</v>
      </c>
      <c r="Z255" s="24">
        <v>125</v>
      </c>
      <c r="AA255" s="24">
        <v>140</v>
      </c>
      <c r="AB255" s="24" t="s">
        <v>124</v>
      </c>
    </row>
    <row r="256" spans="2:28" x14ac:dyDescent="0.25">
      <c r="B256">
        <v>300</v>
      </c>
      <c r="G256" t="s">
        <v>126</v>
      </c>
      <c r="H256" t="s">
        <v>111</v>
      </c>
      <c r="I256" s="39" t="s">
        <v>124</v>
      </c>
      <c r="J256" s="39" t="s">
        <v>124</v>
      </c>
      <c r="K256" s="39" t="s">
        <v>124</v>
      </c>
      <c r="L256" s="39" t="s">
        <v>124</v>
      </c>
      <c r="M256" s="39" t="s">
        <v>124</v>
      </c>
      <c r="N256" s="39" t="s">
        <v>124</v>
      </c>
      <c r="O256" s="39" t="s">
        <v>124</v>
      </c>
      <c r="P256" s="39" t="s">
        <v>124</v>
      </c>
      <c r="Q256" s="39" t="s">
        <v>124</v>
      </c>
      <c r="R256" s="39" t="s">
        <v>124</v>
      </c>
      <c r="S256" s="39" t="s">
        <v>124</v>
      </c>
      <c r="T256" s="39" t="s">
        <v>124</v>
      </c>
      <c r="U256" s="39" t="s">
        <v>124</v>
      </c>
      <c r="V256" s="39" t="s">
        <v>124</v>
      </c>
      <c r="W256" s="24" t="s">
        <v>124</v>
      </c>
      <c r="X256" s="24" t="s">
        <v>124</v>
      </c>
      <c r="Y256" s="24" t="s">
        <v>124</v>
      </c>
      <c r="Z256" s="24" t="s">
        <v>124</v>
      </c>
      <c r="AA256" s="24" t="s">
        <v>124</v>
      </c>
      <c r="AB256" s="24" t="s">
        <v>124</v>
      </c>
    </row>
    <row r="257" spans="2:28" x14ac:dyDescent="0.25">
      <c r="B257">
        <v>400</v>
      </c>
      <c r="G257" t="s">
        <v>127</v>
      </c>
      <c r="H257" t="s">
        <v>111</v>
      </c>
      <c r="I257" s="39">
        <v>3167</v>
      </c>
      <c r="J257" s="39">
        <v>2826</v>
      </c>
      <c r="K257" s="39">
        <v>2675</v>
      </c>
      <c r="L257" s="39">
        <v>2752</v>
      </c>
      <c r="M257" s="39">
        <v>2948</v>
      </c>
      <c r="N257" s="39">
        <v>3169</v>
      </c>
      <c r="O257" s="39">
        <v>3236</v>
      </c>
      <c r="P257" s="39">
        <v>2748</v>
      </c>
      <c r="Q257" s="39">
        <v>2200</v>
      </c>
      <c r="R257" s="39">
        <v>2206</v>
      </c>
      <c r="S257" s="39">
        <v>2321</v>
      </c>
      <c r="T257" s="39">
        <v>2452</v>
      </c>
      <c r="U257" s="39">
        <v>2567</v>
      </c>
      <c r="V257" s="39">
        <v>2672</v>
      </c>
      <c r="W257" s="240">
        <v>2846</v>
      </c>
      <c r="X257" s="240">
        <v>2832</v>
      </c>
      <c r="Y257" s="240">
        <v>2789</v>
      </c>
      <c r="Z257" s="240">
        <v>2877</v>
      </c>
      <c r="AA257" s="240">
        <v>3030</v>
      </c>
      <c r="AB257" s="240">
        <v>3185</v>
      </c>
    </row>
    <row r="258" spans="2:28" x14ac:dyDescent="0.25">
      <c r="B258">
        <v>500</v>
      </c>
      <c r="G258" t="s">
        <v>128</v>
      </c>
      <c r="H258" t="s">
        <v>111</v>
      </c>
      <c r="I258" s="39">
        <v>308</v>
      </c>
      <c r="J258" s="39">
        <v>279</v>
      </c>
      <c r="K258" s="39">
        <v>260</v>
      </c>
      <c r="L258" s="39">
        <v>254</v>
      </c>
      <c r="M258" s="39">
        <v>267</v>
      </c>
      <c r="N258" s="39">
        <v>240</v>
      </c>
      <c r="O258" s="39">
        <v>243</v>
      </c>
      <c r="P258" s="39">
        <v>262</v>
      </c>
      <c r="Q258" s="39">
        <v>257</v>
      </c>
      <c r="R258" s="39">
        <v>286</v>
      </c>
      <c r="S258" s="39">
        <v>271</v>
      </c>
      <c r="T258" s="39">
        <v>287</v>
      </c>
      <c r="U258" s="39">
        <v>286</v>
      </c>
      <c r="V258" s="39">
        <v>315</v>
      </c>
      <c r="W258" s="24">
        <v>332</v>
      </c>
      <c r="X258" s="24">
        <v>370</v>
      </c>
      <c r="Y258" s="24">
        <v>415</v>
      </c>
      <c r="Z258" s="24">
        <v>364</v>
      </c>
      <c r="AA258" s="24">
        <v>358</v>
      </c>
      <c r="AB258" s="24">
        <v>393</v>
      </c>
    </row>
    <row r="259" spans="2:28" x14ac:dyDescent="0.25">
      <c r="B259">
        <v>600</v>
      </c>
      <c r="G259" t="s">
        <v>129</v>
      </c>
      <c r="H259" t="s">
        <v>111</v>
      </c>
      <c r="I259" s="39" t="s">
        <v>124</v>
      </c>
      <c r="J259" s="39" t="s">
        <v>124</v>
      </c>
      <c r="K259" s="39" t="s">
        <v>124</v>
      </c>
      <c r="L259" s="39" t="s">
        <v>124</v>
      </c>
      <c r="M259" s="39" t="s">
        <v>124</v>
      </c>
      <c r="N259" s="39" t="s">
        <v>124</v>
      </c>
      <c r="O259" s="39" t="s">
        <v>124</v>
      </c>
      <c r="P259" s="39" t="s">
        <v>124</v>
      </c>
      <c r="Q259" s="39" t="s">
        <v>124</v>
      </c>
      <c r="R259" s="39" t="s">
        <v>124</v>
      </c>
      <c r="S259" s="39" t="s">
        <v>124</v>
      </c>
      <c r="T259" s="39" t="s">
        <v>124</v>
      </c>
      <c r="U259" s="39" t="s">
        <v>124</v>
      </c>
      <c r="V259" s="39" t="s">
        <v>124</v>
      </c>
      <c r="W259" s="24" t="s">
        <v>124</v>
      </c>
      <c r="X259" s="24" t="s">
        <v>124</v>
      </c>
      <c r="Y259" s="24" t="s">
        <v>124</v>
      </c>
      <c r="Z259" s="24" t="s">
        <v>124</v>
      </c>
      <c r="AA259" s="24" t="s">
        <v>124</v>
      </c>
      <c r="AB259" s="24" t="s">
        <v>124</v>
      </c>
    </row>
    <row r="260" spans="2:28" x14ac:dyDescent="0.25">
      <c r="B260">
        <v>700</v>
      </c>
      <c r="G260" t="s">
        <v>130</v>
      </c>
      <c r="H260" t="s">
        <v>111</v>
      </c>
      <c r="I260" s="39">
        <v>2453</v>
      </c>
      <c r="J260" s="39">
        <v>2300</v>
      </c>
      <c r="K260" s="39">
        <v>2250</v>
      </c>
      <c r="L260" s="39">
        <v>2247</v>
      </c>
      <c r="M260" s="39">
        <v>2320</v>
      </c>
      <c r="N260" s="39">
        <v>2360</v>
      </c>
      <c r="O260" s="39">
        <v>2352</v>
      </c>
      <c r="P260" s="39">
        <v>2222</v>
      </c>
      <c r="Q260" s="39">
        <v>2131</v>
      </c>
      <c r="R260" s="39">
        <v>2141</v>
      </c>
      <c r="S260" s="39">
        <v>2169</v>
      </c>
      <c r="T260" s="39">
        <v>2348</v>
      </c>
      <c r="U260" s="39">
        <v>2488</v>
      </c>
      <c r="V260" s="39">
        <v>2641</v>
      </c>
      <c r="W260" s="240">
        <v>2674</v>
      </c>
      <c r="X260" s="240">
        <v>2603</v>
      </c>
      <c r="Y260" s="240">
        <v>2683</v>
      </c>
      <c r="Z260" s="240">
        <v>2629</v>
      </c>
      <c r="AA260" s="240">
        <v>2337</v>
      </c>
      <c r="AB260" s="240">
        <v>2413</v>
      </c>
    </row>
    <row r="261" spans="2:28" x14ac:dyDescent="0.25">
      <c r="B261">
        <v>800</v>
      </c>
      <c r="G261" t="s">
        <v>131</v>
      </c>
      <c r="H261" t="s">
        <v>111</v>
      </c>
      <c r="I261" s="39">
        <v>395</v>
      </c>
      <c r="J261" s="39">
        <v>402</v>
      </c>
      <c r="K261" s="39">
        <v>432</v>
      </c>
      <c r="L261" s="39">
        <v>426</v>
      </c>
      <c r="M261" s="39">
        <v>426</v>
      </c>
      <c r="N261" s="39">
        <v>449</v>
      </c>
      <c r="O261" s="39">
        <v>472</v>
      </c>
      <c r="P261" s="39">
        <v>470</v>
      </c>
      <c r="Q261" s="39">
        <v>483</v>
      </c>
      <c r="R261" s="39">
        <v>460</v>
      </c>
      <c r="S261" s="39">
        <v>494</v>
      </c>
      <c r="T261" s="39">
        <v>539</v>
      </c>
      <c r="U261" s="39">
        <v>514</v>
      </c>
      <c r="V261" s="39">
        <v>566</v>
      </c>
      <c r="W261" s="24">
        <v>581</v>
      </c>
      <c r="X261" s="24">
        <v>666</v>
      </c>
      <c r="Y261" s="24">
        <v>742</v>
      </c>
      <c r="Z261" s="24">
        <v>745</v>
      </c>
      <c r="AA261" s="24">
        <v>663</v>
      </c>
      <c r="AB261" s="24">
        <v>762</v>
      </c>
    </row>
    <row r="262" spans="2:28" x14ac:dyDescent="0.25">
      <c r="B262">
        <v>900</v>
      </c>
      <c r="G262" t="s">
        <v>132</v>
      </c>
      <c r="H262" t="s">
        <v>111</v>
      </c>
      <c r="I262" s="39">
        <v>394</v>
      </c>
      <c r="J262" s="39">
        <v>385</v>
      </c>
      <c r="K262" s="39">
        <v>370</v>
      </c>
      <c r="L262" s="39">
        <v>365</v>
      </c>
      <c r="M262" s="39">
        <v>361</v>
      </c>
      <c r="N262" s="39">
        <v>348</v>
      </c>
      <c r="O262" s="39">
        <v>351</v>
      </c>
      <c r="P262" s="39">
        <v>342</v>
      </c>
      <c r="Q262" s="39">
        <v>332</v>
      </c>
      <c r="R262" s="39">
        <v>349</v>
      </c>
      <c r="S262" s="39">
        <v>352</v>
      </c>
      <c r="T262" s="39">
        <v>364</v>
      </c>
      <c r="U262" s="39">
        <v>377</v>
      </c>
      <c r="V262" s="39">
        <v>347</v>
      </c>
      <c r="W262" s="24">
        <v>362</v>
      </c>
      <c r="X262" s="24">
        <v>396</v>
      </c>
      <c r="Y262" s="24">
        <v>386</v>
      </c>
      <c r="Z262" s="24">
        <v>354</v>
      </c>
      <c r="AA262" s="24">
        <v>360</v>
      </c>
      <c r="AB262" s="24">
        <v>380</v>
      </c>
    </row>
    <row r="263" spans="2:28" x14ac:dyDescent="0.25">
      <c r="B263">
        <v>1000</v>
      </c>
      <c r="G263" t="s">
        <v>133</v>
      </c>
      <c r="H263" t="s">
        <v>111</v>
      </c>
      <c r="I263" s="39">
        <v>932</v>
      </c>
      <c r="J263" s="39">
        <v>1007</v>
      </c>
      <c r="K263" s="39">
        <v>1054</v>
      </c>
      <c r="L263" s="39">
        <v>1140</v>
      </c>
      <c r="M263" s="39">
        <v>1218</v>
      </c>
      <c r="N263" s="39">
        <v>1452</v>
      </c>
      <c r="O263" s="39">
        <v>1670</v>
      </c>
      <c r="P263" s="39">
        <v>1937</v>
      </c>
      <c r="Q263" s="39">
        <v>1798</v>
      </c>
      <c r="R263" s="39">
        <v>2015</v>
      </c>
      <c r="S263" s="39">
        <v>2067</v>
      </c>
      <c r="T263" s="39">
        <v>2222</v>
      </c>
      <c r="U263" s="39">
        <v>2290</v>
      </c>
      <c r="V263" s="39">
        <v>2356</v>
      </c>
      <c r="W263" s="240">
        <v>2457</v>
      </c>
      <c r="X263" s="240">
        <v>2509</v>
      </c>
      <c r="Y263" s="240">
        <v>2882</v>
      </c>
      <c r="Z263" s="240">
        <v>3015</v>
      </c>
      <c r="AA263" s="240">
        <v>3917</v>
      </c>
      <c r="AB263" s="240">
        <v>4225</v>
      </c>
    </row>
    <row r="264" spans="2:28" x14ac:dyDescent="0.25">
      <c r="B264">
        <v>1100</v>
      </c>
      <c r="G264" t="s">
        <v>134</v>
      </c>
      <c r="H264" t="s">
        <v>111</v>
      </c>
      <c r="I264" s="39">
        <v>1652</v>
      </c>
      <c r="J264" s="39">
        <v>1682</v>
      </c>
      <c r="K264" s="39">
        <v>1885</v>
      </c>
      <c r="L264" s="39">
        <v>2177</v>
      </c>
      <c r="M264" s="39">
        <v>2479</v>
      </c>
      <c r="N264" s="39">
        <v>2679</v>
      </c>
      <c r="O264" s="39">
        <v>2986</v>
      </c>
      <c r="P264" s="39">
        <v>2825</v>
      </c>
      <c r="Q264" s="39">
        <v>2922</v>
      </c>
      <c r="R264" s="39">
        <v>2940</v>
      </c>
      <c r="S264" s="39">
        <v>2911</v>
      </c>
      <c r="T264" s="39">
        <v>3088</v>
      </c>
      <c r="U264" s="39">
        <v>3272</v>
      </c>
      <c r="V264" s="39">
        <v>3268</v>
      </c>
      <c r="W264" s="240">
        <v>3387</v>
      </c>
      <c r="X264" s="240">
        <v>3521</v>
      </c>
      <c r="Y264" s="240">
        <v>3706</v>
      </c>
      <c r="Z264" s="240">
        <v>3707</v>
      </c>
      <c r="AA264" s="240">
        <v>4218</v>
      </c>
      <c r="AB264" s="240">
        <v>4422</v>
      </c>
    </row>
    <row r="265" spans="2:28" x14ac:dyDescent="0.25">
      <c r="B265">
        <v>1200</v>
      </c>
      <c r="G265" t="s">
        <v>135</v>
      </c>
      <c r="H265" t="s">
        <v>111</v>
      </c>
      <c r="I265" s="39">
        <v>1575</v>
      </c>
      <c r="J265" s="39">
        <v>1574</v>
      </c>
      <c r="K265" s="39">
        <v>1669</v>
      </c>
      <c r="L265" s="39">
        <v>1636</v>
      </c>
      <c r="M265" s="39">
        <v>1729</v>
      </c>
      <c r="N265" s="39">
        <v>1915</v>
      </c>
      <c r="O265" s="39">
        <v>1920</v>
      </c>
      <c r="P265" s="39">
        <v>1819</v>
      </c>
      <c r="Q265" s="39">
        <v>1852</v>
      </c>
      <c r="R265" s="39">
        <v>1813</v>
      </c>
      <c r="S265" s="39">
        <v>1869</v>
      </c>
      <c r="T265" s="39">
        <v>1997</v>
      </c>
      <c r="U265" s="39">
        <v>2144</v>
      </c>
      <c r="V265" s="39">
        <v>2226</v>
      </c>
      <c r="W265" s="240">
        <v>2268</v>
      </c>
      <c r="X265" s="240">
        <v>2291</v>
      </c>
      <c r="Y265" s="240">
        <v>2396</v>
      </c>
      <c r="Z265" s="240">
        <v>2457</v>
      </c>
      <c r="AA265" s="240">
        <v>2486</v>
      </c>
      <c r="AB265" s="240">
        <v>2640</v>
      </c>
    </row>
    <row r="266" spans="2:28" x14ac:dyDescent="0.25">
      <c r="B266">
        <v>1300</v>
      </c>
      <c r="G266" t="s">
        <v>136</v>
      </c>
      <c r="H266" t="s">
        <v>111</v>
      </c>
      <c r="I266" s="39">
        <v>78</v>
      </c>
      <c r="J266" s="39">
        <v>79</v>
      </c>
      <c r="K266" s="39">
        <v>100</v>
      </c>
      <c r="L266" s="39">
        <v>114</v>
      </c>
      <c r="M266" s="39">
        <v>131</v>
      </c>
      <c r="N266" s="39">
        <v>126</v>
      </c>
      <c r="O266" s="39">
        <v>102</v>
      </c>
      <c r="P266" s="39">
        <v>94</v>
      </c>
      <c r="Q266" s="39">
        <v>86</v>
      </c>
      <c r="R266" s="39">
        <v>88</v>
      </c>
      <c r="S266" s="39">
        <v>93</v>
      </c>
      <c r="T266" s="39">
        <v>74</v>
      </c>
      <c r="U266" s="39">
        <v>147</v>
      </c>
      <c r="V266" s="39">
        <v>163</v>
      </c>
      <c r="W266" s="24">
        <v>295</v>
      </c>
      <c r="X266" s="24">
        <v>254</v>
      </c>
      <c r="Y266" s="24">
        <v>194</v>
      </c>
      <c r="Z266" s="24">
        <v>190</v>
      </c>
      <c r="AA266" s="24">
        <v>235</v>
      </c>
      <c r="AB266" s="24">
        <v>261</v>
      </c>
    </row>
    <row r="267" spans="2:28" x14ac:dyDescent="0.25">
      <c r="B267">
        <v>1400</v>
      </c>
      <c r="G267" t="s">
        <v>137</v>
      </c>
      <c r="H267" t="s">
        <v>111</v>
      </c>
      <c r="I267" s="39">
        <v>1028</v>
      </c>
      <c r="J267" s="39">
        <v>1044</v>
      </c>
      <c r="K267" s="39">
        <v>1058</v>
      </c>
      <c r="L267" s="39">
        <v>1048</v>
      </c>
      <c r="M267" s="39">
        <v>1124</v>
      </c>
      <c r="N267" s="39">
        <v>1203</v>
      </c>
      <c r="O267" s="39">
        <v>1203</v>
      </c>
      <c r="P267" s="39">
        <v>1186</v>
      </c>
      <c r="Q267" s="39">
        <v>1123</v>
      </c>
      <c r="R267" s="39">
        <v>1109</v>
      </c>
      <c r="S267" s="39">
        <v>1185</v>
      </c>
      <c r="T267" s="39">
        <v>1317</v>
      </c>
      <c r="U267" s="39">
        <v>1308</v>
      </c>
      <c r="V267" s="39">
        <v>1347</v>
      </c>
      <c r="W267" s="240">
        <v>1550</v>
      </c>
      <c r="X267" s="240">
        <v>1503</v>
      </c>
      <c r="Y267" s="240">
        <v>1512</v>
      </c>
      <c r="Z267" s="240">
        <v>1589</v>
      </c>
      <c r="AA267" s="240">
        <v>1532</v>
      </c>
      <c r="AB267" s="240">
        <v>1651</v>
      </c>
    </row>
    <row r="268" spans="2:28" x14ac:dyDescent="0.25">
      <c r="B268">
        <v>1500</v>
      </c>
      <c r="G268" t="s">
        <v>138</v>
      </c>
      <c r="H268" t="s">
        <v>111</v>
      </c>
      <c r="I268" s="39">
        <v>205</v>
      </c>
      <c r="J268" s="39">
        <v>228</v>
      </c>
      <c r="K268" s="39">
        <v>258</v>
      </c>
      <c r="L268" s="39">
        <v>287</v>
      </c>
      <c r="M268" s="39">
        <v>293</v>
      </c>
      <c r="N268" s="39">
        <v>288</v>
      </c>
      <c r="O268" s="39">
        <v>327</v>
      </c>
      <c r="P268" s="39">
        <v>324</v>
      </c>
      <c r="Q268" s="39">
        <v>361</v>
      </c>
      <c r="R268" s="39">
        <v>362</v>
      </c>
      <c r="S268" s="39">
        <v>360</v>
      </c>
      <c r="T268" s="39">
        <v>459</v>
      </c>
      <c r="U268" s="39">
        <v>486</v>
      </c>
      <c r="V268" s="39">
        <v>508</v>
      </c>
      <c r="W268" s="24">
        <v>573</v>
      </c>
      <c r="X268" s="24">
        <v>551</v>
      </c>
      <c r="Y268" s="24">
        <v>527</v>
      </c>
      <c r="Z268" s="24">
        <v>595</v>
      </c>
      <c r="AA268" s="24">
        <v>536</v>
      </c>
      <c r="AB268" s="24">
        <v>579</v>
      </c>
    </row>
    <row r="269" spans="2:28" x14ac:dyDescent="0.25">
      <c r="B269">
        <v>1600</v>
      </c>
      <c r="G269" t="s">
        <v>139</v>
      </c>
      <c r="H269" t="s">
        <v>111</v>
      </c>
      <c r="I269" s="39">
        <v>777</v>
      </c>
      <c r="J269" s="39">
        <v>813</v>
      </c>
      <c r="K269" s="39">
        <v>837</v>
      </c>
      <c r="L269" s="39">
        <v>874</v>
      </c>
      <c r="M269" s="39">
        <v>901</v>
      </c>
      <c r="N269" s="39">
        <v>924</v>
      </c>
      <c r="O269" s="39">
        <v>931</v>
      </c>
      <c r="P269" s="39">
        <v>951</v>
      </c>
      <c r="Q269" s="39">
        <v>972</v>
      </c>
      <c r="R269" s="39">
        <v>975</v>
      </c>
      <c r="S269" s="39">
        <v>1025</v>
      </c>
      <c r="T269" s="39">
        <v>1076</v>
      </c>
      <c r="U269" s="39">
        <v>1092</v>
      </c>
      <c r="V269" s="39">
        <v>1123</v>
      </c>
      <c r="W269" s="240">
        <v>1168</v>
      </c>
      <c r="X269" s="240">
        <v>1187</v>
      </c>
      <c r="Y269" s="240">
        <v>1230</v>
      </c>
      <c r="Z269" s="240">
        <v>1246</v>
      </c>
      <c r="AA269" s="240">
        <v>1218</v>
      </c>
      <c r="AB269" s="240">
        <v>1240</v>
      </c>
    </row>
    <row r="270" spans="2:28" x14ac:dyDescent="0.25">
      <c r="B270">
        <v>1700</v>
      </c>
      <c r="G270" t="s">
        <v>140</v>
      </c>
      <c r="H270" t="s">
        <v>111</v>
      </c>
      <c r="I270" s="39">
        <v>828</v>
      </c>
      <c r="J270" s="39">
        <v>875</v>
      </c>
      <c r="K270" s="39">
        <v>946</v>
      </c>
      <c r="L270" s="39">
        <v>1051</v>
      </c>
      <c r="M270" s="39">
        <v>1093</v>
      </c>
      <c r="N270" s="39">
        <v>1209</v>
      </c>
      <c r="O270" s="39">
        <v>1248</v>
      </c>
      <c r="P270" s="39">
        <v>1172</v>
      </c>
      <c r="Q270" s="39">
        <v>1217</v>
      </c>
      <c r="R270" s="39">
        <v>1267</v>
      </c>
      <c r="S270" s="39">
        <v>1307</v>
      </c>
      <c r="T270" s="39">
        <v>1324</v>
      </c>
      <c r="U270" s="39">
        <v>1441</v>
      </c>
      <c r="V270" s="39">
        <v>1329</v>
      </c>
      <c r="W270" s="240">
        <v>1446</v>
      </c>
      <c r="X270" s="240">
        <v>1648</v>
      </c>
      <c r="Y270" s="240">
        <v>1708</v>
      </c>
      <c r="Z270" s="240">
        <v>1623</v>
      </c>
      <c r="AA270" s="240">
        <v>1432</v>
      </c>
      <c r="AB270" s="240">
        <v>1586</v>
      </c>
    </row>
    <row r="271" spans="2:28" x14ac:dyDescent="0.25">
      <c r="B271" t="s">
        <v>62</v>
      </c>
      <c r="G271" t="s">
        <v>141</v>
      </c>
      <c r="H271" t="s">
        <v>111</v>
      </c>
      <c r="I271" s="39">
        <v>5431</v>
      </c>
      <c r="J271" s="39">
        <v>5635</v>
      </c>
      <c r="K271" s="39">
        <v>5865</v>
      </c>
      <c r="L271" s="39">
        <v>5971</v>
      </c>
      <c r="M271" s="39">
        <v>6163</v>
      </c>
      <c r="N271" s="39">
        <v>6310</v>
      </c>
      <c r="O271" s="39">
        <v>6613</v>
      </c>
      <c r="P271" s="39">
        <v>6110</v>
      </c>
      <c r="Q271" s="39">
        <v>6252</v>
      </c>
      <c r="R271" s="39">
        <v>6264</v>
      </c>
      <c r="S271" s="39">
        <v>6446</v>
      </c>
      <c r="T271" s="39">
        <v>6540</v>
      </c>
      <c r="U271" s="39">
        <v>6813</v>
      </c>
      <c r="V271" s="39">
        <v>7091</v>
      </c>
      <c r="W271" s="240">
        <v>7328</v>
      </c>
      <c r="X271" s="240">
        <v>7528</v>
      </c>
      <c r="Y271" s="240">
        <v>7569</v>
      </c>
      <c r="Z271" s="240">
        <v>7741</v>
      </c>
      <c r="AA271" s="240">
        <v>5976</v>
      </c>
      <c r="AB271" s="240">
        <v>6956</v>
      </c>
    </row>
    <row r="272" spans="2:28" x14ac:dyDescent="0.25">
      <c r="B272">
        <v>1900</v>
      </c>
      <c r="G272" t="s">
        <v>142</v>
      </c>
      <c r="H272" t="s">
        <v>111</v>
      </c>
      <c r="I272" s="39">
        <v>1108</v>
      </c>
      <c r="J272" s="39">
        <v>1122</v>
      </c>
      <c r="K272" s="39">
        <v>1152</v>
      </c>
      <c r="L272" s="39">
        <v>1205</v>
      </c>
      <c r="M272" s="39">
        <v>1228</v>
      </c>
      <c r="N272" s="39">
        <v>1271</v>
      </c>
      <c r="O272" s="39">
        <v>1215</v>
      </c>
      <c r="P272" s="39">
        <v>1132</v>
      </c>
      <c r="Q272" s="39">
        <v>1068</v>
      </c>
      <c r="R272" s="39">
        <v>1110</v>
      </c>
      <c r="S272" s="39">
        <v>1191</v>
      </c>
      <c r="T272" s="39">
        <v>1247</v>
      </c>
      <c r="U272" s="39">
        <v>1240</v>
      </c>
      <c r="V272" s="39">
        <v>1285</v>
      </c>
      <c r="W272" s="240">
        <v>1298</v>
      </c>
      <c r="X272" s="240">
        <v>1345</v>
      </c>
      <c r="Y272" s="240">
        <v>1414</v>
      </c>
      <c r="Z272" s="240">
        <v>1384</v>
      </c>
      <c r="AA272" s="240">
        <v>1287</v>
      </c>
      <c r="AB272" s="240">
        <v>1335</v>
      </c>
    </row>
    <row r="273" spans="1:28" x14ac:dyDescent="0.25">
      <c r="B273">
        <v>2000</v>
      </c>
      <c r="F273" t="s">
        <v>143</v>
      </c>
      <c r="H273" t="s">
        <v>111</v>
      </c>
      <c r="I273" s="39">
        <v>2170</v>
      </c>
      <c r="J273" s="39">
        <v>2224</v>
      </c>
      <c r="K273" s="39">
        <v>2220</v>
      </c>
      <c r="L273" s="39">
        <v>2267</v>
      </c>
      <c r="M273" s="39">
        <v>2299</v>
      </c>
      <c r="N273" s="39">
        <v>2269</v>
      </c>
      <c r="O273" s="39">
        <v>2283</v>
      </c>
      <c r="P273" s="39">
        <v>2356</v>
      </c>
      <c r="Q273" s="39">
        <v>2386</v>
      </c>
      <c r="R273" s="39">
        <v>2394</v>
      </c>
      <c r="S273" s="39">
        <v>2397</v>
      </c>
      <c r="T273" s="39">
        <v>2415</v>
      </c>
      <c r="U273" s="39">
        <v>2474</v>
      </c>
      <c r="V273" s="39">
        <v>2522</v>
      </c>
      <c r="W273" s="240">
        <v>2599</v>
      </c>
      <c r="X273" s="240">
        <v>2647</v>
      </c>
      <c r="Y273" s="240">
        <v>2623</v>
      </c>
      <c r="Z273" s="240">
        <v>2697</v>
      </c>
      <c r="AA273" s="240">
        <v>2661</v>
      </c>
      <c r="AB273" s="240">
        <v>2751</v>
      </c>
    </row>
    <row r="274" spans="1:28" x14ac:dyDescent="0.25">
      <c r="B274">
        <v>2001</v>
      </c>
      <c r="G274" t="s">
        <v>144</v>
      </c>
      <c r="H274" t="s">
        <v>111</v>
      </c>
      <c r="I274" s="39">
        <v>426</v>
      </c>
      <c r="J274" s="39">
        <v>394</v>
      </c>
      <c r="K274" s="39">
        <v>365</v>
      </c>
      <c r="L274" s="39">
        <v>353</v>
      </c>
      <c r="M274" s="39">
        <v>382</v>
      </c>
      <c r="N274" s="39">
        <v>388</v>
      </c>
      <c r="O274" s="39">
        <v>393</v>
      </c>
      <c r="P274" s="39">
        <v>412</v>
      </c>
      <c r="Q274" s="39">
        <v>447</v>
      </c>
      <c r="R274" s="39">
        <v>421</v>
      </c>
      <c r="S274" s="39">
        <v>408</v>
      </c>
      <c r="T274" s="39">
        <v>406</v>
      </c>
      <c r="U274" s="39">
        <v>415</v>
      </c>
      <c r="V274" s="39">
        <v>421</v>
      </c>
      <c r="W274" s="24">
        <v>428</v>
      </c>
      <c r="X274" s="24">
        <v>421</v>
      </c>
      <c r="Y274" s="24">
        <v>392</v>
      </c>
      <c r="Z274" s="24">
        <v>400</v>
      </c>
      <c r="AA274" s="24">
        <v>376</v>
      </c>
      <c r="AB274" s="24">
        <v>400</v>
      </c>
    </row>
    <row r="275" spans="1:28" x14ac:dyDescent="0.25">
      <c r="B275">
        <v>2002</v>
      </c>
      <c r="G275" t="s">
        <v>145</v>
      </c>
      <c r="H275" t="s">
        <v>111</v>
      </c>
      <c r="I275" s="39">
        <v>107</v>
      </c>
      <c r="J275" s="39">
        <v>106</v>
      </c>
      <c r="K275" s="39">
        <v>110</v>
      </c>
      <c r="L275" s="39">
        <v>111</v>
      </c>
      <c r="M275" s="39">
        <v>118</v>
      </c>
      <c r="N275" s="39">
        <v>124</v>
      </c>
      <c r="O275" s="39">
        <v>124</v>
      </c>
      <c r="P275" s="39">
        <v>126</v>
      </c>
      <c r="Q275" s="39">
        <v>124</v>
      </c>
      <c r="R275" s="39">
        <v>123</v>
      </c>
      <c r="S275" s="39">
        <v>118</v>
      </c>
      <c r="T275" s="39">
        <v>120</v>
      </c>
      <c r="U275" s="39">
        <v>121</v>
      </c>
      <c r="V275" s="39">
        <v>121</v>
      </c>
      <c r="W275" s="24">
        <v>121</v>
      </c>
      <c r="X275" s="24">
        <v>123</v>
      </c>
      <c r="Y275" s="24">
        <v>122</v>
      </c>
      <c r="Z275" s="24">
        <v>124</v>
      </c>
      <c r="AA275" s="24">
        <v>128</v>
      </c>
      <c r="AB275" s="24">
        <v>129</v>
      </c>
    </row>
    <row r="276" spans="1:28" x14ac:dyDescent="0.25">
      <c r="B276">
        <v>2010</v>
      </c>
      <c r="G276" t="s">
        <v>146</v>
      </c>
      <c r="H276" t="s">
        <v>111</v>
      </c>
      <c r="I276" s="39">
        <v>1637</v>
      </c>
      <c r="J276" s="39">
        <v>1724</v>
      </c>
      <c r="K276" s="39">
        <v>1745</v>
      </c>
      <c r="L276" s="39">
        <v>1803</v>
      </c>
      <c r="M276" s="39">
        <v>1799</v>
      </c>
      <c r="N276" s="39">
        <v>1757</v>
      </c>
      <c r="O276" s="39">
        <v>1766</v>
      </c>
      <c r="P276" s="39">
        <v>1818</v>
      </c>
      <c r="Q276" s="39">
        <v>1815</v>
      </c>
      <c r="R276" s="39">
        <v>1850</v>
      </c>
      <c r="S276" s="39">
        <v>1871</v>
      </c>
      <c r="T276" s="39">
        <v>1889</v>
      </c>
      <c r="U276" s="39">
        <v>1938</v>
      </c>
      <c r="V276" s="39">
        <v>1980</v>
      </c>
      <c r="W276" s="240">
        <v>2050</v>
      </c>
      <c r="X276" s="240">
        <v>2103</v>
      </c>
      <c r="Y276" s="240">
        <v>2109</v>
      </c>
      <c r="Z276" s="240">
        <v>2173</v>
      </c>
      <c r="AA276" s="240">
        <v>2157</v>
      </c>
      <c r="AB276" s="240">
        <v>2222</v>
      </c>
    </row>
    <row r="277" spans="1:28" x14ac:dyDescent="0.25">
      <c r="B277">
        <v>2011</v>
      </c>
      <c r="G277" t="s">
        <v>147</v>
      </c>
      <c r="H277" t="s">
        <v>111</v>
      </c>
      <c r="I277" s="39">
        <v>105</v>
      </c>
      <c r="J277" s="39">
        <v>113</v>
      </c>
      <c r="K277" s="39">
        <v>106</v>
      </c>
      <c r="L277" s="39">
        <v>107</v>
      </c>
      <c r="M277" s="39">
        <v>100</v>
      </c>
      <c r="N277" s="39">
        <v>99</v>
      </c>
      <c r="O277" s="39">
        <v>102</v>
      </c>
      <c r="P277" s="39">
        <v>107</v>
      </c>
      <c r="Q277" s="39">
        <v>106</v>
      </c>
      <c r="R277" s="39">
        <v>112</v>
      </c>
      <c r="S277" s="39">
        <v>109</v>
      </c>
      <c r="T277" s="39">
        <v>103</v>
      </c>
      <c r="U277" s="39">
        <v>98</v>
      </c>
      <c r="V277" s="39">
        <v>100</v>
      </c>
      <c r="W277" s="24">
        <v>97</v>
      </c>
      <c r="X277" s="24">
        <v>99</v>
      </c>
      <c r="Y277" s="24">
        <v>96</v>
      </c>
      <c r="Z277" s="24">
        <v>91</v>
      </c>
      <c r="AA277" s="24">
        <v>101</v>
      </c>
      <c r="AB277" s="24">
        <v>97</v>
      </c>
    </row>
    <row r="278" spans="1:28" x14ac:dyDescent="0.25">
      <c r="B278">
        <v>2012</v>
      </c>
      <c r="G278" t="s">
        <v>148</v>
      </c>
      <c r="H278" t="s">
        <v>111</v>
      </c>
      <c r="I278" s="39">
        <v>1532</v>
      </c>
      <c r="J278" s="39">
        <v>1611</v>
      </c>
      <c r="K278" s="39">
        <v>1639</v>
      </c>
      <c r="L278" s="39">
        <v>1696</v>
      </c>
      <c r="M278" s="39">
        <v>1699</v>
      </c>
      <c r="N278" s="39">
        <v>1658</v>
      </c>
      <c r="O278" s="39">
        <v>1664</v>
      </c>
      <c r="P278" s="39">
        <v>1711</v>
      </c>
      <c r="Q278" s="39">
        <v>1709</v>
      </c>
      <c r="R278" s="39">
        <v>1738</v>
      </c>
      <c r="S278" s="39">
        <v>1762</v>
      </c>
      <c r="T278" s="39">
        <v>1786</v>
      </c>
      <c r="U278" s="39">
        <v>1840</v>
      </c>
      <c r="V278" s="39">
        <v>1880</v>
      </c>
      <c r="W278" s="240">
        <v>1953</v>
      </c>
      <c r="X278" s="240">
        <v>2004</v>
      </c>
      <c r="Y278" s="240">
        <v>2013</v>
      </c>
      <c r="Z278" s="240">
        <v>2082</v>
      </c>
      <c r="AA278" s="240">
        <v>2056</v>
      </c>
      <c r="AB278" s="240">
        <v>2125</v>
      </c>
    </row>
    <row r="279" spans="1:28" s="2" customFormat="1" x14ac:dyDescent="0.25">
      <c r="B279" s="3"/>
    </row>
    <row r="280" spans="1:28" s="28" customFormat="1" ht="17.25" x14ac:dyDescent="0.3">
      <c r="A280" s="28" t="s">
        <v>149</v>
      </c>
    </row>
    <row r="281" spans="1:28" x14ac:dyDescent="0.25">
      <c r="B281" s="29" t="s">
        <v>3</v>
      </c>
      <c r="C281" t="s">
        <v>150</v>
      </c>
    </row>
    <row r="282" spans="1:28" x14ac:dyDescent="0.25">
      <c r="B282" s="29"/>
      <c r="C282" t="s">
        <v>102</v>
      </c>
    </row>
    <row r="283" spans="1:28" x14ac:dyDescent="0.25">
      <c r="B283" s="29" t="s">
        <v>10</v>
      </c>
      <c r="C283" s="263" t="s">
        <v>151</v>
      </c>
    </row>
    <row r="284" spans="1:28" x14ac:dyDescent="0.25">
      <c r="B284" s="29" t="s">
        <v>14</v>
      </c>
      <c r="C284" t="s">
        <v>152</v>
      </c>
    </row>
    <row r="285" spans="1:28" x14ac:dyDescent="0.25">
      <c r="B285" s="29" t="s">
        <v>17</v>
      </c>
      <c r="C285" t="s">
        <v>108</v>
      </c>
    </row>
    <row r="286" spans="1:28" s="25" customFormat="1" ht="15.75" thickBot="1" x14ac:dyDescent="0.3">
      <c r="B286" s="30" t="s">
        <v>19</v>
      </c>
      <c r="C286" s="25" t="s">
        <v>153</v>
      </c>
    </row>
    <row r="287" spans="1:28" ht="15.75" thickTop="1" x14ac:dyDescent="0.25">
      <c r="B287"/>
      <c r="C287" s="8" t="s">
        <v>154</v>
      </c>
      <c r="I287" s="39"/>
      <c r="J287" s="39"/>
      <c r="K287" s="39"/>
      <c r="L287" s="39"/>
      <c r="M287" s="39"/>
      <c r="N287" s="39"/>
      <c r="O287" s="39"/>
      <c r="P287" s="39"/>
      <c r="Q287" s="39"/>
      <c r="R287" s="39"/>
      <c r="S287" s="39"/>
      <c r="T287" s="39"/>
      <c r="U287" s="39"/>
      <c r="V287" s="39"/>
      <c r="W287" s="39"/>
      <c r="X287" s="39"/>
      <c r="Y287" s="39"/>
    </row>
    <row r="288" spans="1:28" x14ac:dyDescent="0.25">
      <c r="B288"/>
      <c r="D288" t="s">
        <v>155</v>
      </c>
      <c r="H288" t="s">
        <v>156</v>
      </c>
      <c r="I288" s="229">
        <v>1562293</v>
      </c>
      <c r="J288" s="229">
        <v>1570213</v>
      </c>
      <c r="K288" s="229">
        <v>1589416</v>
      </c>
      <c r="L288" s="229">
        <v>1635883</v>
      </c>
      <c r="M288" s="229">
        <v>1776201</v>
      </c>
      <c r="N288" s="229">
        <v>1815549</v>
      </c>
      <c r="O288" s="229">
        <v>1796798</v>
      </c>
      <c r="P288" s="229">
        <v>1828164</v>
      </c>
      <c r="Q288" s="229">
        <v>1811469</v>
      </c>
      <c r="R288" s="229">
        <v>1763361</v>
      </c>
      <c r="S288" s="229">
        <v>1840469</v>
      </c>
      <c r="T288" s="229">
        <v>1880855</v>
      </c>
      <c r="U288" s="229">
        <v>2032993</v>
      </c>
      <c r="V288" s="229">
        <v>2076723</v>
      </c>
      <c r="W288" s="229">
        <v>2113714</v>
      </c>
      <c r="X288" s="127">
        <v>2197795</v>
      </c>
      <c r="Y288" s="127">
        <v>2231897</v>
      </c>
      <c r="Z288" s="127">
        <v>2272536</v>
      </c>
      <c r="AA288" s="127">
        <v>2308166</v>
      </c>
      <c r="AB288" s="127">
        <v>2862327</v>
      </c>
    </row>
    <row r="289" spans="2:28" x14ac:dyDescent="0.25">
      <c r="B289"/>
      <c r="D289" t="s">
        <v>157</v>
      </c>
      <c r="H289" s="85">
        <v>20.12</v>
      </c>
      <c r="I289" s="229">
        <v>84.885999999999996</v>
      </c>
      <c r="J289" s="229">
        <v>85.316000000000003</v>
      </c>
      <c r="K289" s="229">
        <v>86.358999999999995</v>
      </c>
      <c r="L289" s="229">
        <v>88.884</v>
      </c>
      <c r="M289" s="229">
        <v>96.507999999999996</v>
      </c>
      <c r="N289" s="229">
        <v>98.646000000000001</v>
      </c>
      <c r="O289" s="229">
        <v>97.626999999999995</v>
      </c>
      <c r="P289" s="229">
        <v>99.331000000000003</v>
      </c>
      <c r="Q289" s="229">
        <v>98.424000000000007</v>
      </c>
      <c r="R289" s="229">
        <v>95.81</v>
      </c>
      <c r="S289" s="229">
        <v>100</v>
      </c>
      <c r="T289" s="229">
        <v>102.194</v>
      </c>
      <c r="U289" s="229">
        <v>110.461</v>
      </c>
      <c r="V289" s="229">
        <v>112.837</v>
      </c>
      <c r="W289" s="229">
        <v>114.846</v>
      </c>
      <c r="X289" s="241">
        <v>119.41500000000001</v>
      </c>
      <c r="Y289" s="241">
        <v>121.268</v>
      </c>
      <c r="Z289" s="241">
        <v>123.476</v>
      </c>
      <c r="AA289" s="241">
        <v>125.41200000000001</v>
      </c>
      <c r="AB289" s="241">
        <v>155.52199999999999</v>
      </c>
    </row>
    <row r="290" spans="2:28" x14ac:dyDescent="0.25">
      <c r="B290"/>
      <c r="D290" t="s">
        <v>158</v>
      </c>
      <c r="H290" t="s">
        <v>159</v>
      </c>
      <c r="I290" s="229">
        <v>1204372</v>
      </c>
      <c r="J290" s="229">
        <v>1240506</v>
      </c>
      <c r="K290" s="229">
        <v>1298478</v>
      </c>
      <c r="L290" s="229">
        <v>1390907</v>
      </c>
      <c r="M290" s="229">
        <v>1567907</v>
      </c>
      <c r="N290" s="229">
        <v>1667862</v>
      </c>
      <c r="O290" s="229">
        <v>1684400</v>
      </c>
      <c r="P290" s="229">
        <v>1723229</v>
      </c>
      <c r="Q290" s="229">
        <v>1723548</v>
      </c>
      <c r="R290" s="229">
        <v>1697240</v>
      </c>
      <c r="S290" s="229">
        <v>1840469</v>
      </c>
      <c r="T290" s="229">
        <v>1909113</v>
      </c>
      <c r="U290" s="229">
        <v>2102458</v>
      </c>
      <c r="V290" s="229">
        <v>2218013</v>
      </c>
      <c r="W290" s="229">
        <v>2325048</v>
      </c>
      <c r="X290" s="127">
        <v>2459708</v>
      </c>
      <c r="Y290" s="127">
        <v>2569409</v>
      </c>
      <c r="Z290" s="127">
        <v>2689327</v>
      </c>
      <c r="AA290" s="127">
        <v>2757909</v>
      </c>
      <c r="AB290" s="127">
        <v>3522800</v>
      </c>
    </row>
    <row r="291" spans="2:28" x14ac:dyDescent="0.25">
      <c r="B291" s="24"/>
      <c r="C291" s="8" t="s">
        <v>160</v>
      </c>
      <c r="H291" t="s">
        <v>161</v>
      </c>
      <c r="I291" s="47">
        <v>3.6</v>
      </c>
      <c r="J291" s="47">
        <v>0.5</v>
      </c>
      <c r="K291" s="47">
        <v>1.2</v>
      </c>
      <c r="L291" s="47">
        <v>2.9</v>
      </c>
      <c r="M291" s="47">
        <v>8.6</v>
      </c>
      <c r="N291" s="47">
        <v>2.2000000000000002</v>
      </c>
      <c r="O291" s="47">
        <v>-1</v>
      </c>
      <c r="P291" s="47">
        <v>1.8</v>
      </c>
      <c r="Q291" s="47">
        <v>-0.9</v>
      </c>
      <c r="R291" s="47">
        <v>-2.7</v>
      </c>
      <c r="S291" s="47">
        <v>4.4000000000000004</v>
      </c>
      <c r="T291" s="47">
        <v>2.2000000000000002</v>
      </c>
      <c r="U291" s="47">
        <v>8.1</v>
      </c>
      <c r="V291" s="47">
        <v>2.1</v>
      </c>
      <c r="W291" s="47">
        <v>1.8</v>
      </c>
      <c r="X291" s="24">
        <v>4</v>
      </c>
      <c r="Y291" s="24">
        <v>1.6</v>
      </c>
      <c r="Z291" s="24">
        <v>1.8</v>
      </c>
      <c r="AA291" s="24">
        <v>1.6</v>
      </c>
      <c r="AB291" s="24">
        <v>24</v>
      </c>
    </row>
    <row r="292" spans="2:28" x14ac:dyDescent="0.25">
      <c r="B292">
        <v>2</v>
      </c>
      <c r="D292" t="s">
        <v>162</v>
      </c>
      <c r="H292" t="s">
        <v>161</v>
      </c>
      <c r="I292" s="47">
        <v>3.47</v>
      </c>
      <c r="J292" s="47">
        <v>-0.12</v>
      </c>
      <c r="K292" s="47">
        <v>1.08</v>
      </c>
      <c r="L292" s="47">
        <v>2.34</v>
      </c>
      <c r="M292" s="47">
        <v>8.2100000000000009</v>
      </c>
      <c r="N292" s="47">
        <v>2.2000000000000002</v>
      </c>
      <c r="O292" s="47">
        <v>-1.18</v>
      </c>
      <c r="P292" s="47">
        <v>1.64</v>
      </c>
      <c r="Q292" s="47">
        <v>-0.94</v>
      </c>
      <c r="R292" s="47">
        <v>-2.67</v>
      </c>
      <c r="S292" s="47">
        <v>4.0999999999999996</v>
      </c>
      <c r="T292" s="47">
        <v>1.89</v>
      </c>
      <c r="U292" s="47">
        <v>7.73</v>
      </c>
      <c r="V292" s="47">
        <v>1.93</v>
      </c>
      <c r="W292" s="47">
        <v>1.35</v>
      </c>
      <c r="X292" s="24">
        <v>3.44</v>
      </c>
      <c r="Y292" s="24">
        <v>1.36</v>
      </c>
      <c r="Z292" s="24">
        <v>1.91</v>
      </c>
      <c r="AA292" s="24">
        <v>1.56</v>
      </c>
      <c r="AB292" s="24">
        <v>23.36</v>
      </c>
    </row>
    <row r="293" spans="2:28" x14ac:dyDescent="0.25">
      <c r="B293">
        <v>3</v>
      </c>
      <c r="E293" t="s">
        <v>163</v>
      </c>
      <c r="H293" t="s">
        <v>161</v>
      </c>
      <c r="I293" s="47">
        <v>-0.25</v>
      </c>
      <c r="J293" s="47">
        <v>0.5</v>
      </c>
      <c r="K293" s="47">
        <v>-1.18</v>
      </c>
      <c r="L293" s="47">
        <v>-0.48</v>
      </c>
      <c r="M293" s="47">
        <v>1.05</v>
      </c>
      <c r="N293" s="47">
        <v>-0.84</v>
      </c>
      <c r="O293" s="47">
        <v>-0.65</v>
      </c>
      <c r="P293" s="47">
        <v>0.81</v>
      </c>
      <c r="Q293" s="47">
        <v>0.98</v>
      </c>
      <c r="R293" s="47">
        <v>-1.2</v>
      </c>
      <c r="S293" s="47">
        <v>-0.68</v>
      </c>
      <c r="T293" s="47">
        <v>0.18</v>
      </c>
      <c r="U293" s="47">
        <v>-0.04</v>
      </c>
      <c r="V293" s="47">
        <v>0.09</v>
      </c>
      <c r="W293" s="47">
        <v>0.22</v>
      </c>
      <c r="X293" s="24">
        <v>-0.14000000000000001</v>
      </c>
      <c r="Y293" s="24">
        <v>-0.3</v>
      </c>
      <c r="Z293" s="24">
        <v>-0.08</v>
      </c>
      <c r="AA293" s="24">
        <v>-7.0000000000000007E-2</v>
      </c>
      <c r="AB293" s="24" t="s">
        <v>124</v>
      </c>
    </row>
    <row r="294" spans="2:28" x14ac:dyDescent="0.25">
      <c r="B294">
        <v>6</v>
      </c>
      <c r="E294" t="s">
        <v>164</v>
      </c>
      <c r="H294" t="s">
        <v>161</v>
      </c>
      <c r="I294" s="47">
        <v>-0.01</v>
      </c>
      <c r="J294" s="47">
        <v>0.08</v>
      </c>
      <c r="K294" s="47">
        <v>0.22</v>
      </c>
      <c r="L294" s="47">
        <v>-0.32</v>
      </c>
      <c r="M294" s="47">
        <v>0.09</v>
      </c>
      <c r="N294" s="47">
        <v>7.0000000000000007E-2</v>
      </c>
      <c r="O294" s="47">
        <v>-0.18</v>
      </c>
      <c r="P294" s="47">
        <v>-0.05</v>
      </c>
      <c r="Q294" s="47">
        <v>-0.06</v>
      </c>
      <c r="R294" s="47">
        <v>-0.02</v>
      </c>
      <c r="S294" s="47">
        <v>0</v>
      </c>
      <c r="T294" s="47">
        <v>0.01</v>
      </c>
      <c r="U294" s="47">
        <v>0</v>
      </c>
      <c r="V294" s="47">
        <v>0.02</v>
      </c>
      <c r="W294" s="47">
        <v>0.13</v>
      </c>
      <c r="X294" s="24">
        <v>0.17</v>
      </c>
      <c r="Y294" s="24">
        <v>-0.11</v>
      </c>
      <c r="Z294" s="24">
        <v>1</v>
      </c>
      <c r="AA294" s="24">
        <v>-0.66</v>
      </c>
      <c r="AB294" s="24" t="s">
        <v>124</v>
      </c>
    </row>
    <row r="295" spans="2:28" x14ac:dyDescent="0.25">
      <c r="B295">
        <v>10</v>
      </c>
      <c r="E295" t="s">
        <v>126</v>
      </c>
      <c r="H295" t="s">
        <v>161</v>
      </c>
      <c r="I295" s="47">
        <v>0.01</v>
      </c>
      <c r="J295" s="47">
        <v>-0.01</v>
      </c>
      <c r="K295" s="47">
        <v>0</v>
      </c>
      <c r="L295" s="47">
        <v>0</v>
      </c>
      <c r="M295" s="47">
        <v>0.01</v>
      </c>
      <c r="N295" s="47">
        <v>0.01</v>
      </c>
      <c r="O295" s="47">
        <v>0.03</v>
      </c>
      <c r="P295" s="47">
        <v>-0.06</v>
      </c>
      <c r="Q295" s="47">
        <v>0.01</v>
      </c>
      <c r="R295" s="47">
        <v>0</v>
      </c>
      <c r="S295" s="47">
        <v>0.01</v>
      </c>
      <c r="T295" s="47">
        <v>0.01</v>
      </c>
      <c r="U295" s="47">
        <v>-0.02</v>
      </c>
      <c r="V295" s="47">
        <v>0</v>
      </c>
      <c r="W295" s="47">
        <v>0.01</v>
      </c>
      <c r="X295" s="24">
        <v>0.02</v>
      </c>
      <c r="Y295" s="24">
        <v>0</v>
      </c>
      <c r="Z295" s="24">
        <v>0.01</v>
      </c>
      <c r="AA295" s="24">
        <v>0.02</v>
      </c>
      <c r="AB295" s="24">
        <v>-0.02</v>
      </c>
    </row>
    <row r="296" spans="2:28" x14ac:dyDescent="0.25">
      <c r="B296">
        <v>11</v>
      </c>
      <c r="E296" t="s">
        <v>127</v>
      </c>
      <c r="H296" t="s">
        <v>161</v>
      </c>
      <c r="I296" s="47">
        <v>0.05</v>
      </c>
      <c r="J296" s="47">
        <v>-2.85</v>
      </c>
      <c r="K296" s="47">
        <v>-1.98</v>
      </c>
      <c r="L296" s="47">
        <v>-0.54</v>
      </c>
      <c r="M296" s="47">
        <v>0.87</v>
      </c>
      <c r="N296" s="47">
        <v>0.26</v>
      </c>
      <c r="O296" s="47">
        <v>0.22</v>
      </c>
      <c r="P296" s="47">
        <v>-1.56</v>
      </c>
      <c r="Q296" s="47">
        <v>-2.2799999999999998</v>
      </c>
      <c r="R296" s="47">
        <v>-0.56000000000000005</v>
      </c>
      <c r="S296" s="47">
        <v>0.43</v>
      </c>
      <c r="T296" s="47">
        <v>1.65</v>
      </c>
      <c r="U296" s="47">
        <v>0.26</v>
      </c>
      <c r="V296" s="47">
        <v>0.89</v>
      </c>
      <c r="W296" s="47">
        <v>0.88</v>
      </c>
      <c r="X296" s="24">
        <v>0.92</v>
      </c>
      <c r="Y296" s="24">
        <v>-0.55000000000000004</v>
      </c>
      <c r="Z296" s="24">
        <v>-0.25</v>
      </c>
      <c r="AA296" s="24">
        <v>1.8</v>
      </c>
      <c r="AB296" s="24">
        <v>2.54</v>
      </c>
    </row>
    <row r="297" spans="2:28" x14ac:dyDescent="0.25">
      <c r="B297">
        <v>12</v>
      </c>
      <c r="E297" t="s">
        <v>128</v>
      </c>
      <c r="H297" t="s">
        <v>161</v>
      </c>
      <c r="I297" s="47">
        <v>-0.43</v>
      </c>
      <c r="J297" s="47">
        <v>0.03</v>
      </c>
      <c r="K297" s="47">
        <v>-0.09</v>
      </c>
      <c r="L297" s="47">
        <v>-0.16</v>
      </c>
      <c r="M297" s="47">
        <v>-0.08</v>
      </c>
      <c r="N297" s="47">
        <v>-0.13</v>
      </c>
      <c r="O297" s="47">
        <v>-0.01</v>
      </c>
      <c r="P297" s="47">
        <v>0.13</v>
      </c>
      <c r="Q297" s="47">
        <v>0.02</v>
      </c>
      <c r="R297" s="47">
        <v>0.09</v>
      </c>
      <c r="S297" s="47">
        <v>0.11</v>
      </c>
      <c r="T297" s="47">
        <v>-0.05</v>
      </c>
      <c r="U297" s="47">
        <v>0.22</v>
      </c>
      <c r="V297" s="47">
        <v>-0.04</v>
      </c>
      <c r="W297" s="47">
        <v>0.27</v>
      </c>
      <c r="X297" s="24">
        <v>0.02</v>
      </c>
      <c r="Y297" s="24">
        <v>-0.24</v>
      </c>
      <c r="Z297" s="24">
        <v>0.36</v>
      </c>
      <c r="AA297" s="24">
        <v>0.03</v>
      </c>
      <c r="AB297" s="24">
        <v>-0.14000000000000001</v>
      </c>
    </row>
    <row r="298" spans="2:28" x14ac:dyDescent="0.25">
      <c r="B298">
        <v>13</v>
      </c>
      <c r="F298" t="s">
        <v>165</v>
      </c>
      <c r="H298" t="s">
        <v>161</v>
      </c>
      <c r="I298" s="47">
        <v>-0.02</v>
      </c>
      <c r="J298" s="47">
        <v>-0.01</v>
      </c>
      <c r="K298" s="47">
        <v>0.04</v>
      </c>
      <c r="L298" s="47">
        <v>-0.05</v>
      </c>
      <c r="M298" s="47">
        <v>-0.03</v>
      </c>
      <c r="N298" s="47">
        <v>0.04</v>
      </c>
      <c r="O298" s="47">
        <v>0.02</v>
      </c>
      <c r="P298" s="47">
        <v>0.04</v>
      </c>
      <c r="Q298" s="47">
        <v>0</v>
      </c>
      <c r="R298" s="47">
        <v>-0.01</v>
      </c>
      <c r="S298" s="47">
        <v>-0.03</v>
      </c>
      <c r="T298" s="47">
        <v>-0.01</v>
      </c>
      <c r="U298" s="47">
        <v>0.15</v>
      </c>
      <c r="V298" s="47">
        <v>-0.05</v>
      </c>
      <c r="W298" s="47">
        <v>-0.05</v>
      </c>
      <c r="X298" s="24">
        <v>0.02</v>
      </c>
      <c r="Y298" s="24">
        <v>0.12</v>
      </c>
      <c r="Z298" s="24">
        <v>0.36</v>
      </c>
      <c r="AA298" s="24">
        <v>-7.0000000000000007E-2</v>
      </c>
      <c r="AB298" s="24">
        <v>-0.21</v>
      </c>
    </row>
    <row r="299" spans="2:28" x14ac:dyDescent="0.25">
      <c r="B299">
        <v>25</v>
      </c>
      <c r="F299" t="s">
        <v>166</v>
      </c>
      <c r="H299" t="s">
        <v>161</v>
      </c>
      <c r="I299" s="47">
        <v>-0.41</v>
      </c>
      <c r="J299" s="47">
        <v>0.04</v>
      </c>
      <c r="K299" s="47">
        <v>-0.13</v>
      </c>
      <c r="L299" s="47">
        <v>-0.12</v>
      </c>
      <c r="M299" s="47">
        <v>-0.06</v>
      </c>
      <c r="N299" s="47">
        <v>-0.18</v>
      </c>
      <c r="O299" s="47">
        <v>-0.03</v>
      </c>
      <c r="P299" s="47">
        <v>0.09</v>
      </c>
      <c r="Q299" s="47">
        <v>0.02</v>
      </c>
      <c r="R299" s="47">
        <v>0.11</v>
      </c>
      <c r="S299" s="47">
        <v>0.14000000000000001</v>
      </c>
      <c r="T299" s="47">
        <v>-0.04</v>
      </c>
      <c r="U299" s="47">
        <v>7.0000000000000007E-2</v>
      </c>
      <c r="V299" s="47">
        <v>0.01</v>
      </c>
      <c r="W299" s="47">
        <v>0.32</v>
      </c>
      <c r="X299" s="24">
        <v>-0.01</v>
      </c>
      <c r="Y299" s="24">
        <v>-0.36</v>
      </c>
      <c r="Z299" s="24">
        <v>0</v>
      </c>
      <c r="AA299" s="24">
        <v>0.1</v>
      </c>
      <c r="AB299" s="24">
        <v>7.0000000000000007E-2</v>
      </c>
    </row>
    <row r="300" spans="2:28" x14ac:dyDescent="0.25">
      <c r="B300">
        <v>34</v>
      </c>
      <c r="E300" t="s">
        <v>129</v>
      </c>
      <c r="H300" t="s">
        <v>161</v>
      </c>
      <c r="I300" s="47">
        <v>-0.06</v>
      </c>
      <c r="J300" s="47">
        <v>0.45</v>
      </c>
      <c r="K300" s="47">
        <v>0.17</v>
      </c>
      <c r="L300" s="47">
        <v>-0.2</v>
      </c>
      <c r="M300" s="47">
        <v>0.14000000000000001</v>
      </c>
      <c r="N300" s="47">
        <v>0.14000000000000001</v>
      </c>
      <c r="O300" s="47">
        <v>-0.33</v>
      </c>
      <c r="P300" s="47">
        <v>-0.55000000000000004</v>
      </c>
      <c r="Q300" s="47">
        <v>0.78</v>
      </c>
      <c r="R300" s="47">
        <v>-0.24</v>
      </c>
      <c r="S300" s="47">
        <v>0</v>
      </c>
      <c r="T300" s="47">
        <v>0.24</v>
      </c>
      <c r="U300" s="47">
        <v>1</v>
      </c>
      <c r="V300" s="47">
        <v>-0.85</v>
      </c>
      <c r="W300" s="47">
        <v>-0.03</v>
      </c>
      <c r="X300" s="24">
        <v>-0.18</v>
      </c>
      <c r="Y300" s="24">
        <v>-0.06</v>
      </c>
      <c r="Z300" s="24">
        <v>-0.08</v>
      </c>
      <c r="AA300" s="24">
        <v>0.02</v>
      </c>
      <c r="AB300" s="24">
        <v>0.02</v>
      </c>
    </row>
    <row r="301" spans="2:28" x14ac:dyDescent="0.25">
      <c r="B301">
        <v>35</v>
      </c>
      <c r="E301" t="s">
        <v>130</v>
      </c>
      <c r="H301" t="s">
        <v>161</v>
      </c>
      <c r="I301" s="47">
        <v>0.2</v>
      </c>
      <c r="J301" s="47">
        <v>0.26</v>
      </c>
      <c r="K301" s="47">
        <v>-0.17</v>
      </c>
      <c r="L301" s="47">
        <v>0.75</v>
      </c>
      <c r="M301" s="47">
        <v>0.37</v>
      </c>
      <c r="N301" s="47">
        <v>0.25</v>
      </c>
      <c r="O301" s="47">
        <v>-0.14000000000000001</v>
      </c>
      <c r="P301" s="47">
        <v>-0.82</v>
      </c>
      <c r="Q301" s="47">
        <v>-0.63</v>
      </c>
      <c r="R301" s="47">
        <v>0.05</v>
      </c>
      <c r="S301" s="47">
        <v>0.4</v>
      </c>
      <c r="T301" s="47">
        <v>0.56000000000000005</v>
      </c>
      <c r="U301" s="47">
        <v>-0.1</v>
      </c>
      <c r="V301" s="47">
        <v>0.32</v>
      </c>
      <c r="W301" s="47">
        <v>0.2</v>
      </c>
      <c r="X301" s="24">
        <v>0.5</v>
      </c>
      <c r="Y301" s="24">
        <v>0.4</v>
      </c>
      <c r="Z301" s="24">
        <v>0.17</v>
      </c>
      <c r="AA301" s="24">
        <v>-0.53</v>
      </c>
      <c r="AB301" s="24">
        <v>0.14000000000000001</v>
      </c>
    </row>
    <row r="302" spans="2:28" x14ac:dyDescent="0.25">
      <c r="B302">
        <v>36</v>
      </c>
      <c r="E302" t="s">
        <v>131</v>
      </c>
      <c r="H302" t="s">
        <v>161</v>
      </c>
      <c r="I302" s="47">
        <v>0.28999999999999998</v>
      </c>
      <c r="J302" s="47">
        <v>-0.14000000000000001</v>
      </c>
      <c r="K302" s="47">
        <v>0.03</v>
      </c>
      <c r="L302" s="47">
        <v>0.33</v>
      </c>
      <c r="M302" s="47">
        <v>0.05</v>
      </c>
      <c r="N302" s="47">
        <v>0.05</v>
      </c>
      <c r="O302" s="47">
        <v>0.36</v>
      </c>
      <c r="P302" s="47">
        <v>0.36</v>
      </c>
      <c r="Q302" s="47">
        <v>0.49</v>
      </c>
      <c r="R302" s="47">
        <v>-0.31</v>
      </c>
      <c r="S302" s="47">
        <v>0.09</v>
      </c>
      <c r="T302" s="47">
        <v>-0.04</v>
      </c>
      <c r="U302" s="47">
        <v>0.56000000000000005</v>
      </c>
      <c r="V302" s="47">
        <v>1.95</v>
      </c>
      <c r="W302" s="47">
        <v>-0.59</v>
      </c>
      <c r="X302" s="24">
        <v>0.89</v>
      </c>
      <c r="Y302" s="24">
        <v>-0.53</v>
      </c>
      <c r="Z302" s="24">
        <v>-0.08</v>
      </c>
      <c r="AA302" s="24">
        <v>-0.53</v>
      </c>
      <c r="AB302" s="24">
        <v>0.18</v>
      </c>
    </row>
    <row r="303" spans="2:28" x14ac:dyDescent="0.25">
      <c r="B303">
        <v>45</v>
      </c>
      <c r="E303" t="s">
        <v>132</v>
      </c>
      <c r="H303" t="s">
        <v>161</v>
      </c>
      <c r="I303" s="47">
        <v>0.85</v>
      </c>
      <c r="J303" s="47">
        <v>-0.11</v>
      </c>
      <c r="K303" s="47">
        <v>-0.1</v>
      </c>
      <c r="L303" s="47">
        <v>-0.04</v>
      </c>
      <c r="M303" s="47">
        <v>0.34</v>
      </c>
      <c r="N303" s="47">
        <v>0.35</v>
      </c>
      <c r="O303" s="47">
        <v>0.52</v>
      </c>
      <c r="P303" s="47">
        <v>0.64</v>
      </c>
      <c r="Q303" s="47">
        <v>0.12</v>
      </c>
      <c r="R303" s="47">
        <v>-0.12</v>
      </c>
      <c r="S303" s="47">
        <v>-0.35</v>
      </c>
      <c r="T303" s="47">
        <v>0.02</v>
      </c>
      <c r="U303" s="47">
        <v>-0.15</v>
      </c>
      <c r="V303" s="47">
        <v>0.25</v>
      </c>
      <c r="W303" s="47">
        <v>-0.17</v>
      </c>
      <c r="X303" s="24">
        <v>-0.18</v>
      </c>
      <c r="Y303" s="24">
        <v>0.34</v>
      </c>
      <c r="Z303" s="24">
        <v>-0.14000000000000001</v>
      </c>
      <c r="AA303" s="24">
        <v>-0.28000000000000003</v>
      </c>
      <c r="AB303" s="24">
        <v>0.45</v>
      </c>
    </row>
    <row r="304" spans="2:28" x14ac:dyDescent="0.25">
      <c r="B304">
        <v>50</v>
      </c>
      <c r="E304" t="s">
        <v>167</v>
      </c>
      <c r="H304" t="s">
        <v>161</v>
      </c>
      <c r="I304" s="47">
        <v>0.03</v>
      </c>
      <c r="J304" s="47">
        <v>0.39</v>
      </c>
      <c r="K304" s="47">
        <v>1.94</v>
      </c>
      <c r="L304" s="47">
        <v>2.5099999999999998</v>
      </c>
      <c r="M304" s="47">
        <v>1.47</v>
      </c>
      <c r="N304" s="47">
        <v>1.86</v>
      </c>
      <c r="O304" s="47">
        <v>-2.21</v>
      </c>
      <c r="P304" s="47">
        <v>2.69</v>
      </c>
      <c r="Q304" s="47">
        <v>0.53</v>
      </c>
      <c r="R304" s="47">
        <v>-1.73</v>
      </c>
      <c r="S304" s="47">
        <v>2.1</v>
      </c>
      <c r="T304" s="47">
        <v>-2.71</v>
      </c>
      <c r="U304" s="47">
        <v>3.4</v>
      </c>
      <c r="V304" s="47">
        <v>-1.96</v>
      </c>
      <c r="W304" s="47">
        <v>0.23</v>
      </c>
      <c r="X304" s="24">
        <v>-0.46</v>
      </c>
      <c r="Y304" s="24">
        <v>2.38</v>
      </c>
      <c r="Z304" s="24">
        <v>0.79</v>
      </c>
      <c r="AA304" s="24">
        <v>2.29</v>
      </c>
      <c r="AB304" s="24">
        <v>6.64</v>
      </c>
    </row>
    <row r="305" spans="2:28" x14ac:dyDescent="0.25">
      <c r="B305">
        <v>51</v>
      </c>
      <c r="F305" t="s">
        <v>133</v>
      </c>
      <c r="H305" t="s">
        <v>161</v>
      </c>
      <c r="I305" s="47">
        <v>-0.68</v>
      </c>
      <c r="J305" s="47">
        <v>0.11</v>
      </c>
      <c r="K305" s="47">
        <v>-0.09</v>
      </c>
      <c r="L305" s="47">
        <v>0.28000000000000003</v>
      </c>
      <c r="M305" s="47">
        <v>1.81</v>
      </c>
      <c r="N305" s="47">
        <v>7.0000000000000007E-2</v>
      </c>
      <c r="O305" s="47">
        <v>-0.53</v>
      </c>
      <c r="P305" s="47">
        <v>3.5</v>
      </c>
      <c r="Q305" s="47">
        <v>0.17</v>
      </c>
      <c r="R305" s="47">
        <v>-1.48</v>
      </c>
      <c r="S305" s="47">
        <v>0.73</v>
      </c>
      <c r="T305" s="47">
        <v>-2.4500000000000002</v>
      </c>
      <c r="U305" s="47">
        <v>1.18</v>
      </c>
      <c r="V305" s="47">
        <v>-2.72</v>
      </c>
      <c r="W305" s="47">
        <v>-1.1100000000000001</v>
      </c>
      <c r="X305" s="24">
        <v>-0.01</v>
      </c>
      <c r="Y305" s="24">
        <v>1.19</v>
      </c>
      <c r="Z305" s="24">
        <v>0.24</v>
      </c>
      <c r="AA305" s="24">
        <v>2.0499999999999998</v>
      </c>
      <c r="AB305" s="24">
        <v>4.3600000000000003</v>
      </c>
    </row>
    <row r="306" spans="2:28" x14ac:dyDescent="0.25">
      <c r="B306">
        <v>56</v>
      </c>
      <c r="F306" t="s">
        <v>134</v>
      </c>
      <c r="H306" t="s">
        <v>161</v>
      </c>
      <c r="I306" s="47">
        <v>0.71</v>
      </c>
      <c r="J306" s="47">
        <v>0.28000000000000003</v>
      </c>
      <c r="K306" s="47">
        <v>2.0299999999999998</v>
      </c>
      <c r="L306" s="47">
        <v>2.23</v>
      </c>
      <c r="M306" s="47">
        <v>-0.34</v>
      </c>
      <c r="N306" s="47">
        <v>1.79</v>
      </c>
      <c r="O306" s="47">
        <v>-1.68</v>
      </c>
      <c r="P306" s="47">
        <v>-0.81</v>
      </c>
      <c r="Q306" s="47">
        <v>0.37</v>
      </c>
      <c r="R306" s="47">
        <v>-0.24</v>
      </c>
      <c r="S306" s="47">
        <v>1.36</v>
      </c>
      <c r="T306" s="47">
        <v>-0.26</v>
      </c>
      <c r="U306" s="47">
        <v>2.2200000000000002</v>
      </c>
      <c r="V306" s="47">
        <v>0.76</v>
      </c>
      <c r="W306" s="47">
        <v>1.34</v>
      </c>
      <c r="X306" s="24">
        <v>-0.46</v>
      </c>
      <c r="Y306" s="24">
        <v>1.19</v>
      </c>
      <c r="Z306" s="24">
        <v>0.55000000000000004</v>
      </c>
      <c r="AA306" s="24">
        <v>0.24</v>
      </c>
      <c r="AB306" s="24">
        <v>2.2799999999999998</v>
      </c>
    </row>
    <row r="307" spans="2:28" x14ac:dyDescent="0.25">
      <c r="B307">
        <v>59</v>
      </c>
      <c r="E307" t="s">
        <v>168</v>
      </c>
      <c r="H307" t="s">
        <v>161</v>
      </c>
      <c r="I307" s="47">
        <v>0.94</v>
      </c>
      <c r="J307" s="47">
        <v>-1.21</v>
      </c>
      <c r="K307" s="47">
        <v>-1.44</v>
      </c>
      <c r="L307" s="47">
        <v>-0.71</v>
      </c>
      <c r="M307" s="47">
        <v>1</v>
      </c>
      <c r="N307" s="47">
        <v>-0.64</v>
      </c>
      <c r="O307" s="47">
        <v>1.35</v>
      </c>
      <c r="P307" s="47">
        <v>1.93</v>
      </c>
      <c r="Q307" s="47">
        <v>-0.63</v>
      </c>
      <c r="R307" s="47">
        <v>0.75</v>
      </c>
      <c r="S307" s="47">
        <v>0.56999999999999995</v>
      </c>
      <c r="T307" s="47">
        <v>1.4</v>
      </c>
      <c r="U307" s="47">
        <v>0.89</v>
      </c>
      <c r="V307" s="47">
        <v>0.33</v>
      </c>
      <c r="W307" s="47">
        <v>0.61</v>
      </c>
      <c r="X307" s="24">
        <v>0.74</v>
      </c>
      <c r="Y307" s="24">
        <v>0.81</v>
      </c>
      <c r="Z307" s="24">
        <v>0.13</v>
      </c>
      <c r="AA307" s="24">
        <v>2.4900000000000002</v>
      </c>
      <c r="AB307" s="24">
        <v>7.99</v>
      </c>
    </row>
    <row r="308" spans="2:28" x14ac:dyDescent="0.25">
      <c r="B308">
        <v>60</v>
      </c>
      <c r="F308" t="s">
        <v>135</v>
      </c>
      <c r="H308" t="s">
        <v>161</v>
      </c>
      <c r="I308" s="47">
        <v>0.59</v>
      </c>
      <c r="J308" s="47">
        <v>-1.4</v>
      </c>
      <c r="K308" s="47">
        <v>-0.53</v>
      </c>
      <c r="L308" s="47">
        <v>-0.98</v>
      </c>
      <c r="M308" s="47">
        <v>0.36</v>
      </c>
      <c r="N308" s="47">
        <v>0.5</v>
      </c>
      <c r="O308" s="47">
        <v>0.98</v>
      </c>
      <c r="P308" s="47">
        <v>-0.76</v>
      </c>
      <c r="Q308" s="47">
        <v>-0.34</v>
      </c>
      <c r="R308" s="47">
        <v>0.47</v>
      </c>
      <c r="S308" s="47">
        <v>0.8</v>
      </c>
      <c r="T308" s="47">
        <v>0.25</v>
      </c>
      <c r="U308" s="47">
        <v>1.81</v>
      </c>
      <c r="V308" s="47">
        <v>-0.08</v>
      </c>
      <c r="W308" s="47">
        <v>0.34</v>
      </c>
      <c r="X308" s="24">
        <v>0.87</v>
      </c>
      <c r="Y308" s="24">
        <v>0.36</v>
      </c>
      <c r="Z308" s="24">
        <v>0.87</v>
      </c>
      <c r="AA308" s="24">
        <v>1.33</v>
      </c>
      <c r="AB308" s="24">
        <v>1.66</v>
      </c>
    </row>
    <row r="309" spans="2:28" x14ac:dyDescent="0.25">
      <c r="B309">
        <v>64</v>
      </c>
      <c r="F309" t="s">
        <v>136</v>
      </c>
      <c r="H309" t="s">
        <v>161</v>
      </c>
      <c r="I309" s="47">
        <v>0.26</v>
      </c>
      <c r="J309" s="47">
        <v>0.68</v>
      </c>
      <c r="K309" s="47">
        <v>-0.38</v>
      </c>
      <c r="L309" s="47">
        <v>0.31</v>
      </c>
      <c r="M309" s="47">
        <v>0.36</v>
      </c>
      <c r="N309" s="47">
        <v>-0.88</v>
      </c>
      <c r="O309" s="47">
        <v>0.06</v>
      </c>
      <c r="P309" s="47">
        <v>0.26</v>
      </c>
      <c r="Q309" s="47">
        <v>0.04</v>
      </c>
      <c r="R309" s="47">
        <v>0.16</v>
      </c>
      <c r="S309" s="47">
        <v>-0.53</v>
      </c>
      <c r="T309" s="47">
        <v>0.34</v>
      </c>
      <c r="U309" s="47">
        <v>-1.05</v>
      </c>
      <c r="V309" s="47">
        <v>0.1</v>
      </c>
      <c r="W309" s="47">
        <v>0.22</v>
      </c>
      <c r="X309" s="24">
        <v>-0.21</v>
      </c>
      <c r="Y309" s="24">
        <v>0.16</v>
      </c>
      <c r="Z309" s="24">
        <v>-0.14000000000000001</v>
      </c>
      <c r="AA309" s="24">
        <v>1.18</v>
      </c>
      <c r="AB309" s="24">
        <v>2.16</v>
      </c>
    </row>
    <row r="310" spans="2:28" x14ac:dyDescent="0.25">
      <c r="B310">
        <v>65</v>
      </c>
      <c r="F310" t="s">
        <v>169</v>
      </c>
      <c r="H310" t="s">
        <v>161</v>
      </c>
      <c r="I310" s="47">
        <v>0.09</v>
      </c>
      <c r="J310" s="47">
        <v>-0.49</v>
      </c>
      <c r="K310" s="47">
        <v>-0.54</v>
      </c>
      <c r="L310" s="47">
        <v>-0.04</v>
      </c>
      <c r="M310" s="47">
        <v>0.28000000000000003</v>
      </c>
      <c r="N310" s="47">
        <v>-0.26</v>
      </c>
      <c r="O310" s="47">
        <v>0.32</v>
      </c>
      <c r="P310" s="47">
        <v>2.4300000000000002</v>
      </c>
      <c r="Q310" s="47">
        <v>-0.33</v>
      </c>
      <c r="R310" s="47">
        <v>0.12</v>
      </c>
      <c r="S310" s="47">
        <v>0.28999999999999998</v>
      </c>
      <c r="T310" s="47">
        <v>0.81</v>
      </c>
      <c r="U310" s="47">
        <v>0.13</v>
      </c>
      <c r="V310" s="47">
        <v>0.31</v>
      </c>
      <c r="W310" s="47">
        <v>0.05</v>
      </c>
      <c r="X310" s="24">
        <v>7.0000000000000007E-2</v>
      </c>
      <c r="Y310" s="24">
        <v>0.3</v>
      </c>
      <c r="Z310" s="24">
        <v>-0.61</v>
      </c>
      <c r="AA310" s="24">
        <v>-0.02</v>
      </c>
      <c r="AB310" s="24">
        <v>4.16</v>
      </c>
    </row>
    <row r="311" spans="2:28" x14ac:dyDescent="0.25">
      <c r="B311">
        <v>68</v>
      </c>
      <c r="E311" t="s">
        <v>170</v>
      </c>
      <c r="H311" t="s">
        <v>161</v>
      </c>
      <c r="I311" s="47">
        <v>0.32</v>
      </c>
      <c r="J311" s="47">
        <v>0.63</v>
      </c>
      <c r="K311" s="47">
        <v>0.89</v>
      </c>
      <c r="L311" s="47">
        <v>0.5</v>
      </c>
      <c r="M311" s="47">
        <v>-0.54</v>
      </c>
      <c r="N311" s="47">
        <v>7.0000000000000007E-2</v>
      </c>
      <c r="O311" s="47">
        <v>0.4</v>
      </c>
      <c r="P311" s="47">
        <v>-0.02</v>
      </c>
      <c r="Q311" s="47">
        <v>0.16</v>
      </c>
      <c r="R311" s="47">
        <v>-0.08</v>
      </c>
      <c r="S311" s="47">
        <v>7.0000000000000007E-2</v>
      </c>
      <c r="T311" s="47">
        <v>0.18</v>
      </c>
      <c r="U311" s="47">
        <v>-0.01</v>
      </c>
      <c r="V311" s="47">
        <v>0.09</v>
      </c>
      <c r="W311" s="47">
        <v>0.25</v>
      </c>
      <c r="X311" s="24">
        <v>7.0000000000000007E-2</v>
      </c>
      <c r="Y311" s="24">
        <v>0.04</v>
      </c>
      <c r="Z311" s="24">
        <v>0.28000000000000003</v>
      </c>
      <c r="AA311" s="24">
        <v>-0.01</v>
      </c>
      <c r="AB311" s="24">
        <v>0.02</v>
      </c>
    </row>
    <row r="312" spans="2:28" x14ac:dyDescent="0.25">
      <c r="B312">
        <v>69</v>
      </c>
      <c r="F312" t="s">
        <v>138</v>
      </c>
      <c r="H312" t="s">
        <v>161</v>
      </c>
      <c r="I312" s="47">
        <v>0.04</v>
      </c>
      <c r="J312" s="47">
        <v>0.03</v>
      </c>
      <c r="K312" s="47">
        <v>0.1</v>
      </c>
      <c r="L312" s="47">
        <v>0</v>
      </c>
      <c r="M312" s="47">
        <v>0.01</v>
      </c>
      <c r="N312" s="47">
        <v>-0.05</v>
      </c>
      <c r="O312" s="47">
        <v>0.06</v>
      </c>
      <c r="P312" s="47">
        <v>0.04</v>
      </c>
      <c r="Q312" s="47">
        <v>0.06</v>
      </c>
      <c r="R312" s="47">
        <v>0.02</v>
      </c>
      <c r="S312" s="47">
        <v>-0.02</v>
      </c>
      <c r="T312" s="47">
        <v>0.11</v>
      </c>
      <c r="U312" s="47">
        <v>0.02</v>
      </c>
      <c r="V312" s="47">
        <v>0.02</v>
      </c>
      <c r="W312" s="47">
        <v>0.06</v>
      </c>
      <c r="X312" s="24">
        <v>0.05</v>
      </c>
      <c r="Y312" s="24">
        <v>0.03</v>
      </c>
      <c r="Z312" s="24">
        <v>0.2</v>
      </c>
      <c r="AA312" s="24">
        <v>-0.06</v>
      </c>
      <c r="AB312" s="24">
        <v>0.02</v>
      </c>
    </row>
    <row r="313" spans="2:28" x14ac:dyDescent="0.25">
      <c r="B313">
        <v>70</v>
      </c>
      <c r="F313" t="s">
        <v>139</v>
      </c>
      <c r="H313" t="s">
        <v>161</v>
      </c>
      <c r="I313" s="47">
        <v>0.28000000000000003</v>
      </c>
      <c r="J313" s="47">
        <v>0.6</v>
      </c>
      <c r="K313" s="47">
        <v>0.79</v>
      </c>
      <c r="L313" s="47">
        <v>0.5</v>
      </c>
      <c r="M313" s="47">
        <v>-0.56000000000000005</v>
      </c>
      <c r="N313" s="47">
        <v>0.12</v>
      </c>
      <c r="O313" s="47">
        <v>0.34</v>
      </c>
      <c r="P313" s="47">
        <v>-0.06</v>
      </c>
      <c r="Q313" s="47">
        <v>0.1</v>
      </c>
      <c r="R313" s="47">
        <v>-0.09</v>
      </c>
      <c r="S313" s="47">
        <v>0.09</v>
      </c>
      <c r="T313" s="47">
        <v>7.0000000000000007E-2</v>
      </c>
      <c r="U313" s="47">
        <v>-0.04</v>
      </c>
      <c r="V313" s="47">
        <v>7.0000000000000007E-2</v>
      </c>
      <c r="W313" s="47">
        <v>0.18</v>
      </c>
      <c r="X313" s="24">
        <v>0.02</v>
      </c>
      <c r="Y313" s="24">
        <v>0.01</v>
      </c>
      <c r="Z313" s="24">
        <v>0.08</v>
      </c>
      <c r="AA313" s="24">
        <v>0.05</v>
      </c>
      <c r="AB313" s="24">
        <v>0</v>
      </c>
    </row>
    <row r="314" spans="2:28" x14ac:dyDescent="0.25">
      <c r="B314">
        <v>75</v>
      </c>
      <c r="E314" t="s">
        <v>171</v>
      </c>
      <c r="H314" t="s">
        <v>161</v>
      </c>
      <c r="I314" s="47">
        <v>1.48</v>
      </c>
      <c r="J314" s="47">
        <v>1.95</v>
      </c>
      <c r="K314" s="47">
        <v>2.89</v>
      </c>
      <c r="L314" s="47">
        <v>0.44</v>
      </c>
      <c r="M314" s="47">
        <v>2.96</v>
      </c>
      <c r="N314" s="47">
        <v>0.16</v>
      </c>
      <c r="O314" s="47">
        <v>-0.15</v>
      </c>
      <c r="P314" s="47">
        <v>-1.46</v>
      </c>
      <c r="Q314" s="47">
        <v>0.42</v>
      </c>
      <c r="R314" s="47">
        <v>0.76</v>
      </c>
      <c r="S314" s="47">
        <v>1.2</v>
      </c>
      <c r="T314" s="47">
        <v>0.47</v>
      </c>
      <c r="U314" s="47">
        <v>1.59</v>
      </c>
      <c r="V314" s="47">
        <v>0.8</v>
      </c>
      <c r="W314" s="47">
        <v>-0.9</v>
      </c>
      <c r="X314" s="24">
        <v>1.04</v>
      </c>
      <c r="Y314" s="24">
        <v>-0.84</v>
      </c>
      <c r="Z314" s="24">
        <v>-0.16</v>
      </c>
      <c r="AA314" s="24">
        <v>-2.86</v>
      </c>
      <c r="AB314" s="24">
        <v>5.42</v>
      </c>
    </row>
    <row r="315" spans="2:28" x14ac:dyDescent="0.25">
      <c r="B315">
        <v>76</v>
      </c>
      <c r="F315" t="s">
        <v>140</v>
      </c>
      <c r="H315" t="s">
        <v>161</v>
      </c>
      <c r="I315" s="47">
        <v>-1.73</v>
      </c>
      <c r="J315" s="47">
        <v>0.4</v>
      </c>
      <c r="K315" s="47">
        <v>0.46</v>
      </c>
      <c r="L315" s="47">
        <v>0.35</v>
      </c>
      <c r="M315" s="47">
        <v>0.56999999999999995</v>
      </c>
      <c r="N315" s="47">
        <v>0.53</v>
      </c>
      <c r="O315" s="47">
        <v>0.09</v>
      </c>
      <c r="P315" s="47">
        <v>-0.33</v>
      </c>
      <c r="Q315" s="47">
        <v>0.56000000000000005</v>
      </c>
      <c r="R315" s="47">
        <v>0.2</v>
      </c>
      <c r="S315" s="47">
        <v>0.48</v>
      </c>
      <c r="T315" s="47">
        <v>0.03</v>
      </c>
      <c r="U315" s="47">
        <v>1.0900000000000001</v>
      </c>
      <c r="V315" s="47">
        <v>-1.01</v>
      </c>
      <c r="W315" s="47">
        <v>-0.59</v>
      </c>
      <c r="X315" s="24">
        <v>-0.13</v>
      </c>
      <c r="Y315" s="24">
        <v>0.25</v>
      </c>
      <c r="Z315" s="24">
        <v>-0.53</v>
      </c>
      <c r="AA315" s="24">
        <v>-0.96</v>
      </c>
      <c r="AB315" s="24">
        <v>0.53</v>
      </c>
    </row>
    <row r="316" spans="2:28" x14ac:dyDescent="0.25">
      <c r="B316">
        <v>79</v>
      </c>
      <c r="F316" t="s">
        <v>141</v>
      </c>
      <c r="H316" t="s">
        <v>161</v>
      </c>
      <c r="I316" s="47">
        <v>3.2</v>
      </c>
      <c r="J316" s="47">
        <v>1.55</v>
      </c>
      <c r="K316" s="47">
        <v>2.4300000000000002</v>
      </c>
      <c r="L316" s="47">
        <v>0.09</v>
      </c>
      <c r="M316" s="47">
        <v>2.39</v>
      </c>
      <c r="N316" s="47">
        <v>-0.37</v>
      </c>
      <c r="O316" s="47">
        <v>-0.24</v>
      </c>
      <c r="P316" s="47">
        <v>-1.1399999999999999</v>
      </c>
      <c r="Q316" s="47">
        <v>-0.14000000000000001</v>
      </c>
      <c r="R316" s="47">
        <v>0.56000000000000005</v>
      </c>
      <c r="S316" s="47">
        <v>0.71</v>
      </c>
      <c r="T316" s="47">
        <v>0.44</v>
      </c>
      <c r="U316" s="47">
        <v>0.5</v>
      </c>
      <c r="V316" s="47">
        <v>1.81</v>
      </c>
      <c r="W316" s="47">
        <v>-0.32</v>
      </c>
      <c r="X316" s="24">
        <v>1.17</v>
      </c>
      <c r="Y316" s="24">
        <v>-1.0900000000000001</v>
      </c>
      <c r="Z316" s="24">
        <v>0.37</v>
      </c>
      <c r="AA316" s="24">
        <v>-1.9</v>
      </c>
      <c r="AB316" s="24">
        <v>4.8899999999999997</v>
      </c>
    </row>
    <row r="317" spans="2:28" x14ac:dyDescent="0.25">
      <c r="B317">
        <v>82</v>
      </c>
      <c r="E317" t="s">
        <v>172</v>
      </c>
      <c r="H317" t="s">
        <v>161</v>
      </c>
      <c r="I317" s="47">
        <v>0.04</v>
      </c>
      <c r="J317" s="47">
        <v>-0.06</v>
      </c>
      <c r="K317" s="47">
        <v>-0.09</v>
      </c>
      <c r="L317" s="47">
        <v>0.27</v>
      </c>
      <c r="M317" s="47">
        <v>0.5</v>
      </c>
      <c r="N317" s="47">
        <v>0.59</v>
      </c>
      <c r="O317" s="47">
        <v>-0.4</v>
      </c>
      <c r="P317" s="47">
        <v>-0.38</v>
      </c>
      <c r="Q317" s="47">
        <v>-0.84</v>
      </c>
      <c r="R317" s="47">
        <v>-0.08</v>
      </c>
      <c r="S317" s="47">
        <v>0.16</v>
      </c>
      <c r="T317" s="47">
        <v>-0.03</v>
      </c>
      <c r="U317" s="47">
        <v>0.13</v>
      </c>
      <c r="V317" s="47">
        <v>0.05</v>
      </c>
      <c r="W317" s="47">
        <v>0.24</v>
      </c>
      <c r="X317" s="24">
        <v>0.04</v>
      </c>
      <c r="Y317" s="24">
        <v>0.01</v>
      </c>
      <c r="Z317" s="24">
        <v>-0.03</v>
      </c>
      <c r="AA317" s="24">
        <v>-0.14000000000000001</v>
      </c>
      <c r="AB317" s="24">
        <v>0.22</v>
      </c>
    </row>
    <row r="318" spans="2:28" x14ac:dyDescent="0.25">
      <c r="B318">
        <v>83</v>
      </c>
      <c r="D318" t="s">
        <v>143</v>
      </c>
      <c r="H318" t="s">
        <v>161</v>
      </c>
      <c r="I318" s="47">
        <v>0.14000000000000001</v>
      </c>
      <c r="J318" s="47">
        <v>0.63</v>
      </c>
      <c r="K318" s="47">
        <v>0.14000000000000001</v>
      </c>
      <c r="L318" s="47">
        <v>0.57999999999999996</v>
      </c>
      <c r="M318" s="47">
        <v>0.36</v>
      </c>
      <c r="N318" s="47">
        <v>0.02</v>
      </c>
      <c r="O318" s="47">
        <v>0.15</v>
      </c>
      <c r="P318" s="47">
        <v>0.1</v>
      </c>
      <c r="Q318" s="47">
        <v>0.03</v>
      </c>
      <c r="R318" s="47">
        <v>0.02</v>
      </c>
      <c r="S318" s="47">
        <v>0.27</v>
      </c>
      <c r="T318" s="47">
        <v>0.31</v>
      </c>
      <c r="U318" s="47">
        <v>0.36</v>
      </c>
      <c r="V318" s="47">
        <v>0.22</v>
      </c>
      <c r="W318" s="47">
        <v>0.43</v>
      </c>
      <c r="X318" s="24">
        <v>0.54</v>
      </c>
      <c r="Y318" s="24">
        <v>0.19</v>
      </c>
      <c r="Z318" s="24">
        <v>-0.09</v>
      </c>
      <c r="AA318" s="24">
        <v>0.01</v>
      </c>
      <c r="AB318" s="24">
        <v>0.65</v>
      </c>
    </row>
    <row r="319" spans="2:28" x14ac:dyDescent="0.25">
      <c r="B319" s="24"/>
      <c r="C319" s="24" t="s">
        <v>173</v>
      </c>
      <c r="D319" s="24"/>
      <c r="I319" s="47"/>
      <c r="J319" s="47"/>
      <c r="K319" s="47"/>
      <c r="L319" s="47"/>
      <c r="M319" s="47"/>
      <c r="N319" s="47"/>
      <c r="O319" s="47"/>
      <c r="P319" s="47"/>
      <c r="Q319" s="47"/>
      <c r="R319" s="47"/>
      <c r="S319" s="47"/>
      <c r="T319" s="47"/>
      <c r="U319" s="47"/>
      <c r="V319" s="47"/>
      <c r="W319" s="47"/>
      <c r="X319" s="24"/>
      <c r="Y319" s="24"/>
      <c r="Z319" s="24"/>
      <c r="AA319" s="24"/>
      <c r="AB319" s="24"/>
    </row>
    <row r="320" spans="2:28" x14ac:dyDescent="0.25">
      <c r="B320">
        <v>87</v>
      </c>
      <c r="E320" t="s">
        <v>174</v>
      </c>
      <c r="H320" t="s">
        <v>161</v>
      </c>
      <c r="I320" s="47">
        <v>-0.26</v>
      </c>
      <c r="J320" s="47">
        <v>0.56999999999999995</v>
      </c>
      <c r="K320" s="47">
        <v>-0.95</v>
      </c>
      <c r="L320" s="47">
        <v>-0.81</v>
      </c>
      <c r="M320" s="47">
        <v>1.1299999999999999</v>
      </c>
      <c r="N320" s="47">
        <v>-0.77</v>
      </c>
      <c r="O320" s="47">
        <v>-0.82</v>
      </c>
      <c r="P320" s="47">
        <v>0.75</v>
      </c>
      <c r="Q320" s="47">
        <v>0.92</v>
      </c>
      <c r="R320" s="47">
        <v>-1.21</v>
      </c>
      <c r="S320" s="47">
        <v>-0.68</v>
      </c>
      <c r="T320" s="47">
        <v>0.19</v>
      </c>
      <c r="U320" s="47">
        <v>-0.04</v>
      </c>
      <c r="V320" s="47">
        <v>0.1</v>
      </c>
      <c r="W320" s="47">
        <v>0.35</v>
      </c>
      <c r="X320" s="24">
        <v>0.03</v>
      </c>
      <c r="Y320" s="24">
        <v>-0.41</v>
      </c>
      <c r="Z320" s="24">
        <v>0.92</v>
      </c>
      <c r="AA320" s="24">
        <v>-0.73</v>
      </c>
      <c r="AB320" s="24">
        <v>-0.1</v>
      </c>
    </row>
    <row r="321" spans="1:28" x14ac:dyDescent="0.25">
      <c r="B321">
        <v>88</v>
      </c>
      <c r="E321" t="s">
        <v>175</v>
      </c>
      <c r="H321" t="s">
        <v>161</v>
      </c>
      <c r="I321" s="47">
        <v>0.14000000000000001</v>
      </c>
      <c r="J321" s="47">
        <v>0.71</v>
      </c>
      <c r="K321" s="47">
        <v>0</v>
      </c>
      <c r="L321" s="47">
        <v>0.55000000000000004</v>
      </c>
      <c r="M321" s="47">
        <v>0.5</v>
      </c>
      <c r="N321" s="47">
        <v>0.39</v>
      </c>
      <c r="O321" s="47">
        <v>-0.47</v>
      </c>
      <c r="P321" s="47">
        <v>-1.37</v>
      </c>
      <c r="Q321" s="47">
        <v>0.15</v>
      </c>
      <c r="R321" s="47">
        <v>-0.19</v>
      </c>
      <c r="S321" s="47">
        <v>0.4</v>
      </c>
      <c r="T321" s="47">
        <v>0.8</v>
      </c>
      <c r="U321" s="47">
        <v>0.9</v>
      </c>
      <c r="V321" s="47">
        <v>-0.53</v>
      </c>
      <c r="W321" s="47">
        <v>0.17</v>
      </c>
      <c r="X321" s="24">
        <v>0.32</v>
      </c>
      <c r="Y321" s="24">
        <v>0.34</v>
      </c>
      <c r="Z321" s="24">
        <v>0.09</v>
      </c>
      <c r="AA321" s="24">
        <v>-0.51</v>
      </c>
      <c r="AB321" s="24">
        <v>0.16</v>
      </c>
    </row>
    <row r="322" spans="1:28" x14ac:dyDescent="0.25">
      <c r="B322">
        <v>89</v>
      </c>
      <c r="E322" t="s">
        <v>176</v>
      </c>
      <c r="H322" t="s">
        <v>161</v>
      </c>
      <c r="I322" s="47">
        <v>0.3</v>
      </c>
      <c r="J322" s="47">
        <v>-0.15</v>
      </c>
      <c r="K322" s="47">
        <v>0.03</v>
      </c>
      <c r="L322" s="47">
        <v>0.33</v>
      </c>
      <c r="M322" s="47">
        <v>0.06</v>
      </c>
      <c r="N322" s="47">
        <v>0.06</v>
      </c>
      <c r="O322" s="47">
        <v>0.39</v>
      </c>
      <c r="P322" s="47">
        <v>0.3</v>
      </c>
      <c r="Q322" s="47">
        <v>0.5</v>
      </c>
      <c r="R322" s="47">
        <v>-0.31</v>
      </c>
      <c r="S322" s="47">
        <v>0.09</v>
      </c>
      <c r="T322" s="47">
        <v>-0.03</v>
      </c>
      <c r="U322" s="47">
        <v>0.54</v>
      </c>
      <c r="V322" s="47">
        <v>1.94</v>
      </c>
      <c r="W322" s="47">
        <v>-0.57999999999999996</v>
      </c>
      <c r="X322" s="24">
        <v>0.91</v>
      </c>
      <c r="Y322" s="24">
        <v>-0.52</v>
      </c>
      <c r="Z322" s="24">
        <v>-7.0000000000000007E-2</v>
      </c>
      <c r="AA322" s="24">
        <v>-0.52</v>
      </c>
      <c r="AB322" s="24">
        <v>0.15</v>
      </c>
    </row>
    <row r="323" spans="1:28" x14ac:dyDescent="0.25">
      <c r="B323">
        <v>90</v>
      </c>
      <c r="E323" t="s">
        <v>177</v>
      </c>
      <c r="H323" t="s">
        <v>161</v>
      </c>
      <c r="I323" s="47">
        <v>0.42</v>
      </c>
      <c r="J323" s="47">
        <v>-0.08</v>
      </c>
      <c r="K323" s="47">
        <v>-0.2</v>
      </c>
      <c r="L323" s="47">
        <v>-0.2</v>
      </c>
      <c r="M323" s="47">
        <v>0.26</v>
      </c>
      <c r="N323" s="47">
        <v>0.22</v>
      </c>
      <c r="O323" s="47">
        <v>0.51</v>
      </c>
      <c r="P323" s="47">
        <v>0.77</v>
      </c>
      <c r="Q323" s="47">
        <v>0.13</v>
      </c>
      <c r="R323" s="47">
        <v>-0.03</v>
      </c>
      <c r="S323" s="47">
        <v>-0.24</v>
      </c>
      <c r="T323" s="47">
        <v>-0.03</v>
      </c>
      <c r="U323" s="47">
        <v>7.0000000000000007E-2</v>
      </c>
      <c r="V323" s="47">
        <v>0.21</v>
      </c>
      <c r="W323" s="47">
        <v>0.1</v>
      </c>
      <c r="X323" s="24">
        <v>-0.17</v>
      </c>
      <c r="Y323" s="24">
        <v>0.1</v>
      </c>
      <c r="Z323" s="24">
        <v>0.22</v>
      </c>
      <c r="AA323" s="24">
        <v>-0.25</v>
      </c>
      <c r="AB323" s="24">
        <v>0.32</v>
      </c>
    </row>
    <row r="324" spans="1:28" x14ac:dyDescent="0.25">
      <c r="B324">
        <v>91</v>
      </c>
      <c r="E324" t="s">
        <v>178</v>
      </c>
      <c r="H324" t="s">
        <v>161</v>
      </c>
      <c r="I324" s="47">
        <v>-0.63</v>
      </c>
      <c r="J324" s="47">
        <v>-2.25</v>
      </c>
      <c r="K324" s="47">
        <v>-3.03</v>
      </c>
      <c r="L324" s="47">
        <v>-1.51</v>
      </c>
      <c r="M324" s="47">
        <v>1.92</v>
      </c>
      <c r="N324" s="47">
        <v>-0.65</v>
      </c>
      <c r="O324" s="47">
        <v>-0.62</v>
      </c>
      <c r="P324" s="47">
        <v>-0.67</v>
      </c>
      <c r="Q324" s="47">
        <v>-1.35</v>
      </c>
      <c r="R324" s="47">
        <v>-1.68</v>
      </c>
      <c r="S324" s="47">
        <v>-0.13</v>
      </c>
      <c r="T324" s="47">
        <v>1.79</v>
      </c>
      <c r="U324" s="47">
        <v>0.44</v>
      </c>
      <c r="V324" s="47">
        <v>0.95</v>
      </c>
      <c r="W324" s="47">
        <v>1.5</v>
      </c>
      <c r="X324" s="24">
        <v>0.97</v>
      </c>
      <c r="Y324" s="24">
        <v>-1.2</v>
      </c>
      <c r="Z324" s="24">
        <v>1.03</v>
      </c>
      <c r="AA324" s="24">
        <v>1.1000000000000001</v>
      </c>
      <c r="AB324" s="24">
        <v>2.2999999999999998</v>
      </c>
    </row>
    <row r="325" spans="1:28" x14ac:dyDescent="0.25">
      <c r="B325">
        <v>92</v>
      </c>
      <c r="E325" t="s">
        <v>179</v>
      </c>
      <c r="H325" t="s">
        <v>161</v>
      </c>
      <c r="I325" s="47">
        <v>4.0999999999999996</v>
      </c>
      <c r="J325" s="47">
        <v>2.14</v>
      </c>
      <c r="K325" s="47">
        <v>4.1100000000000003</v>
      </c>
      <c r="L325" s="47">
        <v>3.85</v>
      </c>
      <c r="M325" s="47">
        <v>6.3</v>
      </c>
      <c r="N325" s="47">
        <v>2.84</v>
      </c>
      <c r="O325" s="47">
        <v>-0.56000000000000005</v>
      </c>
      <c r="P325" s="47">
        <v>2.31</v>
      </c>
      <c r="Q325" s="47">
        <v>0.4</v>
      </c>
      <c r="R325" s="47">
        <v>-0.99</v>
      </c>
      <c r="S325" s="47">
        <v>4.24</v>
      </c>
      <c r="T325" s="47">
        <v>0.1</v>
      </c>
      <c r="U325" s="47">
        <v>7.29</v>
      </c>
      <c r="V325" s="47">
        <v>0.97</v>
      </c>
      <c r="W325" s="47">
        <v>-0.15</v>
      </c>
      <c r="X325" s="24">
        <v>2.4700000000000002</v>
      </c>
      <c r="Y325" s="24">
        <v>2.56</v>
      </c>
      <c r="Z325" s="24">
        <v>0.88</v>
      </c>
      <c r="AA325" s="24">
        <v>0.46</v>
      </c>
      <c r="AB325" s="24">
        <v>21.06</v>
      </c>
    </row>
    <row r="326" spans="1:28" s="2" customFormat="1" x14ac:dyDescent="0.25">
      <c r="B326" s="3"/>
    </row>
    <row r="327" spans="1:28" s="28" customFormat="1" ht="17.25" x14ac:dyDescent="0.3">
      <c r="A327" s="28" t="s">
        <v>180</v>
      </c>
    </row>
    <row r="328" spans="1:28" x14ac:dyDescent="0.25">
      <c r="B328" s="29" t="s">
        <v>3</v>
      </c>
      <c r="C328" t="s">
        <v>181</v>
      </c>
    </row>
    <row r="329" spans="1:28" x14ac:dyDescent="0.25">
      <c r="B329" s="29"/>
      <c r="C329" s="211" t="s">
        <v>102</v>
      </c>
    </row>
    <row r="330" spans="1:28" x14ac:dyDescent="0.25">
      <c r="B330" s="29" t="s">
        <v>10</v>
      </c>
      <c r="C330" s="263" t="s">
        <v>182</v>
      </c>
    </row>
    <row r="331" spans="1:28" x14ac:dyDescent="0.25">
      <c r="B331" s="29"/>
      <c r="C331" s="263" t="s">
        <v>37</v>
      </c>
    </row>
    <row r="332" spans="1:28" x14ac:dyDescent="0.25">
      <c r="B332" s="29" t="s">
        <v>14</v>
      </c>
      <c r="C332" t="s">
        <v>183</v>
      </c>
    </row>
    <row r="333" spans="1:28" x14ac:dyDescent="0.25">
      <c r="B333" s="29" t="s">
        <v>17</v>
      </c>
      <c r="C333" t="s">
        <v>108</v>
      </c>
    </row>
    <row r="334" spans="1:28" x14ac:dyDescent="0.25">
      <c r="B334" s="29" t="s">
        <v>19</v>
      </c>
      <c r="C334" t="s">
        <v>184</v>
      </c>
    </row>
    <row r="335" spans="1:28" s="25" customFormat="1" ht="15.75" thickBot="1" x14ac:dyDescent="0.3">
      <c r="B335" s="30"/>
      <c r="C335" s="25" t="s">
        <v>185</v>
      </c>
    </row>
    <row r="336" spans="1:28" ht="15.75" thickTop="1" x14ac:dyDescent="0.25">
      <c r="B336" t="s">
        <v>114</v>
      </c>
      <c r="C336" s="8" t="s">
        <v>186</v>
      </c>
      <c r="I336" s="39"/>
      <c r="J336" s="39"/>
      <c r="K336" s="39"/>
      <c r="L336" s="39"/>
      <c r="M336" s="39"/>
      <c r="N336" s="39"/>
      <c r="O336" s="39"/>
      <c r="P336" s="39"/>
      <c r="Q336" s="39"/>
      <c r="R336" s="39"/>
      <c r="S336" s="39"/>
      <c r="T336" s="39"/>
      <c r="U336" s="39"/>
      <c r="V336" s="39"/>
      <c r="W336" s="39"/>
      <c r="X336" s="39"/>
      <c r="Y336" s="39"/>
    </row>
    <row r="337" spans="2:37" x14ac:dyDescent="0.25">
      <c r="B337" t="s">
        <v>187</v>
      </c>
      <c r="D337" t="s">
        <v>188</v>
      </c>
      <c r="H337" t="s">
        <v>159</v>
      </c>
      <c r="I337" s="127">
        <v>1519417</v>
      </c>
      <c r="J337" s="127">
        <v>1684793</v>
      </c>
      <c r="K337" s="127">
        <v>2042419</v>
      </c>
      <c r="L337" s="127">
        <v>2411369</v>
      </c>
      <c r="M337" s="127">
        <v>3089182</v>
      </c>
      <c r="N337" s="127">
        <v>3348844</v>
      </c>
      <c r="O337" s="127">
        <v>3326315</v>
      </c>
      <c r="P337" s="127">
        <v>2763637</v>
      </c>
      <c r="Q337" s="127">
        <v>3072815</v>
      </c>
      <c r="R337" s="127">
        <v>3260426</v>
      </c>
      <c r="S337" s="127">
        <v>4196699</v>
      </c>
      <c r="T337" s="127">
        <v>3962861</v>
      </c>
      <c r="U337" s="240">
        <v>4587869</v>
      </c>
      <c r="V337" s="240">
        <v>4595475</v>
      </c>
      <c r="W337" s="240">
        <v>4806718</v>
      </c>
      <c r="X337" s="240">
        <v>5306709</v>
      </c>
      <c r="Y337" s="240">
        <v>5117447</v>
      </c>
      <c r="Z337" s="240">
        <v>6477125</v>
      </c>
      <c r="AA337" s="240">
        <v>6786373</v>
      </c>
      <c r="AB337" s="240">
        <v>7503861</v>
      </c>
      <c r="AC337" s="127"/>
      <c r="AD337" s="127"/>
      <c r="AE337" s="127"/>
      <c r="AF337" s="127"/>
      <c r="AG337" s="127"/>
      <c r="AH337" s="127"/>
      <c r="AI337" s="127"/>
      <c r="AJ337" s="127"/>
      <c r="AK337" s="127"/>
    </row>
    <row r="338" spans="2:37" x14ac:dyDescent="0.25">
      <c r="B338" t="s">
        <v>189</v>
      </c>
      <c r="E338" t="s">
        <v>190</v>
      </c>
      <c r="H338" t="s">
        <v>159</v>
      </c>
      <c r="I338" s="127">
        <v>1516482</v>
      </c>
      <c r="J338" s="127">
        <v>1680149</v>
      </c>
      <c r="K338" s="127">
        <v>2038749</v>
      </c>
      <c r="L338" s="127">
        <v>2407835</v>
      </c>
      <c r="M338" s="127">
        <v>3085913</v>
      </c>
      <c r="N338" s="127">
        <v>3344261</v>
      </c>
      <c r="O338" s="127">
        <v>3323337</v>
      </c>
      <c r="P338" s="127">
        <v>2760226</v>
      </c>
      <c r="Q338" s="127">
        <v>3069682</v>
      </c>
      <c r="R338" s="127">
        <v>3252628</v>
      </c>
      <c r="S338" s="127">
        <v>4194795</v>
      </c>
      <c r="T338" s="127">
        <v>3958788</v>
      </c>
      <c r="U338" s="240">
        <v>4581815</v>
      </c>
      <c r="V338" s="240">
        <v>4589830</v>
      </c>
      <c r="W338" s="240">
        <v>4800266</v>
      </c>
      <c r="X338" s="240">
        <v>5299618</v>
      </c>
      <c r="Y338" s="240">
        <v>5113272</v>
      </c>
      <c r="Z338" s="240">
        <v>6473967</v>
      </c>
      <c r="AA338" s="240">
        <v>6781091</v>
      </c>
      <c r="AB338" s="240">
        <v>7498787</v>
      </c>
      <c r="AC338" s="127"/>
      <c r="AD338" s="127"/>
      <c r="AE338" s="127"/>
      <c r="AF338" s="127"/>
      <c r="AG338" s="127"/>
      <c r="AH338" s="127"/>
      <c r="AI338" s="127"/>
      <c r="AJ338" s="127"/>
      <c r="AK338" s="127"/>
    </row>
    <row r="339" spans="2:37" x14ac:dyDescent="0.25">
      <c r="B339" t="s">
        <v>191</v>
      </c>
      <c r="E339" t="s">
        <v>192</v>
      </c>
      <c r="H339" t="s">
        <v>159</v>
      </c>
      <c r="I339" s="127">
        <v>2935</v>
      </c>
      <c r="J339" s="127">
        <v>4644</v>
      </c>
      <c r="K339" s="127">
        <v>3670</v>
      </c>
      <c r="L339" s="127">
        <v>3534</v>
      </c>
      <c r="M339" s="127">
        <v>3269</v>
      </c>
      <c r="N339" s="127">
        <v>4583</v>
      </c>
      <c r="O339" s="127">
        <v>2978</v>
      </c>
      <c r="P339" s="127">
        <v>3411</v>
      </c>
      <c r="Q339" s="127">
        <v>3133</v>
      </c>
      <c r="R339" s="127">
        <v>7798</v>
      </c>
      <c r="S339" s="127">
        <v>1904</v>
      </c>
      <c r="T339" s="127">
        <v>4073</v>
      </c>
      <c r="U339" s="240">
        <v>6054</v>
      </c>
      <c r="V339" s="240">
        <v>5645</v>
      </c>
      <c r="W339" s="240">
        <v>6452</v>
      </c>
      <c r="X339" s="240">
        <v>7091</v>
      </c>
      <c r="Y339" s="240">
        <v>4175</v>
      </c>
      <c r="Z339" s="240">
        <v>3158</v>
      </c>
      <c r="AA339" s="240">
        <v>5282</v>
      </c>
      <c r="AB339" s="240">
        <v>5074</v>
      </c>
      <c r="AC339" s="127"/>
      <c r="AD339" s="127"/>
      <c r="AE339" s="127"/>
      <c r="AF339" s="127"/>
      <c r="AG339" s="127"/>
      <c r="AH339" s="127"/>
      <c r="AI339" s="127"/>
      <c r="AJ339" s="127"/>
      <c r="AK339" s="127"/>
    </row>
    <row r="340" spans="2:37" x14ac:dyDescent="0.25">
      <c r="B340" t="s">
        <v>193</v>
      </c>
      <c r="D340" t="s">
        <v>194</v>
      </c>
      <c r="H340" t="s">
        <v>195</v>
      </c>
      <c r="I340" s="127">
        <v>18837</v>
      </c>
      <c r="J340" s="127">
        <v>19066</v>
      </c>
      <c r="K340" s="127">
        <v>19467</v>
      </c>
      <c r="L340" s="127">
        <v>19632</v>
      </c>
      <c r="M340" s="127">
        <v>20014</v>
      </c>
      <c r="N340" s="127">
        <v>20472</v>
      </c>
      <c r="O340" s="127">
        <v>20988</v>
      </c>
      <c r="P340" s="127">
        <v>21232</v>
      </c>
      <c r="Q340" s="127">
        <v>21298</v>
      </c>
      <c r="R340" s="127">
        <v>21422</v>
      </c>
      <c r="S340" s="127">
        <v>21643</v>
      </c>
      <c r="T340" s="127">
        <v>22335</v>
      </c>
      <c r="U340" s="240">
        <v>22737</v>
      </c>
      <c r="V340" s="240">
        <v>23002</v>
      </c>
      <c r="W340" s="240">
        <v>23157</v>
      </c>
      <c r="X340" s="240">
        <v>23270</v>
      </c>
      <c r="Y340" s="240">
        <v>23134</v>
      </c>
      <c r="Z340" s="240">
        <v>23242</v>
      </c>
      <c r="AA340" s="240">
        <v>23347</v>
      </c>
      <c r="AB340" s="240">
        <v>23575</v>
      </c>
      <c r="AC340" s="127"/>
      <c r="AD340" s="127"/>
      <c r="AE340" s="127"/>
      <c r="AF340" s="127"/>
      <c r="AG340" s="127"/>
      <c r="AH340" s="127"/>
      <c r="AI340" s="127"/>
      <c r="AJ340" s="127"/>
      <c r="AK340" s="127"/>
    </row>
    <row r="341" spans="2:37" x14ac:dyDescent="0.25">
      <c r="B341" t="s">
        <v>196</v>
      </c>
      <c r="D341" t="s">
        <v>197</v>
      </c>
      <c r="H341" t="s">
        <v>198</v>
      </c>
      <c r="I341" s="127">
        <v>80661</v>
      </c>
      <c r="J341" s="127">
        <v>88366</v>
      </c>
      <c r="K341" s="127">
        <v>104917</v>
      </c>
      <c r="L341" s="127">
        <v>122828</v>
      </c>
      <c r="M341" s="127">
        <v>154351</v>
      </c>
      <c r="N341" s="127">
        <v>163582</v>
      </c>
      <c r="O341" s="127">
        <v>158487</v>
      </c>
      <c r="P341" s="127">
        <v>130164</v>
      </c>
      <c r="Q341" s="127">
        <v>144277</v>
      </c>
      <c r="R341" s="127">
        <v>152200</v>
      </c>
      <c r="S341" s="127">
        <v>193906</v>
      </c>
      <c r="T341" s="127">
        <v>177428</v>
      </c>
      <c r="U341" s="240">
        <v>201780</v>
      </c>
      <c r="V341" s="240">
        <v>199786</v>
      </c>
      <c r="W341" s="240">
        <v>207571</v>
      </c>
      <c r="X341" s="240">
        <v>228049</v>
      </c>
      <c r="Y341" s="240">
        <v>221209</v>
      </c>
      <c r="Z341" s="240">
        <v>278682</v>
      </c>
      <c r="AA341" s="240">
        <v>290674</v>
      </c>
      <c r="AB341" s="240">
        <v>318297</v>
      </c>
      <c r="AC341" s="127"/>
      <c r="AD341" s="127"/>
      <c r="AE341" s="127"/>
      <c r="AF341" s="127"/>
      <c r="AG341" s="127"/>
      <c r="AH341" s="127"/>
      <c r="AI341" s="127"/>
      <c r="AJ341" s="127"/>
      <c r="AK341" s="127"/>
    </row>
    <row r="342" spans="2:37" x14ac:dyDescent="0.25">
      <c r="B342" t="s">
        <v>114</v>
      </c>
      <c r="C342" s="8" t="s">
        <v>199</v>
      </c>
      <c r="I342" s="127" t="s">
        <v>114</v>
      </c>
      <c r="J342" s="127" t="s">
        <v>114</v>
      </c>
      <c r="K342" s="127" t="s">
        <v>114</v>
      </c>
      <c r="L342" s="127" t="s">
        <v>114</v>
      </c>
      <c r="M342" s="127" t="s">
        <v>114</v>
      </c>
      <c r="N342" s="127" t="s">
        <v>114</v>
      </c>
      <c r="O342" s="127" t="s">
        <v>114</v>
      </c>
      <c r="P342" s="127" t="s">
        <v>114</v>
      </c>
      <c r="Q342" s="127" t="s">
        <v>114</v>
      </c>
      <c r="R342" s="127" t="s">
        <v>114</v>
      </c>
      <c r="S342" s="127" t="s">
        <v>114</v>
      </c>
      <c r="T342" s="127" t="s">
        <v>114</v>
      </c>
      <c r="U342" s="24"/>
      <c r="V342" s="24"/>
      <c r="W342" s="24"/>
      <c r="X342" s="24"/>
      <c r="Y342" s="24"/>
      <c r="Z342" s="24"/>
      <c r="AA342" s="24"/>
      <c r="AB342" s="24"/>
      <c r="AC342" s="127"/>
      <c r="AD342" s="127"/>
      <c r="AE342" s="127"/>
      <c r="AF342" s="127"/>
      <c r="AG342" s="127"/>
      <c r="AH342" s="127"/>
      <c r="AI342" s="127"/>
      <c r="AJ342" s="127"/>
      <c r="AK342" s="127"/>
    </row>
    <row r="343" spans="2:37" x14ac:dyDescent="0.25">
      <c r="B343" t="s">
        <v>200</v>
      </c>
      <c r="E343" t="s">
        <v>201</v>
      </c>
      <c r="H343" t="s">
        <v>159</v>
      </c>
      <c r="I343" s="127">
        <v>802641</v>
      </c>
      <c r="J343" s="127">
        <v>823520</v>
      </c>
      <c r="K343" s="127">
        <v>801959</v>
      </c>
      <c r="L343" s="127">
        <v>749700</v>
      </c>
      <c r="M343" s="127">
        <v>808888</v>
      </c>
      <c r="N343" s="127">
        <v>881409</v>
      </c>
      <c r="O343" s="127">
        <v>951892</v>
      </c>
      <c r="P343" s="127">
        <v>1272469</v>
      </c>
      <c r="Q343" s="127">
        <v>1268484</v>
      </c>
      <c r="R343" s="127">
        <v>1073268</v>
      </c>
      <c r="S343" s="127">
        <v>1125235</v>
      </c>
      <c r="T343" s="127">
        <v>1169934</v>
      </c>
      <c r="U343" s="240">
        <v>1278637</v>
      </c>
      <c r="V343" s="240">
        <v>1380252</v>
      </c>
      <c r="W343" s="240">
        <v>1486388</v>
      </c>
      <c r="X343" s="240">
        <v>1595954</v>
      </c>
      <c r="Y343" s="240">
        <v>1683662</v>
      </c>
      <c r="Z343" s="240">
        <v>1858734</v>
      </c>
      <c r="AA343" s="240">
        <v>2123611</v>
      </c>
      <c r="AB343" s="240">
        <v>2630744</v>
      </c>
      <c r="AC343" s="127"/>
      <c r="AD343" s="127"/>
      <c r="AE343" s="127"/>
      <c r="AF343" s="127"/>
      <c r="AG343" s="127"/>
      <c r="AH343" s="127"/>
      <c r="AI343" s="127"/>
      <c r="AJ343" s="127"/>
      <c r="AK343" s="127"/>
    </row>
    <row r="344" spans="2:37" x14ac:dyDescent="0.25">
      <c r="B344" t="s">
        <v>202</v>
      </c>
      <c r="E344" t="s">
        <v>203</v>
      </c>
      <c r="H344" t="s">
        <v>159</v>
      </c>
      <c r="I344" s="127">
        <v>86620</v>
      </c>
      <c r="J344" s="127">
        <v>90841</v>
      </c>
      <c r="K344" s="127">
        <v>96602</v>
      </c>
      <c r="L344" s="127">
        <v>101908</v>
      </c>
      <c r="M344" s="127">
        <v>127231</v>
      </c>
      <c r="N344" s="127">
        <v>138855</v>
      </c>
      <c r="O344" s="127">
        <v>140899</v>
      </c>
      <c r="P344" s="127">
        <v>142198</v>
      </c>
      <c r="Q344" s="127">
        <v>135516</v>
      </c>
      <c r="R344" s="127">
        <v>121845</v>
      </c>
      <c r="S344" s="127">
        <v>131421</v>
      </c>
      <c r="T344" s="127">
        <v>152086</v>
      </c>
      <c r="U344" s="240">
        <v>167351</v>
      </c>
      <c r="V344" s="240">
        <v>175567</v>
      </c>
      <c r="W344" s="240">
        <v>186985</v>
      </c>
      <c r="X344" s="240">
        <v>196635</v>
      </c>
      <c r="Y344" s="240">
        <v>197804</v>
      </c>
      <c r="Z344" s="240">
        <v>211932</v>
      </c>
      <c r="AA344" s="240">
        <v>223811</v>
      </c>
      <c r="AB344" s="240">
        <v>280439</v>
      </c>
      <c r="AC344" s="127"/>
      <c r="AD344" s="127"/>
      <c r="AE344" s="127"/>
      <c r="AF344" s="127"/>
      <c r="AG344" s="127"/>
      <c r="AH344" s="127"/>
      <c r="AI344" s="127"/>
      <c r="AJ344" s="127"/>
      <c r="AK344" s="127"/>
    </row>
    <row r="345" spans="2:37" x14ac:dyDescent="0.25">
      <c r="B345" t="s">
        <v>204</v>
      </c>
      <c r="F345" t="s">
        <v>205</v>
      </c>
      <c r="H345" t="s">
        <v>159</v>
      </c>
      <c r="I345" s="127">
        <v>46204</v>
      </c>
      <c r="J345" s="127">
        <v>48939</v>
      </c>
      <c r="K345" s="127">
        <v>52059</v>
      </c>
      <c r="L345" s="127">
        <v>53316</v>
      </c>
      <c r="M345" s="127">
        <v>58194</v>
      </c>
      <c r="N345" s="127">
        <v>60376</v>
      </c>
      <c r="O345" s="127">
        <v>60858</v>
      </c>
      <c r="P345" s="127">
        <v>67135</v>
      </c>
      <c r="Q345" s="127">
        <v>64034</v>
      </c>
      <c r="R345" s="127">
        <v>45485</v>
      </c>
      <c r="S345" s="127">
        <v>46850</v>
      </c>
      <c r="T345" s="127">
        <v>63975</v>
      </c>
      <c r="U345" s="240">
        <v>71533</v>
      </c>
      <c r="V345" s="240">
        <v>76762</v>
      </c>
      <c r="W345" s="240">
        <v>84264</v>
      </c>
      <c r="X345" s="240">
        <v>90974</v>
      </c>
      <c r="Y345" s="240">
        <v>93732</v>
      </c>
      <c r="Z345" s="240">
        <v>102647</v>
      </c>
      <c r="AA345" s="240">
        <v>115784</v>
      </c>
      <c r="AB345" s="240">
        <v>143091</v>
      </c>
      <c r="AC345" s="127"/>
      <c r="AD345" s="127"/>
      <c r="AE345" s="127"/>
      <c r="AF345" s="127"/>
      <c r="AG345" s="127"/>
      <c r="AH345" s="127"/>
      <c r="AI345" s="127"/>
      <c r="AJ345" s="127"/>
      <c r="AK345" s="127"/>
    </row>
    <row r="346" spans="2:37" x14ac:dyDescent="0.25">
      <c r="B346" t="s">
        <v>206</v>
      </c>
      <c r="F346" t="s">
        <v>207</v>
      </c>
      <c r="H346" t="s">
        <v>159</v>
      </c>
      <c r="I346" s="127">
        <v>40416</v>
      </c>
      <c r="J346" s="127">
        <v>41902</v>
      </c>
      <c r="K346" s="127">
        <v>44543</v>
      </c>
      <c r="L346" s="127">
        <v>48592</v>
      </c>
      <c r="M346" s="127">
        <v>69037</v>
      </c>
      <c r="N346" s="127">
        <v>78479</v>
      </c>
      <c r="O346" s="127">
        <v>80041</v>
      </c>
      <c r="P346" s="127">
        <v>75063</v>
      </c>
      <c r="Q346" s="127">
        <v>71482</v>
      </c>
      <c r="R346" s="127">
        <v>76360</v>
      </c>
      <c r="S346" s="127">
        <v>84571</v>
      </c>
      <c r="T346" s="127">
        <v>88111</v>
      </c>
      <c r="U346" s="240">
        <v>95818</v>
      </c>
      <c r="V346" s="240">
        <v>98805</v>
      </c>
      <c r="W346" s="240">
        <v>102721</v>
      </c>
      <c r="X346" s="240">
        <v>105661</v>
      </c>
      <c r="Y346" s="240">
        <v>104072</v>
      </c>
      <c r="Z346" s="240">
        <v>109285</v>
      </c>
      <c r="AA346" s="240">
        <v>108027</v>
      </c>
      <c r="AB346" s="240">
        <v>137348</v>
      </c>
      <c r="AC346" s="127"/>
      <c r="AD346" s="127"/>
      <c r="AE346" s="127"/>
      <c r="AF346" s="127"/>
      <c r="AG346" s="127"/>
      <c r="AH346" s="127"/>
      <c r="AI346" s="127"/>
      <c r="AJ346" s="127"/>
      <c r="AK346" s="127"/>
    </row>
    <row r="347" spans="2:37" x14ac:dyDescent="0.25">
      <c r="B347" t="s">
        <v>208</v>
      </c>
      <c r="E347" t="s">
        <v>209</v>
      </c>
      <c r="H347" t="s">
        <v>159</v>
      </c>
      <c r="I347" s="127">
        <v>-86402</v>
      </c>
      <c r="J347" s="127">
        <v>-90923</v>
      </c>
      <c r="K347" s="127">
        <v>-87200</v>
      </c>
      <c r="L347" s="127">
        <v>-98008</v>
      </c>
      <c r="M347" s="127">
        <v>-108441</v>
      </c>
      <c r="N347" s="127">
        <v>-105850</v>
      </c>
      <c r="O347" s="127">
        <v>-110232</v>
      </c>
      <c r="P347" s="127">
        <v>-93377</v>
      </c>
      <c r="Q347" s="127">
        <v>-78046</v>
      </c>
      <c r="R347" s="127">
        <v>-61186</v>
      </c>
      <c r="S347" s="127">
        <v>-87624</v>
      </c>
      <c r="T347" s="127">
        <v>-55396</v>
      </c>
      <c r="U347" s="240">
        <v>-62429</v>
      </c>
      <c r="V347" s="240">
        <v>-72841</v>
      </c>
      <c r="W347" s="240">
        <v>-114820</v>
      </c>
      <c r="X347" s="240">
        <v>-111387</v>
      </c>
      <c r="Y347" s="240">
        <v>-107928</v>
      </c>
      <c r="Z347" s="240">
        <v>-121297</v>
      </c>
      <c r="AA347" s="240">
        <v>-124704</v>
      </c>
      <c r="AB347" s="240">
        <v>-254798</v>
      </c>
      <c r="AC347" s="127"/>
      <c r="AD347" s="127"/>
      <c r="AE347" s="127"/>
      <c r="AF347" s="127"/>
      <c r="AG347" s="127"/>
      <c r="AH347" s="127"/>
      <c r="AI347" s="127"/>
      <c r="AJ347" s="127"/>
      <c r="AK347" s="127"/>
    </row>
    <row r="348" spans="2:37" x14ac:dyDescent="0.25">
      <c r="B348" t="s">
        <v>210</v>
      </c>
      <c r="D348" t="s">
        <v>211</v>
      </c>
      <c r="H348" t="s">
        <v>159</v>
      </c>
      <c r="I348" s="127">
        <v>629619</v>
      </c>
      <c r="J348" s="127">
        <v>641756</v>
      </c>
      <c r="K348" s="127">
        <v>618157</v>
      </c>
      <c r="L348" s="127">
        <v>549784</v>
      </c>
      <c r="M348" s="127">
        <v>573216</v>
      </c>
      <c r="N348" s="127">
        <v>636704</v>
      </c>
      <c r="O348" s="127">
        <v>700761</v>
      </c>
      <c r="P348" s="127">
        <v>1036894</v>
      </c>
      <c r="Q348" s="127">
        <v>1054922</v>
      </c>
      <c r="R348" s="127">
        <v>890237</v>
      </c>
      <c r="S348" s="127">
        <v>906190</v>
      </c>
      <c r="T348" s="127">
        <v>962452</v>
      </c>
      <c r="U348" s="240">
        <v>1048857</v>
      </c>
      <c r="V348" s="240">
        <v>1131844</v>
      </c>
      <c r="W348" s="240">
        <v>1184583</v>
      </c>
      <c r="X348" s="240">
        <v>1287932</v>
      </c>
      <c r="Y348" s="240">
        <v>1377930</v>
      </c>
      <c r="Z348" s="240">
        <v>1525505</v>
      </c>
      <c r="AA348" s="240">
        <v>1775096</v>
      </c>
      <c r="AB348" s="240">
        <v>2095507</v>
      </c>
      <c r="AC348" s="127"/>
      <c r="AD348" s="127"/>
      <c r="AE348" s="127"/>
      <c r="AF348" s="127"/>
      <c r="AG348" s="127"/>
      <c r="AH348" s="127"/>
      <c r="AI348" s="127"/>
      <c r="AJ348" s="127"/>
      <c r="AK348" s="127"/>
    </row>
    <row r="349" spans="2:37" x14ac:dyDescent="0.25">
      <c r="B349" t="s">
        <v>212</v>
      </c>
      <c r="D349" t="s">
        <v>213</v>
      </c>
      <c r="H349" t="s">
        <v>159</v>
      </c>
      <c r="I349" s="127">
        <v>842907</v>
      </c>
      <c r="J349" s="127">
        <v>992309</v>
      </c>
      <c r="K349" s="127">
        <v>1371871</v>
      </c>
      <c r="L349" s="127">
        <v>1804832</v>
      </c>
      <c r="M349" s="127">
        <v>2456110</v>
      </c>
      <c r="N349" s="127">
        <v>2648310</v>
      </c>
      <c r="O349" s="127">
        <v>2546344</v>
      </c>
      <c r="P349" s="127">
        <v>1637358</v>
      </c>
      <c r="Q349" s="127">
        <v>1918351</v>
      </c>
      <c r="R349" s="127">
        <v>2268898</v>
      </c>
      <c r="S349" s="127">
        <v>3189332</v>
      </c>
      <c r="T349" s="127">
        <v>2894804</v>
      </c>
      <c r="U349" s="240">
        <v>3422440</v>
      </c>
      <c r="V349" s="240">
        <v>3340043</v>
      </c>
      <c r="W349" s="240">
        <v>3493076</v>
      </c>
      <c r="X349" s="240">
        <v>3883705</v>
      </c>
      <c r="Y349" s="240">
        <v>3591186</v>
      </c>
      <c r="Z349" s="240">
        <v>4796081</v>
      </c>
      <c r="AA349" s="240">
        <v>4777214</v>
      </c>
      <c r="AB349" s="240">
        <v>5174423</v>
      </c>
      <c r="AC349" s="127"/>
      <c r="AD349" s="127"/>
      <c r="AE349" s="127"/>
      <c r="AF349" s="127"/>
      <c r="AG349" s="127"/>
      <c r="AH349" s="127"/>
      <c r="AI349" s="127"/>
      <c r="AJ349" s="127"/>
      <c r="AK349" s="127"/>
    </row>
    <row r="350" spans="2:37" x14ac:dyDescent="0.25">
      <c r="B350" t="s">
        <v>214</v>
      </c>
      <c r="D350" t="s">
        <v>215</v>
      </c>
      <c r="H350" t="s">
        <v>159</v>
      </c>
      <c r="I350" s="127">
        <v>46891</v>
      </c>
      <c r="J350" s="127">
        <v>50728</v>
      </c>
      <c r="K350" s="127">
        <v>52391</v>
      </c>
      <c r="L350" s="127">
        <v>56753</v>
      </c>
      <c r="M350" s="127">
        <v>59856</v>
      </c>
      <c r="N350" s="127">
        <v>63830</v>
      </c>
      <c r="O350" s="127">
        <v>79210</v>
      </c>
      <c r="P350" s="127">
        <v>89385</v>
      </c>
      <c r="Q350" s="127">
        <v>99542</v>
      </c>
      <c r="R350" s="127">
        <v>101291</v>
      </c>
      <c r="S350" s="127">
        <v>101177</v>
      </c>
      <c r="T350" s="127">
        <v>105605</v>
      </c>
      <c r="U350" s="240">
        <v>116572</v>
      </c>
      <c r="V350" s="240">
        <v>123588</v>
      </c>
      <c r="W350" s="240">
        <v>129059</v>
      </c>
      <c r="X350" s="240">
        <v>135072</v>
      </c>
      <c r="Y350" s="240">
        <v>148331</v>
      </c>
      <c r="Z350" s="240">
        <v>155539</v>
      </c>
      <c r="AA350" s="240">
        <v>234063</v>
      </c>
      <c r="AB350" s="240">
        <v>233931</v>
      </c>
      <c r="AC350" s="127"/>
      <c r="AD350" s="127"/>
      <c r="AE350" s="127"/>
      <c r="AF350" s="127"/>
      <c r="AG350" s="127"/>
      <c r="AH350" s="127"/>
      <c r="AI350" s="127"/>
      <c r="AJ350" s="127"/>
      <c r="AK350" s="127"/>
    </row>
    <row r="351" spans="2:37" x14ac:dyDescent="0.25">
      <c r="B351" t="s">
        <v>114</v>
      </c>
      <c r="C351" s="8" t="s">
        <v>216</v>
      </c>
      <c r="I351" s="127" t="s">
        <v>114</v>
      </c>
      <c r="J351" s="127" t="s">
        <v>114</v>
      </c>
      <c r="K351" s="127" t="s">
        <v>114</v>
      </c>
      <c r="L351" s="127" t="s">
        <v>114</v>
      </c>
      <c r="M351" s="127" t="s">
        <v>114</v>
      </c>
      <c r="N351" s="127" t="s">
        <v>114</v>
      </c>
      <c r="O351" s="127" t="s">
        <v>114</v>
      </c>
      <c r="P351" s="127" t="s">
        <v>114</v>
      </c>
      <c r="Q351" s="127" t="s">
        <v>114</v>
      </c>
      <c r="R351" s="127" t="s">
        <v>114</v>
      </c>
      <c r="S351" s="127" t="s">
        <v>114</v>
      </c>
      <c r="T351" s="127" t="s">
        <v>114</v>
      </c>
      <c r="U351" s="24"/>
      <c r="V351" s="24"/>
      <c r="W351" s="24"/>
      <c r="X351" s="24"/>
      <c r="Y351" s="24"/>
      <c r="Z351" s="24"/>
      <c r="AA351" s="24"/>
      <c r="AB351" s="24"/>
      <c r="AC351" s="127"/>
      <c r="AD351" s="127"/>
      <c r="AE351" s="127"/>
      <c r="AF351" s="127"/>
      <c r="AG351" s="127"/>
      <c r="AH351" s="127"/>
      <c r="AI351" s="127"/>
      <c r="AJ351" s="127"/>
      <c r="AK351" s="127"/>
    </row>
    <row r="352" spans="2:37" x14ac:dyDescent="0.25">
      <c r="B352" t="s">
        <v>217</v>
      </c>
      <c r="D352" t="s">
        <v>218</v>
      </c>
      <c r="H352" t="s">
        <v>159</v>
      </c>
      <c r="I352" s="127">
        <v>531332</v>
      </c>
      <c r="J352" s="127">
        <v>551741</v>
      </c>
      <c r="K352" s="127">
        <v>574130</v>
      </c>
      <c r="L352" s="127">
        <v>613994</v>
      </c>
      <c r="M352" s="127">
        <v>684000</v>
      </c>
      <c r="N352" s="127">
        <v>736672</v>
      </c>
      <c r="O352" s="127">
        <v>797046</v>
      </c>
      <c r="P352" s="127">
        <v>715824</v>
      </c>
      <c r="Q352" s="127">
        <v>696557</v>
      </c>
      <c r="R352" s="127">
        <v>715554</v>
      </c>
      <c r="S352" s="127">
        <v>761791</v>
      </c>
      <c r="T352" s="127">
        <v>801054</v>
      </c>
      <c r="U352" s="240">
        <v>872555</v>
      </c>
      <c r="V352" s="240">
        <v>908524</v>
      </c>
      <c r="W352" s="240">
        <v>977444</v>
      </c>
      <c r="X352" s="240">
        <v>1037764</v>
      </c>
      <c r="Y352" s="240">
        <v>1104044</v>
      </c>
      <c r="Z352" s="240">
        <v>1204321</v>
      </c>
      <c r="AA352" s="240">
        <v>1241539</v>
      </c>
      <c r="AB352" s="240">
        <v>1674408</v>
      </c>
      <c r="AC352" s="127"/>
      <c r="AD352" s="127"/>
      <c r="AE352" s="127"/>
      <c r="AF352" s="127"/>
      <c r="AG352" s="127"/>
      <c r="AH352" s="127"/>
      <c r="AI352" s="127"/>
      <c r="AJ352" s="127"/>
      <c r="AK352" s="127"/>
    </row>
    <row r="353" spans="1:37" x14ac:dyDescent="0.25">
      <c r="B353" t="s">
        <v>219</v>
      </c>
      <c r="D353" t="s">
        <v>220</v>
      </c>
      <c r="H353" t="s">
        <v>159</v>
      </c>
      <c r="I353" s="127">
        <v>99714</v>
      </c>
      <c r="J353" s="127">
        <v>104728</v>
      </c>
      <c r="K353" s="127">
        <v>109399</v>
      </c>
      <c r="L353" s="127">
        <v>118024</v>
      </c>
      <c r="M353" s="127">
        <v>144412</v>
      </c>
      <c r="N353" s="127">
        <v>162446</v>
      </c>
      <c r="O353" s="127">
        <v>169617</v>
      </c>
      <c r="P353" s="127">
        <v>153916</v>
      </c>
      <c r="Q353" s="127">
        <v>149466</v>
      </c>
      <c r="R353" s="127">
        <v>155431</v>
      </c>
      <c r="S353" s="127">
        <v>168685</v>
      </c>
      <c r="T353" s="127">
        <v>186638</v>
      </c>
      <c r="U353" s="240">
        <v>200592</v>
      </c>
      <c r="V353" s="240">
        <v>210679</v>
      </c>
      <c r="W353" s="240">
        <v>218524</v>
      </c>
      <c r="X353" s="240">
        <v>230738</v>
      </c>
      <c r="Y353" s="240">
        <v>239126</v>
      </c>
      <c r="Z353" s="240">
        <v>244931</v>
      </c>
      <c r="AA353" s="240">
        <v>240016</v>
      </c>
      <c r="AB353" s="240">
        <v>296108</v>
      </c>
      <c r="AC353" s="127"/>
      <c r="AD353" s="127"/>
      <c r="AE353" s="127"/>
      <c r="AF353" s="127"/>
      <c r="AG353" s="127"/>
      <c r="AH353" s="127"/>
      <c r="AI353" s="127"/>
      <c r="AJ353" s="127"/>
      <c r="AK353" s="127"/>
    </row>
    <row r="354" spans="1:37" x14ac:dyDescent="0.25">
      <c r="B354" t="s">
        <v>221</v>
      </c>
      <c r="E354" t="s">
        <v>222</v>
      </c>
      <c r="H354" t="s">
        <v>159</v>
      </c>
      <c r="I354" s="127">
        <v>59298</v>
      </c>
      <c r="J354" s="127">
        <v>62826</v>
      </c>
      <c r="K354" s="127">
        <v>64856</v>
      </c>
      <c r="L354" s="127">
        <v>69432</v>
      </c>
      <c r="M354" s="127">
        <v>75375</v>
      </c>
      <c r="N354" s="127">
        <v>83967</v>
      </c>
      <c r="O354" s="127">
        <v>89576</v>
      </c>
      <c r="P354" s="127">
        <v>78853</v>
      </c>
      <c r="Q354" s="127">
        <v>77984</v>
      </c>
      <c r="R354" s="127">
        <v>79071</v>
      </c>
      <c r="S354" s="127">
        <v>84114</v>
      </c>
      <c r="T354" s="127">
        <v>98527</v>
      </c>
      <c r="U354" s="240">
        <v>104774</v>
      </c>
      <c r="V354" s="240">
        <v>111874</v>
      </c>
      <c r="W354" s="240">
        <v>115803</v>
      </c>
      <c r="X354" s="240">
        <v>125077</v>
      </c>
      <c r="Y354" s="240">
        <v>135054</v>
      </c>
      <c r="Z354" s="240">
        <v>135646</v>
      </c>
      <c r="AA354" s="240">
        <v>131989</v>
      </c>
      <c r="AB354" s="240">
        <v>158760</v>
      </c>
      <c r="AC354" s="127"/>
      <c r="AD354" s="127"/>
      <c r="AE354" s="127"/>
      <c r="AF354" s="127"/>
      <c r="AG354" s="127"/>
      <c r="AH354" s="127"/>
      <c r="AI354" s="127"/>
      <c r="AJ354" s="127"/>
      <c r="AK354" s="127"/>
    </row>
    <row r="355" spans="1:37" x14ac:dyDescent="0.25">
      <c r="B355" t="s">
        <v>223</v>
      </c>
      <c r="E355" t="s">
        <v>207</v>
      </c>
      <c r="H355" t="s">
        <v>159</v>
      </c>
      <c r="I355" s="127">
        <v>40416</v>
      </c>
      <c r="J355" s="127">
        <v>41902</v>
      </c>
      <c r="K355" s="127">
        <v>44543</v>
      </c>
      <c r="L355" s="127">
        <v>48592</v>
      </c>
      <c r="M355" s="127">
        <v>69037</v>
      </c>
      <c r="N355" s="127">
        <v>78479</v>
      </c>
      <c r="O355" s="127">
        <v>80041</v>
      </c>
      <c r="P355" s="127">
        <v>75063</v>
      </c>
      <c r="Q355" s="127">
        <v>71482</v>
      </c>
      <c r="R355" s="127">
        <v>76360</v>
      </c>
      <c r="S355" s="127">
        <v>84571</v>
      </c>
      <c r="T355" s="127">
        <v>88111</v>
      </c>
      <c r="U355" s="240">
        <v>95818</v>
      </c>
      <c r="V355" s="240">
        <v>98805</v>
      </c>
      <c r="W355" s="240">
        <v>102721</v>
      </c>
      <c r="X355" s="240">
        <v>105661</v>
      </c>
      <c r="Y355" s="240">
        <v>104072</v>
      </c>
      <c r="Z355" s="240">
        <v>109285</v>
      </c>
      <c r="AA355" s="240">
        <v>108027</v>
      </c>
      <c r="AB355" s="240">
        <v>137348</v>
      </c>
      <c r="AC355" s="127"/>
      <c r="AD355" s="127"/>
      <c r="AE355" s="127"/>
      <c r="AF355" s="127"/>
      <c r="AG355" s="127"/>
      <c r="AH355" s="127"/>
      <c r="AI355" s="127"/>
      <c r="AJ355" s="127"/>
      <c r="AK355" s="127"/>
    </row>
    <row r="356" spans="1:37" x14ac:dyDescent="0.25">
      <c r="B356" t="s">
        <v>224</v>
      </c>
      <c r="D356" t="s">
        <v>225</v>
      </c>
      <c r="H356" t="s">
        <v>159</v>
      </c>
      <c r="I356" s="127">
        <v>171595</v>
      </c>
      <c r="J356" s="127">
        <v>167051</v>
      </c>
      <c r="K356" s="127">
        <v>118430</v>
      </c>
      <c r="L356" s="127">
        <v>17682</v>
      </c>
      <c r="M356" s="127">
        <v>-19524</v>
      </c>
      <c r="N356" s="127">
        <v>-17709</v>
      </c>
      <c r="O356" s="127">
        <v>-14771</v>
      </c>
      <c r="P356" s="127">
        <v>402729</v>
      </c>
      <c r="Q356" s="127">
        <v>422461</v>
      </c>
      <c r="R356" s="127">
        <v>202283</v>
      </c>
      <c r="S356" s="127">
        <v>194759</v>
      </c>
      <c r="T356" s="127">
        <v>182242</v>
      </c>
      <c r="U356" s="240">
        <v>205490</v>
      </c>
      <c r="V356" s="240">
        <v>261049</v>
      </c>
      <c r="W356" s="240">
        <v>290420</v>
      </c>
      <c r="X356" s="240">
        <v>327452</v>
      </c>
      <c r="Y356" s="240">
        <v>340492</v>
      </c>
      <c r="Z356" s="240">
        <v>409482</v>
      </c>
      <c r="AA356" s="240">
        <v>642056</v>
      </c>
      <c r="AB356" s="240">
        <v>660228</v>
      </c>
      <c r="AC356" s="127"/>
      <c r="AD356" s="127"/>
      <c r="AE356" s="127"/>
      <c r="AF356" s="127"/>
      <c r="AG356" s="127"/>
      <c r="AH356" s="127"/>
      <c r="AI356" s="127"/>
      <c r="AJ356" s="127"/>
      <c r="AK356" s="127"/>
    </row>
    <row r="357" spans="1:37" x14ac:dyDescent="0.25">
      <c r="B357" t="s">
        <v>226</v>
      </c>
      <c r="E357" t="s">
        <v>227</v>
      </c>
      <c r="H357" t="s">
        <v>159</v>
      </c>
      <c r="I357" s="127">
        <v>1400</v>
      </c>
      <c r="J357" s="127">
        <v>3343</v>
      </c>
      <c r="K357" s="127">
        <v>2315</v>
      </c>
      <c r="L357" s="127">
        <v>2049</v>
      </c>
      <c r="M357" s="127">
        <v>1880</v>
      </c>
      <c r="N357" s="127">
        <v>3012</v>
      </c>
      <c r="O357" s="127">
        <v>973</v>
      </c>
      <c r="P357" s="127">
        <v>636</v>
      </c>
      <c r="Q357" s="127">
        <v>278</v>
      </c>
      <c r="R357" s="127">
        <v>4568</v>
      </c>
      <c r="S357" s="127">
        <v>-2788</v>
      </c>
      <c r="T357" s="127">
        <v>-1165</v>
      </c>
      <c r="U357" s="240">
        <v>1043</v>
      </c>
      <c r="V357" s="240">
        <v>1375</v>
      </c>
      <c r="W357" s="240">
        <v>1561</v>
      </c>
      <c r="X357" s="240">
        <v>1958</v>
      </c>
      <c r="Y357" s="240">
        <v>-1038</v>
      </c>
      <c r="Z357" s="24">
        <v>-671</v>
      </c>
      <c r="AA357" s="24">
        <v>-198</v>
      </c>
      <c r="AB357" s="24">
        <v>-781</v>
      </c>
      <c r="AC357" s="127"/>
      <c r="AD357" s="127"/>
      <c r="AE357" s="127"/>
      <c r="AF357" s="127"/>
      <c r="AG357" s="127"/>
      <c r="AH357" s="127"/>
      <c r="AI357" s="127"/>
      <c r="AJ357" s="127"/>
      <c r="AK357" s="127"/>
    </row>
    <row r="358" spans="1:37" x14ac:dyDescent="0.25">
      <c r="B358" t="s">
        <v>228</v>
      </c>
      <c r="E358" t="s">
        <v>229</v>
      </c>
      <c r="H358" t="s">
        <v>159</v>
      </c>
      <c r="I358" s="127">
        <v>170195</v>
      </c>
      <c r="J358" s="127">
        <v>163708</v>
      </c>
      <c r="K358" s="127">
        <v>116115</v>
      </c>
      <c r="L358" s="127">
        <v>15633</v>
      </c>
      <c r="M358" s="127">
        <v>-21404</v>
      </c>
      <c r="N358" s="127">
        <v>-20721</v>
      </c>
      <c r="O358" s="127">
        <v>-15744</v>
      </c>
      <c r="P358" s="127">
        <v>402093</v>
      </c>
      <c r="Q358" s="127">
        <v>422183</v>
      </c>
      <c r="R358" s="127">
        <v>197715</v>
      </c>
      <c r="S358" s="127">
        <v>197547</v>
      </c>
      <c r="T358" s="127">
        <v>183407</v>
      </c>
      <c r="U358" s="240">
        <v>204447</v>
      </c>
      <c r="V358" s="240">
        <v>259674</v>
      </c>
      <c r="W358" s="240">
        <v>288859</v>
      </c>
      <c r="X358" s="240">
        <v>325494</v>
      </c>
      <c r="Y358" s="240">
        <v>341530</v>
      </c>
      <c r="Z358" s="240">
        <v>410153</v>
      </c>
      <c r="AA358" s="240">
        <v>642254</v>
      </c>
      <c r="AB358" s="240">
        <v>661009</v>
      </c>
      <c r="AC358" s="127"/>
      <c r="AD358" s="127"/>
      <c r="AE358" s="127"/>
      <c r="AF358" s="127"/>
      <c r="AG358" s="127"/>
      <c r="AH358" s="127"/>
      <c r="AI358" s="127"/>
      <c r="AJ358" s="127"/>
      <c r="AK358" s="127"/>
    </row>
    <row r="359" spans="1:37" x14ac:dyDescent="0.25">
      <c r="B359" t="s">
        <v>114</v>
      </c>
      <c r="C359" s="8" t="s">
        <v>230</v>
      </c>
      <c r="I359" s="127" t="s">
        <v>114</v>
      </c>
      <c r="J359" s="127" t="s">
        <v>114</v>
      </c>
      <c r="K359" s="127" t="s">
        <v>114</v>
      </c>
      <c r="L359" s="127" t="s">
        <v>114</v>
      </c>
      <c r="M359" s="127" t="s">
        <v>114</v>
      </c>
      <c r="N359" s="127" t="s">
        <v>114</v>
      </c>
      <c r="O359" s="127" t="s">
        <v>114</v>
      </c>
      <c r="P359" s="127" t="s">
        <v>114</v>
      </c>
      <c r="Q359" s="127" t="s">
        <v>114</v>
      </c>
      <c r="R359" s="127" t="s">
        <v>114</v>
      </c>
      <c r="S359" s="127" t="s">
        <v>114</v>
      </c>
      <c r="T359" s="127" t="s">
        <v>114</v>
      </c>
      <c r="U359" s="24"/>
      <c r="V359" s="24"/>
      <c r="W359" s="24"/>
      <c r="X359" s="24"/>
      <c r="Y359" s="24"/>
      <c r="Z359" s="24"/>
      <c r="AA359" s="24"/>
      <c r="AB359" s="24"/>
      <c r="AC359" s="127"/>
      <c r="AD359" s="127"/>
      <c r="AE359" s="127"/>
      <c r="AF359" s="127"/>
      <c r="AG359" s="127"/>
      <c r="AH359" s="127"/>
      <c r="AI359" s="127"/>
      <c r="AJ359" s="127"/>
      <c r="AK359" s="127"/>
    </row>
    <row r="360" spans="1:37" x14ac:dyDescent="0.25">
      <c r="B360" t="s">
        <v>231</v>
      </c>
      <c r="D360" t="s">
        <v>110</v>
      </c>
      <c r="H360" t="s">
        <v>111</v>
      </c>
      <c r="I360" s="127">
        <v>23136</v>
      </c>
      <c r="J360" s="127">
        <v>23137</v>
      </c>
      <c r="K360" s="127">
        <v>23668</v>
      </c>
      <c r="L360" s="127">
        <v>24464</v>
      </c>
      <c r="M360" s="127">
        <v>25714</v>
      </c>
      <c r="N360" s="127">
        <v>27029</v>
      </c>
      <c r="O360" s="127">
        <v>28029</v>
      </c>
      <c r="P360" s="127">
        <v>26773</v>
      </c>
      <c r="Q360" s="127">
        <v>26308</v>
      </c>
      <c r="R360" s="127">
        <v>26607</v>
      </c>
      <c r="S360" s="127">
        <v>27348</v>
      </c>
      <c r="T360" s="127">
        <v>28653</v>
      </c>
      <c r="U360" s="240">
        <v>29898</v>
      </c>
      <c r="V360" s="240">
        <v>30711</v>
      </c>
      <c r="W360" s="240">
        <v>32068</v>
      </c>
      <c r="X360" s="240">
        <v>32744</v>
      </c>
      <c r="Y360" s="240">
        <v>33631</v>
      </c>
      <c r="Z360" s="240">
        <v>34019</v>
      </c>
      <c r="AA360" s="240">
        <v>33081</v>
      </c>
      <c r="AB360" s="240">
        <v>35628</v>
      </c>
      <c r="AC360" s="127"/>
      <c r="AD360" s="127"/>
      <c r="AE360" s="127"/>
      <c r="AF360" s="127"/>
      <c r="AG360" s="127"/>
      <c r="AH360" s="127"/>
      <c r="AI360" s="127"/>
      <c r="AJ360" s="127"/>
      <c r="AK360" s="127"/>
    </row>
    <row r="361" spans="1:37" x14ac:dyDescent="0.25">
      <c r="B361" t="s">
        <v>232</v>
      </c>
      <c r="E361" t="s">
        <v>233</v>
      </c>
      <c r="H361" t="s">
        <v>111</v>
      </c>
      <c r="I361" s="127">
        <v>17783</v>
      </c>
      <c r="J361" s="127">
        <v>17511</v>
      </c>
      <c r="K361" s="127">
        <v>17570</v>
      </c>
      <c r="L361" s="127">
        <v>17984</v>
      </c>
      <c r="M361" s="127">
        <v>18648</v>
      </c>
      <c r="N361" s="127">
        <v>19215</v>
      </c>
      <c r="O361" s="127">
        <v>19685</v>
      </c>
      <c r="P361" s="127">
        <v>18090</v>
      </c>
      <c r="Q361" s="127">
        <v>17600</v>
      </c>
      <c r="R361" s="127">
        <v>17585</v>
      </c>
      <c r="S361" s="127">
        <v>18094</v>
      </c>
      <c r="T361" s="127">
        <v>18836</v>
      </c>
      <c r="U361" s="240">
        <v>19564</v>
      </c>
      <c r="V361" s="240">
        <v>20323</v>
      </c>
      <c r="W361" s="240">
        <v>21068</v>
      </c>
      <c r="X361" s="240">
        <v>21517</v>
      </c>
      <c r="Y361" s="240">
        <v>21692</v>
      </c>
      <c r="Z361" s="240">
        <v>22236</v>
      </c>
      <c r="AA361" s="240">
        <v>19821</v>
      </c>
      <c r="AB361" s="240">
        <v>21919</v>
      </c>
      <c r="AC361" s="127"/>
      <c r="AD361" s="127"/>
      <c r="AE361" s="127"/>
      <c r="AF361" s="127"/>
      <c r="AG361" s="127"/>
      <c r="AH361" s="127"/>
      <c r="AI361" s="127"/>
      <c r="AJ361" s="127"/>
      <c r="AK361" s="127"/>
    </row>
    <row r="362" spans="1:37" x14ac:dyDescent="0.25">
      <c r="B362" t="s">
        <v>234</v>
      </c>
      <c r="E362" t="s">
        <v>235</v>
      </c>
      <c r="H362" t="s">
        <v>111</v>
      </c>
      <c r="I362" s="127">
        <v>5353</v>
      </c>
      <c r="J362" s="127">
        <v>5626</v>
      </c>
      <c r="K362" s="127">
        <v>6098</v>
      </c>
      <c r="L362" s="127">
        <v>6480</v>
      </c>
      <c r="M362" s="127">
        <v>7066</v>
      </c>
      <c r="N362" s="127">
        <v>7814</v>
      </c>
      <c r="O362" s="127">
        <v>8344</v>
      </c>
      <c r="P362" s="127">
        <v>8683</v>
      </c>
      <c r="Q362" s="127">
        <v>8708</v>
      </c>
      <c r="R362" s="127">
        <v>9022</v>
      </c>
      <c r="S362" s="127">
        <v>9254</v>
      </c>
      <c r="T362" s="127">
        <v>9817</v>
      </c>
      <c r="U362" s="240">
        <v>10334</v>
      </c>
      <c r="V362" s="240">
        <v>10388</v>
      </c>
      <c r="W362" s="240">
        <v>11000</v>
      </c>
      <c r="X362" s="240">
        <v>11227</v>
      </c>
      <c r="Y362" s="240">
        <v>11939</v>
      </c>
      <c r="Z362" s="240">
        <v>11783</v>
      </c>
      <c r="AA362" s="240">
        <v>13260</v>
      </c>
      <c r="AB362" s="240">
        <v>13709</v>
      </c>
      <c r="AC362" s="127"/>
      <c r="AD362" s="127"/>
      <c r="AE362" s="127"/>
      <c r="AF362" s="127"/>
      <c r="AG362" s="127"/>
      <c r="AH362" s="127"/>
      <c r="AI362" s="127"/>
      <c r="AJ362" s="127"/>
      <c r="AK362" s="127"/>
    </row>
    <row r="363" spans="1:37" s="2" customFormat="1" x14ac:dyDescent="0.25">
      <c r="B363" s="3"/>
    </row>
    <row r="364" spans="1:37" s="28" customFormat="1" ht="17.25" x14ac:dyDescent="0.3">
      <c r="A364" s="28" t="s">
        <v>236</v>
      </c>
    </row>
    <row r="365" spans="1:37" x14ac:dyDescent="0.25">
      <c r="B365" s="29" t="s">
        <v>3</v>
      </c>
      <c r="C365" t="s">
        <v>237</v>
      </c>
    </row>
    <row r="366" spans="1:37" x14ac:dyDescent="0.25">
      <c r="B366" s="29"/>
      <c r="C366" s="211" t="s">
        <v>238</v>
      </c>
    </row>
    <row r="367" spans="1:37" x14ac:dyDescent="0.25">
      <c r="B367" s="44" t="s">
        <v>10</v>
      </c>
      <c r="C367" s="263" t="s">
        <v>239</v>
      </c>
    </row>
    <row r="368" spans="1:37" x14ac:dyDescent="0.25">
      <c r="B368" s="44"/>
      <c r="C368" s="263" t="s">
        <v>240</v>
      </c>
    </row>
    <row r="369" spans="2:37" x14ac:dyDescent="0.25">
      <c r="B369" s="44"/>
      <c r="C369" s="263" t="s">
        <v>39</v>
      </c>
    </row>
    <row r="370" spans="2:37" x14ac:dyDescent="0.25">
      <c r="B370" s="29" t="s">
        <v>14</v>
      </c>
      <c r="C370" t="s">
        <v>241</v>
      </c>
    </row>
    <row r="371" spans="2:37" x14ac:dyDescent="0.25">
      <c r="B371" s="29"/>
      <c r="C371" s="243" t="s">
        <v>2152</v>
      </c>
    </row>
    <row r="372" spans="2:37" x14ac:dyDescent="0.25">
      <c r="B372" s="29"/>
      <c r="C372" s="246" t="s">
        <v>2153</v>
      </c>
    </row>
    <row r="373" spans="2:37" x14ac:dyDescent="0.25">
      <c r="B373" s="29" t="s">
        <v>17</v>
      </c>
      <c r="C373" t="s">
        <v>242</v>
      </c>
    </row>
    <row r="374" spans="2:37" s="25" customFormat="1" ht="15.75" thickBot="1" x14ac:dyDescent="0.3">
      <c r="B374" s="30" t="s">
        <v>19</v>
      </c>
      <c r="C374" s="25" t="s">
        <v>243</v>
      </c>
    </row>
    <row r="375" spans="2:37" s="10" customFormat="1" ht="15.75" thickTop="1" x14ac:dyDescent="0.25">
      <c r="B375" s="44" t="s">
        <v>21</v>
      </c>
      <c r="C375" s="10" t="s">
        <v>111</v>
      </c>
      <c r="H375" s="10" t="s">
        <v>111</v>
      </c>
      <c r="I375" s="41">
        <f t="shared" ref="I375:AK375" si="161">AVERAGE(I376:I387)</f>
        <v>16688.416666666668</v>
      </c>
      <c r="J375" s="41">
        <f t="shared" si="161"/>
        <v>16546.083333333332</v>
      </c>
      <c r="K375" s="41">
        <f t="shared" si="161"/>
        <v>16730.083333333332</v>
      </c>
      <c r="L375" s="41">
        <f t="shared" si="161"/>
        <v>17250.833333333332</v>
      </c>
      <c r="M375" s="41">
        <f t="shared" si="161"/>
        <v>17942.583333333332</v>
      </c>
      <c r="N375" s="41">
        <f t="shared" si="161"/>
        <v>18444.75</v>
      </c>
      <c r="O375" s="41">
        <f t="shared" si="161"/>
        <v>18906.166666666668</v>
      </c>
      <c r="P375" s="41">
        <f t="shared" si="161"/>
        <v>17414.833333333332</v>
      </c>
      <c r="Q375" s="41">
        <f t="shared" si="161"/>
        <v>16937.583333333332</v>
      </c>
      <c r="R375" s="41">
        <f t="shared" si="161"/>
        <v>16945.5</v>
      </c>
      <c r="S375" s="41">
        <f t="shared" si="161"/>
        <v>17418.666666666668</v>
      </c>
      <c r="T375" s="41">
        <f t="shared" si="161"/>
        <v>18106.833333333332</v>
      </c>
      <c r="U375" s="41">
        <f t="shared" si="161"/>
        <v>18835.583333333332</v>
      </c>
      <c r="V375" s="41">
        <f t="shared" si="161"/>
        <v>19496.583333333332</v>
      </c>
      <c r="W375" s="41">
        <f t="shared" si="161"/>
        <v>20232</v>
      </c>
      <c r="X375" s="41">
        <f t="shared" si="161"/>
        <v>20783.583333333332</v>
      </c>
      <c r="Y375" s="41">
        <f t="shared" si="161"/>
        <v>20959.25</v>
      </c>
      <c r="Z375" s="41">
        <f t="shared" si="161"/>
        <v>21429.083333333332</v>
      </c>
      <c r="AA375" s="41">
        <f t="shared" si="161"/>
        <v>19106.333333333332</v>
      </c>
      <c r="AB375" s="41">
        <f>AVERAGE(AB376:AB387)</f>
        <v>21133.583333333332</v>
      </c>
      <c r="AC375" s="41">
        <f t="shared" si="161"/>
        <v>22550.001508402056</v>
      </c>
      <c r="AD375" s="41" t="e">
        <f t="shared" si="161"/>
        <v>#DIV/0!</v>
      </c>
      <c r="AE375" s="41" t="e">
        <f t="shared" si="161"/>
        <v>#DIV/0!</v>
      </c>
      <c r="AF375" s="41" t="e">
        <f t="shared" si="161"/>
        <v>#DIV/0!</v>
      </c>
      <c r="AG375" s="41" t="e">
        <f t="shared" si="161"/>
        <v>#DIV/0!</v>
      </c>
      <c r="AH375" s="41" t="e">
        <f t="shared" si="161"/>
        <v>#DIV/0!</v>
      </c>
      <c r="AI375" s="41" t="e">
        <f t="shared" si="161"/>
        <v>#DIV/0!</v>
      </c>
      <c r="AJ375" s="41" t="e">
        <f t="shared" si="161"/>
        <v>#DIV/0!</v>
      </c>
      <c r="AK375" s="41" t="e">
        <f t="shared" si="161"/>
        <v>#DIV/0!</v>
      </c>
    </row>
    <row r="376" spans="2:37" x14ac:dyDescent="0.25">
      <c r="D376" t="s">
        <v>244</v>
      </c>
      <c r="H376" t="s">
        <v>111</v>
      </c>
      <c r="I376" s="39">
        <v>14905</v>
      </c>
      <c r="J376" s="39">
        <v>15436</v>
      </c>
      <c r="K376" s="39">
        <v>15457</v>
      </c>
      <c r="L376" s="39">
        <v>15750</v>
      </c>
      <c r="M376" s="39">
        <v>16580</v>
      </c>
      <c r="N376" s="39">
        <v>17341</v>
      </c>
      <c r="O376" s="39">
        <v>17945</v>
      </c>
      <c r="P376" s="39">
        <v>17123</v>
      </c>
      <c r="Q376" s="39">
        <v>15930</v>
      </c>
      <c r="R376" s="39">
        <v>15808</v>
      </c>
      <c r="S376" s="39">
        <v>16235</v>
      </c>
      <c r="T376" s="39">
        <v>16635</v>
      </c>
      <c r="U376" s="39">
        <v>17576</v>
      </c>
      <c r="V376" s="39">
        <v>18183</v>
      </c>
      <c r="W376" s="39">
        <v>18956</v>
      </c>
      <c r="X376" s="39">
        <v>19558</v>
      </c>
      <c r="Y376" s="39">
        <v>19829</v>
      </c>
      <c r="Z376" s="39">
        <v>20625</v>
      </c>
      <c r="AA376" s="39">
        <v>20742</v>
      </c>
      <c r="AB376" s="39">
        <v>19855</v>
      </c>
      <c r="AC376" s="232">
        <v>21366</v>
      </c>
    </row>
    <row r="377" spans="2:37" x14ac:dyDescent="0.25">
      <c r="D377" t="s">
        <v>245</v>
      </c>
      <c r="H377" t="s">
        <v>111</v>
      </c>
      <c r="I377" s="39">
        <v>14884</v>
      </c>
      <c r="J377" s="39">
        <v>15372</v>
      </c>
      <c r="K377" s="39">
        <v>15365</v>
      </c>
      <c r="L377" s="39">
        <v>15756</v>
      </c>
      <c r="M377" s="39">
        <v>16671</v>
      </c>
      <c r="N377" s="39">
        <v>17287</v>
      </c>
      <c r="O377" s="39">
        <v>18061</v>
      </c>
      <c r="P377" s="39">
        <v>16822</v>
      </c>
      <c r="Q377" s="39">
        <v>15931</v>
      </c>
      <c r="R377" s="39">
        <v>15806</v>
      </c>
      <c r="S377" s="39">
        <v>16263</v>
      </c>
      <c r="T377" s="39">
        <v>16688</v>
      </c>
      <c r="U377" s="39">
        <v>17450</v>
      </c>
      <c r="V377" s="39">
        <v>18154</v>
      </c>
      <c r="W377" s="39">
        <v>18806</v>
      </c>
      <c r="X377" s="39">
        <v>19488</v>
      </c>
      <c r="Y377" s="39">
        <v>19675</v>
      </c>
      <c r="Z377" s="39">
        <v>20352</v>
      </c>
      <c r="AA377" s="39">
        <v>20474</v>
      </c>
      <c r="AB377" s="39">
        <v>19772</v>
      </c>
      <c r="AC377" s="232">
        <v>21309</v>
      </c>
    </row>
    <row r="378" spans="2:37" x14ac:dyDescent="0.25">
      <c r="D378" t="s">
        <v>246</v>
      </c>
      <c r="H378" t="s">
        <v>111</v>
      </c>
      <c r="I378" s="39">
        <v>14863</v>
      </c>
      <c r="J378" s="39">
        <v>15252</v>
      </c>
      <c r="K378" s="39">
        <v>15292</v>
      </c>
      <c r="L378" s="39">
        <v>15741</v>
      </c>
      <c r="M378" s="39">
        <v>16718</v>
      </c>
      <c r="N378" s="39">
        <v>17292</v>
      </c>
      <c r="O378" s="39">
        <v>17896</v>
      </c>
      <c r="P378" s="39">
        <v>16600</v>
      </c>
      <c r="Q378" s="39">
        <v>15650</v>
      </c>
      <c r="R378" s="39">
        <v>15677</v>
      </c>
      <c r="S378" s="39">
        <v>16058</v>
      </c>
      <c r="T378" s="39">
        <v>16633</v>
      </c>
      <c r="U378" s="39">
        <v>17421</v>
      </c>
      <c r="V378" s="39">
        <v>18206</v>
      </c>
      <c r="W378" s="39">
        <v>18787</v>
      </c>
      <c r="X378" s="39">
        <v>19391</v>
      </c>
      <c r="Y378" s="39">
        <v>19560</v>
      </c>
      <c r="Z378" s="39">
        <v>20132</v>
      </c>
      <c r="AA378" s="39">
        <v>20047</v>
      </c>
      <c r="AB378" s="39">
        <v>19682</v>
      </c>
      <c r="AC378" s="232">
        <v>21258</v>
      </c>
    </row>
    <row r="379" spans="2:37" x14ac:dyDescent="0.25">
      <c r="D379" t="s">
        <v>247</v>
      </c>
      <c r="H379" t="s">
        <v>111</v>
      </c>
      <c r="I379" s="39">
        <v>14332</v>
      </c>
      <c r="J379" s="39">
        <v>14661</v>
      </c>
      <c r="K379" s="39">
        <v>14912</v>
      </c>
      <c r="L379" s="39">
        <v>15291</v>
      </c>
      <c r="M379" s="39">
        <v>15704</v>
      </c>
      <c r="N379" s="39">
        <v>16097</v>
      </c>
      <c r="O379" s="39">
        <v>16575</v>
      </c>
      <c r="P379" s="39">
        <v>15176</v>
      </c>
      <c r="Q379" s="39">
        <v>14425</v>
      </c>
      <c r="R379" s="39">
        <v>13891</v>
      </c>
      <c r="S379" s="39">
        <v>14916</v>
      </c>
      <c r="T379" s="39">
        <v>15557</v>
      </c>
      <c r="U379" s="39">
        <v>16204</v>
      </c>
      <c r="V379" s="39">
        <v>16823</v>
      </c>
      <c r="W379" s="39">
        <v>17210</v>
      </c>
      <c r="X379" s="39">
        <v>17831</v>
      </c>
      <c r="Y379" s="39">
        <v>18308</v>
      </c>
      <c r="Z379" s="39">
        <v>18485</v>
      </c>
      <c r="AA379" s="39">
        <v>14603</v>
      </c>
      <c r="AB379" s="39">
        <v>18657</v>
      </c>
      <c r="AC379" s="232">
        <v>20024</v>
      </c>
    </row>
    <row r="380" spans="2:37" x14ac:dyDescent="0.25">
      <c r="D380" t="s">
        <v>248</v>
      </c>
      <c r="H380" t="s">
        <v>111</v>
      </c>
      <c r="I380" s="39">
        <v>15844</v>
      </c>
      <c r="J380" s="39">
        <v>15656</v>
      </c>
      <c r="K380" s="39">
        <v>15556</v>
      </c>
      <c r="L380" s="39">
        <v>16112</v>
      </c>
      <c r="M380" s="39">
        <v>16668</v>
      </c>
      <c r="N380" s="39">
        <v>17182</v>
      </c>
      <c r="O380" s="39">
        <v>18209</v>
      </c>
      <c r="P380" s="39">
        <v>16572</v>
      </c>
      <c r="Q380" s="39">
        <v>15968</v>
      </c>
      <c r="R380" s="39">
        <v>15423</v>
      </c>
      <c r="S380" s="39">
        <v>15938</v>
      </c>
      <c r="T380" s="39">
        <v>16484</v>
      </c>
      <c r="U380" s="39">
        <v>17267</v>
      </c>
      <c r="V380" s="39">
        <v>18253</v>
      </c>
      <c r="W380" s="39">
        <v>18992</v>
      </c>
      <c r="X380" s="39">
        <v>19668</v>
      </c>
      <c r="Y380" s="39">
        <v>19941</v>
      </c>
      <c r="Z380" s="39">
        <v>20413</v>
      </c>
      <c r="AA380" s="39">
        <v>15634</v>
      </c>
      <c r="AB380" s="39">
        <v>19928</v>
      </c>
      <c r="AC380" s="232">
        <v>20684</v>
      </c>
    </row>
    <row r="381" spans="2:37" x14ac:dyDescent="0.25">
      <c r="D381" t="s">
        <v>249</v>
      </c>
      <c r="H381" t="s">
        <v>111</v>
      </c>
      <c r="I381" s="39">
        <v>19474</v>
      </c>
      <c r="J381" s="39">
        <v>18975</v>
      </c>
      <c r="K381" s="39">
        <v>19136</v>
      </c>
      <c r="L381" s="39">
        <v>19583</v>
      </c>
      <c r="M381" s="39">
        <v>20591</v>
      </c>
      <c r="N381" s="39">
        <v>20836</v>
      </c>
      <c r="O381" s="39">
        <v>21860</v>
      </c>
      <c r="P381" s="39">
        <v>19770</v>
      </c>
      <c r="Q381" s="39">
        <v>19404</v>
      </c>
      <c r="R381" s="39">
        <v>19208</v>
      </c>
      <c r="S381" s="39">
        <v>19896</v>
      </c>
      <c r="T381" s="39">
        <v>20741</v>
      </c>
      <c r="U381" s="39">
        <v>21636</v>
      </c>
      <c r="V381" s="39">
        <v>22214</v>
      </c>
      <c r="W381" s="39">
        <v>23160</v>
      </c>
      <c r="X381" s="39">
        <v>23635</v>
      </c>
      <c r="Y381" s="39">
        <v>23851</v>
      </c>
      <c r="Z381" s="39">
        <v>24148</v>
      </c>
      <c r="AA381" s="39">
        <v>19102</v>
      </c>
      <c r="AB381" s="39">
        <v>23573</v>
      </c>
      <c r="AC381" s="232">
        <v>25008</v>
      </c>
    </row>
    <row r="382" spans="2:37" x14ac:dyDescent="0.25">
      <c r="D382" t="s">
        <v>250</v>
      </c>
      <c r="H382" t="s">
        <v>111</v>
      </c>
      <c r="I382" s="39">
        <v>20743</v>
      </c>
      <c r="J382" s="39">
        <v>19993</v>
      </c>
      <c r="K382" s="39">
        <v>20138</v>
      </c>
      <c r="L382" s="39">
        <v>20630</v>
      </c>
      <c r="M382" s="39">
        <v>21605</v>
      </c>
      <c r="N382" s="39">
        <v>21794</v>
      </c>
      <c r="O382" s="39">
        <v>22404</v>
      </c>
      <c r="P382" s="39">
        <v>20395</v>
      </c>
      <c r="Q382" s="39">
        <v>20400</v>
      </c>
      <c r="R382" s="39">
        <v>20561</v>
      </c>
      <c r="S382" s="39">
        <v>20750</v>
      </c>
      <c r="T382" s="39">
        <v>21503</v>
      </c>
      <c r="U382" s="39">
        <v>22548</v>
      </c>
      <c r="V382" s="39">
        <v>23190</v>
      </c>
      <c r="W382" s="39">
        <v>24277</v>
      </c>
      <c r="X382" s="39">
        <v>24853</v>
      </c>
      <c r="Y382" s="39">
        <v>24998</v>
      </c>
      <c r="Z382" s="39">
        <v>25300</v>
      </c>
      <c r="AA382" s="39">
        <v>20646</v>
      </c>
      <c r="AB382" s="39">
        <v>24736</v>
      </c>
      <c r="AC382" s="232">
        <v>26177</v>
      </c>
    </row>
    <row r="383" spans="2:37" x14ac:dyDescent="0.25">
      <c r="D383" t="s">
        <v>251</v>
      </c>
      <c r="H383" t="s">
        <v>111</v>
      </c>
      <c r="I383" s="39">
        <v>20402</v>
      </c>
      <c r="J383" s="39">
        <v>19847</v>
      </c>
      <c r="K383" s="39">
        <v>19994</v>
      </c>
      <c r="L383" s="39">
        <v>20542</v>
      </c>
      <c r="M383" s="39">
        <v>21300</v>
      </c>
      <c r="N383" s="39">
        <v>21576</v>
      </c>
      <c r="O383" s="39">
        <v>22113</v>
      </c>
      <c r="P383" s="39">
        <v>20194</v>
      </c>
      <c r="Q383" s="39">
        <v>20180</v>
      </c>
      <c r="R383" s="39">
        <v>20410</v>
      </c>
      <c r="S383" s="39">
        <v>20669</v>
      </c>
      <c r="T383" s="39">
        <v>21619</v>
      </c>
      <c r="U383" s="39">
        <v>22471</v>
      </c>
      <c r="V383" s="39">
        <v>23064</v>
      </c>
      <c r="W383" s="39">
        <v>23965</v>
      </c>
      <c r="X383" s="39">
        <v>24687</v>
      </c>
      <c r="Y383" s="39">
        <v>24716</v>
      </c>
      <c r="Z383" s="39">
        <v>25173</v>
      </c>
      <c r="AA383" s="39">
        <v>21107</v>
      </c>
      <c r="AB383" s="39">
        <v>24241</v>
      </c>
      <c r="AC383" s="232">
        <v>25931</v>
      </c>
    </row>
    <row r="384" spans="2:37" x14ac:dyDescent="0.25">
      <c r="D384" t="s">
        <v>252</v>
      </c>
      <c r="H384" t="s">
        <v>111</v>
      </c>
      <c r="I384" s="39">
        <v>18791</v>
      </c>
      <c r="J384" s="39">
        <v>18052</v>
      </c>
      <c r="K384" s="39">
        <v>18358</v>
      </c>
      <c r="L384" s="39">
        <v>18989</v>
      </c>
      <c r="M384" s="39">
        <v>19492</v>
      </c>
      <c r="N384" s="39">
        <v>20207</v>
      </c>
      <c r="O384" s="39">
        <v>20373</v>
      </c>
      <c r="P384" s="39">
        <v>18886</v>
      </c>
      <c r="Q384" s="39">
        <v>18793</v>
      </c>
      <c r="R384" s="39">
        <v>19053</v>
      </c>
      <c r="S384" s="39">
        <v>19173</v>
      </c>
      <c r="T384" s="39">
        <v>20150</v>
      </c>
      <c r="U384" s="39">
        <v>20703</v>
      </c>
      <c r="V384" s="39">
        <v>21417</v>
      </c>
      <c r="W384" s="39">
        <v>22271</v>
      </c>
      <c r="X384" s="39">
        <v>22744</v>
      </c>
      <c r="Y384" s="39">
        <v>22772</v>
      </c>
      <c r="Z384" s="39">
        <v>23165</v>
      </c>
      <c r="AA384" s="39">
        <v>20653</v>
      </c>
      <c r="AB384" s="39">
        <v>22639</v>
      </c>
      <c r="AC384" s="232">
        <v>24253</v>
      </c>
    </row>
    <row r="385" spans="1:29" x14ac:dyDescent="0.25">
      <c r="D385" t="s">
        <v>253</v>
      </c>
      <c r="H385" t="s">
        <v>111</v>
      </c>
      <c r="I385" s="39">
        <v>15769</v>
      </c>
      <c r="J385" s="39">
        <v>15305</v>
      </c>
      <c r="K385" s="39">
        <v>16137</v>
      </c>
      <c r="L385" s="39">
        <v>17001</v>
      </c>
      <c r="M385" s="39">
        <v>17172</v>
      </c>
      <c r="N385" s="39">
        <v>17763</v>
      </c>
      <c r="O385" s="39">
        <v>18061</v>
      </c>
      <c r="P385" s="39">
        <v>16628</v>
      </c>
      <c r="Q385" s="39">
        <v>16371</v>
      </c>
      <c r="R385" s="39">
        <v>16875</v>
      </c>
      <c r="S385" s="39">
        <v>17311</v>
      </c>
      <c r="T385" s="39">
        <v>18184</v>
      </c>
      <c r="U385" s="39">
        <v>18813</v>
      </c>
      <c r="V385" s="39">
        <v>19378</v>
      </c>
      <c r="W385" s="39">
        <v>20053</v>
      </c>
      <c r="X385" s="39">
        <v>20532</v>
      </c>
      <c r="Y385" s="39">
        <v>20489</v>
      </c>
      <c r="Z385" s="39">
        <v>21129</v>
      </c>
      <c r="AA385" s="39">
        <v>19328</v>
      </c>
      <c r="AB385" s="39">
        <v>20976</v>
      </c>
      <c r="AC385" s="242">
        <f t="array" ref="AC385">AB385*AVERAGE(AC$376:AC$384/AB$376:AB$384)</f>
        <v>22386.652671561431</v>
      </c>
    </row>
    <row r="386" spans="1:29" x14ac:dyDescent="0.25">
      <c r="D386" t="s">
        <v>254</v>
      </c>
      <c r="H386" t="s">
        <v>111</v>
      </c>
      <c r="I386" s="39">
        <v>14433</v>
      </c>
      <c r="J386" s="39">
        <v>14378</v>
      </c>
      <c r="K386" s="39">
        <v>14516</v>
      </c>
      <c r="L386" s="39">
        <v>15014</v>
      </c>
      <c r="M386" s="39">
        <v>15599</v>
      </c>
      <c r="N386" s="39">
        <v>16172</v>
      </c>
      <c r="O386" s="39">
        <v>16024</v>
      </c>
      <c r="P386" s="39">
        <v>14407</v>
      </c>
      <c r="Q386" s="39">
        <v>13867</v>
      </c>
      <c r="R386" s="39">
        <v>14110</v>
      </c>
      <c r="S386" s="39">
        <v>15076</v>
      </c>
      <c r="T386" s="39">
        <v>15483</v>
      </c>
      <c r="U386" s="39">
        <v>15675</v>
      </c>
      <c r="V386" s="39">
        <v>16310</v>
      </c>
      <c r="W386" s="39">
        <v>16938</v>
      </c>
      <c r="X386" s="39">
        <v>17445</v>
      </c>
      <c r="Y386" s="39">
        <v>17390</v>
      </c>
      <c r="Z386" s="39">
        <v>17658</v>
      </c>
      <c r="AA386" s="39">
        <v>17125</v>
      </c>
      <c r="AB386" s="39">
        <v>18138</v>
      </c>
      <c r="AC386" s="242">
        <f t="array" ref="AC386">AB386*AVERAGE(AC$376:AC$384/AB$376:AB$384)</f>
        <v>19357.794915941133</v>
      </c>
    </row>
    <row r="387" spans="1:29" x14ac:dyDescent="0.25">
      <c r="D387" t="s">
        <v>255</v>
      </c>
      <c r="H387" t="s">
        <v>111</v>
      </c>
      <c r="I387" s="39">
        <v>15821</v>
      </c>
      <c r="J387" s="39">
        <v>15626</v>
      </c>
      <c r="K387" s="39">
        <v>15900</v>
      </c>
      <c r="L387" s="39">
        <v>16601</v>
      </c>
      <c r="M387" s="39">
        <v>17211</v>
      </c>
      <c r="N387" s="39">
        <v>17790</v>
      </c>
      <c r="O387" s="39">
        <v>17353</v>
      </c>
      <c r="P387" s="39">
        <v>16405</v>
      </c>
      <c r="Q387" s="39">
        <v>16332</v>
      </c>
      <c r="R387" s="39">
        <v>16524</v>
      </c>
      <c r="S387" s="39">
        <v>16739</v>
      </c>
      <c r="T387" s="39">
        <v>17605</v>
      </c>
      <c r="U387" s="39">
        <v>18263</v>
      </c>
      <c r="V387" s="39">
        <v>18767</v>
      </c>
      <c r="W387" s="39">
        <v>19369</v>
      </c>
      <c r="X387" s="39">
        <v>19571</v>
      </c>
      <c r="Y387" s="39">
        <v>19982</v>
      </c>
      <c r="Z387" s="39">
        <v>20569</v>
      </c>
      <c r="AA387" s="39">
        <v>19815</v>
      </c>
      <c r="AB387" s="39">
        <v>21406</v>
      </c>
      <c r="AC387" s="242">
        <f t="array" ref="AC387">AB387*AVERAGE(AC$376:AC$384/AB$376:AB$384)</f>
        <v>22845.570513322084</v>
      </c>
    </row>
    <row r="388" spans="1:29" x14ac:dyDescent="0.25">
      <c r="C388" t="s">
        <v>2228</v>
      </c>
      <c r="I388" s="39"/>
      <c r="J388" s="39"/>
      <c r="K388" s="39"/>
      <c r="L388" s="39"/>
      <c r="M388" s="39"/>
      <c r="N388" s="39"/>
      <c r="O388" s="39"/>
      <c r="P388" s="39"/>
      <c r="Q388" s="39"/>
      <c r="R388" s="39"/>
      <c r="S388" s="39"/>
      <c r="T388" s="39"/>
      <c r="U388" s="39"/>
      <c r="V388" s="39"/>
      <c r="W388" s="39"/>
      <c r="X388" s="39"/>
      <c r="Y388" s="39"/>
      <c r="Z388" s="39"/>
      <c r="AA388" s="39"/>
      <c r="AB388" s="39"/>
    </row>
    <row r="389" spans="1:29" x14ac:dyDescent="0.25">
      <c r="D389" t="s">
        <v>2217</v>
      </c>
      <c r="H389" t="s">
        <v>2229</v>
      </c>
      <c r="I389" s="39">
        <v>514</v>
      </c>
      <c r="J389" s="39">
        <v>535</v>
      </c>
      <c r="K389" s="39">
        <v>568</v>
      </c>
      <c r="L389" s="39">
        <v>596</v>
      </c>
      <c r="M389" s="39">
        <v>636</v>
      </c>
      <c r="N389" s="39">
        <v>685</v>
      </c>
      <c r="O389" s="39">
        <v>717</v>
      </c>
      <c r="P389" s="39">
        <v>702</v>
      </c>
      <c r="Q389" s="39">
        <v>682</v>
      </c>
      <c r="R389" s="39">
        <v>726</v>
      </c>
      <c r="S389" s="39">
        <v>728</v>
      </c>
      <c r="T389" s="39">
        <v>731</v>
      </c>
      <c r="U389" s="39">
        <v>750</v>
      </c>
      <c r="V389" s="39">
        <v>777</v>
      </c>
      <c r="W389" s="39">
        <v>800</v>
      </c>
      <c r="X389" s="39">
        <v>831</v>
      </c>
      <c r="Y389" s="39">
        <v>854</v>
      </c>
      <c r="Z389" s="39">
        <v>880</v>
      </c>
      <c r="AA389" s="39">
        <v>1064</v>
      </c>
      <c r="AB389" s="39">
        <v>1244</v>
      </c>
      <c r="AC389" s="232">
        <v>1333</v>
      </c>
    </row>
    <row r="390" spans="1:29" x14ac:dyDescent="0.25">
      <c r="D390" t="s">
        <v>2221</v>
      </c>
      <c r="H390" t="s">
        <v>2229</v>
      </c>
      <c r="I390" s="39">
        <v>667</v>
      </c>
      <c r="J390" s="39">
        <v>716</v>
      </c>
      <c r="K390" s="39">
        <v>701</v>
      </c>
      <c r="L390" s="39">
        <v>688</v>
      </c>
      <c r="M390" s="39">
        <v>775</v>
      </c>
      <c r="N390" s="39">
        <v>811</v>
      </c>
      <c r="O390" s="39">
        <v>799</v>
      </c>
      <c r="P390" s="39">
        <v>806</v>
      </c>
      <c r="Q390" s="39">
        <v>850</v>
      </c>
      <c r="R390" s="39">
        <v>826</v>
      </c>
      <c r="S390" s="39">
        <v>903</v>
      </c>
      <c r="T390" s="39">
        <v>859</v>
      </c>
      <c r="U390" s="39">
        <v>986</v>
      </c>
      <c r="V390" s="39">
        <v>936</v>
      </c>
      <c r="W390" s="39">
        <v>922</v>
      </c>
      <c r="X390" s="39">
        <v>969</v>
      </c>
      <c r="Y390" s="39">
        <v>1029</v>
      </c>
      <c r="Z390" s="39">
        <v>1120</v>
      </c>
      <c r="AA390" s="39">
        <v>1508</v>
      </c>
      <c r="AB390" s="39">
        <v>1935</v>
      </c>
      <c r="AC390" s="39"/>
    </row>
    <row r="391" spans="1:29" s="2" customFormat="1" x14ac:dyDescent="0.25">
      <c r="B391" s="3"/>
    </row>
    <row r="392" spans="1:29" s="28" customFormat="1" ht="17.25" x14ac:dyDescent="0.3">
      <c r="A392" s="28" t="s">
        <v>256</v>
      </c>
    </row>
    <row r="393" spans="1:29" x14ac:dyDescent="0.25">
      <c r="B393" s="29" t="s">
        <v>3</v>
      </c>
      <c r="C393" t="s">
        <v>257</v>
      </c>
    </row>
    <row r="394" spans="1:29" x14ac:dyDescent="0.25">
      <c r="B394" s="29"/>
      <c r="C394" s="211" t="s">
        <v>258</v>
      </c>
    </row>
    <row r="395" spans="1:29" x14ac:dyDescent="0.25">
      <c r="B395" s="29" t="s">
        <v>10</v>
      </c>
      <c r="C395" s="263" t="s">
        <v>239</v>
      </c>
    </row>
    <row r="396" spans="1:29" x14ac:dyDescent="0.25">
      <c r="B396" s="29"/>
      <c r="C396" s="263" t="s">
        <v>106</v>
      </c>
    </row>
    <row r="397" spans="1:29" x14ac:dyDescent="0.25">
      <c r="B397" s="29" t="s">
        <v>14</v>
      </c>
      <c r="C397" t="s">
        <v>259</v>
      </c>
    </row>
    <row r="398" spans="1:29" x14ac:dyDescent="0.25">
      <c r="B398" s="29"/>
      <c r="C398" s="243" t="s">
        <v>2152</v>
      </c>
    </row>
    <row r="399" spans="1:29" x14ac:dyDescent="0.25">
      <c r="B399" s="29"/>
      <c r="C399" s="246" t="s">
        <v>2153</v>
      </c>
    </row>
    <row r="400" spans="1:29" x14ac:dyDescent="0.25">
      <c r="B400" s="29" t="s">
        <v>17</v>
      </c>
      <c r="C400" t="s">
        <v>260</v>
      </c>
    </row>
    <row r="401" spans="2:37" x14ac:dyDescent="0.25">
      <c r="B401" s="29" t="s">
        <v>19</v>
      </c>
      <c r="C401" t="s">
        <v>261</v>
      </c>
    </row>
    <row r="402" spans="2:37" s="25" customFormat="1" ht="15.75" thickBot="1" x14ac:dyDescent="0.3">
      <c r="B402" s="30"/>
      <c r="C402" s="25" t="s">
        <v>2030</v>
      </c>
    </row>
    <row r="403" spans="2:37" s="8" customFormat="1" ht="15.75" thickTop="1" x14ac:dyDescent="0.25">
      <c r="B403" s="44" t="s">
        <v>21</v>
      </c>
      <c r="C403" s="8" t="s">
        <v>262</v>
      </c>
      <c r="H403" s="8" t="s">
        <v>195</v>
      </c>
      <c r="I403" s="42">
        <f t="shared" ref="I403:AK403" si="162">AVERAGE(I404:I415)</f>
        <v>13373.75</v>
      </c>
      <c r="J403" s="42">
        <f t="shared" si="162"/>
        <v>13181</v>
      </c>
      <c r="K403" s="42">
        <f t="shared" si="162"/>
        <v>13283.583333333334</v>
      </c>
      <c r="L403" s="42">
        <f t="shared" si="162"/>
        <v>13471.666666666666</v>
      </c>
      <c r="M403" s="42">
        <f t="shared" si="162"/>
        <v>13773.75</v>
      </c>
      <c r="N403" s="42">
        <f t="shared" si="162"/>
        <v>14288.333333333334</v>
      </c>
      <c r="O403" s="42">
        <f t="shared" si="162"/>
        <v>14214.166666666666</v>
      </c>
      <c r="P403" s="42">
        <f t="shared" si="162"/>
        <v>12916.666666666666</v>
      </c>
      <c r="Q403" s="42">
        <f t="shared" si="162"/>
        <v>12445.5</v>
      </c>
      <c r="R403" s="42">
        <f t="shared" si="162"/>
        <v>12404.416666666666</v>
      </c>
      <c r="S403" s="42">
        <f t="shared" si="162"/>
        <v>12710.333333333334</v>
      </c>
      <c r="T403" s="42">
        <f t="shared" si="162"/>
        <v>13119.583333333334</v>
      </c>
      <c r="U403" s="42">
        <f t="shared" si="162"/>
        <v>13579.333333333334</v>
      </c>
      <c r="V403" s="42">
        <f t="shared" si="162"/>
        <v>14015.5</v>
      </c>
      <c r="W403" s="42">
        <f t="shared" si="162"/>
        <v>14714.75</v>
      </c>
      <c r="X403" s="42">
        <f t="shared" si="162"/>
        <v>15007.166666666666</v>
      </c>
      <c r="Y403" s="42">
        <f t="shared" si="162"/>
        <v>14992.833333333334</v>
      </c>
      <c r="Z403" s="42">
        <f t="shared" si="162"/>
        <v>15364.916666666666</v>
      </c>
      <c r="AA403" s="42">
        <f t="shared" si="162"/>
        <v>14236.75</v>
      </c>
      <c r="AB403" s="42">
        <f t="shared" si="162"/>
        <v>15374.75</v>
      </c>
      <c r="AC403" s="42">
        <f t="shared" si="162"/>
        <v>16192.583333333334</v>
      </c>
      <c r="AD403" s="42">
        <f t="shared" si="162"/>
        <v>16658.666666666668</v>
      </c>
      <c r="AE403" s="42" t="e">
        <f t="shared" si="162"/>
        <v>#DIV/0!</v>
      </c>
      <c r="AF403" s="42" t="e">
        <f t="shared" si="162"/>
        <v>#DIV/0!</v>
      </c>
      <c r="AG403" s="42" t="e">
        <f t="shared" si="162"/>
        <v>#DIV/0!</v>
      </c>
      <c r="AH403" s="42" t="e">
        <f t="shared" si="162"/>
        <v>#DIV/0!</v>
      </c>
      <c r="AI403" s="42" t="e">
        <f t="shared" si="162"/>
        <v>#DIV/0!</v>
      </c>
      <c r="AJ403" s="42" t="e">
        <f t="shared" si="162"/>
        <v>#DIV/0!</v>
      </c>
      <c r="AK403" s="42" t="e">
        <f t="shared" si="162"/>
        <v>#DIV/0!</v>
      </c>
    </row>
    <row r="404" spans="2:37" x14ac:dyDescent="0.25">
      <c r="B404" s="29"/>
      <c r="D404" t="s">
        <v>244</v>
      </c>
      <c r="H404" t="s">
        <v>195</v>
      </c>
      <c r="I404" s="39">
        <v>12134</v>
      </c>
      <c r="J404" s="39">
        <v>12507</v>
      </c>
      <c r="K404" s="39">
        <v>12485</v>
      </c>
      <c r="L404" s="39">
        <v>12500</v>
      </c>
      <c r="M404" s="39">
        <v>12903</v>
      </c>
      <c r="N404" s="39">
        <v>13514</v>
      </c>
      <c r="O404" s="39">
        <v>13772</v>
      </c>
      <c r="P404" s="39">
        <v>12650</v>
      </c>
      <c r="Q404" s="39">
        <v>11948</v>
      </c>
      <c r="R404" s="39">
        <v>11828</v>
      </c>
      <c r="S404" s="39">
        <v>12069</v>
      </c>
      <c r="T404" s="39">
        <v>12342</v>
      </c>
      <c r="U404" s="39">
        <v>12957</v>
      </c>
      <c r="V404" s="39">
        <v>13275</v>
      </c>
      <c r="W404" s="39">
        <v>13916</v>
      </c>
      <c r="X404" s="39">
        <v>14435</v>
      </c>
      <c r="Y404" s="39">
        <v>14480</v>
      </c>
      <c r="Z404" s="39">
        <v>15046</v>
      </c>
      <c r="AA404" s="39">
        <v>15069</v>
      </c>
      <c r="AB404" s="39">
        <v>14897</v>
      </c>
      <c r="AC404" s="39">
        <v>15548</v>
      </c>
      <c r="AD404" s="39">
        <v>16697</v>
      </c>
    </row>
    <row r="405" spans="2:37" x14ac:dyDescent="0.25">
      <c r="D405" t="s">
        <v>245</v>
      </c>
      <c r="H405" t="s">
        <v>195</v>
      </c>
      <c r="I405" s="39">
        <v>12287</v>
      </c>
      <c r="J405" s="39">
        <v>12481</v>
      </c>
      <c r="K405" s="39">
        <v>12423</v>
      </c>
      <c r="L405" s="39">
        <v>12514</v>
      </c>
      <c r="M405" s="39">
        <v>12906</v>
      </c>
      <c r="N405" s="39">
        <v>13419</v>
      </c>
      <c r="O405" s="39">
        <v>13789</v>
      </c>
      <c r="P405" s="39">
        <v>12486</v>
      </c>
      <c r="Q405" s="39">
        <v>12003</v>
      </c>
      <c r="R405" s="39">
        <v>11887</v>
      </c>
      <c r="S405" s="39">
        <v>12122</v>
      </c>
      <c r="T405" s="39">
        <v>12377</v>
      </c>
      <c r="U405" s="39">
        <v>12914</v>
      </c>
      <c r="V405" s="39">
        <v>13263</v>
      </c>
      <c r="W405" s="39">
        <v>13906</v>
      </c>
      <c r="X405" s="39">
        <v>14418</v>
      </c>
      <c r="Y405" s="39">
        <v>14496</v>
      </c>
      <c r="Z405" s="39">
        <v>14939</v>
      </c>
      <c r="AA405" s="39">
        <v>14972</v>
      </c>
      <c r="AB405" s="39">
        <v>14787</v>
      </c>
      <c r="AC405" s="39">
        <v>15495</v>
      </c>
      <c r="AD405" s="39">
        <v>16629</v>
      </c>
    </row>
    <row r="406" spans="2:37" x14ac:dyDescent="0.25">
      <c r="D406" t="s">
        <v>246</v>
      </c>
      <c r="H406" t="s">
        <v>195</v>
      </c>
      <c r="I406" s="39">
        <v>12199</v>
      </c>
      <c r="J406" s="39">
        <v>12370</v>
      </c>
      <c r="K406" s="39">
        <v>12264</v>
      </c>
      <c r="L406" s="39">
        <v>12451</v>
      </c>
      <c r="M406" s="39">
        <v>12908</v>
      </c>
      <c r="N406" s="39">
        <v>13380</v>
      </c>
      <c r="O406" s="39">
        <v>13631</v>
      </c>
      <c r="P406" s="39">
        <v>12269</v>
      </c>
      <c r="Q406" s="39">
        <v>11838</v>
      </c>
      <c r="R406" s="39">
        <v>11838</v>
      </c>
      <c r="S406" s="39">
        <v>11958</v>
      </c>
      <c r="T406" s="39">
        <v>12312</v>
      </c>
      <c r="U406" s="39">
        <v>12908</v>
      </c>
      <c r="V406" s="39">
        <v>13313</v>
      </c>
      <c r="W406" s="39">
        <v>13904</v>
      </c>
      <c r="X406" s="39">
        <v>14326</v>
      </c>
      <c r="Y406" s="39">
        <v>14353</v>
      </c>
      <c r="Z406" s="39">
        <v>14783</v>
      </c>
      <c r="AA406" s="39">
        <v>14462</v>
      </c>
      <c r="AB406" s="39">
        <v>14707</v>
      </c>
      <c r="AC406" s="39">
        <v>15514</v>
      </c>
      <c r="AD406" s="232">
        <v>16650</v>
      </c>
    </row>
    <row r="407" spans="2:37" x14ac:dyDescent="0.25">
      <c r="D407" t="s">
        <v>247</v>
      </c>
      <c r="H407" t="s">
        <v>195</v>
      </c>
      <c r="I407" s="39">
        <v>11713</v>
      </c>
      <c r="J407" s="39">
        <v>11756</v>
      </c>
      <c r="K407" s="39">
        <v>12032</v>
      </c>
      <c r="L407" s="39">
        <v>12108</v>
      </c>
      <c r="M407" s="39">
        <v>12181</v>
      </c>
      <c r="N407" s="39">
        <v>12834</v>
      </c>
      <c r="O407" s="39">
        <v>12831</v>
      </c>
      <c r="P407" s="39">
        <v>11480</v>
      </c>
      <c r="Q407" s="39">
        <v>11063</v>
      </c>
      <c r="R407" s="39">
        <v>10662</v>
      </c>
      <c r="S407" s="39">
        <v>11243</v>
      </c>
      <c r="T407" s="39">
        <v>11615</v>
      </c>
      <c r="U407" s="39">
        <v>12033</v>
      </c>
      <c r="V407" s="39">
        <v>12411</v>
      </c>
      <c r="W407" s="39">
        <v>12866</v>
      </c>
      <c r="X407" s="39">
        <v>13268</v>
      </c>
      <c r="Y407" s="39">
        <v>13451</v>
      </c>
      <c r="Z407" s="39">
        <v>13611</v>
      </c>
      <c r="AA407" s="39">
        <v>11618</v>
      </c>
      <c r="AB407" s="39">
        <v>13941</v>
      </c>
      <c r="AC407" s="39">
        <v>14639</v>
      </c>
      <c r="AD407" s="39"/>
    </row>
    <row r="408" spans="2:37" x14ac:dyDescent="0.25">
      <c r="D408" t="s">
        <v>248</v>
      </c>
      <c r="H408" t="s">
        <v>195</v>
      </c>
      <c r="I408" s="39">
        <v>12571</v>
      </c>
      <c r="J408" s="39">
        <v>12335</v>
      </c>
      <c r="K408" s="39">
        <v>12317</v>
      </c>
      <c r="L408" s="39">
        <v>12509</v>
      </c>
      <c r="M408" s="39">
        <v>12781</v>
      </c>
      <c r="N408" s="39">
        <v>13449</v>
      </c>
      <c r="O408" s="39">
        <v>13719</v>
      </c>
      <c r="P408" s="39">
        <v>12195</v>
      </c>
      <c r="Q408" s="39">
        <v>11796</v>
      </c>
      <c r="R408" s="39">
        <v>11441</v>
      </c>
      <c r="S408" s="39">
        <v>11763</v>
      </c>
      <c r="T408" s="39">
        <v>12074</v>
      </c>
      <c r="U408" s="39">
        <v>12494</v>
      </c>
      <c r="V408" s="39">
        <v>13201</v>
      </c>
      <c r="W408" s="39">
        <v>13814</v>
      </c>
      <c r="X408" s="39">
        <v>14169</v>
      </c>
      <c r="Y408" s="39">
        <v>14244</v>
      </c>
      <c r="Z408" s="39">
        <v>14539</v>
      </c>
      <c r="AA408" s="39">
        <v>12022</v>
      </c>
      <c r="AB408" s="39">
        <v>14530</v>
      </c>
      <c r="AC408" s="39">
        <v>14954</v>
      </c>
      <c r="AD408" s="39"/>
    </row>
    <row r="409" spans="2:37" x14ac:dyDescent="0.25">
      <c r="D409" t="s">
        <v>249</v>
      </c>
      <c r="H409" t="s">
        <v>195</v>
      </c>
      <c r="I409" s="39">
        <v>15066</v>
      </c>
      <c r="J409" s="39">
        <v>14594</v>
      </c>
      <c r="K409" s="39">
        <v>14726</v>
      </c>
      <c r="L409" s="39">
        <v>14819</v>
      </c>
      <c r="M409" s="39">
        <v>15274</v>
      </c>
      <c r="N409" s="39">
        <v>15803</v>
      </c>
      <c r="O409" s="39">
        <v>16020</v>
      </c>
      <c r="P409" s="39">
        <v>14266</v>
      </c>
      <c r="Q409" s="39">
        <v>13767</v>
      </c>
      <c r="R409" s="39">
        <v>13620</v>
      </c>
      <c r="S409" s="39">
        <v>14033</v>
      </c>
      <c r="T409" s="39">
        <v>14618</v>
      </c>
      <c r="U409" s="39">
        <v>15101</v>
      </c>
      <c r="V409" s="39">
        <v>15568</v>
      </c>
      <c r="W409" s="39">
        <v>16352</v>
      </c>
      <c r="X409" s="39">
        <v>16546</v>
      </c>
      <c r="Y409" s="39">
        <v>16509</v>
      </c>
      <c r="Z409" s="39">
        <v>16764</v>
      </c>
      <c r="AA409" s="39">
        <v>14302</v>
      </c>
      <c r="AB409" s="39">
        <v>16556</v>
      </c>
      <c r="AC409" s="39">
        <v>17495</v>
      </c>
      <c r="AD409" s="39"/>
    </row>
    <row r="410" spans="2:37" x14ac:dyDescent="0.25">
      <c r="D410" t="s">
        <v>250</v>
      </c>
      <c r="H410" t="s">
        <v>195</v>
      </c>
      <c r="I410" s="39">
        <v>16295</v>
      </c>
      <c r="J410" s="39">
        <v>15737</v>
      </c>
      <c r="K410" s="39">
        <v>15801</v>
      </c>
      <c r="L410" s="39">
        <v>15978</v>
      </c>
      <c r="M410" s="39">
        <v>16441</v>
      </c>
      <c r="N410" s="39">
        <v>16775</v>
      </c>
      <c r="O410" s="39">
        <v>16711</v>
      </c>
      <c r="P410" s="39">
        <v>15095</v>
      </c>
      <c r="Q410" s="39">
        <v>14609</v>
      </c>
      <c r="R410" s="39">
        <v>14671</v>
      </c>
      <c r="S410" s="39">
        <v>14819</v>
      </c>
      <c r="T410" s="39">
        <v>15334</v>
      </c>
      <c r="U410" s="39">
        <v>15903</v>
      </c>
      <c r="V410" s="39">
        <v>16383</v>
      </c>
      <c r="W410" s="39">
        <v>17302</v>
      </c>
      <c r="X410" s="39">
        <v>17571</v>
      </c>
      <c r="Y410" s="39">
        <v>17497</v>
      </c>
      <c r="Z410" s="39">
        <v>17668</v>
      </c>
      <c r="AA410" s="39">
        <v>15377</v>
      </c>
      <c r="AB410" s="39">
        <v>17534</v>
      </c>
      <c r="AC410" s="39">
        <v>18391</v>
      </c>
      <c r="AD410" s="39"/>
    </row>
    <row r="411" spans="2:37" x14ac:dyDescent="0.25">
      <c r="D411" t="s">
        <v>251</v>
      </c>
      <c r="H411" t="s">
        <v>195</v>
      </c>
      <c r="I411" s="39">
        <v>15995</v>
      </c>
      <c r="J411" s="39">
        <v>15528</v>
      </c>
      <c r="K411" s="39">
        <v>15578</v>
      </c>
      <c r="L411" s="39">
        <v>15842</v>
      </c>
      <c r="M411" s="39">
        <v>16174</v>
      </c>
      <c r="N411" s="39">
        <v>16547</v>
      </c>
      <c r="O411" s="39">
        <v>16379</v>
      </c>
      <c r="P411" s="39">
        <v>14935</v>
      </c>
      <c r="Q411" s="39">
        <v>14388</v>
      </c>
      <c r="R411" s="39">
        <v>14456</v>
      </c>
      <c r="S411" s="39">
        <v>14686</v>
      </c>
      <c r="T411" s="39">
        <v>15312</v>
      </c>
      <c r="U411" s="39">
        <v>15792</v>
      </c>
      <c r="V411" s="39">
        <v>16202</v>
      </c>
      <c r="W411" s="39">
        <v>17041</v>
      </c>
      <c r="X411" s="39">
        <v>17365</v>
      </c>
      <c r="Y411" s="39">
        <v>17093</v>
      </c>
      <c r="Z411" s="39">
        <v>17496</v>
      </c>
      <c r="AA411" s="39">
        <v>15627</v>
      </c>
      <c r="AB411" s="39">
        <v>17130</v>
      </c>
      <c r="AC411" s="39">
        <v>18249</v>
      </c>
      <c r="AD411" s="39"/>
    </row>
    <row r="412" spans="2:37" x14ac:dyDescent="0.25">
      <c r="D412" t="s">
        <v>252</v>
      </c>
      <c r="H412" t="s">
        <v>195</v>
      </c>
      <c r="I412" s="39">
        <v>14815</v>
      </c>
      <c r="J412" s="39">
        <v>14136</v>
      </c>
      <c r="K412" s="39">
        <v>14315</v>
      </c>
      <c r="L412" s="39">
        <v>14606</v>
      </c>
      <c r="M412" s="39">
        <v>14772</v>
      </c>
      <c r="N412" s="39">
        <v>15466</v>
      </c>
      <c r="O412" s="39">
        <v>15032</v>
      </c>
      <c r="P412" s="39">
        <v>13824</v>
      </c>
      <c r="Q412" s="39">
        <v>13416</v>
      </c>
      <c r="R412" s="39">
        <v>13449</v>
      </c>
      <c r="S412" s="39">
        <v>13693</v>
      </c>
      <c r="T412" s="39">
        <v>14249</v>
      </c>
      <c r="U412" s="39">
        <v>14577</v>
      </c>
      <c r="V412" s="39">
        <v>15044</v>
      </c>
      <c r="W412" s="39">
        <v>15899</v>
      </c>
      <c r="X412" s="39">
        <v>16094</v>
      </c>
      <c r="Y412" s="39">
        <v>16009</v>
      </c>
      <c r="Z412" s="39">
        <v>16318</v>
      </c>
      <c r="AA412" s="39">
        <v>15255</v>
      </c>
      <c r="AB412" s="39">
        <v>16187</v>
      </c>
      <c r="AC412" s="39">
        <v>17179</v>
      </c>
      <c r="AD412" s="39"/>
    </row>
    <row r="413" spans="2:37" x14ac:dyDescent="0.25">
      <c r="D413" t="s">
        <v>253</v>
      </c>
      <c r="H413" t="s">
        <v>195</v>
      </c>
      <c r="I413" s="39">
        <v>12790</v>
      </c>
      <c r="J413" s="39">
        <v>12360</v>
      </c>
      <c r="K413" s="39">
        <v>12893</v>
      </c>
      <c r="L413" s="39">
        <v>13350</v>
      </c>
      <c r="M413" s="39">
        <v>13361</v>
      </c>
      <c r="N413" s="39">
        <v>13797</v>
      </c>
      <c r="O413" s="39">
        <v>13558</v>
      </c>
      <c r="P413" s="39">
        <v>12471</v>
      </c>
      <c r="Q413" s="39">
        <v>12005</v>
      </c>
      <c r="R413" s="39">
        <v>12273</v>
      </c>
      <c r="S413" s="39">
        <v>12635</v>
      </c>
      <c r="T413" s="39">
        <v>12973</v>
      </c>
      <c r="U413" s="39">
        <v>13468</v>
      </c>
      <c r="V413" s="39">
        <v>13832</v>
      </c>
      <c r="W413" s="39">
        <v>14586</v>
      </c>
      <c r="X413" s="39">
        <v>14757</v>
      </c>
      <c r="Y413" s="39">
        <v>14630</v>
      </c>
      <c r="Z413" s="39">
        <v>15162</v>
      </c>
      <c r="AA413" s="39">
        <v>14442</v>
      </c>
      <c r="AB413" s="39">
        <v>15228</v>
      </c>
      <c r="AC413" s="39">
        <v>16156</v>
      </c>
      <c r="AD413" s="39"/>
    </row>
    <row r="414" spans="2:37" x14ac:dyDescent="0.25">
      <c r="D414" t="s">
        <v>254</v>
      </c>
      <c r="H414" t="s">
        <v>195</v>
      </c>
      <c r="I414" s="39">
        <v>11870</v>
      </c>
      <c r="J414" s="39">
        <v>11806</v>
      </c>
      <c r="K414" s="39">
        <v>11857</v>
      </c>
      <c r="L414" s="39">
        <v>12015</v>
      </c>
      <c r="M414" s="39">
        <v>12332</v>
      </c>
      <c r="N414" s="39">
        <v>12820</v>
      </c>
      <c r="O414" s="39">
        <v>12257</v>
      </c>
      <c r="P414" s="39">
        <v>11119</v>
      </c>
      <c r="Q414" s="39">
        <v>10559</v>
      </c>
      <c r="R414" s="39">
        <v>10700</v>
      </c>
      <c r="S414" s="39">
        <v>11349</v>
      </c>
      <c r="T414" s="39">
        <v>11543</v>
      </c>
      <c r="U414" s="39">
        <v>11729</v>
      </c>
      <c r="V414" s="39">
        <v>12128</v>
      </c>
      <c r="W414" s="39">
        <v>12811</v>
      </c>
      <c r="X414" s="39">
        <v>12978</v>
      </c>
      <c r="Y414" s="39">
        <v>12845</v>
      </c>
      <c r="Z414" s="39">
        <v>13196</v>
      </c>
      <c r="AA414" s="39">
        <v>13100</v>
      </c>
      <c r="AB414" s="39">
        <v>13592</v>
      </c>
      <c r="AC414" s="39">
        <v>14438</v>
      </c>
      <c r="AD414" s="39"/>
    </row>
    <row r="415" spans="2:37" x14ac:dyDescent="0.25">
      <c r="D415" t="s">
        <v>255</v>
      </c>
      <c r="H415" t="s">
        <v>195</v>
      </c>
      <c r="I415" s="39">
        <v>12750</v>
      </c>
      <c r="J415" s="39">
        <v>12562</v>
      </c>
      <c r="K415" s="39">
        <v>12712</v>
      </c>
      <c r="L415" s="39">
        <v>12968</v>
      </c>
      <c r="M415" s="39">
        <v>13252</v>
      </c>
      <c r="N415" s="39">
        <v>13656</v>
      </c>
      <c r="O415" s="39">
        <v>12871</v>
      </c>
      <c r="P415" s="39">
        <v>12210</v>
      </c>
      <c r="Q415" s="39">
        <v>11954</v>
      </c>
      <c r="R415" s="39">
        <v>12028</v>
      </c>
      <c r="S415" s="39">
        <v>12154</v>
      </c>
      <c r="T415" s="39">
        <v>12686</v>
      </c>
      <c r="U415" s="39">
        <v>13076</v>
      </c>
      <c r="V415" s="39">
        <v>13566</v>
      </c>
      <c r="W415" s="39">
        <v>14180</v>
      </c>
      <c r="X415" s="39">
        <v>14159</v>
      </c>
      <c r="Y415" s="39">
        <v>14307</v>
      </c>
      <c r="Z415" s="39">
        <v>14857</v>
      </c>
      <c r="AA415" s="39">
        <v>14595</v>
      </c>
      <c r="AB415" s="39">
        <v>15408</v>
      </c>
      <c r="AC415" s="39">
        <v>16253</v>
      </c>
      <c r="AD415" s="39"/>
    </row>
    <row r="416" spans="2:37" x14ac:dyDescent="0.25">
      <c r="C416" s="8" t="s">
        <v>263</v>
      </c>
      <c r="D416" s="8"/>
      <c r="E416" s="8"/>
      <c r="F416" s="8"/>
      <c r="G416" s="8"/>
      <c r="H416" s="8" t="s">
        <v>195</v>
      </c>
      <c r="I416" s="42">
        <f t="shared" ref="I416:AK416" si="163">AVERAGE(I417:I428)</f>
        <v>13785.5</v>
      </c>
      <c r="J416" s="42">
        <f t="shared" si="163"/>
        <v>13663.583333333334</v>
      </c>
      <c r="K416" s="42">
        <f t="shared" si="163"/>
        <v>13708.833333333334</v>
      </c>
      <c r="L416" s="42">
        <f t="shared" si="163"/>
        <v>13884.25</v>
      </c>
      <c r="M416" s="42">
        <f t="shared" si="163"/>
        <v>14112.5</v>
      </c>
      <c r="N416" s="42">
        <f t="shared" si="163"/>
        <v>14589.416666666666</v>
      </c>
      <c r="O416" s="42">
        <f t="shared" si="163"/>
        <v>14622.833333333334</v>
      </c>
      <c r="P416" s="42">
        <f t="shared" si="163"/>
        <v>13873.166666666666</v>
      </c>
      <c r="Q416" s="42">
        <f t="shared" si="163"/>
        <v>13567.416666666666</v>
      </c>
      <c r="R416" s="42">
        <f t="shared" si="163"/>
        <v>13476.333333333334</v>
      </c>
      <c r="S416" s="42">
        <f t="shared" si="163"/>
        <v>13650</v>
      </c>
      <c r="T416" s="42">
        <f t="shared" si="163"/>
        <v>13905.083333333334</v>
      </c>
      <c r="U416" s="42">
        <f t="shared" si="163"/>
        <v>14271.833333333334</v>
      </c>
      <c r="V416" s="42">
        <f t="shared" si="163"/>
        <v>14573.75</v>
      </c>
      <c r="W416" s="42">
        <f t="shared" si="163"/>
        <v>15246.916666666666</v>
      </c>
      <c r="X416" s="42">
        <f t="shared" si="163"/>
        <v>15456.833333333334</v>
      </c>
      <c r="Y416" s="42">
        <f t="shared" si="163"/>
        <v>15457.416666666666</v>
      </c>
      <c r="Z416" s="42">
        <f t="shared" si="163"/>
        <v>15808.833333333334</v>
      </c>
      <c r="AA416" s="42">
        <f t="shared" si="163"/>
        <v>15137.583333333334</v>
      </c>
      <c r="AB416" s="42">
        <f t="shared" si="163"/>
        <v>15905.75</v>
      </c>
      <c r="AC416" s="42">
        <f t="shared" si="163"/>
        <v>16646.75</v>
      </c>
      <c r="AD416" s="42">
        <f t="shared" si="163"/>
        <v>17103.666666666668</v>
      </c>
      <c r="AE416" s="42" t="e">
        <f t="shared" si="163"/>
        <v>#DIV/0!</v>
      </c>
      <c r="AF416" s="42" t="e">
        <f t="shared" si="163"/>
        <v>#DIV/0!</v>
      </c>
      <c r="AG416" s="42" t="e">
        <f t="shared" si="163"/>
        <v>#DIV/0!</v>
      </c>
      <c r="AH416" s="42" t="e">
        <f t="shared" si="163"/>
        <v>#DIV/0!</v>
      </c>
      <c r="AI416" s="42" t="e">
        <f t="shared" si="163"/>
        <v>#DIV/0!</v>
      </c>
      <c r="AJ416" s="42" t="e">
        <f t="shared" si="163"/>
        <v>#DIV/0!</v>
      </c>
      <c r="AK416" s="42" t="e">
        <f t="shared" si="163"/>
        <v>#DIV/0!</v>
      </c>
    </row>
    <row r="417" spans="1:30" x14ac:dyDescent="0.25">
      <c r="D417" t="s">
        <v>244</v>
      </c>
      <c r="H417" t="s">
        <v>195</v>
      </c>
      <c r="I417" s="39">
        <v>12559</v>
      </c>
      <c r="J417" s="39">
        <v>12983</v>
      </c>
      <c r="K417" s="39">
        <v>12941</v>
      </c>
      <c r="L417" s="39">
        <v>12939</v>
      </c>
      <c r="M417" s="39">
        <v>13250</v>
      </c>
      <c r="N417" s="39">
        <v>13829</v>
      </c>
      <c r="O417" s="39">
        <v>14091</v>
      </c>
      <c r="P417" s="39">
        <v>13370</v>
      </c>
      <c r="Q417" s="39">
        <v>13061</v>
      </c>
      <c r="R417" s="39">
        <v>12935</v>
      </c>
      <c r="S417" s="39">
        <v>13115</v>
      </c>
      <c r="T417" s="39">
        <v>13264</v>
      </c>
      <c r="U417" s="39">
        <v>13658</v>
      </c>
      <c r="V417" s="39">
        <v>13849</v>
      </c>
      <c r="W417" s="39">
        <v>14429</v>
      </c>
      <c r="X417" s="39">
        <v>14865</v>
      </c>
      <c r="Y417" s="39">
        <v>14888</v>
      </c>
      <c r="Z417" s="39">
        <v>15507</v>
      </c>
      <c r="AA417" s="39">
        <v>15546</v>
      </c>
      <c r="AB417" s="39">
        <v>15509</v>
      </c>
      <c r="AC417" s="39">
        <v>15969</v>
      </c>
      <c r="AD417" s="39">
        <v>17163</v>
      </c>
    </row>
    <row r="418" spans="1:30" x14ac:dyDescent="0.25">
      <c r="D418" t="s">
        <v>245</v>
      </c>
      <c r="H418" t="s">
        <v>195</v>
      </c>
      <c r="I418" s="39">
        <v>12709</v>
      </c>
      <c r="J418" s="39">
        <v>12969</v>
      </c>
      <c r="K418" s="39">
        <v>12818</v>
      </c>
      <c r="L418" s="39">
        <v>12905</v>
      </c>
      <c r="M418" s="39">
        <v>13239</v>
      </c>
      <c r="N418" s="39">
        <v>13710</v>
      </c>
      <c r="O418" s="39">
        <v>14113</v>
      </c>
      <c r="P418" s="39">
        <v>13213</v>
      </c>
      <c r="Q418" s="39">
        <v>13085</v>
      </c>
      <c r="R418" s="39">
        <v>12902</v>
      </c>
      <c r="S418" s="39">
        <v>13064</v>
      </c>
      <c r="T418" s="39">
        <v>13145</v>
      </c>
      <c r="U418" s="39">
        <v>13558</v>
      </c>
      <c r="V418" s="39">
        <v>13764</v>
      </c>
      <c r="W418" s="39">
        <v>14326</v>
      </c>
      <c r="X418" s="39">
        <v>14816</v>
      </c>
      <c r="Y418" s="39">
        <v>14889</v>
      </c>
      <c r="Z418" s="39">
        <v>15284</v>
      </c>
      <c r="AA418" s="39">
        <v>15436</v>
      </c>
      <c r="AB418" s="39">
        <v>15400</v>
      </c>
      <c r="AC418" s="39">
        <v>15880</v>
      </c>
      <c r="AD418" s="39">
        <v>17050</v>
      </c>
    </row>
    <row r="419" spans="1:30" x14ac:dyDescent="0.25">
      <c r="D419" t="s">
        <v>246</v>
      </c>
      <c r="H419" t="s">
        <v>195</v>
      </c>
      <c r="I419" s="39">
        <v>12633</v>
      </c>
      <c r="J419" s="39">
        <v>12890</v>
      </c>
      <c r="K419" s="39">
        <v>12699</v>
      </c>
      <c r="L419" s="39">
        <v>12817</v>
      </c>
      <c r="M419" s="39">
        <v>13239</v>
      </c>
      <c r="N419" s="39">
        <v>13678</v>
      </c>
      <c r="O419" s="39">
        <v>13951</v>
      </c>
      <c r="P419" s="39">
        <v>13077</v>
      </c>
      <c r="Q419" s="39">
        <v>12935</v>
      </c>
      <c r="R419" s="39">
        <v>12822</v>
      </c>
      <c r="S419" s="39">
        <v>12881</v>
      </c>
      <c r="T419" s="39">
        <v>13055</v>
      </c>
      <c r="U419" s="39">
        <v>13551</v>
      </c>
      <c r="V419" s="39">
        <v>13800</v>
      </c>
      <c r="W419" s="39">
        <v>14412</v>
      </c>
      <c r="X419" s="39">
        <v>14731</v>
      </c>
      <c r="Y419" s="39">
        <v>14766</v>
      </c>
      <c r="Z419" s="39">
        <v>15163</v>
      </c>
      <c r="AA419" s="39">
        <v>15090</v>
      </c>
      <c r="AB419" s="39">
        <v>15264</v>
      </c>
      <c r="AC419" s="39">
        <v>15878</v>
      </c>
      <c r="AD419" s="232">
        <v>17098</v>
      </c>
    </row>
    <row r="420" spans="1:30" x14ac:dyDescent="0.25">
      <c r="D420" t="s">
        <v>247</v>
      </c>
      <c r="H420" t="s">
        <v>195</v>
      </c>
      <c r="I420" s="39">
        <v>12271</v>
      </c>
      <c r="J420" s="39">
        <v>12473</v>
      </c>
      <c r="K420" s="39">
        <v>12628</v>
      </c>
      <c r="L420" s="39">
        <v>12689</v>
      </c>
      <c r="M420" s="39">
        <v>12672</v>
      </c>
      <c r="N420" s="39">
        <v>13293</v>
      </c>
      <c r="O420" s="39">
        <v>13345</v>
      </c>
      <c r="P420" s="39">
        <v>12949</v>
      </c>
      <c r="Q420" s="39">
        <v>12717</v>
      </c>
      <c r="R420" s="39">
        <v>12362</v>
      </c>
      <c r="S420" s="39">
        <v>12637</v>
      </c>
      <c r="T420" s="39">
        <v>12786</v>
      </c>
      <c r="U420" s="39">
        <v>13080</v>
      </c>
      <c r="V420" s="39">
        <v>13307</v>
      </c>
      <c r="W420" s="39">
        <v>13804</v>
      </c>
      <c r="X420" s="39">
        <v>13841</v>
      </c>
      <c r="Y420" s="39">
        <v>14108</v>
      </c>
      <c r="Z420" s="39">
        <v>14182</v>
      </c>
      <c r="AA420" s="39">
        <v>13081</v>
      </c>
      <c r="AB420" s="39">
        <v>14714</v>
      </c>
      <c r="AC420" s="39">
        <v>15310</v>
      </c>
      <c r="AD420" s="39"/>
    </row>
    <row r="421" spans="1:30" x14ac:dyDescent="0.25">
      <c r="D421" t="s">
        <v>248</v>
      </c>
      <c r="H421" t="s">
        <v>195</v>
      </c>
      <c r="I421" s="39">
        <v>13003</v>
      </c>
      <c r="J421" s="39">
        <v>12851</v>
      </c>
      <c r="K421" s="39">
        <v>12763</v>
      </c>
      <c r="L421" s="39">
        <v>12954</v>
      </c>
      <c r="M421" s="39">
        <v>13152</v>
      </c>
      <c r="N421" s="39">
        <v>13776</v>
      </c>
      <c r="O421" s="39">
        <v>14104</v>
      </c>
      <c r="P421" s="39">
        <v>13294</v>
      </c>
      <c r="Q421" s="39">
        <v>13128</v>
      </c>
      <c r="R421" s="39">
        <v>12686</v>
      </c>
      <c r="S421" s="39">
        <v>12961</v>
      </c>
      <c r="T421" s="39">
        <v>12938</v>
      </c>
      <c r="U421" s="39">
        <v>13334</v>
      </c>
      <c r="V421" s="39">
        <v>13906</v>
      </c>
      <c r="W421" s="39">
        <v>14481</v>
      </c>
      <c r="X421" s="39">
        <v>14687</v>
      </c>
      <c r="Y421" s="39">
        <v>14798</v>
      </c>
      <c r="Z421" s="39">
        <v>14975</v>
      </c>
      <c r="AA421" s="39">
        <v>14366</v>
      </c>
      <c r="AB421" s="39">
        <v>15184</v>
      </c>
      <c r="AC421" s="39">
        <v>15551</v>
      </c>
      <c r="AD421" s="39"/>
    </row>
    <row r="422" spans="1:30" x14ac:dyDescent="0.25">
      <c r="D422" t="s">
        <v>249</v>
      </c>
      <c r="H422" t="s">
        <v>195</v>
      </c>
      <c r="I422" s="39">
        <v>15448</v>
      </c>
      <c r="J422" s="39">
        <v>15037</v>
      </c>
      <c r="K422" s="39">
        <v>15148</v>
      </c>
      <c r="L422" s="39">
        <v>15246</v>
      </c>
      <c r="M422" s="39">
        <v>15629</v>
      </c>
      <c r="N422" s="39">
        <v>16134</v>
      </c>
      <c r="O422" s="39">
        <v>16335</v>
      </c>
      <c r="P422" s="39">
        <v>15111</v>
      </c>
      <c r="Q422" s="39">
        <v>14713</v>
      </c>
      <c r="R422" s="39">
        <v>14466</v>
      </c>
      <c r="S422" s="39">
        <v>14825</v>
      </c>
      <c r="T422" s="39">
        <v>15239</v>
      </c>
      <c r="U422" s="39">
        <v>15673</v>
      </c>
      <c r="V422" s="39">
        <v>16041</v>
      </c>
      <c r="W422" s="39">
        <v>16779</v>
      </c>
      <c r="X422" s="39">
        <v>16930</v>
      </c>
      <c r="Y422" s="39">
        <v>16927</v>
      </c>
      <c r="Z422" s="39">
        <v>17145</v>
      </c>
      <c r="AA422" s="39">
        <v>15693</v>
      </c>
      <c r="AB422" s="39">
        <v>17056</v>
      </c>
      <c r="AC422" s="39">
        <v>17932</v>
      </c>
      <c r="AD422" s="39"/>
    </row>
    <row r="423" spans="1:30" x14ac:dyDescent="0.25">
      <c r="D423" t="s">
        <v>250</v>
      </c>
      <c r="H423" t="s">
        <v>195</v>
      </c>
      <c r="I423" s="39">
        <v>16597</v>
      </c>
      <c r="J423" s="39">
        <v>16100</v>
      </c>
      <c r="K423" s="39">
        <v>16135</v>
      </c>
      <c r="L423" s="39">
        <v>16341</v>
      </c>
      <c r="M423" s="39">
        <v>16737</v>
      </c>
      <c r="N423" s="39">
        <v>17020</v>
      </c>
      <c r="O423" s="39">
        <v>16986</v>
      </c>
      <c r="P423" s="39">
        <v>15836</v>
      </c>
      <c r="Q423" s="39">
        <v>15392</v>
      </c>
      <c r="R423" s="39">
        <v>15454</v>
      </c>
      <c r="S423" s="39">
        <v>15515</v>
      </c>
      <c r="T423" s="39">
        <v>15883</v>
      </c>
      <c r="U423" s="39">
        <v>16417</v>
      </c>
      <c r="V423" s="39">
        <v>16760</v>
      </c>
      <c r="W423" s="39">
        <v>17658</v>
      </c>
      <c r="X423" s="39">
        <v>17882</v>
      </c>
      <c r="Y423" s="39">
        <v>17849</v>
      </c>
      <c r="Z423" s="39">
        <v>18035</v>
      </c>
      <c r="AA423" s="39">
        <v>16211</v>
      </c>
      <c r="AB423" s="39">
        <v>17961</v>
      </c>
      <c r="AC423" s="39">
        <v>18733</v>
      </c>
      <c r="AD423" s="39"/>
    </row>
    <row r="424" spans="1:30" x14ac:dyDescent="0.25">
      <c r="D424" t="s">
        <v>251</v>
      </c>
      <c r="H424" t="s">
        <v>195</v>
      </c>
      <c r="I424" s="39">
        <v>16289</v>
      </c>
      <c r="J424" s="39">
        <v>15910</v>
      </c>
      <c r="K424" s="39">
        <v>15886</v>
      </c>
      <c r="L424" s="39">
        <v>16167</v>
      </c>
      <c r="M424" s="39">
        <v>16428</v>
      </c>
      <c r="N424" s="39">
        <v>16760</v>
      </c>
      <c r="O424" s="39">
        <v>16659</v>
      </c>
      <c r="P424" s="39">
        <v>15626</v>
      </c>
      <c r="Q424" s="39">
        <v>15159</v>
      </c>
      <c r="R424" s="39">
        <v>15184</v>
      </c>
      <c r="S424" s="39">
        <v>15343</v>
      </c>
      <c r="T424" s="39">
        <v>15816</v>
      </c>
      <c r="U424" s="39">
        <v>16283</v>
      </c>
      <c r="V424" s="39">
        <v>16544</v>
      </c>
      <c r="W424" s="39">
        <v>17373</v>
      </c>
      <c r="X424" s="39">
        <v>17682</v>
      </c>
      <c r="Y424" s="39">
        <v>17421</v>
      </c>
      <c r="Z424" s="39">
        <v>17840</v>
      </c>
      <c r="AA424" s="39">
        <v>16222</v>
      </c>
      <c r="AB424" s="39">
        <v>17529</v>
      </c>
      <c r="AC424" s="39">
        <v>18593</v>
      </c>
      <c r="AD424" s="39"/>
    </row>
    <row r="425" spans="1:30" x14ac:dyDescent="0.25">
      <c r="D425" t="s">
        <v>252</v>
      </c>
      <c r="H425" t="s">
        <v>195</v>
      </c>
      <c r="I425" s="39">
        <v>15108</v>
      </c>
      <c r="J425" s="39">
        <v>14518</v>
      </c>
      <c r="K425" s="39">
        <v>14651</v>
      </c>
      <c r="L425" s="39">
        <v>14932</v>
      </c>
      <c r="M425" s="39">
        <v>15041</v>
      </c>
      <c r="N425" s="39">
        <v>15698</v>
      </c>
      <c r="O425" s="39">
        <v>15345</v>
      </c>
      <c r="P425" s="39">
        <v>14551</v>
      </c>
      <c r="Q425" s="39">
        <v>14203</v>
      </c>
      <c r="R425" s="39">
        <v>14207</v>
      </c>
      <c r="S425" s="39">
        <v>14331</v>
      </c>
      <c r="T425" s="39">
        <v>14761</v>
      </c>
      <c r="U425" s="39">
        <v>15042</v>
      </c>
      <c r="V425" s="39">
        <v>15390</v>
      </c>
      <c r="W425" s="39">
        <v>16226</v>
      </c>
      <c r="X425" s="39">
        <v>16427</v>
      </c>
      <c r="Y425" s="39">
        <v>16352</v>
      </c>
      <c r="Z425" s="39">
        <v>16645</v>
      </c>
      <c r="AA425" s="39">
        <v>15854</v>
      </c>
      <c r="AB425" s="39">
        <v>16538</v>
      </c>
      <c r="AC425" s="39">
        <v>17519</v>
      </c>
      <c r="AD425" s="39"/>
    </row>
    <row r="426" spans="1:30" x14ac:dyDescent="0.25">
      <c r="D426" t="s">
        <v>253</v>
      </c>
      <c r="H426" t="s">
        <v>195</v>
      </c>
      <c r="I426" s="39">
        <v>13127</v>
      </c>
      <c r="J426" s="39">
        <v>12842</v>
      </c>
      <c r="K426" s="39">
        <v>13316</v>
      </c>
      <c r="L426" s="39">
        <v>13740</v>
      </c>
      <c r="M426" s="39">
        <v>13666</v>
      </c>
      <c r="N426" s="39">
        <v>14060</v>
      </c>
      <c r="O426" s="39">
        <v>13978</v>
      </c>
      <c r="P426" s="39">
        <v>13483</v>
      </c>
      <c r="Q426" s="39">
        <v>13103</v>
      </c>
      <c r="R426" s="39">
        <v>13333</v>
      </c>
      <c r="S426" s="39">
        <v>13498</v>
      </c>
      <c r="T426" s="39">
        <v>13720</v>
      </c>
      <c r="U426" s="39">
        <v>14150</v>
      </c>
      <c r="V426" s="39">
        <v>14380</v>
      </c>
      <c r="W426" s="39">
        <v>15056</v>
      </c>
      <c r="X426" s="39">
        <v>15203</v>
      </c>
      <c r="Y426" s="39">
        <v>15036</v>
      </c>
      <c r="Z426" s="39">
        <v>15600</v>
      </c>
      <c r="AA426" s="39">
        <v>15020</v>
      </c>
      <c r="AB426" s="39">
        <v>15665</v>
      </c>
      <c r="AC426" s="39">
        <v>16615</v>
      </c>
      <c r="AD426" s="39"/>
    </row>
    <row r="427" spans="1:30" x14ac:dyDescent="0.25">
      <c r="D427" t="s">
        <v>254</v>
      </c>
      <c r="H427" t="s">
        <v>195</v>
      </c>
      <c r="I427" s="39">
        <v>12414</v>
      </c>
      <c r="J427" s="39">
        <v>12410</v>
      </c>
      <c r="K427" s="39">
        <v>12422</v>
      </c>
      <c r="L427" s="39">
        <v>12562</v>
      </c>
      <c r="M427" s="39">
        <v>12767</v>
      </c>
      <c r="N427" s="39">
        <v>13211</v>
      </c>
      <c r="O427" s="39">
        <v>12995</v>
      </c>
      <c r="P427" s="39">
        <v>12536</v>
      </c>
      <c r="Q427" s="39">
        <v>12160</v>
      </c>
      <c r="R427" s="39">
        <v>12158</v>
      </c>
      <c r="S427" s="39">
        <v>12489</v>
      </c>
      <c r="T427" s="39">
        <v>12656</v>
      </c>
      <c r="U427" s="39">
        <v>12824</v>
      </c>
      <c r="V427" s="39">
        <v>13011</v>
      </c>
      <c r="W427" s="39">
        <v>13629</v>
      </c>
      <c r="X427" s="39">
        <v>13801</v>
      </c>
      <c r="Y427" s="39">
        <v>13644</v>
      </c>
      <c r="Z427" s="39">
        <v>13973</v>
      </c>
      <c r="AA427" s="39">
        <v>13932</v>
      </c>
      <c r="AB427" s="39">
        <v>14250</v>
      </c>
      <c r="AC427" s="39">
        <v>15111</v>
      </c>
      <c r="AD427" s="39"/>
    </row>
    <row r="428" spans="1:30" x14ac:dyDescent="0.25">
      <c r="D428" t="s">
        <v>255</v>
      </c>
      <c r="H428" t="s">
        <v>195</v>
      </c>
      <c r="I428" s="39">
        <v>13268</v>
      </c>
      <c r="J428" s="39">
        <v>12980</v>
      </c>
      <c r="K428" s="39">
        <v>13099</v>
      </c>
      <c r="L428" s="39">
        <v>13319</v>
      </c>
      <c r="M428" s="39">
        <v>13530</v>
      </c>
      <c r="N428" s="39">
        <v>13904</v>
      </c>
      <c r="O428" s="39">
        <v>13572</v>
      </c>
      <c r="P428" s="39">
        <v>13432</v>
      </c>
      <c r="Q428" s="39">
        <v>13153</v>
      </c>
      <c r="R428" s="39">
        <v>13207</v>
      </c>
      <c r="S428" s="39">
        <v>13141</v>
      </c>
      <c r="T428" s="39">
        <v>13598</v>
      </c>
      <c r="U428" s="39">
        <v>13692</v>
      </c>
      <c r="V428" s="39">
        <v>14133</v>
      </c>
      <c r="W428" s="39">
        <v>14790</v>
      </c>
      <c r="X428" s="39">
        <v>14617</v>
      </c>
      <c r="Y428" s="39">
        <v>14811</v>
      </c>
      <c r="Z428" s="39">
        <v>15357</v>
      </c>
      <c r="AA428" s="39">
        <v>15200</v>
      </c>
      <c r="AB428" s="39">
        <v>15799</v>
      </c>
      <c r="AC428" s="39">
        <v>16670</v>
      </c>
      <c r="AD428" s="39"/>
    </row>
    <row r="429" spans="1:30" s="2" customFormat="1" x14ac:dyDescent="0.25">
      <c r="B429" s="3"/>
      <c r="J429" s="48"/>
      <c r="K429" s="49"/>
      <c r="L429" s="49"/>
      <c r="M429" s="49"/>
      <c r="N429" s="49"/>
      <c r="O429" s="49"/>
      <c r="P429" s="49"/>
      <c r="Q429" s="49"/>
      <c r="R429" s="49"/>
      <c r="S429" s="49"/>
      <c r="T429" s="49"/>
      <c r="U429" s="49"/>
      <c r="V429" s="49"/>
      <c r="W429" s="49"/>
    </row>
    <row r="430" spans="1:30" s="28" customFormat="1" ht="17.25" x14ac:dyDescent="0.3">
      <c r="A430" s="28" t="s">
        <v>264</v>
      </c>
    </row>
    <row r="431" spans="1:30" x14ac:dyDescent="0.25">
      <c r="B431" s="29" t="s">
        <v>3</v>
      </c>
      <c r="C431" t="s">
        <v>265</v>
      </c>
    </row>
    <row r="432" spans="1:30" x14ac:dyDescent="0.25">
      <c r="B432" s="29"/>
      <c r="C432" t="s">
        <v>266</v>
      </c>
    </row>
    <row r="433" spans="2:27" x14ac:dyDescent="0.25">
      <c r="B433" s="29" t="s">
        <v>10</v>
      </c>
      <c r="C433" s="263" t="s">
        <v>267</v>
      </c>
    </row>
    <row r="434" spans="2:27" x14ac:dyDescent="0.25">
      <c r="B434" s="29" t="s">
        <v>14</v>
      </c>
      <c r="C434" t="s">
        <v>268</v>
      </c>
    </row>
    <row r="435" spans="2:27" x14ac:dyDescent="0.25">
      <c r="B435" s="29"/>
      <c r="C435" t="s">
        <v>269</v>
      </c>
    </row>
    <row r="436" spans="2:27" x14ac:dyDescent="0.25">
      <c r="B436" s="29" t="s">
        <v>17</v>
      </c>
      <c r="C436" t="s">
        <v>270</v>
      </c>
    </row>
    <row r="437" spans="2:27" s="25" customFormat="1" ht="15.75" thickBot="1" x14ac:dyDescent="0.3">
      <c r="B437" s="30" t="s">
        <v>19</v>
      </c>
      <c r="C437" s="25" t="s">
        <v>271</v>
      </c>
    </row>
    <row r="438" spans="2:27" ht="15.75" thickTop="1" x14ac:dyDescent="0.25">
      <c r="B438" s="29" t="s">
        <v>21</v>
      </c>
      <c r="C438" s="8" t="s">
        <v>272</v>
      </c>
    </row>
    <row r="439" spans="2:27" x14ac:dyDescent="0.25">
      <c r="B439" s="29"/>
      <c r="C439" t="s">
        <v>273</v>
      </c>
      <c r="H439" t="s">
        <v>274</v>
      </c>
      <c r="I439" s="39">
        <v>13792</v>
      </c>
      <c r="J439" s="39">
        <v>14274</v>
      </c>
      <c r="K439" s="39">
        <v>14578</v>
      </c>
      <c r="L439" s="39">
        <v>15099</v>
      </c>
      <c r="M439" s="39">
        <v>15516</v>
      </c>
      <c r="N439" s="39">
        <v>15756</v>
      </c>
      <c r="O439" s="39">
        <v>16666</v>
      </c>
      <c r="P439" s="39">
        <v>15238</v>
      </c>
      <c r="Q439" s="39">
        <v>14899</v>
      </c>
      <c r="R439" s="39">
        <v>14985</v>
      </c>
      <c r="S439" s="39">
        <v>15371</v>
      </c>
      <c r="T439" s="39">
        <v>15927</v>
      </c>
      <c r="U439" s="39">
        <v>17008</v>
      </c>
      <c r="V439" s="39">
        <v>17344</v>
      </c>
      <c r="W439" s="39">
        <v>17505</v>
      </c>
      <c r="X439" s="39">
        <v>18350</v>
      </c>
      <c r="Y439" s="39">
        <v>18612</v>
      </c>
      <c r="Z439" s="39">
        <v>20086</v>
      </c>
      <c r="AA439" s="39">
        <v>17375</v>
      </c>
    </row>
    <row r="440" spans="2:27" x14ac:dyDescent="0.25">
      <c r="B440" s="29"/>
      <c r="G440" t="s">
        <v>275</v>
      </c>
      <c r="H440" t="s">
        <v>274</v>
      </c>
      <c r="I440" s="39">
        <v>43</v>
      </c>
      <c r="J440" s="39">
        <v>73</v>
      </c>
      <c r="K440" s="39">
        <v>58</v>
      </c>
      <c r="L440" s="39">
        <v>63</v>
      </c>
      <c r="M440" s="39">
        <v>72</v>
      </c>
      <c r="N440" s="39">
        <v>67</v>
      </c>
      <c r="O440" s="39">
        <v>60</v>
      </c>
      <c r="P440" s="39">
        <v>55</v>
      </c>
      <c r="Q440" s="39">
        <v>75</v>
      </c>
      <c r="R440" s="39">
        <v>74</v>
      </c>
      <c r="S440" s="39">
        <v>72</v>
      </c>
      <c r="T440" s="39">
        <v>83</v>
      </c>
      <c r="U440" s="39">
        <v>75</v>
      </c>
      <c r="V440" s="39">
        <v>66</v>
      </c>
      <c r="W440" s="39">
        <v>67</v>
      </c>
      <c r="X440" s="39">
        <v>93</v>
      </c>
      <c r="Y440">
        <v>88</v>
      </c>
      <c r="Z440">
        <v>84</v>
      </c>
      <c r="AA440" s="39">
        <v>97</v>
      </c>
    </row>
    <row r="441" spans="2:27" x14ac:dyDescent="0.25">
      <c r="B441" s="29"/>
      <c r="G441" t="s">
        <v>276</v>
      </c>
      <c r="H441" t="s">
        <v>274</v>
      </c>
      <c r="I441" s="39">
        <v>17</v>
      </c>
      <c r="J441" s="39">
        <v>4</v>
      </c>
      <c r="K441" s="39">
        <v>3</v>
      </c>
      <c r="L441" s="39">
        <v>5</v>
      </c>
      <c r="M441" s="39">
        <v>21</v>
      </c>
      <c r="N441" s="39">
        <v>37</v>
      </c>
      <c r="O441" s="39">
        <v>19</v>
      </c>
      <c r="P441" s="39">
        <v>9</v>
      </c>
      <c r="Q441" s="39">
        <v>13</v>
      </c>
      <c r="R441" s="39">
        <v>15</v>
      </c>
      <c r="S441" s="39">
        <v>5</v>
      </c>
      <c r="T441" s="39">
        <v>10</v>
      </c>
      <c r="U441" s="39">
        <v>6</v>
      </c>
      <c r="V441" s="39">
        <v>4</v>
      </c>
      <c r="W441" s="39">
        <v>7</v>
      </c>
      <c r="X441" s="39">
        <v>7</v>
      </c>
      <c r="Y441">
        <v>12</v>
      </c>
      <c r="Z441">
        <v>12</v>
      </c>
      <c r="AA441" s="39">
        <v>3</v>
      </c>
    </row>
    <row r="442" spans="2:27" x14ac:dyDescent="0.25">
      <c r="B442" s="29"/>
      <c r="G442" t="s">
        <v>126</v>
      </c>
      <c r="H442" t="s">
        <v>274</v>
      </c>
      <c r="I442" s="39">
        <v>36</v>
      </c>
      <c r="J442" s="39">
        <v>36</v>
      </c>
      <c r="K442" s="39">
        <v>34</v>
      </c>
      <c r="L442" s="39">
        <v>36</v>
      </c>
      <c r="M442" s="39">
        <v>34</v>
      </c>
      <c r="N442" s="39">
        <v>37</v>
      </c>
      <c r="O442" s="39">
        <v>35</v>
      </c>
      <c r="P442" s="39">
        <v>41</v>
      </c>
      <c r="Q442" s="39">
        <v>42</v>
      </c>
      <c r="R442" s="39">
        <v>36</v>
      </c>
      <c r="S442" s="39">
        <v>33</v>
      </c>
      <c r="T442" s="39">
        <v>36</v>
      </c>
      <c r="U442" s="39">
        <v>32</v>
      </c>
      <c r="V442" s="39">
        <v>41</v>
      </c>
      <c r="W442" s="39">
        <v>31</v>
      </c>
      <c r="X442" s="39">
        <v>37</v>
      </c>
      <c r="Y442">
        <v>40</v>
      </c>
      <c r="Z442">
        <v>45</v>
      </c>
      <c r="AA442" s="39">
        <v>41</v>
      </c>
    </row>
    <row r="443" spans="2:27" x14ac:dyDescent="0.25">
      <c r="B443" s="29"/>
      <c r="G443" t="s">
        <v>127</v>
      </c>
      <c r="H443" t="s">
        <v>274</v>
      </c>
      <c r="I443" s="39">
        <v>2191</v>
      </c>
      <c r="J443" s="39">
        <v>2034</v>
      </c>
      <c r="K443" s="39">
        <v>1666</v>
      </c>
      <c r="L443" s="39">
        <v>1907</v>
      </c>
      <c r="M443" s="39">
        <v>2111</v>
      </c>
      <c r="N443" s="39">
        <v>2240</v>
      </c>
      <c r="O443" s="39">
        <v>2246</v>
      </c>
      <c r="P443" s="39">
        <v>1991</v>
      </c>
      <c r="Q443" s="39">
        <v>1514</v>
      </c>
      <c r="R443" s="39">
        <v>1297</v>
      </c>
      <c r="S443" s="39">
        <v>1511</v>
      </c>
      <c r="T443" s="39">
        <v>1583</v>
      </c>
      <c r="U443" s="39">
        <v>1638</v>
      </c>
      <c r="V443" s="39">
        <v>1938</v>
      </c>
      <c r="W443" s="39">
        <v>2044</v>
      </c>
      <c r="X443" s="39">
        <v>2106</v>
      </c>
      <c r="Y443" s="39">
        <v>2045</v>
      </c>
      <c r="Z443" s="39">
        <v>2039</v>
      </c>
      <c r="AA443" s="39">
        <v>2183</v>
      </c>
    </row>
    <row r="444" spans="2:27" x14ac:dyDescent="0.25">
      <c r="B444" s="29"/>
      <c r="G444" t="s">
        <v>128</v>
      </c>
      <c r="H444" t="s">
        <v>274</v>
      </c>
      <c r="I444" s="39">
        <v>173</v>
      </c>
      <c r="J444" s="39">
        <v>162</v>
      </c>
      <c r="K444" s="39">
        <v>192</v>
      </c>
      <c r="L444" s="39">
        <v>138</v>
      </c>
      <c r="M444" s="39">
        <v>149</v>
      </c>
      <c r="N444" s="39">
        <v>108</v>
      </c>
      <c r="O444" s="39">
        <v>126</v>
      </c>
      <c r="P444" s="39">
        <v>108</v>
      </c>
      <c r="Q444" s="39">
        <v>103</v>
      </c>
      <c r="R444" s="39">
        <v>141</v>
      </c>
      <c r="S444" s="39">
        <v>123</v>
      </c>
      <c r="T444" s="39">
        <v>113</v>
      </c>
      <c r="U444" s="39">
        <v>120</v>
      </c>
      <c r="V444" s="39">
        <v>126</v>
      </c>
      <c r="W444" s="39">
        <v>145</v>
      </c>
      <c r="X444" s="39">
        <v>174</v>
      </c>
      <c r="Y444">
        <v>190</v>
      </c>
      <c r="Z444">
        <v>222</v>
      </c>
      <c r="AA444" s="39">
        <v>189</v>
      </c>
    </row>
    <row r="445" spans="2:27" x14ac:dyDescent="0.25">
      <c r="B445" s="29"/>
      <c r="G445" t="s">
        <v>277</v>
      </c>
      <c r="H445" t="s">
        <v>274</v>
      </c>
      <c r="I445" s="39">
        <v>120</v>
      </c>
      <c r="J445" s="39">
        <v>138</v>
      </c>
      <c r="K445" s="39">
        <v>116</v>
      </c>
      <c r="L445" s="39">
        <v>122</v>
      </c>
      <c r="M445" s="39">
        <v>143</v>
      </c>
      <c r="N445" s="39">
        <v>183</v>
      </c>
      <c r="O445" s="39">
        <v>178</v>
      </c>
      <c r="P445" s="39">
        <v>172</v>
      </c>
      <c r="Q445" s="39">
        <v>160</v>
      </c>
      <c r="R445" s="39">
        <v>166</v>
      </c>
      <c r="S445" s="39">
        <v>155</v>
      </c>
      <c r="T445" s="39">
        <v>183</v>
      </c>
      <c r="U445" s="39">
        <v>170</v>
      </c>
      <c r="V445" s="39">
        <v>166</v>
      </c>
      <c r="W445" s="39">
        <v>198</v>
      </c>
      <c r="X445" s="39">
        <v>176</v>
      </c>
      <c r="Y445">
        <v>189</v>
      </c>
      <c r="Z445">
        <v>174</v>
      </c>
      <c r="AA445" s="39">
        <v>148</v>
      </c>
    </row>
    <row r="446" spans="2:27" x14ac:dyDescent="0.25">
      <c r="B446" s="29"/>
      <c r="G446" t="s">
        <v>278</v>
      </c>
      <c r="H446" t="s">
        <v>274</v>
      </c>
      <c r="I446" s="39">
        <v>1617</v>
      </c>
      <c r="J446" s="39">
        <v>1714</v>
      </c>
      <c r="K446" s="39">
        <v>1667</v>
      </c>
      <c r="L446" s="39">
        <v>1656</v>
      </c>
      <c r="M446" s="39">
        <v>1648</v>
      </c>
      <c r="N446" s="39">
        <v>1800</v>
      </c>
      <c r="O446" s="39">
        <v>2043</v>
      </c>
      <c r="P446" s="39">
        <v>1704</v>
      </c>
      <c r="Q446" s="39">
        <v>1620</v>
      </c>
      <c r="R446" s="39">
        <v>1584</v>
      </c>
      <c r="S446" s="39">
        <v>1613</v>
      </c>
      <c r="T446" s="39">
        <v>1581</v>
      </c>
      <c r="U446" s="39">
        <v>1706</v>
      </c>
      <c r="V446" s="39">
        <v>1817</v>
      </c>
      <c r="W446" s="39">
        <v>1732</v>
      </c>
      <c r="X446" s="39">
        <v>1730</v>
      </c>
      <c r="Y446" s="39">
        <v>1861</v>
      </c>
      <c r="Z446" s="39">
        <v>1901</v>
      </c>
      <c r="AA446" s="39">
        <v>1634</v>
      </c>
    </row>
    <row r="447" spans="2:27" x14ac:dyDescent="0.25">
      <c r="B447" s="29"/>
      <c r="G447" t="s">
        <v>279</v>
      </c>
      <c r="H447" t="s">
        <v>274</v>
      </c>
      <c r="I447" s="39">
        <v>330</v>
      </c>
      <c r="J447" s="39">
        <v>398</v>
      </c>
      <c r="K447" s="39">
        <v>389</v>
      </c>
      <c r="L447" s="39">
        <v>397</v>
      </c>
      <c r="M447" s="39">
        <v>382</v>
      </c>
      <c r="N447" s="39">
        <v>366</v>
      </c>
      <c r="O447" s="39">
        <v>354</v>
      </c>
      <c r="P447" s="39">
        <v>366</v>
      </c>
      <c r="Q447" s="39">
        <v>308</v>
      </c>
      <c r="R447" s="39">
        <v>343</v>
      </c>
      <c r="S447" s="39">
        <v>397</v>
      </c>
      <c r="T447" s="39">
        <v>404</v>
      </c>
      <c r="U447" s="39">
        <v>403</v>
      </c>
      <c r="V447" s="39">
        <v>466</v>
      </c>
      <c r="W447" s="39">
        <v>444</v>
      </c>
      <c r="X447" s="39">
        <v>520</v>
      </c>
      <c r="Y447">
        <v>551</v>
      </c>
      <c r="Z447">
        <v>531</v>
      </c>
      <c r="AA447" s="39">
        <v>546</v>
      </c>
    </row>
    <row r="448" spans="2:27" x14ac:dyDescent="0.25">
      <c r="B448" s="29"/>
      <c r="G448" t="s">
        <v>132</v>
      </c>
      <c r="H448" t="s">
        <v>274</v>
      </c>
      <c r="I448" s="39">
        <v>339</v>
      </c>
      <c r="J448" s="39">
        <v>321</v>
      </c>
      <c r="K448" s="39">
        <v>308</v>
      </c>
      <c r="L448" s="39">
        <v>317</v>
      </c>
      <c r="M448" s="39">
        <v>310</v>
      </c>
      <c r="N448" s="39">
        <v>314</v>
      </c>
      <c r="O448" s="39">
        <v>308</v>
      </c>
      <c r="P448" s="39">
        <v>289</v>
      </c>
      <c r="Q448" s="39">
        <v>259</v>
      </c>
      <c r="R448" s="39">
        <v>302</v>
      </c>
      <c r="S448" s="39">
        <v>293</v>
      </c>
      <c r="T448" s="39">
        <v>271</v>
      </c>
      <c r="U448" s="39">
        <v>292</v>
      </c>
      <c r="V448" s="39">
        <v>254</v>
      </c>
      <c r="W448" s="39">
        <v>262</v>
      </c>
      <c r="X448" s="39">
        <v>262</v>
      </c>
      <c r="Y448">
        <v>254</v>
      </c>
      <c r="Z448">
        <v>271</v>
      </c>
      <c r="AA448" s="39">
        <v>221</v>
      </c>
    </row>
    <row r="449" spans="2:28" x14ac:dyDescent="0.25">
      <c r="B449" s="29"/>
      <c r="G449" t="s">
        <v>280</v>
      </c>
      <c r="H449" t="s">
        <v>274</v>
      </c>
      <c r="I449" s="39">
        <v>408</v>
      </c>
      <c r="J449" s="39">
        <v>433</v>
      </c>
      <c r="K449" s="39">
        <v>453</v>
      </c>
      <c r="L449" s="39">
        <v>445</v>
      </c>
      <c r="M449" s="39">
        <v>475</v>
      </c>
      <c r="N449" s="39">
        <v>510</v>
      </c>
      <c r="O449" s="39">
        <v>555</v>
      </c>
      <c r="P449" s="39">
        <v>450</v>
      </c>
      <c r="Q449" s="39">
        <v>382</v>
      </c>
      <c r="R449" s="39">
        <v>418</v>
      </c>
      <c r="S449" s="39">
        <v>381</v>
      </c>
      <c r="T449" s="39">
        <v>408</v>
      </c>
      <c r="U449" s="39">
        <v>427</v>
      </c>
      <c r="V449" s="39">
        <v>471</v>
      </c>
      <c r="W449" s="39">
        <v>446</v>
      </c>
      <c r="X449" s="39">
        <v>470</v>
      </c>
      <c r="Y449">
        <v>522</v>
      </c>
      <c r="Z449">
        <v>493</v>
      </c>
      <c r="AA449" s="39">
        <v>499</v>
      </c>
    </row>
    <row r="450" spans="2:28" x14ac:dyDescent="0.25">
      <c r="B450" s="29"/>
      <c r="G450" t="s">
        <v>281</v>
      </c>
      <c r="H450" t="s">
        <v>274</v>
      </c>
      <c r="I450" s="39">
        <v>322</v>
      </c>
      <c r="J450" s="39">
        <v>340</v>
      </c>
      <c r="K450" s="39">
        <v>334</v>
      </c>
      <c r="L450" s="39">
        <v>353</v>
      </c>
      <c r="M450" s="39">
        <v>377</v>
      </c>
      <c r="N450" s="39">
        <v>366</v>
      </c>
      <c r="O450" s="39">
        <v>393</v>
      </c>
      <c r="P450" s="39">
        <v>302</v>
      </c>
      <c r="Q450" s="39">
        <v>342</v>
      </c>
      <c r="R450" s="39">
        <v>283</v>
      </c>
      <c r="S450" s="39">
        <v>292</v>
      </c>
      <c r="T450" s="39">
        <v>372</v>
      </c>
      <c r="U450" s="39">
        <v>419</v>
      </c>
      <c r="V450" s="39">
        <v>415</v>
      </c>
      <c r="W450" s="39">
        <v>470</v>
      </c>
      <c r="X450" s="39">
        <v>444</v>
      </c>
      <c r="Y450">
        <v>543</v>
      </c>
      <c r="Z450">
        <v>561</v>
      </c>
      <c r="AA450" s="39">
        <v>629</v>
      </c>
    </row>
    <row r="451" spans="2:28" x14ac:dyDescent="0.25">
      <c r="B451" s="29"/>
      <c r="G451" t="s">
        <v>282</v>
      </c>
      <c r="H451" t="s">
        <v>274</v>
      </c>
      <c r="I451" s="39">
        <v>765</v>
      </c>
      <c r="J451" s="39">
        <v>712</v>
      </c>
      <c r="K451" s="39">
        <v>741</v>
      </c>
      <c r="L451" s="39">
        <v>774</v>
      </c>
      <c r="M451" s="39">
        <v>774</v>
      </c>
      <c r="N451" s="39">
        <v>881</v>
      </c>
      <c r="O451" s="39">
        <v>902</v>
      </c>
      <c r="P451" s="39">
        <v>795</v>
      </c>
      <c r="Q451" s="39">
        <v>855</v>
      </c>
      <c r="R451" s="39">
        <v>779</v>
      </c>
      <c r="S451" s="39">
        <v>835</v>
      </c>
      <c r="T451" s="39">
        <v>871</v>
      </c>
      <c r="U451" s="39">
        <v>949</v>
      </c>
      <c r="V451" s="39">
        <v>919</v>
      </c>
      <c r="W451" s="39">
        <v>904</v>
      </c>
      <c r="X451" s="39">
        <v>954</v>
      </c>
      <c r="Y451">
        <v>996</v>
      </c>
      <c r="Z451" s="39">
        <v>1014</v>
      </c>
      <c r="AA451" s="39">
        <v>1038</v>
      </c>
    </row>
    <row r="452" spans="2:28" x14ac:dyDescent="0.25">
      <c r="B452" s="29"/>
      <c r="G452" t="s">
        <v>283</v>
      </c>
      <c r="H452" t="s">
        <v>274</v>
      </c>
      <c r="I452" s="39">
        <v>62</v>
      </c>
      <c r="J452" s="39">
        <v>43</v>
      </c>
      <c r="K452" s="39">
        <v>65</v>
      </c>
      <c r="L452" s="39">
        <v>77</v>
      </c>
      <c r="M452" s="39">
        <v>85</v>
      </c>
      <c r="N452" s="39">
        <v>84</v>
      </c>
      <c r="O452" s="39">
        <v>37</v>
      </c>
      <c r="P452" s="39">
        <v>66</v>
      </c>
      <c r="Q452" s="39">
        <v>44</v>
      </c>
      <c r="R452" s="39">
        <v>55</v>
      </c>
      <c r="S452" s="39">
        <v>50</v>
      </c>
      <c r="T452" s="39">
        <v>61</v>
      </c>
      <c r="U452" s="39">
        <v>38</v>
      </c>
      <c r="V452" s="39">
        <v>41</v>
      </c>
      <c r="W452" s="39">
        <v>27</v>
      </c>
      <c r="X452" s="39">
        <v>35</v>
      </c>
      <c r="Y452">
        <v>33</v>
      </c>
      <c r="Z452">
        <v>31</v>
      </c>
      <c r="AA452" s="39">
        <v>39</v>
      </c>
    </row>
    <row r="453" spans="2:28" x14ac:dyDescent="0.25">
      <c r="B453" s="29"/>
      <c r="G453" t="s">
        <v>284</v>
      </c>
      <c r="H453" t="s">
        <v>274</v>
      </c>
      <c r="I453" s="39">
        <v>448</v>
      </c>
      <c r="J453" s="39">
        <v>451</v>
      </c>
      <c r="K453" s="39">
        <v>503</v>
      </c>
      <c r="L453" s="39">
        <v>498</v>
      </c>
      <c r="M453" s="39">
        <v>556</v>
      </c>
      <c r="N453" s="39">
        <v>614</v>
      </c>
      <c r="O453" s="39">
        <v>566</v>
      </c>
      <c r="P453" s="39">
        <v>577</v>
      </c>
      <c r="Q453" s="39">
        <v>542</v>
      </c>
      <c r="R453" s="39">
        <v>552</v>
      </c>
      <c r="S453" s="39">
        <v>577</v>
      </c>
      <c r="T453" s="39">
        <v>650</v>
      </c>
      <c r="U453" s="39">
        <v>680</v>
      </c>
      <c r="V453" s="39">
        <v>684</v>
      </c>
      <c r="W453" s="39">
        <v>865</v>
      </c>
      <c r="X453" s="39">
        <v>821</v>
      </c>
      <c r="Y453">
        <v>746</v>
      </c>
      <c r="Z453">
        <v>796</v>
      </c>
      <c r="AA453" s="39">
        <v>781</v>
      </c>
    </row>
    <row r="454" spans="2:28" x14ac:dyDescent="0.25">
      <c r="B454" s="29"/>
      <c r="G454" t="s">
        <v>285</v>
      </c>
      <c r="H454" t="s">
        <v>274</v>
      </c>
      <c r="I454" s="39">
        <v>551</v>
      </c>
      <c r="J454" s="39">
        <v>633</v>
      </c>
      <c r="K454" s="39">
        <v>732</v>
      </c>
      <c r="L454" s="39">
        <v>740</v>
      </c>
      <c r="M454" s="39">
        <v>760</v>
      </c>
      <c r="N454" s="39">
        <v>798</v>
      </c>
      <c r="O454" s="39">
        <v>796</v>
      </c>
      <c r="P454" s="39">
        <v>793</v>
      </c>
      <c r="Q454" s="39">
        <v>781</v>
      </c>
      <c r="R454" s="39">
        <v>802</v>
      </c>
      <c r="S454" s="39">
        <v>863</v>
      </c>
      <c r="T454" s="39">
        <v>943</v>
      </c>
      <c r="U454" s="39">
        <v>1014</v>
      </c>
      <c r="V454" s="39">
        <v>927</v>
      </c>
      <c r="W454" s="39">
        <v>962</v>
      </c>
      <c r="X454" s="39">
        <v>1006</v>
      </c>
      <c r="Y454">
        <v>981</v>
      </c>
      <c r="Z454" s="39">
        <v>1056</v>
      </c>
      <c r="AA454" s="39">
        <v>958</v>
      </c>
    </row>
    <row r="455" spans="2:28" x14ac:dyDescent="0.25">
      <c r="B455" s="29"/>
      <c r="G455" t="s">
        <v>286</v>
      </c>
      <c r="H455" t="s">
        <v>274</v>
      </c>
      <c r="I455" s="39">
        <v>920</v>
      </c>
      <c r="J455" s="39">
        <v>999</v>
      </c>
      <c r="K455" s="39">
        <v>994</v>
      </c>
      <c r="L455" s="39">
        <v>1029</v>
      </c>
      <c r="M455" s="39">
        <v>1034</v>
      </c>
      <c r="N455" s="39">
        <v>1031</v>
      </c>
      <c r="O455" s="39">
        <v>1003</v>
      </c>
      <c r="P455" s="39">
        <v>1109</v>
      </c>
      <c r="Q455" s="39">
        <v>1182</v>
      </c>
      <c r="R455" s="39">
        <v>1136</v>
      </c>
      <c r="S455" s="39">
        <v>1214</v>
      </c>
      <c r="T455" s="39">
        <v>1234</v>
      </c>
      <c r="U455" s="39">
        <v>1328</v>
      </c>
      <c r="V455" s="39">
        <v>1348</v>
      </c>
      <c r="W455" s="39">
        <v>1414</v>
      </c>
      <c r="X455" s="39">
        <v>1460</v>
      </c>
      <c r="Y455" s="39">
        <v>1513</v>
      </c>
      <c r="Z455" s="39">
        <v>1547</v>
      </c>
      <c r="AA455" s="39">
        <v>1501</v>
      </c>
    </row>
    <row r="456" spans="2:28" x14ac:dyDescent="0.25">
      <c r="B456" s="29"/>
      <c r="G456" t="s">
        <v>287</v>
      </c>
      <c r="H456" t="s">
        <v>274</v>
      </c>
      <c r="I456" s="39">
        <v>224</v>
      </c>
      <c r="J456" s="39">
        <v>224</v>
      </c>
      <c r="K456" s="39">
        <v>258</v>
      </c>
      <c r="L456" s="39">
        <v>301</v>
      </c>
      <c r="M456" s="39">
        <v>334</v>
      </c>
      <c r="N456" s="39">
        <v>366</v>
      </c>
      <c r="O456" s="39">
        <v>429</v>
      </c>
      <c r="P456" s="39">
        <v>323</v>
      </c>
      <c r="Q456" s="39">
        <v>510</v>
      </c>
      <c r="R456" s="39">
        <v>783</v>
      </c>
      <c r="S456" s="39">
        <v>714</v>
      </c>
      <c r="T456" s="39">
        <v>722</v>
      </c>
      <c r="U456" s="39">
        <v>713</v>
      </c>
      <c r="V456" s="39">
        <v>684</v>
      </c>
      <c r="W456" s="39">
        <v>691</v>
      </c>
      <c r="X456" s="39">
        <v>1013</v>
      </c>
      <c r="Y456" s="39">
        <v>1023</v>
      </c>
      <c r="Z456">
        <v>950</v>
      </c>
      <c r="AA456" s="39">
        <v>724</v>
      </c>
    </row>
    <row r="457" spans="2:28" x14ac:dyDescent="0.25">
      <c r="B457" s="29"/>
      <c r="G457" t="s">
        <v>288</v>
      </c>
      <c r="H457" t="s">
        <v>274</v>
      </c>
      <c r="I457" s="39">
        <v>4220</v>
      </c>
      <c r="J457" s="39">
        <v>4504</v>
      </c>
      <c r="K457" s="39">
        <v>4974</v>
      </c>
      <c r="L457" s="39">
        <v>5069</v>
      </c>
      <c r="M457" s="39">
        <v>5129</v>
      </c>
      <c r="N457" s="39">
        <v>4770</v>
      </c>
      <c r="O457" s="39">
        <v>5466</v>
      </c>
      <c r="P457" s="39">
        <v>4936</v>
      </c>
      <c r="Q457" s="39">
        <v>4972</v>
      </c>
      <c r="R457" s="39">
        <v>4921</v>
      </c>
      <c r="S457" s="39">
        <v>4971</v>
      </c>
      <c r="T457" s="39">
        <v>5125</v>
      </c>
      <c r="U457" s="39">
        <v>5654</v>
      </c>
      <c r="V457" s="39">
        <v>5657</v>
      </c>
      <c r="W457" s="39">
        <v>5530</v>
      </c>
      <c r="X457" s="39">
        <v>5684</v>
      </c>
      <c r="Y457" s="39">
        <v>5659</v>
      </c>
      <c r="Z457" s="39">
        <v>6886</v>
      </c>
      <c r="AA457" s="39">
        <v>4877</v>
      </c>
    </row>
    <row r="458" spans="2:28" x14ac:dyDescent="0.25">
      <c r="B458" s="29"/>
      <c r="G458" t="s">
        <v>289</v>
      </c>
      <c r="H458" t="s">
        <v>274</v>
      </c>
      <c r="I458" s="39">
        <v>461</v>
      </c>
      <c r="J458" s="39">
        <v>472</v>
      </c>
      <c r="K458" s="39">
        <v>501</v>
      </c>
      <c r="L458" s="39">
        <v>511</v>
      </c>
      <c r="M458" s="39">
        <v>512</v>
      </c>
      <c r="N458" s="39">
        <v>529</v>
      </c>
      <c r="O458" s="39">
        <v>502</v>
      </c>
      <c r="P458" s="39">
        <v>493</v>
      </c>
      <c r="Q458" s="39">
        <v>496</v>
      </c>
      <c r="R458" s="39">
        <v>558</v>
      </c>
      <c r="S458" s="39">
        <v>536</v>
      </c>
      <c r="T458" s="39">
        <v>518</v>
      </c>
      <c r="U458" s="39">
        <v>579</v>
      </c>
      <c r="V458" s="39">
        <v>554</v>
      </c>
      <c r="W458" s="39">
        <v>519</v>
      </c>
      <c r="X458" s="39">
        <v>575</v>
      </c>
      <c r="Y458">
        <v>605</v>
      </c>
      <c r="Z458">
        <v>658</v>
      </c>
      <c r="AA458" s="39">
        <v>567</v>
      </c>
    </row>
    <row r="459" spans="2:28" x14ac:dyDescent="0.25">
      <c r="B459" s="29"/>
      <c r="G459" t="s">
        <v>290</v>
      </c>
      <c r="H459" t="s">
        <v>274</v>
      </c>
      <c r="I459" s="39">
        <v>545</v>
      </c>
      <c r="J459" s="39">
        <v>583</v>
      </c>
      <c r="K459" s="39">
        <v>590</v>
      </c>
      <c r="L459" s="39">
        <v>661</v>
      </c>
      <c r="M459" s="39">
        <v>610</v>
      </c>
      <c r="N459" s="39">
        <v>655</v>
      </c>
      <c r="O459" s="39">
        <v>648</v>
      </c>
      <c r="P459" s="39">
        <v>659</v>
      </c>
      <c r="Q459" s="39">
        <v>699</v>
      </c>
      <c r="R459" s="39">
        <v>740</v>
      </c>
      <c r="S459" s="39">
        <v>736</v>
      </c>
      <c r="T459" s="39">
        <v>759</v>
      </c>
      <c r="U459" s="39">
        <v>765</v>
      </c>
      <c r="V459" s="39">
        <v>766</v>
      </c>
      <c r="W459" s="39">
        <v>747</v>
      </c>
      <c r="X459" s="39">
        <v>783</v>
      </c>
      <c r="Y459">
        <v>761</v>
      </c>
      <c r="Z459">
        <v>815</v>
      </c>
      <c r="AA459" s="39">
        <v>700</v>
      </c>
    </row>
    <row r="460" spans="2:28" x14ac:dyDescent="0.25">
      <c r="B460" s="29"/>
      <c r="D460" t="s">
        <v>291</v>
      </c>
      <c r="H460" t="s">
        <v>274</v>
      </c>
      <c r="I460" s="39">
        <v>270</v>
      </c>
      <c r="J460" s="39">
        <v>306</v>
      </c>
      <c r="K460" s="39">
        <v>318</v>
      </c>
      <c r="L460" s="39">
        <v>325</v>
      </c>
      <c r="M460" s="39">
        <v>390</v>
      </c>
      <c r="N460" s="39">
        <v>86</v>
      </c>
      <c r="O460" s="39">
        <v>346</v>
      </c>
      <c r="P460" s="39">
        <v>346</v>
      </c>
      <c r="Q460" s="39">
        <v>615</v>
      </c>
      <c r="R460" s="39">
        <v>688</v>
      </c>
      <c r="S460" s="39">
        <v>360</v>
      </c>
      <c r="T460" s="39">
        <v>309</v>
      </c>
      <c r="U460" s="39">
        <v>340</v>
      </c>
      <c r="V460" s="39">
        <v>368</v>
      </c>
      <c r="W460" s="39">
        <v>312</v>
      </c>
      <c r="X460" s="39">
        <v>308</v>
      </c>
      <c r="Y460" s="39">
        <v>1573</v>
      </c>
      <c r="Z460" s="39">
        <v>408</v>
      </c>
      <c r="AA460" s="39">
        <v>166</v>
      </c>
      <c r="AB460" s="39"/>
    </row>
    <row r="461" spans="2:28" x14ac:dyDescent="0.25">
      <c r="B461" s="29"/>
      <c r="G461" t="s">
        <v>275</v>
      </c>
      <c r="H461" t="s">
        <v>274</v>
      </c>
      <c r="I461" s="39">
        <v>0</v>
      </c>
      <c r="J461" s="39">
        <v>0</v>
      </c>
      <c r="K461" s="39">
        <v>0</v>
      </c>
      <c r="L461" s="39">
        <v>0</v>
      </c>
      <c r="M461" s="39">
        <v>0</v>
      </c>
      <c r="N461" s="39">
        <v>0</v>
      </c>
      <c r="O461" s="39">
        <v>0</v>
      </c>
      <c r="P461" s="39">
        <v>0</v>
      </c>
      <c r="Q461" s="39">
        <v>0</v>
      </c>
      <c r="R461" s="39">
        <v>2</v>
      </c>
      <c r="S461" s="39">
        <v>0</v>
      </c>
      <c r="T461" s="39">
        <v>0</v>
      </c>
      <c r="U461" s="39">
        <v>0</v>
      </c>
      <c r="V461" s="39">
        <v>0</v>
      </c>
      <c r="W461" s="39">
        <v>0</v>
      </c>
      <c r="X461" s="39">
        <v>0</v>
      </c>
      <c r="Y461">
        <v>0</v>
      </c>
      <c r="Z461">
        <v>0</v>
      </c>
      <c r="AA461" s="39">
        <v>0</v>
      </c>
    </row>
    <row r="462" spans="2:28" x14ac:dyDescent="0.25">
      <c r="B462" s="29"/>
      <c r="G462" t="s">
        <v>276</v>
      </c>
      <c r="H462" t="s">
        <v>274</v>
      </c>
      <c r="I462" s="39">
        <v>0</v>
      </c>
      <c r="J462" s="39">
        <v>0</v>
      </c>
      <c r="K462" s="39">
        <v>0</v>
      </c>
      <c r="L462" s="39">
        <v>0</v>
      </c>
      <c r="M462" s="39">
        <v>0</v>
      </c>
      <c r="N462" s="39">
        <v>5</v>
      </c>
      <c r="O462" s="39">
        <v>0</v>
      </c>
      <c r="P462" s="39">
        <v>0</v>
      </c>
      <c r="Q462" s="39">
        <v>0</v>
      </c>
      <c r="R462" s="39">
        <v>0</v>
      </c>
      <c r="S462" s="39">
        <v>0</v>
      </c>
      <c r="T462" s="39">
        <v>0</v>
      </c>
      <c r="U462" s="39">
        <v>0</v>
      </c>
      <c r="V462" s="39">
        <v>0</v>
      </c>
      <c r="W462" s="39">
        <v>0</v>
      </c>
      <c r="X462" s="39">
        <v>0</v>
      </c>
      <c r="Y462">
        <v>0</v>
      </c>
      <c r="Z462">
        <v>3</v>
      </c>
      <c r="AA462" s="39">
        <v>0</v>
      </c>
    </row>
    <row r="463" spans="2:28" x14ac:dyDescent="0.25">
      <c r="B463" s="29"/>
      <c r="G463" t="s">
        <v>126</v>
      </c>
      <c r="H463" t="s">
        <v>274</v>
      </c>
      <c r="I463" s="39">
        <v>0</v>
      </c>
      <c r="J463" s="39">
        <v>0</v>
      </c>
      <c r="K463" s="39">
        <v>0</v>
      </c>
      <c r="L463" s="39">
        <v>0</v>
      </c>
      <c r="M463" s="39">
        <v>0</v>
      </c>
      <c r="N463" s="39">
        <v>0</v>
      </c>
      <c r="O463" s="39">
        <v>0</v>
      </c>
      <c r="P463" s="39">
        <v>0</v>
      </c>
      <c r="Q463" s="39">
        <v>0</v>
      </c>
      <c r="R463" s="39">
        <v>0</v>
      </c>
      <c r="S463" s="39">
        <v>0</v>
      </c>
      <c r="T463" s="39">
        <v>0</v>
      </c>
      <c r="U463" s="39">
        <v>0</v>
      </c>
      <c r="V463" s="39">
        <v>0</v>
      </c>
      <c r="W463" s="39">
        <v>0</v>
      </c>
      <c r="X463" s="39">
        <v>0</v>
      </c>
      <c r="Y463">
        <v>0</v>
      </c>
      <c r="Z463">
        <v>0</v>
      </c>
      <c r="AA463" s="39">
        <v>0</v>
      </c>
    </row>
    <row r="464" spans="2:28" x14ac:dyDescent="0.25">
      <c r="B464" s="29"/>
      <c r="G464" t="s">
        <v>127</v>
      </c>
      <c r="H464" t="s">
        <v>274</v>
      </c>
      <c r="I464" s="39">
        <v>23</v>
      </c>
      <c r="J464" s="39">
        <v>35</v>
      </c>
      <c r="K464" s="39">
        <v>39</v>
      </c>
      <c r="L464" s="39">
        <v>57</v>
      </c>
      <c r="M464" s="39">
        <v>70</v>
      </c>
      <c r="N464" s="39">
        <v>38</v>
      </c>
      <c r="O464" s="39">
        <v>25</v>
      </c>
      <c r="P464" s="39">
        <v>33</v>
      </c>
      <c r="Q464" s="39">
        <v>35</v>
      </c>
      <c r="R464" s="39">
        <v>25</v>
      </c>
      <c r="S464" s="39">
        <v>21</v>
      </c>
      <c r="T464" s="39">
        <v>14</v>
      </c>
      <c r="U464" s="39">
        <v>22</v>
      </c>
      <c r="V464" s="39">
        <v>22</v>
      </c>
      <c r="W464" s="39">
        <v>33</v>
      </c>
      <c r="X464" s="39">
        <v>35</v>
      </c>
      <c r="Y464">
        <v>22</v>
      </c>
      <c r="Z464">
        <v>39</v>
      </c>
      <c r="AA464" s="39">
        <v>46</v>
      </c>
    </row>
    <row r="465" spans="2:27" x14ac:dyDescent="0.25">
      <c r="B465" s="29"/>
      <c r="G465" t="s">
        <v>128</v>
      </c>
      <c r="H465" t="s">
        <v>274</v>
      </c>
      <c r="I465" s="39">
        <v>0</v>
      </c>
      <c r="J465" s="39">
        <v>0</v>
      </c>
      <c r="K465" s="39">
        <v>0</v>
      </c>
      <c r="L465" s="39">
        <v>0</v>
      </c>
      <c r="M465" s="39">
        <v>0</v>
      </c>
      <c r="N465" s="39">
        <v>0</v>
      </c>
      <c r="O465" s="39">
        <v>0</v>
      </c>
      <c r="P465" s="39">
        <v>0</v>
      </c>
      <c r="Q465" s="39">
        <v>0</v>
      </c>
      <c r="R465" s="39">
        <v>0</v>
      </c>
      <c r="S465" s="39">
        <v>0</v>
      </c>
      <c r="T465" s="39">
        <v>0</v>
      </c>
      <c r="U465" s="39">
        <v>0</v>
      </c>
      <c r="V465" s="39">
        <v>0</v>
      </c>
      <c r="W465" s="39">
        <v>0</v>
      </c>
      <c r="X465" s="39">
        <v>0</v>
      </c>
      <c r="Y465">
        <v>0</v>
      </c>
      <c r="Z465">
        <v>0</v>
      </c>
      <c r="AA465" s="39">
        <v>0</v>
      </c>
    </row>
    <row r="466" spans="2:27" x14ac:dyDescent="0.25">
      <c r="B466" s="29"/>
      <c r="G466" t="s">
        <v>277</v>
      </c>
      <c r="H466" t="s">
        <v>274</v>
      </c>
      <c r="I466" s="39">
        <v>2</v>
      </c>
      <c r="J466" s="39">
        <v>1</v>
      </c>
      <c r="K466" s="39">
        <v>1</v>
      </c>
      <c r="L466" s="39">
        <v>0</v>
      </c>
      <c r="M466" s="39">
        <v>0</v>
      </c>
      <c r="N466" s="39">
        <v>1</v>
      </c>
      <c r="O466" s="39">
        <v>0</v>
      </c>
      <c r="P466" s="39">
        <v>1</v>
      </c>
      <c r="Q466" s="39">
        <v>2</v>
      </c>
      <c r="R466" s="39">
        <v>6</v>
      </c>
      <c r="S466" s="39">
        <v>5</v>
      </c>
      <c r="T466" s="39">
        <v>5</v>
      </c>
      <c r="U466" s="39">
        <v>2</v>
      </c>
      <c r="V466" s="39">
        <v>2</v>
      </c>
      <c r="W466" s="39">
        <v>3</v>
      </c>
      <c r="X466" s="39">
        <v>3</v>
      </c>
      <c r="Y466">
        <v>0</v>
      </c>
      <c r="Z466">
        <v>0</v>
      </c>
      <c r="AA466" s="39">
        <v>0</v>
      </c>
    </row>
    <row r="467" spans="2:27" x14ac:dyDescent="0.25">
      <c r="B467" s="29"/>
      <c r="G467" t="s">
        <v>278</v>
      </c>
      <c r="H467" t="s">
        <v>274</v>
      </c>
      <c r="I467" s="39">
        <v>0</v>
      </c>
      <c r="J467" s="39">
        <v>0</v>
      </c>
      <c r="K467" s="39">
        <v>0</v>
      </c>
      <c r="L467" s="39">
        <v>0</v>
      </c>
      <c r="M467" s="39">
        <v>0</v>
      </c>
      <c r="N467" s="39">
        <v>0</v>
      </c>
      <c r="O467" s="39">
        <v>0</v>
      </c>
      <c r="P467" s="39">
        <v>0</v>
      </c>
      <c r="Q467" s="39">
        <v>2</v>
      </c>
      <c r="R467" s="39">
        <v>11</v>
      </c>
      <c r="S467" s="39">
        <v>4</v>
      </c>
      <c r="T467" s="39">
        <v>3</v>
      </c>
      <c r="U467" s="39">
        <v>2</v>
      </c>
      <c r="V467" s="39">
        <v>4</v>
      </c>
      <c r="W467" s="39">
        <v>4</v>
      </c>
      <c r="X467" s="39">
        <v>3</v>
      </c>
      <c r="Y467">
        <v>3</v>
      </c>
      <c r="Z467">
        <v>4</v>
      </c>
      <c r="AA467" s="39">
        <v>3</v>
      </c>
    </row>
    <row r="468" spans="2:27" x14ac:dyDescent="0.25">
      <c r="B468" s="29"/>
      <c r="G468" t="s">
        <v>279</v>
      </c>
      <c r="H468" t="s">
        <v>274</v>
      </c>
      <c r="I468" s="39">
        <v>0</v>
      </c>
      <c r="J468" s="39">
        <v>0</v>
      </c>
      <c r="K468" s="39">
        <v>7</v>
      </c>
      <c r="L468" s="39">
        <v>3</v>
      </c>
      <c r="M468" s="39">
        <v>5</v>
      </c>
      <c r="N468" s="39">
        <v>0</v>
      </c>
      <c r="O468" s="39">
        <v>0</v>
      </c>
      <c r="P468" s="39">
        <v>0</v>
      </c>
      <c r="Q468" s="39">
        <v>2</v>
      </c>
      <c r="R468" s="39">
        <v>3</v>
      </c>
      <c r="S468" s="39">
        <v>0</v>
      </c>
      <c r="T468" s="39">
        <v>0</v>
      </c>
      <c r="U468" s="39">
        <v>0</v>
      </c>
      <c r="V468" s="39">
        <v>0</v>
      </c>
      <c r="W468" s="39">
        <v>0</v>
      </c>
      <c r="X468" s="39">
        <v>0</v>
      </c>
      <c r="Y468">
        <v>0</v>
      </c>
      <c r="Z468">
        <v>0</v>
      </c>
      <c r="AA468" s="39">
        <v>3</v>
      </c>
    </row>
    <row r="469" spans="2:27" x14ac:dyDescent="0.25">
      <c r="B469" s="29"/>
      <c r="G469" t="s">
        <v>132</v>
      </c>
      <c r="H469" t="s">
        <v>274</v>
      </c>
      <c r="I469" s="39">
        <v>0</v>
      </c>
      <c r="J469" s="39">
        <v>0</v>
      </c>
      <c r="K469" s="39">
        <v>1</v>
      </c>
      <c r="L469" s="39">
        <v>1</v>
      </c>
      <c r="M469" s="39">
        <v>0</v>
      </c>
      <c r="N469" s="39">
        <v>0</v>
      </c>
      <c r="O469" s="39">
        <v>0</v>
      </c>
      <c r="P469" s="39">
        <v>0</v>
      </c>
      <c r="Q469" s="39">
        <v>0</v>
      </c>
      <c r="R469" s="39">
        <v>1</v>
      </c>
      <c r="S469" s="39">
        <v>2</v>
      </c>
      <c r="T469" s="39">
        <v>1</v>
      </c>
      <c r="U469" s="39">
        <v>0</v>
      </c>
      <c r="V469" s="39">
        <v>0</v>
      </c>
      <c r="W469" s="39">
        <v>0</v>
      </c>
      <c r="X469" s="39">
        <v>0</v>
      </c>
      <c r="Y469">
        <v>0</v>
      </c>
      <c r="Z469">
        <v>1</v>
      </c>
      <c r="AA469" s="39">
        <v>3</v>
      </c>
    </row>
    <row r="470" spans="2:27" x14ac:dyDescent="0.25">
      <c r="B470" s="29"/>
      <c r="G470" t="s">
        <v>280</v>
      </c>
      <c r="H470" t="s">
        <v>274</v>
      </c>
      <c r="I470" s="39">
        <v>0</v>
      </c>
      <c r="J470" s="39">
        <v>0</v>
      </c>
      <c r="K470" s="39">
        <v>1</v>
      </c>
      <c r="L470" s="39">
        <v>1</v>
      </c>
      <c r="M470" s="39">
        <v>1</v>
      </c>
      <c r="N470" s="39">
        <v>1</v>
      </c>
      <c r="O470" s="39">
        <v>1</v>
      </c>
      <c r="P470" s="39">
        <v>2</v>
      </c>
      <c r="Q470" s="39">
        <v>1</v>
      </c>
      <c r="R470" s="39">
        <v>2</v>
      </c>
      <c r="S470" s="39">
        <v>1</v>
      </c>
      <c r="T470" s="39">
        <v>1</v>
      </c>
      <c r="U470" s="39">
        <v>0</v>
      </c>
      <c r="V470" s="39">
        <v>0</v>
      </c>
      <c r="W470" s="39">
        <v>0</v>
      </c>
      <c r="X470" s="39">
        <v>0</v>
      </c>
      <c r="Y470">
        <v>5</v>
      </c>
      <c r="Z470">
        <v>0</v>
      </c>
      <c r="AA470" s="39">
        <v>0</v>
      </c>
    </row>
    <row r="471" spans="2:27" x14ac:dyDescent="0.25">
      <c r="B471" s="29"/>
      <c r="G471" t="s">
        <v>281</v>
      </c>
      <c r="H471" t="s">
        <v>274</v>
      </c>
      <c r="I471" s="39">
        <v>0</v>
      </c>
      <c r="J471" s="39">
        <v>0</v>
      </c>
      <c r="K471" s="39">
        <v>0</v>
      </c>
      <c r="L471" s="39">
        <v>0</v>
      </c>
      <c r="M471" s="39">
        <v>0</v>
      </c>
      <c r="N471" s="39">
        <v>1</v>
      </c>
      <c r="O471" s="39">
        <v>3</v>
      </c>
      <c r="P471" s="39">
        <v>0</v>
      </c>
      <c r="Q471" s="39">
        <v>0</v>
      </c>
      <c r="R471" s="39">
        <v>0</v>
      </c>
      <c r="S471" s="39">
        <v>1</v>
      </c>
      <c r="T471" s="39">
        <v>1</v>
      </c>
      <c r="U471" s="39">
        <v>0</v>
      </c>
      <c r="V471" s="39">
        <v>0</v>
      </c>
      <c r="W471" s="39">
        <v>1</v>
      </c>
      <c r="X471" s="39">
        <v>3</v>
      </c>
      <c r="Y471">
        <v>3</v>
      </c>
      <c r="Z471">
        <v>3</v>
      </c>
      <c r="AA471" s="39">
        <v>1</v>
      </c>
    </row>
    <row r="472" spans="2:27" x14ac:dyDescent="0.25">
      <c r="B472" s="29"/>
      <c r="G472" t="s">
        <v>282</v>
      </c>
      <c r="H472" t="s">
        <v>274</v>
      </c>
      <c r="I472" s="39">
        <v>7</v>
      </c>
      <c r="J472" s="39">
        <v>4</v>
      </c>
      <c r="K472" s="39">
        <v>4</v>
      </c>
      <c r="L472" s="39">
        <v>6</v>
      </c>
      <c r="M472" s="39">
        <v>4</v>
      </c>
      <c r="N472" s="39">
        <v>5</v>
      </c>
      <c r="O472" s="39">
        <v>8</v>
      </c>
      <c r="P472" s="39">
        <v>10</v>
      </c>
      <c r="Q472" s="39">
        <v>13</v>
      </c>
      <c r="R472" s="39">
        <v>15</v>
      </c>
      <c r="S472" s="39">
        <v>15</v>
      </c>
      <c r="T472" s="39">
        <v>10</v>
      </c>
      <c r="U472" s="39">
        <v>17</v>
      </c>
      <c r="V472" s="39">
        <v>16</v>
      </c>
      <c r="W472" s="39">
        <v>9</v>
      </c>
      <c r="X472" s="39">
        <v>4</v>
      </c>
      <c r="Y472">
        <v>11</v>
      </c>
      <c r="Z472">
        <v>9</v>
      </c>
      <c r="AA472" s="39">
        <v>8</v>
      </c>
    </row>
    <row r="473" spans="2:27" x14ac:dyDescent="0.25">
      <c r="B473" s="29"/>
      <c r="G473" t="s">
        <v>283</v>
      </c>
      <c r="H473" t="s">
        <v>274</v>
      </c>
      <c r="I473" s="39">
        <v>0</v>
      </c>
      <c r="J473" s="39">
        <v>0</v>
      </c>
      <c r="K473" s="39">
        <v>0</v>
      </c>
      <c r="L473" s="39">
        <v>0</v>
      </c>
      <c r="M473" s="39">
        <v>0</v>
      </c>
      <c r="N473" s="39">
        <v>0</v>
      </c>
      <c r="O473" s="39">
        <v>0</v>
      </c>
      <c r="P473" s="39">
        <v>0</v>
      </c>
      <c r="Q473" s="39">
        <v>0</v>
      </c>
      <c r="R473" s="39">
        <v>0</v>
      </c>
      <c r="S473" s="39">
        <v>0</v>
      </c>
      <c r="T473" s="39">
        <v>0</v>
      </c>
      <c r="U473" s="39">
        <v>0</v>
      </c>
      <c r="V473" s="39">
        <v>0</v>
      </c>
      <c r="W473" s="39">
        <v>0</v>
      </c>
      <c r="X473" s="39">
        <v>0</v>
      </c>
      <c r="Y473">
        <v>0</v>
      </c>
      <c r="Z473">
        <v>0</v>
      </c>
      <c r="AA473" s="39">
        <v>0</v>
      </c>
    </row>
    <row r="474" spans="2:27" x14ac:dyDescent="0.25">
      <c r="B474" s="29"/>
      <c r="G474" t="s">
        <v>284</v>
      </c>
      <c r="H474" t="s">
        <v>274</v>
      </c>
      <c r="I474" s="39">
        <v>0</v>
      </c>
      <c r="J474" s="39">
        <v>0</v>
      </c>
      <c r="K474" s="39">
        <v>1</v>
      </c>
      <c r="L474" s="39">
        <v>1</v>
      </c>
      <c r="M474" s="39">
        <v>1</v>
      </c>
      <c r="N474" s="39">
        <v>0</v>
      </c>
      <c r="O474" s="39">
        <v>2</v>
      </c>
      <c r="P474" s="39">
        <v>3</v>
      </c>
      <c r="Q474" s="39">
        <v>0</v>
      </c>
      <c r="R474" s="39">
        <v>1</v>
      </c>
      <c r="S474" s="39">
        <v>4</v>
      </c>
      <c r="T474" s="39">
        <v>5</v>
      </c>
      <c r="U474" s="39">
        <v>3</v>
      </c>
      <c r="V474" s="39">
        <v>0</v>
      </c>
      <c r="W474" s="39">
        <v>0</v>
      </c>
      <c r="X474" s="39">
        <v>2</v>
      </c>
      <c r="Y474">
        <v>4</v>
      </c>
      <c r="Z474">
        <v>4</v>
      </c>
      <c r="AA474" s="39">
        <v>0</v>
      </c>
    </row>
    <row r="475" spans="2:27" x14ac:dyDescent="0.25">
      <c r="B475" s="29"/>
      <c r="G475" t="s">
        <v>285</v>
      </c>
      <c r="H475" t="s">
        <v>274</v>
      </c>
      <c r="I475" s="39">
        <v>1</v>
      </c>
      <c r="J475" s="39">
        <v>3</v>
      </c>
      <c r="K475" s="39">
        <v>2</v>
      </c>
      <c r="L475" s="39">
        <v>2</v>
      </c>
      <c r="M475" s="39">
        <v>2</v>
      </c>
      <c r="N475" s="39">
        <v>2</v>
      </c>
      <c r="O475" s="39">
        <v>1</v>
      </c>
      <c r="P475" s="39">
        <v>1</v>
      </c>
      <c r="Q475" s="39">
        <v>19</v>
      </c>
      <c r="R475" s="39">
        <v>4</v>
      </c>
      <c r="S475" s="39">
        <v>8</v>
      </c>
      <c r="T475" s="39">
        <v>7</v>
      </c>
      <c r="U475" s="39">
        <v>4</v>
      </c>
      <c r="V475" s="39">
        <v>3</v>
      </c>
      <c r="W475" s="39">
        <v>4</v>
      </c>
      <c r="X475" s="39">
        <v>3</v>
      </c>
      <c r="Y475">
        <v>2</v>
      </c>
      <c r="Z475">
        <v>4</v>
      </c>
      <c r="AA475" s="39">
        <v>5</v>
      </c>
    </row>
    <row r="476" spans="2:27" x14ac:dyDescent="0.25">
      <c r="B476" s="29"/>
      <c r="G476" t="s">
        <v>286</v>
      </c>
      <c r="H476" t="s">
        <v>274</v>
      </c>
      <c r="I476" s="39">
        <v>0</v>
      </c>
      <c r="J476" s="39">
        <v>0</v>
      </c>
      <c r="K476" s="39">
        <v>0</v>
      </c>
      <c r="L476" s="39">
        <v>0</v>
      </c>
      <c r="M476" s="39">
        <v>0</v>
      </c>
      <c r="N476" s="39">
        <v>0</v>
      </c>
      <c r="O476" s="39">
        <v>0</v>
      </c>
      <c r="P476" s="39">
        <v>0</v>
      </c>
      <c r="Q476" s="39">
        <v>2</v>
      </c>
      <c r="R476" s="39">
        <v>0</v>
      </c>
      <c r="S476" s="39">
        <v>5</v>
      </c>
      <c r="T476" s="39">
        <v>2</v>
      </c>
      <c r="U476" s="39">
        <v>0</v>
      </c>
      <c r="V476" s="39">
        <v>0</v>
      </c>
      <c r="W476" s="39">
        <v>0</v>
      </c>
      <c r="X476" s="39">
        <v>1</v>
      </c>
      <c r="Y476">
        <v>0</v>
      </c>
      <c r="Z476">
        <v>0</v>
      </c>
      <c r="AA476" s="39">
        <v>1</v>
      </c>
    </row>
    <row r="477" spans="2:27" x14ac:dyDescent="0.25">
      <c r="B477" s="29"/>
      <c r="G477" t="s">
        <v>287</v>
      </c>
      <c r="H477" t="s">
        <v>274</v>
      </c>
      <c r="I477" s="39">
        <v>2</v>
      </c>
      <c r="J477" s="39">
        <v>0</v>
      </c>
      <c r="K477" s="39">
        <v>6</v>
      </c>
      <c r="L477" s="39">
        <v>5</v>
      </c>
      <c r="M477" s="39">
        <v>1</v>
      </c>
      <c r="N477" s="39">
        <v>3</v>
      </c>
      <c r="O477" s="39">
        <v>3</v>
      </c>
      <c r="P477" s="39">
        <v>4</v>
      </c>
      <c r="Q477" s="39">
        <v>4</v>
      </c>
      <c r="R477" s="39">
        <v>103</v>
      </c>
      <c r="S477" s="39">
        <v>13</v>
      </c>
      <c r="T477" s="39">
        <v>11</v>
      </c>
      <c r="U477" s="39">
        <v>9</v>
      </c>
      <c r="V477" s="39">
        <v>25</v>
      </c>
      <c r="W477" s="39">
        <v>12</v>
      </c>
      <c r="X477" s="39">
        <v>8</v>
      </c>
      <c r="Y477">
        <v>22</v>
      </c>
      <c r="Z477">
        <v>9</v>
      </c>
      <c r="AA477" s="39">
        <v>17</v>
      </c>
    </row>
    <row r="478" spans="2:27" x14ac:dyDescent="0.25">
      <c r="B478" s="29"/>
      <c r="G478" t="s">
        <v>288</v>
      </c>
      <c r="H478" t="s">
        <v>274</v>
      </c>
      <c r="I478" s="39">
        <v>235</v>
      </c>
      <c r="J478" s="39">
        <v>262</v>
      </c>
      <c r="K478" s="39">
        <v>253</v>
      </c>
      <c r="L478" s="39">
        <v>249</v>
      </c>
      <c r="M478" s="39">
        <v>306</v>
      </c>
      <c r="N478" s="39">
        <v>30</v>
      </c>
      <c r="O478" s="39">
        <v>295</v>
      </c>
      <c r="P478" s="39">
        <v>285</v>
      </c>
      <c r="Q478" s="39">
        <v>527</v>
      </c>
      <c r="R478" s="39">
        <v>488</v>
      </c>
      <c r="S478" s="39">
        <v>268</v>
      </c>
      <c r="T478" s="39">
        <v>245</v>
      </c>
      <c r="U478" s="39">
        <v>272</v>
      </c>
      <c r="V478" s="39">
        <v>292</v>
      </c>
      <c r="W478" s="39">
        <v>244</v>
      </c>
      <c r="X478" s="39">
        <v>242</v>
      </c>
      <c r="Y478" s="126">
        <v>1488</v>
      </c>
      <c r="Z478">
        <v>325</v>
      </c>
      <c r="AA478" s="39">
        <v>79</v>
      </c>
    </row>
    <row r="479" spans="2:27" x14ac:dyDescent="0.25">
      <c r="B479" s="29"/>
      <c r="G479" t="s">
        <v>289</v>
      </c>
      <c r="H479" t="s">
        <v>274</v>
      </c>
      <c r="I479" s="39">
        <v>0</v>
      </c>
      <c r="J479" s="39">
        <v>0</v>
      </c>
      <c r="K479" s="39">
        <v>3</v>
      </c>
      <c r="L479" s="39">
        <v>0</v>
      </c>
      <c r="M479" s="39">
        <v>0</v>
      </c>
      <c r="N479" s="39">
        <v>0</v>
      </c>
      <c r="O479" s="39">
        <v>7</v>
      </c>
      <c r="P479" s="39">
        <v>7</v>
      </c>
      <c r="Q479" s="39">
        <v>7</v>
      </c>
      <c r="R479" s="39">
        <v>12</v>
      </c>
      <c r="S479" s="39">
        <v>5</v>
      </c>
      <c r="T479" s="39">
        <v>1</v>
      </c>
      <c r="U479" s="39">
        <v>3</v>
      </c>
      <c r="V479" s="39">
        <v>3</v>
      </c>
      <c r="W479" s="39">
        <v>1</v>
      </c>
      <c r="X479" s="39">
        <v>4</v>
      </c>
      <c r="Y479">
        <v>4</v>
      </c>
      <c r="Z479">
        <v>2</v>
      </c>
      <c r="AA479" s="39">
        <v>0</v>
      </c>
    </row>
    <row r="480" spans="2:27" x14ac:dyDescent="0.25">
      <c r="B480" s="29"/>
      <c r="G480" t="s">
        <v>290</v>
      </c>
      <c r="H480" t="s">
        <v>274</v>
      </c>
      <c r="I480" s="39">
        <v>0</v>
      </c>
      <c r="J480" s="39">
        <v>1</v>
      </c>
      <c r="K480" s="39">
        <v>0</v>
      </c>
      <c r="L480" s="39">
        <v>0</v>
      </c>
      <c r="M480" s="39">
        <v>0</v>
      </c>
      <c r="N480" s="39">
        <v>0</v>
      </c>
      <c r="O480" s="39">
        <v>1</v>
      </c>
      <c r="P480" s="39">
        <v>0</v>
      </c>
      <c r="Q480" s="39">
        <v>1</v>
      </c>
      <c r="R480" s="39">
        <v>15</v>
      </c>
      <c r="S480" s="39">
        <v>8</v>
      </c>
      <c r="T480" s="39">
        <v>3</v>
      </c>
      <c r="U480" s="39">
        <v>6</v>
      </c>
      <c r="V480" s="39">
        <v>1</v>
      </c>
      <c r="W480" s="39">
        <v>1</v>
      </c>
      <c r="X480" s="39">
        <v>0</v>
      </c>
      <c r="Y480">
        <v>9</v>
      </c>
      <c r="Z480">
        <v>5</v>
      </c>
      <c r="AA480" s="39">
        <v>0</v>
      </c>
    </row>
    <row r="481" spans="2:27" x14ac:dyDescent="0.25">
      <c r="B481" s="29"/>
      <c r="D481" t="s">
        <v>292</v>
      </c>
      <c r="H481" t="s">
        <v>274</v>
      </c>
      <c r="I481" s="39">
        <v>13515</v>
      </c>
      <c r="J481" s="39">
        <v>13962</v>
      </c>
      <c r="K481" s="39">
        <v>14254</v>
      </c>
      <c r="L481" s="39">
        <v>14769</v>
      </c>
      <c r="M481" s="39">
        <v>15121</v>
      </c>
      <c r="N481" s="39">
        <v>15389</v>
      </c>
      <c r="O481" s="39">
        <v>16004</v>
      </c>
      <c r="P481" s="39">
        <v>14880</v>
      </c>
      <c r="Q481" s="39">
        <v>14264</v>
      </c>
      <c r="R481" s="39">
        <v>14192</v>
      </c>
      <c r="S481" s="39">
        <v>14671</v>
      </c>
      <c r="T481" s="39">
        <v>15304</v>
      </c>
      <c r="U481" s="39">
        <v>16320</v>
      </c>
      <c r="V481" s="39">
        <v>16700</v>
      </c>
      <c r="W481" s="39">
        <v>16910</v>
      </c>
      <c r="X481" s="39">
        <v>17741</v>
      </c>
      <c r="Y481" s="39">
        <v>16717</v>
      </c>
      <c r="Z481" s="39">
        <v>19445</v>
      </c>
      <c r="AA481" s="39">
        <v>16953</v>
      </c>
    </row>
    <row r="482" spans="2:27" x14ac:dyDescent="0.25">
      <c r="B482" s="29"/>
      <c r="G482" t="s">
        <v>275</v>
      </c>
      <c r="H482" t="s">
        <v>274</v>
      </c>
      <c r="I482" s="39">
        <v>43</v>
      </c>
      <c r="J482" s="39">
        <v>73</v>
      </c>
      <c r="K482" s="39">
        <v>58</v>
      </c>
      <c r="L482" s="39">
        <v>63</v>
      </c>
      <c r="M482" s="39">
        <v>72</v>
      </c>
      <c r="N482" s="39">
        <v>67</v>
      </c>
      <c r="O482" s="39">
        <v>60</v>
      </c>
      <c r="P482" s="39">
        <v>54</v>
      </c>
      <c r="Q482" s="39">
        <v>73</v>
      </c>
      <c r="R482" s="39">
        <v>71</v>
      </c>
      <c r="S482" s="39">
        <v>72</v>
      </c>
      <c r="T482" s="39">
        <v>83</v>
      </c>
      <c r="U482" s="39">
        <v>75</v>
      </c>
      <c r="V482" s="39">
        <v>66</v>
      </c>
      <c r="W482" s="39">
        <v>67</v>
      </c>
      <c r="X482" s="39">
        <v>93</v>
      </c>
      <c r="Y482">
        <v>88</v>
      </c>
      <c r="Z482">
        <v>84</v>
      </c>
      <c r="AA482" s="39">
        <v>97</v>
      </c>
    </row>
    <row r="483" spans="2:27" x14ac:dyDescent="0.25">
      <c r="B483" s="29"/>
      <c r="G483" t="s">
        <v>276</v>
      </c>
      <c r="H483" t="s">
        <v>274</v>
      </c>
      <c r="I483" s="39">
        <v>17</v>
      </c>
      <c r="J483" s="39">
        <v>4</v>
      </c>
      <c r="K483" s="39">
        <v>3</v>
      </c>
      <c r="L483" s="39">
        <v>5</v>
      </c>
      <c r="M483" s="39">
        <v>21</v>
      </c>
      <c r="N483" s="39">
        <v>32</v>
      </c>
      <c r="O483" s="39">
        <v>19</v>
      </c>
      <c r="P483" s="39">
        <v>9</v>
      </c>
      <c r="Q483" s="39">
        <v>13</v>
      </c>
      <c r="R483" s="39">
        <v>15</v>
      </c>
      <c r="S483" s="39">
        <v>5</v>
      </c>
      <c r="T483" s="39">
        <v>10</v>
      </c>
      <c r="U483" s="39">
        <v>6</v>
      </c>
      <c r="V483" s="39">
        <v>4</v>
      </c>
      <c r="W483" s="39">
        <v>7</v>
      </c>
      <c r="X483" s="39">
        <v>7</v>
      </c>
      <c r="Y483">
        <v>12</v>
      </c>
      <c r="Z483">
        <v>9</v>
      </c>
      <c r="AA483" s="39">
        <v>3</v>
      </c>
    </row>
    <row r="484" spans="2:27" x14ac:dyDescent="0.25">
      <c r="B484" s="29"/>
      <c r="G484" t="s">
        <v>126</v>
      </c>
      <c r="H484" t="s">
        <v>274</v>
      </c>
      <c r="I484" s="39">
        <v>36</v>
      </c>
      <c r="J484" s="39">
        <v>36</v>
      </c>
      <c r="K484" s="39">
        <v>34</v>
      </c>
      <c r="L484" s="39">
        <v>36</v>
      </c>
      <c r="M484" s="39">
        <v>34</v>
      </c>
      <c r="N484" s="39">
        <v>37</v>
      </c>
      <c r="O484" s="39">
        <v>35</v>
      </c>
      <c r="P484" s="39">
        <v>41</v>
      </c>
      <c r="Q484" s="39">
        <v>42</v>
      </c>
      <c r="R484" s="39">
        <v>36</v>
      </c>
      <c r="S484" s="39">
        <v>33</v>
      </c>
      <c r="T484" s="39">
        <v>36</v>
      </c>
      <c r="U484" s="39">
        <v>32</v>
      </c>
      <c r="V484" s="39">
        <v>41</v>
      </c>
      <c r="W484" s="39">
        <v>31</v>
      </c>
      <c r="X484" s="39">
        <v>37</v>
      </c>
      <c r="Y484">
        <v>40</v>
      </c>
      <c r="Z484">
        <v>45</v>
      </c>
      <c r="AA484" s="39">
        <v>41</v>
      </c>
    </row>
    <row r="485" spans="2:27" x14ac:dyDescent="0.25">
      <c r="B485" s="29"/>
      <c r="G485" t="s">
        <v>127</v>
      </c>
      <c r="H485" t="s">
        <v>274</v>
      </c>
      <c r="I485" s="39">
        <v>2168</v>
      </c>
      <c r="J485" s="39">
        <v>1999</v>
      </c>
      <c r="K485" s="39">
        <v>1627</v>
      </c>
      <c r="L485" s="39">
        <v>1850</v>
      </c>
      <c r="M485" s="39">
        <v>2041</v>
      </c>
      <c r="N485" s="39">
        <v>2202</v>
      </c>
      <c r="O485" s="39">
        <v>2221</v>
      </c>
      <c r="P485" s="39">
        <v>1958</v>
      </c>
      <c r="Q485" s="39">
        <v>1479</v>
      </c>
      <c r="R485" s="39">
        <v>1268</v>
      </c>
      <c r="S485" s="39">
        <v>1490</v>
      </c>
      <c r="T485" s="39">
        <v>1569</v>
      </c>
      <c r="U485" s="39">
        <v>1616</v>
      </c>
      <c r="V485" s="39">
        <v>1916</v>
      </c>
      <c r="W485" s="39">
        <v>2011</v>
      </c>
      <c r="X485" s="39">
        <v>2071</v>
      </c>
      <c r="Y485" s="39">
        <v>2023</v>
      </c>
      <c r="Z485" s="39">
        <v>2000</v>
      </c>
      <c r="AA485" s="39">
        <v>2137</v>
      </c>
    </row>
    <row r="486" spans="2:27" x14ac:dyDescent="0.25">
      <c r="B486" s="29"/>
      <c r="G486" t="s">
        <v>128</v>
      </c>
      <c r="H486" t="s">
        <v>274</v>
      </c>
      <c r="I486" s="39">
        <v>173</v>
      </c>
      <c r="J486" s="39">
        <v>162</v>
      </c>
      <c r="K486" s="39">
        <v>192</v>
      </c>
      <c r="L486" s="39">
        <v>138</v>
      </c>
      <c r="M486" s="39">
        <v>149</v>
      </c>
      <c r="N486" s="39">
        <v>108</v>
      </c>
      <c r="O486" s="39">
        <v>126</v>
      </c>
      <c r="P486" s="39">
        <v>108</v>
      </c>
      <c r="Q486" s="39">
        <v>103</v>
      </c>
      <c r="R486" s="39">
        <v>141</v>
      </c>
      <c r="S486" s="39">
        <v>123</v>
      </c>
      <c r="T486" s="39">
        <v>113</v>
      </c>
      <c r="U486" s="39">
        <v>120</v>
      </c>
      <c r="V486" s="39">
        <v>126</v>
      </c>
      <c r="W486" s="39">
        <v>145</v>
      </c>
      <c r="X486" s="39">
        <v>174</v>
      </c>
      <c r="Y486">
        <v>190</v>
      </c>
      <c r="Z486">
        <v>222</v>
      </c>
      <c r="AA486" s="39">
        <v>189</v>
      </c>
    </row>
    <row r="487" spans="2:27" x14ac:dyDescent="0.25">
      <c r="B487" s="29"/>
      <c r="G487" t="s">
        <v>277</v>
      </c>
      <c r="H487" t="s">
        <v>274</v>
      </c>
      <c r="I487" s="39">
        <v>118</v>
      </c>
      <c r="J487" s="39">
        <v>137</v>
      </c>
      <c r="K487" s="39">
        <v>115</v>
      </c>
      <c r="L487" s="39">
        <v>122</v>
      </c>
      <c r="M487" s="39">
        <v>143</v>
      </c>
      <c r="N487" s="39">
        <v>182</v>
      </c>
      <c r="O487" s="39">
        <v>178</v>
      </c>
      <c r="P487" s="39">
        <v>171</v>
      </c>
      <c r="Q487" s="39">
        <v>158</v>
      </c>
      <c r="R487" s="39">
        <v>160</v>
      </c>
      <c r="S487" s="39">
        <v>150</v>
      </c>
      <c r="T487" s="39">
        <v>178</v>
      </c>
      <c r="U487" s="39">
        <v>168</v>
      </c>
      <c r="V487" s="39">
        <v>164</v>
      </c>
      <c r="W487" s="39">
        <v>195</v>
      </c>
      <c r="X487" s="39">
        <v>173</v>
      </c>
      <c r="Y487">
        <v>189</v>
      </c>
      <c r="Z487">
        <v>174</v>
      </c>
      <c r="AA487" s="39">
        <v>148</v>
      </c>
    </row>
    <row r="488" spans="2:27" x14ac:dyDescent="0.25">
      <c r="B488" s="29"/>
      <c r="G488" t="s">
        <v>278</v>
      </c>
      <c r="H488" t="s">
        <v>274</v>
      </c>
      <c r="I488" s="39">
        <v>1617</v>
      </c>
      <c r="J488" s="39">
        <v>1714</v>
      </c>
      <c r="K488" s="39">
        <v>1667</v>
      </c>
      <c r="L488" s="39">
        <v>1656</v>
      </c>
      <c r="M488" s="39">
        <v>1648</v>
      </c>
      <c r="N488" s="39">
        <v>1782</v>
      </c>
      <c r="O488" s="39">
        <v>2016</v>
      </c>
      <c r="P488" s="39">
        <v>1704</v>
      </c>
      <c r="Q488" s="39">
        <v>1618</v>
      </c>
      <c r="R488" s="39">
        <v>1570</v>
      </c>
      <c r="S488" s="39">
        <v>1609</v>
      </c>
      <c r="T488" s="39">
        <v>1578</v>
      </c>
      <c r="U488" s="39">
        <v>1704</v>
      </c>
      <c r="V488" s="39">
        <v>1813</v>
      </c>
      <c r="W488" s="39">
        <v>1728</v>
      </c>
      <c r="X488" s="39">
        <v>1727</v>
      </c>
      <c r="Y488" s="39">
        <v>1858</v>
      </c>
      <c r="Z488" s="39">
        <v>1897</v>
      </c>
      <c r="AA488" s="39">
        <v>1631</v>
      </c>
    </row>
    <row r="489" spans="2:27" x14ac:dyDescent="0.25">
      <c r="B489" s="29"/>
      <c r="G489" t="s">
        <v>279</v>
      </c>
      <c r="H489" t="s">
        <v>274</v>
      </c>
      <c r="I489" s="39">
        <v>330</v>
      </c>
      <c r="J489" s="39">
        <v>398</v>
      </c>
      <c r="K489" s="39">
        <v>382</v>
      </c>
      <c r="L489" s="39">
        <v>394</v>
      </c>
      <c r="M489" s="39">
        <v>377</v>
      </c>
      <c r="N489" s="39">
        <v>366</v>
      </c>
      <c r="O489" s="39">
        <v>354</v>
      </c>
      <c r="P489" s="39">
        <v>366</v>
      </c>
      <c r="Q489" s="39">
        <v>306</v>
      </c>
      <c r="R489" s="39">
        <v>340</v>
      </c>
      <c r="S489" s="39">
        <v>397</v>
      </c>
      <c r="T489" s="39">
        <v>404</v>
      </c>
      <c r="U489" s="39">
        <v>403</v>
      </c>
      <c r="V489" s="39">
        <v>466</v>
      </c>
      <c r="W489" s="39">
        <v>444</v>
      </c>
      <c r="X489" s="39">
        <v>520</v>
      </c>
      <c r="Y489">
        <v>551</v>
      </c>
      <c r="Z489">
        <v>531</v>
      </c>
      <c r="AA489" s="39">
        <v>543</v>
      </c>
    </row>
    <row r="490" spans="2:27" x14ac:dyDescent="0.25">
      <c r="B490" s="29"/>
      <c r="G490" t="s">
        <v>132</v>
      </c>
      <c r="H490" t="s">
        <v>274</v>
      </c>
      <c r="I490" s="39">
        <v>339</v>
      </c>
      <c r="J490" s="39">
        <v>321</v>
      </c>
      <c r="K490" s="39">
        <v>307</v>
      </c>
      <c r="L490" s="39">
        <v>316</v>
      </c>
      <c r="M490" s="39">
        <v>310</v>
      </c>
      <c r="N490" s="39">
        <v>314</v>
      </c>
      <c r="O490" s="39">
        <v>308</v>
      </c>
      <c r="P490" s="39">
        <v>289</v>
      </c>
      <c r="Q490" s="39">
        <v>256</v>
      </c>
      <c r="R490" s="39">
        <v>300</v>
      </c>
      <c r="S490" s="39">
        <v>291</v>
      </c>
      <c r="T490" s="39">
        <v>270</v>
      </c>
      <c r="U490" s="39">
        <v>292</v>
      </c>
      <c r="V490" s="39">
        <v>254</v>
      </c>
      <c r="W490" s="39">
        <v>262</v>
      </c>
      <c r="X490" s="39">
        <v>262</v>
      </c>
      <c r="Y490">
        <v>254</v>
      </c>
      <c r="Z490">
        <v>270</v>
      </c>
      <c r="AA490" s="39">
        <v>218</v>
      </c>
    </row>
    <row r="491" spans="2:27" x14ac:dyDescent="0.25">
      <c r="B491" s="29"/>
      <c r="G491" t="s">
        <v>280</v>
      </c>
      <c r="H491" t="s">
        <v>274</v>
      </c>
      <c r="I491" s="39">
        <v>403</v>
      </c>
      <c r="J491" s="39">
        <v>428</v>
      </c>
      <c r="K491" s="39">
        <v>448</v>
      </c>
      <c r="L491" s="39">
        <v>441</v>
      </c>
      <c r="M491" s="39">
        <v>471</v>
      </c>
      <c r="N491" s="39">
        <v>507</v>
      </c>
      <c r="O491" s="39">
        <v>551</v>
      </c>
      <c r="P491" s="39">
        <v>444</v>
      </c>
      <c r="Q491" s="39">
        <v>377</v>
      </c>
      <c r="R491" s="39">
        <v>411</v>
      </c>
      <c r="S491" s="39">
        <v>380</v>
      </c>
      <c r="T491" s="39">
        <v>406</v>
      </c>
      <c r="U491" s="39">
        <v>427</v>
      </c>
      <c r="V491" s="39">
        <v>471</v>
      </c>
      <c r="W491" s="39">
        <v>446</v>
      </c>
      <c r="X491" s="39">
        <v>470</v>
      </c>
      <c r="Y491">
        <v>517</v>
      </c>
      <c r="Z491">
        <v>493</v>
      </c>
      <c r="AA491" s="39">
        <v>499</v>
      </c>
    </row>
    <row r="492" spans="2:27" x14ac:dyDescent="0.25">
      <c r="B492" s="29"/>
      <c r="G492" t="s">
        <v>281</v>
      </c>
      <c r="H492" t="s">
        <v>274</v>
      </c>
      <c r="I492" s="39">
        <v>322</v>
      </c>
      <c r="J492" s="39">
        <v>340</v>
      </c>
      <c r="K492" s="39">
        <v>334</v>
      </c>
      <c r="L492" s="39">
        <v>353</v>
      </c>
      <c r="M492" s="39">
        <v>377</v>
      </c>
      <c r="N492" s="39">
        <v>365</v>
      </c>
      <c r="O492" s="39">
        <v>390</v>
      </c>
      <c r="P492" s="39">
        <v>302</v>
      </c>
      <c r="Q492" s="39">
        <v>342</v>
      </c>
      <c r="R492" s="39">
        <v>283</v>
      </c>
      <c r="S492" s="39">
        <v>291</v>
      </c>
      <c r="T492" s="39">
        <v>371</v>
      </c>
      <c r="U492" s="39">
        <v>419</v>
      </c>
      <c r="V492" s="39">
        <v>415</v>
      </c>
      <c r="W492" s="39">
        <v>469</v>
      </c>
      <c r="X492" s="39">
        <v>441</v>
      </c>
      <c r="Y492">
        <v>540</v>
      </c>
      <c r="Z492">
        <v>556</v>
      </c>
      <c r="AA492" s="39">
        <v>628</v>
      </c>
    </row>
    <row r="493" spans="2:27" x14ac:dyDescent="0.25">
      <c r="B493" s="29"/>
      <c r="G493" t="s">
        <v>282</v>
      </c>
      <c r="H493" t="s">
        <v>274</v>
      </c>
      <c r="I493" s="39">
        <v>758</v>
      </c>
      <c r="J493" s="39">
        <v>708</v>
      </c>
      <c r="K493" s="39">
        <v>737</v>
      </c>
      <c r="L493" s="39">
        <v>768</v>
      </c>
      <c r="M493" s="39">
        <v>770</v>
      </c>
      <c r="N493" s="39">
        <v>876</v>
      </c>
      <c r="O493" s="39">
        <v>893</v>
      </c>
      <c r="P493" s="39">
        <v>785</v>
      </c>
      <c r="Q493" s="39">
        <v>842</v>
      </c>
      <c r="R493" s="39">
        <v>764</v>
      </c>
      <c r="S493" s="39">
        <v>817</v>
      </c>
      <c r="T493" s="39">
        <v>855</v>
      </c>
      <c r="U493" s="39">
        <v>932</v>
      </c>
      <c r="V493" s="39">
        <v>903</v>
      </c>
      <c r="W493" s="39">
        <v>895</v>
      </c>
      <c r="X493" s="39">
        <v>946</v>
      </c>
      <c r="Y493">
        <v>977</v>
      </c>
      <c r="Z493" s="39">
        <v>1005</v>
      </c>
      <c r="AA493" s="39">
        <v>1029</v>
      </c>
    </row>
    <row r="494" spans="2:27" x14ac:dyDescent="0.25">
      <c r="B494" s="29"/>
      <c r="G494" t="s">
        <v>283</v>
      </c>
      <c r="H494" t="s">
        <v>274</v>
      </c>
      <c r="I494" s="39">
        <v>62</v>
      </c>
      <c r="J494" s="39">
        <v>43</v>
      </c>
      <c r="K494" s="39">
        <v>65</v>
      </c>
      <c r="L494" s="39">
        <v>77</v>
      </c>
      <c r="M494" s="39">
        <v>85</v>
      </c>
      <c r="N494" s="39">
        <v>84</v>
      </c>
      <c r="O494" s="39">
        <v>37</v>
      </c>
      <c r="P494" s="39">
        <v>66</v>
      </c>
      <c r="Q494" s="39">
        <v>44</v>
      </c>
      <c r="R494" s="39">
        <v>55</v>
      </c>
      <c r="S494" s="39">
        <v>50</v>
      </c>
      <c r="T494" s="39">
        <v>61</v>
      </c>
      <c r="U494" s="39">
        <v>38</v>
      </c>
      <c r="V494" s="39">
        <v>41</v>
      </c>
      <c r="W494" s="39">
        <v>27</v>
      </c>
      <c r="X494" s="39">
        <v>35</v>
      </c>
      <c r="Y494">
        <v>33</v>
      </c>
      <c r="Z494">
        <v>31</v>
      </c>
      <c r="AA494" s="39">
        <v>39</v>
      </c>
    </row>
    <row r="495" spans="2:27" x14ac:dyDescent="0.25">
      <c r="B495" s="29"/>
      <c r="G495" t="s">
        <v>284</v>
      </c>
      <c r="H495" t="s">
        <v>274</v>
      </c>
      <c r="I495" s="39">
        <v>448</v>
      </c>
      <c r="J495" s="39">
        <v>451</v>
      </c>
      <c r="K495" s="39">
        <v>502</v>
      </c>
      <c r="L495" s="39">
        <v>497</v>
      </c>
      <c r="M495" s="39">
        <v>555</v>
      </c>
      <c r="N495" s="39">
        <v>614</v>
      </c>
      <c r="O495" s="39">
        <v>564</v>
      </c>
      <c r="P495" s="39">
        <v>572</v>
      </c>
      <c r="Q495" s="39">
        <v>538</v>
      </c>
      <c r="R495" s="39">
        <v>550</v>
      </c>
      <c r="S495" s="39">
        <v>573</v>
      </c>
      <c r="T495" s="39">
        <v>645</v>
      </c>
      <c r="U495" s="39">
        <v>677</v>
      </c>
      <c r="V495" s="39">
        <v>684</v>
      </c>
      <c r="W495" s="39">
        <v>865</v>
      </c>
      <c r="X495" s="39">
        <v>818</v>
      </c>
      <c r="Y495">
        <v>742</v>
      </c>
      <c r="Z495">
        <v>792</v>
      </c>
      <c r="AA495" s="39">
        <v>781</v>
      </c>
    </row>
    <row r="496" spans="2:27" x14ac:dyDescent="0.25">
      <c r="B496" s="29"/>
      <c r="G496" t="s">
        <v>285</v>
      </c>
      <c r="H496" t="s">
        <v>274</v>
      </c>
      <c r="I496" s="39">
        <v>550</v>
      </c>
      <c r="J496" s="39">
        <v>630</v>
      </c>
      <c r="K496" s="39">
        <v>730</v>
      </c>
      <c r="L496" s="39">
        <v>738</v>
      </c>
      <c r="M496" s="39">
        <v>758</v>
      </c>
      <c r="N496" s="39">
        <v>796</v>
      </c>
      <c r="O496" s="39">
        <v>795</v>
      </c>
      <c r="P496" s="39">
        <v>792</v>
      </c>
      <c r="Q496" s="39">
        <v>762</v>
      </c>
      <c r="R496" s="39">
        <v>798</v>
      </c>
      <c r="S496" s="39">
        <v>855</v>
      </c>
      <c r="T496" s="39">
        <v>936</v>
      </c>
      <c r="U496" s="39">
        <v>1010</v>
      </c>
      <c r="V496" s="39">
        <v>924</v>
      </c>
      <c r="W496" s="39">
        <v>958</v>
      </c>
      <c r="X496" s="39">
        <v>1003</v>
      </c>
      <c r="Y496">
        <v>979</v>
      </c>
      <c r="Z496" s="39">
        <v>1052</v>
      </c>
      <c r="AA496" s="39">
        <v>953</v>
      </c>
    </row>
    <row r="497" spans="2:27" x14ac:dyDescent="0.25">
      <c r="B497" s="29"/>
      <c r="G497" t="s">
        <v>286</v>
      </c>
      <c r="H497" t="s">
        <v>274</v>
      </c>
      <c r="I497" s="39">
        <v>918</v>
      </c>
      <c r="J497" s="39">
        <v>998</v>
      </c>
      <c r="K497" s="39">
        <v>992</v>
      </c>
      <c r="L497" s="39">
        <v>1028</v>
      </c>
      <c r="M497" s="39">
        <v>1032</v>
      </c>
      <c r="N497" s="39">
        <v>1031</v>
      </c>
      <c r="O497" s="39">
        <v>1003</v>
      </c>
      <c r="P497" s="39">
        <v>1105</v>
      </c>
      <c r="Q497" s="39">
        <v>1173</v>
      </c>
      <c r="R497" s="39">
        <v>1122</v>
      </c>
      <c r="S497" s="39">
        <v>1209</v>
      </c>
      <c r="T497" s="39">
        <v>1232</v>
      </c>
      <c r="U497" s="39">
        <v>1328</v>
      </c>
      <c r="V497" s="39">
        <v>1348</v>
      </c>
      <c r="W497" s="39">
        <v>1414</v>
      </c>
      <c r="X497" s="39">
        <v>1459</v>
      </c>
      <c r="Y497" s="39">
        <v>1513</v>
      </c>
      <c r="Z497" s="39">
        <v>1547</v>
      </c>
      <c r="AA497" s="39">
        <v>1500</v>
      </c>
    </row>
    <row r="498" spans="2:27" x14ac:dyDescent="0.25">
      <c r="B498" s="29"/>
      <c r="G498" t="s">
        <v>287</v>
      </c>
      <c r="H498" t="s">
        <v>274</v>
      </c>
      <c r="I498" s="39">
        <v>222</v>
      </c>
      <c r="J498" s="39">
        <v>224</v>
      </c>
      <c r="K498" s="39">
        <v>252</v>
      </c>
      <c r="L498" s="39">
        <v>296</v>
      </c>
      <c r="M498" s="39">
        <v>333</v>
      </c>
      <c r="N498" s="39">
        <v>362</v>
      </c>
      <c r="O498" s="39">
        <v>425</v>
      </c>
      <c r="P498" s="39">
        <v>319</v>
      </c>
      <c r="Q498" s="39">
        <v>506</v>
      </c>
      <c r="R498" s="39">
        <v>665</v>
      </c>
      <c r="S498" s="39">
        <v>613</v>
      </c>
      <c r="T498" s="39">
        <v>625</v>
      </c>
      <c r="U498" s="39">
        <v>595</v>
      </c>
      <c r="V498" s="39">
        <v>595</v>
      </c>
      <c r="W498" s="39">
        <v>635</v>
      </c>
      <c r="X498" s="39">
        <v>944</v>
      </c>
      <c r="Y498">
        <v>971</v>
      </c>
      <c r="Z498">
        <v>893</v>
      </c>
      <c r="AA498" s="39">
        <v>669</v>
      </c>
    </row>
    <row r="499" spans="2:27" x14ac:dyDescent="0.25">
      <c r="B499" s="29"/>
      <c r="G499" t="s">
        <v>288</v>
      </c>
      <c r="H499" t="s">
        <v>274</v>
      </c>
      <c r="I499" s="39">
        <v>3985</v>
      </c>
      <c r="J499" s="39">
        <v>4242</v>
      </c>
      <c r="K499" s="39">
        <v>4721</v>
      </c>
      <c r="L499" s="39">
        <v>4820</v>
      </c>
      <c r="M499" s="39">
        <v>4823</v>
      </c>
      <c r="N499" s="39">
        <v>4480</v>
      </c>
      <c r="O499" s="39">
        <v>4888</v>
      </c>
      <c r="P499" s="39">
        <v>4650</v>
      </c>
      <c r="Q499" s="39">
        <v>4445</v>
      </c>
      <c r="R499" s="39">
        <v>4373</v>
      </c>
      <c r="S499" s="39">
        <v>4464</v>
      </c>
      <c r="T499" s="39">
        <v>4662</v>
      </c>
      <c r="U499" s="39">
        <v>5148</v>
      </c>
      <c r="V499" s="39">
        <v>5153</v>
      </c>
      <c r="W499" s="39">
        <v>5047</v>
      </c>
      <c r="X499" s="39">
        <v>5210</v>
      </c>
      <c r="Y499" s="101">
        <v>3888</v>
      </c>
      <c r="Z499" s="39">
        <v>6381</v>
      </c>
      <c r="AA499" s="39">
        <v>4592</v>
      </c>
    </row>
    <row r="500" spans="2:27" x14ac:dyDescent="0.25">
      <c r="B500" s="29"/>
      <c r="G500" t="s">
        <v>289</v>
      </c>
      <c r="H500" t="s">
        <v>274</v>
      </c>
      <c r="I500" s="39">
        <v>461</v>
      </c>
      <c r="J500" s="39">
        <v>472</v>
      </c>
      <c r="K500" s="39">
        <v>498</v>
      </c>
      <c r="L500" s="39">
        <v>510</v>
      </c>
      <c r="M500" s="39">
        <v>512</v>
      </c>
      <c r="N500" s="39">
        <v>529</v>
      </c>
      <c r="O500" s="39">
        <v>495</v>
      </c>
      <c r="P500" s="39">
        <v>486</v>
      </c>
      <c r="Q500" s="39">
        <v>489</v>
      </c>
      <c r="R500" s="39">
        <v>546</v>
      </c>
      <c r="S500" s="39">
        <v>531</v>
      </c>
      <c r="T500" s="39">
        <v>517</v>
      </c>
      <c r="U500" s="39">
        <v>574</v>
      </c>
      <c r="V500" s="39">
        <v>551</v>
      </c>
      <c r="W500" s="39">
        <v>518</v>
      </c>
      <c r="X500" s="39">
        <v>571</v>
      </c>
      <c r="Y500">
        <v>600</v>
      </c>
      <c r="Z500">
        <v>656</v>
      </c>
      <c r="AA500" s="39">
        <v>564</v>
      </c>
    </row>
    <row r="501" spans="2:27" x14ac:dyDescent="0.25">
      <c r="B501" s="29"/>
      <c r="G501" t="s">
        <v>290</v>
      </c>
      <c r="H501" t="s">
        <v>274</v>
      </c>
      <c r="I501" s="39">
        <v>545</v>
      </c>
      <c r="J501" s="39">
        <v>582</v>
      </c>
      <c r="K501" s="39">
        <v>590</v>
      </c>
      <c r="L501" s="39">
        <v>661</v>
      </c>
      <c r="M501" s="39">
        <v>610</v>
      </c>
      <c r="N501" s="39">
        <v>655</v>
      </c>
      <c r="O501" s="39">
        <v>646</v>
      </c>
      <c r="P501" s="39">
        <v>659</v>
      </c>
      <c r="Q501" s="39">
        <v>698</v>
      </c>
      <c r="R501" s="39">
        <v>724</v>
      </c>
      <c r="S501" s="39">
        <v>718</v>
      </c>
      <c r="T501" s="39">
        <v>753</v>
      </c>
      <c r="U501" s="39">
        <v>756</v>
      </c>
      <c r="V501" s="39">
        <v>765</v>
      </c>
      <c r="W501" s="39">
        <v>746</v>
      </c>
      <c r="X501" s="39">
        <v>780</v>
      </c>
      <c r="Y501">
        <v>752</v>
      </c>
      <c r="Z501">
        <v>807</v>
      </c>
      <c r="AA501" s="39">
        <v>692</v>
      </c>
    </row>
    <row r="502" spans="2:27" x14ac:dyDescent="0.25">
      <c r="B502" s="29"/>
      <c r="E502" t="s">
        <v>293</v>
      </c>
      <c r="H502" t="s">
        <v>274</v>
      </c>
      <c r="I502" s="39">
        <v>10071</v>
      </c>
      <c r="J502" s="39">
        <v>10306</v>
      </c>
      <c r="K502" s="39">
        <v>10758</v>
      </c>
      <c r="L502" s="39">
        <v>11083</v>
      </c>
      <c r="M502" s="39">
        <v>11390</v>
      </c>
      <c r="N502" s="39">
        <v>10900</v>
      </c>
      <c r="O502" s="39">
        <v>11219</v>
      </c>
      <c r="P502" s="39">
        <v>9845</v>
      </c>
      <c r="Q502" s="39">
        <v>10812</v>
      </c>
      <c r="R502" s="39">
        <v>10049</v>
      </c>
      <c r="S502" s="39">
        <v>9033</v>
      </c>
      <c r="T502" s="39">
        <v>9251</v>
      </c>
      <c r="U502" s="39">
        <v>9933</v>
      </c>
      <c r="V502" s="39">
        <v>10281</v>
      </c>
      <c r="W502" s="39">
        <v>10521</v>
      </c>
      <c r="X502" s="39">
        <v>10970</v>
      </c>
      <c r="Y502">
        <v>10961</v>
      </c>
      <c r="Z502" s="39">
        <v>11355</v>
      </c>
      <c r="AA502" s="39">
        <v>10532</v>
      </c>
    </row>
    <row r="503" spans="2:27" x14ac:dyDescent="0.25">
      <c r="B503" s="29"/>
      <c r="G503" t="s">
        <v>275</v>
      </c>
      <c r="H503" t="s">
        <v>274</v>
      </c>
      <c r="I503" s="39">
        <v>16</v>
      </c>
      <c r="J503" s="39">
        <v>16</v>
      </c>
      <c r="K503" s="39">
        <v>10</v>
      </c>
      <c r="L503" s="39">
        <v>11</v>
      </c>
      <c r="M503" s="39">
        <v>16</v>
      </c>
      <c r="N503" s="39">
        <v>24</v>
      </c>
      <c r="O503" s="39">
        <v>27</v>
      </c>
      <c r="P503" s="39">
        <v>18</v>
      </c>
      <c r="Q503" s="39">
        <v>33</v>
      </c>
      <c r="R503" s="39">
        <v>19</v>
      </c>
      <c r="S503" s="39">
        <v>2</v>
      </c>
      <c r="T503" s="39">
        <v>4</v>
      </c>
      <c r="U503" s="39">
        <v>7</v>
      </c>
      <c r="V503" s="39">
        <v>7</v>
      </c>
      <c r="W503" s="39">
        <v>11</v>
      </c>
      <c r="X503" s="39">
        <v>34</v>
      </c>
      <c r="Y503">
        <v>35</v>
      </c>
      <c r="Z503">
        <v>44</v>
      </c>
      <c r="AA503" s="39">
        <v>50</v>
      </c>
    </row>
    <row r="504" spans="2:27" x14ac:dyDescent="0.25">
      <c r="B504" s="29"/>
      <c r="G504" t="s">
        <v>276</v>
      </c>
      <c r="H504" t="s">
        <v>274</v>
      </c>
      <c r="I504" s="39">
        <v>15</v>
      </c>
      <c r="J504" s="39">
        <v>2</v>
      </c>
      <c r="K504" s="39">
        <v>3</v>
      </c>
      <c r="L504" s="39">
        <v>4</v>
      </c>
      <c r="M504" s="39">
        <v>21</v>
      </c>
      <c r="N504" s="39">
        <v>25</v>
      </c>
      <c r="O504" s="39">
        <v>17</v>
      </c>
      <c r="P504" s="39">
        <v>9</v>
      </c>
      <c r="Q504" s="39">
        <v>13</v>
      </c>
      <c r="R504" s="39">
        <v>7</v>
      </c>
      <c r="S504" s="39">
        <v>2</v>
      </c>
      <c r="T504" s="39">
        <v>6</v>
      </c>
      <c r="U504" s="39">
        <v>2</v>
      </c>
      <c r="V504" s="39">
        <v>3</v>
      </c>
      <c r="W504" s="39">
        <v>1</v>
      </c>
      <c r="X504" s="39">
        <v>3</v>
      </c>
      <c r="Y504">
        <v>8</v>
      </c>
      <c r="Z504">
        <v>6</v>
      </c>
      <c r="AA504" s="39">
        <v>1</v>
      </c>
    </row>
    <row r="505" spans="2:27" x14ac:dyDescent="0.25">
      <c r="B505" s="29"/>
      <c r="G505" t="s">
        <v>126</v>
      </c>
      <c r="H505" t="s">
        <v>274</v>
      </c>
      <c r="I505" s="39">
        <v>7</v>
      </c>
      <c r="J505" s="39">
        <v>6</v>
      </c>
      <c r="K505" s="39">
        <v>5</v>
      </c>
      <c r="L505" s="39">
        <v>5</v>
      </c>
      <c r="M505" s="39">
        <v>6</v>
      </c>
      <c r="N505" s="39">
        <v>9</v>
      </c>
      <c r="O505" s="39">
        <v>7</v>
      </c>
      <c r="P505" s="39">
        <v>18</v>
      </c>
      <c r="Q505" s="39">
        <v>5</v>
      </c>
      <c r="R505" s="39">
        <v>21</v>
      </c>
      <c r="S505" s="39">
        <v>0</v>
      </c>
      <c r="T505" s="39">
        <v>1</v>
      </c>
      <c r="U505" s="39">
        <v>0</v>
      </c>
      <c r="V505" s="39">
        <v>0</v>
      </c>
      <c r="W505" s="39">
        <v>0</v>
      </c>
      <c r="X505" s="39">
        <v>0</v>
      </c>
      <c r="Y505">
        <v>0</v>
      </c>
      <c r="Z505">
        <v>0</v>
      </c>
      <c r="AA505" s="39">
        <v>0</v>
      </c>
    </row>
    <row r="506" spans="2:27" x14ac:dyDescent="0.25">
      <c r="B506" s="29"/>
      <c r="G506" t="s">
        <v>127</v>
      </c>
      <c r="H506" t="s">
        <v>274</v>
      </c>
      <c r="I506" s="39">
        <v>1402</v>
      </c>
      <c r="J506" s="39">
        <v>1232</v>
      </c>
      <c r="K506" s="39">
        <v>1000</v>
      </c>
      <c r="L506" s="39">
        <v>1135</v>
      </c>
      <c r="M506" s="39">
        <v>1313</v>
      </c>
      <c r="N506" s="39">
        <v>1360</v>
      </c>
      <c r="O506" s="39">
        <v>1377</v>
      </c>
      <c r="P506" s="39">
        <v>1206</v>
      </c>
      <c r="Q506" s="39">
        <v>961</v>
      </c>
      <c r="R506" s="39">
        <v>747</v>
      </c>
      <c r="S506" s="39">
        <v>614</v>
      </c>
      <c r="T506" s="39">
        <v>621</v>
      </c>
      <c r="U506" s="39">
        <v>734</v>
      </c>
      <c r="V506" s="39">
        <v>831</v>
      </c>
      <c r="W506" s="39">
        <v>938</v>
      </c>
      <c r="X506" s="39">
        <v>923</v>
      </c>
      <c r="Y506">
        <v>916</v>
      </c>
      <c r="Z506">
        <v>870</v>
      </c>
      <c r="AA506" s="39">
        <v>913</v>
      </c>
    </row>
    <row r="507" spans="2:27" x14ac:dyDescent="0.25">
      <c r="B507" s="29"/>
      <c r="G507" t="s">
        <v>128</v>
      </c>
      <c r="H507" t="s">
        <v>274</v>
      </c>
      <c r="I507" s="39">
        <v>127</v>
      </c>
      <c r="J507" s="39">
        <v>125</v>
      </c>
      <c r="K507" s="39">
        <v>149</v>
      </c>
      <c r="L507" s="39">
        <v>98</v>
      </c>
      <c r="M507" s="39">
        <v>110</v>
      </c>
      <c r="N507" s="39">
        <v>73</v>
      </c>
      <c r="O507" s="39">
        <v>83</v>
      </c>
      <c r="P507" s="39">
        <v>69</v>
      </c>
      <c r="Q507" s="39">
        <v>50</v>
      </c>
      <c r="R507" s="39">
        <v>95</v>
      </c>
      <c r="S507" s="39">
        <v>72</v>
      </c>
      <c r="T507" s="39">
        <v>64</v>
      </c>
      <c r="U507" s="39">
        <v>42</v>
      </c>
      <c r="V507" s="39">
        <v>56</v>
      </c>
      <c r="W507" s="39">
        <v>59</v>
      </c>
      <c r="X507" s="39">
        <v>80</v>
      </c>
      <c r="Y507">
        <v>79</v>
      </c>
      <c r="Z507">
        <v>87</v>
      </c>
      <c r="AA507" s="39">
        <v>63</v>
      </c>
    </row>
    <row r="508" spans="2:27" x14ac:dyDescent="0.25">
      <c r="B508" s="29"/>
      <c r="G508" t="s">
        <v>277</v>
      </c>
      <c r="H508" t="s">
        <v>274</v>
      </c>
      <c r="I508" s="39">
        <v>64</v>
      </c>
      <c r="J508" s="39">
        <v>80</v>
      </c>
      <c r="K508" s="39">
        <v>87</v>
      </c>
      <c r="L508" s="39">
        <v>94</v>
      </c>
      <c r="M508" s="39">
        <v>112</v>
      </c>
      <c r="N508" s="39">
        <v>148</v>
      </c>
      <c r="O508" s="39">
        <v>156</v>
      </c>
      <c r="P508" s="39">
        <v>119</v>
      </c>
      <c r="Q508" s="39">
        <v>108</v>
      </c>
      <c r="R508" s="39">
        <v>103</v>
      </c>
      <c r="S508" s="39">
        <v>93</v>
      </c>
      <c r="T508" s="39">
        <v>109</v>
      </c>
      <c r="U508" s="39">
        <v>102</v>
      </c>
      <c r="V508" s="39">
        <v>105</v>
      </c>
      <c r="W508" s="39">
        <v>121</v>
      </c>
      <c r="X508" s="39">
        <v>113</v>
      </c>
      <c r="Y508">
        <v>127</v>
      </c>
      <c r="Z508">
        <v>102</v>
      </c>
      <c r="AA508" s="39">
        <v>90</v>
      </c>
    </row>
    <row r="509" spans="2:27" x14ac:dyDescent="0.25">
      <c r="B509" s="29"/>
      <c r="G509" t="s">
        <v>278</v>
      </c>
      <c r="H509" t="s">
        <v>274</v>
      </c>
      <c r="I509" s="39">
        <v>1310</v>
      </c>
      <c r="J509" s="39">
        <v>1397</v>
      </c>
      <c r="K509" s="39">
        <v>1361</v>
      </c>
      <c r="L509" s="39">
        <v>1344</v>
      </c>
      <c r="M509" s="39">
        <v>1451</v>
      </c>
      <c r="N509" s="39">
        <v>1597</v>
      </c>
      <c r="O509" s="39">
        <v>1802</v>
      </c>
      <c r="P509" s="39">
        <v>1418</v>
      </c>
      <c r="Q509" s="39">
        <v>1462</v>
      </c>
      <c r="R509" s="39">
        <v>1437</v>
      </c>
      <c r="S509" s="39">
        <v>1385</v>
      </c>
      <c r="T509" s="39">
        <v>1367</v>
      </c>
      <c r="U509" s="39">
        <v>1475</v>
      </c>
      <c r="V509" s="39">
        <v>1544</v>
      </c>
      <c r="W509" s="39">
        <v>1458</v>
      </c>
      <c r="X509" s="39">
        <v>1469</v>
      </c>
      <c r="Y509">
        <v>1492</v>
      </c>
      <c r="Z509" s="39">
        <v>1570</v>
      </c>
      <c r="AA509" s="39">
        <v>1388</v>
      </c>
    </row>
    <row r="510" spans="2:27" x14ac:dyDescent="0.25">
      <c r="B510" s="29"/>
      <c r="G510" t="s">
        <v>279</v>
      </c>
      <c r="H510" t="s">
        <v>274</v>
      </c>
      <c r="I510" s="39">
        <v>116</v>
      </c>
      <c r="J510" s="39">
        <v>131</v>
      </c>
      <c r="K510" s="39">
        <v>139</v>
      </c>
      <c r="L510" s="39">
        <v>143</v>
      </c>
      <c r="M510" s="39">
        <v>112</v>
      </c>
      <c r="N510" s="39">
        <v>113</v>
      </c>
      <c r="O510" s="39">
        <v>100</v>
      </c>
      <c r="P510" s="39">
        <v>122</v>
      </c>
      <c r="Q510" s="39">
        <v>103</v>
      </c>
      <c r="R510" s="39">
        <v>129</v>
      </c>
      <c r="S510" s="39">
        <v>117</v>
      </c>
      <c r="T510" s="39">
        <v>108</v>
      </c>
      <c r="U510" s="39">
        <v>130</v>
      </c>
      <c r="V510" s="39">
        <v>133</v>
      </c>
      <c r="W510" s="39">
        <v>114</v>
      </c>
      <c r="X510" s="39">
        <v>125</v>
      </c>
      <c r="Y510">
        <v>107</v>
      </c>
      <c r="Z510">
        <v>135</v>
      </c>
      <c r="AA510" s="39">
        <v>241</v>
      </c>
    </row>
    <row r="511" spans="2:27" x14ac:dyDescent="0.25">
      <c r="B511" s="29"/>
      <c r="G511" t="s">
        <v>132</v>
      </c>
      <c r="H511" t="s">
        <v>274</v>
      </c>
      <c r="I511" s="39">
        <v>321</v>
      </c>
      <c r="J511" s="39">
        <v>313</v>
      </c>
      <c r="K511" s="39">
        <v>299</v>
      </c>
      <c r="L511" s="39">
        <v>298</v>
      </c>
      <c r="M511" s="39">
        <v>289</v>
      </c>
      <c r="N511" s="39">
        <v>288</v>
      </c>
      <c r="O511" s="39">
        <v>296</v>
      </c>
      <c r="P511" s="39">
        <v>258</v>
      </c>
      <c r="Q511" s="39">
        <v>235</v>
      </c>
      <c r="R511" s="39">
        <v>281</v>
      </c>
      <c r="S511" s="39">
        <v>220</v>
      </c>
      <c r="T511" s="39">
        <v>212</v>
      </c>
      <c r="U511" s="39">
        <v>223</v>
      </c>
      <c r="V511" s="39">
        <v>195</v>
      </c>
      <c r="W511" s="39">
        <v>218</v>
      </c>
      <c r="X511" s="39">
        <v>204</v>
      </c>
      <c r="Y511">
        <v>197</v>
      </c>
      <c r="Z511">
        <v>215</v>
      </c>
      <c r="AA511" s="39">
        <v>175</v>
      </c>
    </row>
    <row r="512" spans="2:27" x14ac:dyDescent="0.25">
      <c r="B512" s="29"/>
      <c r="G512" t="s">
        <v>280</v>
      </c>
      <c r="H512" t="s">
        <v>274</v>
      </c>
      <c r="I512" s="39">
        <v>380</v>
      </c>
      <c r="J512" s="39">
        <v>392</v>
      </c>
      <c r="K512" s="39">
        <v>409</v>
      </c>
      <c r="L512" s="39">
        <v>414</v>
      </c>
      <c r="M512" s="39">
        <v>443</v>
      </c>
      <c r="N512" s="39">
        <v>450</v>
      </c>
      <c r="O512" s="39">
        <v>476</v>
      </c>
      <c r="P512" s="39">
        <v>403</v>
      </c>
      <c r="Q512" s="39">
        <v>289</v>
      </c>
      <c r="R512" s="39">
        <v>372</v>
      </c>
      <c r="S512" s="39">
        <v>336</v>
      </c>
      <c r="T512" s="39">
        <v>354</v>
      </c>
      <c r="U512" s="39">
        <v>389</v>
      </c>
      <c r="V512" s="39">
        <v>422</v>
      </c>
      <c r="W512" s="39">
        <v>410</v>
      </c>
      <c r="X512" s="39">
        <v>432</v>
      </c>
      <c r="Y512">
        <v>486</v>
      </c>
      <c r="Z512">
        <v>451</v>
      </c>
      <c r="AA512" s="39">
        <v>371</v>
      </c>
    </row>
    <row r="513" spans="1:27" x14ac:dyDescent="0.25">
      <c r="B513" s="29"/>
      <c r="G513" t="s">
        <v>281</v>
      </c>
      <c r="H513" t="s">
        <v>274</v>
      </c>
      <c r="I513" s="39">
        <v>237</v>
      </c>
      <c r="J513" s="39">
        <v>251</v>
      </c>
      <c r="K513" s="39">
        <v>233</v>
      </c>
      <c r="L513" s="39">
        <v>216</v>
      </c>
      <c r="M513" s="39">
        <v>219</v>
      </c>
      <c r="N513" s="39">
        <v>213</v>
      </c>
      <c r="O513" s="39">
        <v>240</v>
      </c>
      <c r="P513" s="39">
        <v>161</v>
      </c>
      <c r="Q513" s="39">
        <v>194</v>
      </c>
      <c r="R513" s="39">
        <v>139</v>
      </c>
      <c r="S513" s="39">
        <v>153</v>
      </c>
      <c r="T513" s="39">
        <v>198</v>
      </c>
      <c r="U513" s="39">
        <v>206</v>
      </c>
      <c r="V513" s="39">
        <v>212</v>
      </c>
      <c r="W513" s="39">
        <v>273</v>
      </c>
      <c r="X513" s="39">
        <v>284</v>
      </c>
      <c r="Y513">
        <v>353</v>
      </c>
      <c r="Z513">
        <v>317</v>
      </c>
      <c r="AA513" s="39">
        <v>345</v>
      </c>
    </row>
    <row r="514" spans="1:27" x14ac:dyDescent="0.25">
      <c r="B514" s="29"/>
      <c r="G514" t="s">
        <v>282</v>
      </c>
      <c r="H514" t="s">
        <v>274</v>
      </c>
      <c r="I514" s="39">
        <v>629</v>
      </c>
      <c r="J514" s="39">
        <v>584</v>
      </c>
      <c r="K514" s="39">
        <v>602</v>
      </c>
      <c r="L514" s="39">
        <v>616</v>
      </c>
      <c r="M514" s="39">
        <v>611</v>
      </c>
      <c r="N514" s="39">
        <v>700</v>
      </c>
      <c r="O514" s="39">
        <v>710</v>
      </c>
      <c r="P514" s="39">
        <v>573</v>
      </c>
      <c r="Q514" s="39">
        <v>628</v>
      </c>
      <c r="R514" s="39">
        <v>602</v>
      </c>
      <c r="S514" s="39">
        <v>661</v>
      </c>
      <c r="T514" s="39">
        <v>684</v>
      </c>
      <c r="U514" s="39">
        <v>742</v>
      </c>
      <c r="V514" s="39">
        <v>750</v>
      </c>
      <c r="W514" s="39">
        <v>745</v>
      </c>
      <c r="X514" s="39">
        <v>803</v>
      </c>
      <c r="Y514">
        <v>801</v>
      </c>
      <c r="Z514">
        <v>805</v>
      </c>
      <c r="AA514" s="39">
        <v>825</v>
      </c>
    </row>
    <row r="515" spans="1:27" x14ac:dyDescent="0.25">
      <c r="B515" s="29"/>
      <c r="G515" t="s">
        <v>283</v>
      </c>
      <c r="H515" t="s">
        <v>274</v>
      </c>
      <c r="I515" s="39">
        <v>47</v>
      </c>
      <c r="J515" s="39">
        <v>37</v>
      </c>
      <c r="K515" s="39">
        <v>41</v>
      </c>
      <c r="L515" s="39">
        <v>44</v>
      </c>
      <c r="M515" s="39">
        <v>50</v>
      </c>
      <c r="N515" s="39">
        <v>53</v>
      </c>
      <c r="O515" s="39">
        <v>23</v>
      </c>
      <c r="P515" s="39">
        <v>29</v>
      </c>
      <c r="Q515" s="39">
        <v>33</v>
      </c>
      <c r="R515" s="39">
        <v>25</v>
      </c>
      <c r="S515" s="39">
        <v>7</v>
      </c>
      <c r="T515" s="39">
        <v>19</v>
      </c>
      <c r="U515" s="39">
        <v>17</v>
      </c>
      <c r="V515" s="39">
        <v>11</v>
      </c>
      <c r="W515" s="39">
        <v>7</v>
      </c>
      <c r="X515" s="39">
        <v>16</v>
      </c>
      <c r="Y515">
        <v>13</v>
      </c>
      <c r="Z515">
        <v>12</v>
      </c>
      <c r="AA515" s="39">
        <v>20</v>
      </c>
    </row>
    <row r="516" spans="1:27" x14ac:dyDescent="0.25">
      <c r="B516" s="29"/>
      <c r="G516" t="s">
        <v>284</v>
      </c>
      <c r="H516" t="s">
        <v>274</v>
      </c>
      <c r="I516" s="39">
        <v>328</v>
      </c>
      <c r="J516" s="39">
        <v>343</v>
      </c>
      <c r="K516" s="39">
        <v>400</v>
      </c>
      <c r="L516" s="39">
        <v>371</v>
      </c>
      <c r="M516" s="39">
        <v>410</v>
      </c>
      <c r="N516" s="39">
        <v>423</v>
      </c>
      <c r="O516" s="39">
        <v>420</v>
      </c>
      <c r="P516" s="39">
        <v>385</v>
      </c>
      <c r="Q516" s="39">
        <v>392</v>
      </c>
      <c r="R516" s="39">
        <v>429</v>
      </c>
      <c r="S516" s="39">
        <v>409</v>
      </c>
      <c r="T516" s="39">
        <v>481</v>
      </c>
      <c r="U516" s="39">
        <v>492</v>
      </c>
      <c r="V516" s="39">
        <v>456</v>
      </c>
      <c r="W516" s="39">
        <v>553</v>
      </c>
      <c r="X516" s="39">
        <v>531</v>
      </c>
      <c r="Y516">
        <v>498</v>
      </c>
      <c r="Z516">
        <v>542</v>
      </c>
      <c r="AA516" s="39">
        <v>522</v>
      </c>
    </row>
    <row r="517" spans="1:27" x14ac:dyDescent="0.25">
      <c r="B517" s="29"/>
      <c r="G517" t="s">
        <v>285</v>
      </c>
      <c r="H517" t="s">
        <v>274</v>
      </c>
      <c r="I517" s="39">
        <v>520</v>
      </c>
      <c r="J517" s="39">
        <v>541</v>
      </c>
      <c r="K517" s="39">
        <v>626</v>
      </c>
      <c r="L517" s="39">
        <v>704</v>
      </c>
      <c r="M517" s="39">
        <v>725</v>
      </c>
      <c r="N517" s="39">
        <v>760</v>
      </c>
      <c r="O517" s="39">
        <v>754</v>
      </c>
      <c r="P517" s="39">
        <v>779</v>
      </c>
      <c r="Q517" s="39">
        <v>723</v>
      </c>
      <c r="R517" s="39">
        <v>668</v>
      </c>
      <c r="S517" s="39">
        <v>712</v>
      </c>
      <c r="T517" s="39">
        <v>767</v>
      </c>
      <c r="U517" s="39">
        <v>820</v>
      </c>
      <c r="V517" s="39">
        <v>772</v>
      </c>
      <c r="W517" s="39">
        <v>789</v>
      </c>
      <c r="X517" s="39">
        <v>827</v>
      </c>
      <c r="Y517">
        <v>778</v>
      </c>
      <c r="Z517">
        <v>819</v>
      </c>
      <c r="AA517" s="39">
        <v>766</v>
      </c>
    </row>
    <row r="518" spans="1:27" x14ac:dyDescent="0.25">
      <c r="B518" s="29"/>
      <c r="G518" t="s">
        <v>286</v>
      </c>
      <c r="H518" t="s">
        <v>274</v>
      </c>
      <c r="I518" s="39">
        <v>858</v>
      </c>
      <c r="J518" s="39">
        <v>945</v>
      </c>
      <c r="K518" s="39">
        <v>945</v>
      </c>
      <c r="L518" s="39">
        <v>961</v>
      </c>
      <c r="M518" s="39">
        <v>969</v>
      </c>
      <c r="N518" s="39">
        <v>978</v>
      </c>
      <c r="O518" s="39">
        <v>959</v>
      </c>
      <c r="P518" s="39">
        <v>1046</v>
      </c>
      <c r="Q518" s="39">
        <v>1099</v>
      </c>
      <c r="R518" s="39">
        <v>1077</v>
      </c>
      <c r="S518" s="39">
        <v>1098</v>
      </c>
      <c r="T518" s="39">
        <v>1038</v>
      </c>
      <c r="U518" s="39">
        <v>1127</v>
      </c>
      <c r="V518" s="39">
        <v>1148</v>
      </c>
      <c r="W518" s="39">
        <v>1213</v>
      </c>
      <c r="X518" s="39">
        <v>1264</v>
      </c>
      <c r="Y518">
        <v>1308</v>
      </c>
      <c r="Z518" s="39">
        <v>1250</v>
      </c>
      <c r="AA518" s="39">
        <v>1240</v>
      </c>
    </row>
    <row r="519" spans="1:27" x14ac:dyDescent="0.25">
      <c r="B519" s="29"/>
      <c r="G519" t="s">
        <v>287</v>
      </c>
      <c r="H519" t="s">
        <v>274</v>
      </c>
      <c r="I519" s="39">
        <v>132</v>
      </c>
      <c r="J519" s="39">
        <v>127</v>
      </c>
      <c r="K519" s="39">
        <v>145</v>
      </c>
      <c r="L519" s="39">
        <v>162</v>
      </c>
      <c r="M519" s="39">
        <v>211</v>
      </c>
      <c r="N519" s="39">
        <v>261</v>
      </c>
      <c r="O519" s="39">
        <v>292</v>
      </c>
      <c r="P519" s="39">
        <v>237</v>
      </c>
      <c r="Q519" s="39">
        <v>265</v>
      </c>
      <c r="R519" s="39">
        <v>402</v>
      </c>
      <c r="S519" s="39">
        <v>320</v>
      </c>
      <c r="T519" s="39">
        <v>320</v>
      </c>
      <c r="U519" s="39">
        <v>313</v>
      </c>
      <c r="V519" s="39">
        <v>286</v>
      </c>
      <c r="W519" s="39">
        <v>301</v>
      </c>
      <c r="X519" s="39">
        <v>509</v>
      </c>
      <c r="Y519">
        <v>542</v>
      </c>
      <c r="Z519">
        <v>484</v>
      </c>
      <c r="AA519" s="39">
        <v>457</v>
      </c>
    </row>
    <row r="520" spans="1:27" x14ac:dyDescent="0.25">
      <c r="B520" s="29"/>
      <c r="G520" t="s">
        <v>288</v>
      </c>
      <c r="H520" t="s">
        <v>274</v>
      </c>
      <c r="I520" s="39">
        <v>2769</v>
      </c>
      <c r="J520" s="39">
        <v>2978</v>
      </c>
      <c r="K520" s="39">
        <v>3469</v>
      </c>
      <c r="L520" s="39">
        <v>3565</v>
      </c>
      <c r="M520" s="39">
        <v>3456</v>
      </c>
      <c r="N520" s="39">
        <v>2476</v>
      </c>
      <c r="O520" s="39">
        <v>2596</v>
      </c>
      <c r="P520" s="39">
        <v>2106</v>
      </c>
      <c r="Q520" s="39">
        <v>3211</v>
      </c>
      <c r="R520" s="39">
        <v>2405</v>
      </c>
      <c r="S520" s="39">
        <v>1938</v>
      </c>
      <c r="T520" s="39">
        <v>1978</v>
      </c>
      <c r="U520" s="39">
        <v>2159</v>
      </c>
      <c r="V520" s="39">
        <v>2367</v>
      </c>
      <c r="W520" s="39">
        <v>2359</v>
      </c>
      <c r="X520" s="39">
        <v>2321</v>
      </c>
      <c r="Y520">
        <v>2214</v>
      </c>
      <c r="Z520" s="39">
        <v>2578</v>
      </c>
      <c r="AA520" s="39">
        <v>2051</v>
      </c>
    </row>
    <row r="521" spans="1:27" x14ac:dyDescent="0.25">
      <c r="B521" s="29"/>
      <c r="G521" t="s">
        <v>289</v>
      </c>
      <c r="H521" t="s">
        <v>274</v>
      </c>
      <c r="I521" s="39">
        <v>360</v>
      </c>
      <c r="J521" s="39">
        <v>370</v>
      </c>
      <c r="K521" s="39">
        <v>393</v>
      </c>
      <c r="L521" s="39">
        <v>403</v>
      </c>
      <c r="M521" s="39">
        <v>405</v>
      </c>
      <c r="N521" s="39">
        <v>447</v>
      </c>
      <c r="O521" s="39">
        <v>387</v>
      </c>
      <c r="P521" s="39">
        <v>362</v>
      </c>
      <c r="Q521" s="39">
        <v>352</v>
      </c>
      <c r="R521" s="39">
        <v>409</v>
      </c>
      <c r="S521" s="39">
        <v>323</v>
      </c>
      <c r="T521" s="39">
        <v>341</v>
      </c>
      <c r="U521" s="39">
        <v>352</v>
      </c>
      <c r="V521" s="39">
        <v>379</v>
      </c>
      <c r="W521" s="39">
        <v>357</v>
      </c>
      <c r="X521" s="39">
        <v>380</v>
      </c>
      <c r="Y521">
        <v>386</v>
      </c>
      <c r="Z521">
        <v>406</v>
      </c>
      <c r="AA521" s="39">
        <v>345</v>
      </c>
    </row>
    <row r="522" spans="1:27" x14ac:dyDescent="0.25">
      <c r="B522" s="29"/>
      <c r="G522" t="s">
        <v>290</v>
      </c>
      <c r="H522" t="s">
        <v>274</v>
      </c>
      <c r="I522" s="39">
        <v>433</v>
      </c>
      <c r="J522" s="39">
        <v>436</v>
      </c>
      <c r="K522" s="39">
        <v>442</v>
      </c>
      <c r="L522" s="39">
        <v>495</v>
      </c>
      <c r="M522" s="39">
        <v>461</v>
      </c>
      <c r="N522" s="39">
        <v>502</v>
      </c>
      <c r="O522" s="39">
        <v>497</v>
      </c>
      <c r="P522" s="39">
        <v>527</v>
      </c>
      <c r="Q522" s="39">
        <v>656</v>
      </c>
      <c r="R522" s="39">
        <v>682</v>
      </c>
      <c r="S522" s="39">
        <v>571</v>
      </c>
      <c r="T522" s="39">
        <v>579</v>
      </c>
      <c r="U522" s="39">
        <v>601</v>
      </c>
      <c r="V522" s="39">
        <v>604</v>
      </c>
      <c r="W522" s="39">
        <v>594</v>
      </c>
      <c r="X522" s="39">
        <v>652</v>
      </c>
      <c r="Y522">
        <v>621</v>
      </c>
      <c r="Z522">
        <v>662</v>
      </c>
      <c r="AA522" s="39">
        <v>669</v>
      </c>
    </row>
    <row r="523" spans="1:27" s="2" customFormat="1" x14ac:dyDescent="0.25">
      <c r="B523" s="3"/>
      <c r="J523" s="48"/>
      <c r="K523" s="49"/>
      <c r="L523" s="49"/>
      <c r="M523" s="49"/>
      <c r="N523" s="49"/>
      <c r="O523" s="49"/>
      <c r="P523" s="49"/>
      <c r="Q523" s="49"/>
      <c r="R523" s="49"/>
      <c r="S523" s="49"/>
      <c r="T523" s="49"/>
      <c r="U523" s="49"/>
      <c r="V523" s="49"/>
      <c r="W523" s="49"/>
    </row>
    <row r="524" spans="1:27" s="28" customFormat="1" ht="17.25" x14ac:dyDescent="0.3">
      <c r="A524" s="28" t="s">
        <v>294</v>
      </c>
    </row>
    <row r="525" spans="1:27" x14ac:dyDescent="0.25">
      <c r="B525" s="29" t="s">
        <v>3</v>
      </c>
      <c r="C525" t="s">
        <v>295</v>
      </c>
    </row>
    <row r="526" spans="1:27" x14ac:dyDescent="0.25">
      <c r="B526" s="29"/>
      <c r="C526" t="s">
        <v>266</v>
      </c>
    </row>
    <row r="527" spans="1:27" x14ac:dyDescent="0.25">
      <c r="B527" s="29" t="s">
        <v>10</v>
      </c>
      <c r="C527" s="263" t="s">
        <v>239</v>
      </c>
    </row>
    <row r="528" spans="1:27" x14ac:dyDescent="0.25">
      <c r="B528" s="29" t="s">
        <v>14</v>
      </c>
      <c r="C528" t="s">
        <v>296</v>
      </c>
    </row>
    <row r="529" spans="2:27" x14ac:dyDescent="0.25">
      <c r="B529" s="29"/>
      <c r="C529" t="s">
        <v>297</v>
      </c>
    </row>
    <row r="530" spans="2:27" x14ac:dyDescent="0.25">
      <c r="B530" s="29"/>
      <c r="C530" t="s">
        <v>298</v>
      </c>
    </row>
    <row r="531" spans="2:27" x14ac:dyDescent="0.25">
      <c r="B531" s="29" t="s">
        <v>17</v>
      </c>
      <c r="C531" t="s">
        <v>270</v>
      </c>
    </row>
    <row r="532" spans="2:27" s="25" customFormat="1" ht="15.75" thickBot="1" x14ac:dyDescent="0.3">
      <c r="B532" s="30" t="s">
        <v>19</v>
      </c>
      <c r="C532" s="25" t="s">
        <v>299</v>
      </c>
    </row>
    <row r="533" spans="2:27" s="8" customFormat="1" ht="15.75" thickTop="1" x14ac:dyDescent="0.25">
      <c r="B533" s="9"/>
      <c r="C533" s="8" t="s">
        <v>300</v>
      </c>
      <c r="H533" s="8" t="s">
        <v>274</v>
      </c>
      <c r="I533" s="42">
        <f>SUM(I534:I545)</f>
        <v>13515</v>
      </c>
      <c r="J533" s="42">
        <f t="shared" ref="J533:AA533" si="164">SUM(J534:J545)</f>
        <v>13962</v>
      </c>
      <c r="K533" s="42">
        <f t="shared" si="164"/>
        <v>14254</v>
      </c>
      <c r="L533" s="42">
        <f t="shared" si="164"/>
        <v>14769</v>
      </c>
      <c r="M533" s="42">
        <f t="shared" si="164"/>
        <v>15121</v>
      </c>
      <c r="N533" s="42">
        <f t="shared" si="164"/>
        <v>15389</v>
      </c>
      <c r="O533" s="42">
        <f t="shared" si="164"/>
        <v>16004</v>
      </c>
      <c r="P533" s="42">
        <f t="shared" si="164"/>
        <v>14880</v>
      </c>
      <c r="Q533" s="42">
        <f t="shared" si="164"/>
        <v>14264</v>
      </c>
      <c r="R533" s="42">
        <f t="shared" si="164"/>
        <v>14192</v>
      </c>
      <c r="S533" s="42">
        <f t="shared" si="164"/>
        <v>14671</v>
      </c>
      <c r="T533" s="42">
        <f t="shared" si="164"/>
        <v>15304</v>
      </c>
      <c r="U533" s="42">
        <f t="shared" si="164"/>
        <v>16320</v>
      </c>
      <c r="V533" s="42">
        <f t="shared" si="164"/>
        <v>16700</v>
      </c>
      <c r="W533" s="42">
        <f t="shared" si="164"/>
        <v>16910</v>
      </c>
      <c r="X533" s="42">
        <f t="shared" si="164"/>
        <v>17741</v>
      </c>
      <c r="Y533" s="42">
        <f t="shared" si="164"/>
        <v>16717</v>
      </c>
      <c r="Z533" s="42">
        <f t="shared" si="164"/>
        <v>19445</v>
      </c>
      <c r="AA533" s="42">
        <f t="shared" si="164"/>
        <v>16953</v>
      </c>
    </row>
    <row r="534" spans="2:27" x14ac:dyDescent="0.25">
      <c r="D534" t="s">
        <v>301</v>
      </c>
      <c r="H534" t="s">
        <v>274</v>
      </c>
      <c r="I534" s="39">
        <v>6711</v>
      </c>
      <c r="J534" s="39">
        <v>7322</v>
      </c>
      <c r="K534" s="39">
        <v>8038</v>
      </c>
      <c r="L534" s="39">
        <v>8148</v>
      </c>
      <c r="M534" s="39">
        <v>8425</v>
      </c>
      <c r="N534" s="39">
        <v>8122</v>
      </c>
      <c r="O534" s="39">
        <v>8011</v>
      </c>
      <c r="P534" s="39">
        <v>9901</v>
      </c>
      <c r="Q534" s="39">
        <v>9472</v>
      </c>
      <c r="R534" s="39">
        <v>8462</v>
      </c>
      <c r="S534" s="39">
        <v>8709</v>
      </c>
      <c r="T534" s="39">
        <v>8702</v>
      </c>
      <c r="U534" s="39">
        <v>9227</v>
      </c>
      <c r="V534" s="39">
        <v>7992</v>
      </c>
      <c r="W534" s="39">
        <v>8078</v>
      </c>
      <c r="X534" s="39">
        <v>8095</v>
      </c>
      <c r="Y534" s="39">
        <v>7663</v>
      </c>
      <c r="Z534" s="39">
        <v>9201</v>
      </c>
      <c r="AA534" s="39">
        <v>7833</v>
      </c>
    </row>
    <row r="535" spans="2:27" x14ac:dyDescent="0.25">
      <c r="D535" t="s">
        <v>302</v>
      </c>
      <c r="H535" t="s">
        <v>274</v>
      </c>
      <c r="I535" s="39">
        <v>348</v>
      </c>
      <c r="J535" s="39">
        <v>396</v>
      </c>
      <c r="K535" s="39">
        <v>428</v>
      </c>
      <c r="L535" s="39">
        <v>798</v>
      </c>
      <c r="M535" s="39">
        <v>903</v>
      </c>
      <c r="N535" s="39">
        <v>739</v>
      </c>
      <c r="O535" s="39">
        <v>805</v>
      </c>
      <c r="P535" s="39">
        <v>516</v>
      </c>
      <c r="Q535" s="39">
        <v>523</v>
      </c>
      <c r="R535" s="39">
        <v>563</v>
      </c>
      <c r="S535" s="39">
        <v>643</v>
      </c>
      <c r="T535" s="39">
        <v>628</v>
      </c>
      <c r="U535" s="39">
        <v>752</v>
      </c>
      <c r="V535" s="39">
        <v>1105</v>
      </c>
      <c r="W535" s="39">
        <v>1077</v>
      </c>
      <c r="X535" s="39">
        <v>1237</v>
      </c>
      <c r="Y535" s="39">
        <v>1159</v>
      </c>
      <c r="Z535" s="39">
        <v>1352</v>
      </c>
      <c r="AA535" s="39">
        <v>1698</v>
      </c>
    </row>
    <row r="536" spans="2:27" x14ac:dyDescent="0.25">
      <c r="D536" t="s">
        <v>303</v>
      </c>
      <c r="H536" t="s">
        <v>274</v>
      </c>
      <c r="I536" s="39">
        <v>956</v>
      </c>
      <c r="J536" s="39">
        <v>601</v>
      </c>
      <c r="K536" s="39">
        <v>496</v>
      </c>
      <c r="L536" s="39">
        <v>496</v>
      </c>
      <c r="M536" s="39">
        <v>489</v>
      </c>
      <c r="N536" s="39">
        <v>555</v>
      </c>
      <c r="O536" s="39">
        <v>707</v>
      </c>
      <c r="P536" s="39">
        <v>818</v>
      </c>
      <c r="Q536" s="39">
        <v>796</v>
      </c>
      <c r="R536" s="39">
        <v>803</v>
      </c>
      <c r="S536" s="39">
        <v>770</v>
      </c>
      <c r="T536" s="39">
        <v>805</v>
      </c>
      <c r="U536" s="39">
        <v>892</v>
      </c>
      <c r="V536" s="39">
        <v>1093</v>
      </c>
      <c r="W536" s="39">
        <v>1145</v>
      </c>
      <c r="X536" s="39">
        <v>1181</v>
      </c>
      <c r="Y536" s="39">
        <v>1200</v>
      </c>
      <c r="Z536" s="39">
        <v>1428</v>
      </c>
      <c r="AA536" s="39">
        <v>1262</v>
      </c>
    </row>
    <row r="537" spans="2:27" x14ac:dyDescent="0.25">
      <c r="D537" t="s">
        <v>304</v>
      </c>
      <c r="H537" t="s">
        <v>274</v>
      </c>
      <c r="I537" s="39">
        <v>271</v>
      </c>
      <c r="J537" s="39">
        <v>332</v>
      </c>
      <c r="K537" s="39">
        <v>353</v>
      </c>
      <c r="L537" s="39">
        <v>715</v>
      </c>
      <c r="M537" s="39">
        <v>740</v>
      </c>
      <c r="N537" s="39">
        <v>617</v>
      </c>
      <c r="O537" s="39">
        <v>715</v>
      </c>
      <c r="P537" s="39">
        <v>477</v>
      </c>
      <c r="Q537" s="39">
        <v>465</v>
      </c>
      <c r="R537" s="39">
        <v>398</v>
      </c>
      <c r="S537" s="39">
        <v>446</v>
      </c>
      <c r="T537" s="39">
        <v>486</v>
      </c>
      <c r="U537" s="39">
        <v>491</v>
      </c>
      <c r="V537" s="39">
        <v>775</v>
      </c>
      <c r="W537" s="39">
        <v>792</v>
      </c>
      <c r="X537" s="39">
        <v>816</v>
      </c>
      <c r="Y537">
        <v>735</v>
      </c>
      <c r="Z537" s="39">
        <v>961</v>
      </c>
      <c r="AA537" s="39">
        <v>647</v>
      </c>
    </row>
    <row r="538" spans="2:27" x14ac:dyDescent="0.25">
      <c r="D538" t="s">
        <v>305</v>
      </c>
      <c r="H538" t="s">
        <v>274</v>
      </c>
      <c r="I538" s="39">
        <v>164</v>
      </c>
      <c r="J538" s="39">
        <v>188</v>
      </c>
      <c r="K538" s="39">
        <v>213</v>
      </c>
      <c r="L538" s="39">
        <v>404</v>
      </c>
      <c r="M538" s="39">
        <v>434</v>
      </c>
      <c r="N538" s="39">
        <v>362</v>
      </c>
      <c r="O538" s="39">
        <v>405</v>
      </c>
      <c r="P538" s="39">
        <v>267</v>
      </c>
      <c r="Q538" s="39">
        <v>267</v>
      </c>
      <c r="R538" s="39">
        <v>197</v>
      </c>
      <c r="S538" s="39">
        <v>227</v>
      </c>
      <c r="T538" s="39">
        <v>220</v>
      </c>
      <c r="U538" s="39">
        <v>298</v>
      </c>
      <c r="V538" s="39">
        <v>385</v>
      </c>
      <c r="W538" s="39">
        <v>379</v>
      </c>
      <c r="X538" s="39">
        <v>410</v>
      </c>
      <c r="Y538">
        <v>362</v>
      </c>
      <c r="Z538" s="39">
        <v>495</v>
      </c>
      <c r="AA538" s="39">
        <v>182</v>
      </c>
    </row>
    <row r="539" spans="2:27" x14ac:dyDescent="0.25">
      <c r="D539" t="s">
        <v>306</v>
      </c>
      <c r="H539" t="s">
        <v>274</v>
      </c>
      <c r="I539" s="39">
        <v>383</v>
      </c>
      <c r="J539" s="39">
        <v>411</v>
      </c>
      <c r="K539" s="39">
        <v>342</v>
      </c>
      <c r="L539" s="39">
        <v>334</v>
      </c>
      <c r="M539" s="39">
        <v>391</v>
      </c>
      <c r="N539" s="39">
        <v>434</v>
      </c>
      <c r="O539" s="39">
        <v>405</v>
      </c>
      <c r="P539" s="39">
        <v>205</v>
      </c>
      <c r="Q539" s="39">
        <v>164</v>
      </c>
      <c r="R539" s="39">
        <v>194</v>
      </c>
      <c r="S539" s="39">
        <v>201</v>
      </c>
      <c r="T539" s="39">
        <v>236</v>
      </c>
      <c r="U539" s="39">
        <v>276</v>
      </c>
      <c r="V539" s="39">
        <v>333</v>
      </c>
      <c r="W539" s="39">
        <v>390</v>
      </c>
      <c r="X539" s="39">
        <v>401</v>
      </c>
      <c r="Y539">
        <v>381</v>
      </c>
      <c r="Z539" s="39">
        <v>421</v>
      </c>
      <c r="AA539" s="39">
        <v>396</v>
      </c>
    </row>
    <row r="540" spans="2:27" x14ac:dyDescent="0.25">
      <c r="D540" t="s">
        <v>307</v>
      </c>
      <c r="H540" t="s">
        <v>274</v>
      </c>
      <c r="I540" s="39">
        <v>408</v>
      </c>
      <c r="J540" s="39">
        <v>130</v>
      </c>
      <c r="K540" s="39">
        <v>156</v>
      </c>
      <c r="L540" s="39">
        <v>175</v>
      </c>
      <c r="M540" s="39">
        <v>115</v>
      </c>
      <c r="N540" s="39">
        <v>303</v>
      </c>
      <c r="O540" s="39">
        <v>318</v>
      </c>
      <c r="P540" s="39">
        <v>137</v>
      </c>
      <c r="Q540" s="39">
        <v>165</v>
      </c>
      <c r="R540" s="39">
        <v>143</v>
      </c>
      <c r="S540" s="39">
        <v>106</v>
      </c>
      <c r="T540" s="39">
        <v>131</v>
      </c>
      <c r="U540" s="39">
        <v>130</v>
      </c>
      <c r="V540" s="39">
        <v>174</v>
      </c>
      <c r="W540" s="39">
        <v>173</v>
      </c>
      <c r="X540" s="39">
        <v>221</v>
      </c>
      <c r="Y540">
        <v>158</v>
      </c>
      <c r="Z540" s="39">
        <v>171</v>
      </c>
      <c r="AA540" s="39">
        <v>146</v>
      </c>
    </row>
    <row r="541" spans="2:27" x14ac:dyDescent="0.25">
      <c r="D541" t="s">
        <v>308</v>
      </c>
      <c r="H541" t="s">
        <v>274</v>
      </c>
      <c r="I541" s="39">
        <v>122</v>
      </c>
      <c r="J541" s="39">
        <v>82</v>
      </c>
      <c r="K541" s="39">
        <v>95</v>
      </c>
      <c r="L541" s="39">
        <v>88</v>
      </c>
      <c r="M541" s="39">
        <v>98</v>
      </c>
      <c r="N541" s="39">
        <v>348</v>
      </c>
      <c r="O541" s="39">
        <v>349</v>
      </c>
      <c r="P541" s="39">
        <v>121</v>
      </c>
      <c r="Q541" s="39">
        <v>169</v>
      </c>
      <c r="R541" s="39">
        <v>191</v>
      </c>
      <c r="S541" s="39">
        <v>151</v>
      </c>
      <c r="T541" s="39">
        <v>167</v>
      </c>
      <c r="U541" s="39">
        <v>176</v>
      </c>
      <c r="V541" s="39">
        <v>218</v>
      </c>
      <c r="W541" s="39">
        <v>194</v>
      </c>
      <c r="X541" s="39">
        <v>202</v>
      </c>
      <c r="Y541">
        <v>190</v>
      </c>
      <c r="Z541" s="39">
        <v>186</v>
      </c>
      <c r="AA541" s="39">
        <v>139</v>
      </c>
    </row>
    <row r="542" spans="2:27" x14ac:dyDescent="0.25">
      <c r="D542" t="s">
        <v>309</v>
      </c>
      <c r="H542" t="s">
        <v>274</v>
      </c>
      <c r="I542" s="39">
        <v>144</v>
      </c>
      <c r="J542" s="39">
        <v>156</v>
      </c>
      <c r="K542" s="39">
        <v>165</v>
      </c>
      <c r="L542" s="39">
        <v>190</v>
      </c>
      <c r="M542" s="39">
        <v>158</v>
      </c>
      <c r="N542" s="39">
        <v>161</v>
      </c>
      <c r="O542" s="39">
        <v>141</v>
      </c>
      <c r="P542" s="39">
        <v>203</v>
      </c>
      <c r="Q542" s="39">
        <v>224</v>
      </c>
      <c r="R542" s="39">
        <v>307</v>
      </c>
      <c r="S542" s="39">
        <v>300</v>
      </c>
      <c r="T542" s="39">
        <v>275</v>
      </c>
      <c r="U542" s="39">
        <v>272</v>
      </c>
      <c r="V542" s="39">
        <v>166</v>
      </c>
      <c r="W542" s="39">
        <v>185</v>
      </c>
      <c r="X542" s="39">
        <v>180</v>
      </c>
      <c r="Y542">
        <v>156</v>
      </c>
      <c r="Z542" s="39">
        <v>238</v>
      </c>
      <c r="AA542" s="39">
        <v>135</v>
      </c>
    </row>
    <row r="543" spans="2:27" x14ac:dyDescent="0.25">
      <c r="D543" t="s">
        <v>310</v>
      </c>
      <c r="H543" t="s">
        <v>274</v>
      </c>
      <c r="I543" s="39">
        <v>67</v>
      </c>
      <c r="J543" s="39">
        <v>35</v>
      </c>
      <c r="K543" s="39">
        <v>28</v>
      </c>
      <c r="L543" s="39">
        <v>4</v>
      </c>
      <c r="M543" s="39">
        <v>14</v>
      </c>
      <c r="N543" s="39">
        <v>114</v>
      </c>
      <c r="O543" s="39">
        <v>119</v>
      </c>
      <c r="P543" s="39">
        <v>38</v>
      </c>
      <c r="Q543" s="39">
        <v>33</v>
      </c>
      <c r="R543" s="39">
        <v>87</v>
      </c>
      <c r="S543" s="39">
        <v>103</v>
      </c>
      <c r="T543" s="39">
        <v>116</v>
      </c>
      <c r="U543" s="39">
        <v>135</v>
      </c>
      <c r="V543" s="39">
        <v>173</v>
      </c>
      <c r="W543" s="39">
        <v>144</v>
      </c>
      <c r="X543" s="39">
        <v>142</v>
      </c>
      <c r="Y543">
        <v>148</v>
      </c>
      <c r="Z543" s="39">
        <v>175</v>
      </c>
      <c r="AA543" s="39">
        <v>173</v>
      </c>
    </row>
    <row r="544" spans="2:27" x14ac:dyDescent="0.25">
      <c r="D544" t="s">
        <v>2244</v>
      </c>
      <c r="H544" t="s">
        <v>274</v>
      </c>
      <c r="I544" s="39">
        <v>74</v>
      </c>
      <c r="J544" s="39">
        <v>129</v>
      </c>
      <c r="K544" s="39">
        <v>101</v>
      </c>
      <c r="L544" s="39">
        <v>85</v>
      </c>
      <c r="M544" s="39">
        <v>86</v>
      </c>
      <c r="N544" s="39">
        <v>27</v>
      </c>
      <c r="O544" s="39">
        <v>86</v>
      </c>
      <c r="P544" s="39">
        <v>65</v>
      </c>
      <c r="Q544" s="39">
        <v>67</v>
      </c>
      <c r="R544" s="39">
        <v>55</v>
      </c>
      <c r="S544" s="39">
        <v>63</v>
      </c>
      <c r="T544" s="39">
        <v>63</v>
      </c>
      <c r="U544" s="39">
        <v>101</v>
      </c>
      <c r="V544" s="39">
        <v>103</v>
      </c>
      <c r="W544" s="39">
        <v>105</v>
      </c>
      <c r="X544" s="39">
        <v>118</v>
      </c>
      <c r="Y544">
        <v>98</v>
      </c>
      <c r="Z544" s="39">
        <v>113</v>
      </c>
      <c r="AA544" s="39">
        <v>137</v>
      </c>
    </row>
    <row r="545" spans="2:27" x14ac:dyDescent="0.25">
      <c r="D545" t="s">
        <v>311</v>
      </c>
      <c r="H545" t="s">
        <v>274</v>
      </c>
      <c r="I545" s="39">
        <f>3941-I544</f>
        <v>3867</v>
      </c>
      <c r="J545" s="39">
        <f>4309-J544</f>
        <v>4180</v>
      </c>
      <c r="K545" s="39">
        <f>3940-K544</f>
        <v>3839</v>
      </c>
      <c r="L545" s="39">
        <f>3417-L544</f>
        <v>3332</v>
      </c>
      <c r="M545" s="39">
        <f>3354-M544</f>
        <v>3268</v>
      </c>
      <c r="N545" s="39">
        <f>3634-N544</f>
        <v>3607</v>
      </c>
      <c r="O545" s="39">
        <f>4029-O544</f>
        <v>3943</v>
      </c>
      <c r="P545" s="39">
        <f>2197-P544</f>
        <v>2132</v>
      </c>
      <c r="Q545" s="39">
        <f>1986-Q544</f>
        <v>1919</v>
      </c>
      <c r="R545" s="39">
        <f>2847-R544</f>
        <v>2792</v>
      </c>
      <c r="S545" s="39">
        <f>3015-S544</f>
        <v>2952</v>
      </c>
      <c r="T545" s="39">
        <f>3538-T544</f>
        <v>3475</v>
      </c>
      <c r="U545" s="39">
        <f>3671-U544</f>
        <v>3570</v>
      </c>
      <c r="V545" s="39">
        <f>4286-V544</f>
        <v>4183</v>
      </c>
      <c r="W545" s="39">
        <f>4353-W544</f>
        <v>4248</v>
      </c>
      <c r="X545" s="39">
        <f>4856-X544</f>
        <v>4738</v>
      </c>
      <c r="Y545" s="39">
        <f>4565-Y544</f>
        <v>4467</v>
      </c>
      <c r="Z545" s="39">
        <f>4817-Z544</f>
        <v>4704</v>
      </c>
      <c r="AA545" s="39">
        <f>4340-AA542</f>
        <v>4205</v>
      </c>
    </row>
    <row r="546" spans="2:27" s="8" customFormat="1" x14ac:dyDescent="0.25">
      <c r="B546" s="9"/>
      <c r="C546" s="8" t="s">
        <v>312</v>
      </c>
      <c r="H546" s="8" t="s">
        <v>313</v>
      </c>
      <c r="I546" s="42">
        <f>SUM(I547:I557)</f>
        <v>12030</v>
      </c>
      <c r="J546" s="42">
        <f t="shared" ref="J546:W546" si="165">SUM(J547:J557)</f>
        <v>12414</v>
      </c>
      <c r="K546" s="42">
        <f t="shared" si="165"/>
        <v>12633</v>
      </c>
      <c r="L546" s="42">
        <f t="shared" si="165"/>
        <v>12912</v>
      </c>
      <c r="M546" s="42">
        <f t="shared" si="165"/>
        <v>13226</v>
      </c>
      <c r="N546" s="42">
        <f t="shared" si="165"/>
        <v>13515</v>
      </c>
      <c r="O546" s="42">
        <f t="shared" si="165"/>
        <v>13916</v>
      </c>
      <c r="P546" s="42">
        <f t="shared" si="165"/>
        <v>13204</v>
      </c>
      <c r="Q546" s="42">
        <f t="shared" si="165"/>
        <v>12624</v>
      </c>
      <c r="R546" s="42">
        <f t="shared" si="165"/>
        <v>12446</v>
      </c>
      <c r="S546" s="42">
        <f t="shared" si="165"/>
        <v>12811</v>
      </c>
      <c r="T546" s="42">
        <f t="shared" si="165"/>
        <v>13293</v>
      </c>
      <c r="U546" s="42">
        <f t="shared" si="165"/>
        <v>14236</v>
      </c>
      <c r="V546" s="42">
        <f t="shared" si="165"/>
        <v>14403</v>
      </c>
      <c r="W546" s="42">
        <f t="shared" si="165"/>
        <v>14686</v>
      </c>
      <c r="X546" s="42">
        <f>SUM(X547:X557)</f>
        <v>15293</v>
      </c>
      <c r="Y546" s="42">
        <f>SUM(Y547:Y557)</f>
        <v>14516</v>
      </c>
      <c r="Z546" s="42">
        <f>SUM(Z547:Z557)</f>
        <v>16729</v>
      </c>
      <c r="AA546" s="42">
        <f>SUM(AA547:AA557)</f>
        <v>15297</v>
      </c>
    </row>
    <row r="547" spans="2:27" x14ac:dyDescent="0.25">
      <c r="D547" t="s">
        <v>301</v>
      </c>
      <c r="H547" t="s">
        <v>313</v>
      </c>
      <c r="I547" s="39">
        <v>5936</v>
      </c>
      <c r="J547" s="39">
        <v>6419</v>
      </c>
      <c r="K547" s="39">
        <v>7115</v>
      </c>
      <c r="L547" s="39">
        <v>7093</v>
      </c>
      <c r="M547" s="39">
        <v>7351</v>
      </c>
      <c r="N547" s="39">
        <v>7161</v>
      </c>
      <c r="O547" s="39">
        <v>6978</v>
      </c>
      <c r="P547" s="39">
        <v>8738</v>
      </c>
      <c r="Q547" s="39">
        <v>8348</v>
      </c>
      <c r="R547" s="39">
        <v>7399</v>
      </c>
      <c r="S547" s="39">
        <v>7579</v>
      </c>
      <c r="T547" s="39">
        <v>7554</v>
      </c>
      <c r="U547" s="39">
        <v>8029</v>
      </c>
      <c r="V547" s="39">
        <v>6892</v>
      </c>
      <c r="W547" s="39">
        <v>6974</v>
      </c>
      <c r="X547" s="39">
        <v>6943</v>
      </c>
      <c r="Y547" s="39">
        <v>6609</v>
      </c>
      <c r="Z547" s="39">
        <v>7855</v>
      </c>
      <c r="AA547" s="39">
        <v>7026</v>
      </c>
    </row>
    <row r="548" spans="2:27" x14ac:dyDescent="0.25">
      <c r="D548" t="s">
        <v>302</v>
      </c>
      <c r="H548" t="s">
        <v>313</v>
      </c>
      <c r="I548" s="39">
        <v>297</v>
      </c>
      <c r="J548" s="39">
        <v>328</v>
      </c>
      <c r="K548" s="39">
        <v>336</v>
      </c>
      <c r="L548" s="39">
        <v>605</v>
      </c>
      <c r="M548" s="39">
        <v>668</v>
      </c>
      <c r="N548" s="39">
        <v>645</v>
      </c>
      <c r="O548" s="39">
        <v>711</v>
      </c>
      <c r="P548" s="39">
        <v>464</v>
      </c>
      <c r="Q548" s="39">
        <v>468</v>
      </c>
      <c r="R548" s="39">
        <v>497</v>
      </c>
      <c r="S548" s="39">
        <v>586</v>
      </c>
      <c r="T548" s="39">
        <v>548</v>
      </c>
      <c r="U548" s="39">
        <v>658</v>
      </c>
      <c r="V548" s="39">
        <v>968</v>
      </c>
      <c r="W548" s="39">
        <v>984</v>
      </c>
      <c r="X548" s="39">
        <v>1097</v>
      </c>
      <c r="Y548" s="39">
        <v>1024</v>
      </c>
      <c r="Z548" s="39">
        <v>1187</v>
      </c>
      <c r="AA548" s="39">
        <v>1586</v>
      </c>
    </row>
    <row r="549" spans="2:27" x14ac:dyDescent="0.25">
      <c r="D549" t="s">
        <v>303</v>
      </c>
      <c r="H549" t="s">
        <v>313</v>
      </c>
      <c r="I549" s="39">
        <v>882</v>
      </c>
      <c r="J549" s="39">
        <v>553</v>
      </c>
      <c r="K549" s="39">
        <v>458</v>
      </c>
      <c r="L549" s="39">
        <v>462</v>
      </c>
      <c r="M549" s="39">
        <v>448</v>
      </c>
      <c r="N549" s="39">
        <v>493</v>
      </c>
      <c r="O549" s="39">
        <v>619</v>
      </c>
      <c r="P549" s="39">
        <v>759</v>
      </c>
      <c r="Q549" s="39">
        <v>735</v>
      </c>
      <c r="R549" s="39">
        <v>726</v>
      </c>
      <c r="S549" s="39">
        <v>696</v>
      </c>
      <c r="T549" s="39">
        <v>726</v>
      </c>
      <c r="U549" s="39">
        <v>807</v>
      </c>
      <c r="V549" s="39">
        <v>988</v>
      </c>
      <c r="W549" s="39">
        <v>1017</v>
      </c>
      <c r="X549" s="39">
        <v>1084</v>
      </c>
      <c r="Y549" s="39">
        <v>1094</v>
      </c>
      <c r="Z549" s="39">
        <v>1302</v>
      </c>
      <c r="AA549" s="39">
        <v>1167</v>
      </c>
    </row>
    <row r="550" spans="2:27" x14ac:dyDescent="0.25">
      <c r="D550" t="s">
        <v>304</v>
      </c>
      <c r="H550" t="s">
        <v>313</v>
      </c>
      <c r="I550" s="39">
        <v>266</v>
      </c>
      <c r="J550" s="39">
        <v>324</v>
      </c>
      <c r="K550" s="39">
        <v>343</v>
      </c>
      <c r="L550" s="39">
        <v>693</v>
      </c>
      <c r="M550" s="39">
        <v>722</v>
      </c>
      <c r="N550" s="39">
        <v>543</v>
      </c>
      <c r="O550" s="39">
        <v>652</v>
      </c>
      <c r="P550" s="39">
        <v>416</v>
      </c>
      <c r="Q550" s="39">
        <v>417</v>
      </c>
      <c r="R550" s="39">
        <v>349</v>
      </c>
      <c r="S550" s="39">
        <v>397</v>
      </c>
      <c r="T550" s="39">
        <v>433</v>
      </c>
      <c r="U550" s="39">
        <v>429</v>
      </c>
      <c r="V550" s="39">
        <v>673</v>
      </c>
      <c r="W550" s="39">
        <v>708</v>
      </c>
      <c r="X550" s="39">
        <v>716</v>
      </c>
      <c r="Y550">
        <v>653</v>
      </c>
      <c r="Z550" s="39">
        <v>840</v>
      </c>
      <c r="AA550" s="39">
        <v>593</v>
      </c>
    </row>
    <row r="551" spans="2:27" x14ac:dyDescent="0.25">
      <c r="D551" t="s">
        <v>305</v>
      </c>
      <c r="H551" t="s">
        <v>313</v>
      </c>
      <c r="I551" s="39">
        <v>163</v>
      </c>
      <c r="J551" s="39">
        <v>185</v>
      </c>
      <c r="K551" s="39">
        <v>208</v>
      </c>
      <c r="L551" s="39">
        <v>394</v>
      </c>
      <c r="M551" s="39">
        <v>430</v>
      </c>
      <c r="N551" s="39">
        <v>321</v>
      </c>
      <c r="O551" s="39">
        <v>349</v>
      </c>
      <c r="P551" s="39">
        <v>246</v>
      </c>
      <c r="Q551" s="39">
        <v>239</v>
      </c>
      <c r="R551" s="39">
        <v>176</v>
      </c>
      <c r="S551" s="39">
        <v>194</v>
      </c>
      <c r="T551" s="39">
        <v>197</v>
      </c>
      <c r="U551" s="39">
        <v>268</v>
      </c>
      <c r="V551" s="39">
        <v>330</v>
      </c>
      <c r="W551" s="39">
        <v>324</v>
      </c>
      <c r="X551" s="39">
        <v>357</v>
      </c>
      <c r="Y551">
        <v>313</v>
      </c>
      <c r="Z551" s="39">
        <v>441</v>
      </c>
      <c r="AA551" s="39">
        <v>170</v>
      </c>
    </row>
    <row r="552" spans="2:27" x14ac:dyDescent="0.25">
      <c r="D552" t="s">
        <v>306</v>
      </c>
      <c r="H552" t="s">
        <v>313</v>
      </c>
      <c r="I552" s="39">
        <v>338</v>
      </c>
      <c r="J552" s="39">
        <v>362</v>
      </c>
      <c r="K552" s="39">
        <v>287</v>
      </c>
      <c r="L552" s="39">
        <v>299</v>
      </c>
      <c r="M552" s="39">
        <v>341</v>
      </c>
      <c r="N552" s="39">
        <v>388</v>
      </c>
      <c r="O552" s="39">
        <v>353</v>
      </c>
      <c r="P552" s="39">
        <v>180</v>
      </c>
      <c r="Q552" s="39">
        <v>143</v>
      </c>
      <c r="R552" s="39">
        <v>167</v>
      </c>
      <c r="S552" s="39">
        <v>166</v>
      </c>
      <c r="T552" s="39">
        <v>196</v>
      </c>
      <c r="U552" s="39">
        <v>236</v>
      </c>
      <c r="V552" s="39">
        <v>290</v>
      </c>
      <c r="W552" s="39">
        <v>361</v>
      </c>
      <c r="X552" s="39">
        <v>339</v>
      </c>
      <c r="Y552">
        <v>326</v>
      </c>
      <c r="Z552" s="39">
        <v>351</v>
      </c>
      <c r="AA552" s="39">
        <v>356</v>
      </c>
    </row>
    <row r="553" spans="2:27" x14ac:dyDescent="0.25">
      <c r="D553" t="s">
        <v>307</v>
      </c>
      <c r="H553" t="s">
        <v>313</v>
      </c>
      <c r="I553" s="39">
        <v>357</v>
      </c>
      <c r="J553" s="39">
        <v>111</v>
      </c>
      <c r="K553" s="39">
        <v>135</v>
      </c>
      <c r="L553" s="39">
        <v>127</v>
      </c>
      <c r="M553" s="39">
        <v>100</v>
      </c>
      <c r="N553" s="39">
        <v>259</v>
      </c>
      <c r="O553" s="39">
        <v>265</v>
      </c>
      <c r="P553" s="39">
        <v>116</v>
      </c>
      <c r="Q553" s="39">
        <v>149</v>
      </c>
      <c r="R553" s="39">
        <v>129</v>
      </c>
      <c r="S553" s="39">
        <v>91</v>
      </c>
      <c r="T553" s="39">
        <v>116</v>
      </c>
      <c r="U553" s="39">
        <v>107</v>
      </c>
      <c r="V553" s="39">
        <v>150</v>
      </c>
      <c r="W553" s="39">
        <v>152</v>
      </c>
      <c r="X553" s="39">
        <v>198</v>
      </c>
      <c r="Y553">
        <v>138</v>
      </c>
      <c r="Z553" s="39">
        <v>149</v>
      </c>
      <c r="AA553" s="39">
        <v>134</v>
      </c>
    </row>
    <row r="554" spans="2:27" x14ac:dyDescent="0.25">
      <c r="D554" t="s">
        <v>308</v>
      </c>
      <c r="H554" t="s">
        <v>313</v>
      </c>
      <c r="I554" s="39">
        <v>103</v>
      </c>
      <c r="J554" s="39">
        <v>73</v>
      </c>
      <c r="K554" s="39">
        <v>77</v>
      </c>
      <c r="L554" s="39">
        <v>73</v>
      </c>
      <c r="M554" s="39">
        <v>71</v>
      </c>
      <c r="N554" s="39">
        <v>299</v>
      </c>
      <c r="O554" s="39">
        <v>294</v>
      </c>
      <c r="P554" s="39">
        <v>105</v>
      </c>
      <c r="Q554" s="39">
        <v>144</v>
      </c>
      <c r="R554" s="39">
        <v>165</v>
      </c>
      <c r="S554" s="39">
        <v>135</v>
      </c>
      <c r="T554" s="39">
        <v>145</v>
      </c>
      <c r="U554" s="39">
        <v>147</v>
      </c>
      <c r="V554" s="39">
        <v>182</v>
      </c>
      <c r="W554" s="39">
        <v>159</v>
      </c>
      <c r="X554" s="39">
        <v>168</v>
      </c>
      <c r="Y554">
        <v>167</v>
      </c>
      <c r="Z554" s="39">
        <v>170</v>
      </c>
      <c r="AA554" s="39">
        <v>127</v>
      </c>
    </row>
    <row r="555" spans="2:27" x14ac:dyDescent="0.25">
      <c r="D555" t="s">
        <v>309</v>
      </c>
      <c r="H555" t="s">
        <v>313</v>
      </c>
      <c r="I555" s="39">
        <v>143</v>
      </c>
      <c r="J555" s="39">
        <v>153</v>
      </c>
      <c r="K555" s="39">
        <v>161</v>
      </c>
      <c r="L555" s="39">
        <v>186</v>
      </c>
      <c r="M555" s="39">
        <v>155</v>
      </c>
      <c r="N555" s="39">
        <v>148</v>
      </c>
      <c r="O555" s="39">
        <v>130</v>
      </c>
      <c r="P555" s="39">
        <v>178</v>
      </c>
      <c r="Q555" s="39">
        <v>185</v>
      </c>
      <c r="R555" s="39">
        <v>262</v>
      </c>
      <c r="S555" s="39">
        <v>260</v>
      </c>
      <c r="T555" s="39">
        <v>239</v>
      </c>
      <c r="U555" s="39">
        <v>242</v>
      </c>
      <c r="V555" s="39">
        <v>151</v>
      </c>
      <c r="W555" s="39">
        <v>164</v>
      </c>
      <c r="X555" s="39">
        <v>152</v>
      </c>
      <c r="Y555">
        <v>141</v>
      </c>
      <c r="Z555" s="39">
        <v>212</v>
      </c>
      <c r="AA555" s="39">
        <v>125</v>
      </c>
    </row>
    <row r="556" spans="2:27" x14ac:dyDescent="0.25">
      <c r="D556" t="s">
        <v>310</v>
      </c>
      <c r="H556" t="s">
        <v>313</v>
      </c>
      <c r="I556" s="39">
        <v>57</v>
      </c>
      <c r="J556" s="39">
        <v>35</v>
      </c>
      <c r="K556" s="39">
        <v>24</v>
      </c>
      <c r="L556" s="39">
        <v>4</v>
      </c>
      <c r="M556" s="39">
        <v>10</v>
      </c>
      <c r="N556" s="39">
        <v>91</v>
      </c>
      <c r="O556" s="39">
        <v>93</v>
      </c>
      <c r="P556" s="39">
        <v>31</v>
      </c>
      <c r="Q556" s="39">
        <v>28</v>
      </c>
      <c r="R556" s="39">
        <v>71</v>
      </c>
      <c r="S556" s="39">
        <v>88</v>
      </c>
      <c r="T556" s="39">
        <v>92</v>
      </c>
      <c r="U556" s="39">
        <v>109</v>
      </c>
      <c r="V556" s="39">
        <v>140</v>
      </c>
      <c r="W556" s="39">
        <v>124</v>
      </c>
      <c r="X556" s="39">
        <v>118</v>
      </c>
      <c r="Y556">
        <v>129</v>
      </c>
      <c r="Z556" s="39">
        <v>153</v>
      </c>
      <c r="AA556" s="39">
        <v>142</v>
      </c>
    </row>
    <row r="557" spans="2:27" x14ac:dyDescent="0.25">
      <c r="D557" t="s">
        <v>311</v>
      </c>
      <c r="H557" t="s">
        <v>313</v>
      </c>
      <c r="I557" s="39">
        <v>3488</v>
      </c>
      <c r="J557" s="39">
        <v>3871</v>
      </c>
      <c r="K557" s="39">
        <v>3489</v>
      </c>
      <c r="L557" s="39">
        <v>2976</v>
      </c>
      <c r="M557" s="39">
        <v>2930</v>
      </c>
      <c r="N557" s="39">
        <v>3167</v>
      </c>
      <c r="O557" s="39">
        <v>3472</v>
      </c>
      <c r="P557" s="39">
        <v>1971</v>
      </c>
      <c r="Q557" s="39">
        <v>1768</v>
      </c>
      <c r="R557" s="39">
        <v>2505</v>
      </c>
      <c r="S557" s="39">
        <v>2619</v>
      </c>
      <c r="T557" s="39">
        <v>3047</v>
      </c>
      <c r="U557" s="39">
        <v>3204</v>
      </c>
      <c r="V557" s="39">
        <v>3639</v>
      </c>
      <c r="W557" s="39">
        <v>3719</v>
      </c>
      <c r="X557" s="39">
        <v>4121</v>
      </c>
      <c r="Y557" s="39">
        <v>3922</v>
      </c>
      <c r="Z557" s="39">
        <v>4069</v>
      </c>
      <c r="AA557" s="39">
        <v>3871</v>
      </c>
    </row>
    <row r="558" spans="2:27" x14ac:dyDescent="0.25">
      <c r="C558" s="8" t="s">
        <v>314</v>
      </c>
      <c r="D558" s="8"/>
      <c r="H558" s="8" t="s">
        <v>274</v>
      </c>
      <c r="I558" s="42">
        <f>SUM(I559:I570)</f>
        <v>7141</v>
      </c>
      <c r="J558" s="42">
        <f t="shared" ref="J558:AA558" si="166">SUM(J559:J570)</f>
        <v>7770</v>
      </c>
      <c r="K558" s="42">
        <f t="shared" si="166"/>
        <v>8495</v>
      </c>
      <c r="L558" s="42">
        <f t="shared" si="166"/>
        <v>8620</v>
      </c>
      <c r="M558" s="42">
        <f t="shared" si="166"/>
        <v>8885</v>
      </c>
      <c r="N558" s="42">
        <f t="shared" si="166"/>
        <v>9125</v>
      </c>
      <c r="O558" s="42">
        <f t="shared" si="166"/>
        <v>9023</v>
      </c>
      <c r="P558" s="42">
        <f t="shared" si="166"/>
        <v>11201</v>
      </c>
      <c r="Q558" s="42">
        <f t="shared" si="166"/>
        <v>10880</v>
      </c>
      <c r="R558" s="42">
        <f t="shared" si="166"/>
        <v>9685</v>
      </c>
      <c r="S558" s="42">
        <f t="shared" si="166"/>
        <v>10225</v>
      </c>
      <c r="T558" s="42">
        <f t="shared" si="166"/>
        <v>10206</v>
      </c>
      <c r="U558" s="42">
        <f t="shared" si="166"/>
        <v>11039</v>
      </c>
      <c r="V558" s="42">
        <f t="shared" si="166"/>
        <v>9419</v>
      </c>
      <c r="W558" s="42">
        <f t="shared" si="166"/>
        <v>9496</v>
      </c>
      <c r="X558" s="42">
        <f t="shared" si="166"/>
        <v>9589</v>
      </c>
      <c r="Y558" s="42">
        <f t="shared" si="166"/>
        <v>9696</v>
      </c>
      <c r="Z558" s="42">
        <f t="shared" si="166"/>
        <v>10737</v>
      </c>
      <c r="AA558" s="42">
        <f t="shared" si="166"/>
        <v>9340</v>
      </c>
    </row>
    <row r="559" spans="2:27" x14ac:dyDescent="0.25">
      <c r="D559" t="s">
        <v>301</v>
      </c>
      <c r="H559" t="s">
        <v>274</v>
      </c>
      <c r="I559" s="39">
        <v>6711</v>
      </c>
      <c r="J559" s="39">
        <v>7322</v>
      </c>
      <c r="K559" s="39">
        <v>8038</v>
      </c>
      <c r="L559" s="39">
        <v>8148</v>
      </c>
      <c r="M559" s="39">
        <v>8425</v>
      </c>
      <c r="N559" s="39">
        <v>8122</v>
      </c>
      <c r="O559" s="39">
        <v>8011</v>
      </c>
      <c r="P559" s="39">
        <v>9901</v>
      </c>
      <c r="Q559" s="39">
        <v>9472</v>
      </c>
      <c r="R559" s="39">
        <v>8462</v>
      </c>
      <c r="S559" s="39">
        <v>8709</v>
      </c>
      <c r="T559" s="39">
        <v>8702</v>
      </c>
      <c r="U559" s="39">
        <v>9227</v>
      </c>
      <c r="V559" s="39">
        <v>7992</v>
      </c>
      <c r="W559" s="39">
        <v>8078</v>
      </c>
      <c r="X559" s="39">
        <v>8095</v>
      </c>
      <c r="Y559" s="39">
        <v>7663</v>
      </c>
      <c r="Z559" s="39">
        <v>9201</v>
      </c>
      <c r="AA559" s="39">
        <v>7833</v>
      </c>
    </row>
    <row r="560" spans="2:27" x14ac:dyDescent="0.25">
      <c r="D560" t="s">
        <v>309</v>
      </c>
      <c r="H560" t="s">
        <v>274</v>
      </c>
      <c r="I560" s="39">
        <v>53</v>
      </c>
      <c r="J560" s="39">
        <v>62</v>
      </c>
      <c r="K560" s="39">
        <v>64</v>
      </c>
      <c r="L560" s="39">
        <v>65</v>
      </c>
      <c r="M560" s="39">
        <v>82</v>
      </c>
      <c r="N560" s="39">
        <v>26</v>
      </c>
      <c r="O560" s="39">
        <v>76</v>
      </c>
      <c r="P560" s="39">
        <v>109</v>
      </c>
      <c r="Q560" s="39">
        <v>191</v>
      </c>
      <c r="R560" s="39">
        <v>183</v>
      </c>
      <c r="S560" s="39">
        <v>169</v>
      </c>
      <c r="T560" s="39">
        <v>150</v>
      </c>
      <c r="U560" s="39">
        <v>158</v>
      </c>
      <c r="V560" s="39">
        <v>146</v>
      </c>
      <c r="W560" s="39">
        <v>133</v>
      </c>
      <c r="X560" s="39">
        <v>121</v>
      </c>
      <c r="Y560">
        <v>628</v>
      </c>
      <c r="Z560">
        <v>159</v>
      </c>
      <c r="AA560" s="39">
        <v>67</v>
      </c>
    </row>
    <row r="561" spans="3:27" x14ac:dyDescent="0.25">
      <c r="D561" t="s">
        <v>315</v>
      </c>
      <c r="H561" t="s">
        <v>274</v>
      </c>
      <c r="I561" s="39">
        <v>1</v>
      </c>
      <c r="J561" s="39">
        <v>0</v>
      </c>
      <c r="K561" s="39">
        <v>0</v>
      </c>
      <c r="L561" s="39">
        <v>3</v>
      </c>
      <c r="M561" s="39">
        <v>2</v>
      </c>
      <c r="N561" s="39">
        <v>103</v>
      </c>
      <c r="O561" s="39">
        <v>87</v>
      </c>
      <c r="P561" s="39">
        <v>1</v>
      </c>
      <c r="Q561" s="39">
        <v>9</v>
      </c>
      <c r="R561" s="39">
        <v>35</v>
      </c>
      <c r="S561" s="39">
        <v>144</v>
      </c>
      <c r="T561" s="39">
        <v>116</v>
      </c>
      <c r="U561" s="39">
        <v>135</v>
      </c>
      <c r="V561" s="39">
        <v>97</v>
      </c>
      <c r="W561" s="39">
        <v>95</v>
      </c>
      <c r="X561" s="39">
        <v>114</v>
      </c>
      <c r="Y561">
        <v>111</v>
      </c>
      <c r="Z561">
        <v>92</v>
      </c>
      <c r="AA561" s="39">
        <v>89</v>
      </c>
    </row>
    <row r="562" spans="3:27" x14ac:dyDescent="0.25">
      <c r="D562" t="s">
        <v>316</v>
      </c>
      <c r="H562" t="s">
        <v>274</v>
      </c>
      <c r="I562" s="39">
        <v>0</v>
      </c>
      <c r="J562" s="39">
        <v>0</v>
      </c>
      <c r="K562" s="39">
        <v>0</v>
      </c>
      <c r="L562" s="39">
        <v>0</v>
      </c>
      <c r="M562" s="39">
        <v>0</v>
      </c>
      <c r="N562" s="39">
        <v>46</v>
      </c>
      <c r="O562" s="39">
        <v>52</v>
      </c>
      <c r="P562" s="39">
        <v>79</v>
      </c>
      <c r="Q562" s="39">
        <v>68</v>
      </c>
      <c r="R562" s="39">
        <v>52</v>
      </c>
      <c r="S562" s="39">
        <v>54</v>
      </c>
      <c r="T562" s="39">
        <v>83</v>
      </c>
      <c r="U562" s="39">
        <v>89</v>
      </c>
      <c r="V562" s="39">
        <v>86</v>
      </c>
      <c r="W562" s="39">
        <v>72</v>
      </c>
      <c r="X562" s="39">
        <v>93</v>
      </c>
      <c r="Y562">
        <v>84</v>
      </c>
      <c r="Z562">
        <v>86</v>
      </c>
      <c r="AA562" s="39">
        <v>96</v>
      </c>
    </row>
    <row r="563" spans="3:27" x14ac:dyDescent="0.25">
      <c r="D563" t="s">
        <v>307</v>
      </c>
      <c r="H563" t="s">
        <v>274</v>
      </c>
      <c r="I563" s="39">
        <v>0</v>
      </c>
      <c r="J563" s="39">
        <v>0</v>
      </c>
      <c r="K563" s="39">
        <v>1</v>
      </c>
      <c r="L563" s="39">
        <v>0</v>
      </c>
      <c r="M563" s="39">
        <v>0</v>
      </c>
      <c r="N563" s="39">
        <v>122</v>
      </c>
      <c r="O563" s="39">
        <v>116</v>
      </c>
      <c r="P563" s="39">
        <v>116</v>
      </c>
      <c r="Q563" s="39">
        <v>133</v>
      </c>
      <c r="R563" s="39">
        <v>111</v>
      </c>
      <c r="S563" s="39">
        <v>116</v>
      </c>
      <c r="T563" s="39">
        <v>119</v>
      </c>
      <c r="U563" s="39">
        <v>110</v>
      </c>
      <c r="V563" s="39">
        <v>98</v>
      </c>
      <c r="W563" s="39">
        <v>86</v>
      </c>
      <c r="X563" s="39">
        <v>93</v>
      </c>
      <c r="Y563">
        <v>88</v>
      </c>
      <c r="Z563">
        <v>80</v>
      </c>
      <c r="AA563" s="39">
        <v>88</v>
      </c>
    </row>
    <row r="564" spans="3:27" x14ac:dyDescent="0.25">
      <c r="D564" t="s">
        <v>306</v>
      </c>
      <c r="H564" t="s">
        <v>274</v>
      </c>
      <c r="I564" s="39">
        <v>27</v>
      </c>
      <c r="J564" s="39">
        <v>26</v>
      </c>
      <c r="K564" s="39">
        <v>42</v>
      </c>
      <c r="L564" s="39">
        <v>46</v>
      </c>
      <c r="M564" s="39">
        <v>38</v>
      </c>
      <c r="N564" s="39">
        <v>66</v>
      </c>
      <c r="O564" s="39">
        <v>37</v>
      </c>
      <c r="P564" s="39">
        <v>48</v>
      </c>
      <c r="Q564" s="39">
        <v>58</v>
      </c>
      <c r="R564" s="39">
        <v>59</v>
      </c>
      <c r="S564" s="39">
        <v>54</v>
      </c>
      <c r="T564" s="39">
        <v>78</v>
      </c>
      <c r="U564" s="39">
        <v>68</v>
      </c>
      <c r="V564" s="39">
        <v>76</v>
      </c>
      <c r="W564" s="39">
        <v>71</v>
      </c>
      <c r="X564" s="39">
        <v>79</v>
      </c>
      <c r="Y564">
        <v>60</v>
      </c>
      <c r="Z564">
        <v>69</v>
      </c>
      <c r="AA564" s="39">
        <v>97</v>
      </c>
    </row>
    <row r="565" spans="3:27" x14ac:dyDescent="0.25">
      <c r="D565" t="s">
        <v>304</v>
      </c>
      <c r="H565" t="s">
        <v>274</v>
      </c>
      <c r="I565" s="39">
        <v>37</v>
      </c>
      <c r="J565" s="39">
        <v>28</v>
      </c>
      <c r="K565" s="39">
        <v>26</v>
      </c>
      <c r="L565" s="39">
        <v>8</v>
      </c>
      <c r="M565" s="39">
        <v>20</v>
      </c>
      <c r="N565" s="39">
        <v>41</v>
      </c>
      <c r="O565" s="39">
        <v>33</v>
      </c>
      <c r="P565" s="39">
        <v>26</v>
      </c>
      <c r="Q565" s="39">
        <v>46</v>
      </c>
      <c r="R565" s="39">
        <v>29</v>
      </c>
      <c r="S565" s="39">
        <v>47</v>
      </c>
      <c r="T565" s="39">
        <v>50</v>
      </c>
      <c r="U565" s="39">
        <v>50</v>
      </c>
      <c r="V565" s="39">
        <v>57</v>
      </c>
      <c r="W565" s="39">
        <v>66</v>
      </c>
      <c r="X565" s="39">
        <v>58</v>
      </c>
      <c r="Y565">
        <v>74</v>
      </c>
      <c r="Z565" s="39">
        <v>63</v>
      </c>
      <c r="AA565" s="39">
        <v>44</v>
      </c>
    </row>
    <row r="566" spans="3:27" x14ac:dyDescent="0.25">
      <c r="D566" t="s">
        <v>303</v>
      </c>
      <c r="H566" t="s">
        <v>274</v>
      </c>
      <c r="I566" s="39">
        <v>6</v>
      </c>
      <c r="J566" s="39">
        <v>18</v>
      </c>
      <c r="K566" s="39">
        <v>23</v>
      </c>
      <c r="L566" s="39">
        <v>15</v>
      </c>
      <c r="M566" s="39">
        <v>14</v>
      </c>
      <c r="N566" s="39">
        <v>47</v>
      </c>
      <c r="O566" s="39">
        <v>26</v>
      </c>
      <c r="P566" s="39">
        <v>104</v>
      </c>
      <c r="Q566" s="39">
        <v>80</v>
      </c>
      <c r="R566" s="39">
        <v>71</v>
      </c>
      <c r="S566" s="39">
        <v>76</v>
      </c>
      <c r="T566" s="39">
        <v>79</v>
      </c>
      <c r="U566" s="39">
        <v>79</v>
      </c>
      <c r="V566" s="39">
        <v>34</v>
      </c>
      <c r="W566" s="39">
        <v>64</v>
      </c>
      <c r="X566" s="39">
        <v>55</v>
      </c>
      <c r="Y566">
        <v>62</v>
      </c>
      <c r="Z566" s="39">
        <v>65</v>
      </c>
      <c r="AA566" s="39">
        <v>65</v>
      </c>
    </row>
    <row r="567" spans="3:27" x14ac:dyDescent="0.25">
      <c r="D567" t="s">
        <v>317</v>
      </c>
      <c r="H567" t="s">
        <v>274</v>
      </c>
      <c r="I567" s="39">
        <v>11</v>
      </c>
      <c r="J567" s="39">
        <v>25</v>
      </c>
      <c r="K567" s="39">
        <v>14</v>
      </c>
      <c r="L567" s="39">
        <v>12</v>
      </c>
      <c r="M567" s="39">
        <v>8</v>
      </c>
      <c r="N567" s="39">
        <v>12</v>
      </c>
      <c r="O567" s="39">
        <v>18</v>
      </c>
      <c r="P567" s="39">
        <v>71</v>
      </c>
      <c r="Q567" s="39">
        <v>83</v>
      </c>
      <c r="R567" s="39">
        <v>34</v>
      </c>
      <c r="S567" s="39">
        <v>61</v>
      </c>
      <c r="T567" s="39">
        <v>38</v>
      </c>
      <c r="U567" s="39">
        <v>95</v>
      </c>
      <c r="V567" s="39">
        <v>30</v>
      </c>
      <c r="W567" s="39">
        <v>51</v>
      </c>
      <c r="X567" s="39">
        <v>50</v>
      </c>
      <c r="Y567">
        <v>56</v>
      </c>
      <c r="Z567" s="39">
        <v>39</v>
      </c>
    </row>
    <row r="568" spans="3:27" x14ac:dyDescent="0.25">
      <c r="D568" t="s">
        <v>308</v>
      </c>
      <c r="H568" t="s">
        <v>274</v>
      </c>
      <c r="I568" s="39">
        <v>8</v>
      </c>
      <c r="J568" s="39">
        <v>2</v>
      </c>
      <c r="K568" s="39">
        <v>5</v>
      </c>
      <c r="L568" s="39">
        <v>18</v>
      </c>
      <c r="M568" s="39">
        <v>9</v>
      </c>
      <c r="N568" s="39">
        <v>24</v>
      </c>
      <c r="O568" s="39">
        <v>60</v>
      </c>
      <c r="P568" s="39">
        <v>113</v>
      </c>
      <c r="Q568" s="39">
        <v>110</v>
      </c>
      <c r="R568" s="39">
        <v>46</v>
      </c>
      <c r="S568" s="39">
        <v>61</v>
      </c>
      <c r="T568" s="39">
        <v>63</v>
      </c>
      <c r="U568" s="39">
        <v>64</v>
      </c>
      <c r="V568" s="39">
        <v>42</v>
      </c>
      <c r="W568" s="39">
        <v>23</v>
      </c>
      <c r="X568" s="39">
        <v>48</v>
      </c>
      <c r="Y568">
        <v>42</v>
      </c>
      <c r="Z568" s="39">
        <v>54</v>
      </c>
      <c r="AA568" s="39">
        <v>41</v>
      </c>
    </row>
    <row r="569" spans="3:27" x14ac:dyDescent="0.25">
      <c r="D569" t="s">
        <v>2245</v>
      </c>
      <c r="I569" s="39"/>
      <c r="J569" s="39"/>
      <c r="K569" s="39"/>
      <c r="L569" s="39"/>
      <c r="M569" s="39"/>
      <c r="N569" s="39"/>
      <c r="O569" s="39"/>
      <c r="P569" s="39"/>
      <c r="Q569" s="39"/>
      <c r="R569" s="39"/>
      <c r="S569" s="39"/>
      <c r="T569" s="39"/>
      <c r="U569" s="39"/>
      <c r="V569" s="39"/>
      <c r="W569" s="39"/>
      <c r="X569" s="39"/>
      <c r="Z569" s="39"/>
      <c r="AA569" s="39">
        <v>41</v>
      </c>
    </row>
    <row r="570" spans="3:27" x14ac:dyDescent="0.25">
      <c r="D570" t="s">
        <v>311</v>
      </c>
      <c r="H570" t="s">
        <v>274</v>
      </c>
      <c r="I570" s="39">
        <v>287</v>
      </c>
      <c r="J570" s="39">
        <v>287</v>
      </c>
      <c r="K570" s="39">
        <v>282</v>
      </c>
      <c r="L570" s="39">
        <v>305</v>
      </c>
      <c r="M570" s="39">
        <v>287</v>
      </c>
      <c r="N570" s="39">
        <v>516</v>
      </c>
      <c r="O570" s="39">
        <v>507</v>
      </c>
      <c r="P570" s="39">
        <v>633</v>
      </c>
      <c r="Q570" s="39">
        <v>630</v>
      </c>
      <c r="R570" s="39">
        <v>603</v>
      </c>
      <c r="S570" s="39">
        <v>734</v>
      </c>
      <c r="T570" s="39">
        <v>728</v>
      </c>
      <c r="U570" s="39">
        <v>964</v>
      </c>
      <c r="V570" s="39">
        <v>761</v>
      </c>
      <c r="W570" s="39">
        <v>757</v>
      </c>
      <c r="X570" s="39">
        <v>783</v>
      </c>
      <c r="Y570">
        <v>828</v>
      </c>
      <c r="Z570">
        <v>829</v>
      </c>
      <c r="AA570" s="39">
        <v>879</v>
      </c>
    </row>
    <row r="571" spans="3:27" x14ac:dyDescent="0.25">
      <c r="C571" s="8" t="s">
        <v>318</v>
      </c>
      <c r="D571" s="8"/>
      <c r="H571" s="8" t="s">
        <v>313</v>
      </c>
      <c r="I571" s="42">
        <f t="shared" ref="I571:AA571" si="167">SUM(I572:I583)</f>
        <v>6333</v>
      </c>
      <c r="J571" s="42">
        <f t="shared" si="167"/>
        <v>6846</v>
      </c>
      <c r="K571" s="42">
        <f t="shared" si="167"/>
        <v>7546</v>
      </c>
      <c r="L571" s="42">
        <f t="shared" si="167"/>
        <v>7523</v>
      </c>
      <c r="M571" s="42">
        <f t="shared" si="167"/>
        <v>7772</v>
      </c>
      <c r="N571" s="42">
        <f t="shared" si="167"/>
        <v>8095</v>
      </c>
      <c r="O571" s="42">
        <f t="shared" si="167"/>
        <v>7931</v>
      </c>
      <c r="P571" s="42">
        <f t="shared" si="167"/>
        <v>9936</v>
      </c>
      <c r="Q571" s="42">
        <f t="shared" si="167"/>
        <v>9663</v>
      </c>
      <c r="R571" s="42">
        <f t="shared" si="167"/>
        <v>8544</v>
      </c>
      <c r="S571" s="42">
        <f t="shared" si="167"/>
        <v>8975</v>
      </c>
      <c r="T571" s="42">
        <f t="shared" si="167"/>
        <v>8944</v>
      </c>
      <c r="U571" s="42">
        <f t="shared" si="167"/>
        <v>9689</v>
      </c>
      <c r="V571" s="42">
        <f t="shared" si="167"/>
        <v>8221</v>
      </c>
      <c r="W571" s="42">
        <f t="shared" si="167"/>
        <v>8276</v>
      </c>
      <c r="X571" s="42">
        <f t="shared" si="167"/>
        <v>8329</v>
      </c>
      <c r="Y571" s="42">
        <f t="shared" si="167"/>
        <v>8404</v>
      </c>
      <c r="Z571" s="42">
        <f t="shared" si="167"/>
        <v>9270</v>
      </c>
      <c r="AA571" s="42">
        <f t="shared" si="167"/>
        <v>8426</v>
      </c>
    </row>
    <row r="572" spans="3:27" x14ac:dyDescent="0.25">
      <c r="D572" t="s">
        <v>301</v>
      </c>
      <c r="H572" t="s">
        <v>313</v>
      </c>
      <c r="I572" s="39">
        <v>5936</v>
      </c>
      <c r="J572" s="39">
        <v>6419</v>
      </c>
      <c r="K572" s="39">
        <v>7115</v>
      </c>
      <c r="L572" s="39">
        <v>7093</v>
      </c>
      <c r="M572" s="39">
        <v>7351</v>
      </c>
      <c r="N572" s="39">
        <v>7161</v>
      </c>
      <c r="O572" s="39">
        <v>6978</v>
      </c>
      <c r="P572" s="39">
        <v>8738</v>
      </c>
      <c r="Q572" s="39">
        <v>8348</v>
      </c>
      <c r="R572" s="39">
        <v>7399</v>
      </c>
      <c r="S572" s="39">
        <v>7579</v>
      </c>
      <c r="T572" s="39">
        <v>7554</v>
      </c>
      <c r="U572" s="39">
        <v>8029</v>
      </c>
      <c r="V572" s="39">
        <v>6892</v>
      </c>
      <c r="W572" s="39">
        <v>6974</v>
      </c>
      <c r="X572" s="39">
        <v>6943</v>
      </c>
      <c r="Y572" s="39">
        <v>6609</v>
      </c>
      <c r="Z572" s="39">
        <v>7855</v>
      </c>
      <c r="AA572" s="39">
        <v>7026</v>
      </c>
    </row>
    <row r="573" spans="3:27" x14ac:dyDescent="0.25">
      <c r="D573" t="s">
        <v>309</v>
      </c>
      <c r="H573" t="s">
        <v>313</v>
      </c>
      <c r="I573" s="39">
        <v>48</v>
      </c>
      <c r="J573" s="39">
        <v>60</v>
      </c>
      <c r="K573" s="39">
        <v>59</v>
      </c>
      <c r="L573" s="39">
        <v>57</v>
      </c>
      <c r="M573" s="39">
        <v>75</v>
      </c>
      <c r="N573" s="39">
        <v>22</v>
      </c>
      <c r="O573" s="39">
        <v>65</v>
      </c>
      <c r="P573" s="39">
        <v>98</v>
      </c>
      <c r="Q573" s="39">
        <v>181</v>
      </c>
      <c r="R573" s="39">
        <v>168</v>
      </c>
      <c r="S573" s="39">
        <v>145</v>
      </c>
      <c r="T573" s="39">
        <v>123</v>
      </c>
      <c r="U573" s="39">
        <v>133</v>
      </c>
      <c r="V573" s="39">
        <v>133</v>
      </c>
      <c r="W573" s="39">
        <v>119</v>
      </c>
      <c r="X573" s="39">
        <v>108</v>
      </c>
      <c r="Y573">
        <v>495</v>
      </c>
      <c r="Z573">
        <v>143</v>
      </c>
      <c r="AA573" s="39">
        <v>60</v>
      </c>
    </row>
    <row r="574" spans="3:27" x14ac:dyDescent="0.25">
      <c r="D574" t="s">
        <v>315</v>
      </c>
      <c r="H574" t="s">
        <v>313</v>
      </c>
      <c r="I574" s="39">
        <v>1</v>
      </c>
      <c r="J574" s="39">
        <v>0</v>
      </c>
      <c r="K574" s="39">
        <v>0</v>
      </c>
      <c r="L574" s="39">
        <v>3</v>
      </c>
      <c r="M574" s="39">
        <v>2</v>
      </c>
      <c r="N574" s="39">
        <v>101</v>
      </c>
      <c r="O574" s="39">
        <v>86</v>
      </c>
      <c r="P574" s="39">
        <v>1</v>
      </c>
      <c r="Q574" s="39">
        <v>9</v>
      </c>
      <c r="R574" s="39">
        <v>34</v>
      </c>
      <c r="S574" s="39">
        <v>141</v>
      </c>
      <c r="T574" s="39">
        <v>115</v>
      </c>
      <c r="U574" s="39">
        <v>128</v>
      </c>
      <c r="V574" s="39">
        <v>95</v>
      </c>
      <c r="W574" s="39">
        <v>95</v>
      </c>
      <c r="X574" s="39">
        <v>111</v>
      </c>
      <c r="Y574">
        <v>108</v>
      </c>
      <c r="Z574">
        <v>90</v>
      </c>
      <c r="AA574" s="39">
        <v>89</v>
      </c>
    </row>
    <row r="575" spans="3:27" x14ac:dyDescent="0.25">
      <c r="D575" t="s">
        <v>316</v>
      </c>
      <c r="H575" t="s">
        <v>313</v>
      </c>
      <c r="I575" s="39">
        <v>0</v>
      </c>
      <c r="J575" s="39">
        <v>0</v>
      </c>
      <c r="K575" s="39">
        <v>0</v>
      </c>
      <c r="L575" s="39">
        <v>0</v>
      </c>
      <c r="M575" s="39">
        <v>0</v>
      </c>
      <c r="N575" s="39">
        <v>45</v>
      </c>
      <c r="O575" s="39">
        <v>51</v>
      </c>
      <c r="P575" s="39">
        <v>74</v>
      </c>
      <c r="Q575" s="39">
        <v>64</v>
      </c>
      <c r="R575" s="39">
        <v>48</v>
      </c>
      <c r="S575" s="39">
        <v>49</v>
      </c>
      <c r="T575" s="39">
        <v>76</v>
      </c>
      <c r="U575" s="39">
        <v>80</v>
      </c>
      <c r="V575" s="39">
        <v>83</v>
      </c>
      <c r="W575" s="39">
        <v>70</v>
      </c>
      <c r="X575" s="39">
        <v>85</v>
      </c>
      <c r="Y575">
        <v>78</v>
      </c>
      <c r="Z575">
        <v>82</v>
      </c>
      <c r="AA575" s="39">
        <v>86</v>
      </c>
    </row>
    <row r="576" spans="3:27" x14ac:dyDescent="0.25">
      <c r="D576" t="s">
        <v>307</v>
      </c>
      <c r="H576" t="s">
        <v>313</v>
      </c>
      <c r="I576" s="39">
        <v>0</v>
      </c>
      <c r="J576" s="39">
        <v>0</v>
      </c>
      <c r="K576" s="39">
        <v>1</v>
      </c>
      <c r="L576" s="39">
        <v>0</v>
      </c>
      <c r="M576" s="39">
        <v>0</v>
      </c>
      <c r="N576" s="39">
        <v>117</v>
      </c>
      <c r="O576" s="39">
        <v>111</v>
      </c>
      <c r="P576" s="39">
        <v>111</v>
      </c>
      <c r="Q576" s="39">
        <v>124</v>
      </c>
      <c r="R576" s="39">
        <v>107</v>
      </c>
      <c r="S576" s="39">
        <v>108</v>
      </c>
      <c r="T576" s="39">
        <v>113</v>
      </c>
      <c r="U576" s="39">
        <v>102</v>
      </c>
      <c r="V576" s="39">
        <v>87</v>
      </c>
      <c r="W576" s="39">
        <v>74</v>
      </c>
      <c r="X576" s="39">
        <v>90</v>
      </c>
      <c r="Y576">
        <v>86</v>
      </c>
      <c r="Z576">
        <v>78</v>
      </c>
      <c r="AA576" s="39">
        <v>83</v>
      </c>
    </row>
    <row r="577" spans="1:28" x14ac:dyDescent="0.25">
      <c r="D577" t="s">
        <v>306</v>
      </c>
      <c r="H577" t="s">
        <v>313</v>
      </c>
      <c r="I577" s="39">
        <v>27</v>
      </c>
      <c r="J577" s="39">
        <v>25</v>
      </c>
      <c r="K577" s="39">
        <v>40</v>
      </c>
      <c r="L577" s="39">
        <v>43</v>
      </c>
      <c r="M577" s="39">
        <v>36</v>
      </c>
      <c r="N577" s="39">
        <v>57</v>
      </c>
      <c r="O577" s="39">
        <v>35</v>
      </c>
      <c r="P577" s="39">
        <v>45</v>
      </c>
      <c r="Q577" s="39">
        <v>55</v>
      </c>
      <c r="R577" s="39">
        <v>56</v>
      </c>
      <c r="S577" s="39">
        <v>48</v>
      </c>
      <c r="T577" s="39">
        <v>70</v>
      </c>
      <c r="U577" s="39">
        <v>62</v>
      </c>
      <c r="V577" s="39">
        <v>70</v>
      </c>
      <c r="W577" s="39">
        <v>62</v>
      </c>
      <c r="X577" s="39">
        <v>74</v>
      </c>
      <c r="Y577">
        <v>55</v>
      </c>
      <c r="Z577">
        <v>61</v>
      </c>
      <c r="AA577" s="39">
        <v>89</v>
      </c>
    </row>
    <row r="578" spans="1:28" x14ac:dyDescent="0.25">
      <c r="D578" t="s">
        <v>304</v>
      </c>
      <c r="H578" t="s">
        <v>313</v>
      </c>
      <c r="I578" s="39">
        <v>37</v>
      </c>
      <c r="J578" s="39">
        <v>28</v>
      </c>
      <c r="K578" s="39">
        <v>23</v>
      </c>
      <c r="L578" s="39">
        <v>8</v>
      </c>
      <c r="M578" s="39">
        <v>19</v>
      </c>
      <c r="N578" s="39">
        <v>34</v>
      </c>
      <c r="O578" s="39">
        <v>28</v>
      </c>
      <c r="P578" s="39">
        <v>21</v>
      </c>
      <c r="Q578" s="39">
        <v>42</v>
      </c>
      <c r="R578" s="39">
        <v>27</v>
      </c>
      <c r="S578" s="39">
        <v>43</v>
      </c>
      <c r="T578" s="39">
        <v>47</v>
      </c>
      <c r="U578" s="39">
        <v>47</v>
      </c>
      <c r="V578" s="39">
        <v>50</v>
      </c>
      <c r="W578" s="39">
        <v>66</v>
      </c>
      <c r="X578" s="39">
        <v>53</v>
      </c>
      <c r="Y578">
        <v>62</v>
      </c>
      <c r="Z578">
        <v>60</v>
      </c>
      <c r="AA578" s="39">
        <v>38</v>
      </c>
    </row>
    <row r="579" spans="1:28" x14ac:dyDescent="0.25">
      <c r="D579" t="s">
        <v>303</v>
      </c>
      <c r="H579" t="s">
        <v>313</v>
      </c>
      <c r="I579" s="39">
        <v>5</v>
      </c>
      <c r="J579" s="39">
        <v>18</v>
      </c>
      <c r="K579" s="39">
        <v>23</v>
      </c>
      <c r="L579" s="39">
        <v>14</v>
      </c>
      <c r="M579" s="39">
        <v>14</v>
      </c>
      <c r="N579" s="39">
        <v>43</v>
      </c>
      <c r="O579" s="39">
        <v>26</v>
      </c>
      <c r="P579" s="39">
        <v>97</v>
      </c>
      <c r="Q579" s="39">
        <v>75</v>
      </c>
      <c r="R579" s="39">
        <v>63</v>
      </c>
      <c r="S579" s="39">
        <v>66</v>
      </c>
      <c r="T579" s="39">
        <v>75</v>
      </c>
      <c r="U579" s="39">
        <v>76</v>
      </c>
      <c r="V579" s="39">
        <v>32</v>
      </c>
      <c r="W579" s="39">
        <v>59</v>
      </c>
      <c r="X579" s="39">
        <v>51</v>
      </c>
      <c r="Y579">
        <v>58</v>
      </c>
      <c r="Z579">
        <v>57</v>
      </c>
      <c r="AA579" s="39">
        <v>56</v>
      </c>
    </row>
    <row r="580" spans="1:28" x14ac:dyDescent="0.25">
      <c r="D580" t="s">
        <v>317</v>
      </c>
      <c r="H580" t="s">
        <v>313</v>
      </c>
      <c r="I580" s="39">
        <v>9</v>
      </c>
      <c r="J580" s="39">
        <v>22</v>
      </c>
      <c r="K580" s="39">
        <v>13</v>
      </c>
      <c r="L580" s="39">
        <v>11</v>
      </c>
      <c r="M580" s="39">
        <v>7</v>
      </c>
      <c r="N580" s="39">
        <v>12</v>
      </c>
      <c r="O580" s="39">
        <v>16</v>
      </c>
      <c r="P580" s="39">
        <v>60</v>
      </c>
      <c r="Q580" s="39">
        <v>72</v>
      </c>
      <c r="R580" s="39">
        <v>32</v>
      </c>
      <c r="S580" s="39">
        <v>56</v>
      </c>
      <c r="T580" s="39">
        <v>33</v>
      </c>
      <c r="U580" s="39">
        <v>83</v>
      </c>
      <c r="V580" s="39">
        <v>28</v>
      </c>
      <c r="W580" s="39">
        <v>45</v>
      </c>
      <c r="X580" s="39">
        <v>46</v>
      </c>
      <c r="Y580">
        <v>51</v>
      </c>
      <c r="Z580" s="39">
        <v>38</v>
      </c>
      <c r="AA580" s="39">
        <v>37</v>
      </c>
    </row>
    <row r="581" spans="1:28" x14ac:dyDescent="0.25">
      <c r="D581" t="s">
        <v>308</v>
      </c>
      <c r="H581" t="s">
        <v>313</v>
      </c>
      <c r="I581" s="39">
        <v>8</v>
      </c>
      <c r="J581" s="39">
        <v>2</v>
      </c>
      <c r="K581" s="39">
        <v>4</v>
      </c>
      <c r="L581" s="39">
        <v>17</v>
      </c>
      <c r="M581" s="39">
        <v>8</v>
      </c>
      <c r="N581" s="39">
        <v>23</v>
      </c>
      <c r="O581" s="39">
        <v>58</v>
      </c>
      <c r="P581" s="39">
        <v>105</v>
      </c>
      <c r="Q581" s="39">
        <v>104</v>
      </c>
      <c r="R581" s="39">
        <v>42</v>
      </c>
      <c r="S581" s="39">
        <v>55</v>
      </c>
      <c r="T581" s="39">
        <v>62</v>
      </c>
      <c r="U581" s="39">
        <v>62</v>
      </c>
      <c r="V581" s="39">
        <v>38</v>
      </c>
      <c r="W581" s="39">
        <v>22</v>
      </c>
      <c r="X581" s="39">
        <v>48</v>
      </c>
      <c r="Y581">
        <v>40</v>
      </c>
      <c r="Z581" s="39">
        <v>51</v>
      </c>
    </row>
    <row r="582" spans="1:28" x14ac:dyDescent="0.25">
      <c r="D582" t="s">
        <v>2245</v>
      </c>
      <c r="I582" s="39"/>
      <c r="J582" s="39"/>
      <c r="K582" s="39"/>
      <c r="L582" s="39"/>
      <c r="M582" s="39"/>
      <c r="N582" s="39"/>
      <c r="O582" s="39"/>
      <c r="P582" s="39"/>
      <c r="Q582" s="39"/>
      <c r="R582" s="39"/>
      <c r="S582" s="39"/>
      <c r="T582" s="39"/>
      <c r="U582" s="39"/>
      <c r="V582" s="39"/>
      <c r="W582" s="39"/>
      <c r="X582" s="39"/>
      <c r="Z582" s="39"/>
      <c r="AA582" s="39">
        <v>38</v>
      </c>
    </row>
    <row r="583" spans="1:28" x14ac:dyDescent="0.25">
      <c r="D583" t="s">
        <v>311</v>
      </c>
      <c r="H583" t="s">
        <v>313</v>
      </c>
      <c r="I583" s="39">
        <v>262</v>
      </c>
      <c r="J583" s="39">
        <v>272</v>
      </c>
      <c r="K583" s="39">
        <v>268</v>
      </c>
      <c r="L583" s="39">
        <v>277</v>
      </c>
      <c r="M583" s="39">
        <v>260</v>
      </c>
      <c r="N583" s="39">
        <v>480</v>
      </c>
      <c r="O583" s="39">
        <v>477</v>
      </c>
      <c r="P583" s="39">
        <v>586</v>
      </c>
      <c r="Q583" s="39">
        <v>589</v>
      </c>
      <c r="R583" s="39">
        <v>568</v>
      </c>
      <c r="S583" s="39">
        <v>685</v>
      </c>
      <c r="T583" s="39">
        <v>676</v>
      </c>
      <c r="U583" s="39">
        <v>887</v>
      </c>
      <c r="V583" s="39">
        <v>713</v>
      </c>
      <c r="W583" s="39">
        <v>690</v>
      </c>
      <c r="X583" s="39">
        <v>720</v>
      </c>
      <c r="Y583" s="39">
        <v>762</v>
      </c>
      <c r="Z583" s="39">
        <v>755</v>
      </c>
      <c r="AA583" s="39">
        <v>824</v>
      </c>
    </row>
    <row r="584" spans="1:28" s="2" customFormat="1" x14ac:dyDescent="0.25">
      <c r="B584" s="3"/>
      <c r="J584" s="48"/>
      <c r="K584" s="49"/>
      <c r="L584" s="49"/>
      <c r="M584" s="49"/>
      <c r="N584" s="49"/>
      <c r="O584" s="49"/>
      <c r="P584" s="49"/>
      <c r="Q584" s="49"/>
      <c r="R584" s="49"/>
      <c r="S584" s="49"/>
      <c r="T584" s="49"/>
      <c r="U584" s="49"/>
      <c r="V584" s="49"/>
      <c r="W584" s="49"/>
    </row>
    <row r="585" spans="1:28" s="28" customFormat="1" ht="17.25" x14ac:dyDescent="0.3">
      <c r="A585" s="28" t="s">
        <v>319</v>
      </c>
    </row>
    <row r="586" spans="1:28" x14ac:dyDescent="0.25">
      <c r="B586" s="29" t="s">
        <v>3</v>
      </c>
      <c r="C586" t="s">
        <v>320</v>
      </c>
    </row>
    <row r="587" spans="1:28" x14ac:dyDescent="0.25">
      <c r="B587" s="29" t="s">
        <v>10</v>
      </c>
      <c r="C587" s="263" t="s">
        <v>37</v>
      </c>
    </row>
    <row r="588" spans="1:28" x14ac:dyDescent="0.25">
      <c r="B588" s="29" t="s">
        <v>14</v>
      </c>
      <c r="C588" t="s">
        <v>2109</v>
      </c>
    </row>
    <row r="589" spans="1:28" x14ac:dyDescent="0.25">
      <c r="B589" s="29" t="s">
        <v>17</v>
      </c>
      <c r="C589" t="s">
        <v>321</v>
      </c>
    </row>
    <row r="590" spans="1:28" s="25" customFormat="1" ht="15.75" thickBot="1" x14ac:dyDescent="0.3">
      <c r="B590" s="30" t="s">
        <v>19</v>
      </c>
      <c r="C590" s="25" t="s">
        <v>2098</v>
      </c>
    </row>
    <row r="591" spans="1:28" s="8" customFormat="1" ht="15.75" thickTop="1" x14ac:dyDescent="0.25">
      <c r="B591" s="9"/>
      <c r="C591" s="8" t="s">
        <v>322</v>
      </c>
      <c r="J591" s="50"/>
      <c r="K591" s="50"/>
      <c r="L591" s="50"/>
      <c r="M591" s="50"/>
      <c r="N591" s="50"/>
    </row>
    <row r="592" spans="1:28" x14ac:dyDescent="0.25">
      <c r="D592" t="s">
        <v>323</v>
      </c>
      <c r="H592" t="s">
        <v>324</v>
      </c>
      <c r="J592" s="46"/>
      <c r="K592" s="46"/>
      <c r="L592" s="46"/>
      <c r="M592" s="46"/>
      <c r="N592" s="46"/>
      <c r="Q592">
        <v>2.63</v>
      </c>
      <c r="R592">
        <v>2.64</v>
      </c>
      <c r="S592">
        <v>2.64</v>
      </c>
      <c r="T592">
        <v>2.65</v>
      </c>
      <c r="U592">
        <v>2.65</v>
      </c>
      <c r="V592">
        <v>2.65</v>
      </c>
      <c r="W592">
        <v>2.65</v>
      </c>
      <c r="X592">
        <v>2.65</v>
      </c>
      <c r="Y592">
        <v>2.63</v>
      </c>
      <c r="Z592">
        <v>2.61</v>
      </c>
      <c r="AA592" s="243">
        <v>2.6</v>
      </c>
      <c r="AB592">
        <v>2.54</v>
      </c>
    </row>
    <row r="593" spans="1:28" x14ac:dyDescent="0.25">
      <c r="D593" t="s">
        <v>325</v>
      </c>
      <c r="H593" t="s">
        <v>324</v>
      </c>
      <c r="J593" s="46"/>
      <c r="K593" s="46"/>
      <c r="L593" s="46"/>
      <c r="M593" s="46"/>
      <c r="N593" s="46"/>
      <c r="Q593">
        <v>3.23</v>
      </c>
      <c r="R593">
        <v>3.25</v>
      </c>
      <c r="S593">
        <v>3.25</v>
      </c>
      <c r="T593">
        <v>3.26</v>
      </c>
      <c r="U593">
        <v>3.26</v>
      </c>
      <c r="V593">
        <v>3.26</v>
      </c>
      <c r="W593">
        <v>3.27</v>
      </c>
      <c r="X593">
        <v>3.26</v>
      </c>
      <c r="Y593">
        <v>3.24</v>
      </c>
      <c r="Z593">
        <v>3.23</v>
      </c>
      <c r="AA593" s="243">
        <v>3.21</v>
      </c>
      <c r="AB593">
        <v>3.15</v>
      </c>
    </row>
    <row r="594" spans="1:28" s="2" customFormat="1" x14ac:dyDescent="0.25">
      <c r="B594" s="3"/>
      <c r="J594" s="48"/>
      <c r="K594" s="49"/>
      <c r="L594" s="49"/>
      <c r="M594" s="49"/>
      <c r="N594" s="49"/>
      <c r="O594" s="49"/>
      <c r="P594" s="49"/>
      <c r="Q594" s="49"/>
      <c r="R594" s="49"/>
      <c r="S594" s="49"/>
      <c r="T594" s="49"/>
      <c r="U594" s="49"/>
      <c r="V594" s="49"/>
      <c r="W594" s="49"/>
    </row>
    <row r="595" spans="1:28" s="28" customFormat="1" ht="17.25" x14ac:dyDescent="0.3">
      <c r="A595" s="28" t="s">
        <v>326</v>
      </c>
    </row>
    <row r="596" spans="1:28" x14ac:dyDescent="0.25">
      <c r="B596" s="29" t="s">
        <v>3</v>
      </c>
      <c r="C596" t="s">
        <v>327</v>
      </c>
    </row>
    <row r="597" spans="1:28" x14ac:dyDescent="0.25">
      <c r="B597" s="29" t="s">
        <v>10</v>
      </c>
      <c r="C597" s="263" t="s">
        <v>328</v>
      </c>
    </row>
    <row r="598" spans="1:28" x14ac:dyDescent="0.25">
      <c r="C598" s="211" t="s">
        <v>39</v>
      </c>
    </row>
    <row r="599" spans="1:28" x14ac:dyDescent="0.25">
      <c r="B599" s="29" t="s">
        <v>14</v>
      </c>
      <c r="C599" t="s">
        <v>329</v>
      </c>
    </row>
    <row r="600" spans="1:28" x14ac:dyDescent="0.25">
      <c r="B600" s="29"/>
      <c r="D600" s="126" t="s">
        <v>330</v>
      </c>
    </row>
    <row r="601" spans="1:28" x14ac:dyDescent="0.25">
      <c r="B601" s="29" t="s">
        <v>17</v>
      </c>
      <c r="C601" t="s">
        <v>331</v>
      </c>
    </row>
    <row r="602" spans="1:28" s="25" customFormat="1" ht="15.75" thickBot="1" x14ac:dyDescent="0.3">
      <c r="B602" s="30" t="s">
        <v>19</v>
      </c>
      <c r="C602" s="25" t="s">
        <v>332</v>
      </c>
    </row>
    <row r="603" spans="1:28" s="8" customFormat="1" ht="15.75" thickTop="1" x14ac:dyDescent="0.25">
      <c r="B603" s="9"/>
      <c r="C603" s="8" t="s">
        <v>326</v>
      </c>
      <c r="J603" s="50"/>
      <c r="K603" s="50"/>
      <c r="L603" s="50"/>
      <c r="M603" s="50"/>
      <c r="N603" s="50"/>
    </row>
    <row r="604" spans="1:28" x14ac:dyDescent="0.25">
      <c r="D604" t="s">
        <v>273</v>
      </c>
      <c r="H604" t="s">
        <v>333</v>
      </c>
      <c r="J604" s="46"/>
      <c r="K604" s="46"/>
      <c r="L604" s="46"/>
      <c r="M604" s="46"/>
      <c r="N604" s="46"/>
      <c r="Q604">
        <v>15652</v>
      </c>
      <c r="R604">
        <v>16331</v>
      </c>
      <c r="S604">
        <v>16101</v>
      </c>
      <c r="T604">
        <v>16478</v>
      </c>
      <c r="U604">
        <v>16536</v>
      </c>
      <c r="V604">
        <v>17393</v>
      </c>
      <c r="W604">
        <v>17527</v>
      </c>
      <c r="X604">
        <v>17759</v>
      </c>
      <c r="Y604">
        <v>17725</v>
      </c>
      <c r="Z604">
        <v>18513</v>
      </c>
      <c r="AA604">
        <v>18901</v>
      </c>
      <c r="AB604">
        <v>19231</v>
      </c>
    </row>
    <row r="605" spans="1:28" x14ac:dyDescent="0.25">
      <c r="F605" t="s">
        <v>293</v>
      </c>
      <c r="H605" t="s">
        <v>333</v>
      </c>
      <c r="J605" s="46"/>
      <c r="K605" s="46"/>
      <c r="L605" s="46"/>
      <c r="M605" s="46"/>
      <c r="N605" s="46"/>
      <c r="Q605">
        <v>8982</v>
      </c>
      <c r="S605">
        <v>9751</v>
      </c>
      <c r="U605">
        <v>10913</v>
      </c>
      <c r="V605">
        <v>11354</v>
      </c>
      <c r="W605">
        <v>10911</v>
      </c>
      <c r="X605">
        <v>10686</v>
      </c>
      <c r="Y605">
        <v>9985</v>
      </c>
      <c r="Z605">
        <v>9904</v>
      </c>
      <c r="AA605">
        <v>10557</v>
      </c>
      <c r="AB605">
        <v>11561</v>
      </c>
    </row>
    <row r="606" spans="1:28" s="8" customFormat="1" x14ac:dyDescent="0.25">
      <c r="B606" s="9"/>
      <c r="C606" s="8" t="s">
        <v>334</v>
      </c>
      <c r="J606" s="50"/>
      <c r="K606" s="50"/>
      <c r="L606" s="50"/>
      <c r="M606" s="50"/>
      <c r="N606" s="50"/>
    </row>
    <row r="607" spans="1:28" x14ac:dyDescent="0.25">
      <c r="D607" t="s">
        <v>273</v>
      </c>
      <c r="H607" t="s">
        <v>333</v>
      </c>
      <c r="J607" s="46"/>
      <c r="K607" s="46"/>
      <c r="L607" s="46"/>
      <c r="M607" s="46"/>
      <c r="N607" s="46"/>
      <c r="Q607">
        <v>567</v>
      </c>
      <c r="R607">
        <v>749</v>
      </c>
      <c r="S607">
        <v>399</v>
      </c>
      <c r="T607">
        <v>299</v>
      </c>
      <c r="U607">
        <v>349</v>
      </c>
      <c r="V607">
        <v>435</v>
      </c>
      <c r="W607">
        <v>390</v>
      </c>
      <c r="X607">
        <v>329</v>
      </c>
      <c r="Y607">
        <v>428</v>
      </c>
      <c r="Z607">
        <v>466</v>
      </c>
      <c r="AA607">
        <v>460</v>
      </c>
      <c r="AB607">
        <v>400</v>
      </c>
    </row>
    <row r="608" spans="1:28" x14ac:dyDescent="0.25">
      <c r="F608" t="s">
        <v>293</v>
      </c>
      <c r="H608" t="s">
        <v>333</v>
      </c>
      <c r="J608" s="46"/>
      <c r="K608" s="46"/>
      <c r="L608" s="46"/>
      <c r="M608" s="46"/>
      <c r="N608" s="46"/>
      <c r="Q608">
        <v>412</v>
      </c>
      <c r="S608">
        <v>265</v>
      </c>
      <c r="U608">
        <v>240</v>
      </c>
      <c r="V608">
        <v>262</v>
      </c>
      <c r="W608">
        <v>256</v>
      </c>
      <c r="X608">
        <v>185</v>
      </c>
      <c r="Y608">
        <v>296</v>
      </c>
      <c r="Z608">
        <v>330</v>
      </c>
      <c r="AA608">
        <v>307</v>
      </c>
      <c r="AB608">
        <v>299</v>
      </c>
    </row>
    <row r="609" spans="1:37" x14ac:dyDescent="0.25">
      <c r="C609" s="8" t="s">
        <v>335</v>
      </c>
      <c r="D609" s="8"/>
      <c r="E609" s="8"/>
      <c r="F609" s="8"/>
      <c r="J609" s="46"/>
      <c r="K609" s="46"/>
      <c r="L609" s="46"/>
      <c r="M609" s="46"/>
      <c r="N609" s="46"/>
    </row>
    <row r="610" spans="1:37" x14ac:dyDescent="0.25">
      <c r="D610" t="s">
        <v>273</v>
      </c>
      <c r="H610" t="s">
        <v>333</v>
      </c>
      <c r="J610" s="46"/>
      <c r="K610" s="46"/>
      <c r="L610" s="46"/>
      <c r="M610" s="46"/>
      <c r="N610" s="46"/>
      <c r="Q610">
        <v>1263</v>
      </c>
      <c r="R610">
        <v>1484</v>
      </c>
      <c r="S610">
        <v>1193</v>
      </c>
      <c r="T610">
        <v>1234</v>
      </c>
      <c r="U610">
        <v>1411</v>
      </c>
      <c r="V610">
        <v>1401</v>
      </c>
      <c r="W610">
        <v>1631</v>
      </c>
      <c r="X610">
        <v>1613</v>
      </c>
      <c r="Y610">
        <v>1784</v>
      </c>
      <c r="Z610">
        <v>1661</v>
      </c>
      <c r="AA610">
        <v>1652</v>
      </c>
      <c r="AB610">
        <v>1690</v>
      </c>
    </row>
    <row r="611" spans="1:37" x14ac:dyDescent="0.25">
      <c r="F611" t="s">
        <v>293</v>
      </c>
      <c r="H611" t="s">
        <v>333</v>
      </c>
      <c r="J611" s="46"/>
      <c r="K611" s="46"/>
      <c r="L611" s="46"/>
      <c r="M611" s="46"/>
      <c r="N611" s="46"/>
      <c r="Q611">
        <v>506</v>
      </c>
      <c r="S611">
        <v>611</v>
      </c>
      <c r="U611">
        <v>841</v>
      </c>
      <c r="V611">
        <v>822</v>
      </c>
      <c r="W611">
        <v>930</v>
      </c>
      <c r="X611">
        <v>902</v>
      </c>
      <c r="Y611">
        <v>883</v>
      </c>
      <c r="Z611">
        <v>750</v>
      </c>
      <c r="AA611">
        <v>672</v>
      </c>
      <c r="AB611">
        <v>801</v>
      </c>
    </row>
    <row r="612" spans="1:37" x14ac:dyDescent="0.25">
      <c r="C612" s="8" t="s">
        <v>336</v>
      </c>
      <c r="D612" s="8"/>
      <c r="E612" s="8"/>
      <c r="F612" s="8"/>
      <c r="J612" s="46"/>
      <c r="K612" s="46"/>
      <c r="L612" s="46"/>
      <c r="M612" s="46"/>
      <c r="N612" s="46"/>
    </row>
    <row r="613" spans="1:37" x14ac:dyDescent="0.25">
      <c r="D613" t="s">
        <v>273</v>
      </c>
      <c r="H613" t="s">
        <v>333</v>
      </c>
      <c r="J613" s="46"/>
      <c r="K613" s="46"/>
      <c r="L613" s="46"/>
      <c r="M613" s="46"/>
      <c r="N613" s="46"/>
      <c r="Q613">
        <v>1276</v>
      </c>
      <c r="R613">
        <v>1202</v>
      </c>
      <c r="S613">
        <v>1344</v>
      </c>
      <c r="T613">
        <v>965</v>
      </c>
      <c r="U613">
        <v>833</v>
      </c>
      <c r="V613">
        <v>761</v>
      </c>
      <c r="W613">
        <v>789</v>
      </c>
      <c r="X613">
        <v>811</v>
      </c>
      <c r="Y613">
        <v>956</v>
      </c>
      <c r="Z613">
        <v>1017</v>
      </c>
      <c r="AA613">
        <v>1468</v>
      </c>
      <c r="AB613">
        <v>1795</v>
      </c>
    </row>
    <row r="614" spans="1:37" x14ac:dyDescent="0.25">
      <c r="F614" t="s">
        <v>293</v>
      </c>
      <c r="H614" t="s">
        <v>333</v>
      </c>
      <c r="J614" s="46"/>
      <c r="K614" s="46"/>
      <c r="L614" s="46"/>
      <c r="M614" s="46"/>
      <c r="N614" s="46"/>
      <c r="Q614">
        <v>560</v>
      </c>
      <c r="S614">
        <v>561</v>
      </c>
      <c r="U614">
        <v>235</v>
      </c>
      <c r="V614">
        <v>149</v>
      </c>
      <c r="W614">
        <v>155</v>
      </c>
      <c r="X614">
        <v>277</v>
      </c>
      <c r="Y614">
        <v>288</v>
      </c>
      <c r="Z614">
        <v>298</v>
      </c>
      <c r="AA614">
        <v>126</v>
      </c>
      <c r="AB614">
        <v>620</v>
      </c>
    </row>
    <row r="615" spans="1:37" s="2" customFormat="1" x14ac:dyDescent="0.25">
      <c r="B615" s="3"/>
      <c r="J615" s="48"/>
      <c r="K615" s="48"/>
      <c r="L615" s="48"/>
      <c r="M615" s="48"/>
      <c r="N615" s="48"/>
    </row>
    <row r="616" spans="1:37" s="28" customFormat="1" ht="17.25" x14ac:dyDescent="0.3">
      <c r="A616" s="28" t="s">
        <v>337</v>
      </c>
    </row>
    <row r="617" spans="1:37" x14ac:dyDescent="0.25">
      <c r="B617" s="29" t="s">
        <v>3</v>
      </c>
      <c r="C617" t="s">
        <v>338</v>
      </c>
    </row>
    <row r="618" spans="1:37" x14ac:dyDescent="0.25">
      <c r="B618" s="29" t="s">
        <v>10</v>
      </c>
      <c r="C618" s="263" t="s">
        <v>39</v>
      </c>
    </row>
    <row r="619" spans="1:37" x14ac:dyDescent="0.25">
      <c r="B619" s="29" t="s">
        <v>14</v>
      </c>
      <c r="C619" t="s">
        <v>2110</v>
      </c>
    </row>
    <row r="620" spans="1:37" x14ac:dyDescent="0.25">
      <c r="B620" s="29" t="s">
        <v>17</v>
      </c>
      <c r="C620" t="s">
        <v>339</v>
      </c>
    </row>
    <row r="621" spans="1:37" s="25" customFormat="1" ht="15.75" thickBot="1" x14ac:dyDescent="0.3">
      <c r="B621" s="30" t="s">
        <v>19</v>
      </c>
      <c r="C621" s="25" t="s">
        <v>340</v>
      </c>
    </row>
    <row r="622" spans="1:37" ht="15.75" thickTop="1" x14ac:dyDescent="0.25">
      <c r="C622" s="8" t="s">
        <v>341</v>
      </c>
      <c r="D622" s="8"/>
      <c r="E622" s="8"/>
      <c r="F622" s="8"/>
      <c r="J622" s="46"/>
      <c r="K622" s="46"/>
      <c r="L622" s="46"/>
      <c r="M622" s="46"/>
      <c r="N622" s="46"/>
    </row>
    <row r="623" spans="1:37" x14ac:dyDescent="0.25">
      <c r="D623" t="s">
        <v>273</v>
      </c>
      <c r="H623" t="s">
        <v>333</v>
      </c>
      <c r="I623" s="39"/>
      <c r="J623" s="78"/>
      <c r="K623" s="78"/>
      <c r="L623" s="78"/>
      <c r="M623" s="78"/>
      <c r="N623" s="78"/>
      <c r="O623" s="39"/>
      <c r="P623" s="39"/>
      <c r="Q623" s="39">
        <v>20802</v>
      </c>
      <c r="R623" s="39">
        <v>21111</v>
      </c>
      <c r="S623" s="39">
        <v>21326</v>
      </c>
      <c r="T623" s="39">
        <v>21575</v>
      </c>
      <c r="U623" s="39">
        <v>21956</v>
      </c>
      <c r="V623" s="39">
        <v>22311</v>
      </c>
      <c r="W623" s="39">
        <v>22623</v>
      </c>
      <c r="X623" s="39">
        <v>22923</v>
      </c>
      <c r="Y623" s="39">
        <v>23059</v>
      </c>
      <c r="Z623" s="39">
        <v>23280</v>
      </c>
      <c r="AA623" s="39">
        <v>23356</v>
      </c>
      <c r="AB623" s="39">
        <v>23319</v>
      </c>
      <c r="AC623" s="39"/>
      <c r="AD623" s="39"/>
      <c r="AE623" s="39"/>
      <c r="AF623" s="39"/>
      <c r="AG623" s="39"/>
      <c r="AH623" s="39"/>
      <c r="AI623" s="39"/>
      <c r="AJ623" s="39"/>
      <c r="AK623" s="39"/>
    </row>
    <row r="624" spans="1:37" x14ac:dyDescent="0.25">
      <c r="E624" t="s">
        <v>291</v>
      </c>
      <c r="H624" t="s">
        <v>333</v>
      </c>
      <c r="I624" s="39"/>
      <c r="J624" s="78"/>
      <c r="K624" s="78"/>
      <c r="L624" s="78"/>
      <c r="M624" s="78"/>
      <c r="N624" s="78"/>
      <c r="O624" s="39"/>
      <c r="P624" s="39"/>
      <c r="Q624" s="39">
        <v>310</v>
      </c>
      <c r="R624" s="39">
        <v>153</v>
      </c>
      <c r="S624" s="39">
        <v>355</v>
      </c>
      <c r="T624" s="39">
        <v>410</v>
      </c>
      <c r="U624" s="39">
        <v>454</v>
      </c>
      <c r="V624" s="39">
        <v>585</v>
      </c>
      <c r="W624" s="39">
        <v>604</v>
      </c>
      <c r="X624" s="39">
        <v>515</v>
      </c>
      <c r="Y624" s="39">
        <v>382</v>
      </c>
      <c r="Z624" s="39">
        <v>465</v>
      </c>
      <c r="AA624" s="39">
        <v>367</v>
      </c>
      <c r="AB624" s="39">
        <v>442</v>
      </c>
      <c r="AC624" s="39"/>
      <c r="AD624" s="39"/>
      <c r="AE624" s="39"/>
      <c r="AF624" s="39"/>
      <c r="AG624" s="39"/>
      <c r="AH624" s="39"/>
      <c r="AI624" s="39"/>
      <c r="AJ624" s="39"/>
      <c r="AK624" s="39"/>
    </row>
    <row r="625" spans="1:37" x14ac:dyDescent="0.25">
      <c r="E625" t="s">
        <v>292</v>
      </c>
      <c r="H625" t="s">
        <v>333</v>
      </c>
      <c r="I625" s="39"/>
      <c r="J625" s="78"/>
      <c r="K625" s="78"/>
      <c r="L625" s="78"/>
      <c r="M625" s="78"/>
      <c r="N625" s="78"/>
      <c r="O625" s="39"/>
      <c r="P625" s="39"/>
      <c r="Q625" s="39">
        <v>20062</v>
      </c>
      <c r="R625" s="39">
        <v>20721</v>
      </c>
      <c r="S625" s="39">
        <v>20665</v>
      </c>
      <c r="T625" s="39">
        <v>20846</v>
      </c>
      <c r="U625" s="39">
        <v>21127</v>
      </c>
      <c r="V625" s="39">
        <v>21304</v>
      </c>
      <c r="W625" s="39">
        <v>21563</v>
      </c>
      <c r="X625" s="39">
        <v>21806</v>
      </c>
      <c r="Y625" s="39">
        <v>21814</v>
      </c>
      <c r="Z625" s="39">
        <v>21938</v>
      </c>
      <c r="AA625" s="39">
        <v>22110</v>
      </c>
      <c r="AB625" s="39">
        <v>22095</v>
      </c>
      <c r="AC625" s="39"/>
      <c r="AD625" s="39"/>
      <c r="AE625" s="39"/>
      <c r="AF625" s="39"/>
      <c r="AG625" s="39"/>
      <c r="AH625" s="39"/>
      <c r="AI625" s="39"/>
      <c r="AJ625" s="39"/>
      <c r="AK625" s="39"/>
    </row>
    <row r="626" spans="1:37" x14ac:dyDescent="0.25">
      <c r="F626" t="s">
        <v>293</v>
      </c>
      <c r="H626" t="s">
        <v>333</v>
      </c>
      <c r="I626" s="39"/>
      <c r="J626" s="78"/>
      <c r="K626" s="78"/>
      <c r="L626" s="78"/>
      <c r="M626" s="78"/>
      <c r="N626" s="78"/>
      <c r="O626" s="39"/>
      <c r="P626" s="39"/>
      <c r="Q626" s="39">
        <v>9441</v>
      </c>
      <c r="R626" s="39">
        <v>9556</v>
      </c>
      <c r="S626" s="39">
        <v>9646</v>
      </c>
      <c r="T626" s="39">
        <v>9777</v>
      </c>
      <c r="U626" s="39">
        <v>9967</v>
      </c>
      <c r="V626" s="39">
        <v>10152</v>
      </c>
      <c r="W626" s="39">
        <v>10279</v>
      </c>
      <c r="X626" s="39">
        <v>10413</v>
      </c>
      <c r="Y626" s="39">
        <v>10483</v>
      </c>
      <c r="Z626" s="39">
        <v>10553</v>
      </c>
      <c r="AA626" s="39">
        <v>10585</v>
      </c>
      <c r="AB626" s="39">
        <v>10728</v>
      </c>
      <c r="AC626" s="39"/>
      <c r="AD626" s="39"/>
      <c r="AE626" s="39"/>
      <c r="AF626" s="39"/>
      <c r="AG626" s="39"/>
      <c r="AH626" s="39"/>
      <c r="AI626" s="39"/>
      <c r="AJ626" s="39"/>
      <c r="AK626" s="39"/>
    </row>
    <row r="627" spans="1:37" s="2" customFormat="1" x14ac:dyDescent="0.25">
      <c r="B627" s="3"/>
      <c r="J627" s="48"/>
      <c r="K627" s="48"/>
      <c r="L627" s="48"/>
      <c r="M627" s="48"/>
      <c r="N627" s="48"/>
    </row>
    <row r="628" spans="1:37" s="28" customFormat="1" ht="17.25" x14ac:dyDescent="0.3">
      <c r="A628" s="28" t="s">
        <v>342</v>
      </c>
    </row>
    <row r="629" spans="1:37" x14ac:dyDescent="0.25">
      <c r="B629" s="29" t="s">
        <v>3</v>
      </c>
      <c r="C629" t="s">
        <v>343</v>
      </c>
      <c r="Z629" s="39">
        <f>AA623</f>
        <v>23356</v>
      </c>
      <c r="AA629" s="39">
        <v>23331</v>
      </c>
      <c r="AB629" s="39">
        <f>AB623</f>
        <v>23319</v>
      </c>
    </row>
    <row r="630" spans="1:37" x14ac:dyDescent="0.25">
      <c r="B630" s="29" t="s">
        <v>10</v>
      </c>
      <c r="C630" s="263" t="s">
        <v>35</v>
      </c>
      <c r="Z630">
        <v>14015</v>
      </c>
      <c r="AA630">
        <v>13233</v>
      </c>
      <c r="AB630">
        <f>AB637</f>
        <v>13255</v>
      </c>
    </row>
    <row r="631" spans="1:37" x14ac:dyDescent="0.25">
      <c r="B631" s="29"/>
      <c r="C631" s="263" t="s">
        <v>37</v>
      </c>
      <c r="Z631">
        <v>10027</v>
      </c>
      <c r="AA631">
        <v>9609</v>
      </c>
      <c r="AB631">
        <f>AB642</f>
        <v>9531</v>
      </c>
    </row>
    <row r="632" spans="1:37" x14ac:dyDescent="0.25">
      <c r="B632" s="29" t="s">
        <v>14</v>
      </c>
      <c r="C632" t="s">
        <v>344</v>
      </c>
      <c r="Z632">
        <f>Z631/Z630</f>
        <v>0.71544773457010347</v>
      </c>
      <c r="AA632">
        <f>AA631/AA630</f>
        <v>0.72613919746089317</v>
      </c>
      <c r="AB632">
        <f>AB631/AB630</f>
        <v>0.71904941531497546</v>
      </c>
    </row>
    <row r="633" spans="1:37" x14ac:dyDescent="0.25">
      <c r="B633" s="29"/>
      <c r="D633" t="s">
        <v>345</v>
      </c>
      <c r="Z633" s="39">
        <f>AA633</f>
        <v>11682</v>
      </c>
      <c r="AA633" s="39">
        <f>Z106+Z111</f>
        <v>11682</v>
      </c>
      <c r="AB633" s="39">
        <f>AA106+AA111</f>
        <v>11958</v>
      </c>
    </row>
    <row r="634" spans="1:37" x14ac:dyDescent="0.25">
      <c r="B634" s="29" t="s">
        <v>17</v>
      </c>
      <c r="C634" t="s">
        <v>339</v>
      </c>
      <c r="Z634">
        <f>Z629/(Z633*Z632)</f>
        <v>2.794495096077434</v>
      </c>
      <c r="AA634">
        <f>AA629/(AA633*AA632)</f>
        <v>2.7504026063136435</v>
      </c>
      <c r="AB634">
        <f>AB629/(AB633*AB632)</f>
        <v>2.7120184258376145</v>
      </c>
    </row>
    <row r="635" spans="1:37" s="25" customFormat="1" ht="15.75" thickBot="1" x14ac:dyDescent="0.3">
      <c r="B635" s="30" t="s">
        <v>19</v>
      </c>
      <c r="C635" s="25" t="s">
        <v>346</v>
      </c>
    </row>
    <row r="636" spans="1:37" ht="15.75" thickTop="1" x14ac:dyDescent="0.25">
      <c r="C636" s="8" t="s">
        <v>347</v>
      </c>
      <c r="D636" s="8"/>
      <c r="E636" s="8"/>
      <c r="F636" s="8"/>
      <c r="J636" s="46"/>
      <c r="K636" s="46"/>
      <c r="L636" s="46"/>
      <c r="M636" s="46"/>
      <c r="N636" s="46"/>
    </row>
    <row r="637" spans="1:37" x14ac:dyDescent="0.25">
      <c r="D637" t="s">
        <v>273</v>
      </c>
      <c r="H637" t="s">
        <v>23</v>
      </c>
      <c r="J637" s="46"/>
      <c r="K637" s="46"/>
      <c r="L637" s="46"/>
      <c r="M637" s="46"/>
      <c r="N637" s="46"/>
      <c r="Q637">
        <v>12487</v>
      </c>
      <c r="R637">
        <v>12666</v>
      </c>
      <c r="S637">
        <v>12821</v>
      </c>
      <c r="T637">
        <v>12917</v>
      </c>
      <c r="U637">
        <v>13034</v>
      </c>
      <c r="V637">
        <v>13146</v>
      </c>
      <c r="W637">
        <v>13292</v>
      </c>
      <c r="X637">
        <v>13508</v>
      </c>
      <c r="Y637">
        <v>13680</v>
      </c>
      <c r="Z637">
        <v>13848</v>
      </c>
      <c r="AA637">
        <v>14015</v>
      </c>
      <c r="AB637">
        <v>13255</v>
      </c>
    </row>
    <row r="638" spans="1:37" x14ac:dyDescent="0.25">
      <c r="E638" t="s">
        <v>291</v>
      </c>
      <c r="H638" t="s">
        <v>23</v>
      </c>
      <c r="J638" s="46"/>
      <c r="K638" s="46"/>
      <c r="L638" s="46"/>
      <c r="M638" s="46"/>
      <c r="N638" s="46"/>
      <c r="Q638">
        <v>246</v>
      </c>
      <c r="R638">
        <v>223</v>
      </c>
      <c r="S638">
        <v>285</v>
      </c>
      <c r="T638">
        <v>320</v>
      </c>
      <c r="U638">
        <v>326</v>
      </c>
      <c r="V638">
        <v>355</v>
      </c>
      <c r="W638">
        <v>340</v>
      </c>
      <c r="X638">
        <v>300</v>
      </c>
      <c r="Y638">
        <v>249</v>
      </c>
      <c r="Z638">
        <v>208</v>
      </c>
      <c r="AA638">
        <v>170</v>
      </c>
      <c r="AB638">
        <v>227</v>
      </c>
    </row>
    <row r="639" spans="1:37" x14ac:dyDescent="0.25">
      <c r="E639" t="s">
        <v>292</v>
      </c>
      <c r="H639" t="s">
        <v>23</v>
      </c>
      <c r="J639" s="46"/>
      <c r="K639" s="46"/>
      <c r="L639" s="46"/>
      <c r="M639" s="46"/>
      <c r="N639" s="46"/>
      <c r="Q639">
        <v>11682</v>
      </c>
      <c r="R639">
        <v>11967</v>
      </c>
      <c r="S639">
        <v>12212</v>
      </c>
      <c r="T639">
        <v>12378</v>
      </c>
      <c r="U639">
        <v>12597</v>
      </c>
      <c r="V639">
        <v>12686</v>
      </c>
      <c r="W639">
        <v>12874</v>
      </c>
      <c r="X639">
        <v>13056</v>
      </c>
      <c r="Y639">
        <v>13159</v>
      </c>
      <c r="Z639">
        <v>13337</v>
      </c>
      <c r="AA639">
        <v>13547</v>
      </c>
      <c r="AB639">
        <v>12780</v>
      </c>
    </row>
    <row r="640" spans="1:37" x14ac:dyDescent="0.25">
      <c r="F640" t="s">
        <v>293</v>
      </c>
      <c r="H640" t="s">
        <v>23</v>
      </c>
      <c r="J640" s="46"/>
      <c r="K640" s="46"/>
      <c r="L640" s="46"/>
      <c r="M640" s="46"/>
      <c r="N640" s="46"/>
      <c r="Q640">
        <v>4110</v>
      </c>
      <c r="R640">
        <v>4574</v>
      </c>
      <c r="S640">
        <v>4671</v>
      </c>
      <c r="T640">
        <v>4471</v>
      </c>
      <c r="U640">
        <v>4456</v>
      </c>
      <c r="V640">
        <v>4450</v>
      </c>
      <c r="W640">
        <v>4509</v>
      </c>
      <c r="X640">
        <v>4684</v>
      </c>
      <c r="Y640">
        <v>4874</v>
      </c>
      <c r="Z640">
        <v>5024</v>
      </c>
      <c r="AA640">
        <v>5312</v>
      </c>
      <c r="AB640">
        <v>5058</v>
      </c>
    </row>
    <row r="641" spans="3:28" x14ac:dyDescent="0.25">
      <c r="C641" s="8" t="s">
        <v>348</v>
      </c>
      <c r="D641" s="8"/>
      <c r="E641" s="8"/>
      <c r="F641" s="8"/>
      <c r="J641" s="46"/>
      <c r="K641" s="46"/>
      <c r="L641" s="46"/>
      <c r="M641" s="46"/>
      <c r="N641" s="46"/>
    </row>
    <row r="642" spans="3:28" x14ac:dyDescent="0.25">
      <c r="D642" t="s">
        <v>273</v>
      </c>
      <c r="H642" t="s">
        <v>23</v>
      </c>
      <c r="J642" s="46"/>
      <c r="K642" s="46"/>
      <c r="L642" s="46"/>
      <c r="M642" s="46"/>
      <c r="N642" s="46"/>
      <c r="Q642">
        <v>7470</v>
      </c>
      <c r="R642">
        <v>7246</v>
      </c>
      <c r="S642">
        <v>7327</v>
      </c>
      <c r="T642">
        <v>7583</v>
      </c>
      <c r="U642">
        <v>7873</v>
      </c>
      <c r="V642">
        <v>8187</v>
      </c>
      <c r="W642">
        <v>8576</v>
      </c>
      <c r="X642">
        <v>8795</v>
      </c>
      <c r="Y642">
        <v>9158</v>
      </c>
      <c r="Z642">
        <v>9019</v>
      </c>
      <c r="AA642">
        <v>10027</v>
      </c>
      <c r="AB642">
        <v>9531</v>
      </c>
    </row>
    <row r="643" spans="3:28" x14ac:dyDescent="0.25">
      <c r="E643" t="s">
        <v>291</v>
      </c>
      <c r="H643" t="s">
        <v>23</v>
      </c>
      <c r="J643" s="46"/>
      <c r="K643" s="46"/>
      <c r="L643" s="46"/>
      <c r="M643" s="46"/>
      <c r="N643" s="46"/>
      <c r="Q643">
        <v>68</v>
      </c>
      <c r="R643">
        <v>53</v>
      </c>
      <c r="S643">
        <v>156</v>
      </c>
      <c r="T643">
        <v>214</v>
      </c>
      <c r="U643">
        <v>233</v>
      </c>
      <c r="V643">
        <v>302</v>
      </c>
      <c r="W643">
        <v>300</v>
      </c>
      <c r="X643">
        <v>260</v>
      </c>
      <c r="Y643">
        <v>202</v>
      </c>
      <c r="Z643">
        <v>208</v>
      </c>
      <c r="AA643">
        <v>170</v>
      </c>
      <c r="AB643">
        <v>227</v>
      </c>
    </row>
    <row r="644" spans="3:28" x14ac:dyDescent="0.25">
      <c r="E644" t="s">
        <v>292</v>
      </c>
      <c r="H644" t="s">
        <v>23</v>
      </c>
      <c r="J644" s="46"/>
      <c r="K644" s="46"/>
      <c r="L644" s="46"/>
      <c r="M644" s="46"/>
      <c r="N644" s="46"/>
      <c r="Q644">
        <v>7281</v>
      </c>
      <c r="R644">
        <v>7114</v>
      </c>
      <c r="S644">
        <v>7142</v>
      </c>
      <c r="T644">
        <v>7369</v>
      </c>
      <c r="U644">
        <v>7640</v>
      </c>
      <c r="V644">
        <v>7885</v>
      </c>
      <c r="W644">
        <v>8276</v>
      </c>
      <c r="X644">
        <v>8489</v>
      </c>
      <c r="Y644">
        <v>8779</v>
      </c>
      <c r="Z644">
        <v>8631</v>
      </c>
      <c r="AA644">
        <v>9678</v>
      </c>
      <c r="AB644">
        <v>9166</v>
      </c>
    </row>
    <row r="645" spans="3:28" x14ac:dyDescent="0.25">
      <c r="F645" t="s">
        <v>293</v>
      </c>
      <c r="H645" t="s">
        <v>23</v>
      </c>
      <c r="J645" s="46"/>
      <c r="K645" s="46"/>
      <c r="L645" s="46"/>
      <c r="M645" s="46"/>
      <c r="N645" s="46"/>
      <c r="Q645">
        <v>3142</v>
      </c>
      <c r="R645">
        <v>3306</v>
      </c>
      <c r="S645">
        <v>3328</v>
      </c>
      <c r="T645">
        <v>3257</v>
      </c>
      <c r="U645">
        <v>3328</v>
      </c>
      <c r="V645">
        <v>3426</v>
      </c>
      <c r="W645">
        <v>3701</v>
      </c>
      <c r="X645">
        <v>3799</v>
      </c>
      <c r="Y645">
        <v>4006</v>
      </c>
      <c r="Z645">
        <v>3970</v>
      </c>
      <c r="AA645">
        <v>4597</v>
      </c>
      <c r="AB645">
        <v>4317</v>
      </c>
    </row>
    <row r="646" spans="3:28" x14ac:dyDescent="0.25">
      <c r="C646" s="8" t="s">
        <v>349</v>
      </c>
      <c r="D646" s="8"/>
      <c r="E646" s="8"/>
      <c r="F646" s="8"/>
      <c r="J646" s="46"/>
      <c r="K646" s="46"/>
      <c r="L646" s="46"/>
      <c r="M646" s="46"/>
      <c r="N646" s="46"/>
    </row>
    <row r="647" spans="3:28" x14ac:dyDescent="0.25">
      <c r="D647" t="s">
        <v>273</v>
      </c>
      <c r="H647" t="s">
        <v>23</v>
      </c>
      <c r="J647" s="46"/>
      <c r="K647" s="46"/>
      <c r="L647" s="46"/>
      <c r="M647" s="46"/>
      <c r="N647" s="46"/>
      <c r="Q647">
        <v>4542</v>
      </c>
      <c r="R647">
        <v>4517</v>
      </c>
      <c r="S647">
        <v>4461</v>
      </c>
      <c r="T647">
        <v>4480</v>
      </c>
      <c r="U647">
        <v>4644</v>
      </c>
      <c r="V647">
        <v>4953</v>
      </c>
      <c r="W647">
        <v>5132</v>
      </c>
      <c r="X647">
        <v>5142</v>
      </c>
      <c r="Y647">
        <v>5287</v>
      </c>
      <c r="Z647">
        <v>5448</v>
      </c>
      <c r="AA647">
        <v>5609</v>
      </c>
      <c r="AB647">
        <v>5656</v>
      </c>
    </row>
    <row r="648" spans="3:28" x14ac:dyDescent="0.25">
      <c r="E648" t="s">
        <v>291</v>
      </c>
      <c r="H648" t="s">
        <v>23</v>
      </c>
      <c r="J648" s="46"/>
      <c r="K648" s="46"/>
      <c r="L648" s="46"/>
      <c r="M648" s="46"/>
      <c r="N648" s="46"/>
      <c r="Q648">
        <v>68</v>
      </c>
      <c r="R648">
        <v>41</v>
      </c>
      <c r="S648">
        <v>76</v>
      </c>
      <c r="T648">
        <v>152</v>
      </c>
      <c r="U648">
        <v>159</v>
      </c>
      <c r="V648">
        <v>227</v>
      </c>
      <c r="W648">
        <v>244</v>
      </c>
      <c r="X648">
        <v>239</v>
      </c>
      <c r="Y648">
        <v>196</v>
      </c>
      <c r="Z648">
        <v>206</v>
      </c>
      <c r="AA648">
        <v>151</v>
      </c>
      <c r="AB648">
        <v>209</v>
      </c>
    </row>
    <row r="649" spans="3:28" x14ac:dyDescent="0.25">
      <c r="E649" t="s">
        <v>292</v>
      </c>
      <c r="H649" t="s">
        <v>23</v>
      </c>
      <c r="J649" s="46"/>
      <c r="K649" s="46"/>
      <c r="L649" s="46"/>
      <c r="M649" s="46"/>
      <c r="N649" s="46"/>
      <c r="Q649">
        <v>4474</v>
      </c>
      <c r="R649">
        <v>4476</v>
      </c>
      <c r="S649">
        <v>4385</v>
      </c>
      <c r="T649">
        <v>4328</v>
      </c>
      <c r="U649">
        <v>4485</v>
      </c>
      <c r="V649">
        <v>4726</v>
      </c>
      <c r="W649">
        <v>4888</v>
      </c>
      <c r="X649">
        <v>4903</v>
      </c>
      <c r="Y649">
        <v>5091</v>
      </c>
      <c r="Z649">
        <v>5242</v>
      </c>
      <c r="AA649">
        <v>5458</v>
      </c>
      <c r="AB649">
        <v>5447</v>
      </c>
    </row>
    <row r="650" spans="3:28" x14ac:dyDescent="0.25">
      <c r="F650" t="s">
        <v>293</v>
      </c>
      <c r="J650" s="46"/>
      <c r="K650" s="46"/>
      <c r="L650" s="46"/>
      <c r="M650" s="46"/>
      <c r="N650" s="46"/>
      <c r="Q650">
        <v>1279</v>
      </c>
      <c r="R650">
        <v>1559</v>
      </c>
      <c r="S650">
        <v>1463</v>
      </c>
      <c r="T650">
        <v>1309</v>
      </c>
      <c r="U650">
        <v>1322</v>
      </c>
      <c r="V650">
        <v>1441</v>
      </c>
      <c r="W650">
        <v>1419</v>
      </c>
      <c r="X650">
        <v>1410</v>
      </c>
      <c r="Y650">
        <v>1488</v>
      </c>
      <c r="Z650">
        <v>1517</v>
      </c>
      <c r="AA650">
        <v>1690</v>
      </c>
      <c r="AB650">
        <v>1771</v>
      </c>
    </row>
    <row r="651" spans="3:28" x14ac:dyDescent="0.25">
      <c r="C651" s="8" t="s">
        <v>350</v>
      </c>
      <c r="D651" s="8"/>
      <c r="E651" s="8"/>
      <c r="F651" s="8"/>
      <c r="H651" t="s">
        <v>23</v>
      </c>
      <c r="J651" s="46"/>
      <c r="K651" s="46"/>
      <c r="L651" s="46"/>
      <c r="M651" s="46"/>
      <c r="N651" s="46"/>
    </row>
    <row r="652" spans="3:28" x14ac:dyDescent="0.25">
      <c r="D652" t="s">
        <v>273</v>
      </c>
      <c r="H652" t="s">
        <v>23</v>
      </c>
      <c r="J652" s="46"/>
      <c r="K652" s="46"/>
      <c r="L652" s="46"/>
      <c r="M652" s="46"/>
      <c r="N652" s="46"/>
      <c r="Q652">
        <v>2928</v>
      </c>
      <c r="R652">
        <v>2729</v>
      </c>
      <c r="S652">
        <v>2866</v>
      </c>
      <c r="T652">
        <v>3103</v>
      </c>
      <c r="U652">
        <v>3229</v>
      </c>
      <c r="V652">
        <v>3234</v>
      </c>
      <c r="W652">
        <v>3444</v>
      </c>
      <c r="X652">
        <v>3653</v>
      </c>
      <c r="Y652">
        <v>3871</v>
      </c>
      <c r="Z652">
        <v>3571</v>
      </c>
      <c r="AA652">
        <v>4418</v>
      </c>
      <c r="AB652">
        <v>3875</v>
      </c>
    </row>
    <row r="653" spans="3:28" x14ac:dyDescent="0.25">
      <c r="E653" t="s">
        <v>291</v>
      </c>
      <c r="H653" t="s">
        <v>23</v>
      </c>
      <c r="J653" s="46"/>
      <c r="K653" s="46"/>
      <c r="L653" s="46"/>
      <c r="M653" s="46"/>
      <c r="N653" s="46"/>
      <c r="Q653">
        <v>0</v>
      </c>
      <c r="R653">
        <v>12</v>
      </c>
      <c r="S653">
        <v>80</v>
      </c>
      <c r="T653">
        <v>62</v>
      </c>
      <c r="U653">
        <v>74</v>
      </c>
      <c r="V653">
        <v>75</v>
      </c>
      <c r="W653">
        <v>56</v>
      </c>
      <c r="X653">
        <v>21</v>
      </c>
      <c r="Y653">
        <v>6</v>
      </c>
      <c r="Z653">
        <v>2</v>
      </c>
      <c r="AA653">
        <v>19</v>
      </c>
      <c r="AB653">
        <v>18</v>
      </c>
    </row>
    <row r="654" spans="3:28" x14ac:dyDescent="0.25">
      <c r="E654" t="s">
        <v>292</v>
      </c>
      <c r="H654" t="s">
        <v>23</v>
      </c>
      <c r="J654" s="46"/>
      <c r="K654" s="46"/>
      <c r="L654" s="46"/>
      <c r="M654" s="46"/>
      <c r="N654" s="46"/>
      <c r="Q654">
        <v>2807</v>
      </c>
      <c r="R654">
        <v>2638</v>
      </c>
      <c r="S654">
        <v>2757</v>
      </c>
      <c r="T654">
        <v>3041</v>
      </c>
      <c r="U654">
        <v>3155</v>
      </c>
      <c r="V654">
        <v>3159</v>
      </c>
      <c r="W654">
        <v>3388</v>
      </c>
      <c r="X654">
        <v>3586</v>
      </c>
      <c r="Y654">
        <v>3688</v>
      </c>
      <c r="Z654">
        <v>3389</v>
      </c>
      <c r="AA654">
        <v>4220</v>
      </c>
      <c r="AB654">
        <v>3719</v>
      </c>
    </row>
    <row r="655" spans="3:28" x14ac:dyDescent="0.25">
      <c r="F655" t="s">
        <v>293</v>
      </c>
      <c r="H655" t="s">
        <v>23</v>
      </c>
      <c r="J655" s="46"/>
      <c r="K655" s="46"/>
      <c r="L655" s="46"/>
      <c r="M655" s="46"/>
      <c r="N655" s="46"/>
      <c r="Q655">
        <v>1863</v>
      </c>
      <c r="R655">
        <v>1747</v>
      </c>
      <c r="S655">
        <v>1865</v>
      </c>
      <c r="T655">
        <v>1948</v>
      </c>
      <c r="U655">
        <v>2006</v>
      </c>
      <c r="V655">
        <v>1985</v>
      </c>
      <c r="W655">
        <v>2282</v>
      </c>
      <c r="X655">
        <v>2389</v>
      </c>
      <c r="Y655">
        <v>2518</v>
      </c>
      <c r="Z655">
        <v>2453</v>
      </c>
      <c r="AA655">
        <v>2907</v>
      </c>
      <c r="AB655">
        <v>2546</v>
      </c>
    </row>
    <row r="656" spans="3:28" x14ac:dyDescent="0.25">
      <c r="C656" s="8" t="s">
        <v>351</v>
      </c>
      <c r="D656" s="8"/>
      <c r="E656" s="8"/>
      <c r="F656" s="8"/>
      <c r="J656" s="46"/>
      <c r="K656" s="46"/>
      <c r="L656" s="46"/>
      <c r="M656" s="46"/>
      <c r="N656" s="46"/>
    </row>
    <row r="657" spans="1:28" x14ac:dyDescent="0.25">
      <c r="D657" t="s">
        <v>273</v>
      </c>
      <c r="H657" t="s">
        <v>324</v>
      </c>
      <c r="J657" s="46"/>
      <c r="K657" s="46"/>
      <c r="L657" s="46"/>
      <c r="M657" s="46"/>
      <c r="N657" s="46"/>
      <c r="Q657">
        <v>2.4900000000000002</v>
      </c>
      <c r="R657">
        <v>2.69</v>
      </c>
      <c r="S657">
        <v>2.68</v>
      </c>
      <c r="T657">
        <v>2.5499999999999998</v>
      </c>
      <c r="U657">
        <v>2.59</v>
      </c>
      <c r="V657">
        <v>2.5499999999999998</v>
      </c>
      <c r="W657">
        <v>2.4900000000000002</v>
      </c>
      <c r="X657">
        <v>2.44</v>
      </c>
      <c r="Y657">
        <v>2.4900000000000002</v>
      </c>
      <c r="Z657">
        <v>2.4500000000000002</v>
      </c>
      <c r="AA657">
        <v>2.31</v>
      </c>
      <c r="AB657">
        <v>2.39</v>
      </c>
    </row>
    <row r="658" spans="1:28" x14ac:dyDescent="0.25">
      <c r="E658" t="s">
        <v>291</v>
      </c>
      <c r="H658" t="s">
        <v>324</v>
      </c>
      <c r="J658" s="46"/>
      <c r="K658" s="46"/>
      <c r="L658" s="46"/>
      <c r="M658" s="46"/>
      <c r="N658" s="46"/>
      <c r="Q658">
        <v>4.5599999999999996</v>
      </c>
      <c r="R658">
        <v>3.17</v>
      </c>
      <c r="S658">
        <v>2.5499999999999998</v>
      </c>
      <c r="T658">
        <v>1.46</v>
      </c>
      <c r="U658">
        <v>1.55</v>
      </c>
      <c r="V658">
        <v>1.56</v>
      </c>
      <c r="W658">
        <v>1.72</v>
      </c>
      <c r="X658">
        <v>1.69</v>
      </c>
      <c r="Y658">
        <v>1.92</v>
      </c>
      <c r="Z658">
        <v>2.25</v>
      </c>
      <c r="AA658">
        <v>2.2999999999999998</v>
      </c>
      <c r="AB658">
        <v>2.0299999999999998</v>
      </c>
    </row>
    <row r="659" spans="1:28" x14ac:dyDescent="0.25">
      <c r="E659" t="s">
        <v>292</v>
      </c>
      <c r="H659" t="s">
        <v>324</v>
      </c>
      <c r="J659" s="46"/>
      <c r="K659" s="46"/>
      <c r="L659" s="46"/>
      <c r="M659" s="46"/>
      <c r="N659" s="46"/>
      <c r="Q659">
        <v>2.46</v>
      </c>
      <c r="R659">
        <v>2.68</v>
      </c>
      <c r="S659">
        <v>2.68</v>
      </c>
      <c r="T659">
        <v>2.59</v>
      </c>
      <c r="U659">
        <v>2.62</v>
      </c>
      <c r="V659">
        <v>2.59</v>
      </c>
      <c r="W659">
        <v>2.52</v>
      </c>
      <c r="X659">
        <v>2.48</v>
      </c>
      <c r="Y659">
        <v>2.5099999999999998</v>
      </c>
      <c r="Z659">
        <v>2.46</v>
      </c>
      <c r="AA659">
        <v>2.31</v>
      </c>
      <c r="AB659">
        <v>2.4</v>
      </c>
    </row>
    <row r="660" spans="1:28" x14ac:dyDescent="0.25">
      <c r="F660" t="s">
        <v>293</v>
      </c>
      <c r="H660" t="s">
        <v>324</v>
      </c>
      <c r="J660" s="46"/>
      <c r="K660" s="46"/>
      <c r="L660" s="46"/>
      <c r="M660" s="46"/>
      <c r="N660" s="46"/>
      <c r="Q660">
        <v>2.39</v>
      </c>
      <c r="R660">
        <v>2.4700000000000002</v>
      </c>
      <c r="S660">
        <v>2.5099999999999998</v>
      </c>
      <c r="T660">
        <v>2.67</v>
      </c>
      <c r="U660">
        <v>2.9</v>
      </c>
      <c r="V660">
        <v>2.86</v>
      </c>
      <c r="W660">
        <v>2.67</v>
      </c>
      <c r="X660">
        <v>2.66</v>
      </c>
      <c r="Y660">
        <v>2.64</v>
      </c>
      <c r="Z660">
        <v>2.4700000000000002</v>
      </c>
      <c r="AA660">
        <v>2.33</v>
      </c>
      <c r="AB660">
        <v>2.5499999999999998</v>
      </c>
    </row>
    <row r="661" spans="1:28" x14ac:dyDescent="0.25">
      <c r="C661" s="8" t="s">
        <v>352</v>
      </c>
      <c r="D661" s="8"/>
      <c r="E661" s="8"/>
      <c r="F661" s="8"/>
      <c r="J661" s="46"/>
      <c r="K661" s="46"/>
      <c r="L661" s="46"/>
      <c r="M661" s="46"/>
      <c r="N661" s="46"/>
    </row>
    <row r="662" spans="1:28" x14ac:dyDescent="0.25">
      <c r="D662" t="s">
        <v>273</v>
      </c>
      <c r="H662" t="s">
        <v>324</v>
      </c>
      <c r="J662" s="46"/>
      <c r="K662" s="46"/>
      <c r="L662" s="46"/>
      <c r="M662" s="46"/>
      <c r="N662" s="46"/>
      <c r="Q662">
        <v>3.13</v>
      </c>
      <c r="R662">
        <v>3.15</v>
      </c>
      <c r="S662">
        <v>3.08</v>
      </c>
      <c r="T662">
        <v>3.06</v>
      </c>
      <c r="U662">
        <v>2.85</v>
      </c>
      <c r="V662">
        <v>2.75</v>
      </c>
      <c r="W662">
        <v>2.62</v>
      </c>
      <c r="X662">
        <v>2.59</v>
      </c>
      <c r="Y662">
        <v>2.31</v>
      </c>
      <c r="Z662">
        <v>2.5</v>
      </c>
      <c r="AA662">
        <v>2.12</v>
      </c>
      <c r="AB662">
        <v>2.2799999999999998</v>
      </c>
    </row>
    <row r="663" spans="1:28" x14ac:dyDescent="0.25">
      <c r="E663" t="s">
        <v>291</v>
      </c>
      <c r="H663" t="s">
        <v>324</v>
      </c>
      <c r="J663" s="46"/>
      <c r="K663" s="46"/>
      <c r="L663" s="46"/>
      <c r="M663" s="46"/>
      <c r="N663" s="46"/>
      <c r="R663">
        <v>1.92</v>
      </c>
      <c r="S663">
        <v>2.0099999999999998</v>
      </c>
      <c r="T663">
        <v>3.03</v>
      </c>
      <c r="U663">
        <v>2.8</v>
      </c>
      <c r="V663">
        <v>3.08</v>
      </c>
      <c r="W663">
        <v>3.29</v>
      </c>
      <c r="X663">
        <v>5.29</v>
      </c>
    </row>
    <row r="664" spans="1:28" x14ac:dyDescent="0.25">
      <c r="E664" t="s">
        <v>292</v>
      </c>
      <c r="H664" t="s">
        <v>324</v>
      </c>
      <c r="J664" s="46"/>
      <c r="K664" s="46"/>
      <c r="L664" s="46"/>
      <c r="M664" s="46"/>
      <c r="N664" s="46"/>
      <c r="Q664">
        <v>3.22</v>
      </c>
      <c r="R664">
        <v>3.22</v>
      </c>
      <c r="S664">
        <v>3.14</v>
      </c>
      <c r="T664">
        <v>3.06</v>
      </c>
      <c r="U664">
        <v>2.85</v>
      </c>
      <c r="V664">
        <v>2.75</v>
      </c>
      <c r="W664">
        <v>2.61</v>
      </c>
      <c r="X664">
        <v>2.59</v>
      </c>
      <c r="Y664">
        <v>2.36</v>
      </c>
      <c r="Z664">
        <v>2.56</v>
      </c>
      <c r="AA664">
        <v>2.16</v>
      </c>
      <c r="AB664">
        <v>2.3199999999999998</v>
      </c>
    </row>
    <row r="665" spans="1:28" x14ac:dyDescent="0.25">
      <c r="F665" t="s">
        <v>293</v>
      </c>
      <c r="H665" t="s">
        <v>324</v>
      </c>
      <c r="J665" s="46"/>
      <c r="K665" s="46"/>
      <c r="L665" s="46"/>
      <c r="M665" s="46"/>
      <c r="N665" s="46"/>
      <c r="Q665">
        <v>3.41</v>
      </c>
      <c r="R665">
        <v>3.19</v>
      </c>
      <c r="S665">
        <v>3.15</v>
      </c>
      <c r="T665">
        <v>3.17</v>
      </c>
      <c r="U665">
        <v>3.01</v>
      </c>
      <c r="V665">
        <v>2.99</v>
      </c>
      <c r="W665">
        <v>2.81</v>
      </c>
      <c r="X665">
        <v>2.76</v>
      </c>
      <c r="Y665">
        <v>2.57</v>
      </c>
      <c r="Z665">
        <v>2.74</v>
      </c>
      <c r="AA665">
        <v>2.2599999999999998</v>
      </c>
      <c r="AB665">
        <v>2.41</v>
      </c>
    </row>
    <row r="666" spans="1:28" s="2" customFormat="1" x14ac:dyDescent="0.25">
      <c r="B666" s="3"/>
      <c r="J666" s="48"/>
      <c r="K666" s="48"/>
      <c r="L666" s="48"/>
      <c r="M666" s="48"/>
      <c r="N666" s="48"/>
      <c r="R666" s="2">
        <v>3.19</v>
      </c>
    </row>
    <row r="667" spans="1:28" s="28" customFormat="1" ht="17.25" x14ac:dyDescent="0.3">
      <c r="A667" s="28" t="s">
        <v>353</v>
      </c>
    </row>
    <row r="668" spans="1:28" x14ac:dyDescent="0.25">
      <c r="B668" s="29" t="s">
        <v>3</v>
      </c>
      <c r="C668" t="s">
        <v>354</v>
      </c>
    </row>
    <row r="669" spans="1:28" x14ac:dyDescent="0.25">
      <c r="B669" s="29" t="s">
        <v>10</v>
      </c>
      <c r="C669" s="263" t="s">
        <v>37</v>
      </c>
      <c r="Q669" s="39">
        <f t="shared" ref="Q669:AB669" si="168">Q637-P106-P111</f>
        <v>2314</v>
      </c>
      <c r="R669" s="39">
        <f t="shared" si="168"/>
        <v>2302</v>
      </c>
      <c r="S669" s="39">
        <f t="shared" si="168"/>
        <v>2369</v>
      </c>
      <c r="T669" s="39">
        <f t="shared" si="168"/>
        <v>2387</v>
      </c>
      <c r="U669" s="39">
        <f t="shared" si="168"/>
        <v>2415</v>
      </c>
      <c r="V669" s="39">
        <f t="shared" si="168"/>
        <v>2399</v>
      </c>
      <c r="W669" s="39">
        <f t="shared" si="168"/>
        <v>2386</v>
      </c>
      <c r="X669" s="39">
        <f t="shared" si="168"/>
        <v>2437</v>
      </c>
      <c r="Y669" s="39">
        <f t="shared" si="168"/>
        <v>2486</v>
      </c>
      <c r="Z669" s="39">
        <f t="shared" si="168"/>
        <v>2445</v>
      </c>
      <c r="AA669" s="39">
        <f t="shared" si="168"/>
        <v>2333</v>
      </c>
      <c r="AB669" s="39">
        <f t="shared" si="168"/>
        <v>1297</v>
      </c>
    </row>
    <row r="670" spans="1:28" x14ac:dyDescent="0.25">
      <c r="B670" s="29" t="s">
        <v>14</v>
      </c>
      <c r="C670" t="s">
        <v>344</v>
      </c>
      <c r="Q670" s="39">
        <f t="shared" ref="Q670:AB670" si="169">Q679-Q669</f>
        <v>1567</v>
      </c>
      <c r="R670" s="39">
        <f t="shared" si="169"/>
        <v>1790</v>
      </c>
      <c r="S670" s="39">
        <f t="shared" si="169"/>
        <v>1749</v>
      </c>
      <c r="T670" s="39">
        <f t="shared" si="169"/>
        <v>1559</v>
      </c>
      <c r="U670" s="39">
        <f t="shared" si="169"/>
        <v>1392</v>
      </c>
      <c r="V670" s="39">
        <f t="shared" si="169"/>
        <v>1155</v>
      </c>
      <c r="W670" s="39">
        <f t="shared" si="169"/>
        <v>1050</v>
      </c>
      <c r="X670" s="39">
        <f t="shared" si="169"/>
        <v>628</v>
      </c>
      <c r="Y670" s="39">
        <f t="shared" si="169"/>
        <v>261</v>
      </c>
      <c r="Z670" s="39">
        <f t="shared" si="169"/>
        <v>321</v>
      </c>
      <c r="AA670" s="39">
        <f t="shared" si="169"/>
        <v>19</v>
      </c>
      <c r="AB670" s="39">
        <f t="shared" si="169"/>
        <v>985</v>
      </c>
    </row>
    <row r="671" spans="1:28" x14ac:dyDescent="0.25">
      <c r="B671" s="29" t="s">
        <v>17</v>
      </c>
      <c r="C671" t="s">
        <v>339</v>
      </c>
      <c r="Q671" s="39">
        <f t="shared" ref="Q671:AB671" si="170">Q670+SUM(Q675:Q678,Q680:Q681)</f>
        <v>2703</v>
      </c>
      <c r="R671" s="39">
        <f t="shared" si="170"/>
        <v>3118</v>
      </c>
      <c r="S671" s="39">
        <f t="shared" si="170"/>
        <v>3125</v>
      </c>
      <c r="T671" s="39">
        <f t="shared" si="170"/>
        <v>2947</v>
      </c>
      <c r="U671" s="39">
        <f t="shared" si="170"/>
        <v>2746</v>
      </c>
      <c r="V671" s="39">
        <f t="shared" si="170"/>
        <v>2560</v>
      </c>
      <c r="W671" s="39">
        <f t="shared" si="170"/>
        <v>2330</v>
      </c>
      <c r="X671" s="39">
        <f t="shared" si="170"/>
        <v>2276</v>
      </c>
      <c r="Y671" s="39">
        <f t="shared" si="170"/>
        <v>2036</v>
      </c>
      <c r="Z671" s="39">
        <f t="shared" si="170"/>
        <v>2384</v>
      </c>
      <c r="AA671" s="39">
        <f t="shared" si="170"/>
        <v>1655</v>
      </c>
      <c r="AB671" s="39">
        <f t="shared" si="170"/>
        <v>2427</v>
      </c>
    </row>
    <row r="672" spans="1:28" s="25" customFormat="1" ht="15.75" thickBot="1" x14ac:dyDescent="0.3">
      <c r="B672" s="30" t="s">
        <v>19</v>
      </c>
      <c r="C672" s="25" t="s">
        <v>346</v>
      </c>
    </row>
    <row r="673" spans="3:37" ht="15.75" thickTop="1" x14ac:dyDescent="0.25">
      <c r="C673" s="8" t="s">
        <v>273</v>
      </c>
      <c r="D673" s="8"/>
      <c r="E673" s="8"/>
      <c r="F673" s="8"/>
      <c r="J673" s="46"/>
      <c r="K673" s="46"/>
      <c r="L673" s="46"/>
      <c r="M673" s="46"/>
      <c r="N673" s="46"/>
      <c r="Q673" s="39"/>
      <c r="R673" s="39"/>
      <c r="S673" s="39"/>
      <c r="T673" s="39"/>
      <c r="U673" s="39"/>
      <c r="V673" s="39"/>
      <c r="W673" s="39"/>
      <c r="X673" s="39"/>
      <c r="Y673" s="39"/>
      <c r="Z673" s="39"/>
      <c r="AA673" s="39"/>
      <c r="AB673" s="39"/>
      <c r="AC673" s="39"/>
      <c r="AD673" s="39"/>
      <c r="AE673" s="39"/>
      <c r="AF673" s="39"/>
      <c r="AG673" s="39"/>
      <c r="AH673" s="39"/>
      <c r="AI673" s="39"/>
      <c r="AJ673" s="39"/>
      <c r="AK673" s="39"/>
    </row>
    <row r="674" spans="3:37" x14ac:dyDescent="0.25">
      <c r="D674" t="s">
        <v>355</v>
      </c>
      <c r="H674" t="s">
        <v>23</v>
      </c>
      <c r="J674" s="46"/>
      <c r="K674" s="46"/>
      <c r="L674" s="46"/>
      <c r="M674" s="46"/>
      <c r="N674" s="46"/>
      <c r="Q674" s="39">
        <f t="shared" ref="Q674:AK674" si="171">SUM(Q675:Q681)</f>
        <v>5017</v>
      </c>
      <c r="R674" s="39">
        <f t="shared" si="171"/>
        <v>5420</v>
      </c>
      <c r="S674" s="39">
        <f t="shared" si="171"/>
        <v>5494</v>
      </c>
      <c r="T674" s="39">
        <f t="shared" si="171"/>
        <v>5334</v>
      </c>
      <c r="U674" s="39">
        <f t="shared" si="171"/>
        <v>5161</v>
      </c>
      <c r="V674" s="39">
        <f t="shared" si="171"/>
        <v>4959</v>
      </c>
      <c r="W674" s="39">
        <f t="shared" si="171"/>
        <v>4716</v>
      </c>
      <c r="X674" s="39">
        <f t="shared" si="171"/>
        <v>4713</v>
      </c>
      <c r="Y674" s="39">
        <f t="shared" si="171"/>
        <v>4522</v>
      </c>
      <c r="Z674" s="39">
        <f t="shared" si="171"/>
        <v>4829</v>
      </c>
      <c r="AA674" s="39">
        <f t="shared" si="171"/>
        <v>3988</v>
      </c>
      <c r="AB674" s="39">
        <f t="shared" si="171"/>
        <v>3724</v>
      </c>
      <c r="AC674" s="39">
        <f t="shared" si="171"/>
        <v>0</v>
      </c>
      <c r="AD674" s="39">
        <f t="shared" si="171"/>
        <v>0</v>
      </c>
      <c r="AE674" s="39">
        <f t="shared" si="171"/>
        <v>0</v>
      </c>
      <c r="AF674" s="39">
        <f t="shared" si="171"/>
        <v>0</v>
      </c>
      <c r="AG674" s="39">
        <f t="shared" si="171"/>
        <v>0</v>
      </c>
      <c r="AH674" s="39">
        <f t="shared" si="171"/>
        <v>0</v>
      </c>
      <c r="AI674" s="39">
        <f t="shared" si="171"/>
        <v>0</v>
      </c>
      <c r="AJ674" s="39">
        <f t="shared" si="171"/>
        <v>0</v>
      </c>
      <c r="AK674" s="39">
        <f t="shared" si="171"/>
        <v>0</v>
      </c>
    </row>
    <row r="675" spans="3:37" x14ac:dyDescent="0.25">
      <c r="E675" t="s">
        <v>356</v>
      </c>
      <c r="H675" t="s">
        <v>23</v>
      </c>
      <c r="J675" s="46"/>
      <c r="K675" s="46"/>
      <c r="L675" s="46"/>
      <c r="M675" s="46"/>
      <c r="N675" s="46"/>
      <c r="Q675" s="39">
        <v>604</v>
      </c>
      <c r="R675" s="39">
        <v>622</v>
      </c>
      <c r="S675" s="39">
        <v>706</v>
      </c>
      <c r="T675" s="39">
        <v>657</v>
      </c>
      <c r="U675" s="39">
        <v>631</v>
      </c>
      <c r="V675" s="39">
        <v>690</v>
      </c>
      <c r="W675" s="39">
        <v>724</v>
      </c>
      <c r="X675" s="39">
        <v>936</v>
      </c>
      <c r="Y675" s="39">
        <v>1035</v>
      </c>
      <c r="Z675" s="213">
        <v>1208</v>
      </c>
      <c r="AA675" s="39">
        <v>950</v>
      </c>
      <c r="AB675" s="39">
        <v>802</v>
      </c>
      <c r="AC675" s="39"/>
      <c r="AD675" s="39"/>
      <c r="AE675" s="39"/>
      <c r="AF675" s="39"/>
      <c r="AG675" s="39"/>
      <c r="AH675" s="39"/>
      <c r="AI675" s="39"/>
      <c r="AJ675" s="39"/>
      <c r="AK675" s="39"/>
    </row>
    <row r="676" spans="3:37" x14ac:dyDescent="0.25">
      <c r="E676" t="s">
        <v>357</v>
      </c>
      <c r="H676" t="s">
        <v>23</v>
      </c>
      <c r="J676" s="46"/>
      <c r="K676" s="46"/>
      <c r="L676" s="46"/>
      <c r="M676" s="46"/>
      <c r="N676" s="46"/>
      <c r="Q676" s="39">
        <v>104</v>
      </c>
      <c r="R676" s="39">
        <v>101</v>
      </c>
      <c r="S676" s="39">
        <v>81</v>
      </c>
      <c r="T676" s="39">
        <v>49</v>
      </c>
      <c r="U676" s="39">
        <v>22</v>
      </c>
      <c r="V676" s="39">
        <v>51</v>
      </c>
      <c r="W676" s="39">
        <v>81</v>
      </c>
      <c r="X676" s="39">
        <v>108</v>
      </c>
      <c r="Y676" s="39">
        <v>152</v>
      </c>
      <c r="Z676" s="213">
        <v>158</v>
      </c>
      <c r="AA676" s="39">
        <v>105</v>
      </c>
      <c r="AB676" s="39">
        <v>79</v>
      </c>
      <c r="AC676" s="39"/>
      <c r="AD676" s="39"/>
      <c r="AE676" s="39"/>
      <c r="AF676" s="39"/>
      <c r="AG676" s="39"/>
      <c r="AH676" s="39"/>
      <c r="AI676" s="39"/>
      <c r="AJ676" s="39"/>
      <c r="AK676" s="39"/>
    </row>
    <row r="677" spans="3:37" x14ac:dyDescent="0.25">
      <c r="E677" t="s">
        <v>358</v>
      </c>
      <c r="H677" t="s">
        <v>23</v>
      </c>
      <c r="J677" s="46"/>
      <c r="K677" s="46"/>
      <c r="L677" s="46"/>
      <c r="M677" s="46"/>
      <c r="N677" s="46"/>
      <c r="Q677" s="39">
        <v>82</v>
      </c>
      <c r="R677" s="39">
        <v>110</v>
      </c>
      <c r="S677" s="39">
        <v>115</v>
      </c>
      <c r="T677" s="39">
        <v>130</v>
      </c>
      <c r="U677" s="39">
        <v>126</v>
      </c>
      <c r="V677" s="39">
        <v>103</v>
      </c>
      <c r="W677" s="39">
        <v>60</v>
      </c>
      <c r="X677" s="39">
        <v>40</v>
      </c>
      <c r="Y677" s="39">
        <v>109</v>
      </c>
      <c r="Z677" s="213">
        <v>113</v>
      </c>
      <c r="AA677" s="39">
        <v>193</v>
      </c>
      <c r="AB677" s="39">
        <v>177</v>
      </c>
      <c r="AC677" s="39"/>
      <c r="AD677" s="39"/>
      <c r="AE677" s="39"/>
      <c r="AF677" s="39"/>
      <c r="AG677" s="39"/>
      <c r="AH677" s="39"/>
      <c r="AI677" s="39"/>
      <c r="AJ677" s="39"/>
      <c r="AK677" s="39"/>
    </row>
    <row r="678" spans="3:37" x14ac:dyDescent="0.25">
      <c r="E678" t="s">
        <v>359</v>
      </c>
      <c r="H678" t="s">
        <v>23</v>
      </c>
      <c r="J678" s="46"/>
      <c r="K678" s="46"/>
      <c r="L678" s="46"/>
      <c r="M678" s="46"/>
      <c r="N678" s="46"/>
      <c r="Q678" s="39">
        <v>55</v>
      </c>
      <c r="R678" s="39">
        <v>59</v>
      </c>
      <c r="S678" s="39">
        <v>65</v>
      </c>
      <c r="T678" s="39">
        <v>122</v>
      </c>
      <c r="U678" s="39">
        <v>98</v>
      </c>
      <c r="V678" s="39">
        <v>99</v>
      </c>
      <c r="W678" s="39">
        <v>60</v>
      </c>
      <c r="X678" s="39">
        <v>53</v>
      </c>
      <c r="Y678" s="39">
        <v>0</v>
      </c>
      <c r="Z678" s="213">
        <v>33</v>
      </c>
      <c r="AA678" s="39">
        <v>27</v>
      </c>
      <c r="AB678" s="39">
        <v>27</v>
      </c>
      <c r="AC678" s="39"/>
      <c r="AD678" s="39"/>
      <c r="AE678" s="39"/>
      <c r="AF678" s="39"/>
      <c r="AG678" s="39"/>
      <c r="AH678" s="39"/>
      <c r="AI678" s="39"/>
      <c r="AJ678" s="39"/>
      <c r="AK678" s="39"/>
    </row>
    <row r="679" spans="3:37" x14ac:dyDescent="0.25">
      <c r="E679" t="s">
        <v>360</v>
      </c>
      <c r="H679" t="s">
        <v>23</v>
      </c>
      <c r="J679" s="46"/>
      <c r="K679" s="46"/>
      <c r="L679" s="46"/>
      <c r="M679" s="46"/>
      <c r="N679" s="46"/>
      <c r="Q679" s="39">
        <v>3881</v>
      </c>
      <c r="R679" s="39">
        <v>4092</v>
      </c>
      <c r="S679" s="39">
        <v>4118</v>
      </c>
      <c r="T679" s="39">
        <v>3946</v>
      </c>
      <c r="U679" s="39">
        <v>3807</v>
      </c>
      <c r="V679" s="39">
        <v>3554</v>
      </c>
      <c r="W679" s="39">
        <v>3436</v>
      </c>
      <c r="X679" s="39">
        <v>3065</v>
      </c>
      <c r="Y679" s="39">
        <v>2747</v>
      </c>
      <c r="Z679" s="213">
        <v>2766</v>
      </c>
      <c r="AA679" s="39">
        <v>2352</v>
      </c>
      <c r="AB679" s="39">
        <v>2282</v>
      </c>
      <c r="AC679" s="39"/>
      <c r="AD679" s="39"/>
      <c r="AE679" s="39"/>
      <c r="AF679" s="39"/>
      <c r="AG679" s="39"/>
      <c r="AH679" s="39"/>
      <c r="AI679" s="39"/>
      <c r="AJ679" s="39"/>
      <c r="AK679" s="39"/>
    </row>
    <row r="680" spans="3:37" x14ac:dyDescent="0.25">
      <c r="E680" t="s">
        <v>361</v>
      </c>
      <c r="H680" t="s">
        <v>23</v>
      </c>
      <c r="J680" s="46"/>
      <c r="K680" s="46"/>
      <c r="L680" s="46"/>
      <c r="M680" s="46"/>
      <c r="N680" s="46"/>
      <c r="Q680" s="39">
        <v>43</v>
      </c>
      <c r="R680" s="39">
        <v>41</v>
      </c>
      <c r="S680" s="39">
        <v>66</v>
      </c>
      <c r="T680" s="39">
        <v>29</v>
      </c>
      <c r="U680" s="39">
        <v>28</v>
      </c>
      <c r="V680" s="39">
        <v>29</v>
      </c>
      <c r="W680" s="39">
        <v>28</v>
      </c>
      <c r="X680" s="39">
        <v>0</v>
      </c>
      <c r="Y680" s="39">
        <v>0</v>
      </c>
      <c r="Z680" s="19">
        <v>0</v>
      </c>
      <c r="AA680" s="39">
        <v>0</v>
      </c>
      <c r="AB680" s="39">
        <v>0</v>
      </c>
      <c r="AC680" s="39"/>
      <c r="AD680" s="39"/>
      <c r="AE680" s="39"/>
      <c r="AF680" s="39"/>
      <c r="AG680" s="39"/>
      <c r="AH680" s="39"/>
      <c r="AI680" s="39"/>
      <c r="AJ680" s="39"/>
      <c r="AK680" s="39"/>
    </row>
    <row r="681" spans="3:37" x14ac:dyDescent="0.25">
      <c r="E681" t="s">
        <v>362</v>
      </c>
      <c r="H681" t="s">
        <v>23</v>
      </c>
      <c r="J681" s="46"/>
      <c r="K681" s="46"/>
      <c r="L681" s="46"/>
      <c r="M681" s="46"/>
      <c r="N681" s="46"/>
      <c r="Q681" s="39">
        <v>248</v>
      </c>
      <c r="R681" s="39">
        <v>395</v>
      </c>
      <c r="S681" s="39">
        <v>343</v>
      </c>
      <c r="T681" s="39">
        <v>401</v>
      </c>
      <c r="U681" s="39">
        <v>449</v>
      </c>
      <c r="V681" s="39">
        <v>433</v>
      </c>
      <c r="W681" s="39">
        <v>327</v>
      </c>
      <c r="X681" s="39">
        <v>511</v>
      </c>
      <c r="Y681" s="39">
        <v>479</v>
      </c>
      <c r="Z681" s="212">
        <v>551</v>
      </c>
      <c r="AA681" s="39">
        <v>361</v>
      </c>
      <c r="AB681" s="39">
        <v>357</v>
      </c>
      <c r="AC681" s="39"/>
      <c r="AD681" s="39"/>
      <c r="AE681" s="39"/>
      <c r="AF681" s="39"/>
      <c r="AG681" s="39"/>
      <c r="AH681" s="39"/>
      <c r="AI681" s="39"/>
      <c r="AJ681" s="39"/>
      <c r="AK681" s="39"/>
    </row>
    <row r="682" spans="3:37" x14ac:dyDescent="0.25">
      <c r="C682" s="8" t="s">
        <v>291</v>
      </c>
      <c r="D682" s="8"/>
      <c r="E682" s="8"/>
      <c r="F682" s="8"/>
      <c r="J682" s="46"/>
      <c r="K682" s="46"/>
      <c r="L682" s="46"/>
      <c r="M682" s="46"/>
      <c r="N682" s="46"/>
      <c r="Q682" s="39"/>
      <c r="R682" s="39"/>
      <c r="S682" s="39"/>
      <c r="T682" s="39"/>
      <c r="U682" s="39"/>
      <c r="V682" s="39"/>
      <c r="W682" s="39"/>
      <c r="X682" s="39"/>
      <c r="Y682" s="39"/>
      <c r="AA682" s="39"/>
      <c r="AB682" s="39"/>
      <c r="AC682" s="39"/>
      <c r="AD682" s="39"/>
      <c r="AE682" s="39"/>
      <c r="AF682" s="39"/>
      <c r="AG682" s="39"/>
      <c r="AH682" s="39"/>
      <c r="AI682" s="39"/>
      <c r="AJ682" s="39"/>
      <c r="AK682" s="39"/>
    </row>
    <row r="683" spans="3:37" x14ac:dyDescent="0.25">
      <c r="D683" t="s">
        <v>355</v>
      </c>
      <c r="H683" t="s">
        <v>23</v>
      </c>
      <c r="J683" s="46"/>
      <c r="K683" s="46"/>
      <c r="L683" s="46"/>
      <c r="M683" s="46"/>
      <c r="N683" s="46"/>
      <c r="Q683" s="39">
        <f t="shared" ref="Q683:AK683" si="172">SUM(Q684:Q690)</f>
        <v>178</v>
      </c>
      <c r="R683" s="39">
        <f t="shared" si="172"/>
        <v>170</v>
      </c>
      <c r="S683" s="39">
        <f t="shared" si="172"/>
        <v>129</v>
      </c>
      <c r="T683" s="39">
        <f t="shared" si="172"/>
        <v>106</v>
      </c>
      <c r="U683" s="39">
        <f t="shared" si="172"/>
        <v>93</v>
      </c>
      <c r="V683" s="39">
        <f t="shared" si="172"/>
        <v>53</v>
      </c>
      <c r="W683" s="39">
        <f t="shared" si="172"/>
        <v>40</v>
      </c>
      <c r="X683" s="39">
        <f t="shared" si="172"/>
        <v>40</v>
      </c>
      <c r="Y683" s="39">
        <f t="shared" si="172"/>
        <v>47</v>
      </c>
      <c r="Z683" s="39">
        <f>SUM(Z684:Z690)</f>
        <v>0</v>
      </c>
      <c r="AA683" s="39">
        <f t="shared" si="172"/>
        <v>0</v>
      </c>
      <c r="AB683" s="39">
        <f t="shared" si="172"/>
        <v>0</v>
      </c>
      <c r="AC683" s="39">
        <f t="shared" si="172"/>
        <v>0</v>
      </c>
      <c r="AD683" s="39">
        <f t="shared" si="172"/>
        <v>0</v>
      </c>
      <c r="AE683" s="39">
        <f t="shared" si="172"/>
        <v>0</v>
      </c>
      <c r="AF683" s="39">
        <f t="shared" si="172"/>
        <v>0</v>
      </c>
      <c r="AG683" s="39">
        <f t="shared" si="172"/>
        <v>0</v>
      </c>
      <c r="AH683" s="39">
        <f t="shared" si="172"/>
        <v>0</v>
      </c>
      <c r="AI683" s="39">
        <f t="shared" si="172"/>
        <v>0</v>
      </c>
      <c r="AJ683" s="39">
        <f t="shared" si="172"/>
        <v>0</v>
      </c>
      <c r="AK683" s="39">
        <f t="shared" si="172"/>
        <v>0</v>
      </c>
    </row>
    <row r="684" spans="3:37" x14ac:dyDescent="0.25">
      <c r="E684" t="s">
        <v>356</v>
      </c>
      <c r="H684" t="s">
        <v>23</v>
      </c>
      <c r="J684" s="46"/>
      <c r="K684" s="46"/>
      <c r="L684" s="46"/>
      <c r="M684" s="46"/>
      <c r="N684" s="46"/>
      <c r="Q684" s="39">
        <v>17</v>
      </c>
      <c r="R684" s="39">
        <v>18</v>
      </c>
      <c r="S684" s="39">
        <v>16</v>
      </c>
      <c r="T684" s="39">
        <v>0</v>
      </c>
      <c r="U684" s="39">
        <v>0</v>
      </c>
      <c r="V684" s="39">
        <v>0</v>
      </c>
      <c r="W684" s="39">
        <v>0</v>
      </c>
      <c r="X684" s="39">
        <v>0</v>
      </c>
      <c r="Y684" s="39">
        <v>0</v>
      </c>
      <c r="Z684" s="39">
        <v>0</v>
      </c>
      <c r="AA684" s="39">
        <v>0</v>
      </c>
      <c r="AB684" s="39">
        <v>0</v>
      </c>
      <c r="AC684" s="39"/>
      <c r="AD684" s="39"/>
      <c r="AE684" s="39"/>
      <c r="AF684" s="39"/>
      <c r="AG684" s="39"/>
      <c r="AH684" s="39"/>
      <c r="AI684" s="39"/>
      <c r="AJ684" s="39"/>
      <c r="AK684" s="39"/>
    </row>
    <row r="685" spans="3:37" x14ac:dyDescent="0.25">
      <c r="E685" t="s">
        <v>357</v>
      </c>
      <c r="H685" t="s">
        <v>23</v>
      </c>
      <c r="J685" s="46"/>
      <c r="K685" s="46"/>
      <c r="L685" s="46"/>
      <c r="M685" s="46"/>
      <c r="N685" s="46"/>
      <c r="Q685" s="39">
        <v>0</v>
      </c>
      <c r="R685" s="39">
        <v>0</v>
      </c>
      <c r="S685" s="39">
        <v>0</v>
      </c>
      <c r="T685" s="39">
        <v>0</v>
      </c>
      <c r="U685" s="39">
        <v>0</v>
      </c>
      <c r="V685" s="39">
        <v>0</v>
      </c>
      <c r="W685" s="39">
        <v>0</v>
      </c>
      <c r="X685" s="39">
        <v>0</v>
      </c>
      <c r="Y685" s="39">
        <v>0</v>
      </c>
      <c r="Z685" s="39">
        <v>0</v>
      </c>
      <c r="AA685" s="39">
        <v>0</v>
      </c>
      <c r="AB685" s="39">
        <v>0</v>
      </c>
      <c r="AC685" s="39"/>
      <c r="AD685" s="39"/>
      <c r="AE685" s="39"/>
      <c r="AF685" s="39"/>
      <c r="AG685" s="39"/>
      <c r="AH685" s="39"/>
      <c r="AI685" s="39"/>
      <c r="AJ685" s="39"/>
      <c r="AK685" s="39"/>
    </row>
    <row r="686" spans="3:37" x14ac:dyDescent="0.25">
      <c r="E686" t="s">
        <v>358</v>
      </c>
      <c r="F686" t="s">
        <v>293</v>
      </c>
      <c r="H686" t="s">
        <v>23</v>
      </c>
      <c r="J686" s="46"/>
      <c r="K686" s="46"/>
      <c r="L686" s="46"/>
      <c r="M686" s="46"/>
      <c r="N686" s="46"/>
      <c r="Q686" s="39">
        <v>0</v>
      </c>
      <c r="R686" s="39">
        <v>0</v>
      </c>
      <c r="S686" s="39">
        <v>0</v>
      </c>
      <c r="T686" s="39">
        <v>0</v>
      </c>
      <c r="U686" s="39">
        <v>0</v>
      </c>
      <c r="V686" s="39">
        <v>0</v>
      </c>
      <c r="W686" s="39">
        <v>0</v>
      </c>
      <c r="X686" s="39">
        <v>0</v>
      </c>
      <c r="Y686" s="39">
        <v>0</v>
      </c>
      <c r="Z686" s="39">
        <v>0</v>
      </c>
      <c r="AA686" s="39">
        <v>0</v>
      </c>
      <c r="AB686" s="39">
        <v>0</v>
      </c>
      <c r="AC686" s="39"/>
      <c r="AD686" s="39"/>
      <c r="AE686" s="39"/>
      <c r="AF686" s="39"/>
      <c r="AG686" s="39"/>
      <c r="AH686" s="39"/>
      <c r="AI686" s="39"/>
      <c r="AJ686" s="39"/>
      <c r="AK686" s="39"/>
    </row>
    <row r="687" spans="3:37" x14ac:dyDescent="0.25">
      <c r="E687" t="s">
        <v>359</v>
      </c>
      <c r="F687" s="8"/>
      <c r="H687" t="s">
        <v>23</v>
      </c>
      <c r="J687" s="46"/>
      <c r="K687" s="46"/>
      <c r="L687" s="46"/>
      <c r="M687" s="46"/>
      <c r="N687" s="46"/>
      <c r="Q687" s="39">
        <v>0</v>
      </c>
      <c r="R687" s="39">
        <v>0</v>
      </c>
      <c r="S687" s="39">
        <v>0</v>
      </c>
      <c r="T687" s="39">
        <v>0</v>
      </c>
      <c r="U687" s="39">
        <v>0</v>
      </c>
      <c r="V687" s="39">
        <v>0</v>
      </c>
      <c r="W687" s="39">
        <v>0</v>
      </c>
      <c r="X687" s="39">
        <v>0</v>
      </c>
      <c r="Y687" s="39">
        <v>0</v>
      </c>
      <c r="Z687" s="39">
        <v>0</v>
      </c>
      <c r="AA687" s="39">
        <v>0</v>
      </c>
      <c r="AB687" s="39">
        <v>0</v>
      </c>
      <c r="AC687" s="39"/>
      <c r="AD687" s="39"/>
      <c r="AE687" s="39"/>
      <c r="AF687" s="39"/>
      <c r="AG687" s="39"/>
      <c r="AH687" s="39"/>
      <c r="AI687" s="39"/>
      <c r="AJ687" s="39"/>
      <c r="AK687" s="39"/>
    </row>
    <row r="688" spans="3:37" x14ac:dyDescent="0.25">
      <c r="E688" t="s">
        <v>360</v>
      </c>
      <c r="H688" t="s">
        <v>23</v>
      </c>
      <c r="J688" s="46"/>
      <c r="K688" s="46"/>
      <c r="L688" s="46"/>
      <c r="M688" s="46"/>
      <c r="N688" s="46"/>
      <c r="Q688" s="39">
        <v>144</v>
      </c>
      <c r="R688" s="39">
        <v>137</v>
      </c>
      <c r="S688" s="39">
        <v>98</v>
      </c>
      <c r="T688" s="39">
        <v>93</v>
      </c>
      <c r="U688" s="39">
        <v>81</v>
      </c>
      <c r="V688" s="39">
        <v>42</v>
      </c>
      <c r="W688" s="39">
        <v>40</v>
      </c>
      <c r="X688" s="39">
        <v>40</v>
      </c>
      <c r="Y688" s="39">
        <v>47</v>
      </c>
      <c r="AA688" s="39">
        <v>0</v>
      </c>
      <c r="AB688" s="39">
        <v>0</v>
      </c>
      <c r="AC688" s="39"/>
      <c r="AD688" s="39"/>
      <c r="AE688" s="39"/>
      <c r="AF688" s="39"/>
      <c r="AG688" s="39"/>
      <c r="AH688" s="39"/>
      <c r="AI688" s="39"/>
      <c r="AJ688" s="39"/>
      <c r="AK688" s="39"/>
    </row>
    <row r="689" spans="3:37" x14ac:dyDescent="0.25">
      <c r="E689" t="s">
        <v>361</v>
      </c>
      <c r="H689" t="s">
        <v>23</v>
      </c>
      <c r="J689" s="46"/>
      <c r="K689" s="46"/>
      <c r="L689" s="46"/>
      <c r="M689" s="46"/>
      <c r="N689" s="46"/>
      <c r="Q689" s="39">
        <v>0</v>
      </c>
      <c r="R689" s="39">
        <v>0</v>
      </c>
      <c r="S689" s="39">
        <v>0</v>
      </c>
      <c r="T689" s="39">
        <v>0</v>
      </c>
      <c r="U689" s="39">
        <v>0</v>
      </c>
      <c r="V689" s="39">
        <v>0</v>
      </c>
      <c r="W689" s="39">
        <v>0</v>
      </c>
      <c r="X689" s="39">
        <v>0</v>
      </c>
      <c r="Y689" s="39">
        <v>0</v>
      </c>
      <c r="Z689" s="39">
        <v>0</v>
      </c>
      <c r="AA689" s="39">
        <v>0</v>
      </c>
      <c r="AB689" s="39">
        <v>0</v>
      </c>
      <c r="AC689" s="39"/>
      <c r="AD689" s="39"/>
      <c r="AE689" s="39"/>
      <c r="AF689" s="39"/>
      <c r="AG689" s="39"/>
      <c r="AH689" s="39"/>
      <c r="AI689" s="39"/>
      <c r="AJ689" s="39"/>
      <c r="AK689" s="39"/>
    </row>
    <row r="690" spans="3:37" x14ac:dyDescent="0.25">
      <c r="E690" t="s">
        <v>362</v>
      </c>
      <c r="H690" t="s">
        <v>23</v>
      </c>
      <c r="J690" s="46"/>
      <c r="K690" s="46"/>
      <c r="L690" s="46"/>
      <c r="M690" s="46"/>
      <c r="N690" s="46"/>
      <c r="Q690" s="39">
        <v>17</v>
      </c>
      <c r="R690" s="39">
        <v>15</v>
      </c>
      <c r="S690" s="39">
        <v>15</v>
      </c>
      <c r="T690" s="39">
        <v>13</v>
      </c>
      <c r="U690" s="39">
        <v>12</v>
      </c>
      <c r="V690" s="39">
        <v>11</v>
      </c>
      <c r="W690" s="39">
        <v>0</v>
      </c>
      <c r="X690" s="39">
        <v>0</v>
      </c>
      <c r="Y690" s="39">
        <v>0</v>
      </c>
      <c r="Z690" s="39">
        <v>0</v>
      </c>
      <c r="AA690" s="39">
        <v>0</v>
      </c>
      <c r="AB690" s="39">
        <v>0</v>
      </c>
      <c r="AC690" s="39"/>
      <c r="AD690" s="39"/>
      <c r="AE690" s="39"/>
      <c r="AF690" s="39"/>
      <c r="AG690" s="39"/>
      <c r="AH690" s="39"/>
      <c r="AI690" s="39"/>
      <c r="AJ690" s="39"/>
      <c r="AK690" s="39"/>
    </row>
    <row r="691" spans="3:37" x14ac:dyDescent="0.25">
      <c r="C691" s="8" t="s">
        <v>292</v>
      </c>
      <c r="D691" s="8"/>
      <c r="E691" s="8"/>
      <c r="F691" s="8"/>
      <c r="J691" s="46"/>
      <c r="K691" s="46"/>
      <c r="L691" s="46"/>
      <c r="M691" s="46"/>
      <c r="N691" s="46"/>
      <c r="Q691" s="39"/>
      <c r="R691" s="39"/>
      <c r="S691" s="39"/>
      <c r="T691" s="39"/>
      <c r="U691" s="39"/>
      <c r="V691" s="39"/>
      <c r="W691" s="39"/>
      <c r="X691" s="39"/>
      <c r="Y691" s="39"/>
      <c r="Z691" s="39"/>
      <c r="AA691" s="39"/>
      <c r="AB691" s="39"/>
      <c r="AC691" s="39"/>
      <c r="AD691" s="39"/>
      <c r="AE691" s="39"/>
      <c r="AF691" s="39"/>
      <c r="AG691" s="39"/>
      <c r="AH691" s="39"/>
      <c r="AI691" s="39"/>
      <c r="AJ691" s="39"/>
      <c r="AK691" s="39"/>
    </row>
    <row r="692" spans="3:37" x14ac:dyDescent="0.25">
      <c r="D692" t="s">
        <v>355</v>
      </c>
      <c r="H692" t="s">
        <v>23</v>
      </c>
      <c r="J692" s="46"/>
      <c r="K692" s="46"/>
      <c r="L692" s="46"/>
      <c r="M692" s="46"/>
      <c r="N692" s="46"/>
      <c r="Q692" s="39">
        <f t="shared" ref="Q692:AK692" si="173">SUM(Q693:Q699)</f>
        <v>4401</v>
      </c>
      <c r="R692" s="39">
        <f t="shared" si="173"/>
        <v>4853</v>
      </c>
      <c r="S692" s="39">
        <f t="shared" si="173"/>
        <v>5070</v>
      </c>
      <c r="T692" s="39">
        <f t="shared" si="173"/>
        <v>5009</v>
      </c>
      <c r="U692" s="39">
        <f t="shared" si="173"/>
        <v>4957</v>
      </c>
      <c r="V692" s="39">
        <f t="shared" si="173"/>
        <v>4801</v>
      </c>
      <c r="W692" s="39">
        <f t="shared" si="173"/>
        <v>4598</v>
      </c>
      <c r="X692" s="39">
        <f t="shared" si="173"/>
        <v>4567</v>
      </c>
      <c r="Y692" s="39">
        <f t="shared" si="173"/>
        <v>4380</v>
      </c>
      <c r="Z692" s="39">
        <f>SUM(Z693:Z699)</f>
        <v>4706</v>
      </c>
      <c r="AA692" s="39">
        <f t="shared" si="173"/>
        <v>3869</v>
      </c>
      <c r="AB692" s="39">
        <f t="shared" si="173"/>
        <v>3614</v>
      </c>
      <c r="AC692" s="39">
        <f t="shared" si="173"/>
        <v>0</v>
      </c>
      <c r="AD692" s="39">
        <f t="shared" si="173"/>
        <v>0</v>
      </c>
      <c r="AE692" s="39">
        <f t="shared" si="173"/>
        <v>0</v>
      </c>
      <c r="AF692" s="39">
        <f t="shared" si="173"/>
        <v>0</v>
      </c>
      <c r="AG692" s="39">
        <f t="shared" si="173"/>
        <v>0</v>
      </c>
      <c r="AH692" s="39">
        <f t="shared" si="173"/>
        <v>0</v>
      </c>
      <c r="AI692" s="39">
        <f t="shared" si="173"/>
        <v>0</v>
      </c>
      <c r="AJ692" s="39">
        <f t="shared" si="173"/>
        <v>0</v>
      </c>
      <c r="AK692" s="39">
        <f t="shared" si="173"/>
        <v>0</v>
      </c>
    </row>
    <row r="693" spans="3:37" x14ac:dyDescent="0.25">
      <c r="E693" t="s">
        <v>356</v>
      </c>
      <c r="H693" t="s">
        <v>23</v>
      </c>
      <c r="J693" s="46"/>
      <c r="K693" s="46"/>
      <c r="L693" s="46"/>
      <c r="M693" s="46"/>
      <c r="N693" s="46"/>
      <c r="Q693" s="39">
        <v>587</v>
      </c>
      <c r="R693" s="39">
        <v>604</v>
      </c>
      <c r="S693" s="39">
        <v>690</v>
      </c>
      <c r="T693" s="39">
        <v>657</v>
      </c>
      <c r="U693" s="39">
        <v>631</v>
      </c>
      <c r="V693" s="39">
        <v>690</v>
      </c>
      <c r="W693" s="39">
        <v>724</v>
      </c>
      <c r="X693" s="39">
        <v>936</v>
      </c>
      <c r="Y693" s="39">
        <v>1035</v>
      </c>
      <c r="Z693">
        <v>1182</v>
      </c>
      <c r="AA693" s="39">
        <v>928</v>
      </c>
      <c r="AB693" s="39">
        <v>782</v>
      </c>
      <c r="AC693" s="39"/>
      <c r="AD693" s="39"/>
      <c r="AE693" s="39"/>
      <c r="AF693" s="39"/>
      <c r="AG693" s="39"/>
      <c r="AH693" s="39"/>
      <c r="AI693" s="39"/>
      <c r="AJ693" s="39"/>
      <c r="AK693" s="39"/>
    </row>
    <row r="694" spans="3:37" x14ac:dyDescent="0.25">
      <c r="E694" t="s">
        <v>357</v>
      </c>
      <c r="H694" t="s">
        <v>23</v>
      </c>
      <c r="J694" s="46"/>
      <c r="K694" s="46"/>
      <c r="L694" s="46"/>
      <c r="M694" s="46"/>
      <c r="N694" s="46"/>
      <c r="Q694" s="39">
        <v>104</v>
      </c>
      <c r="R694" s="39">
        <v>101</v>
      </c>
      <c r="S694" s="39">
        <v>81</v>
      </c>
      <c r="T694" s="39">
        <v>49</v>
      </c>
      <c r="U694" s="39">
        <v>22</v>
      </c>
      <c r="V694" s="39">
        <v>51</v>
      </c>
      <c r="W694" s="39">
        <v>81</v>
      </c>
      <c r="X694" s="39">
        <v>108</v>
      </c>
      <c r="Y694" s="39">
        <v>152</v>
      </c>
      <c r="Z694">
        <v>158</v>
      </c>
      <c r="AA694" s="39">
        <v>105</v>
      </c>
      <c r="AB694" s="39">
        <v>79</v>
      </c>
      <c r="AC694" s="39"/>
      <c r="AD694" s="39"/>
      <c r="AE694" s="39"/>
      <c r="AF694" s="39"/>
      <c r="AG694" s="39"/>
      <c r="AH694" s="39"/>
      <c r="AI694" s="39"/>
      <c r="AJ694" s="39"/>
      <c r="AK694" s="39"/>
    </row>
    <row r="695" spans="3:37" x14ac:dyDescent="0.25">
      <c r="E695" t="s">
        <v>358</v>
      </c>
      <c r="F695" t="s">
        <v>293</v>
      </c>
      <c r="H695" t="s">
        <v>23</v>
      </c>
      <c r="J695" s="46"/>
      <c r="K695" s="46"/>
      <c r="L695" s="46"/>
      <c r="M695" s="46"/>
      <c r="N695" s="46"/>
      <c r="Q695" s="39">
        <v>82</v>
      </c>
      <c r="R695" s="39">
        <v>110</v>
      </c>
      <c r="S695" s="39">
        <v>115</v>
      </c>
      <c r="T695" s="39">
        <v>130</v>
      </c>
      <c r="U695" s="39">
        <v>126</v>
      </c>
      <c r="V695" s="39">
        <v>103</v>
      </c>
      <c r="W695" s="39">
        <v>60</v>
      </c>
      <c r="X695" s="39">
        <v>40</v>
      </c>
      <c r="Y695" s="39">
        <v>109</v>
      </c>
      <c r="Z695">
        <v>113</v>
      </c>
      <c r="AA695" s="39">
        <v>193</v>
      </c>
      <c r="AB695" s="39">
        <v>177</v>
      </c>
      <c r="AC695" s="39"/>
      <c r="AD695" s="39"/>
      <c r="AE695" s="39"/>
      <c r="AF695" s="39"/>
      <c r="AG695" s="39"/>
      <c r="AH695" s="39"/>
      <c r="AI695" s="39"/>
      <c r="AJ695" s="39"/>
      <c r="AK695" s="39"/>
    </row>
    <row r="696" spans="3:37" x14ac:dyDescent="0.25">
      <c r="E696" t="s">
        <v>359</v>
      </c>
      <c r="F696" s="8"/>
      <c r="H696" t="s">
        <v>23</v>
      </c>
      <c r="J696" s="46"/>
      <c r="K696" s="46"/>
      <c r="L696" s="46"/>
      <c r="M696" s="46"/>
      <c r="N696" s="46"/>
      <c r="Q696" s="39">
        <v>55</v>
      </c>
      <c r="R696" s="39">
        <v>59</v>
      </c>
      <c r="S696" s="39">
        <v>65</v>
      </c>
      <c r="T696" s="39">
        <v>122</v>
      </c>
      <c r="U696" s="39">
        <v>98</v>
      </c>
      <c r="V696" s="39">
        <v>99</v>
      </c>
      <c r="W696" s="39">
        <v>60</v>
      </c>
      <c r="X696" s="39">
        <v>53</v>
      </c>
      <c r="Y696" s="39">
        <v>0</v>
      </c>
      <c r="Z696">
        <v>33</v>
      </c>
      <c r="AA696" s="39">
        <v>27</v>
      </c>
      <c r="AB696" s="39">
        <v>27</v>
      </c>
      <c r="AC696" s="39"/>
      <c r="AD696" s="39"/>
      <c r="AE696" s="39"/>
      <c r="AF696" s="39"/>
      <c r="AG696" s="39"/>
      <c r="AH696" s="39"/>
      <c r="AI696" s="39"/>
      <c r="AJ696" s="39"/>
      <c r="AK696" s="39"/>
    </row>
    <row r="697" spans="3:37" x14ac:dyDescent="0.25">
      <c r="E697" t="s">
        <v>360</v>
      </c>
      <c r="H697" t="s">
        <v>23</v>
      </c>
      <c r="J697" s="46"/>
      <c r="K697" s="46"/>
      <c r="L697" s="46"/>
      <c r="M697" s="46"/>
      <c r="N697" s="46"/>
      <c r="Q697" s="39">
        <v>3299</v>
      </c>
      <c r="R697" s="39">
        <v>3558</v>
      </c>
      <c r="S697" s="39">
        <v>3746</v>
      </c>
      <c r="T697" s="39">
        <v>3652</v>
      </c>
      <c r="U697" s="39">
        <v>3633</v>
      </c>
      <c r="V697" s="39">
        <v>3442</v>
      </c>
      <c r="W697" s="39">
        <v>3356</v>
      </c>
      <c r="X697" s="39">
        <v>2959</v>
      </c>
      <c r="Y697" s="39">
        <v>2649</v>
      </c>
      <c r="Z697">
        <v>2716</v>
      </c>
      <c r="AA697" s="39">
        <v>2276</v>
      </c>
      <c r="AB697" s="39">
        <v>2210</v>
      </c>
      <c r="AC697" s="39"/>
      <c r="AD697" s="39"/>
      <c r="AE697" s="39"/>
      <c r="AF697" s="39"/>
      <c r="AG697" s="39"/>
      <c r="AH697" s="39"/>
      <c r="AI697" s="39"/>
      <c r="AJ697" s="39"/>
      <c r="AK697" s="39"/>
    </row>
    <row r="698" spans="3:37" x14ac:dyDescent="0.25">
      <c r="E698" t="s">
        <v>361</v>
      </c>
      <c r="H698" t="s">
        <v>23</v>
      </c>
      <c r="J698" s="46"/>
      <c r="K698" s="46"/>
      <c r="L698" s="46"/>
      <c r="M698" s="46"/>
      <c r="N698" s="46"/>
      <c r="Q698" s="39">
        <v>43</v>
      </c>
      <c r="R698" s="39">
        <v>41</v>
      </c>
      <c r="S698" s="39">
        <v>45</v>
      </c>
      <c r="T698" s="39">
        <v>11</v>
      </c>
      <c r="U698" s="39">
        <v>10</v>
      </c>
      <c r="V698" s="39">
        <v>11</v>
      </c>
      <c r="W698" s="39">
        <v>10</v>
      </c>
      <c r="X698" s="39">
        <v>0</v>
      </c>
      <c r="Y698" s="39">
        <v>0</v>
      </c>
      <c r="Z698">
        <v>0</v>
      </c>
      <c r="AA698" s="39">
        <v>0</v>
      </c>
      <c r="AB698" s="39">
        <v>0</v>
      </c>
      <c r="AC698" s="39"/>
      <c r="AD698" s="39"/>
      <c r="AE698" s="39"/>
      <c r="AF698" s="39"/>
      <c r="AG698" s="39"/>
      <c r="AH698" s="39"/>
      <c r="AI698" s="39"/>
      <c r="AJ698" s="39"/>
      <c r="AK698" s="39"/>
    </row>
    <row r="699" spans="3:37" x14ac:dyDescent="0.25">
      <c r="E699" t="s">
        <v>362</v>
      </c>
      <c r="H699" t="s">
        <v>23</v>
      </c>
      <c r="J699" s="46"/>
      <c r="K699" s="46"/>
      <c r="L699" s="46"/>
      <c r="M699" s="46"/>
      <c r="N699" s="46"/>
      <c r="Q699" s="39">
        <v>231</v>
      </c>
      <c r="R699" s="39">
        <v>380</v>
      </c>
      <c r="S699" s="39">
        <v>328</v>
      </c>
      <c r="T699" s="39">
        <v>388</v>
      </c>
      <c r="U699" s="39">
        <v>437</v>
      </c>
      <c r="V699" s="39">
        <v>405</v>
      </c>
      <c r="W699" s="39">
        <v>307</v>
      </c>
      <c r="X699" s="39">
        <v>471</v>
      </c>
      <c r="Y699" s="39">
        <v>435</v>
      </c>
      <c r="Z699">
        <v>504</v>
      </c>
      <c r="AA699" s="39">
        <v>340</v>
      </c>
      <c r="AB699" s="39">
        <v>339</v>
      </c>
      <c r="AC699" s="39"/>
      <c r="AD699" s="39"/>
      <c r="AE699" s="39"/>
      <c r="AF699" s="39"/>
      <c r="AG699" s="39"/>
      <c r="AH699" s="39"/>
      <c r="AI699" s="39"/>
      <c r="AJ699" s="39"/>
      <c r="AK699" s="39"/>
    </row>
    <row r="700" spans="3:37" x14ac:dyDescent="0.25">
      <c r="C700" s="8" t="s">
        <v>293</v>
      </c>
      <c r="D700" s="8"/>
      <c r="E700" s="8"/>
      <c r="F700" s="8"/>
      <c r="J700" s="46"/>
      <c r="K700" s="46"/>
      <c r="L700" s="46"/>
      <c r="M700" s="46"/>
      <c r="N700" s="46"/>
      <c r="Q700" s="39"/>
      <c r="R700" s="39"/>
      <c r="S700" s="39"/>
      <c r="T700" s="39"/>
      <c r="U700" s="39"/>
      <c r="V700" s="39"/>
      <c r="W700" s="39"/>
      <c r="X700" s="39"/>
      <c r="Y700" s="39"/>
      <c r="Z700" s="39"/>
      <c r="AA700" s="39"/>
      <c r="AB700" s="39"/>
      <c r="AC700" s="39"/>
      <c r="AD700" s="39"/>
      <c r="AE700" s="39"/>
      <c r="AF700" s="39"/>
      <c r="AG700" s="39"/>
      <c r="AH700" s="39"/>
      <c r="AI700" s="39"/>
      <c r="AJ700" s="39"/>
      <c r="AK700" s="39"/>
    </row>
    <row r="701" spans="3:37" x14ac:dyDescent="0.25">
      <c r="D701" t="s">
        <v>355</v>
      </c>
      <c r="H701" t="s">
        <v>23</v>
      </c>
      <c r="J701" s="46"/>
      <c r="K701" s="46"/>
      <c r="L701" s="46"/>
      <c r="M701" s="46"/>
      <c r="N701" s="46"/>
      <c r="Q701" s="39">
        <f t="shared" ref="Q701:AK701" si="174">SUM(Q702:Q708)</f>
        <v>968</v>
      </c>
      <c r="R701" s="39">
        <f t="shared" si="174"/>
        <v>1268</v>
      </c>
      <c r="S701" s="39">
        <f t="shared" si="174"/>
        <v>1343</v>
      </c>
      <c r="T701" s="39">
        <f t="shared" si="174"/>
        <v>1214</v>
      </c>
      <c r="U701" s="39">
        <f t="shared" si="174"/>
        <v>1128</v>
      </c>
      <c r="V701" s="39">
        <f t="shared" si="174"/>
        <v>1024</v>
      </c>
      <c r="W701" s="39">
        <f t="shared" si="174"/>
        <v>808</v>
      </c>
      <c r="X701" s="39">
        <f t="shared" si="174"/>
        <v>885</v>
      </c>
      <c r="Y701" s="39">
        <f t="shared" si="174"/>
        <v>868</v>
      </c>
      <c r="Z701" s="39">
        <f t="shared" si="174"/>
        <v>1054</v>
      </c>
      <c r="AA701" s="39">
        <f t="shared" si="174"/>
        <v>715</v>
      </c>
      <c r="AB701" s="39">
        <f t="shared" si="174"/>
        <v>741</v>
      </c>
      <c r="AC701" s="39">
        <f t="shared" si="174"/>
        <v>0</v>
      </c>
      <c r="AD701" s="39">
        <f t="shared" si="174"/>
        <v>0</v>
      </c>
      <c r="AE701" s="39">
        <f t="shared" si="174"/>
        <v>0</v>
      </c>
      <c r="AF701" s="39">
        <f t="shared" si="174"/>
        <v>0</v>
      </c>
      <c r="AG701" s="39">
        <f t="shared" si="174"/>
        <v>0</v>
      </c>
      <c r="AH701" s="39">
        <f t="shared" si="174"/>
        <v>0</v>
      </c>
      <c r="AI701" s="39">
        <f t="shared" si="174"/>
        <v>0</v>
      </c>
      <c r="AJ701" s="39">
        <f t="shared" si="174"/>
        <v>0</v>
      </c>
      <c r="AK701" s="39">
        <f t="shared" si="174"/>
        <v>0</v>
      </c>
    </row>
    <row r="702" spans="3:37" x14ac:dyDescent="0.25">
      <c r="E702" t="s">
        <v>356</v>
      </c>
      <c r="H702" t="s">
        <v>23</v>
      </c>
      <c r="J702" s="46"/>
      <c r="K702" s="46"/>
      <c r="L702" s="46"/>
      <c r="M702" s="46"/>
      <c r="N702" s="46"/>
      <c r="Q702" s="39">
        <v>262</v>
      </c>
      <c r="R702" s="39">
        <v>284</v>
      </c>
      <c r="S702" s="39">
        <v>339</v>
      </c>
      <c r="T702" s="39">
        <v>318</v>
      </c>
      <c r="U702" s="39">
        <v>235</v>
      </c>
      <c r="V702" s="39">
        <v>180</v>
      </c>
      <c r="W702" s="39">
        <v>202</v>
      </c>
      <c r="X702" s="39">
        <v>257</v>
      </c>
      <c r="Y702" s="39">
        <v>289</v>
      </c>
      <c r="Z702">
        <v>370</v>
      </c>
      <c r="AA702" s="39">
        <v>286</v>
      </c>
      <c r="AB702" s="39">
        <v>189</v>
      </c>
      <c r="AC702" s="39"/>
      <c r="AD702" s="39"/>
      <c r="AE702" s="39"/>
      <c r="AF702" s="39"/>
      <c r="AG702" s="39"/>
      <c r="AH702" s="39"/>
      <c r="AI702" s="39"/>
      <c r="AJ702" s="39"/>
      <c r="AK702" s="39"/>
    </row>
    <row r="703" spans="3:37" x14ac:dyDescent="0.25">
      <c r="E703" t="s">
        <v>357</v>
      </c>
      <c r="H703" t="s">
        <v>23</v>
      </c>
      <c r="J703" s="46"/>
      <c r="K703" s="46"/>
      <c r="L703" s="46"/>
      <c r="M703" s="46"/>
      <c r="N703" s="46"/>
      <c r="Q703" s="39">
        <v>73</v>
      </c>
      <c r="R703" s="39">
        <v>70</v>
      </c>
      <c r="S703" s="39">
        <v>40</v>
      </c>
      <c r="T703" s="39">
        <v>13</v>
      </c>
      <c r="U703" s="39">
        <v>11</v>
      </c>
      <c r="V703" s="39">
        <v>38</v>
      </c>
      <c r="W703" s="39">
        <v>69</v>
      </c>
      <c r="X703" s="39">
        <v>108</v>
      </c>
      <c r="Y703" s="39">
        <v>106</v>
      </c>
      <c r="Z703">
        <v>109</v>
      </c>
      <c r="AA703" s="39">
        <v>65</v>
      </c>
      <c r="AB703" s="39">
        <v>44</v>
      </c>
      <c r="AC703" s="39"/>
      <c r="AD703" s="39"/>
      <c r="AE703" s="39"/>
      <c r="AF703" s="39"/>
      <c r="AG703" s="39"/>
      <c r="AH703" s="39"/>
      <c r="AI703" s="39"/>
      <c r="AJ703" s="39"/>
      <c r="AK703" s="39"/>
    </row>
    <row r="704" spans="3:37" x14ac:dyDescent="0.25">
      <c r="E704" t="s">
        <v>358</v>
      </c>
      <c r="F704" t="s">
        <v>293</v>
      </c>
      <c r="H704" t="s">
        <v>23</v>
      </c>
      <c r="J704" s="46"/>
      <c r="K704" s="46"/>
      <c r="L704" s="46"/>
      <c r="M704" s="46"/>
      <c r="N704" s="46"/>
      <c r="Q704" s="39">
        <v>31</v>
      </c>
      <c r="R704" s="39">
        <v>59</v>
      </c>
      <c r="S704" s="39">
        <v>56</v>
      </c>
      <c r="T704" s="39">
        <v>49</v>
      </c>
      <c r="U704" s="39">
        <v>46</v>
      </c>
      <c r="V704" s="39">
        <v>20</v>
      </c>
      <c r="W704" s="39">
        <v>8</v>
      </c>
      <c r="X704" s="39">
        <v>10</v>
      </c>
      <c r="Y704" s="39">
        <v>61</v>
      </c>
      <c r="Z704">
        <v>64</v>
      </c>
      <c r="AA704" s="39">
        <v>53</v>
      </c>
      <c r="AB704" s="39">
        <v>40</v>
      </c>
      <c r="AC704" s="39"/>
      <c r="AD704" s="39"/>
      <c r="AE704" s="39"/>
      <c r="AF704" s="39"/>
      <c r="AG704" s="39"/>
      <c r="AH704" s="39"/>
      <c r="AI704" s="39"/>
      <c r="AJ704" s="39"/>
      <c r="AK704" s="39"/>
    </row>
    <row r="705" spans="1:37" x14ac:dyDescent="0.25">
      <c r="E705" t="s">
        <v>359</v>
      </c>
      <c r="F705" s="8"/>
      <c r="H705" t="s">
        <v>23</v>
      </c>
      <c r="J705" s="46"/>
      <c r="K705" s="46"/>
      <c r="L705" s="46"/>
      <c r="M705" s="46"/>
      <c r="N705" s="46"/>
      <c r="Q705" s="39">
        <v>0</v>
      </c>
      <c r="R705" s="39">
        <v>0</v>
      </c>
      <c r="S705" s="39">
        <v>11</v>
      </c>
      <c r="T705" s="39">
        <v>39</v>
      </c>
      <c r="U705" s="39">
        <v>36</v>
      </c>
      <c r="V705" s="39">
        <v>35</v>
      </c>
      <c r="W705" s="39">
        <v>32</v>
      </c>
      <c r="X705" s="39">
        <v>22</v>
      </c>
      <c r="Y705" s="39">
        <v>0</v>
      </c>
      <c r="Z705">
        <v>0</v>
      </c>
      <c r="AA705" s="39">
        <v>0</v>
      </c>
      <c r="AB705" s="39">
        <v>0</v>
      </c>
      <c r="AC705" s="39"/>
      <c r="AD705" s="39"/>
      <c r="AE705" s="39"/>
      <c r="AF705" s="39"/>
      <c r="AG705" s="39"/>
      <c r="AH705" s="39"/>
      <c r="AI705" s="39"/>
      <c r="AJ705" s="39"/>
      <c r="AK705" s="39"/>
    </row>
    <row r="706" spans="1:37" x14ac:dyDescent="0.25">
      <c r="E706" t="s">
        <v>360</v>
      </c>
      <c r="H706" t="s">
        <v>23</v>
      </c>
      <c r="J706" s="46"/>
      <c r="K706" s="46"/>
      <c r="L706" s="46"/>
      <c r="M706" s="46"/>
      <c r="N706" s="46"/>
      <c r="Q706" s="39">
        <v>488</v>
      </c>
      <c r="R706" s="39">
        <v>622</v>
      </c>
      <c r="S706" s="39">
        <v>657</v>
      </c>
      <c r="T706" s="39">
        <v>556</v>
      </c>
      <c r="U706" s="39">
        <v>511</v>
      </c>
      <c r="V706" s="39">
        <v>505</v>
      </c>
      <c r="W706" s="39">
        <v>328</v>
      </c>
      <c r="X706" s="39">
        <v>286</v>
      </c>
      <c r="Y706" s="39">
        <v>237</v>
      </c>
      <c r="Z706">
        <v>296</v>
      </c>
      <c r="AA706" s="39">
        <v>195</v>
      </c>
      <c r="AB706" s="39">
        <v>313</v>
      </c>
      <c r="AC706" s="39"/>
      <c r="AD706" s="39"/>
      <c r="AE706" s="39"/>
      <c r="AF706" s="39"/>
      <c r="AG706" s="39"/>
      <c r="AH706" s="39"/>
      <c r="AI706" s="39"/>
      <c r="AJ706" s="39"/>
      <c r="AK706" s="39"/>
    </row>
    <row r="707" spans="1:37" x14ac:dyDescent="0.25">
      <c r="E707" t="s">
        <v>361</v>
      </c>
      <c r="H707" t="s">
        <v>23</v>
      </c>
      <c r="J707" s="46"/>
      <c r="K707" s="46"/>
      <c r="L707" s="46"/>
      <c r="M707" s="46"/>
      <c r="N707" s="46"/>
      <c r="Q707" s="39">
        <v>43</v>
      </c>
      <c r="R707" s="39">
        <v>41</v>
      </c>
      <c r="S707" s="39">
        <v>45</v>
      </c>
      <c r="T707" s="39">
        <v>11</v>
      </c>
      <c r="U707" s="39">
        <v>10</v>
      </c>
      <c r="V707" s="39">
        <v>11</v>
      </c>
      <c r="W707" s="39">
        <v>10</v>
      </c>
      <c r="X707" s="39">
        <v>0</v>
      </c>
      <c r="Y707" s="39">
        <v>0</v>
      </c>
      <c r="Z707">
        <v>0</v>
      </c>
      <c r="AA707" s="39">
        <v>0</v>
      </c>
      <c r="AB707" s="39">
        <v>0</v>
      </c>
      <c r="AC707" s="39"/>
      <c r="AD707" s="39"/>
      <c r="AE707" s="39"/>
      <c r="AF707" s="39"/>
      <c r="AG707" s="39"/>
      <c r="AH707" s="39"/>
      <c r="AI707" s="39"/>
      <c r="AJ707" s="39"/>
      <c r="AK707" s="39"/>
    </row>
    <row r="708" spans="1:37" x14ac:dyDescent="0.25">
      <c r="E708" t="s">
        <v>362</v>
      </c>
      <c r="H708" t="s">
        <v>23</v>
      </c>
      <c r="J708" s="46"/>
      <c r="K708" s="46"/>
      <c r="L708" s="46"/>
      <c r="M708" s="46"/>
      <c r="N708" s="46"/>
      <c r="Q708" s="39">
        <v>71</v>
      </c>
      <c r="R708" s="39">
        <v>192</v>
      </c>
      <c r="S708" s="39">
        <v>195</v>
      </c>
      <c r="T708" s="39">
        <v>228</v>
      </c>
      <c r="U708" s="39">
        <v>279</v>
      </c>
      <c r="V708" s="39">
        <v>235</v>
      </c>
      <c r="W708" s="39">
        <v>159</v>
      </c>
      <c r="X708" s="39">
        <v>202</v>
      </c>
      <c r="Y708" s="39">
        <v>175</v>
      </c>
      <c r="Z708">
        <v>215</v>
      </c>
      <c r="AA708" s="39">
        <v>116</v>
      </c>
      <c r="AB708" s="39">
        <v>155</v>
      </c>
      <c r="AC708" s="39"/>
      <c r="AD708" s="39"/>
      <c r="AE708" s="39"/>
      <c r="AF708" s="39"/>
      <c r="AG708" s="39"/>
      <c r="AH708" s="39"/>
      <c r="AI708" s="39"/>
      <c r="AJ708" s="39"/>
      <c r="AK708" s="39"/>
    </row>
    <row r="709" spans="1:37" s="2" customFormat="1" x14ac:dyDescent="0.25">
      <c r="B709" s="3"/>
      <c r="J709" s="48"/>
      <c r="K709" s="48"/>
      <c r="L709" s="48"/>
      <c r="M709" s="48"/>
      <c r="N709" s="48"/>
    </row>
    <row r="710" spans="1:37" s="28" customFormat="1" ht="17.25" x14ac:dyDescent="0.3">
      <c r="A710" s="28" t="s">
        <v>363</v>
      </c>
    </row>
    <row r="711" spans="1:37" x14ac:dyDescent="0.25">
      <c r="B711" s="29" t="s">
        <v>3</v>
      </c>
      <c r="C711" t="s">
        <v>364</v>
      </c>
    </row>
    <row r="712" spans="1:37" x14ac:dyDescent="0.25">
      <c r="B712" s="29" t="s">
        <v>10</v>
      </c>
      <c r="C712" s="263" t="s">
        <v>328</v>
      </c>
    </row>
    <row r="713" spans="1:37" x14ac:dyDescent="0.25">
      <c r="C713" s="263" t="s">
        <v>365</v>
      </c>
    </row>
    <row r="714" spans="1:37" x14ac:dyDescent="0.25">
      <c r="B714" s="29" t="s">
        <v>14</v>
      </c>
      <c r="C714" t="s">
        <v>366</v>
      </c>
    </row>
    <row r="715" spans="1:37" x14ac:dyDescent="0.25">
      <c r="B715" s="29"/>
      <c r="D715" t="s">
        <v>367</v>
      </c>
    </row>
    <row r="716" spans="1:37" x14ac:dyDescent="0.25">
      <c r="B716" s="29" t="s">
        <v>17</v>
      </c>
      <c r="C716" t="s">
        <v>339</v>
      </c>
    </row>
    <row r="717" spans="1:37" s="25" customFormat="1" ht="15.75" thickBot="1" x14ac:dyDescent="0.3">
      <c r="B717" s="30" t="s">
        <v>19</v>
      </c>
      <c r="C717" s="25" t="s">
        <v>368</v>
      </c>
    </row>
    <row r="718" spans="1:37" ht="15.75" thickTop="1" x14ac:dyDescent="0.25">
      <c r="C718" s="8" t="s">
        <v>273</v>
      </c>
      <c r="D718" s="8"/>
      <c r="E718" s="8"/>
      <c r="F718" s="8"/>
      <c r="J718" s="46"/>
      <c r="K718" s="46"/>
      <c r="L718" s="46"/>
      <c r="M718" s="46"/>
      <c r="N718" s="46"/>
      <c r="Q718" s="39"/>
      <c r="R718" s="39"/>
      <c r="S718" s="39"/>
      <c r="T718" s="39"/>
      <c r="U718" s="39"/>
      <c r="V718" s="39"/>
      <c r="W718" s="39"/>
      <c r="X718" s="39"/>
      <c r="Y718" s="39"/>
      <c r="Z718" s="39"/>
      <c r="AA718" s="39"/>
      <c r="AB718" s="39"/>
      <c r="AC718" s="39"/>
      <c r="AD718" s="39"/>
      <c r="AE718" s="39"/>
      <c r="AF718" s="39"/>
      <c r="AG718" s="39"/>
      <c r="AH718" s="39"/>
      <c r="AI718" s="39"/>
      <c r="AJ718" s="39"/>
      <c r="AK718" s="39"/>
    </row>
    <row r="719" spans="1:37" x14ac:dyDescent="0.25">
      <c r="D719" t="s">
        <v>369</v>
      </c>
      <c r="H719" t="s">
        <v>333</v>
      </c>
      <c r="J719" s="46"/>
      <c r="K719" s="46"/>
      <c r="L719" s="46"/>
      <c r="M719" s="46"/>
      <c r="N719" s="46"/>
      <c r="Q719" s="39">
        <v>12322</v>
      </c>
      <c r="R719" s="39">
        <v>12982</v>
      </c>
      <c r="S719" s="39">
        <v>12701</v>
      </c>
      <c r="T719" s="39">
        <v>13246</v>
      </c>
      <c r="U719" s="39">
        <v>13381</v>
      </c>
      <c r="V719" s="39">
        <v>13843</v>
      </c>
      <c r="W719" s="39">
        <v>14008</v>
      </c>
      <c r="X719" s="39">
        <v>14152</v>
      </c>
      <c r="Y719" s="39">
        <v>14035</v>
      </c>
      <c r="Z719" s="39">
        <v>14096</v>
      </c>
      <c r="AA719" s="39">
        <v>14614</v>
      </c>
      <c r="AB719" s="39">
        <v>14590</v>
      </c>
      <c r="AC719" s="39"/>
      <c r="AD719" s="39"/>
      <c r="AE719" s="39"/>
      <c r="AF719" s="39"/>
      <c r="AG719" s="39"/>
      <c r="AH719" s="39"/>
      <c r="AI719" s="39"/>
      <c r="AJ719" s="39"/>
      <c r="AK719" s="39"/>
    </row>
    <row r="720" spans="1:37" x14ac:dyDescent="0.25">
      <c r="E720" t="s">
        <v>370</v>
      </c>
      <c r="H720" t="s">
        <v>333</v>
      </c>
      <c r="J720" s="46"/>
      <c r="K720" s="46"/>
      <c r="L720" s="46"/>
      <c r="M720" s="46"/>
      <c r="N720" s="46"/>
      <c r="Q720" s="39">
        <v>551</v>
      </c>
      <c r="R720" s="39">
        <v>717</v>
      </c>
      <c r="S720" s="39">
        <v>367</v>
      </c>
      <c r="T720" s="39">
        <v>261</v>
      </c>
      <c r="U720" s="39">
        <v>330</v>
      </c>
      <c r="V720" s="39">
        <v>413</v>
      </c>
      <c r="W720" s="39">
        <v>390</v>
      </c>
      <c r="X720" s="39">
        <v>329</v>
      </c>
      <c r="Y720" s="39">
        <v>428</v>
      </c>
      <c r="Z720" s="39">
        <v>466</v>
      </c>
      <c r="AA720" s="39">
        <v>460</v>
      </c>
      <c r="AB720" s="39">
        <v>400</v>
      </c>
      <c r="AC720" s="39"/>
      <c r="AD720" s="39"/>
      <c r="AE720" s="39"/>
      <c r="AF720" s="39"/>
      <c r="AG720" s="39"/>
      <c r="AH720" s="39"/>
      <c r="AI720" s="39"/>
      <c r="AJ720" s="39"/>
      <c r="AK720" s="39"/>
    </row>
    <row r="721" spans="1:37" x14ac:dyDescent="0.25">
      <c r="E721" t="s">
        <v>371</v>
      </c>
      <c r="H721" t="s">
        <v>333</v>
      </c>
      <c r="J721" s="46"/>
      <c r="K721" s="46"/>
      <c r="L721" s="46"/>
      <c r="M721" s="46"/>
      <c r="N721" s="46"/>
      <c r="Q721" s="39">
        <v>1265</v>
      </c>
      <c r="R721" s="39">
        <v>1513</v>
      </c>
      <c r="S721" s="39">
        <v>1159</v>
      </c>
      <c r="T721" s="39">
        <v>1273</v>
      </c>
      <c r="U721" s="39">
        <v>1480</v>
      </c>
      <c r="V721" s="39">
        <v>1431</v>
      </c>
      <c r="W721" s="39">
        <v>1640</v>
      </c>
      <c r="X721" s="39">
        <v>1655</v>
      </c>
      <c r="Y721" s="39">
        <v>1806</v>
      </c>
      <c r="Z721" s="39">
        <v>1504</v>
      </c>
      <c r="AA721" s="39">
        <v>1531</v>
      </c>
      <c r="AB721" s="39">
        <v>1556</v>
      </c>
      <c r="AC721" s="39"/>
      <c r="AD721" s="39"/>
      <c r="AE721" s="39"/>
      <c r="AF721" s="39"/>
      <c r="AG721" s="39"/>
      <c r="AH721" s="39"/>
      <c r="AI721" s="39"/>
      <c r="AJ721" s="39"/>
      <c r="AK721" s="39"/>
    </row>
    <row r="722" spans="1:37" x14ac:dyDescent="0.25">
      <c r="E722" t="s">
        <v>372</v>
      </c>
      <c r="H722" t="s">
        <v>333</v>
      </c>
      <c r="J722" s="46"/>
      <c r="K722" s="46"/>
      <c r="L722" s="46"/>
      <c r="M722" s="46"/>
      <c r="N722" s="46"/>
      <c r="Q722" s="39">
        <v>1276</v>
      </c>
      <c r="R722" s="39">
        <v>1202</v>
      </c>
      <c r="S722" s="39">
        <v>1344</v>
      </c>
      <c r="T722" s="39">
        <v>965</v>
      </c>
      <c r="U722" s="39">
        <v>833</v>
      </c>
      <c r="V722" s="39">
        <v>761</v>
      </c>
      <c r="W722" s="39">
        <v>789</v>
      </c>
      <c r="X722" s="39">
        <v>811</v>
      </c>
      <c r="Y722" s="39">
        <v>956</v>
      </c>
      <c r="Z722" s="39">
        <v>1017</v>
      </c>
      <c r="AA722" s="39">
        <v>1468</v>
      </c>
      <c r="AB722" s="39">
        <v>1795</v>
      </c>
      <c r="AC722" s="39"/>
      <c r="AD722" s="39"/>
      <c r="AE722" s="39"/>
      <c r="AF722" s="39"/>
      <c r="AG722" s="39"/>
      <c r="AH722" s="39"/>
      <c r="AI722" s="39"/>
      <c r="AJ722" s="39"/>
      <c r="AK722" s="39"/>
    </row>
    <row r="723" spans="1:37" s="2" customFormat="1" x14ac:dyDescent="0.25">
      <c r="B723" s="3"/>
      <c r="J723" s="48"/>
      <c r="K723" s="48"/>
      <c r="L723" s="48"/>
      <c r="M723" s="48"/>
      <c r="N723" s="48"/>
    </row>
    <row r="724" spans="1:37" s="28" customFormat="1" ht="17.25" x14ac:dyDescent="0.3">
      <c r="A724" s="28" t="s">
        <v>373</v>
      </c>
    </row>
    <row r="725" spans="1:37" x14ac:dyDescent="0.25">
      <c r="B725" s="29" t="s">
        <v>3</v>
      </c>
      <c r="C725" t="s">
        <v>374</v>
      </c>
    </row>
    <row r="726" spans="1:37" x14ac:dyDescent="0.25">
      <c r="B726" s="29" t="s">
        <v>10</v>
      </c>
      <c r="C726" s="263" t="s">
        <v>35</v>
      </c>
    </row>
    <row r="727" spans="1:37" x14ac:dyDescent="0.25">
      <c r="B727" s="29"/>
      <c r="C727" s="263" t="s">
        <v>375</v>
      </c>
    </row>
    <row r="728" spans="1:37" x14ac:dyDescent="0.25">
      <c r="B728" s="29" t="s">
        <v>14</v>
      </c>
      <c r="C728" t="s">
        <v>376</v>
      </c>
    </row>
    <row r="729" spans="1:37" x14ac:dyDescent="0.25">
      <c r="B729" s="29" t="s">
        <v>17</v>
      </c>
      <c r="C729" t="s">
        <v>331</v>
      </c>
    </row>
    <row r="730" spans="1:37" s="25" customFormat="1" ht="15.75" thickBot="1" x14ac:dyDescent="0.3">
      <c r="B730" s="30" t="s">
        <v>19</v>
      </c>
      <c r="C730" s="25" t="s">
        <v>377</v>
      </c>
    </row>
    <row r="731" spans="1:37" s="8" customFormat="1" ht="15.75" thickTop="1" x14ac:dyDescent="0.25">
      <c r="B731" s="9"/>
      <c r="C731" s="8" t="s">
        <v>378</v>
      </c>
      <c r="I731" s="42"/>
      <c r="J731" s="77"/>
      <c r="K731" s="77"/>
      <c r="L731" s="77"/>
      <c r="M731" s="77"/>
      <c r="N731" s="77"/>
      <c r="O731" s="42"/>
      <c r="P731" s="42"/>
      <c r="Q731" s="42"/>
      <c r="R731" s="42"/>
      <c r="S731" s="42"/>
      <c r="T731" s="42"/>
      <c r="U731" s="42"/>
      <c r="V731" s="42"/>
      <c r="W731" s="42"/>
      <c r="X731" s="42"/>
      <c r="Y731" s="42"/>
      <c r="Z731" s="42"/>
      <c r="AA731" s="42"/>
      <c r="AB731" s="42"/>
      <c r="AC731" s="42"/>
      <c r="AD731" s="42"/>
      <c r="AE731" s="42"/>
      <c r="AF731" s="42"/>
      <c r="AG731" s="42"/>
      <c r="AH731" s="42"/>
      <c r="AI731" s="42"/>
      <c r="AJ731" s="42"/>
      <c r="AK731" s="42"/>
    </row>
    <row r="732" spans="1:37" x14ac:dyDescent="0.25">
      <c r="D732" t="s">
        <v>273</v>
      </c>
      <c r="H732" t="s">
        <v>379</v>
      </c>
      <c r="I732" s="39"/>
      <c r="J732" s="78"/>
      <c r="K732" s="78"/>
      <c r="L732" s="78"/>
      <c r="M732" s="78"/>
      <c r="N732" s="78"/>
      <c r="O732" s="39"/>
      <c r="P732" s="39"/>
      <c r="Q732" s="39">
        <v>7470</v>
      </c>
      <c r="R732" s="39">
        <v>7246</v>
      </c>
      <c r="S732" s="39">
        <v>7327</v>
      </c>
      <c r="T732" s="39">
        <v>7583</v>
      </c>
      <c r="U732" s="39">
        <v>7873</v>
      </c>
      <c r="V732" s="39">
        <v>8187</v>
      </c>
      <c r="W732" s="39">
        <v>8576</v>
      </c>
      <c r="X732" s="39">
        <v>8795</v>
      </c>
      <c r="Y732" s="39">
        <v>9158</v>
      </c>
      <c r="Z732" s="39">
        <v>9019</v>
      </c>
      <c r="AA732" s="39">
        <v>10027</v>
      </c>
      <c r="AB732" s="39">
        <v>9531</v>
      </c>
      <c r="AC732" s="39"/>
      <c r="AD732" s="39"/>
      <c r="AE732" s="39"/>
      <c r="AF732" s="39"/>
      <c r="AG732" s="39"/>
      <c r="AH732" s="39"/>
      <c r="AI732" s="39"/>
      <c r="AJ732" s="39"/>
      <c r="AK732" s="39"/>
    </row>
    <row r="733" spans="1:37" x14ac:dyDescent="0.25">
      <c r="E733" t="s">
        <v>291</v>
      </c>
      <c r="H733" t="s">
        <v>379</v>
      </c>
      <c r="I733" s="39"/>
      <c r="J733" s="78"/>
      <c r="K733" s="78"/>
      <c r="L733" s="78"/>
      <c r="M733" s="78"/>
      <c r="N733" s="78"/>
      <c r="O733" s="39"/>
      <c r="P733" s="39"/>
      <c r="Q733" s="39">
        <v>68</v>
      </c>
      <c r="R733" s="39">
        <v>53</v>
      </c>
      <c r="S733" s="39">
        <v>156</v>
      </c>
      <c r="T733" s="39">
        <v>214</v>
      </c>
      <c r="U733" s="39">
        <v>233</v>
      </c>
      <c r="V733" s="39">
        <v>302</v>
      </c>
      <c r="W733" s="39">
        <v>300</v>
      </c>
      <c r="X733" s="39">
        <v>260</v>
      </c>
      <c r="Y733" s="39">
        <v>202</v>
      </c>
      <c r="Z733" s="39">
        <v>208</v>
      </c>
      <c r="AA733" s="39">
        <v>170</v>
      </c>
      <c r="AB733" s="39">
        <v>227</v>
      </c>
      <c r="AC733" s="39"/>
      <c r="AD733" s="39"/>
      <c r="AE733" s="39"/>
      <c r="AF733" s="39"/>
      <c r="AG733" s="39"/>
      <c r="AH733" s="39"/>
      <c r="AI733" s="39"/>
      <c r="AJ733" s="39"/>
      <c r="AK733" s="39"/>
    </row>
    <row r="734" spans="1:37" x14ac:dyDescent="0.25">
      <c r="E734" t="s">
        <v>292</v>
      </c>
      <c r="H734" t="s">
        <v>379</v>
      </c>
      <c r="I734" s="39"/>
      <c r="J734" s="78"/>
      <c r="K734" s="78"/>
      <c r="L734" s="78"/>
      <c r="M734" s="78"/>
      <c r="N734" s="78"/>
      <c r="O734" s="39"/>
      <c r="P734" s="39"/>
      <c r="Q734" s="39">
        <v>7281</v>
      </c>
      <c r="R734" s="39">
        <v>7114</v>
      </c>
      <c r="S734" s="39">
        <v>7142</v>
      </c>
      <c r="T734" s="39">
        <v>7369</v>
      </c>
      <c r="U734" s="39">
        <v>7640</v>
      </c>
      <c r="V734" s="39">
        <v>7885</v>
      </c>
      <c r="W734" s="39">
        <v>8276</v>
      </c>
      <c r="X734" s="39">
        <v>8489</v>
      </c>
      <c r="Y734" s="39">
        <v>8779</v>
      </c>
      <c r="Z734" s="39">
        <v>8631</v>
      </c>
      <c r="AA734" s="39">
        <v>9678</v>
      </c>
      <c r="AB734" s="39">
        <v>9166</v>
      </c>
      <c r="AC734" s="39"/>
      <c r="AD734" s="39"/>
      <c r="AE734" s="39"/>
      <c r="AF734" s="39"/>
      <c r="AG734" s="39"/>
      <c r="AH734" s="39"/>
      <c r="AI734" s="39"/>
      <c r="AJ734" s="39"/>
      <c r="AK734" s="39"/>
    </row>
    <row r="735" spans="1:37" x14ac:dyDescent="0.25">
      <c r="F735" t="s">
        <v>293</v>
      </c>
      <c r="H735" t="s">
        <v>379</v>
      </c>
      <c r="I735" s="39"/>
      <c r="J735" s="78"/>
      <c r="K735" s="78"/>
      <c r="L735" s="78"/>
      <c r="M735" s="78"/>
      <c r="N735" s="78"/>
      <c r="O735" s="39"/>
      <c r="P735" s="39"/>
      <c r="Q735" s="39">
        <v>3142</v>
      </c>
      <c r="R735" s="39">
        <v>3306</v>
      </c>
      <c r="S735" s="39">
        <v>3328</v>
      </c>
      <c r="T735" s="39">
        <v>3257</v>
      </c>
      <c r="U735" s="39">
        <v>3328</v>
      </c>
      <c r="V735" s="39">
        <v>3426</v>
      </c>
      <c r="W735" s="39">
        <v>3701</v>
      </c>
      <c r="X735" s="39">
        <v>3799</v>
      </c>
      <c r="Y735" s="39">
        <v>4006</v>
      </c>
      <c r="Z735" s="39">
        <v>3970</v>
      </c>
      <c r="AA735" s="39">
        <v>4597</v>
      </c>
      <c r="AB735" s="39">
        <v>4317</v>
      </c>
      <c r="AC735" s="39"/>
      <c r="AD735" s="39"/>
      <c r="AE735" s="39"/>
      <c r="AF735" s="39"/>
      <c r="AG735" s="39"/>
      <c r="AH735" s="39"/>
      <c r="AI735" s="39"/>
      <c r="AJ735" s="39"/>
      <c r="AK735" s="39"/>
    </row>
    <row r="736" spans="1:37" s="8" customFormat="1" x14ac:dyDescent="0.25">
      <c r="B736" s="9"/>
      <c r="C736" s="8" t="s">
        <v>380</v>
      </c>
      <c r="I736" s="42"/>
      <c r="J736" s="77"/>
      <c r="K736" s="77"/>
      <c r="L736" s="77"/>
      <c r="M736" s="77"/>
      <c r="N736" s="77"/>
      <c r="O736" s="42"/>
      <c r="P736" s="42"/>
      <c r="Q736" s="42"/>
      <c r="R736" s="42"/>
      <c r="S736" s="42"/>
      <c r="T736" s="42"/>
      <c r="U736" s="42"/>
      <c r="V736" s="42"/>
      <c r="W736" s="42"/>
      <c r="X736" s="42"/>
      <c r="Y736" s="42"/>
      <c r="Z736" s="42"/>
      <c r="AA736" s="42"/>
      <c r="AB736" s="42"/>
      <c r="AC736" s="42"/>
      <c r="AD736" s="42"/>
      <c r="AE736" s="42"/>
      <c r="AF736" s="42"/>
      <c r="AG736" s="42"/>
      <c r="AH736" s="42"/>
      <c r="AI736" s="42"/>
      <c r="AJ736" s="42"/>
      <c r="AK736" s="42"/>
    </row>
    <row r="737" spans="2:37" x14ac:dyDescent="0.25">
      <c r="D737" t="s">
        <v>273</v>
      </c>
      <c r="H737" t="s">
        <v>381</v>
      </c>
      <c r="I737" s="39"/>
      <c r="J737" s="78"/>
      <c r="K737" s="78"/>
      <c r="L737" s="78"/>
      <c r="M737" s="78"/>
      <c r="N737" s="78"/>
      <c r="O737" s="39"/>
      <c r="P737" s="39"/>
      <c r="Q737" s="39">
        <v>70271</v>
      </c>
      <c r="R737" s="39">
        <v>73627</v>
      </c>
      <c r="S737" s="39">
        <v>69020</v>
      </c>
      <c r="T737" s="39">
        <v>68078</v>
      </c>
      <c r="U737" s="39">
        <v>73572</v>
      </c>
      <c r="V737" s="39">
        <v>75325</v>
      </c>
      <c r="W737" s="39">
        <v>75594</v>
      </c>
      <c r="X737" s="39">
        <v>80049</v>
      </c>
      <c r="Y737" s="39">
        <v>83831</v>
      </c>
      <c r="Z737" s="39">
        <v>84678</v>
      </c>
      <c r="AA737" s="39">
        <v>87053</v>
      </c>
      <c r="AB737" s="39">
        <v>94498</v>
      </c>
      <c r="AC737" s="39"/>
      <c r="AD737" s="39"/>
      <c r="AE737" s="39"/>
      <c r="AF737" s="39"/>
      <c r="AG737" s="39"/>
      <c r="AH737" s="39"/>
      <c r="AI737" s="39"/>
      <c r="AJ737" s="39"/>
      <c r="AK737" s="39"/>
    </row>
    <row r="738" spans="2:37" x14ac:dyDescent="0.25">
      <c r="E738" t="s">
        <v>291</v>
      </c>
      <c r="H738" t="s">
        <v>381</v>
      </c>
      <c r="I738" s="39"/>
      <c r="J738" s="78"/>
      <c r="K738" s="78"/>
      <c r="L738" s="78"/>
      <c r="M738" s="78"/>
      <c r="N738" s="78"/>
      <c r="O738" s="39"/>
      <c r="P738" s="39"/>
      <c r="Q738" s="39">
        <v>74318</v>
      </c>
      <c r="R738" s="39">
        <v>72386</v>
      </c>
      <c r="S738" s="39">
        <v>73182</v>
      </c>
      <c r="T738" s="39">
        <v>42316</v>
      </c>
      <c r="U738" s="39">
        <v>67639</v>
      </c>
      <c r="V738" s="39">
        <v>61087</v>
      </c>
      <c r="W738" s="39">
        <v>60139</v>
      </c>
      <c r="X738" s="39"/>
      <c r="Y738" s="39">
        <v>57037</v>
      </c>
      <c r="Z738" s="39">
        <v>82813</v>
      </c>
      <c r="AA738" s="39">
        <v>86607</v>
      </c>
      <c r="AB738" s="39">
        <v>89408</v>
      </c>
      <c r="AC738" s="39"/>
      <c r="AD738" s="39"/>
      <c r="AE738" s="39"/>
      <c r="AF738" s="39"/>
      <c r="AG738" s="39"/>
      <c r="AH738" s="39"/>
      <c r="AI738" s="39"/>
      <c r="AJ738" s="39"/>
      <c r="AK738" s="39"/>
    </row>
    <row r="739" spans="2:37" x14ac:dyDescent="0.25">
      <c r="E739" t="s">
        <v>292</v>
      </c>
      <c r="H739" t="s">
        <v>381</v>
      </c>
      <c r="I739" s="39"/>
      <c r="J739" s="78"/>
      <c r="K739" s="78"/>
      <c r="L739" s="78"/>
      <c r="M739" s="78"/>
      <c r="N739" s="78"/>
      <c r="O739" s="39"/>
      <c r="P739" s="39"/>
      <c r="Q739" s="39">
        <v>71107</v>
      </c>
      <c r="R739" s="39">
        <v>75017</v>
      </c>
      <c r="S739" s="39">
        <v>69142</v>
      </c>
      <c r="T739" s="39">
        <v>68641</v>
      </c>
      <c r="U739" s="39">
        <v>73693</v>
      </c>
      <c r="V739" s="39">
        <v>75893</v>
      </c>
      <c r="W739" s="39">
        <v>7593</v>
      </c>
      <c r="X739" s="39">
        <v>80643</v>
      </c>
      <c r="Y739" s="39">
        <v>85303</v>
      </c>
      <c r="Z739" s="39">
        <v>87864</v>
      </c>
      <c r="AA739" s="39">
        <v>88655</v>
      </c>
      <c r="AB739" s="39">
        <v>96618</v>
      </c>
      <c r="AC739" s="39"/>
      <c r="AD739" s="39"/>
      <c r="AE739" s="39"/>
      <c r="AF739" s="39"/>
      <c r="AG739" s="39"/>
      <c r="AH739" s="39"/>
      <c r="AI739" s="39"/>
      <c r="AJ739" s="39"/>
      <c r="AK739" s="39"/>
    </row>
    <row r="740" spans="2:37" x14ac:dyDescent="0.25">
      <c r="F740" t="s">
        <v>293</v>
      </c>
      <c r="H740" t="s">
        <v>381</v>
      </c>
      <c r="I740" s="39"/>
      <c r="J740" s="78"/>
      <c r="K740" s="78"/>
      <c r="L740" s="78"/>
      <c r="M740" s="78"/>
      <c r="N740" s="78"/>
      <c r="O740" s="39"/>
      <c r="P740" s="39"/>
      <c r="Q740" s="39">
        <v>59605</v>
      </c>
      <c r="R740" s="39">
        <v>54234</v>
      </c>
      <c r="S740" s="39">
        <v>53974</v>
      </c>
      <c r="T740" s="39">
        <v>57614</v>
      </c>
      <c r="U740" s="39">
        <v>64645</v>
      </c>
      <c r="V740" s="39">
        <v>67117</v>
      </c>
      <c r="W740" s="39">
        <v>70517</v>
      </c>
      <c r="X740" s="39">
        <v>75406</v>
      </c>
      <c r="Y740" s="39">
        <v>75150</v>
      </c>
      <c r="Z740" s="39">
        <v>73411</v>
      </c>
      <c r="AA740" s="39">
        <v>76518</v>
      </c>
      <c r="AB740" s="39">
        <v>83289</v>
      </c>
      <c r="AC740" s="39"/>
      <c r="AD740" s="39"/>
      <c r="AE740" s="39"/>
      <c r="AF740" s="39"/>
      <c r="AG740" s="39"/>
      <c r="AH740" s="39"/>
      <c r="AI740" s="39"/>
      <c r="AJ740" s="39"/>
      <c r="AK740" s="39"/>
    </row>
    <row r="741" spans="2:37" s="8" customFormat="1" x14ac:dyDescent="0.25">
      <c r="B741" s="9"/>
      <c r="C741" s="8" t="s">
        <v>382</v>
      </c>
      <c r="I741" s="42"/>
      <c r="J741" s="77"/>
      <c r="K741" s="77"/>
      <c r="L741" s="77"/>
      <c r="M741" s="77"/>
      <c r="N741" s="77"/>
      <c r="O741" s="42"/>
      <c r="P741" s="42"/>
      <c r="Q741" s="42"/>
      <c r="R741" s="42"/>
      <c r="S741" s="42"/>
      <c r="T741" s="42"/>
      <c r="U741" s="42"/>
      <c r="V741" s="42"/>
      <c r="W741" s="42"/>
      <c r="X741" s="42"/>
      <c r="Y741" s="42"/>
      <c r="Z741" s="42"/>
      <c r="AA741" s="42"/>
      <c r="AB741" s="42"/>
      <c r="AC741" s="42"/>
      <c r="AD741" s="42"/>
      <c r="AE741" s="42"/>
      <c r="AF741" s="42"/>
      <c r="AG741" s="42"/>
      <c r="AH741" s="42"/>
      <c r="AI741" s="42"/>
      <c r="AJ741" s="42"/>
      <c r="AK741" s="42"/>
    </row>
    <row r="742" spans="2:37" x14ac:dyDescent="0.25">
      <c r="D742" t="s">
        <v>273</v>
      </c>
      <c r="H742" t="s">
        <v>381</v>
      </c>
      <c r="I742" s="39"/>
      <c r="J742" s="78"/>
      <c r="K742" s="78"/>
      <c r="L742" s="78"/>
      <c r="M742" s="78"/>
      <c r="N742" s="78"/>
      <c r="O742" s="39"/>
      <c r="P742" s="39"/>
      <c r="Q742" s="39">
        <v>104432</v>
      </c>
      <c r="R742" s="39">
        <v>109539</v>
      </c>
      <c r="S742" s="39">
        <v>106027</v>
      </c>
      <c r="T742" s="39">
        <v>107054</v>
      </c>
      <c r="U742" s="39">
        <v>110785</v>
      </c>
      <c r="V742" s="39">
        <v>110861</v>
      </c>
      <c r="W742" s="39">
        <v>115534</v>
      </c>
      <c r="X742" s="39">
        <v>121879</v>
      </c>
      <c r="Y742" s="39">
        <v>128868</v>
      </c>
      <c r="Z742" s="39">
        <v>132531</v>
      </c>
      <c r="AA742" s="39">
        <v>141605</v>
      </c>
      <c r="AB742" s="39">
        <v>159027</v>
      </c>
      <c r="AC742" s="39"/>
      <c r="AD742" s="39"/>
      <c r="AE742" s="39"/>
      <c r="AF742" s="39"/>
      <c r="AG742" s="39"/>
      <c r="AH742" s="39"/>
      <c r="AI742" s="39"/>
      <c r="AJ742" s="39"/>
      <c r="AK742" s="39"/>
    </row>
    <row r="743" spans="2:37" x14ac:dyDescent="0.25">
      <c r="E743" t="s">
        <v>291</v>
      </c>
      <c r="H743" t="s">
        <v>381</v>
      </c>
      <c r="I743" s="39"/>
      <c r="J743" s="78"/>
      <c r="K743" s="78"/>
      <c r="L743" s="78"/>
      <c r="M743" s="78"/>
      <c r="N743" s="78"/>
      <c r="O743" s="39"/>
      <c r="P743" s="39"/>
      <c r="Q743" s="39">
        <v>75907</v>
      </c>
      <c r="R743" s="39">
        <v>81279</v>
      </c>
      <c r="S743" s="39">
        <v>68653</v>
      </c>
      <c r="T743" s="39">
        <v>77514</v>
      </c>
      <c r="U743" s="39">
        <v>76400</v>
      </c>
      <c r="V743" s="39">
        <v>81506</v>
      </c>
      <c r="W743" s="39">
        <v>81117</v>
      </c>
      <c r="X743" s="39">
        <v>77742</v>
      </c>
      <c r="Y743" s="39">
        <v>60074</v>
      </c>
      <c r="Z743" s="39">
        <v>89745</v>
      </c>
      <c r="AA743" s="39">
        <v>84475</v>
      </c>
      <c r="AB743" s="39">
        <v>108578</v>
      </c>
      <c r="AC743" s="39"/>
      <c r="AD743" s="39"/>
      <c r="AE743" s="39"/>
      <c r="AF743" s="39"/>
      <c r="AG743" s="39"/>
      <c r="AH743" s="39"/>
      <c r="AI743" s="39"/>
      <c r="AJ743" s="39"/>
      <c r="AK743" s="39"/>
    </row>
    <row r="744" spans="2:37" x14ac:dyDescent="0.25">
      <c r="E744" t="s">
        <v>292</v>
      </c>
      <c r="H744" t="s">
        <v>381</v>
      </c>
      <c r="I744" s="39"/>
      <c r="J744" s="78"/>
      <c r="K744" s="78"/>
      <c r="L744" s="78"/>
      <c r="M744" s="78"/>
      <c r="N744" s="78"/>
      <c r="O744" s="39"/>
      <c r="P744" s="39"/>
      <c r="Q744" s="39">
        <v>105596</v>
      </c>
      <c r="R744" s="39">
        <v>110340</v>
      </c>
      <c r="S744" s="39">
        <v>107050</v>
      </c>
      <c r="T744" s="39">
        <v>107912</v>
      </c>
      <c r="U744" s="39">
        <v>111834</v>
      </c>
      <c r="V744" s="39">
        <v>111986</v>
      </c>
      <c r="W744" s="39">
        <v>116782</v>
      </c>
      <c r="X744" s="39">
        <v>123515</v>
      </c>
      <c r="Y744" s="39">
        <v>131939</v>
      </c>
      <c r="Z744" s="39">
        <v>135174</v>
      </c>
      <c r="AA744" s="39">
        <v>144165</v>
      </c>
      <c r="AB744" s="39">
        <v>161818</v>
      </c>
      <c r="AC744" s="39"/>
      <c r="AD744" s="39"/>
      <c r="AE744" s="39"/>
      <c r="AF744" s="39"/>
      <c r="AG744" s="39"/>
      <c r="AH744" s="39"/>
      <c r="AI744" s="39"/>
      <c r="AJ744" s="39"/>
      <c r="AK744" s="39"/>
    </row>
    <row r="745" spans="2:37" x14ac:dyDescent="0.25">
      <c r="F745" t="s">
        <v>293</v>
      </c>
      <c r="H745" t="s">
        <v>381</v>
      </c>
      <c r="I745" s="39"/>
      <c r="J745" s="78"/>
      <c r="K745" s="78"/>
      <c r="L745" s="78"/>
      <c r="M745" s="78"/>
      <c r="N745" s="78"/>
      <c r="O745" s="39"/>
      <c r="P745" s="39"/>
      <c r="Q745" s="39">
        <v>67266</v>
      </c>
      <c r="R745" s="39">
        <v>65983</v>
      </c>
      <c r="S745" s="39">
        <v>70325</v>
      </c>
      <c r="T745" s="39">
        <v>83702</v>
      </c>
      <c r="U745" s="39">
        <v>88159</v>
      </c>
      <c r="V745" s="39">
        <v>91203</v>
      </c>
      <c r="W745" s="39">
        <v>100353</v>
      </c>
      <c r="X745" s="39">
        <v>100868</v>
      </c>
      <c r="Y745" s="39">
        <v>97231</v>
      </c>
      <c r="Z745" s="39">
        <v>98336</v>
      </c>
      <c r="AA745" s="39">
        <v>100661</v>
      </c>
      <c r="AB745" s="39">
        <v>115634</v>
      </c>
      <c r="AC745" s="39"/>
      <c r="AD745" s="39"/>
      <c r="AE745" s="39"/>
      <c r="AF745" s="39"/>
      <c r="AG745" s="39"/>
      <c r="AH745" s="39"/>
      <c r="AI745" s="39"/>
      <c r="AJ745" s="39"/>
      <c r="AK745" s="39"/>
    </row>
    <row r="746" spans="2:37" s="8" customFormat="1" x14ac:dyDescent="0.25">
      <c r="B746" s="9"/>
      <c r="C746" s="8" t="s">
        <v>383</v>
      </c>
      <c r="I746" s="42"/>
      <c r="J746" s="77"/>
      <c r="K746" s="77"/>
      <c r="L746" s="77"/>
      <c r="M746" s="77"/>
      <c r="N746" s="77"/>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row>
    <row r="747" spans="2:37" x14ac:dyDescent="0.25">
      <c r="D747" t="s">
        <v>273</v>
      </c>
      <c r="H747" t="s">
        <v>379</v>
      </c>
      <c r="I747" s="39"/>
      <c r="J747" s="78"/>
      <c r="K747" s="78"/>
      <c r="L747" s="78"/>
      <c r="M747" s="78"/>
      <c r="N747" s="78"/>
      <c r="O747" s="39"/>
      <c r="P747" s="39"/>
      <c r="Q747" s="39">
        <v>6327</v>
      </c>
      <c r="R747" s="39">
        <v>6173</v>
      </c>
      <c r="S747" s="39">
        <v>6339</v>
      </c>
      <c r="T747" s="39">
        <v>6580</v>
      </c>
      <c r="U747" s="39">
        <v>6830</v>
      </c>
      <c r="V747" s="39">
        <v>7058</v>
      </c>
      <c r="W747" s="39">
        <v>7283</v>
      </c>
      <c r="X747" s="39">
        <v>7397</v>
      </c>
      <c r="Y747" s="39">
        <v>7708</v>
      </c>
      <c r="Z747" s="39">
        <v>7593</v>
      </c>
      <c r="AA747" s="39">
        <v>8761</v>
      </c>
      <c r="AB747" s="39">
        <v>8296</v>
      </c>
      <c r="AE747" s="39"/>
      <c r="AF747" s="39"/>
      <c r="AG747" s="154"/>
      <c r="AH747" s="154"/>
      <c r="AI747" s="39"/>
      <c r="AJ747" s="39"/>
      <c r="AK747" s="39"/>
    </row>
    <row r="748" spans="2:37" x14ac:dyDescent="0.25">
      <c r="E748" t="s">
        <v>291</v>
      </c>
      <c r="H748" t="s">
        <v>379</v>
      </c>
      <c r="I748" s="39"/>
      <c r="J748" s="78"/>
      <c r="K748" s="78"/>
      <c r="L748" s="78"/>
      <c r="M748" s="78"/>
      <c r="N748" s="78"/>
      <c r="O748" s="39"/>
      <c r="P748" s="39"/>
      <c r="Q748" s="39">
        <v>68</v>
      </c>
      <c r="R748" s="39">
        <v>53</v>
      </c>
      <c r="S748" s="39">
        <v>129</v>
      </c>
      <c r="T748" s="39">
        <v>186</v>
      </c>
      <c r="U748" s="39">
        <v>207</v>
      </c>
      <c r="V748" s="39">
        <v>244</v>
      </c>
      <c r="W748" s="39">
        <v>242</v>
      </c>
      <c r="X748" s="39">
        <v>154</v>
      </c>
      <c r="Y748" s="39">
        <v>129</v>
      </c>
      <c r="Z748" s="39">
        <v>133</v>
      </c>
      <c r="AA748" s="39">
        <v>108</v>
      </c>
      <c r="AB748" s="39">
        <v>168</v>
      </c>
      <c r="AE748" s="39"/>
      <c r="AF748" s="39"/>
      <c r="AG748" s="154"/>
      <c r="AH748" s="154"/>
      <c r="AI748" s="39"/>
      <c r="AJ748" s="39"/>
      <c r="AK748" s="39"/>
    </row>
    <row r="749" spans="2:37" x14ac:dyDescent="0.25">
      <c r="E749" t="s">
        <v>292</v>
      </c>
      <c r="H749" t="s">
        <v>379</v>
      </c>
      <c r="I749" s="39"/>
      <c r="J749" s="78"/>
      <c r="K749" s="78"/>
      <c r="L749" s="78"/>
      <c r="M749" s="78"/>
      <c r="N749" s="78"/>
      <c r="O749" s="39"/>
      <c r="P749" s="39"/>
      <c r="Q749" s="39">
        <v>6138</v>
      </c>
      <c r="R749" s="39">
        <v>6041</v>
      </c>
      <c r="S749" s="39">
        <v>6181</v>
      </c>
      <c r="T749" s="39">
        <v>6394</v>
      </c>
      <c r="U749" s="39">
        <v>6623</v>
      </c>
      <c r="V749" s="39">
        <v>6814</v>
      </c>
      <c r="W749" s="39">
        <v>7041</v>
      </c>
      <c r="X749" s="39">
        <v>7154</v>
      </c>
      <c r="Y749" s="39">
        <v>7402</v>
      </c>
      <c r="Z749" s="39">
        <v>7280</v>
      </c>
      <c r="AA749" s="39">
        <v>8474</v>
      </c>
      <c r="AB749" s="39">
        <v>7990</v>
      </c>
      <c r="AE749" s="39"/>
      <c r="AF749" s="39"/>
      <c r="AG749" s="154"/>
      <c r="AH749" s="154"/>
      <c r="AI749" s="39"/>
      <c r="AJ749" s="39"/>
      <c r="AK749" s="39"/>
    </row>
    <row r="750" spans="2:37" x14ac:dyDescent="0.25">
      <c r="F750" t="s">
        <v>293</v>
      </c>
      <c r="H750" t="s">
        <v>379</v>
      </c>
      <c r="I750" s="39"/>
      <c r="J750" s="78"/>
      <c r="K750" s="78"/>
      <c r="L750" s="78"/>
      <c r="M750" s="78"/>
      <c r="N750" s="78"/>
      <c r="O750" s="39"/>
      <c r="P750" s="39"/>
      <c r="Q750" s="39">
        <v>2887</v>
      </c>
      <c r="R750" s="39">
        <v>2988</v>
      </c>
      <c r="S750" s="39">
        <v>3133</v>
      </c>
      <c r="T750" s="39">
        <v>3033</v>
      </c>
      <c r="U750" s="39">
        <v>3093</v>
      </c>
      <c r="V750" s="39">
        <v>3177</v>
      </c>
      <c r="W750" s="39">
        <v>3396</v>
      </c>
      <c r="X750" s="39">
        <v>3418</v>
      </c>
      <c r="Y750" s="39">
        <v>3613</v>
      </c>
      <c r="Z750" s="39">
        <v>3535</v>
      </c>
      <c r="AA750" s="39">
        <v>4224</v>
      </c>
      <c r="AB750" s="39">
        <v>3990</v>
      </c>
      <c r="AE750" s="39"/>
      <c r="AF750" s="39"/>
      <c r="AG750" s="154"/>
      <c r="AH750" s="154"/>
      <c r="AI750" s="39"/>
      <c r="AJ750" s="39"/>
      <c r="AK750" s="39"/>
    </row>
    <row r="751" spans="2:37" s="8" customFormat="1" x14ac:dyDescent="0.25">
      <c r="B751" s="9"/>
      <c r="C751" s="8" t="s">
        <v>384</v>
      </c>
      <c r="I751" s="42"/>
      <c r="J751" s="77"/>
      <c r="K751" s="77"/>
      <c r="L751" s="77"/>
      <c r="M751" s="77"/>
      <c r="N751" s="77"/>
      <c r="O751" s="42"/>
      <c r="P751" s="42"/>
      <c r="Q751" s="42"/>
      <c r="R751" s="42"/>
      <c r="S751" s="42"/>
      <c r="T751" s="42"/>
      <c r="U751" s="42"/>
      <c r="V751" s="42"/>
      <c r="W751" s="42"/>
      <c r="X751" s="42"/>
      <c r="Y751" s="42"/>
      <c r="Z751" s="42"/>
      <c r="AA751" s="42"/>
      <c r="AB751" s="42"/>
      <c r="AE751" s="42"/>
      <c r="AF751" s="42"/>
      <c r="AG751" s="42"/>
      <c r="AH751" s="154"/>
      <c r="AI751" s="42"/>
      <c r="AJ751" s="42"/>
      <c r="AK751" s="42"/>
    </row>
    <row r="752" spans="2:37" x14ac:dyDescent="0.25">
      <c r="D752" t="s">
        <v>273</v>
      </c>
      <c r="H752" t="s">
        <v>384</v>
      </c>
      <c r="I752" s="39"/>
      <c r="J752" s="78"/>
      <c r="K752" s="78"/>
      <c r="L752" s="78"/>
      <c r="M752" s="78"/>
      <c r="N752" s="78"/>
      <c r="O752" s="39"/>
      <c r="P752" s="39"/>
      <c r="Q752" s="39">
        <v>4307</v>
      </c>
      <c r="R752" s="39">
        <v>4210</v>
      </c>
      <c r="S752" s="39">
        <v>4398</v>
      </c>
      <c r="T752" s="39">
        <v>4532</v>
      </c>
      <c r="U752" s="39">
        <v>4831</v>
      </c>
      <c r="V752" s="39">
        <v>4840</v>
      </c>
      <c r="W752" s="39">
        <v>4981</v>
      </c>
      <c r="X752" s="39">
        <v>5231</v>
      </c>
      <c r="Y752" s="39">
        <v>5305</v>
      </c>
      <c r="Z752" s="39">
        <v>5190</v>
      </c>
      <c r="AA752" s="39">
        <v>6038</v>
      </c>
      <c r="AB752" s="39">
        <v>6052</v>
      </c>
      <c r="AE752" s="39"/>
      <c r="AF752" s="39"/>
      <c r="AG752" s="154"/>
      <c r="AH752" s="154"/>
      <c r="AI752" s="39"/>
      <c r="AJ752" s="39"/>
      <c r="AK752" s="39"/>
    </row>
    <row r="753" spans="2:37" x14ac:dyDescent="0.25">
      <c r="E753" t="s">
        <v>291</v>
      </c>
      <c r="H753" t="s">
        <v>384</v>
      </c>
      <c r="I753" s="39"/>
      <c r="J753" s="78"/>
      <c r="K753" s="78"/>
      <c r="L753" s="78"/>
      <c r="M753" s="78"/>
      <c r="N753" s="78"/>
      <c r="O753" s="39"/>
      <c r="P753" s="39"/>
      <c r="Q753" s="39">
        <v>68</v>
      </c>
      <c r="R753" s="39">
        <v>44</v>
      </c>
      <c r="S753" s="39">
        <v>84</v>
      </c>
      <c r="T753" s="39">
        <v>94</v>
      </c>
      <c r="U753" s="39">
        <v>117</v>
      </c>
      <c r="V753" s="39">
        <v>158</v>
      </c>
      <c r="W753" s="39">
        <v>159</v>
      </c>
      <c r="X753" s="39">
        <v>154</v>
      </c>
      <c r="Y753" s="39">
        <v>122</v>
      </c>
      <c r="Z753" s="39">
        <v>117</v>
      </c>
      <c r="AA753" s="39">
        <v>92</v>
      </c>
      <c r="AB753" s="39">
        <v>136</v>
      </c>
      <c r="AE753" s="39"/>
      <c r="AF753" s="39"/>
      <c r="AG753" s="154"/>
      <c r="AH753" s="154"/>
      <c r="AI753" s="39"/>
      <c r="AJ753" s="39"/>
      <c r="AK753" s="39"/>
    </row>
    <row r="754" spans="2:37" x14ac:dyDescent="0.25">
      <c r="E754" t="s">
        <v>292</v>
      </c>
      <c r="H754" t="s">
        <v>384</v>
      </c>
      <c r="I754" s="39"/>
      <c r="J754" s="78"/>
      <c r="K754" s="78"/>
      <c r="L754" s="78"/>
      <c r="M754" s="78"/>
      <c r="N754" s="78"/>
      <c r="O754" s="39"/>
      <c r="P754" s="39"/>
      <c r="Q754" s="39">
        <v>4239</v>
      </c>
      <c r="R754" s="39">
        <v>4166</v>
      </c>
      <c r="S754" s="39">
        <v>4314</v>
      </c>
      <c r="T754" s="39">
        <v>4438</v>
      </c>
      <c r="U754" s="39">
        <v>4714</v>
      </c>
      <c r="V754" s="39">
        <v>4682</v>
      </c>
      <c r="W754" s="39">
        <v>4822</v>
      </c>
      <c r="X754" s="39">
        <v>5031</v>
      </c>
      <c r="Y754" s="39">
        <v>5122</v>
      </c>
      <c r="Z754" s="39">
        <v>5015</v>
      </c>
      <c r="AA754" s="39">
        <v>5872</v>
      </c>
      <c r="AB754" s="39">
        <v>5872</v>
      </c>
      <c r="AE754" s="39"/>
      <c r="AF754" s="39"/>
      <c r="AG754" s="154"/>
      <c r="AH754" s="154"/>
      <c r="AI754" s="39"/>
      <c r="AJ754" s="39"/>
      <c r="AK754" s="39"/>
    </row>
    <row r="755" spans="2:37" x14ac:dyDescent="0.25">
      <c r="F755" t="s">
        <v>293</v>
      </c>
      <c r="H755" t="s">
        <v>384</v>
      </c>
      <c r="I755" s="39"/>
      <c r="J755" s="78"/>
      <c r="K755" s="78"/>
      <c r="L755" s="78"/>
      <c r="M755" s="78"/>
      <c r="N755" s="78"/>
      <c r="O755" s="39"/>
      <c r="P755" s="39"/>
      <c r="Q755" s="39">
        <v>1557</v>
      </c>
      <c r="R755" s="39">
        <v>1659</v>
      </c>
      <c r="S755" s="39">
        <v>1880</v>
      </c>
      <c r="T755" s="39">
        <v>1821</v>
      </c>
      <c r="U755" s="39">
        <v>1912</v>
      </c>
      <c r="V755" s="39">
        <v>1900</v>
      </c>
      <c r="W755" s="39">
        <v>1933</v>
      </c>
      <c r="X755" s="39">
        <v>1906</v>
      </c>
      <c r="Y755" s="39">
        <v>2021</v>
      </c>
      <c r="Z755" s="39">
        <v>1857</v>
      </c>
      <c r="AA755" s="39">
        <v>2374</v>
      </c>
      <c r="AB755" s="39">
        <v>2356</v>
      </c>
      <c r="AE755" s="39"/>
      <c r="AF755" s="39"/>
      <c r="AG755" s="154"/>
      <c r="AH755" s="154"/>
      <c r="AI755" s="39"/>
      <c r="AJ755" s="39"/>
      <c r="AK755" s="39"/>
    </row>
    <row r="756" spans="2:37" s="8" customFormat="1" x14ac:dyDescent="0.25">
      <c r="B756" s="9"/>
      <c r="C756" s="8" t="s">
        <v>385</v>
      </c>
      <c r="I756" s="42"/>
      <c r="J756" s="77"/>
      <c r="K756" s="77"/>
      <c r="L756" s="77"/>
      <c r="M756" s="77"/>
      <c r="N756" s="77"/>
      <c r="O756" s="42"/>
      <c r="P756" s="42"/>
      <c r="Q756" s="42"/>
      <c r="R756" s="42"/>
      <c r="S756" s="42"/>
      <c r="T756" s="42"/>
      <c r="U756" s="42"/>
      <c r="V756" s="42"/>
      <c r="W756" s="42"/>
      <c r="X756" s="42"/>
      <c r="Y756" s="42"/>
      <c r="Z756" s="42"/>
      <c r="AA756" s="42"/>
      <c r="AB756" s="42"/>
      <c r="AE756" s="42"/>
      <c r="AF756" s="42"/>
      <c r="AG756" s="42"/>
      <c r="AH756" s="42"/>
      <c r="AI756" s="42"/>
      <c r="AJ756" s="42"/>
      <c r="AK756" s="42"/>
    </row>
    <row r="757" spans="2:37" x14ac:dyDescent="0.25">
      <c r="D757" t="s">
        <v>273</v>
      </c>
      <c r="H757" t="s">
        <v>381</v>
      </c>
      <c r="I757" s="39"/>
      <c r="J757" s="78"/>
      <c r="K757" s="78"/>
      <c r="L757" s="78"/>
      <c r="M757" s="78"/>
      <c r="N757" s="78"/>
      <c r="O757" s="39"/>
      <c r="P757" s="39"/>
      <c r="Q757" s="39">
        <v>90596</v>
      </c>
      <c r="R757" s="39">
        <v>93029</v>
      </c>
      <c r="S757" s="39">
        <v>86184</v>
      </c>
      <c r="T757" s="39">
        <v>83558</v>
      </c>
      <c r="U757" s="39">
        <v>88652</v>
      </c>
      <c r="V757" s="39">
        <v>93443</v>
      </c>
      <c r="W757" s="39">
        <v>96113</v>
      </c>
      <c r="X757" s="39">
        <v>104210</v>
      </c>
      <c r="Y757" s="39">
        <v>110592</v>
      </c>
      <c r="Z757" s="39">
        <v>110667</v>
      </c>
      <c r="AA757" s="39">
        <v>101189</v>
      </c>
      <c r="AB757" s="39">
        <v>113830</v>
      </c>
      <c r="AE757" s="39"/>
      <c r="AF757" s="39"/>
      <c r="AG757" s="154"/>
      <c r="AH757" s="39"/>
      <c r="AI757" s="39"/>
      <c r="AJ757" s="39"/>
      <c r="AK757" s="39"/>
    </row>
    <row r="758" spans="2:37" x14ac:dyDescent="0.25">
      <c r="E758" t="s">
        <v>291</v>
      </c>
      <c r="H758" t="s">
        <v>381</v>
      </c>
      <c r="I758" s="39"/>
      <c r="J758" s="78"/>
      <c r="K758" s="78"/>
      <c r="L758" s="78"/>
      <c r="M758" s="78"/>
      <c r="N758" s="78"/>
      <c r="O758" s="39"/>
      <c r="P758" s="39"/>
      <c r="Q758" s="39">
        <v>74318</v>
      </c>
      <c r="R758" s="39">
        <v>83088</v>
      </c>
      <c r="S758" s="39">
        <v>85673</v>
      </c>
      <c r="T758" s="39">
        <v>86364</v>
      </c>
      <c r="U758" s="39">
        <v>86464</v>
      </c>
      <c r="V758" s="39">
        <v>86722</v>
      </c>
      <c r="W758" s="39">
        <v>89028</v>
      </c>
      <c r="X758" s="39">
        <v>91359</v>
      </c>
      <c r="Y758" s="39"/>
      <c r="Z758" s="39"/>
      <c r="AA758" s="39"/>
      <c r="AB758" s="39">
        <v>148316</v>
      </c>
      <c r="AE758" s="39"/>
      <c r="AF758" s="39"/>
      <c r="AG758" s="154"/>
      <c r="AH758" s="39"/>
      <c r="AI758" s="39"/>
      <c r="AJ758" s="39"/>
      <c r="AK758" s="39"/>
    </row>
    <row r="759" spans="2:37" x14ac:dyDescent="0.25">
      <c r="E759" t="s">
        <v>292</v>
      </c>
      <c r="H759" t="s">
        <v>381</v>
      </c>
      <c r="I759" s="39"/>
      <c r="J759" s="78"/>
      <c r="K759" s="78"/>
      <c r="L759" s="78"/>
      <c r="M759" s="78"/>
      <c r="N759" s="78"/>
      <c r="O759" s="39"/>
      <c r="P759" s="39"/>
      <c r="Q759" s="39">
        <v>91045</v>
      </c>
      <c r="R759" s="39">
        <v>93341</v>
      </c>
      <c r="S759" s="39">
        <v>86450</v>
      </c>
      <c r="T759" s="39">
        <v>82981</v>
      </c>
      <c r="U759" s="39">
        <v>89817</v>
      </c>
      <c r="V759" s="39">
        <v>94426</v>
      </c>
      <c r="W759" s="39">
        <v>96797</v>
      </c>
      <c r="X759" s="39">
        <v>105131</v>
      </c>
      <c r="Y759" s="39">
        <v>111895</v>
      </c>
      <c r="Z759" s="39">
        <v>111417</v>
      </c>
      <c r="AA759" s="39">
        <v>101990</v>
      </c>
      <c r="AB759" s="39">
        <v>114149</v>
      </c>
      <c r="AE759" s="39"/>
      <c r="AF759" s="39"/>
      <c r="AG759" s="154"/>
      <c r="AH759" s="39"/>
      <c r="AI759" s="39"/>
      <c r="AJ759" s="39"/>
      <c r="AK759" s="39"/>
    </row>
    <row r="760" spans="2:37" x14ac:dyDescent="0.25">
      <c r="F760" t="s">
        <v>293</v>
      </c>
      <c r="H760" t="s">
        <v>381</v>
      </c>
      <c r="I760" s="39"/>
      <c r="J760" s="78"/>
      <c r="K760" s="78"/>
      <c r="L760" s="78"/>
      <c r="M760" s="78"/>
      <c r="N760" s="78"/>
      <c r="O760" s="39"/>
      <c r="P760" s="39"/>
      <c r="Q760" s="39">
        <v>69432</v>
      </c>
      <c r="R760" s="39">
        <v>68933</v>
      </c>
      <c r="S760" s="39">
        <v>66064</v>
      </c>
      <c r="T760" s="39">
        <v>66804</v>
      </c>
      <c r="U760" s="39">
        <v>69877</v>
      </c>
      <c r="V760" s="39">
        <v>75444</v>
      </c>
      <c r="W760" s="39">
        <v>78680</v>
      </c>
      <c r="X760" s="39">
        <v>82143</v>
      </c>
      <c r="Y760" s="39">
        <v>84535</v>
      </c>
      <c r="Z760" s="39">
        <v>93260</v>
      </c>
      <c r="AA760" s="39">
        <v>84952</v>
      </c>
      <c r="AB760" s="39">
        <v>101080</v>
      </c>
      <c r="AE760" s="39"/>
      <c r="AF760" s="39"/>
      <c r="AG760" s="154"/>
      <c r="AH760" s="39"/>
      <c r="AI760" s="39"/>
      <c r="AJ760" s="39"/>
      <c r="AK760" s="39"/>
    </row>
    <row r="761" spans="2:37" s="8" customFormat="1" x14ac:dyDescent="0.25">
      <c r="B761" s="9"/>
      <c r="C761" s="8" t="s">
        <v>386</v>
      </c>
      <c r="I761" s="42"/>
      <c r="J761" s="77"/>
      <c r="K761" s="77"/>
      <c r="L761" s="77"/>
      <c r="M761" s="77"/>
      <c r="N761" s="77"/>
      <c r="O761" s="42"/>
      <c r="P761" s="42"/>
      <c r="Q761" s="42"/>
      <c r="R761" s="42"/>
      <c r="S761" s="42"/>
      <c r="T761" s="42"/>
      <c r="U761" s="42"/>
      <c r="V761" s="42"/>
      <c r="W761" s="42"/>
      <c r="X761" s="42"/>
      <c r="Y761" s="42"/>
      <c r="Z761" s="42"/>
      <c r="AA761" s="42"/>
      <c r="AB761" s="42"/>
      <c r="AE761" s="42"/>
      <c r="AF761" s="42"/>
      <c r="AG761" s="42"/>
      <c r="AH761" s="42"/>
      <c r="AI761" s="42"/>
      <c r="AJ761" s="42"/>
      <c r="AK761" s="42"/>
    </row>
    <row r="762" spans="2:37" x14ac:dyDescent="0.25">
      <c r="D762" t="s">
        <v>273</v>
      </c>
      <c r="H762" t="s">
        <v>381</v>
      </c>
      <c r="I762" s="39"/>
      <c r="J762" s="78"/>
      <c r="K762" s="78"/>
      <c r="L762" s="78"/>
      <c r="M762" s="78"/>
      <c r="N762" s="78"/>
      <c r="O762" s="39"/>
      <c r="P762" s="39"/>
      <c r="Q762" s="39">
        <v>132509</v>
      </c>
      <c r="R762" s="39">
        <v>139972</v>
      </c>
      <c r="S762" s="39">
        <v>132648</v>
      </c>
      <c r="T762" s="39">
        <v>127510</v>
      </c>
      <c r="U762" s="39">
        <v>125416</v>
      </c>
      <c r="V762" s="39">
        <v>122845</v>
      </c>
      <c r="W762" s="39">
        <v>133610</v>
      </c>
      <c r="X762" s="39">
        <v>139822</v>
      </c>
      <c r="Y762" s="39">
        <v>160020</v>
      </c>
      <c r="Z762" s="39">
        <v>172024</v>
      </c>
      <c r="AA762" s="39">
        <v>167596</v>
      </c>
      <c r="AB762" s="39">
        <v>189363</v>
      </c>
      <c r="AE762" s="39"/>
      <c r="AF762" s="39"/>
      <c r="AG762" s="154"/>
      <c r="AH762" s="39"/>
      <c r="AI762" s="39"/>
      <c r="AJ762" s="39"/>
      <c r="AK762" s="39"/>
    </row>
    <row r="763" spans="2:37" x14ac:dyDescent="0.25">
      <c r="E763" t="s">
        <v>291</v>
      </c>
      <c r="H763" t="s">
        <v>381</v>
      </c>
      <c r="I763" s="39"/>
      <c r="J763" s="78"/>
      <c r="K763" s="78"/>
      <c r="L763" s="78"/>
      <c r="M763" s="78"/>
      <c r="N763" s="78"/>
      <c r="O763" s="39"/>
      <c r="P763" s="39"/>
      <c r="Q763" s="39">
        <v>75907</v>
      </c>
      <c r="R763" s="39">
        <v>87532</v>
      </c>
      <c r="S763" s="39">
        <v>106425</v>
      </c>
      <c r="T763" s="39">
        <v>133365</v>
      </c>
      <c r="U763" s="39">
        <v>117723</v>
      </c>
      <c r="V763" s="39">
        <v>122923</v>
      </c>
      <c r="W763" s="39">
        <v>119264</v>
      </c>
      <c r="X763" s="39">
        <v>103214</v>
      </c>
      <c r="Y763" s="39">
        <v>68446</v>
      </c>
      <c r="Z763" s="39">
        <v>117113</v>
      </c>
      <c r="AA763" s="39">
        <v>109975</v>
      </c>
      <c r="AB763" s="39">
        <v>119455</v>
      </c>
      <c r="AE763" s="39"/>
      <c r="AF763" s="39"/>
      <c r="AG763" s="154"/>
      <c r="AH763" s="39"/>
      <c r="AI763" s="39"/>
      <c r="AJ763" s="39"/>
      <c r="AK763" s="39"/>
    </row>
    <row r="764" spans="2:37" x14ac:dyDescent="0.25">
      <c r="E764" t="s">
        <v>292</v>
      </c>
      <c r="H764" t="s">
        <v>381</v>
      </c>
      <c r="I764" s="39"/>
      <c r="J764" s="78"/>
      <c r="K764" s="78"/>
      <c r="L764" s="78"/>
      <c r="M764" s="78"/>
      <c r="N764" s="78"/>
      <c r="O764" s="39"/>
      <c r="P764" s="39"/>
      <c r="Q764" s="39">
        <v>133417</v>
      </c>
      <c r="R764" s="39">
        <v>140526</v>
      </c>
      <c r="S764" s="39">
        <v>133158</v>
      </c>
      <c r="T764" s="39">
        <v>127386</v>
      </c>
      <c r="U764" s="39">
        <v>125607</v>
      </c>
      <c r="V764" s="39">
        <v>122843</v>
      </c>
      <c r="W764" s="39">
        <v>134083</v>
      </c>
      <c r="X764" s="39">
        <v>141588</v>
      </c>
      <c r="Y764" s="39">
        <v>163261</v>
      </c>
      <c r="Z764" s="39">
        <v>174459</v>
      </c>
      <c r="AA764" s="39">
        <v>169689</v>
      </c>
      <c r="AB764" s="39">
        <v>191827</v>
      </c>
      <c r="AE764" s="39"/>
      <c r="AF764" s="39"/>
      <c r="AG764" s="154"/>
      <c r="AH764" s="39"/>
      <c r="AI764" s="39"/>
      <c r="AJ764" s="39"/>
      <c r="AK764" s="39"/>
    </row>
    <row r="765" spans="2:37" x14ac:dyDescent="0.25">
      <c r="F765" t="s">
        <v>293</v>
      </c>
      <c r="H765" t="s">
        <v>381</v>
      </c>
      <c r="I765" s="39"/>
      <c r="J765" s="78"/>
      <c r="K765" s="78"/>
      <c r="L765" s="78"/>
      <c r="M765" s="78"/>
      <c r="N765" s="78"/>
      <c r="O765" s="39"/>
      <c r="P765" s="39"/>
      <c r="Q765" s="39">
        <v>77854</v>
      </c>
      <c r="R765" s="39">
        <v>77402</v>
      </c>
      <c r="S765" s="39">
        <v>81055</v>
      </c>
      <c r="T765" s="39">
        <v>84628</v>
      </c>
      <c r="U765" s="39">
        <v>89652</v>
      </c>
      <c r="V765" s="39">
        <v>97482</v>
      </c>
      <c r="W765" s="39">
        <v>107075</v>
      </c>
      <c r="X765" s="39">
        <v>111745</v>
      </c>
      <c r="Y765" s="39">
        <v>119655</v>
      </c>
      <c r="Z765" s="39">
        <v>134384</v>
      </c>
      <c r="AA765" s="39">
        <v>124711</v>
      </c>
      <c r="AB765" s="39">
        <v>137963</v>
      </c>
      <c r="AE765" s="39"/>
      <c r="AF765" s="39"/>
      <c r="AG765" s="154"/>
      <c r="AH765" s="39"/>
      <c r="AI765" s="39"/>
      <c r="AJ765" s="39"/>
      <c r="AK765" s="39"/>
    </row>
    <row r="766" spans="2:37" s="8" customFormat="1" x14ac:dyDescent="0.25">
      <c r="B766" s="9"/>
      <c r="C766" s="8" t="s">
        <v>387</v>
      </c>
      <c r="I766" s="42"/>
      <c r="J766" s="77"/>
      <c r="K766" s="77"/>
      <c r="L766" s="77"/>
      <c r="M766" s="77"/>
      <c r="N766" s="77"/>
      <c r="O766" s="42"/>
      <c r="P766" s="42"/>
      <c r="Q766" s="42"/>
      <c r="R766" s="42"/>
      <c r="S766" s="42"/>
      <c r="T766" s="42"/>
      <c r="U766" s="42"/>
      <c r="V766" s="42"/>
      <c r="W766" s="42"/>
      <c r="X766" s="42"/>
      <c r="Y766" s="42"/>
      <c r="Z766" s="42"/>
      <c r="AA766" s="42"/>
      <c r="AB766" s="42"/>
      <c r="AE766" s="42"/>
      <c r="AF766" s="42"/>
      <c r="AG766" s="42"/>
      <c r="AH766" s="42"/>
      <c r="AI766" s="42"/>
      <c r="AJ766" s="42"/>
      <c r="AK766" s="42"/>
    </row>
    <row r="767" spans="2:37" x14ac:dyDescent="0.25">
      <c r="D767" t="s">
        <v>273</v>
      </c>
      <c r="H767" t="s">
        <v>381</v>
      </c>
      <c r="I767" s="39"/>
      <c r="J767" s="78"/>
      <c r="K767" s="78"/>
      <c r="L767" s="78"/>
      <c r="M767" s="78"/>
      <c r="N767" s="78"/>
      <c r="O767" s="39"/>
      <c r="P767" s="39"/>
      <c r="Q767" s="39">
        <v>42224</v>
      </c>
      <c r="R767" s="39">
        <v>43877</v>
      </c>
      <c r="S767" s="39">
        <v>41755</v>
      </c>
      <c r="T767" s="39">
        <v>43444</v>
      </c>
      <c r="U767" s="39">
        <v>43628</v>
      </c>
      <c r="V767" s="39">
        <v>44231</v>
      </c>
      <c r="W767" s="39">
        <v>46499</v>
      </c>
      <c r="X767" s="39">
        <v>49200</v>
      </c>
      <c r="Y767" s="39">
        <v>53703</v>
      </c>
      <c r="Z767" s="39">
        <v>54051</v>
      </c>
      <c r="AA767" s="39">
        <v>60331</v>
      </c>
      <c r="AB767" s="39">
        <v>66296</v>
      </c>
      <c r="AE767" s="39"/>
      <c r="AF767" s="39"/>
      <c r="AG767" s="154"/>
      <c r="AH767" s="39"/>
      <c r="AI767" s="39"/>
      <c r="AJ767" s="39"/>
      <c r="AK767" s="39"/>
    </row>
    <row r="768" spans="2:37" x14ac:dyDescent="0.25">
      <c r="E768" t="s">
        <v>291</v>
      </c>
      <c r="H768" t="s">
        <v>381</v>
      </c>
      <c r="I768" s="39"/>
      <c r="J768" s="78"/>
      <c r="K768" s="78"/>
      <c r="L768" s="78"/>
      <c r="M768" s="78"/>
      <c r="N768" s="78"/>
      <c r="O768" s="39"/>
      <c r="P768" s="39"/>
      <c r="Q768" s="39">
        <v>17730</v>
      </c>
      <c r="R768" s="39">
        <v>28247</v>
      </c>
      <c r="S768" s="39">
        <v>31011</v>
      </c>
      <c r="T768" s="39">
        <v>40151</v>
      </c>
      <c r="U768" s="39">
        <v>37142</v>
      </c>
      <c r="V768" s="39">
        <v>40183</v>
      </c>
      <c r="W768" s="39">
        <v>38759</v>
      </c>
      <c r="X768" s="39">
        <v>37189</v>
      </c>
      <c r="Y768" s="39">
        <v>32462</v>
      </c>
      <c r="Z768" s="39">
        <v>40011</v>
      </c>
      <c r="AA768" s="39">
        <v>37212</v>
      </c>
      <c r="AB768" s="39">
        <v>54245</v>
      </c>
      <c r="AE768" s="39"/>
      <c r="AF768" s="39"/>
      <c r="AG768" s="154"/>
      <c r="AH768" s="39"/>
      <c r="AI768" s="39"/>
      <c r="AJ768" s="39"/>
      <c r="AK768" s="39"/>
    </row>
    <row r="769" spans="1:37" x14ac:dyDescent="0.25">
      <c r="E769" t="s">
        <v>292</v>
      </c>
      <c r="H769" t="s">
        <v>381</v>
      </c>
      <c r="I769" s="39"/>
      <c r="J769" s="78"/>
      <c r="K769" s="78"/>
      <c r="L769" s="78"/>
      <c r="M769" s="78"/>
      <c r="N769" s="78"/>
      <c r="O769" s="39"/>
      <c r="P769" s="39"/>
      <c r="Q769" s="39">
        <v>42891</v>
      </c>
      <c r="R769" s="39">
        <v>44083</v>
      </c>
      <c r="S769" s="39">
        <v>42176</v>
      </c>
      <c r="T769" s="39">
        <v>43805</v>
      </c>
      <c r="U769" s="39">
        <v>44127</v>
      </c>
      <c r="V769" s="39">
        <v>44774</v>
      </c>
      <c r="W769" s="39">
        <v>47307</v>
      </c>
      <c r="X769" s="39">
        <v>50243</v>
      </c>
      <c r="Y769" s="39">
        <v>55174</v>
      </c>
      <c r="Z769" s="39">
        <v>55373</v>
      </c>
      <c r="AA769" s="39">
        <v>61934</v>
      </c>
      <c r="AB769" s="39">
        <v>67652</v>
      </c>
      <c r="AE769" s="39"/>
      <c r="AF769" s="39"/>
      <c r="AG769" s="154"/>
      <c r="AH769" s="39"/>
      <c r="AI769" s="39"/>
      <c r="AJ769" s="39"/>
      <c r="AK769" s="39"/>
    </row>
    <row r="770" spans="1:37" x14ac:dyDescent="0.25">
      <c r="F770" t="s">
        <v>293</v>
      </c>
      <c r="H770" t="s">
        <v>381</v>
      </c>
      <c r="I770" s="39"/>
      <c r="J770" s="78"/>
      <c r="K770" s="78"/>
      <c r="L770" s="78"/>
      <c r="M770" s="78"/>
      <c r="N770" s="78"/>
      <c r="O770" s="39"/>
      <c r="P770" s="39"/>
      <c r="Q770" s="39">
        <v>27066</v>
      </c>
      <c r="R770" s="39">
        <v>29223</v>
      </c>
      <c r="S770" s="39">
        <v>28692</v>
      </c>
      <c r="T770" s="39">
        <v>32924</v>
      </c>
      <c r="U770" s="39">
        <v>33499</v>
      </c>
      <c r="V770" s="39">
        <v>34455</v>
      </c>
      <c r="W770" s="39">
        <v>39330</v>
      </c>
      <c r="X770" s="39">
        <v>39350</v>
      </c>
      <c r="Y770" s="39">
        <v>39589</v>
      </c>
      <c r="Z770" s="39">
        <v>40192</v>
      </c>
      <c r="AA770" s="39">
        <v>42661</v>
      </c>
      <c r="AB770" s="39">
        <v>47848</v>
      </c>
      <c r="AE770" s="39"/>
      <c r="AF770" s="39"/>
      <c r="AG770" s="154"/>
      <c r="AH770" s="39"/>
      <c r="AI770" s="39"/>
      <c r="AJ770" s="39"/>
      <c r="AK770" s="39"/>
    </row>
    <row r="771" spans="1:37" s="2" customFormat="1" x14ac:dyDescent="0.25">
      <c r="B771" s="3"/>
      <c r="J771" s="48"/>
      <c r="K771" s="48"/>
      <c r="L771" s="48"/>
      <c r="M771" s="48"/>
      <c r="N771" s="48"/>
    </row>
    <row r="772" spans="1:37" s="28" customFormat="1" ht="17.25" x14ac:dyDescent="0.3">
      <c r="A772" s="28" t="s">
        <v>388</v>
      </c>
    </row>
    <row r="773" spans="1:37" x14ac:dyDescent="0.25">
      <c r="B773" s="29" t="s">
        <v>3</v>
      </c>
      <c r="C773" t="s">
        <v>389</v>
      </c>
    </row>
    <row r="774" spans="1:37" x14ac:dyDescent="0.25">
      <c r="B774" s="29" t="s">
        <v>10</v>
      </c>
      <c r="C774" s="263" t="s">
        <v>375</v>
      </c>
    </row>
    <row r="775" spans="1:37" x14ac:dyDescent="0.25">
      <c r="C775" s="263" t="s">
        <v>390</v>
      </c>
    </row>
    <row r="776" spans="1:37" x14ac:dyDescent="0.25">
      <c r="B776" s="29" t="s">
        <v>14</v>
      </c>
      <c r="C776" t="s">
        <v>391</v>
      </c>
    </row>
    <row r="777" spans="1:37" x14ac:dyDescent="0.25">
      <c r="B777" s="29" t="s">
        <v>17</v>
      </c>
      <c r="C777" t="s">
        <v>392</v>
      </c>
    </row>
    <row r="778" spans="1:37" s="25" customFormat="1" ht="15.75" thickBot="1" x14ac:dyDescent="0.3">
      <c r="B778" s="30" t="s">
        <v>19</v>
      </c>
    </row>
    <row r="779" spans="1:37" s="8" customFormat="1" ht="15.75" thickTop="1" x14ac:dyDescent="0.25">
      <c r="B779" s="29" t="s">
        <v>21</v>
      </c>
      <c r="C779" s="4" t="s">
        <v>393</v>
      </c>
      <c r="H779" s="4" t="s">
        <v>381</v>
      </c>
      <c r="I779" s="103">
        <v>65400</v>
      </c>
      <c r="J779" s="103">
        <v>69900</v>
      </c>
      <c r="K779" s="103">
        <v>75300</v>
      </c>
      <c r="L779" s="103">
        <v>74500</v>
      </c>
      <c r="M779" s="103">
        <v>74500</v>
      </c>
      <c r="N779" s="103">
        <v>74500</v>
      </c>
      <c r="O779" s="103">
        <v>83300</v>
      </c>
      <c r="P779" s="103">
        <v>89500</v>
      </c>
      <c r="Q779" s="103">
        <v>89500</v>
      </c>
      <c r="R779" s="103">
        <v>94900</v>
      </c>
      <c r="S779" s="103">
        <v>96200</v>
      </c>
      <c r="T779" s="103">
        <v>96300</v>
      </c>
      <c r="U779" s="103">
        <v>96800</v>
      </c>
      <c r="V779" s="103">
        <v>90700</v>
      </c>
      <c r="W779" s="103">
        <v>85800</v>
      </c>
      <c r="X779" s="103">
        <v>91400</v>
      </c>
      <c r="Y779" s="103">
        <v>98500</v>
      </c>
      <c r="Z779" s="103">
        <v>102200</v>
      </c>
      <c r="AA779" s="103">
        <v>110700</v>
      </c>
      <c r="AB779" s="106">
        <v>115600</v>
      </c>
      <c r="AC779" s="104"/>
      <c r="AD779" s="104"/>
      <c r="AE779" s="104"/>
      <c r="AF779" s="104"/>
      <c r="AG779" s="104"/>
      <c r="AH779" s="104"/>
      <c r="AI779" s="104"/>
      <c r="AJ779" s="104"/>
      <c r="AK779" s="104"/>
    </row>
    <row r="780" spans="1:37" s="2" customFormat="1" x14ac:dyDescent="0.25">
      <c r="B780" s="3"/>
      <c r="J780" s="48"/>
      <c r="K780" s="48"/>
      <c r="L780" s="48"/>
      <c r="M780" s="48"/>
      <c r="N780" s="48"/>
    </row>
    <row r="781" spans="1:37" s="28" customFormat="1" ht="17.25" x14ac:dyDescent="0.3">
      <c r="A781" s="28" t="s">
        <v>394</v>
      </c>
    </row>
    <row r="782" spans="1:37" x14ac:dyDescent="0.25">
      <c r="B782" s="29" t="s">
        <v>3</v>
      </c>
      <c r="C782" t="s">
        <v>395</v>
      </c>
    </row>
    <row r="783" spans="1:37" x14ac:dyDescent="0.25">
      <c r="B783" s="29" t="s">
        <v>10</v>
      </c>
      <c r="C783" t="s">
        <v>2219</v>
      </c>
    </row>
    <row r="784" spans="1:37" x14ac:dyDescent="0.25">
      <c r="B784" s="29" t="s">
        <v>14</v>
      </c>
      <c r="C784" t="s">
        <v>397</v>
      </c>
    </row>
    <row r="785" spans="1:37" x14ac:dyDescent="0.25">
      <c r="B785" s="29" t="s">
        <v>17</v>
      </c>
      <c r="C785" t="s">
        <v>392</v>
      </c>
    </row>
    <row r="786" spans="1:37" s="25" customFormat="1" ht="15.75" thickBot="1" x14ac:dyDescent="0.3">
      <c r="B786" s="30" t="s">
        <v>19</v>
      </c>
      <c r="C786" s="25" t="s">
        <v>2220</v>
      </c>
    </row>
    <row r="787" spans="1:37" s="8" customFormat="1" ht="15.75" thickTop="1" x14ac:dyDescent="0.25">
      <c r="B787" s="29" t="s">
        <v>21</v>
      </c>
      <c r="C787" s="8" t="s">
        <v>398</v>
      </c>
      <c r="I787" s="103"/>
      <c r="J787" s="103"/>
      <c r="K787" s="103"/>
      <c r="L787" s="103"/>
      <c r="M787" s="103"/>
      <c r="N787" s="103"/>
      <c r="O787" s="103"/>
      <c r="P787" s="103"/>
      <c r="Q787" s="103"/>
      <c r="R787" s="103"/>
      <c r="S787" s="103"/>
      <c r="T787" s="103"/>
      <c r="U787" s="103"/>
      <c r="V787" s="103"/>
      <c r="W787" s="103"/>
      <c r="X787" s="103"/>
      <c r="Y787" s="103"/>
      <c r="Z787" s="103"/>
      <c r="AA787" s="103"/>
      <c r="AB787" s="104"/>
      <c r="AC787" s="104"/>
      <c r="AD787" s="104"/>
      <c r="AE787" s="104"/>
      <c r="AF787" s="104"/>
      <c r="AG787" s="104"/>
      <c r="AH787" s="104"/>
      <c r="AI787" s="104"/>
      <c r="AJ787" s="104"/>
      <c r="AK787" s="104"/>
    </row>
    <row r="788" spans="1:37" s="8" customFormat="1" x14ac:dyDescent="0.25">
      <c r="B788" s="29"/>
      <c r="D788" s="4" t="s">
        <v>399</v>
      </c>
      <c r="H788" s="4" t="s">
        <v>400</v>
      </c>
      <c r="I788" s="105">
        <v>407</v>
      </c>
      <c r="J788" s="105">
        <v>420</v>
      </c>
      <c r="K788" s="105">
        <v>425</v>
      </c>
      <c r="L788" s="105">
        <v>652</v>
      </c>
      <c r="M788" s="105">
        <v>674</v>
      </c>
      <c r="N788" s="105">
        <v>697</v>
      </c>
      <c r="O788" s="105">
        <v>764</v>
      </c>
      <c r="P788" s="105">
        <v>824</v>
      </c>
      <c r="Q788" s="105">
        <v>887</v>
      </c>
      <c r="R788" s="105">
        <v>863</v>
      </c>
      <c r="S788" s="105">
        <v>622</v>
      </c>
      <c r="T788" s="105">
        <v>776</v>
      </c>
      <c r="U788" s="105">
        <v>691</v>
      </c>
      <c r="V788" s="105">
        <v>774</v>
      </c>
      <c r="W788" s="105">
        <v>962</v>
      </c>
      <c r="X788" s="105">
        <v>758</v>
      </c>
      <c r="Y788" s="105">
        <v>846</v>
      </c>
      <c r="Z788" s="105">
        <v>874</v>
      </c>
      <c r="AA788" s="105">
        <v>942</v>
      </c>
      <c r="AB788" s="107">
        <v>1078</v>
      </c>
      <c r="AC788" s="107">
        <v>1151</v>
      </c>
      <c r="AD788" s="194"/>
      <c r="AE788" s="194"/>
      <c r="AF788" s="194"/>
      <c r="AG788" s="194"/>
      <c r="AH788" s="194"/>
      <c r="AI788" s="194"/>
      <c r="AJ788" s="194"/>
      <c r="AK788" s="194"/>
    </row>
    <row r="789" spans="1:37" s="8" customFormat="1" x14ac:dyDescent="0.25">
      <c r="B789" s="29"/>
      <c r="D789" s="4" t="s">
        <v>401</v>
      </c>
      <c r="H789" s="4" t="s">
        <v>400</v>
      </c>
      <c r="I789" s="105">
        <v>519</v>
      </c>
      <c r="J789" s="105">
        <v>535</v>
      </c>
      <c r="K789" s="105">
        <v>541</v>
      </c>
      <c r="L789" s="105">
        <v>727</v>
      </c>
      <c r="M789" s="105">
        <v>751</v>
      </c>
      <c r="N789" s="105">
        <v>778</v>
      </c>
      <c r="O789" s="105">
        <v>852</v>
      </c>
      <c r="P789" s="105">
        <v>918</v>
      </c>
      <c r="Q789" s="105">
        <v>989</v>
      </c>
      <c r="R789" s="105">
        <v>962</v>
      </c>
      <c r="S789" s="105">
        <v>964</v>
      </c>
      <c r="T789" s="105">
        <v>922</v>
      </c>
      <c r="U789" s="105">
        <v>822</v>
      </c>
      <c r="V789" s="105">
        <v>921</v>
      </c>
      <c r="W789" s="105">
        <v>974</v>
      </c>
      <c r="X789" s="105">
        <v>938</v>
      </c>
      <c r="Y789" s="105">
        <v>1038</v>
      </c>
      <c r="Z789" s="105">
        <v>1056</v>
      </c>
      <c r="AA789" s="105">
        <v>1108</v>
      </c>
      <c r="AB789" s="107">
        <v>1162</v>
      </c>
      <c r="AC789" s="107">
        <v>1158</v>
      </c>
      <c r="AD789" s="194"/>
      <c r="AE789" s="194"/>
      <c r="AF789" s="194"/>
      <c r="AG789" s="194"/>
      <c r="AH789" s="194"/>
      <c r="AI789" s="194"/>
      <c r="AJ789" s="194"/>
      <c r="AK789" s="194"/>
    </row>
    <row r="790" spans="1:37" s="8" customFormat="1" x14ac:dyDescent="0.25">
      <c r="B790" s="29"/>
      <c r="D790" s="4" t="s">
        <v>402</v>
      </c>
      <c r="H790" s="4" t="s">
        <v>400</v>
      </c>
      <c r="I790" s="105">
        <v>690</v>
      </c>
      <c r="J790" s="105">
        <v>711</v>
      </c>
      <c r="K790" s="105">
        <v>719</v>
      </c>
      <c r="L790" s="105">
        <v>915</v>
      </c>
      <c r="M790" s="105">
        <v>945</v>
      </c>
      <c r="N790" s="105">
        <v>978</v>
      </c>
      <c r="O790" s="105">
        <v>1072</v>
      </c>
      <c r="P790" s="105">
        <v>1155</v>
      </c>
      <c r="Q790" s="105">
        <v>1244</v>
      </c>
      <c r="R790" s="105">
        <v>1210</v>
      </c>
      <c r="S790" s="105">
        <v>873</v>
      </c>
      <c r="T790" s="105">
        <v>1114</v>
      </c>
      <c r="U790" s="105">
        <v>993</v>
      </c>
      <c r="V790" s="105">
        <v>1112</v>
      </c>
      <c r="W790" s="105">
        <v>1169</v>
      </c>
      <c r="X790" s="105">
        <v>1098</v>
      </c>
      <c r="Y790" s="105">
        <v>1192</v>
      </c>
      <c r="Z790" s="105">
        <v>1209</v>
      </c>
      <c r="AA790" s="105">
        <v>1261</v>
      </c>
      <c r="AB790" s="107">
        <v>1325</v>
      </c>
      <c r="AC790" s="107">
        <v>1408</v>
      </c>
      <c r="AD790" s="194"/>
      <c r="AE790" s="194"/>
      <c r="AF790" s="194"/>
      <c r="AG790" s="194"/>
      <c r="AH790" s="194"/>
      <c r="AI790" s="194"/>
      <c r="AJ790" s="194"/>
      <c r="AK790" s="194"/>
    </row>
    <row r="791" spans="1:37" s="8" customFormat="1" x14ac:dyDescent="0.25">
      <c r="B791" s="29"/>
      <c r="D791" s="4" t="s">
        <v>403</v>
      </c>
      <c r="H791" s="4" t="s">
        <v>400</v>
      </c>
      <c r="I791" s="105">
        <v>927</v>
      </c>
      <c r="J791" s="105">
        <v>957</v>
      </c>
      <c r="K791" s="105">
        <v>968</v>
      </c>
      <c r="L791" s="105">
        <v>1206</v>
      </c>
      <c r="M791" s="105">
        <v>1246</v>
      </c>
      <c r="N791" s="105">
        <v>1289</v>
      </c>
      <c r="O791" s="105">
        <v>1413</v>
      </c>
      <c r="P791" s="105">
        <v>1522</v>
      </c>
      <c r="Q791" s="105">
        <v>1640</v>
      </c>
      <c r="R791" s="105">
        <v>1595</v>
      </c>
      <c r="S791" s="105">
        <v>1151</v>
      </c>
      <c r="T791" s="105">
        <v>1642</v>
      </c>
      <c r="U791" s="105">
        <v>1463</v>
      </c>
      <c r="V791" s="105">
        <v>1639</v>
      </c>
      <c r="W791" s="105">
        <v>1682</v>
      </c>
      <c r="X791" s="105">
        <v>1485</v>
      </c>
      <c r="Y791" s="105">
        <v>1610</v>
      </c>
      <c r="Z791" s="105">
        <v>1699</v>
      </c>
      <c r="AA791" s="105">
        <v>1791</v>
      </c>
      <c r="AB791" s="107">
        <v>1896</v>
      </c>
      <c r="AC791" s="107">
        <v>1988</v>
      </c>
      <c r="AD791" s="194"/>
      <c r="AE791" s="194"/>
      <c r="AF791" s="194"/>
      <c r="AG791" s="194"/>
      <c r="AH791" s="194"/>
      <c r="AI791" s="194"/>
      <c r="AJ791" s="194"/>
      <c r="AK791" s="194"/>
    </row>
    <row r="792" spans="1:37" s="8" customFormat="1" x14ac:dyDescent="0.25">
      <c r="B792" s="29"/>
      <c r="D792" s="4" t="s">
        <v>404</v>
      </c>
      <c r="H792" s="4" t="s">
        <v>400</v>
      </c>
      <c r="I792" s="105">
        <v>1011</v>
      </c>
      <c r="J792" s="105">
        <v>1043</v>
      </c>
      <c r="K792" s="105">
        <v>1055</v>
      </c>
      <c r="L792" s="105">
        <v>1242</v>
      </c>
      <c r="M792" s="105">
        <v>1282</v>
      </c>
      <c r="N792" s="105">
        <v>1327</v>
      </c>
      <c r="O792" s="105">
        <v>1455</v>
      </c>
      <c r="P792" s="105">
        <v>1567</v>
      </c>
      <c r="Q792" s="105">
        <v>1688</v>
      </c>
      <c r="R792" s="105">
        <v>1642</v>
      </c>
      <c r="S792" s="105">
        <v>1185</v>
      </c>
      <c r="T792" s="105">
        <v>1699</v>
      </c>
      <c r="U792" s="105">
        <v>1514</v>
      </c>
      <c r="V792" s="105">
        <v>1696</v>
      </c>
      <c r="W792" s="105">
        <v>1750</v>
      </c>
      <c r="X792" s="105">
        <v>1935</v>
      </c>
      <c r="Y792" s="105">
        <v>2099</v>
      </c>
      <c r="Z792" s="105">
        <v>2124</v>
      </c>
      <c r="AA792" s="105">
        <v>2214</v>
      </c>
      <c r="AB792" s="107">
        <v>2294</v>
      </c>
      <c r="AC792" s="107">
        <v>2410</v>
      </c>
      <c r="AD792" s="194"/>
      <c r="AE792" s="194"/>
      <c r="AF792" s="194"/>
      <c r="AG792" s="194"/>
      <c r="AH792" s="194"/>
      <c r="AI792" s="194"/>
      <c r="AJ792" s="194"/>
      <c r="AK792" s="194"/>
    </row>
    <row r="793" spans="1:37" s="2" customFormat="1" x14ac:dyDescent="0.25">
      <c r="B793" s="3"/>
      <c r="J793" s="48"/>
      <c r="K793" s="48"/>
      <c r="L793" s="48"/>
      <c r="M793" s="48"/>
      <c r="N793" s="48"/>
      <c r="Y793" s="2">
        <v>758</v>
      </c>
    </row>
    <row r="794" spans="1:37" s="28" customFormat="1" ht="17.25" x14ac:dyDescent="0.3">
      <c r="A794" s="28" t="s">
        <v>2120</v>
      </c>
    </row>
    <row r="795" spans="1:37" x14ac:dyDescent="0.25">
      <c r="B795" s="29" t="s">
        <v>3</v>
      </c>
      <c r="C795" t="s">
        <v>2121</v>
      </c>
    </row>
    <row r="796" spans="1:37" x14ac:dyDescent="0.25">
      <c r="B796" s="29" t="s">
        <v>10</v>
      </c>
      <c r="C796" s="263" t="s">
        <v>396</v>
      </c>
      <c r="AB796" s="236"/>
    </row>
    <row r="797" spans="1:37" x14ac:dyDescent="0.25">
      <c r="B797" s="29" t="s">
        <v>14</v>
      </c>
      <c r="C797" t="s">
        <v>2126</v>
      </c>
      <c r="AB797" s="236"/>
    </row>
    <row r="798" spans="1:37" x14ac:dyDescent="0.25">
      <c r="B798" s="29" t="s">
        <v>17</v>
      </c>
      <c r="C798" t="s">
        <v>2127</v>
      </c>
      <c r="AB798" s="236"/>
    </row>
    <row r="799" spans="1:37" s="25" customFormat="1" ht="15.75" thickBot="1" x14ac:dyDescent="0.3">
      <c r="B799" s="30" t="s">
        <v>19</v>
      </c>
      <c r="C799" s="25" t="s">
        <v>2218</v>
      </c>
      <c r="S799" s="224"/>
      <c r="T799" s="224"/>
      <c r="U799" s="224"/>
      <c r="V799" s="224"/>
      <c r="W799" s="224"/>
      <c r="X799" s="224"/>
      <c r="Y799" s="224"/>
      <c r="Z799" s="224"/>
      <c r="AA799" s="224"/>
      <c r="AB799" s="230"/>
    </row>
    <row r="800" spans="1:37" s="4" customFormat="1" ht="15.75" thickTop="1" x14ac:dyDescent="0.25">
      <c r="B800" s="44" t="s">
        <v>21</v>
      </c>
      <c r="I800" s="103"/>
      <c r="J800" s="103"/>
      <c r="K800" s="103"/>
      <c r="L800" s="103"/>
      <c r="M800" s="103"/>
      <c r="N800" s="103"/>
      <c r="O800" s="103"/>
      <c r="P800" s="103"/>
      <c r="Q800" s="103"/>
      <c r="R800" s="103"/>
      <c r="S800" s="103"/>
      <c r="T800" s="103"/>
      <c r="U800" s="103"/>
      <c r="V800" s="103"/>
      <c r="W800" s="103"/>
      <c r="X800" s="103"/>
      <c r="Y800" s="103"/>
      <c r="AC800" s="106"/>
      <c r="AD800" s="106"/>
      <c r="AE800" s="106"/>
      <c r="AF800" s="106"/>
      <c r="AG800" s="106"/>
      <c r="AH800" s="106"/>
      <c r="AI800" s="106"/>
      <c r="AJ800" s="106"/>
      <c r="AK800" s="106"/>
    </row>
    <row r="801" spans="2:37" s="4" customFormat="1" x14ac:dyDescent="0.25">
      <c r="B801" s="44"/>
      <c r="C801" s="4" t="s">
        <v>2263</v>
      </c>
      <c r="I801" s="105"/>
      <c r="J801" s="105"/>
      <c r="K801" s="105"/>
      <c r="L801" s="105"/>
      <c r="M801" s="105"/>
      <c r="N801" s="105"/>
      <c r="O801" s="105"/>
      <c r="P801" s="105"/>
      <c r="Q801" s="105"/>
      <c r="R801" s="105"/>
      <c r="S801" s="105"/>
      <c r="T801" s="105"/>
      <c r="U801" s="105"/>
      <c r="V801" s="105"/>
      <c r="W801" s="105"/>
      <c r="X801" s="105"/>
      <c r="Y801" s="105"/>
      <c r="AC801" s="107"/>
      <c r="AD801" s="107"/>
      <c r="AE801" s="107"/>
      <c r="AF801" s="107"/>
      <c r="AG801" s="107"/>
      <c r="AH801" s="107"/>
      <c r="AI801" s="107"/>
      <c r="AJ801" s="107"/>
      <c r="AK801" s="107"/>
    </row>
    <row r="802" spans="2:37" s="4" customFormat="1" x14ac:dyDescent="0.25">
      <c r="B802" s="44"/>
      <c r="D802" s="4" t="s">
        <v>2122</v>
      </c>
      <c r="I802" s="105"/>
      <c r="J802" s="105"/>
      <c r="K802" s="105"/>
      <c r="L802" s="105"/>
      <c r="M802" s="105"/>
      <c r="N802" s="105"/>
      <c r="O802" s="105"/>
      <c r="P802" s="105"/>
      <c r="Q802" s="105"/>
      <c r="R802" s="105"/>
      <c r="S802" s="105"/>
      <c r="T802" s="105"/>
      <c r="U802" s="105"/>
      <c r="V802" s="105"/>
      <c r="W802" s="105"/>
      <c r="X802" s="105"/>
      <c r="Y802" s="105"/>
      <c r="AC802" s="107"/>
      <c r="AD802" s="107"/>
      <c r="AE802" s="107"/>
      <c r="AF802" s="107"/>
      <c r="AG802" s="107"/>
      <c r="AH802" s="107"/>
      <c r="AI802" s="107"/>
      <c r="AJ802" s="107"/>
      <c r="AK802" s="107"/>
    </row>
    <row r="803" spans="2:37" s="4" customFormat="1" x14ac:dyDescent="0.25">
      <c r="B803" s="44"/>
      <c r="D803" s="4" t="s">
        <v>2123</v>
      </c>
      <c r="I803" s="105"/>
      <c r="J803" s="105"/>
      <c r="K803" s="105"/>
      <c r="L803" s="105"/>
      <c r="M803" s="105"/>
      <c r="N803" s="105"/>
      <c r="O803" s="105"/>
      <c r="P803" s="105"/>
      <c r="Q803" s="105"/>
      <c r="R803" s="105"/>
      <c r="S803" s="105"/>
      <c r="T803" s="105"/>
      <c r="U803" s="105"/>
      <c r="V803" s="105"/>
      <c r="W803" s="105"/>
      <c r="X803" s="105"/>
      <c r="Y803" s="105"/>
      <c r="AC803" s="107"/>
      <c r="AD803" s="107"/>
      <c r="AE803" s="107"/>
      <c r="AF803" s="107"/>
      <c r="AG803" s="107"/>
      <c r="AH803" s="107"/>
      <c r="AI803" s="107"/>
      <c r="AJ803" s="107"/>
      <c r="AK803" s="107"/>
    </row>
    <row r="804" spans="2:37" s="4" customFormat="1" x14ac:dyDescent="0.25">
      <c r="B804" s="44"/>
      <c r="D804" s="4" t="s">
        <v>2124</v>
      </c>
      <c r="I804" s="105"/>
      <c r="J804" s="105"/>
      <c r="K804" s="105"/>
      <c r="L804" s="105"/>
      <c r="M804" s="105"/>
      <c r="N804" s="105"/>
      <c r="O804" s="105"/>
      <c r="P804" s="105"/>
      <c r="Q804" s="105"/>
      <c r="R804" s="105"/>
      <c r="S804" s="105"/>
      <c r="T804" s="105"/>
      <c r="U804" s="105"/>
      <c r="V804" s="105"/>
      <c r="W804" s="105"/>
      <c r="X804" s="105"/>
      <c r="Y804" s="105"/>
      <c r="AC804" s="107"/>
      <c r="AD804" s="107"/>
      <c r="AE804" s="107"/>
      <c r="AF804" s="107"/>
      <c r="AG804" s="107"/>
      <c r="AH804" s="107"/>
      <c r="AI804" s="107"/>
      <c r="AJ804" s="107"/>
      <c r="AK804" s="107"/>
    </row>
    <row r="805" spans="2:37" s="4" customFormat="1" x14ac:dyDescent="0.25">
      <c r="B805" s="44"/>
      <c r="D805" s="4" t="s">
        <v>2125</v>
      </c>
      <c r="I805" s="105"/>
      <c r="J805" s="105"/>
      <c r="K805" s="105"/>
      <c r="L805" s="105"/>
      <c r="M805" s="105"/>
      <c r="N805" s="105"/>
      <c r="O805" s="105"/>
      <c r="P805" s="105"/>
      <c r="Q805" s="105"/>
      <c r="R805" s="105"/>
      <c r="S805" s="105"/>
      <c r="T805" s="105"/>
      <c r="U805" s="105"/>
      <c r="V805" s="105"/>
      <c r="W805" s="105"/>
      <c r="X805" s="105"/>
      <c r="Y805" s="105"/>
      <c r="AC805" s="107"/>
      <c r="AD805" s="107"/>
      <c r="AE805" s="107"/>
      <c r="AF805" s="107"/>
      <c r="AG805" s="107"/>
      <c r="AH805" s="107"/>
      <c r="AI805" s="107"/>
      <c r="AJ805" s="107"/>
      <c r="AK805" s="107"/>
    </row>
    <row r="806" spans="2:37" s="4" customFormat="1" x14ac:dyDescent="0.25">
      <c r="B806" s="44"/>
      <c r="C806" s="4" t="s">
        <v>2217</v>
      </c>
      <c r="I806" s="105"/>
      <c r="J806" s="105"/>
      <c r="K806" s="105"/>
      <c r="L806" s="105"/>
      <c r="M806" s="105"/>
      <c r="N806" s="105"/>
      <c r="O806" s="105"/>
      <c r="P806" s="105"/>
      <c r="Q806" s="105"/>
      <c r="R806" s="105"/>
      <c r="S806" s="105"/>
      <c r="T806" s="105"/>
      <c r="U806" s="105"/>
      <c r="V806" s="105"/>
      <c r="W806" s="105"/>
      <c r="X806" s="105"/>
      <c r="Y806" s="105"/>
      <c r="AC806" s="107"/>
      <c r="AD806" s="107"/>
      <c r="AE806" s="107"/>
      <c r="AF806" s="107"/>
      <c r="AG806" s="107"/>
      <c r="AH806" s="107"/>
      <c r="AI806" s="107"/>
      <c r="AJ806" s="107"/>
      <c r="AK806" s="107"/>
    </row>
    <row r="807" spans="2:37" s="4" customFormat="1" x14ac:dyDescent="0.25">
      <c r="B807" s="44"/>
      <c r="D807" s="4" t="s">
        <v>2122</v>
      </c>
      <c r="H807" s="4" t="s">
        <v>400</v>
      </c>
      <c r="I807" s="105"/>
      <c r="J807" s="105"/>
      <c r="K807" s="105"/>
      <c r="L807" s="105"/>
      <c r="M807" s="105"/>
      <c r="N807" s="105"/>
      <c r="O807" s="105">
        <v>850</v>
      </c>
      <c r="P807" s="105"/>
      <c r="Q807" s="105"/>
      <c r="R807" s="105"/>
      <c r="S807" s="105"/>
      <c r="T807" s="105"/>
      <c r="U807" s="105"/>
      <c r="V807" s="105"/>
      <c r="W807" s="105"/>
      <c r="X807" s="105"/>
      <c r="Y807" s="105"/>
      <c r="Z807" s="105">
        <v>1545</v>
      </c>
      <c r="AA807" s="107">
        <v>1695</v>
      </c>
      <c r="AB807" s="107">
        <v>1718.25</v>
      </c>
      <c r="AC807" s="107">
        <v>2639</v>
      </c>
      <c r="AD807" s="107"/>
      <c r="AE807" s="107"/>
      <c r="AF807" s="107"/>
      <c r="AG807" s="107"/>
      <c r="AH807" s="107"/>
      <c r="AI807" s="107"/>
      <c r="AJ807" s="107"/>
      <c r="AK807" s="107"/>
    </row>
    <row r="808" spans="2:37" s="4" customFormat="1" x14ac:dyDescent="0.25">
      <c r="B808" s="44"/>
      <c r="D808" s="4" t="s">
        <v>2123</v>
      </c>
      <c r="H808" s="4" t="s">
        <v>400</v>
      </c>
      <c r="I808" s="105"/>
      <c r="J808" s="105"/>
      <c r="K808" s="105"/>
      <c r="L808" s="105"/>
      <c r="M808" s="105"/>
      <c r="N808" s="105"/>
      <c r="O808" s="105">
        <v>1050</v>
      </c>
      <c r="P808" s="105"/>
      <c r="Q808" s="105"/>
      <c r="R808" s="105"/>
      <c r="S808" s="105"/>
      <c r="T808" s="105"/>
      <c r="U808" s="105"/>
      <c r="V808" s="105"/>
      <c r="W808" s="105"/>
      <c r="X808" s="105"/>
      <c r="Y808" s="105"/>
      <c r="Z808" s="105">
        <v>1828</v>
      </c>
      <c r="AA808" s="107">
        <v>2019</v>
      </c>
      <c r="AB808" s="107">
        <v>1995.08</v>
      </c>
      <c r="AC808" s="107">
        <v>2623.38</v>
      </c>
      <c r="AD808" s="107"/>
      <c r="AE808" s="107"/>
      <c r="AF808" s="107"/>
      <c r="AG808" s="107"/>
      <c r="AH808" s="107"/>
      <c r="AI808" s="107"/>
      <c r="AJ808" s="107"/>
      <c r="AK808" s="107"/>
    </row>
    <row r="809" spans="2:37" s="4" customFormat="1" x14ac:dyDescent="0.25">
      <c r="B809" s="44"/>
      <c r="D809" s="4" t="s">
        <v>2124</v>
      </c>
      <c r="H809" s="4" t="s">
        <v>400</v>
      </c>
      <c r="I809" s="105"/>
      <c r="J809" s="105"/>
      <c r="K809" s="105"/>
      <c r="L809" s="105"/>
      <c r="M809" s="105"/>
      <c r="N809" s="105"/>
      <c r="O809" s="105">
        <v>1375</v>
      </c>
      <c r="P809" s="105"/>
      <c r="Q809" s="105"/>
      <c r="R809" s="105"/>
      <c r="S809" s="105"/>
      <c r="T809" s="105"/>
      <c r="U809" s="105"/>
      <c r="V809" s="105"/>
      <c r="W809" s="105"/>
      <c r="X809" s="105"/>
      <c r="Y809" s="105"/>
      <c r="Z809" s="105">
        <v>2518</v>
      </c>
      <c r="AA809" s="107">
        <v>2595</v>
      </c>
      <c r="AB809" s="107">
        <v>2515.7399999999998</v>
      </c>
      <c r="AC809" s="255">
        <v>4172</v>
      </c>
      <c r="AD809" s="107"/>
      <c r="AE809" s="107"/>
      <c r="AF809" s="107"/>
      <c r="AG809" s="107"/>
      <c r="AH809" s="107"/>
      <c r="AI809" s="107"/>
      <c r="AJ809" s="107"/>
      <c r="AK809" s="107"/>
    </row>
    <row r="810" spans="2:37" s="4" customFormat="1" x14ac:dyDescent="0.25">
      <c r="B810" s="44"/>
      <c r="D810" s="4" t="s">
        <v>2125</v>
      </c>
      <c r="H810" s="4" t="s">
        <v>400</v>
      </c>
      <c r="I810" s="105"/>
      <c r="J810" s="105"/>
      <c r="K810" s="105"/>
      <c r="L810" s="105"/>
      <c r="M810" s="105"/>
      <c r="N810" s="105"/>
      <c r="O810" s="105">
        <v>1937</v>
      </c>
      <c r="P810" s="105"/>
      <c r="Q810" s="105"/>
      <c r="R810" s="105"/>
      <c r="S810" s="105"/>
      <c r="T810" s="105"/>
      <c r="U810" s="105"/>
      <c r="V810" s="105"/>
      <c r="W810" s="105"/>
      <c r="X810" s="105"/>
      <c r="Y810" s="105"/>
      <c r="Z810" s="105">
        <v>3302</v>
      </c>
      <c r="AA810" s="107">
        <v>3576</v>
      </c>
      <c r="AB810" s="107">
        <v>3602.76</v>
      </c>
      <c r="AC810" s="107">
        <v>3982</v>
      </c>
      <c r="AD810" s="107"/>
      <c r="AE810" s="107"/>
      <c r="AF810" s="107"/>
      <c r="AG810" s="107"/>
      <c r="AH810" s="107"/>
      <c r="AI810" s="107"/>
      <c r="AJ810" s="107"/>
      <c r="AK810" s="107"/>
    </row>
    <row r="811" spans="2:37" s="4" customFormat="1" x14ac:dyDescent="0.25">
      <c r="B811" s="44"/>
      <c r="C811" s="4" t="s">
        <v>2262</v>
      </c>
      <c r="I811" s="105"/>
      <c r="J811" s="105"/>
      <c r="K811" s="105"/>
      <c r="L811" s="105"/>
      <c r="M811" s="105"/>
      <c r="N811" s="105"/>
      <c r="O811" s="105"/>
      <c r="P811" s="105"/>
      <c r="Q811" s="105"/>
      <c r="R811" s="105"/>
      <c r="S811" s="105"/>
      <c r="T811" s="105"/>
      <c r="U811" s="105"/>
      <c r="V811" s="105"/>
      <c r="W811" s="105"/>
      <c r="X811" s="105"/>
      <c r="Y811" s="105"/>
      <c r="AC811" s="107"/>
      <c r="AD811" s="107"/>
      <c r="AE811" s="107"/>
      <c r="AF811" s="107"/>
      <c r="AG811" s="107"/>
      <c r="AH811" s="107"/>
      <c r="AI811" s="107"/>
      <c r="AJ811" s="107"/>
      <c r="AK811" s="107"/>
    </row>
    <row r="812" spans="2:37" s="4" customFormat="1" x14ac:dyDescent="0.25">
      <c r="B812" s="44"/>
      <c r="D812" s="4" t="s">
        <v>2122</v>
      </c>
      <c r="I812" s="105"/>
      <c r="J812" s="105"/>
      <c r="K812" s="105"/>
      <c r="L812" s="105"/>
      <c r="M812" s="105"/>
      <c r="N812" s="105"/>
      <c r="O812" s="105"/>
      <c r="P812" s="105"/>
      <c r="Q812" s="105"/>
      <c r="R812" s="105"/>
      <c r="S812" s="105"/>
      <c r="T812" s="105"/>
      <c r="U812" s="105"/>
      <c r="V812" s="105"/>
      <c r="W812" s="105"/>
      <c r="X812" s="105"/>
      <c r="Y812" s="105"/>
      <c r="AC812" s="107"/>
      <c r="AD812" s="107"/>
      <c r="AE812" s="107"/>
      <c r="AF812" s="107"/>
      <c r="AG812" s="107"/>
      <c r="AH812" s="107"/>
      <c r="AI812" s="107"/>
      <c r="AJ812" s="107"/>
      <c r="AK812" s="107"/>
    </row>
    <row r="813" spans="2:37" s="4" customFormat="1" x14ac:dyDescent="0.25">
      <c r="B813" s="44"/>
      <c r="D813" s="4" t="s">
        <v>2123</v>
      </c>
      <c r="I813" s="105"/>
      <c r="J813" s="105"/>
      <c r="K813" s="105"/>
      <c r="L813" s="105"/>
      <c r="M813" s="105"/>
      <c r="N813" s="105"/>
      <c r="O813" s="105"/>
      <c r="P813" s="105"/>
      <c r="Q813" s="105"/>
      <c r="R813" s="105"/>
      <c r="S813" s="105"/>
      <c r="T813" s="105"/>
      <c r="U813" s="105"/>
      <c r="V813" s="105"/>
      <c r="W813" s="105"/>
      <c r="X813" s="105"/>
      <c r="Y813" s="105"/>
      <c r="AC813" s="107"/>
      <c r="AD813" s="107"/>
      <c r="AE813" s="107"/>
      <c r="AF813" s="107"/>
      <c r="AG813" s="107"/>
      <c r="AH813" s="107"/>
      <c r="AI813" s="107"/>
      <c r="AJ813" s="107"/>
      <c r="AK813" s="107"/>
    </row>
    <row r="814" spans="2:37" s="4" customFormat="1" x14ac:dyDescent="0.25">
      <c r="B814" s="44"/>
      <c r="D814" s="4" t="s">
        <v>2124</v>
      </c>
      <c r="I814" s="105"/>
      <c r="J814" s="105"/>
      <c r="K814" s="105"/>
      <c r="L814" s="105"/>
      <c r="M814" s="105"/>
      <c r="N814" s="105"/>
      <c r="O814" s="105"/>
      <c r="P814" s="105"/>
      <c r="Q814" s="105"/>
      <c r="R814" s="105"/>
      <c r="S814" s="105"/>
      <c r="T814" s="105"/>
      <c r="U814" s="105"/>
      <c r="V814" s="105"/>
      <c r="W814" s="105"/>
      <c r="X814" s="105"/>
      <c r="Y814" s="105"/>
      <c r="AC814" s="107"/>
      <c r="AD814" s="107"/>
      <c r="AE814" s="107"/>
      <c r="AF814" s="107"/>
      <c r="AG814" s="107"/>
      <c r="AH814" s="107"/>
      <c r="AI814" s="107"/>
      <c r="AJ814" s="107"/>
      <c r="AK814" s="107"/>
    </row>
    <row r="815" spans="2:37" s="4" customFormat="1" x14ac:dyDescent="0.25">
      <c r="B815" s="44"/>
      <c r="D815" s="4" t="s">
        <v>2125</v>
      </c>
      <c r="I815" s="105"/>
      <c r="J815" s="105"/>
      <c r="K815" s="105"/>
      <c r="L815" s="105"/>
      <c r="M815" s="105"/>
      <c r="N815" s="105"/>
      <c r="O815" s="105"/>
      <c r="P815" s="105"/>
      <c r="Q815" s="105"/>
      <c r="R815" s="105"/>
      <c r="S815" s="105"/>
      <c r="T815" s="105"/>
      <c r="U815" s="105"/>
      <c r="V815" s="105"/>
      <c r="W815" s="105"/>
      <c r="X815" s="105"/>
      <c r="Y815" s="105"/>
      <c r="AC815" s="107"/>
      <c r="AD815" s="107"/>
      <c r="AE815" s="107"/>
      <c r="AF815" s="107"/>
      <c r="AG815" s="107"/>
      <c r="AH815" s="107"/>
      <c r="AI815" s="107"/>
      <c r="AJ815" s="107"/>
      <c r="AK815" s="107"/>
    </row>
    <row r="816" spans="2:37" s="4" customFormat="1" x14ac:dyDescent="0.25">
      <c r="B816" s="44"/>
      <c r="C816" s="4" t="s">
        <v>2221</v>
      </c>
      <c r="AD816" s="107"/>
      <c r="AE816" s="107"/>
      <c r="AF816" s="107"/>
      <c r="AG816" s="107"/>
      <c r="AH816" s="107"/>
      <c r="AI816" s="107"/>
      <c r="AJ816" s="107"/>
      <c r="AK816" s="107"/>
    </row>
    <row r="817" spans="1:37" s="4" customFormat="1" x14ac:dyDescent="0.25">
      <c r="B817" s="44"/>
      <c r="D817" s="4" t="s">
        <v>2122</v>
      </c>
      <c r="AD817" s="107"/>
      <c r="AE817" s="107"/>
      <c r="AF817" s="107"/>
      <c r="AG817" s="107"/>
      <c r="AH817" s="107"/>
      <c r="AI817" s="107"/>
      <c r="AJ817" s="107"/>
      <c r="AK817" s="107"/>
    </row>
    <row r="818" spans="1:37" s="4" customFormat="1" x14ac:dyDescent="0.25">
      <c r="B818" s="44"/>
      <c r="D818" s="4" t="s">
        <v>2123</v>
      </c>
      <c r="AD818" s="107"/>
      <c r="AE818" s="107"/>
      <c r="AF818" s="107"/>
      <c r="AG818" s="107"/>
      <c r="AH818" s="107"/>
      <c r="AI818" s="107"/>
      <c r="AJ818" s="107"/>
      <c r="AK818" s="107"/>
    </row>
    <row r="819" spans="1:37" s="4" customFormat="1" x14ac:dyDescent="0.25">
      <c r="B819" s="44"/>
      <c r="D819" s="4" t="s">
        <v>2124</v>
      </c>
      <c r="AD819" s="107"/>
      <c r="AE819" s="107"/>
      <c r="AF819" s="107"/>
      <c r="AG819" s="107"/>
      <c r="AH819" s="107"/>
      <c r="AI819" s="107"/>
      <c r="AJ819" s="107"/>
      <c r="AK819" s="107"/>
    </row>
    <row r="820" spans="1:37" s="4" customFormat="1" x14ac:dyDescent="0.25">
      <c r="B820" s="44"/>
      <c r="D820" s="4" t="s">
        <v>2125</v>
      </c>
      <c r="AD820" s="107"/>
      <c r="AE820" s="107"/>
      <c r="AF820" s="107"/>
      <c r="AG820" s="107"/>
      <c r="AH820" s="107"/>
      <c r="AI820" s="107"/>
      <c r="AJ820" s="107"/>
      <c r="AK820" s="107"/>
    </row>
    <row r="821" spans="1:37" s="2" customFormat="1" x14ac:dyDescent="0.25">
      <c r="B821" s="3"/>
      <c r="J821" s="48"/>
      <c r="K821" s="48"/>
      <c r="L821" s="48"/>
      <c r="M821" s="48"/>
      <c r="N821" s="48"/>
      <c r="Y821" s="2">
        <v>758</v>
      </c>
    </row>
    <row r="822" spans="1:37" s="28" customFormat="1" ht="17.25" x14ac:dyDescent="0.3">
      <c r="A822" s="28" t="s">
        <v>2120</v>
      </c>
    </row>
    <row r="823" spans="1:37" x14ac:dyDescent="0.25">
      <c r="B823" s="29" t="s">
        <v>3</v>
      </c>
      <c r="C823" t="s">
        <v>2224</v>
      </c>
    </row>
    <row r="824" spans="1:37" x14ac:dyDescent="0.25">
      <c r="B824" s="29" t="s">
        <v>10</v>
      </c>
      <c r="C824" s="263" t="s">
        <v>396</v>
      </c>
      <c r="AB824" s="236"/>
    </row>
    <row r="825" spans="1:37" x14ac:dyDescent="0.25">
      <c r="B825" s="29" t="s">
        <v>14</v>
      </c>
      <c r="C825" t="s">
        <v>2225</v>
      </c>
      <c r="AB825" s="236"/>
    </row>
    <row r="826" spans="1:37" x14ac:dyDescent="0.25">
      <c r="B826" s="29" t="s">
        <v>17</v>
      </c>
      <c r="C826" t="s">
        <v>2226</v>
      </c>
      <c r="AB826" s="236"/>
    </row>
    <row r="827" spans="1:37" s="25" customFormat="1" ht="15.75" thickBot="1" x14ac:dyDescent="0.3">
      <c r="B827" s="30" t="s">
        <v>19</v>
      </c>
      <c r="S827" s="224"/>
      <c r="T827" s="224"/>
      <c r="U827" s="224"/>
      <c r="V827" s="224"/>
      <c r="W827" s="224"/>
      <c r="X827" s="224"/>
      <c r="Y827" s="224"/>
      <c r="Z827" s="224"/>
      <c r="AA827" s="224"/>
      <c r="AB827" s="230"/>
    </row>
    <row r="828" spans="1:37" s="4" customFormat="1" ht="15.75" thickTop="1" x14ac:dyDescent="0.25">
      <c r="B828" s="44" t="s">
        <v>21</v>
      </c>
      <c r="I828" s="103"/>
      <c r="J828" s="103"/>
      <c r="K828" s="103"/>
      <c r="L828" s="103"/>
      <c r="M828" s="103"/>
      <c r="N828" s="103"/>
      <c r="O828" s="103"/>
      <c r="P828" s="103"/>
      <c r="Q828" s="103"/>
      <c r="R828" s="103"/>
      <c r="S828" s="103"/>
      <c r="T828" s="103"/>
      <c r="U828" s="103"/>
      <c r="V828" s="103"/>
      <c r="W828" s="103"/>
      <c r="X828" s="103"/>
      <c r="Y828" s="103"/>
      <c r="AC828" s="106"/>
      <c r="AD828" s="106"/>
      <c r="AE828" s="106"/>
      <c r="AF828" s="106"/>
      <c r="AG828" s="106"/>
      <c r="AH828" s="106"/>
      <c r="AI828" s="106"/>
      <c r="AJ828" s="106"/>
      <c r="AK828" s="106"/>
    </row>
    <row r="829" spans="1:37" s="4" customFormat="1" x14ac:dyDescent="0.25">
      <c r="B829" s="44"/>
      <c r="C829" s="4" t="s">
        <v>2217</v>
      </c>
      <c r="I829" s="105"/>
      <c r="J829" s="105"/>
      <c r="K829" s="105"/>
      <c r="L829" s="105"/>
      <c r="M829" s="105"/>
      <c r="N829" s="105"/>
      <c r="O829" s="105"/>
      <c r="P829" s="105"/>
      <c r="Q829" s="105"/>
      <c r="R829" s="105"/>
      <c r="S829" s="105"/>
      <c r="T829" s="105"/>
      <c r="U829" s="105"/>
      <c r="V829" s="105"/>
      <c r="W829" s="105"/>
      <c r="X829" s="105"/>
      <c r="Y829" s="105"/>
      <c r="AC829" s="107"/>
      <c r="AD829" s="107"/>
      <c r="AE829" s="107"/>
      <c r="AF829" s="107"/>
      <c r="AG829" s="107"/>
      <c r="AH829" s="107"/>
      <c r="AI829" s="107"/>
      <c r="AJ829" s="107"/>
      <c r="AK829" s="107"/>
    </row>
    <row r="830" spans="1:37" s="4" customFormat="1" x14ac:dyDescent="0.25">
      <c r="B830" s="44"/>
      <c r="D830" s="4" t="s">
        <v>2222</v>
      </c>
      <c r="H830" s="4" t="s">
        <v>400</v>
      </c>
      <c r="I830" s="105">
        <v>973</v>
      </c>
      <c r="J830" s="105">
        <v>955</v>
      </c>
      <c r="K830" s="105">
        <v>963</v>
      </c>
      <c r="L830" s="105">
        <v>1126</v>
      </c>
      <c r="M830" s="105">
        <v>1074</v>
      </c>
      <c r="N830" s="105">
        <v>1046</v>
      </c>
      <c r="O830" s="105">
        <v>1413</v>
      </c>
      <c r="P830" s="105">
        <v>1328</v>
      </c>
      <c r="Q830" s="105">
        <v>1219</v>
      </c>
      <c r="R830" s="105">
        <v>1259</v>
      </c>
      <c r="S830" s="105">
        <v>1275</v>
      </c>
      <c r="T830" s="105">
        <v>1233</v>
      </c>
      <c r="U830" s="105">
        <v>1262</v>
      </c>
      <c r="V830" s="105">
        <v>1289</v>
      </c>
      <c r="W830" s="105">
        <v>1826</v>
      </c>
      <c r="X830" s="105">
        <v>1842</v>
      </c>
      <c r="Y830" s="105">
        <v>2092</v>
      </c>
      <c r="Z830" s="105">
        <v>2274</v>
      </c>
      <c r="AA830" s="107">
        <v>2276</v>
      </c>
      <c r="AB830" s="107">
        <v>2510</v>
      </c>
      <c r="AC830" s="107">
        <v>2782</v>
      </c>
      <c r="AD830" s="107"/>
      <c r="AE830" s="107"/>
      <c r="AF830" s="107"/>
      <c r="AG830" s="107"/>
      <c r="AH830" s="107"/>
      <c r="AI830" s="107"/>
      <c r="AJ830" s="107"/>
      <c r="AK830" s="107"/>
    </row>
    <row r="831" spans="1:37" s="4" customFormat="1" x14ac:dyDescent="0.25">
      <c r="B831" s="44"/>
      <c r="D831" s="4" t="s">
        <v>2223</v>
      </c>
      <c r="H831" s="4" t="s">
        <v>400</v>
      </c>
      <c r="I831" s="105">
        <v>1447</v>
      </c>
      <c r="J831" s="105">
        <v>1369</v>
      </c>
      <c r="K831" s="105">
        <v>1491</v>
      </c>
      <c r="L831" s="105">
        <v>1477</v>
      </c>
      <c r="M831" s="105">
        <v>1549</v>
      </c>
      <c r="N831" s="105">
        <v>1782</v>
      </c>
      <c r="O831" s="105">
        <v>2041</v>
      </c>
      <c r="P831" s="105">
        <v>1881</v>
      </c>
      <c r="Q831" s="105">
        <v>1675</v>
      </c>
      <c r="R831" s="105">
        <v>1788</v>
      </c>
      <c r="S831" s="105">
        <v>1742</v>
      </c>
      <c r="T831" s="105">
        <v>1790</v>
      </c>
      <c r="U831" s="105">
        <v>1859</v>
      </c>
      <c r="V831" s="105">
        <v>2115</v>
      </c>
      <c r="W831" s="105">
        <v>2310</v>
      </c>
      <c r="X831" s="105">
        <v>2468</v>
      </c>
      <c r="Y831" s="105">
        <v>2695</v>
      </c>
      <c r="Z831" s="105">
        <v>2761</v>
      </c>
      <c r="AA831" s="107">
        <v>2808</v>
      </c>
      <c r="AB831" s="107">
        <v>3125</v>
      </c>
      <c r="AC831" s="107">
        <v>3429</v>
      </c>
      <c r="AD831" s="107"/>
      <c r="AE831" s="107"/>
      <c r="AF831" s="107"/>
      <c r="AG831" s="107"/>
      <c r="AH831" s="107"/>
      <c r="AI831" s="107"/>
      <c r="AJ831" s="107"/>
      <c r="AK831" s="107"/>
    </row>
    <row r="832" spans="1:37" s="4" customFormat="1" x14ac:dyDescent="0.25">
      <c r="B832" s="44"/>
      <c r="C832" s="4" t="s">
        <v>2221</v>
      </c>
      <c r="I832" s="105"/>
      <c r="J832" s="105"/>
      <c r="K832" s="105"/>
      <c r="L832" s="105"/>
      <c r="M832" s="105"/>
      <c r="N832" s="105"/>
      <c r="O832" s="105"/>
      <c r="P832" s="105"/>
      <c r="Q832" s="105"/>
      <c r="R832" s="105"/>
      <c r="S832" s="105"/>
      <c r="T832" s="105"/>
      <c r="U832" s="105"/>
      <c r="V832" s="105"/>
      <c r="W832" s="105"/>
      <c r="X832" s="105"/>
      <c r="Y832" s="105"/>
      <c r="Z832" s="105"/>
      <c r="AA832" s="107"/>
      <c r="AB832" s="107"/>
      <c r="AC832" s="107"/>
      <c r="AD832" s="107"/>
      <c r="AE832" s="107"/>
      <c r="AF832" s="107"/>
      <c r="AG832" s="107"/>
      <c r="AH832" s="107"/>
      <c r="AI832" s="107"/>
      <c r="AJ832" s="107"/>
      <c r="AK832" s="107"/>
    </row>
    <row r="833" spans="1:37" s="4" customFormat="1" x14ac:dyDescent="0.25">
      <c r="B833" s="44"/>
      <c r="D833" s="4" t="s">
        <v>2222</v>
      </c>
      <c r="H833" s="4" t="s">
        <v>400</v>
      </c>
      <c r="I833" s="105">
        <v>1019</v>
      </c>
      <c r="J833" s="105">
        <v>965</v>
      </c>
      <c r="K833" s="105">
        <v>1084</v>
      </c>
      <c r="L833" s="105">
        <v>1015</v>
      </c>
      <c r="M833" s="105">
        <v>1024</v>
      </c>
      <c r="N833" s="105">
        <v>1004</v>
      </c>
      <c r="O833" s="105">
        <v>1359</v>
      </c>
      <c r="P833" s="105">
        <v>1265</v>
      </c>
      <c r="Q833" s="105">
        <v>1199</v>
      </c>
      <c r="R833" s="105">
        <v>1231</v>
      </c>
      <c r="S833" s="105">
        <v>1218</v>
      </c>
      <c r="T833" s="105">
        <v>1285</v>
      </c>
      <c r="U833" s="105">
        <v>1280</v>
      </c>
      <c r="V833" s="105">
        <v>1654</v>
      </c>
      <c r="W833" s="105">
        <v>1829</v>
      </c>
      <c r="X833" s="105">
        <v>1915</v>
      </c>
      <c r="Y833" s="105">
        <v>2138</v>
      </c>
      <c r="Z833" s="105">
        <v>2276</v>
      </c>
      <c r="AA833" s="107">
        <v>2472</v>
      </c>
      <c r="AB833" s="107">
        <v>2780</v>
      </c>
      <c r="AC833" s="107">
        <v>2893</v>
      </c>
      <c r="AD833" s="107"/>
      <c r="AE833" s="107"/>
      <c r="AF833" s="107"/>
      <c r="AG833" s="107"/>
      <c r="AH833" s="107"/>
      <c r="AI833" s="107"/>
      <c r="AJ833" s="107"/>
      <c r="AK833" s="107"/>
    </row>
    <row r="834" spans="1:37" s="4" customFormat="1" x14ac:dyDescent="0.25">
      <c r="B834" s="44"/>
      <c r="D834" s="4" t="s">
        <v>2223</v>
      </c>
      <c r="H834" s="4" t="s">
        <v>400</v>
      </c>
      <c r="I834" s="105">
        <v>1386</v>
      </c>
      <c r="J834" s="105">
        <v>1422</v>
      </c>
      <c r="K834" s="105">
        <v>1397</v>
      </c>
      <c r="L834" s="105">
        <v>1464</v>
      </c>
      <c r="M834" s="105">
        <v>1667</v>
      </c>
      <c r="N834" s="105">
        <v>1703</v>
      </c>
      <c r="O834" s="105">
        <v>2006</v>
      </c>
      <c r="P834" s="105">
        <v>1744</v>
      </c>
      <c r="Q834" s="105">
        <v>1727</v>
      </c>
      <c r="R834" s="105">
        <v>1846</v>
      </c>
      <c r="S834" s="105">
        <v>1732</v>
      </c>
      <c r="T834" s="105">
        <v>1877</v>
      </c>
      <c r="U834" s="105">
        <v>2017</v>
      </c>
      <c r="V834" s="105">
        <v>2146</v>
      </c>
      <c r="W834" s="105">
        <v>2331</v>
      </c>
      <c r="X834" s="105">
        <v>2565</v>
      </c>
      <c r="Y834" s="105">
        <v>2696</v>
      </c>
      <c r="Z834" s="105">
        <v>2768</v>
      </c>
      <c r="AA834" s="107">
        <v>2877</v>
      </c>
      <c r="AB834" s="107">
        <v>3291</v>
      </c>
      <c r="AC834" s="107">
        <v>3730</v>
      </c>
      <c r="AD834" s="107"/>
      <c r="AE834" s="107"/>
      <c r="AF834" s="107"/>
      <c r="AG834" s="107"/>
      <c r="AH834" s="107"/>
      <c r="AI834" s="107"/>
      <c r="AJ834" s="107"/>
      <c r="AK834" s="107"/>
    </row>
    <row r="835" spans="1:37" s="2" customFormat="1" x14ac:dyDescent="0.25">
      <c r="B835" s="3"/>
      <c r="J835" s="48"/>
      <c r="K835" s="48"/>
      <c r="L835" s="48"/>
      <c r="M835" s="48"/>
      <c r="N835" s="48"/>
      <c r="Y835" s="2">
        <v>758</v>
      </c>
    </row>
    <row r="836" spans="1:37" s="28" customFormat="1" ht="17.25" x14ac:dyDescent="0.3">
      <c r="A836" s="28" t="s">
        <v>405</v>
      </c>
    </row>
    <row r="837" spans="1:37" x14ac:dyDescent="0.25">
      <c r="B837" s="29" t="s">
        <v>3</v>
      </c>
      <c r="C837" t="s">
        <v>406</v>
      </c>
    </row>
    <row r="838" spans="1:37" x14ac:dyDescent="0.25">
      <c r="B838" s="29" t="s">
        <v>10</v>
      </c>
      <c r="C838" s="263" t="s">
        <v>390</v>
      </c>
    </row>
    <row r="839" spans="1:37" x14ac:dyDescent="0.25">
      <c r="B839" s="29" t="s">
        <v>14</v>
      </c>
      <c r="C839" t="s">
        <v>407</v>
      </c>
    </row>
    <row r="840" spans="1:37" x14ac:dyDescent="0.25">
      <c r="B840" s="29" t="s">
        <v>17</v>
      </c>
      <c r="C840" t="s">
        <v>408</v>
      </c>
    </row>
    <row r="841" spans="1:37" s="25" customFormat="1" ht="15.75" thickBot="1" x14ac:dyDescent="0.3">
      <c r="B841" s="30" t="s">
        <v>19</v>
      </c>
      <c r="C841" s="25" t="s">
        <v>377</v>
      </c>
      <c r="S841" s="224"/>
      <c r="T841" s="224"/>
      <c r="U841" s="224"/>
      <c r="V841" s="224"/>
      <c r="W841" s="224"/>
      <c r="X841" s="224"/>
      <c r="Y841" s="224"/>
      <c r="Z841" s="224"/>
      <c r="AA841" s="224"/>
      <c r="AB841" s="230"/>
    </row>
    <row r="842" spans="1:37" s="4" customFormat="1" ht="15.75" thickTop="1" x14ac:dyDescent="0.25">
      <c r="B842" s="44" t="s">
        <v>21</v>
      </c>
      <c r="C842" s="4" t="s">
        <v>409</v>
      </c>
      <c r="H842" s="4" t="s">
        <v>410</v>
      </c>
      <c r="I842" s="103">
        <v>545000</v>
      </c>
      <c r="J842" s="103">
        <v>550000</v>
      </c>
      <c r="K842" s="103">
        <v>615000</v>
      </c>
      <c r="L842" s="103">
        <v>750000</v>
      </c>
      <c r="M842" s="103">
        <v>980000</v>
      </c>
      <c r="N842" s="103">
        <v>1150000</v>
      </c>
      <c r="O842" s="103">
        <v>1250000</v>
      </c>
      <c r="P842" s="103">
        <v>1000000</v>
      </c>
      <c r="Q842" s="103">
        <v>1300000</v>
      </c>
      <c r="R842" s="103">
        <v>950000</v>
      </c>
      <c r="S842" s="103">
        <v>910000</v>
      </c>
      <c r="T842" s="103">
        <v>835000</v>
      </c>
      <c r="U842" s="103">
        <v>965000</v>
      </c>
      <c r="V842" s="103">
        <v>1200000</v>
      </c>
      <c r="W842" s="103">
        <v>1130000</v>
      </c>
      <c r="X842" s="103">
        <v>1300000</v>
      </c>
      <c r="Y842" s="103">
        <v>1610000</v>
      </c>
      <c r="Z842" s="103">
        <v>1740000</v>
      </c>
      <c r="AA842" s="106">
        <v>2500000</v>
      </c>
      <c r="AB842" s="106">
        <v>3000000</v>
      </c>
      <c r="AC842" s="106">
        <v>3500000</v>
      </c>
      <c r="AD842" s="106"/>
      <c r="AE842" s="106"/>
      <c r="AF842" s="106"/>
      <c r="AG842" s="106"/>
      <c r="AH842" s="106"/>
      <c r="AI842" s="106"/>
      <c r="AJ842" s="106"/>
      <c r="AK842" s="106"/>
    </row>
    <row r="843" spans="1:37" s="4" customFormat="1" x14ac:dyDescent="0.25">
      <c r="B843" s="44"/>
      <c r="C843" s="4" t="s">
        <v>411</v>
      </c>
      <c r="H843" s="4" t="s">
        <v>410</v>
      </c>
      <c r="I843" s="111">
        <v>1084182</v>
      </c>
      <c r="J843" s="111">
        <v>967320</v>
      </c>
      <c r="K843" s="111">
        <v>1156377</v>
      </c>
      <c r="L843" s="111">
        <v>1311944</v>
      </c>
      <c r="M843" s="111">
        <v>1544288</v>
      </c>
      <c r="N843" s="111">
        <v>1778692</v>
      </c>
      <c r="O843" s="111">
        <v>1937545</v>
      </c>
      <c r="P843" s="111">
        <v>1745229</v>
      </c>
      <c r="Q843" s="111">
        <v>1993425</v>
      </c>
      <c r="R843" s="111">
        <v>1677193</v>
      </c>
      <c r="S843" s="111">
        <v>1676453</v>
      </c>
      <c r="T843" s="111">
        <v>1592715</v>
      </c>
      <c r="U843" s="111">
        <v>1670000</v>
      </c>
      <c r="V843" s="111">
        <v>2013139</v>
      </c>
      <c r="W843" s="111">
        <v>1854910</v>
      </c>
      <c r="X843" s="111">
        <v>1990791</v>
      </c>
      <c r="Y843" s="111">
        <v>2442243</v>
      </c>
      <c r="Z843" s="111">
        <v>2620000</v>
      </c>
      <c r="AA843" s="107">
        <v>3700000</v>
      </c>
      <c r="AB843" s="107">
        <v>4756634</v>
      </c>
      <c r="AC843" s="107">
        <v>5040000</v>
      </c>
      <c r="AD843" s="107"/>
      <c r="AE843" s="107"/>
      <c r="AF843" s="107"/>
      <c r="AG843" s="107"/>
      <c r="AH843" s="107"/>
      <c r="AI843" s="107"/>
      <c r="AJ843" s="107"/>
      <c r="AK843" s="107"/>
    </row>
    <row r="844" spans="1:37" s="2" customFormat="1" x14ac:dyDescent="0.25">
      <c r="B844" s="3"/>
      <c r="J844" s="48"/>
      <c r="K844" s="48"/>
      <c r="L844" s="48"/>
      <c r="M844" s="48"/>
      <c r="N844" s="48"/>
    </row>
    <row r="845" spans="1:37" s="28" customFormat="1" ht="17.25" x14ac:dyDescent="0.3">
      <c r="A845" s="28" t="s">
        <v>412</v>
      </c>
    </row>
    <row r="846" spans="1:37" x14ac:dyDescent="0.25">
      <c r="B846" s="29" t="s">
        <v>3</v>
      </c>
      <c r="C846" t="s">
        <v>2129</v>
      </c>
    </row>
    <row r="847" spans="1:37" x14ac:dyDescent="0.25">
      <c r="B847" s="29" t="s">
        <v>10</v>
      </c>
      <c r="C847" s="263" t="s">
        <v>413</v>
      </c>
    </row>
    <row r="848" spans="1:37" x14ac:dyDescent="0.25">
      <c r="C848" s="263" t="s">
        <v>390</v>
      </c>
      <c r="AA848" s="214"/>
      <c r="AD848" s="154"/>
    </row>
    <row r="849" spans="1:37" x14ac:dyDescent="0.25">
      <c r="B849" s="29" t="s">
        <v>14</v>
      </c>
      <c r="C849" t="s">
        <v>414</v>
      </c>
      <c r="AD849" s="154"/>
    </row>
    <row r="850" spans="1:37" x14ac:dyDescent="0.25">
      <c r="B850" s="29" t="s">
        <v>17</v>
      </c>
      <c r="C850" t="s">
        <v>415</v>
      </c>
      <c r="T850" s="89"/>
      <c r="AI850" s="19"/>
    </row>
    <row r="851" spans="1:37" s="25" customFormat="1" ht="15.75" thickBot="1" x14ac:dyDescent="0.3">
      <c r="B851" s="30" t="s">
        <v>19</v>
      </c>
      <c r="C851" s="25" t="s">
        <v>416</v>
      </c>
      <c r="T851" s="224"/>
      <c r="U851" s="224"/>
      <c r="V851" s="224"/>
      <c r="W851" s="224"/>
      <c r="X851" s="224"/>
      <c r="Y851" s="224"/>
      <c r="Z851" s="224"/>
      <c r="AA851" s="224"/>
    </row>
    <row r="852" spans="1:37" ht="16.5" thickTop="1" thickBot="1" x14ac:dyDescent="0.3">
      <c r="B852" s="29"/>
      <c r="T852" s="235"/>
      <c r="U852" s="235"/>
      <c r="V852" s="235"/>
      <c r="W852" s="235"/>
      <c r="X852" s="235"/>
      <c r="Y852" s="235"/>
      <c r="Z852" s="235"/>
      <c r="AA852" s="235"/>
    </row>
    <row r="853" spans="1:37" s="109" customFormat="1" ht="15.75" thickTop="1" x14ac:dyDescent="0.25">
      <c r="B853" s="109" t="s">
        <v>21</v>
      </c>
      <c r="C853" s="245" t="s">
        <v>2138</v>
      </c>
    </row>
    <row r="854" spans="1:37" s="4" customFormat="1" x14ac:dyDescent="0.25">
      <c r="D854" s="4" t="s">
        <v>417</v>
      </c>
      <c r="H854" s="4" t="s">
        <v>410</v>
      </c>
      <c r="I854" s="107"/>
      <c r="J854" s="105">
        <v>450000</v>
      </c>
      <c r="K854" s="105">
        <v>456250</v>
      </c>
      <c r="L854" s="105">
        <v>600000</v>
      </c>
      <c r="M854" s="105">
        <v>685000</v>
      </c>
      <c r="N854" s="105">
        <v>800000</v>
      </c>
      <c r="O854" s="105">
        <v>952750</v>
      </c>
      <c r="P854" s="105">
        <v>808750</v>
      </c>
      <c r="Q854" s="105">
        <v>795000</v>
      </c>
      <c r="R854" s="105">
        <v>650000</v>
      </c>
      <c r="S854" s="105">
        <v>601500</v>
      </c>
      <c r="T854" s="105">
        <v>623673</v>
      </c>
      <c r="U854" s="105">
        <v>735000</v>
      </c>
      <c r="V854" s="105">
        <v>880000</v>
      </c>
      <c r="W854" s="105">
        <v>785000</v>
      </c>
      <c r="X854" s="105">
        <v>820000</v>
      </c>
      <c r="Y854" s="215">
        <v>975000</v>
      </c>
      <c r="Z854" s="215">
        <v>1025000</v>
      </c>
      <c r="AA854" s="215">
        <v>1450000</v>
      </c>
      <c r="AB854" s="107">
        <v>1840000</v>
      </c>
      <c r="AC854" s="107">
        <v>2600000</v>
      </c>
      <c r="AD854" s="107"/>
      <c r="AE854" s="107"/>
      <c r="AF854" s="107"/>
      <c r="AG854" s="107"/>
      <c r="AH854" s="107"/>
      <c r="AI854" s="107"/>
      <c r="AJ854" s="107"/>
      <c r="AK854" s="107"/>
    </row>
    <row r="855" spans="1:37" s="4" customFormat="1" x14ac:dyDescent="0.25">
      <c r="B855" s="44"/>
      <c r="D855" s="4" t="s">
        <v>411</v>
      </c>
      <c r="H855" s="4" t="s">
        <v>410</v>
      </c>
      <c r="I855" s="107"/>
      <c r="J855" s="105">
        <v>792291</v>
      </c>
      <c r="K855" s="105">
        <v>832657</v>
      </c>
      <c r="L855" s="105">
        <v>947221</v>
      </c>
      <c r="M855" s="105">
        <v>1053605</v>
      </c>
      <c r="N855" s="105">
        <v>1182352</v>
      </c>
      <c r="O855" s="105">
        <v>1583720</v>
      </c>
      <c r="P855" s="105">
        <v>1466880</v>
      </c>
      <c r="Q855" s="105">
        <v>1426817</v>
      </c>
      <c r="R855" s="105">
        <v>1094612</v>
      </c>
      <c r="S855" s="105">
        <v>1200384</v>
      </c>
      <c r="T855" s="105">
        <v>983542</v>
      </c>
      <c r="U855" s="105">
        <v>1196397</v>
      </c>
      <c r="V855" s="105">
        <v>1763356.92</v>
      </c>
      <c r="W855" s="105">
        <v>1631191.42</v>
      </c>
      <c r="X855" s="105">
        <v>1399459</v>
      </c>
      <c r="Y855" s="105">
        <v>1704064</v>
      </c>
      <c r="Z855" s="105">
        <v>1713584.54</v>
      </c>
      <c r="AA855" s="215">
        <v>2541573.5</v>
      </c>
      <c r="AB855" s="107">
        <v>3189778</v>
      </c>
      <c r="AC855" s="107">
        <v>3857624.17</v>
      </c>
      <c r="AD855" s="107"/>
      <c r="AE855" s="107"/>
      <c r="AF855" s="107"/>
      <c r="AG855" s="107"/>
      <c r="AH855" s="107"/>
      <c r="AI855" s="107"/>
      <c r="AJ855" s="107"/>
      <c r="AK855" s="107"/>
    </row>
    <row r="856" spans="1:37" s="4" customFormat="1" x14ac:dyDescent="0.25">
      <c r="B856" s="44"/>
      <c r="C856" s="8" t="s">
        <v>2139</v>
      </c>
      <c r="I856" s="107"/>
      <c r="J856" s="105"/>
      <c r="K856" s="105"/>
      <c r="L856" s="105"/>
      <c r="M856" s="105"/>
      <c r="N856" s="105"/>
      <c r="O856" s="105"/>
      <c r="P856" s="105"/>
      <c r="Q856" s="105"/>
      <c r="R856" s="105"/>
      <c r="S856" s="105"/>
      <c r="T856" s="105"/>
      <c r="U856" s="105"/>
      <c r="V856" s="105"/>
      <c r="W856" s="105"/>
      <c r="X856" s="105"/>
      <c r="Y856" s="105"/>
      <c r="Z856" s="105"/>
      <c r="AA856" s="215"/>
      <c r="AB856" s="107"/>
      <c r="AC856" s="107"/>
      <c r="AD856" s="107"/>
      <c r="AE856" s="107"/>
      <c r="AF856" s="107"/>
      <c r="AG856" s="107"/>
      <c r="AH856" s="107"/>
      <c r="AI856" s="107"/>
      <c r="AJ856" s="107"/>
      <c r="AK856" s="107"/>
    </row>
    <row r="857" spans="1:37" s="4" customFormat="1" x14ac:dyDescent="0.25">
      <c r="B857" s="44"/>
      <c r="D857" s="4" t="s">
        <v>417</v>
      </c>
      <c r="I857" s="107"/>
      <c r="J857" s="105"/>
      <c r="K857" s="105"/>
      <c r="L857" s="105"/>
      <c r="M857" s="105"/>
      <c r="N857" s="105"/>
      <c r="O857" s="105"/>
      <c r="P857" s="105"/>
      <c r="Q857" s="105"/>
      <c r="R857" s="105"/>
      <c r="S857" s="105"/>
      <c r="T857" s="105"/>
      <c r="U857" s="105"/>
      <c r="V857" s="105"/>
      <c r="W857" s="105"/>
      <c r="X857" s="105"/>
      <c r="Y857" s="105"/>
      <c r="Z857" s="105"/>
      <c r="AA857" s="215"/>
      <c r="AB857" s="107"/>
      <c r="AC857" s="107">
        <v>2010000</v>
      </c>
      <c r="AD857" s="107"/>
      <c r="AE857" s="107"/>
      <c r="AF857" s="107"/>
      <c r="AG857" s="107"/>
      <c r="AH857" s="107"/>
      <c r="AI857" s="107"/>
      <c r="AJ857" s="107"/>
      <c r="AK857" s="107"/>
    </row>
    <row r="858" spans="1:37" s="4" customFormat="1" x14ac:dyDescent="0.25">
      <c r="B858" s="44"/>
      <c r="D858" s="4" t="s">
        <v>411</v>
      </c>
      <c r="I858" s="107"/>
      <c r="J858" s="105"/>
      <c r="K858" s="105"/>
      <c r="L858" s="105"/>
      <c r="M858" s="105"/>
      <c r="N858" s="105"/>
      <c r="O858" s="105"/>
      <c r="P858" s="105"/>
      <c r="Q858" s="105"/>
      <c r="R858" s="105"/>
      <c r="S858" s="105"/>
      <c r="T858" s="105"/>
      <c r="U858" s="105"/>
      <c r="V858" s="105"/>
      <c r="W858" s="105"/>
      <c r="X858" s="105"/>
      <c r="Y858" s="105"/>
      <c r="Z858" s="105"/>
      <c r="AA858" s="215"/>
      <c r="AB858" s="107"/>
      <c r="AC858" s="107">
        <v>3147477.88</v>
      </c>
      <c r="AD858" s="107"/>
      <c r="AE858" s="107"/>
      <c r="AF858" s="107"/>
      <c r="AG858" s="107"/>
      <c r="AH858" s="107"/>
      <c r="AI858" s="107"/>
      <c r="AJ858" s="107"/>
      <c r="AK858" s="107"/>
    </row>
    <row r="859" spans="1:37" s="2" customFormat="1" x14ac:dyDescent="0.25">
      <c r="B859" s="3"/>
      <c r="J859" s="48"/>
      <c r="K859" s="48"/>
      <c r="L859" s="48"/>
      <c r="M859" s="48"/>
      <c r="N859" s="48"/>
    </row>
    <row r="860" spans="1:37" s="28" customFormat="1" ht="17.25" x14ac:dyDescent="0.3">
      <c r="A860" s="28" t="s">
        <v>418</v>
      </c>
    </row>
    <row r="861" spans="1:37" x14ac:dyDescent="0.25">
      <c r="B861" s="29" t="s">
        <v>3</v>
      </c>
      <c r="C861" t="s">
        <v>419</v>
      </c>
    </row>
    <row r="862" spans="1:37" x14ac:dyDescent="0.25">
      <c r="B862" s="29" t="s">
        <v>10</v>
      </c>
      <c r="C862" s="263" t="s">
        <v>420</v>
      </c>
    </row>
    <row r="863" spans="1:37" x14ac:dyDescent="0.25">
      <c r="B863" s="29" t="s">
        <v>14</v>
      </c>
    </row>
    <row r="864" spans="1:37" x14ac:dyDescent="0.25">
      <c r="B864" s="29" t="s">
        <v>17</v>
      </c>
    </row>
    <row r="865" spans="1:37" s="25" customFormat="1" ht="15.75" thickBot="1" x14ac:dyDescent="0.3">
      <c r="B865" s="30" t="s">
        <v>19</v>
      </c>
    </row>
    <row r="866" spans="1:37" s="108" customFormat="1" ht="15.75" thickTop="1" x14ac:dyDescent="0.25">
      <c r="B866" s="109" t="s">
        <v>21</v>
      </c>
      <c r="C866" s="108" t="s">
        <v>421</v>
      </c>
      <c r="I866" s="106"/>
      <c r="J866" s="103"/>
      <c r="K866" s="103"/>
      <c r="L866" s="103"/>
      <c r="M866" s="103"/>
      <c r="N866" s="103"/>
      <c r="O866" s="103"/>
      <c r="P866" s="103"/>
      <c r="Q866" s="103"/>
      <c r="R866" s="103"/>
      <c r="S866" s="103"/>
      <c r="T866" s="103"/>
      <c r="U866" s="103"/>
      <c r="V866" s="103"/>
      <c r="W866" s="103"/>
      <c r="X866" s="103"/>
      <c r="Y866" s="110"/>
      <c r="Z866" s="110"/>
      <c r="AA866" s="106"/>
      <c r="AB866" s="106"/>
      <c r="AC866" s="106"/>
      <c r="AD866" s="106"/>
      <c r="AE866" s="106"/>
      <c r="AF866" s="106"/>
      <c r="AG866" s="106"/>
      <c r="AH866" s="106"/>
      <c r="AI866" s="106"/>
      <c r="AJ866" s="106"/>
      <c r="AK866" s="106"/>
    </row>
    <row r="867" spans="1:37" s="4" customFormat="1" x14ac:dyDescent="0.25">
      <c r="B867" s="44"/>
      <c r="C867" s="4" t="s">
        <v>422</v>
      </c>
      <c r="I867" s="107"/>
      <c r="J867" s="105"/>
      <c r="K867" s="105"/>
      <c r="L867" s="105"/>
      <c r="M867" s="105"/>
      <c r="N867" s="105"/>
      <c r="O867" s="105"/>
      <c r="P867" s="105"/>
      <c r="Q867" s="105"/>
      <c r="R867" s="105"/>
      <c r="S867" s="105"/>
      <c r="T867" s="105"/>
      <c r="U867" s="105"/>
      <c r="V867" s="105"/>
      <c r="W867" s="105"/>
      <c r="X867" s="105"/>
      <c r="Y867" s="105"/>
      <c r="Z867" s="105"/>
      <c r="AA867" s="107"/>
      <c r="AB867" s="107"/>
      <c r="AC867" s="107"/>
      <c r="AD867" s="107"/>
      <c r="AE867" s="107"/>
      <c r="AF867" s="107"/>
      <c r="AG867" s="107"/>
      <c r="AH867" s="107"/>
      <c r="AI867" s="107"/>
      <c r="AJ867" s="107"/>
      <c r="AK867" s="107"/>
    </row>
    <row r="868" spans="1:37" s="4" customFormat="1" x14ac:dyDescent="0.25">
      <c r="B868" s="44"/>
      <c r="C868" s="4" t="s">
        <v>423</v>
      </c>
      <c r="I868" s="107"/>
      <c r="J868" s="105"/>
      <c r="K868" s="105"/>
      <c r="L868" s="105"/>
      <c r="M868" s="105"/>
      <c r="N868" s="105"/>
      <c r="O868" s="105"/>
      <c r="P868" s="105"/>
      <c r="Q868" s="105"/>
      <c r="R868" s="105"/>
      <c r="S868" s="105"/>
      <c r="T868" s="105"/>
      <c r="U868" s="105"/>
      <c r="V868" s="105"/>
      <c r="W868" s="105"/>
      <c r="X868" s="105"/>
      <c r="Y868" s="105"/>
      <c r="Z868" s="105"/>
      <c r="AA868" s="107"/>
      <c r="AB868" s="107"/>
      <c r="AC868" s="107"/>
      <c r="AD868" s="107"/>
      <c r="AE868" s="107"/>
      <c r="AF868" s="107"/>
      <c r="AG868" s="107"/>
      <c r="AH868" s="107"/>
      <c r="AI868" s="107"/>
      <c r="AJ868" s="107"/>
      <c r="AK868" s="107"/>
    </row>
    <row r="869" spans="1:37" s="4" customFormat="1" x14ac:dyDescent="0.25">
      <c r="B869" s="44"/>
      <c r="C869" s="4" t="s">
        <v>424</v>
      </c>
      <c r="I869" s="107"/>
      <c r="J869" s="105"/>
      <c r="K869" s="105"/>
      <c r="L869" s="105"/>
      <c r="M869" s="105"/>
      <c r="N869" s="105"/>
      <c r="O869" s="105"/>
      <c r="P869" s="105"/>
      <c r="Q869" s="105"/>
      <c r="R869" s="105"/>
      <c r="S869" s="105"/>
      <c r="T869" s="105"/>
      <c r="U869" s="105"/>
      <c r="V869" s="105"/>
      <c r="W869" s="105"/>
      <c r="X869" s="105"/>
      <c r="Y869" s="105"/>
      <c r="Z869" s="105"/>
      <c r="AA869" s="107"/>
      <c r="AB869" s="107"/>
      <c r="AC869" s="107"/>
      <c r="AD869" s="107"/>
      <c r="AE869" s="107"/>
      <c r="AF869" s="107"/>
      <c r="AG869" s="107"/>
      <c r="AH869" s="107"/>
      <c r="AI869" s="107"/>
      <c r="AJ869" s="107"/>
      <c r="AK869" s="107"/>
    </row>
    <row r="870" spans="1:37" s="4" customFormat="1" x14ac:dyDescent="0.25">
      <c r="B870" s="44"/>
      <c r="C870" s="4" t="s">
        <v>425</v>
      </c>
      <c r="I870" s="107"/>
      <c r="J870" s="105"/>
      <c r="K870" s="105"/>
      <c r="L870" s="105"/>
      <c r="M870" s="105"/>
      <c r="N870" s="105"/>
      <c r="O870" s="105"/>
      <c r="P870" s="105"/>
      <c r="Q870" s="105"/>
      <c r="R870" s="105"/>
      <c r="S870" s="105"/>
      <c r="T870" s="105"/>
      <c r="U870" s="105"/>
      <c r="V870" s="105"/>
      <c r="W870" s="105"/>
      <c r="X870" s="105"/>
      <c r="Y870" s="105"/>
      <c r="Z870" s="105"/>
      <c r="AA870" s="107"/>
      <c r="AB870" s="107"/>
      <c r="AC870" s="107"/>
      <c r="AD870" s="107"/>
      <c r="AE870" s="107"/>
      <c r="AF870" s="107"/>
      <c r="AG870" s="107"/>
      <c r="AH870" s="107"/>
      <c r="AI870" s="107"/>
      <c r="AJ870" s="107"/>
      <c r="AK870" s="107"/>
    </row>
    <row r="871" spans="1:37" s="2" customFormat="1" x14ac:dyDescent="0.25">
      <c r="B871" s="3"/>
      <c r="J871" s="48"/>
      <c r="K871" s="48"/>
      <c r="L871" s="48"/>
      <c r="M871" s="48"/>
      <c r="N871" s="48"/>
    </row>
    <row r="872" spans="1:37" s="28" customFormat="1" ht="17.25" x14ac:dyDescent="0.3">
      <c r="A872" s="28" t="s">
        <v>426</v>
      </c>
    </row>
    <row r="873" spans="1:37" x14ac:dyDescent="0.25">
      <c r="B873" s="29" t="s">
        <v>3</v>
      </c>
      <c r="C873" t="s">
        <v>2031</v>
      </c>
    </row>
    <row r="874" spans="1:37" x14ac:dyDescent="0.25">
      <c r="B874" s="29"/>
      <c r="C874" t="s">
        <v>427</v>
      </c>
    </row>
    <row r="875" spans="1:37" x14ac:dyDescent="0.25">
      <c r="B875" s="29" t="s">
        <v>10</v>
      </c>
      <c r="C875" s="263" t="s">
        <v>35</v>
      </c>
    </row>
    <row r="876" spans="1:37" x14ac:dyDescent="0.25">
      <c r="B876" s="29" t="s">
        <v>14</v>
      </c>
      <c r="C876" t="s">
        <v>428</v>
      </c>
    </row>
    <row r="877" spans="1:37" x14ac:dyDescent="0.25">
      <c r="B877" s="29"/>
      <c r="D877" t="s">
        <v>429</v>
      </c>
    </row>
    <row r="878" spans="1:37" x14ac:dyDescent="0.25">
      <c r="B878" s="29" t="s">
        <v>17</v>
      </c>
      <c r="C878" t="s">
        <v>430</v>
      </c>
    </row>
    <row r="879" spans="1:37" x14ac:dyDescent="0.25">
      <c r="B879" s="29" t="s">
        <v>19</v>
      </c>
      <c r="C879" t="s">
        <v>431</v>
      </c>
    </row>
    <row r="880" spans="1:37" x14ac:dyDescent="0.25">
      <c r="B880" s="29"/>
      <c r="C880" t="s">
        <v>432</v>
      </c>
      <c r="AF880" t="s">
        <v>2242</v>
      </c>
    </row>
    <row r="881" spans="2:37" s="25" customFormat="1" ht="15.75" thickBot="1" x14ac:dyDescent="0.3">
      <c r="B881" s="30"/>
      <c r="C881" s="25" t="s">
        <v>433</v>
      </c>
      <c r="AB881" s="234"/>
    </row>
    <row r="882" spans="2:37" s="42" customFormat="1" ht="15.75" thickTop="1" x14ac:dyDescent="0.25">
      <c r="B882" s="112" t="s">
        <v>21</v>
      </c>
      <c r="C882" s="42" t="s">
        <v>434</v>
      </c>
      <c r="H882" s="42" t="s">
        <v>23</v>
      </c>
      <c r="I882" s="116"/>
      <c r="J882" s="116"/>
      <c r="K882" s="116"/>
      <c r="L882" s="116"/>
      <c r="M882" s="116"/>
      <c r="N882" s="116"/>
      <c r="O882" s="116"/>
      <c r="P882" s="116">
        <f t="shared" ref="P882:AK882" si="175">SUM(P884:P885,P887:P891)</f>
        <v>752</v>
      </c>
      <c r="Q882" s="116">
        <f t="shared" si="175"/>
        <v>784</v>
      </c>
      <c r="R882" s="116">
        <f t="shared" si="175"/>
        <v>786</v>
      </c>
      <c r="S882" s="116">
        <f t="shared" si="175"/>
        <v>843</v>
      </c>
      <c r="T882" s="116">
        <f t="shared" si="175"/>
        <v>873</v>
      </c>
      <c r="U882" s="116">
        <f t="shared" si="175"/>
        <v>889</v>
      </c>
      <c r="V882" s="116">
        <f t="shared" si="175"/>
        <v>966</v>
      </c>
      <c r="W882" s="116">
        <f t="shared" si="175"/>
        <v>1034</v>
      </c>
      <c r="X882" s="116">
        <f t="shared" si="175"/>
        <v>1052</v>
      </c>
      <c r="Y882" s="116">
        <f t="shared" si="175"/>
        <v>1136</v>
      </c>
      <c r="Z882" s="116">
        <f t="shared" si="175"/>
        <v>1182</v>
      </c>
      <c r="AA882" s="116">
        <f t="shared" si="175"/>
        <v>1256</v>
      </c>
      <c r="AB882" s="116">
        <f t="shared" si="175"/>
        <v>1337</v>
      </c>
      <c r="AC882" s="116">
        <f t="shared" si="175"/>
        <v>1373</v>
      </c>
      <c r="AD882" s="116">
        <f t="shared" si="175"/>
        <v>0</v>
      </c>
      <c r="AE882" s="116">
        <f t="shared" si="175"/>
        <v>0</v>
      </c>
      <c r="AF882" s="116">
        <f t="shared" si="175"/>
        <v>1152</v>
      </c>
      <c r="AG882" s="116">
        <f t="shared" si="175"/>
        <v>0</v>
      </c>
      <c r="AH882" s="116">
        <f t="shared" si="175"/>
        <v>0</v>
      </c>
      <c r="AI882" s="116">
        <f t="shared" si="175"/>
        <v>0</v>
      </c>
      <c r="AJ882" s="116">
        <f t="shared" si="175"/>
        <v>0</v>
      </c>
      <c r="AK882" s="116">
        <f t="shared" si="175"/>
        <v>0</v>
      </c>
    </row>
    <row r="883" spans="2:37" s="81" customFormat="1" x14ac:dyDescent="0.25">
      <c r="B883" s="113"/>
      <c r="D883" s="81" t="s">
        <v>435</v>
      </c>
      <c r="H883" s="81" t="s">
        <v>23</v>
      </c>
      <c r="I883" s="114"/>
      <c r="J883" s="114"/>
      <c r="K883" s="114"/>
      <c r="L883" s="114"/>
      <c r="M883" s="114"/>
      <c r="N883" s="114"/>
      <c r="O883" s="114"/>
      <c r="P883" s="114">
        <f t="shared" ref="P883:AK883" si="176">SUM(P884:P885)</f>
        <v>123</v>
      </c>
      <c r="Q883" s="114">
        <f t="shared" si="176"/>
        <v>135</v>
      </c>
      <c r="R883" s="114">
        <f t="shared" si="176"/>
        <v>137</v>
      </c>
      <c r="S883" s="114">
        <f t="shared" si="176"/>
        <v>141</v>
      </c>
      <c r="T883" s="114">
        <f t="shared" si="176"/>
        <v>144</v>
      </c>
      <c r="U883" s="114">
        <f t="shared" si="176"/>
        <v>151</v>
      </c>
      <c r="V883" s="114">
        <f t="shared" si="176"/>
        <v>155</v>
      </c>
      <c r="W883" s="114">
        <f t="shared" si="176"/>
        <v>161</v>
      </c>
      <c r="X883" s="114">
        <f t="shared" si="176"/>
        <v>169</v>
      </c>
      <c r="Y883" s="114">
        <f t="shared" si="176"/>
        <v>173</v>
      </c>
      <c r="Z883" s="114">
        <f t="shared" si="176"/>
        <v>177</v>
      </c>
      <c r="AA883" s="114">
        <f t="shared" si="176"/>
        <v>177</v>
      </c>
      <c r="AB883" s="114">
        <f t="shared" si="176"/>
        <v>177</v>
      </c>
      <c r="AC883" s="114">
        <f t="shared" si="176"/>
        <v>177</v>
      </c>
      <c r="AD883" s="114">
        <f t="shared" si="176"/>
        <v>0</v>
      </c>
      <c r="AE883" s="114">
        <f t="shared" si="176"/>
        <v>0</v>
      </c>
      <c r="AF883" s="114">
        <f t="shared" si="176"/>
        <v>0</v>
      </c>
      <c r="AG883" s="114">
        <f t="shared" si="176"/>
        <v>0</v>
      </c>
      <c r="AH883" s="114">
        <f t="shared" si="176"/>
        <v>0</v>
      </c>
      <c r="AI883" s="114">
        <f t="shared" si="176"/>
        <v>0</v>
      </c>
      <c r="AJ883" s="114">
        <f t="shared" si="176"/>
        <v>0</v>
      </c>
      <c r="AK883" s="114">
        <f t="shared" si="176"/>
        <v>0</v>
      </c>
    </row>
    <row r="884" spans="2:37" s="39" customFormat="1" x14ac:dyDescent="0.25">
      <c r="B884" s="112"/>
      <c r="E884" s="39" t="s">
        <v>436</v>
      </c>
      <c r="H884" s="39" t="s">
        <v>23</v>
      </c>
      <c r="I884" s="115"/>
      <c r="J884" s="115"/>
      <c r="K884" s="115"/>
      <c r="L884" s="115"/>
      <c r="M884" s="115"/>
      <c r="N884" s="115"/>
      <c r="O884" s="115"/>
      <c r="P884" s="115">
        <v>57</v>
      </c>
      <c r="Q884" s="115">
        <v>58</v>
      </c>
      <c r="R884" s="115">
        <v>59</v>
      </c>
      <c r="S884" s="115">
        <v>60</v>
      </c>
      <c r="T884" s="115">
        <v>63</v>
      </c>
      <c r="U884" s="115">
        <v>69</v>
      </c>
      <c r="V884" s="115">
        <v>71</v>
      </c>
      <c r="W884" s="115">
        <v>77</v>
      </c>
      <c r="X884" s="115">
        <v>81</v>
      </c>
      <c r="Y884" s="115">
        <v>85</v>
      </c>
      <c r="Z884" s="115">
        <v>89</v>
      </c>
      <c r="AA884" s="146">
        <v>89</v>
      </c>
      <c r="AB884" s="115">
        <v>89</v>
      </c>
      <c r="AC884" s="115">
        <v>89</v>
      </c>
      <c r="AD884" s="115"/>
      <c r="AE884" s="115"/>
      <c r="AF884" s="115"/>
      <c r="AG884" s="115"/>
      <c r="AH884" s="115"/>
      <c r="AI884" s="115"/>
      <c r="AJ884" s="115"/>
      <c r="AK884" s="115"/>
    </row>
    <row r="885" spans="2:37" s="39" customFormat="1" x14ac:dyDescent="0.25">
      <c r="B885" s="112"/>
      <c r="E885" s="39" t="s">
        <v>437</v>
      </c>
      <c r="H885" s="39" t="s">
        <v>23</v>
      </c>
      <c r="I885" s="115"/>
      <c r="J885" s="115"/>
      <c r="K885" s="115"/>
      <c r="L885" s="115"/>
      <c r="M885" s="115"/>
      <c r="N885" s="115"/>
      <c r="O885" s="115"/>
      <c r="P885" s="115">
        <v>66</v>
      </c>
      <c r="Q885" s="115">
        <v>77</v>
      </c>
      <c r="R885" s="115">
        <v>78</v>
      </c>
      <c r="S885" s="115">
        <v>81</v>
      </c>
      <c r="T885" s="115">
        <v>81</v>
      </c>
      <c r="U885" s="115">
        <v>82</v>
      </c>
      <c r="V885" s="115">
        <v>84</v>
      </c>
      <c r="W885" s="115">
        <v>84</v>
      </c>
      <c r="X885" s="115">
        <v>88</v>
      </c>
      <c r="Y885" s="115">
        <v>88</v>
      </c>
      <c r="Z885" s="115">
        <v>88</v>
      </c>
      <c r="AA885" s="146">
        <v>88</v>
      </c>
      <c r="AB885" s="115">
        <v>88</v>
      </c>
      <c r="AC885" s="115">
        <v>88</v>
      </c>
      <c r="AD885" s="115"/>
      <c r="AE885" s="115"/>
      <c r="AF885" s="115"/>
      <c r="AG885" s="115"/>
      <c r="AH885" s="115"/>
      <c r="AI885" s="115"/>
      <c r="AJ885" s="115"/>
      <c r="AK885" s="115"/>
    </row>
    <row r="886" spans="2:37" s="81" customFormat="1" x14ac:dyDescent="0.25">
      <c r="B886" s="113"/>
      <c r="D886" s="81" t="s">
        <v>438</v>
      </c>
      <c r="H886" s="81" t="s">
        <v>23</v>
      </c>
      <c r="I886" s="114"/>
      <c r="J886" s="114"/>
      <c r="K886" s="114"/>
      <c r="L886" s="114"/>
      <c r="M886" s="114"/>
      <c r="N886" s="114"/>
      <c r="O886" s="114"/>
      <c r="P886" s="114">
        <f t="shared" ref="P886:AK886" si="177">SUM(P887:P891)</f>
        <v>629</v>
      </c>
      <c r="Q886" s="114">
        <f t="shared" si="177"/>
        <v>649</v>
      </c>
      <c r="R886" s="114">
        <f t="shared" si="177"/>
        <v>649</v>
      </c>
      <c r="S886" s="114">
        <f t="shared" si="177"/>
        <v>702</v>
      </c>
      <c r="T886" s="114">
        <f t="shared" si="177"/>
        <v>729</v>
      </c>
      <c r="U886" s="114">
        <f t="shared" si="177"/>
        <v>738</v>
      </c>
      <c r="V886" s="114">
        <f t="shared" si="177"/>
        <v>811</v>
      </c>
      <c r="W886" s="114">
        <f t="shared" si="177"/>
        <v>873</v>
      </c>
      <c r="X886" s="114">
        <f t="shared" si="177"/>
        <v>883</v>
      </c>
      <c r="Y886" s="114">
        <f t="shared" si="177"/>
        <v>963</v>
      </c>
      <c r="Z886" s="114">
        <f t="shared" si="177"/>
        <v>1005</v>
      </c>
      <c r="AA886" s="114">
        <f t="shared" si="177"/>
        <v>1079</v>
      </c>
      <c r="AB886" s="114">
        <f t="shared" si="177"/>
        <v>1160</v>
      </c>
      <c r="AC886" s="114">
        <f t="shared" si="177"/>
        <v>1196</v>
      </c>
      <c r="AD886" s="114">
        <f t="shared" si="177"/>
        <v>0</v>
      </c>
      <c r="AE886" s="114">
        <f t="shared" si="177"/>
        <v>0</v>
      </c>
      <c r="AF886" s="114">
        <f t="shared" si="177"/>
        <v>1152</v>
      </c>
      <c r="AG886" s="114">
        <f t="shared" si="177"/>
        <v>0</v>
      </c>
      <c r="AH886" s="114">
        <f t="shared" si="177"/>
        <v>0</v>
      </c>
      <c r="AI886" s="114">
        <f t="shared" si="177"/>
        <v>0</v>
      </c>
      <c r="AJ886" s="114">
        <f t="shared" si="177"/>
        <v>0</v>
      </c>
      <c r="AK886" s="114">
        <f t="shared" si="177"/>
        <v>0</v>
      </c>
    </row>
    <row r="887" spans="2:37" s="39" customFormat="1" x14ac:dyDescent="0.25">
      <c r="B887" s="112"/>
      <c r="E887" s="39" t="s">
        <v>439</v>
      </c>
      <c r="H887" s="39" t="s">
        <v>23</v>
      </c>
      <c r="I887" s="115"/>
      <c r="J887" s="115"/>
      <c r="K887" s="115"/>
      <c r="L887" s="115"/>
      <c r="M887" s="115"/>
      <c r="N887" s="115"/>
      <c r="O887" s="115"/>
      <c r="P887" s="115">
        <v>308</v>
      </c>
      <c r="Q887" s="115">
        <v>311</v>
      </c>
      <c r="R887" s="115">
        <v>311</v>
      </c>
      <c r="S887" s="115">
        <v>351</v>
      </c>
      <c r="T887" s="115">
        <v>360</v>
      </c>
      <c r="U887" s="115">
        <v>369</v>
      </c>
      <c r="V887" s="115">
        <v>380</v>
      </c>
      <c r="W887" s="115">
        <v>404</v>
      </c>
      <c r="X887" s="115">
        <v>404</v>
      </c>
      <c r="Y887" s="115">
        <v>414</v>
      </c>
      <c r="Z887" s="115">
        <v>394</v>
      </c>
      <c r="AA887" s="115">
        <v>385</v>
      </c>
      <c r="AB887" s="146">
        <f>AA887-2+1+1+1+1+9+1</f>
        <v>397</v>
      </c>
      <c r="AC887" s="115">
        <f>397+1+4</f>
        <v>402</v>
      </c>
      <c r="AD887" s="115"/>
      <c r="AE887" s="115"/>
      <c r="AF887" s="257">
        <v>392</v>
      </c>
      <c r="AG887" s="115"/>
      <c r="AH887" s="115"/>
      <c r="AI887" s="115"/>
      <c r="AJ887" s="115"/>
      <c r="AK887" s="115"/>
    </row>
    <row r="888" spans="2:37" s="39" customFormat="1" x14ac:dyDescent="0.25">
      <c r="B888" s="112"/>
      <c r="E888" s="39" t="s">
        <v>440</v>
      </c>
      <c r="H888" s="39" t="s">
        <v>23</v>
      </c>
      <c r="I888" s="115"/>
      <c r="J888" s="115"/>
      <c r="K888" s="115"/>
      <c r="L888" s="115"/>
      <c r="M888" s="115"/>
      <c r="N888" s="115"/>
      <c r="O888" s="115"/>
      <c r="P888" s="115">
        <v>207</v>
      </c>
      <c r="Q888" s="115">
        <v>224</v>
      </c>
      <c r="R888" s="115">
        <v>224</v>
      </c>
      <c r="S888" s="115">
        <v>224</v>
      </c>
      <c r="T888" s="115">
        <v>236</v>
      </c>
      <c r="U888" s="115">
        <v>236</v>
      </c>
      <c r="V888" s="115">
        <v>283</v>
      </c>
      <c r="W888" s="115">
        <v>321</v>
      </c>
      <c r="X888" s="115">
        <v>329</v>
      </c>
      <c r="Y888" s="115">
        <v>363</v>
      </c>
      <c r="Z888" s="115">
        <v>425</v>
      </c>
      <c r="AA888" s="146">
        <v>500</v>
      </c>
      <c r="AB888" s="115">
        <f>AA888+61</f>
        <v>561</v>
      </c>
      <c r="AC888" s="115">
        <f>561+2+5</f>
        <v>568</v>
      </c>
      <c r="AD888" s="115"/>
      <c r="AE888" s="115"/>
      <c r="AF888" s="258">
        <v>526</v>
      </c>
      <c r="AG888" s="115"/>
      <c r="AH888" s="115"/>
      <c r="AI888" s="115"/>
      <c r="AJ888" s="115"/>
      <c r="AK888" s="115"/>
    </row>
    <row r="889" spans="2:37" s="39" customFormat="1" x14ac:dyDescent="0.25">
      <c r="B889" s="112"/>
      <c r="E889" s="39" t="s">
        <v>441</v>
      </c>
      <c r="H889" s="39" t="s">
        <v>23</v>
      </c>
      <c r="I889" s="115">
        <v>53</v>
      </c>
      <c r="J889" s="115">
        <v>54</v>
      </c>
      <c r="K889" s="115">
        <v>84</v>
      </c>
      <c r="L889" s="115">
        <v>84</v>
      </c>
      <c r="M889" s="115">
        <v>84</v>
      </c>
      <c r="N889" s="115">
        <v>84</v>
      </c>
      <c r="O889" s="115">
        <v>96</v>
      </c>
      <c r="P889" s="115">
        <v>96</v>
      </c>
      <c r="Q889" s="115">
        <v>96</v>
      </c>
      <c r="R889" s="115">
        <v>96</v>
      </c>
      <c r="S889" s="115">
        <v>104</v>
      </c>
      <c r="T889" s="115">
        <v>104</v>
      </c>
      <c r="U889" s="115">
        <v>104</v>
      </c>
      <c r="V889" s="115">
        <v>115</v>
      </c>
      <c r="W889" s="115">
        <v>115</v>
      </c>
      <c r="X889" s="115">
        <v>115</v>
      </c>
      <c r="Y889" s="115">
        <v>115</v>
      </c>
      <c r="Z889" s="115">
        <v>115</v>
      </c>
      <c r="AA889" s="115">
        <v>115</v>
      </c>
      <c r="AB889" s="115">
        <v>115</v>
      </c>
      <c r="AC889" s="115">
        <f>115+24</f>
        <v>139</v>
      </c>
      <c r="AD889" s="115"/>
      <c r="AE889" s="115"/>
      <c r="AF889" s="257">
        <v>137</v>
      </c>
      <c r="AG889" s="115"/>
      <c r="AH889" s="115"/>
      <c r="AI889" s="115"/>
      <c r="AJ889" s="115"/>
      <c r="AK889" s="115"/>
    </row>
    <row r="890" spans="2:37" s="39" customFormat="1" x14ac:dyDescent="0.25">
      <c r="B890" s="112"/>
      <c r="E890" s="39" t="s">
        <v>442</v>
      </c>
      <c r="H890" s="39" t="s">
        <v>23</v>
      </c>
      <c r="I890" s="115">
        <v>0</v>
      </c>
      <c r="J890" s="115">
        <v>0</v>
      </c>
      <c r="K890" s="115">
        <v>0</v>
      </c>
      <c r="L890" s="115">
        <v>0</v>
      </c>
      <c r="M890" s="115">
        <v>0</v>
      </c>
      <c r="N890" s="115">
        <v>0</v>
      </c>
      <c r="O890" s="115">
        <v>0</v>
      </c>
      <c r="P890" s="115">
        <v>0</v>
      </c>
      <c r="Q890" s="115">
        <v>0</v>
      </c>
      <c r="R890" s="115">
        <v>0</v>
      </c>
      <c r="S890" s="115">
        <v>0</v>
      </c>
      <c r="T890" s="115">
        <v>2</v>
      </c>
      <c r="U890" s="115">
        <v>2</v>
      </c>
      <c r="V890" s="115">
        <v>2</v>
      </c>
      <c r="W890" s="115">
        <v>2</v>
      </c>
      <c r="X890" s="115">
        <v>2</v>
      </c>
      <c r="Y890" s="115">
        <v>30</v>
      </c>
      <c r="Z890" s="115">
        <v>30</v>
      </c>
      <c r="AA890" s="115">
        <v>30</v>
      </c>
      <c r="AB890" s="115">
        <v>30</v>
      </c>
      <c r="AC890" s="115">
        <v>30</v>
      </c>
      <c r="AD890" s="115"/>
      <c r="AE890" s="115"/>
      <c r="AF890" s="257">
        <v>28</v>
      </c>
      <c r="AG890" s="115"/>
      <c r="AH890" s="115"/>
      <c r="AI890" s="115"/>
      <c r="AJ890" s="115"/>
      <c r="AK890" s="115"/>
    </row>
    <row r="891" spans="2:37" s="39" customFormat="1" x14ac:dyDescent="0.25">
      <c r="B891" s="112"/>
      <c r="E891" s="39" t="s">
        <v>443</v>
      </c>
      <c r="H891" s="39" t="s">
        <v>23</v>
      </c>
      <c r="I891" s="115"/>
      <c r="J891" s="115"/>
      <c r="K891" s="115"/>
      <c r="L891" s="115"/>
      <c r="M891" s="115"/>
      <c r="N891" s="115"/>
      <c r="O891" s="115"/>
      <c r="P891" s="115">
        <v>18</v>
      </c>
      <c r="Q891" s="115">
        <v>18</v>
      </c>
      <c r="R891" s="115">
        <v>18</v>
      </c>
      <c r="S891" s="115">
        <v>23</v>
      </c>
      <c r="T891" s="115">
        <v>27</v>
      </c>
      <c r="U891" s="115">
        <v>27</v>
      </c>
      <c r="V891" s="115">
        <v>31</v>
      </c>
      <c r="W891" s="115">
        <v>31</v>
      </c>
      <c r="X891" s="115">
        <v>33</v>
      </c>
      <c r="Y891" s="115">
        <v>41</v>
      </c>
      <c r="Z891" s="115">
        <v>41</v>
      </c>
      <c r="AA891" s="115">
        <v>49</v>
      </c>
      <c r="AB891" s="115">
        <f>49+8</f>
        <v>57</v>
      </c>
      <c r="AC891" s="115">
        <v>57</v>
      </c>
      <c r="AD891" s="115"/>
      <c r="AE891" s="115"/>
      <c r="AF891" s="258">
        <v>69</v>
      </c>
      <c r="AG891" s="115"/>
      <c r="AH891" s="115"/>
      <c r="AI891" s="115"/>
      <c r="AJ891" s="115"/>
      <c r="AK891" s="115"/>
    </row>
    <row r="892" spans="2:37" s="81" customFormat="1" x14ac:dyDescent="0.25">
      <c r="B892" s="113"/>
      <c r="D892" s="81" t="s">
        <v>444</v>
      </c>
      <c r="H892" s="81" t="s">
        <v>23</v>
      </c>
      <c r="I892" s="114"/>
      <c r="J892" s="114"/>
      <c r="K892" s="114"/>
      <c r="L892" s="114"/>
      <c r="M892" s="114"/>
      <c r="N892" s="114"/>
      <c r="O892" s="114"/>
      <c r="P892" s="114">
        <f t="shared" ref="P892:AK892" si="178">SUM(P887,P889,P891)</f>
        <v>422</v>
      </c>
      <c r="Q892" s="114">
        <f t="shared" si="178"/>
        <v>425</v>
      </c>
      <c r="R892" s="114">
        <f t="shared" si="178"/>
        <v>425</v>
      </c>
      <c r="S892" s="114">
        <f t="shared" si="178"/>
        <v>478</v>
      </c>
      <c r="T892" s="114">
        <f t="shared" si="178"/>
        <v>491</v>
      </c>
      <c r="U892" s="114">
        <f t="shared" si="178"/>
        <v>500</v>
      </c>
      <c r="V892" s="114">
        <f t="shared" si="178"/>
        <v>526</v>
      </c>
      <c r="W892" s="114">
        <f t="shared" si="178"/>
        <v>550</v>
      </c>
      <c r="X892" s="114">
        <f t="shared" si="178"/>
        <v>552</v>
      </c>
      <c r="Y892" s="114">
        <f t="shared" si="178"/>
        <v>570</v>
      </c>
      <c r="Z892" s="114">
        <f t="shared" si="178"/>
        <v>550</v>
      </c>
      <c r="AA892" s="114">
        <f t="shared" si="178"/>
        <v>549</v>
      </c>
      <c r="AB892" s="114">
        <f t="shared" si="178"/>
        <v>569</v>
      </c>
      <c r="AC892" s="114">
        <f t="shared" si="178"/>
        <v>598</v>
      </c>
      <c r="AD892" s="114">
        <f t="shared" si="178"/>
        <v>0</v>
      </c>
      <c r="AE892" s="114">
        <f t="shared" si="178"/>
        <v>0</v>
      </c>
      <c r="AF892" s="114">
        <f t="shared" si="178"/>
        <v>598</v>
      </c>
      <c r="AG892" s="114">
        <f t="shared" si="178"/>
        <v>0</v>
      </c>
      <c r="AH892" s="114">
        <f t="shared" si="178"/>
        <v>0</v>
      </c>
      <c r="AI892" s="114">
        <f t="shared" si="178"/>
        <v>0</v>
      </c>
      <c r="AJ892" s="114">
        <f t="shared" si="178"/>
        <v>0</v>
      </c>
      <c r="AK892" s="114">
        <f t="shared" si="178"/>
        <v>0</v>
      </c>
    </row>
    <row r="893" spans="2:37" s="81" customFormat="1" x14ac:dyDescent="0.25">
      <c r="B893" s="113"/>
      <c r="D893" s="81" t="s">
        <v>445</v>
      </c>
      <c r="H893" s="81" t="s">
        <v>23</v>
      </c>
      <c r="I893" s="114"/>
      <c r="J893" s="114"/>
      <c r="K893" s="114"/>
      <c r="L893" s="114"/>
      <c r="M893" s="114"/>
      <c r="N893" s="114"/>
      <c r="O893" s="114"/>
      <c r="P893" s="114">
        <f t="shared" ref="P893:AK893" si="179">SUM(P884:P885,P888,P890)</f>
        <v>330</v>
      </c>
      <c r="Q893" s="114">
        <f t="shared" si="179"/>
        <v>359</v>
      </c>
      <c r="R893" s="114">
        <f t="shared" si="179"/>
        <v>361</v>
      </c>
      <c r="S893" s="114">
        <f t="shared" si="179"/>
        <v>365</v>
      </c>
      <c r="T893" s="114">
        <f t="shared" si="179"/>
        <v>382</v>
      </c>
      <c r="U893" s="114">
        <f t="shared" si="179"/>
        <v>389</v>
      </c>
      <c r="V893" s="114">
        <f t="shared" si="179"/>
        <v>440</v>
      </c>
      <c r="W893" s="114">
        <f t="shared" si="179"/>
        <v>484</v>
      </c>
      <c r="X893" s="114">
        <f t="shared" si="179"/>
        <v>500</v>
      </c>
      <c r="Y893" s="114">
        <f t="shared" si="179"/>
        <v>566</v>
      </c>
      <c r="Z893" s="114">
        <f t="shared" si="179"/>
        <v>632</v>
      </c>
      <c r="AA893" s="114">
        <f t="shared" si="179"/>
        <v>707</v>
      </c>
      <c r="AB893" s="114">
        <f t="shared" si="179"/>
        <v>768</v>
      </c>
      <c r="AC893" s="114">
        <f t="shared" si="179"/>
        <v>775</v>
      </c>
      <c r="AD893" s="114">
        <f t="shared" si="179"/>
        <v>0</v>
      </c>
      <c r="AE893" s="114">
        <f t="shared" si="179"/>
        <v>0</v>
      </c>
      <c r="AF893" s="114">
        <f t="shared" si="179"/>
        <v>554</v>
      </c>
      <c r="AG893" s="114">
        <f t="shared" si="179"/>
        <v>0</v>
      </c>
      <c r="AH893" s="114">
        <f t="shared" si="179"/>
        <v>0</v>
      </c>
      <c r="AI893" s="114">
        <f t="shared" si="179"/>
        <v>0</v>
      </c>
      <c r="AJ893" s="114">
        <f t="shared" si="179"/>
        <v>0</v>
      </c>
      <c r="AK893" s="114">
        <f t="shared" si="179"/>
        <v>0</v>
      </c>
    </row>
    <row r="894" spans="2:37" s="81" customFormat="1" x14ac:dyDescent="0.25">
      <c r="B894" s="113"/>
      <c r="I894" s="114"/>
      <c r="J894" s="114"/>
      <c r="K894" s="114"/>
      <c r="L894" s="114"/>
      <c r="M894" s="114"/>
      <c r="N894" s="114"/>
      <c r="O894" s="114"/>
      <c r="P894" s="114"/>
      <c r="Q894" s="114"/>
      <c r="R894" s="114"/>
      <c r="S894" s="114"/>
      <c r="T894" s="114"/>
      <c r="U894" s="114"/>
      <c r="V894" s="114"/>
      <c r="W894" s="114"/>
      <c r="X894" s="114"/>
      <c r="Y894" s="114"/>
      <c r="Z894" s="114"/>
      <c r="AA894" s="114"/>
      <c r="AB894" s="114"/>
      <c r="AC894" s="114"/>
      <c r="AD894" s="114"/>
      <c r="AE894" s="114"/>
      <c r="AF894" s="114"/>
      <c r="AG894" s="114"/>
      <c r="AH894" s="114"/>
      <c r="AI894" s="114"/>
      <c r="AJ894" s="114"/>
      <c r="AK894" s="114"/>
    </row>
    <row r="895" spans="2:37" s="81" customFormat="1" x14ac:dyDescent="0.25">
      <c r="B895" s="113"/>
      <c r="E895" s="59" t="s">
        <v>2241</v>
      </c>
      <c r="I895" s="114"/>
      <c r="J895" s="114"/>
      <c r="K895" s="114"/>
      <c r="L895" s="114"/>
      <c r="M895" s="114"/>
      <c r="N895" s="114"/>
      <c r="O895" s="114"/>
      <c r="P895" s="114"/>
      <c r="Q895" s="114"/>
      <c r="R895" s="114"/>
      <c r="S895" s="114"/>
      <c r="T895" s="114"/>
      <c r="U895" s="114"/>
      <c r="V895" s="114"/>
      <c r="W895" s="114"/>
      <c r="X895" s="114"/>
      <c r="Y895" s="114"/>
      <c r="Z895" s="114"/>
      <c r="AA895" s="114"/>
      <c r="AB895" s="114"/>
      <c r="AC895" s="114"/>
      <c r="AD895" s="114"/>
      <c r="AE895" s="114"/>
      <c r="AF895" s="114"/>
      <c r="AG895" s="114"/>
      <c r="AH895" s="114"/>
      <c r="AI895" s="114"/>
      <c r="AJ895" s="114"/>
      <c r="AK895" s="114"/>
    </row>
    <row r="896" spans="2:37" s="81" customFormat="1" x14ac:dyDescent="0.25">
      <c r="B896" s="113"/>
      <c r="E896" s="59" t="s">
        <v>2243</v>
      </c>
      <c r="I896" s="114"/>
      <c r="J896" s="114"/>
      <c r="K896" s="114"/>
      <c r="L896" s="114"/>
      <c r="M896" s="114"/>
      <c r="N896" s="114"/>
      <c r="O896" s="114"/>
      <c r="P896" s="114"/>
      <c r="Q896" s="114"/>
      <c r="R896" s="114"/>
      <c r="S896" s="114"/>
      <c r="T896" s="114"/>
      <c r="U896" s="114"/>
      <c r="V896" s="114"/>
      <c r="W896" s="114"/>
      <c r="X896" s="114"/>
      <c r="Y896" s="114"/>
      <c r="Z896" s="114"/>
      <c r="AA896" s="114"/>
      <c r="AB896" s="114"/>
      <c r="AC896" s="114"/>
      <c r="AD896" s="114"/>
      <c r="AE896" s="114"/>
      <c r="AF896" s="258">
        <v>257</v>
      </c>
      <c r="AG896" s="114"/>
      <c r="AH896" s="114"/>
      <c r="AI896" s="114"/>
      <c r="AJ896" s="114"/>
      <c r="AK896" s="114"/>
    </row>
    <row r="897" spans="1:37" s="81" customFormat="1" x14ac:dyDescent="0.25">
      <c r="B897" s="113"/>
      <c r="I897" s="114"/>
      <c r="J897" s="114"/>
      <c r="K897" s="114"/>
      <c r="L897" s="114"/>
      <c r="M897" s="114"/>
      <c r="N897" s="114"/>
      <c r="O897" s="114"/>
      <c r="P897" s="114"/>
      <c r="Q897" s="114"/>
      <c r="R897" s="114"/>
      <c r="S897" s="114"/>
      <c r="T897" s="114"/>
      <c r="U897" s="114"/>
      <c r="V897" s="114"/>
      <c r="W897" s="114"/>
      <c r="X897" s="114"/>
      <c r="Y897" s="114"/>
      <c r="Z897" s="114"/>
      <c r="AA897" s="114"/>
      <c r="AB897" s="114"/>
      <c r="AC897" s="114"/>
      <c r="AD897" s="114"/>
      <c r="AE897" s="114"/>
      <c r="AF897" s="114"/>
      <c r="AG897" s="114"/>
      <c r="AH897" s="114"/>
      <c r="AI897" s="114"/>
      <c r="AJ897" s="114"/>
      <c r="AK897" s="114"/>
    </row>
    <row r="898" spans="1:37" s="81" customFormat="1" x14ac:dyDescent="0.25">
      <c r="B898" s="113"/>
      <c r="I898" s="114"/>
      <c r="J898" s="114"/>
      <c r="K898" s="114"/>
      <c r="L898" s="114"/>
      <c r="M898" s="114"/>
      <c r="N898" s="114"/>
      <c r="O898" s="114"/>
      <c r="P898" s="114"/>
      <c r="Q898" s="114"/>
      <c r="R898" s="114"/>
      <c r="S898" s="114"/>
      <c r="T898" s="114"/>
      <c r="U898" s="114"/>
      <c r="V898" s="114"/>
      <c r="W898" s="114"/>
      <c r="X898" s="114"/>
      <c r="Y898" s="114"/>
      <c r="Z898" s="114"/>
      <c r="AA898" s="114"/>
      <c r="AB898" s="114"/>
      <c r="AC898" s="114"/>
      <c r="AD898" s="114"/>
      <c r="AE898" s="114"/>
      <c r="AF898" s="114"/>
      <c r="AG898" s="114"/>
      <c r="AH898" s="114"/>
      <c r="AI898" s="114"/>
      <c r="AJ898" s="114"/>
      <c r="AK898" s="114"/>
    </row>
    <row r="899" spans="1:37" s="81" customFormat="1" x14ac:dyDescent="0.25">
      <c r="B899" s="113"/>
      <c r="I899" s="114"/>
      <c r="J899" s="114"/>
      <c r="K899" s="114"/>
      <c r="L899" s="114"/>
      <c r="M899" s="114"/>
      <c r="N899" s="114"/>
      <c r="O899" s="114"/>
      <c r="P899" s="114"/>
      <c r="Q899" s="114"/>
      <c r="R899" s="114"/>
      <c r="S899" s="114"/>
      <c r="T899" s="114"/>
      <c r="U899" s="114"/>
      <c r="V899" s="114"/>
      <c r="W899" s="114"/>
      <c r="X899" s="114"/>
      <c r="Y899" s="114"/>
      <c r="Z899" s="114"/>
      <c r="AA899" s="114"/>
      <c r="AB899" s="114"/>
      <c r="AC899" s="114"/>
      <c r="AD899" s="114"/>
      <c r="AE899" s="114"/>
      <c r="AF899" s="114"/>
      <c r="AG899" s="114"/>
      <c r="AH899" s="114"/>
      <c r="AI899" s="114"/>
      <c r="AJ899" s="114"/>
      <c r="AK899" s="114"/>
    </row>
    <row r="900" spans="1:37" s="81" customFormat="1" x14ac:dyDescent="0.25">
      <c r="B900" s="113"/>
      <c r="I900" s="114"/>
      <c r="J900" s="114"/>
      <c r="K900" s="114"/>
      <c r="L900" s="114"/>
      <c r="M900" s="114"/>
      <c r="N900" s="114"/>
      <c r="O900" s="114"/>
      <c r="P900" s="114"/>
      <c r="Q900" s="114"/>
      <c r="R900" s="114"/>
      <c r="S900" s="114"/>
      <c r="T900" s="114"/>
      <c r="U900" s="114"/>
      <c r="V900" s="114"/>
      <c r="W900" s="114"/>
      <c r="X900" s="114"/>
      <c r="Y900" s="114"/>
      <c r="Z900" s="114"/>
      <c r="AA900" s="114"/>
      <c r="AB900" s="114"/>
      <c r="AC900" s="114"/>
      <c r="AD900" s="114"/>
      <c r="AE900" s="114"/>
      <c r="AF900" s="114"/>
      <c r="AG900" s="114"/>
      <c r="AH900" s="114"/>
      <c r="AI900" s="114"/>
      <c r="AJ900" s="114"/>
      <c r="AK900" s="114"/>
    </row>
    <row r="901" spans="1:37" s="2" customFormat="1" x14ac:dyDescent="0.25">
      <c r="B901" s="3"/>
      <c r="J901" s="48"/>
      <c r="K901" s="48"/>
      <c r="L901" s="48"/>
      <c r="M901" s="48"/>
      <c r="N901" s="48"/>
    </row>
    <row r="902" spans="1:37" s="28" customFormat="1" ht="17.25" x14ac:dyDescent="0.3">
      <c r="A902" s="28" t="s">
        <v>446</v>
      </c>
    </row>
    <row r="903" spans="1:37" x14ac:dyDescent="0.25">
      <c r="B903" s="29" t="s">
        <v>3</v>
      </c>
      <c r="C903" t="s">
        <v>2097</v>
      </c>
    </row>
    <row r="904" spans="1:37" x14ac:dyDescent="0.25">
      <c r="B904" s="29"/>
      <c r="D904" t="s">
        <v>447</v>
      </c>
    </row>
    <row r="905" spans="1:37" x14ac:dyDescent="0.25">
      <c r="B905" s="29"/>
      <c r="C905" t="s">
        <v>427</v>
      </c>
    </row>
    <row r="906" spans="1:37" x14ac:dyDescent="0.25">
      <c r="B906" s="29" t="s">
        <v>10</v>
      </c>
      <c r="C906" s="263" t="s">
        <v>446</v>
      </c>
    </row>
    <row r="907" spans="1:37" x14ac:dyDescent="0.25">
      <c r="B907" s="29" t="s">
        <v>14</v>
      </c>
      <c r="C907" t="s">
        <v>448</v>
      </c>
    </row>
    <row r="908" spans="1:37" x14ac:dyDescent="0.25">
      <c r="B908" s="29" t="s">
        <v>17</v>
      </c>
      <c r="C908" t="s">
        <v>449</v>
      </c>
    </row>
    <row r="909" spans="1:37" x14ac:dyDescent="0.25">
      <c r="B909" s="29"/>
      <c r="C909" t="s">
        <v>450</v>
      </c>
    </row>
    <row r="910" spans="1:37" s="25" customFormat="1" ht="15.75" thickBot="1" x14ac:dyDescent="0.3">
      <c r="B910" s="30" t="s">
        <v>19</v>
      </c>
      <c r="C910" s="25" t="s">
        <v>451</v>
      </c>
    </row>
    <row r="911" spans="1:37" s="42" customFormat="1" ht="15.75" thickTop="1" x14ac:dyDescent="0.25">
      <c r="B911" s="112" t="s">
        <v>21</v>
      </c>
      <c r="C911" s="42" t="s">
        <v>452</v>
      </c>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row>
    <row r="912" spans="1:37" s="42" customFormat="1" x14ac:dyDescent="0.25">
      <c r="B912" s="112"/>
      <c r="D912" s="42" t="s">
        <v>453</v>
      </c>
      <c r="H912" s="42" t="s">
        <v>23</v>
      </c>
      <c r="I912" s="116"/>
      <c r="J912" s="116"/>
      <c r="K912" s="116"/>
      <c r="L912" s="116"/>
      <c r="M912" s="116"/>
      <c r="N912" s="116"/>
      <c r="O912" s="116"/>
      <c r="P912" s="116"/>
      <c r="Q912" s="116"/>
      <c r="R912" s="116"/>
      <c r="S912" s="116"/>
      <c r="T912" s="116"/>
      <c r="U912" s="116"/>
      <c r="V912" s="116"/>
      <c r="W912" s="116">
        <f>SUM(W923,W933,W943)</f>
        <v>187</v>
      </c>
      <c r="X912" s="116">
        <f t="shared" ref="X912:AK912" si="180">SUM(X923,X933,X943)</f>
        <v>244</v>
      </c>
      <c r="Y912" s="116">
        <f t="shared" si="180"/>
        <v>183</v>
      </c>
      <c r="Z912" s="116">
        <f t="shared" si="180"/>
        <v>202</v>
      </c>
      <c r="AA912" s="116">
        <f t="shared" si="180"/>
        <v>271</v>
      </c>
      <c r="AB912" s="116">
        <f t="shared" si="180"/>
        <v>359</v>
      </c>
      <c r="AC912" s="116">
        <f t="shared" si="180"/>
        <v>548</v>
      </c>
      <c r="AD912" s="116">
        <f t="shared" si="180"/>
        <v>0</v>
      </c>
      <c r="AE912" s="116">
        <f t="shared" si="180"/>
        <v>0</v>
      </c>
      <c r="AF912" s="116">
        <f t="shared" si="180"/>
        <v>0</v>
      </c>
      <c r="AG912" s="116">
        <f t="shared" si="180"/>
        <v>0</v>
      </c>
      <c r="AH912" s="116">
        <f t="shared" si="180"/>
        <v>0</v>
      </c>
      <c r="AI912" s="116">
        <f t="shared" si="180"/>
        <v>0</v>
      </c>
      <c r="AJ912" s="116">
        <f t="shared" si="180"/>
        <v>0</v>
      </c>
      <c r="AK912" s="116">
        <f t="shared" si="180"/>
        <v>0</v>
      </c>
    </row>
    <row r="913" spans="2:37" s="81" customFormat="1" x14ac:dyDescent="0.25">
      <c r="B913" s="113"/>
      <c r="E913" s="81" t="s">
        <v>454</v>
      </c>
      <c r="H913" s="81" t="s">
        <v>23</v>
      </c>
      <c r="I913" s="114"/>
      <c r="J913" s="114"/>
      <c r="K913" s="114"/>
      <c r="L913" s="114"/>
      <c r="M913" s="114"/>
      <c r="N913" s="114"/>
      <c r="O913" s="114"/>
      <c r="P913" s="114"/>
      <c r="Q913" s="114"/>
      <c r="R913" s="114"/>
      <c r="S913" s="114"/>
      <c r="T913" s="114"/>
      <c r="U913" s="114"/>
      <c r="V913" s="114"/>
      <c r="W913" s="114">
        <f t="shared" ref="W913:AK913" si="181">SUM(W915:W920)</f>
        <v>0</v>
      </c>
      <c r="X913" s="114">
        <f t="shared" si="181"/>
        <v>0</v>
      </c>
      <c r="Y913" s="114">
        <f t="shared" si="181"/>
        <v>0</v>
      </c>
      <c r="Z913" s="114">
        <f t="shared" si="181"/>
        <v>79</v>
      </c>
      <c r="AA913" s="114">
        <f t="shared" si="181"/>
        <v>3</v>
      </c>
      <c r="AB913" s="114">
        <f t="shared" si="181"/>
        <v>290</v>
      </c>
      <c r="AC913" s="114">
        <f t="shared" si="181"/>
        <v>145</v>
      </c>
      <c r="AD913" s="114">
        <f t="shared" si="181"/>
        <v>0</v>
      </c>
      <c r="AE913" s="114">
        <f t="shared" si="181"/>
        <v>0</v>
      </c>
      <c r="AF913" s="114">
        <f t="shared" si="181"/>
        <v>0</v>
      </c>
      <c r="AG913" s="114">
        <f t="shared" si="181"/>
        <v>0</v>
      </c>
      <c r="AH913" s="114">
        <f t="shared" si="181"/>
        <v>0</v>
      </c>
      <c r="AI913" s="114">
        <f t="shared" si="181"/>
        <v>0</v>
      </c>
      <c r="AJ913" s="114">
        <f t="shared" si="181"/>
        <v>0</v>
      </c>
      <c r="AK913" s="114">
        <f t="shared" si="181"/>
        <v>0</v>
      </c>
    </row>
    <row r="914" spans="2:37" s="39" customFormat="1" x14ac:dyDescent="0.25">
      <c r="B914" s="112"/>
      <c r="F914" s="39" t="s">
        <v>455</v>
      </c>
      <c r="H914" s="39" t="s">
        <v>23</v>
      </c>
      <c r="I914" s="115"/>
      <c r="J914" s="115"/>
      <c r="K914" s="115"/>
      <c r="L914" s="115"/>
      <c r="M914" s="115"/>
      <c r="N914" s="115"/>
      <c r="O914" s="115"/>
      <c r="P914" s="115"/>
      <c r="Q914" s="115"/>
      <c r="R914" s="115"/>
      <c r="S914" s="115"/>
      <c r="T914" s="115"/>
      <c r="U914" s="115"/>
      <c r="V914" s="115"/>
      <c r="W914" s="115">
        <f t="shared" ref="W914:AK914" si="182">SUM(W915:W917)</f>
        <v>0</v>
      </c>
      <c r="X914" s="115">
        <f t="shared" si="182"/>
        <v>0</v>
      </c>
      <c r="Y914" s="115">
        <f t="shared" si="182"/>
        <v>0</v>
      </c>
      <c r="Z914" s="115">
        <f t="shared" si="182"/>
        <v>28</v>
      </c>
      <c r="AA914" s="115">
        <f t="shared" si="182"/>
        <v>1</v>
      </c>
      <c r="AB914" s="115">
        <f t="shared" si="182"/>
        <v>79</v>
      </c>
      <c r="AC914" s="115">
        <f t="shared" si="182"/>
        <v>31</v>
      </c>
      <c r="AD914" s="115">
        <f t="shared" si="182"/>
        <v>0</v>
      </c>
      <c r="AE914" s="115">
        <f t="shared" si="182"/>
        <v>0</v>
      </c>
      <c r="AF914" s="115">
        <f t="shared" si="182"/>
        <v>0</v>
      </c>
      <c r="AG914" s="115">
        <f t="shared" si="182"/>
        <v>0</v>
      </c>
      <c r="AH914" s="115">
        <f t="shared" si="182"/>
        <v>0</v>
      </c>
      <c r="AI914" s="115">
        <f t="shared" si="182"/>
        <v>0</v>
      </c>
      <c r="AJ914" s="115">
        <f t="shared" si="182"/>
        <v>0</v>
      </c>
      <c r="AK914" s="115">
        <f t="shared" si="182"/>
        <v>0</v>
      </c>
    </row>
    <row r="915" spans="2:37" s="39" customFormat="1" x14ac:dyDescent="0.25">
      <c r="B915" s="112"/>
      <c r="G915" s="39" t="s">
        <v>456</v>
      </c>
      <c r="H915" s="39" t="s">
        <v>23</v>
      </c>
      <c r="I915" s="115"/>
      <c r="J915" s="115"/>
      <c r="K915" s="115"/>
      <c r="L915" s="115"/>
      <c r="M915" s="115"/>
      <c r="N915" s="115"/>
      <c r="O915" s="115"/>
      <c r="P915" s="115"/>
      <c r="Q915" s="115"/>
      <c r="R915" s="115"/>
      <c r="S915" s="115"/>
      <c r="T915" s="115"/>
      <c r="U915" s="115"/>
      <c r="V915" s="115"/>
      <c r="W915" s="115"/>
      <c r="X915" s="115"/>
      <c r="Y915" s="115"/>
      <c r="Z915" s="115">
        <v>0</v>
      </c>
      <c r="AA915" s="115">
        <v>0</v>
      </c>
      <c r="AB915" s="115">
        <v>78</v>
      </c>
      <c r="AC915" s="115">
        <v>30</v>
      </c>
      <c r="AD915" s="115"/>
      <c r="AE915" s="115"/>
      <c r="AF915" s="115"/>
      <c r="AG915" s="115"/>
      <c r="AH915" s="115"/>
      <c r="AI915" s="115"/>
      <c r="AJ915" s="115"/>
      <c r="AK915" s="115"/>
    </row>
    <row r="916" spans="2:37" s="39" customFormat="1" x14ac:dyDescent="0.25">
      <c r="B916" s="112"/>
      <c r="G916" s="39" t="s">
        <v>457</v>
      </c>
      <c r="H916" s="39" t="s">
        <v>23</v>
      </c>
      <c r="I916" s="115"/>
      <c r="J916" s="115"/>
      <c r="K916" s="115"/>
      <c r="L916" s="115"/>
      <c r="M916" s="115"/>
      <c r="N916" s="115"/>
      <c r="O916" s="115"/>
      <c r="P916" s="115"/>
      <c r="Q916" s="115"/>
      <c r="R916" s="115"/>
      <c r="S916" s="115"/>
      <c r="T916" s="115"/>
      <c r="U916" s="115"/>
      <c r="V916" s="115"/>
      <c r="W916" s="115"/>
      <c r="X916" s="115"/>
      <c r="Y916" s="115"/>
      <c r="Z916" s="115">
        <v>2</v>
      </c>
      <c r="AA916" s="115">
        <v>0</v>
      </c>
      <c r="AB916" s="115">
        <v>0</v>
      </c>
      <c r="AC916" s="115">
        <v>0</v>
      </c>
      <c r="AD916" s="115"/>
      <c r="AE916" s="115"/>
      <c r="AF916" s="115"/>
      <c r="AG916" s="115"/>
      <c r="AH916" s="115"/>
      <c r="AI916" s="115"/>
      <c r="AJ916" s="115"/>
      <c r="AK916" s="115"/>
    </row>
    <row r="917" spans="2:37" s="39" customFormat="1" x14ac:dyDescent="0.25">
      <c r="B917" s="112"/>
      <c r="G917" s="39" t="s">
        <v>458</v>
      </c>
      <c r="H917" s="39" t="s">
        <v>23</v>
      </c>
      <c r="I917" s="115"/>
      <c r="J917" s="115"/>
      <c r="K917" s="115"/>
      <c r="L917" s="115"/>
      <c r="M917" s="115"/>
      <c r="N917" s="115"/>
      <c r="O917" s="115"/>
      <c r="P917" s="115"/>
      <c r="Q917" s="115"/>
      <c r="R917" s="115"/>
      <c r="S917" s="115"/>
      <c r="T917" s="115"/>
      <c r="U917" s="115"/>
      <c r="V917" s="115"/>
      <c r="W917" s="115"/>
      <c r="X917" s="115"/>
      <c r="Y917" s="115"/>
      <c r="Z917" s="115">
        <v>26</v>
      </c>
      <c r="AA917" s="115">
        <v>1</v>
      </c>
      <c r="AB917" s="115">
        <v>1</v>
      </c>
      <c r="AC917" s="115">
        <v>1</v>
      </c>
      <c r="AD917" s="115"/>
      <c r="AE917" s="115"/>
      <c r="AF917" s="115"/>
      <c r="AG917" s="115"/>
      <c r="AH917" s="115"/>
      <c r="AI917" s="115"/>
      <c r="AJ917" s="115"/>
      <c r="AK917" s="115"/>
    </row>
    <row r="918" spans="2:37" s="39" customFormat="1" x14ac:dyDescent="0.25">
      <c r="B918" s="112"/>
      <c r="F918" s="39" t="s">
        <v>459</v>
      </c>
      <c r="H918" s="39" t="s">
        <v>23</v>
      </c>
      <c r="I918" s="115"/>
      <c r="J918" s="115"/>
      <c r="K918" s="115"/>
      <c r="L918" s="115"/>
      <c r="M918" s="115"/>
      <c r="N918" s="115"/>
      <c r="O918" s="115"/>
      <c r="P918" s="115"/>
      <c r="Q918" s="115"/>
      <c r="R918" s="115"/>
      <c r="S918" s="115"/>
      <c r="T918" s="115"/>
      <c r="U918" s="115"/>
      <c r="V918" s="115"/>
      <c r="W918" s="115"/>
      <c r="X918" s="115"/>
      <c r="Y918" s="115"/>
      <c r="Z918" s="115">
        <v>51</v>
      </c>
      <c r="AA918" s="115">
        <v>2</v>
      </c>
      <c r="AB918" s="115">
        <v>211</v>
      </c>
      <c r="AC918" s="115">
        <v>114</v>
      </c>
      <c r="AD918" s="115"/>
      <c r="AE918" s="115"/>
      <c r="AF918" s="115"/>
      <c r="AG918" s="115"/>
      <c r="AH918" s="115"/>
      <c r="AI918" s="115"/>
      <c r="AJ918" s="115"/>
      <c r="AK918" s="115"/>
    </row>
    <row r="919" spans="2:37" s="39" customFormat="1" x14ac:dyDescent="0.25">
      <c r="B919" s="112"/>
      <c r="F919" s="39" t="s">
        <v>460</v>
      </c>
      <c r="H919" s="39" t="s">
        <v>23</v>
      </c>
      <c r="I919" s="115"/>
      <c r="J919" s="115"/>
      <c r="K919" s="115"/>
      <c r="L919" s="115"/>
      <c r="M919" s="115"/>
      <c r="N919" s="115"/>
      <c r="O919" s="115"/>
      <c r="P919" s="115"/>
      <c r="Q919" s="115"/>
      <c r="R919" s="115"/>
      <c r="S919" s="115"/>
      <c r="T919" s="115"/>
      <c r="U919" s="115"/>
      <c r="V919" s="115"/>
      <c r="W919" s="115"/>
      <c r="X919" s="115"/>
      <c r="Y919" s="115"/>
      <c r="Z919" s="115">
        <v>0</v>
      </c>
      <c r="AA919" s="115">
        <v>0</v>
      </c>
      <c r="AB919" s="115"/>
      <c r="AC919" s="115"/>
      <c r="AD919" s="115"/>
      <c r="AE919" s="115"/>
      <c r="AF919" s="115"/>
      <c r="AG919" s="115"/>
      <c r="AH919" s="115"/>
      <c r="AI919" s="115"/>
      <c r="AJ919" s="115"/>
      <c r="AK919" s="115"/>
    </row>
    <row r="920" spans="2:37" s="39" customFormat="1" x14ac:dyDescent="0.25">
      <c r="B920" s="112"/>
      <c r="F920" s="39" t="s">
        <v>461</v>
      </c>
      <c r="H920" s="39" t="s">
        <v>23</v>
      </c>
      <c r="I920" s="115"/>
      <c r="J920" s="115"/>
      <c r="K920" s="115"/>
      <c r="L920" s="115"/>
      <c r="M920" s="115"/>
      <c r="N920" s="115"/>
      <c r="O920" s="115"/>
      <c r="P920" s="115"/>
      <c r="Q920" s="115"/>
      <c r="R920" s="115"/>
      <c r="S920" s="115"/>
      <c r="T920" s="115"/>
      <c r="U920" s="115"/>
      <c r="V920" s="115"/>
      <c r="W920" s="115"/>
      <c r="X920" s="115"/>
      <c r="Y920" s="115"/>
      <c r="Z920" s="115">
        <v>0</v>
      </c>
      <c r="AA920" s="115">
        <v>0</v>
      </c>
      <c r="AB920" s="115"/>
      <c r="AC920" s="115"/>
      <c r="AD920" s="115"/>
      <c r="AE920" s="115"/>
      <c r="AF920" s="115"/>
      <c r="AG920" s="115"/>
      <c r="AH920" s="115"/>
      <c r="AI920" s="115"/>
      <c r="AJ920" s="115"/>
      <c r="AK920" s="115"/>
    </row>
    <row r="921" spans="2:37" s="39" customFormat="1" x14ac:dyDescent="0.25">
      <c r="B921" s="112"/>
      <c r="F921" s="39" t="s">
        <v>462</v>
      </c>
      <c r="H921" s="39" t="s">
        <v>23</v>
      </c>
      <c r="I921" s="115"/>
      <c r="J921" s="115"/>
      <c r="K921" s="115"/>
      <c r="L921" s="115"/>
      <c r="M921" s="115"/>
      <c r="N921" s="115"/>
      <c r="O921" s="115"/>
      <c r="P921" s="115"/>
      <c r="Q921" s="115"/>
      <c r="R921" s="115"/>
      <c r="S921" s="115"/>
      <c r="T921" s="115"/>
      <c r="U921" s="115"/>
      <c r="V921" s="115"/>
      <c r="W921" s="115"/>
      <c r="X921" s="115"/>
      <c r="Y921" s="115"/>
      <c r="Z921" s="115">
        <v>7</v>
      </c>
      <c r="AA921" s="115">
        <v>7</v>
      </c>
      <c r="AB921" s="115">
        <v>68</v>
      </c>
      <c r="AC921" s="115">
        <v>148</v>
      </c>
      <c r="AD921" s="115"/>
      <c r="AE921" s="115"/>
      <c r="AF921" s="115"/>
      <c r="AG921" s="115"/>
      <c r="AH921" s="115"/>
      <c r="AI921" s="115"/>
      <c r="AJ921" s="115"/>
      <c r="AK921" s="115"/>
    </row>
    <row r="922" spans="2:37" s="39" customFormat="1" x14ac:dyDescent="0.25">
      <c r="B922" s="112"/>
      <c r="F922" s="39" t="s">
        <v>463</v>
      </c>
      <c r="H922" s="39" t="s">
        <v>23</v>
      </c>
      <c r="I922" s="115"/>
      <c r="J922" s="115"/>
      <c r="K922" s="115"/>
      <c r="L922" s="115"/>
      <c r="M922" s="115"/>
      <c r="N922" s="115"/>
      <c r="O922" s="115"/>
      <c r="P922" s="115"/>
      <c r="Q922" s="115"/>
      <c r="R922" s="115"/>
      <c r="S922" s="115"/>
      <c r="T922" s="115"/>
      <c r="U922" s="115"/>
      <c r="V922" s="115"/>
      <c r="W922" s="115"/>
      <c r="X922" s="115"/>
      <c r="Y922" s="115"/>
      <c r="Z922" s="115">
        <v>0</v>
      </c>
      <c r="AA922" s="115">
        <v>0</v>
      </c>
      <c r="AB922" s="115">
        <v>0</v>
      </c>
      <c r="AC922" s="115"/>
      <c r="AD922" s="115"/>
      <c r="AE922" s="115"/>
      <c r="AF922" s="115"/>
      <c r="AG922" s="115"/>
      <c r="AH922" s="115"/>
      <c r="AI922" s="115"/>
      <c r="AJ922" s="115"/>
      <c r="AK922" s="115"/>
    </row>
    <row r="923" spans="2:37" s="81" customFormat="1" x14ac:dyDescent="0.25">
      <c r="B923" s="113"/>
      <c r="E923" s="81" t="s">
        <v>464</v>
      </c>
      <c r="H923" s="81" t="s">
        <v>23</v>
      </c>
      <c r="I923" s="114"/>
      <c r="J923" s="114"/>
      <c r="K923" s="114"/>
      <c r="L923" s="114"/>
      <c r="M923" s="114"/>
      <c r="N923" s="114"/>
      <c r="O923" s="114"/>
      <c r="P923" s="114"/>
      <c r="Q923" s="114"/>
      <c r="R923" s="114"/>
      <c r="S923" s="114"/>
      <c r="T923" s="114"/>
      <c r="U923" s="114"/>
      <c r="V923" s="114"/>
      <c r="W923" s="114">
        <f t="shared" ref="W923:AK923" si="183">SUM(W925:W930)</f>
        <v>100</v>
      </c>
      <c r="X923" s="114">
        <f t="shared" si="183"/>
        <v>136</v>
      </c>
      <c r="Y923" s="114">
        <f t="shared" si="183"/>
        <v>24</v>
      </c>
      <c r="Z923" s="114">
        <f t="shared" si="183"/>
        <v>17</v>
      </c>
      <c r="AA923" s="114">
        <f t="shared" si="183"/>
        <v>0</v>
      </c>
      <c r="AB923" s="114">
        <f t="shared" si="183"/>
        <v>0</v>
      </c>
      <c r="AC923" s="114">
        <f t="shared" si="183"/>
        <v>0</v>
      </c>
      <c r="AD923" s="114">
        <f t="shared" si="183"/>
        <v>0</v>
      </c>
      <c r="AE923" s="114">
        <f t="shared" si="183"/>
        <v>0</v>
      </c>
      <c r="AF923" s="114">
        <f t="shared" si="183"/>
        <v>0</v>
      </c>
      <c r="AG923" s="114">
        <f t="shared" si="183"/>
        <v>0</v>
      </c>
      <c r="AH923" s="114">
        <f t="shared" si="183"/>
        <v>0</v>
      </c>
      <c r="AI923" s="114">
        <f t="shared" si="183"/>
        <v>0</v>
      </c>
      <c r="AJ923" s="114">
        <f t="shared" si="183"/>
        <v>0</v>
      </c>
      <c r="AK923" s="114">
        <f t="shared" si="183"/>
        <v>0</v>
      </c>
    </row>
    <row r="924" spans="2:37" s="39" customFormat="1" x14ac:dyDescent="0.25">
      <c r="B924" s="112"/>
      <c r="F924" s="39" t="s">
        <v>455</v>
      </c>
      <c r="H924" s="39" t="s">
        <v>23</v>
      </c>
      <c r="I924" s="115"/>
      <c r="J924" s="115"/>
      <c r="K924" s="115"/>
      <c r="L924" s="115"/>
      <c r="M924" s="115"/>
      <c r="N924" s="115"/>
      <c r="O924" s="115"/>
      <c r="P924" s="115"/>
      <c r="Q924" s="115"/>
      <c r="R924" s="115"/>
      <c r="S924" s="115"/>
      <c r="T924" s="115"/>
      <c r="U924" s="115"/>
      <c r="V924" s="115"/>
      <c r="W924" s="115">
        <f>SUM(W925:W927)</f>
        <v>27</v>
      </c>
      <c r="X924" s="115">
        <f t="shared" ref="X924:AK924" si="184">SUM(X925:X927)</f>
        <v>31</v>
      </c>
      <c r="Y924" s="115">
        <f t="shared" si="184"/>
        <v>0</v>
      </c>
      <c r="Z924" s="115">
        <f t="shared" si="184"/>
        <v>12</v>
      </c>
      <c r="AA924" s="115">
        <f t="shared" si="184"/>
        <v>0</v>
      </c>
      <c r="AB924" s="115">
        <f t="shared" si="184"/>
        <v>0</v>
      </c>
      <c r="AC924" s="115">
        <f t="shared" si="184"/>
        <v>0</v>
      </c>
      <c r="AD924" s="115">
        <f t="shared" si="184"/>
        <v>0</v>
      </c>
      <c r="AE924" s="115">
        <f t="shared" si="184"/>
        <v>0</v>
      </c>
      <c r="AF924" s="115">
        <f t="shared" si="184"/>
        <v>0</v>
      </c>
      <c r="AG924" s="115">
        <f t="shared" si="184"/>
        <v>0</v>
      </c>
      <c r="AH924" s="115">
        <f t="shared" si="184"/>
        <v>0</v>
      </c>
      <c r="AI924" s="115">
        <f t="shared" si="184"/>
        <v>0</v>
      </c>
      <c r="AJ924" s="115">
        <f t="shared" si="184"/>
        <v>0</v>
      </c>
      <c r="AK924" s="115">
        <f t="shared" si="184"/>
        <v>0</v>
      </c>
    </row>
    <row r="925" spans="2:37" s="39" customFormat="1" x14ac:dyDescent="0.25">
      <c r="B925" s="112"/>
      <c r="G925" s="39" t="s">
        <v>456</v>
      </c>
      <c r="H925" s="39" t="s">
        <v>23</v>
      </c>
      <c r="I925" s="115"/>
      <c r="J925" s="115"/>
      <c r="K925" s="115"/>
      <c r="L925" s="115"/>
      <c r="M925" s="115"/>
      <c r="N925" s="115"/>
      <c r="O925" s="115"/>
      <c r="P925" s="115"/>
      <c r="Q925" s="115"/>
      <c r="R925" s="115"/>
      <c r="S925" s="115"/>
      <c r="T925" s="115"/>
      <c r="U925" s="115"/>
      <c r="V925" s="115"/>
      <c r="W925" s="115">
        <v>0</v>
      </c>
      <c r="X925" s="115">
        <v>0</v>
      </c>
      <c r="Y925" s="115">
        <v>0</v>
      </c>
      <c r="Z925" s="115">
        <v>4</v>
      </c>
      <c r="AA925" s="146">
        <v>0</v>
      </c>
      <c r="AB925" s="115">
        <v>0</v>
      </c>
      <c r="AC925" s="115"/>
      <c r="AD925" s="115"/>
      <c r="AE925" s="115"/>
      <c r="AF925" s="115"/>
      <c r="AG925" s="115"/>
      <c r="AH925" s="115"/>
      <c r="AI925" s="115"/>
      <c r="AJ925" s="115"/>
      <c r="AK925" s="115"/>
    </row>
    <row r="926" spans="2:37" s="39" customFormat="1" x14ac:dyDescent="0.25">
      <c r="B926" s="112"/>
      <c r="G926" s="39" t="s">
        <v>457</v>
      </c>
      <c r="H926" s="39" t="s">
        <v>23</v>
      </c>
      <c r="I926" s="115"/>
      <c r="J926" s="115"/>
      <c r="K926" s="115"/>
      <c r="L926" s="115"/>
      <c r="M926" s="115"/>
      <c r="N926" s="115"/>
      <c r="O926" s="115"/>
      <c r="P926" s="115"/>
      <c r="Q926" s="115"/>
      <c r="R926" s="115"/>
      <c r="S926" s="115"/>
      <c r="T926" s="115"/>
      <c r="U926" s="115"/>
      <c r="V926" s="115"/>
      <c r="W926" s="115">
        <v>0</v>
      </c>
      <c r="X926" s="115">
        <v>0</v>
      </c>
      <c r="Y926" s="115">
        <v>0</v>
      </c>
      <c r="Z926" s="115">
        <v>2</v>
      </c>
      <c r="AA926" s="146">
        <v>0</v>
      </c>
      <c r="AB926" s="115">
        <v>0</v>
      </c>
      <c r="AC926" s="115"/>
      <c r="AD926" s="115"/>
      <c r="AE926" s="115"/>
      <c r="AF926" s="115"/>
      <c r="AG926" s="115"/>
      <c r="AH926" s="115"/>
      <c r="AI926" s="115"/>
      <c r="AJ926" s="115"/>
      <c r="AK926" s="115"/>
    </row>
    <row r="927" spans="2:37" s="39" customFormat="1" x14ac:dyDescent="0.25">
      <c r="B927" s="112"/>
      <c r="G927" s="39" t="s">
        <v>458</v>
      </c>
      <c r="H927" s="39" t="s">
        <v>23</v>
      </c>
      <c r="I927" s="115"/>
      <c r="J927" s="115"/>
      <c r="K927" s="115"/>
      <c r="L927" s="115"/>
      <c r="M927" s="115"/>
      <c r="N927" s="115"/>
      <c r="O927" s="115"/>
      <c r="P927" s="115"/>
      <c r="Q927" s="115"/>
      <c r="R927" s="115"/>
      <c r="S927" s="115"/>
      <c r="T927" s="115"/>
      <c r="U927" s="115"/>
      <c r="V927" s="115"/>
      <c r="W927" s="115">
        <v>27</v>
      </c>
      <c r="X927" s="115">
        <v>31</v>
      </c>
      <c r="Y927" s="115">
        <v>0</v>
      </c>
      <c r="Z927" s="115">
        <v>6</v>
      </c>
      <c r="AA927" s="146">
        <v>0</v>
      </c>
      <c r="AB927" s="115">
        <v>0</v>
      </c>
      <c r="AC927" s="115"/>
      <c r="AD927" s="115"/>
      <c r="AE927" s="115"/>
      <c r="AF927" s="115"/>
      <c r="AG927" s="115"/>
      <c r="AH927" s="115"/>
      <c r="AI927" s="115"/>
      <c r="AJ927" s="115"/>
      <c r="AK927" s="115"/>
    </row>
    <row r="928" spans="2:37" s="39" customFormat="1" x14ac:dyDescent="0.25">
      <c r="B928" s="112"/>
      <c r="F928" s="39" t="s">
        <v>459</v>
      </c>
      <c r="H928" s="39" t="s">
        <v>23</v>
      </c>
      <c r="I928" s="115"/>
      <c r="J928" s="115"/>
      <c r="K928" s="115"/>
      <c r="L928" s="115"/>
      <c r="M928" s="115"/>
      <c r="N928" s="115"/>
      <c r="O928" s="115"/>
      <c r="P928" s="115"/>
      <c r="Q928" s="115"/>
      <c r="R928" s="115"/>
      <c r="S928" s="115"/>
      <c r="T928" s="115"/>
      <c r="U928" s="115"/>
      <c r="V928" s="115"/>
      <c r="W928" s="115">
        <v>45</v>
      </c>
      <c r="X928" s="115">
        <v>77</v>
      </c>
      <c r="Y928" s="115">
        <v>0</v>
      </c>
      <c r="Z928" s="115">
        <v>5</v>
      </c>
      <c r="AA928" s="146">
        <v>0</v>
      </c>
      <c r="AB928" s="115">
        <v>0</v>
      </c>
      <c r="AC928" s="115"/>
      <c r="AD928" s="115"/>
      <c r="AE928" s="115"/>
      <c r="AF928" s="115"/>
      <c r="AG928" s="115"/>
      <c r="AH928" s="115"/>
      <c r="AI928" s="115"/>
      <c r="AJ928" s="115"/>
      <c r="AK928" s="115"/>
    </row>
    <row r="929" spans="2:37" s="39" customFormat="1" x14ac:dyDescent="0.25">
      <c r="B929" s="112"/>
      <c r="F929" s="39" t="s">
        <v>460</v>
      </c>
      <c r="H929" s="39" t="s">
        <v>23</v>
      </c>
      <c r="I929" s="115"/>
      <c r="J929" s="115"/>
      <c r="K929" s="115"/>
      <c r="L929" s="115"/>
      <c r="M929" s="115"/>
      <c r="N929" s="115"/>
      <c r="O929" s="115"/>
      <c r="P929" s="115"/>
      <c r="Q929" s="115"/>
      <c r="R929" s="115"/>
      <c r="S929" s="115"/>
      <c r="T929" s="115"/>
      <c r="U929" s="115"/>
      <c r="V929" s="115"/>
      <c r="W929" s="115">
        <v>0</v>
      </c>
      <c r="X929" s="115">
        <v>0</v>
      </c>
      <c r="Y929" s="115">
        <v>0</v>
      </c>
      <c r="Z929" s="115">
        <v>0</v>
      </c>
      <c r="AA929" s="146">
        <v>0</v>
      </c>
      <c r="AB929" s="115"/>
      <c r="AC929" s="115"/>
      <c r="AD929" s="115"/>
      <c r="AE929" s="115"/>
      <c r="AF929" s="115"/>
      <c r="AG929" s="115"/>
      <c r="AH929" s="115"/>
      <c r="AI929" s="115"/>
      <c r="AJ929" s="115"/>
      <c r="AK929" s="115"/>
    </row>
    <row r="930" spans="2:37" s="39" customFormat="1" x14ac:dyDescent="0.25">
      <c r="B930" s="112"/>
      <c r="F930" s="39" t="s">
        <v>461</v>
      </c>
      <c r="H930" s="39" t="s">
        <v>23</v>
      </c>
      <c r="I930" s="115"/>
      <c r="J930" s="115"/>
      <c r="K930" s="115"/>
      <c r="L930" s="115"/>
      <c r="M930" s="115"/>
      <c r="N930" s="115"/>
      <c r="O930" s="115"/>
      <c r="P930" s="115"/>
      <c r="Q930" s="115"/>
      <c r="R930" s="115"/>
      <c r="S930" s="115"/>
      <c r="T930" s="115"/>
      <c r="U930" s="115"/>
      <c r="V930" s="115"/>
      <c r="W930" s="115">
        <v>28</v>
      </c>
      <c r="X930" s="115">
        <v>28</v>
      </c>
      <c r="Y930" s="115">
        <v>24</v>
      </c>
      <c r="Z930" s="115">
        <v>0</v>
      </c>
      <c r="AA930" s="146">
        <v>0</v>
      </c>
      <c r="AB930" s="115"/>
      <c r="AC930" s="115"/>
      <c r="AD930" s="115"/>
      <c r="AE930" s="115"/>
      <c r="AF930" s="115"/>
      <c r="AG930" s="115"/>
      <c r="AH930" s="115"/>
      <c r="AI930" s="115"/>
      <c r="AJ930" s="115"/>
      <c r="AK930" s="115"/>
    </row>
    <row r="931" spans="2:37" s="39" customFormat="1" x14ac:dyDescent="0.25">
      <c r="B931" s="112"/>
      <c r="F931" s="39" t="s">
        <v>462</v>
      </c>
      <c r="H931" s="39" t="s">
        <v>23</v>
      </c>
      <c r="I931" s="115"/>
      <c r="J931" s="115"/>
      <c r="K931" s="115"/>
      <c r="L931" s="115"/>
      <c r="M931" s="115"/>
      <c r="N931" s="115"/>
      <c r="O931" s="115"/>
      <c r="P931" s="115"/>
      <c r="Q931" s="115"/>
      <c r="R931" s="115"/>
      <c r="S931" s="115"/>
      <c r="T931" s="115"/>
      <c r="U931" s="115"/>
      <c r="V931" s="115"/>
      <c r="W931" s="115">
        <v>0</v>
      </c>
      <c r="X931" s="115">
        <v>58</v>
      </c>
      <c r="Y931" s="115">
        <v>0</v>
      </c>
      <c r="Z931" s="115">
        <v>24</v>
      </c>
      <c r="AA931" s="146">
        <v>0</v>
      </c>
      <c r="AB931" s="115">
        <v>0</v>
      </c>
      <c r="AC931" s="115"/>
      <c r="AD931" s="115"/>
      <c r="AE931" s="115"/>
      <c r="AF931" s="115"/>
      <c r="AG931" s="115"/>
      <c r="AH931" s="115"/>
      <c r="AI931" s="115"/>
      <c r="AJ931" s="115"/>
      <c r="AK931" s="115"/>
    </row>
    <row r="932" spans="2:37" s="39" customFormat="1" x14ac:dyDescent="0.25">
      <c r="B932" s="112"/>
      <c r="F932" s="39" t="s">
        <v>463</v>
      </c>
      <c r="H932" s="39" t="s">
        <v>23</v>
      </c>
      <c r="I932" s="115"/>
      <c r="J932" s="115"/>
      <c r="K932" s="115"/>
      <c r="L932" s="115"/>
      <c r="M932" s="115"/>
      <c r="N932" s="115"/>
      <c r="O932" s="115"/>
      <c r="P932" s="115"/>
      <c r="Q932" s="115"/>
      <c r="R932" s="115"/>
      <c r="S932" s="115"/>
      <c r="T932" s="115"/>
      <c r="U932" s="115"/>
      <c r="V932" s="115"/>
      <c r="W932" s="115">
        <v>96</v>
      </c>
      <c r="X932" s="115">
        <v>105</v>
      </c>
      <c r="Y932" s="115">
        <v>15</v>
      </c>
      <c r="Z932" s="115">
        <v>15</v>
      </c>
      <c r="AA932" s="217">
        <v>15</v>
      </c>
      <c r="AB932" s="115">
        <v>15</v>
      </c>
      <c r="AC932" s="115"/>
      <c r="AD932" s="115"/>
      <c r="AE932" s="115"/>
      <c r="AF932" s="115"/>
      <c r="AG932" s="115"/>
      <c r="AH932" s="115"/>
      <c r="AI932" s="115"/>
      <c r="AJ932" s="115"/>
      <c r="AK932" s="115"/>
    </row>
    <row r="933" spans="2:37" s="81" customFormat="1" x14ac:dyDescent="0.25">
      <c r="B933" s="113"/>
      <c r="E933" s="81" t="s">
        <v>465</v>
      </c>
      <c r="H933" s="81" t="s">
        <v>23</v>
      </c>
      <c r="I933" s="114"/>
      <c r="J933" s="114"/>
      <c r="K933" s="114"/>
      <c r="L933" s="114"/>
      <c r="M933" s="114"/>
      <c r="N933" s="114"/>
      <c r="O933" s="114"/>
      <c r="P933" s="114"/>
      <c r="Q933" s="114"/>
      <c r="R933" s="114"/>
      <c r="S933" s="114"/>
      <c r="T933" s="114"/>
      <c r="U933" s="114"/>
      <c r="V933" s="114"/>
      <c r="W933" s="114">
        <f t="shared" ref="W933:AK933" si="185">SUM(W935:W940)</f>
        <v>53</v>
      </c>
      <c r="X933" s="114">
        <f t="shared" si="185"/>
        <v>49</v>
      </c>
      <c r="Y933" s="114">
        <f t="shared" si="185"/>
        <v>66</v>
      </c>
      <c r="Z933" s="114">
        <f t="shared" si="185"/>
        <v>10</v>
      </c>
      <c r="AA933" s="114">
        <f t="shared" si="185"/>
        <v>19</v>
      </c>
      <c r="AB933" s="114">
        <f t="shared" si="185"/>
        <v>123</v>
      </c>
      <c r="AC933" s="114">
        <f t="shared" si="185"/>
        <v>321</v>
      </c>
      <c r="AD933" s="114">
        <f t="shared" si="185"/>
        <v>0</v>
      </c>
      <c r="AE933" s="114">
        <f t="shared" si="185"/>
        <v>0</v>
      </c>
      <c r="AF933" s="114">
        <f t="shared" si="185"/>
        <v>0</v>
      </c>
      <c r="AG933" s="114">
        <f t="shared" si="185"/>
        <v>0</v>
      </c>
      <c r="AH933" s="114">
        <f t="shared" si="185"/>
        <v>0</v>
      </c>
      <c r="AI933" s="114">
        <f t="shared" si="185"/>
        <v>0</v>
      </c>
      <c r="AJ933" s="114">
        <f t="shared" si="185"/>
        <v>0</v>
      </c>
      <c r="AK933" s="114">
        <f t="shared" si="185"/>
        <v>0</v>
      </c>
    </row>
    <row r="934" spans="2:37" s="39" customFormat="1" x14ac:dyDescent="0.25">
      <c r="B934" s="112"/>
      <c r="F934" s="39" t="s">
        <v>455</v>
      </c>
      <c r="H934" s="39" t="s">
        <v>23</v>
      </c>
      <c r="I934" s="115"/>
      <c r="J934" s="115"/>
      <c r="K934" s="115"/>
      <c r="L934" s="115"/>
      <c r="M934" s="115"/>
      <c r="N934" s="115"/>
      <c r="O934" s="115"/>
      <c r="P934" s="115"/>
      <c r="Q934" s="115"/>
      <c r="R934" s="115"/>
      <c r="S934" s="115"/>
      <c r="T934" s="115"/>
      <c r="U934" s="115"/>
      <c r="V934" s="115"/>
      <c r="W934" s="115">
        <f>SUM(W935:W937)</f>
        <v>37</v>
      </c>
      <c r="X934" s="115">
        <f t="shared" ref="X934:AK934" si="186">SUM(X935:X937)</f>
        <v>8</v>
      </c>
      <c r="Y934" s="115">
        <f t="shared" si="186"/>
        <v>14</v>
      </c>
      <c r="Z934" s="115">
        <f t="shared" si="186"/>
        <v>10</v>
      </c>
      <c r="AA934" s="115">
        <f t="shared" si="186"/>
        <v>15</v>
      </c>
      <c r="AB934" s="115">
        <f t="shared" si="186"/>
        <v>48</v>
      </c>
      <c r="AC934" s="115">
        <f t="shared" si="186"/>
        <v>30</v>
      </c>
      <c r="AD934" s="115">
        <f t="shared" si="186"/>
        <v>0</v>
      </c>
      <c r="AE934" s="115">
        <f t="shared" si="186"/>
        <v>0</v>
      </c>
      <c r="AF934" s="115">
        <f t="shared" si="186"/>
        <v>0</v>
      </c>
      <c r="AG934" s="115">
        <f t="shared" si="186"/>
        <v>0</v>
      </c>
      <c r="AH934" s="115">
        <f t="shared" si="186"/>
        <v>0</v>
      </c>
      <c r="AI934" s="115">
        <f t="shared" si="186"/>
        <v>0</v>
      </c>
      <c r="AJ934" s="115">
        <f t="shared" si="186"/>
        <v>0</v>
      </c>
      <c r="AK934" s="115">
        <f t="shared" si="186"/>
        <v>0</v>
      </c>
    </row>
    <row r="935" spans="2:37" s="39" customFormat="1" x14ac:dyDescent="0.25">
      <c r="B935" s="112"/>
      <c r="G935" s="39" t="s">
        <v>456</v>
      </c>
      <c r="H935" s="39" t="s">
        <v>23</v>
      </c>
      <c r="I935" s="115"/>
      <c r="J935" s="115"/>
      <c r="K935" s="115"/>
      <c r="L935" s="115"/>
      <c r="M935" s="115"/>
      <c r="N935" s="115"/>
      <c r="O935" s="115"/>
      <c r="P935" s="115"/>
      <c r="Q935" s="115"/>
      <c r="R935" s="115"/>
      <c r="S935" s="115"/>
      <c r="T935" s="115"/>
      <c r="U935" s="115"/>
      <c r="V935" s="115"/>
      <c r="W935" s="115">
        <v>0</v>
      </c>
      <c r="X935" s="115">
        <v>0</v>
      </c>
      <c r="Y935" s="115">
        <v>0</v>
      </c>
      <c r="Z935" s="115">
        <v>0</v>
      </c>
      <c r="AA935" s="115">
        <v>4</v>
      </c>
      <c r="AB935" s="115">
        <v>15</v>
      </c>
      <c r="AC935" s="115">
        <v>1</v>
      </c>
      <c r="AD935" s="115"/>
      <c r="AE935" s="115"/>
      <c r="AF935" s="115"/>
      <c r="AG935" s="115"/>
      <c r="AH935" s="115"/>
      <c r="AI935" s="115"/>
      <c r="AJ935" s="115"/>
      <c r="AK935" s="115"/>
    </row>
    <row r="936" spans="2:37" s="39" customFormat="1" x14ac:dyDescent="0.25">
      <c r="B936" s="112"/>
      <c r="G936" s="39" t="s">
        <v>457</v>
      </c>
      <c r="H936" s="39" t="s">
        <v>23</v>
      </c>
      <c r="I936" s="115"/>
      <c r="J936" s="115"/>
      <c r="K936" s="115"/>
      <c r="L936" s="115"/>
      <c r="M936" s="115"/>
      <c r="N936" s="115"/>
      <c r="O936" s="115"/>
      <c r="P936" s="115"/>
      <c r="Q936" s="115"/>
      <c r="R936" s="115"/>
      <c r="S936" s="115"/>
      <c r="T936" s="115"/>
      <c r="U936" s="115"/>
      <c r="V936" s="115"/>
      <c r="W936" s="115">
        <v>0</v>
      </c>
      <c r="X936" s="115">
        <v>8</v>
      </c>
      <c r="Y936" s="115">
        <v>8</v>
      </c>
      <c r="Z936" s="115">
        <v>0</v>
      </c>
      <c r="AA936" s="115">
        <v>2</v>
      </c>
      <c r="AB936" s="115">
        <v>14</v>
      </c>
      <c r="AC936" s="115">
        <v>0</v>
      </c>
      <c r="AD936" s="115"/>
      <c r="AE936" s="115"/>
      <c r="AF936" s="115"/>
      <c r="AG936" s="115"/>
      <c r="AH936" s="115"/>
      <c r="AI936" s="115"/>
      <c r="AJ936" s="115"/>
      <c r="AK936" s="115"/>
    </row>
    <row r="937" spans="2:37" s="39" customFormat="1" x14ac:dyDescent="0.25">
      <c r="B937" s="112"/>
      <c r="G937" s="39" t="s">
        <v>458</v>
      </c>
      <c r="H937" s="39" t="s">
        <v>23</v>
      </c>
      <c r="I937" s="115"/>
      <c r="J937" s="115"/>
      <c r="K937" s="115"/>
      <c r="L937" s="115"/>
      <c r="M937" s="115"/>
      <c r="N937" s="115"/>
      <c r="O937" s="115"/>
      <c r="P937" s="115"/>
      <c r="Q937" s="115"/>
      <c r="R937" s="115"/>
      <c r="S937" s="115"/>
      <c r="T937" s="115"/>
      <c r="U937" s="115"/>
      <c r="V937" s="115"/>
      <c r="W937" s="115">
        <v>37</v>
      </c>
      <c r="X937" s="115">
        <v>0</v>
      </c>
      <c r="Y937" s="115">
        <v>6</v>
      </c>
      <c r="Z937" s="115">
        <v>10</v>
      </c>
      <c r="AA937" s="115">
        <v>9</v>
      </c>
      <c r="AB937" s="115">
        <v>19</v>
      </c>
      <c r="AC937" s="115">
        <v>29</v>
      </c>
      <c r="AD937" s="115"/>
      <c r="AE937" s="115"/>
      <c r="AF937" s="115"/>
      <c r="AG937" s="115"/>
      <c r="AH937" s="115"/>
      <c r="AI937" s="115"/>
      <c r="AJ937" s="115"/>
      <c r="AK937" s="115"/>
    </row>
    <row r="938" spans="2:37" s="39" customFormat="1" x14ac:dyDescent="0.25">
      <c r="B938" s="112"/>
      <c r="F938" s="39" t="s">
        <v>459</v>
      </c>
      <c r="H938" s="39" t="s">
        <v>23</v>
      </c>
      <c r="I938" s="115"/>
      <c r="J938" s="115"/>
      <c r="K938" s="115"/>
      <c r="L938" s="115"/>
      <c r="M938" s="115"/>
      <c r="N938" s="115"/>
      <c r="O938" s="115"/>
      <c r="P938" s="115"/>
      <c r="Q938" s="115"/>
      <c r="R938" s="115"/>
      <c r="S938" s="115"/>
      <c r="T938" s="115"/>
      <c r="U938" s="115"/>
      <c r="V938" s="115"/>
      <c r="W938" s="115">
        <v>0</v>
      </c>
      <c r="X938" s="115">
        <v>0</v>
      </c>
      <c r="Y938" s="115">
        <v>48</v>
      </c>
      <c r="Z938" s="115">
        <v>0</v>
      </c>
      <c r="AA938" s="115">
        <v>4</v>
      </c>
      <c r="AB938" s="115">
        <v>75</v>
      </c>
      <c r="AC938" s="115">
        <v>291</v>
      </c>
      <c r="AD938" s="115"/>
      <c r="AE938" s="115"/>
      <c r="AF938" s="115"/>
      <c r="AG938" s="115"/>
      <c r="AH938" s="115"/>
      <c r="AI938" s="115"/>
      <c r="AJ938" s="115"/>
      <c r="AK938" s="115"/>
    </row>
    <row r="939" spans="2:37" s="39" customFormat="1" x14ac:dyDescent="0.25">
      <c r="B939" s="112"/>
      <c r="F939" s="39" t="s">
        <v>460</v>
      </c>
      <c r="H939" s="39" t="s">
        <v>23</v>
      </c>
      <c r="I939" s="115"/>
      <c r="J939" s="115"/>
      <c r="K939" s="115"/>
      <c r="L939" s="115"/>
      <c r="M939" s="115"/>
      <c r="N939" s="115"/>
      <c r="O939" s="115"/>
      <c r="P939" s="115"/>
      <c r="Q939" s="115"/>
      <c r="R939" s="115"/>
      <c r="S939" s="115"/>
      <c r="T939" s="115"/>
      <c r="U939" s="115"/>
      <c r="V939" s="115"/>
      <c r="W939" s="115">
        <v>0</v>
      </c>
      <c r="X939" s="115">
        <v>0</v>
      </c>
      <c r="Y939" s="115">
        <v>0</v>
      </c>
      <c r="Z939" s="115">
        <v>0</v>
      </c>
      <c r="AA939" s="115">
        <v>0</v>
      </c>
      <c r="AB939" s="115"/>
      <c r="AC939" s="115"/>
      <c r="AD939" s="115"/>
      <c r="AE939" s="115"/>
      <c r="AF939" s="115"/>
      <c r="AG939" s="115"/>
      <c r="AH939" s="115"/>
      <c r="AI939" s="115"/>
      <c r="AJ939" s="115"/>
      <c r="AK939" s="115"/>
    </row>
    <row r="940" spans="2:37" s="39" customFormat="1" x14ac:dyDescent="0.25">
      <c r="B940" s="112"/>
      <c r="F940" s="39" t="s">
        <v>461</v>
      </c>
      <c r="H940" s="39" t="s">
        <v>23</v>
      </c>
      <c r="I940" s="115"/>
      <c r="J940" s="115"/>
      <c r="K940" s="115"/>
      <c r="L940" s="115"/>
      <c r="M940" s="115"/>
      <c r="N940" s="115"/>
      <c r="O940" s="115"/>
      <c r="P940" s="115"/>
      <c r="Q940" s="115"/>
      <c r="R940" s="115"/>
      <c r="S940" s="115"/>
      <c r="T940" s="115"/>
      <c r="U940" s="115"/>
      <c r="V940" s="115"/>
      <c r="W940" s="115">
        <v>16</v>
      </c>
      <c r="X940" s="115">
        <f>25+16</f>
        <v>41</v>
      </c>
      <c r="Y940" s="115">
        <v>4</v>
      </c>
      <c r="Z940" s="115">
        <v>0</v>
      </c>
      <c r="AA940" s="146">
        <v>0</v>
      </c>
      <c r="AB940" s="115"/>
      <c r="AC940" s="115"/>
      <c r="AD940" s="115"/>
      <c r="AE940" s="115"/>
      <c r="AF940" s="115"/>
      <c r="AG940" s="115"/>
      <c r="AH940" s="115"/>
      <c r="AI940" s="115"/>
      <c r="AJ940" s="115"/>
      <c r="AK940" s="115"/>
    </row>
    <row r="941" spans="2:37" s="39" customFormat="1" x14ac:dyDescent="0.25">
      <c r="B941" s="112"/>
      <c r="F941" s="39" t="s">
        <v>462</v>
      </c>
      <c r="H941" s="39" t="s">
        <v>23</v>
      </c>
      <c r="I941" s="115"/>
      <c r="J941" s="115"/>
      <c r="K941" s="115"/>
      <c r="L941" s="115"/>
      <c r="M941" s="115"/>
      <c r="N941" s="115"/>
      <c r="O941" s="115"/>
      <c r="P941" s="115"/>
      <c r="Q941" s="115"/>
      <c r="R941" s="115"/>
      <c r="S941" s="115"/>
      <c r="T941" s="115"/>
      <c r="U941" s="115"/>
      <c r="V941" s="115"/>
      <c r="W941" s="115">
        <v>0</v>
      </c>
      <c r="X941" s="115">
        <v>0</v>
      </c>
      <c r="Y941" s="115">
        <v>58</v>
      </c>
      <c r="Z941" s="115">
        <v>14</v>
      </c>
      <c r="AA941" s="146">
        <v>14</v>
      </c>
      <c r="AB941" s="115">
        <v>14</v>
      </c>
      <c r="AC941" s="115">
        <v>80</v>
      </c>
      <c r="AD941" s="115"/>
      <c r="AE941" s="115"/>
      <c r="AF941" s="115"/>
      <c r="AG941" s="115"/>
      <c r="AH941" s="115"/>
      <c r="AI941" s="115"/>
      <c r="AJ941" s="115"/>
      <c r="AK941" s="115"/>
    </row>
    <row r="942" spans="2:37" s="39" customFormat="1" x14ac:dyDescent="0.25">
      <c r="B942" s="112"/>
      <c r="F942" s="39" t="s">
        <v>463</v>
      </c>
      <c r="H942" s="39" t="s">
        <v>23</v>
      </c>
      <c r="I942" s="115"/>
      <c r="J942" s="115"/>
      <c r="K942" s="115"/>
      <c r="L942" s="115"/>
      <c r="M942" s="115"/>
      <c r="N942" s="115"/>
      <c r="O942" s="115"/>
      <c r="P942" s="115"/>
      <c r="Q942" s="115"/>
      <c r="R942" s="115"/>
      <c r="S942" s="115"/>
      <c r="T942" s="115"/>
      <c r="U942" s="115"/>
      <c r="V942" s="115"/>
      <c r="W942" s="115">
        <v>22</v>
      </c>
      <c r="X942" s="115">
        <v>34</v>
      </c>
      <c r="Y942" s="115">
        <f>37+16</f>
        <v>53</v>
      </c>
      <c r="Z942" s="115">
        <v>51</v>
      </c>
      <c r="AA942" s="146">
        <v>21</v>
      </c>
      <c r="AB942" s="115">
        <v>21</v>
      </c>
      <c r="AC942" s="115">
        <v>41</v>
      </c>
      <c r="AD942" s="115"/>
      <c r="AE942" s="115"/>
      <c r="AF942" s="115"/>
      <c r="AG942" s="115"/>
      <c r="AH942" s="115"/>
      <c r="AI942" s="115"/>
      <c r="AJ942" s="115"/>
      <c r="AK942" s="115"/>
    </row>
    <row r="943" spans="2:37" s="81" customFormat="1" x14ac:dyDescent="0.25">
      <c r="B943" s="113"/>
      <c r="E943" s="81" t="s">
        <v>466</v>
      </c>
      <c r="H943" s="81" t="s">
        <v>23</v>
      </c>
      <c r="I943" s="114"/>
      <c r="J943" s="114"/>
      <c r="K943" s="114"/>
      <c r="L943" s="114"/>
      <c r="M943" s="114"/>
      <c r="N943" s="114"/>
      <c r="O943" s="114"/>
      <c r="P943" s="114"/>
      <c r="Q943" s="114"/>
      <c r="R943" s="114"/>
      <c r="S943" s="114"/>
      <c r="T943" s="114"/>
      <c r="U943" s="114"/>
      <c r="V943" s="114"/>
      <c r="W943" s="114">
        <f t="shared" ref="W943:AK943" si="187">SUM(W945:W950)</f>
        <v>34</v>
      </c>
      <c r="X943" s="114">
        <f t="shared" si="187"/>
        <v>59</v>
      </c>
      <c r="Y943" s="114">
        <f t="shared" si="187"/>
        <v>93</v>
      </c>
      <c r="Z943" s="114">
        <f t="shared" si="187"/>
        <v>175</v>
      </c>
      <c r="AA943" s="114">
        <f t="shared" si="187"/>
        <v>252</v>
      </c>
      <c r="AB943" s="114">
        <f t="shared" si="187"/>
        <v>236</v>
      </c>
      <c r="AC943" s="114">
        <f t="shared" si="187"/>
        <v>227</v>
      </c>
      <c r="AD943" s="114">
        <f t="shared" si="187"/>
        <v>0</v>
      </c>
      <c r="AE943" s="114">
        <f t="shared" si="187"/>
        <v>0</v>
      </c>
      <c r="AF943" s="114">
        <f t="shared" si="187"/>
        <v>0</v>
      </c>
      <c r="AG943" s="114">
        <f t="shared" si="187"/>
        <v>0</v>
      </c>
      <c r="AH943" s="114">
        <f t="shared" si="187"/>
        <v>0</v>
      </c>
      <c r="AI943" s="114">
        <f t="shared" si="187"/>
        <v>0</v>
      </c>
      <c r="AJ943" s="114">
        <f t="shared" si="187"/>
        <v>0</v>
      </c>
      <c r="AK943" s="114">
        <f t="shared" si="187"/>
        <v>0</v>
      </c>
    </row>
    <row r="944" spans="2:37" s="39" customFormat="1" x14ac:dyDescent="0.25">
      <c r="B944" s="112"/>
      <c r="F944" s="39" t="s">
        <v>455</v>
      </c>
      <c r="H944" s="39" t="s">
        <v>23</v>
      </c>
      <c r="I944" s="115"/>
      <c r="J944" s="115"/>
      <c r="K944" s="115"/>
      <c r="L944" s="115"/>
      <c r="M944" s="115"/>
      <c r="N944" s="115"/>
      <c r="O944" s="115"/>
      <c r="P944" s="115"/>
      <c r="Q944" s="115"/>
      <c r="R944" s="115"/>
      <c r="S944" s="115"/>
      <c r="T944" s="115"/>
      <c r="U944" s="115"/>
      <c r="V944" s="115"/>
      <c r="W944" s="115">
        <f>SUM(W945:W947)</f>
        <v>8</v>
      </c>
      <c r="X944" s="115">
        <f t="shared" ref="X944:AK944" si="188">SUM(X945:X947)</f>
        <v>55</v>
      </c>
      <c r="Y944" s="115">
        <f t="shared" si="188"/>
        <v>46</v>
      </c>
      <c r="Z944" s="115">
        <f t="shared" si="188"/>
        <v>74</v>
      </c>
      <c r="AA944" s="115">
        <f t="shared" si="188"/>
        <v>79</v>
      </c>
      <c r="AB944" s="115">
        <f t="shared" si="188"/>
        <v>85</v>
      </c>
      <c r="AC944" s="115">
        <f t="shared" si="188"/>
        <v>123</v>
      </c>
      <c r="AD944" s="115">
        <f t="shared" si="188"/>
        <v>0</v>
      </c>
      <c r="AE944" s="115">
        <f t="shared" si="188"/>
        <v>0</v>
      </c>
      <c r="AF944" s="115">
        <f t="shared" si="188"/>
        <v>0</v>
      </c>
      <c r="AG944" s="115">
        <f t="shared" si="188"/>
        <v>0</v>
      </c>
      <c r="AH944" s="115">
        <f t="shared" si="188"/>
        <v>0</v>
      </c>
      <c r="AI944" s="115">
        <f t="shared" si="188"/>
        <v>0</v>
      </c>
      <c r="AJ944" s="115">
        <f t="shared" si="188"/>
        <v>0</v>
      </c>
      <c r="AK944" s="115">
        <f t="shared" si="188"/>
        <v>0</v>
      </c>
    </row>
    <row r="945" spans="2:37" s="39" customFormat="1" x14ac:dyDescent="0.25">
      <c r="B945" s="112"/>
      <c r="G945" s="39" t="s">
        <v>456</v>
      </c>
      <c r="H945" s="39" t="s">
        <v>23</v>
      </c>
      <c r="I945" s="115"/>
      <c r="J945" s="115"/>
      <c r="K945" s="115"/>
      <c r="L945" s="115"/>
      <c r="M945" s="115"/>
      <c r="N945" s="115"/>
      <c r="O945" s="115"/>
      <c r="P945" s="115"/>
      <c r="Q945" s="115"/>
      <c r="R945" s="115"/>
      <c r="S945" s="115"/>
      <c r="T945" s="115"/>
      <c r="U945" s="115"/>
      <c r="V945" s="115"/>
      <c r="W945" s="115">
        <v>0</v>
      </c>
      <c r="X945" s="115">
        <v>0</v>
      </c>
      <c r="Y945" s="115">
        <v>0</v>
      </c>
      <c r="Z945" s="115">
        <v>1</v>
      </c>
      <c r="AA945" s="115">
        <v>0</v>
      </c>
      <c r="AB945" s="115">
        <v>1</v>
      </c>
      <c r="AC945" s="115">
        <v>61</v>
      </c>
      <c r="AD945" s="115"/>
      <c r="AE945" s="115"/>
      <c r="AF945" s="115"/>
      <c r="AG945" s="115"/>
      <c r="AH945" s="115"/>
      <c r="AI945" s="115"/>
      <c r="AJ945" s="115"/>
      <c r="AK945" s="115"/>
    </row>
    <row r="946" spans="2:37" s="39" customFormat="1" x14ac:dyDescent="0.25">
      <c r="B946" s="112"/>
      <c r="G946" s="39" t="s">
        <v>457</v>
      </c>
      <c r="H946" s="39" t="s">
        <v>23</v>
      </c>
      <c r="I946" s="115"/>
      <c r="J946" s="115"/>
      <c r="K946" s="115"/>
      <c r="L946" s="115"/>
      <c r="M946" s="115"/>
      <c r="N946" s="115"/>
      <c r="O946" s="115"/>
      <c r="P946" s="115"/>
      <c r="Q946" s="115"/>
      <c r="R946" s="115"/>
      <c r="S946" s="115"/>
      <c r="T946" s="115"/>
      <c r="U946" s="115"/>
      <c r="V946" s="115"/>
      <c r="W946" s="115">
        <v>0</v>
      </c>
      <c r="X946" s="115">
        <v>12</v>
      </c>
      <c r="Y946" s="115">
        <v>8</v>
      </c>
      <c r="Z946" s="115">
        <v>17</v>
      </c>
      <c r="AA946" s="115">
        <v>11</v>
      </c>
      <c r="AB946" s="115">
        <v>19</v>
      </c>
      <c r="AC946" s="115">
        <v>47</v>
      </c>
      <c r="AD946" s="115"/>
      <c r="AE946" s="115"/>
      <c r="AF946" s="115"/>
      <c r="AG946" s="115"/>
      <c r="AH946" s="115"/>
      <c r="AI946" s="115"/>
      <c r="AJ946" s="115"/>
      <c r="AK946" s="115"/>
    </row>
    <row r="947" spans="2:37" s="39" customFormat="1" x14ac:dyDescent="0.25">
      <c r="B947" s="112"/>
      <c r="G947" s="39" t="s">
        <v>458</v>
      </c>
      <c r="H947" s="39" t="s">
        <v>23</v>
      </c>
      <c r="I947" s="115"/>
      <c r="J947" s="115"/>
      <c r="K947" s="115"/>
      <c r="L947" s="115"/>
      <c r="M947" s="115"/>
      <c r="N947" s="115"/>
      <c r="O947" s="115"/>
      <c r="P947" s="115"/>
      <c r="Q947" s="115"/>
      <c r="R947" s="115"/>
      <c r="S947" s="115"/>
      <c r="T947" s="115"/>
      <c r="U947" s="115"/>
      <c r="V947" s="115"/>
      <c r="W947" s="115">
        <v>8</v>
      </c>
      <c r="X947" s="115">
        <f>61-18</f>
        <v>43</v>
      </c>
      <c r="Y947" s="115">
        <v>38</v>
      </c>
      <c r="Z947" s="115">
        <v>56</v>
      </c>
      <c r="AA947" s="115">
        <v>68</v>
      </c>
      <c r="AB947" s="115">
        <v>65</v>
      </c>
      <c r="AC947" s="115">
        <v>15</v>
      </c>
      <c r="AD947" s="115"/>
      <c r="AE947" s="115"/>
      <c r="AF947" s="115"/>
      <c r="AG947" s="115"/>
      <c r="AH947" s="115"/>
      <c r="AI947" s="115"/>
      <c r="AJ947" s="115"/>
      <c r="AK947" s="115"/>
    </row>
    <row r="948" spans="2:37" s="39" customFormat="1" x14ac:dyDescent="0.25">
      <c r="B948" s="112"/>
      <c r="F948" s="39" t="s">
        <v>459</v>
      </c>
      <c r="H948" s="39" t="s">
        <v>23</v>
      </c>
      <c r="I948" s="115"/>
      <c r="J948" s="115"/>
      <c r="K948" s="115"/>
      <c r="L948" s="115"/>
      <c r="M948" s="115"/>
      <c r="N948" s="115"/>
      <c r="O948" s="115"/>
      <c r="P948" s="115"/>
      <c r="Q948" s="115"/>
      <c r="R948" s="115"/>
      <c r="S948" s="115"/>
      <c r="T948" s="115"/>
      <c r="U948" s="115"/>
      <c r="V948" s="115"/>
      <c r="W948" s="115">
        <v>0</v>
      </c>
      <c r="X948" s="115">
        <v>4</v>
      </c>
      <c r="Y948" s="115">
        <f>22+12+11+2</f>
        <v>47</v>
      </c>
      <c r="Z948" s="115">
        <v>101</v>
      </c>
      <c r="AA948" s="115">
        <v>173</v>
      </c>
      <c r="AB948" s="115">
        <v>151</v>
      </c>
      <c r="AC948" s="115">
        <v>104</v>
      </c>
      <c r="AD948" s="115"/>
      <c r="AE948" s="115"/>
      <c r="AF948" s="115"/>
      <c r="AG948" s="115"/>
      <c r="AH948" s="115"/>
      <c r="AI948" s="115"/>
      <c r="AJ948" s="115"/>
      <c r="AK948" s="115"/>
    </row>
    <row r="949" spans="2:37" s="39" customFormat="1" x14ac:dyDescent="0.25">
      <c r="B949" s="112"/>
      <c r="F949" s="39" t="s">
        <v>460</v>
      </c>
      <c r="H949" s="39" t="s">
        <v>23</v>
      </c>
      <c r="I949" s="115"/>
      <c r="J949" s="115"/>
      <c r="K949" s="115"/>
      <c r="L949" s="115"/>
      <c r="M949" s="115"/>
      <c r="N949" s="115"/>
      <c r="O949" s="115"/>
      <c r="P949" s="115"/>
      <c r="Q949" s="115"/>
      <c r="R949" s="115"/>
      <c r="S949" s="115"/>
      <c r="T949" s="115"/>
      <c r="U949" s="115"/>
      <c r="V949" s="115"/>
      <c r="W949" s="115">
        <v>15</v>
      </c>
      <c r="X949" s="115">
        <v>0</v>
      </c>
      <c r="Y949" s="115">
        <v>0</v>
      </c>
      <c r="Z949" s="115">
        <v>0</v>
      </c>
      <c r="AA949" s="115">
        <v>0</v>
      </c>
      <c r="AB949" s="115"/>
      <c r="AC949" s="115"/>
      <c r="AD949" s="115"/>
      <c r="AE949" s="115"/>
      <c r="AF949" s="115"/>
      <c r="AG949" s="115"/>
      <c r="AH949" s="115"/>
      <c r="AI949" s="115"/>
      <c r="AJ949" s="115"/>
      <c r="AK949" s="115"/>
    </row>
    <row r="950" spans="2:37" s="39" customFormat="1" x14ac:dyDescent="0.25">
      <c r="B950" s="112"/>
      <c r="F950" s="39" t="s">
        <v>461</v>
      </c>
      <c r="H950" s="39" t="s">
        <v>23</v>
      </c>
      <c r="I950" s="115"/>
      <c r="J950" s="115"/>
      <c r="K950" s="115"/>
      <c r="L950" s="115"/>
      <c r="M950" s="115"/>
      <c r="N950" s="115"/>
      <c r="O950" s="115"/>
      <c r="P950" s="115"/>
      <c r="Q950" s="115"/>
      <c r="R950" s="115"/>
      <c r="S950" s="115"/>
      <c r="T950" s="115"/>
      <c r="U950" s="115"/>
      <c r="V950" s="115"/>
      <c r="W950" s="115">
        <v>11</v>
      </c>
      <c r="X950" s="115">
        <v>0</v>
      </c>
      <c r="Y950" s="115">
        <v>0</v>
      </c>
      <c r="Z950" s="115">
        <v>0</v>
      </c>
      <c r="AA950" s="115">
        <v>0</v>
      </c>
      <c r="AB950" s="115"/>
      <c r="AC950" s="115"/>
      <c r="AD950" s="115"/>
      <c r="AE950" s="115"/>
      <c r="AF950" s="115"/>
      <c r="AG950" s="115"/>
      <c r="AH950" s="115"/>
      <c r="AI950" s="115"/>
      <c r="AJ950" s="115"/>
      <c r="AK950" s="115"/>
    </row>
    <row r="951" spans="2:37" s="81" customFormat="1" x14ac:dyDescent="0.25">
      <c r="B951" s="113"/>
      <c r="F951" s="81" t="s">
        <v>467</v>
      </c>
      <c r="H951" s="81" t="s">
        <v>23</v>
      </c>
      <c r="I951" s="114"/>
      <c r="J951" s="114"/>
      <c r="K951" s="114"/>
      <c r="L951" s="114"/>
      <c r="M951" s="114"/>
      <c r="N951" s="114"/>
      <c r="O951" s="114"/>
      <c r="P951" s="114"/>
      <c r="Q951" s="114"/>
      <c r="R951" s="114"/>
      <c r="S951" s="114"/>
      <c r="T951" s="114"/>
      <c r="U951" s="114"/>
      <c r="V951" s="114"/>
      <c r="W951" s="81">
        <f t="shared" ref="W951:AK951" si="189">SUM(W952:W953)</f>
        <v>34</v>
      </c>
      <c r="X951" s="81">
        <f t="shared" si="189"/>
        <v>63</v>
      </c>
      <c r="Y951" s="81">
        <f t="shared" si="189"/>
        <v>106</v>
      </c>
      <c r="Z951" s="81">
        <f t="shared" si="189"/>
        <v>263</v>
      </c>
      <c r="AA951" s="81">
        <f t="shared" si="189"/>
        <v>191</v>
      </c>
      <c r="AB951" s="81">
        <f t="shared" si="189"/>
        <v>202</v>
      </c>
      <c r="AC951" s="81">
        <f t="shared" si="189"/>
        <v>210</v>
      </c>
      <c r="AD951" s="81">
        <f t="shared" si="189"/>
        <v>0</v>
      </c>
      <c r="AE951" s="81">
        <f t="shared" si="189"/>
        <v>0</v>
      </c>
      <c r="AF951" s="81">
        <f t="shared" si="189"/>
        <v>0</v>
      </c>
      <c r="AG951" s="81">
        <f t="shared" si="189"/>
        <v>0</v>
      </c>
      <c r="AH951" s="81">
        <f t="shared" si="189"/>
        <v>0</v>
      </c>
      <c r="AI951" s="81">
        <f t="shared" si="189"/>
        <v>0</v>
      </c>
      <c r="AJ951" s="81">
        <f t="shared" si="189"/>
        <v>0</v>
      </c>
      <c r="AK951" s="81">
        <f t="shared" si="189"/>
        <v>0</v>
      </c>
    </row>
    <row r="952" spans="2:37" s="81" customFormat="1" x14ac:dyDescent="0.25">
      <c r="B952" s="113"/>
      <c r="G952" s="59" t="s">
        <v>468</v>
      </c>
      <c r="H952" s="81" t="s">
        <v>23</v>
      </c>
      <c r="I952" s="114"/>
      <c r="J952" s="114"/>
      <c r="K952" s="114"/>
      <c r="L952" s="114"/>
      <c r="M952" s="114"/>
      <c r="N952" s="114"/>
      <c r="O952" s="114"/>
      <c r="P952" s="114"/>
      <c r="Q952" s="114"/>
      <c r="R952" s="114"/>
      <c r="S952" s="114"/>
      <c r="T952" s="114"/>
      <c r="U952" s="114"/>
      <c r="V952" s="114"/>
      <c r="W952" s="148">
        <f>1+11+1+4+2+15</f>
        <v>34</v>
      </c>
      <c r="X952" s="148">
        <f>4+4+2+1+3+26+4+2+1</f>
        <v>47</v>
      </c>
      <c r="Y952" s="148">
        <f>14+22+12+11+1+15+3+2+1+1+2+1+1</f>
        <v>86</v>
      </c>
      <c r="Z952" s="148">
        <f>58+81</f>
        <v>139</v>
      </c>
      <c r="AA952" s="149">
        <v>138</v>
      </c>
      <c r="AB952" s="148">
        <v>134</v>
      </c>
      <c r="AC952" s="148">
        <f>61+29+15+59</f>
        <v>164</v>
      </c>
      <c r="AD952" s="114"/>
      <c r="AE952" s="114"/>
      <c r="AF952" s="114"/>
      <c r="AG952" s="114"/>
      <c r="AH952" s="114"/>
      <c r="AI952" s="114"/>
      <c r="AJ952" s="114"/>
      <c r="AK952" s="114"/>
    </row>
    <row r="953" spans="2:37" s="81" customFormat="1" x14ac:dyDescent="0.25">
      <c r="B953" s="113"/>
      <c r="G953" s="39" t="s">
        <v>462</v>
      </c>
      <c r="H953" s="81" t="s">
        <v>23</v>
      </c>
      <c r="I953" s="114"/>
      <c r="J953" s="114"/>
      <c r="K953" s="114"/>
      <c r="L953" s="114"/>
      <c r="M953" s="114"/>
      <c r="N953" s="114"/>
      <c r="O953" s="114"/>
      <c r="P953" s="114"/>
      <c r="Q953" s="114"/>
      <c r="R953" s="114"/>
      <c r="S953" s="114"/>
      <c r="T953" s="114"/>
      <c r="U953" s="114"/>
      <c r="V953" s="114"/>
      <c r="W953" s="146">
        <v>0</v>
      </c>
      <c r="X953" s="146">
        <v>16</v>
      </c>
      <c r="Y953" s="146">
        <v>20</v>
      </c>
      <c r="Z953" s="146">
        <v>124</v>
      </c>
      <c r="AA953" s="146">
        <v>53</v>
      </c>
      <c r="AB953" s="148">
        <v>68</v>
      </c>
      <c r="AC953" s="148">
        <v>46</v>
      </c>
      <c r="AD953" s="114"/>
      <c r="AE953" s="114"/>
      <c r="AF953" s="114"/>
      <c r="AG953" s="114"/>
      <c r="AH953" s="114"/>
      <c r="AI953" s="114"/>
      <c r="AJ953" s="114"/>
      <c r="AK953" s="114"/>
    </row>
    <row r="954" spans="2:37" s="81" customFormat="1" x14ac:dyDescent="0.25">
      <c r="B954" s="113"/>
      <c r="F954" s="81" t="s">
        <v>469</v>
      </c>
      <c r="H954" s="81" t="s">
        <v>23</v>
      </c>
      <c r="I954" s="114"/>
      <c r="J954" s="114"/>
      <c r="K954" s="114"/>
      <c r="L954" s="114"/>
      <c r="M954" s="114"/>
      <c r="N954" s="114"/>
      <c r="O954" s="114"/>
      <c r="P954" s="114"/>
      <c r="Q954" s="114"/>
      <c r="R954" s="114"/>
      <c r="S954" s="114"/>
      <c r="T954" s="114"/>
      <c r="U954" s="114"/>
      <c r="V954" s="114"/>
      <c r="W954" s="81">
        <f t="shared" ref="W954:AK954" si="190">SUM(W955:W956)</f>
        <v>161</v>
      </c>
      <c r="X954" s="81">
        <f t="shared" si="190"/>
        <v>197</v>
      </c>
      <c r="Y954" s="81">
        <f t="shared" si="190"/>
        <v>8</v>
      </c>
      <c r="Z954" s="81">
        <f t="shared" si="190"/>
        <v>62</v>
      </c>
      <c r="AA954" s="81">
        <f t="shared" si="190"/>
        <v>150</v>
      </c>
      <c r="AB954" s="81">
        <f t="shared" si="190"/>
        <v>139</v>
      </c>
      <c r="AC954" s="81">
        <f t="shared" si="190"/>
        <v>99</v>
      </c>
      <c r="AD954" s="81">
        <f t="shared" si="190"/>
        <v>0</v>
      </c>
      <c r="AE954" s="81">
        <f t="shared" si="190"/>
        <v>0</v>
      </c>
      <c r="AF954" s="81">
        <f t="shared" si="190"/>
        <v>0</v>
      </c>
      <c r="AG954" s="81">
        <f t="shared" si="190"/>
        <v>0</v>
      </c>
      <c r="AH954" s="81">
        <f t="shared" si="190"/>
        <v>0</v>
      </c>
      <c r="AI954" s="81">
        <f t="shared" si="190"/>
        <v>0</v>
      </c>
      <c r="AJ954" s="81">
        <f t="shared" si="190"/>
        <v>0</v>
      </c>
      <c r="AK954" s="81">
        <f t="shared" si="190"/>
        <v>0</v>
      </c>
    </row>
    <row r="955" spans="2:37" s="59" customFormat="1" x14ac:dyDescent="0.25">
      <c r="B955" s="75"/>
      <c r="G955" s="59" t="s">
        <v>470</v>
      </c>
      <c r="H955" s="59" t="s">
        <v>23</v>
      </c>
      <c r="I955" s="148"/>
      <c r="J955" s="148"/>
      <c r="K955" s="148"/>
      <c r="L955" s="148"/>
      <c r="M955" s="148"/>
      <c r="N955" s="148"/>
      <c r="O955" s="148"/>
      <c r="P955" s="148"/>
      <c r="Q955" s="148"/>
      <c r="R955" s="148"/>
      <c r="S955" s="148"/>
      <c r="T955" s="148"/>
      <c r="U955" s="148"/>
      <c r="V955" s="148"/>
      <c r="W955" s="148">
        <v>0</v>
      </c>
      <c r="X955" s="148">
        <f>12</f>
        <v>12</v>
      </c>
      <c r="Y955" s="148">
        <f>4+4</f>
        <v>8</v>
      </c>
      <c r="Z955" s="148">
        <v>36</v>
      </c>
      <c r="AA955" s="149">
        <v>114</v>
      </c>
      <c r="AB955" s="148">
        <v>102</v>
      </c>
      <c r="AC955" s="148">
        <v>63</v>
      </c>
      <c r="AD955" s="148"/>
      <c r="AE955" s="148"/>
      <c r="AF955" s="148"/>
      <c r="AG955" s="148"/>
      <c r="AH955" s="148"/>
      <c r="AI955" s="148"/>
      <c r="AJ955" s="148"/>
      <c r="AK955" s="148"/>
    </row>
    <row r="956" spans="2:37" s="59" customFormat="1" x14ac:dyDescent="0.25">
      <c r="B956" s="75"/>
      <c r="G956" s="59" t="s">
        <v>463</v>
      </c>
      <c r="H956" s="59" t="s">
        <v>23</v>
      </c>
      <c r="I956" s="148"/>
      <c r="J956" s="148"/>
      <c r="K956" s="148"/>
      <c r="L956" s="148"/>
      <c r="M956" s="148"/>
      <c r="N956" s="148"/>
      <c r="O956" s="148"/>
      <c r="P956" s="148"/>
      <c r="Q956" s="148"/>
      <c r="R956" s="148"/>
      <c r="S956" s="148"/>
      <c r="T956" s="148"/>
      <c r="U956" s="148"/>
      <c r="V956" s="148"/>
      <c r="W956" s="149">
        <v>161</v>
      </c>
      <c r="X956" s="149">
        <v>185</v>
      </c>
      <c r="Y956" s="149"/>
      <c r="Z956" s="149">
        <v>26</v>
      </c>
      <c r="AA956" s="148">
        <v>36</v>
      </c>
      <c r="AB956" s="148">
        <v>37</v>
      </c>
      <c r="AC956" s="148">
        <v>36</v>
      </c>
      <c r="AD956" s="148"/>
      <c r="AE956" s="148"/>
      <c r="AF956" s="148"/>
      <c r="AG956" s="148"/>
      <c r="AH956" s="148"/>
      <c r="AI956" s="148"/>
      <c r="AJ956" s="148"/>
      <c r="AK956" s="148"/>
    </row>
    <row r="957" spans="2:37" s="42" customFormat="1" x14ac:dyDescent="0.25">
      <c r="B957" s="145"/>
      <c r="D957" s="42" t="s">
        <v>471</v>
      </c>
      <c r="I957" s="116"/>
      <c r="J957" s="116"/>
      <c r="K957" s="116"/>
      <c r="L957" s="116"/>
      <c r="M957" s="116"/>
      <c r="N957" s="116"/>
      <c r="O957" s="116"/>
      <c r="P957" s="116"/>
      <c r="Q957" s="116"/>
      <c r="R957" s="116"/>
      <c r="S957" s="116"/>
      <c r="T957" s="116"/>
      <c r="U957" s="116"/>
      <c r="V957" s="116"/>
      <c r="W957" s="116"/>
      <c r="X957" s="116"/>
      <c r="Y957" s="147"/>
      <c r="Z957" s="147"/>
      <c r="AA957" s="116"/>
      <c r="AB957" s="116"/>
      <c r="AC957" s="116"/>
      <c r="AD957" s="116"/>
      <c r="AE957" s="116"/>
      <c r="AF957" s="116"/>
      <c r="AG957" s="116"/>
      <c r="AH957" s="116"/>
      <c r="AI957" s="116"/>
      <c r="AJ957" s="116"/>
      <c r="AK957" s="116"/>
    </row>
    <row r="958" spans="2:37" s="81" customFormat="1" x14ac:dyDescent="0.25">
      <c r="B958" s="113"/>
      <c r="E958" s="81" t="s">
        <v>472</v>
      </c>
      <c r="H958" s="81" t="s">
        <v>23</v>
      </c>
      <c r="I958" s="114">
        <f t="shared" ref="I958:P958" si="191">SUM(I959:I960)</f>
        <v>8</v>
      </c>
      <c r="J958" s="114">
        <f t="shared" si="191"/>
        <v>123</v>
      </c>
      <c r="K958" s="114">
        <f t="shared" si="191"/>
        <v>10</v>
      </c>
      <c r="L958" s="114">
        <f t="shared" si="191"/>
        <v>6</v>
      </c>
      <c r="M958" s="114">
        <f t="shared" si="191"/>
        <v>16</v>
      </c>
      <c r="N958" s="114">
        <f t="shared" si="191"/>
        <v>18</v>
      </c>
      <c r="O958" s="114">
        <f t="shared" si="191"/>
        <v>25</v>
      </c>
      <c r="P958" s="114">
        <f t="shared" si="191"/>
        <v>14</v>
      </c>
      <c r="Q958" s="114">
        <f>SUM(Q959:Q960)</f>
        <v>3</v>
      </c>
      <c r="R958" s="114">
        <f t="shared" ref="R958:AK958" si="192">SUM(R959:R960)</f>
        <v>3</v>
      </c>
      <c r="S958" s="114">
        <f t="shared" si="192"/>
        <v>4</v>
      </c>
      <c r="T958" s="114">
        <f t="shared" si="192"/>
        <v>36</v>
      </c>
      <c r="U958" s="114">
        <f t="shared" si="192"/>
        <v>30</v>
      </c>
      <c r="V958" s="114">
        <f t="shared" si="192"/>
        <v>16</v>
      </c>
      <c r="W958" s="114">
        <f t="shared" si="192"/>
        <v>26</v>
      </c>
      <c r="X958" s="114">
        <f t="shared" si="192"/>
        <v>44</v>
      </c>
      <c r="Y958" s="114">
        <f t="shared" si="192"/>
        <v>84</v>
      </c>
      <c r="Z958" s="114">
        <f t="shared" si="192"/>
        <v>236</v>
      </c>
      <c r="AA958" s="114">
        <f t="shared" si="192"/>
        <v>92</v>
      </c>
      <c r="AB958" s="114">
        <f t="shared" si="192"/>
        <v>182</v>
      </c>
      <c r="AC958" s="114">
        <f t="shared" si="192"/>
        <v>66</v>
      </c>
      <c r="AD958" s="114">
        <f t="shared" si="192"/>
        <v>0</v>
      </c>
      <c r="AE958" s="114">
        <f t="shared" si="192"/>
        <v>0</v>
      </c>
      <c r="AF958" s="114">
        <f t="shared" si="192"/>
        <v>0</v>
      </c>
      <c r="AG958" s="114">
        <f t="shared" si="192"/>
        <v>0</v>
      </c>
      <c r="AH958" s="114">
        <f t="shared" si="192"/>
        <v>0</v>
      </c>
      <c r="AI958" s="114">
        <f t="shared" si="192"/>
        <v>0</v>
      </c>
      <c r="AJ958" s="114">
        <f t="shared" si="192"/>
        <v>0</v>
      </c>
      <c r="AK958" s="114">
        <f t="shared" si="192"/>
        <v>0</v>
      </c>
    </row>
    <row r="959" spans="2:37" s="39" customFormat="1" x14ac:dyDescent="0.25">
      <c r="B959" s="112"/>
      <c r="F959" s="39" t="s">
        <v>49</v>
      </c>
      <c r="H959" s="39" t="s">
        <v>23</v>
      </c>
      <c r="I959" s="115">
        <v>8</v>
      </c>
      <c r="J959" s="115">
        <v>123</v>
      </c>
      <c r="K959" s="115">
        <v>10</v>
      </c>
      <c r="L959" s="115">
        <v>6</v>
      </c>
      <c r="M959" s="115">
        <v>16</v>
      </c>
      <c r="N959" s="115">
        <v>18</v>
      </c>
      <c r="O959" s="115">
        <v>25</v>
      </c>
      <c r="P959" s="115">
        <v>14</v>
      </c>
      <c r="Q959" s="115">
        <v>3</v>
      </c>
      <c r="R959" s="115">
        <v>3</v>
      </c>
      <c r="S959" s="115">
        <v>4</v>
      </c>
      <c r="T959" s="115">
        <v>36</v>
      </c>
      <c r="U959" s="115">
        <v>30</v>
      </c>
      <c r="V959" s="115">
        <v>16</v>
      </c>
      <c r="W959" s="115">
        <v>26</v>
      </c>
      <c r="X959" s="115">
        <v>44</v>
      </c>
      <c r="Y959" s="146">
        <v>84</v>
      </c>
      <c r="Z959" s="146">
        <v>236</v>
      </c>
      <c r="AA959" s="115">
        <v>92</v>
      </c>
      <c r="AB959" s="115">
        <v>182</v>
      </c>
      <c r="AC959" s="115">
        <v>68</v>
      </c>
      <c r="AD959" s="115"/>
      <c r="AE959" s="115"/>
      <c r="AF959" s="115"/>
      <c r="AG959" s="115"/>
      <c r="AH959" s="115"/>
      <c r="AI959" s="115"/>
      <c r="AJ959" s="115"/>
      <c r="AK959" s="115"/>
    </row>
    <row r="960" spans="2:37" s="39" customFormat="1" x14ac:dyDescent="0.25">
      <c r="B960" s="112"/>
      <c r="F960" s="39" t="s">
        <v>52</v>
      </c>
      <c r="H960" s="39" t="s">
        <v>23</v>
      </c>
      <c r="I960" s="115">
        <v>0</v>
      </c>
      <c r="J960" s="115">
        <v>0</v>
      </c>
      <c r="K960" s="115">
        <v>0</v>
      </c>
      <c r="L960" s="115">
        <v>0</v>
      </c>
      <c r="M960" s="115">
        <v>0</v>
      </c>
      <c r="N960" s="115">
        <v>0</v>
      </c>
      <c r="O960" s="115">
        <v>0</v>
      </c>
      <c r="P960" s="115">
        <v>0</v>
      </c>
      <c r="Q960" s="115">
        <v>0</v>
      </c>
      <c r="R960" s="115">
        <v>0</v>
      </c>
      <c r="S960" s="115">
        <v>0</v>
      </c>
      <c r="T960" s="115">
        <v>0</v>
      </c>
      <c r="U960" s="115">
        <v>0</v>
      </c>
      <c r="V960" s="115">
        <v>0</v>
      </c>
      <c r="W960" s="115">
        <v>0</v>
      </c>
      <c r="X960" s="115">
        <v>0</v>
      </c>
      <c r="Y960" s="146">
        <v>0</v>
      </c>
      <c r="Z960" s="146">
        <v>0</v>
      </c>
      <c r="AA960" s="115">
        <v>0</v>
      </c>
      <c r="AB960" s="115">
        <v>0</v>
      </c>
      <c r="AC960" s="115">
        <v>-2</v>
      </c>
      <c r="AD960" s="115"/>
      <c r="AE960" s="115"/>
      <c r="AF960" s="115"/>
      <c r="AG960" s="115"/>
      <c r="AH960" s="115"/>
      <c r="AI960" s="115"/>
      <c r="AJ960" s="115"/>
      <c r="AK960" s="115"/>
    </row>
    <row r="961" spans="1:37" s="81" customFormat="1" x14ac:dyDescent="0.25">
      <c r="B961" s="113"/>
      <c r="E961" s="81" t="s">
        <v>473</v>
      </c>
      <c r="H961" s="81" t="s">
        <v>23</v>
      </c>
      <c r="I961" s="114">
        <f t="shared" ref="I961:P961" si="193">SUM(I962:I964)</f>
        <v>69</v>
      </c>
      <c r="J961" s="114">
        <f t="shared" si="193"/>
        <v>142</v>
      </c>
      <c r="K961" s="114">
        <f t="shared" si="193"/>
        <v>140</v>
      </c>
      <c r="L961" s="114">
        <f t="shared" si="193"/>
        <v>180</v>
      </c>
      <c r="M961" s="114">
        <f t="shared" si="193"/>
        <v>156</v>
      </c>
      <c r="N961" s="114">
        <f t="shared" si="193"/>
        <v>174</v>
      </c>
      <c r="O961" s="114">
        <f t="shared" si="193"/>
        <v>212</v>
      </c>
      <c r="P961" s="114">
        <f t="shared" si="193"/>
        <v>160</v>
      </c>
      <c r="Q961" s="114">
        <f>SUM(Q962:Q964)</f>
        <v>73</v>
      </c>
      <c r="R961" s="114">
        <f t="shared" ref="R961:AK961" si="194">SUM(R962:R964)</f>
        <v>72</v>
      </c>
      <c r="S961" s="114">
        <f t="shared" si="194"/>
        <v>82</v>
      </c>
      <c r="T961" s="114">
        <f t="shared" si="194"/>
        <v>107</v>
      </c>
      <c r="U961" s="114">
        <f t="shared" si="194"/>
        <v>148</v>
      </c>
      <c r="V961" s="114">
        <f t="shared" si="194"/>
        <v>133</v>
      </c>
      <c r="W961" s="114">
        <f t="shared" si="194"/>
        <v>70</v>
      </c>
      <c r="X961" s="114">
        <f t="shared" si="194"/>
        <v>197</v>
      </c>
      <c r="Y961" s="114">
        <f t="shared" si="194"/>
        <v>176</v>
      </c>
      <c r="Z961" s="114">
        <f t="shared" si="194"/>
        <v>172</v>
      </c>
      <c r="AA961" s="114">
        <f t="shared" si="194"/>
        <v>209</v>
      </c>
      <c r="AB961" s="114">
        <f t="shared" si="194"/>
        <v>293</v>
      </c>
      <c r="AC961" s="114">
        <f t="shared" si="194"/>
        <v>170</v>
      </c>
      <c r="AD961" s="114">
        <f t="shared" si="194"/>
        <v>0</v>
      </c>
      <c r="AE961" s="114">
        <f t="shared" si="194"/>
        <v>0</v>
      </c>
      <c r="AF961" s="114">
        <f t="shared" si="194"/>
        <v>0</v>
      </c>
      <c r="AG961" s="114">
        <f t="shared" si="194"/>
        <v>0</v>
      </c>
      <c r="AH961" s="114">
        <f t="shared" si="194"/>
        <v>0</v>
      </c>
      <c r="AI961" s="114">
        <f t="shared" si="194"/>
        <v>0</v>
      </c>
      <c r="AJ961" s="114">
        <f t="shared" si="194"/>
        <v>0</v>
      </c>
      <c r="AK961" s="114">
        <f t="shared" si="194"/>
        <v>0</v>
      </c>
    </row>
    <row r="962" spans="1:37" s="39" customFormat="1" x14ac:dyDescent="0.25">
      <c r="B962" s="112"/>
      <c r="F962" t="s">
        <v>46</v>
      </c>
      <c r="H962" s="39" t="s">
        <v>23</v>
      </c>
      <c r="I962" s="115">
        <v>0</v>
      </c>
      <c r="J962" s="115">
        <v>0</v>
      </c>
      <c r="K962" s="115">
        <v>0</v>
      </c>
      <c r="L962" s="115">
        <v>0</v>
      </c>
      <c r="M962" s="115">
        <v>1</v>
      </c>
      <c r="N962" s="115">
        <v>0</v>
      </c>
      <c r="O962" s="115">
        <v>1</v>
      </c>
      <c r="P962" s="115">
        <v>0</v>
      </c>
      <c r="Q962" s="115">
        <v>0</v>
      </c>
      <c r="R962" s="115">
        <v>0</v>
      </c>
      <c r="S962" s="115">
        <v>0</v>
      </c>
      <c r="T962" s="115">
        <v>2</v>
      </c>
      <c r="U962" s="115">
        <v>0</v>
      </c>
      <c r="V962" s="115">
        <v>0</v>
      </c>
      <c r="W962" s="115">
        <v>0</v>
      </c>
      <c r="X962" s="115">
        <v>0</v>
      </c>
      <c r="Y962" s="146">
        <v>0</v>
      </c>
      <c r="Z962" s="146">
        <v>7</v>
      </c>
      <c r="AA962" s="115">
        <v>3</v>
      </c>
      <c r="AB962" s="115">
        <v>1</v>
      </c>
      <c r="AC962" s="115">
        <v>0</v>
      </c>
      <c r="AD962" s="115"/>
      <c r="AE962" s="115"/>
      <c r="AF962" s="115"/>
      <c r="AG962" s="115"/>
      <c r="AH962" s="115"/>
      <c r="AI962" s="115"/>
      <c r="AJ962" s="115"/>
      <c r="AK962" s="115"/>
    </row>
    <row r="963" spans="1:37" s="39" customFormat="1" x14ac:dyDescent="0.25">
      <c r="B963" s="112"/>
      <c r="F963" t="s">
        <v>47</v>
      </c>
      <c r="H963" s="39" t="s">
        <v>23</v>
      </c>
      <c r="I963" s="115">
        <v>56</v>
      </c>
      <c r="J963" s="115">
        <v>106</v>
      </c>
      <c r="K963" s="115">
        <v>137</v>
      </c>
      <c r="L963" s="115">
        <v>158</v>
      </c>
      <c r="M963" s="115">
        <v>147</v>
      </c>
      <c r="N963" s="115">
        <v>168</v>
      </c>
      <c r="O963" s="115">
        <v>151</v>
      </c>
      <c r="P963" s="115">
        <v>118</v>
      </c>
      <c r="Q963" s="115">
        <v>66</v>
      </c>
      <c r="R963" s="115">
        <v>65</v>
      </c>
      <c r="S963" s="115">
        <v>70</v>
      </c>
      <c r="T963" s="115">
        <v>95</v>
      </c>
      <c r="U963" s="115">
        <v>131</v>
      </c>
      <c r="V963" s="115">
        <v>91</v>
      </c>
      <c r="W963" s="115">
        <v>54</v>
      </c>
      <c r="X963" s="115">
        <v>143</v>
      </c>
      <c r="Y963" s="146">
        <v>137</v>
      </c>
      <c r="Z963" s="146">
        <v>144</v>
      </c>
      <c r="AA963" s="115">
        <v>147</v>
      </c>
      <c r="AB963" s="115">
        <v>209</v>
      </c>
      <c r="AC963" s="115">
        <v>149</v>
      </c>
      <c r="AD963" s="115"/>
      <c r="AE963" s="115"/>
      <c r="AF963" s="115"/>
      <c r="AG963" s="115"/>
      <c r="AH963" s="115"/>
      <c r="AI963" s="115"/>
      <c r="AJ963" s="115"/>
      <c r="AK963" s="115"/>
    </row>
    <row r="964" spans="1:37" s="39" customFormat="1" x14ac:dyDescent="0.25">
      <c r="B964" s="112"/>
      <c r="F964" t="s">
        <v>48</v>
      </c>
      <c r="H964" s="39" t="s">
        <v>23</v>
      </c>
      <c r="I964" s="115">
        <v>13</v>
      </c>
      <c r="J964" s="115">
        <v>36</v>
      </c>
      <c r="K964" s="115">
        <v>3</v>
      </c>
      <c r="L964" s="115">
        <v>22</v>
      </c>
      <c r="M964" s="115">
        <v>8</v>
      </c>
      <c r="N964" s="115">
        <v>6</v>
      </c>
      <c r="O964" s="115">
        <v>60</v>
      </c>
      <c r="P964" s="115">
        <v>42</v>
      </c>
      <c r="Q964" s="115">
        <v>7</v>
      </c>
      <c r="R964" s="115">
        <v>7</v>
      </c>
      <c r="S964" s="115">
        <v>12</v>
      </c>
      <c r="T964" s="115">
        <v>10</v>
      </c>
      <c r="U964" s="115">
        <v>17</v>
      </c>
      <c r="V964" s="115">
        <v>42</v>
      </c>
      <c r="W964" s="115">
        <v>16</v>
      </c>
      <c r="X964" s="115">
        <v>54</v>
      </c>
      <c r="Y964" s="146">
        <v>39</v>
      </c>
      <c r="Z964" s="146">
        <v>21</v>
      </c>
      <c r="AA964" s="115">
        <v>59</v>
      </c>
      <c r="AB964" s="115">
        <v>83</v>
      </c>
      <c r="AC964" s="115">
        <v>21</v>
      </c>
      <c r="AD964" s="115"/>
      <c r="AE964" s="115"/>
      <c r="AF964" s="115"/>
      <c r="AG964" s="115"/>
      <c r="AH964" s="115"/>
      <c r="AI964" s="115"/>
      <c r="AJ964" s="115"/>
      <c r="AK964" s="115"/>
    </row>
    <row r="965" spans="1:37" s="59" customFormat="1" x14ac:dyDescent="0.25">
      <c r="B965" s="75"/>
      <c r="E965" s="59" t="s">
        <v>50</v>
      </c>
      <c r="H965" s="59" t="s">
        <v>23</v>
      </c>
      <c r="I965" s="148">
        <v>15</v>
      </c>
      <c r="J965" s="148">
        <v>25</v>
      </c>
      <c r="K965" s="148">
        <v>18</v>
      </c>
      <c r="L965" s="148">
        <v>27</v>
      </c>
      <c r="M965" s="148">
        <v>27</v>
      </c>
      <c r="N965" s="148">
        <v>33</v>
      </c>
      <c r="O965" s="148">
        <v>44</v>
      </c>
      <c r="P965" s="148">
        <v>32</v>
      </c>
      <c r="Q965" s="148">
        <v>26</v>
      </c>
      <c r="R965" s="148">
        <v>23</v>
      </c>
      <c r="S965" s="148">
        <v>23</v>
      </c>
      <c r="T965" s="148">
        <v>26</v>
      </c>
      <c r="U965" s="148">
        <v>32</v>
      </c>
      <c r="V965" s="148">
        <v>24</v>
      </c>
      <c r="W965" s="148">
        <v>20</v>
      </c>
      <c r="X965" s="148">
        <v>38</v>
      </c>
      <c r="Y965" s="149">
        <v>56</v>
      </c>
      <c r="Z965" s="149">
        <v>56</v>
      </c>
      <c r="AA965" s="148">
        <v>64</v>
      </c>
      <c r="AB965" s="148">
        <v>70</v>
      </c>
      <c r="AC965" s="148">
        <v>59</v>
      </c>
      <c r="AD965" s="148"/>
      <c r="AE965" s="148"/>
      <c r="AF965" s="148"/>
      <c r="AG965" s="148"/>
      <c r="AH965" s="148"/>
      <c r="AI965" s="148"/>
      <c r="AJ965" s="148"/>
      <c r="AK965" s="148"/>
    </row>
    <row r="966" spans="1:37" s="2" customFormat="1" x14ac:dyDescent="0.25">
      <c r="B966" s="3"/>
      <c r="J966" s="48"/>
      <c r="K966" s="48"/>
      <c r="L966" s="48"/>
      <c r="M966" s="48"/>
      <c r="N966" s="48"/>
    </row>
    <row r="967" spans="1:37" s="28" customFormat="1" ht="17.25" x14ac:dyDescent="0.3">
      <c r="A967" s="28" t="s">
        <v>474</v>
      </c>
    </row>
    <row r="968" spans="1:37" x14ac:dyDescent="0.25">
      <c r="B968" s="29" t="s">
        <v>3</v>
      </c>
      <c r="C968" t="s">
        <v>475</v>
      </c>
    </row>
    <row r="969" spans="1:37" x14ac:dyDescent="0.25">
      <c r="B969" s="29" t="s">
        <v>10</v>
      </c>
      <c r="C969" s="263" t="s">
        <v>37</v>
      </c>
      <c r="W969" s="39">
        <f>W958+W965-W951</f>
        <v>12</v>
      </c>
      <c r="X969" s="39">
        <f>X958+X965-X951</f>
        <v>19</v>
      </c>
      <c r="Y969" s="39">
        <f>Y958+Y965-Y951</f>
        <v>34</v>
      </c>
      <c r="Z969" s="39">
        <f>Z958+Z965-Z951</f>
        <v>29</v>
      </c>
    </row>
    <row r="970" spans="1:37" x14ac:dyDescent="0.25">
      <c r="B970" s="29"/>
      <c r="C970" s="263" t="s">
        <v>474</v>
      </c>
    </row>
    <row r="971" spans="1:37" x14ac:dyDescent="0.25">
      <c r="B971" s="29"/>
      <c r="C971" s="263" t="s">
        <v>39</v>
      </c>
    </row>
    <row r="972" spans="1:37" x14ac:dyDescent="0.25">
      <c r="B972" s="29" t="s">
        <v>14</v>
      </c>
      <c r="C972" t="s">
        <v>476</v>
      </c>
    </row>
    <row r="973" spans="1:37" x14ac:dyDescent="0.25">
      <c r="B973" s="29" t="s">
        <v>17</v>
      </c>
      <c r="C973" t="s">
        <v>477</v>
      </c>
    </row>
    <row r="974" spans="1:37" x14ac:dyDescent="0.25">
      <c r="B974" s="29"/>
      <c r="C974" t="s">
        <v>478</v>
      </c>
    </row>
    <row r="975" spans="1:37" s="25" customFormat="1" ht="15.75" thickBot="1" x14ac:dyDescent="0.3">
      <c r="B975" s="30" t="s">
        <v>19</v>
      </c>
      <c r="C975" s="25" t="s">
        <v>479</v>
      </c>
    </row>
    <row r="976" spans="1:37" s="8" customFormat="1" ht="15.75" thickTop="1" x14ac:dyDescent="0.25">
      <c r="B976" s="29" t="s">
        <v>21</v>
      </c>
      <c r="C976" s="8" t="s">
        <v>480</v>
      </c>
      <c r="H976" s="8" t="s">
        <v>481</v>
      </c>
      <c r="I976" s="42"/>
      <c r="J976" s="42"/>
      <c r="K976" s="42"/>
      <c r="L976" s="42"/>
      <c r="M976" s="42"/>
      <c r="N976" s="42"/>
      <c r="O976" s="42"/>
      <c r="P976" s="42"/>
      <c r="Q976" s="42"/>
      <c r="R976" s="42"/>
      <c r="S976" s="42"/>
      <c r="T976" s="42"/>
      <c r="U976" s="42"/>
      <c r="V976" s="42"/>
      <c r="W976" s="42"/>
      <c r="X976" s="42"/>
      <c r="Y976" s="42"/>
      <c r="Z976" s="42"/>
      <c r="AA976" s="42"/>
      <c r="AB976" s="42"/>
      <c r="AC976" s="42"/>
      <c r="AD976" s="42"/>
      <c r="AE976" s="42"/>
      <c r="AF976" s="42"/>
      <c r="AG976" s="42"/>
      <c r="AH976" s="42"/>
      <c r="AI976" s="42"/>
      <c r="AJ976" s="42"/>
      <c r="AK976" s="42"/>
    </row>
    <row r="977" spans="1:37" s="4" customFormat="1" x14ac:dyDescent="0.25">
      <c r="B977" s="94"/>
      <c r="D977" s="4" t="s">
        <v>244</v>
      </c>
      <c r="H977" s="4" t="s">
        <v>481</v>
      </c>
      <c r="I977" s="98"/>
      <c r="J977" s="98"/>
      <c r="K977" s="98"/>
      <c r="L977" s="98"/>
      <c r="M977" s="98"/>
      <c r="N977" s="98">
        <v>0.52900000000000003</v>
      </c>
      <c r="O977" s="98">
        <v>0.54600000000000004</v>
      </c>
      <c r="P977" s="98">
        <v>0.48</v>
      </c>
      <c r="Q977" s="98">
        <v>0.42</v>
      </c>
      <c r="R977" s="98">
        <v>0.4</v>
      </c>
      <c r="S977" s="98">
        <v>0.42299999999999999</v>
      </c>
      <c r="T977" s="98">
        <v>0.42</v>
      </c>
      <c r="U977" s="98">
        <v>0.51</v>
      </c>
      <c r="V977" s="98">
        <v>0.53100000000000003</v>
      </c>
      <c r="W977" s="98">
        <v>0.53200000000000003</v>
      </c>
      <c r="X977" s="98">
        <v>0.58399999999999996</v>
      </c>
      <c r="Y977" s="98">
        <v>0.622</v>
      </c>
      <c r="Z977" s="98">
        <v>0.621</v>
      </c>
      <c r="AA977" s="102">
        <v>0.60599999999999998</v>
      </c>
      <c r="AB977" s="102">
        <v>0.627</v>
      </c>
      <c r="AC977" s="102">
        <v>0.65900000000000003</v>
      </c>
      <c r="AD977" s="59"/>
      <c r="AE977" s="59"/>
      <c r="AF977" s="59"/>
      <c r="AG977" s="59"/>
      <c r="AH977" s="59"/>
      <c r="AI977" s="59"/>
      <c r="AJ977" s="59"/>
      <c r="AK977" s="59"/>
    </row>
    <row r="978" spans="1:37" s="4" customFormat="1" x14ac:dyDescent="0.25">
      <c r="B978" s="94"/>
      <c r="D978" s="4" t="s">
        <v>245</v>
      </c>
      <c r="H978" s="4" t="s">
        <v>481</v>
      </c>
      <c r="I978" s="98"/>
      <c r="J978" s="98"/>
      <c r="K978" s="98"/>
      <c r="L978" s="98"/>
      <c r="M978" s="98"/>
      <c r="N978" s="98"/>
      <c r="O978" s="98"/>
      <c r="P978" s="98"/>
      <c r="Q978" s="98">
        <v>0.54</v>
      </c>
      <c r="R978" s="98">
        <v>0.53</v>
      </c>
      <c r="S978" s="98">
        <v>0.60099999999999998</v>
      </c>
      <c r="T978" s="98">
        <v>0.66</v>
      </c>
      <c r="U978" s="98">
        <v>0.65</v>
      </c>
      <c r="V978" s="98">
        <v>0.65700000000000003</v>
      </c>
      <c r="W978" s="98">
        <v>0.63800000000000001</v>
      </c>
      <c r="X978" s="98">
        <v>0.64800000000000002</v>
      </c>
      <c r="Y978" s="98">
        <v>0.68400000000000005</v>
      </c>
      <c r="Z978" s="98">
        <v>0.77700000000000002</v>
      </c>
      <c r="AA978" s="102">
        <v>0.74199999999999999</v>
      </c>
      <c r="AB978" s="102">
        <v>0.72599999999999998</v>
      </c>
      <c r="AC978" s="102">
        <v>0.77500000000000002</v>
      </c>
      <c r="AD978" s="59"/>
      <c r="AE978" s="59"/>
      <c r="AF978" s="59"/>
      <c r="AG978" s="59"/>
      <c r="AH978" s="59"/>
      <c r="AI978" s="59"/>
      <c r="AJ978" s="59"/>
      <c r="AK978" s="59"/>
    </row>
    <row r="979" spans="1:37" s="4" customFormat="1" x14ac:dyDescent="0.25">
      <c r="B979" s="94"/>
      <c r="D979" s="4" t="s">
        <v>246</v>
      </c>
      <c r="H979" s="4" t="s">
        <v>481</v>
      </c>
      <c r="I979" s="98"/>
      <c r="J979" s="98"/>
      <c r="K979" s="98"/>
      <c r="L979" s="98"/>
      <c r="M979" s="98"/>
      <c r="N979" s="98"/>
      <c r="O979" s="98"/>
      <c r="P979" s="98"/>
      <c r="Q979" s="98">
        <v>0.46</v>
      </c>
      <c r="R979" s="98">
        <v>0.435</v>
      </c>
      <c r="S979" s="98">
        <v>0.46899999999999997</v>
      </c>
      <c r="T979" s="98">
        <v>0.5</v>
      </c>
      <c r="U979" s="98">
        <v>0.57999999999999996</v>
      </c>
      <c r="V979" s="98">
        <v>0.53300000000000003</v>
      </c>
      <c r="W979" s="98">
        <v>0.59599999999999997</v>
      </c>
      <c r="X979" s="98">
        <v>0.57999999999999996</v>
      </c>
      <c r="Y979" s="98">
        <v>0.56999999999999995</v>
      </c>
      <c r="Z979" s="216">
        <v>0.64200000000000002</v>
      </c>
      <c r="AA979" s="102">
        <v>0.373</v>
      </c>
      <c r="AB979" s="102">
        <v>0.70399999999999996</v>
      </c>
      <c r="AC979" s="102">
        <v>0.72099999999999997</v>
      </c>
      <c r="AD979" s="59"/>
      <c r="AE979" s="59"/>
      <c r="AF979" s="59"/>
      <c r="AG979" s="59"/>
      <c r="AH979" s="59"/>
      <c r="AI979" s="59"/>
      <c r="AJ979" s="59"/>
      <c r="AK979" s="59"/>
    </row>
    <row r="980" spans="1:37" s="4" customFormat="1" x14ac:dyDescent="0.25">
      <c r="B980" s="94"/>
      <c r="D980" s="4" t="s">
        <v>247</v>
      </c>
      <c r="H980" s="4" t="s">
        <v>481</v>
      </c>
      <c r="I980" s="98"/>
      <c r="J980" s="98"/>
      <c r="K980" s="98"/>
      <c r="L980" s="98"/>
      <c r="M980" s="98"/>
      <c r="N980" s="98">
        <v>0.246</v>
      </c>
      <c r="O980" s="98">
        <v>0.217</v>
      </c>
      <c r="P980" s="98">
        <v>0.157</v>
      </c>
      <c r="Q980" s="98">
        <v>0.156</v>
      </c>
      <c r="R980" s="98">
        <v>0.13</v>
      </c>
      <c r="S980" s="98">
        <v>0.18</v>
      </c>
      <c r="T980" s="98">
        <v>0.16</v>
      </c>
      <c r="U980" s="98">
        <v>0.11</v>
      </c>
      <c r="V980" s="98">
        <v>0.154</v>
      </c>
      <c r="W980" s="98">
        <v>0.14299999999999999</v>
      </c>
      <c r="X980" s="98">
        <v>0.127</v>
      </c>
      <c r="Y980" s="98">
        <v>0.16400000000000001</v>
      </c>
      <c r="Z980" s="98">
        <v>0.185</v>
      </c>
      <c r="AA980" s="102">
        <v>5.0999999999999997E-2</v>
      </c>
      <c r="AB980" s="102">
        <v>0.48299999999999998</v>
      </c>
      <c r="AC980" s="102">
        <v>0.33100000000000002</v>
      </c>
      <c r="AD980" s="59"/>
      <c r="AE980" s="59"/>
      <c r="AF980" s="59"/>
      <c r="AG980" s="59"/>
      <c r="AH980" s="59"/>
      <c r="AI980" s="59"/>
      <c r="AJ980" s="59"/>
      <c r="AK980" s="59"/>
    </row>
    <row r="981" spans="1:37" s="4" customFormat="1" x14ac:dyDescent="0.25">
      <c r="B981" s="94"/>
      <c r="D981" s="4" t="s">
        <v>248</v>
      </c>
      <c r="H981" s="4" t="s">
        <v>481</v>
      </c>
      <c r="I981" s="98"/>
      <c r="J981" s="98"/>
      <c r="K981" s="98"/>
      <c r="L981" s="98"/>
      <c r="M981" s="98"/>
      <c r="N981" s="98"/>
      <c r="O981" s="98"/>
      <c r="P981" s="98"/>
      <c r="Q981" s="98">
        <v>0.34300000000000003</v>
      </c>
      <c r="R981" s="98">
        <v>0.34</v>
      </c>
      <c r="S981" s="98">
        <v>0.37</v>
      </c>
      <c r="T981" s="98">
        <v>0.32</v>
      </c>
      <c r="U981" s="98">
        <v>0.42</v>
      </c>
      <c r="V981" s="98">
        <v>0.443</v>
      </c>
      <c r="W981" s="98">
        <v>0.53600000000000003</v>
      </c>
      <c r="X981" s="98">
        <v>0.501</v>
      </c>
      <c r="Y981" s="98">
        <v>0.5</v>
      </c>
      <c r="Z981" s="98">
        <v>0.47799999999999998</v>
      </c>
      <c r="AA981" s="102">
        <v>0.13</v>
      </c>
      <c r="AB981" s="102">
        <v>0.63400000000000001</v>
      </c>
      <c r="AC981" s="102">
        <v>0.47</v>
      </c>
      <c r="AD981" s="59"/>
      <c r="AE981" s="59"/>
      <c r="AF981" s="59"/>
      <c r="AG981" s="59"/>
      <c r="AH981" s="59"/>
      <c r="AI981" s="59"/>
      <c r="AJ981" s="59"/>
      <c r="AK981" s="59"/>
    </row>
    <row r="982" spans="1:37" s="4" customFormat="1" x14ac:dyDescent="0.25">
      <c r="B982" s="94"/>
      <c r="D982" s="4" t="s">
        <v>249</v>
      </c>
      <c r="H982" s="4" t="s">
        <v>481</v>
      </c>
      <c r="I982" s="98"/>
      <c r="J982" s="98"/>
      <c r="K982" s="98"/>
      <c r="L982" s="98"/>
      <c r="M982" s="98"/>
      <c r="N982" s="98"/>
      <c r="O982" s="98"/>
      <c r="P982" s="98"/>
      <c r="Q982" s="98">
        <v>0.77400000000000002</v>
      </c>
      <c r="R982" s="98">
        <v>0.66700000000000004</v>
      </c>
      <c r="S982" s="98">
        <v>0.74</v>
      </c>
      <c r="T982" s="98">
        <v>0.71</v>
      </c>
      <c r="U982" s="98">
        <v>0.79</v>
      </c>
      <c r="V982" s="98">
        <v>0.81899999999999995</v>
      </c>
      <c r="W982" s="98">
        <v>0.86599999999999999</v>
      </c>
      <c r="X982" s="98">
        <v>0.81599999999999995</v>
      </c>
      <c r="Y982" s="98">
        <v>0.80700000000000005</v>
      </c>
      <c r="Z982" s="216">
        <v>0.81299999999999994</v>
      </c>
      <c r="AA982" s="102">
        <v>0.441</v>
      </c>
      <c r="AB982" s="102">
        <v>0.95199999999999996</v>
      </c>
      <c r="AC982" s="102">
        <v>0.74099999999999999</v>
      </c>
      <c r="AD982" s="59"/>
      <c r="AE982" s="59"/>
      <c r="AF982" s="59"/>
      <c r="AG982" s="59"/>
      <c r="AH982" s="59"/>
      <c r="AI982" s="59"/>
      <c r="AJ982" s="59"/>
      <c r="AK982" s="59"/>
    </row>
    <row r="983" spans="1:37" s="4" customFormat="1" x14ac:dyDescent="0.25">
      <c r="B983" s="94"/>
      <c r="D983" s="4" t="s">
        <v>250</v>
      </c>
      <c r="H983" s="4" t="s">
        <v>481</v>
      </c>
      <c r="I983" s="98"/>
      <c r="J983" s="98"/>
      <c r="K983" s="98"/>
      <c r="L983" s="98"/>
      <c r="M983" s="98"/>
      <c r="N983" s="98">
        <v>0.95399999999999996</v>
      </c>
      <c r="O983" s="98">
        <v>0.86599999999999999</v>
      </c>
      <c r="P983" s="98">
        <v>0.83</v>
      </c>
      <c r="Q983" s="98">
        <v>0.88500000000000001</v>
      </c>
      <c r="R983" s="98">
        <v>0.88500000000000001</v>
      </c>
      <c r="S983" s="98">
        <v>0.87</v>
      </c>
      <c r="T983" s="98">
        <v>0.82</v>
      </c>
      <c r="U983" s="98">
        <v>0.88</v>
      </c>
      <c r="V983" s="98">
        <v>0.9</v>
      </c>
      <c r="W983" s="98">
        <v>0.92300000000000004</v>
      </c>
      <c r="X983" s="98">
        <v>0.86899999999999999</v>
      </c>
      <c r="Y983" s="98">
        <v>0.877</v>
      </c>
      <c r="Z983" s="98">
        <v>0.86</v>
      </c>
      <c r="AA983" s="102">
        <v>0.70699999999999996</v>
      </c>
      <c r="AB983" s="102">
        <v>0.93400000000000005</v>
      </c>
      <c r="AC983" s="102">
        <v>0.81799999999999995</v>
      </c>
      <c r="AD983" s="59"/>
      <c r="AE983" s="59"/>
      <c r="AF983" s="59"/>
      <c r="AG983" s="59"/>
      <c r="AH983" s="59"/>
      <c r="AI983" s="59"/>
      <c r="AJ983" s="59"/>
      <c r="AK983" s="59"/>
    </row>
    <row r="984" spans="1:37" s="4" customFormat="1" x14ac:dyDescent="0.25">
      <c r="B984" s="94"/>
      <c r="D984" s="4" t="s">
        <v>251</v>
      </c>
      <c r="H984" s="4" t="s">
        <v>481</v>
      </c>
      <c r="I984" s="98"/>
      <c r="J984" s="98"/>
      <c r="K984" s="98"/>
      <c r="L984" s="98"/>
      <c r="M984" s="98"/>
      <c r="N984" s="98"/>
      <c r="O984" s="98"/>
      <c r="P984" s="98"/>
      <c r="Q984" s="98">
        <v>0.88100000000000001</v>
      </c>
      <c r="R984" s="98">
        <v>0.88300000000000001</v>
      </c>
      <c r="S984" s="98">
        <v>0.86</v>
      </c>
      <c r="T984" s="98">
        <v>0.81</v>
      </c>
      <c r="U984" s="98">
        <v>0.88</v>
      </c>
      <c r="V984" s="98">
        <v>0.85899999999999999</v>
      </c>
      <c r="W984" s="98">
        <v>0.872</v>
      </c>
      <c r="X984" s="98">
        <v>0.878</v>
      </c>
      <c r="Y984" s="98">
        <v>0.85499999999999998</v>
      </c>
      <c r="Z984" s="98">
        <v>0.86</v>
      </c>
      <c r="AA984" s="102">
        <v>0.71299999999999997</v>
      </c>
      <c r="AB984" s="102">
        <v>0.873</v>
      </c>
      <c r="AC984" s="102">
        <v>0.79</v>
      </c>
      <c r="AD984" s="59"/>
      <c r="AE984" s="59"/>
      <c r="AF984" s="59"/>
      <c r="AG984" s="59"/>
      <c r="AH984" s="59"/>
      <c r="AI984" s="59"/>
      <c r="AJ984" s="59"/>
      <c r="AK984" s="59"/>
    </row>
    <row r="985" spans="1:37" s="4" customFormat="1" x14ac:dyDescent="0.25">
      <c r="B985" s="94"/>
      <c r="D985" s="4" t="s">
        <v>252</v>
      </c>
      <c r="H985" s="4" t="s">
        <v>481</v>
      </c>
      <c r="I985" s="98"/>
      <c r="J985" s="98"/>
      <c r="K985" s="98"/>
      <c r="L985" s="98"/>
      <c r="M985" s="98"/>
      <c r="N985" s="98"/>
      <c r="O985" s="98"/>
      <c r="P985" s="98"/>
      <c r="Q985" s="98">
        <v>0.82199999999999995</v>
      </c>
      <c r="R985" s="98">
        <v>0.83</v>
      </c>
      <c r="S985" s="98">
        <v>0.83</v>
      </c>
      <c r="T985" s="98">
        <v>0.81</v>
      </c>
      <c r="U985" s="98">
        <v>0.78</v>
      </c>
      <c r="V985" s="98">
        <v>0.81799999999999995</v>
      </c>
      <c r="W985" s="98">
        <v>0.84699999999999998</v>
      </c>
      <c r="X985" s="98">
        <v>0.84899999999999998</v>
      </c>
      <c r="Y985" s="98">
        <v>0.83599999999999997</v>
      </c>
      <c r="Z985" s="216">
        <v>0.83099999999999996</v>
      </c>
      <c r="AA985" s="102">
        <v>0.72299999999999998</v>
      </c>
      <c r="AB985" s="102">
        <v>0.85699999999999998</v>
      </c>
      <c r="AC985" s="102">
        <v>0.77800000000000002</v>
      </c>
      <c r="AD985" s="59"/>
      <c r="AE985" s="59"/>
      <c r="AF985" s="59"/>
      <c r="AG985" s="59"/>
      <c r="AH985" s="59"/>
      <c r="AI985" s="59"/>
      <c r="AJ985" s="59"/>
      <c r="AK985" s="59"/>
    </row>
    <row r="986" spans="1:37" s="4" customFormat="1" x14ac:dyDescent="0.25">
      <c r="B986" s="94"/>
      <c r="D986" s="4" t="s">
        <v>253</v>
      </c>
      <c r="H986" s="4" t="s">
        <v>481</v>
      </c>
      <c r="I986" s="98"/>
      <c r="J986" s="98"/>
      <c r="K986" s="98"/>
      <c r="L986" s="98"/>
      <c r="M986" s="98"/>
      <c r="N986" s="98">
        <v>0.501</v>
      </c>
      <c r="O986" s="98">
        <v>0.4</v>
      </c>
      <c r="P986" s="98">
        <v>0.32100000000000001</v>
      </c>
      <c r="Q986" s="98">
        <v>0.37</v>
      </c>
      <c r="R986" s="98">
        <v>0.34499999999999997</v>
      </c>
      <c r="S986" s="98">
        <v>0.36</v>
      </c>
      <c r="T986" s="98">
        <v>0.31</v>
      </c>
      <c r="U986" s="98">
        <v>0.41</v>
      </c>
      <c r="V986" s="98">
        <v>0.40600000000000003</v>
      </c>
      <c r="W986" s="98">
        <v>0.432</v>
      </c>
      <c r="X986" s="98">
        <v>0.45500000000000002</v>
      </c>
      <c r="Y986" s="98">
        <v>0.45300000000000001</v>
      </c>
      <c r="Z986" s="216">
        <v>0.47399999999999998</v>
      </c>
      <c r="AA986" s="102">
        <v>0.64700000000000002</v>
      </c>
      <c r="AB986" s="102">
        <v>0.54400000000000004</v>
      </c>
      <c r="AC986" s="102">
        <v>0.45700000000000002</v>
      </c>
      <c r="AD986" s="59"/>
      <c r="AE986" s="59"/>
      <c r="AF986" s="59"/>
      <c r="AG986" s="59"/>
      <c r="AH986" s="59"/>
      <c r="AI986" s="59"/>
      <c r="AJ986" s="59"/>
      <c r="AK986" s="59"/>
    </row>
    <row r="987" spans="1:37" s="4" customFormat="1" x14ac:dyDescent="0.25">
      <c r="B987" s="94"/>
      <c r="D987" s="4" t="s">
        <v>254</v>
      </c>
      <c r="H987" s="4" t="s">
        <v>481</v>
      </c>
      <c r="I987" s="98"/>
      <c r="J987" s="98"/>
      <c r="K987" s="98"/>
      <c r="L987" s="98"/>
      <c r="M987" s="98"/>
      <c r="N987" s="98"/>
      <c r="O987" s="98"/>
      <c r="P987" s="98"/>
      <c r="Q987" s="98">
        <v>0.15</v>
      </c>
      <c r="R987" s="98">
        <v>0.129</v>
      </c>
      <c r="S987" s="98">
        <v>0.17</v>
      </c>
      <c r="T987" s="98">
        <v>0.14000000000000001</v>
      </c>
      <c r="U987" s="98">
        <v>0.14000000000000001</v>
      </c>
      <c r="V987" s="98">
        <v>0.16200000000000001</v>
      </c>
      <c r="W987" s="98">
        <v>0.13900000000000001</v>
      </c>
      <c r="X987" s="98">
        <v>0.14699999999999999</v>
      </c>
      <c r="Y987" s="98">
        <v>0.154</v>
      </c>
      <c r="Z987" s="216">
        <v>0.14499999999999999</v>
      </c>
      <c r="AA987" s="102">
        <v>0.23</v>
      </c>
      <c r="AB987" s="244">
        <v>0.255</v>
      </c>
      <c r="AC987" s="102">
        <v>0.216</v>
      </c>
      <c r="AD987" s="59"/>
      <c r="AE987" s="59"/>
      <c r="AF987" s="59"/>
      <c r="AG987" s="59"/>
      <c r="AH987" s="59"/>
      <c r="AI987" s="59"/>
      <c r="AJ987" s="59"/>
      <c r="AK987" s="59"/>
    </row>
    <row r="988" spans="1:37" s="4" customFormat="1" x14ac:dyDescent="0.25">
      <c r="B988" s="94"/>
      <c r="D988" s="4" t="s">
        <v>255</v>
      </c>
      <c r="H988" s="4" t="s">
        <v>481</v>
      </c>
      <c r="I988" s="98"/>
      <c r="J988" s="98"/>
      <c r="K988" s="98"/>
      <c r="L988" s="98"/>
      <c r="M988" s="98"/>
      <c r="N988" s="98"/>
      <c r="O988" s="98"/>
      <c r="P988" s="98"/>
      <c r="Q988" s="98">
        <v>0.3</v>
      </c>
      <c r="R988" s="98">
        <v>0.307</v>
      </c>
      <c r="S988" s="98">
        <v>0.32</v>
      </c>
      <c r="T988" s="98">
        <v>0.34</v>
      </c>
      <c r="U988" s="98">
        <v>0.43</v>
      </c>
      <c r="V988" s="98">
        <v>0.43</v>
      </c>
      <c r="W988" s="98">
        <v>0.46800000000000003</v>
      </c>
      <c r="X988" s="98">
        <v>0.46899999999999997</v>
      </c>
      <c r="Y988" s="98">
        <v>0.42</v>
      </c>
      <c r="Z988" s="216">
        <v>0.41699999999999998</v>
      </c>
      <c r="AA988" s="102">
        <v>0.51</v>
      </c>
      <c r="AB988" s="102">
        <v>0.50900000000000001</v>
      </c>
      <c r="AC988" s="102">
        <v>0.46800000000000003</v>
      </c>
      <c r="AD988" s="59"/>
      <c r="AE988" s="59"/>
      <c r="AF988" s="59"/>
      <c r="AG988" s="59"/>
      <c r="AH988" s="59"/>
      <c r="AI988" s="59"/>
      <c r="AJ988" s="59"/>
      <c r="AK988" s="59"/>
    </row>
    <row r="989" spans="1:37" s="2" customFormat="1" x14ac:dyDescent="0.25">
      <c r="B989" s="3"/>
      <c r="J989" s="48"/>
      <c r="K989" s="48"/>
      <c r="L989" s="48"/>
      <c r="M989" s="48"/>
      <c r="N989" s="48"/>
    </row>
    <row r="990" spans="1:37" s="28" customFormat="1" ht="17.25" x14ac:dyDescent="0.3">
      <c r="A990" s="28" t="s">
        <v>482</v>
      </c>
    </row>
    <row r="991" spans="1:37" x14ac:dyDescent="0.25">
      <c r="B991" s="29" t="s">
        <v>3</v>
      </c>
      <c r="C991" t="s">
        <v>483</v>
      </c>
    </row>
    <row r="992" spans="1:37" x14ac:dyDescent="0.25">
      <c r="B992" s="29" t="s">
        <v>10</v>
      </c>
      <c r="C992" s="263" t="s">
        <v>37</v>
      </c>
    </row>
    <row r="993" spans="2:37" x14ac:dyDescent="0.25">
      <c r="B993" s="29"/>
      <c r="C993" s="263" t="s">
        <v>39</v>
      </c>
    </row>
    <row r="994" spans="2:37" x14ac:dyDescent="0.25">
      <c r="B994" s="29" t="s">
        <v>14</v>
      </c>
      <c r="C994" t="s">
        <v>484</v>
      </c>
    </row>
    <row r="995" spans="2:37" x14ac:dyDescent="0.25">
      <c r="B995" s="29"/>
      <c r="C995" t="s">
        <v>2258</v>
      </c>
    </row>
    <row r="996" spans="2:37" x14ac:dyDescent="0.25">
      <c r="B996" s="29"/>
      <c r="C996" t="s">
        <v>485</v>
      </c>
    </row>
    <row r="997" spans="2:37" x14ac:dyDescent="0.25">
      <c r="B997" s="29" t="s">
        <v>17</v>
      </c>
      <c r="C997" t="s">
        <v>486</v>
      </c>
    </row>
    <row r="998" spans="2:37" s="25" customFormat="1" ht="15.75" thickBot="1" x14ac:dyDescent="0.3">
      <c r="B998" s="30" t="s">
        <v>19</v>
      </c>
      <c r="C998" s="25" t="s">
        <v>487</v>
      </c>
    </row>
    <row r="999" spans="2:37" s="8" customFormat="1" ht="15.75" thickTop="1" x14ac:dyDescent="0.25">
      <c r="B999" s="29" t="s">
        <v>21</v>
      </c>
      <c r="C999" s="8" t="s">
        <v>2246</v>
      </c>
      <c r="H999" s="8" t="s">
        <v>333</v>
      </c>
      <c r="I999" s="42"/>
      <c r="J999" s="42"/>
      <c r="K999" s="42"/>
      <c r="L999" s="42"/>
      <c r="M999" s="42"/>
      <c r="N999" s="42"/>
      <c r="O999" s="42"/>
      <c r="P999" s="42"/>
      <c r="Q999" s="42">
        <v>30274</v>
      </c>
      <c r="R999" s="42">
        <v>26838</v>
      </c>
      <c r="S999" s="42">
        <v>34491</v>
      </c>
      <c r="T999" s="42">
        <v>30326</v>
      </c>
      <c r="U999" s="42">
        <v>17454</v>
      </c>
      <c r="V999" s="42">
        <v>24222</v>
      </c>
      <c r="W999" s="42">
        <v>27196</v>
      </c>
      <c r="X999" s="42">
        <f t="shared" ref="X999:AK999" si="195">SUM(X1000:X1017)</f>
        <v>29318</v>
      </c>
      <c r="Y999" s="42">
        <f t="shared" si="195"/>
        <v>28718</v>
      </c>
      <c r="Z999" s="42">
        <f t="shared" si="195"/>
        <v>27765</v>
      </c>
      <c r="AA999" s="42">
        <f t="shared" si="195"/>
        <v>38748</v>
      </c>
      <c r="AB999" s="42">
        <f t="shared" si="195"/>
        <v>34842</v>
      </c>
      <c r="AC999" s="42">
        <f t="shared" si="195"/>
        <v>25653</v>
      </c>
      <c r="AD999" s="42">
        <f t="shared" si="195"/>
        <v>0</v>
      </c>
      <c r="AE999" s="42">
        <f t="shared" si="195"/>
        <v>0</v>
      </c>
      <c r="AF999" s="42">
        <f t="shared" si="195"/>
        <v>0</v>
      </c>
      <c r="AG999" s="42">
        <f t="shared" si="195"/>
        <v>0</v>
      </c>
      <c r="AH999" s="42">
        <f t="shared" si="195"/>
        <v>0</v>
      </c>
      <c r="AI999" s="42">
        <f t="shared" si="195"/>
        <v>0</v>
      </c>
      <c r="AJ999" s="42">
        <f t="shared" si="195"/>
        <v>0</v>
      </c>
      <c r="AK999" s="42">
        <f t="shared" si="195"/>
        <v>0</v>
      </c>
    </row>
    <row r="1000" spans="2:37" s="4" customFormat="1" x14ac:dyDescent="0.25">
      <c r="B1000" s="94"/>
      <c r="D1000" t="s">
        <v>488</v>
      </c>
      <c r="H1000" s="4" t="s">
        <v>333</v>
      </c>
      <c r="I1000" s="39"/>
      <c r="J1000" s="39"/>
      <c r="K1000" s="39"/>
      <c r="L1000" s="39"/>
      <c r="M1000" s="39"/>
      <c r="N1000" s="39"/>
      <c r="O1000" s="39"/>
      <c r="P1000" s="39"/>
      <c r="Q1000" s="39"/>
      <c r="R1000" s="39"/>
      <c r="S1000" s="39"/>
      <c r="T1000" s="39"/>
      <c r="U1000" s="39"/>
      <c r="V1000" s="39"/>
      <c r="W1000" s="39"/>
      <c r="X1000" s="39">
        <v>4170</v>
      </c>
      <c r="Y1000" s="39">
        <v>4130</v>
      </c>
      <c r="Z1000" s="39">
        <v>4554</v>
      </c>
      <c r="AA1000" s="39">
        <v>4698</v>
      </c>
      <c r="AB1000" s="39">
        <v>5176</v>
      </c>
      <c r="AC1000" s="39">
        <v>3569</v>
      </c>
      <c r="AD1000" s="39"/>
      <c r="AE1000" s="39"/>
      <c r="AF1000" s="39"/>
      <c r="AG1000" s="39"/>
      <c r="AH1000" s="39"/>
      <c r="AI1000" s="39"/>
      <c r="AJ1000" s="39"/>
      <c r="AK1000" s="39"/>
    </row>
    <row r="1001" spans="2:37" x14ac:dyDescent="0.25">
      <c r="D1001" t="s">
        <v>489</v>
      </c>
      <c r="H1001" t="s">
        <v>333</v>
      </c>
      <c r="I1001" s="39"/>
      <c r="J1001" s="39"/>
      <c r="K1001" s="39"/>
      <c r="L1001" s="39"/>
      <c r="M1001" s="39"/>
      <c r="N1001" s="39"/>
      <c r="O1001" s="39"/>
      <c r="P1001" s="39"/>
      <c r="Q1001" s="39"/>
      <c r="R1001" s="39"/>
      <c r="S1001" s="39"/>
      <c r="T1001" s="39"/>
      <c r="U1001" s="39"/>
      <c r="V1001" s="39"/>
      <c r="W1001" s="39"/>
      <c r="X1001" s="39">
        <v>1087</v>
      </c>
      <c r="Y1001" s="39">
        <v>1040</v>
      </c>
      <c r="Z1001" s="39">
        <v>965</v>
      </c>
      <c r="AA1001" s="39">
        <v>1571</v>
      </c>
      <c r="AB1001" s="39">
        <v>1390</v>
      </c>
      <c r="AC1001" s="39">
        <v>1029</v>
      </c>
      <c r="AD1001" s="39"/>
      <c r="AE1001" s="39"/>
      <c r="AF1001" s="39"/>
      <c r="AG1001" s="39"/>
      <c r="AH1001" s="39"/>
      <c r="AI1001" s="39"/>
      <c r="AJ1001" s="39"/>
      <c r="AK1001" s="39"/>
    </row>
    <row r="1002" spans="2:37" x14ac:dyDescent="0.25">
      <c r="D1002" t="s">
        <v>490</v>
      </c>
      <c r="H1002" t="s">
        <v>333</v>
      </c>
      <c r="I1002" s="39"/>
      <c r="J1002" s="39"/>
      <c r="K1002" s="39"/>
      <c r="L1002" s="39"/>
      <c r="M1002" s="39"/>
      <c r="N1002" s="39"/>
      <c r="O1002" s="39"/>
      <c r="P1002" s="39"/>
      <c r="Q1002" s="39"/>
      <c r="R1002" s="39"/>
      <c r="S1002" s="39"/>
      <c r="T1002" s="39"/>
      <c r="U1002" s="39"/>
      <c r="V1002" s="39"/>
      <c r="W1002" s="39"/>
      <c r="X1002" s="39">
        <v>1954</v>
      </c>
      <c r="Y1002" s="39">
        <v>3152</v>
      </c>
      <c r="Z1002" s="39">
        <v>2799</v>
      </c>
      <c r="AA1002" s="39">
        <v>3327</v>
      </c>
      <c r="AB1002" s="39">
        <v>2936</v>
      </c>
      <c r="AC1002" s="39">
        <v>2363</v>
      </c>
      <c r="AD1002" s="39"/>
      <c r="AE1002" s="39"/>
      <c r="AF1002" s="39"/>
      <c r="AG1002" s="39"/>
      <c r="AH1002" s="39"/>
      <c r="AI1002" s="39"/>
      <c r="AJ1002" s="39"/>
      <c r="AK1002" s="39"/>
    </row>
    <row r="1003" spans="2:37" x14ac:dyDescent="0.25">
      <c r="D1003" t="s">
        <v>491</v>
      </c>
      <c r="H1003" t="s">
        <v>333</v>
      </c>
      <c r="I1003" s="39"/>
      <c r="J1003" s="39"/>
      <c r="K1003" s="39"/>
      <c r="L1003" s="39"/>
      <c r="M1003" s="39"/>
      <c r="N1003" s="39"/>
      <c r="O1003" s="39"/>
      <c r="P1003" s="39"/>
      <c r="Q1003" s="39"/>
      <c r="R1003" s="39"/>
      <c r="S1003" s="39"/>
      <c r="T1003" s="39"/>
      <c r="U1003" s="39"/>
      <c r="V1003" s="39"/>
      <c r="W1003" s="39"/>
      <c r="X1003" s="39">
        <v>4041</v>
      </c>
      <c r="Y1003" s="39">
        <v>3751</v>
      </c>
      <c r="Z1003" s="39">
        <v>3331</v>
      </c>
      <c r="AA1003" s="39">
        <v>4513</v>
      </c>
      <c r="AB1003" s="39">
        <v>3873</v>
      </c>
      <c r="AC1003" s="39">
        <v>3471</v>
      </c>
      <c r="AD1003" s="39"/>
      <c r="AE1003" s="39"/>
      <c r="AF1003" s="39"/>
      <c r="AG1003" s="39"/>
      <c r="AH1003" s="39"/>
      <c r="AI1003" s="39"/>
      <c r="AJ1003" s="39"/>
      <c r="AK1003" s="39"/>
    </row>
    <row r="1004" spans="2:37" x14ac:dyDescent="0.25">
      <c r="D1004" t="s">
        <v>492</v>
      </c>
      <c r="H1004" t="s">
        <v>333</v>
      </c>
      <c r="I1004" s="39"/>
      <c r="J1004" s="39"/>
      <c r="K1004" s="39"/>
      <c r="L1004" s="39"/>
      <c r="M1004" s="39"/>
      <c r="N1004" s="39"/>
      <c r="O1004" s="39"/>
      <c r="P1004" s="39"/>
      <c r="Q1004" s="39"/>
      <c r="R1004" s="39"/>
      <c r="S1004" s="39"/>
      <c r="T1004" s="39"/>
      <c r="U1004" s="39"/>
      <c r="V1004" s="39"/>
      <c r="W1004" s="39"/>
      <c r="X1004" s="39">
        <v>2112</v>
      </c>
      <c r="Y1004" s="39">
        <v>2096</v>
      </c>
      <c r="Z1004" s="39">
        <v>1949</v>
      </c>
      <c r="AA1004" s="39">
        <v>2754</v>
      </c>
      <c r="AB1004" s="39">
        <v>2242</v>
      </c>
      <c r="AC1004" s="39">
        <v>1669</v>
      </c>
      <c r="AD1004" s="39"/>
      <c r="AE1004" s="39"/>
      <c r="AF1004" s="39"/>
      <c r="AG1004" s="39"/>
      <c r="AH1004" s="39"/>
      <c r="AI1004" s="39"/>
      <c r="AJ1004" s="39"/>
      <c r="AK1004" s="39"/>
    </row>
    <row r="1005" spans="2:37" x14ac:dyDescent="0.25">
      <c r="D1005" t="s">
        <v>493</v>
      </c>
      <c r="H1005" t="s">
        <v>333</v>
      </c>
      <c r="I1005" s="39"/>
      <c r="J1005" s="39"/>
      <c r="K1005" s="39"/>
      <c r="L1005" s="39"/>
      <c r="M1005" s="39"/>
      <c r="N1005" s="39"/>
      <c r="O1005" s="39"/>
      <c r="P1005" s="39"/>
      <c r="Q1005" s="39"/>
      <c r="R1005" s="39"/>
      <c r="S1005" s="39"/>
      <c r="T1005" s="39"/>
      <c r="U1005" s="39"/>
      <c r="V1005" s="39"/>
      <c r="W1005" s="39"/>
      <c r="X1005" s="39">
        <v>1100</v>
      </c>
      <c r="Y1005" s="39">
        <v>1101</v>
      </c>
      <c r="Z1005" s="39">
        <v>1084</v>
      </c>
      <c r="AA1005" s="39">
        <v>818</v>
      </c>
      <c r="AB1005" s="39">
        <v>1149</v>
      </c>
      <c r="AC1005" s="39">
        <v>1055</v>
      </c>
      <c r="AD1005" s="39"/>
      <c r="AE1005" s="39"/>
      <c r="AF1005" s="39"/>
      <c r="AG1005" s="39"/>
      <c r="AH1005" s="39"/>
      <c r="AI1005" s="39"/>
      <c r="AJ1005" s="39"/>
      <c r="AK1005" s="39"/>
    </row>
    <row r="1006" spans="2:37" x14ac:dyDescent="0.25">
      <c r="D1006" t="s">
        <v>494</v>
      </c>
      <c r="H1006" t="s">
        <v>333</v>
      </c>
      <c r="I1006" s="39"/>
      <c r="J1006" s="39"/>
      <c r="K1006" s="39"/>
      <c r="L1006" s="39"/>
      <c r="M1006" s="39"/>
      <c r="N1006" s="39"/>
      <c r="O1006" s="39"/>
      <c r="P1006" s="39"/>
      <c r="Q1006" s="39"/>
      <c r="R1006" s="39"/>
      <c r="S1006" s="39"/>
      <c r="T1006" s="39"/>
      <c r="U1006" s="39"/>
      <c r="V1006" s="39"/>
      <c r="W1006" s="39"/>
      <c r="X1006" s="39">
        <v>2137</v>
      </c>
      <c r="Y1006" s="39">
        <v>1872</v>
      </c>
      <c r="Z1006" s="39">
        <v>2023</v>
      </c>
      <c r="AA1006" s="39">
        <v>2475</v>
      </c>
      <c r="AB1006" s="39">
        <v>2493</v>
      </c>
      <c r="AC1006" s="39">
        <v>1624</v>
      </c>
      <c r="AD1006" s="39"/>
      <c r="AE1006" s="39"/>
      <c r="AF1006" s="39"/>
      <c r="AG1006" s="39"/>
      <c r="AH1006" s="39"/>
      <c r="AI1006" s="39"/>
      <c r="AJ1006" s="39"/>
      <c r="AK1006" s="39"/>
    </row>
    <row r="1007" spans="2:37" x14ac:dyDescent="0.25">
      <c r="D1007" t="s">
        <v>495</v>
      </c>
      <c r="H1007" t="s">
        <v>333</v>
      </c>
      <c r="I1007" s="39"/>
      <c r="J1007" s="39"/>
      <c r="K1007" s="39"/>
      <c r="L1007" s="39"/>
      <c r="M1007" s="39"/>
      <c r="N1007" s="39"/>
      <c r="O1007" s="39"/>
      <c r="P1007" s="39"/>
      <c r="Q1007" s="39"/>
      <c r="R1007" s="39"/>
      <c r="S1007" s="39"/>
      <c r="T1007" s="39"/>
      <c r="U1007" s="39"/>
      <c r="V1007" s="39"/>
      <c r="W1007" s="39"/>
      <c r="X1007" s="39">
        <v>580</v>
      </c>
      <c r="Y1007" s="39">
        <v>557</v>
      </c>
      <c r="Z1007" s="39">
        <v>366</v>
      </c>
      <c r="AA1007" s="39">
        <v>428</v>
      </c>
      <c r="AB1007" s="39">
        <v>516</v>
      </c>
      <c r="AC1007" s="39">
        <v>460</v>
      </c>
      <c r="AD1007" s="39"/>
      <c r="AE1007" s="39"/>
      <c r="AF1007" s="39"/>
      <c r="AG1007" s="39"/>
      <c r="AH1007" s="39"/>
      <c r="AI1007" s="39"/>
      <c r="AJ1007" s="39"/>
      <c r="AK1007" s="39"/>
    </row>
    <row r="1008" spans="2:37" x14ac:dyDescent="0.25">
      <c r="D1008" t="s">
        <v>496</v>
      </c>
      <c r="H1008" t="s">
        <v>333</v>
      </c>
      <c r="I1008" s="39"/>
      <c r="J1008" s="39"/>
      <c r="K1008" s="39"/>
      <c r="L1008" s="39"/>
      <c r="M1008" s="39"/>
      <c r="N1008" s="39"/>
      <c r="O1008" s="39"/>
      <c r="P1008" s="39"/>
      <c r="Q1008" s="39"/>
      <c r="R1008" s="39"/>
      <c r="S1008" s="39"/>
      <c r="T1008" s="39"/>
      <c r="U1008" s="39"/>
      <c r="V1008" s="39"/>
      <c r="W1008" s="39"/>
      <c r="X1008" s="39">
        <v>1734</v>
      </c>
      <c r="Y1008" s="39">
        <v>1690</v>
      </c>
      <c r="Z1008" s="39">
        <v>1892</v>
      </c>
      <c r="AA1008" s="39">
        <v>1835</v>
      </c>
      <c r="AB1008" s="39">
        <v>1779</v>
      </c>
      <c r="AC1008" s="39">
        <v>1629</v>
      </c>
      <c r="AD1008" s="39"/>
      <c r="AE1008" s="39"/>
      <c r="AF1008" s="39"/>
      <c r="AG1008" s="39"/>
      <c r="AH1008" s="39"/>
      <c r="AI1008" s="39"/>
      <c r="AJ1008" s="39"/>
      <c r="AK1008" s="39"/>
    </row>
    <row r="1009" spans="2:37" x14ac:dyDescent="0.25">
      <c r="D1009" t="s">
        <v>497</v>
      </c>
      <c r="H1009" t="s">
        <v>333</v>
      </c>
      <c r="I1009" s="39"/>
      <c r="J1009" s="39"/>
      <c r="K1009" s="39"/>
      <c r="L1009" s="39"/>
      <c r="M1009" s="39"/>
      <c r="N1009" s="39"/>
      <c r="O1009" s="39"/>
      <c r="P1009" s="39"/>
      <c r="Q1009" s="39"/>
      <c r="R1009" s="39"/>
      <c r="S1009" s="39"/>
      <c r="T1009" s="39"/>
      <c r="U1009" s="39"/>
      <c r="V1009" s="39"/>
      <c r="W1009" s="39"/>
      <c r="X1009" s="39">
        <v>4750</v>
      </c>
      <c r="Y1009" s="39">
        <v>4715</v>
      </c>
      <c r="Z1009" s="39">
        <v>3807</v>
      </c>
      <c r="AA1009" s="39">
        <v>6592</v>
      </c>
      <c r="AB1009" s="39">
        <v>4295</v>
      </c>
      <c r="AC1009" s="39">
        <v>3353</v>
      </c>
      <c r="AD1009" s="39"/>
      <c r="AE1009" s="39"/>
      <c r="AF1009" s="39"/>
      <c r="AG1009" s="39"/>
      <c r="AH1009" s="39"/>
      <c r="AI1009" s="39"/>
      <c r="AJ1009" s="39"/>
      <c r="AK1009" s="39"/>
    </row>
    <row r="1010" spans="2:37" x14ac:dyDescent="0.25">
      <c r="D1010" t="s">
        <v>498</v>
      </c>
      <c r="H1010" t="s">
        <v>333</v>
      </c>
      <c r="I1010" s="39"/>
      <c r="J1010" s="39"/>
      <c r="K1010" s="39"/>
      <c r="L1010" s="39"/>
      <c r="M1010" s="39"/>
      <c r="N1010" s="39"/>
      <c r="O1010" s="39"/>
      <c r="P1010" s="39"/>
      <c r="Q1010" s="39"/>
      <c r="R1010" s="39"/>
      <c r="S1010" s="39"/>
      <c r="T1010" s="39"/>
      <c r="U1010" s="39"/>
      <c r="V1010" s="39"/>
      <c r="W1010" s="39"/>
      <c r="X1010" s="39">
        <v>0</v>
      </c>
      <c r="Y1010" s="39">
        <v>0</v>
      </c>
      <c r="Z1010" s="39">
        <v>0</v>
      </c>
      <c r="AA1010" s="39">
        <v>0</v>
      </c>
      <c r="AB1010" s="39">
        <v>0</v>
      </c>
      <c r="AC1010" s="39">
        <v>0</v>
      </c>
      <c r="AD1010" s="39"/>
      <c r="AE1010" s="39"/>
      <c r="AF1010" s="39"/>
      <c r="AG1010" s="39"/>
      <c r="AH1010" s="39"/>
      <c r="AI1010" s="39"/>
      <c r="AJ1010" s="39"/>
      <c r="AK1010" s="39"/>
    </row>
    <row r="1011" spans="2:37" x14ac:dyDescent="0.25">
      <c r="D1011" t="s">
        <v>499</v>
      </c>
      <c r="H1011" t="s">
        <v>333</v>
      </c>
      <c r="I1011" s="39"/>
      <c r="J1011" s="39"/>
      <c r="K1011" s="39"/>
      <c r="L1011" s="39"/>
      <c r="M1011" s="39"/>
      <c r="N1011" s="39"/>
      <c r="O1011" s="39"/>
      <c r="P1011" s="39"/>
      <c r="Q1011" s="39"/>
      <c r="R1011" s="39"/>
      <c r="S1011" s="39"/>
      <c r="T1011" s="39"/>
      <c r="U1011" s="39"/>
      <c r="V1011" s="39"/>
      <c r="W1011" s="39"/>
      <c r="X1011" s="39">
        <v>908</v>
      </c>
      <c r="Y1011" s="39">
        <v>743</v>
      </c>
      <c r="Z1011" s="39">
        <v>663</v>
      </c>
      <c r="AA1011" s="39">
        <v>1022</v>
      </c>
      <c r="AB1011" s="39">
        <v>753</v>
      </c>
      <c r="AC1011" s="39">
        <v>236</v>
      </c>
      <c r="AD1011" s="39"/>
      <c r="AE1011" s="39"/>
      <c r="AF1011" s="39"/>
      <c r="AG1011" s="39"/>
      <c r="AH1011" s="39"/>
      <c r="AI1011" s="39"/>
      <c r="AJ1011" s="39"/>
      <c r="AK1011" s="39"/>
    </row>
    <row r="1012" spans="2:37" x14ac:dyDescent="0.25">
      <c r="D1012" t="s">
        <v>500</v>
      </c>
      <c r="H1012" t="s">
        <v>333</v>
      </c>
      <c r="I1012" s="39"/>
      <c r="J1012" s="39"/>
      <c r="K1012" s="39"/>
      <c r="L1012" s="39"/>
      <c r="M1012" s="39"/>
      <c r="N1012" s="39"/>
      <c r="O1012" s="39"/>
      <c r="P1012" s="39"/>
      <c r="Q1012" s="39"/>
      <c r="R1012" s="39"/>
      <c r="S1012" s="39"/>
      <c r="T1012" s="39"/>
      <c r="U1012" s="39"/>
      <c r="V1012" s="39"/>
      <c r="W1012" s="39"/>
      <c r="X1012" s="39">
        <v>0</v>
      </c>
      <c r="Y1012" s="39">
        <v>0</v>
      </c>
      <c r="Z1012" s="39">
        <v>0</v>
      </c>
      <c r="AA1012" s="39">
        <v>0</v>
      </c>
      <c r="AB1012" s="39">
        <v>0</v>
      </c>
      <c r="AC1012" s="39">
        <v>0</v>
      </c>
      <c r="AD1012" s="39"/>
      <c r="AE1012" s="39"/>
      <c r="AF1012" s="39"/>
      <c r="AG1012" s="39"/>
      <c r="AH1012" s="39"/>
      <c r="AI1012" s="39"/>
      <c r="AJ1012" s="39"/>
      <c r="AK1012" s="39"/>
    </row>
    <row r="1013" spans="2:37" x14ac:dyDescent="0.25">
      <c r="D1013" t="s">
        <v>501</v>
      </c>
      <c r="H1013" t="s">
        <v>333</v>
      </c>
      <c r="I1013" s="39"/>
      <c r="J1013" s="39"/>
      <c r="K1013" s="39"/>
      <c r="L1013" s="39"/>
      <c r="M1013" s="39"/>
      <c r="N1013" s="39"/>
      <c r="O1013" s="39"/>
      <c r="P1013" s="39"/>
      <c r="Q1013" s="39"/>
      <c r="R1013" s="39"/>
      <c r="S1013" s="39"/>
      <c r="T1013" s="39"/>
      <c r="U1013" s="39"/>
      <c r="V1013" s="39"/>
      <c r="W1013" s="39"/>
      <c r="X1013" s="39">
        <v>0</v>
      </c>
      <c r="Y1013" s="39">
        <v>0</v>
      </c>
      <c r="Z1013" s="39">
        <v>0</v>
      </c>
      <c r="AA1013" s="39">
        <v>0</v>
      </c>
      <c r="AB1013" s="39">
        <v>0</v>
      </c>
      <c r="AC1013" s="39">
        <v>0</v>
      </c>
      <c r="AD1013" s="39"/>
      <c r="AE1013" s="39"/>
      <c r="AF1013" s="39"/>
      <c r="AG1013" s="39"/>
      <c r="AH1013" s="39"/>
      <c r="AI1013" s="39"/>
      <c r="AJ1013" s="39"/>
      <c r="AK1013" s="39"/>
    </row>
    <row r="1014" spans="2:37" x14ac:dyDescent="0.25">
      <c r="D1014" t="s">
        <v>502</v>
      </c>
      <c r="H1014" t="s">
        <v>333</v>
      </c>
      <c r="I1014" s="39"/>
      <c r="J1014" s="39"/>
      <c r="K1014" s="39"/>
      <c r="L1014" s="39"/>
      <c r="M1014" s="39"/>
      <c r="N1014" s="39"/>
      <c r="O1014" s="39"/>
      <c r="P1014" s="39"/>
      <c r="Q1014" s="39"/>
      <c r="R1014" s="39"/>
      <c r="S1014" s="39"/>
      <c r="T1014" s="39"/>
      <c r="U1014" s="39"/>
      <c r="V1014" s="39"/>
      <c r="W1014" s="39"/>
      <c r="X1014" s="39">
        <v>1689</v>
      </c>
      <c r="Y1014" s="39">
        <v>1370</v>
      </c>
      <c r="Z1014" s="39">
        <v>1526</v>
      </c>
      <c r="AA1014" s="39">
        <v>3571</v>
      </c>
      <c r="AB1014" s="39">
        <v>4080</v>
      </c>
      <c r="AC1014" s="39">
        <v>2488</v>
      </c>
      <c r="AD1014" s="39"/>
      <c r="AE1014" s="39"/>
      <c r="AF1014" s="39"/>
      <c r="AG1014" s="39"/>
      <c r="AH1014" s="39"/>
      <c r="AI1014" s="39"/>
      <c r="AJ1014" s="39"/>
      <c r="AK1014" s="39"/>
    </row>
    <row r="1015" spans="2:37" x14ac:dyDescent="0.25">
      <c r="D1015" t="s">
        <v>503</v>
      </c>
      <c r="H1015" t="s">
        <v>333</v>
      </c>
      <c r="I1015" s="39"/>
      <c r="J1015" s="39"/>
      <c r="K1015" s="39"/>
      <c r="L1015" s="39"/>
      <c r="M1015" s="39"/>
      <c r="N1015" s="39"/>
      <c r="O1015" s="39"/>
      <c r="P1015" s="39"/>
      <c r="Q1015" s="39"/>
      <c r="R1015" s="39"/>
      <c r="S1015" s="39"/>
      <c r="T1015" s="39"/>
      <c r="U1015" s="39"/>
      <c r="V1015" s="39"/>
      <c r="W1015" s="39"/>
      <c r="X1015" s="39">
        <v>1785</v>
      </c>
      <c r="Y1015" s="39">
        <v>1294</v>
      </c>
      <c r="Z1015" s="39">
        <v>1149</v>
      </c>
      <c r="AA1015" s="39">
        <v>2122</v>
      </c>
      <c r="AB1015" s="39">
        <v>1688</v>
      </c>
      <c r="AC1015" s="39">
        <v>1088</v>
      </c>
      <c r="AD1015" s="39"/>
      <c r="AE1015" s="39"/>
      <c r="AF1015" s="39"/>
      <c r="AG1015" s="39"/>
      <c r="AH1015" s="39"/>
      <c r="AI1015" s="39"/>
      <c r="AJ1015" s="39"/>
      <c r="AK1015" s="39"/>
    </row>
    <row r="1016" spans="2:37" x14ac:dyDescent="0.25">
      <c r="D1016" t="s">
        <v>504</v>
      </c>
      <c r="H1016" t="s">
        <v>333</v>
      </c>
      <c r="I1016" s="39"/>
      <c r="J1016" s="39"/>
      <c r="K1016" s="39"/>
      <c r="L1016" s="39"/>
      <c r="M1016" s="39"/>
      <c r="N1016" s="39"/>
      <c r="O1016" s="39"/>
      <c r="P1016" s="39"/>
      <c r="Q1016" s="39"/>
      <c r="R1016" s="39"/>
      <c r="S1016" s="39"/>
      <c r="T1016" s="39"/>
      <c r="U1016" s="39"/>
      <c r="V1016" s="39"/>
      <c r="W1016" s="39"/>
      <c r="X1016" s="39">
        <v>410</v>
      </c>
      <c r="Y1016" s="39">
        <v>515</v>
      </c>
      <c r="Z1016" s="39">
        <v>460</v>
      </c>
      <c r="AA1016" s="39">
        <v>1133</v>
      </c>
      <c r="AB1016" s="39">
        <v>997</v>
      </c>
      <c r="AC1016" s="39">
        <v>425</v>
      </c>
      <c r="AD1016" s="39"/>
      <c r="AE1016" s="39"/>
      <c r="AF1016" s="39"/>
      <c r="AG1016" s="39"/>
      <c r="AH1016" s="39"/>
      <c r="AI1016" s="39"/>
      <c r="AJ1016" s="39"/>
      <c r="AK1016" s="39"/>
    </row>
    <row r="1017" spans="2:37" x14ac:dyDescent="0.25">
      <c r="D1017" t="s">
        <v>505</v>
      </c>
      <c r="H1017" t="s">
        <v>333</v>
      </c>
      <c r="I1017" s="39"/>
      <c r="J1017" s="39"/>
      <c r="K1017" s="39"/>
      <c r="L1017" s="39"/>
      <c r="M1017" s="39"/>
      <c r="N1017" s="39"/>
      <c r="O1017" s="39"/>
      <c r="P1017" s="39"/>
      <c r="Q1017" s="39"/>
      <c r="R1017" s="39"/>
      <c r="S1017" s="39"/>
      <c r="T1017" s="39"/>
      <c r="U1017" s="39"/>
      <c r="V1017" s="39"/>
      <c r="W1017" s="39"/>
      <c r="X1017" s="39">
        <v>861</v>
      </c>
      <c r="Y1017" s="39">
        <v>692</v>
      </c>
      <c r="Z1017" s="39">
        <v>1197</v>
      </c>
      <c r="AA1017" s="39">
        <v>1889</v>
      </c>
      <c r="AB1017" s="39">
        <v>1475</v>
      </c>
      <c r="AC1017" s="39">
        <v>1194</v>
      </c>
      <c r="AD1017" s="39"/>
      <c r="AE1017" s="39"/>
      <c r="AF1017" s="39"/>
      <c r="AG1017" s="39"/>
      <c r="AH1017" s="39"/>
      <c r="AI1017" s="39"/>
      <c r="AJ1017" s="39"/>
      <c r="AK1017" s="39"/>
    </row>
    <row r="1018" spans="2:37" s="8" customFormat="1" x14ac:dyDescent="0.25">
      <c r="B1018" s="9"/>
      <c r="C1018" s="8" t="s">
        <v>2247</v>
      </c>
      <c r="H1018" s="8" t="s">
        <v>333</v>
      </c>
      <c r="I1018" s="42"/>
      <c r="J1018" s="42"/>
      <c r="K1018" s="42"/>
      <c r="L1018" s="42"/>
      <c r="M1018" s="42"/>
      <c r="N1018" s="42"/>
      <c r="O1018" s="42"/>
      <c r="P1018" s="42"/>
      <c r="Q1018" s="42"/>
      <c r="R1018" s="42"/>
      <c r="S1018" s="42"/>
      <c r="T1018" s="42"/>
      <c r="U1018" s="42"/>
      <c r="V1018" s="42"/>
      <c r="W1018" s="42"/>
      <c r="X1018" s="42"/>
      <c r="Y1018" s="42"/>
      <c r="Z1018" s="42"/>
      <c r="AA1018" s="42"/>
      <c r="AB1018" s="42"/>
      <c r="AC1018" s="42">
        <f>SUM(AC1019:AC1030)</f>
        <v>40538</v>
      </c>
      <c r="AD1018" s="42"/>
      <c r="AE1018" s="42"/>
      <c r="AF1018" s="42"/>
      <c r="AG1018" s="42"/>
      <c r="AH1018" s="42"/>
      <c r="AI1018" s="42"/>
      <c r="AJ1018" s="42"/>
      <c r="AK1018" s="42"/>
    </row>
    <row r="1019" spans="2:37" x14ac:dyDescent="0.25">
      <c r="E1019" t="s">
        <v>2249</v>
      </c>
      <c r="H1019" t="s">
        <v>333</v>
      </c>
      <c r="I1019" s="39"/>
      <c r="J1019" s="39"/>
      <c r="K1019" s="39"/>
      <c r="L1019" s="39"/>
      <c r="M1019" s="39"/>
      <c r="N1019" s="39"/>
      <c r="O1019" s="39"/>
      <c r="P1019" s="39"/>
      <c r="Q1019" s="39"/>
      <c r="R1019" s="39"/>
      <c r="S1019" s="39"/>
      <c r="T1019" s="39"/>
      <c r="U1019" s="39"/>
      <c r="V1019" s="39"/>
      <c r="W1019" s="39"/>
      <c r="X1019" s="39"/>
      <c r="Y1019" s="39"/>
      <c r="Z1019" s="39"/>
      <c r="AA1019" s="39"/>
      <c r="AB1019" s="39"/>
      <c r="AC1019" s="39">
        <v>4848</v>
      </c>
      <c r="AD1019" s="39"/>
      <c r="AE1019" s="39"/>
      <c r="AF1019" s="39"/>
      <c r="AG1019" s="39"/>
      <c r="AH1019" s="39"/>
      <c r="AI1019" s="39"/>
      <c r="AJ1019" s="39"/>
      <c r="AK1019" s="39"/>
    </row>
    <row r="1020" spans="2:37" x14ac:dyDescent="0.25">
      <c r="E1020" t="s">
        <v>2248</v>
      </c>
      <c r="H1020" t="s">
        <v>333</v>
      </c>
      <c r="I1020" s="39"/>
      <c r="J1020" s="39"/>
      <c r="K1020" s="39"/>
      <c r="L1020" s="39"/>
      <c r="M1020" s="39"/>
      <c r="N1020" s="39"/>
      <c r="O1020" s="39"/>
      <c r="P1020" s="39"/>
      <c r="Q1020" s="39"/>
      <c r="R1020" s="39"/>
      <c r="S1020" s="39"/>
      <c r="T1020" s="39"/>
      <c r="U1020" s="39"/>
      <c r="V1020" s="39"/>
      <c r="W1020" s="39"/>
      <c r="X1020" s="39"/>
      <c r="Y1020" s="39"/>
      <c r="Z1020" s="39"/>
      <c r="AA1020" s="39"/>
      <c r="AB1020" s="39"/>
      <c r="AC1020" s="39">
        <v>8495</v>
      </c>
      <c r="AD1020" s="39"/>
      <c r="AE1020" s="39"/>
      <c r="AF1020" s="39"/>
      <c r="AG1020" s="39"/>
      <c r="AH1020" s="39"/>
      <c r="AI1020" s="39"/>
      <c r="AJ1020" s="39"/>
      <c r="AK1020" s="39"/>
    </row>
    <row r="1021" spans="2:37" x14ac:dyDescent="0.25">
      <c r="E1021" t="s">
        <v>496</v>
      </c>
      <c r="H1021" t="s">
        <v>333</v>
      </c>
      <c r="I1021" s="39"/>
      <c r="J1021" s="39"/>
      <c r="K1021" s="39"/>
      <c r="L1021" s="39"/>
      <c r="M1021" s="39"/>
      <c r="N1021" s="39"/>
      <c r="O1021" s="39"/>
      <c r="P1021" s="39"/>
      <c r="Q1021" s="39"/>
      <c r="R1021" s="39"/>
      <c r="S1021" s="39"/>
      <c r="T1021" s="39"/>
      <c r="U1021" s="39"/>
      <c r="V1021" s="39"/>
      <c r="W1021" s="39"/>
      <c r="X1021" s="39"/>
      <c r="Y1021" s="39"/>
      <c r="Z1021" s="39"/>
      <c r="AA1021" s="39"/>
      <c r="AB1021" s="39"/>
      <c r="AC1021" s="39">
        <v>3345</v>
      </c>
      <c r="AD1021" s="39"/>
      <c r="AE1021" s="39"/>
      <c r="AF1021" s="39"/>
      <c r="AG1021" s="39"/>
      <c r="AH1021" s="39"/>
      <c r="AI1021" s="39"/>
      <c r="AJ1021" s="39"/>
      <c r="AK1021" s="39"/>
    </row>
    <row r="1022" spans="2:37" x14ac:dyDescent="0.25">
      <c r="E1022" t="s">
        <v>2250</v>
      </c>
      <c r="H1022" t="s">
        <v>333</v>
      </c>
      <c r="I1022" s="39"/>
      <c r="J1022" s="39"/>
      <c r="K1022" s="39"/>
      <c r="L1022" s="39"/>
      <c r="M1022" s="39"/>
      <c r="N1022" s="39"/>
      <c r="O1022" s="39"/>
      <c r="P1022" s="39"/>
      <c r="Q1022" s="39"/>
      <c r="R1022" s="39"/>
      <c r="S1022" s="39"/>
      <c r="T1022" s="39"/>
      <c r="U1022" s="39"/>
      <c r="V1022" s="39"/>
      <c r="W1022" s="39"/>
      <c r="X1022" s="39"/>
      <c r="Y1022" s="39"/>
      <c r="Z1022" s="39"/>
      <c r="AA1022" s="39"/>
      <c r="AB1022" s="39"/>
      <c r="AC1022" s="39">
        <v>10463</v>
      </c>
      <c r="AD1022" s="39"/>
      <c r="AE1022" s="39"/>
      <c r="AF1022" s="39"/>
      <c r="AG1022" s="39"/>
      <c r="AH1022" s="39"/>
      <c r="AI1022" s="39"/>
      <c r="AJ1022" s="39"/>
      <c r="AK1022" s="39"/>
    </row>
    <row r="1023" spans="2:37" x14ac:dyDescent="0.25">
      <c r="E1023" t="s">
        <v>2251</v>
      </c>
      <c r="H1023" t="s">
        <v>333</v>
      </c>
      <c r="I1023" s="39"/>
      <c r="J1023" s="39"/>
      <c r="K1023" s="39"/>
      <c r="L1023" s="39"/>
      <c r="M1023" s="39"/>
      <c r="N1023" s="39"/>
      <c r="O1023" s="39"/>
      <c r="P1023" s="39"/>
      <c r="Q1023" s="39"/>
      <c r="R1023" s="39"/>
      <c r="S1023" s="39"/>
      <c r="T1023" s="39"/>
      <c r="U1023" s="39"/>
      <c r="V1023" s="39"/>
      <c r="W1023" s="39"/>
      <c r="X1023" s="39"/>
      <c r="Y1023" s="39"/>
      <c r="Z1023" s="39"/>
      <c r="AA1023" s="39"/>
      <c r="AB1023" s="39"/>
      <c r="AC1023" s="232">
        <v>805</v>
      </c>
      <c r="AD1023" s="39"/>
      <c r="AE1023" s="39"/>
      <c r="AF1023" s="39"/>
      <c r="AG1023" s="39"/>
      <c r="AH1023" s="39"/>
      <c r="AI1023" s="39"/>
      <c r="AJ1023" s="39"/>
      <c r="AK1023" s="39"/>
    </row>
    <row r="1024" spans="2:37" x14ac:dyDescent="0.25">
      <c r="E1024" t="s">
        <v>2252</v>
      </c>
      <c r="H1024" t="s">
        <v>333</v>
      </c>
      <c r="I1024" s="39"/>
      <c r="J1024" s="39"/>
      <c r="K1024" s="39"/>
      <c r="L1024" s="39"/>
      <c r="M1024" s="39"/>
      <c r="N1024" s="39"/>
      <c r="O1024" s="39"/>
      <c r="P1024" s="39"/>
      <c r="Q1024" s="39"/>
      <c r="R1024" s="39"/>
      <c r="S1024" s="39"/>
      <c r="T1024" s="39"/>
      <c r="U1024" s="39"/>
      <c r="V1024" s="39"/>
      <c r="W1024" s="39"/>
      <c r="X1024" s="39"/>
      <c r="Y1024" s="39"/>
      <c r="Z1024" s="39"/>
      <c r="AA1024" s="39"/>
      <c r="AB1024" s="39"/>
      <c r="AC1024" s="232">
        <v>1318</v>
      </c>
      <c r="AD1024" s="39"/>
      <c r="AE1024" s="39"/>
      <c r="AF1024" s="39"/>
      <c r="AG1024" s="39"/>
      <c r="AH1024" s="39"/>
      <c r="AI1024" s="39"/>
      <c r="AJ1024" s="39"/>
      <c r="AK1024" s="39"/>
    </row>
    <row r="1025" spans="1:37" x14ac:dyDescent="0.25">
      <c r="E1025" t="s">
        <v>2253</v>
      </c>
      <c r="H1025" t="s">
        <v>333</v>
      </c>
      <c r="I1025" s="39"/>
      <c r="J1025" s="39"/>
      <c r="K1025" s="39"/>
      <c r="L1025" s="39"/>
      <c r="M1025" s="39"/>
      <c r="N1025" s="39"/>
      <c r="O1025" s="39"/>
      <c r="P1025" s="39"/>
      <c r="Q1025" s="39"/>
      <c r="R1025" s="39"/>
      <c r="S1025" s="39"/>
      <c r="T1025" s="39"/>
      <c r="U1025" s="39"/>
      <c r="V1025" s="39"/>
      <c r="W1025" s="39"/>
      <c r="X1025" s="39"/>
      <c r="Y1025" s="39"/>
      <c r="Z1025" s="39"/>
      <c r="AA1025" s="39"/>
      <c r="AB1025" s="39"/>
      <c r="AC1025" s="232">
        <v>1318</v>
      </c>
      <c r="AD1025" s="39"/>
      <c r="AE1025" s="39"/>
      <c r="AF1025" s="39"/>
      <c r="AG1025" s="39"/>
      <c r="AH1025" s="39"/>
      <c r="AI1025" s="39"/>
      <c r="AJ1025" s="39"/>
      <c r="AK1025" s="39"/>
    </row>
    <row r="1026" spans="1:37" x14ac:dyDescent="0.25">
      <c r="E1026" t="s">
        <v>2254</v>
      </c>
      <c r="H1026" t="s">
        <v>333</v>
      </c>
      <c r="I1026" s="39"/>
      <c r="J1026" s="39"/>
      <c r="K1026" s="39"/>
      <c r="L1026" s="39"/>
      <c r="M1026" s="39"/>
      <c r="N1026" s="39"/>
      <c r="O1026" s="39"/>
      <c r="P1026" s="39"/>
      <c r="Q1026" s="39"/>
      <c r="R1026" s="39"/>
      <c r="S1026" s="39"/>
      <c r="T1026" s="39"/>
      <c r="U1026" s="39"/>
      <c r="V1026" s="39"/>
      <c r="W1026" s="39"/>
      <c r="X1026" s="39"/>
      <c r="Y1026" s="39"/>
      <c r="Z1026" s="39"/>
      <c r="AA1026" s="39"/>
      <c r="AB1026" s="39"/>
      <c r="AC1026" s="232">
        <v>1683</v>
      </c>
      <c r="AD1026" s="39"/>
      <c r="AE1026" s="39"/>
      <c r="AF1026" s="39"/>
      <c r="AG1026" s="39"/>
      <c r="AH1026" s="39"/>
      <c r="AI1026" s="39"/>
      <c r="AJ1026" s="39"/>
      <c r="AK1026" s="39"/>
    </row>
    <row r="1027" spans="1:37" x14ac:dyDescent="0.25">
      <c r="E1027" t="s">
        <v>504</v>
      </c>
      <c r="H1027" t="s">
        <v>333</v>
      </c>
      <c r="I1027" s="39"/>
      <c r="J1027" s="39"/>
      <c r="K1027" s="39"/>
      <c r="L1027" s="39"/>
      <c r="M1027" s="39"/>
      <c r="N1027" s="39"/>
      <c r="O1027" s="39"/>
      <c r="P1027" s="39"/>
      <c r="Q1027" s="39"/>
      <c r="R1027" s="39"/>
      <c r="S1027" s="39"/>
      <c r="T1027" s="39"/>
      <c r="U1027" s="39"/>
      <c r="V1027" s="39"/>
      <c r="W1027" s="39"/>
      <c r="X1027" s="39"/>
      <c r="Y1027" s="39"/>
      <c r="Z1027" s="39"/>
      <c r="AA1027" s="39"/>
      <c r="AB1027" s="39"/>
      <c r="AC1027" s="232">
        <v>585</v>
      </c>
      <c r="AD1027" s="39"/>
      <c r="AE1027" s="39"/>
      <c r="AF1027" s="39"/>
      <c r="AG1027" s="39"/>
      <c r="AH1027" s="39"/>
      <c r="AI1027" s="39"/>
      <c r="AJ1027" s="39"/>
      <c r="AK1027" s="39"/>
    </row>
    <row r="1028" spans="1:37" x14ac:dyDescent="0.25">
      <c r="E1028" t="s">
        <v>2255</v>
      </c>
      <c r="H1028" t="s">
        <v>333</v>
      </c>
      <c r="I1028" s="39"/>
      <c r="J1028" s="39"/>
      <c r="K1028" s="39"/>
      <c r="L1028" s="39"/>
      <c r="M1028" s="39"/>
      <c r="N1028" s="39"/>
      <c r="O1028" s="39"/>
      <c r="P1028" s="39"/>
      <c r="Q1028" s="39"/>
      <c r="R1028" s="39"/>
      <c r="S1028" s="39"/>
      <c r="T1028" s="39"/>
      <c r="U1028" s="39"/>
      <c r="V1028" s="39"/>
      <c r="W1028" s="39"/>
      <c r="X1028" s="39"/>
      <c r="Y1028" s="39"/>
      <c r="Z1028" s="39"/>
      <c r="AA1028" s="39"/>
      <c r="AB1028" s="39"/>
      <c r="AC1028" s="232">
        <v>2413</v>
      </c>
      <c r="AD1028" s="39"/>
      <c r="AE1028" s="39"/>
      <c r="AF1028" s="39"/>
      <c r="AG1028" s="39"/>
      <c r="AH1028" s="39"/>
      <c r="AI1028" s="39"/>
      <c r="AJ1028" s="39"/>
      <c r="AK1028" s="39"/>
    </row>
    <row r="1029" spans="1:37" x14ac:dyDescent="0.25">
      <c r="E1029" t="s">
        <v>2256</v>
      </c>
      <c r="H1029" t="s">
        <v>333</v>
      </c>
      <c r="I1029" s="39"/>
      <c r="J1029" s="39"/>
      <c r="K1029" s="39"/>
      <c r="L1029" s="39"/>
      <c r="M1029" s="39"/>
      <c r="N1029" s="39"/>
      <c r="O1029" s="39"/>
      <c r="P1029" s="39"/>
      <c r="Q1029" s="39"/>
      <c r="R1029" s="39"/>
      <c r="S1029" s="39"/>
      <c r="T1029" s="39"/>
      <c r="U1029" s="39"/>
      <c r="V1029" s="39"/>
      <c r="W1029" s="39"/>
      <c r="X1029" s="39"/>
      <c r="Y1029" s="39"/>
      <c r="Z1029" s="39"/>
      <c r="AA1029" s="39"/>
      <c r="AB1029" s="39"/>
      <c r="AC1029" s="232">
        <v>3875</v>
      </c>
      <c r="AD1029" s="39"/>
      <c r="AE1029" s="39"/>
      <c r="AF1029" s="39"/>
      <c r="AG1029" s="39"/>
      <c r="AH1029" s="39"/>
      <c r="AI1029" s="39"/>
      <c r="AJ1029" s="39"/>
      <c r="AK1029" s="39"/>
    </row>
    <row r="1030" spans="1:37" x14ac:dyDescent="0.25">
      <c r="E1030" t="s">
        <v>2257</v>
      </c>
      <c r="H1030" t="s">
        <v>333</v>
      </c>
      <c r="I1030" s="39"/>
      <c r="J1030" s="39"/>
      <c r="K1030" s="39"/>
      <c r="L1030" s="39"/>
      <c r="M1030" s="39"/>
      <c r="N1030" s="39"/>
      <c r="O1030" s="39"/>
      <c r="P1030" s="39"/>
      <c r="Q1030" s="39"/>
      <c r="R1030" s="39"/>
      <c r="S1030" s="39"/>
      <c r="T1030" s="39"/>
      <c r="U1030" s="39"/>
      <c r="V1030" s="39"/>
      <c r="W1030" s="39"/>
      <c r="X1030" s="39"/>
      <c r="Y1030" s="39"/>
      <c r="Z1030" s="39"/>
      <c r="AA1030" s="39"/>
      <c r="AB1030" s="39"/>
      <c r="AC1030" s="232">
        <v>1390</v>
      </c>
      <c r="AD1030" s="39"/>
      <c r="AE1030" s="39"/>
      <c r="AF1030" s="39"/>
      <c r="AG1030" s="39"/>
      <c r="AH1030" s="39"/>
      <c r="AI1030" s="39"/>
      <c r="AJ1030" s="39"/>
      <c r="AK1030" s="39"/>
    </row>
    <row r="1031" spans="1:37" s="2" customFormat="1" x14ac:dyDescent="0.25">
      <c r="B1031" s="3"/>
      <c r="J1031" s="48"/>
      <c r="K1031" s="48"/>
      <c r="L1031" s="48"/>
      <c r="M1031" s="48"/>
      <c r="N1031" s="48"/>
    </row>
    <row r="1032" spans="1:37" s="28" customFormat="1" ht="17.25" x14ac:dyDescent="0.3">
      <c r="A1032" s="28" t="s">
        <v>506</v>
      </c>
    </row>
    <row r="1033" spans="1:37" x14ac:dyDescent="0.25">
      <c r="B1033" s="29" t="s">
        <v>3</v>
      </c>
      <c r="C1033" t="s">
        <v>507</v>
      </c>
    </row>
    <row r="1034" spans="1:37" x14ac:dyDescent="0.25">
      <c r="B1034" s="29" t="s">
        <v>10</v>
      </c>
      <c r="C1034" s="263" t="s">
        <v>37</v>
      </c>
    </row>
    <row r="1035" spans="1:37" x14ac:dyDescent="0.25">
      <c r="B1035" s="29"/>
      <c r="C1035" s="263" t="s">
        <v>39</v>
      </c>
    </row>
    <row r="1036" spans="1:37" x14ac:dyDescent="0.25">
      <c r="B1036" s="29" t="s">
        <v>14</v>
      </c>
      <c r="C1036" t="s">
        <v>508</v>
      </c>
    </row>
    <row r="1037" spans="1:37" x14ac:dyDescent="0.25">
      <c r="B1037" s="29" t="s">
        <v>17</v>
      </c>
      <c r="C1037" t="s">
        <v>509</v>
      </c>
    </row>
    <row r="1038" spans="1:37" s="25" customFormat="1" ht="15.75" thickBot="1" x14ac:dyDescent="0.3">
      <c r="B1038" s="30" t="s">
        <v>19</v>
      </c>
    </row>
    <row r="1039" spans="1:37" s="8" customFormat="1" ht="15.75" thickTop="1" x14ac:dyDescent="0.25">
      <c r="B1039" s="29" t="s">
        <v>21</v>
      </c>
      <c r="I1039" s="42"/>
      <c r="J1039" s="42"/>
      <c r="K1039" s="42"/>
      <c r="L1039" s="42"/>
      <c r="M1039" s="42"/>
      <c r="N1039" s="42"/>
      <c r="O1039" s="42"/>
      <c r="P1039" s="42"/>
      <c r="Q1039" s="42"/>
      <c r="R1039" s="42"/>
      <c r="S1039" s="42"/>
      <c r="T1039" s="42"/>
      <c r="U1039" s="42"/>
      <c r="V1039" s="42"/>
      <c r="W1039" s="42"/>
      <c r="X1039" s="42"/>
      <c r="Y1039" s="42"/>
      <c r="Z1039" s="42"/>
      <c r="AA1039" s="42"/>
      <c r="AB1039" s="42"/>
      <c r="AC1039" s="42"/>
      <c r="AD1039" s="42"/>
      <c r="AE1039" s="42"/>
      <c r="AF1039" s="42"/>
      <c r="AG1039" s="42"/>
      <c r="AH1039" s="42"/>
      <c r="AI1039" s="42"/>
      <c r="AJ1039" s="42"/>
      <c r="AK1039" s="42"/>
    </row>
    <row r="1040" spans="1:37" s="2" customFormat="1" x14ac:dyDescent="0.25">
      <c r="B1040" s="3"/>
      <c r="J1040" s="48"/>
      <c r="K1040" s="48"/>
      <c r="L1040" s="48"/>
      <c r="M1040" s="48"/>
      <c r="N1040" s="48"/>
    </row>
    <row r="1041" spans="1:37" s="28" customFormat="1" ht="17.25" x14ac:dyDescent="0.3">
      <c r="A1041" s="28" t="s">
        <v>510</v>
      </c>
    </row>
    <row r="1042" spans="1:37" x14ac:dyDescent="0.25">
      <c r="B1042" s="29" t="s">
        <v>3</v>
      </c>
      <c r="C1042" t="s">
        <v>511</v>
      </c>
    </row>
    <row r="1043" spans="1:37" x14ac:dyDescent="0.25">
      <c r="B1043" s="29" t="s">
        <v>10</v>
      </c>
      <c r="C1043" s="263" t="s">
        <v>37</v>
      </c>
    </row>
    <row r="1044" spans="1:37" x14ac:dyDescent="0.25">
      <c r="B1044" s="29"/>
      <c r="C1044" s="263" t="s">
        <v>39</v>
      </c>
    </row>
    <row r="1045" spans="1:37" x14ac:dyDescent="0.25">
      <c r="B1045" s="29" t="s">
        <v>14</v>
      </c>
      <c r="C1045" t="s">
        <v>512</v>
      </c>
    </row>
    <row r="1046" spans="1:37" x14ac:dyDescent="0.25">
      <c r="B1046" s="29" t="s">
        <v>17</v>
      </c>
      <c r="C1046" t="s">
        <v>513</v>
      </c>
    </row>
    <row r="1047" spans="1:37" s="25" customFormat="1" ht="15.75" thickBot="1" x14ac:dyDescent="0.3">
      <c r="B1047" s="30" t="s">
        <v>19</v>
      </c>
    </row>
    <row r="1048" spans="1:37" s="8" customFormat="1" ht="15.75" thickTop="1" x14ac:dyDescent="0.25">
      <c r="B1048" s="29" t="s">
        <v>21</v>
      </c>
      <c r="C1048" s="8" t="s">
        <v>514</v>
      </c>
      <c r="H1048" s="8" t="s">
        <v>333</v>
      </c>
      <c r="I1048" s="42">
        <f t="shared" ref="I1048:AK1048" si="196">SUM(I1049:I1060)</f>
        <v>545164</v>
      </c>
      <c r="J1048" s="42">
        <f t="shared" si="196"/>
        <v>525220</v>
      </c>
      <c r="K1048" s="42">
        <f t="shared" si="196"/>
        <v>491785</v>
      </c>
      <c r="L1048" s="42">
        <f t="shared" si="196"/>
        <v>482095</v>
      </c>
      <c r="M1048" s="42">
        <f t="shared" si="196"/>
        <v>553327</v>
      </c>
      <c r="N1048" s="42">
        <f t="shared" si="196"/>
        <v>586613</v>
      </c>
      <c r="O1048" s="42">
        <f t="shared" si="196"/>
        <v>553735</v>
      </c>
      <c r="P1048" s="42">
        <f t="shared" si="196"/>
        <v>552358</v>
      </c>
      <c r="Q1048" s="42">
        <f t="shared" si="196"/>
        <v>517670</v>
      </c>
      <c r="R1048" s="42">
        <f t="shared" si="196"/>
        <v>483467</v>
      </c>
      <c r="S1048" s="42">
        <f t="shared" si="196"/>
        <v>495494</v>
      </c>
      <c r="T1048" s="42">
        <f t="shared" si="196"/>
        <v>525702</v>
      </c>
      <c r="U1048" s="42">
        <f t="shared" si="196"/>
        <v>549941</v>
      </c>
      <c r="V1048" s="42">
        <f t="shared" si="196"/>
        <v>631240</v>
      </c>
      <c r="W1048" s="42">
        <f t="shared" si="196"/>
        <v>530846</v>
      </c>
      <c r="X1048" s="42">
        <f t="shared" si="196"/>
        <v>641506</v>
      </c>
      <c r="Y1048" s="42">
        <f t="shared" si="196"/>
        <v>446299</v>
      </c>
      <c r="Z1048" s="42">
        <f t="shared" si="196"/>
        <v>563382</v>
      </c>
      <c r="AA1048" s="42">
        <f t="shared" si="196"/>
        <v>408616</v>
      </c>
      <c r="AB1048" s="42">
        <f t="shared" si="196"/>
        <v>634224</v>
      </c>
      <c r="AC1048" s="42">
        <f t="shared" si="196"/>
        <v>639327</v>
      </c>
      <c r="AD1048" s="42">
        <f t="shared" si="196"/>
        <v>0</v>
      </c>
      <c r="AE1048" s="42">
        <f t="shared" si="196"/>
        <v>0</v>
      </c>
      <c r="AF1048" s="42">
        <f t="shared" si="196"/>
        <v>0</v>
      </c>
      <c r="AG1048" s="42">
        <f t="shared" si="196"/>
        <v>0</v>
      </c>
      <c r="AH1048" s="42">
        <f t="shared" si="196"/>
        <v>0</v>
      </c>
      <c r="AI1048" s="42">
        <f t="shared" si="196"/>
        <v>0</v>
      </c>
      <c r="AJ1048" s="42">
        <f t="shared" si="196"/>
        <v>0</v>
      </c>
      <c r="AK1048" s="42">
        <f t="shared" si="196"/>
        <v>0</v>
      </c>
    </row>
    <row r="1049" spans="1:37" x14ac:dyDescent="0.25">
      <c r="D1049" s="4" t="s">
        <v>244</v>
      </c>
      <c r="H1049" t="s">
        <v>333</v>
      </c>
      <c r="I1049" s="39">
        <v>929</v>
      </c>
      <c r="J1049" s="39">
        <v>429</v>
      </c>
      <c r="K1049" s="39">
        <v>269</v>
      </c>
      <c r="L1049" s="39">
        <v>386</v>
      </c>
      <c r="M1049" s="39">
        <v>114</v>
      </c>
      <c r="N1049" s="39">
        <v>384</v>
      </c>
      <c r="O1049" s="39">
        <v>419</v>
      </c>
      <c r="P1049" s="39">
        <v>209</v>
      </c>
      <c r="Q1049" s="39">
        <v>404</v>
      </c>
      <c r="R1049" s="39">
        <v>336</v>
      </c>
      <c r="S1049" s="39">
        <v>441</v>
      </c>
      <c r="T1049" s="39">
        <v>594</v>
      </c>
      <c r="U1049" s="39">
        <v>324</v>
      </c>
      <c r="V1049" s="39">
        <v>328</v>
      </c>
      <c r="W1049" s="39">
        <v>0</v>
      </c>
      <c r="X1049" s="39">
        <v>442</v>
      </c>
      <c r="Y1049" s="39">
        <v>532</v>
      </c>
      <c r="Z1049" s="39">
        <v>215</v>
      </c>
      <c r="AA1049" s="39">
        <v>6</v>
      </c>
      <c r="AB1049" s="39">
        <v>117</v>
      </c>
      <c r="AC1049" s="39">
        <v>417</v>
      </c>
      <c r="AD1049" s="39"/>
      <c r="AE1049" s="39"/>
      <c r="AF1049" s="39"/>
      <c r="AG1049" s="39"/>
      <c r="AH1049" s="39"/>
      <c r="AI1049" s="39"/>
      <c r="AJ1049" s="39"/>
      <c r="AK1049" s="39"/>
    </row>
    <row r="1050" spans="1:37" x14ac:dyDescent="0.25">
      <c r="D1050" s="4" t="s">
        <v>245</v>
      </c>
      <c r="H1050" t="s">
        <v>333</v>
      </c>
      <c r="I1050" s="39">
        <v>1276</v>
      </c>
      <c r="J1050" s="39">
        <v>661</v>
      </c>
      <c r="K1050" s="39">
        <v>317</v>
      </c>
      <c r="L1050" s="39">
        <v>568</v>
      </c>
      <c r="M1050" s="39">
        <v>648</v>
      </c>
      <c r="N1050" s="39">
        <v>575</v>
      </c>
      <c r="O1050" s="39">
        <v>420</v>
      </c>
      <c r="P1050" s="39">
        <v>376</v>
      </c>
      <c r="Q1050" s="39">
        <v>411</v>
      </c>
      <c r="R1050" s="39">
        <v>175</v>
      </c>
      <c r="S1050" s="39">
        <v>345</v>
      </c>
      <c r="T1050" s="39">
        <v>498</v>
      </c>
      <c r="U1050" s="39">
        <v>246</v>
      </c>
      <c r="V1050" s="39">
        <v>284</v>
      </c>
      <c r="W1050" s="39">
        <v>145</v>
      </c>
      <c r="X1050" s="39">
        <v>330</v>
      </c>
      <c r="Y1050" s="39">
        <v>319</v>
      </c>
      <c r="Z1050" s="39">
        <v>329</v>
      </c>
      <c r="AA1050" s="39">
        <v>99</v>
      </c>
      <c r="AB1050" s="39">
        <v>30</v>
      </c>
      <c r="AC1050" s="39">
        <v>206</v>
      </c>
      <c r="AD1050" s="39"/>
      <c r="AE1050" s="39"/>
      <c r="AF1050" s="39"/>
      <c r="AG1050" s="39"/>
      <c r="AH1050" s="39"/>
      <c r="AI1050" s="39"/>
      <c r="AJ1050" s="39"/>
      <c r="AK1050" s="39"/>
    </row>
    <row r="1051" spans="1:37" x14ac:dyDescent="0.25">
      <c r="D1051" s="4" t="s">
        <v>246</v>
      </c>
      <c r="H1051" t="s">
        <v>333</v>
      </c>
      <c r="I1051" s="39">
        <v>1400</v>
      </c>
      <c r="J1051" s="39">
        <v>533</v>
      </c>
      <c r="K1051" s="39">
        <v>96</v>
      </c>
      <c r="L1051" s="39">
        <v>310</v>
      </c>
      <c r="M1051" s="39">
        <v>302</v>
      </c>
      <c r="N1051" s="39">
        <v>285</v>
      </c>
      <c r="O1051" s="39">
        <v>291</v>
      </c>
      <c r="P1051" s="39">
        <v>461</v>
      </c>
      <c r="Q1051" s="39">
        <v>318</v>
      </c>
      <c r="R1051" s="39">
        <v>139</v>
      </c>
      <c r="S1051" s="39">
        <v>182</v>
      </c>
      <c r="T1051" s="39">
        <v>212</v>
      </c>
      <c r="U1051" s="39">
        <v>200</v>
      </c>
      <c r="V1051" s="39">
        <v>318</v>
      </c>
      <c r="W1051" s="39">
        <v>136</v>
      </c>
      <c r="X1051" s="39">
        <v>154</v>
      </c>
      <c r="Y1051" s="39">
        <v>310</v>
      </c>
      <c r="Z1051" s="39">
        <v>39</v>
      </c>
      <c r="AA1051" s="39">
        <v>123</v>
      </c>
      <c r="AB1051" s="39">
        <v>142</v>
      </c>
      <c r="AC1051" s="39">
        <v>142</v>
      </c>
      <c r="AD1051" s="39"/>
      <c r="AE1051" s="39"/>
      <c r="AF1051" s="39"/>
      <c r="AG1051" s="39"/>
      <c r="AH1051" s="39"/>
      <c r="AI1051" s="39"/>
      <c r="AJ1051" s="39"/>
      <c r="AK1051" s="39"/>
    </row>
    <row r="1052" spans="1:37" x14ac:dyDescent="0.25">
      <c r="D1052" s="4" t="s">
        <v>247</v>
      </c>
      <c r="H1052" t="s">
        <v>333</v>
      </c>
      <c r="I1052" s="39">
        <v>164</v>
      </c>
      <c r="J1052" s="39">
        <v>218</v>
      </c>
      <c r="K1052" s="39">
        <v>195</v>
      </c>
      <c r="L1052" s="39">
        <v>67</v>
      </c>
      <c r="M1052" s="39">
        <v>165</v>
      </c>
      <c r="N1052" s="39">
        <v>178</v>
      </c>
      <c r="O1052" s="39">
        <v>205</v>
      </c>
      <c r="P1052" s="39">
        <v>0</v>
      </c>
      <c r="Q1052" s="39">
        <v>143</v>
      </c>
      <c r="R1052" s="39">
        <v>196</v>
      </c>
      <c r="S1052" s="39">
        <v>220</v>
      </c>
      <c r="T1052" s="39">
        <v>269</v>
      </c>
      <c r="U1052" s="39">
        <v>249</v>
      </c>
      <c r="V1052" s="39">
        <v>316</v>
      </c>
      <c r="W1052" s="39">
        <v>89</v>
      </c>
      <c r="X1052" s="39">
        <v>154</v>
      </c>
      <c r="Y1052" s="39">
        <v>312</v>
      </c>
      <c r="Z1052" s="39">
        <v>101</v>
      </c>
      <c r="AA1052" s="39">
        <v>0</v>
      </c>
      <c r="AB1052" s="39">
        <f>281+139</f>
        <v>420</v>
      </c>
      <c r="AC1052" s="39">
        <v>898</v>
      </c>
      <c r="AD1052" s="39"/>
      <c r="AE1052" s="39"/>
      <c r="AF1052" s="39"/>
      <c r="AG1052" s="39"/>
      <c r="AH1052" s="39"/>
      <c r="AI1052" s="39"/>
      <c r="AJ1052" s="39"/>
      <c r="AK1052" s="39"/>
    </row>
    <row r="1053" spans="1:37" x14ac:dyDescent="0.25">
      <c r="D1053" s="4" t="s">
        <v>248</v>
      </c>
      <c r="H1053" t="s">
        <v>333</v>
      </c>
      <c r="I1053" s="39">
        <v>15177</v>
      </c>
      <c r="J1053" s="39">
        <v>14655</v>
      </c>
      <c r="K1053" s="39">
        <v>10360</v>
      </c>
      <c r="L1053" s="39">
        <v>8632</v>
      </c>
      <c r="M1053" s="39">
        <v>19472</v>
      </c>
      <c r="N1053" s="39">
        <v>26606</v>
      </c>
      <c r="O1053" s="39">
        <v>26563</v>
      </c>
      <c r="P1053" s="39">
        <v>35407</v>
      </c>
      <c r="Q1053" s="39">
        <v>12980</v>
      </c>
      <c r="R1053" s="39">
        <v>12792</v>
      </c>
      <c r="S1053" s="39">
        <v>19252</v>
      </c>
      <c r="T1053" s="39">
        <v>19173</v>
      </c>
      <c r="U1053" s="39">
        <v>37859</v>
      </c>
      <c r="V1053" s="39">
        <v>24352</v>
      </c>
      <c r="W1053" s="39">
        <v>32828</v>
      </c>
      <c r="X1053" s="39">
        <v>29959</v>
      </c>
      <c r="Y1053" s="39">
        <v>33512</v>
      </c>
      <c r="Z1053" s="39">
        <v>32907</v>
      </c>
      <c r="AA1053" s="39">
        <v>1165</v>
      </c>
      <c r="AB1053" s="39">
        <f>10106+35843+1621</f>
        <v>47570</v>
      </c>
      <c r="AC1053" s="39">
        <v>88508</v>
      </c>
      <c r="AD1053" s="39"/>
      <c r="AE1053" s="39"/>
      <c r="AF1053" s="39"/>
      <c r="AG1053" s="39"/>
      <c r="AH1053" s="39"/>
      <c r="AI1053" s="39"/>
      <c r="AJ1053" s="39"/>
      <c r="AK1053" s="39"/>
    </row>
    <row r="1054" spans="1:37" x14ac:dyDescent="0.25">
      <c r="D1054" s="4" t="s">
        <v>249</v>
      </c>
      <c r="H1054" t="s">
        <v>333</v>
      </c>
      <c r="I1054" s="39">
        <v>110062</v>
      </c>
      <c r="J1054" s="39">
        <v>104474</v>
      </c>
      <c r="K1054" s="39">
        <v>99145</v>
      </c>
      <c r="L1054" s="39">
        <v>99842</v>
      </c>
      <c r="M1054" s="39">
        <v>98791</v>
      </c>
      <c r="N1054" s="39">
        <v>119069</v>
      </c>
      <c r="O1054" s="39">
        <v>109530</v>
      </c>
      <c r="P1054" s="39">
        <v>92771</v>
      </c>
      <c r="Q1054" s="39">
        <v>99840</v>
      </c>
      <c r="R1054" s="39">
        <v>84017</v>
      </c>
      <c r="S1054" s="39">
        <v>95601</v>
      </c>
      <c r="T1054" s="39">
        <v>104897</v>
      </c>
      <c r="U1054" s="39">
        <v>108871</v>
      </c>
      <c r="V1054" s="39">
        <v>133053</v>
      </c>
      <c r="W1054" s="39">
        <v>134857</v>
      </c>
      <c r="X1054" s="39">
        <v>137735</v>
      </c>
      <c r="Y1054" s="39">
        <v>88564</v>
      </c>
      <c r="Z1054" s="39">
        <v>114877</v>
      </c>
      <c r="AA1054" s="39">
        <v>51325</v>
      </c>
      <c r="AB1054" s="39">
        <f>44838+84554+6395</f>
        <v>135787</v>
      </c>
      <c r="AC1054" s="39">
        <v>133731</v>
      </c>
      <c r="AD1054" s="39"/>
      <c r="AE1054" s="39"/>
      <c r="AF1054" s="39"/>
      <c r="AG1054" s="39"/>
      <c r="AH1054" s="39"/>
      <c r="AI1054" s="39"/>
      <c r="AJ1054" s="39"/>
      <c r="AK1054" s="39"/>
    </row>
    <row r="1055" spans="1:37" x14ac:dyDescent="0.25">
      <c r="D1055" s="4" t="s">
        <v>250</v>
      </c>
      <c r="H1055" t="s">
        <v>333</v>
      </c>
      <c r="I1055" s="39">
        <v>166383</v>
      </c>
      <c r="J1055" s="39">
        <v>154510</v>
      </c>
      <c r="K1055" s="39">
        <v>152923</v>
      </c>
      <c r="L1055" s="39">
        <v>157236</v>
      </c>
      <c r="M1055" s="39">
        <v>193514</v>
      </c>
      <c r="N1055" s="39">
        <v>184242</v>
      </c>
      <c r="O1055" s="39">
        <v>173734</v>
      </c>
      <c r="P1055" s="39">
        <v>170450</v>
      </c>
      <c r="Q1055" s="39">
        <v>169626</v>
      </c>
      <c r="R1055" s="39">
        <v>152283</v>
      </c>
      <c r="S1055" s="39">
        <v>170835</v>
      </c>
      <c r="T1055" s="39">
        <v>166784</v>
      </c>
      <c r="U1055" s="39">
        <v>164748</v>
      </c>
      <c r="V1055" s="39">
        <v>170199</v>
      </c>
      <c r="W1055" s="39">
        <v>177468</v>
      </c>
      <c r="X1055" s="39">
        <v>182686</v>
      </c>
      <c r="Y1055" s="39">
        <v>123524</v>
      </c>
      <c r="Z1055" s="39">
        <v>155576</v>
      </c>
      <c r="AA1055" s="39">
        <v>122828</v>
      </c>
      <c r="AB1055" s="39">
        <f>56754+90326+13507</f>
        <v>160587</v>
      </c>
      <c r="AC1055" s="39">
        <v>171523</v>
      </c>
      <c r="AD1055" s="39"/>
      <c r="AE1055" s="39"/>
      <c r="AF1055" s="39"/>
      <c r="AG1055" s="39"/>
      <c r="AH1055" s="39"/>
      <c r="AI1055" s="39"/>
      <c r="AJ1055" s="39"/>
      <c r="AK1055" s="39"/>
    </row>
    <row r="1056" spans="1:37" x14ac:dyDescent="0.25">
      <c r="D1056" s="4" t="s">
        <v>251</v>
      </c>
      <c r="H1056" t="s">
        <v>333</v>
      </c>
      <c r="I1056" s="39">
        <v>147525</v>
      </c>
      <c r="J1056" s="39">
        <v>147844</v>
      </c>
      <c r="K1056" s="39">
        <v>134682</v>
      </c>
      <c r="L1056" s="39">
        <v>134066</v>
      </c>
      <c r="M1056" s="39">
        <v>150596</v>
      </c>
      <c r="N1056" s="39">
        <v>160055</v>
      </c>
      <c r="O1056" s="39">
        <v>154603</v>
      </c>
      <c r="P1056" s="39">
        <v>154906</v>
      </c>
      <c r="Q1056" s="39">
        <v>145251</v>
      </c>
      <c r="R1056" s="39">
        <v>138514</v>
      </c>
      <c r="S1056" s="39">
        <v>145018</v>
      </c>
      <c r="T1056" s="39">
        <v>146611</v>
      </c>
      <c r="U1056" s="39">
        <v>141907</v>
      </c>
      <c r="V1056" s="39">
        <v>148589</v>
      </c>
      <c r="W1056" s="39">
        <v>157883</v>
      </c>
      <c r="X1056" s="39">
        <v>176633</v>
      </c>
      <c r="Y1056" s="39">
        <v>113637</v>
      </c>
      <c r="Z1056" s="39">
        <v>146223</v>
      </c>
      <c r="AA1056" s="39">
        <v>121812</v>
      </c>
      <c r="AB1056" s="39">
        <f>50126+89972+14621</f>
        <v>154719</v>
      </c>
      <c r="AC1056" s="39">
        <v>135655</v>
      </c>
      <c r="AD1056" s="39"/>
      <c r="AE1056" s="39"/>
      <c r="AF1056" s="39"/>
      <c r="AG1056" s="39"/>
      <c r="AH1056" s="39"/>
      <c r="AI1056" s="39"/>
      <c r="AJ1056" s="39"/>
      <c r="AK1056" s="39"/>
    </row>
    <row r="1057" spans="1:37" x14ac:dyDescent="0.25">
      <c r="D1057" s="4" t="s">
        <v>252</v>
      </c>
      <c r="H1057" t="s">
        <v>333</v>
      </c>
      <c r="I1057" s="39">
        <v>88714</v>
      </c>
      <c r="J1057" s="39">
        <v>81028</v>
      </c>
      <c r="K1057" s="39">
        <v>76304</v>
      </c>
      <c r="L1057" s="39">
        <v>75903</v>
      </c>
      <c r="M1057" s="39">
        <v>81741</v>
      </c>
      <c r="N1057" s="39">
        <v>87470</v>
      </c>
      <c r="O1057" s="39">
        <v>76762</v>
      </c>
      <c r="P1057" s="39">
        <v>93284</v>
      </c>
      <c r="Q1057" s="39">
        <v>80830</v>
      </c>
      <c r="R1057" s="39">
        <v>85510</v>
      </c>
      <c r="S1057" s="39">
        <v>58011</v>
      </c>
      <c r="T1057" s="39">
        <v>86071</v>
      </c>
      <c r="U1057" s="39">
        <v>87402</v>
      </c>
      <c r="V1057" s="39">
        <v>142990</v>
      </c>
      <c r="W1057" s="39">
        <v>16602</v>
      </c>
      <c r="X1057" s="39">
        <v>103862</v>
      </c>
      <c r="Y1057" s="39">
        <v>78860</v>
      </c>
      <c r="Z1057" s="39">
        <v>103941</v>
      </c>
      <c r="AA1057" s="39">
        <v>96277</v>
      </c>
      <c r="AB1057" s="39">
        <f>38076+74348+7229</f>
        <v>119653</v>
      </c>
      <c r="AC1057" s="39">
        <v>98824</v>
      </c>
      <c r="AD1057" s="39"/>
      <c r="AE1057" s="39"/>
      <c r="AF1057" s="39"/>
      <c r="AG1057" s="39"/>
      <c r="AH1057" s="39"/>
      <c r="AI1057" s="39"/>
      <c r="AJ1057" s="39"/>
      <c r="AK1057" s="39"/>
    </row>
    <row r="1058" spans="1:37" x14ac:dyDescent="0.25">
      <c r="D1058" s="4" t="s">
        <v>253</v>
      </c>
      <c r="H1058" t="s">
        <v>333</v>
      </c>
      <c r="I1058" s="39">
        <v>9645</v>
      </c>
      <c r="J1058" s="39">
        <v>9378</v>
      </c>
      <c r="K1058" s="39">
        <v>14412</v>
      </c>
      <c r="L1058" s="39">
        <v>4906</v>
      </c>
      <c r="M1058" s="39">
        <v>5196</v>
      </c>
      <c r="N1058" s="39">
        <v>7377</v>
      </c>
      <c r="O1058" s="39">
        <v>10641</v>
      </c>
      <c r="P1058" s="39">
        <v>4097</v>
      </c>
      <c r="Q1058" s="39">
        <v>7591</v>
      </c>
      <c r="R1058" s="39">
        <v>9349</v>
      </c>
      <c r="S1058" s="39">
        <v>5372</v>
      </c>
      <c r="T1058" s="39">
        <v>307</v>
      </c>
      <c r="U1058" s="39">
        <v>7864</v>
      </c>
      <c r="V1058" s="39">
        <v>10801</v>
      </c>
      <c r="W1058" s="39">
        <v>10584</v>
      </c>
      <c r="X1058" s="39">
        <v>9513</v>
      </c>
      <c r="Y1058" s="39">
        <v>6674</v>
      </c>
      <c r="Z1058" s="39">
        <v>9054</v>
      </c>
      <c r="AA1058" s="39">
        <v>14920</v>
      </c>
      <c r="AB1058" s="39">
        <f>3127+11338+624</f>
        <v>15089</v>
      </c>
      <c r="AC1058" s="39">
        <v>9309</v>
      </c>
      <c r="AD1058" s="39"/>
      <c r="AE1058" s="39"/>
      <c r="AF1058" s="39"/>
      <c r="AG1058" s="39"/>
      <c r="AH1058" s="39"/>
      <c r="AI1058" s="39"/>
      <c r="AJ1058" s="39"/>
      <c r="AK1058" s="39"/>
    </row>
    <row r="1059" spans="1:37" x14ac:dyDescent="0.25">
      <c r="D1059" s="4" t="s">
        <v>254</v>
      </c>
      <c r="H1059" t="s">
        <v>333</v>
      </c>
      <c r="I1059" s="39">
        <v>3425</v>
      </c>
      <c r="J1059" s="39">
        <v>11019</v>
      </c>
      <c r="K1059" s="39">
        <v>2947</v>
      </c>
      <c r="L1059" s="39">
        <v>99</v>
      </c>
      <c r="M1059" s="39">
        <v>2548</v>
      </c>
      <c r="N1059" s="39">
        <v>147</v>
      </c>
      <c r="O1059" s="39">
        <v>336</v>
      </c>
      <c r="P1059" s="39">
        <v>196</v>
      </c>
      <c r="Q1059" s="39">
        <v>147</v>
      </c>
      <c r="R1059" s="39">
        <v>32</v>
      </c>
      <c r="S1059" s="39">
        <v>132</v>
      </c>
      <c r="T1059" s="39">
        <v>204</v>
      </c>
      <c r="U1059" s="39">
        <v>164</v>
      </c>
      <c r="V1059" s="39">
        <v>0</v>
      </c>
      <c r="W1059" s="39">
        <v>66</v>
      </c>
      <c r="X1059" s="39">
        <v>0</v>
      </c>
      <c r="Y1059" s="39">
        <v>33</v>
      </c>
      <c r="Z1059" s="39">
        <v>23</v>
      </c>
      <c r="AA1059" s="39">
        <v>27</v>
      </c>
      <c r="AB1059" s="39">
        <v>0</v>
      </c>
      <c r="AC1059" s="39">
        <v>11</v>
      </c>
      <c r="AD1059" s="39"/>
      <c r="AE1059" s="39"/>
      <c r="AF1059" s="39"/>
      <c r="AG1059" s="39"/>
      <c r="AH1059" s="39"/>
      <c r="AI1059" s="39"/>
      <c r="AJ1059" s="39"/>
      <c r="AK1059" s="39"/>
    </row>
    <row r="1060" spans="1:37" x14ac:dyDescent="0.25">
      <c r="D1060" s="4" t="s">
        <v>255</v>
      </c>
      <c r="H1060" t="s">
        <v>333</v>
      </c>
      <c r="I1060" s="39">
        <v>464</v>
      </c>
      <c r="J1060" s="39">
        <v>471</v>
      </c>
      <c r="K1060" s="39">
        <v>135</v>
      </c>
      <c r="L1060" s="39">
        <v>80</v>
      </c>
      <c r="M1060" s="39">
        <v>240</v>
      </c>
      <c r="N1060" s="39">
        <v>225</v>
      </c>
      <c r="O1060" s="39">
        <v>231</v>
      </c>
      <c r="P1060" s="39">
        <v>201</v>
      </c>
      <c r="Q1060" s="39">
        <v>129</v>
      </c>
      <c r="R1060" s="39">
        <v>124</v>
      </c>
      <c r="S1060" s="39">
        <v>85</v>
      </c>
      <c r="T1060" s="39">
        <v>82</v>
      </c>
      <c r="U1060" s="39">
        <v>107</v>
      </c>
      <c r="V1060" s="39">
        <v>10</v>
      </c>
      <c r="W1060" s="39">
        <v>188</v>
      </c>
      <c r="X1060" s="39">
        <v>38</v>
      </c>
      <c r="Y1060" s="39">
        <v>22</v>
      </c>
      <c r="Z1060" s="39">
        <v>97</v>
      </c>
      <c r="AA1060" s="39">
        <v>34</v>
      </c>
      <c r="AB1060" s="39">
        <v>110</v>
      </c>
      <c r="AC1060" s="39">
        <v>103</v>
      </c>
      <c r="AD1060" s="39"/>
      <c r="AE1060" s="39"/>
      <c r="AF1060" s="39"/>
      <c r="AG1060" s="39"/>
      <c r="AH1060" s="39"/>
      <c r="AI1060" s="39"/>
      <c r="AJ1060" s="39"/>
      <c r="AK1060" s="39"/>
    </row>
    <row r="1061" spans="1:37" s="2" customFormat="1" x14ac:dyDescent="0.25">
      <c r="B1061" s="3"/>
      <c r="J1061" s="48"/>
      <c r="K1061" s="48"/>
      <c r="L1061" s="48"/>
      <c r="M1061" s="48"/>
      <c r="N1061" s="48"/>
    </row>
    <row r="1062" spans="1:37" s="28" customFormat="1" ht="17.25" x14ac:dyDescent="0.3">
      <c r="A1062" s="28" t="s">
        <v>515</v>
      </c>
    </row>
    <row r="1063" spans="1:37" x14ac:dyDescent="0.25">
      <c r="B1063" s="29" t="s">
        <v>3</v>
      </c>
      <c r="C1063" t="s">
        <v>516</v>
      </c>
    </row>
    <row r="1064" spans="1:37" x14ac:dyDescent="0.25">
      <c r="B1064" s="29" t="s">
        <v>10</v>
      </c>
      <c r="C1064" s="263" t="s">
        <v>37</v>
      </c>
    </row>
    <row r="1065" spans="1:37" x14ac:dyDescent="0.25">
      <c r="B1065" s="29"/>
      <c r="C1065" s="263" t="s">
        <v>39</v>
      </c>
    </row>
    <row r="1066" spans="1:37" x14ac:dyDescent="0.25">
      <c r="B1066" s="29" t="s">
        <v>14</v>
      </c>
      <c r="C1066" t="s">
        <v>512</v>
      </c>
    </row>
    <row r="1067" spans="1:37" x14ac:dyDescent="0.25">
      <c r="B1067" s="29" t="s">
        <v>17</v>
      </c>
      <c r="C1067" t="s">
        <v>517</v>
      </c>
    </row>
    <row r="1068" spans="1:37" x14ac:dyDescent="0.25">
      <c r="B1068" s="29" t="s">
        <v>19</v>
      </c>
      <c r="C1068" t="s">
        <v>518</v>
      </c>
    </row>
    <row r="1069" spans="1:37" s="25" customFormat="1" ht="15.75" thickBot="1" x14ac:dyDescent="0.3">
      <c r="B1069" s="30"/>
      <c r="C1069" s="25" t="s">
        <v>519</v>
      </c>
    </row>
    <row r="1070" spans="1:37" s="8" customFormat="1" ht="15.75" thickTop="1" x14ac:dyDescent="0.25">
      <c r="B1070" s="29" t="s">
        <v>21</v>
      </c>
      <c r="C1070" s="8" t="s">
        <v>514</v>
      </c>
      <c r="H1070" s="8" t="s">
        <v>333</v>
      </c>
      <c r="I1070" s="42">
        <f t="shared" ref="I1070:AK1070" si="197">SUM(I1071:I1082)</f>
        <v>0</v>
      </c>
      <c r="J1070" s="42">
        <f t="shared" si="197"/>
        <v>0</v>
      </c>
      <c r="K1070" s="42">
        <f t="shared" si="197"/>
        <v>0</v>
      </c>
      <c r="L1070" s="42">
        <f t="shared" si="197"/>
        <v>0</v>
      </c>
      <c r="M1070" s="42">
        <f t="shared" si="197"/>
        <v>0</v>
      </c>
      <c r="N1070" s="42">
        <f t="shared" si="197"/>
        <v>0</v>
      </c>
      <c r="O1070" s="42">
        <f t="shared" si="197"/>
        <v>0</v>
      </c>
      <c r="P1070" s="42">
        <f t="shared" si="197"/>
        <v>0</v>
      </c>
      <c r="Q1070" s="42">
        <f t="shared" si="197"/>
        <v>556067</v>
      </c>
      <c r="R1070" s="42">
        <f t="shared" si="197"/>
        <v>547593</v>
      </c>
      <c r="S1070" s="42">
        <f t="shared" si="197"/>
        <v>581592</v>
      </c>
      <c r="T1070" s="42">
        <f t="shared" si="197"/>
        <v>571878</v>
      </c>
      <c r="U1070" s="42">
        <f t="shared" si="197"/>
        <v>577507</v>
      </c>
      <c r="V1070" s="42">
        <f t="shared" si="197"/>
        <v>597011</v>
      </c>
      <c r="W1070" s="42">
        <f t="shared" si="197"/>
        <v>612191</v>
      </c>
      <c r="X1070" s="42">
        <f t="shared" si="197"/>
        <v>641335</v>
      </c>
      <c r="Y1070" s="42">
        <f t="shared" si="197"/>
        <v>641878</v>
      </c>
      <c r="Z1070" s="42">
        <f t="shared" si="197"/>
        <v>537304</v>
      </c>
      <c r="AA1070" s="42">
        <f t="shared" si="197"/>
        <v>244289</v>
      </c>
      <c r="AB1070" s="42">
        <f t="shared" si="197"/>
        <v>502237</v>
      </c>
      <c r="AC1070" s="42">
        <f t="shared" si="197"/>
        <v>603217</v>
      </c>
      <c r="AD1070" s="42">
        <f t="shared" si="197"/>
        <v>0</v>
      </c>
      <c r="AE1070" s="42">
        <f t="shared" si="197"/>
        <v>0</v>
      </c>
      <c r="AF1070" s="42">
        <f t="shared" si="197"/>
        <v>0</v>
      </c>
      <c r="AG1070" s="42">
        <f>SUM(AG1072:AG1082)</f>
        <v>0</v>
      </c>
      <c r="AH1070" s="42">
        <f t="shared" si="197"/>
        <v>0</v>
      </c>
      <c r="AI1070" s="42">
        <f t="shared" si="197"/>
        <v>0</v>
      </c>
      <c r="AJ1070" s="42">
        <f t="shared" si="197"/>
        <v>0</v>
      </c>
      <c r="AK1070" s="42">
        <f t="shared" si="197"/>
        <v>0</v>
      </c>
    </row>
    <row r="1071" spans="1:37" x14ac:dyDescent="0.25">
      <c r="D1071" s="4" t="s">
        <v>244</v>
      </c>
      <c r="H1071" t="s">
        <v>333</v>
      </c>
      <c r="I1071" s="39"/>
      <c r="J1071" s="39"/>
      <c r="K1071" s="39"/>
      <c r="L1071" s="39"/>
      <c r="M1071" s="39"/>
      <c r="N1071" s="39"/>
      <c r="O1071" s="39"/>
      <c r="P1071" s="39"/>
      <c r="Q1071" s="39">
        <v>4334</v>
      </c>
      <c r="R1071" s="39">
        <v>2490</v>
      </c>
      <c r="S1071" s="39">
        <v>5243</v>
      </c>
      <c r="T1071" s="39">
        <v>5479</v>
      </c>
      <c r="U1071" s="39">
        <v>5941</v>
      </c>
      <c r="V1071" s="39">
        <v>5294</v>
      </c>
      <c r="W1071" s="39">
        <v>5400</v>
      </c>
      <c r="X1071" s="39">
        <v>6272</v>
      </c>
      <c r="Y1071" s="39">
        <v>5742</v>
      </c>
      <c r="Z1071" s="39">
        <v>6485</v>
      </c>
      <c r="AA1071" s="39">
        <v>6412</v>
      </c>
      <c r="AB1071" s="39">
        <v>0</v>
      </c>
      <c r="AC1071" s="39">
        <v>5294</v>
      </c>
      <c r="AD1071" s="39"/>
      <c r="AE1071" s="39"/>
      <c r="AF1071" s="39"/>
      <c r="AH1071" s="39"/>
      <c r="AI1071" s="39"/>
      <c r="AJ1071" s="39"/>
      <c r="AK1071" s="39"/>
    </row>
    <row r="1072" spans="1:37" x14ac:dyDescent="0.25">
      <c r="D1072" s="4" t="s">
        <v>245</v>
      </c>
      <c r="H1072" t="s">
        <v>333</v>
      </c>
      <c r="I1072" s="39"/>
      <c r="J1072" s="39"/>
      <c r="K1072" s="39"/>
      <c r="L1072" s="39"/>
      <c r="M1072" s="39"/>
      <c r="N1072" s="39"/>
      <c r="O1072" s="39"/>
      <c r="P1072" s="39"/>
      <c r="Q1072" s="39">
        <v>2992</v>
      </c>
      <c r="R1072" s="39">
        <v>2887</v>
      </c>
      <c r="S1072" s="39">
        <v>6003</v>
      </c>
      <c r="T1072" s="39">
        <v>6428</v>
      </c>
      <c r="U1072" s="39">
        <v>6356</v>
      </c>
      <c r="V1072" s="39">
        <v>6156</v>
      </c>
      <c r="W1072" s="39">
        <v>5936</v>
      </c>
      <c r="X1072" s="39">
        <v>6362</v>
      </c>
      <c r="Y1072" s="39">
        <v>6115</v>
      </c>
      <c r="Z1072" s="39">
        <v>6222</v>
      </c>
      <c r="AA1072" s="39">
        <v>6425</v>
      </c>
      <c r="AB1072" s="39">
        <v>0</v>
      </c>
      <c r="AC1072" s="39">
        <v>5932</v>
      </c>
      <c r="AD1072" s="39"/>
      <c r="AE1072" s="39"/>
      <c r="AF1072" s="39"/>
      <c r="AG1072" s="39"/>
      <c r="AH1072" s="39"/>
      <c r="AI1072" s="39"/>
      <c r="AJ1072" s="39"/>
      <c r="AK1072" s="39"/>
    </row>
    <row r="1073" spans="1:40" x14ac:dyDescent="0.25">
      <c r="D1073" s="4" t="s">
        <v>246</v>
      </c>
      <c r="H1073" t="s">
        <v>333</v>
      </c>
      <c r="I1073" s="39"/>
      <c r="J1073" s="39"/>
      <c r="K1073" s="39"/>
      <c r="L1073" s="39"/>
      <c r="M1073" s="39"/>
      <c r="N1073" s="39"/>
      <c r="O1073" s="39"/>
      <c r="P1073" s="39"/>
      <c r="Q1073" s="39">
        <v>833</v>
      </c>
      <c r="R1073" s="39">
        <v>968</v>
      </c>
      <c r="S1073" s="39">
        <v>2120</v>
      </c>
      <c r="T1073" s="39">
        <v>2382</v>
      </c>
      <c r="U1073" s="39">
        <v>2240</v>
      </c>
      <c r="V1073" s="39">
        <v>593</v>
      </c>
      <c r="W1073" s="39">
        <v>567</v>
      </c>
      <c r="X1073" s="39">
        <v>787</v>
      </c>
      <c r="Y1073" s="39">
        <v>2046</v>
      </c>
      <c r="Z1073" s="39">
        <v>0</v>
      </c>
      <c r="AA1073" s="39">
        <v>0</v>
      </c>
      <c r="AB1073" s="39">
        <v>0</v>
      </c>
      <c r="AC1073" s="39">
        <v>2001</v>
      </c>
      <c r="AD1073" s="39"/>
      <c r="AE1073" s="39"/>
      <c r="AF1073" s="39"/>
      <c r="AG1073" s="39"/>
      <c r="AH1073" s="39"/>
      <c r="AI1073" s="39"/>
      <c r="AJ1073" s="39"/>
      <c r="AK1073" s="39"/>
    </row>
    <row r="1074" spans="1:40" x14ac:dyDescent="0.25">
      <c r="D1074" s="4" t="s">
        <v>247</v>
      </c>
      <c r="H1074" t="s">
        <v>333</v>
      </c>
      <c r="I1074" s="39"/>
      <c r="J1074" s="39"/>
      <c r="K1074" s="39"/>
      <c r="L1074" s="39"/>
      <c r="M1074" s="39"/>
      <c r="N1074" s="39"/>
      <c r="O1074" s="39"/>
      <c r="P1074" s="39"/>
      <c r="Q1074" s="39">
        <v>0</v>
      </c>
      <c r="R1074" s="39">
        <v>0</v>
      </c>
      <c r="S1074" s="39">
        <v>0</v>
      </c>
      <c r="T1074" s="39">
        <v>0</v>
      </c>
      <c r="U1074" s="39">
        <v>0</v>
      </c>
      <c r="V1074" s="39">
        <v>0</v>
      </c>
      <c r="W1074" s="39">
        <v>0</v>
      </c>
      <c r="X1074" s="39">
        <v>0</v>
      </c>
      <c r="Y1074" s="39">
        <v>0</v>
      </c>
      <c r="Z1074" s="39">
        <v>0</v>
      </c>
      <c r="AA1074" s="39">
        <v>0</v>
      </c>
      <c r="AB1074" s="39">
        <v>0</v>
      </c>
      <c r="AC1074" s="39">
        <v>0</v>
      </c>
      <c r="AD1074" s="39"/>
      <c r="AE1074" s="39"/>
      <c r="AF1074" s="39"/>
      <c r="AG1074" s="39"/>
      <c r="AH1074" s="39"/>
      <c r="AI1074" s="39"/>
      <c r="AJ1074" s="39"/>
      <c r="AK1074" s="39"/>
    </row>
    <row r="1075" spans="1:40" x14ac:dyDescent="0.25">
      <c r="D1075" s="4" t="s">
        <v>248</v>
      </c>
      <c r="H1075" t="s">
        <v>333</v>
      </c>
      <c r="I1075" s="39"/>
      <c r="J1075" s="39"/>
      <c r="K1075" s="39"/>
      <c r="L1075" s="39"/>
      <c r="M1075" s="39"/>
      <c r="N1075" s="39"/>
      <c r="O1075" s="39"/>
      <c r="P1075" s="39"/>
      <c r="Q1075" s="39">
        <v>25005</v>
      </c>
      <c r="R1075" s="39">
        <v>21264</v>
      </c>
      <c r="S1075" s="39">
        <v>16967</v>
      </c>
      <c r="T1075" s="39">
        <v>21269</v>
      </c>
      <c r="U1075" s="39">
        <v>21850</v>
      </c>
      <c r="V1075" s="39">
        <v>39546</v>
      </c>
      <c r="W1075" s="39">
        <v>35350</v>
      </c>
      <c r="X1075" s="39">
        <v>40973</v>
      </c>
      <c r="Y1075" s="39">
        <v>33489</v>
      </c>
      <c r="Z1075" s="39">
        <v>27962</v>
      </c>
      <c r="AA1075" s="39">
        <v>0</v>
      </c>
      <c r="AB1075" s="39">
        <v>14348</v>
      </c>
      <c r="AC1075" s="39">
        <v>21494</v>
      </c>
      <c r="AD1075" s="39"/>
      <c r="AE1075" s="39"/>
      <c r="AF1075" s="39"/>
      <c r="AG1075" s="39"/>
      <c r="AH1075" s="39"/>
      <c r="AI1075" s="39"/>
      <c r="AJ1075" s="39"/>
      <c r="AK1075" s="39"/>
      <c r="AL1075" s="39"/>
      <c r="AM1075" s="39"/>
      <c r="AN1075" s="39"/>
    </row>
    <row r="1076" spans="1:40" x14ac:dyDescent="0.25">
      <c r="D1076" s="4" t="s">
        <v>249</v>
      </c>
      <c r="H1076" t="s">
        <v>333</v>
      </c>
      <c r="I1076" s="39"/>
      <c r="J1076" s="39"/>
      <c r="K1076" s="39"/>
      <c r="L1076" s="39"/>
      <c r="M1076" s="39"/>
      <c r="N1076" s="39"/>
      <c r="O1076" s="39"/>
      <c r="P1076" s="39"/>
      <c r="Q1076" s="39">
        <v>113362</v>
      </c>
      <c r="R1076" s="39">
        <v>108729</v>
      </c>
      <c r="S1076" s="39">
        <v>125860</v>
      </c>
      <c r="T1076" s="39">
        <v>129797</v>
      </c>
      <c r="U1076" s="39">
        <v>122736</v>
      </c>
      <c r="V1076" s="39">
        <v>143097</v>
      </c>
      <c r="W1076" s="39">
        <v>139240</v>
      </c>
      <c r="X1076" s="39">
        <v>147609</v>
      </c>
      <c r="Y1076" s="39">
        <v>145615</v>
      </c>
      <c r="Z1076" s="39">
        <v>111171</v>
      </c>
      <c r="AA1076" s="39">
        <v>31015</v>
      </c>
      <c r="AB1076" s="39">
        <v>88714</v>
      </c>
      <c r="AC1076" s="39">
        <v>88847</v>
      </c>
      <c r="AD1076" s="39"/>
      <c r="AE1076" s="39"/>
      <c r="AF1076" s="39"/>
      <c r="AG1076" s="39"/>
      <c r="AH1076" s="39"/>
      <c r="AI1076" s="39"/>
      <c r="AJ1076" s="39"/>
      <c r="AK1076" s="39"/>
      <c r="AM1076" s="39"/>
      <c r="AN1076" s="39"/>
    </row>
    <row r="1077" spans="1:40" x14ac:dyDescent="0.25">
      <c r="D1077" s="4" t="s">
        <v>250</v>
      </c>
      <c r="H1077" t="s">
        <v>333</v>
      </c>
      <c r="I1077" s="39"/>
      <c r="J1077" s="39"/>
      <c r="K1077" s="39"/>
      <c r="L1077" s="39"/>
      <c r="M1077" s="39"/>
      <c r="N1077" s="39"/>
      <c r="O1077" s="39"/>
      <c r="P1077" s="39"/>
      <c r="Q1077" s="39">
        <v>158025</v>
      </c>
      <c r="R1077" s="39">
        <v>156919</v>
      </c>
      <c r="S1077" s="39">
        <v>158774</v>
      </c>
      <c r="T1077" s="39">
        <v>155932</v>
      </c>
      <c r="U1077" s="39">
        <v>157090</v>
      </c>
      <c r="V1077" s="39">
        <v>151494</v>
      </c>
      <c r="W1077" s="39">
        <v>157684</v>
      </c>
      <c r="X1077" s="39">
        <v>160393</v>
      </c>
      <c r="Y1077" s="39">
        <v>159071</v>
      </c>
      <c r="Z1077" s="39">
        <v>140627</v>
      </c>
      <c r="AA1077" s="39">
        <v>81290</v>
      </c>
      <c r="AB1077" s="39">
        <v>158481</v>
      </c>
      <c r="AC1077" s="39">
        <v>168194</v>
      </c>
      <c r="AD1077" s="39"/>
      <c r="AE1077" s="39"/>
      <c r="AF1077" s="39"/>
      <c r="AG1077" s="39"/>
      <c r="AH1077" s="39"/>
      <c r="AI1077" s="39"/>
      <c r="AJ1077" s="39"/>
      <c r="AK1077" s="39"/>
      <c r="AL1077" s="39"/>
      <c r="AM1077" s="39"/>
      <c r="AN1077" s="39"/>
    </row>
    <row r="1078" spans="1:40" x14ac:dyDescent="0.25">
      <c r="D1078" s="4" t="s">
        <v>251</v>
      </c>
      <c r="H1078" t="s">
        <v>333</v>
      </c>
      <c r="I1078" s="39"/>
      <c r="J1078" s="39"/>
      <c r="K1078" s="39"/>
      <c r="L1078" s="39"/>
      <c r="M1078" s="39"/>
      <c r="N1078" s="39"/>
      <c r="O1078" s="39"/>
      <c r="P1078" s="39"/>
      <c r="Q1078" s="39">
        <v>139150</v>
      </c>
      <c r="R1078" s="39">
        <v>137990</v>
      </c>
      <c r="S1078" s="39">
        <v>141529</v>
      </c>
      <c r="T1078" s="39">
        <v>145148</v>
      </c>
      <c r="U1078" s="39">
        <v>144664</v>
      </c>
      <c r="V1078" s="39">
        <v>142420</v>
      </c>
      <c r="W1078" s="39">
        <v>152459</v>
      </c>
      <c r="X1078" s="39">
        <v>161392</v>
      </c>
      <c r="Y1078" s="39">
        <v>149828</v>
      </c>
      <c r="Z1078" s="39">
        <v>123472</v>
      </c>
      <c r="AA1078" s="39">
        <v>73855</v>
      </c>
      <c r="AB1078" s="39">
        <v>140711</v>
      </c>
      <c r="AC1078" s="39">
        <v>168407</v>
      </c>
      <c r="AD1078" s="39"/>
      <c r="AE1078" s="39"/>
      <c r="AF1078" s="39"/>
      <c r="AG1078" s="39"/>
      <c r="AH1078" s="39"/>
      <c r="AI1078" s="39"/>
      <c r="AJ1078" s="39"/>
      <c r="AK1078" s="39"/>
      <c r="AL1078" s="39"/>
      <c r="AM1078" s="39"/>
      <c r="AN1078" s="39"/>
    </row>
    <row r="1079" spans="1:40" x14ac:dyDescent="0.25">
      <c r="D1079" s="4" t="s">
        <v>252</v>
      </c>
      <c r="H1079" t="s">
        <v>333</v>
      </c>
      <c r="I1079" s="39"/>
      <c r="J1079" s="39"/>
      <c r="K1079" s="39"/>
      <c r="L1079" s="39"/>
      <c r="M1079" s="39"/>
      <c r="N1079" s="39"/>
      <c r="O1079" s="39"/>
      <c r="P1079" s="39"/>
      <c r="Q1079" s="39">
        <v>94333</v>
      </c>
      <c r="R1079" s="39">
        <v>99634</v>
      </c>
      <c r="S1079" s="39">
        <v>103416</v>
      </c>
      <c r="T1079" s="39">
        <v>96510</v>
      </c>
      <c r="U1079" s="39">
        <v>92211</v>
      </c>
      <c r="V1079" s="39">
        <v>93598</v>
      </c>
      <c r="W1079" s="39">
        <v>99777</v>
      </c>
      <c r="X1079" s="39">
        <v>102063</v>
      </c>
      <c r="Y1079" s="39">
        <v>134993</v>
      </c>
      <c r="Z1079" s="39">
        <v>103448</v>
      </c>
      <c r="AA1079" s="39">
        <v>35633</v>
      </c>
      <c r="AB1079" s="39">
        <v>81466</v>
      </c>
      <c r="AC1079" s="39">
        <v>116561</v>
      </c>
      <c r="AD1079" s="39"/>
      <c r="AE1079" s="39"/>
      <c r="AF1079" s="39"/>
      <c r="AG1079" s="39"/>
      <c r="AH1079" s="39"/>
      <c r="AI1079" s="39"/>
      <c r="AJ1079" s="39"/>
      <c r="AK1079" s="39"/>
      <c r="AL1079" s="39"/>
      <c r="AM1079" s="39"/>
    </row>
    <row r="1080" spans="1:40" x14ac:dyDescent="0.25">
      <c r="D1080" s="4" t="s">
        <v>253</v>
      </c>
      <c r="H1080" t="s">
        <v>333</v>
      </c>
      <c r="I1080" s="39"/>
      <c r="J1080" s="39"/>
      <c r="K1080" s="39"/>
      <c r="L1080" s="39"/>
      <c r="M1080" s="39"/>
      <c r="N1080" s="39"/>
      <c r="O1080" s="39"/>
      <c r="P1080" s="39"/>
      <c r="Q1080" s="39">
        <v>16866</v>
      </c>
      <c r="R1080" s="39">
        <v>14092</v>
      </c>
      <c r="S1080" s="39">
        <v>19883</v>
      </c>
      <c r="T1080" s="39">
        <v>7546</v>
      </c>
      <c r="U1080" s="39">
        <v>21392</v>
      </c>
      <c r="V1080" s="39">
        <v>12083</v>
      </c>
      <c r="W1080" s="39">
        <v>12695</v>
      </c>
      <c r="X1080" s="39">
        <v>13169</v>
      </c>
      <c r="Y1080" s="39">
        <v>2585</v>
      </c>
      <c r="Z1080" s="39">
        <v>15964</v>
      </c>
      <c r="AA1080" s="39">
        <v>9659</v>
      </c>
      <c r="AB1080" s="39">
        <v>12867</v>
      </c>
      <c r="AC1080" s="39">
        <v>23947</v>
      </c>
      <c r="AD1080" s="39"/>
      <c r="AE1080" s="39"/>
      <c r="AF1080" s="39"/>
      <c r="AG1080" s="231"/>
      <c r="AH1080" s="39"/>
      <c r="AI1080" s="39"/>
      <c r="AJ1080" s="39"/>
      <c r="AK1080" s="39"/>
    </row>
    <row r="1081" spans="1:40" x14ac:dyDescent="0.25">
      <c r="D1081" s="4" t="s">
        <v>254</v>
      </c>
      <c r="H1081" t="s">
        <v>333</v>
      </c>
      <c r="I1081" s="39"/>
      <c r="J1081" s="39"/>
      <c r="K1081" s="39"/>
      <c r="L1081" s="39"/>
      <c r="M1081" s="39"/>
      <c r="N1081" s="39"/>
      <c r="O1081" s="39"/>
      <c r="P1081" s="39"/>
      <c r="Q1081" s="39">
        <v>0</v>
      </c>
      <c r="R1081" s="39">
        <v>0</v>
      </c>
      <c r="S1081" s="39">
        <v>0</v>
      </c>
      <c r="T1081" s="39">
        <v>16</v>
      </c>
      <c r="U1081" s="39">
        <v>0</v>
      </c>
      <c r="V1081" s="39">
        <v>0</v>
      </c>
      <c r="W1081" s="39">
        <v>89</v>
      </c>
      <c r="X1081" s="39">
        <v>6</v>
      </c>
      <c r="Y1081" s="39">
        <v>13</v>
      </c>
      <c r="Z1081" s="39">
        <v>19</v>
      </c>
      <c r="AA1081" s="39">
        <v>0</v>
      </c>
      <c r="AB1081" s="39">
        <f>19+32+214</f>
        <v>265</v>
      </c>
      <c r="AC1081" s="39">
        <v>653</v>
      </c>
      <c r="AD1081" s="39"/>
      <c r="AE1081" s="39"/>
      <c r="AF1081" s="39"/>
      <c r="AG1081" s="39"/>
      <c r="AH1081" s="39"/>
      <c r="AI1081" s="39"/>
      <c r="AJ1081" s="39"/>
      <c r="AK1081" s="39"/>
    </row>
    <row r="1082" spans="1:40" x14ac:dyDescent="0.25">
      <c r="D1082" s="4" t="s">
        <v>255</v>
      </c>
      <c r="H1082" t="s">
        <v>333</v>
      </c>
      <c r="I1082" s="39"/>
      <c r="J1082" s="39"/>
      <c r="K1082" s="39"/>
      <c r="L1082" s="39"/>
      <c r="M1082" s="39"/>
      <c r="N1082" s="39"/>
      <c r="O1082" s="39"/>
      <c r="P1082" s="39"/>
      <c r="Q1082" s="39">
        <v>1167</v>
      </c>
      <c r="R1082" s="39">
        <v>2620</v>
      </c>
      <c r="S1082" s="39">
        <v>1797</v>
      </c>
      <c r="T1082" s="39">
        <v>1371</v>
      </c>
      <c r="U1082" s="39">
        <v>3027</v>
      </c>
      <c r="V1082" s="39">
        <v>2730</v>
      </c>
      <c r="W1082" s="39">
        <v>2994</v>
      </c>
      <c r="X1082" s="39">
        <v>2309</v>
      </c>
      <c r="Y1082" s="39">
        <v>2381</v>
      </c>
      <c r="Z1082" s="39">
        <v>1934</v>
      </c>
      <c r="AA1082" s="39">
        <v>0</v>
      </c>
      <c r="AB1082" s="39">
        <v>5385</v>
      </c>
      <c r="AC1082" s="39">
        <v>1887</v>
      </c>
      <c r="AD1082" s="39"/>
      <c r="AE1082" s="39"/>
      <c r="AF1082" s="39"/>
      <c r="AG1082" s="39"/>
      <c r="AH1082" s="39"/>
      <c r="AI1082" s="39"/>
      <c r="AJ1082" s="39"/>
      <c r="AK1082" s="39"/>
    </row>
    <row r="1083" spans="1:40" s="2" customFormat="1" x14ac:dyDescent="0.25">
      <c r="B1083" s="3"/>
      <c r="J1083" s="48"/>
      <c r="K1083" s="48"/>
      <c r="L1083" s="48"/>
      <c r="M1083" s="48"/>
      <c r="N1083" s="48"/>
    </row>
    <row r="1084" spans="1:40" s="28" customFormat="1" ht="17.25" x14ac:dyDescent="0.3">
      <c r="A1084" s="28" t="s">
        <v>520</v>
      </c>
    </row>
    <row r="1085" spans="1:40" x14ac:dyDescent="0.25">
      <c r="B1085" s="29" t="s">
        <v>3</v>
      </c>
      <c r="C1085" t="s">
        <v>521</v>
      </c>
    </row>
    <row r="1086" spans="1:40" x14ac:dyDescent="0.25">
      <c r="B1086" s="29" t="s">
        <v>10</v>
      </c>
      <c r="C1086" s="263" t="s">
        <v>522</v>
      </c>
    </row>
    <row r="1087" spans="1:40" x14ac:dyDescent="0.25">
      <c r="B1087" s="29"/>
      <c r="C1087" s="263" t="s">
        <v>36</v>
      </c>
    </row>
    <row r="1088" spans="1:40" x14ac:dyDescent="0.25">
      <c r="B1088" s="29" t="s">
        <v>14</v>
      </c>
      <c r="C1088" t="s">
        <v>523</v>
      </c>
    </row>
    <row r="1089" spans="1:37" x14ac:dyDescent="0.25">
      <c r="B1089" s="29" t="s">
        <v>17</v>
      </c>
      <c r="C1089" t="s">
        <v>524</v>
      </c>
    </row>
    <row r="1090" spans="1:37" s="25" customFormat="1" ht="15.75" thickBot="1" x14ac:dyDescent="0.3">
      <c r="B1090" s="30" t="s">
        <v>19</v>
      </c>
      <c r="C1090" s="25" t="s">
        <v>525</v>
      </c>
    </row>
    <row r="1091" spans="1:37" s="8" customFormat="1" ht="15.75" thickTop="1" x14ac:dyDescent="0.25">
      <c r="B1091" s="29" t="s">
        <v>21</v>
      </c>
      <c r="C1091" s="8" t="s">
        <v>526</v>
      </c>
      <c r="H1091" s="8" t="s">
        <v>527</v>
      </c>
      <c r="I1091" s="42">
        <v>633448.55000000005</v>
      </c>
      <c r="J1091" s="42">
        <v>613435.16499999992</v>
      </c>
      <c r="K1091" s="42">
        <v>598082.87666666659</v>
      </c>
      <c r="L1091" s="42">
        <v>601353.69333333324</v>
      </c>
      <c r="M1091" s="42">
        <v>623237.20333333313</v>
      </c>
      <c r="N1091" s="42">
        <v>622355.80333333311</v>
      </c>
      <c r="O1091" s="42">
        <v>622769.62</v>
      </c>
      <c r="P1091" s="42">
        <v>686240.34799999988</v>
      </c>
      <c r="Q1091" s="42">
        <v>681946.68699999992</v>
      </c>
      <c r="R1091" s="42">
        <v>655857.08033333276</v>
      </c>
      <c r="S1091" s="42">
        <v>649958.44799999974</v>
      </c>
      <c r="T1091" s="42">
        <v>645163.75499999966</v>
      </c>
      <c r="U1091" s="42">
        <v>663234.30866666639</v>
      </c>
      <c r="V1091" s="42">
        <v>697077</v>
      </c>
      <c r="W1091" s="42">
        <v>704534</v>
      </c>
      <c r="X1091" s="42">
        <v>797060</v>
      </c>
      <c r="Y1091" s="42">
        <v>834907</v>
      </c>
      <c r="Z1091" s="42">
        <v>821394</v>
      </c>
      <c r="AA1091" s="42">
        <v>792536</v>
      </c>
      <c r="AB1091" s="42">
        <v>901294</v>
      </c>
      <c r="AC1091" s="42"/>
      <c r="AD1091" s="42"/>
      <c r="AE1091" s="42"/>
      <c r="AF1091" s="42"/>
      <c r="AG1091" s="42"/>
      <c r="AH1091" s="42"/>
      <c r="AI1091" s="42"/>
      <c r="AJ1091" s="42"/>
      <c r="AK1091" s="42"/>
    </row>
    <row r="1092" spans="1:37" s="2" customFormat="1" x14ac:dyDescent="0.25">
      <c r="B1092" s="3"/>
      <c r="J1092" s="48"/>
      <c r="K1092" s="48"/>
      <c r="L1092" s="48"/>
      <c r="M1092" s="48"/>
      <c r="N1092" s="48"/>
    </row>
    <row r="1093" spans="1:37" s="28" customFormat="1" ht="17.25" x14ac:dyDescent="0.3">
      <c r="A1093" s="28" t="s">
        <v>528</v>
      </c>
    </row>
    <row r="1094" spans="1:37" x14ac:dyDescent="0.25">
      <c r="B1094" s="29" t="s">
        <v>3</v>
      </c>
      <c r="C1094" t="s">
        <v>529</v>
      </c>
    </row>
    <row r="1095" spans="1:37" x14ac:dyDescent="0.25">
      <c r="B1095" s="29" t="s">
        <v>10</v>
      </c>
      <c r="C1095" s="263" t="s">
        <v>522</v>
      </c>
    </row>
    <row r="1096" spans="1:37" x14ac:dyDescent="0.25">
      <c r="B1096" s="29"/>
      <c r="C1096" s="263" t="s">
        <v>36</v>
      </c>
    </row>
    <row r="1097" spans="1:37" x14ac:dyDescent="0.25">
      <c r="B1097" s="29"/>
      <c r="C1097" s="263" t="s">
        <v>530</v>
      </c>
    </row>
    <row r="1098" spans="1:37" x14ac:dyDescent="0.25">
      <c r="B1098" s="29" t="s">
        <v>14</v>
      </c>
      <c r="C1098" s="121"/>
      <c r="D1098" t="s">
        <v>531</v>
      </c>
    </row>
    <row r="1099" spans="1:37" x14ac:dyDescent="0.25">
      <c r="B1099" s="29"/>
      <c r="C1099" s="120"/>
      <c r="D1099" t="s">
        <v>532</v>
      </c>
    </row>
    <row r="1100" spans="1:37" x14ac:dyDescent="0.25">
      <c r="B1100" s="29" t="s">
        <v>17</v>
      </c>
      <c r="C1100" t="s">
        <v>533</v>
      </c>
    </row>
    <row r="1101" spans="1:37" x14ac:dyDescent="0.25">
      <c r="B1101" s="29" t="s">
        <v>19</v>
      </c>
      <c r="C1101" s="125"/>
      <c r="D1101" t="s">
        <v>534</v>
      </c>
    </row>
    <row r="1102" spans="1:37" x14ac:dyDescent="0.25">
      <c r="C1102" t="s">
        <v>535</v>
      </c>
    </row>
    <row r="1103" spans="1:37" s="25" customFormat="1" ht="15.75" thickBot="1" x14ac:dyDescent="0.3">
      <c r="B1103" s="30"/>
      <c r="D1103" s="199" t="s">
        <v>536</v>
      </c>
    </row>
    <row r="1104" spans="1:37" s="8" customFormat="1" ht="15.75" thickTop="1" x14ac:dyDescent="0.25">
      <c r="B1104" s="29" t="s">
        <v>21</v>
      </c>
      <c r="C1104" s="8" t="s">
        <v>537</v>
      </c>
      <c r="H1104" s="8" t="s">
        <v>538</v>
      </c>
      <c r="I1104" s="42"/>
      <c r="J1104" s="42"/>
      <c r="K1104" s="42"/>
      <c r="L1104" s="42"/>
      <c r="M1104" s="42"/>
      <c r="N1104" s="42"/>
      <c r="O1104" s="42"/>
      <c r="P1104" s="42">
        <f t="shared" ref="P1104:AK1104" si="198">SUM(P1105:P1116)</f>
        <v>103403</v>
      </c>
      <c r="Q1104" s="42">
        <f t="shared" si="198"/>
        <v>99461</v>
      </c>
      <c r="R1104" s="42">
        <f t="shared" si="198"/>
        <v>94460</v>
      </c>
      <c r="S1104" s="42">
        <f t="shared" si="198"/>
        <v>96230</v>
      </c>
      <c r="T1104" s="42">
        <f t="shared" si="198"/>
        <v>98285</v>
      </c>
      <c r="U1104" s="42">
        <f t="shared" si="198"/>
        <v>102180</v>
      </c>
      <c r="V1104" s="42">
        <f t="shared" si="198"/>
        <v>110869</v>
      </c>
      <c r="W1104" s="42">
        <f t="shared" si="198"/>
        <v>117828</v>
      </c>
      <c r="X1104" s="42">
        <f t="shared" si="198"/>
        <v>125200.88780894905</v>
      </c>
      <c r="Y1104" s="42">
        <f t="shared" si="198"/>
        <v>129785.30477201279</v>
      </c>
      <c r="Z1104" s="42">
        <f t="shared" si="198"/>
        <v>132760.04972928966</v>
      </c>
      <c r="AA1104" s="42">
        <f t="shared" si="198"/>
        <v>130574.18999037566</v>
      </c>
      <c r="AB1104" s="42">
        <f t="shared" si="198"/>
        <v>141792</v>
      </c>
      <c r="AC1104" s="42">
        <f t="shared" si="198"/>
        <v>139037</v>
      </c>
      <c r="AD1104" s="42">
        <f t="shared" si="198"/>
        <v>0</v>
      </c>
      <c r="AE1104" s="42">
        <f t="shared" si="198"/>
        <v>0</v>
      </c>
      <c r="AF1104" s="42">
        <f t="shared" si="198"/>
        <v>0</v>
      </c>
      <c r="AG1104" s="42">
        <f t="shared" si="198"/>
        <v>0</v>
      </c>
      <c r="AH1104" s="42">
        <f t="shared" si="198"/>
        <v>0</v>
      </c>
      <c r="AI1104" s="42">
        <f t="shared" si="198"/>
        <v>0</v>
      </c>
      <c r="AJ1104" s="42">
        <f t="shared" si="198"/>
        <v>0</v>
      </c>
      <c r="AK1104" s="42">
        <f t="shared" si="198"/>
        <v>0</v>
      </c>
    </row>
    <row r="1105" spans="2:37" x14ac:dyDescent="0.25">
      <c r="D1105" s="4" t="s">
        <v>244</v>
      </c>
      <c r="H1105" t="s">
        <v>538</v>
      </c>
      <c r="I1105" s="39"/>
      <c r="J1105" s="39"/>
      <c r="K1105" s="39"/>
      <c r="L1105" s="39"/>
      <c r="M1105" s="39"/>
      <c r="N1105" s="39"/>
      <c r="O1105" s="39"/>
      <c r="P1105" s="39">
        <v>6645</v>
      </c>
      <c r="Q1105" s="39">
        <v>6412</v>
      </c>
      <c r="R1105" s="39">
        <v>6204</v>
      </c>
      <c r="S1105" s="39">
        <v>5685</v>
      </c>
      <c r="T1105" s="39">
        <v>5866</v>
      </c>
      <c r="U1105" s="39">
        <v>5861</v>
      </c>
      <c r="V1105" s="39">
        <v>6635</v>
      </c>
      <c r="W1105" s="39">
        <v>7373</v>
      </c>
      <c r="X1105" s="124">
        <f t="shared" ref="X1105:AA1113" si="199">$W1105*X1118/$W1118</f>
        <v>7659.1138025332093</v>
      </c>
      <c r="Y1105" s="124">
        <f t="shared" si="199"/>
        <v>8392.9716228199832</v>
      </c>
      <c r="Z1105" s="124">
        <f t="shared" si="199"/>
        <v>8621.8114099911327</v>
      </c>
      <c r="AA1105" s="39">
        <v>8728</v>
      </c>
      <c r="AB1105" s="39">
        <v>9238</v>
      </c>
      <c r="AC1105" s="39">
        <v>9173</v>
      </c>
      <c r="AD1105" s="39"/>
      <c r="AE1105" s="39"/>
      <c r="AF1105" s="39"/>
      <c r="AG1105" s="39"/>
      <c r="AH1105" s="39"/>
      <c r="AI1105" s="39"/>
      <c r="AJ1105" s="39"/>
      <c r="AK1105" s="39"/>
    </row>
    <row r="1106" spans="2:37" x14ac:dyDescent="0.25">
      <c r="D1106" s="4" t="s">
        <v>245</v>
      </c>
      <c r="H1106" t="s">
        <v>538</v>
      </c>
      <c r="I1106" s="39"/>
      <c r="J1106" s="39"/>
      <c r="K1106" s="39"/>
      <c r="L1106" s="39"/>
      <c r="M1106" s="39"/>
      <c r="N1106" s="39"/>
      <c r="O1106" s="39"/>
      <c r="P1106" s="39">
        <v>6772</v>
      </c>
      <c r="Q1106" s="39">
        <v>6432</v>
      </c>
      <c r="R1106" s="39">
        <v>6205</v>
      </c>
      <c r="S1106" s="39">
        <v>6013</v>
      </c>
      <c r="T1106" s="39">
        <v>6175</v>
      </c>
      <c r="U1106" s="39">
        <v>6143</v>
      </c>
      <c r="V1106" s="39">
        <v>6830</v>
      </c>
      <c r="W1106" s="39">
        <v>7362</v>
      </c>
      <c r="X1106" s="124">
        <f t="shared" si="199"/>
        <v>7596.2454545454548</v>
      </c>
      <c r="Y1106" s="124">
        <f t="shared" si="199"/>
        <v>8324.079545454546</v>
      </c>
      <c r="Z1106" s="124">
        <f t="shared" si="199"/>
        <v>8635.7096590909096</v>
      </c>
      <c r="AA1106" s="39">
        <v>8928</v>
      </c>
      <c r="AB1106" s="39">
        <v>9285</v>
      </c>
      <c r="AC1106" s="39">
        <v>9678</v>
      </c>
      <c r="AD1106" s="39"/>
      <c r="AE1106" s="39"/>
      <c r="AF1106" s="39"/>
      <c r="AG1106" s="39"/>
      <c r="AH1106" s="39"/>
      <c r="AI1106" s="39"/>
      <c r="AJ1106" s="39"/>
      <c r="AK1106" s="39"/>
    </row>
    <row r="1107" spans="2:37" x14ac:dyDescent="0.25">
      <c r="D1107" s="4" t="s">
        <v>246</v>
      </c>
      <c r="H1107" t="s">
        <v>538</v>
      </c>
      <c r="I1107" s="39"/>
      <c r="J1107" s="39"/>
      <c r="K1107" s="39"/>
      <c r="L1107" s="39"/>
      <c r="M1107" s="39"/>
      <c r="N1107" s="39"/>
      <c r="O1107" s="39"/>
      <c r="P1107" s="39">
        <v>6672</v>
      </c>
      <c r="Q1107" s="39">
        <v>6631</v>
      </c>
      <c r="R1107" s="39">
        <v>6176</v>
      </c>
      <c r="S1107" s="39">
        <v>6245</v>
      </c>
      <c r="T1107" s="39">
        <v>6335</v>
      </c>
      <c r="U1107" s="39">
        <v>6425</v>
      </c>
      <c r="V1107" s="39">
        <v>6926</v>
      </c>
      <c r="W1107" s="39">
        <v>7515</v>
      </c>
      <c r="X1107" s="124">
        <f t="shared" si="199"/>
        <v>7717.7725770925108</v>
      </c>
      <c r="Y1107" s="124">
        <f t="shared" si="199"/>
        <v>8655.078469162996</v>
      </c>
      <c r="Z1107" s="124">
        <f t="shared" si="199"/>
        <v>8868.1965859030843</v>
      </c>
      <c r="AA1107" s="39">
        <v>7952</v>
      </c>
      <c r="AB1107" s="39">
        <v>9754</v>
      </c>
      <c r="AC1107" s="39">
        <v>9961</v>
      </c>
      <c r="AD1107" s="39"/>
      <c r="AE1107" s="39"/>
      <c r="AF1107" s="39"/>
      <c r="AG1107" s="39"/>
      <c r="AH1107" s="39"/>
      <c r="AI1107" s="39"/>
      <c r="AJ1107" s="39"/>
      <c r="AK1107" s="39"/>
    </row>
    <row r="1108" spans="2:37" x14ac:dyDescent="0.25">
      <c r="D1108" s="4" t="s">
        <v>247</v>
      </c>
      <c r="H1108" t="s">
        <v>538</v>
      </c>
      <c r="J1108" s="47"/>
      <c r="K1108" s="47"/>
      <c r="L1108" s="47"/>
      <c r="M1108" s="47"/>
      <c r="N1108" s="47"/>
      <c r="P1108" s="39">
        <v>6968</v>
      </c>
      <c r="Q1108" s="39">
        <v>6525</v>
      </c>
      <c r="R1108" s="39">
        <v>6335</v>
      </c>
      <c r="S1108" s="39">
        <v>6503</v>
      </c>
      <c r="T1108" s="39">
        <v>6537</v>
      </c>
      <c r="U1108" s="39">
        <v>6921</v>
      </c>
      <c r="V1108" s="39">
        <v>7338</v>
      </c>
      <c r="W1108" s="39">
        <v>8001</v>
      </c>
      <c r="X1108" s="124">
        <f t="shared" si="199"/>
        <v>8754.0595667870039</v>
      </c>
      <c r="Y1108" s="124">
        <f t="shared" si="199"/>
        <v>8983.0722021660658</v>
      </c>
      <c r="Z1108" s="124">
        <f t="shared" si="199"/>
        <v>9133.6841155234652</v>
      </c>
      <c r="AA1108" s="39">
        <v>6968</v>
      </c>
      <c r="AB1108" s="39">
        <v>9844</v>
      </c>
      <c r="AC1108" s="39">
        <v>9540</v>
      </c>
    </row>
    <row r="1109" spans="2:37" x14ac:dyDescent="0.25">
      <c r="D1109" s="4" t="s">
        <v>248</v>
      </c>
      <c r="H1109" t="s">
        <v>538</v>
      </c>
      <c r="J1109" s="47"/>
      <c r="K1109" s="47"/>
      <c r="L1109" s="47"/>
      <c r="M1109" s="47"/>
      <c r="N1109" s="47"/>
      <c r="P1109" s="39">
        <v>8889</v>
      </c>
      <c r="Q1109" s="39">
        <v>7999</v>
      </c>
      <c r="R1109" s="39">
        <v>6475</v>
      </c>
      <c r="S1109" s="39">
        <v>8117</v>
      </c>
      <c r="T1109" s="39">
        <v>8315</v>
      </c>
      <c r="U1109" s="39">
        <v>8649</v>
      </c>
      <c r="V1109" s="39">
        <v>9206</v>
      </c>
      <c r="W1109" s="39">
        <v>10197</v>
      </c>
      <c r="X1109" s="124">
        <f t="shared" si="199"/>
        <v>10659.263999999999</v>
      </c>
      <c r="Y1109" s="124">
        <f t="shared" si="199"/>
        <v>11157.086769230769</v>
      </c>
      <c r="Z1109" s="124">
        <f t="shared" si="199"/>
        <v>11405.998153846154</v>
      </c>
      <c r="AA1109" s="124">
        <f t="shared" si="199"/>
        <v>10228.375384615385</v>
      </c>
      <c r="AB1109" s="39">
        <v>12315</v>
      </c>
      <c r="AC1109" s="39">
        <v>12237</v>
      </c>
    </row>
    <row r="1110" spans="2:37" x14ac:dyDescent="0.25">
      <c r="D1110" s="4" t="s">
        <v>249</v>
      </c>
      <c r="H1110" t="s">
        <v>538</v>
      </c>
      <c r="J1110" s="47"/>
      <c r="K1110" s="47"/>
      <c r="L1110" s="47"/>
      <c r="M1110" s="47"/>
      <c r="N1110" s="47"/>
      <c r="P1110" s="39">
        <v>10609</v>
      </c>
      <c r="Q1110" s="39">
        <v>10377</v>
      </c>
      <c r="R1110" s="39">
        <v>9922</v>
      </c>
      <c r="S1110" s="39">
        <v>10474</v>
      </c>
      <c r="T1110" s="39">
        <v>10720</v>
      </c>
      <c r="U1110" s="39">
        <v>10976</v>
      </c>
      <c r="V1110" s="39">
        <v>12022</v>
      </c>
      <c r="W1110" s="39">
        <v>12882</v>
      </c>
      <c r="X1110" s="124">
        <f t="shared" si="199"/>
        <v>13335.724070767732</v>
      </c>
      <c r="Y1110" s="124">
        <f t="shared" si="199"/>
        <v>13634.721960720663</v>
      </c>
      <c r="Z1110" s="124">
        <f t="shared" si="199"/>
        <v>14205.536114267165</v>
      </c>
      <c r="AA1110" s="124">
        <f t="shared" si="199"/>
        <v>13189.361467294271</v>
      </c>
      <c r="AB1110" s="39">
        <v>15397</v>
      </c>
      <c r="AC1110" s="39">
        <v>14597</v>
      </c>
    </row>
    <row r="1111" spans="2:37" x14ac:dyDescent="0.25">
      <c r="D1111" s="4" t="s">
        <v>250</v>
      </c>
      <c r="H1111" t="s">
        <v>538</v>
      </c>
      <c r="J1111" s="47"/>
      <c r="K1111" s="47"/>
      <c r="L1111" s="47"/>
      <c r="M1111" s="47"/>
      <c r="N1111" s="47"/>
      <c r="P1111" s="39">
        <v>12526</v>
      </c>
      <c r="Q1111" s="39">
        <v>12313</v>
      </c>
      <c r="R1111" s="39">
        <v>11489</v>
      </c>
      <c r="S1111" s="39">
        <v>11822</v>
      </c>
      <c r="T1111" s="39">
        <v>12192</v>
      </c>
      <c r="U1111" s="39">
        <v>12808</v>
      </c>
      <c r="V1111" s="39">
        <v>13673</v>
      </c>
      <c r="W1111" s="39">
        <v>13907</v>
      </c>
      <c r="X1111" s="124">
        <f t="shared" si="199"/>
        <v>14493.767725097869</v>
      </c>
      <c r="Y1111" s="124">
        <f t="shared" si="199"/>
        <v>14967.61794983326</v>
      </c>
      <c r="Z1111" s="124">
        <f t="shared" si="199"/>
        <v>15167.239959402639</v>
      </c>
      <c r="AA1111" s="124">
        <f t="shared" si="199"/>
        <v>15320.485138466</v>
      </c>
      <c r="AB1111" s="39">
        <v>16192</v>
      </c>
      <c r="AC1111" s="39">
        <v>15007</v>
      </c>
    </row>
    <row r="1112" spans="2:37" x14ac:dyDescent="0.25">
      <c r="D1112" s="4" t="s">
        <v>251</v>
      </c>
      <c r="H1112" t="s">
        <v>538</v>
      </c>
      <c r="J1112" s="47"/>
      <c r="K1112" s="47"/>
      <c r="L1112" s="47"/>
      <c r="M1112" s="47"/>
      <c r="N1112" s="47"/>
      <c r="P1112" s="39">
        <v>11706</v>
      </c>
      <c r="Q1112" s="39">
        <v>11666</v>
      </c>
      <c r="R1112" s="39">
        <v>11163</v>
      </c>
      <c r="S1112" s="39">
        <v>11292</v>
      </c>
      <c r="T1112" s="39">
        <v>11354</v>
      </c>
      <c r="U1112" s="39">
        <v>11874</v>
      </c>
      <c r="V1112" s="39">
        <v>12740</v>
      </c>
      <c r="W1112" s="39">
        <v>13383</v>
      </c>
      <c r="X1112" s="124">
        <f t="shared" si="199"/>
        <v>14749.640470588236</v>
      </c>
      <c r="Y1112" s="124">
        <f t="shared" si="199"/>
        <v>14462.037176470589</v>
      </c>
      <c r="Z1112" s="124">
        <f t="shared" si="199"/>
        <v>15140.109176470589</v>
      </c>
      <c r="AA1112" s="124">
        <f t="shared" si="199"/>
        <v>15559.968000000001</v>
      </c>
      <c r="AB1112" s="39">
        <v>14856</v>
      </c>
      <c r="AC1112" s="39">
        <v>14429</v>
      </c>
    </row>
    <row r="1113" spans="2:37" x14ac:dyDescent="0.25">
      <c r="D1113" s="4" t="s">
        <v>252</v>
      </c>
      <c r="H1113" t="s">
        <v>538</v>
      </c>
      <c r="J1113" s="47"/>
      <c r="K1113" s="47"/>
      <c r="L1113" s="47"/>
      <c r="M1113" s="47"/>
      <c r="N1113" s="47"/>
      <c r="P1113" s="39">
        <v>10227</v>
      </c>
      <c r="Q1113" s="39">
        <v>10231</v>
      </c>
      <c r="R1113" s="39">
        <v>9942</v>
      </c>
      <c r="S1113" s="39">
        <v>9965</v>
      </c>
      <c r="T1113" s="39">
        <v>9864</v>
      </c>
      <c r="U1113" s="39">
        <v>10595</v>
      </c>
      <c r="V1113" s="39">
        <v>11307</v>
      </c>
      <c r="W1113" s="39">
        <v>11895</v>
      </c>
      <c r="X1113" s="124">
        <f t="shared" si="199"/>
        <v>12387.909246575342</v>
      </c>
      <c r="Y1113" s="124">
        <f t="shared" si="199"/>
        <v>13271.88698630137</v>
      </c>
      <c r="Z1113" s="124">
        <f t="shared" si="199"/>
        <v>13375.764554794521</v>
      </c>
      <c r="AA1113" s="39">
        <v>14055</v>
      </c>
      <c r="AB1113" s="39">
        <v>13811</v>
      </c>
      <c r="AC1113" s="39">
        <v>13799</v>
      </c>
    </row>
    <row r="1114" spans="2:37" x14ac:dyDescent="0.25">
      <c r="D1114" s="4" t="s">
        <v>253</v>
      </c>
      <c r="H1114" t="s">
        <v>538</v>
      </c>
      <c r="J1114" s="47"/>
      <c r="K1114" s="47"/>
      <c r="L1114" s="47"/>
      <c r="M1114" s="47"/>
      <c r="N1114" s="47"/>
      <c r="P1114" s="39">
        <v>8294</v>
      </c>
      <c r="Q1114" s="39">
        <v>8044</v>
      </c>
      <c r="R1114" s="39">
        <v>7983</v>
      </c>
      <c r="S1114" s="39">
        <v>7922</v>
      </c>
      <c r="T1114" s="39">
        <v>8119</v>
      </c>
      <c r="U1114" s="39">
        <v>8694</v>
      </c>
      <c r="V1114" s="39">
        <v>9599</v>
      </c>
      <c r="W1114" s="39">
        <v>9560</v>
      </c>
      <c r="X1114" s="124">
        <f t="shared" ref="X1114:Y1116" si="200">$W1114*X1127/$W1127</f>
        <v>10758.428602957405</v>
      </c>
      <c r="Y1114" s="124">
        <f t="shared" si="200"/>
        <v>10838.605164422865</v>
      </c>
      <c r="Z1114" s="117">
        <v>10710</v>
      </c>
      <c r="AA1114" s="39">
        <v>11741</v>
      </c>
      <c r="AB1114" s="39">
        <v>11807</v>
      </c>
      <c r="AC1114" s="39">
        <v>12121</v>
      </c>
    </row>
    <row r="1115" spans="2:37" x14ac:dyDescent="0.25">
      <c r="D1115" s="4" t="s">
        <v>254</v>
      </c>
      <c r="H1115" t="s">
        <v>538</v>
      </c>
      <c r="J1115" s="47"/>
      <c r="K1115" s="47"/>
      <c r="L1115" s="47"/>
      <c r="M1115" s="47"/>
      <c r="N1115" s="47"/>
      <c r="P1115" s="39">
        <v>7363</v>
      </c>
      <c r="Q1115" s="39">
        <v>6374</v>
      </c>
      <c r="R1115" s="39">
        <v>6304</v>
      </c>
      <c r="S1115" s="39">
        <v>6347</v>
      </c>
      <c r="T1115" s="39">
        <v>6861</v>
      </c>
      <c r="U1115" s="39">
        <v>6715</v>
      </c>
      <c r="V1115" s="39">
        <v>7209</v>
      </c>
      <c r="W1115" s="39">
        <v>7931</v>
      </c>
      <c r="X1115" s="124">
        <f t="shared" si="200"/>
        <v>8631.6401554404147</v>
      </c>
      <c r="Y1115" s="124">
        <f t="shared" si="200"/>
        <v>8664.5147668393784</v>
      </c>
      <c r="Z1115" s="117">
        <v>8929</v>
      </c>
      <c r="AA1115" s="39">
        <v>8914</v>
      </c>
      <c r="AB1115" s="39">
        <v>9695</v>
      </c>
      <c r="AC1115" s="39">
        <v>9266</v>
      </c>
    </row>
    <row r="1116" spans="2:37" x14ac:dyDescent="0.25">
      <c r="D1116" s="4" t="s">
        <v>255</v>
      </c>
      <c r="H1116" t="s">
        <v>538</v>
      </c>
      <c r="J1116" s="47"/>
      <c r="K1116" s="47"/>
      <c r="L1116" s="47"/>
      <c r="M1116" s="47"/>
      <c r="N1116" s="47"/>
      <c r="P1116" s="39">
        <v>6732</v>
      </c>
      <c r="Q1116" s="39">
        <v>6457</v>
      </c>
      <c r="R1116" s="39">
        <v>6262</v>
      </c>
      <c r="S1116" s="39">
        <v>5845</v>
      </c>
      <c r="T1116" s="39">
        <v>5947</v>
      </c>
      <c r="U1116" s="39">
        <v>6519</v>
      </c>
      <c r="V1116" s="39">
        <v>7384</v>
      </c>
      <c r="W1116" s="39">
        <v>7822</v>
      </c>
      <c r="X1116" s="124">
        <f t="shared" si="200"/>
        <v>8457.3221365638765</v>
      </c>
      <c r="Y1116" s="124">
        <f t="shared" si="200"/>
        <v>8433.6321585903079</v>
      </c>
      <c r="Z1116" s="117">
        <v>8567</v>
      </c>
      <c r="AA1116" s="39">
        <v>8990</v>
      </c>
      <c r="AB1116" s="39">
        <v>9598</v>
      </c>
      <c r="AC1116" s="39">
        <v>9229</v>
      </c>
    </row>
    <row r="1117" spans="2:37" s="8" customFormat="1" x14ac:dyDescent="0.25">
      <c r="B1117" s="9"/>
      <c r="C1117" s="8" t="s">
        <v>539</v>
      </c>
      <c r="H1117" s="8" t="s">
        <v>538</v>
      </c>
      <c r="J1117" s="122"/>
      <c r="K1117" s="122"/>
      <c r="L1117" s="122"/>
      <c r="M1117" s="122"/>
      <c r="N1117" s="122"/>
      <c r="P1117" s="42">
        <f t="shared" ref="P1117:AK1117" si="201">SUM(P1118:P1129)</f>
        <v>0</v>
      </c>
      <c r="Q1117" s="42">
        <f t="shared" si="201"/>
        <v>0</v>
      </c>
      <c r="R1117" s="42">
        <f t="shared" si="201"/>
        <v>19729</v>
      </c>
      <c r="S1117" s="42">
        <f t="shared" si="201"/>
        <v>44736</v>
      </c>
      <c r="T1117" s="42">
        <f t="shared" si="201"/>
        <v>45744</v>
      </c>
      <c r="U1117" s="42">
        <f t="shared" si="201"/>
        <v>48317</v>
      </c>
      <c r="V1117" s="42">
        <f t="shared" si="201"/>
        <v>52865</v>
      </c>
      <c r="W1117" s="42">
        <f t="shared" si="201"/>
        <v>56584</v>
      </c>
      <c r="X1117" s="42">
        <f t="shared" si="201"/>
        <v>60116.279396984923</v>
      </c>
      <c r="Y1117" s="42">
        <f t="shared" si="201"/>
        <v>62321</v>
      </c>
      <c r="Z1117" s="42">
        <f t="shared" si="201"/>
        <v>64218</v>
      </c>
      <c r="AA1117" s="42">
        <f t="shared" si="201"/>
        <v>63900.31583552056</v>
      </c>
      <c r="AB1117" s="42">
        <f>SUM(AB1118:AB1129)</f>
        <v>70306.369732668783</v>
      </c>
      <c r="AC1117" s="42">
        <f>SUM(AC1118:AC1129)</f>
        <v>69678.589971311681</v>
      </c>
      <c r="AD1117" s="42">
        <f t="shared" si="201"/>
        <v>0</v>
      </c>
      <c r="AE1117" s="42">
        <f t="shared" si="201"/>
        <v>0</v>
      </c>
      <c r="AF1117" s="42">
        <f t="shared" si="201"/>
        <v>0</v>
      </c>
      <c r="AG1117" s="42">
        <f t="shared" si="201"/>
        <v>0</v>
      </c>
      <c r="AH1117" s="42">
        <f t="shared" si="201"/>
        <v>0</v>
      </c>
      <c r="AI1117" s="42">
        <f t="shared" si="201"/>
        <v>0</v>
      </c>
      <c r="AJ1117" s="42">
        <f t="shared" si="201"/>
        <v>0</v>
      </c>
      <c r="AK1117" s="42">
        <f t="shared" si="201"/>
        <v>0</v>
      </c>
    </row>
    <row r="1118" spans="2:37" x14ac:dyDescent="0.25">
      <c r="D1118" s="4" t="s">
        <v>244</v>
      </c>
      <c r="H1118" t="s">
        <v>538</v>
      </c>
      <c r="J1118" s="47"/>
      <c r="K1118" s="47"/>
      <c r="L1118" s="47"/>
      <c r="M1118" s="47"/>
      <c r="N1118" s="47"/>
      <c r="P1118" s="117" t="s">
        <v>540</v>
      </c>
      <c r="Q1118" s="117" t="s">
        <v>540</v>
      </c>
      <c r="R1118" s="117" t="s">
        <v>540</v>
      </c>
      <c r="S1118" s="39">
        <v>2669</v>
      </c>
      <c r="T1118" s="39">
        <v>2640</v>
      </c>
      <c r="U1118" s="39">
        <v>2905</v>
      </c>
      <c r="V1118" s="39">
        <v>3167</v>
      </c>
      <c r="W1118" s="39">
        <v>3383</v>
      </c>
      <c r="X1118" s="117">
        <v>3514.2793969849245</v>
      </c>
      <c r="Y1118" s="117">
        <v>3851</v>
      </c>
      <c r="Z1118" s="118">
        <v>3956</v>
      </c>
      <c r="AA1118" s="39">
        <v>4206</v>
      </c>
      <c r="AB1118" s="39">
        <v>4461</v>
      </c>
      <c r="AC1118" s="39">
        <v>4457</v>
      </c>
    </row>
    <row r="1119" spans="2:37" x14ac:dyDescent="0.25">
      <c r="D1119" s="4" t="s">
        <v>245</v>
      </c>
      <c r="H1119" t="s">
        <v>538</v>
      </c>
      <c r="J1119" s="47"/>
      <c r="K1119" s="47"/>
      <c r="L1119" s="47"/>
      <c r="M1119" s="47"/>
      <c r="N1119" s="47"/>
      <c r="P1119" s="117" t="s">
        <v>540</v>
      </c>
      <c r="Q1119" s="117" t="s">
        <v>540</v>
      </c>
      <c r="R1119" s="117" t="s">
        <v>540</v>
      </c>
      <c r="S1119" s="39">
        <v>2769</v>
      </c>
      <c r="T1119" s="39">
        <v>2838</v>
      </c>
      <c r="U1119" s="39">
        <v>2899</v>
      </c>
      <c r="V1119" s="39">
        <v>3286</v>
      </c>
      <c r="W1119" s="39">
        <v>3520</v>
      </c>
      <c r="X1119" s="117">
        <v>3632</v>
      </c>
      <c r="Y1119" s="117">
        <v>3980</v>
      </c>
      <c r="Z1119" s="117">
        <v>4129</v>
      </c>
      <c r="AA1119" s="39">
        <v>4330</v>
      </c>
      <c r="AB1119" s="117">
        <v>4480</v>
      </c>
      <c r="AC1119" s="117">
        <v>4714</v>
      </c>
    </row>
    <row r="1120" spans="2:37" x14ac:dyDescent="0.25">
      <c r="D1120" s="4" t="s">
        <v>246</v>
      </c>
      <c r="H1120" t="s">
        <v>538</v>
      </c>
      <c r="J1120" s="47"/>
      <c r="K1120" s="47"/>
      <c r="L1120" s="47"/>
      <c r="M1120" s="47"/>
      <c r="N1120" s="47"/>
      <c r="P1120" s="117" t="s">
        <v>540</v>
      </c>
      <c r="Q1120" s="117" t="s">
        <v>540</v>
      </c>
      <c r="R1120" s="117" t="s">
        <v>540</v>
      </c>
      <c r="S1120" s="39">
        <v>2905</v>
      </c>
      <c r="T1120" s="39">
        <v>2983</v>
      </c>
      <c r="U1120" s="39">
        <v>3114</v>
      </c>
      <c r="V1120" s="39">
        <v>3398</v>
      </c>
      <c r="W1120" s="39">
        <v>3632</v>
      </c>
      <c r="X1120" s="117">
        <v>3730</v>
      </c>
      <c r="Y1120" s="117">
        <v>4183</v>
      </c>
      <c r="Z1120" s="117">
        <v>4286</v>
      </c>
      <c r="AA1120" s="39">
        <v>4036</v>
      </c>
      <c r="AB1120" s="117">
        <v>4743</v>
      </c>
      <c r="AC1120" s="117">
        <v>4982</v>
      </c>
    </row>
    <row r="1121" spans="3:37" x14ac:dyDescent="0.25">
      <c r="D1121" s="4" t="s">
        <v>247</v>
      </c>
      <c r="H1121" t="s">
        <v>538</v>
      </c>
      <c r="J1121" s="47"/>
      <c r="K1121" s="47"/>
      <c r="L1121" s="47"/>
      <c r="M1121" s="47"/>
      <c r="N1121" s="47"/>
      <c r="P1121" s="117" t="s">
        <v>540</v>
      </c>
      <c r="Q1121" s="117" t="s">
        <v>540</v>
      </c>
      <c r="R1121" s="117" t="s">
        <v>540</v>
      </c>
      <c r="S1121" s="39">
        <v>3004</v>
      </c>
      <c r="T1121" s="39">
        <v>2998</v>
      </c>
      <c r="U1121" s="39">
        <v>3173</v>
      </c>
      <c r="V1121" s="39">
        <v>3572</v>
      </c>
      <c r="W1121" s="39">
        <v>3878</v>
      </c>
      <c r="X1121" s="117">
        <v>4243</v>
      </c>
      <c r="Y1121" s="117">
        <v>4354</v>
      </c>
      <c r="Z1121" s="117">
        <v>4427</v>
      </c>
      <c r="AA1121" s="228">
        <f>AA1108*W1121/W1108</f>
        <v>3377.3158355205601</v>
      </c>
      <c r="AB1121" s="39">
        <v>4850</v>
      </c>
      <c r="AC1121" s="117">
        <v>4944</v>
      </c>
    </row>
    <row r="1122" spans="3:37" x14ac:dyDescent="0.25">
      <c r="D1122" s="4" t="s">
        <v>248</v>
      </c>
      <c r="H1122" t="s">
        <v>538</v>
      </c>
      <c r="J1122" s="47"/>
      <c r="K1122" s="47"/>
      <c r="L1122" s="47"/>
      <c r="M1122" s="47"/>
      <c r="N1122" s="47"/>
      <c r="P1122" s="117" t="s">
        <v>540</v>
      </c>
      <c r="Q1122" s="117" t="s">
        <v>540</v>
      </c>
      <c r="R1122" s="117" t="s">
        <v>540</v>
      </c>
      <c r="S1122" s="39">
        <v>3779</v>
      </c>
      <c r="T1122" s="39">
        <v>3815</v>
      </c>
      <c r="U1122" s="39">
        <v>3951</v>
      </c>
      <c r="V1122" s="39">
        <v>4407</v>
      </c>
      <c r="W1122" s="39">
        <v>4875</v>
      </c>
      <c r="X1122" s="117">
        <v>5096</v>
      </c>
      <c r="Y1122" s="117">
        <v>5334</v>
      </c>
      <c r="Z1122" s="117">
        <v>5453</v>
      </c>
      <c r="AA1122" s="39">
        <v>4890</v>
      </c>
      <c r="AB1122" s="39">
        <v>5969</v>
      </c>
      <c r="AC1122" s="117">
        <v>6034</v>
      </c>
    </row>
    <row r="1123" spans="3:37" x14ac:dyDescent="0.25">
      <c r="D1123" s="4" t="s">
        <v>249</v>
      </c>
      <c r="H1123" t="s">
        <v>538</v>
      </c>
      <c r="J1123" s="47"/>
      <c r="K1123" s="47"/>
      <c r="L1123" s="47"/>
      <c r="M1123" s="47"/>
      <c r="N1123" s="47"/>
      <c r="P1123" s="117" t="s">
        <v>540</v>
      </c>
      <c r="Q1123" s="117" t="s">
        <v>540</v>
      </c>
      <c r="R1123" s="117" t="s">
        <v>540</v>
      </c>
      <c r="S1123" s="39">
        <v>4801</v>
      </c>
      <c r="T1123" s="39">
        <v>4902</v>
      </c>
      <c r="U1123" s="39">
        <v>5125</v>
      </c>
      <c r="V1123" s="39">
        <v>5581</v>
      </c>
      <c r="W1123" s="39">
        <v>6161</v>
      </c>
      <c r="X1123" s="117">
        <v>6378</v>
      </c>
      <c r="Y1123" s="117">
        <v>6521</v>
      </c>
      <c r="Z1123" s="117">
        <v>6794</v>
      </c>
      <c r="AA1123" s="39">
        <v>6308</v>
      </c>
      <c r="AB1123" s="39">
        <v>7785</v>
      </c>
      <c r="AC1123" s="117">
        <v>7316</v>
      </c>
    </row>
    <row r="1124" spans="3:37" x14ac:dyDescent="0.25">
      <c r="D1124" s="4" t="s">
        <v>250</v>
      </c>
      <c r="H1124" t="s">
        <v>538</v>
      </c>
      <c r="J1124" s="47"/>
      <c r="K1124" s="47"/>
      <c r="L1124" s="47"/>
      <c r="M1124" s="47"/>
      <c r="N1124" s="47"/>
      <c r="P1124" s="117" t="s">
        <v>540</v>
      </c>
      <c r="Q1124" s="117" t="s">
        <v>540</v>
      </c>
      <c r="R1124" s="117" t="s">
        <v>540</v>
      </c>
      <c r="S1124" s="39">
        <v>5380</v>
      </c>
      <c r="T1124" s="39">
        <v>5809</v>
      </c>
      <c r="U1124" s="39">
        <v>6147</v>
      </c>
      <c r="V1124" s="39">
        <v>6477</v>
      </c>
      <c r="W1124" s="39">
        <v>6897</v>
      </c>
      <c r="X1124" s="117">
        <v>7188</v>
      </c>
      <c r="Y1124" s="117">
        <v>7423</v>
      </c>
      <c r="Z1124" s="117">
        <v>7522</v>
      </c>
      <c r="AA1124" s="39">
        <v>7598</v>
      </c>
      <c r="AB1124" s="39">
        <v>8406</v>
      </c>
      <c r="AC1124" s="117">
        <v>7556</v>
      </c>
    </row>
    <row r="1125" spans="3:37" x14ac:dyDescent="0.25">
      <c r="D1125" s="4" t="s">
        <v>251</v>
      </c>
      <c r="H1125" t="s">
        <v>538</v>
      </c>
      <c r="J1125" s="47"/>
      <c r="K1125" s="47"/>
      <c r="L1125" s="47"/>
      <c r="M1125" s="47"/>
      <c r="N1125" s="47"/>
      <c r="P1125" s="117" t="s">
        <v>540</v>
      </c>
      <c r="Q1125" s="117" t="s">
        <v>540</v>
      </c>
      <c r="R1125" s="39">
        <v>5290</v>
      </c>
      <c r="S1125" s="39">
        <v>5339</v>
      </c>
      <c r="T1125" s="39">
        <v>5401</v>
      </c>
      <c r="U1125" s="39">
        <v>5472</v>
      </c>
      <c r="V1125" s="39">
        <v>6053</v>
      </c>
      <c r="W1125" s="39">
        <v>6375</v>
      </c>
      <c r="X1125" s="117">
        <v>7026</v>
      </c>
      <c r="Y1125" s="118">
        <v>6889</v>
      </c>
      <c r="Z1125" s="117">
        <v>7212</v>
      </c>
      <c r="AA1125" s="39">
        <v>7412</v>
      </c>
      <c r="AB1125" s="39">
        <v>7577</v>
      </c>
      <c r="AC1125" s="117">
        <v>7253</v>
      </c>
    </row>
    <row r="1126" spans="3:37" x14ac:dyDescent="0.25">
      <c r="D1126" s="4" t="s">
        <v>252</v>
      </c>
      <c r="H1126" t="s">
        <v>538</v>
      </c>
      <c r="J1126" s="47"/>
      <c r="K1126" s="47"/>
      <c r="L1126" s="47"/>
      <c r="M1126" s="47"/>
      <c r="N1126" s="47"/>
      <c r="P1126" s="117" t="s">
        <v>540</v>
      </c>
      <c r="Q1126" s="117" t="s">
        <v>540</v>
      </c>
      <c r="R1126" s="39">
        <v>4823</v>
      </c>
      <c r="S1126" s="39">
        <v>4685</v>
      </c>
      <c r="T1126" s="39">
        <v>4747</v>
      </c>
      <c r="U1126" s="39">
        <v>5061</v>
      </c>
      <c r="V1126" s="39">
        <v>5490</v>
      </c>
      <c r="W1126" s="39">
        <v>5840</v>
      </c>
      <c r="X1126" s="117">
        <v>6082</v>
      </c>
      <c r="Y1126" s="119">
        <v>6516</v>
      </c>
      <c r="Z1126" s="117">
        <v>6567</v>
      </c>
      <c r="AA1126" s="39">
        <v>6976</v>
      </c>
      <c r="AB1126" s="39">
        <v>6948</v>
      </c>
      <c r="AC1126" s="117">
        <v>6997</v>
      </c>
    </row>
    <row r="1127" spans="3:37" x14ac:dyDescent="0.25">
      <c r="D1127" s="4" t="s">
        <v>253</v>
      </c>
      <c r="H1127" t="s">
        <v>538</v>
      </c>
      <c r="J1127" s="47"/>
      <c r="K1127" s="47"/>
      <c r="L1127" s="47"/>
      <c r="M1127" s="47"/>
      <c r="N1127" s="47"/>
      <c r="P1127" s="117" t="s">
        <v>540</v>
      </c>
      <c r="Q1127" s="117" t="s">
        <v>540</v>
      </c>
      <c r="R1127" s="39">
        <v>3759</v>
      </c>
      <c r="S1127" s="39">
        <v>3714</v>
      </c>
      <c r="T1127" s="39">
        <v>3756</v>
      </c>
      <c r="U1127" s="39">
        <v>4025</v>
      </c>
      <c r="V1127" s="39">
        <v>4477</v>
      </c>
      <c r="W1127" s="39">
        <v>4531</v>
      </c>
      <c r="X1127" s="117">
        <v>5099</v>
      </c>
      <c r="Y1127" s="117">
        <v>5137</v>
      </c>
      <c r="Z1127" s="117">
        <v>5318</v>
      </c>
      <c r="AA1127" s="39">
        <v>5865</v>
      </c>
      <c r="AB1127" s="39">
        <v>5702</v>
      </c>
      <c r="AC1127" s="117">
        <v>6080</v>
      </c>
    </row>
    <row r="1128" spans="3:37" x14ac:dyDescent="0.25">
      <c r="D1128" s="4" t="s">
        <v>254</v>
      </c>
      <c r="H1128" t="s">
        <v>538</v>
      </c>
      <c r="J1128" s="47"/>
      <c r="K1128" s="47"/>
      <c r="L1128" s="47"/>
      <c r="M1128" s="47"/>
      <c r="N1128" s="47"/>
      <c r="P1128" s="117" t="s">
        <v>540</v>
      </c>
      <c r="Q1128" s="117" t="s">
        <v>540</v>
      </c>
      <c r="R1128" s="39">
        <v>2999</v>
      </c>
      <c r="S1128" s="39">
        <v>3035</v>
      </c>
      <c r="T1128" s="39">
        <v>3004</v>
      </c>
      <c r="U1128" s="39">
        <v>3195</v>
      </c>
      <c r="V1128" s="39">
        <v>3511</v>
      </c>
      <c r="W1128" s="39">
        <v>3860</v>
      </c>
      <c r="X1128" s="117">
        <v>4201</v>
      </c>
      <c r="Y1128" s="117">
        <v>4217</v>
      </c>
      <c r="Z1128" s="117">
        <v>4414</v>
      </c>
      <c r="AA1128" s="39">
        <v>4493</v>
      </c>
      <c r="AB1128" s="39">
        <v>4843</v>
      </c>
      <c r="AC1128" s="124">
        <f t="array" ref="AC1128">AVERAGE(AC1118:AC1127/AB1118:AB1127)*AB1128</f>
        <v>4843.5899713116787</v>
      </c>
    </row>
    <row r="1129" spans="3:37" x14ac:dyDescent="0.25">
      <c r="D1129" s="4" t="s">
        <v>255</v>
      </c>
      <c r="H1129" t="s">
        <v>538</v>
      </c>
      <c r="J1129" s="47"/>
      <c r="K1129" s="47"/>
      <c r="L1129" s="47"/>
      <c r="M1129" s="47"/>
      <c r="N1129" s="47"/>
      <c r="P1129" s="117" t="s">
        <v>540</v>
      </c>
      <c r="Q1129" s="117" t="s">
        <v>540</v>
      </c>
      <c r="R1129" s="39">
        <v>2858</v>
      </c>
      <c r="S1129" s="39">
        <v>2656</v>
      </c>
      <c r="T1129" s="39">
        <v>2851</v>
      </c>
      <c r="U1129" s="39">
        <v>3250</v>
      </c>
      <c r="V1129" s="39">
        <v>3446</v>
      </c>
      <c r="W1129" s="39">
        <v>3632</v>
      </c>
      <c r="X1129" s="117">
        <v>3927</v>
      </c>
      <c r="Y1129" s="117">
        <v>3916</v>
      </c>
      <c r="Z1129" s="117">
        <v>4140</v>
      </c>
      <c r="AA1129" s="39">
        <v>4409</v>
      </c>
      <c r="AB1129" s="124">
        <f>Z1129*AB1128/Z1128</f>
        <v>4542.3697326687816</v>
      </c>
      <c r="AC1129" s="117">
        <v>4502</v>
      </c>
    </row>
    <row r="1130" spans="3:37" x14ac:dyDescent="0.25">
      <c r="C1130" s="8" t="s">
        <v>541</v>
      </c>
      <c r="D1130" s="8"/>
      <c r="H1130" s="8" t="s">
        <v>538</v>
      </c>
      <c r="J1130" s="47"/>
      <c r="K1130" s="47"/>
      <c r="L1130" s="47"/>
      <c r="M1130" s="47"/>
      <c r="N1130" s="47"/>
      <c r="P1130" s="42">
        <f t="shared" ref="P1130:AK1130" si="202">SUM(P1131:P1142)</f>
        <v>79300.904761904967</v>
      </c>
      <c r="Q1130" s="42">
        <f t="shared" si="202"/>
        <v>82450.880952381063</v>
      </c>
      <c r="R1130" s="42">
        <f t="shared" si="202"/>
        <v>85600.857142857276</v>
      </c>
      <c r="S1130" s="42">
        <f t="shared" si="202"/>
        <v>89495</v>
      </c>
      <c r="T1130" s="42">
        <f t="shared" si="202"/>
        <v>88824</v>
      </c>
      <c r="U1130" s="42">
        <f t="shared" si="202"/>
        <v>95147</v>
      </c>
      <c r="V1130" s="42">
        <f t="shared" si="202"/>
        <v>97839</v>
      </c>
      <c r="W1130" s="42">
        <f t="shared" si="202"/>
        <v>102852</v>
      </c>
      <c r="X1130" s="42">
        <f t="shared" si="202"/>
        <v>108288</v>
      </c>
      <c r="Y1130" s="42">
        <f t="shared" si="202"/>
        <v>109790</v>
      </c>
      <c r="Z1130" s="42">
        <f t="shared" si="202"/>
        <v>105971</v>
      </c>
      <c r="AA1130" s="42">
        <f t="shared" si="202"/>
        <v>97730</v>
      </c>
      <c r="AB1130" s="42">
        <f t="shared" si="202"/>
        <v>117261</v>
      </c>
      <c r="AC1130" s="42">
        <f t="shared" si="202"/>
        <v>113454</v>
      </c>
      <c r="AD1130" s="42">
        <f t="shared" si="202"/>
        <v>0</v>
      </c>
      <c r="AE1130" s="42">
        <f t="shared" si="202"/>
        <v>0</v>
      </c>
      <c r="AF1130" s="42">
        <f t="shared" si="202"/>
        <v>0</v>
      </c>
      <c r="AG1130" s="42">
        <f t="shared" si="202"/>
        <v>0</v>
      </c>
      <c r="AH1130" s="42">
        <f t="shared" si="202"/>
        <v>0</v>
      </c>
      <c r="AI1130" s="42">
        <f t="shared" si="202"/>
        <v>0</v>
      </c>
      <c r="AJ1130" s="42">
        <f t="shared" si="202"/>
        <v>0</v>
      </c>
      <c r="AK1130" s="42">
        <f t="shared" si="202"/>
        <v>0</v>
      </c>
    </row>
    <row r="1131" spans="3:37" x14ac:dyDescent="0.25">
      <c r="D1131" s="4" t="s">
        <v>244</v>
      </c>
      <c r="H1131" t="s">
        <v>538</v>
      </c>
      <c r="J1131" s="47"/>
      <c r="K1131" s="47"/>
      <c r="L1131" s="47"/>
      <c r="M1131" s="47"/>
      <c r="N1131" s="47"/>
      <c r="P1131" s="123">
        <f t="shared" ref="P1131:R1142" si="203">_xlfn.FORECAST.LINEAR(P$2,$S1131:$Z1131,$S$2:$Z$2)</f>
        <v>3484.5238095237873</v>
      </c>
      <c r="Q1131" s="123">
        <f t="shared" si="203"/>
        <v>3743.4047619047342</v>
      </c>
      <c r="R1131" s="123">
        <f t="shared" si="203"/>
        <v>4002.285714285681</v>
      </c>
      <c r="S1131" s="39">
        <v>4289</v>
      </c>
      <c r="T1131" s="39">
        <v>4390</v>
      </c>
      <c r="U1131" s="39">
        <v>5010</v>
      </c>
      <c r="V1131" s="39">
        <v>5048</v>
      </c>
      <c r="W1131" s="39">
        <v>5360</v>
      </c>
      <c r="X1131" s="39">
        <v>4953</v>
      </c>
      <c r="Y1131" s="39">
        <v>6219</v>
      </c>
      <c r="Z1131" s="39">
        <v>6069</v>
      </c>
      <c r="AA1131" s="39">
        <v>5913</v>
      </c>
      <c r="AB1131" s="39">
        <v>5611</v>
      </c>
      <c r="AC1131" s="39">
        <v>6220</v>
      </c>
    </row>
    <row r="1132" spans="3:37" x14ac:dyDescent="0.25">
      <c r="D1132" s="4" t="s">
        <v>245</v>
      </c>
      <c r="H1132" t="s">
        <v>538</v>
      </c>
      <c r="J1132" s="47"/>
      <c r="K1132" s="47"/>
      <c r="L1132" s="47"/>
      <c r="M1132" s="47"/>
      <c r="N1132" s="47"/>
      <c r="P1132" s="123">
        <f t="shared" si="203"/>
        <v>4336.9047619047924</v>
      </c>
      <c r="Q1132" s="123">
        <f t="shared" si="203"/>
        <v>4514.6309523809468</v>
      </c>
      <c r="R1132" s="123">
        <f t="shared" si="203"/>
        <v>4692.3571428571595</v>
      </c>
      <c r="S1132" s="39">
        <v>4487</v>
      </c>
      <c r="T1132" s="39">
        <v>5005</v>
      </c>
      <c r="U1132" s="39">
        <v>5419</v>
      </c>
      <c r="V1132" s="39">
        <v>5825</v>
      </c>
      <c r="W1132" s="39">
        <v>5766</v>
      </c>
      <c r="X1132" s="39">
        <v>5503</v>
      </c>
      <c r="Y1132" s="39">
        <v>6177</v>
      </c>
      <c r="Z1132" s="39">
        <v>5755</v>
      </c>
      <c r="AA1132" s="39">
        <v>6512</v>
      </c>
      <c r="AB1132" s="39">
        <v>6004</v>
      </c>
      <c r="AC1132" s="39">
        <v>6931</v>
      </c>
    </row>
    <row r="1133" spans="3:37" x14ac:dyDescent="0.25">
      <c r="D1133" s="4" t="s">
        <v>246</v>
      </c>
      <c r="H1133" t="s">
        <v>538</v>
      </c>
      <c r="J1133" s="47"/>
      <c r="K1133" s="47"/>
      <c r="L1133" s="47"/>
      <c r="M1133" s="47"/>
      <c r="N1133" s="47"/>
      <c r="P1133" s="123">
        <f t="shared" si="203"/>
        <v>4112.3928571428987</v>
      </c>
      <c r="Q1133" s="123">
        <f t="shared" si="203"/>
        <v>4358.4285714285797</v>
      </c>
      <c r="R1133" s="123">
        <f t="shared" si="203"/>
        <v>4604.464285714319</v>
      </c>
      <c r="S1133" s="39">
        <v>4809</v>
      </c>
      <c r="T1133" s="39">
        <v>5066</v>
      </c>
      <c r="U1133" s="39">
        <v>5604</v>
      </c>
      <c r="V1133" s="39">
        <v>5706</v>
      </c>
      <c r="W1133" s="39">
        <v>5508</v>
      </c>
      <c r="X1133" s="39">
        <v>5928</v>
      </c>
      <c r="Y1133" s="39">
        <v>6309</v>
      </c>
      <c r="Z1133" s="39">
        <v>6763</v>
      </c>
      <c r="AA1133" s="39">
        <v>5060</v>
      </c>
      <c r="AB1133" s="39">
        <v>6474</v>
      </c>
      <c r="AC1133" s="39">
        <v>7096</v>
      </c>
    </row>
    <row r="1134" spans="3:37" x14ac:dyDescent="0.25">
      <c r="D1134" s="4" t="s">
        <v>247</v>
      </c>
      <c r="H1134" t="s">
        <v>538</v>
      </c>
      <c r="J1134" s="47"/>
      <c r="K1134" s="47"/>
      <c r="L1134" s="47"/>
      <c r="M1134" s="47"/>
      <c r="N1134" s="47"/>
      <c r="P1134" s="123">
        <f t="shared" si="203"/>
        <v>3830.5476190476329</v>
      </c>
      <c r="Q1134" s="123">
        <f t="shared" si="203"/>
        <v>3985.8095238095266</v>
      </c>
      <c r="R1134" s="123">
        <f t="shared" si="203"/>
        <v>4141.0714285714203</v>
      </c>
      <c r="S1134" s="39">
        <v>4408</v>
      </c>
      <c r="T1134" s="39">
        <v>4245</v>
      </c>
      <c r="U1134" s="39">
        <v>4652</v>
      </c>
      <c r="V1134" s="39">
        <v>4735</v>
      </c>
      <c r="W1134" s="39">
        <v>4956</v>
      </c>
      <c r="X1134" s="39">
        <v>5052</v>
      </c>
      <c r="Y1134" s="39">
        <v>5494</v>
      </c>
      <c r="Z1134" s="39">
        <v>5176</v>
      </c>
      <c r="AA1134" s="39">
        <v>2751</v>
      </c>
      <c r="AB1134" s="39">
        <v>5855</v>
      </c>
      <c r="AC1134" s="39">
        <v>4879</v>
      </c>
    </row>
    <row r="1135" spans="3:37" x14ac:dyDescent="0.25">
      <c r="D1135" s="4" t="s">
        <v>248</v>
      </c>
      <c r="H1135" t="s">
        <v>538</v>
      </c>
      <c r="J1135" s="47"/>
      <c r="K1135" s="47"/>
      <c r="L1135" s="47"/>
      <c r="M1135" s="47"/>
      <c r="N1135" s="47"/>
      <c r="P1135" s="123">
        <f t="shared" si="203"/>
        <v>5859.6071428571595</v>
      </c>
      <c r="Q1135" s="123">
        <f t="shared" si="203"/>
        <v>6182.5714285714785</v>
      </c>
      <c r="R1135" s="123">
        <f t="shared" si="203"/>
        <v>6505.5357142857974</v>
      </c>
      <c r="S1135" s="39">
        <v>6998</v>
      </c>
      <c r="T1135" s="39">
        <v>6925</v>
      </c>
      <c r="U1135" s="39">
        <v>7284</v>
      </c>
      <c r="V1135" s="39">
        <v>7686</v>
      </c>
      <c r="W1135" s="39">
        <v>8397</v>
      </c>
      <c r="X1135" s="39">
        <v>8461</v>
      </c>
      <c r="Y1135" s="39">
        <v>9471</v>
      </c>
      <c r="Z1135" s="39">
        <v>8449</v>
      </c>
      <c r="AA1135" s="39">
        <v>5246</v>
      </c>
      <c r="AB1135" s="39">
        <v>10851</v>
      </c>
      <c r="AC1135" s="39">
        <v>8978</v>
      </c>
    </row>
    <row r="1136" spans="3:37" x14ac:dyDescent="0.25">
      <c r="D1136" s="4" t="s">
        <v>249</v>
      </c>
      <c r="H1136" t="s">
        <v>538</v>
      </c>
      <c r="J1136" s="47"/>
      <c r="K1136" s="47"/>
      <c r="L1136" s="47"/>
      <c r="M1136" s="47"/>
      <c r="N1136" s="47"/>
      <c r="P1136" s="123">
        <f t="shared" si="203"/>
        <v>9799.7619047620101</v>
      </c>
      <c r="Q1136" s="123">
        <f t="shared" si="203"/>
        <v>10216.202380952425</v>
      </c>
      <c r="R1136" s="123">
        <f t="shared" si="203"/>
        <v>10632.642857142957</v>
      </c>
      <c r="S1136" s="39">
        <v>11756</v>
      </c>
      <c r="T1136" s="39">
        <v>10580</v>
      </c>
      <c r="U1136" s="39">
        <v>11512</v>
      </c>
      <c r="V1136" s="39">
        <v>11078</v>
      </c>
      <c r="W1136" s="39">
        <v>13839</v>
      </c>
      <c r="X1136" s="39">
        <v>14228</v>
      </c>
      <c r="Y1136" s="39">
        <v>15078</v>
      </c>
      <c r="Z1136" s="39">
        <v>11982</v>
      </c>
      <c r="AA1136" s="39">
        <v>10040</v>
      </c>
      <c r="AB1136" s="39">
        <v>16341</v>
      </c>
      <c r="AC1136" s="39">
        <v>13928</v>
      </c>
    </row>
    <row r="1137" spans="3:37" x14ac:dyDescent="0.25">
      <c r="D1137" s="4" t="s">
        <v>250</v>
      </c>
      <c r="H1137" t="s">
        <v>538</v>
      </c>
      <c r="J1137" s="47"/>
      <c r="K1137" s="47"/>
      <c r="L1137" s="47"/>
      <c r="M1137" s="47"/>
      <c r="N1137" s="47"/>
      <c r="P1137" s="123">
        <f t="shared" si="203"/>
        <v>14310.761904761894</v>
      </c>
      <c r="Q1137" s="123">
        <f t="shared" si="203"/>
        <v>14388.952380952367</v>
      </c>
      <c r="R1137" s="123">
        <f t="shared" si="203"/>
        <v>14467.142857142841</v>
      </c>
      <c r="S1137" s="39">
        <v>14517</v>
      </c>
      <c r="T1137" s="39">
        <v>14362</v>
      </c>
      <c r="U1137" s="39">
        <v>14450</v>
      </c>
      <c r="V1137" s="39">
        <v>14987</v>
      </c>
      <c r="W1137" s="39">
        <v>15761</v>
      </c>
      <c r="X1137" s="39">
        <v>14676</v>
      </c>
      <c r="Y1137" s="39">
        <v>15024</v>
      </c>
      <c r="Z1137" s="39">
        <v>14775</v>
      </c>
      <c r="AA1137" s="39">
        <v>14504</v>
      </c>
      <c r="AB1137" s="39">
        <v>16780</v>
      </c>
      <c r="AC1137" s="39">
        <v>15758</v>
      </c>
    </row>
    <row r="1138" spans="3:37" x14ac:dyDescent="0.25">
      <c r="D1138" s="4" t="s">
        <v>251</v>
      </c>
      <c r="H1138" t="s">
        <v>538</v>
      </c>
      <c r="J1138" s="47"/>
      <c r="K1138" s="47"/>
      <c r="L1138" s="47"/>
      <c r="M1138" s="47"/>
      <c r="N1138" s="47"/>
      <c r="P1138" s="123">
        <f t="shared" si="203"/>
        <v>12522.845238095208</v>
      </c>
      <c r="Q1138" s="123">
        <f t="shared" si="203"/>
        <v>12762.619047619053</v>
      </c>
      <c r="R1138" s="123">
        <f t="shared" si="203"/>
        <v>13002.392857142841</v>
      </c>
      <c r="S1138" s="39">
        <v>13727</v>
      </c>
      <c r="T1138" s="39">
        <v>12934</v>
      </c>
      <c r="U1138" s="39">
        <v>13379</v>
      </c>
      <c r="V1138" s="39">
        <v>14160</v>
      </c>
      <c r="W1138" s="39">
        <v>13868</v>
      </c>
      <c r="X1138" s="39">
        <v>15423</v>
      </c>
      <c r="Y1138" s="39">
        <v>14530</v>
      </c>
      <c r="Z1138" s="39">
        <v>14630</v>
      </c>
      <c r="AA1138" s="39">
        <v>14957</v>
      </c>
      <c r="AB1138" s="39">
        <v>15579</v>
      </c>
      <c r="AC1138" s="39">
        <v>15230</v>
      </c>
    </row>
    <row r="1139" spans="3:37" x14ac:dyDescent="0.25">
      <c r="D1139" s="4" t="s">
        <v>252</v>
      </c>
      <c r="H1139" t="s">
        <v>538</v>
      </c>
      <c r="J1139" s="47"/>
      <c r="K1139" s="47"/>
      <c r="L1139" s="47"/>
      <c r="M1139" s="47"/>
      <c r="N1139" s="47"/>
      <c r="P1139" s="123">
        <f t="shared" si="203"/>
        <v>8433.2023809524253</v>
      </c>
      <c r="Q1139" s="123">
        <f t="shared" si="203"/>
        <v>9022.4404761905316</v>
      </c>
      <c r="R1139" s="123">
        <f t="shared" si="203"/>
        <v>9611.678571428638</v>
      </c>
      <c r="S1139" s="39">
        <v>9759</v>
      </c>
      <c r="T1139" s="39">
        <v>10761</v>
      </c>
      <c r="U1139" s="39">
        <v>11739</v>
      </c>
      <c r="V1139" s="39">
        <v>12156</v>
      </c>
      <c r="W1139" s="39">
        <v>12569</v>
      </c>
      <c r="X1139" s="39">
        <v>13642</v>
      </c>
      <c r="Y1139" s="39">
        <v>13434</v>
      </c>
      <c r="Z1139" s="39">
        <v>14046</v>
      </c>
      <c r="AA1139" s="39">
        <v>13577</v>
      </c>
      <c r="AB1139" s="39">
        <v>14091</v>
      </c>
      <c r="AC1139" s="39">
        <v>14309</v>
      </c>
    </row>
    <row r="1140" spans="3:37" x14ac:dyDescent="0.25">
      <c r="D1140" s="4" t="s">
        <v>253</v>
      </c>
      <c r="H1140" t="s">
        <v>538</v>
      </c>
      <c r="J1140" s="47"/>
      <c r="K1140" s="47"/>
      <c r="L1140" s="47"/>
      <c r="M1140" s="47"/>
      <c r="N1140" s="47"/>
      <c r="P1140" s="123">
        <f t="shared" si="203"/>
        <v>4973.1428571428405</v>
      </c>
      <c r="Q1140" s="123">
        <f t="shared" si="203"/>
        <v>5304.4285714285215</v>
      </c>
      <c r="R1140" s="123">
        <f t="shared" si="203"/>
        <v>5635.7142857142026</v>
      </c>
      <c r="S1140" s="39">
        <v>6025</v>
      </c>
      <c r="T1140" s="39">
        <v>5714</v>
      </c>
      <c r="U1140" s="39">
        <v>6818</v>
      </c>
      <c r="V1140" s="39">
        <v>7041</v>
      </c>
      <c r="W1140" s="39">
        <v>7280</v>
      </c>
      <c r="X1140" s="39">
        <v>8748</v>
      </c>
      <c r="Y1140" s="39">
        <v>7579</v>
      </c>
      <c r="Z1140" s="39">
        <v>7807</v>
      </c>
      <c r="AA1140" s="39">
        <v>8989</v>
      </c>
      <c r="AB1140" s="39">
        <v>8281</v>
      </c>
      <c r="AC1140" s="39">
        <v>8824</v>
      </c>
    </row>
    <row r="1141" spans="3:37" x14ac:dyDescent="0.25">
      <c r="D1141" s="4" t="s">
        <v>254</v>
      </c>
      <c r="H1141" t="s">
        <v>538</v>
      </c>
      <c r="J1141" s="47"/>
      <c r="K1141" s="47"/>
      <c r="L1141" s="47"/>
      <c r="M1141" s="47"/>
      <c r="N1141" s="47"/>
      <c r="P1141" s="123">
        <f t="shared" si="203"/>
        <v>3643.2976190476329</v>
      </c>
      <c r="Q1141" s="123">
        <f t="shared" si="203"/>
        <v>3783.0595238095266</v>
      </c>
      <c r="R1141" s="123">
        <f t="shared" si="203"/>
        <v>3922.8214285714203</v>
      </c>
      <c r="S1141" s="39">
        <v>4160</v>
      </c>
      <c r="T1141" s="39">
        <v>4135</v>
      </c>
      <c r="U1141" s="39">
        <v>4328</v>
      </c>
      <c r="V1141" s="39">
        <v>4130</v>
      </c>
      <c r="W1141" s="39">
        <v>4592</v>
      </c>
      <c r="X1141" s="39">
        <v>5364</v>
      </c>
      <c r="Y1141" s="39">
        <v>4985</v>
      </c>
      <c r="Z1141" s="39">
        <v>4720</v>
      </c>
      <c r="AA1141" s="39">
        <v>4451</v>
      </c>
      <c r="AB1141" s="39">
        <v>5174</v>
      </c>
      <c r="AC1141" s="39">
        <v>4915</v>
      </c>
    </row>
    <row r="1142" spans="3:37" x14ac:dyDescent="0.25">
      <c r="D1142" s="4" t="s">
        <v>255</v>
      </c>
      <c r="H1142" t="s">
        <v>538</v>
      </c>
      <c r="J1142" s="47"/>
      <c r="K1142" s="47"/>
      <c r="L1142" s="47"/>
      <c r="M1142" s="47"/>
      <c r="N1142" s="47"/>
      <c r="P1142" s="123">
        <f t="shared" si="203"/>
        <v>3993.9166666666861</v>
      </c>
      <c r="Q1142" s="123">
        <f t="shared" si="203"/>
        <v>4188.3333333333721</v>
      </c>
      <c r="R1142" s="123">
        <f t="shared" si="203"/>
        <v>4382.75</v>
      </c>
      <c r="S1142" s="39">
        <v>4560</v>
      </c>
      <c r="T1142" s="39">
        <v>4707</v>
      </c>
      <c r="U1142" s="39">
        <v>4952</v>
      </c>
      <c r="V1142" s="39">
        <v>5287</v>
      </c>
      <c r="W1142" s="39">
        <v>4956</v>
      </c>
      <c r="X1142" s="39">
        <v>6310</v>
      </c>
      <c r="Y1142" s="39">
        <v>5490</v>
      </c>
      <c r="Z1142" s="39">
        <v>5799</v>
      </c>
      <c r="AA1142" s="39">
        <v>5730</v>
      </c>
      <c r="AB1142" s="39">
        <v>6220</v>
      </c>
      <c r="AC1142" s="39">
        <v>6386</v>
      </c>
    </row>
    <row r="1143" spans="3:37" x14ac:dyDescent="0.25">
      <c r="C1143" s="8" t="s">
        <v>542</v>
      </c>
      <c r="D1143" s="8"/>
      <c r="H1143" s="8" t="s">
        <v>538</v>
      </c>
      <c r="J1143" s="47"/>
      <c r="K1143" s="47"/>
      <c r="L1143" s="47"/>
      <c r="M1143" s="47"/>
      <c r="N1143" s="47"/>
      <c r="P1143" s="42">
        <f t="shared" ref="P1143:AK1143" si="204">SUM(P1144:P1155)</f>
        <v>198620</v>
      </c>
      <c r="Q1143" s="42">
        <f t="shared" si="204"/>
        <v>193305</v>
      </c>
      <c r="R1143" s="42">
        <f t="shared" si="204"/>
        <v>188854</v>
      </c>
      <c r="S1143" s="42">
        <f t="shared" si="204"/>
        <v>193134</v>
      </c>
      <c r="T1143" s="42">
        <f t="shared" si="204"/>
        <v>200752</v>
      </c>
      <c r="U1143" s="42">
        <f t="shared" si="204"/>
        <v>204354</v>
      </c>
      <c r="V1143" s="42">
        <f t="shared" si="204"/>
        <v>217644</v>
      </c>
      <c r="W1143" s="42">
        <f t="shared" si="204"/>
        <v>226469</v>
      </c>
      <c r="X1143" s="42">
        <f t="shared" si="204"/>
        <v>218371</v>
      </c>
      <c r="Y1143" s="42">
        <f t="shared" si="204"/>
        <v>225358</v>
      </c>
      <c r="Z1143" s="42">
        <f t="shared" si="204"/>
        <v>229217</v>
      </c>
      <c r="AA1143" s="42">
        <f t="shared" si="204"/>
        <v>215969</v>
      </c>
      <c r="AB1143" s="42">
        <f t="shared" si="204"/>
        <v>225405.7519657884</v>
      </c>
      <c r="AC1143" s="42">
        <f t="shared" si="204"/>
        <v>238493.0830706401</v>
      </c>
      <c r="AD1143" s="42">
        <f t="shared" si="204"/>
        <v>0</v>
      </c>
      <c r="AE1143" s="42">
        <f t="shared" si="204"/>
        <v>0</v>
      </c>
      <c r="AF1143" s="42">
        <f t="shared" si="204"/>
        <v>0</v>
      </c>
      <c r="AG1143" s="42">
        <f t="shared" si="204"/>
        <v>0</v>
      </c>
      <c r="AH1143" s="42">
        <f t="shared" si="204"/>
        <v>0</v>
      </c>
      <c r="AI1143" s="42">
        <f t="shared" si="204"/>
        <v>0</v>
      </c>
      <c r="AJ1143" s="42">
        <f t="shared" si="204"/>
        <v>0</v>
      </c>
      <c r="AK1143" s="42">
        <f t="shared" si="204"/>
        <v>0</v>
      </c>
    </row>
    <row r="1144" spans="3:37" x14ac:dyDescent="0.25">
      <c r="D1144" s="4" t="s">
        <v>244</v>
      </c>
      <c r="H1144" t="s">
        <v>538</v>
      </c>
      <c r="J1144" s="47"/>
      <c r="K1144" s="47"/>
      <c r="L1144" s="47"/>
      <c r="M1144" s="47"/>
      <c r="N1144" s="47"/>
      <c r="P1144" s="39">
        <v>15226</v>
      </c>
      <c r="Q1144" s="39">
        <v>14836</v>
      </c>
      <c r="R1144" s="39">
        <v>14433</v>
      </c>
      <c r="S1144" s="39">
        <v>13809</v>
      </c>
      <c r="T1144" s="39">
        <v>14583</v>
      </c>
      <c r="U1144" s="39">
        <v>15460</v>
      </c>
      <c r="V1144" s="39">
        <v>16160</v>
      </c>
      <c r="W1144" s="39">
        <v>17086</v>
      </c>
      <c r="X1144" s="39">
        <v>17044</v>
      </c>
      <c r="Y1144" s="39">
        <v>17873</v>
      </c>
      <c r="Z1144" s="39">
        <v>18062</v>
      </c>
      <c r="AA1144" s="39">
        <v>17773</v>
      </c>
      <c r="AB1144" s="39">
        <v>18303</v>
      </c>
      <c r="AC1144" s="39">
        <v>18751</v>
      </c>
    </row>
    <row r="1145" spans="3:37" x14ac:dyDescent="0.25">
      <c r="D1145" s="4" t="s">
        <v>245</v>
      </c>
      <c r="H1145" t="s">
        <v>538</v>
      </c>
      <c r="J1145" s="47"/>
      <c r="K1145" s="47"/>
      <c r="L1145" s="47"/>
      <c r="M1145" s="47"/>
      <c r="N1145" s="47"/>
      <c r="P1145" s="39">
        <v>15866</v>
      </c>
      <c r="Q1145" s="39">
        <v>15285</v>
      </c>
      <c r="R1145" s="39">
        <v>14581</v>
      </c>
      <c r="S1145" s="39">
        <v>14554</v>
      </c>
      <c r="T1145" s="39">
        <v>15630</v>
      </c>
      <c r="U1145" s="39">
        <v>16303</v>
      </c>
      <c r="V1145" s="39">
        <v>17441</v>
      </c>
      <c r="W1145" s="39">
        <v>17750</v>
      </c>
      <c r="X1145" s="39">
        <v>16428</v>
      </c>
      <c r="Y1145" s="39">
        <v>18340</v>
      </c>
      <c r="Z1145" s="39">
        <v>17263</v>
      </c>
      <c r="AA1145" s="39">
        <v>19048</v>
      </c>
      <c r="AB1145" s="39">
        <v>19054</v>
      </c>
      <c r="AC1145" s="39">
        <v>19566</v>
      </c>
    </row>
    <row r="1146" spans="3:37" x14ac:dyDescent="0.25">
      <c r="D1146" s="4" t="s">
        <v>246</v>
      </c>
      <c r="H1146" t="s">
        <v>538</v>
      </c>
      <c r="J1146" s="47"/>
      <c r="K1146" s="47"/>
      <c r="L1146" s="47"/>
      <c r="M1146" s="47"/>
      <c r="N1146" s="47"/>
      <c r="P1146" s="39">
        <v>15440</v>
      </c>
      <c r="Q1146" s="39">
        <v>15095</v>
      </c>
      <c r="R1146" s="39">
        <v>14279</v>
      </c>
      <c r="S1146" s="39">
        <v>14301</v>
      </c>
      <c r="T1146" s="39">
        <v>15149</v>
      </c>
      <c r="U1146" s="39">
        <v>14076</v>
      </c>
      <c r="V1146" s="39">
        <v>17322</v>
      </c>
      <c r="W1146" s="39">
        <v>17379</v>
      </c>
      <c r="X1146" s="39">
        <v>17134</v>
      </c>
      <c r="Y1146" s="39">
        <v>17720</v>
      </c>
      <c r="Z1146" s="39">
        <v>18680</v>
      </c>
      <c r="AA1146" s="39">
        <v>14792</v>
      </c>
      <c r="AB1146" s="39">
        <v>19270</v>
      </c>
      <c r="AC1146" s="124">
        <f>AB1146*AC1145/AB1145</f>
        <v>19787.80413561457</v>
      </c>
    </row>
    <row r="1147" spans="3:37" x14ac:dyDescent="0.25">
      <c r="D1147" s="4" t="s">
        <v>247</v>
      </c>
      <c r="H1147" t="s">
        <v>538</v>
      </c>
      <c r="J1147" s="47"/>
      <c r="K1147" s="47"/>
      <c r="L1147" s="47"/>
      <c r="M1147" s="47"/>
      <c r="N1147" s="47"/>
      <c r="P1147" s="39">
        <v>12343</v>
      </c>
      <c r="Q1147" s="39">
        <v>11736</v>
      </c>
      <c r="R1147" s="39">
        <v>10832</v>
      </c>
      <c r="S1147" s="39">
        <v>12147</v>
      </c>
      <c r="T1147" s="39">
        <v>12582</v>
      </c>
      <c r="U1147" s="39">
        <v>12245</v>
      </c>
      <c r="V1147" s="39">
        <v>13644</v>
      </c>
      <c r="W1147" s="39">
        <v>14344</v>
      </c>
      <c r="X1147" s="39">
        <v>14159</v>
      </c>
      <c r="Y1147" s="39">
        <v>14550</v>
      </c>
      <c r="Z1147" s="39">
        <v>14450</v>
      </c>
      <c r="AA1147" s="39">
        <v>10105</v>
      </c>
      <c r="AB1147" s="39">
        <v>16043</v>
      </c>
      <c r="AC1147" s="39">
        <v>15134</v>
      </c>
    </row>
    <row r="1148" spans="3:37" x14ac:dyDescent="0.25">
      <c r="D1148" s="4" t="s">
        <v>248</v>
      </c>
      <c r="H1148" t="s">
        <v>538</v>
      </c>
      <c r="J1148" s="47"/>
      <c r="K1148" s="47"/>
      <c r="L1148" s="47"/>
      <c r="M1148" s="47"/>
      <c r="N1148" s="47"/>
      <c r="P1148" s="39">
        <v>15490</v>
      </c>
      <c r="Q1148" s="39">
        <v>14448</v>
      </c>
      <c r="R1148" s="39">
        <v>14489</v>
      </c>
      <c r="S1148" s="39">
        <v>14513</v>
      </c>
      <c r="T1148" s="39">
        <v>15129</v>
      </c>
      <c r="U1148" s="39">
        <v>15647</v>
      </c>
      <c r="V1148" s="39">
        <v>16673</v>
      </c>
      <c r="W1148" s="39">
        <v>17620</v>
      </c>
      <c r="X1148" s="39">
        <v>17502</v>
      </c>
      <c r="Y1148" s="39">
        <v>17230</v>
      </c>
      <c r="Z1148" s="39">
        <v>17796</v>
      </c>
      <c r="AA1148" s="39">
        <v>14115</v>
      </c>
      <c r="AB1148" s="39">
        <v>19524</v>
      </c>
      <c r="AC1148" s="39">
        <v>18476</v>
      </c>
    </row>
    <row r="1149" spans="3:37" x14ac:dyDescent="0.25">
      <c r="D1149" s="4" t="s">
        <v>249</v>
      </c>
      <c r="H1149" t="s">
        <v>538</v>
      </c>
      <c r="J1149" s="47"/>
      <c r="K1149" s="47"/>
      <c r="L1149" s="47"/>
      <c r="M1149" s="47"/>
      <c r="N1149" s="47"/>
      <c r="P1149" s="39">
        <v>19342</v>
      </c>
      <c r="Q1149" s="39">
        <v>18932</v>
      </c>
      <c r="R1149" s="39">
        <v>18392</v>
      </c>
      <c r="S1149" s="39">
        <v>19161</v>
      </c>
      <c r="T1149" s="39">
        <v>19499</v>
      </c>
      <c r="U1149" s="39">
        <v>20148</v>
      </c>
      <c r="V1149" s="39">
        <v>21292</v>
      </c>
      <c r="W1149" s="39">
        <v>22957</v>
      </c>
      <c r="X1149" s="39">
        <v>22316</v>
      </c>
      <c r="Y1149" s="39">
        <v>22336</v>
      </c>
      <c r="Z1149" s="39">
        <v>23050</v>
      </c>
      <c r="AA1149" s="39">
        <v>19655</v>
      </c>
      <c r="AB1149" s="39">
        <v>24364</v>
      </c>
      <c r="AC1149" s="39">
        <v>23911</v>
      </c>
    </row>
    <row r="1150" spans="3:37" x14ac:dyDescent="0.25">
      <c r="D1150" s="4" t="s">
        <v>250</v>
      </c>
      <c r="H1150" t="s">
        <v>538</v>
      </c>
      <c r="J1150" s="47"/>
      <c r="K1150" s="47"/>
      <c r="L1150" s="47"/>
      <c r="M1150" s="47"/>
      <c r="N1150" s="47"/>
      <c r="P1150" s="39">
        <v>21880</v>
      </c>
      <c r="Q1150" s="39">
        <v>21993</v>
      </c>
      <c r="R1150" s="39">
        <v>21455</v>
      </c>
      <c r="S1150" s="39">
        <v>22103</v>
      </c>
      <c r="T1150" s="39">
        <v>22829</v>
      </c>
      <c r="U1150" s="39">
        <v>23274</v>
      </c>
      <c r="V1150" s="39">
        <v>23894</v>
      </c>
      <c r="W1150" s="39">
        <v>24703</v>
      </c>
      <c r="X1150" s="39">
        <v>24155</v>
      </c>
      <c r="Y1150" s="39">
        <v>24444</v>
      </c>
      <c r="Z1150" s="39">
        <v>24439</v>
      </c>
      <c r="AA1150" s="39">
        <v>23766</v>
      </c>
      <c r="AB1150" s="39">
        <v>25094</v>
      </c>
      <c r="AC1150" s="39">
        <v>25599</v>
      </c>
    </row>
    <row r="1151" spans="3:37" x14ac:dyDescent="0.25">
      <c r="D1151" s="4" t="s">
        <v>251</v>
      </c>
      <c r="H1151" t="s">
        <v>538</v>
      </c>
      <c r="J1151" s="47"/>
      <c r="K1151" s="47"/>
      <c r="L1151" s="47"/>
      <c r="M1151" s="47"/>
      <c r="N1151" s="47"/>
      <c r="P1151" s="39">
        <v>21725</v>
      </c>
      <c r="Q1151" s="39">
        <v>21405</v>
      </c>
      <c r="R1151" s="39">
        <v>20925</v>
      </c>
      <c r="S1151" s="39">
        <v>21768</v>
      </c>
      <c r="T1151" s="39">
        <v>22171</v>
      </c>
      <c r="U1151" s="39">
        <v>21913</v>
      </c>
      <c r="V1151" s="39">
        <v>23044</v>
      </c>
      <c r="W1151" s="39">
        <v>24023</v>
      </c>
      <c r="X1151" s="39">
        <v>21822</v>
      </c>
      <c r="Y1151" s="39">
        <v>23218</v>
      </c>
      <c r="Z1151" s="39">
        <v>24020</v>
      </c>
      <c r="AA1151" s="39">
        <v>23343</v>
      </c>
      <c r="AB1151" s="39">
        <v>23133</v>
      </c>
      <c r="AC1151" s="39">
        <v>24665</v>
      </c>
    </row>
    <row r="1152" spans="3:37" x14ac:dyDescent="0.25">
      <c r="D1152" s="4" t="s">
        <v>252</v>
      </c>
      <c r="H1152" t="s">
        <v>538</v>
      </c>
      <c r="J1152" s="47"/>
      <c r="K1152" s="47"/>
      <c r="L1152" s="47"/>
      <c r="M1152" s="47"/>
      <c r="N1152" s="47"/>
      <c r="P1152" s="39">
        <v>18564</v>
      </c>
      <c r="Q1152" s="39">
        <v>18551</v>
      </c>
      <c r="R1152" s="39">
        <v>18239</v>
      </c>
      <c r="S1152" s="39">
        <v>19015</v>
      </c>
      <c r="T1152" s="39">
        <v>19191</v>
      </c>
      <c r="U1152" s="39">
        <v>20182</v>
      </c>
      <c r="V1152" s="39">
        <v>20579</v>
      </c>
      <c r="W1152" s="39">
        <v>21665</v>
      </c>
      <c r="X1152" s="39">
        <v>18777</v>
      </c>
      <c r="Y1152" s="39">
        <v>20982</v>
      </c>
      <c r="Z1152" s="39">
        <v>22004</v>
      </c>
      <c r="AA1152" s="39">
        <v>22107</v>
      </c>
      <c r="AB1152" s="39">
        <v>17306</v>
      </c>
      <c r="AC1152" s="39">
        <v>22725</v>
      </c>
    </row>
    <row r="1153" spans="3:37" x14ac:dyDescent="0.25">
      <c r="D1153" s="4" t="s">
        <v>253</v>
      </c>
      <c r="H1153" t="s">
        <v>538</v>
      </c>
      <c r="J1153" s="47"/>
      <c r="K1153" s="47"/>
      <c r="L1153" s="47"/>
      <c r="M1153" s="47"/>
      <c r="N1153" s="47"/>
      <c r="P1153" s="39">
        <v>14877</v>
      </c>
      <c r="Q1153" s="39">
        <v>14310</v>
      </c>
      <c r="R1153" s="39">
        <v>14652</v>
      </c>
      <c r="S1153" s="39">
        <v>14775</v>
      </c>
      <c r="T1153" s="39">
        <v>15585</v>
      </c>
      <c r="U1153" s="39">
        <v>16203</v>
      </c>
      <c r="V1153" s="39">
        <v>16902</v>
      </c>
      <c r="W1153" s="39">
        <v>17230</v>
      </c>
      <c r="X1153" s="39">
        <v>17295</v>
      </c>
      <c r="Y1153" s="39">
        <v>17305</v>
      </c>
      <c r="Z1153" s="39">
        <v>17582</v>
      </c>
      <c r="AA1153" s="39">
        <v>18869</v>
      </c>
      <c r="AB1153" s="39">
        <v>14750</v>
      </c>
      <c r="AC1153" s="39">
        <v>19146</v>
      </c>
    </row>
    <row r="1154" spans="3:37" x14ac:dyDescent="0.25">
      <c r="D1154" s="4" t="s">
        <v>254</v>
      </c>
      <c r="H1154" t="s">
        <v>538</v>
      </c>
      <c r="J1154" s="47"/>
      <c r="K1154" s="47"/>
      <c r="L1154" s="47"/>
      <c r="M1154" s="47"/>
      <c r="N1154" s="47"/>
      <c r="P1154" s="39">
        <v>12555</v>
      </c>
      <c r="Q1154" s="39">
        <v>11632</v>
      </c>
      <c r="R1154" s="39">
        <v>11837</v>
      </c>
      <c r="S1154" s="39">
        <v>12614</v>
      </c>
      <c r="T1154" s="39">
        <v>12921</v>
      </c>
      <c r="U1154" s="39">
        <v>12904</v>
      </c>
      <c r="V1154" s="39">
        <v>13816</v>
      </c>
      <c r="W1154" s="39">
        <v>14370</v>
      </c>
      <c r="X1154" s="39">
        <v>14308</v>
      </c>
      <c r="Y1154" s="39">
        <v>14370</v>
      </c>
      <c r="Z1154" s="39">
        <v>14498</v>
      </c>
      <c r="AA1154" s="39">
        <v>14101</v>
      </c>
      <c r="AB1154" s="39">
        <v>12994</v>
      </c>
      <c r="AC1154" s="39">
        <v>13980</v>
      </c>
    </row>
    <row r="1155" spans="3:37" x14ac:dyDescent="0.25">
      <c r="D1155" s="4" t="s">
        <v>255</v>
      </c>
      <c r="H1155" t="s">
        <v>538</v>
      </c>
      <c r="J1155" s="47"/>
      <c r="K1155" s="47"/>
      <c r="L1155" s="47"/>
      <c r="M1155" s="47"/>
      <c r="N1155" s="47"/>
      <c r="P1155" s="39">
        <v>15312</v>
      </c>
      <c r="Q1155" s="39">
        <v>15082</v>
      </c>
      <c r="R1155" s="39">
        <v>14740</v>
      </c>
      <c r="S1155" s="39">
        <v>14374</v>
      </c>
      <c r="T1155" s="39">
        <v>15483</v>
      </c>
      <c r="U1155" s="39">
        <v>15999</v>
      </c>
      <c r="V1155" s="39">
        <v>16877</v>
      </c>
      <c r="W1155" s="39">
        <v>17342</v>
      </c>
      <c r="X1155" s="39">
        <v>17431</v>
      </c>
      <c r="Y1155" s="39">
        <v>16990</v>
      </c>
      <c r="Z1155" s="39">
        <v>17373</v>
      </c>
      <c r="AA1155" s="39">
        <v>18295</v>
      </c>
      <c r="AB1155" s="124">
        <f>AB1154*Z1155/Z1154</f>
        <v>15570.751965788384</v>
      </c>
      <c r="AC1155" s="124">
        <f>AB1155*AC1154/AB1154</f>
        <v>16752.278935025519</v>
      </c>
    </row>
    <row r="1156" spans="3:37" x14ac:dyDescent="0.25">
      <c r="C1156" s="8" t="s">
        <v>543</v>
      </c>
      <c r="D1156" s="8"/>
      <c r="H1156" s="8" t="s">
        <v>538</v>
      </c>
      <c r="J1156" s="47"/>
      <c r="K1156" s="47"/>
      <c r="L1156" s="47"/>
      <c r="M1156" s="47"/>
      <c r="N1156" s="47"/>
      <c r="P1156" s="42">
        <f t="shared" ref="P1156:AK1156" si="205">SUM(P1157:P1168)</f>
        <v>127513.86666666658</v>
      </c>
      <c r="Q1156" s="42">
        <f t="shared" si="205"/>
        <v>130165</v>
      </c>
      <c r="R1156" s="42">
        <f t="shared" si="205"/>
        <v>128423</v>
      </c>
      <c r="S1156" s="42">
        <f t="shared" si="205"/>
        <v>131099</v>
      </c>
      <c r="T1156" s="42">
        <f t="shared" si="205"/>
        <v>134528</v>
      </c>
      <c r="U1156" s="42">
        <f t="shared" si="205"/>
        <v>139803</v>
      </c>
      <c r="V1156" s="42">
        <f t="shared" si="205"/>
        <v>146293</v>
      </c>
      <c r="W1156" s="42">
        <f t="shared" si="205"/>
        <v>148441</v>
      </c>
      <c r="X1156" s="42">
        <f t="shared" si="205"/>
        <v>143284</v>
      </c>
      <c r="Y1156" s="42">
        <f t="shared" si="205"/>
        <v>151434</v>
      </c>
      <c r="Z1156" s="42">
        <f t="shared" si="205"/>
        <v>147964</v>
      </c>
      <c r="AA1156" s="42">
        <f t="shared" si="205"/>
        <v>138949</v>
      </c>
      <c r="AB1156" s="42">
        <f t="shared" si="205"/>
        <v>152965</v>
      </c>
      <c r="AC1156" s="42">
        <f t="shared" si="205"/>
        <v>147407</v>
      </c>
      <c r="AD1156" s="42">
        <f t="shared" si="205"/>
        <v>0</v>
      </c>
      <c r="AE1156" s="42">
        <f t="shared" si="205"/>
        <v>0</v>
      </c>
      <c r="AF1156" s="42">
        <f t="shared" si="205"/>
        <v>0</v>
      </c>
      <c r="AG1156" s="42">
        <f t="shared" si="205"/>
        <v>0</v>
      </c>
      <c r="AH1156" s="42">
        <f t="shared" si="205"/>
        <v>0</v>
      </c>
      <c r="AI1156" s="42">
        <f t="shared" si="205"/>
        <v>0</v>
      </c>
      <c r="AJ1156" s="42">
        <f t="shared" si="205"/>
        <v>0</v>
      </c>
      <c r="AK1156" s="42">
        <f t="shared" si="205"/>
        <v>0</v>
      </c>
    </row>
    <row r="1157" spans="3:37" x14ac:dyDescent="0.25">
      <c r="D1157" s="4" t="s">
        <v>244</v>
      </c>
      <c r="H1157" t="s">
        <v>538</v>
      </c>
      <c r="J1157" s="47"/>
      <c r="K1157" s="47"/>
      <c r="L1157" s="47"/>
      <c r="M1157" s="47"/>
      <c r="N1157" s="47"/>
      <c r="P1157" s="123">
        <f t="shared" ref="P1157:P1163" si="206">_xlfn.FORECAST.LINEAR(P$2,$Q1157:$Z1157,$Q$2:$Z$2)</f>
        <v>9789.7999999999884</v>
      </c>
      <c r="Q1157" s="117">
        <v>10426</v>
      </c>
      <c r="R1157" s="117">
        <v>10554</v>
      </c>
      <c r="S1157" s="117">
        <v>9901</v>
      </c>
      <c r="T1157" s="117">
        <v>10308</v>
      </c>
      <c r="U1157" s="117">
        <v>10919</v>
      </c>
      <c r="V1157" s="117">
        <v>11375</v>
      </c>
      <c r="W1157" s="117">
        <v>11982</v>
      </c>
      <c r="X1157" s="117">
        <v>10267</v>
      </c>
      <c r="Y1157" s="117">
        <v>12684</v>
      </c>
      <c r="Z1157" s="39">
        <v>12195</v>
      </c>
      <c r="AA1157" s="39">
        <v>11996</v>
      </c>
      <c r="AB1157" s="117">
        <v>12308</v>
      </c>
      <c r="AC1157" s="117">
        <v>12118</v>
      </c>
    </row>
    <row r="1158" spans="3:37" x14ac:dyDescent="0.25">
      <c r="D1158" s="4" t="s">
        <v>245</v>
      </c>
      <c r="H1158" t="s">
        <v>538</v>
      </c>
      <c r="J1158" s="47"/>
      <c r="K1158" s="47"/>
      <c r="L1158" s="47"/>
      <c r="M1158" s="47"/>
      <c r="N1158" s="47"/>
      <c r="P1158" s="123">
        <f t="shared" si="206"/>
        <v>10365.399999999965</v>
      </c>
      <c r="Q1158" s="117">
        <v>10696</v>
      </c>
      <c r="R1158" s="117">
        <v>10607</v>
      </c>
      <c r="S1158" s="117">
        <v>10485</v>
      </c>
      <c r="T1158" s="117">
        <v>10988</v>
      </c>
      <c r="U1158" s="117">
        <v>11712</v>
      </c>
      <c r="V1158" s="117">
        <v>12195</v>
      </c>
      <c r="W1158" s="117">
        <v>12489</v>
      </c>
      <c r="X1158" s="117">
        <v>10434</v>
      </c>
      <c r="Y1158" s="117">
        <v>12986</v>
      </c>
      <c r="Z1158" s="117">
        <v>11949</v>
      </c>
      <c r="AA1158" s="39">
        <v>12548</v>
      </c>
      <c r="AB1158" s="117">
        <v>12863</v>
      </c>
      <c r="AC1158" s="117">
        <v>13402</v>
      </c>
    </row>
    <row r="1159" spans="3:37" x14ac:dyDescent="0.25">
      <c r="D1159" s="4" t="s">
        <v>246</v>
      </c>
      <c r="H1159" t="s">
        <v>538</v>
      </c>
      <c r="J1159" s="47"/>
      <c r="K1159" s="47"/>
      <c r="L1159" s="47"/>
      <c r="M1159" s="47"/>
      <c r="N1159" s="47"/>
      <c r="P1159" s="123">
        <f t="shared" si="206"/>
        <v>9878.2000000000116</v>
      </c>
      <c r="Q1159" s="117">
        <v>10391</v>
      </c>
      <c r="R1159" s="117">
        <v>10297</v>
      </c>
      <c r="S1159" s="117">
        <v>9997</v>
      </c>
      <c r="T1159" s="117">
        <v>10539</v>
      </c>
      <c r="U1159" s="117">
        <v>11163</v>
      </c>
      <c r="V1159" s="117">
        <v>11724</v>
      </c>
      <c r="W1159" s="117">
        <v>12320</v>
      </c>
      <c r="X1159" s="117">
        <v>9280</v>
      </c>
      <c r="Y1159" s="117">
        <v>12370</v>
      </c>
      <c r="Z1159" s="117">
        <v>12431</v>
      </c>
      <c r="AA1159" s="39">
        <v>9389</v>
      </c>
      <c r="AB1159" s="117">
        <v>12864</v>
      </c>
      <c r="AC1159" s="117">
        <v>12924</v>
      </c>
    </row>
    <row r="1160" spans="3:37" x14ac:dyDescent="0.25">
      <c r="D1160" s="4" t="s">
        <v>247</v>
      </c>
      <c r="H1160" t="s">
        <v>538</v>
      </c>
      <c r="J1160" s="47"/>
      <c r="K1160" s="47"/>
      <c r="L1160" s="47"/>
      <c r="M1160" s="47"/>
      <c r="N1160" s="47"/>
      <c r="P1160" s="123">
        <f t="shared" si="206"/>
        <v>6577.3999999999651</v>
      </c>
      <c r="Q1160" s="117">
        <v>6952</v>
      </c>
      <c r="R1160" s="117">
        <v>6503</v>
      </c>
      <c r="S1160" s="117">
        <v>7429</v>
      </c>
      <c r="T1160" s="117">
        <v>7617</v>
      </c>
      <c r="U1160" s="117">
        <v>8032</v>
      </c>
      <c r="V1160" s="117">
        <v>8171</v>
      </c>
      <c r="W1160" s="117">
        <v>8720</v>
      </c>
      <c r="X1160" s="117">
        <v>8495</v>
      </c>
      <c r="Y1160" s="117">
        <v>9179</v>
      </c>
      <c r="Z1160" s="117">
        <v>8505</v>
      </c>
      <c r="AA1160" s="39">
        <v>5727</v>
      </c>
      <c r="AB1160" s="39">
        <v>9357</v>
      </c>
      <c r="AC1160" s="117">
        <v>8753</v>
      </c>
    </row>
    <row r="1161" spans="3:37" x14ac:dyDescent="0.25">
      <c r="D1161" s="4" t="s">
        <v>248</v>
      </c>
      <c r="H1161" t="s">
        <v>538</v>
      </c>
      <c r="J1161" s="47"/>
      <c r="K1161" s="47"/>
      <c r="L1161" s="47"/>
      <c r="M1161" s="47"/>
      <c r="N1161" s="47"/>
      <c r="P1161" s="123">
        <f t="shared" si="206"/>
        <v>8499.8666666665813</v>
      </c>
      <c r="Q1161" s="117">
        <v>8992</v>
      </c>
      <c r="R1161" s="117">
        <v>8752</v>
      </c>
      <c r="S1161" s="117">
        <v>9096</v>
      </c>
      <c r="T1161" s="117">
        <v>9550</v>
      </c>
      <c r="U1161" s="117">
        <v>9691</v>
      </c>
      <c r="V1161" s="117">
        <v>10651</v>
      </c>
      <c r="W1161" s="117">
        <v>11274</v>
      </c>
      <c r="X1161" s="117">
        <v>10773</v>
      </c>
      <c r="Y1161" s="117">
        <v>10928</v>
      </c>
      <c r="Z1161" s="117">
        <v>10884</v>
      </c>
      <c r="AA1161" s="39">
        <v>8368</v>
      </c>
      <c r="AB1161" s="39">
        <v>11559</v>
      </c>
      <c r="AC1161" s="117">
        <v>10569</v>
      </c>
    </row>
    <row r="1162" spans="3:37" x14ac:dyDescent="0.25">
      <c r="D1162" s="4" t="s">
        <v>249</v>
      </c>
      <c r="H1162" t="s">
        <v>538</v>
      </c>
      <c r="J1162" s="47"/>
      <c r="K1162" s="47"/>
      <c r="L1162" s="47"/>
      <c r="M1162" s="47"/>
      <c r="N1162" s="47"/>
      <c r="P1162" s="123">
        <f t="shared" si="206"/>
        <v>12129.133333333419</v>
      </c>
      <c r="Q1162" s="117">
        <v>12796</v>
      </c>
      <c r="R1162" s="117">
        <v>12491</v>
      </c>
      <c r="S1162" s="117">
        <v>12924</v>
      </c>
      <c r="T1162" s="117">
        <v>13263</v>
      </c>
      <c r="U1162" s="117">
        <v>13206</v>
      </c>
      <c r="V1162" s="117">
        <v>14507</v>
      </c>
      <c r="W1162" s="117">
        <v>15014</v>
      </c>
      <c r="X1162" s="117">
        <v>14777</v>
      </c>
      <c r="Y1162" s="117">
        <v>15064</v>
      </c>
      <c r="Z1162" s="117">
        <v>14931</v>
      </c>
      <c r="AA1162" s="39">
        <v>12458</v>
      </c>
      <c r="AB1162" s="39">
        <v>15705</v>
      </c>
      <c r="AC1162" s="117">
        <v>13888</v>
      </c>
    </row>
    <row r="1163" spans="3:37" x14ac:dyDescent="0.25">
      <c r="D1163" s="4" t="s">
        <v>250</v>
      </c>
      <c r="H1163" t="s">
        <v>538</v>
      </c>
      <c r="J1163" s="47"/>
      <c r="K1163" s="47"/>
      <c r="L1163" s="47"/>
      <c r="M1163" s="47"/>
      <c r="N1163" s="47"/>
      <c r="P1163" s="123">
        <f t="shared" si="206"/>
        <v>14999.066666666651</v>
      </c>
      <c r="Q1163" s="117">
        <v>15165</v>
      </c>
      <c r="R1163" s="117">
        <v>14926</v>
      </c>
      <c r="S1163" s="117">
        <v>15383</v>
      </c>
      <c r="T1163" s="117">
        <v>15652</v>
      </c>
      <c r="U1163" s="117">
        <v>16076</v>
      </c>
      <c r="V1163" s="117">
        <v>16514</v>
      </c>
      <c r="W1163" s="117">
        <v>16161</v>
      </c>
      <c r="X1163" s="117">
        <v>16361</v>
      </c>
      <c r="Y1163" s="117">
        <v>16667</v>
      </c>
      <c r="Z1163" s="117">
        <v>16031</v>
      </c>
      <c r="AA1163" s="39">
        <v>15629</v>
      </c>
      <c r="AB1163" s="39">
        <v>16147</v>
      </c>
      <c r="AC1163" s="117">
        <v>15505</v>
      </c>
    </row>
    <row r="1164" spans="3:37" x14ac:dyDescent="0.25">
      <c r="D1164" s="4" t="s">
        <v>251</v>
      </c>
      <c r="H1164" t="s">
        <v>538</v>
      </c>
      <c r="J1164" s="47"/>
      <c r="K1164" s="47"/>
      <c r="L1164" s="47"/>
      <c r="M1164" s="47"/>
      <c r="N1164" s="47"/>
      <c r="P1164" s="117">
        <v>14016</v>
      </c>
      <c r="Q1164" s="117">
        <v>14719</v>
      </c>
      <c r="R1164" s="117">
        <v>14643</v>
      </c>
      <c r="S1164" s="117">
        <v>15119</v>
      </c>
      <c r="T1164" s="117">
        <v>15005</v>
      </c>
      <c r="U1164" s="117">
        <v>15270</v>
      </c>
      <c r="V1164" s="117">
        <v>15983</v>
      </c>
      <c r="W1164" s="117">
        <v>15579</v>
      </c>
      <c r="X1164" s="124">
        <f>AVERAGE(W1164,Y1164)</f>
        <v>16337</v>
      </c>
      <c r="Y1164" s="118">
        <v>17095</v>
      </c>
      <c r="Z1164" s="117">
        <v>15686</v>
      </c>
      <c r="AA1164" s="39">
        <v>15198</v>
      </c>
      <c r="AB1164" s="39">
        <v>15839</v>
      </c>
      <c r="AC1164" s="117">
        <v>15222</v>
      </c>
    </row>
    <row r="1165" spans="3:37" x14ac:dyDescent="0.25">
      <c r="D1165" s="4" t="s">
        <v>252</v>
      </c>
      <c r="H1165" t="s">
        <v>538</v>
      </c>
      <c r="J1165" s="47"/>
      <c r="K1165" s="47"/>
      <c r="L1165" s="47"/>
      <c r="M1165" s="47"/>
      <c r="N1165" s="47"/>
      <c r="P1165" s="117">
        <v>12573</v>
      </c>
      <c r="Q1165" s="117">
        <v>12432</v>
      </c>
      <c r="R1165" s="117">
        <v>12304</v>
      </c>
      <c r="S1165" s="117">
        <v>12810</v>
      </c>
      <c r="T1165" s="117">
        <v>12470</v>
      </c>
      <c r="U1165" s="117">
        <v>13748</v>
      </c>
      <c r="V1165" s="117">
        <v>13807</v>
      </c>
      <c r="W1165" s="117">
        <v>13854</v>
      </c>
      <c r="X1165" s="117">
        <v>14043</v>
      </c>
      <c r="Y1165" s="117">
        <v>13381</v>
      </c>
      <c r="Z1165" s="117">
        <v>14015</v>
      </c>
      <c r="AA1165" s="39">
        <v>14291</v>
      </c>
      <c r="AB1165" s="39">
        <v>14178</v>
      </c>
      <c r="AC1165" s="117">
        <v>13621</v>
      </c>
    </row>
    <row r="1166" spans="3:37" x14ac:dyDescent="0.25">
      <c r="D1166" s="4" t="s">
        <v>253</v>
      </c>
      <c r="H1166" t="s">
        <v>538</v>
      </c>
      <c r="J1166" s="47"/>
      <c r="K1166" s="47"/>
      <c r="L1166" s="47"/>
      <c r="M1166" s="47"/>
      <c r="N1166" s="47"/>
      <c r="P1166" s="117">
        <v>9532</v>
      </c>
      <c r="Q1166" s="117">
        <v>9260</v>
      </c>
      <c r="R1166" s="117">
        <v>9339</v>
      </c>
      <c r="S1166" s="117">
        <v>9559</v>
      </c>
      <c r="T1166" s="117">
        <v>9811</v>
      </c>
      <c r="U1166" s="117">
        <v>10405</v>
      </c>
      <c r="V1166" s="117">
        <v>10864</v>
      </c>
      <c r="W1166" s="117">
        <v>10972</v>
      </c>
      <c r="X1166" s="117">
        <v>11241</v>
      </c>
      <c r="Y1166" s="117">
        <v>10751</v>
      </c>
      <c r="Z1166" s="117">
        <v>10965</v>
      </c>
      <c r="AA1166" s="39">
        <v>11988</v>
      </c>
      <c r="AB1166" s="39">
        <v>11282</v>
      </c>
      <c r="AC1166" s="117">
        <v>11121</v>
      </c>
    </row>
    <row r="1167" spans="3:37" x14ac:dyDescent="0.25">
      <c r="D1167" s="4" t="s">
        <v>254</v>
      </c>
      <c r="H1167" t="s">
        <v>538</v>
      </c>
      <c r="J1167" s="47"/>
      <c r="K1167" s="47"/>
      <c r="L1167" s="47"/>
      <c r="M1167" s="47"/>
      <c r="N1167" s="47"/>
      <c r="P1167" s="117">
        <v>8166</v>
      </c>
      <c r="Q1167" s="117">
        <v>7429</v>
      </c>
      <c r="R1167" s="117">
        <v>7474</v>
      </c>
      <c r="S1167" s="117">
        <v>8073</v>
      </c>
      <c r="T1167" s="117">
        <v>8202</v>
      </c>
      <c r="U1167" s="117">
        <v>8275</v>
      </c>
      <c r="V1167" s="117">
        <v>9036</v>
      </c>
      <c r="W1167" s="117">
        <v>9188</v>
      </c>
      <c r="X1167" s="117">
        <v>9208</v>
      </c>
      <c r="Y1167" s="118">
        <v>8867</v>
      </c>
      <c r="Z1167" s="117">
        <v>8767</v>
      </c>
      <c r="AA1167" s="39">
        <v>8915</v>
      </c>
      <c r="AB1167" s="39">
        <v>8981</v>
      </c>
      <c r="AC1167" s="117">
        <v>8670</v>
      </c>
    </row>
    <row r="1168" spans="3:37" x14ac:dyDescent="0.25">
      <c r="D1168" s="4" t="s">
        <v>255</v>
      </c>
      <c r="H1168" t="s">
        <v>538</v>
      </c>
      <c r="J1168" s="47"/>
      <c r="K1168" s="47"/>
      <c r="L1168" s="47"/>
      <c r="M1168" s="47"/>
      <c r="N1168" s="47"/>
      <c r="P1168" s="117">
        <v>10988</v>
      </c>
      <c r="Q1168" s="117">
        <v>10907</v>
      </c>
      <c r="R1168" s="117">
        <v>10533</v>
      </c>
      <c r="S1168" s="117">
        <v>10323</v>
      </c>
      <c r="T1168" s="117">
        <v>11123</v>
      </c>
      <c r="U1168" s="117">
        <v>11306</v>
      </c>
      <c r="V1168" s="117">
        <v>11466</v>
      </c>
      <c r="W1168" s="117">
        <v>10888</v>
      </c>
      <c r="X1168" s="117">
        <v>12068</v>
      </c>
      <c r="Y1168" s="118">
        <v>11462</v>
      </c>
      <c r="Z1168" s="117">
        <v>11605</v>
      </c>
      <c r="AA1168" s="39">
        <v>12442</v>
      </c>
      <c r="AB1168" s="39">
        <v>11882</v>
      </c>
      <c r="AC1168" s="117">
        <v>11614</v>
      </c>
    </row>
    <row r="1169" spans="1:37" s="2" customFormat="1" x14ac:dyDescent="0.25">
      <c r="B1169" s="3"/>
      <c r="J1169" s="48"/>
      <c r="K1169" s="48"/>
      <c r="L1169" s="48"/>
      <c r="M1169" s="48"/>
      <c r="N1169" s="48"/>
    </row>
    <row r="1170" spans="1:37" s="28" customFormat="1" ht="17.25" x14ac:dyDescent="0.3">
      <c r="A1170" s="28" t="s">
        <v>544</v>
      </c>
    </row>
    <row r="1171" spans="1:37" x14ac:dyDescent="0.25">
      <c r="B1171" s="29" t="s">
        <v>3</v>
      </c>
      <c r="C1171" t="s">
        <v>419</v>
      </c>
    </row>
    <row r="1172" spans="1:37" x14ac:dyDescent="0.25">
      <c r="B1172" s="29" t="s">
        <v>10</v>
      </c>
      <c r="C1172" s="263" t="s">
        <v>545</v>
      </c>
    </row>
    <row r="1173" spans="1:37" x14ac:dyDescent="0.25">
      <c r="B1173" s="29" t="s">
        <v>14</v>
      </c>
    </row>
    <row r="1174" spans="1:37" x14ac:dyDescent="0.25">
      <c r="B1174" s="29" t="s">
        <v>17</v>
      </c>
    </row>
    <row r="1175" spans="1:37" s="25" customFormat="1" ht="15.75" thickBot="1" x14ac:dyDescent="0.3">
      <c r="B1175" s="30" t="s">
        <v>19</v>
      </c>
      <c r="C1175" s="25" t="s">
        <v>546</v>
      </c>
    </row>
    <row r="1176" spans="1:37" s="8" customFormat="1" ht="15.75" thickTop="1" x14ac:dyDescent="0.25">
      <c r="B1176" s="29" t="s">
        <v>21</v>
      </c>
      <c r="C1176" s="8" t="s">
        <v>547</v>
      </c>
      <c r="I1176" s="42"/>
      <c r="J1176" s="42"/>
      <c r="K1176" s="42"/>
      <c r="L1176" s="42"/>
      <c r="M1176" s="42"/>
      <c r="N1176" s="42"/>
      <c r="O1176" s="42"/>
      <c r="P1176" s="42"/>
      <c r="Q1176" s="42"/>
      <c r="R1176" s="42"/>
      <c r="S1176" s="42"/>
      <c r="T1176" s="42"/>
      <c r="U1176" s="42"/>
      <c r="V1176" s="42"/>
      <c r="W1176" s="42"/>
      <c r="X1176" s="42"/>
      <c r="Y1176" s="42"/>
      <c r="Z1176" s="42"/>
      <c r="AA1176" s="42"/>
      <c r="AB1176" s="42"/>
      <c r="AC1176" s="42"/>
      <c r="AD1176" s="42"/>
      <c r="AE1176" s="42"/>
      <c r="AF1176" s="42"/>
      <c r="AG1176" s="42"/>
      <c r="AH1176" s="42"/>
      <c r="AI1176" s="42"/>
      <c r="AJ1176" s="42"/>
      <c r="AK1176" s="42"/>
    </row>
    <row r="1177" spans="1:37" s="8" customFormat="1" x14ac:dyDescent="0.25">
      <c r="B1177" s="29"/>
      <c r="D1177" s="4" t="s">
        <v>250</v>
      </c>
      <c r="E1177" s="4"/>
      <c r="F1177" s="4"/>
      <c r="I1177" s="42"/>
      <c r="J1177" s="42"/>
      <c r="K1177" s="42"/>
      <c r="L1177" s="42"/>
      <c r="M1177" s="42"/>
      <c r="N1177" s="42"/>
      <c r="O1177" s="42"/>
      <c r="P1177" s="42"/>
      <c r="Q1177" s="42"/>
      <c r="R1177" s="42"/>
      <c r="S1177" s="42"/>
      <c r="T1177" s="42"/>
      <c r="U1177" s="42"/>
      <c r="V1177" s="42"/>
      <c r="W1177" s="42"/>
      <c r="X1177" s="42"/>
      <c r="Y1177" s="42"/>
      <c r="Z1177" s="42"/>
      <c r="AA1177" s="42"/>
      <c r="AB1177" s="42"/>
      <c r="AC1177" s="42"/>
      <c r="AD1177" s="42"/>
      <c r="AE1177" s="42"/>
      <c r="AF1177" s="42"/>
      <c r="AG1177" s="42"/>
      <c r="AH1177" s="42"/>
      <c r="AI1177" s="42"/>
      <c r="AJ1177" s="42"/>
      <c r="AK1177" s="42"/>
    </row>
    <row r="1178" spans="1:37" s="8" customFormat="1" x14ac:dyDescent="0.25">
      <c r="B1178" s="29"/>
      <c r="D1178" s="4"/>
      <c r="E1178" s="4" t="s">
        <v>548</v>
      </c>
      <c r="F1178" s="4"/>
      <c r="H1178" s="4" t="s">
        <v>549</v>
      </c>
      <c r="I1178" s="42"/>
      <c r="J1178" s="42"/>
      <c r="K1178" s="42"/>
      <c r="L1178" s="42"/>
      <c r="M1178" s="42"/>
      <c r="N1178" s="42"/>
      <c r="O1178" s="42"/>
      <c r="P1178" s="42"/>
      <c r="Q1178" s="42"/>
      <c r="R1178" s="42"/>
      <c r="S1178" s="42"/>
      <c r="T1178" s="42"/>
      <c r="U1178" s="42"/>
      <c r="V1178" s="42"/>
      <c r="W1178" s="42"/>
      <c r="X1178" s="42"/>
      <c r="Y1178" s="42"/>
      <c r="Z1178" s="42"/>
      <c r="AA1178" s="42"/>
      <c r="AB1178" s="59">
        <v>46</v>
      </c>
      <c r="AC1178" s="42"/>
      <c r="AD1178" s="42"/>
      <c r="AE1178" s="42"/>
      <c r="AF1178" s="42"/>
      <c r="AG1178" s="42"/>
      <c r="AH1178" s="42"/>
      <c r="AI1178" s="42"/>
      <c r="AJ1178" s="42"/>
      <c r="AK1178" s="42"/>
    </row>
    <row r="1179" spans="1:37" s="8" customFormat="1" x14ac:dyDescent="0.25">
      <c r="B1179" s="29"/>
      <c r="D1179" s="4"/>
      <c r="E1179" s="4" t="s">
        <v>550</v>
      </c>
      <c r="F1179" s="4"/>
      <c r="H1179" s="4" t="s">
        <v>549</v>
      </c>
      <c r="I1179" s="42"/>
      <c r="J1179" s="42"/>
      <c r="K1179" s="42"/>
      <c r="L1179" s="42"/>
      <c r="M1179" s="42"/>
      <c r="N1179" s="42"/>
      <c r="O1179" s="42"/>
      <c r="P1179" s="42"/>
      <c r="Q1179" s="42"/>
      <c r="R1179" s="42"/>
      <c r="S1179" s="42"/>
      <c r="T1179" s="42"/>
      <c r="U1179" s="42"/>
      <c r="V1179" s="42"/>
      <c r="W1179" s="42"/>
      <c r="X1179" s="42"/>
      <c r="Y1179" s="42"/>
      <c r="Z1179" s="42"/>
      <c r="AA1179" s="42"/>
      <c r="AB1179" s="42"/>
      <c r="AC1179" s="42"/>
      <c r="AD1179" s="42"/>
      <c r="AE1179" s="42"/>
      <c r="AF1179" s="42"/>
      <c r="AG1179" s="42"/>
      <c r="AH1179" s="42"/>
      <c r="AI1179" s="42"/>
      <c r="AJ1179" s="42"/>
      <c r="AK1179" s="42"/>
    </row>
    <row r="1180" spans="1:37" s="8" customFormat="1" x14ac:dyDescent="0.25">
      <c r="B1180" s="29"/>
      <c r="D1180" s="4" t="s">
        <v>244</v>
      </c>
      <c r="E1180" s="4"/>
      <c r="F1180" s="4"/>
      <c r="H1180" s="4"/>
      <c r="I1180" s="42"/>
      <c r="J1180" s="42"/>
      <c r="K1180" s="42"/>
      <c r="L1180" s="42"/>
      <c r="M1180" s="42"/>
      <c r="N1180" s="42"/>
      <c r="O1180" s="42"/>
      <c r="P1180" s="42"/>
      <c r="Q1180" s="42"/>
      <c r="R1180" s="42"/>
      <c r="S1180" s="42"/>
      <c r="T1180" s="42"/>
      <c r="U1180" s="42"/>
      <c r="V1180" s="42"/>
      <c r="W1180" s="42"/>
      <c r="X1180" s="42"/>
      <c r="Y1180" s="42"/>
      <c r="Z1180" s="42"/>
      <c r="AA1180" s="42"/>
      <c r="AB1180" s="42"/>
      <c r="AC1180" s="42"/>
      <c r="AD1180" s="42"/>
      <c r="AE1180" s="42"/>
      <c r="AF1180" s="42"/>
      <c r="AG1180" s="42"/>
      <c r="AH1180" s="42"/>
      <c r="AI1180" s="42"/>
      <c r="AJ1180" s="42"/>
      <c r="AK1180" s="42"/>
    </row>
    <row r="1181" spans="1:37" s="8" customFormat="1" x14ac:dyDescent="0.25">
      <c r="B1181" s="29"/>
      <c r="D1181" s="4"/>
      <c r="E1181" s="4" t="s">
        <v>548</v>
      </c>
      <c r="F1181" s="4"/>
      <c r="H1181" s="4" t="s">
        <v>549</v>
      </c>
      <c r="I1181" s="42"/>
      <c r="J1181" s="42"/>
      <c r="K1181" s="42"/>
      <c r="L1181" s="42"/>
      <c r="M1181" s="42"/>
      <c r="N1181" s="42"/>
      <c r="O1181" s="42"/>
      <c r="P1181" s="42"/>
      <c r="Q1181" s="42"/>
      <c r="R1181" s="42"/>
      <c r="S1181" s="42"/>
      <c r="T1181" s="42"/>
      <c r="U1181" s="42"/>
      <c r="V1181" s="42"/>
      <c r="W1181" s="42"/>
      <c r="X1181" s="42"/>
      <c r="Y1181" s="42"/>
      <c r="Z1181" s="42"/>
      <c r="AA1181" s="42"/>
      <c r="AB1181" s="42"/>
      <c r="AC1181" s="42"/>
      <c r="AD1181" s="42"/>
      <c r="AE1181" s="42"/>
      <c r="AF1181" s="42"/>
      <c r="AG1181" s="42"/>
      <c r="AH1181" s="42"/>
      <c r="AI1181" s="42"/>
      <c r="AJ1181" s="42"/>
      <c r="AK1181" s="42"/>
    </row>
    <row r="1182" spans="1:37" s="8" customFormat="1" x14ac:dyDescent="0.25">
      <c r="B1182" s="29"/>
      <c r="D1182" s="4"/>
      <c r="E1182" s="4" t="s">
        <v>550</v>
      </c>
      <c r="F1182" s="4"/>
      <c r="H1182" s="4" t="s">
        <v>549</v>
      </c>
      <c r="I1182" s="42"/>
      <c r="J1182" s="42"/>
      <c r="K1182" s="42"/>
      <c r="L1182" s="42"/>
      <c r="M1182" s="42"/>
      <c r="N1182" s="42"/>
      <c r="O1182" s="42"/>
      <c r="P1182" s="42"/>
      <c r="Q1182" s="42"/>
      <c r="R1182" s="42"/>
      <c r="S1182" s="42"/>
      <c r="T1182" s="42"/>
      <c r="U1182" s="42"/>
      <c r="V1182" s="42"/>
      <c r="W1182" s="42"/>
      <c r="X1182" s="42"/>
      <c r="Y1182" s="42"/>
      <c r="Z1182" s="42"/>
      <c r="AA1182" s="42"/>
      <c r="AB1182" s="42"/>
      <c r="AC1182" s="42"/>
      <c r="AD1182" s="42"/>
      <c r="AE1182" s="42"/>
      <c r="AF1182" s="42"/>
      <c r="AG1182" s="42"/>
      <c r="AH1182" s="42"/>
      <c r="AI1182" s="42"/>
      <c r="AJ1182" s="42"/>
      <c r="AK1182" s="42"/>
    </row>
    <row r="1183" spans="1:37" s="8" customFormat="1" x14ac:dyDescent="0.25">
      <c r="B1183" s="29"/>
      <c r="C1183" s="8" t="s">
        <v>551</v>
      </c>
      <c r="F1183" s="4"/>
      <c r="H1183" s="4"/>
      <c r="I1183" s="42"/>
      <c r="J1183" s="42"/>
      <c r="K1183" s="42"/>
      <c r="L1183" s="42"/>
      <c r="M1183" s="42"/>
      <c r="N1183" s="42"/>
      <c r="O1183" s="42"/>
      <c r="P1183" s="42"/>
      <c r="Q1183" s="42"/>
      <c r="R1183" s="42"/>
      <c r="S1183" s="42"/>
      <c r="T1183" s="42"/>
      <c r="U1183" s="42"/>
      <c r="V1183" s="42"/>
      <c r="W1183" s="42"/>
      <c r="X1183" s="42"/>
      <c r="Y1183" s="42"/>
      <c r="Z1183" s="42"/>
      <c r="AA1183" s="42"/>
      <c r="AB1183" s="42"/>
      <c r="AC1183" s="42"/>
      <c r="AD1183" s="42"/>
      <c r="AE1183" s="42"/>
      <c r="AF1183" s="42"/>
      <c r="AG1183" s="42"/>
      <c r="AH1183" s="42"/>
      <c r="AI1183" s="42"/>
      <c r="AJ1183" s="42"/>
      <c r="AK1183" s="42"/>
    </row>
    <row r="1184" spans="1:37" s="8" customFormat="1" x14ac:dyDescent="0.25">
      <c r="B1184" s="29"/>
      <c r="D1184" s="4" t="s">
        <v>250</v>
      </c>
      <c r="E1184" s="4"/>
      <c r="F1184" s="4"/>
      <c r="I1184" s="42"/>
      <c r="J1184" s="42"/>
      <c r="K1184" s="42"/>
      <c r="L1184" s="42"/>
      <c r="M1184" s="42"/>
      <c r="N1184" s="42"/>
      <c r="O1184" s="42"/>
      <c r="P1184" s="42"/>
      <c r="Q1184" s="42"/>
      <c r="R1184" s="42"/>
      <c r="S1184" s="42"/>
      <c r="T1184" s="42"/>
      <c r="U1184" s="42"/>
      <c r="V1184" s="42"/>
      <c r="W1184" s="42"/>
      <c r="X1184" s="42"/>
      <c r="Y1184" s="42"/>
      <c r="Z1184" s="42"/>
      <c r="AA1184" s="42"/>
      <c r="AB1184" s="42"/>
      <c r="AC1184" s="42"/>
      <c r="AD1184" s="42"/>
      <c r="AE1184" s="42"/>
      <c r="AF1184" s="42"/>
      <c r="AG1184" s="42"/>
      <c r="AH1184" s="42"/>
      <c r="AI1184" s="42"/>
      <c r="AJ1184" s="42"/>
      <c r="AK1184" s="42"/>
    </row>
    <row r="1185" spans="2:37" s="8" customFormat="1" x14ac:dyDescent="0.25">
      <c r="B1185" s="29"/>
      <c r="D1185" s="4"/>
      <c r="E1185" s="4" t="s">
        <v>548</v>
      </c>
      <c r="F1185" s="4"/>
      <c r="H1185" s="4" t="s">
        <v>549</v>
      </c>
      <c r="I1185" s="42"/>
      <c r="J1185" s="42"/>
      <c r="K1185" s="42"/>
      <c r="L1185" s="42"/>
      <c r="M1185" s="42"/>
      <c r="N1185" s="42"/>
      <c r="O1185" s="42"/>
      <c r="P1185" s="42"/>
      <c r="Q1185" s="42"/>
      <c r="R1185" s="42"/>
      <c r="S1185" s="42"/>
      <c r="T1185" s="42"/>
      <c r="U1185" s="42"/>
      <c r="V1185" s="42"/>
      <c r="W1185" s="42"/>
      <c r="X1185" s="42"/>
      <c r="Y1185" s="42"/>
      <c r="Z1185" s="42"/>
      <c r="AA1185" s="42"/>
      <c r="AB1185" s="59">
        <v>72</v>
      </c>
      <c r="AC1185" s="42"/>
      <c r="AD1185" s="42"/>
      <c r="AE1185" s="42"/>
      <c r="AF1185" s="42"/>
      <c r="AG1185" s="42"/>
      <c r="AH1185" s="42"/>
      <c r="AI1185" s="42"/>
      <c r="AJ1185" s="42"/>
      <c r="AK1185" s="42"/>
    </row>
    <row r="1186" spans="2:37" s="8" customFormat="1" x14ac:dyDescent="0.25">
      <c r="B1186" s="29"/>
      <c r="D1186" s="4"/>
      <c r="E1186" s="4" t="s">
        <v>550</v>
      </c>
      <c r="F1186" s="4"/>
      <c r="H1186" s="4" t="s">
        <v>549</v>
      </c>
      <c r="I1186" s="42"/>
      <c r="J1186" s="42"/>
      <c r="K1186" s="42"/>
      <c r="L1186" s="42"/>
      <c r="M1186" s="42"/>
      <c r="N1186" s="42"/>
      <c r="O1186" s="42"/>
      <c r="P1186" s="42"/>
      <c r="Q1186" s="42"/>
      <c r="R1186" s="42"/>
      <c r="S1186" s="42"/>
      <c r="T1186" s="42"/>
      <c r="U1186" s="42"/>
      <c r="V1186" s="42"/>
      <c r="W1186" s="42"/>
      <c r="X1186" s="42"/>
      <c r="Y1186" s="42"/>
      <c r="Z1186" s="42"/>
      <c r="AA1186" s="42"/>
      <c r="AB1186" s="42"/>
      <c r="AC1186" s="42"/>
      <c r="AD1186" s="42"/>
      <c r="AE1186" s="42"/>
      <c r="AF1186" s="42"/>
      <c r="AG1186" s="42"/>
      <c r="AH1186" s="42"/>
      <c r="AI1186" s="42"/>
      <c r="AJ1186" s="42"/>
      <c r="AK1186" s="42"/>
    </row>
    <row r="1187" spans="2:37" s="8" customFormat="1" x14ac:dyDescent="0.25">
      <c r="B1187" s="29"/>
      <c r="D1187" s="4" t="s">
        <v>244</v>
      </c>
      <c r="E1187" s="4"/>
      <c r="F1187" s="4"/>
      <c r="H1187" s="4"/>
      <c r="I1187" s="42"/>
      <c r="J1187" s="42"/>
      <c r="K1187" s="42"/>
      <c r="L1187" s="42"/>
      <c r="M1187" s="42"/>
      <c r="N1187" s="42"/>
      <c r="O1187" s="42"/>
      <c r="P1187" s="42"/>
      <c r="Q1187" s="42"/>
      <c r="R1187" s="42"/>
      <c r="S1187" s="42"/>
      <c r="T1187" s="42"/>
      <c r="U1187" s="42"/>
      <c r="V1187" s="42"/>
      <c r="W1187" s="42"/>
      <c r="X1187" s="42"/>
      <c r="Y1187" s="42"/>
      <c r="Z1187" s="42"/>
      <c r="AA1187" s="42"/>
      <c r="AB1187" s="42"/>
      <c r="AC1187" s="42"/>
      <c r="AD1187" s="42"/>
      <c r="AE1187" s="42"/>
      <c r="AF1187" s="42"/>
      <c r="AG1187" s="42"/>
      <c r="AH1187" s="42"/>
      <c r="AI1187" s="42"/>
      <c r="AJ1187" s="42"/>
      <c r="AK1187" s="42"/>
    </row>
    <row r="1188" spans="2:37" s="8" customFormat="1" x14ac:dyDescent="0.25">
      <c r="B1188" s="29"/>
      <c r="D1188" s="4"/>
      <c r="E1188" s="4" t="s">
        <v>548</v>
      </c>
      <c r="F1188" s="4"/>
      <c r="H1188" s="4" t="s">
        <v>549</v>
      </c>
      <c r="I1188" s="42"/>
      <c r="J1188" s="42"/>
      <c r="K1188" s="42"/>
      <c r="L1188" s="42"/>
      <c r="M1188" s="42"/>
      <c r="N1188" s="42"/>
      <c r="O1188" s="42"/>
      <c r="P1188" s="42"/>
      <c r="Q1188" s="42"/>
      <c r="R1188" s="42"/>
      <c r="S1188" s="42"/>
      <c r="T1188" s="42"/>
      <c r="U1188" s="42"/>
      <c r="V1188" s="42"/>
      <c r="W1188" s="42"/>
      <c r="X1188" s="42"/>
      <c r="Y1188" s="42"/>
      <c r="Z1188" s="42"/>
      <c r="AA1188" s="42"/>
      <c r="AB1188" s="42"/>
      <c r="AC1188" s="42"/>
      <c r="AD1188" s="42"/>
      <c r="AE1188" s="42"/>
      <c r="AF1188" s="42"/>
      <c r="AG1188" s="42"/>
      <c r="AH1188" s="42"/>
      <c r="AI1188" s="42"/>
      <c r="AJ1188" s="42"/>
      <c r="AK1188" s="42"/>
    </row>
    <row r="1189" spans="2:37" s="8" customFormat="1" x14ac:dyDescent="0.25">
      <c r="B1189" s="29"/>
      <c r="D1189" s="4"/>
      <c r="E1189" s="4" t="s">
        <v>550</v>
      </c>
      <c r="F1189" s="4"/>
      <c r="H1189" s="4" t="s">
        <v>549</v>
      </c>
      <c r="I1189" s="42"/>
      <c r="J1189" s="42"/>
      <c r="K1189" s="42"/>
      <c r="L1189" s="42"/>
      <c r="M1189" s="42"/>
      <c r="N1189" s="42"/>
      <c r="O1189" s="42"/>
      <c r="P1189" s="42"/>
      <c r="Q1189" s="42"/>
      <c r="R1189" s="42"/>
      <c r="S1189" s="42"/>
      <c r="T1189" s="42"/>
      <c r="U1189" s="42"/>
      <c r="V1189" s="42"/>
      <c r="W1189" s="42"/>
      <c r="X1189" s="42"/>
      <c r="Y1189" s="42"/>
      <c r="Z1189" s="42"/>
      <c r="AA1189" s="42"/>
      <c r="AB1189" s="42"/>
      <c r="AC1189" s="42"/>
      <c r="AD1189" s="42"/>
      <c r="AE1189" s="42"/>
      <c r="AF1189" s="42"/>
      <c r="AG1189" s="42"/>
      <c r="AH1189" s="42"/>
      <c r="AI1189" s="42"/>
      <c r="AJ1189" s="42"/>
      <c r="AK1189" s="42"/>
    </row>
    <row r="1190" spans="2:37" s="8" customFormat="1" x14ac:dyDescent="0.25">
      <c r="B1190" s="29"/>
      <c r="C1190" s="8" t="s">
        <v>552</v>
      </c>
      <c r="D1190" s="4"/>
      <c r="E1190" s="4"/>
      <c r="F1190" s="4"/>
      <c r="H1190" s="4"/>
      <c r="I1190" s="42"/>
      <c r="J1190" s="42"/>
      <c r="K1190" s="42"/>
      <c r="L1190" s="42"/>
      <c r="M1190" s="42"/>
      <c r="N1190" s="42"/>
      <c r="O1190" s="42"/>
      <c r="P1190" s="42"/>
      <c r="Q1190" s="42"/>
      <c r="R1190" s="42"/>
      <c r="S1190" s="42"/>
      <c r="T1190" s="42"/>
      <c r="U1190" s="42"/>
      <c r="V1190" s="42"/>
      <c r="W1190" s="42"/>
      <c r="X1190" s="42"/>
      <c r="Y1190" s="42"/>
      <c r="Z1190" s="42"/>
      <c r="AA1190" s="42"/>
      <c r="AB1190" s="42"/>
      <c r="AC1190" s="42"/>
      <c r="AD1190" s="42"/>
      <c r="AE1190" s="42"/>
      <c r="AF1190" s="42"/>
      <c r="AG1190" s="42"/>
      <c r="AH1190" s="42"/>
      <c r="AI1190" s="42"/>
      <c r="AJ1190" s="42"/>
      <c r="AK1190" s="42"/>
    </row>
    <row r="1191" spans="2:37" s="8" customFormat="1" x14ac:dyDescent="0.25">
      <c r="B1191" s="29"/>
      <c r="D1191" s="4" t="s">
        <v>250</v>
      </c>
      <c r="E1191" s="4"/>
      <c r="F1191" s="4"/>
      <c r="I1191" s="42"/>
      <c r="J1191" s="42"/>
      <c r="K1191" s="42"/>
      <c r="L1191" s="42"/>
      <c r="M1191" s="42"/>
      <c r="N1191" s="42"/>
      <c r="O1191" s="42"/>
      <c r="P1191" s="42"/>
      <c r="Q1191" s="42"/>
      <c r="R1191" s="42"/>
      <c r="S1191" s="42"/>
      <c r="T1191" s="42"/>
      <c r="U1191" s="42"/>
      <c r="V1191" s="42"/>
      <c r="W1191" s="42"/>
      <c r="X1191" s="42"/>
      <c r="Y1191" s="42"/>
      <c r="Z1191" s="42"/>
      <c r="AA1191" s="42"/>
      <c r="AB1191" s="42"/>
      <c r="AC1191" s="42"/>
      <c r="AD1191" s="42"/>
      <c r="AE1191" s="42"/>
      <c r="AF1191" s="42"/>
      <c r="AG1191" s="42"/>
      <c r="AH1191" s="42"/>
      <c r="AI1191" s="42"/>
      <c r="AJ1191" s="42"/>
      <c r="AK1191" s="42"/>
    </row>
    <row r="1192" spans="2:37" s="8" customFormat="1" x14ac:dyDescent="0.25">
      <c r="B1192" s="29"/>
      <c r="D1192" s="4"/>
      <c r="E1192" s="4" t="s">
        <v>548</v>
      </c>
      <c r="F1192" s="4"/>
      <c r="H1192" s="4" t="s">
        <v>549</v>
      </c>
      <c r="I1192" s="42"/>
      <c r="J1192" s="42"/>
      <c r="K1192" s="42"/>
      <c r="L1192" s="42"/>
      <c r="M1192" s="42"/>
      <c r="N1192" s="42"/>
      <c r="O1192" s="42"/>
      <c r="P1192" s="42"/>
      <c r="Q1192" s="42"/>
      <c r="R1192" s="42"/>
      <c r="S1192" s="42"/>
      <c r="T1192" s="42"/>
      <c r="U1192" s="42"/>
      <c r="V1192" s="42"/>
      <c r="W1192" s="42"/>
      <c r="X1192" s="42"/>
      <c r="Y1192" s="42"/>
      <c r="Z1192" s="42"/>
      <c r="AA1192" s="42"/>
      <c r="AB1192" s="59">
        <v>56</v>
      </c>
      <c r="AC1192" s="42"/>
      <c r="AD1192" s="42"/>
      <c r="AE1192" s="42"/>
      <c r="AF1192" s="42"/>
      <c r="AG1192" s="42"/>
      <c r="AH1192" s="42"/>
      <c r="AI1192" s="42"/>
      <c r="AJ1192" s="42"/>
      <c r="AK1192" s="42"/>
    </row>
    <row r="1193" spans="2:37" s="8" customFormat="1" x14ac:dyDescent="0.25">
      <c r="B1193" s="29"/>
      <c r="D1193" s="4"/>
      <c r="E1193" s="4" t="s">
        <v>550</v>
      </c>
      <c r="F1193" s="4"/>
      <c r="H1193" s="4" t="s">
        <v>549</v>
      </c>
      <c r="I1193" s="42"/>
      <c r="J1193" s="42"/>
      <c r="K1193" s="42"/>
      <c r="L1193" s="42"/>
      <c r="M1193" s="42"/>
      <c r="N1193" s="42"/>
      <c r="O1193" s="42"/>
      <c r="P1193" s="42"/>
      <c r="Q1193" s="42"/>
      <c r="R1193" s="42"/>
      <c r="S1193" s="42"/>
      <c r="T1193" s="42"/>
      <c r="U1193" s="42"/>
      <c r="V1193" s="42"/>
      <c r="W1193" s="42"/>
      <c r="X1193" s="42"/>
      <c r="Y1193" s="42"/>
      <c r="Z1193" s="42"/>
      <c r="AA1193" s="42"/>
      <c r="AB1193" s="42"/>
      <c r="AC1193" s="42"/>
      <c r="AD1193" s="42"/>
      <c r="AE1193" s="42"/>
      <c r="AF1193" s="42"/>
      <c r="AG1193" s="42"/>
      <c r="AH1193" s="42"/>
      <c r="AI1193" s="42"/>
      <c r="AJ1193" s="42"/>
      <c r="AK1193" s="42"/>
    </row>
    <row r="1194" spans="2:37" s="8" customFormat="1" x14ac:dyDescent="0.25">
      <c r="B1194" s="29"/>
      <c r="D1194" s="4" t="s">
        <v>244</v>
      </c>
      <c r="E1194" s="4"/>
      <c r="F1194" s="4"/>
      <c r="H1194" s="4"/>
      <c r="I1194" s="42"/>
      <c r="J1194" s="42"/>
      <c r="K1194" s="42"/>
      <c r="L1194" s="42"/>
      <c r="M1194" s="42"/>
      <c r="N1194" s="42"/>
      <c r="O1194" s="42"/>
      <c r="P1194" s="42"/>
      <c r="Q1194" s="42"/>
      <c r="R1194" s="42"/>
      <c r="S1194" s="42"/>
      <c r="T1194" s="42"/>
      <c r="U1194" s="42"/>
      <c r="V1194" s="42"/>
      <c r="W1194" s="42"/>
      <c r="X1194" s="42"/>
      <c r="Y1194" s="42"/>
      <c r="Z1194" s="42"/>
      <c r="AA1194" s="42"/>
      <c r="AB1194" s="42"/>
      <c r="AC1194" s="42"/>
      <c r="AD1194" s="42"/>
      <c r="AE1194" s="42"/>
      <c r="AF1194" s="42"/>
      <c r="AG1194" s="42"/>
      <c r="AH1194" s="42"/>
      <c r="AI1194" s="42"/>
      <c r="AJ1194" s="42"/>
      <c r="AK1194" s="42"/>
    </row>
    <row r="1195" spans="2:37" s="8" customFormat="1" x14ac:dyDescent="0.25">
      <c r="B1195" s="29"/>
      <c r="D1195" s="4"/>
      <c r="E1195" s="4" t="s">
        <v>548</v>
      </c>
      <c r="F1195" s="4"/>
      <c r="H1195" s="4" t="s">
        <v>549</v>
      </c>
      <c r="I1195" s="42"/>
      <c r="J1195" s="42"/>
      <c r="K1195" s="42"/>
      <c r="L1195" s="42"/>
      <c r="M1195" s="42"/>
      <c r="N1195" s="42"/>
      <c r="O1195" s="42"/>
      <c r="P1195" s="42"/>
      <c r="Q1195" s="42"/>
      <c r="R1195" s="42"/>
      <c r="S1195" s="42"/>
      <c r="T1195" s="42"/>
      <c r="U1195" s="42"/>
      <c r="V1195" s="42"/>
      <c r="W1195" s="42"/>
      <c r="X1195" s="42"/>
      <c r="Y1195" s="42"/>
      <c r="Z1195" s="42"/>
      <c r="AA1195" s="42"/>
      <c r="AB1195" s="42"/>
      <c r="AC1195" s="42"/>
      <c r="AD1195" s="42"/>
      <c r="AE1195" s="42"/>
      <c r="AF1195" s="42"/>
      <c r="AG1195" s="42"/>
      <c r="AH1195" s="42"/>
      <c r="AI1195" s="42"/>
      <c r="AJ1195" s="42"/>
      <c r="AK1195" s="42"/>
    </row>
    <row r="1196" spans="2:37" s="8" customFormat="1" x14ac:dyDescent="0.25">
      <c r="B1196" s="29"/>
      <c r="D1196" s="4"/>
      <c r="E1196" s="4" t="s">
        <v>550</v>
      </c>
      <c r="F1196" s="4"/>
      <c r="H1196" s="4" t="s">
        <v>549</v>
      </c>
      <c r="I1196" s="42"/>
      <c r="J1196" s="42"/>
      <c r="K1196" s="42"/>
      <c r="L1196" s="42"/>
      <c r="M1196" s="42"/>
      <c r="N1196" s="42"/>
      <c r="O1196" s="42"/>
      <c r="P1196" s="42"/>
      <c r="Q1196" s="42"/>
      <c r="R1196" s="42"/>
      <c r="S1196" s="42"/>
      <c r="T1196" s="42"/>
      <c r="U1196" s="42"/>
      <c r="V1196" s="42"/>
      <c r="W1196" s="42"/>
      <c r="X1196" s="42"/>
      <c r="Y1196" s="42"/>
      <c r="Z1196" s="42"/>
      <c r="AA1196" s="42"/>
      <c r="AB1196" s="42"/>
      <c r="AC1196" s="42"/>
      <c r="AD1196" s="42"/>
      <c r="AE1196" s="42"/>
      <c r="AF1196" s="42"/>
      <c r="AG1196" s="42"/>
      <c r="AH1196" s="42"/>
      <c r="AI1196" s="42"/>
      <c r="AJ1196" s="42"/>
      <c r="AK1196" s="42"/>
    </row>
    <row r="1197" spans="2:37" s="8" customFormat="1" x14ac:dyDescent="0.25">
      <c r="B1197" s="29"/>
      <c r="C1197" s="8" t="s">
        <v>553</v>
      </c>
      <c r="F1197" s="4"/>
      <c r="H1197" s="4"/>
      <c r="I1197" s="42"/>
      <c r="J1197" s="42"/>
      <c r="K1197" s="42"/>
      <c r="L1197" s="42"/>
      <c r="M1197" s="42"/>
      <c r="N1197" s="42"/>
      <c r="O1197" s="42"/>
      <c r="P1197" s="42"/>
      <c r="Q1197" s="42"/>
      <c r="R1197" s="42"/>
      <c r="S1197" s="42"/>
      <c r="T1197" s="42"/>
      <c r="U1197" s="42"/>
      <c r="V1197" s="42"/>
      <c r="W1197" s="42"/>
      <c r="X1197" s="42"/>
      <c r="Y1197" s="42"/>
      <c r="Z1197" s="42"/>
      <c r="AA1197" s="42"/>
      <c r="AB1197" s="42"/>
      <c r="AC1197" s="42"/>
      <c r="AD1197" s="42"/>
      <c r="AE1197" s="42"/>
      <c r="AF1197" s="42"/>
      <c r="AG1197" s="42"/>
      <c r="AH1197" s="42"/>
      <c r="AI1197" s="42"/>
      <c r="AJ1197" s="42"/>
      <c r="AK1197" s="42"/>
    </row>
    <row r="1198" spans="2:37" s="8" customFormat="1" x14ac:dyDescent="0.25">
      <c r="B1198" s="29"/>
      <c r="D1198" s="4" t="s">
        <v>250</v>
      </c>
      <c r="E1198" s="4"/>
      <c r="F1198" s="4"/>
      <c r="I1198" s="42"/>
      <c r="J1198" s="42"/>
      <c r="K1198" s="42"/>
      <c r="L1198" s="42"/>
      <c r="M1198" s="42"/>
      <c r="N1198" s="42"/>
      <c r="O1198" s="42"/>
      <c r="P1198" s="42"/>
      <c r="Q1198" s="42"/>
      <c r="R1198" s="42"/>
      <c r="S1198" s="42"/>
      <c r="T1198" s="42"/>
      <c r="U1198" s="42"/>
      <c r="V1198" s="42"/>
      <c r="W1198" s="42"/>
      <c r="X1198" s="42"/>
      <c r="Y1198" s="42"/>
      <c r="Z1198" s="42"/>
      <c r="AA1198" s="42"/>
      <c r="AB1198" s="42"/>
      <c r="AC1198" s="42"/>
      <c r="AD1198" s="42"/>
      <c r="AE1198" s="42"/>
      <c r="AF1198" s="42"/>
      <c r="AG1198" s="42"/>
      <c r="AH1198" s="42"/>
      <c r="AI1198" s="42"/>
      <c r="AJ1198" s="42"/>
      <c r="AK1198" s="42"/>
    </row>
    <row r="1199" spans="2:37" s="8" customFormat="1" x14ac:dyDescent="0.25">
      <c r="B1199" s="29"/>
      <c r="D1199" s="4"/>
      <c r="E1199" s="4" t="s">
        <v>548</v>
      </c>
      <c r="F1199" s="4"/>
      <c r="H1199" s="4" t="s">
        <v>549</v>
      </c>
      <c r="I1199" s="42"/>
      <c r="J1199" s="42"/>
      <c r="K1199" s="42"/>
      <c r="L1199" s="42"/>
      <c r="M1199" s="42"/>
      <c r="N1199" s="42"/>
      <c r="O1199" s="42"/>
      <c r="P1199" s="42"/>
      <c r="Q1199" s="42"/>
      <c r="R1199" s="42"/>
      <c r="S1199" s="42"/>
      <c r="T1199" s="42"/>
      <c r="U1199" s="42"/>
      <c r="V1199" s="42"/>
      <c r="W1199" s="42"/>
      <c r="X1199" s="42"/>
      <c r="Y1199" s="42"/>
      <c r="Z1199" s="42"/>
      <c r="AA1199" s="42"/>
      <c r="AB1199" s="59">
        <v>64</v>
      </c>
      <c r="AC1199" s="42"/>
      <c r="AD1199" s="42"/>
      <c r="AE1199" s="42"/>
      <c r="AF1199" s="42"/>
      <c r="AG1199" s="42"/>
      <c r="AH1199" s="42"/>
      <c r="AI1199" s="42"/>
      <c r="AJ1199" s="42"/>
      <c r="AK1199" s="42"/>
    </row>
    <row r="1200" spans="2:37" s="8" customFormat="1" x14ac:dyDescent="0.25">
      <c r="B1200" s="29"/>
      <c r="D1200" s="4"/>
      <c r="E1200" s="4" t="s">
        <v>550</v>
      </c>
      <c r="F1200" s="4"/>
      <c r="H1200" s="4" t="s">
        <v>549</v>
      </c>
      <c r="I1200" s="42"/>
      <c r="J1200" s="42"/>
      <c r="K1200" s="42"/>
      <c r="L1200" s="42"/>
      <c r="M1200" s="42"/>
      <c r="N1200" s="42"/>
      <c r="O1200" s="42"/>
      <c r="P1200" s="42"/>
      <c r="Q1200" s="42"/>
      <c r="R1200" s="42"/>
      <c r="S1200" s="42"/>
      <c r="T1200" s="42"/>
      <c r="U1200" s="42"/>
      <c r="V1200" s="42"/>
      <c r="W1200" s="42"/>
      <c r="X1200" s="42"/>
      <c r="Y1200" s="42"/>
      <c r="Z1200" s="42"/>
      <c r="AA1200" s="42"/>
      <c r="AB1200" s="42"/>
      <c r="AC1200" s="42"/>
      <c r="AD1200" s="42"/>
      <c r="AE1200" s="42"/>
      <c r="AF1200" s="42"/>
      <c r="AG1200" s="42"/>
      <c r="AH1200" s="42"/>
      <c r="AI1200" s="42"/>
      <c r="AJ1200" s="42"/>
      <c r="AK1200" s="42"/>
    </row>
    <row r="1201" spans="2:37" s="8" customFormat="1" x14ac:dyDescent="0.25">
      <c r="B1201" s="29"/>
      <c r="D1201" s="4" t="s">
        <v>244</v>
      </c>
      <c r="E1201" s="4"/>
      <c r="F1201" s="4"/>
      <c r="H1201" s="4"/>
      <c r="I1201" s="42"/>
      <c r="J1201" s="42"/>
      <c r="K1201" s="42"/>
      <c r="L1201" s="42"/>
      <c r="M1201" s="42"/>
      <c r="N1201" s="42"/>
      <c r="O1201" s="42"/>
      <c r="P1201" s="42"/>
      <c r="Q1201" s="42"/>
      <c r="R1201" s="42"/>
      <c r="S1201" s="42"/>
      <c r="T1201" s="42"/>
      <c r="U1201" s="42"/>
      <c r="V1201" s="42"/>
      <c r="W1201" s="42"/>
      <c r="X1201" s="42"/>
      <c r="Y1201" s="42"/>
      <c r="Z1201" s="42"/>
      <c r="AA1201" s="42"/>
      <c r="AB1201" s="42"/>
      <c r="AC1201" s="42"/>
      <c r="AD1201" s="42"/>
      <c r="AE1201" s="42"/>
      <c r="AF1201" s="42"/>
      <c r="AG1201" s="42"/>
      <c r="AH1201" s="42"/>
      <c r="AI1201" s="42"/>
      <c r="AJ1201" s="42"/>
      <c r="AK1201" s="42"/>
    </row>
    <row r="1202" spans="2:37" s="8" customFormat="1" x14ac:dyDescent="0.25">
      <c r="B1202" s="29"/>
      <c r="D1202" s="4"/>
      <c r="E1202" s="4" t="s">
        <v>548</v>
      </c>
      <c r="F1202" s="4"/>
      <c r="H1202" s="4" t="s">
        <v>549</v>
      </c>
      <c r="I1202" s="42"/>
      <c r="J1202" s="42"/>
      <c r="K1202" s="42"/>
      <c r="L1202" s="42"/>
      <c r="M1202" s="42"/>
      <c r="N1202" s="42"/>
      <c r="O1202" s="42"/>
      <c r="P1202" s="42"/>
      <c r="Q1202" s="42"/>
      <c r="R1202" s="42"/>
      <c r="S1202" s="42"/>
      <c r="T1202" s="42"/>
      <c r="U1202" s="42"/>
      <c r="V1202" s="42"/>
      <c r="W1202" s="42"/>
      <c r="X1202" s="42"/>
      <c r="Y1202" s="42"/>
      <c r="Z1202" s="42"/>
      <c r="AA1202" s="42"/>
      <c r="AB1202" s="42"/>
      <c r="AC1202" s="42"/>
      <c r="AD1202" s="42"/>
      <c r="AE1202" s="42"/>
      <c r="AF1202" s="42"/>
      <c r="AG1202" s="42"/>
      <c r="AH1202" s="42"/>
      <c r="AI1202" s="42"/>
      <c r="AJ1202" s="42"/>
      <c r="AK1202" s="42"/>
    </row>
    <row r="1203" spans="2:37" s="8" customFormat="1" x14ac:dyDescent="0.25">
      <c r="B1203" s="29"/>
      <c r="D1203" s="4"/>
      <c r="E1203" s="4" t="s">
        <v>550</v>
      </c>
      <c r="F1203" s="4"/>
      <c r="H1203" s="4" t="s">
        <v>549</v>
      </c>
      <c r="I1203" s="42"/>
      <c r="J1203" s="42"/>
      <c r="K1203" s="42"/>
      <c r="L1203" s="42"/>
      <c r="M1203" s="42"/>
      <c r="N1203" s="42"/>
      <c r="O1203" s="42"/>
      <c r="P1203" s="42"/>
      <c r="Q1203" s="42"/>
      <c r="R1203" s="42"/>
      <c r="S1203" s="42"/>
      <c r="T1203" s="42"/>
      <c r="U1203" s="42"/>
      <c r="V1203" s="42"/>
      <c r="W1203" s="42"/>
      <c r="X1203" s="42"/>
      <c r="Y1203" s="42"/>
      <c r="Z1203" s="42"/>
      <c r="AA1203" s="42"/>
      <c r="AB1203" s="42"/>
      <c r="AC1203" s="42"/>
      <c r="AD1203" s="42"/>
      <c r="AE1203" s="42"/>
      <c r="AF1203" s="42"/>
      <c r="AG1203" s="42"/>
      <c r="AH1203" s="42"/>
      <c r="AI1203" s="42"/>
      <c r="AJ1203" s="42"/>
      <c r="AK1203" s="42"/>
    </row>
    <row r="1204" spans="2:37" s="8" customFormat="1" x14ac:dyDescent="0.25">
      <c r="B1204" s="29"/>
      <c r="C1204" s="8" t="s">
        <v>554</v>
      </c>
      <c r="F1204" s="4"/>
      <c r="G1204" s="8" t="s">
        <v>555</v>
      </c>
      <c r="H1204" s="4"/>
      <c r="I1204" s="42"/>
      <c r="J1204" s="42"/>
      <c r="K1204" s="42"/>
      <c r="L1204" s="42"/>
      <c r="M1204" s="42"/>
      <c r="N1204" s="42"/>
      <c r="O1204" s="42"/>
      <c r="P1204" s="42"/>
      <c r="Q1204" s="42"/>
      <c r="R1204" s="42"/>
      <c r="S1204" s="42"/>
      <c r="T1204" s="42"/>
      <c r="U1204" s="42"/>
      <c r="V1204" s="42"/>
      <c r="W1204" s="42"/>
      <c r="X1204" s="42"/>
      <c r="Y1204" s="42"/>
      <c r="Z1204" s="42"/>
      <c r="AA1204" s="42"/>
      <c r="AB1204" s="42"/>
      <c r="AC1204" s="42"/>
      <c r="AD1204" s="42"/>
      <c r="AE1204" s="42"/>
      <c r="AF1204" s="42"/>
      <c r="AG1204" s="42"/>
      <c r="AH1204" s="42"/>
      <c r="AI1204" s="42"/>
      <c r="AJ1204" s="42"/>
      <c r="AK1204" s="42"/>
    </row>
    <row r="1205" spans="2:37" s="8" customFormat="1" x14ac:dyDescent="0.25">
      <c r="B1205" s="29"/>
      <c r="D1205" s="4" t="s">
        <v>250</v>
      </c>
      <c r="E1205" s="4"/>
      <c r="F1205" s="4"/>
      <c r="H1205" s="4"/>
      <c r="I1205" s="42"/>
      <c r="J1205" s="42"/>
      <c r="K1205" s="42"/>
      <c r="L1205" s="42"/>
      <c r="M1205" s="42"/>
      <c r="N1205" s="42"/>
      <c r="O1205" s="42"/>
      <c r="P1205" s="42"/>
      <c r="Q1205" s="42"/>
      <c r="R1205" s="42"/>
      <c r="S1205" s="42"/>
      <c r="T1205" s="42"/>
      <c r="U1205" s="42"/>
      <c r="V1205" s="42"/>
      <c r="W1205" s="42"/>
      <c r="X1205" s="42"/>
      <c r="Y1205" s="42"/>
      <c r="Z1205" s="42"/>
      <c r="AA1205" s="42"/>
      <c r="AB1205" s="42"/>
      <c r="AC1205" s="42"/>
      <c r="AD1205" s="42"/>
      <c r="AE1205" s="42"/>
      <c r="AF1205" s="42"/>
      <c r="AG1205" s="42"/>
      <c r="AH1205" s="42"/>
      <c r="AI1205" s="42"/>
      <c r="AJ1205" s="42"/>
      <c r="AK1205" s="42"/>
    </row>
    <row r="1206" spans="2:37" s="8" customFormat="1" x14ac:dyDescent="0.25">
      <c r="B1206" s="29"/>
      <c r="D1206" s="4"/>
      <c r="E1206" s="4" t="s">
        <v>548</v>
      </c>
      <c r="F1206" s="4"/>
      <c r="H1206" s="4" t="s">
        <v>549</v>
      </c>
      <c r="I1206" s="42"/>
      <c r="J1206" s="42"/>
      <c r="K1206" s="42"/>
      <c r="L1206" s="42"/>
      <c r="M1206" s="42"/>
      <c r="N1206" s="42"/>
      <c r="O1206" s="42"/>
      <c r="P1206" s="42"/>
      <c r="Q1206" s="42"/>
      <c r="R1206" s="42"/>
      <c r="S1206" s="42"/>
      <c r="T1206" s="42"/>
      <c r="U1206" s="42"/>
      <c r="V1206" s="42"/>
      <c r="W1206" s="42"/>
      <c r="X1206" s="42"/>
      <c r="Y1206" s="42"/>
      <c r="Z1206" s="42"/>
      <c r="AA1206" s="42"/>
      <c r="AB1206">
        <v>14</v>
      </c>
      <c r="AC1206" s="42"/>
      <c r="AD1206" s="42"/>
      <c r="AE1206" s="42"/>
      <c r="AF1206" s="42"/>
      <c r="AG1206" s="42"/>
      <c r="AH1206" s="42"/>
      <c r="AI1206" s="42"/>
      <c r="AJ1206" s="42"/>
      <c r="AK1206" s="42"/>
    </row>
    <row r="1207" spans="2:37" s="8" customFormat="1" x14ac:dyDescent="0.25">
      <c r="B1207" s="29"/>
      <c r="D1207" s="4"/>
      <c r="E1207" s="4" t="s">
        <v>556</v>
      </c>
      <c r="F1207" s="4"/>
      <c r="H1207" s="4" t="s">
        <v>549</v>
      </c>
      <c r="I1207" s="42"/>
      <c r="J1207" s="42"/>
      <c r="K1207" s="42"/>
      <c r="L1207" s="42"/>
      <c r="M1207" s="42"/>
      <c r="N1207" s="42"/>
      <c r="O1207" s="42"/>
      <c r="P1207" s="42"/>
      <c r="Q1207" s="42"/>
      <c r="R1207" s="42"/>
      <c r="S1207" s="42"/>
      <c r="T1207" s="42"/>
      <c r="U1207" s="42"/>
      <c r="V1207" s="42"/>
      <c r="W1207" s="42"/>
      <c r="X1207" s="42"/>
      <c r="Y1207" s="42"/>
      <c r="Z1207" s="42"/>
      <c r="AA1207" s="42"/>
      <c r="AB1207" s="42"/>
      <c r="AC1207" s="42"/>
      <c r="AD1207" s="42"/>
      <c r="AE1207" s="42"/>
      <c r="AF1207" s="42"/>
      <c r="AG1207" s="42"/>
      <c r="AH1207" s="42"/>
      <c r="AI1207" s="42"/>
      <c r="AJ1207" s="42"/>
      <c r="AK1207" s="42"/>
    </row>
    <row r="1208" spans="2:37" s="8" customFormat="1" x14ac:dyDescent="0.25">
      <c r="B1208" s="29"/>
      <c r="D1208" s="4"/>
      <c r="E1208" s="4" t="s">
        <v>557</v>
      </c>
      <c r="F1208" s="4"/>
      <c r="H1208" s="4" t="s">
        <v>549</v>
      </c>
      <c r="I1208" s="42"/>
      <c r="J1208" s="42"/>
      <c r="K1208" s="42"/>
      <c r="L1208" s="42"/>
      <c r="M1208" s="42"/>
      <c r="N1208" s="42"/>
      <c r="O1208" s="42"/>
      <c r="P1208" s="42"/>
      <c r="Q1208" s="42"/>
      <c r="R1208" s="42"/>
      <c r="S1208" s="42"/>
      <c r="T1208" s="42"/>
      <c r="U1208" s="42"/>
      <c r="V1208" s="42"/>
      <c r="W1208" s="42"/>
      <c r="X1208" s="42"/>
      <c r="Y1208" s="42"/>
      <c r="Z1208" s="42"/>
      <c r="AA1208" s="42"/>
      <c r="AB1208" s="42"/>
      <c r="AC1208" s="42"/>
      <c r="AD1208" s="42"/>
      <c r="AE1208" s="42"/>
      <c r="AF1208" s="42"/>
      <c r="AG1208" s="42"/>
      <c r="AH1208" s="42"/>
      <c r="AI1208" s="42"/>
      <c r="AJ1208" s="42"/>
      <c r="AK1208" s="42"/>
    </row>
    <row r="1209" spans="2:37" s="8" customFormat="1" x14ac:dyDescent="0.25">
      <c r="B1209" s="29"/>
      <c r="D1209" s="4" t="s">
        <v>244</v>
      </c>
      <c r="E1209" s="4"/>
      <c r="F1209" s="4"/>
      <c r="H1209" s="4"/>
      <c r="I1209" s="42"/>
      <c r="J1209" s="42"/>
      <c r="K1209" s="42"/>
      <c r="L1209" s="42"/>
      <c r="M1209" s="42"/>
      <c r="N1209" s="42"/>
      <c r="O1209" s="42"/>
      <c r="P1209" s="42"/>
      <c r="Q1209" s="42"/>
      <c r="R1209" s="42"/>
      <c r="S1209" s="42"/>
      <c r="T1209" s="42"/>
      <c r="U1209" s="42"/>
      <c r="V1209" s="42"/>
      <c r="W1209" s="42"/>
      <c r="X1209" s="42"/>
      <c r="Y1209" s="42"/>
      <c r="Z1209" s="42"/>
      <c r="AA1209" s="42"/>
      <c r="AB1209" s="42"/>
      <c r="AC1209" s="42"/>
      <c r="AD1209" s="42"/>
      <c r="AE1209" s="42"/>
      <c r="AF1209" s="42"/>
      <c r="AG1209" s="42"/>
      <c r="AH1209" s="42"/>
      <c r="AI1209" s="42"/>
      <c r="AJ1209" s="42"/>
      <c r="AK1209" s="42"/>
    </row>
    <row r="1210" spans="2:37" s="8" customFormat="1" x14ac:dyDescent="0.25">
      <c r="B1210" s="29"/>
      <c r="D1210" s="4"/>
      <c r="E1210" s="4" t="s">
        <v>548</v>
      </c>
      <c r="F1210" s="4"/>
      <c r="H1210" s="4" t="s">
        <v>549</v>
      </c>
      <c r="I1210" s="42"/>
      <c r="J1210" s="42"/>
      <c r="K1210" s="42"/>
      <c r="L1210" s="42"/>
      <c r="M1210" s="42"/>
      <c r="N1210" s="42"/>
      <c r="O1210" s="42"/>
      <c r="P1210" s="42"/>
      <c r="Q1210" s="42"/>
      <c r="R1210" s="42"/>
      <c r="S1210" s="42"/>
      <c r="T1210" s="42"/>
      <c r="U1210" s="42"/>
      <c r="V1210" s="42"/>
      <c r="W1210" s="42"/>
      <c r="X1210" s="42"/>
      <c r="Y1210" s="42"/>
      <c r="Z1210" s="42"/>
      <c r="AA1210" s="42"/>
      <c r="AB1210" s="42"/>
      <c r="AC1210" s="42"/>
      <c r="AD1210" s="42"/>
      <c r="AE1210" s="42"/>
      <c r="AF1210" s="42"/>
      <c r="AG1210" s="42"/>
      <c r="AH1210" s="42"/>
      <c r="AI1210" s="42"/>
      <c r="AJ1210" s="42"/>
      <c r="AK1210" s="42"/>
    </row>
    <row r="1211" spans="2:37" s="8" customFormat="1" x14ac:dyDescent="0.25">
      <c r="B1211" s="29"/>
      <c r="D1211" s="4"/>
      <c r="E1211" s="4" t="s">
        <v>550</v>
      </c>
      <c r="F1211" s="4"/>
      <c r="H1211" s="4" t="s">
        <v>549</v>
      </c>
      <c r="I1211" s="42"/>
      <c r="J1211" s="42"/>
      <c r="K1211" s="42"/>
      <c r="L1211" s="42"/>
      <c r="M1211" s="42"/>
      <c r="N1211" s="42"/>
      <c r="O1211" s="42"/>
      <c r="P1211" s="42"/>
      <c r="Q1211" s="42"/>
      <c r="R1211" s="42"/>
      <c r="S1211" s="42"/>
      <c r="T1211" s="42"/>
      <c r="U1211" s="42"/>
      <c r="V1211" s="42"/>
      <c r="W1211" s="42"/>
      <c r="X1211" s="42"/>
      <c r="Y1211" s="42"/>
      <c r="Z1211" s="42"/>
      <c r="AA1211" s="42"/>
      <c r="AB1211" s="42"/>
      <c r="AC1211" s="42"/>
      <c r="AD1211" s="42"/>
      <c r="AE1211" s="42"/>
      <c r="AF1211" s="42"/>
      <c r="AG1211" s="42"/>
      <c r="AH1211" s="42"/>
      <c r="AI1211" s="42"/>
      <c r="AJ1211" s="42"/>
      <c r="AK1211" s="42"/>
    </row>
    <row r="1212" spans="2:37" s="8" customFormat="1" x14ac:dyDescent="0.25">
      <c r="B1212" s="29"/>
      <c r="D1212" s="4"/>
      <c r="E1212" s="4" t="s">
        <v>556</v>
      </c>
      <c r="F1212" s="4"/>
      <c r="H1212" s="4" t="s">
        <v>549</v>
      </c>
      <c r="I1212" s="42"/>
      <c r="J1212" s="42"/>
      <c r="K1212" s="42"/>
      <c r="L1212" s="42"/>
      <c r="M1212" s="42"/>
      <c r="N1212" s="42"/>
      <c r="O1212" s="42"/>
      <c r="P1212" s="42"/>
      <c r="Q1212" s="42"/>
      <c r="R1212" s="42"/>
      <c r="S1212" s="42"/>
      <c r="T1212" s="42"/>
      <c r="U1212" s="42"/>
      <c r="V1212" s="42"/>
      <c r="W1212" s="42"/>
      <c r="X1212" s="42"/>
      <c r="Y1212" s="42"/>
      <c r="Z1212" s="42"/>
      <c r="AA1212" s="42"/>
      <c r="AB1212" s="42"/>
      <c r="AC1212" s="42"/>
      <c r="AD1212" s="42"/>
      <c r="AE1212" s="42"/>
      <c r="AF1212" s="42"/>
      <c r="AG1212" s="42"/>
      <c r="AH1212" s="42"/>
      <c r="AI1212" s="42"/>
      <c r="AJ1212" s="42"/>
      <c r="AK1212" s="42"/>
    </row>
    <row r="1213" spans="2:37" s="8" customFormat="1" x14ac:dyDescent="0.25">
      <c r="B1213" s="29"/>
      <c r="D1213" s="4"/>
      <c r="E1213" s="4" t="s">
        <v>557</v>
      </c>
      <c r="F1213" s="4"/>
      <c r="H1213" s="4" t="s">
        <v>549</v>
      </c>
      <c r="I1213" s="42"/>
      <c r="J1213" s="42"/>
      <c r="K1213" s="42"/>
      <c r="L1213" s="42"/>
      <c r="M1213" s="42"/>
      <c r="N1213" s="42"/>
      <c r="O1213" s="42"/>
      <c r="P1213" s="42"/>
      <c r="Q1213" s="42"/>
      <c r="R1213" s="42"/>
      <c r="S1213" s="42"/>
      <c r="T1213" s="42"/>
      <c r="U1213" s="42"/>
      <c r="V1213" s="42"/>
      <c r="W1213" s="42"/>
      <c r="X1213" s="42"/>
      <c r="Y1213" s="42"/>
      <c r="Z1213" s="42"/>
      <c r="AA1213" s="42"/>
      <c r="AB1213" s="42"/>
      <c r="AC1213" s="42"/>
      <c r="AD1213" s="42"/>
      <c r="AE1213" s="42"/>
      <c r="AF1213" s="42"/>
      <c r="AG1213" s="42"/>
      <c r="AH1213" s="42"/>
      <c r="AI1213" s="42"/>
      <c r="AJ1213" s="42"/>
      <c r="AK1213" s="42"/>
    </row>
    <row r="1214" spans="2:37" s="8" customFormat="1" x14ac:dyDescent="0.25">
      <c r="B1214" s="29"/>
      <c r="C1214" s="8" t="s">
        <v>558</v>
      </c>
      <c r="F1214" s="4"/>
      <c r="H1214" s="4"/>
      <c r="I1214" s="42"/>
      <c r="J1214" s="42"/>
      <c r="K1214" s="42"/>
      <c r="L1214" s="42"/>
      <c r="M1214" s="42"/>
      <c r="N1214" s="42"/>
      <c r="O1214" s="42"/>
      <c r="P1214" s="42"/>
      <c r="Q1214" s="42"/>
      <c r="R1214" s="42"/>
      <c r="S1214" s="42"/>
      <c r="T1214" s="42"/>
      <c r="U1214" s="42"/>
      <c r="V1214" s="42"/>
      <c r="W1214" s="42"/>
      <c r="X1214" s="42"/>
      <c r="Y1214" s="42"/>
      <c r="Z1214" s="42"/>
      <c r="AA1214" s="42"/>
      <c r="AB1214" s="42"/>
      <c r="AC1214" s="42"/>
      <c r="AD1214" s="42"/>
      <c r="AE1214" s="42"/>
      <c r="AF1214" s="42"/>
      <c r="AG1214" s="42"/>
      <c r="AH1214" s="42"/>
      <c r="AI1214" s="42"/>
      <c r="AJ1214" s="42"/>
      <c r="AK1214" s="42"/>
    </row>
    <row r="1215" spans="2:37" s="8" customFormat="1" x14ac:dyDescent="0.25">
      <c r="B1215" s="29"/>
      <c r="D1215" s="4" t="s">
        <v>250</v>
      </c>
      <c r="E1215" s="4"/>
      <c r="F1215" s="4"/>
      <c r="H1215" s="4"/>
      <c r="I1215" s="42"/>
      <c r="J1215" s="42"/>
      <c r="K1215" s="42"/>
      <c r="L1215" s="42"/>
      <c r="M1215" s="42"/>
      <c r="N1215" s="42"/>
      <c r="O1215" s="42"/>
      <c r="P1215" s="42"/>
      <c r="Q1215" s="42"/>
      <c r="R1215" s="42"/>
      <c r="S1215" s="42"/>
      <c r="T1215" s="42"/>
      <c r="U1215" s="42"/>
      <c r="V1215" s="42"/>
      <c r="W1215" s="42"/>
      <c r="X1215" s="42"/>
      <c r="Y1215" s="42"/>
      <c r="Z1215" s="42"/>
      <c r="AA1215" s="42"/>
      <c r="AB1215" s="42"/>
      <c r="AC1215" s="42"/>
      <c r="AD1215" s="42"/>
      <c r="AE1215" s="42"/>
      <c r="AF1215" s="42"/>
      <c r="AG1215" s="42"/>
      <c r="AH1215" s="42"/>
      <c r="AI1215" s="42"/>
      <c r="AJ1215" s="42"/>
      <c r="AK1215" s="42"/>
    </row>
    <row r="1216" spans="2:37" s="8" customFormat="1" x14ac:dyDescent="0.25">
      <c r="B1216" s="29"/>
      <c r="D1216" s="4"/>
      <c r="E1216" s="4" t="s">
        <v>548</v>
      </c>
      <c r="F1216" s="4"/>
      <c r="G1216" s="8" t="s">
        <v>559</v>
      </c>
      <c r="H1216" s="4" t="s">
        <v>549</v>
      </c>
      <c r="I1216" s="42"/>
      <c r="J1216" s="42"/>
      <c r="K1216" s="42"/>
      <c r="L1216" s="42"/>
      <c r="M1216" s="42"/>
      <c r="N1216" s="42"/>
      <c r="O1216" s="42"/>
      <c r="P1216" s="42"/>
      <c r="Q1216" s="42"/>
      <c r="R1216" s="42"/>
      <c r="S1216" s="42"/>
      <c r="T1216" s="42"/>
      <c r="U1216" s="42"/>
      <c r="V1216" s="42"/>
      <c r="W1216" s="42"/>
      <c r="X1216" s="42"/>
      <c r="Y1216" s="42"/>
      <c r="Z1216" s="42"/>
      <c r="AA1216" s="42"/>
      <c r="AB1216"/>
      <c r="AC1216" s="42"/>
      <c r="AD1216" s="42"/>
      <c r="AE1216" s="42"/>
      <c r="AF1216" s="42"/>
      <c r="AG1216" s="42"/>
      <c r="AH1216" s="42"/>
      <c r="AI1216" s="42"/>
      <c r="AJ1216" s="42"/>
      <c r="AK1216" s="42"/>
    </row>
    <row r="1217" spans="2:37" s="8" customFormat="1" x14ac:dyDescent="0.25">
      <c r="B1217" s="29"/>
      <c r="D1217" s="4"/>
      <c r="E1217" s="4" t="s">
        <v>550</v>
      </c>
      <c r="F1217" s="4"/>
      <c r="H1217" s="4" t="s">
        <v>549</v>
      </c>
      <c r="I1217" s="42"/>
      <c r="J1217" s="42"/>
      <c r="K1217" s="42"/>
      <c r="L1217" s="42"/>
      <c r="M1217" s="42"/>
      <c r="N1217" s="42"/>
      <c r="O1217" s="42"/>
      <c r="P1217" s="42"/>
      <c r="Q1217" s="42"/>
      <c r="R1217" s="42"/>
      <c r="S1217" s="42"/>
      <c r="T1217" s="42"/>
      <c r="U1217" s="42"/>
      <c r="V1217" s="42"/>
      <c r="W1217" s="42"/>
      <c r="X1217" s="42"/>
      <c r="Y1217" s="42"/>
      <c r="Z1217" s="42"/>
      <c r="AA1217" s="42"/>
      <c r="AB1217" s="42"/>
      <c r="AC1217" s="42"/>
      <c r="AD1217" s="42"/>
      <c r="AE1217" s="42"/>
      <c r="AF1217" s="42"/>
      <c r="AG1217" s="42"/>
      <c r="AH1217" s="42"/>
      <c r="AI1217" s="42"/>
      <c r="AJ1217" s="42"/>
      <c r="AK1217" s="42"/>
    </row>
    <row r="1218" spans="2:37" s="8" customFormat="1" x14ac:dyDescent="0.25">
      <c r="B1218" s="29"/>
      <c r="D1218" s="4"/>
      <c r="E1218" s="4" t="s">
        <v>556</v>
      </c>
      <c r="F1218" s="4"/>
      <c r="H1218" s="4" t="s">
        <v>549</v>
      </c>
      <c r="I1218" s="42"/>
      <c r="J1218" s="42"/>
      <c r="K1218" s="42"/>
      <c r="L1218" s="42"/>
      <c r="M1218" s="42"/>
      <c r="N1218" s="42"/>
      <c r="O1218" s="42"/>
      <c r="P1218" s="42"/>
      <c r="Q1218" s="42"/>
      <c r="R1218" s="42"/>
      <c r="S1218" s="42"/>
      <c r="T1218" s="42"/>
      <c r="U1218" s="42"/>
      <c r="V1218" s="42"/>
      <c r="W1218" s="42"/>
      <c r="X1218" s="42"/>
      <c r="Y1218" s="42"/>
      <c r="Z1218" s="42"/>
      <c r="AA1218" s="42"/>
      <c r="AB1218" s="59">
        <v>12</v>
      </c>
      <c r="AC1218" s="42"/>
      <c r="AD1218" s="42"/>
      <c r="AE1218" s="42"/>
      <c r="AF1218" s="42"/>
      <c r="AG1218" s="42"/>
      <c r="AH1218" s="42"/>
      <c r="AI1218" s="42"/>
      <c r="AJ1218" s="42"/>
      <c r="AK1218" s="42"/>
    </row>
    <row r="1219" spans="2:37" s="8" customFormat="1" x14ac:dyDescent="0.25">
      <c r="B1219" s="29"/>
      <c r="D1219" s="4"/>
      <c r="E1219" s="4" t="s">
        <v>557</v>
      </c>
      <c r="F1219" s="4"/>
      <c r="H1219" s="4" t="s">
        <v>549</v>
      </c>
      <c r="I1219" s="42"/>
      <c r="J1219" s="42"/>
      <c r="K1219" s="42"/>
      <c r="L1219" s="42"/>
      <c r="M1219" s="42"/>
      <c r="N1219" s="42"/>
      <c r="O1219" s="42"/>
      <c r="P1219" s="42"/>
      <c r="Q1219" s="42"/>
      <c r="R1219" s="42"/>
      <c r="S1219" s="42"/>
      <c r="T1219" s="42"/>
      <c r="U1219" s="42"/>
      <c r="V1219" s="42"/>
      <c r="W1219" s="42"/>
      <c r="X1219" s="42"/>
      <c r="Y1219" s="42"/>
      <c r="Z1219" s="42"/>
      <c r="AA1219" s="42"/>
      <c r="AB1219" s="59">
        <v>20</v>
      </c>
      <c r="AC1219" s="42"/>
      <c r="AD1219" s="42"/>
      <c r="AE1219" s="42"/>
      <c r="AF1219" s="42"/>
      <c r="AG1219" s="42"/>
      <c r="AH1219" s="42"/>
      <c r="AI1219" s="42"/>
      <c r="AJ1219" s="42"/>
      <c r="AK1219" s="42"/>
    </row>
    <row r="1220" spans="2:37" s="8" customFormat="1" x14ac:dyDescent="0.25">
      <c r="B1220" s="29"/>
      <c r="D1220" s="4"/>
      <c r="E1220" s="4" t="s">
        <v>560</v>
      </c>
      <c r="F1220" s="4"/>
      <c r="H1220" s="4" t="s">
        <v>549</v>
      </c>
      <c r="I1220" s="42"/>
      <c r="J1220" s="42"/>
      <c r="K1220" s="42"/>
      <c r="L1220" s="42"/>
      <c r="M1220" s="42"/>
      <c r="N1220" s="42"/>
      <c r="O1220" s="42"/>
      <c r="P1220" s="42"/>
      <c r="Q1220" s="42"/>
      <c r="R1220" s="42"/>
      <c r="S1220" s="42"/>
      <c r="T1220" s="42"/>
      <c r="U1220" s="42"/>
      <c r="V1220" s="42"/>
      <c r="W1220" s="42"/>
      <c r="X1220" s="42"/>
      <c r="Y1220" s="42"/>
      <c r="Z1220" s="42"/>
      <c r="AA1220" s="42"/>
      <c r="AB1220" s="42"/>
      <c r="AC1220" s="42"/>
      <c r="AD1220" s="42"/>
      <c r="AE1220" s="42"/>
      <c r="AF1220" s="42"/>
      <c r="AG1220" s="42"/>
      <c r="AH1220" s="42"/>
      <c r="AI1220" s="42"/>
      <c r="AJ1220" s="42"/>
      <c r="AK1220" s="42"/>
    </row>
    <row r="1221" spans="2:37" s="8" customFormat="1" x14ac:dyDescent="0.25">
      <c r="B1221" s="29"/>
      <c r="D1221" s="4" t="s">
        <v>244</v>
      </c>
      <c r="E1221" s="4"/>
      <c r="F1221" s="4"/>
      <c r="H1221" s="4"/>
      <c r="I1221" s="42"/>
      <c r="J1221" s="42"/>
      <c r="K1221" s="42"/>
      <c r="L1221" s="42"/>
      <c r="M1221" s="42"/>
      <c r="N1221" s="42"/>
      <c r="O1221" s="42"/>
      <c r="P1221" s="42"/>
      <c r="Q1221" s="42"/>
      <c r="R1221" s="42"/>
      <c r="S1221" s="42"/>
      <c r="T1221" s="42"/>
      <c r="U1221" s="42"/>
      <c r="V1221" s="42"/>
      <c r="W1221" s="42"/>
      <c r="X1221" s="42"/>
      <c r="Y1221" s="42"/>
      <c r="Z1221" s="42"/>
      <c r="AA1221" s="42"/>
      <c r="AB1221" s="42"/>
      <c r="AC1221" s="42"/>
      <c r="AD1221" s="42"/>
      <c r="AE1221" s="42"/>
      <c r="AF1221" s="42"/>
      <c r="AG1221" s="42"/>
      <c r="AH1221" s="42"/>
      <c r="AI1221" s="42"/>
      <c r="AJ1221" s="42"/>
      <c r="AK1221" s="42"/>
    </row>
    <row r="1222" spans="2:37" s="8" customFormat="1" x14ac:dyDescent="0.25">
      <c r="B1222" s="29"/>
      <c r="D1222" s="4"/>
      <c r="E1222" s="4" t="s">
        <v>548</v>
      </c>
      <c r="F1222" s="4"/>
      <c r="H1222" s="4" t="s">
        <v>549</v>
      </c>
      <c r="I1222" s="42"/>
      <c r="J1222" s="42"/>
      <c r="K1222" s="42"/>
      <c r="L1222" s="42"/>
      <c r="M1222" s="42"/>
      <c r="N1222" s="42"/>
      <c r="O1222" s="42"/>
      <c r="P1222" s="42"/>
      <c r="Q1222" s="42"/>
      <c r="R1222" s="42"/>
      <c r="S1222" s="42"/>
      <c r="T1222" s="42"/>
      <c r="U1222" s="42"/>
      <c r="V1222" s="42"/>
      <c r="W1222" s="42"/>
      <c r="X1222" s="42"/>
      <c r="Y1222" s="42"/>
      <c r="Z1222" s="42"/>
      <c r="AA1222" s="42"/>
      <c r="AB1222" s="42"/>
      <c r="AC1222" s="42"/>
      <c r="AD1222" s="42"/>
      <c r="AE1222" s="42"/>
      <c r="AF1222" s="42"/>
      <c r="AG1222" s="42"/>
      <c r="AH1222" s="42"/>
      <c r="AI1222" s="42"/>
      <c r="AJ1222" s="42"/>
      <c r="AK1222" s="42"/>
    </row>
    <row r="1223" spans="2:37" s="8" customFormat="1" x14ac:dyDescent="0.25">
      <c r="B1223" s="29"/>
      <c r="D1223" s="4"/>
      <c r="E1223" s="4" t="s">
        <v>550</v>
      </c>
      <c r="F1223" s="4"/>
      <c r="H1223" s="4" t="s">
        <v>549</v>
      </c>
      <c r="I1223" s="42"/>
      <c r="J1223" s="42"/>
      <c r="K1223" s="42"/>
      <c r="L1223" s="42"/>
      <c r="M1223" s="42"/>
      <c r="N1223" s="42"/>
      <c r="O1223" s="42"/>
      <c r="P1223" s="42"/>
      <c r="Q1223" s="42"/>
      <c r="R1223" s="42"/>
      <c r="S1223" s="42"/>
      <c r="T1223" s="42"/>
      <c r="U1223" s="42"/>
      <c r="V1223" s="42"/>
      <c r="W1223" s="42"/>
      <c r="X1223" s="42"/>
      <c r="Y1223" s="42"/>
      <c r="Z1223" s="42"/>
      <c r="AA1223" s="42"/>
      <c r="AB1223" s="42"/>
      <c r="AC1223" s="42"/>
      <c r="AD1223" s="42"/>
      <c r="AE1223" s="42"/>
      <c r="AF1223" s="42"/>
      <c r="AG1223" s="42"/>
      <c r="AH1223" s="42"/>
      <c r="AI1223" s="42"/>
      <c r="AJ1223" s="42"/>
      <c r="AK1223" s="42"/>
    </row>
    <row r="1224" spans="2:37" s="8" customFormat="1" x14ac:dyDescent="0.25">
      <c r="B1224" s="29"/>
      <c r="D1224" s="4"/>
      <c r="E1224" s="4" t="s">
        <v>556</v>
      </c>
      <c r="F1224" s="4"/>
      <c r="H1224" s="4" t="s">
        <v>549</v>
      </c>
      <c r="I1224" s="42"/>
      <c r="J1224" s="42"/>
      <c r="K1224" s="42"/>
      <c r="L1224" s="42"/>
      <c r="M1224" s="42"/>
      <c r="N1224" s="42"/>
      <c r="O1224" s="42"/>
      <c r="P1224" s="42"/>
      <c r="Q1224" s="42"/>
      <c r="R1224" s="42"/>
      <c r="S1224" s="42"/>
      <c r="T1224" s="42"/>
      <c r="U1224" s="42"/>
      <c r="V1224" s="42"/>
      <c r="W1224" s="42"/>
      <c r="X1224" s="42"/>
      <c r="Y1224" s="42"/>
      <c r="Z1224" s="42"/>
      <c r="AA1224" s="42"/>
      <c r="AB1224" s="42"/>
      <c r="AC1224" s="42"/>
      <c r="AD1224" s="42"/>
      <c r="AE1224" s="42"/>
      <c r="AF1224" s="42"/>
      <c r="AG1224" s="42"/>
      <c r="AH1224" s="42"/>
      <c r="AI1224" s="42"/>
      <c r="AJ1224" s="42"/>
      <c r="AK1224" s="42"/>
    </row>
    <row r="1225" spans="2:37" s="8" customFormat="1" x14ac:dyDescent="0.25">
      <c r="B1225" s="29"/>
      <c r="D1225" s="4"/>
      <c r="E1225" s="4" t="s">
        <v>557</v>
      </c>
      <c r="F1225" s="4"/>
      <c r="H1225" s="4" t="s">
        <v>549</v>
      </c>
      <c r="I1225" s="42"/>
      <c r="J1225" s="42"/>
      <c r="K1225" s="42"/>
      <c r="L1225" s="42"/>
      <c r="M1225" s="42"/>
      <c r="N1225" s="42"/>
      <c r="O1225" s="42"/>
      <c r="P1225" s="42"/>
      <c r="Q1225" s="42"/>
      <c r="R1225" s="42"/>
      <c r="S1225" s="42"/>
      <c r="T1225" s="42"/>
      <c r="U1225" s="42"/>
      <c r="V1225" s="42"/>
      <c r="W1225" s="42"/>
      <c r="X1225" s="42"/>
      <c r="Y1225" s="42"/>
      <c r="Z1225" s="42"/>
      <c r="AA1225" s="42"/>
      <c r="AB1225" s="42"/>
      <c r="AC1225" s="42"/>
      <c r="AD1225" s="42"/>
      <c r="AE1225" s="42"/>
      <c r="AF1225" s="42"/>
      <c r="AG1225" s="42"/>
      <c r="AH1225" s="42"/>
      <c r="AI1225" s="42"/>
      <c r="AJ1225" s="42"/>
      <c r="AK1225" s="42"/>
    </row>
    <row r="1226" spans="2:37" s="8" customFormat="1" x14ac:dyDescent="0.25">
      <c r="B1226" s="29"/>
      <c r="D1226" s="4"/>
      <c r="E1226" s="4" t="s">
        <v>560</v>
      </c>
      <c r="F1226" s="4"/>
      <c r="H1226" s="4" t="s">
        <v>549</v>
      </c>
      <c r="I1226" s="42"/>
      <c r="J1226" s="42"/>
      <c r="K1226" s="42"/>
      <c r="L1226" s="42"/>
      <c r="M1226" s="42"/>
      <c r="N1226" s="42"/>
      <c r="O1226" s="42"/>
      <c r="P1226" s="42"/>
      <c r="Q1226" s="42"/>
      <c r="R1226" s="42"/>
      <c r="S1226" s="42"/>
      <c r="T1226" s="42"/>
      <c r="U1226" s="42"/>
      <c r="V1226" s="42"/>
      <c r="W1226" s="42"/>
      <c r="X1226" s="42"/>
      <c r="Y1226" s="42"/>
      <c r="Z1226" s="42"/>
      <c r="AA1226" s="42"/>
      <c r="AB1226" s="42"/>
      <c r="AC1226" s="42"/>
      <c r="AD1226" s="42"/>
      <c r="AE1226" s="42"/>
      <c r="AF1226" s="42"/>
      <c r="AG1226" s="42"/>
      <c r="AH1226" s="42"/>
      <c r="AI1226" s="42"/>
      <c r="AJ1226" s="42"/>
      <c r="AK1226" s="42"/>
    </row>
    <row r="1227" spans="2:37" s="8" customFormat="1" x14ac:dyDescent="0.25">
      <c r="B1227" s="29"/>
      <c r="C1227" s="8" t="s">
        <v>561</v>
      </c>
      <c r="F1227" s="4"/>
      <c r="H1227" s="4"/>
      <c r="I1227" s="42"/>
      <c r="J1227" s="42"/>
      <c r="K1227" s="42"/>
      <c r="L1227" s="42"/>
      <c r="M1227" s="42"/>
      <c r="N1227" s="42"/>
      <c r="O1227" s="42"/>
      <c r="P1227" s="42"/>
      <c r="Q1227" s="42"/>
      <c r="R1227" s="42"/>
      <c r="S1227" s="42"/>
      <c r="T1227" s="42"/>
      <c r="U1227" s="42"/>
      <c r="V1227" s="42"/>
      <c r="W1227" s="42"/>
      <c r="X1227" s="42"/>
      <c r="Y1227" s="42"/>
      <c r="Z1227" s="42"/>
      <c r="AA1227" s="42"/>
      <c r="AB1227" s="59"/>
      <c r="AC1227" s="42"/>
      <c r="AD1227" s="42"/>
      <c r="AE1227" s="42"/>
      <c r="AF1227" s="42"/>
      <c r="AG1227" s="42"/>
      <c r="AH1227" s="42"/>
      <c r="AI1227" s="42"/>
      <c r="AJ1227" s="42"/>
      <c r="AK1227" s="42"/>
    </row>
    <row r="1228" spans="2:37" s="8" customFormat="1" x14ac:dyDescent="0.25">
      <c r="B1228" s="29"/>
      <c r="D1228" s="4" t="s">
        <v>250</v>
      </c>
      <c r="E1228" s="4"/>
      <c r="F1228" s="4"/>
      <c r="I1228" s="42"/>
      <c r="J1228" s="42"/>
      <c r="K1228" s="42"/>
      <c r="L1228" s="42"/>
      <c r="M1228" s="42"/>
      <c r="N1228" s="42"/>
      <c r="O1228" s="42"/>
      <c r="P1228" s="42"/>
      <c r="Q1228" s="42"/>
      <c r="R1228" s="42"/>
      <c r="S1228" s="42"/>
      <c r="T1228" s="42"/>
      <c r="U1228" s="42"/>
      <c r="V1228" s="42"/>
      <c r="W1228" s="42"/>
      <c r="X1228" s="42"/>
      <c r="Y1228" s="42"/>
      <c r="Z1228" s="42"/>
      <c r="AA1228" s="42"/>
      <c r="AB1228" s="59"/>
      <c r="AC1228" s="42"/>
      <c r="AD1228" s="42"/>
      <c r="AE1228" s="42"/>
      <c r="AF1228" s="42"/>
      <c r="AG1228" s="42"/>
      <c r="AH1228" s="42"/>
      <c r="AI1228" s="42"/>
      <c r="AJ1228" s="42"/>
      <c r="AK1228" s="42"/>
    </row>
    <row r="1229" spans="2:37" s="8" customFormat="1" x14ac:dyDescent="0.25">
      <c r="B1229" s="29"/>
      <c r="D1229" s="4"/>
      <c r="E1229" s="4" t="s">
        <v>548</v>
      </c>
      <c r="F1229" s="4"/>
      <c r="H1229" s="4" t="s">
        <v>549</v>
      </c>
      <c r="I1229" s="42"/>
      <c r="J1229" s="42"/>
      <c r="K1229" s="42"/>
      <c r="L1229" s="42"/>
      <c r="M1229" s="42"/>
      <c r="N1229" s="42"/>
      <c r="O1229" s="42"/>
      <c r="P1229" s="42"/>
      <c r="Q1229" s="42"/>
      <c r="R1229" s="42"/>
      <c r="S1229" s="42"/>
      <c r="T1229" s="42"/>
      <c r="U1229" s="42"/>
      <c r="V1229" s="42"/>
      <c r="W1229" s="42"/>
      <c r="X1229" s="42"/>
      <c r="Y1229" s="42"/>
      <c r="Z1229" s="42"/>
      <c r="AA1229" s="42"/>
      <c r="AB1229" s="59">
        <v>11</v>
      </c>
      <c r="AC1229" s="42"/>
      <c r="AD1229" s="42"/>
      <c r="AE1229" s="42"/>
      <c r="AF1229" s="42"/>
      <c r="AG1229" s="42"/>
      <c r="AH1229" s="42"/>
      <c r="AI1229" s="42"/>
      <c r="AJ1229" s="42"/>
      <c r="AK1229" s="42"/>
    </row>
    <row r="1230" spans="2:37" s="8" customFormat="1" x14ac:dyDescent="0.25">
      <c r="B1230" s="29"/>
      <c r="D1230" s="4"/>
      <c r="E1230" s="4" t="s">
        <v>550</v>
      </c>
      <c r="F1230" s="4"/>
      <c r="H1230" s="4" t="s">
        <v>549</v>
      </c>
      <c r="I1230" s="42"/>
      <c r="J1230" s="42"/>
      <c r="K1230" s="42"/>
      <c r="L1230" s="42"/>
      <c r="M1230" s="42"/>
      <c r="N1230" s="42"/>
      <c r="O1230" s="42"/>
      <c r="P1230" s="42"/>
      <c r="Q1230" s="42"/>
      <c r="R1230" s="42"/>
      <c r="S1230" s="42"/>
      <c r="T1230" s="42"/>
      <c r="U1230" s="42"/>
      <c r="V1230" s="42"/>
      <c r="W1230" s="42"/>
      <c r="X1230" s="42"/>
      <c r="Y1230" s="42"/>
      <c r="Z1230" s="42"/>
      <c r="AA1230" s="42"/>
      <c r="AB1230" s="59"/>
      <c r="AC1230" s="42"/>
      <c r="AD1230" s="42"/>
      <c r="AE1230" s="42"/>
      <c r="AF1230" s="42"/>
      <c r="AG1230" s="42"/>
      <c r="AH1230" s="42"/>
      <c r="AI1230" s="42"/>
      <c r="AJ1230" s="42"/>
      <c r="AK1230" s="42"/>
    </row>
    <row r="1231" spans="2:37" s="8" customFormat="1" x14ac:dyDescent="0.25">
      <c r="B1231" s="29"/>
      <c r="D1231" s="4"/>
      <c r="E1231" s="4" t="s">
        <v>556</v>
      </c>
      <c r="F1231" s="4"/>
      <c r="H1231" s="4" t="s">
        <v>549</v>
      </c>
      <c r="I1231" s="42"/>
      <c r="J1231" s="42"/>
      <c r="K1231" s="42"/>
      <c r="L1231" s="42"/>
      <c r="M1231" s="42"/>
      <c r="N1231" s="42"/>
      <c r="O1231" s="42"/>
      <c r="P1231" s="42"/>
      <c r="Q1231" s="42"/>
      <c r="R1231" s="42"/>
      <c r="S1231" s="42"/>
      <c r="T1231" s="42"/>
      <c r="U1231" s="42"/>
      <c r="V1231" s="42"/>
      <c r="W1231" s="42"/>
      <c r="X1231" s="42"/>
      <c r="Y1231" s="42"/>
      <c r="Z1231" s="42"/>
      <c r="AA1231" s="42"/>
      <c r="AB1231" s="59">
        <v>19.2</v>
      </c>
      <c r="AC1231" s="42"/>
      <c r="AD1231" s="42"/>
      <c r="AE1231" s="42"/>
      <c r="AF1231" s="42"/>
      <c r="AG1231" s="42"/>
      <c r="AH1231" s="42"/>
      <c r="AI1231" s="42"/>
      <c r="AJ1231" s="42"/>
      <c r="AK1231" s="42"/>
    </row>
    <row r="1232" spans="2:37" s="8" customFormat="1" x14ac:dyDescent="0.25">
      <c r="B1232" s="29"/>
      <c r="D1232" s="4"/>
      <c r="E1232" s="4" t="s">
        <v>557</v>
      </c>
      <c r="F1232" s="4"/>
      <c r="H1232" s="4" t="s">
        <v>549</v>
      </c>
      <c r="I1232" s="42"/>
      <c r="J1232" s="42"/>
      <c r="K1232" s="42"/>
      <c r="L1232" s="42"/>
      <c r="M1232" s="42"/>
      <c r="N1232" s="42"/>
      <c r="O1232" s="42"/>
      <c r="P1232" s="42"/>
      <c r="Q1232" s="42"/>
      <c r="R1232" s="42"/>
      <c r="S1232" s="42"/>
      <c r="T1232" s="42"/>
      <c r="U1232" s="42"/>
      <c r="V1232" s="42"/>
      <c r="W1232" s="42"/>
      <c r="X1232" s="42"/>
      <c r="Y1232" s="42"/>
      <c r="Z1232" s="42"/>
      <c r="AA1232" s="42"/>
      <c r="AB1232" s="59">
        <v>32</v>
      </c>
      <c r="AC1232" s="42"/>
      <c r="AD1232" s="42"/>
      <c r="AE1232" s="42"/>
      <c r="AF1232" s="42"/>
      <c r="AG1232" s="42"/>
      <c r="AH1232" s="42"/>
      <c r="AI1232" s="42"/>
      <c r="AJ1232" s="42"/>
      <c r="AK1232" s="42"/>
    </row>
    <row r="1233" spans="2:37" s="8" customFormat="1" x14ac:dyDescent="0.25">
      <c r="B1233" s="29"/>
      <c r="D1233" s="4" t="s">
        <v>244</v>
      </c>
      <c r="E1233" s="4"/>
      <c r="F1233" s="4"/>
      <c r="H1233" s="4"/>
      <c r="I1233" s="42"/>
      <c r="J1233" s="42"/>
      <c r="K1233" s="42"/>
      <c r="L1233" s="42"/>
      <c r="M1233" s="42"/>
      <c r="N1233" s="42"/>
      <c r="O1233" s="42"/>
      <c r="P1233" s="42"/>
      <c r="Q1233" s="42"/>
      <c r="R1233" s="42"/>
      <c r="S1233" s="42"/>
      <c r="T1233" s="42"/>
      <c r="U1233" s="42"/>
      <c r="V1233" s="42"/>
      <c r="W1233" s="42"/>
      <c r="X1233" s="42"/>
      <c r="Y1233" s="42"/>
      <c r="Z1233" s="42"/>
      <c r="AA1233" s="42"/>
      <c r="AB1233" s="59"/>
      <c r="AC1233" s="42"/>
      <c r="AD1233" s="42"/>
      <c r="AE1233" s="42"/>
      <c r="AF1233" s="42"/>
      <c r="AG1233" s="42"/>
      <c r="AH1233" s="42"/>
      <c r="AI1233" s="42"/>
      <c r="AJ1233" s="42"/>
      <c r="AK1233" s="42"/>
    </row>
    <row r="1234" spans="2:37" s="8" customFormat="1" x14ac:dyDescent="0.25">
      <c r="B1234" s="29"/>
      <c r="D1234" s="4"/>
      <c r="E1234" s="4" t="s">
        <v>548</v>
      </c>
      <c r="F1234" s="4"/>
      <c r="H1234" s="4" t="s">
        <v>549</v>
      </c>
      <c r="I1234" s="42"/>
      <c r="J1234" s="42"/>
      <c r="K1234" s="42"/>
      <c r="L1234" s="42"/>
      <c r="M1234" s="42"/>
      <c r="N1234" s="42"/>
      <c r="O1234" s="42"/>
      <c r="P1234" s="42"/>
      <c r="Q1234" s="42"/>
      <c r="R1234" s="42"/>
      <c r="S1234" s="42"/>
      <c r="T1234" s="42"/>
      <c r="U1234" s="42"/>
      <c r="V1234" s="42"/>
      <c r="W1234" s="42"/>
      <c r="X1234" s="42"/>
      <c r="Y1234" s="42"/>
      <c r="Z1234" s="42"/>
      <c r="AA1234" s="42"/>
      <c r="AB1234" s="59"/>
      <c r="AC1234" s="42"/>
      <c r="AD1234" s="42"/>
      <c r="AE1234" s="42"/>
      <c r="AF1234" s="42"/>
      <c r="AG1234" s="42"/>
      <c r="AH1234" s="42"/>
      <c r="AI1234" s="42"/>
      <c r="AJ1234" s="42"/>
      <c r="AK1234" s="42"/>
    </row>
    <row r="1235" spans="2:37" s="8" customFormat="1" x14ac:dyDescent="0.25">
      <c r="B1235" s="29"/>
      <c r="D1235" s="4"/>
      <c r="E1235" s="4" t="s">
        <v>550</v>
      </c>
      <c r="F1235" s="4"/>
      <c r="H1235" s="4" t="s">
        <v>549</v>
      </c>
      <c r="I1235" s="42"/>
      <c r="J1235" s="42"/>
      <c r="K1235" s="42"/>
      <c r="L1235" s="42"/>
      <c r="M1235" s="42"/>
      <c r="N1235" s="42"/>
      <c r="O1235" s="42"/>
      <c r="P1235" s="42"/>
      <c r="Q1235" s="42"/>
      <c r="R1235" s="42"/>
      <c r="S1235" s="42"/>
      <c r="T1235" s="42"/>
      <c r="U1235" s="42"/>
      <c r="V1235" s="42"/>
      <c r="W1235" s="42"/>
      <c r="X1235" s="42"/>
      <c r="Y1235" s="42"/>
      <c r="Z1235" s="42"/>
      <c r="AA1235" s="42"/>
      <c r="AB1235" s="59"/>
      <c r="AC1235" s="42"/>
      <c r="AD1235" s="42"/>
      <c r="AE1235" s="42"/>
      <c r="AF1235" s="42"/>
      <c r="AG1235" s="42"/>
      <c r="AH1235" s="42"/>
      <c r="AI1235" s="42"/>
      <c r="AJ1235" s="42"/>
      <c r="AK1235" s="42"/>
    </row>
    <row r="1236" spans="2:37" s="8" customFormat="1" x14ac:dyDescent="0.25">
      <c r="B1236" s="29"/>
      <c r="D1236" s="4"/>
      <c r="E1236" s="4" t="s">
        <v>556</v>
      </c>
      <c r="F1236" s="4"/>
      <c r="H1236" s="4" t="s">
        <v>549</v>
      </c>
      <c r="I1236" s="42"/>
      <c r="J1236" s="42"/>
      <c r="K1236" s="42"/>
      <c r="L1236" s="42"/>
      <c r="M1236" s="42"/>
      <c r="N1236" s="42"/>
      <c r="O1236" s="42"/>
      <c r="P1236" s="42"/>
      <c r="Q1236" s="42"/>
      <c r="R1236" s="42"/>
      <c r="S1236" s="42"/>
      <c r="T1236" s="42"/>
      <c r="U1236" s="42"/>
      <c r="V1236" s="42"/>
      <c r="W1236" s="42"/>
      <c r="X1236" s="42"/>
      <c r="Y1236" s="42"/>
      <c r="Z1236" s="42"/>
      <c r="AA1236" s="42"/>
      <c r="AB1236" s="59"/>
      <c r="AC1236" s="42"/>
      <c r="AD1236" s="42"/>
      <c r="AE1236" s="42"/>
      <c r="AF1236" s="42"/>
      <c r="AG1236" s="42"/>
      <c r="AH1236" s="42"/>
      <c r="AI1236" s="42"/>
      <c r="AJ1236" s="42"/>
      <c r="AK1236" s="42"/>
    </row>
    <row r="1237" spans="2:37" s="8" customFormat="1" x14ac:dyDescent="0.25">
      <c r="B1237" s="29"/>
      <c r="D1237" s="4"/>
      <c r="E1237" s="4" t="s">
        <v>557</v>
      </c>
      <c r="F1237" s="4"/>
      <c r="H1237" s="4" t="s">
        <v>549</v>
      </c>
      <c r="I1237" s="42"/>
      <c r="J1237" s="42"/>
      <c r="K1237" s="42"/>
      <c r="L1237" s="42"/>
      <c r="M1237" s="42"/>
      <c r="N1237" s="42"/>
      <c r="O1237" s="42"/>
      <c r="P1237" s="42"/>
      <c r="Q1237" s="42"/>
      <c r="R1237" s="42"/>
      <c r="S1237" s="42"/>
      <c r="T1237" s="42"/>
      <c r="U1237" s="42"/>
      <c r="V1237" s="42"/>
      <c r="W1237" s="42"/>
      <c r="X1237" s="42"/>
      <c r="Y1237" s="42"/>
      <c r="Z1237" s="42"/>
      <c r="AA1237" s="42"/>
      <c r="AB1237" s="59"/>
      <c r="AC1237" s="42"/>
      <c r="AD1237" s="42"/>
      <c r="AE1237" s="42"/>
      <c r="AF1237" s="42"/>
      <c r="AG1237" s="42"/>
      <c r="AH1237" s="42"/>
      <c r="AI1237" s="42"/>
      <c r="AJ1237" s="42"/>
      <c r="AK1237" s="42"/>
    </row>
    <row r="1238" spans="2:37" s="8" customFormat="1" x14ac:dyDescent="0.25">
      <c r="B1238" s="29"/>
      <c r="C1238" s="8" t="s">
        <v>562</v>
      </c>
      <c r="F1238" s="4"/>
      <c r="G1238" s="226">
        <v>0.66666666666666663</v>
      </c>
      <c r="H1238" s="4"/>
      <c r="I1238" s="42"/>
      <c r="J1238" s="42"/>
      <c r="K1238" s="42"/>
      <c r="L1238" s="42"/>
      <c r="M1238" s="42"/>
      <c r="N1238" s="42"/>
      <c r="O1238" s="42"/>
      <c r="P1238" s="42"/>
      <c r="Q1238" s="42"/>
      <c r="R1238" s="42"/>
      <c r="S1238" s="42"/>
      <c r="T1238" s="42"/>
      <c r="U1238" s="42"/>
      <c r="V1238" s="42"/>
      <c r="W1238" s="42"/>
      <c r="X1238" s="42"/>
      <c r="Y1238" s="42"/>
      <c r="Z1238" s="42"/>
      <c r="AA1238" s="42"/>
      <c r="AB1238" s="59"/>
      <c r="AC1238" s="42"/>
      <c r="AD1238" s="42"/>
      <c r="AE1238" s="42"/>
      <c r="AF1238" s="42"/>
      <c r="AG1238" s="42"/>
      <c r="AH1238" s="42"/>
      <c r="AI1238" s="42"/>
      <c r="AJ1238" s="42"/>
      <c r="AK1238" s="42"/>
    </row>
    <row r="1239" spans="2:37" s="8" customFormat="1" x14ac:dyDescent="0.25">
      <c r="B1239" s="29"/>
      <c r="D1239" s="4" t="s">
        <v>250</v>
      </c>
      <c r="E1239" s="4"/>
      <c r="F1239" s="4"/>
      <c r="I1239" s="42"/>
      <c r="J1239" s="42"/>
      <c r="K1239" s="42"/>
      <c r="L1239" s="42"/>
      <c r="M1239" s="42"/>
      <c r="N1239" s="42"/>
      <c r="O1239" s="42"/>
      <c r="P1239" s="42"/>
      <c r="Q1239" s="42"/>
      <c r="R1239" s="42"/>
      <c r="S1239" s="42"/>
      <c r="T1239" s="42"/>
      <c r="U1239" s="42"/>
      <c r="V1239" s="42"/>
      <c r="W1239" s="42"/>
      <c r="X1239" s="42"/>
      <c r="Y1239" s="42"/>
      <c r="Z1239" s="42"/>
      <c r="AA1239" s="42"/>
      <c r="AB1239" s="59"/>
      <c r="AC1239" s="42"/>
      <c r="AD1239" s="42"/>
      <c r="AE1239" s="42"/>
      <c r="AF1239" s="42"/>
      <c r="AG1239" s="42"/>
      <c r="AH1239" s="42"/>
      <c r="AI1239" s="42"/>
      <c r="AJ1239" s="42"/>
      <c r="AK1239" s="42"/>
    </row>
    <row r="1240" spans="2:37" s="8" customFormat="1" x14ac:dyDescent="0.25">
      <c r="B1240" s="29"/>
      <c r="D1240" s="4"/>
      <c r="E1240" s="4" t="s">
        <v>548</v>
      </c>
      <c r="F1240" s="4"/>
      <c r="H1240" s="4" t="s">
        <v>549</v>
      </c>
      <c r="I1240" s="42"/>
      <c r="J1240" s="42"/>
      <c r="K1240" s="42"/>
      <c r="L1240" s="42"/>
      <c r="M1240" s="42"/>
      <c r="N1240" s="42"/>
      <c r="O1240" s="42"/>
      <c r="P1240" s="42"/>
      <c r="Q1240" s="42"/>
      <c r="R1240" s="42"/>
      <c r="S1240" s="42"/>
      <c r="T1240" s="42"/>
      <c r="U1240" s="42"/>
      <c r="V1240" s="42"/>
      <c r="W1240" s="42"/>
      <c r="X1240" s="42"/>
      <c r="Y1240" s="42"/>
      <c r="Z1240" s="42"/>
      <c r="AA1240" s="42"/>
      <c r="AB1240" s="59">
        <v>11</v>
      </c>
      <c r="AC1240" s="42"/>
      <c r="AD1240" s="42"/>
      <c r="AE1240" s="42"/>
      <c r="AF1240" s="42"/>
      <c r="AG1240" s="42"/>
      <c r="AH1240" s="42"/>
      <c r="AI1240" s="42"/>
      <c r="AJ1240" s="42"/>
      <c r="AK1240" s="42"/>
    </row>
    <row r="1241" spans="2:37" s="8" customFormat="1" x14ac:dyDescent="0.25">
      <c r="B1241" s="29"/>
      <c r="D1241" s="4"/>
      <c r="E1241" s="4" t="s">
        <v>550</v>
      </c>
      <c r="F1241" s="4"/>
      <c r="H1241" s="4" t="s">
        <v>549</v>
      </c>
      <c r="I1241" s="42"/>
      <c r="J1241" s="42"/>
      <c r="K1241" s="42"/>
      <c r="L1241" s="42"/>
      <c r="M1241" s="42"/>
      <c r="N1241" s="42"/>
      <c r="O1241" s="42"/>
      <c r="P1241" s="42"/>
      <c r="Q1241" s="42"/>
      <c r="R1241" s="42"/>
      <c r="S1241" s="42"/>
      <c r="T1241" s="42"/>
      <c r="U1241" s="42"/>
      <c r="V1241" s="42"/>
      <c r="W1241" s="42"/>
      <c r="X1241" s="42"/>
      <c r="Y1241" s="42"/>
      <c r="Z1241" s="42"/>
      <c r="AA1241" s="42"/>
      <c r="AB1241" s="59"/>
      <c r="AC1241" s="42"/>
      <c r="AD1241" s="42"/>
      <c r="AE1241" s="42"/>
      <c r="AF1241" s="42"/>
      <c r="AG1241" s="42"/>
      <c r="AH1241" s="42"/>
      <c r="AI1241" s="42"/>
      <c r="AJ1241" s="42"/>
      <c r="AK1241" s="42"/>
    </row>
    <row r="1242" spans="2:37" s="8" customFormat="1" x14ac:dyDescent="0.25">
      <c r="B1242" s="29"/>
      <c r="D1242" s="4"/>
      <c r="E1242" s="4" t="s">
        <v>556</v>
      </c>
      <c r="F1242" s="4"/>
      <c r="H1242" s="4" t="s">
        <v>549</v>
      </c>
      <c r="I1242" s="42"/>
      <c r="J1242" s="42"/>
      <c r="K1242" s="42"/>
      <c r="L1242" s="42"/>
      <c r="M1242" s="42"/>
      <c r="N1242" s="42"/>
      <c r="O1242" s="42"/>
      <c r="P1242" s="42"/>
      <c r="Q1242" s="42"/>
      <c r="R1242" s="42"/>
      <c r="S1242" s="42"/>
      <c r="T1242" s="42"/>
      <c r="U1242" s="42"/>
      <c r="V1242" s="42"/>
      <c r="W1242" s="42"/>
      <c r="X1242" s="42"/>
      <c r="Y1242" s="42"/>
      <c r="Z1242" s="42"/>
      <c r="AA1242" s="42"/>
      <c r="AB1242" s="59">
        <v>17.399999999999999</v>
      </c>
      <c r="AC1242" s="42"/>
      <c r="AD1242" s="42"/>
      <c r="AE1242" s="42"/>
      <c r="AF1242" s="42"/>
      <c r="AG1242" s="42"/>
      <c r="AH1242" s="42"/>
      <c r="AI1242" s="42"/>
      <c r="AJ1242" s="42"/>
      <c r="AK1242" s="42"/>
    </row>
    <row r="1243" spans="2:37" s="8" customFormat="1" x14ac:dyDescent="0.25">
      <c r="B1243" s="29"/>
      <c r="D1243" s="4"/>
      <c r="E1243" s="4" t="s">
        <v>557</v>
      </c>
      <c r="F1243" s="4"/>
      <c r="H1243" s="4" t="s">
        <v>549</v>
      </c>
      <c r="I1243" s="42"/>
      <c r="J1243" s="42"/>
      <c r="K1243" s="42"/>
      <c r="L1243" s="42"/>
      <c r="M1243" s="42"/>
      <c r="N1243" s="42"/>
      <c r="O1243" s="42"/>
      <c r="P1243" s="42"/>
      <c r="Q1243" s="42"/>
      <c r="R1243" s="42"/>
      <c r="S1243" s="42"/>
      <c r="T1243" s="42"/>
      <c r="U1243" s="42"/>
      <c r="V1243" s="42"/>
      <c r="W1243" s="42"/>
      <c r="X1243" s="42"/>
      <c r="Y1243" s="42"/>
      <c r="Z1243" s="42"/>
      <c r="AA1243" s="42"/>
      <c r="AB1243" s="59">
        <v>29</v>
      </c>
      <c r="AC1243" s="42"/>
      <c r="AD1243" s="42"/>
      <c r="AE1243" s="42"/>
      <c r="AF1243" s="42"/>
      <c r="AG1243" s="42"/>
      <c r="AH1243" s="42"/>
      <c r="AI1243" s="42"/>
      <c r="AJ1243" s="42"/>
      <c r="AK1243" s="42"/>
    </row>
    <row r="1244" spans="2:37" s="8" customFormat="1" x14ac:dyDescent="0.25">
      <c r="B1244" s="29"/>
      <c r="D1244" s="4" t="s">
        <v>244</v>
      </c>
      <c r="E1244" s="4"/>
      <c r="F1244" s="4"/>
      <c r="H1244" s="4"/>
      <c r="I1244" s="42"/>
      <c r="J1244" s="42"/>
      <c r="K1244" s="42"/>
      <c r="L1244" s="42"/>
      <c r="M1244" s="42"/>
      <c r="N1244" s="42"/>
      <c r="O1244" s="42"/>
      <c r="P1244" s="42"/>
      <c r="Q1244" s="42"/>
      <c r="R1244" s="42"/>
      <c r="S1244" s="42"/>
      <c r="T1244" s="42"/>
      <c r="U1244" s="42"/>
      <c r="V1244" s="42"/>
      <c r="W1244" s="42"/>
      <c r="X1244" s="42"/>
      <c r="Y1244" s="42"/>
      <c r="Z1244" s="42"/>
      <c r="AA1244" s="42"/>
      <c r="AB1244" s="59"/>
      <c r="AC1244" s="42"/>
      <c r="AD1244" s="42"/>
      <c r="AE1244" s="42"/>
      <c r="AF1244" s="42"/>
      <c r="AG1244" s="42"/>
      <c r="AH1244" s="42"/>
      <c r="AI1244" s="42"/>
      <c r="AJ1244" s="42"/>
      <c r="AK1244" s="42"/>
    </row>
    <row r="1245" spans="2:37" s="8" customFormat="1" x14ac:dyDescent="0.25">
      <c r="B1245" s="29"/>
      <c r="D1245" s="4"/>
      <c r="E1245" s="4" t="s">
        <v>548</v>
      </c>
      <c r="F1245" s="4"/>
      <c r="H1245" s="4" t="s">
        <v>549</v>
      </c>
      <c r="I1245" s="42"/>
      <c r="J1245" s="42"/>
      <c r="K1245" s="42"/>
      <c r="L1245" s="42"/>
      <c r="M1245" s="42"/>
      <c r="N1245" s="42"/>
      <c r="O1245" s="42"/>
      <c r="P1245" s="42"/>
      <c r="Q1245" s="42"/>
      <c r="R1245" s="42"/>
      <c r="S1245" s="42"/>
      <c r="T1245" s="42"/>
      <c r="U1245" s="42"/>
      <c r="V1245" s="42"/>
      <c r="W1245" s="42"/>
      <c r="X1245" s="42"/>
      <c r="Y1245" s="42"/>
      <c r="Z1245" s="42"/>
      <c r="AA1245" s="42"/>
      <c r="AB1245" s="59"/>
      <c r="AC1245" s="42"/>
      <c r="AD1245" s="42"/>
      <c r="AE1245" s="42"/>
      <c r="AF1245" s="42"/>
      <c r="AG1245" s="42"/>
      <c r="AH1245" s="42"/>
      <c r="AI1245" s="42"/>
      <c r="AJ1245" s="42"/>
      <c r="AK1245" s="42"/>
    </row>
    <row r="1246" spans="2:37" s="8" customFormat="1" x14ac:dyDescent="0.25">
      <c r="B1246" s="29"/>
      <c r="D1246" s="4"/>
      <c r="E1246" s="4" t="s">
        <v>550</v>
      </c>
      <c r="F1246" s="4"/>
      <c r="H1246" s="4" t="s">
        <v>549</v>
      </c>
      <c r="I1246" s="42"/>
      <c r="J1246" s="42"/>
      <c r="K1246" s="42"/>
      <c r="L1246" s="42"/>
      <c r="M1246" s="42"/>
      <c r="N1246" s="42"/>
      <c r="O1246" s="42"/>
      <c r="P1246" s="42"/>
      <c r="Q1246" s="42"/>
      <c r="R1246" s="42"/>
      <c r="S1246" s="42"/>
      <c r="T1246" s="42"/>
      <c r="U1246" s="42"/>
      <c r="V1246" s="42"/>
      <c r="W1246" s="42"/>
      <c r="X1246" s="42"/>
      <c r="Y1246" s="42"/>
      <c r="Z1246" s="42"/>
      <c r="AA1246" s="42"/>
      <c r="AB1246" s="59"/>
      <c r="AC1246" s="42"/>
      <c r="AD1246" s="42"/>
      <c r="AE1246" s="42"/>
      <c r="AF1246" s="42"/>
      <c r="AG1246" s="42"/>
      <c r="AH1246" s="42"/>
      <c r="AI1246" s="42"/>
      <c r="AJ1246" s="42"/>
      <c r="AK1246" s="42"/>
    </row>
    <row r="1247" spans="2:37" s="8" customFormat="1" x14ac:dyDescent="0.25">
      <c r="B1247" s="29"/>
      <c r="D1247" s="4"/>
      <c r="E1247" s="4" t="s">
        <v>556</v>
      </c>
      <c r="F1247" s="4"/>
      <c r="H1247" s="4" t="s">
        <v>549</v>
      </c>
      <c r="I1247" s="42"/>
      <c r="J1247" s="42"/>
      <c r="K1247" s="42"/>
      <c r="L1247" s="42"/>
      <c r="M1247" s="42"/>
      <c r="N1247" s="42"/>
      <c r="O1247" s="42"/>
      <c r="P1247" s="42"/>
      <c r="Q1247" s="42"/>
      <c r="R1247" s="42"/>
      <c r="S1247" s="42"/>
      <c r="T1247" s="42"/>
      <c r="U1247" s="42"/>
      <c r="V1247" s="42"/>
      <c r="W1247" s="42"/>
      <c r="X1247" s="42"/>
      <c r="Y1247" s="42"/>
      <c r="Z1247" s="42"/>
      <c r="AA1247" s="42"/>
      <c r="AB1247" s="59"/>
      <c r="AC1247" s="42"/>
      <c r="AD1247" s="42"/>
      <c r="AE1247" s="42"/>
      <c r="AF1247" s="42"/>
      <c r="AG1247" s="42"/>
      <c r="AH1247" s="42"/>
      <c r="AI1247" s="42"/>
      <c r="AJ1247" s="42"/>
      <c r="AK1247" s="42"/>
    </row>
    <row r="1248" spans="2:37" s="8" customFormat="1" x14ac:dyDescent="0.25">
      <c r="B1248" s="29"/>
      <c r="D1248" s="4"/>
      <c r="E1248" s="4" t="s">
        <v>557</v>
      </c>
      <c r="F1248" s="4"/>
      <c r="H1248" s="4" t="s">
        <v>549</v>
      </c>
      <c r="I1248" s="42"/>
      <c r="J1248" s="42"/>
      <c r="K1248" s="42"/>
      <c r="L1248" s="42"/>
      <c r="M1248" s="42"/>
      <c r="N1248" s="42"/>
      <c r="O1248" s="42"/>
      <c r="P1248" s="42"/>
      <c r="Q1248" s="42"/>
      <c r="R1248" s="42"/>
      <c r="S1248" s="42"/>
      <c r="T1248" s="42"/>
      <c r="U1248" s="42"/>
      <c r="V1248" s="42"/>
      <c r="W1248" s="42"/>
      <c r="X1248" s="42"/>
      <c r="Y1248" s="42"/>
      <c r="Z1248" s="42"/>
      <c r="AA1248" s="42"/>
      <c r="AB1248" s="42"/>
      <c r="AC1248" s="42"/>
      <c r="AD1248" s="42"/>
      <c r="AE1248" s="42"/>
      <c r="AF1248" s="42"/>
      <c r="AG1248" s="42"/>
      <c r="AH1248" s="42"/>
      <c r="AI1248" s="42"/>
      <c r="AJ1248" s="42"/>
      <c r="AK1248" s="42"/>
    </row>
    <row r="1249" spans="1:37" s="2" customFormat="1" x14ac:dyDescent="0.25">
      <c r="B1249" s="3"/>
      <c r="J1249" s="48"/>
      <c r="K1249" s="48"/>
      <c r="L1249" s="48"/>
      <c r="M1249" s="48"/>
      <c r="N1249" s="48"/>
    </row>
    <row r="1250" spans="1:37" s="28" customFormat="1" ht="17.25" x14ac:dyDescent="0.3">
      <c r="A1250" s="28" t="s">
        <v>563</v>
      </c>
    </row>
    <row r="1251" spans="1:37" x14ac:dyDescent="0.25">
      <c r="B1251" s="29" t="s">
        <v>3</v>
      </c>
      <c r="C1251" t="s">
        <v>564</v>
      </c>
    </row>
    <row r="1252" spans="1:37" x14ac:dyDescent="0.25">
      <c r="B1252" s="29" t="s">
        <v>10</v>
      </c>
      <c r="C1252" s="263" t="s">
        <v>563</v>
      </c>
    </row>
    <row r="1253" spans="1:37" x14ac:dyDescent="0.25">
      <c r="B1253" s="29" t="s">
        <v>14</v>
      </c>
      <c r="C1253" t="s">
        <v>565</v>
      </c>
    </row>
    <row r="1254" spans="1:37" x14ac:dyDescent="0.25">
      <c r="B1254" s="29" t="s">
        <v>17</v>
      </c>
      <c r="C1254" t="s">
        <v>566</v>
      </c>
    </row>
    <row r="1255" spans="1:37" s="25" customFormat="1" ht="15.75" thickBot="1" x14ac:dyDescent="0.3">
      <c r="B1255" s="30" t="s">
        <v>19</v>
      </c>
      <c r="C1255" s="25" t="s">
        <v>2029</v>
      </c>
    </row>
    <row r="1256" spans="1:37" s="8" customFormat="1" ht="15.75" thickTop="1" x14ac:dyDescent="0.25">
      <c r="B1256" s="29" t="s">
        <v>21</v>
      </c>
      <c r="C1256" s="8" t="s">
        <v>567</v>
      </c>
      <c r="H1256" s="8" t="s">
        <v>568</v>
      </c>
      <c r="I1256" s="42">
        <f>SUM(I1257:I1268)</f>
        <v>337450</v>
      </c>
      <c r="J1256" s="42">
        <f t="shared" ref="J1256:AK1256" si="207">SUM(J1257:J1268)</f>
        <v>363180</v>
      </c>
      <c r="K1256" s="42">
        <f t="shared" si="207"/>
        <v>437923</v>
      </c>
      <c r="L1256" s="42">
        <f t="shared" si="207"/>
        <v>530642</v>
      </c>
      <c r="M1256" s="42">
        <f t="shared" si="207"/>
        <v>625874</v>
      </c>
      <c r="N1256" s="42">
        <f t="shared" si="207"/>
        <v>712562</v>
      </c>
      <c r="O1256" s="42">
        <f t="shared" si="207"/>
        <v>880898</v>
      </c>
      <c r="P1256" s="42">
        <f t="shared" si="207"/>
        <v>817327</v>
      </c>
      <c r="Q1256" s="42">
        <f t="shared" si="207"/>
        <v>803942</v>
      </c>
      <c r="R1256" s="42">
        <f t="shared" si="207"/>
        <v>838150</v>
      </c>
      <c r="S1256" s="42">
        <f t="shared" si="207"/>
        <v>878833</v>
      </c>
      <c r="T1256" s="42">
        <f t="shared" si="207"/>
        <v>905794</v>
      </c>
      <c r="U1256" s="42">
        <f t="shared" si="207"/>
        <v>982131</v>
      </c>
      <c r="V1256" s="42">
        <f t="shared" si="207"/>
        <v>936245</v>
      </c>
      <c r="W1256" s="42">
        <f t="shared" si="207"/>
        <v>981599</v>
      </c>
      <c r="X1256" s="42">
        <f t="shared" si="207"/>
        <v>1019392</v>
      </c>
      <c r="Y1256" s="42">
        <f t="shared" si="207"/>
        <v>1071736</v>
      </c>
      <c r="Z1256" s="42">
        <f t="shared" si="207"/>
        <v>1098706</v>
      </c>
      <c r="AA1256" s="42">
        <f t="shared" si="207"/>
        <v>589568</v>
      </c>
      <c r="AB1256" s="42">
        <f t="shared" si="207"/>
        <v>516512</v>
      </c>
      <c r="AC1256" s="42">
        <f t="shared" si="207"/>
        <v>758100</v>
      </c>
      <c r="AD1256" s="42">
        <f t="shared" si="207"/>
        <v>0</v>
      </c>
      <c r="AE1256" s="42">
        <f t="shared" si="207"/>
        <v>0</v>
      </c>
      <c r="AF1256" s="42">
        <f t="shared" si="207"/>
        <v>0</v>
      </c>
      <c r="AG1256" s="42">
        <f t="shared" si="207"/>
        <v>0</v>
      </c>
      <c r="AH1256" s="42">
        <f t="shared" si="207"/>
        <v>0</v>
      </c>
      <c r="AI1256" s="42">
        <f t="shared" si="207"/>
        <v>0</v>
      </c>
      <c r="AJ1256" s="42">
        <f t="shared" si="207"/>
        <v>0</v>
      </c>
      <c r="AK1256" s="42">
        <f t="shared" si="207"/>
        <v>0</v>
      </c>
    </row>
    <row r="1257" spans="1:37" s="4" customFormat="1" x14ac:dyDescent="0.25">
      <c r="B1257" s="94"/>
      <c r="D1257" s="4" t="s">
        <v>244</v>
      </c>
      <c r="H1257" s="4" t="s">
        <v>568</v>
      </c>
      <c r="I1257" s="59">
        <v>49872</v>
      </c>
      <c r="J1257" s="59">
        <v>58914</v>
      </c>
      <c r="K1257" s="59">
        <v>67428</v>
      </c>
      <c r="L1257" s="59">
        <v>90545</v>
      </c>
      <c r="M1257" s="59">
        <v>105982</v>
      </c>
      <c r="N1257" s="59">
        <v>108299</v>
      </c>
      <c r="O1257" s="59">
        <v>125954</v>
      </c>
      <c r="P1257" s="59">
        <v>129024</v>
      </c>
      <c r="Q1257" s="59">
        <v>114954</v>
      </c>
      <c r="R1257" s="59">
        <v>118651</v>
      </c>
      <c r="S1257" s="59">
        <v>125304</v>
      </c>
      <c r="T1257" s="59">
        <v>132042</v>
      </c>
      <c r="U1257" s="59">
        <v>142330</v>
      </c>
      <c r="V1257" s="59">
        <v>145348</v>
      </c>
      <c r="W1257" s="59">
        <v>141747</v>
      </c>
      <c r="X1257" s="59">
        <v>143512</v>
      </c>
      <c r="Y1257" s="59">
        <v>156841</v>
      </c>
      <c r="Z1257" s="59">
        <v>160357</v>
      </c>
      <c r="AA1257" s="59">
        <v>151243</v>
      </c>
      <c r="AB1257" s="59">
        <v>66934</v>
      </c>
      <c r="AC1257" s="59">
        <v>97062</v>
      </c>
      <c r="AD1257" s="59"/>
      <c r="AE1257" s="59"/>
      <c r="AF1257" s="59"/>
      <c r="AG1257" s="59"/>
      <c r="AH1257" s="59"/>
      <c r="AI1257" s="59"/>
      <c r="AJ1257" s="59"/>
      <c r="AK1257" s="59"/>
    </row>
    <row r="1258" spans="1:37" s="4" customFormat="1" x14ac:dyDescent="0.25">
      <c r="B1258" s="94"/>
      <c r="D1258" s="4" t="s">
        <v>245</v>
      </c>
      <c r="H1258" s="4" t="s">
        <v>568</v>
      </c>
      <c r="I1258" s="59">
        <v>58085</v>
      </c>
      <c r="J1258" s="59">
        <v>57939</v>
      </c>
      <c r="K1258" s="59">
        <v>66156</v>
      </c>
      <c r="L1258" s="59">
        <v>79092</v>
      </c>
      <c r="M1258" s="59">
        <v>95281</v>
      </c>
      <c r="N1258" s="59">
        <v>98244</v>
      </c>
      <c r="O1258" s="59">
        <v>118011</v>
      </c>
      <c r="P1258" s="59">
        <v>118073</v>
      </c>
      <c r="Q1258" s="59">
        <v>112226</v>
      </c>
      <c r="R1258" s="59">
        <v>113232</v>
      </c>
      <c r="S1258" s="59">
        <v>120976</v>
      </c>
      <c r="T1258" s="59">
        <v>125700</v>
      </c>
      <c r="U1258" s="59">
        <v>135830</v>
      </c>
      <c r="V1258" s="59">
        <v>131257</v>
      </c>
      <c r="W1258" s="59">
        <v>134139</v>
      </c>
      <c r="X1258" s="59">
        <v>125483</v>
      </c>
      <c r="Y1258" s="59">
        <v>141408</v>
      </c>
      <c r="Z1258" s="59">
        <v>148838</v>
      </c>
      <c r="AA1258" s="59">
        <v>153539</v>
      </c>
      <c r="AB1258" s="59">
        <v>60646</v>
      </c>
      <c r="AC1258" s="59">
        <v>93604</v>
      </c>
      <c r="AD1258" s="59"/>
      <c r="AE1258" s="59"/>
      <c r="AF1258" s="59"/>
      <c r="AG1258" s="59"/>
      <c r="AH1258" s="59"/>
      <c r="AI1258" s="59"/>
      <c r="AJ1258" s="59"/>
      <c r="AK1258" s="59"/>
    </row>
    <row r="1259" spans="1:37" s="4" customFormat="1" x14ac:dyDescent="0.25">
      <c r="B1259" s="94"/>
      <c r="D1259" s="4" t="s">
        <v>246</v>
      </c>
      <c r="H1259" s="4" t="s">
        <v>568</v>
      </c>
      <c r="I1259" s="59">
        <v>64449</v>
      </c>
      <c r="J1259" s="59">
        <v>55755</v>
      </c>
      <c r="K1259" s="59">
        <v>65365</v>
      </c>
      <c r="L1259" s="59">
        <v>80561</v>
      </c>
      <c r="M1259" s="59">
        <v>98249</v>
      </c>
      <c r="N1259" s="59">
        <v>97671</v>
      </c>
      <c r="O1259" s="59">
        <v>112181</v>
      </c>
      <c r="P1259" s="59">
        <v>112787</v>
      </c>
      <c r="Q1259" s="59">
        <v>106796</v>
      </c>
      <c r="R1259" s="59">
        <v>119661</v>
      </c>
      <c r="S1259" s="59">
        <v>115666</v>
      </c>
      <c r="T1259" s="59">
        <v>122812</v>
      </c>
      <c r="U1259" s="59">
        <v>132363</v>
      </c>
      <c r="V1259" s="59">
        <v>120939</v>
      </c>
      <c r="W1259" s="59">
        <v>131586</v>
      </c>
      <c r="X1259" s="59">
        <v>133759</v>
      </c>
      <c r="Y1259" s="59">
        <v>139961</v>
      </c>
      <c r="Z1259" s="59">
        <v>144751</v>
      </c>
      <c r="AA1259" s="59">
        <v>84641</v>
      </c>
      <c r="AB1259" s="59">
        <v>62378</v>
      </c>
      <c r="AC1259" s="59">
        <v>95501</v>
      </c>
      <c r="AD1259" s="59"/>
      <c r="AE1259" s="59"/>
      <c r="AF1259" s="59"/>
      <c r="AG1259" s="59"/>
      <c r="AH1259" s="59"/>
      <c r="AI1259" s="59"/>
      <c r="AJ1259" s="59"/>
      <c r="AK1259" s="59"/>
    </row>
    <row r="1260" spans="1:37" s="4" customFormat="1" x14ac:dyDescent="0.25">
      <c r="B1260" s="94"/>
      <c r="D1260" s="4" t="s">
        <v>247</v>
      </c>
      <c r="H1260" s="4" t="s">
        <v>568</v>
      </c>
      <c r="I1260" s="59">
        <v>11572</v>
      </c>
      <c r="J1260" s="59">
        <v>11977</v>
      </c>
      <c r="K1260" s="59">
        <v>13334</v>
      </c>
      <c r="L1260" s="59">
        <v>20373</v>
      </c>
      <c r="M1260" s="59">
        <v>17413</v>
      </c>
      <c r="N1260" s="59">
        <v>28161</v>
      </c>
      <c r="O1260" s="59">
        <v>38139</v>
      </c>
      <c r="P1260" s="59">
        <v>38814</v>
      </c>
      <c r="Q1260" s="59">
        <v>37434</v>
      </c>
      <c r="R1260" s="59">
        <v>37032</v>
      </c>
      <c r="S1260" s="59">
        <v>43655</v>
      </c>
      <c r="T1260" s="59">
        <v>45164</v>
      </c>
      <c r="U1260" s="59">
        <v>45371</v>
      </c>
      <c r="V1260" s="59">
        <v>37234</v>
      </c>
      <c r="W1260" s="59">
        <v>38312</v>
      </c>
      <c r="X1260" s="59">
        <v>48443</v>
      </c>
      <c r="Y1260" s="59">
        <v>50080</v>
      </c>
      <c r="Z1260" s="59">
        <v>53956</v>
      </c>
      <c r="AA1260" s="59">
        <v>9595</v>
      </c>
      <c r="AB1260" s="59">
        <v>28623</v>
      </c>
      <c r="AC1260" s="59">
        <v>40921</v>
      </c>
      <c r="AD1260" s="59"/>
      <c r="AE1260" s="59"/>
      <c r="AF1260" s="59"/>
      <c r="AG1260" s="59"/>
      <c r="AH1260" s="59"/>
      <c r="AI1260" s="59"/>
      <c r="AJ1260" s="59"/>
      <c r="AK1260" s="59"/>
    </row>
    <row r="1261" spans="1:37" s="4" customFormat="1" x14ac:dyDescent="0.25">
      <c r="B1261" s="94"/>
      <c r="D1261" s="4" t="s">
        <v>248</v>
      </c>
      <c r="H1261" s="4" t="s">
        <v>568</v>
      </c>
      <c r="I1261" s="59">
        <v>9374</v>
      </c>
      <c r="J1261" s="59">
        <v>11032</v>
      </c>
      <c r="K1261" s="59">
        <v>13181</v>
      </c>
      <c r="L1261" s="59">
        <v>18069</v>
      </c>
      <c r="M1261" s="59">
        <v>23295</v>
      </c>
      <c r="N1261" s="59">
        <v>26033</v>
      </c>
      <c r="O1261" s="59">
        <v>41118</v>
      </c>
      <c r="P1261" s="59">
        <v>39878</v>
      </c>
      <c r="Q1261" s="59">
        <v>36753</v>
      </c>
      <c r="R1261" s="59">
        <v>40297</v>
      </c>
      <c r="S1261" s="59">
        <v>37549</v>
      </c>
      <c r="T1261" s="59">
        <v>39321</v>
      </c>
      <c r="U1261" s="59">
        <v>46694</v>
      </c>
      <c r="V1261" s="59">
        <v>38532</v>
      </c>
      <c r="W1261" s="59">
        <v>41941</v>
      </c>
      <c r="X1261" s="59">
        <v>44741</v>
      </c>
      <c r="Y1261" s="59">
        <v>46463</v>
      </c>
      <c r="Z1261" s="59">
        <v>46947</v>
      </c>
      <c r="AA1261" s="59">
        <v>11919</v>
      </c>
      <c r="AB1261" s="59">
        <v>25368</v>
      </c>
      <c r="AC1261" s="59">
        <v>36619</v>
      </c>
      <c r="AD1261" s="59"/>
      <c r="AE1261" s="59"/>
      <c r="AF1261" s="59"/>
      <c r="AG1261" s="59"/>
      <c r="AH1261" s="59"/>
      <c r="AI1261" s="59"/>
      <c r="AJ1261" s="59"/>
      <c r="AK1261" s="59"/>
    </row>
    <row r="1262" spans="1:37" s="4" customFormat="1" x14ac:dyDescent="0.25">
      <c r="B1262" s="94"/>
      <c r="D1262" s="4" t="s">
        <v>249</v>
      </c>
      <c r="H1262" s="4" t="s">
        <v>568</v>
      </c>
      <c r="I1262" s="59">
        <v>17794</v>
      </c>
      <c r="J1262" s="59">
        <v>20109</v>
      </c>
      <c r="K1262" s="59">
        <v>27352</v>
      </c>
      <c r="L1262" s="59">
        <v>32085</v>
      </c>
      <c r="M1262" s="59">
        <v>39236</v>
      </c>
      <c r="N1262" s="59">
        <v>45226</v>
      </c>
      <c r="O1262" s="59">
        <v>67476</v>
      </c>
      <c r="P1262" s="59">
        <v>53896</v>
      </c>
      <c r="Q1262" s="59">
        <v>50240</v>
      </c>
      <c r="R1262" s="59">
        <v>57179</v>
      </c>
      <c r="S1262" s="59">
        <v>57167</v>
      </c>
      <c r="T1262" s="59">
        <v>60714</v>
      </c>
      <c r="U1262" s="59">
        <v>68597</v>
      </c>
      <c r="V1262" s="59">
        <v>64075</v>
      </c>
      <c r="W1262" s="59">
        <v>68349</v>
      </c>
      <c r="X1262" s="59">
        <v>72659</v>
      </c>
      <c r="Y1262" s="59">
        <v>71946</v>
      </c>
      <c r="Z1262" s="59">
        <v>67461</v>
      </c>
      <c r="AA1262" s="59">
        <v>17598</v>
      </c>
      <c r="AB1262" s="59">
        <v>34800</v>
      </c>
      <c r="AC1262" s="59">
        <v>51510</v>
      </c>
      <c r="AD1262" s="59"/>
      <c r="AE1262" s="59"/>
      <c r="AF1262" s="59"/>
      <c r="AG1262" s="60"/>
      <c r="AH1262" s="60"/>
      <c r="AI1262" s="60"/>
      <c r="AJ1262" s="60"/>
      <c r="AK1262" s="59"/>
    </row>
    <row r="1263" spans="1:37" s="4" customFormat="1" x14ac:dyDescent="0.25">
      <c r="B1263" s="94"/>
      <c r="D1263" s="4" t="s">
        <v>250</v>
      </c>
      <c r="H1263" s="4" t="s">
        <v>568</v>
      </c>
      <c r="I1263" s="59">
        <v>27564</v>
      </c>
      <c r="J1263" s="59">
        <v>30952</v>
      </c>
      <c r="K1263" s="59">
        <v>34727</v>
      </c>
      <c r="L1263" s="59">
        <v>35942</v>
      </c>
      <c r="M1263" s="59">
        <v>46779</v>
      </c>
      <c r="N1263" s="59">
        <v>57716</v>
      </c>
      <c r="O1263" s="59">
        <v>78799</v>
      </c>
      <c r="P1263" s="59">
        <v>59400</v>
      </c>
      <c r="Q1263" s="59">
        <v>59518</v>
      </c>
      <c r="R1263" s="59">
        <v>62524</v>
      </c>
      <c r="S1263" s="59">
        <v>66935</v>
      </c>
      <c r="T1263" s="59">
        <v>67787</v>
      </c>
      <c r="U1263" s="59">
        <v>75333</v>
      </c>
      <c r="V1263" s="59">
        <v>74954</v>
      </c>
      <c r="W1263" s="59">
        <v>79670</v>
      </c>
      <c r="X1263" s="59">
        <v>84383</v>
      </c>
      <c r="Y1263" s="59">
        <v>86843</v>
      </c>
      <c r="Z1263" s="59">
        <v>79986</v>
      </c>
      <c r="AA1263" s="59">
        <v>22069</v>
      </c>
      <c r="AB1263" s="59">
        <v>36576</v>
      </c>
      <c r="AC1263" s="59">
        <v>59335</v>
      </c>
      <c r="AD1263" s="59"/>
      <c r="AE1263" s="59"/>
      <c r="AF1263" s="59"/>
      <c r="AG1263" s="59"/>
      <c r="AH1263" s="59"/>
      <c r="AI1263" s="59"/>
      <c r="AJ1263" s="59"/>
      <c r="AK1263" s="59"/>
    </row>
    <row r="1264" spans="1:37" s="4" customFormat="1" x14ac:dyDescent="0.25">
      <c r="B1264" s="94"/>
      <c r="D1264" s="4" t="s">
        <v>251</v>
      </c>
      <c r="H1264" s="4" t="s">
        <v>568</v>
      </c>
      <c r="I1264" s="59">
        <v>25179</v>
      </c>
      <c r="J1264" s="59">
        <v>28628</v>
      </c>
      <c r="K1264" s="59">
        <v>29835</v>
      </c>
      <c r="L1264" s="59">
        <v>33843</v>
      </c>
      <c r="M1264" s="59">
        <v>42867</v>
      </c>
      <c r="N1264" s="59">
        <v>55439</v>
      </c>
      <c r="O1264" s="59">
        <v>67925</v>
      </c>
      <c r="P1264" s="59">
        <v>56118</v>
      </c>
      <c r="Q1264" s="59">
        <v>55247</v>
      </c>
      <c r="R1264" s="59">
        <v>58486</v>
      </c>
      <c r="S1264" s="59">
        <v>64368</v>
      </c>
      <c r="T1264" s="59">
        <v>61082</v>
      </c>
      <c r="U1264" s="59">
        <v>69860</v>
      </c>
      <c r="V1264" s="59">
        <v>64138</v>
      </c>
      <c r="W1264" s="59">
        <v>76509</v>
      </c>
      <c r="X1264" s="59">
        <v>79810</v>
      </c>
      <c r="Y1264" s="59">
        <v>82403</v>
      </c>
      <c r="Z1264" s="59">
        <v>80203</v>
      </c>
      <c r="AA1264" s="59">
        <v>22836</v>
      </c>
      <c r="AB1264" s="59">
        <v>35890</v>
      </c>
      <c r="AC1264" s="59">
        <v>58391</v>
      </c>
      <c r="AD1264" s="59"/>
      <c r="AE1264" s="59"/>
      <c r="AF1264" s="59"/>
      <c r="AG1264" s="59"/>
      <c r="AH1264" s="59"/>
      <c r="AI1264" s="59"/>
      <c r="AJ1264" s="59"/>
      <c r="AK1264" s="59"/>
    </row>
    <row r="1265" spans="1:37" s="4" customFormat="1" x14ac:dyDescent="0.25">
      <c r="B1265" s="94"/>
      <c r="D1265" s="4" t="s">
        <v>252</v>
      </c>
      <c r="H1265" s="4" t="s">
        <v>568</v>
      </c>
      <c r="I1265" s="59">
        <v>18860</v>
      </c>
      <c r="J1265" s="59">
        <v>22890</v>
      </c>
      <c r="K1265" s="59">
        <v>27936</v>
      </c>
      <c r="L1265" s="59">
        <v>32517</v>
      </c>
      <c r="M1265" s="59">
        <v>39187</v>
      </c>
      <c r="N1265" s="59">
        <v>47307</v>
      </c>
      <c r="O1265" s="59">
        <v>57150</v>
      </c>
      <c r="P1265" s="59">
        <v>50493</v>
      </c>
      <c r="Q1265" s="59">
        <v>48686</v>
      </c>
      <c r="R1265" s="59">
        <v>51602</v>
      </c>
      <c r="S1265" s="59">
        <v>54089</v>
      </c>
      <c r="T1265" s="59">
        <v>54337</v>
      </c>
      <c r="U1265" s="59">
        <v>59119</v>
      </c>
      <c r="V1265" s="59">
        <v>58548</v>
      </c>
      <c r="W1265" s="59">
        <v>58745</v>
      </c>
      <c r="X1265" s="59">
        <v>63529</v>
      </c>
      <c r="Y1265" s="59">
        <v>66945</v>
      </c>
      <c r="Z1265" s="59">
        <v>82415</v>
      </c>
      <c r="AA1265" s="59">
        <v>21961</v>
      </c>
      <c r="AB1265" s="59">
        <v>33043</v>
      </c>
      <c r="AC1265" s="59">
        <v>51072</v>
      </c>
      <c r="AD1265" s="59"/>
      <c r="AE1265" s="59"/>
      <c r="AF1265" s="59"/>
      <c r="AG1265" s="59"/>
      <c r="AH1265" s="59"/>
      <c r="AI1265" s="59"/>
      <c r="AJ1265" s="59"/>
      <c r="AK1265" s="59"/>
    </row>
    <row r="1266" spans="1:37" s="4" customFormat="1" x14ac:dyDescent="0.25">
      <c r="B1266" s="94"/>
      <c r="D1266" s="4" t="s">
        <v>253</v>
      </c>
      <c r="H1266" s="4" t="s">
        <v>568</v>
      </c>
      <c r="I1266" s="59">
        <v>11009</v>
      </c>
      <c r="J1266" s="59">
        <v>13092</v>
      </c>
      <c r="K1266" s="59">
        <v>16047</v>
      </c>
      <c r="L1266" s="59">
        <v>20979</v>
      </c>
      <c r="M1266" s="59">
        <v>21626</v>
      </c>
      <c r="N1266" s="59">
        <v>30028</v>
      </c>
      <c r="O1266" s="59">
        <v>39035</v>
      </c>
      <c r="P1266" s="59">
        <v>35170</v>
      </c>
      <c r="Q1266" s="59">
        <v>35374</v>
      </c>
      <c r="R1266" s="59">
        <v>37003</v>
      </c>
      <c r="S1266" s="59">
        <v>38976</v>
      </c>
      <c r="T1266" s="59">
        <v>39352</v>
      </c>
      <c r="U1266" s="59">
        <v>39011</v>
      </c>
      <c r="V1266" s="59">
        <v>36051</v>
      </c>
      <c r="W1266" s="59">
        <v>40608</v>
      </c>
      <c r="X1266" s="59">
        <v>43816</v>
      </c>
      <c r="Y1266" s="59">
        <v>46256</v>
      </c>
      <c r="Z1266" s="59">
        <v>61887</v>
      </c>
      <c r="AA1266" s="59">
        <v>19387</v>
      </c>
      <c r="AB1266" s="59">
        <v>27447</v>
      </c>
      <c r="AC1266" s="59">
        <v>38586</v>
      </c>
      <c r="AD1266" s="59"/>
      <c r="AE1266" s="59"/>
      <c r="AF1266" s="59"/>
      <c r="AG1266" s="59"/>
      <c r="AH1266" s="59"/>
      <c r="AI1266" s="59"/>
      <c r="AJ1266" s="59"/>
      <c r="AK1266" s="59"/>
    </row>
    <row r="1267" spans="1:37" s="4" customFormat="1" x14ac:dyDescent="0.25">
      <c r="B1267" s="94"/>
      <c r="D1267" s="4" t="s">
        <v>254</v>
      </c>
      <c r="H1267" s="4" t="s">
        <v>568</v>
      </c>
      <c r="I1267" s="59">
        <v>7464</v>
      </c>
      <c r="J1267" s="59">
        <v>7192</v>
      </c>
      <c r="K1267" s="59">
        <v>11702</v>
      </c>
      <c r="L1267" s="59">
        <v>13448</v>
      </c>
      <c r="M1267" s="59">
        <v>17083</v>
      </c>
      <c r="N1267" s="59">
        <v>23462</v>
      </c>
      <c r="O1267" s="59">
        <v>31080</v>
      </c>
      <c r="P1267" s="59">
        <v>30844</v>
      </c>
      <c r="Q1267" s="59">
        <v>34480</v>
      </c>
      <c r="R1267" s="59">
        <v>37671</v>
      </c>
      <c r="S1267" s="59">
        <v>39606</v>
      </c>
      <c r="T1267" s="59">
        <v>34352</v>
      </c>
      <c r="U1267" s="59">
        <v>35938</v>
      </c>
      <c r="V1267" s="59">
        <v>36197</v>
      </c>
      <c r="W1267" s="59">
        <v>36355</v>
      </c>
      <c r="X1267" s="59">
        <v>43960</v>
      </c>
      <c r="Y1267" s="59">
        <v>47006</v>
      </c>
      <c r="Z1267" s="59">
        <v>49979</v>
      </c>
      <c r="AA1267" s="59">
        <v>17505</v>
      </c>
      <c r="AB1267" s="59">
        <v>24774</v>
      </c>
      <c r="AC1267" s="59">
        <v>39073</v>
      </c>
      <c r="AD1267" s="59"/>
      <c r="AE1267" s="59"/>
      <c r="AF1267" s="59"/>
      <c r="AG1267" s="59"/>
      <c r="AH1267" s="59"/>
      <c r="AI1267" s="59"/>
      <c r="AJ1267" s="59"/>
      <c r="AK1267" s="59"/>
    </row>
    <row r="1268" spans="1:37" s="4" customFormat="1" x14ac:dyDescent="0.25">
      <c r="B1268" s="94"/>
      <c r="D1268" s="4" t="s">
        <v>255</v>
      </c>
      <c r="H1268" s="4" t="s">
        <v>568</v>
      </c>
      <c r="I1268" s="59">
        <v>36228</v>
      </c>
      <c r="J1268" s="59">
        <v>44700</v>
      </c>
      <c r="K1268" s="59">
        <v>64860</v>
      </c>
      <c r="L1268" s="59">
        <v>73188</v>
      </c>
      <c r="M1268" s="59">
        <v>78876</v>
      </c>
      <c r="N1268" s="59">
        <v>94976</v>
      </c>
      <c r="O1268" s="59">
        <v>104030</v>
      </c>
      <c r="P1268" s="59">
        <v>92830</v>
      </c>
      <c r="Q1268" s="59">
        <v>112234</v>
      </c>
      <c r="R1268" s="59">
        <v>104812</v>
      </c>
      <c r="S1268" s="59">
        <v>114542</v>
      </c>
      <c r="T1268" s="59">
        <v>123131</v>
      </c>
      <c r="U1268" s="59">
        <v>131685</v>
      </c>
      <c r="V1268" s="59">
        <v>128972</v>
      </c>
      <c r="W1268" s="59">
        <v>133638</v>
      </c>
      <c r="X1268" s="59">
        <v>135297</v>
      </c>
      <c r="Y1268" s="59">
        <v>135584</v>
      </c>
      <c r="Z1268" s="59">
        <v>121926</v>
      </c>
      <c r="AA1268" s="59">
        <v>57275</v>
      </c>
      <c r="AB1268" s="59">
        <v>80033</v>
      </c>
      <c r="AC1268" s="59">
        <v>96426</v>
      </c>
      <c r="AD1268" s="59"/>
      <c r="AE1268" s="59"/>
      <c r="AF1268" s="59"/>
      <c r="AG1268" s="59"/>
      <c r="AH1268" s="59"/>
      <c r="AI1268" s="59"/>
      <c r="AJ1268" s="59"/>
      <c r="AK1268" s="59"/>
    </row>
    <row r="1269" spans="1:37" s="2" customFormat="1" x14ac:dyDescent="0.25">
      <c r="B1269" s="3"/>
      <c r="J1269" s="48"/>
      <c r="K1269" s="48"/>
      <c r="L1269" s="48"/>
      <c r="M1269" s="48"/>
      <c r="N1269" s="48"/>
    </row>
    <row r="1270" spans="1:37" s="28" customFormat="1" ht="17.25" x14ac:dyDescent="0.3">
      <c r="A1270" s="28" t="s">
        <v>569</v>
      </c>
    </row>
    <row r="1271" spans="1:37" x14ac:dyDescent="0.25">
      <c r="B1271" s="29" t="s">
        <v>3</v>
      </c>
      <c r="C1271" t="s">
        <v>570</v>
      </c>
    </row>
    <row r="1272" spans="1:37" x14ac:dyDescent="0.25">
      <c r="B1272" s="29" t="s">
        <v>10</v>
      </c>
      <c r="C1272" s="263" t="s">
        <v>569</v>
      </c>
    </row>
    <row r="1273" spans="1:37" x14ac:dyDescent="0.25">
      <c r="B1273" s="29" t="s">
        <v>14</v>
      </c>
      <c r="C1273" t="s">
        <v>571</v>
      </c>
    </row>
    <row r="1274" spans="1:37" x14ac:dyDescent="0.25">
      <c r="B1274" s="29"/>
      <c r="C1274" t="s">
        <v>572</v>
      </c>
    </row>
    <row r="1275" spans="1:37" x14ac:dyDescent="0.25">
      <c r="B1275" s="29"/>
      <c r="C1275" t="s">
        <v>573</v>
      </c>
    </row>
    <row r="1276" spans="1:37" x14ac:dyDescent="0.25">
      <c r="B1276" s="29" t="s">
        <v>17</v>
      </c>
      <c r="C1276" t="s">
        <v>574</v>
      </c>
    </row>
    <row r="1277" spans="1:37" s="25" customFormat="1" ht="15.75" thickBot="1" x14ac:dyDescent="0.3">
      <c r="B1277" s="30" t="s">
        <v>19</v>
      </c>
      <c r="C1277" s="25" t="s">
        <v>575</v>
      </c>
    </row>
    <row r="1278" spans="1:37" s="8" customFormat="1" ht="15.75" thickTop="1" x14ac:dyDescent="0.25">
      <c r="B1278" s="9"/>
      <c r="C1278" s="8" t="s">
        <v>576</v>
      </c>
      <c r="I1278" s="42"/>
      <c r="J1278" s="42"/>
      <c r="K1278" s="42"/>
      <c r="L1278" s="42"/>
      <c r="M1278" s="42"/>
      <c r="N1278" s="42"/>
      <c r="O1278" s="42"/>
      <c r="P1278" s="42"/>
      <c r="Q1278" s="42"/>
      <c r="R1278" s="42"/>
      <c r="S1278" s="42"/>
      <c r="T1278" s="42"/>
      <c r="U1278" s="42"/>
      <c r="V1278" s="42"/>
      <c r="W1278" s="42"/>
      <c r="X1278" s="42"/>
      <c r="Y1278" s="42"/>
      <c r="Z1278" s="42"/>
      <c r="AA1278" s="42"/>
      <c r="AB1278" s="42"/>
      <c r="AC1278" s="42"/>
      <c r="AD1278" s="42"/>
      <c r="AE1278" s="42"/>
      <c r="AF1278" s="42"/>
      <c r="AG1278" s="42"/>
      <c r="AH1278" s="42"/>
      <c r="AI1278" s="42"/>
      <c r="AJ1278" s="42"/>
      <c r="AK1278" s="42"/>
    </row>
    <row r="1279" spans="1:37" s="4" customFormat="1" x14ac:dyDescent="0.25">
      <c r="B1279" s="94"/>
      <c r="D1279" s="4" t="s">
        <v>577</v>
      </c>
      <c r="H1279" s="4" t="s">
        <v>578</v>
      </c>
      <c r="I1279" s="59"/>
      <c r="J1279" s="59">
        <v>129</v>
      </c>
      <c r="K1279" s="59">
        <v>251</v>
      </c>
      <c r="L1279" s="59">
        <v>146</v>
      </c>
      <c r="M1279" s="59">
        <v>264</v>
      </c>
      <c r="N1279" s="59">
        <v>197</v>
      </c>
      <c r="O1279" s="59">
        <v>220</v>
      </c>
      <c r="P1279" s="59">
        <v>179</v>
      </c>
      <c r="Q1279" s="59">
        <v>136</v>
      </c>
      <c r="R1279" s="59">
        <v>371</v>
      </c>
      <c r="S1279" s="59">
        <v>206</v>
      </c>
      <c r="T1279" s="59">
        <v>171</v>
      </c>
      <c r="U1279" s="59">
        <v>213</v>
      </c>
      <c r="V1279" s="59">
        <v>277</v>
      </c>
      <c r="W1279" s="59">
        <v>284</v>
      </c>
      <c r="X1279" s="59">
        <v>358</v>
      </c>
      <c r="Y1279" s="59">
        <v>181</v>
      </c>
      <c r="Z1279" s="59">
        <v>267</v>
      </c>
      <c r="AA1279" s="59">
        <v>220</v>
      </c>
      <c r="AB1279" s="59">
        <v>165</v>
      </c>
      <c r="AC1279" s="59"/>
      <c r="AD1279" s="59"/>
      <c r="AE1279" s="59"/>
      <c r="AF1279" s="59"/>
      <c r="AG1279" s="59"/>
      <c r="AH1279" s="59"/>
      <c r="AI1279" s="59"/>
      <c r="AJ1279" s="59"/>
      <c r="AK1279" s="59"/>
    </row>
    <row r="1280" spans="1:37" s="79" customFormat="1" x14ac:dyDescent="0.25">
      <c r="B1280" s="80"/>
      <c r="D1280" s="79" t="s">
        <v>579</v>
      </c>
      <c r="H1280" s="79" t="s">
        <v>578</v>
      </c>
      <c r="I1280" s="81">
        <f>SUM(I1281:I1285)</f>
        <v>0</v>
      </c>
      <c r="J1280" s="81">
        <f t="shared" ref="J1280:AK1280" si="208">SUM(J1281:J1285)</f>
        <v>132</v>
      </c>
      <c r="K1280" s="81">
        <f t="shared" si="208"/>
        <v>254</v>
      </c>
      <c r="L1280" s="81">
        <f t="shared" si="208"/>
        <v>145</v>
      </c>
      <c r="M1280" s="81">
        <f t="shared" si="208"/>
        <v>265</v>
      </c>
      <c r="N1280" s="81">
        <f t="shared" si="208"/>
        <v>188</v>
      </c>
      <c r="O1280" s="81">
        <f t="shared" si="208"/>
        <v>218</v>
      </c>
      <c r="P1280" s="81">
        <f t="shared" si="208"/>
        <v>177</v>
      </c>
      <c r="Q1280" s="81">
        <f t="shared" si="208"/>
        <v>134</v>
      </c>
      <c r="R1280" s="81">
        <f t="shared" si="208"/>
        <v>345</v>
      </c>
      <c r="S1280" s="81">
        <f t="shared" si="208"/>
        <v>191</v>
      </c>
      <c r="T1280" s="81">
        <f t="shared" si="208"/>
        <v>155</v>
      </c>
      <c r="U1280" s="81">
        <f t="shared" si="208"/>
        <v>197</v>
      </c>
      <c r="V1280" s="81">
        <f t="shared" si="208"/>
        <v>259</v>
      </c>
      <c r="W1280" s="81">
        <f t="shared" si="208"/>
        <v>263</v>
      </c>
      <c r="X1280" s="81">
        <f t="shared" si="208"/>
        <v>339</v>
      </c>
      <c r="Y1280" s="81">
        <f t="shared" si="208"/>
        <v>175</v>
      </c>
      <c r="Z1280" s="81">
        <f t="shared" si="208"/>
        <v>243</v>
      </c>
      <c r="AA1280" s="81">
        <f t="shared" si="208"/>
        <v>198</v>
      </c>
      <c r="AB1280" s="81">
        <f t="shared" si="208"/>
        <v>134</v>
      </c>
      <c r="AC1280" s="81">
        <f t="shared" si="208"/>
        <v>0</v>
      </c>
      <c r="AD1280" s="81">
        <f t="shared" si="208"/>
        <v>0</v>
      </c>
      <c r="AE1280" s="81">
        <f t="shared" si="208"/>
        <v>0</v>
      </c>
      <c r="AF1280" s="81">
        <f t="shared" si="208"/>
        <v>0</v>
      </c>
      <c r="AG1280" s="81">
        <f t="shared" si="208"/>
        <v>0</v>
      </c>
      <c r="AH1280" s="81">
        <f t="shared" si="208"/>
        <v>0</v>
      </c>
      <c r="AI1280" s="81">
        <f t="shared" si="208"/>
        <v>0</v>
      </c>
      <c r="AJ1280" s="81">
        <f t="shared" si="208"/>
        <v>0</v>
      </c>
      <c r="AK1280" s="81">
        <f t="shared" si="208"/>
        <v>0</v>
      </c>
    </row>
    <row r="1281" spans="1:37" x14ac:dyDescent="0.25">
      <c r="E1281" t="s">
        <v>580</v>
      </c>
      <c r="H1281" t="s">
        <v>578</v>
      </c>
      <c r="J1281">
        <v>0</v>
      </c>
      <c r="K1281">
        <v>0</v>
      </c>
      <c r="L1281">
        <v>0</v>
      </c>
      <c r="M1281">
        <v>0</v>
      </c>
      <c r="N1281">
        <v>0</v>
      </c>
      <c r="O1281">
        <v>1</v>
      </c>
      <c r="P1281">
        <v>0</v>
      </c>
      <c r="Q1281">
        <v>2</v>
      </c>
      <c r="R1281">
        <v>0</v>
      </c>
      <c r="S1281">
        <v>0</v>
      </c>
      <c r="T1281">
        <v>0</v>
      </c>
      <c r="U1281">
        <v>0</v>
      </c>
      <c r="V1281">
        <v>0</v>
      </c>
      <c r="W1281">
        <v>0</v>
      </c>
      <c r="X1281">
        <v>4</v>
      </c>
      <c r="Y1281" s="39">
        <v>0</v>
      </c>
      <c r="Z1281" s="39">
        <v>0</v>
      </c>
      <c r="AA1281" s="39">
        <v>0</v>
      </c>
      <c r="AB1281" s="39">
        <v>0</v>
      </c>
      <c r="AC1281" s="39"/>
      <c r="AD1281" s="39"/>
      <c r="AE1281" s="39"/>
      <c r="AF1281" s="39"/>
      <c r="AG1281" s="39"/>
      <c r="AH1281" s="39"/>
      <c r="AI1281" s="39"/>
      <c r="AJ1281" s="39"/>
      <c r="AK1281" s="39"/>
    </row>
    <row r="1282" spans="1:37" x14ac:dyDescent="0.25">
      <c r="E1282" t="s">
        <v>581</v>
      </c>
      <c r="H1282" t="s">
        <v>578</v>
      </c>
      <c r="J1282">
        <v>47</v>
      </c>
      <c r="K1282">
        <v>62</v>
      </c>
      <c r="L1282">
        <v>28</v>
      </c>
      <c r="M1282">
        <v>42</v>
      </c>
      <c r="N1282">
        <v>43</v>
      </c>
      <c r="O1282">
        <v>39</v>
      </c>
      <c r="P1282">
        <v>34</v>
      </c>
      <c r="Q1282">
        <v>29</v>
      </c>
      <c r="R1282">
        <v>59</v>
      </c>
      <c r="S1282">
        <v>37</v>
      </c>
      <c r="T1282">
        <v>36</v>
      </c>
      <c r="U1282">
        <v>46</v>
      </c>
      <c r="V1282">
        <v>29</v>
      </c>
      <c r="W1282">
        <v>25</v>
      </c>
      <c r="X1282">
        <v>46</v>
      </c>
      <c r="Y1282" s="39">
        <v>49</v>
      </c>
      <c r="Z1282" s="39">
        <v>34</v>
      </c>
      <c r="AA1282" s="39">
        <v>47</v>
      </c>
      <c r="AB1282" s="39">
        <v>37</v>
      </c>
      <c r="AC1282" s="39"/>
      <c r="AD1282" s="39"/>
      <c r="AE1282" s="39"/>
      <c r="AF1282" s="39"/>
      <c r="AG1282" s="39"/>
      <c r="AH1282" s="39"/>
      <c r="AI1282" s="39"/>
      <c r="AJ1282" s="39"/>
      <c r="AK1282" s="39"/>
    </row>
    <row r="1283" spans="1:37" x14ac:dyDescent="0.25">
      <c r="E1283" t="s">
        <v>582</v>
      </c>
      <c r="H1283" t="s">
        <v>578</v>
      </c>
      <c r="J1283">
        <v>12</v>
      </c>
      <c r="K1283">
        <v>21</v>
      </c>
      <c r="L1283">
        <v>17</v>
      </c>
      <c r="M1283">
        <v>22</v>
      </c>
      <c r="N1283">
        <v>21</v>
      </c>
      <c r="O1283">
        <v>24</v>
      </c>
      <c r="P1283">
        <v>18</v>
      </c>
      <c r="Q1283">
        <v>11</v>
      </c>
      <c r="R1283">
        <v>33</v>
      </c>
      <c r="S1283">
        <v>14</v>
      </c>
      <c r="T1283">
        <v>18</v>
      </c>
      <c r="U1283">
        <v>15</v>
      </c>
      <c r="V1283">
        <v>13</v>
      </c>
      <c r="W1283">
        <v>12</v>
      </c>
      <c r="X1283">
        <v>18</v>
      </c>
      <c r="Y1283" s="39">
        <v>20</v>
      </c>
      <c r="Z1283" s="39">
        <v>28</v>
      </c>
      <c r="AA1283" s="39">
        <v>14</v>
      </c>
      <c r="AB1283" s="39">
        <v>10</v>
      </c>
      <c r="AC1283" s="39"/>
      <c r="AD1283" s="39"/>
      <c r="AE1283" s="39"/>
      <c r="AF1283" s="39"/>
      <c r="AG1283" s="39"/>
      <c r="AH1283" s="39"/>
      <c r="AI1283" s="39"/>
      <c r="AJ1283" s="39"/>
      <c r="AK1283" s="39"/>
    </row>
    <row r="1284" spans="1:37" x14ac:dyDescent="0.25">
      <c r="E1284" t="s">
        <v>583</v>
      </c>
      <c r="H1284" t="s">
        <v>578</v>
      </c>
      <c r="J1284">
        <v>73</v>
      </c>
      <c r="K1284">
        <v>171</v>
      </c>
      <c r="L1284">
        <v>100</v>
      </c>
      <c r="M1284">
        <v>197</v>
      </c>
      <c r="N1284">
        <v>121</v>
      </c>
      <c r="O1284">
        <v>153</v>
      </c>
      <c r="P1284">
        <v>124</v>
      </c>
      <c r="Q1284">
        <v>90</v>
      </c>
      <c r="R1284">
        <v>248</v>
      </c>
      <c r="S1284">
        <v>138</v>
      </c>
      <c r="T1284">
        <v>99</v>
      </c>
      <c r="U1284">
        <v>134</v>
      </c>
      <c r="V1284">
        <v>217</v>
      </c>
      <c r="W1284">
        <v>225</v>
      </c>
      <c r="X1284">
        <v>267</v>
      </c>
      <c r="Y1284" s="39">
        <v>105</v>
      </c>
      <c r="Z1284" s="39">
        <v>179</v>
      </c>
      <c r="AA1284" s="39">
        <v>132</v>
      </c>
      <c r="AB1284" s="39">
        <v>86</v>
      </c>
      <c r="AC1284" s="39"/>
      <c r="AD1284" s="39"/>
      <c r="AE1284" s="39"/>
      <c r="AF1284" s="39"/>
      <c r="AG1284" s="39"/>
      <c r="AH1284" s="39"/>
      <c r="AI1284" s="39"/>
      <c r="AJ1284" s="39"/>
      <c r="AK1284" s="39"/>
    </row>
    <row r="1285" spans="1:37" x14ac:dyDescent="0.25">
      <c r="E1285" t="s">
        <v>584</v>
      </c>
      <c r="H1285" t="s">
        <v>578</v>
      </c>
      <c r="J1285">
        <v>0</v>
      </c>
      <c r="K1285">
        <v>0</v>
      </c>
      <c r="L1285">
        <v>0</v>
      </c>
      <c r="M1285">
        <v>4</v>
      </c>
      <c r="N1285">
        <v>3</v>
      </c>
      <c r="O1285">
        <v>1</v>
      </c>
      <c r="P1285">
        <v>1</v>
      </c>
      <c r="Q1285">
        <v>2</v>
      </c>
      <c r="R1285">
        <v>5</v>
      </c>
      <c r="S1285">
        <v>2</v>
      </c>
      <c r="T1285">
        <v>2</v>
      </c>
      <c r="U1285">
        <v>2</v>
      </c>
      <c r="V1285">
        <v>0</v>
      </c>
      <c r="W1285">
        <v>1</v>
      </c>
      <c r="X1285">
        <v>4</v>
      </c>
      <c r="Y1285" s="39">
        <v>1</v>
      </c>
      <c r="Z1285" s="39">
        <v>2</v>
      </c>
      <c r="AA1285" s="39">
        <v>5</v>
      </c>
      <c r="AB1285" s="39">
        <v>1</v>
      </c>
      <c r="AC1285" s="39"/>
      <c r="AD1285" s="39"/>
      <c r="AE1285" s="39"/>
      <c r="AF1285" s="39"/>
      <c r="AG1285" s="39"/>
      <c r="AH1285" s="39"/>
      <c r="AI1285" s="39"/>
      <c r="AJ1285" s="39"/>
      <c r="AK1285" s="39"/>
    </row>
    <row r="1286" spans="1:37" s="2" customFormat="1" x14ac:dyDescent="0.25">
      <c r="B1286" s="3"/>
      <c r="J1286" s="48"/>
      <c r="K1286" s="48"/>
      <c r="L1286" s="48"/>
      <c r="M1286" s="48"/>
      <c r="N1286" s="48"/>
    </row>
    <row r="1287" spans="1:37" s="28" customFormat="1" ht="17.25" x14ac:dyDescent="0.3">
      <c r="A1287" s="28" t="s">
        <v>585</v>
      </c>
    </row>
    <row r="1288" spans="1:37" x14ac:dyDescent="0.25">
      <c r="B1288" s="29" t="s">
        <v>3</v>
      </c>
      <c r="C1288" t="s">
        <v>586</v>
      </c>
    </row>
    <row r="1289" spans="1:37" x14ac:dyDescent="0.25">
      <c r="B1289" s="29" t="s">
        <v>10</v>
      </c>
      <c r="C1289" s="263" t="s">
        <v>522</v>
      </c>
    </row>
    <row r="1290" spans="1:37" x14ac:dyDescent="0.25">
      <c r="B1290" s="29"/>
      <c r="C1290" s="263" t="s">
        <v>587</v>
      </c>
    </row>
    <row r="1291" spans="1:37" x14ac:dyDescent="0.25">
      <c r="B1291" s="29" t="s">
        <v>14</v>
      </c>
      <c r="C1291" t="s">
        <v>588</v>
      </c>
    </row>
    <row r="1292" spans="1:37" x14ac:dyDescent="0.25">
      <c r="B1292" s="29" t="s">
        <v>17</v>
      </c>
      <c r="C1292" t="s">
        <v>589</v>
      </c>
    </row>
    <row r="1293" spans="1:37" s="25" customFormat="1" ht="15.75" thickBot="1" x14ac:dyDescent="0.3">
      <c r="B1293" s="30" t="s">
        <v>19</v>
      </c>
      <c r="C1293" s="25" t="s">
        <v>590</v>
      </c>
    </row>
    <row r="1294" spans="1:37" s="8" customFormat="1" ht="15.75" thickTop="1" x14ac:dyDescent="0.25">
      <c r="B1294" s="9"/>
      <c r="C1294" s="8" t="s">
        <v>591</v>
      </c>
      <c r="H1294" s="8" t="s">
        <v>592</v>
      </c>
      <c r="I1294" s="42"/>
      <c r="J1294" s="83"/>
      <c r="K1294" s="83"/>
      <c r="L1294" s="83"/>
      <c r="M1294" s="83"/>
      <c r="N1294" s="83">
        <f>SUM(N1296:N1307,N1309:N1320)</f>
        <v>462730210</v>
      </c>
      <c r="O1294" s="83">
        <f t="shared" ref="O1294:AK1294" si="209">SUM(O1296:O1307,O1309:O1320)</f>
        <v>491236648</v>
      </c>
      <c r="P1294" s="83">
        <f t="shared" si="209"/>
        <v>489100503</v>
      </c>
      <c r="Q1294" s="83">
        <f t="shared" si="209"/>
        <v>490983728</v>
      </c>
      <c r="R1294" s="83">
        <f t="shared" si="209"/>
        <v>495504205</v>
      </c>
      <c r="S1294" s="83">
        <f t="shared" si="209"/>
        <v>477303862</v>
      </c>
      <c r="T1294" s="83">
        <f t="shared" si="209"/>
        <v>513865900</v>
      </c>
      <c r="U1294" s="83">
        <f t="shared" si="209"/>
        <v>495539345</v>
      </c>
      <c r="V1294" s="83">
        <f t="shared" si="209"/>
        <v>491782351</v>
      </c>
      <c r="W1294" s="83">
        <f t="shared" si="209"/>
        <v>515173782</v>
      </c>
      <c r="X1294" s="83">
        <f t="shared" si="209"/>
        <v>534196454</v>
      </c>
      <c r="Y1294" s="83">
        <f t="shared" si="209"/>
        <v>532490423</v>
      </c>
      <c r="Z1294" s="83">
        <f t="shared" si="209"/>
        <v>565490897</v>
      </c>
      <c r="AA1294" s="83">
        <f t="shared" si="209"/>
        <v>561660217</v>
      </c>
      <c r="AB1294" s="83">
        <f t="shared" si="209"/>
        <v>560304510</v>
      </c>
      <c r="AC1294" s="83">
        <f t="shared" si="209"/>
        <v>611270503</v>
      </c>
      <c r="AD1294" s="83">
        <f t="shared" si="209"/>
        <v>0</v>
      </c>
      <c r="AE1294" s="83">
        <f t="shared" si="209"/>
        <v>0</v>
      </c>
      <c r="AF1294" s="83">
        <f t="shared" si="209"/>
        <v>0</v>
      </c>
      <c r="AG1294" s="83">
        <f t="shared" si="209"/>
        <v>0</v>
      </c>
      <c r="AH1294" s="83">
        <f t="shared" si="209"/>
        <v>0</v>
      </c>
      <c r="AI1294" s="83">
        <f t="shared" si="209"/>
        <v>0</v>
      </c>
      <c r="AJ1294" s="83">
        <f t="shared" si="209"/>
        <v>0</v>
      </c>
      <c r="AK1294" s="83">
        <f t="shared" si="209"/>
        <v>0</v>
      </c>
    </row>
    <row r="1295" spans="1:37" s="79" customFormat="1" x14ac:dyDescent="0.25">
      <c r="B1295" s="80"/>
      <c r="D1295" s="79" t="s">
        <v>593</v>
      </c>
      <c r="H1295" s="79" t="s">
        <v>592</v>
      </c>
      <c r="I1295" s="81"/>
      <c r="J1295" s="82"/>
      <c r="K1295" s="82"/>
      <c r="L1295" s="82"/>
      <c r="M1295" s="82"/>
      <c r="N1295" s="84">
        <f>SUM(N1296:N1307)</f>
        <v>211634611</v>
      </c>
      <c r="O1295" s="84">
        <f t="shared" ref="O1295:AK1295" si="210">SUM(O1296:O1307)</f>
        <v>222935076</v>
      </c>
      <c r="P1295" s="84">
        <f t="shared" si="210"/>
        <v>218533830</v>
      </c>
      <c r="Q1295" s="84">
        <f t="shared" si="210"/>
        <v>219647151</v>
      </c>
      <c r="R1295" s="84">
        <f t="shared" si="210"/>
        <v>220255067</v>
      </c>
      <c r="S1295" s="84">
        <f t="shared" si="210"/>
        <v>213509801</v>
      </c>
      <c r="T1295" s="84">
        <f t="shared" si="210"/>
        <v>224291069</v>
      </c>
      <c r="U1295" s="84">
        <f t="shared" si="210"/>
        <v>216836722</v>
      </c>
      <c r="V1295" s="84">
        <f t="shared" si="210"/>
        <v>218310855</v>
      </c>
      <c r="W1295" s="84">
        <f t="shared" si="210"/>
        <v>224979438</v>
      </c>
      <c r="X1295" s="84">
        <f t="shared" si="210"/>
        <v>225243082</v>
      </c>
      <c r="Y1295" s="84">
        <f t="shared" si="210"/>
        <v>224829950</v>
      </c>
      <c r="Z1295" s="84">
        <f t="shared" si="210"/>
        <v>229763993</v>
      </c>
      <c r="AA1295" s="84">
        <f t="shared" si="210"/>
        <v>215523372</v>
      </c>
      <c r="AB1295" s="84">
        <f t="shared" si="210"/>
        <v>222642156</v>
      </c>
      <c r="AC1295" s="84">
        <f t="shared" si="210"/>
        <v>239559105</v>
      </c>
      <c r="AD1295" s="84">
        <f t="shared" si="210"/>
        <v>0</v>
      </c>
      <c r="AE1295" s="84">
        <f t="shared" si="210"/>
        <v>0</v>
      </c>
      <c r="AF1295" s="84">
        <f t="shared" si="210"/>
        <v>0</v>
      </c>
      <c r="AG1295" s="84">
        <f t="shared" si="210"/>
        <v>0</v>
      </c>
      <c r="AH1295" s="84">
        <f t="shared" si="210"/>
        <v>0</v>
      </c>
      <c r="AI1295" s="84">
        <f t="shared" si="210"/>
        <v>0</v>
      </c>
      <c r="AJ1295" s="84">
        <f t="shared" si="210"/>
        <v>0</v>
      </c>
      <c r="AK1295" s="84">
        <f t="shared" si="210"/>
        <v>0</v>
      </c>
    </row>
    <row r="1296" spans="1:37" x14ac:dyDescent="0.25">
      <c r="E1296" t="s">
        <v>244</v>
      </c>
      <c r="H1296" t="s">
        <v>592</v>
      </c>
      <c r="I1296" s="39"/>
      <c r="J1296" s="78"/>
      <c r="K1296" s="78"/>
      <c r="L1296" s="78"/>
      <c r="M1296" s="78"/>
      <c r="N1296" s="39">
        <v>20599979</v>
      </c>
      <c r="O1296" s="39">
        <v>22371758</v>
      </c>
      <c r="P1296" s="39">
        <v>23611441</v>
      </c>
      <c r="Q1296" s="39">
        <v>25156911</v>
      </c>
      <c r="R1296" s="39">
        <v>25286572</v>
      </c>
      <c r="S1296" s="39">
        <v>25458034</v>
      </c>
      <c r="T1296" s="39">
        <v>28012403</v>
      </c>
      <c r="U1296" s="39">
        <v>25459727</v>
      </c>
      <c r="V1296" s="39">
        <v>26369528</v>
      </c>
      <c r="W1296" s="39">
        <v>26555021</v>
      </c>
      <c r="X1296" s="39">
        <v>26626866</v>
      </c>
      <c r="Y1296" s="39">
        <v>25228166</v>
      </c>
      <c r="Z1296" s="39">
        <v>26309221</v>
      </c>
      <c r="AA1296" s="39">
        <v>27221422</v>
      </c>
      <c r="AB1296" s="39">
        <v>25452320</v>
      </c>
      <c r="AC1296" s="39">
        <v>28326797</v>
      </c>
      <c r="AD1296" s="39"/>
      <c r="AE1296" s="39"/>
      <c r="AF1296" s="39"/>
      <c r="AG1296" s="39"/>
      <c r="AH1296" s="39"/>
      <c r="AI1296" s="39"/>
      <c r="AJ1296" s="39"/>
      <c r="AK1296" s="39"/>
    </row>
    <row r="1297" spans="2:37" x14ac:dyDescent="0.25">
      <c r="E1297" t="s">
        <v>245</v>
      </c>
      <c r="H1297" t="s">
        <v>592</v>
      </c>
      <c r="I1297" s="39"/>
      <c r="J1297" s="78"/>
      <c r="K1297" s="78"/>
      <c r="L1297" s="78"/>
      <c r="M1297" s="78"/>
      <c r="N1297" s="39">
        <v>23998628</v>
      </c>
      <c r="O1297" s="39">
        <v>23662809</v>
      </c>
      <c r="P1297" s="39">
        <v>22122325</v>
      </c>
      <c r="Q1297" s="39">
        <v>21826936</v>
      </c>
      <c r="R1297" s="39">
        <v>21108234</v>
      </c>
      <c r="S1297" s="39">
        <v>22380054</v>
      </c>
      <c r="T1297" s="39">
        <v>22534293</v>
      </c>
      <c r="U1297" s="39">
        <v>21931153</v>
      </c>
      <c r="V1297" s="39">
        <v>20613004</v>
      </c>
      <c r="W1297" s="39">
        <v>22234673</v>
      </c>
      <c r="X1297" s="39">
        <v>22759047</v>
      </c>
      <c r="Y1297" s="39">
        <v>21528795</v>
      </c>
      <c r="Z1297" s="39">
        <v>23583744</v>
      </c>
      <c r="AA1297" s="39">
        <v>22666350</v>
      </c>
      <c r="AB1297" s="39">
        <v>23505272</v>
      </c>
      <c r="AC1297" s="39">
        <v>25098371</v>
      </c>
      <c r="AD1297" s="39"/>
      <c r="AE1297" s="39"/>
      <c r="AF1297" s="39"/>
      <c r="AG1297" s="39"/>
      <c r="AH1297" s="39"/>
      <c r="AI1297" s="39"/>
      <c r="AJ1297" s="39"/>
      <c r="AK1297" s="39"/>
    </row>
    <row r="1298" spans="2:37" x14ac:dyDescent="0.25">
      <c r="E1298" t="s">
        <v>246</v>
      </c>
      <c r="H1298" t="s">
        <v>592</v>
      </c>
      <c r="I1298" s="39"/>
      <c r="J1298" s="78"/>
      <c r="K1298" s="78"/>
      <c r="L1298" s="78"/>
      <c r="M1298" s="78"/>
      <c r="N1298" s="39">
        <v>21367778</v>
      </c>
      <c r="O1298" s="39">
        <v>22603047</v>
      </c>
      <c r="P1298" s="39">
        <v>20777642</v>
      </c>
      <c r="Q1298" s="39">
        <v>19937868</v>
      </c>
      <c r="R1298" s="39">
        <v>20352553</v>
      </c>
      <c r="S1298" s="39">
        <v>20931951</v>
      </c>
      <c r="T1298" s="39">
        <v>19482438</v>
      </c>
      <c r="U1298" s="39">
        <v>18798832</v>
      </c>
      <c r="V1298" s="39">
        <v>20238094</v>
      </c>
      <c r="W1298" s="39">
        <v>20704972</v>
      </c>
      <c r="X1298" s="39">
        <v>21292285</v>
      </c>
      <c r="Y1298" s="39">
        <v>22673679</v>
      </c>
      <c r="Z1298" s="39">
        <v>21962230</v>
      </c>
      <c r="AA1298" s="39">
        <v>21536132</v>
      </c>
      <c r="AB1298" s="39">
        <v>21995811</v>
      </c>
      <c r="AC1298" s="39">
        <v>23193943</v>
      </c>
      <c r="AD1298" s="39"/>
      <c r="AE1298" s="39"/>
      <c r="AF1298" s="39"/>
      <c r="AG1298" s="39"/>
      <c r="AH1298" s="39"/>
      <c r="AI1298" s="39"/>
      <c r="AJ1298" s="39"/>
      <c r="AK1298" s="39"/>
    </row>
    <row r="1299" spans="2:37" x14ac:dyDescent="0.25">
      <c r="E1299" t="s">
        <v>247</v>
      </c>
      <c r="H1299" t="s">
        <v>592</v>
      </c>
      <c r="N1299" s="39">
        <v>16057097</v>
      </c>
      <c r="O1299" s="39">
        <v>18039975</v>
      </c>
      <c r="P1299" s="39">
        <v>18421294</v>
      </c>
      <c r="Q1299" s="39">
        <v>17639661</v>
      </c>
      <c r="R1299" s="39">
        <v>17147775</v>
      </c>
      <c r="S1299" s="39">
        <v>14958173</v>
      </c>
      <c r="T1299" s="39">
        <v>17142227</v>
      </c>
      <c r="U1299" s="39">
        <v>16307236</v>
      </c>
      <c r="V1299" s="39">
        <v>15917803</v>
      </c>
      <c r="W1299" s="39">
        <v>16863185</v>
      </c>
      <c r="X1299" s="39">
        <v>15582364</v>
      </c>
      <c r="Y1299" s="39">
        <v>17575937</v>
      </c>
      <c r="Z1299" s="39">
        <v>19047367</v>
      </c>
      <c r="AA1299" s="39">
        <v>15504646</v>
      </c>
      <c r="AB1299" s="39">
        <v>18664056</v>
      </c>
      <c r="AC1299" s="39">
        <v>19457117</v>
      </c>
      <c r="AD1299" s="39"/>
      <c r="AE1299" s="39"/>
      <c r="AF1299" s="39"/>
      <c r="AG1299" s="39"/>
      <c r="AH1299" s="39"/>
      <c r="AI1299" s="39"/>
      <c r="AJ1299" s="39"/>
      <c r="AK1299" s="39"/>
    </row>
    <row r="1300" spans="2:37" x14ac:dyDescent="0.25">
      <c r="E1300" t="s">
        <v>248</v>
      </c>
      <c r="H1300" t="s">
        <v>592</v>
      </c>
      <c r="N1300" s="39">
        <v>13669869</v>
      </c>
      <c r="O1300" s="39">
        <v>17048331</v>
      </c>
      <c r="P1300" s="39">
        <v>15433922</v>
      </c>
      <c r="Q1300" s="39">
        <v>15882770</v>
      </c>
      <c r="R1300" s="39">
        <v>15763975</v>
      </c>
      <c r="S1300" s="39">
        <v>13981297</v>
      </c>
      <c r="T1300" s="39">
        <v>15656859</v>
      </c>
      <c r="U1300" s="39">
        <v>15303191</v>
      </c>
      <c r="V1300" s="39">
        <v>15443884</v>
      </c>
      <c r="W1300" s="39">
        <v>14717274</v>
      </c>
      <c r="X1300" s="39">
        <v>15621620</v>
      </c>
      <c r="Y1300" s="39">
        <v>14377138</v>
      </c>
      <c r="Z1300" s="39">
        <v>15146383</v>
      </c>
      <c r="AA1300" s="39">
        <v>11560250</v>
      </c>
      <c r="AB1300" s="39">
        <v>15030772</v>
      </c>
      <c r="AC1300" s="39">
        <v>16591909</v>
      </c>
      <c r="AD1300" s="39"/>
      <c r="AE1300" s="39"/>
      <c r="AF1300" s="39"/>
      <c r="AG1300" s="39"/>
      <c r="AH1300" s="39"/>
      <c r="AI1300" s="39"/>
      <c r="AJ1300" s="39"/>
      <c r="AK1300" s="39"/>
    </row>
    <row r="1301" spans="2:37" x14ac:dyDescent="0.25">
      <c r="E1301" t="s">
        <v>249</v>
      </c>
      <c r="H1301" t="s">
        <v>592</v>
      </c>
      <c r="N1301" s="39">
        <v>16229746</v>
      </c>
      <c r="O1301" s="39">
        <v>18217499</v>
      </c>
      <c r="P1301" s="39">
        <v>15457876</v>
      </c>
      <c r="Q1301" s="39">
        <v>17878173</v>
      </c>
      <c r="R1301" s="39">
        <v>17226868</v>
      </c>
      <c r="S1301" s="39">
        <v>17532569</v>
      </c>
      <c r="T1301" s="39">
        <v>16381629</v>
      </c>
      <c r="U1301" s="39">
        <v>16592831</v>
      </c>
      <c r="V1301" s="39">
        <v>15765006</v>
      </c>
      <c r="W1301" s="39">
        <v>17629052</v>
      </c>
      <c r="X1301" s="39">
        <v>17070997</v>
      </c>
      <c r="Y1301" s="39">
        <v>16338468</v>
      </c>
      <c r="Z1301" s="39">
        <v>16498422</v>
      </c>
      <c r="AA1301" s="39">
        <v>14229123</v>
      </c>
      <c r="AB1301" s="39">
        <v>15749374</v>
      </c>
      <c r="AC1301" s="39">
        <v>17045029</v>
      </c>
      <c r="AD1301" s="39"/>
      <c r="AE1301" s="39"/>
      <c r="AF1301" s="39"/>
      <c r="AG1301" s="39"/>
      <c r="AH1301" s="39"/>
      <c r="AI1301" s="39"/>
      <c r="AJ1301" s="39"/>
      <c r="AK1301" s="39"/>
    </row>
    <row r="1302" spans="2:37" x14ac:dyDescent="0.25">
      <c r="E1302" t="s">
        <v>250</v>
      </c>
      <c r="H1302" t="s">
        <v>592</v>
      </c>
      <c r="N1302" s="39">
        <v>16403979</v>
      </c>
      <c r="O1302" s="39">
        <v>14949869</v>
      </c>
      <c r="P1302" s="39">
        <v>16709237</v>
      </c>
      <c r="Q1302" s="39">
        <v>15972839</v>
      </c>
      <c r="R1302" s="39">
        <v>15061125</v>
      </c>
      <c r="S1302" s="39">
        <v>16593372</v>
      </c>
      <c r="T1302" s="39">
        <v>17149734</v>
      </c>
      <c r="U1302" s="39">
        <v>16824400</v>
      </c>
      <c r="V1302" s="39">
        <v>17381124</v>
      </c>
      <c r="W1302" s="39">
        <v>15638776</v>
      </c>
      <c r="X1302" s="39">
        <v>15665504</v>
      </c>
      <c r="Y1302" s="39">
        <v>16318917</v>
      </c>
      <c r="Z1302" s="39">
        <v>16669273</v>
      </c>
      <c r="AA1302" s="39">
        <v>14658337</v>
      </c>
      <c r="AB1302" s="39">
        <v>16408745</v>
      </c>
      <c r="AC1302" s="39">
        <v>16462787</v>
      </c>
      <c r="AD1302" s="39"/>
      <c r="AE1302" s="39"/>
      <c r="AF1302" s="39"/>
      <c r="AG1302" s="39"/>
      <c r="AH1302" s="39"/>
      <c r="AI1302" s="39"/>
      <c r="AJ1302" s="39"/>
      <c r="AK1302" s="39"/>
    </row>
    <row r="1303" spans="2:37" x14ac:dyDescent="0.25">
      <c r="E1303" t="s">
        <v>251</v>
      </c>
      <c r="H1303" t="s">
        <v>592</v>
      </c>
      <c r="N1303" s="39">
        <v>17222341</v>
      </c>
      <c r="O1303" s="39">
        <v>17250115</v>
      </c>
      <c r="P1303" s="39">
        <v>17079659</v>
      </c>
      <c r="Q1303" s="39">
        <v>16243639</v>
      </c>
      <c r="R1303" s="39">
        <v>18730192</v>
      </c>
      <c r="S1303" s="39">
        <v>17883217</v>
      </c>
      <c r="T1303" s="39">
        <v>18076915</v>
      </c>
      <c r="U1303" s="39">
        <v>17848035</v>
      </c>
      <c r="V1303" s="39">
        <v>16131130</v>
      </c>
      <c r="W1303" s="39">
        <v>17402104</v>
      </c>
      <c r="X1303" s="39">
        <v>17104227</v>
      </c>
      <c r="Y1303" s="39">
        <v>17597307</v>
      </c>
      <c r="Z1303" s="39">
        <v>16572080</v>
      </c>
      <c r="AA1303" s="39">
        <v>14439915</v>
      </c>
      <c r="AB1303" s="39">
        <v>17388802</v>
      </c>
      <c r="AC1303" s="39">
        <v>17095900</v>
      </c>
      <c r="AD1303" s="39"/>
      <c r="AE1303" s="39"/>
      <c r="AF1303" s="39"/>
      <c r="AG1303" s="39"/>
      <c r="AH1303" s="39"/>
      <c r="AI1303" s="39"/>
      <c r="AJ1303" s="39"/>
      <c r="AK1303" s="39"/>
    </row>
    <row r="1304" spans="2:37" x14ac:dyDescent="0.25">
      <c r="E1304" t="s">
        <v>252</v>
      </c>
      <c r="H1304" t="s">
        <v>592</v>
      </c>
      <c r="N1304" s="39">
        <v>16766488</v>
      </c>
      <c r="O1304" s="39">
        <v>17892384</v>
      </c>
      <c r="P1304" s="39">
        <v>17652282</v>
      </c>
      <c r="Q1304" s="39">
        <v>16086532</v>
      </c>
      <c r="R1304" s="39">
        <v>16780073</v>
      </c>
      <c r="S1304" s="39">
        <v>15548176</v>
      </c>
      <c r="T1304" s="39">
        <v>15860870</v>
      </c>
      <c r="U1304" s="39">
        <v>15955048</v>
      </c>
      <c r="V1304" s="39">
        <v>17000839</v>
      </c>
      <c r="W1304" s="39">
        <v>17353087</v>
      </c>
      <c r="X1304" s="39">
        <v>16607290</v>
      </c>
      <c r="Y1304" s="39">
        <v>15012116</v>
      </c>
      <c r="Z1304" s="39">
        <v>15571572</v>
      </c>
      <c r="AA1304" s="39">
        <v>14789041</v>
      </c>
      <c r="AB1304" s="39">
        <v>14984247</v>
      </c>
      <c r="AC1304" s="39">
        <v>15305094</v>
      </c>
      <c r="AD1304" s="39"/>
      <c r="AE1304" s="39"/>
      <c r="AF1304" s="39"/>
      <c r="AG1304" s="39"/>
      <c r="AH1304" s="39"/>
      <c r="AI1304" s="39"/>
      <c r="AJ1304" s="39"/>
      <c r="AK1304" s="39"/>
    </row>
    <row r="1305" spans="2:37" x14ac:dyDescent="0.25">
      <c r="E1305" t="s">
        <v>253</v>
      </c>
      <c r="H1305" t="s">
        <v>592</v>
      </c>
      <c r="N1305" s="39">
        <v>14684088</v>
      </c>
      <c r="O1305" s="39">
        <v>16965715</v>
      </c>
      <c r="P1305" s="39">
        <v>15978373</v>
      </c>
      <c r="Q1305" s="39">
        <v>15796620</v>
      </c>
      <c r="R1305" s="39">
        <v>13895530</v>
      </c>
      <c r="S1305" s="39">
        <v>15064511</v>
      </c>
      <c r="T1305" s="39">
        <v>15331094</v>
      </c>
      <c r="U1305" s="39">
        <v>14386042</v>
      </c>
      <c r="V1305" s="39">
        <v>13715511</v>
      </c>
      <c r="W1305" s="39">
        <v>14914513</v>
      </c>
      <c r="X1305" s="39">
        <v>17137713</v>
      </c>
      <c r="Y1305" s="39">
        <v>16046981</v>
      </c>
      <c r="Z1305" s="39">
        <v>16770425</v>
      </c>
      <c r="AA1305" s="39">
        <v>14699713</v>
      </c>
      <c r="AB1305" s="39">
        <v>16286927</v>
      </c>
      <c r="AC1305" s="39">
        <v>15049755</v>
      </c>
      <c r="AD1305" s="39"/>
      <c r="AE1305" s="39"/>
      <c r="AF1305" s="39"/>
      <c r="AG1305" s="39"/>
      <c r="AH1305" s="39"/>
      <c r="AI1305" s="39"/>
      <c r="AJ1305" s="39"/>
      <c r="AK1305" s="39"/>
    </row>
    <row r="1306" spans="2:37" x14ac:dyDescent="0.25">
      <c r="E1306" t="s">
        <v>254</v>
      </c>
      <c r="H1306" t="s">
        <v>592</v>
      </c>
      <c r="N1306" s="39">
        <v>15281289</v>
      </c>
      <c r="O1306" s="39">
        <v>15641991</v>
      </c>
      <c r="P1306" s="39">
        <v>14686564</v>
      </c>
      <c r="Q1306" s="39">
        <v>16047353</v>
      </c>
      <c r="R1306" s="39">
        <v>16536228</v>
      </c>
      <c r="S1306" s="39">
        <v>15435193</v>
      </c>
      <c r="T1306" s="39">
        <v>17801567</v>
      </c>
      <c r="U1306" s="39">
        <v>16865783</v>
      </c>
      <c r="V1306" s="39">
        <v>16971636</v>
      </c>
      <c r="W1306" s="39">
        <v>15518309</v>
      </c>
      <c r="X1306" s="39">
        <v>18816493</v>
      </c>
      <c r="Y1306" s="39">
        <v>19357688</v>
      </c>
      <c r="Z1306" s="39">
        <v>17785349</v>
      </c>
      <c r="AA1306" s="39">
        <v>17478794</v>
      </c>
      <c r="AB1306" s="39">
        <v>16375071</v>
      </c>
      <c r="AC1306" s="39">
        <v>20260041</v>
      </c>
      <c r="AD1306" s="39"/>
      <c r="AE1306" s="39"/>
      <c r="AF1306" s="39"/>
      <c r="AG1306" s="39"/>
      <c r="AH1306" s="39"/>
      <c r="AI1306" s="39"/>
      <c r="AJ1306" s="39"/>
      <c r="AK1306" s="39"/>
    </row>
    <row r="1307" spans="2:37" x14ac:dyDescent="0.25">
      <c r="E1307" t="s">
        <v>255</v>
      </c>
      <c r="H1307" t="s">
        <v>592</v>
      </c>
      <c r="N1307" s="39">
        <v>19353329</v>
      </c>
      <c r="O1307" s="39">
        <v>18291583</v>
      </c>
      <c r="P1307" s="39">
        <v>20603215</v>
      </c>
      <c r="Q1307" s="39">
        <v>21177849</v>
      </c>
      <c r="R1307" s="39">
        <v>22365942</v>
      </c>
      <c r="S1307" s="39">
        <v>17743254</v>
      </c>
      <c r="T1307" s="39">
        <v>20861040</v>
      </c>
      <c r="U1307" s="39">
        <v>20564444</v>
      </c>
      <c r="V1307" s="39">
        <v>22763296</v>
      </c>
      <c r="W1307" s="39">
        <v>25448472</v>
      </c>
      <c r="X1307" s="39">
        <v>20958676</v>
      </c>
      <c r="Y1307" s="39">
        <v>22774758</v>
      </c>
      <c r="Z1307" s="39">
        <v>23847927</v>
      </c>
      <c r="AA1307" s="39">
        <v>26739649</v>
      </c>
      <c r="AB1307" s="39">
        <v>20800759</v>
      </c>
      <c r="AC1307" s="39">
        <v>25672362</v>
      </c>
      <c r="AD1307" s="39"/>
      <c r="AE1307" s="39"/>
      <c r="AF1307" s="39"/>
      <c r="AG1307" s="39"/>
      <c r="AH1307" s="39"/>
      <c r="AI1307" s="39"/>
      <c r="AJ1307" s="39"/>
      <c r="AK1307" s="39"/>
    </row>
    <row r="1308" spans="2:37" s="79" customFormat="1" x14ac:dyDescent="0.25">
      <c r="B1308" s="80"/>
      <c r="D1308" s="79" t="s">
        <v>594</v>
      </c>
      <c r="H1308" s="79" t="s">
        <v>592</v>
      </c>
      <c r="N1308" s="84">
        <f>SUM(N1309:N1320)</f>
        <v>251095599</v>
      </c>
      <c r="O1308" s="84">
        <f t="shared" ref="O1308:AK1308" si="211">SUM(O1309:O1320)</f>
        <v>268301572</v>
      </c>
      <c r="P1308" s="84">
        <f t="shared" si="211"/>
        <v>270566673</v>
      </c>
      <c r="Q1308" s="84">
        <f t="shared" si="211"/>
        <v>271336577</v>
      </c>
      <c r="R1308" s="84">
        <f t="shared" si="211"/>
        <v>275249138</v>
      </c>
      <c r="S1308" s="84">
        <f t="shared" si="211"/>
        <v>263794061</v>
      </c>
      <c r="T1308" s="84">
        <f t="shared" si="211"/>
        <v>289574831</v>
      </c>
      <c r="U1308" s="84">
        <f t="shared" si="211"/>
        <v>278702623</v>
      </c>
      <c r="V1308" s="84">
        <f t="shared" si="211"/>
        <v>273471496</v>
      </c>
      <c r="W1308" s="84">
        <f t="shared" si="211"/>
        <v>290194344</v>
      </c>
      <c r="X1308" s="84">
        <f t="shared" si="211"/>
        <v>308953372</v>
      </c>
      <c r="Y1308" s="84">
        <f t="shared" si="211"/>
        <v>307660473</v>
      </c>
      <c r="Z1308" s="84">
        <f t="shared" si="211"/>
        <v>335726904</v>
      </c>
      <c r="AA1308" s="84">
        <f t="shared" si="211"/>
        <v>346136845</v>
      </c>
      <c r="AB1308" s="84">
        <f t="shared" si="211"/>
        <v>337662354</v>
      </c>
      <c r="AC1308" s="84">
        <f t="shared" si="211"/>
        <v>371711398</v>
      </c>
      <c r="AD1308" s="84">
        <f t="shared" si="211"/>
        <v>0</v>
      </c>
      <c r="AE1308" s="84">
        <f t="shared" si="211"/>
        <v>0</v>
      </c>
      <c r="AF1308" s="84">
        <f t="shared" si="211"/>
        <v>0</v>
      </c>
      <c r="AG1308" s="84">
        <f t="shared" si="211"/>
        <v>0</v>
      </c>
      <c r="AH1308" s="84">
        <f t="shared" si="211"/>
        <v>0</v>
      </c>
      <c r="AI1308" s="84">
        <f t="shared" si="211"/>
        <v>0</v>
      </c>
      <c r="AJ1308" s="84">
        <f t="shared" si="211"/>
        <v>0</v>
      </c>
      <c r="AK1308" s="84">
        <f t="shared" si="211"/>
        <v>0</v>
      </c>
    </row>
    <row r="1309" spans="2:37" x14ac:dyDescent="0.25">
      <c r="E1309" t="s">
        <v>244</v>
      </c>
      <c r="H1309" t="s">
        <v>592</v>
      </c>
      <c r="N1309" s="39">
        <v>32001618</v>
      </c>
      <c r="O1309" s="39">
        <v>35248355</v>
      </c>
      <c r="P1309" s="39">
        <v>36590648</v>
      </c>
      <c r="Q1309" s="39">
        <v>40185552</v>
      </c>
      <c r="R1309" s="39">
        <v>40071958</v>
      </c>
      <c r="S1309" s="39">
        <v>41496380</v>
      </c>
      <c r="T1309" s="39">
        <v>46720422</v>
      </c>
      <c r="U1309" s="39">
        <v>41828771</v>
      </c>
      <c r="V1309" s="39">
        <v>42610200</v>
      </c>
      <c r="W1309" s="39">
        <v>45961484</v>
      </c>
      <c r="X1309" s="39">
        <v>49967710</v>
      </c>
      <c r="Y1309" s="39">
        <v>43377891</v>
      </c>
      <c r="Z1309" s="39">
        <v>48822492</v>
      </c>
      <c r="AA1309" s="39">
        <v>48535344</v>
      </c>
      <c r="AB1309" s="39">
        <v>51157446</v>
      </c>
      <c r="AC1309" s="39">
        <v>52937196</v>
      </c>
      <c r="AD1309" s="39"/>
      <c r="AE1309" s="39"/>
      <c r="AF1309" s="39"/>
      <c r="AG1309" s="39"/>
      <c r="AH1309" s="39"/>
      <c r="AI1309" s="39"/>
      <c r="AJ1309" s="39"/>
      <c r="AK1309" s="39"/>
    </row>
    <row r="1310" spans="2:37" x14ac:dyDescent="0.25">
      <c r="E1310" t="s">
        <v>245</v>
      </c>
      <c r="H1310" t="s">
        <v>592</v>
      </c>
      <c r="N1310" s="39">
        <v>37811320</v>
      </c>
      <c r="O1310" s="39">
        <v>35225742</v>
      </c>
      <c r="P1310" s="39">
        <v>34691603</v>
      </c>
      <c r="Q1310" s="39">
        <v>34075924</v>
      </c>
      <c r="R1310" s="39">
        <v>33141175</v>
      </c>
      <c r="S1310" s="39">
        <v>36670848</v>
      </c>
      <c r="T1310" s="39">
        <v>36599196</v>
      </c>
      <c r="U1310" s="39">
        <v>36527585</v>
      </c>
      <c r="V1310" s="39">
        <v>32421238</v>
      </c>
      <c r="W1310" s="39">
        <v>37507029</v>
      </c>
      <c r="X1310" s="39">
        <v>40536042</v>
      </c>
      <c r="Y1310" s="39">
        <v>36520399</v>
      </c>
      <c r="Z1310" s="39">
        <v>42945249</v>
      </c>
      <c r="AA1310" s="39">
        <v>40927320</v>
      </c>
      <c r="AB1310" s="39">
        <v>46599127</v>
      </c>
      <c r="AC1310" s="39">
        <v>51978166</v>
      </c>
      <c r="AD1310" s="39"/>
      <c r="AE1310" s="39"/>
      <c r="AF1310" s="39"/>
      <c r="AG1310" s="39"/>
      <c r="AH1310" s="39"/>
      <c r="AI1310" s="39"/>
      <c r="AJ1310" s="39"/>
      <c r="AK1310" s="39"/>
    </row>
    <row r="1311" spans="2:37" x14ac:dyDescent="0.25">
      <c r="E1311" t="s">
        <v>246</v>
      </c>
      <c r="H1311" t="s">
        <v>592</v>
      </c>
      <c r="N1311" s="39">
        <v>30308635</v>
      </c>
      <c r="O1311" s="39">
        <v>32478050</v>
      </c>
      <c r="P1311" s="39">
        <v>29830263</v>
      </c>
      <c r="Q1311" s="39">
        <v>28617961</v>
      </c>
      <c r="R1311" s="39">
        <v>29316819</v>
      </c>
      <c r="S1311" s="39">
        <v>31111731</v>
      </c>
      <c r="T1311" s="39">
        <v>29696487</v>
      </c>
      <c r="U1311" s="39">
        <v>29078747</v>
      </c>
      <c r="V1311" s="39">
        <v>30811051</v>
      </c>
      <c r="W1311" s="39">
        <v>30119097</v>
      </c>
      <c r="X1311" s="39">
        <v>32846048</v>
      </c>
      <c r="Y1311" s="39">
        <v>37048657</v>
      </c>
      <c r="Z1311" s="39">
        <v>38731430</v>
      </c>
      <c r="AA1311" s="39">
        <v>38854747</v>
      </c>
      <c r="AB1311" s="39">
        <v>39922375</v>
      </c>
      <c r="AC1311" s="39">
        <v>42061747</v>
      </c>
      <c r="AD1311" s="39"/>
      <c r="AE1311" s="39"/>
      <c r="AF1311" s="39"/>
      <c r="AG1311" s="39"/>
      <c r="AH1311" s="39"/>
      <c r="AI1311" s="39"/>
      <c r="AJ1311" s="39"/>
      <c r="AK1311" s="39"/>
    </row>
    <row r="1312" spans="2:37" x14ac:dyDescent="0.25">
      <c r="E1312" t="s">
        <v>247</v>
      </c>
      <c r="H1312" t="s">
        <v>592</v>
      </c>
      <c r="N1312" s="39">
        <v>21471088</v>
      </c>
      <c r="O1312" s="39">
        <v>27304329</v>
      </c>
      <c r="P1312" s="39">
        <v>25536614</v>
      </c>
      <c r="Q1312" s="39">
        <v>24387532</v>
      </c>
      <c r="R1312" s="39">
        <v>23984838</v>
      </c>
      <c r="S1312" s="39">
        <v>20927129</v>
      </c>
      <c r="T1312" s="39">
        <v>25112451</v>
      </c>
      <c r="U1312" s="39">
        <v>24658900</v>
      </c>
      <c r="V1312" s="39">
        <v>22390675</v>
      </c>
      <c r="W1312" s="39">
        <v>24754659</v>
      </c>
      <c r="X1312" s="39">
        <v>23280168</v>
      </c>
      <c r="Y1312" s="39">
        <v>28949947</v>
      </c>
      <c r="Z1312" s="39">
        <v>30759935</v>
      </c>
      <c r="AA1312" s="39">
        <v>30716703</v>
      </c>
      <c r="AB1312" s="39">
        <v>32382346</v>
      </c>
      <c r="AC1312" s="39">
        <v>33476302</v>
      </c>
      <c r="AD1312" s="39"/>
      <c r="AE1312" s="39"/>
      <c r="AF1312" s="39"/>
      <c r="AG1312" s="39"/>
      <c r="AH1312" s="39"/>
      <c r="AI1312" s="39"/>
      <c r="AJ1312" s="39"/>
      <c r="AK1312" s="39"/>
    </row>
    <row r="1313" spans="2:37" x14ac:dyDescent="0.25">
      <c r="E1313" t="s">
        <v>248</v>
      </c>
      <c r="H1313" t="s">
        <v>592</v>
      </c>
      <c r="N1313" s="39">
        <v>16151429</v>
      </c>
      <c r="O1313" s="39">
        <v>20801099</v>
      </c>
      <c r="P1313" s="39">
        <v>19278692</v>
      </c>
      <c r="Q1313" s="39">
        <v>19538608</v>
      </c>
      <c r="R1313" s="39">
        <v>20880013</v>
      </c>
      <c r="S1313" s="39">
        <v>16305579</v>
      </c>
      <c r="T1313" s="39">
        <v>19749283</v>
      </c>
      <c r="U1313" s="39">
        <v>19890000</v>
      </c>
      <c r="V1313" s="39">
        <v>17145837</v>
      </c>
      <c r="W1313" s="39">
        <v>17748013</v>
      </c>
      <c r="X1313" s="39">
        <v>20098573</v>
      </c>
      <c r="Y1313" s="39">
        <v>18108143</v>
      </c>
      <c r="Z1313" s="39">
        <v>20703296</v>
      </c>
      <c r="AA1313" s="39">
        <v>21603853</v>
      </c>
      <c r="AB1313" s="39">
        <v>22612241</v>
      </c>
      <c r="AC1313" s="39">
        <v>26150678</v>
      </c>
      <c r="AD1313" s="39"/>
      <c r="AE1313" s="39"/>
      <c r="AF1313" s="39"/>
      <c r="AG1313" s="39"/>
      <c r="AH1313" s="39"/>
      <c r="AI1313" s="39"/>
      <c r="AJ1313" s="39"/>
      <c r="AK1313" s="39"/>
    </row>
    <row r="1314" spans="2:37" x14ac:dyDescent="0.25">
      <c r="E1314" t="s">
        <v>249</v>
      </c>
      <c r="H1314" t="s">
        <v>592</v>
      </c>
      <c r="N1314" s="39">
        <v>14343077</v>
      </c>
      <c r="O1314" s="39">
        <v>17760817</v>
      </c>
      <c r="P1314" s="39">
        <v>15066570</v>
      </c>
      <c r="Q1314" s="39">
        <v>17757434</v>
      </c>
      <c r="R1314" s="39">
        <v>17037289</v>
      </c>
      <c r="S1314" s="39">
        <v>15868038</v>
      </c>
      <c r="T1314" s="39">
        <v>14429126</v>
      </c>
      <c r="U1314" s="39">
        <v>14450178</v>
      </c>
      <c r="V1314" s="39">
        <v>14709361</v>
      </c>
      <c r="W1314" s="39">
        <v>15966235</v>
      </c>
      <c r="X1314" s="39">
        <v>16368688</v>
      </c>
      <c r="Y1314" s="39">
        <v>15647183</v>
      </c>
      <c r="Z1314" s="39">
        <v>17820074</v>
      </c>
      <c r="AA1314" s="39">
        <v>19308989</v>
      </c>
      <c r="AB1314" s="39">
        <v>16700429</v>
      </c>
      <c r="AC1314" s="39">
        <v>19343339</v>
      </c>
      <c r="AD1314" s="39"/>
      <c r="AE1314" s="39"/>
      <c r="AF1314" s="39"/>
      <c r="AG1314" s="39"/>
      <c r="AH1314" s="39"/>
      <c r="AI1314" s="39"/>
      <c r="AJ1314" s="39"/>
      <c r="AK1314" s="39"/>
    </row>
    <row r="1315" spans="2:37" x14ac:dyDescent="0.25">
      <c r="E1315" t="s">
        <v>250</v>
      </c>
      <c r="H1315" t="s">
        <v>592</v>
      </c>
      <c r="N1315" s="39">
        <v>12634060</v>
      </c>
      <c r="O1315" s="39">
        <v>13001416</v>
      </c>
      <c r="P1315" s="39">
        <v>13478947</v>
      </c>
      <c r="Q1315" s="39">
        <v>13202780</v>
      </c>
      <c r="R1315" s="39">
        <v>12827010</v>
      </c>
      <c r="S1315" s="39">
        <v>12897179</v>
      </c>
      <c r="T1315" s="39">
        <v>13176936</v>
      </c>
      <c r="U1315" s="39">
        <v>13755549</v>
      </c>
      <c r="V1315" s="39">
        <v>13260930</v>
      </c>
      <c r="W1315" s="39">
        <v>12754164</v>
      </c>
      <c r="X1315" s="39">
        <v>13686465</v>
      </c>
      <c r="Y1315" s="39">
        <v>14258446</v>
      </c>
      <c r="Z1315" s="39">
        <v>15659463</v>
      </c>
      <c r="AA1315" s="39">
        <v>16758298</v>
      </c>
      <c r="AB1315" s="39">
        <v>14926425</v>
      </c>
      <c r="AC1315" s="39">
        <v>15581621</v>
      </c>
      <c r="AD1315" s="39"/>
      <c r="AE1315" s="39"/>
      <c r="AF1315" s="39"/>
      <c r="AG1315" s="39"/>
      <c r="AH1315" s="39"/>
      <c r="AI1315" s="39"/>
      <c r="AJ1315" s="39"/>
      <c r="AK1315" s="39"/>
    </row>
    <row r="1316" spans="2:37" x14ac:dyDescent="0.25">
      <c r="E1316" t="s">
        <v>251</v>
      </c>
      <c r="H1316" t="s">
        <v>592</v>
      </c>
      <c r="N1316" s="39">
        <v>12307554</v>
      </c>
      <c r="O1316" s="39">
        <v>12311245</v>
      </c>
      <c r="P1316" s="39">
        <v>12857388</v>
      </c>
      <c r="Q1316" s="39">
        <v>12993291</v>
      </c>
      <c r="R1316" s="39">
        <v>14087199</v>
      </c>
      <c r="S1316" s="39">
        <v>13161767</v>
      </c>
      <c r="T1316" s="39">
        <v>13642182</v>
      </c>
      <c r="U1316" s="39">
        <v>14333336</v>
      </c>
      <c r="V1316" s="39">
        <v>13511957</v>
      </c>
      <c r="W1316" s="39">
        <v>14245086</v>
      </c>
      <c r="X1316" s="39">
        <v>14512603</v>
      </c>
      <c r="Y1316" s="39">
        <v>14753899</v>
      </c>
      <c r="Z1316" s="39">
        <v>14603964</v>
      </c>
      <c r="AA1316" s="39">
        <v>15416307</v>
      </c>
      <c r="AB1316" s="39">
        <v>16089309</v>
      </c>
      <c r="AC1316" s="39">
        <v>15412850</v>
      </c>
      <c r="AD1316" s="39"/>
      <c r="AE1316" s="39"/>
      <c r="AF1316" s="39"/>
      <c r="AG1316" s="39"/>
      <c r="AH1316" s="39"/>
      <c r="AI1316" s="39"/>
      <c r="AJ1316" s="39"/>
      <c r="AK1316" s="39"/>
    </row>
    <row r="1317" spans="2:37" x14ac:dyDescent="0.25">
      <c r="E1317" t="s">
        <v>252</v>
      </c>
      <c r="H1317" t="s">
        <v>592</v>
      </c>
      <c r="N1317" s="39">
        <v>12502983</v>
      </c>
      <c r="O1317" s="39">
        <v>13496247</v>
      </c>
      <c r="P1317" s="39">
        <v>13317875</v>
      </c>
      <c r="Q1317" s="39">
        <v>13328015</v>
      </c>
      <c r="R1317" s="39">
        <v>13208447</v>
      </c>
      <c r="S1317" s="39">
        <v>12672657</v>
      </c>
      <c r="T1317" s="39">
        <v>12718980</v>
      </c>
      <c r="U1317" s="39">
        <v>14251865</v>
      </c>
      <c r="V1317" s="39">
        <v>14479469</v>
      </c>
      <c r="W1317" s="39">
        <v>14873220</v>
      </c>
      <c r="X1317" s="39">
        <v>14595939</v>
      </c>
      <c r="Y1317" s="39">
        <v>14007038</v>
      </c>
      <c r="Z1317" s="39">
        <v>15152088</v>
      </c>
      <c r="AA1317" s="39">
        <v>16969340</v>
      </c>
      <c r="AB1317" s="39">
        <v>15236160</v>
      </c>
      <c r="AC1317" s="39">
        <v>14452079</v>
      </c>
      <c r="AD1317" s="39"/>
      <c r="AE1317" s="39"/>
      <c r="AF1317" s="39"/>
      <c r="AG1317" s="39"/>
      <c r="AH1317" s="39"/>
      <c r="AI1317" s="39"/>
      <c r="AJ1317" s="39"/>
      <c r="AK1317" s="39"/>
    </row>
    <row r="1318" spans="2:37" x14ac:dyDescent="0.25">
      <c r="E1318" t="s">
        <v>253</v>
      </c>
      <c r="H1318" t="s">
        <v>592</v>
      </c>
      <c r="N1318" s="39">
        <v>15331239</v>
      </c>
      <c r="O1318" s="39">
        <v>14882649</v>
      </c>
      <c r="P1318" s="39">
        <v>16596779</v>
      </c>
      <c r="Q1318" s="39">
        <v>15164521</v>
      </c>
      <c r="R1318" s="39">
        <v>14463676</v>
      </c>
      <c r="S1318" s="39">
        <v>15308156</v>
      </c>
      <c r="T1318" s="39">
        <v>18253976</v>
      </c>
      <c r="U1318" s="39">
        <v>15160743</v>
      </c>
      <c r="V1318" s="39">
        <v>13456898</v>
      </c>
      <c r="W1318" s="39">
        <v>17474468</v>
      </c>
      <c r="X1318" s="39">
        <v>22728554</v>
      </c>
      <c r="Y1318" s="39">
        <v>18354582</v>
      </c>
      <c r="Z1318" s="39">
        <v>22365114</v>
      </c>
      <c r="AA1318" s="39">
        <v>18930628</v>
      </c>
      <c r="AB1318" s="39">
        <v>20914080</v>
      </c>
      <c r="AC1318" s="39">
        <v>18262482</v>
      </c>
      <c r="AD1318" s="39"/>
      <c r="AE1318" s="39"/>
      <c r="AF1318" s="39"/>
      <c r="AG1318" s="39"/>
      <c r="AH1318" s="39"/>
      <c r="AI1318" s="39"/>
      <c r="AJ1318" s="39"/>
      <c r="AK1318" s="39"/>
    </row>
    <row r="1319" spans="2:37" x14ac:dyDescent="0.25">
      <c r="E1319" t="s">
        <v>254</v>
      </c>
      <c r="H1319" t="s">
        <v>592</v>
      </c>
      <c r="N1319" s="39">
        <v>18737109</v>
      </c>
      <c r="O1319" s="39">
        <v>18609200</v>
      </c>
      <c r="P1319" s="39">
        <v>21144316</v>
      </c>
      <c r="Q1319" s="39">
        <v>20496236</v>
      </c>
      <c r="R1319" s="39">
        <v>22429569</v>
      </c>
      <c r="S1319" s="39">
        <v>20948906</v>
      </c>
      <c r="T1319" s="39">
        <v>25487726</v>
      </c>
      <c r="U1319" s="39">
        <v>24463698</v>
      </c>
      <c r="V1319" s="39">
        <v>23626686</v>
      </c>
      <c r="W1319" s="39">
        <v>22301585</v>
      </c>
      <c r="X1319" s="39">
        <v>27425300</v>
      </c>
      <c r="Y1319" s="39">
        <v>28328684</v>
      </c>
      <c r="Z1319" s="39">
        <v>30250292</v>
      </c>
      <c r="AA1319" s="39">
        <v>30160538</v>
      </c>
      <c r="AB1319" s="39">
        <v>26988120</v>
      </c>
      <c r="AC1319" s="39">
        <v>33339595</v>
      </c>
      <c r="AD1319" s="39"/>
      <c r="AE1319" s="39"/>
      <c r="AF1319" s="39"/>
      <c r="AG1319" s="39"/>
      <c r="AH1319" s="39"/>
      <c r="AI1319" s="39"/>
      <c r="AJ1319" s="39"/>
      <c r="AK1319" s="39"/>
    </row>
    <row r="1320" spans="2:37" x14ac:dyDescent="0.25">
      <c r="E1320" t="s">
        <v>255</v>
      </c>
      <c r="H1320" t="s">
        <v>592</v>
      </c>
      <c r="N1320" s="39">
        <v>27495487</v>
      </c>
      <c r="O1320" s="39">
        <v>27182423</v>
      </c>
      <c r="P1320" s="39">
        <v>32176978</v>
      </c>
      <c r="Q1320" s="39">
        <v>31588723</v>
      </c>
      <c r="R1320" s="39">
        <v>33801145</v>
      </c>
      <c r="S1320" s="39">
        <v>26425691</v>
      </c>
      <c r="T1320" s="39">
        <v>33988066</v>
      </c>
      <c r="U1320" s="39">
        <v>30303251</v>
      </c>
      <c r="V1320" s="39">
        <v>35047194</v>
      </c>
      <c r="W1320" s="39">
        <v>36489304</v>
      </c>
      <c r="X1320" s="39">
        <v>32907282</v>
      </c>
      <c r="Y1320" s="39">
        <v>38305604</v>
      </c>
      <c r="Z1320" s="39">
        <v>37913507</v>
      </c>
      <c r="AA1320" s="39">
        <v>47954778</v>
      </c>
      <c r="AB1320" s="39">
        <v>34134296</v>
      </c>
      <c r="AC1320" s="39">
        <v>48715343</v>
      </c>
      <c r="AD1320" s="39"/>
      <c r="AE1320" s="39"/>
      <c r="AF1320" s="39"/>
      <c r="AG1320" s="39"/>
      <c r="AH1320" s="39"/>
      <c r="AI1320" s="39"/>
      <c r="AJ1320" s="39"/>
      <c r="AK1320" s="39"/>
    </row>
    <row r="1321" spans="2:37" s="8" customFormat="1" x14ac:dyDescent="0.25">
      <c r="B1321" s="9"/>
      <c r="C1321" s="8" t="s">
        <v>595</v>
      </c>
      <c r="H1321" s="8" t="s">
        <v>596</v>
      </c>
      <c r="I1321" s="42"/>
      <c r="J1321" s="77"/>
      <c r="K1321" s="77"/>
      <c r="L1321" s="77"/>
      <c r="M1321" s="77"/>
      <c r="N1321" s="83">
        <f>SUM(N1323:N1334,N1336:N1347)</f>
        <v>4169576</v>
      </c>
      <c r="O1321" s="83">
        <f t="shared" ref="O1321:AK1321" si="212">SUM(O1323:O1334,O1336:O1347)</f>
        <v>4687337</v>
      </c>
      <c r="P1321" s="83">
        <f t="shared" si="212"/>
        <v>4605026</v>
      </c>
      <c r="Q1321" s="83">
        <f t="shared" si="212"/>
        <v>5049394</v>
      </c>
      <c r="R1321" s="83">
        <f t="shared" si="212"/>
        <v>4888806</v>
      </c>
      <c r="S1321" s="83">
        <f t="shared" si="212"/>
        <v>4678469</v>
      </c>
      <c r="T1321" s="83">
        <f t="shared" si="212"/>
        <v>5175703</v>
      </c>
      <c r="U1321" s="83">
        <f t="shared" si="212"/>
        <v>5261227</v>
      </c>
      <c r="V1321" s="83">
        <f t="shared" si="212"/>
        <v>6338640</v>
      </c>
      <c r="W1321" s="83">
        <f t="shared" si="212"/>
        <v>7069658</v>
      </c>
      <c r="X1321" s="83">
        <f t="shared" si="212"/>
        <v>7567596</v>
      </c>
      <c r="Y1321" s="83">
        <f t="shared" si="212"/>
        <v>7760553</v>
      </c>
      <c r="Z1321" s="83">
        <f t="shared" si="212"/>
        <v>8397722</v>
      </c>
      <c r="AA1321" s="83">
        <f t="shared" si="212"/>
        <v>8124288</v>
      </c>
      <c r="AB1321" s="83">
        <f t="shared" si="212"/>
        <v>8143314</v>
      </c>
      <c r="AC1321" s="83">
        <f t="shared" si="212"/>
        <v>9447513</v>
      </c>
      <c r="AD1321" s="83">
        <f t="shared" si="212"/>
        <v>0</v>
      </c>
      <c r="AE1321" s="83">
        <f t="shared" si="212"/>
        <v>0</v>
      </c>
      <c r="AF1321" s="83">
        <f t="shared" si="212"/>
        <v>0</v>
      </c>
      <c r="AG1321" s="83">
        <f t="shared" si="212"/>
        <v>0</v>
      </c>
      <c r="AH1321" s="83">
        <f t="shared" si="212"/>
        <v>0</v>
      </c>
      <c r="AI1321" s="83">
        <f t="shared" si="212"/>
        <v>0</v>
      </c>
      <c r="AJ1321" s="83">
        <f t="shared" si="212"/>
        <v>0</v>
      </c>
      <c r="AK1321" s="83">
        <f t="shared" si="212"/>
        <v>0</v>
      </c>
    </row>
    <row r="1322" spans="2:37" s="79" customFormat="1" x14ac:dyDescent="0.25">
      <c r="B1322" s="80"/>
      <c r="D1322" s="79" t="s">
        <v>593</v>
      </c>
      <c r="H1322" s="79" t="s">
        <v>596</v>
      </c>
      <c r="I1322" s="81"/>
      <c r="J1322" s="82"/>
      <c r="K1322" s="82"/>
      <c r="L1322" s="82"/>
      <c r="M1322" s="82"/>
      <c r="N1322" s="84">
        <f>SUM(N1323:N1334)</f>
        <v>2905372</v>
      </c>
      <c r="O1322" s="84">
        <f t="shared" ref="O1322:AK1322" si="213">SUM(O1323:O1334)</f>
        <v>3168433</v>
      </c>
      <c r="P1322" s="84">
        <f t="shared" si="213"/>
        <v>3135914</v>
      </c>
      <c r="Q1322" s="84">
        <f t="shared" si="213"/>
        <v>3360172</v>
      </c>
      <c r="R1322" s="84">
        <f t="shared" si="213"/>
        <v>3245324</v>
      </c>
      <c r="S1322" s="84">
        <f t="shared" si="213"/>
        <v>3142594</v>
      </c>
      <c r="T1322" s="84">
        <f t="shared" si="213"/>
        <v>3419308</v>
      </c>
      <c r="U1322" s="84">
        <f t="shared" si="213"/>
        <v>3620535</v>
      </c>
      <c r="V1322" s="84">
        <f t="shared" si="213"/>
        <v>4671614</v>
      </c>
      <c r="W1322" s="84">
        <f t="shared" si="213"/>
        <v>5188658</v>
      </c>
      <c r="X1322" s="84">
        <f t="shared" si="213"/>
        <v>5422561</v>
      </c>
      <c r="Y1322" s="84">
        <f t="shared" si="213"/>
        <v>5557336</v>
      </c>
      <c r="Z1322" s="84">
        <f t="shared" si="213"/>
        <v>5867382</v>
      </c>
      <c r="AA1322" s="84">
        <f t="shared" si="213"/>
        <v>5476575</v>
      </c>
      <c r="AB1322" s="84">
        <f t="shared" si="213"/>
        <v>5531779</v>
      </c>
      <c r="AC1322" s="84">
        <f t="shared" si="213"/>
        <v>6516398</v>
      </c>
      <c r="AD1322" s="84">
        <f t="shared" si="213"/>
        <v>0</v>
      </c>
      <c r="AE1322" s="84">
        <f t="shared" si="213"/>
        <v>0</v>
      </c>
      <c r="AF1322" s="84">
        <f t="shared" si="213"/>
        <v>0</v>
      </c>
      <c r="AG1322" s="84">
        <f t="shared" si="213"/>
        <v>0</v>
      </c>
      <c r="AH1322" s="84">
        <f t="shared" si="213"/>
        <v>0</v>
      </c>
      <c r="AI1322" s="84">
        <f t="shared" si="213"/>
        <v>0</v>
      </c>
      <c r="AJ1322" s="84">
        <f t="shared" si="213"/>
        <v>0</v>
      </c>
      <c r="AK1322" s="84">
        <f t="shared" si="213"/>
        <v>0</v>
      </c>
    </row>
    <row r="1323" spans="2:37" x14ac:dyDescent="0.25">
      <c r="E1323" t="s">
        <v>244</v>
      </c>
      <c r="H1323" t="s">
        <v>596</v>
      </c>
      <c r="I1323" s="39"/>
      <c r="J1323" s="78"/>
      <c r="K1323" s="78"/>
      <c r="L1323" s="78"/>
      <c r="M1323" s="78"/>
      <c r="N1323" s="39">
        <v>358270</v>
      </c>
      <c r="O1323" s="39">
        <v>394524</v>
      </c>
      <c r="P1323" s="39">
        <v>383815</v>
      </c>
      <c r="Q1323" s="39">
        <v>433654</v>
      </c>
      <c r="R1323" s="39">
        <v>423415</v>
      </c>
      <c r="S1323" s="39">
        <v>481709</v>
      </c>
      <c r="T1323" s="39">
        <v>526724</v>
      </c>
      <c r="U1323" s="39">
        <v>500670</v>
      </c>
      <c r="V1323" s="39">
        <v>682633</v>
      </c>
      <c r="W1323" s="39">
        <v>854981</v>
      </c>
      <c r="X1323" s="39">
        <v>854106</v>
      </c>
      <c r="Y1323" s="39">
        <v>738639</v>
      </c>
      <c r="Z1323" s="39">
        <v>856399</v>
      </c>
      <c r="AA1323" s="39">
        <v>863529</v>
      </c>
      <c r="AB1323" s="39">
        <v>809497</v>
      </c>
      <c r="AC1323" s="39">
        <v>934302</v>
      </c>
      <c r="AD1323" s="39"/>
      <c r="AE1323" s="39"/>
      <c r="AF1323" s="39"/>
      <c r="AG1323" s="39"/>
      <c r="AH1323" s="39"/>
      <c r="AI1323" s="39"/>
      <c r="AJ1323" s="39"/>
      <c r="AK1323" s="39"/>
    </row>
    <row r="1324" spans="2:37" x14ac:dyDescent="0.25">
      <c r="E1324" t="s">
        <v>245</v>
      </c>
      <c r="H1324" t="s">
        <v>596</v>
      </c>
      <c r="I1324" s="39"/>
      <c r="J1324" s="78"/>
      <c r="K1324" s="78"/>
      <c r="L1324" s="78"/>
      <c r="M1324" s="78"/>
      <c r="N1324" s="39">
        <v>430867</v>
      </c>
      <c r="O1324" s="39">
        <v>449356</v>
      </c>
      <c r="P1324" s="39">
        <v>423509</v>
      </c>
      <c r="Q1324" s="39">
        <v>436574</v>
      </c>
      <c r="R1324" s="39">
        <v>403473</v>
      </c>
      <c r="S1324" s="39">
        <v>422895</v>
      </c>
      <c r="T1324" s="39">
        <v>440459</v>
      </c>
      <c r="U1324" s="39">
        <v>445486</v>
      </c>
      <c r="V1324" s="39">
        <v>507559</v>
      </c>
      <c r="W1324" s="39">
        <v>641262</v>
      </c>
      <c r="X1324" s="39">
        <v>697420</v>
      </c>
      <c r="Y1324" s="39">
        <v>631042</v>
      </c>
      <c r="Z1324" s="39">
        <v>754825</v>
      </c>
      <c r="AA1324" s="39">
        <v>747325</v>
      </c>
      <c r="AB1324" s="39">
        <v>754724</v>
      </c>
      <c r="AC1324" s="39">
        <v>844178</v>
      </c>
      <c r="AD1324" s="39"/>
      <c r="AE1324" s="39"/>
      <c r="AF1324" s="39"/>
      <c r="AG1324" s="39"/>
      <c r="AH1324" s="39"/>
      <c r="AI1324" s="39"/>
      <c r="AJ1324" s="39"/>
      <c r="AK1324" s="39"/>
    </row>
    <row r="1325" spans="2:37" x14ac:dyDescent="0.25">
      <c r="E1325" t="s">
        <v>246</v>
      </c>
      <c r="H1325" t="s">
        <v>596</v>
      </c>
      <c r="I1325" s="39"/>
      <c r="J1325" s="78"/>
      <c r="K1325" s="78"/>
      <c r="L1325" s="78"/>
      <c r="M1325" s="78"/>
      <c r="N1325" s="39">
        <v>376983</v>
      </c>
      <c r="O1325" s="39">
        <v>407806</v>
      </c>
      <c r="P1325" s="39">
        <v>366749</v>
      </c>
      <c r="Q1325" s="39">
        <v>362738</v>
      </c>
      <c r="R1325" s="39">
        <v>338180</v>
      </c>
      <c r="S1325" s="39">
        <v>379053</v>
      </c>
      <c r="T1325" s="39">
        <v>350549</v>
      </c>
      <c r="U1325" s="39">
        <v>364768</v>
      </c>
      <c r="V1325" s="39">
        <v>495019</v>
      </c>
      <c r="W1325" s="39">
        <v>547346</v>
      </c>
      <c r="X1325" s="39">
        <v>602174</v>
      </c>
      <c r="Y1325" s="39">
        <v>688775</v>
      </c>
      <c r="Z1325" s="39">
        <v>693141</v>
      </c>
      <c r="AA1325" s="39">
        <v>655879</v>
      </c>
      <c r="AB1325" s="39">
        <v>696192</v>
      </c>
      <c r="AC1325" s="39">
        <v>720042</v>
      </c>
      <c r="AD1325" s="39"/>
      <c r="AE1325" s="39"/>
      <c r="AF1325" s="39"/>
      <c r="AG1325" s="39"/>
      <c r="AH1325" s="39"/>
      <c r="AI1325" s="39"/>
      <c r="AJ1325" s="39"/>
      <c r="AK1325" s="39"/>
    </row>
    <row r="1326" spans="2:37" x14ac:dyDescent="0.25">
      <c r="E1326" t="s">
        <v>247</v>
      </c>
      <c r="H1326" t="s">
        <v>596</v>
      </c>
      <c r="N1326" s="39">
        <v>253466</v>
      </c>
      <c r="O1326" s="39">
        <v>331275</v>
      </c>
      <c r="P1326" s="39">
        <v>335644</v>
      </c>
      <c r="Q1326" s="39">
        <v>310275</v>
      </c>
      <c r="R1326" s="39">
        <v>279533</v>
      </c>
      <c r="S1326" s="39">
        <v>237637</v>
      </c>
      <c r="T1326" s="39">
        <v>304790</v>
      </c>
      <c r="U1326" s="39">
        <v>292786</v>
      </c>
      <c r="V1326" s="39">
        <v>352739</v>
      </c>
      <c r="W1326" s="39">
        <v>405817</v>
      </c>
      <c r="X1326" s="39">
        <v>393165</v>
      </c>
      <c r="Y1326" s="39">
        <v>475738</v>
      </c>
      <c r="Z1326" s="39">
        <v>530468</v>
      </c>
      <c r="AA1326" s="39">
        <v>386729</v>
      </c>
      <c r="AB1326" s="39">
        <v>517644</v>
      </c>
      <c r="AC1326" s="39">
        <v>547016</v>
      </c>
      <c r="AD1326" s="39"/>
      <c r="AE1326" s="39"/>
      <c r="AF1326" s="39"/>
      <c r="AG1326" s="39"/>
      <c r="AH1326" s="39"/>
      <c r="AI1326" s="39"/>
      <c r="AJ1326" s="39"/>
      <c r="AK1326" s="39"/>
    </row>
    <row r="1327" spans="2:37" x14ac:dyDescent="0.25">
      <c r="E1327" t="s">
        <v>248</v>
      </c>
      <c r="H1327" t="s">
        <v>596</v>
      </c>
      <c r="N1327" s="39">
        <v>187425</v>
      </c>
      <c r="O1327" s="39">
        <v>258178</v>
      </c>
      <c r="P1327" s="39">
        <v>251881</v>
      </c>
      <c r="Q1327" s="39">
        <v>244729</v>
      </c>
      <c r="R1327" s="39">
        <v>243271</v>
      </c>
      <c r="S1327" s="39">
        <v>182686</v>
      </c>
      <c r="T1327" s="39">
        <v>216531</v>
      </c>
      <c r="U1327" s="39">
        <v>226187</v>
      </c>
      <c r="V1327" s="39">
        <v>282931</v>
      </c>
      <c r="W1327" s="39">
        <v>289169</v>
      </c>
      <c r="X1327" s="39">
        <v>321797</v>
      </c>
      <c r="Y1327" s="39">
        <v>284501</v>
      </c>
      <c r="Z1327" s="39">
        <v>320312</v>
      </c>
      <c r="AA1327" s="39">
        <v>224648</v>
      </c>
      <c r="AB1327" s="39">
        <v>331382</v>
      </c>
      <c r="AC1327" s="39">
        <v>419771</v>
      </c>
      <c r="AD1327" s="39"/>
      <c r="AE1327" s="39"/>
      <c r="AF1327" s="39"/>
      <c r="AG1327" s="39"/>
      <c r="AH1327" s="39"/>
      <c r="AI1327" s="39"/>
      <c r="AJ1327" s="39"/>
      <c r="AK1327" s="39"/>
    </row>
    <row r="1328" spans="2:37" x14ac:dyDescent="0.25">
      <c r="E1328" t="s">
        <v>249</v>
      </c>
      <c r="H1328" t="s">
        <v>596</v>
      </c>
      <c r="N1328" s="39">
        <v>170298</v>
      </c>
      <c r="O1328" s="39">
        <v>211725</v>
      </c>
      <c r="P1328" s="39">
        <v>166602</v>
      </c>
      <c r="Q1328" s="39">
        <v>210267</v>
      </c>
      <c r="R1328" s="39">
        <v>210348</v>
      </c>
      <c r="S1328" s="39">
        <v>213781</v>
      </c>
      <c r="T1328" s="39">
        <v>186162</v>
      </c>
      <c r="U1328" s="39">
        <v>202266</v>
      </c>
      <c r="V1328" s="39">
        <v>271885</v>
      </c>
      <c r="W1328" s="39">
        <v>312313</v>
      </c>
      <c r="X1328" s="39">
        <v>313689</v>
      </c>
      <c r="Y1328" s="39">
        <v>301315</v>
      </c>
      <c r="Z1328" s="39">
        <v>342048</v>
      </c>
      <c r="AA1328" s="39">
        <v>249893</v>
      </c>
      <c r="AB1328" s="39">
        <v>292061</v>
      </c>
      <c r="AC1328" s="39">
        <v>359078</v>
      </c>
      <c r="AD1328" s="39"/>
      <c r="AE1328" s="39"/>
      <c r="AF1328" s="39"/>
      <c r="AG1328" s="39"/>
      <c r="AH1328" s="39"/>
      <c r="AI1328" s="39"/>
      <c r="AJ1328" s="39"/>
      <c r="AK1328" s="39"/>
    </row>
    <row r="1329" spans="2:37" x14ac:dyDescent="0.25">
      <c r="E1329" t="s">
        <v>250</v>
      </c>
      <c r="H1329" t="s">
        <v>596</v>
      </c>
      <c r="N1329" s="39">
        <v>158984</v>
      </c>
      <c r="O1329" s="39">
        <v>153474</v>
      </c>
      <c r="P1329" s="39">
        <v>193505</v>
      </c>
      <c r="Q1329" s="39">
        <v>187684</v>
      </c>
      <c r="R1329" s="39">
        <v>174338</v>
      </c>
      <c r="S1329" s="39">
        <v>176327</v>
      </c>
      <c r="T1329" s="39">
        <v>155896</v>
      </c>
      <c r="U1329" s="39">
        <v>190834</v>
      </c>
      <c r="V1329" s="39">
        <v>270370</v>
      </c>
      <c r="W1329" s="39">
        <v>247314</v>
      </c>
      <c r="X1329" s="39">
        <v>270395</v>
      </c>
      <c r="Y1329" s="39">
        <v>293892</v>
      </c>
      <c r="Z1329" s="39">
        <v>314214</v>
      </c>
      <c r="AA1329" s="39">
        <v>261375</v>
      </c>
      <c r="AB1329" s="39">
        <v>260367</v>
      </c>
      <c r="AC1329" s="39">
        <v>314377</v>
      </c>
      <c r="AD1329" s="39"/>
      <c r="AE1329" s="39"/>
      <c r="AF1329" s="39"/>
      <c r="AG1329" s="39"/>
      <c r="AH1329" s="39"/>
      <c r="AI1329" s="39"/>
      <c r="AJ1329" s="39"/>
      <c r="AK1329" s="39"/>
    </row>
    <row r="1330" spans="2:37" x14ac:dyDescent="0.25">
      <c r="E1330" t="s">
        <v>251</v>
      </c>
      <c r="H1330" t="s">
        <v>596</v>
      </c>
      <c r="N1330" s="39">
        <v>141476</v>
      </c>
      <c r="O1330" s="39">
        <v>152381</v>
      </c>
      <c r="P1330" s="39">
        <v>162656</v>
      </c>
      <c r="Q1330" s="39">
        <v>138319</v>
      </c>
      <c r="R1330" s="39">
        <v>180795</v>
      </c>
      <c r="S1330" s="39">
        <v>162346</v>
      </c>
      <c r="T1330" s="39">
        <v>168276</v>
      </c>
      <c r="U1330" s="39">
        <v>203511</v>
      </c>
      <c r="V1330" s="39">
        <v>275187</v>
      </c>
      <c r="W1330" s="39">
        <v>263380</v>
      </c>
      <c r="X1330" s="39">
        <v>279129</v>
      </c>
      <c r="Y1330" s="39">
        <v>334071</v>
      </c>
      <c r="Z1330" s="39">
        <v>278729</v>
      </c>
      <c r="AA1330" s="39">
        <v>228316</v>
      </c>
      <c r="AB1330" s="39">
        <v>278163</v>
      </c>
      <c r="AC1330" s="39">
        <v>274874</v>
      </c>
      <c r="AD1330" s="39"/>
      <c r="AE1330" s="39"/>
      <c r="AF1330" s="39"/>
      <c r="AG1330" s="39"/>
      <c r="AH1330" s="39"/>
      <c r="AI1330" s="39"/>
      <c r="AJ1330" s="39"/>
      <c r="AK1330" s="39"/>
    </row>
    <row r="1331" spans="2:37" x14ac:dyDescent="0.25">
      <c r="E1331" t="s">
        <v>252</v>
      </c>
      <c r="H1331" t="s">
        <v>596</v>
      </c>
      <c r="N1331" s="39">
        <v>168159</v>
      </c>
      <c r="O1331" s="39">
        <v>169621</v>
      </c>
      <c r="P1331" s="39">
        <v>160825</v>
      </c>
      <c r="Q1331" s="39">
        <v>171713</v>
      </c>
      <c r="R1331" s="39">
        <v>173321</v>
      </c>
      <c r="S1331" s="39">
        <v>165788</v>
      </c>
      <c r="T1331" s="39">
        <v>164054</v>
      </c>
      <c r="U1331" s="39">
        <v>206731</v>
      </c>
      <c r="V1331" s="39">
        <v>275949</v>
      </c>
      <c r="W1331" s="39">
        <v>305026</v>
      </c>
      <c r="X1331" s="39">
        <v>281991</v>
      </c>
      <c r="Y1331" s="39">
        <v>314537</v>
      </c>
      <c r="Z1331" s="39">
        <v>285496</v>
      </c>
      <c r="AA1331" s="39">
        <v>279660</v>
      </c>
      <c r="AB1331" s="39">
        <v>274023</v>
      </c>
      <c r="AC1331" s="39">
        <v>273072</v>
      </c>
      <c r="AD1331" s="39"/>
      <c r="AE1331" s="39"/>
      <c r="AF1331" s="39"/>
      <c r="AG1331" s="39"/>
      <c r="AH1331" s="39"/>
      <c r="AI1331" s="39"/>
      <c r="AJ1331" s="39"/>
      <c r="AK1331" s="39"/>
    </row>
    <row r="1332" spans="2:37" x14ac:dyDescent="0.25">
      <c r="E1332" t="s">
        <v>253</v>
      </c>
      <c r="H1332" t="s">
        <v>596</v>
      </c>
      <c r="N1332" s="39">
        <v>164336</v>
      </c>
      <c r="O1332" s="39">
        <v>183552</v>
      </c>
      <c r="P1332" s="39">
        <v>200190</v>
      </c>
      <c r="Q1332" s="39">
        <v>201671</v>
      </c>
      <c r="R1332" s="39">
        <v>182330</v>
      </c>
      <c r="S1332" s="39">
        <v>199094</v>
      </c>
      <c r="T1332" s="39">
        <v>222684</v>
      </c>
      <c r="U1332" s="39">
        <v>205062</v>
      </c>
      <c r="V1332" s="39">
        <v>269317</v>
      </c>
      <c r="W1332" s="39">
        <v>319250</v>
      </c>
      <c r="X1332" s="39">
        <v>392621</v>
      </c>
      <c r="Y1332" s="39">
        <v>377894</v>
      </c>
      <c r="Z1332" s="39">
        <v>393095</v>
      </c>
      <c r="AA1332" s="39">
        <v>367138</v>
      </c>
      <c r="AB1332" s="39">
        <v>370796</v>
      </c>
      <c r="AC1332" s="39">
        <v>366381</v>
      </c>
      <c r="AD1332" s="39"/>
      <c r="AE1332" s="39"/>
      <c r="AF1332" s="39"/>
      <c r="AG1332" s="39"/>
      <c r="AH1332" s="39"/>
      <c r="AI1332" s="39"/>
      <c r="AJ1332" s="39"/>
      <c r="AK1332" s="39"/>
    </row>
    <row r="1333" spans="2:37" x14ac:dyDescent="0.25">
      <c r="E1333" t="s">
        <v>254</v>
      </c>
      <c r="H1333" t="s">
        <v>596</v>
      </c>
      <c r="N1333" s="39">
        <v>211485</v>
      </c>
      <c r="O1333" s="39">
        <v>219015</v>
      </c>
      <c r="P1333" s="39">
        <v>224202</v>
      </c>
      <c r="Q1333" s="39">
        <v>276245</v>
      </c>
      <c r="R1333" s="39">
        <v>251752</v>
      </c>
      <c r="S1333" s="39">
        <v>242924</v>
      </c>
      <c r="T1333" s="39">
        <v>299971</v>
      </c>
      <c r="U1333" s="39">
        <v>324204</v>
      </c>
      <c r="V1333" s="39">
        <v>406263</v>
      </c>
      <c r="W1333" s="39">
        <v>349431</v>
      </c>
      <c r="X1333" s="39">
        <v>474305</v>
      </c>
      <c r="Y1333" s="39">
        <v>482805</v>
      </c>
      <c r="Z1333" s="39">
        <v>460624</v>
      </c>
      <c r="AA1333" s="39">
        <v>479026</v>
      </c>
      <c r="AB1333" s="39">
        <v>402066</v>
      </c>
      <c r="AC1333" s="39">
        <v>578563</v>
      </c>
      <c r="AD1333" s="39"/>
      <c r="AE1333" s="39"/>
      <c r="AF1333" s="39"/>
      <c r="AG1333" s="39"/>
      <c r="AH1333" s="39"/>
      <c r="AI1333" s="39"/>
      <c r="AJ1333" s="39"/>
      <c r="AK1333" s="39"/>
    </row>
    <row r="1334" spans="2:37" x14ac:dyDescent="0.25">
      <c r="E1334" t="s">
        <v>255</v>
      </c>
      <c r="H1334" t="s">
        <v>596</v>
      </c>
      <c r="N1334" s="39">
        <v>283623</v>
      </c>
      <c r="O1334" s="39">
        <v>237526</v>
      </c>
      <c r="P1334" s="39">
        <v>266336</v>
      </c>
      <c r="Q1334" s="39">
        <v>386303</v>
      </c>
      <c r="R1334" s="39">
        <v>384568</v>
      </c>
      <c r="S1334" s="39">
        <v>278354</v>
      </c>
      <c r="T1334" s="39">
        <v>383212</v>
      </c>
      <c r="U1334" s="39">
        <v>458030</v>
      </c>
      <c r="V1334" s="39">
        <v>581762</v>
      </c>
      <c r="W1334" s="39">
        <v>653369</v>
      </c>
      <c r="X1334" s="39">
        <v>541769</v>
      </c>
      <c r="Y1334" s="39">
        <v>634127</v>
      </c>
      <c r="Z1334" s="39">
        <v>638031</v>
      </c>
      <c r="AA1334" s="39">
        <v>733057</v>
      </c>
      <c r="AB1334" s="39">
        <v>544864</v>
      </c>
      <c r="AC1334" s="39">
        <v>884744</v>
      </c>
      <c r="AD1334" s="39"/>
      <c r="AE1334" s="39"/>
      <c r="AF1334" s="39"/>
      <c r="AG1334" s="39"/>
      <c r="AH1334" s="39"/>
      <c r="AI1334" s="39"/>
      <c r="AJ1334" s="39"/>
      <c r="AK1334" s="39"/>
    </row>
    <row r="1335" spans="2:37" s="79" customFormat="1" x14ac:dyDescent="0.25">
      <c r="B1335" s="80"/>
      <c r="D1335" s="79" t="s">
        <v>594</v>
      </c>
      <c r="H1335" s="79" t="s">
        <v>596</v>
      </c>
      <c r="N1335" s="84">
        <f t="shared" ref="N1335:AK1335" si="214">SUM(N1336:N1347)</f>
        <v>1264204</v>
      </c>
      <c r="O1335" s="84">
        <f t="shared" si="214"/>
        <v>1518904</v>
      </c>
      <c r="P1335" s="84">
        <f t="shared" si="214"/>
        <v>1469112</v>
      </c>
      <c r="Q1335" s="84">
        <f t="shared" si="214"/>
        <v>1689222</v>
      </c>
      <c r="R1335" s="84">
        <f t="shared" si="214"/>
        <v>1643482</v>
      </c>
      <c r="S1335" s="84">
        <f t="shared" si="214"/>
        <v>1535875</v>
      </c>
      <c r="T1335" s="84">
        <f t="shared" si="214"/>
        <v>1756395</v>
      </c>
      <c r="U1335" s="84">
        <f t="shared" si="214"/>
        <v>1640692</v>
      </c>
      <c r="V1335" s="84">
        <f t="shared" si="214"/>
        <v>1667026</v>
      </c>
      <c r="W1335" s="84">
        <f t="shared" si="214"/>
        <v>1881000</v>
      </c>
      <c r="X1335" s="84">
        <f t="shared" si="214"/>
        <v>2145035</v>
      </c>
      <c r="Y1335" s="84">
        <f t="shared" si="214"/>
        <v>2203217</v>
      </c>
      <c r="Z1335" s="84">
        <f t="shared" si="214"/>
        <v>2530340</v>
      </c>
      <c r="AA1335" s="84">
        <f t="shared" si="214"/>
        <v>2647713</v>
      </c>
      <c r="AB1335" s="84">
        <f t="shared" si="214"/>
        <v>2611535</v>
      </c>
      <c r="AC1335" s="84">
        <f t="shared" si="214"/>
        <v>2931115</v>
      </c>
      <c r="AD1335" s="84">
        <f t="shared" si="214"/>
        <v>0</v>
      </c>
      <c r="AE1335" s="84">
        <f t="shared" si="214"/>
        <v>0</v>
      </c>
      <c r="AF1335" s="84">
        <f t="shared" si="214"/>
        <v>0</v>
      </c>
      <c r="AG1335" s="84">
        <f t="shared" si="214"/>
        <v>0</v>
      </c>
      <c r="AH1335" s="84">
        <f t="shared" si="214"/>
        <v>0</v>
      </c>
      <c r="AI1335" s="84">
        <f t="shared" si="214"/>
        <v>0</v>
      </c>
      <c r="AJ1335" s="84">
        <f t="shared" si="214"/>
        <v>0</v>
      </c>
      <c r="AK1335" s="84">
        <f t="shared" si="214"/>
        <v>0</v>
      </c>
    </row>
    <row r="1336" spans="2:37" x14ac:dyDescent="0.25">
      <c r="E1336" t="s">
        <v>244</v>
      </c>
      <c r="H1336" t="s">
        <v>596</v>
      </c>
      <c r="N1336" s="39">
        <v>177278</v>
      </c>
      <c r="O1336" s="39">
        <v>217332</v>
      </c>
      <c r="P1336" s="39">
        <v>219166</v>
      </c>
      <c r="Q1336" s="39">
        <v>269810</v>
      </c>
      <c r="R1336" s="39">
        <v>277562</v>
      </c>
      <c r="S1336" s="39">
        <v>286878</v>
      </c>
      <c r="T1336" s="39">
        <v>316445</v>
      </c>
      <c r="U1336" s="39">
        <v>276099</v>
      </c>
      <c r="V1336" s="39">
        <v>296827</v>
      </c>
      <c r="W1336" s="39">
        <v>351062</v>
      </c>
      <c r="X1336" s="39">
        <v>406199</v>
      </c>
      <c r="Y1336" s="39">
        <v>351249</v>
      </c>
      <c r="Z1336" s="39">
        <v>414072</v>
      </c>
      <c r="AA1336" s="39">
        <v>418487</v>
      </c>
      <c r="AB1336" s="39">
        <v>465684</v>
      </c>
      <c r="AC1336" s="39">
        <v>469340</v>
      </c>
      <c r="AD1336" s="39"/>
      <c r="AE1336" s="39"/>
      <c r="AF1336" s="39"/>
      <c r="AG1336" s="39"/>
      <c r="AH1336" s="39"/>
      <c r="AI1336" s="39"/>
      <c r="AJ1336" s="39"/>
      <c r="AK1336" s="39"/>
    </row>
    <row r="1337" spans="2:37" x14ac:dyDescent="0.25">
      <c r="E1337" t="s">
        <v>245</v>
      </c>
      <c r="H1337" t="s">
        <v>596</v>
      </c>
      <c r="N1337" s="39">
        <v>218668</v>
      </c>
      <c r="O1337" s="39">
        <v>224364</v>
      </c>
      <c r="P1337" s="39">
        <v>220335</v>
      </c>
      <c r="Q1337" s="39">
        <v>278428</v>
      </c>
      <c r="R1337" s="39">
        <v>225559</v>
      </c>
      <c r="S1337" s="39">
        <v>232329</v>
      </c>
      <c r="T1337" s="39">
        <v>270125</v>
      </c>
      <c r="U1337" s="39">
        <v>258308</v>
      </c>
      <c r="V1337" s="39">
        <v>226646</v>
      </c>
      <c r="W1337" s="39">
        <v>290731</v>
      </c>
      <c r="X1337" s="39">
        <v>346751</v>
      </c>
      <c r="Y1337" s="39">
        <v>301432</v>
      </c>
      <c r="Z1337" s="39">
        <v>378057</v>
      </c>
      <c r="AA1337" s="39">
        <v>353548</v>
      </c>
      <c r="AB1337" s="39">
        <v>431652</v>
      </c>
      <c r="AC1337" s="39">
        <v>470621</v>
      </c>
      <c r="AD1337" s="39"/>
      <c r="AE1337" s="39"/>
      <c r="AF1337" s="39"/>
      <c r="AG1337" s="39"/>
      <c r="AH1337" s="39"/>
      <c r="AI1337" s="39"/>
      <c r="AJ1337" s="39"/>
      <c r="AK1337" s="39"/>
    </row>
    <row r="1338" spans="2:37" x14ac:dyDescent="0.25">
      <c r="E1338" t="s">
        <v>246</v>
      </c>
      <c r="H1338" t="s">
        <v>596</v>
      </c>
      <c r="N1338" s="39">
        <v>204027</v>
      </c>
      <c r="O1338" s="39">
        <v>226613</v>
      </c>
      <c r="P1338" s="39">
        <v>203344</v>
      </c>
      <c r="Q1338" s="39">
        <v>208170</v>
      </c>
      <c r="R1338" s="39">
        <v>189688</v>
      </c>
      <c r="S1338" s="39">
        <v>212316</v>
      </c>
      <c r="T1338" s="39">
        <v>207978</v>
      </c>
      <c r="U1338" s="39">
        <v>192690</v>
      </c>
      <c r="V1338" s="39">
        <v>210667</v>
      </c>
      <c r="W1338" s="39">
        <v>202659</v>
      </c>
      <c r="X1338" s="39">
        <v>254792</v>
      </c>
      <c r="Y1338" s="39">
        <v>301939</v>
      </c>
      <c r="Z1338" s="39">
        <v>339395</v>
      </c>
      <c r="AA1338" s="39">
        <v>344577</v>
      </c>
      <c r="AB1338" s="39">
        <v>346773</v>
      </c>
      <c r="AC1338" s="39">
        <v>360742</v>
      </c>
      <c r="AD1338" s="39"/>
      <c r="AE1338" s="39"/>
      <c r="AF1338" s="39"/>
      <c r="AG1338" s="39"/>
      <c r="AH1338" s="39"/>
      <c r="AI1338" s="39"/>
      <c r="AJ1338" s="39"/>
      <c r="AK1338" s="39"/>
    </row>
    <row r="1339" spans="2:37" x14ac:dyDescent="0.25">
      <c r="E1339" t="s">
        <v>247</v>
      </c>
      <c r="H1339" t="s">
        <v>596</v>
      </c>
      <c r="N1339" s="39">
        <v>120808</v>
      </c>
      <c r="O1339" s="39">
        <v>173628</v>
      </c>
      <c r="P1339" s="39">
        <v>174964</v>
      </c>
      <c r="Q1339" s="39">
        <v>172066</v>
      </c>
      <c r="R1339" s="39">
        <v>161887</v>
      </c>
      <c r="S1339" s="39">
        <v>132666</v>
      </c>
      <c r="T1339" s="39">
        <v>166985</v>
      </c>
      <c r="U1339" s="39">
        <v>153985</v>
      </c>
      <c r="V1339" s="39">
        <v>144076</v>
      </c>
      <c r="W1339" s="39">
        <v>180698</v>
      </c>
      <c r="X1339" s="39">
        <v>168861</v>
      </c>
      <c r="Y1339" s="39">
        <v>231190</v>
      </c>
      <c r="Z1339" s="39">
        <v>248278</v>
      </c>
      <c r="AA1339" s="39">
        <v>244518</v>
      </c>
      <c r="AB1339" s="39">
        <v>256408</v>
      </c>
      <c r="AC1339" s="39">
        <v>264420</v>
      </c>
      <c r="AD1339" s="39"/>
      <c r="AE1339" s="39"/>
      <c r="AF1339" s="39"/>
      <c r="AG1339" s="39"/>
      <c r="AH1339" s="39"/>
      <c r="AI1339" s="39"/>
      <c r="AJ1339" s="39"/>
      <c r="AK1339" s="39"/>
    </row>
    <row r="1340" spans="2:37" x14ac:dyDescent="0.25">
      <c r="E1340" t="s">
        <v>248</v>
      </c>
      <c r="H1340" t="s">
        <v>596</v>
      </c>
      <c r="N1340" s="39">
        <v>94446</v>
      </c>
      <c r="O1340" s="39">
        <v>153760</v>
      </c>
      <c r="P1340" s="39">
        <v>121498</v>
      </c>
      <c r="Q1340" s="39">
        <v>121586</v>
      </c>
      <c r="R1340" s="39">
        <v>138315</v>
      </c>
      <c r="S1340" s="39">
        <v>100720</v>
      </c>
      <c r="T1340" s="39">
        <v>128735</v>
      </c>
      <c r="U1340" s="39">
        <v>116861</v>
      </c>
      <c r="V1340" s="39">
        <v>99111</v>
      </c>
      <c r="W1340" s="39">
        <v>109757</v>
      </c>
      <c r="X1340" s="39">
        <v>136069</v>
      </c>
      <c r="Y1340" s="39">
        <v>123495</v>
      </c>
      <c r="Z1340" s="39">
        <v>146179</v>
      </c>
      <c r="AA1340" s="39">
        <v>165971</v>
      </c>
      <c r="AB1340" s="39">
        <v>176488</v>
      </c>
      <c r="AC1340" s="39">
        <v>208372</v>
      </c>
      <c r="AD1340" s="39"/>
      <c r="AE1340" s="39"/>
      <c r="AF1340" s="39"/>
      <c r="AG1340" s="39"/>
      <c r="AH1340" s="39"/>
      <c r="AI1340" s="39"/>
      <c r="AJ1340" s="39"/>
      <c r="AK1340" s="39"/>
    </row>
    <row r="1341" spans="2:37" x14ac:dyDescent="0.25">
      <c r="E1341" t="s">
        <v>249</v>
      </c>
      <c r="H1341" t="s">
        <v>596</v>
      </c>
      <c r="N1341" s="39">
        <v>63305</v>
      </c>
      <c r="O1341" s="39">
        <v>93903</v>
      </c>
      <c r="P1341" s="39">
        <v>71773</v>
      </c>
      <c r="Q1341" s="39">
        <v>93086</v>
      </c>
      <c r="R1341" s="39">
        <v>87275</v>
      </c>
      <c r="S1341" s="39">
        <v>76355</v>
      </c>
      <c r="T1341" s="39">
        <v>63767</v>
      </c>
      <c r="U1341" s="39">
        <v>63457</v>
      </c>
      <c r="V1341" s="39">
        <v>77573</v>
      </c>
      <c r="W1341" s="39">
        <v>84457</v>
      </c>
      <c r="X1341" s="39">
        <v>88221</v>
      </c>
      <c r="Y1341" s="39">
        <v>83262</v>
      </c>
      <c r="Z1341" s="39">
        <v>112596</v>
      </c>
      <c r="AA1341" s="39">
        <v>119854</v>
      </c>
      <c r="AB1341" s="39">
        <v>107890</v>
      </c>
      <c r="AC1341" s="39">
        <v>125195</v>
      </c>
      <c r="AD1341" s="39"/>
      <c r="AE1341" s="39"/>
      <c r="AF1341" s="39"/>
      <c r="AG1341" s="39"/>
      <c r="AH1341" s="39"/>
      <c r="AI1341" s="39"/>
      <c r="AJ1341" s="39"/>
      <c r="AK1341" s="39"/>
    </row>
    <row r="1342" spans="2:37" x14ac:dyDescent="0.25">
      <c r="E1342" t="s">
        <v>250</v>
      </c>
      <c r="H1342" t="s">
        <v>596</v>
      </c>
      <c r="N1342" s="39">
        <v>48124</v>
      </c>
      <c r="O1342" s="39">
        <v>58766</v>
      </c>
      <c r="P1342" s="39">
        <v>53465</v>
      </c>
      <c r="Q1342" s="39">
        <v>58370</v>
      </c>
      <c r="R1342" s="39">
        <v>53426</v>
      </c>
      <c r="S1342" s="39">
        <v>47970</v>
      </c>
      <c r="T1342" s="39">
        <v>44768</v>
      </c>
      <c r="U1342" s="39">
        <v>52239</v>
      </c>
      <c r="V1342" s="39">
        <v>47299</v>
      </c>
      <c r="W1342" s="39">
        <v>48752</v>
      </c>
      <c r="X1342" s="39">
        <v>61017</v>
      </c>
      <c r="Y1342" s="39">
        <v>65061</v>
      </c>
      <c r="Z1342" s="39">
        <v>81183</v>
      </c>
      <c r="AA1342" s="39">
        <v>90446</v>
      </c>
      <c r="AB1342" s="39">
        <v>69468</v>
      </c>
      <c r="AC1342" s="39">
        <v>80814</v>
      </c>
      <c r="AD1342" s="39"/>
      <c r="AE1342" s="39"/>
      <c r="AF1342" s="39"/>
      <c r="AG1342" s="39"/>
      <c r="AH1342" s="39"/>
      <c r="AI1342" s="39"/>
      <c r="AJ1342" s="39"/>
      <c r="AK1342" s="39"/>
    </row>
    <row r="1343" spans="2:37" x14ac:dyDescent="0.25">
      <c r="E1343" t="s">
        <v>251</v>
      </c>
      <c r="H1343" t="s">
        <v>596</v>
      </c>
      <c r="N1343" s="39">
        <v>30314</v>
      </c>
      <c r="O1343" s="39">
        <v>41128</v>
      </c>
      <c r="P1343" s="39">
        <v>36980</v>
      </c>
      <c r="Q1343" s="39">
        <v>38807</v>
      </c>
      <c r="R1343" s="39">
        <v>42970</v>
      </c>
      <c r="S1343" s="39">
        <v>39912</v>
      </c>
      <c r="T1343" s="39">
        <v>41158</v>
      </c>
      <c r="U1343" s="39">
        <v>46959</v>
      </c>
      <c r="V1343" s="39">
        <v>51526</v>
      </c>
      <c r="W1343" s="39">
        <v>51801</v>
      </c>
      <c r="X1343" s="39">
        <v>54224</v>
      </c>
      <c r="Y1343" s="39">
        <v>58065</v>
      </c>
      <c r="Z1343" s="39">
        <v>62999</v>
      </c>
      <c r="AA1343" s="39">
        <v>69039</v>
      </c>
      <c r="AB1343" s="39">
        <v>72455</v>
      </c>
      <c r="AC1343" s="39">
        <v>68512</v>
      </c>
      <c r="AD1343" s="39"/>
      <c r="AE1343" s="39"/>
      <c r="AF1343" s="39"/>
      <c r="AG1343" s="39"/>
      <c r="AH1343" s="39"/>
      <c r="AI1343" s="39"/>
      <c r="AJ1343" s="39"/>
      <c r="AK1343" s="39"/>
    </row>
    <row r="1344" spans="2:37" x14ac:dyDescent="0.25">
      <c r="E1344" t="s">
        <v>252</v>
      </c>
      <c r="H1344" t="s">
        <v>596</v>
      </c>
      <c r="N1344" s="39">
        <v>31913</v>
      </c>
      <c r="O1344" s="39">
        <v>41797</v>
      </c>
      <c r="P1344" s="39">
        <v>39871</v>
      </c>
      <c r="Q1344" s="39">
        <v>45286</v>
      </c>
      <c r="R1344" s="39">
        <v>44536</v>
      </c>
      <c r="S1344" s="39">
        <v>41639</v>
      </c>
      <c r="T1344" s="39">
        <v>41965</v>
      </c>
      <c r="U1344" s="39">
        <v>57187</v>
      </c>
      <c r="V1344" s="39">
        <v>54290</v>
      </c>
      <c r="W1344" s="39">
        <v>58092</v>
      </c>
      <c r="X1344" s="39">
        <v>57982</v>
      </c>
      <c r="Y1344" s="39">
        <v>63872</v>
      </c>
      <c r="Z1344" s="39">
        <v>73713</v>
      </c>
      <c r="AA1344" s="39">
        <v>87063</v>
      </c>
      <c r="AB1344" s="39">
        <v>78302</v>
      </c>
      <c r="AC1344" s="39">
        <v>70856</v>
      </c>
      <c r="AD1344" s="39"/>
      <c r="AE1344" s="39"/>
      <c r="AF1344" s="39"/>
      <c r="AG1344" s="39"/>
      <c r="AH1344" s="39"/>
      <c r="AI1344" s="39"/>
      <c r="AJ1344" s="39"/>
      <c r="AK1344" s="39"/>
    </row>
    <row r="1345" spans="1:37" x14ac:dyDescent="0.25">
      <c r="E1345" t="s">
        <v>253</v>
      </c>
      <c r="H1345" t="s">
        <v>596</v>
      </c>
      <c r="N1345" s="39">
        <v>40828</v>
      </c>
      <c r="O1345" s="39">
        <v>56106</v>
      </c>
      <c r="P1345" s="39">
        <v>55873</v>
      </c>
      <c r="Q1345" s="39">
        <v>52667</v>
      </c>
      <c r="R1345" s="39">
        <v>62648</v>
      </c>
      <c r="S1345" s="39">
        <v>67152</v>
      </c>
      <c r="T1345" s="39">
        <v>89666</v>
      </c>
      <c r="U1345" s="39">
        <v>68808</v>
      </c>
      <c r="V1345" s="39">
        <v>66473</v>
      </c>
      <c r="W1345" s="39">
        <v>83330</v>
      </c>
      <c r="X1345" s="39">
        <v>135719</v>
      </c>
      <c r="Y1345" s="39">
        <v>105067</v>
      </c>
      <c r="Z1345" s="39">
        <v>134535</v>
      </c>
      <c r="AA1345" s="39">
        <v>122589</v>
      </c>
      <c r="AB1345" s="39">
        <v>129334</v>
      </c>
      <c r="AC1345" s="39">
        <v>109182</v>
      </c>
      <c r="AD1345" s="39"/>
      <c r="AE1345" s="39"/>
      <c r="AF1345" s="39"/>
      <c r="AG1345" s="39"/>
      <c r="AH1345" s="39"/>
      <c r="AI1345" s="39"/>
      <c r="AJ1345" s="39"/>
      <c r="AK1345" s="39"/>
    </row>
    <row r="1346" spans="1:37" x14ac:dyDescent="0.25">
      <c r="E1346" t="s">
        <v>254</v>
      </c>
      <c r="H1346" t="s">
        <v>596</v>
      </c>
      <c r="N1346" s="39">
        <v>82841</v>
      </c>
      <c r="O1346" s="39">
        <v>103246</v>
      </c>
      <c r="P1346" s="39">
        <v>115783</v>
      </c>
      <c r="Q1346" s="39">
        <v>134548</v>
      </c>
      <c r="R1346" s="39">
        <v>127022</v>
      </c>
      <c r="S1346" s="39">
        <v>121912</v>
      </c>
      <c r="T1346" s="39">
        <v>153676</v>
      </c>
      <c r="U1346" s="39">
        <v>144308</v>
      </c>
      <c r="V1346" s="39">
        <v>136352</v>
      </c>
      <c r="W1346" s="39">
        <v>149450</v>
      </c>
      <c r="X1346" s="39">
        <v>190666</v>
      </c>
      <c r="Y1346" s="39">
        <v>202194</v>
      </c>
      <c r="Z1346" s="39">
        <v>242054</v>
      </c>
      <c r="AA1346" s="39">
        <v>236744</v>
      </c>
      <c r="AB1346" s="39">
        <v>208284</v>
      </c>
      <c r="AC1346" s="39">
        <v>266376</v>
      </c>
      <c r="AD1346" s="39"/>
      <c r="AE1346" s="39"/>
      <c r="AF1346" s="39"/>
      <c r="AG1346" s="39"/>
      <c r="AH1346" s="39"/>
      <c r="AI1346" s="39"/>
      <c r="AJ1346" s="39"/>
      <c r="AK1346" s="39"/>
    </row>
    <row r="1347" spans="1:37" x14ac:dyDescent="0.25">
      <c r="E1347" t="s">
        <v>255</v>
      </c>
      <c r="H1347" t="s">
        <v>596</v>
      </c>
      <c r="N1347" s="39">
        <v>151652</v>
      </c>
      <c r="O1347" s="39">
        <v>128261</v>
      </c>
      <c r="P1347" s="39">
        <v>156060</v>
      </c>
      <c r="Q1347" s="39">
        <v>216398</v>
      </c>
      <c r="R1347" s="39">
        <v>232594</v>
      </c>
      <c r="S1347" s="39">
        <v>176026</v>
      </c>
      <c r="T1347" s="39">
        <v>231127</v>
      </c>
      <c r="U1347" s="39">
        <v>209791</v>
      </c>
      <c r="V1347" s="39">
        <v>256186</v>
      </c>
      <c r="W1347" s="39">
        <v>270211</v>
      </c>
      <c r="X1347" s="39">
        <v>244534</v>
      </c>
      <c r="Y1347" s="39">
        <v>316391</v>
      </c>
      <c r="Z1347" s="39">
        <v>297279</v>
      </c>
      <c r="AA1347" s="39">
        <v>394877</v>
      </c>
      <c r="AB1347" s="39">
        <v>268797</v>
      </c>
      <c r="AC1347" s="39">
        <v>436685</v>
      </c>
      <c r="AD1347" s="39"/>
      <c r="AE1347" s="39"/>
      <c r="AF1347" s="39"/>
      <c r="AG1347" s="39"/>
      <c r="AH1347" s="39"/>
      <c r="AI1347" s="39"/>
      <c r="AJ1347" s="39"/>
      <c r="AK1347" s="39"/>
    </row>
    <row r="1348" spans="1:37" s="2" customFormat="1" x14ac:dyDescent="0.25">
      <c r="B1348" s="3"/>
      <c r="J1348" s="48"/>
      <c r="K1348" s="48"/>
      <c r="L1348" s="48"/>
      <c r="M1348" s="48"/>
      <c r="N1348" s="48"/>
    </row>
    <row r="1349" spans="1:37" s="28" customFormat="1" ht="17.25" x14ac:dyDescent="0.3">
      <c r="A1349" s="28" t="s">
        <v>597</v>
      </c>
    </row>
    <row r="1350" spans="1:37" x14ac:dyDescent="0.25">
      <c r="B1350" s="29" t="s">
        <v>3</v>
      </c>
      <c r="C1350" t="s">
        <v>2154</v>
      </c>
    </row>
    <row r="1351" spans="1:37" x14ac:dyDescent="0.25">
      <c r="B1351" s="29" t="s">
        <v>10</v>
      </c>
      <c r="C1351" s="263" t="s">
        <v>522</v>
      </c>
    </row>
    <row r="1352" spans="1:37" x14ac:dyDescent="0.25">
      <c r="B1352" s="29" t="s">
        <v>14</v>
      </c>
      <c r="C1352" t="s">
        <v>598</v>
      </c>
    </row>
    <row r="1353" spans="1:37" x14ac:dyDescent="0.25">
      <c r="B1353" s="29" t="s">
        <v>17</v>
      </c>
      <c r="C1353" t="s">
        <v>2155</v>
      </c>
    </row>
    <row r="1354" spans="1:37" s="25" customFormat="1" ht="15.75" thickBot="1" x14ac:dyDescent="0.3">
      <c r="B1354" s="30" t="s">
        <v>19</v>
      </c>
    </row>
    <row r="1355" spans="1:37" s="42" customFormat="1" ht="15.75" thickTop="1" x14ac:dyDescent="0.25">
      <c r="C1355" s="42" t="s">
        <v>597</v>
      </c>
      <c r="H1355" s="42" t="s">
        <v>599</v>
      </c>
      <c r="I1355" s="168">
        <f t="shared" ref="I1355:Z1355" si="215">SUM(I1356:I1367)</f>
        <v>190521</v>
      </c>
      <c r="J1355" s="168">
        <f t="shared" si="215"/>
        <v>217629</v>
      </c>
      <c r="K1355" s="168">
        <f t="shared" si="215"/>
        <v>215043</v>
      </c>
      <c r="L1355" s="168">
        <f t="shared" si="215"/>
        <v>248662</v>
      </c>
      <c r="M1355" s="168">
        <f t="shared" si="215"/>
        <v>272574</v>
      </c>
      <c r="N1355" s="168">
        <f t="shared" si="215"/>
        <v>282976</v>
      </c>
      <c r="O1355" s="168">
        <f t="shared" si="215"/>
        <v>311761</v>
      </c>
      <c r="P1355" s="168">
        <f t="shared" si="215"/>
        <v>290088</v>
      </c>
      <c r="Q1355" s="168">
        <f t="shared" si="215"/>
        <v>294408</v>
      </c>
      <c r="R1355" s="168">
        <f t="shared" si="215"/>
        <v>285520</v>
      </c>
      <c r="S1355" s="168">
        <f t="shared" si="215"/>
        <v>277632</v>
      </c>
      <c r="T1355" s="168">
        <f t="shared" si="215"/>
        <v>296369</v>
      </c>
      <c r="U1355" s="168">
        <f t="shared" si="215"/>
        <v>313474</v>
      </c>
      <c r="V1355" s="168">
        <f t="shared" si="215"/>
        <v>316674</v>
      </c>
      <c r="W1355" s="168">
        <f t="shared" si="215"/>
        <v>351414</v>
      </c>
      <c r="X1355" s="168">
        <f t="shared" si="215"/>
        <v>353776</v>
      </c>
      <c r="Y1355" s="168">
        <f t="shared" si="215"/>
        <v>391353</v>
      </c>
      <c r="Z1355" s="168">
        <f t="shared" si="215"/>
        <v>454629</v>
      </c>
      <c r="AA1355" s="168">
        <f t="shared" ref="AA1355:AK1355" si="216">SUM(AA1356:AA1367)</f>
        <v>284433</v>
      </c>
      <c r="AB1355" s="168">
        <f t="shared" si="216"/>
        <v>508838</v>
      </c>
      <c r="AC1355" s="168">
        <f t="shared" si="216"/>
        <v>405693</v>
      </c>
      <c r="AD1355" s="168">
        <f t="shared" si="216"/>
        <v>0</v>
      </c>
      <c r="AE1355" s="168">
        <f t="shared" si="216"/>
        <v>0</v>
      </c>
      <c r="AF1355" s="168">
        <f t="shared" si="216"/>
        <v>0</v>
      </c>
      <c r="AG1355" s="168">
        <f t="shared" si="216"/>
        <v>0</v>
      </c>
      <c r="AH1355" s="168">
        <f t="shared" si="216"/>
        <v>0</v>
      </c>
      <c r="AI1355" s="168">
        <f t="shared" si="216"/>
        <v>0</v>
      </c>
      <c r="AJ1355" s="168">
        <f t="shared" si="216"/>
        <v>0</v>
      </c>
      <c r="AK1355" s="168">
        <f t="shared" si="216"/>
        <v>0</v>
      </c>
    </row>
    <row r="1356" spans="1:37" s="59" customFormat="1" x14ac:dyDescent="0.25">
      <c r="D1356" s="59" t="s">
        <v>244</v>
      </c>
      <c r="H1356" s="59" t="s">
        <v>599</v>
      </c>
      <c r="I1356" s="59">
        <v>17638</v>
      </c>
      <c r="J1356" s="167">
        <v>21209</v>
      </c>
      <c r="K1356" s="167">
        <v>19336</v>
      </c>
      <c r="L1356" s="167">
        <v>23669</v>
      </c>
      <c r="M1356" s="167">
        <v>26166</v>
      </c>
      <c r="N1356" s="167">
        <v>25124</v>
      </c>
      <c r="O1356" s="167">
        <v>26431</v>
      </c>
      <c r="P1356" s="167">
        <v>22931</v>
      </c>
      <c r="Q1356" s="167">
        <v>24436</v>
      </c>
      <c r="R1356" s="167">
        <v>24197</v>
      </c>
      <c r="S1356" s="167">
        <v>20689</v>
      </c>
      <c r="T1356" s="167">
        <v>24299</v>
      </c>
      <c r="U1356" s="167">
        <v>26964</v>
      </c>
      <c r="V1356" s="167">
        <v>27620</v>
      </c>
      <c r="W1356" s="167">
        <v>30488</v>
      </c>
      <c r="X1356" s="167">
        <v>34404</v>
      </c>
      <c r="Y1356" s="167">
        <v>36583</v>
      </c>
      <c r="Z1356" s="167">
        <v>40335</v>
      </c>
      <c r="AA1356" s="39">
        <v>40677</v>
      </c>
      <c r="AB1356" s="167">
        <v>32987</v>
      </c>
      <c r="AC1356" s="167">
        <v>44543</v>
      </c>
      <c r="AD1356" s="167"/>
      <c r="AE1356" s="167"/>
      <c r="AF1356" s="167"/>
      <c r="AG1356" s="167"/>
      <c r="AH1356" s="167"/>
      <c r="AI1356" s="167"/>
      <c r="AJ1356" s="167"/>
      <c r="AK1356" s="167"/>
    </row>
    <row r="1357" spans="1:37" s="59" customFormat="1" x14ac:dyDescent="0.25">
      <c r="D1357" s="59" t="s">
        <v>245</v>
      </c>
      <c r="H1357" s="59" t="s">
        <v>599</v>
      </c>
      <c r="I1357" s="59">
        <v>20262</v>
      </c>
      <c r="J1357" s="167">
        <v>21511</v>
      </c>
      <c r="K1357" s="167">
        <v>22226</v>
      </c>
      <c r="L1357" s="167">
        <v>24037</v>
      </c>
      <c r="M1357" s="167">
        <v>26947</v>
      </c>
      <c r="N1357" s="167">
        <v>23276</v>
      </c>
      <c r="O1357" s="167">
        <v>28305</v>
      </c>
      <c r="P1357" s="167">
        <v>25449</v>
      </c>
      <c r="Q1357" s="167">
        <v>24817</v>
      </c>
      <c r="R1357" s="167">
        <v>23422</v>
      </c>
      <c r="S1357" s="167">
        <v>21560</v>
      </c>
      <c r="T1357" s="167">
        <v>25450</v>
      </c>
      <c r="U1357" s="167">
        <v>27808</v>
      </c>
      <c r="V1357" s="167">
        <v>27922</v>
      </c>
      <c r="W1357" s="167">
        <v>32286</v>
      </c>
      <c r="X1357" s="167">
        <v>28303</v>
      </c>
      <c r="Y1357" s="167">
        <v>33024</v>
      </c>
      <c r="Z1357" s="167">
        <v>38690</v>
      </c>
      <c r="AA1357" s="39">
        <v>42748</v>
      </c>
      <c r="AB1357" s="167">
        <v>33692</v>
      </c>
      <c r="AC1357" s="167">
        <v>45055</v>
      </c>
      <c r="AD1357" s="167"/>
      <c r="AE1357" s="167"/>
      <c r="AF1357" s="167"/>
      <c r="AG1357" s="167"/>
      <c r="AH1357" s="167"/>
      <c r="AI1357" s="167"/>
      <c r="AJ1357" s="167"/>
      <c r="AK1357" s="167"/>
    </row>
    <row r="1358" spans="1:37" s="59" customFormat="1" x14ac:dyDescent="0.25">
      <c r="D1358" s="59" t="s">
        <v>246</v>
      </c>
      <c r="H1358" s="59" t="s">
        <v>599</v>
      </c>
      <c r="I1358" s="59">
        <v>23406</v>
      </c>
      <c r="J1358" s="167">
        <v>25469</v>
      </c>
      <c r="K1358" s="167">
        <v>23003</v>
      </c>
      <c r="L1358" s="167">
        <v>26994</v>
      </c>
      <c r="M1358" s="167">
        <v>30674</v>
      </c>
      <c r="N1358" s="167">
        <v>26388</v>
      </c>
      <c r="O1358" s="167">
        <v>31065</v>
      </c>
      <c r="P1358" s="167">
        <v>27435</v>
      </c>
      <c r="Q1358" s="167">
        <v>26931</v>
      </c>
      <c r="R1358" s="167">
        <v>26056</v>
      </c>
      <c r="S1358" s="167">
        <v>25348</v>
      </c>
      <c r="T1358" s="167">
        <v>27475</v>
      </c>
      <c r="U1358" s="167">
        <v>32118</v>
      </c>
      <c r="V1358" s="167">
        <v>30572</v>
      </c>
      <c r="W1358" s="167">
        <v>34279</v>
      </c>
      <c r="X1358" s="167">
        <v>34588</v>
      </c>
      <c r="Y1358" s="167">
        <v>37374</v>
      </c>
      <c r="Z1358" s="167">
        <v>47472</v>
      </c>
      <c r="AA1358" s="39">
        <v>26200</v>
      </c>
      <c r="AB1358" s="167">
        <v>42218</v>
      </c>
      <c r="AC1358" s="167">
        <v>53990</v>
      </c>
      <c r="AD1358" s="167"/>
      <c r="AE1358" s="167"/>
      <c r="AF1358" s="167"/>
      <c r="AG1358" s="167"/>
      <c r="AH1358" s="167"/>
      <c r="AI1358" s="167"/>
      <c r="AJ1358" s="167"/>
      <c r="AK1358" s="167"/>
    </row>
    <row r="1359" spans="1:37" s="59" customFormat="1" x14ac:dyDescent="0.25">
      <c r="D1359" s="59" t="s">
        <v>247</v>
      </c>
      <c r="H1359" s="59" t="s">
        <v>599</v>
      </c>
      <c r="I1359" s="59">
        <v>5515</v>
      </c>
      <c r="J1359" s="167">
        <v>6387</v>
      </c>
      <c r="K1359" s="167">
        <v>5320</v>
      </c>
      <c r="L1359" s="167">
        <v>7382</v>
      </c>
      <c r="M1359" s="167">
        <v>8244</v>
      </c>
      <c r="N1359" s="167">
        <v>10234</v>
      </c>
      <c r="O1359" s="167">
        <v>9129</v>
      </c>
      <c r="P1359" s="167">
        <v>8198</v>
      </c>
      <c r="Q1359" s="167">
        <v>9803</v>
      </c>
      <c r="R1359" s="167">
        <v>8288</v>
      </c>
      <c r="S1359" s="167">
        <v>8450</v>
      </c>
      <c r="T1359" s="167">
        <v>8487</v>
      </c>
      <c r="U1359" s="167">
        <v>8040</v>
      </c>
      <c r="V1359" s="167">
        <v>8929</v>
      </c>
      <c r="W1359" s="167">
        <v>9718</v>
      </c>
      <c r="X1359" s="167">
        <v>9636</v>
      </c>
      <c r="Y1359" s="167">
        <v>13122</v>
      </c>
      <c r="Z1359" s="167">
        <v>13945</v>
      </c>
      <c r="AA1359" s="39">
        <v>481</v>
      </c>
      <c r="AB1359" s="167">
        <v>18834</v>
      </c>
      <c r="AC1359" s="167">
        <v>8492</v>
      </c>
      <c r="AD1359" s="167"/>
      <c r="AE1359" s="167"/>
      <c r="AF1359" s="167"/>
      <c r="AG1359" s="167"/>
      <c r="AH1359" s="167"/>
      <c r="AI1359" s="167"/>
      <c r="AJ1359" s="167"/>
      <c r="AK1359" s="167"/>
    </row>
    <row r="1360" spans="1:37" s="59" customFormat="1" x14ac:dyDescent="0.25">
      <c r="D1360" s="59" t="s">
        <v>248</v>
      </c>
      <c r="H1360" s="59" t="s">
        <v>599</v>
      </c>
      <c r="I1360" s="59">
        <v>6159</v>
      </c>
      <c r="J1360" s="167">
        <v>7337</v>
      </c>
      <c r="K1360" s="167">
        <v>7168</v>
      </c>
      <c r="L1360" s="167">
        <v>8106</v>
      </c>
      <c r="M1360" s="167">
        <v>8992</v>
      </c>
      <c r="N1360" s="167">
        <v>8826</v>
      </c>
      <c r="O1360" s="167">
        <v>13441</v>
      </c>
      <c r="P1360" s="167">
        <v>8329</v>
      </c>
      <c r="Q1360" s="167">
        <v>11004</v>
      </c>
      <c r="R1360" s="167">
        <v>10934</v>
      </c>
      <c r="S1360" s="167">
        <v>10500</v>
      </c>
      <c r="T1360" s="167">
        <v>12101</v>
      </c>
      <c r="U1360" s="167">
        <v>13089</v>
      </c>
      <c r="V1360" s="167">
        <v>12294</v>
      </c>
      <c r="W1360" s="167">
        <v>13597</v>
      </c>
      <c r="X1360" s="167">
        <v>14529</v>
      </c>
      <c r="Y1360" s="167">
        <v>12551</v>
      </c>
      <c r="Z1360" s="167">
        <v>19624</v>
      </c>
      <c r="AA1360" s="39">
        <v>2409</v>
      </c>
      <c r="AB1360" s="167">
        <v>28107</v>
      </c>
      <c r="AC1360" s="167">
        <v>0</v>
      </c>
      <c r="AD1360" s="167"/>
      <c r="AE1360" s="167"/>
      <c r="AF1360" s="167"/>
      <c r="AG1360" s="167"/>
      <c r="AH1360" s="167"/>
      <c r="AI1360" s="167"/>
      <c r="AJ1360" s="167"/>
      <c r="AK1360" s="167"/>
    </row>
    <row r="1361" spans="2:37" s="59" customFormat="1" x14ac:dyDescent="0.25">
      <c r="D1361" s="59" t="s">
        <v>249</v>
      </c>
      <c r="H1361" s="59" t="s">
        <v>599</v>
      </c>
      <c r="I1361" s="59">
        <v>15659</v>
      </c>
      <c r="J1361" s="167">
        <v>19970</v>
      </c>
      <c r="K1361" s="167">
        <v>22565</v>
      </c>
      <c r="L1361" s="167">
        <v>26431</v>
      </c>
      <c r="M1361" s="167">
        <v>28572</v>
      </c>
      <c r="N1361" s="167">
        <v>29085</v>
      </c>
      <c r="O1361" s="167">
        <v>37350</v>
      </c>
      <c r="P1361" s="167">
        <v>29986</v>
      </c>
      <c r="Q1361" s="167">
        <v>29879</v>
      </c>
      <c r="R1361" s="167">
        <v>28329</v>
      </c>
      <c r="S1361" s="167">
        <v>27770</v>
      </c>
      <c r="T1361" s="167">
        <v>30358</v>
      </c>
      <c r="U1361" s="167">
        <v>32830</v>
      </c>
      <c r="V1361" s="167">
        <v>32961</v>
      </c>
      <c r="W1361" s="167">
        <v>34672</v>
      </c>
      <c r="X1361" s="167">
        <v>37275</v>
      </c>
      <c r="Y1361" s="167">
        <v>37867</v>
      </c>
      <c r="Z1361" s="167">
        <v>49328</v>
      </c>
      <c r="AA1361" s="39">
        <v>9601</v>
      </c>
      <c r="AB1361" s="167">
        <v>63491</v>
      </c>
      <c r="AC1361" s="167">
        <v>2788</v>
      </c>
      <c r="AD1361" s="167"/>
      <c r="AE1361" s="167"/>
      <c r="AF1361" s="167"/>
      <c r="AG1361" s="167"/>
      <c r="AH1361" s="167"/>
      <c r="AI1361" s="167"/>
      <c r="AJ1361" s="167"/>
      <c r="AK1361" s="167"/>
    </row>
    <row r="1362" spans="2:37" s="59" customFormat="1" x14ac:dyDescent="0.25">
      <c r="D1362" s="59" t="s">
        <v>250</v>
      </c>
      <c r="H1362" s="59" t="s">
        <v>599</v>
      </c>
      <c r="I1362" s="59">
        <v>26048</v>
      </c>
      <c r="J1362" s="167">
        <v>32587</v>
      </c>
      <c r="K1362" s="167">
        <v>32569</v>
      </c>
      <c r="L1362" s="167">
        <v>36176</v>
      </c>
      <c r="M1362" s="167">
        <v>41666</v>
      </c>
      <c r="N1362" s="167">
        <v>44037</v>
      </c>
      <c r="O1362" s="167">
        <v>48358</v>
      </c>
      <c r="P1362" s="167">
        <v>46138</v>
      </c>
      <c r="Q1362" s="167">
        <v>46197</v>
      </c>
      <c r="R1362" s="167">
        <v>47389</v>
      </c>
      <c r="S1362" s="167">
        <v>46185</v>
      </c>
      <c r="T1362" s="167">
        <v>47319</v>
      </c>
      <c r="U1362" s="167">
        <v>48107</v>
      </c>
      <c r="V1362" s="167">
        <v>47053</v>
      </c>
      <c r="W1362" s="167">
        <v>52065</v>
      </c>
      <c r="X1362" s="167">
        <v>53580</v>
      </c>
      <c r="Y1362" s="167">
        <v>56762</v>
      </c>
      <c r="Z1362" s="167">
        <v>63657</v>
      </c>
      <c r="AA1362" s="39">
        <v>31419</v>
      </c>
      <c r="AB1362" s="167">
        <v>77421</v>
      </c>
      <c r="AC1362" s="167">
        <v>59565</v>
      </c>
      <c r="AD1362" s="167"/>
      <c r="AE1362" s="167"/>
      <c r="AF1362" s="167"/>
      <c r="AG1362" s="167"/>
      <c r="AH1362" s="167"/>
      <c r="AI1362" s="167"/>
      <c r="AJ1362" s="167"/>
      <c r="AK1362" s="167"/>
    </row>
    <row r="1363" spans="2:37" s="59" customFormat="1" x14ac:dyDescent="0.25">
      <c r="D1363" s="59" t="s">
        <v>251</v>
      </c>
      <c r="H1363" s="59" t="s">
        <v>599</v>
      </c>
      <c r="I1363" s="59">
        <v>29550</v>
      </c>
      <c r="J1363" s="167">
        <v>37476</v>
      </c>
      <c r="K1363" s="167">
        <v>33355</v>
      </c>
      <c r="L1363" s="167">
        <v>36392</v>
      </c>
      <c r="M1363" s="167">
        <v>41778</v>
      </c>
      <c r="N1363" s="167">
        <v>44608</v>
      </c>
      <c r="O1363" s="167">
        <v>53073</v>
      </c>
      <c r="P1363" s="167">
        <v>53731</v>
      </c>
      <c r="Q1363" s="167">
        <v>50501</v>
      </c>
      <c r="R1363" s="167">
        <v>50319</v>
      </c>
      <c r="S1363" s="167">
        <v>49994</v>
      </c>
      <c r="T1363" s="167">
        <v>50783</v>
      </c>
      <c r="U1363" s="167">
        <v>52254</v>
      </c>
      <c r="V1363" s="167">
        <v>51413</v>
      </c>
      <c r="W1363" s="167">
        <v>53591</v>
      </c>
      <c r="X1363" s="167">
        <v>51936</v>
      </c>
      <c r="Y1363" s="167">
        <v>57887</v>
      </c>
      <c r="Z1363" s="167">
        <v>65366</v>
      </c>
      <c r="AA1363" s="39">
        <v>40963</v>
      </c>
      <c r="AB1363" s="167">
        <v>74093</v>
      </c>
      <c r="AC1363" s="167">
        <v>63140</v>
      </c>
      <c r="AD1363" s="167"/>
      <c r="AE1363" s="167"/>
      <c r="AF1363" s="167"/>
      <c r="AG1363" s="167"/>
      <c r="AH1363" s="167"/>
      <c r="AI1363" s="167"/>
      <c r="AJ1363" s="167"/>
      <c r="AK1363" s="167"/>
    </row>
    <row r="1364" spans="2:37" s="59" customFormat="1" x14ac:dyDescent="0.25">
      <c r="D1364" s="59" t="s">
        <v>252</v>
      </c>
      <c r="H1364" s="59" t="s">
        <v>599</v>
      </c>
      <c r="I1364" s="59">
        <v>20926</v>
      </c>
      <c r="J1364" s="167">
        <v>22444</v>
      </c>
      <c r="K1364" s="167">
        <v>21136</v>
      </c>
      <c r="L1364" s="167">
        <v>27699</v>
      </c>
      <c r="M1364" s="167">
        <v>24826</v>
      </c>
      <c r="N1364" s="167">
        <v>33899</v>
      </c>
      <c r="O1364" s="167">
        <v>33211</v>
      </c>
      <c r="P1364" s="167">
        <v>33037</v>
      </c>
      <c r="Q1364" s="167">
        <v>35115</v>
      </c>
      <c r="R1364" s="167">
        <v>32842</v>
      </c>
      <c r="S1364" s="167">
        <v>32503</v>
      </c>
      <c r="T1364" s="167">
        <v>34262</v>
      </c>
      <c r="U1364" s="167">
        <v>33139</v>
      </c>
      <c r="V1364" s="167">
        <v>32813</v>
      </c>
      <c r="W1364" s="167">
        <v>40334</v>
      </c>
      <c r="X1364" s="167">
        <v>35853</v>
      </c>
      <c r="Y1364" s="167">
        <v>44340</v>
      </c>
      <c r="Z1364" s="167">
        <v>48868</v>
      </c>
      <c r="AA1364" s="39">
        <v>32648</v>
      </c>
      <c r="AB1364" s="167">
        <v>55861</v>
      </c>
      <c r="AC1364" s="167">
        <v>52676</v>
      </c>
      <c r="AD1364" s="167"/>
      <c r="AE1364" s="167"/>
      <c r="AF1364" s="167"/>
      <c r="AG1364" s="167"/>
      <c r="AH1364" s="167"/>
      <c r="AI1364" s="167"/>
      <c r="AJ1364" s="167"/>
      <c r="AK1364" s="167"/>
    </row>
    <row r="1365" spans="2:37" s="59" customFormat="1" x14ac:dyDescent="0.25">
      <c r="D1365" s="59" t="s">
        <v>253</v>
      </c>
      <c r="H1365" s="59" t="s">
        <v>599</v>
      </c>
      <c r="I1365" s="59">
        <v>7678</v>
      </c>
      <c r="J1365" s="167">
        <v>7234</v>
      </c>
      <c r="K1365" s="167">
        <v>9362</v>
      </c>
      <c r="L1365" s="167">
        <v>11077</v>
      </c>
      <c r="M1365" s="167">
        <v>11300</v>
      </c>
      <c r="N1365" s="167">
        <v>13495</v>
      </c>
      <c r="O1365" s="167">
        <v>12559</v>
      </c>
      <c r="P1365" s="167">
        <v>12411</v>
      </c>
      <c r="Q1365" s="167">
        <v>13715</v>
      </c>
      <c r="R1365" s="167">
        <v>11968</v>
      </c>
      <c r="S1365" s="167">
        <v>12809</v>
      </c>
      <c r="T1365" s="167">
        <v>13689</v>
      </c>
      <c r="U1365" s="167">
        <v>14823</v>
      </c>
      <c r="V1365" s="167">
        <v>15864</v>
      </c>
      <c r="W1365" s="167">
        <v>19334</v>
      </c>
      <c r="X1365" s="167">
        <v>19898</v>
      </c>
      <c r="Y1365" s="167">
        <v>23816</v>
      </c>
      <c r="Z1365" s="167">
        <v>26141</v>
      </c>
      <c r="AA1365" s="39">
        <v>23462</v>
      </c>
      <c r="AB1365" s="167">
        <v>31381</v>
      </c>
      <c r="AC1365" s="167">
        <v>27010</v>
      </c>
      <c r="AD1365" s="167"/>
      <c r="AE1365" s="167"/>
      <c r="AF1365" s="167"/>
      <c r="AG1365" s="167"/>
      <c r="AH1365" s="167"/>
      <c r="AI1365" s="167"/>
      <c r="AJ1365" s="167"/>
      <c r="AK1365" s="167"/>
    </row>
    <row r="1366" spans="2:37" s="59" customFormat="1" x14ac:dyDescent="0.25">
      <c r="D1366" s="59" t="s">
        <v>254</v>
      </c>
      <c r="H1366" s="59" t="s">
        <v>599</v>
      </c>
      <c r="I1366" s="59">
        <v>5550</v>
      </c>
      <c r="J1366" s="167">
        <v>5076</v>
      </c>
      <c r="K1366" s="167">
        <v>6485</v>
      </c>
      <c r="L1366" s="167">
        <v>6882</v>
      </c>
      <c r="M1366" s="167">
        <v>7875</v>
      </c>
      <c r="N1366" s="167">
        <v>7992</v>
      </c>
      <c r="O1366" s="167">
        <v>6605</v>
      </c>
      <c r="P1366" s="167">
        <v>7277</v>
      </c>
      <c r="Q1366" s="167">
        <v>7296</v>
      </c>
      <c r="R1366" s="167">
        <v>6707</v>
      </c>
      <c r="S1366" s="167">
        <v>7024</v>
      </c>
      <c r="T1366" s="167">
        <v>7269</v>
      </c>
      <c r="U1366" s="167">
        <v>7249</v>
      </c>
      <c r="V1366" s="167">
        <v>8165</v>
      </c>
      <c r="W1366" s="167">
        <v>8652</v>
      </c>
      <c r="X1366" s="167">
        <v>9379</v>
      </c>
      <c r="Y1366" s="167">
        <v>13804</v>
      </c>
      <c r="Z1366" s="167">
        <v>13763</v>
      </c>
      <c r="AA1366" s="39">
        <v>11264</v>
      </c>
      <c r="AB1366" s="167">
        <v>18096</v>
      </c>
      <c r="AC1366" s="167">
        <v>16986</v>
      </c>
      <c r="AD1366" s="167"/>
      <c r="AE1366" s="167"/>
      <c r="AF1366" s="167"/>
      <c r="AG1366" s="167"/>
      <c r="AH1366" s="167"/>
      <c r="AI1366" s="167"/>
      <c r="AJ1366" s="167"/>
      <c r="AK1366" s="167"/>
    </row>
    <row r="1367" spans="2:37" s="59" customFormat="1" x14ac:dyDescent="0.25">
      <c r="D1367" s="59" t="s">
        <v>255</v>
      </c>
      <c r="H1367" s="59" t="s">
        <v>599</v>
      </c>
      <c r="I1367" s="59">
        <v>12130</v>
      </c>
      <c r="J1367" s="167">
        <v>10929</v>
      </c>
      <c r="K1367" s="167">
        <v>12518</v>
      </c>
      <c r="L1367" s="167">
        <v>13817</v>
      </c>
      <c r="M1367" s="167">
        <v>15534</v>
      </c>
      <c r="N1367" s="167">
        <v>16012</v>
      </c>
      <c r="O1367" s="167">
        <v>12234</v>
      </c>
      <c r="P1367" s="167">
        <v>15166</v>
      </c>
      <c r="Q1367" s="167">
        <v>14714</v>
      </c>
      <c r="R1367" s="167">
        <v>15069</v>
      </c>
      <c r="S1367" s="167">
        <v>14800</v>
      </c>
      <c r="T1367" s="167">
        <v>14877</v>
      </c>
      <c r="U1367" s="167">
        <v>17053</v>
      </c>
      <c r="V1367" s="167">
        <v>21068</v>
      </c>
      <c r="W1367" s="167">
        <v>22398</v>
      </c>
      <c r="X1367" s="167">
        <v>24395</v>
      </c>
      <c r="Y1367" s="167">
        <v>24223</v>
      </c>
      <c r="Z1367" s="167">
        <v>27440</v>
      </c>
      <c r="AA1367" s="39">
        <v>22561</v>
      </c>
      <c r="AB1367" s="167">
        <v>32657</v>
      </c>
      <c r="AC1367" s="167">
        <v>31448</v>
      </c>
      <c r="AD1367" s="167"/>
      <c r="AE1367" s="167"/>
      <c r="AF1367" s="167"/>
      <c r="AG1367" s="167"/>
      <c r="AH1367" s="167"/>
      <c r="AI1367" s="167"/>
      <c r="AJ1367" s="167"/>
      <c r="AK1367" s="167"/>
    </row>
    <row r="1368" spans="2:37" s="42" customFormat="1" x14ac:dyDescent="0.25">
      <c r="B1368" s="166"/>
      <c r="C1368" s="42" t="s">
        <v>600</v>
      </c>
      <c r="H1368" s="42" t="s">
        <v>601</v>
      </c>
      <c r="I1368" s="42">
        <f>SUM(I1369:I1380)</f>
        <v>0</v>
      </c>
      <c r="J1368" s="42">
        <f t="shared" ref="J1368:AK1368" si="217">SUM(J1369:J1380)</f>
        <v>0</v>
      </c>
      <c r="K1368" s="42">
        <f t="shared" si="217"/>
        <v>0</v>
      </c>
      <c r="L1368" s="42">
        <f t="shared" si="217"/>
        <v>0</v>
      </c>
      <c r="M1368" s="42">
        <f t="shared" si="217"/>
        <v>0</v>
      </c>
      <c r="N1368" s="42">
        <f t="shared" si="217"/>
        <v>0</v>
      </c>
      <c r="O1368" s="42">
        <f t="shared" si="217"/>
        <v>0</v>
      </c>
      <c r="P1368" s="42">
        <f t="shared" si="217"/>
        <v>0</v>
      </c>
      <c r="Q1368" s="42">
        <f t="shared" si="217"/>
        <v>0</v>
      </c>
      <c r="R1368" s="42">
        <f t="shared" si="217"/>
        <v>0</v>
      </c>
      <c r="S1368" s="42">
        <f t="shared" si="217"/>
        <v>0</v>
      </c>
      <c r="T1368" s="42">
        <f t="shared" si="217"/>
        <v>0</v>
      </c>
      <c r="U1368" s="42">
        <f t="shared" si="217"/>
        <v>0</v>
      </c>
      <c r="V1368" s="42">
        <f t="shared" si="217"/>
        <v>0</v>
      </c>
      <c r="W1368" s="42">
        <f t="shared" si="217"/>
        <v>0</v>
      </c>
      <c r="X1368" s="42">
        <f t="shared" si="217"/>
        <v>0</v>
      </c>
      <c r="Y1368" s="42">
        <f t="shared" si="217"/>
        <v>416</v>
      </c>
      <c r="Z1368" s="42">
        <f t="shared" si="217"/>
        <v>4741</v>
      </c>
      <c r="AA1368" s="42">
        <f t="shared" si="217"/>
        <v>3846</v>
      </c>
      <c r="AB1368" s="42">
        <f t="shared" si="217"/>
        <v>6409</v>
      </c>
      <c r="AC1368" s="42">
        <f t="shared" si="217"/>
        <v>4799</v>
      </c>
      <c r="AD1368" s="42">
        <f t="shared" si="217"/>
        <v>0</v>
      </c>
      <c r="AE1368" s="42">
        <f t="shared" si="217"/>
        <v>0</v>
      </c>
      <c r="AF1368" s="42">
        <f t="shared" si="217"/>
        <v>0</v>
      </c>
      <c r="AG1368" s="42">
        <f t="shared" si="217"/>
        <v>0</v>
      </c>
      <c r="AH1368" s="42">
        <f t="shared" si="217"/>
        <v>0</v>
      </c>
      <c r="AI1368" s="42">
        <f t="shared" si="217"/>
        <v>0</v>
      </c>
      <c r="AJ1368" s="42">
        <f t="shared" si="217"/>
        <v>0</v>
      </c>
      <c r="AK1368" s="42">
        <f t="shared" si="217"/>
        <v>0</v>
      </c>
    </row>
    <row r="1369" spans="2:37" s="59" customFormat="1" x14ac:dyDescent="0.25">
      <c r="D1369" s="59" t="s">
        <v>244</v>
      </c>
      <c r="H1369" s="59" t="s">
        <v>601</v>
      </c>
      <c r="J1369" s="167"/>
      <c r="K1369" s="167"/>
      <c r="L1369" s="167"/>
      <c r="M1369" s="167"/>
      <c r="N1369" s="167"/>
      <c r="O1369" s="167"/>
      <c r="P1369" s="167"/>
      <c r="Q1369" s="167"/>
      <c r="R1369" s="167"/>
      <c r="S1369" s="167"/>
      <c r="T1369" s="167"/>
      <c r="U1369" s="167"/>
      <c r="V1369" s="167"/>
      <c r="W1369" s="167"/>
      <c r="X1369" s="167"/>
      <c r="Y1369" s="167">
        <v>416</v>
      </c>
      <c r="Z1369" s="167">
        <v>445</v>
      </c>
      <c r="AA1369" s="39">
        <v>450</v>
      </c>
      <c r="AB1369" s="167">
        <v>556</v>
      </c>
      <c r="AC1369" s="167">
        <v>520</v>
      </c>
      <c r="AD1369" s="167"/>
      <c r="AE1369" s="167"/>
      <c r="AF1369" s="167"/>
      <c r="AG1369" s="167"/>
      <c r="AH1369" s="167"/>
      <c r="AI1369" s="167"/>
      <c r="AJ1369" s="167"/>
      <c r="AK1369" s="167"/>
    </row>
    <row r="1370" spans="2:37" s="59" customFormat="1" x14ac:dyDescent="0.25">
      <c r="D1370" s="59" t="s">
        <v>245</v>
      </c>
      <c r="H1370" s="59" t="s">
        <v>601</v>
      </c>
      <c r="J1370" s="167"/>
      <c r="K1370" s="167"/>
      <c r="L1370" s="167"/>
      <c r="M1370" s="167"/>
      <c r="N1370" s="167"/>
      <c r="O1370" s="167"/>
      <c r="P1370" s="167"/>
      <c r="Q1370" s="167"/>
      <c r="R1370" s="167"/>
      <c r="S1370" s="167"/>
      <c r="T1370" s="167"/>
      <c r="U1370" s="167"/>
      <c r="V1370" s="167"/>
      <c r="W1370" s="167"/>
      <c r="X1370" s="167"/>
      <c r="Y1370" s="167"/>
      <c r="Z1370" s="167">
        <v>403</v>
      </c>
      <c r="AA1370" s="39">
        <v>436</v>
      </c>
      <c r="AB1370" s="167">
        <v>492</v>
      </c>
      <c r="AC1370" s="167">
        <v>518</v>
      </c>
      <c r="AD1370" s="167"/>
      <c r="AE1370" s="167"/>
      <c r="AF1370" s="167"/>
      <c r="AG1370" s="167"/>
      <c r="AH1370" s="167"/>
      <c r="AI1370" s="167"/>
      <c r="AJ1370" s="167"/>
      <c r="AK1370" s="167"/>
    </row>
    <row r="1371" spans="2:37" s="59" customFormat="1" x14ac:dyDescent="0.25">
      <c r="D1371" s="59" t="s">
        <v>246</v>
      </c>
      <c r="H1371" s="59" t="s">
        <v>601</v>
      </c>
      <c r="Z1371" s="59">
        <v>499</v>
      </c>
      <c r="AA1371" s="39">
        <v>324</v>
      </c>
      <c r="AB1371" s="59">
        <v>568</v>
      </c>
      <c r="AC1371" s="59">
        <v>653</v>
      </c>
    </row>
    <row r="1372" spans="2:37" s="59" customFormat="1" x14ac:dyDescent="0.25">
      <c r="D1372" s="59" t="s">
        <v>247</v>
      </c>
      <c r="H1372" s="59" t="s">
        <v>601</v>
      </c>
      <c r="Z1372" s="59">
        <v>179</v>
      </c>
      <c r="AA1372" s="39">
        <v>80</v>
      </c>
      <c r="AB1372" s="59">
        <v>253</v>
      </c>
      <c r="AC1372" s="59">
        <v>102</v>
      </c>
    </row>
    <row r="1373" spans="2:37" s="59" customFormat="1" x14ac:dyDescent="0.25">
      <c r="D1373" s="59" t="s">
        <v>248</v>
      </c>
      <c r="H1373" s="59" t="s">
        <v>601</v>
      </c>
      <c r="Z1373" s="59">
        <v>194</v>
      </c>
      <c r="AA1373" s="39">
        <v>115</v>
      </c>
      <c r="AB1373" s="59">
        <v>369</v>
      </c>
      <c r="AC1373" s="59">
        <v>0</v>
      </c>
    </row>
    <row r="1374" spans="2:37" s="59" customFormat="1" x14ac:dyDescent="0.25">
      <c r="D1374" s="59" t="s">
        <v>249</v>
      </c>
      <c r="H1374" s="59" t="s">
        <v>601</v>
      </c>
      <c r="Z1374" s="59">
        <v>533</v>
      </c>
      <c r="AA1374" s="39">
        <v>182</v>
      </c>
      <c r="AB1374" s="59">
        <v>868</v>
      </c>
      <c r="AC1374" s="59">
        <v>59</v>
      </c>
    </row>
    <row r="1375" spans="2:37" s="59" customFormat="1" x14ac:dyDescent="0.25">
      <c r="D1375" s="59" t="s">
        <v>250</v>
      </c>
      <c r="H1375" s="59" t="s">
        <v>601</v>
      </c>
      <c r="Z1375" s="59">
        <v>651</v>
      </c>
      <c r="AA1375" s="39">
        <v>440</v>
      </c>
      <c r="AB1375" s="59">
        <v>933</v>
      </c>
      <c r="AC1375" s="59">
        <v>715</v>
      </c>
    </row>
    <row r="1376" spans="2:37" s="59" customFormat="1" x14ac:dyDescent="0.25">
      <c r="D1376" s="59" t="s">
        <v>251</v>
      </c>
      <c r="H1376" s="59" t="s">
        <v>601</v>
      </c>
      <c r="Z1376" s="59">
        <v>624</v>
      </c>
      <c r="AA1376" s="39">
        <v>496</v>
      </c>
      <c r="AB1376" s="59">
        <v>865</v>
      </c>
      <c r="AC1376" s="59">
        <v>698</v>
      </c>
    </row>
    <row r="1377" spans="1:37" s="59" customFormat="1" x14ac:dyDescent="0.25">
      <c r="D1377" s="59" t="s">
        <v>252</v>
      </c>
      <c r="H1377" s="59" t="s">
        <v>601</v>
      </c>
      <c r="Z1377" s="59">
        <v>420</v>
      </c>
      <c r="AA1377" s="39">
        <v>344</v>
      </c>
      <c r="AB1377" s="59">
        <v>583</v>
      </c>
      <c r="AC1377" s="59">
        <v>559</v>
      </c>
    </row>
    <row r="1378" spans="1:37" s="59" customFormat="1" x14ac:dyDescent="0.25">
      <c r="D1378" s="59" t="s">
        <v>253</v>
      </c>
      <c r="H1378" s="59" t="s">
        <v>601</v>
      </c>
      <c r="Z1378" s="59">
        <v>226</v>
      </c>
      <c r="AA1378" s="39">
        <v>252</v>
      </c>
      <c r="AB1378" s="59">
        <v>268</v>
      </c>
      <c r="AC1378" s="59">
        <v>356</v>
      </c>
    </row>
    <row r="1379" spans="1:37" s="59" customFormat="1" x14ac:dyDescent="0.25">
      <c r="D1379" s="59" t="s">
        <v>254</v>
      </c>
      <c r="H1379" s="59" t="s">
        <v>601</v>
      </c>
      <c r="Z1379" s="59">
        <v>170</v>
      </c>
      <c r="AA1379" s="39">
        <v>249</v>
      </c>
      <c r="AB1379" s="59">
        <v>213</v>
      </c>
      <c r="AC1379" s="59">
        <v>194</v>
      </c>
    </row>
    <row r="1380" spans="1:37" s="59" customFormat="1" x14ac:dyDescent="0.25">
      <c r="D1380" s="59" t="s">
        <v>255</v>
      </c>
      <c r="H1380" s="59" t="s">
        <v>601</v>
      </c>
      <c r="Z1380" s="59">
        <v>397</v>
      </c>
      <c r="AA1380" s="39">
        <v>478</v>
      </c>
      <c r="AB1380" s="59">
        <v>441</v>
      </c>
      <c r="AC1380" s="59">
        <v>425</v>
      </c>
    </row>
    <row r="1381" spans="1:37" s="2" customFormat="1" x14ac:dyDescent="0.25">
      <c r="B1381" s="3"/>
      <c r="J1381" s="48"/>
      <c r="K1381" s="49"/>
      <c r="L1381" s="49"/>
      <c r="M1381" s="49"/>
      <c r="N1381" s="49"/>
      <c r="O1381" s="49"/>
      <c r="P1381" s="49"/>
      <c r="Q1381" s="49"/>
      <c r="R1381" s="49"/>
      <c r="S1381" s="49"/>
      <c r="T1381" s="49"/>
      <c r="U1381" s="49"/>
      <c r="V1381" s="49"/>
      <c r="W1381" s="49"/>
    </row>
    <row r="1382" spans="1:37" s="28" customFormat="1" ht="17.25" x14ac:dyDescent="0.3">
      <c r="A1382" s="28" t="s">
        <v>602</v>
      </c>
    </row>
    <row r="1383" spans="1:37" x14ac:dyDescent="0.25">
      <c r="B1383" s="29" t="s">
        <v>3</v>
      </c>
    </row>
    <row r="1384" spans="1:37" x14ac:dyDescent="0.25">
      <c r="B1384" s="29" t="s">
        <v>10</v>
      </c>
      <c r="C1384" s="263" t="s">
        <v>603</v>
      </c>
    </row>
    <row r="1385" spans="1:37" x14ac:dyDescent="0.25">
      <c r="B1385" s="29" t="s">
        <v>14</v>
      </c>
    </row>
    <row r="1386" spans="1:37" x14ac:dyDescent="0.25">
      <c r="B1386" s="29" t="s">
        <v>17</v>
      </c>
    </row>
    <row r="1387" spans="1:37" x14ac:dyDescent="0.25">
      <c r="B1387" s="29" t="s">
        <v>19</v>
      </c>
      <c r="C1387" t="s">
        <v>604</v>
      </c>
    </row>
    <row r="1388" spans="1:37" s="25" customFormat="1" ht="15.75" thickBot="1" x14ac:dyDescent="0.3">
      <c r="B1388" s="30"/>
    </row>
    <row r="1389" spans="1:37" s="8" customFormat="1" ht="15.75" thickTop="1" x14ac:dyDescent="0.25">
      <c r="B1389" s="9"/>
      <c r="C1389" s="8" t="s">
        <v>605</v>
      </c>
      <c r="J1389" s="50"/>
      <c r="K1389" s="50"/>
      <c r="L1389" s="50"/>
      <c r="M1389" s="50"/>
      <c r="N1389" s="50"/>
    </row>
    <row r="1390" spans="1:37" s="79" customFormat="1" x14ac:dyDescent="0.25">
      <c r="B1390" s="80"/>
      <c r="D1390" s="79" t="s">
        <v>77</v>
      </c>
      <c r="I1390" s="81">
        <f>SUM(I1391:I1398)</f>
        <v>351400</v>
      </c>
      <c r="J1390" s="81">
        <f t="shared" ref="J1390:AK1390" si="218">SUM(J1391:J1398)</f>
        <v>412568</v>
      </c>
      <c r="K1390" s="81">
        <f t="shared" si="218"/>
        <v>416215</v>
      </c>
      <c r="L1390" s="81">
        <f t="shared" si="218"/>
        <v>418715</v>
      </c>
      <c r="M1390" s="81">
        <f t="shared" si="218"/>
        <v>418715</v>
      </c>
      <c r="N1390" s="81">
        <f t="shared" si="218"/>
        <v>418715</v>
      </c>
      <c r="O1390" s="81">
        <f t="shared" si="218"/>
        <v>418559</v>
      </c>
      <c r="P1390" s="81">
        <f t="shared" si="218"/>
        <v>418559</v>
      </c>
      <c r="Q1390" s="81">
        <f t="shared" si="218"/>
        <v>426419</v>
      </c>
      <c r="R1390" s="81">
        <f t="shared" si="218"/>
        <v>426419</v>
      </c>
      <c r="S1390" s="81">
        <f t="shared" si="218"/>
        <v>426419</v>
      </c>
      <c r="T1390" s="81">
        <f t="shared" si="218"/>
        <v>426419</v>
      </c>
      <c r="U1390" s="81">
        <f t="shared" si="218"/>
        <v>426419</v>
      </c>
      <c r="V1390" s="81">
        <f t="shared" si="218"/>
        <v>433989</v>
      </c>
      <c r="W1390" s="81">
        <f t="shared" si="218"/>
        <v>433989</v>
      </c>
      <c r="X1390" s="81">
        <f t="shared" si="218"/>
        <v>433989</v>
      </c>
      <c r="Y1390" s="81">
        <f t="shared" si="218"/>
        <v>430675</v>
      </c>
      <c r="Z1390" s="81">
        <f t="shared" si="218"/>
        <v>426419</v>
      </c>
      <c r="AA1390" s="81">
        <f t="shared" si="218"/>
        <v>426419</v>
      </c>
      <c r="AB1390" s="81">
        <f t="shared" si="218"/>
        <v>426419</v>
      </c>
      <c r="AC1390" s="81">
        <f t="shared" si="218"/>
        <v>426420</v>
      </c>
      <c r="AD1390" s="81">
        <f t="shared" si="218"/>
        <v>0</v>
      </c>
      <c r="AE1390" s="81">
        <f t="shared" si="218"/>
        <v>0</v>
      </c>
      <c r="AF1390" s="81">
        <f t="shared" si="218"/>
        <v>0</v>
      </c>
      <c r="AG1390" s="81">
        <f t="shared" si="218"/>
        <v>0</v>
      </c>
      <c r="AH1390" s="81">
        <f t="shared" si="218"/>
        <v>0</v>
      </c>
      <c r="AI1390" s="81">
        <f t="shared" si="218"/>
        <v>0</v>
      </c>
      <c r="AJ1390" s="81">
        <f t="shared" si="218"/>
        <v>0</v>
      </c>
      <c r="AK1390" s="81">
        <f t="shared" si="218"/>
        <v>0</v>
      </c>
    </row>
    <row r="1391" spans="1:37" s="4" customFormat="1" x14ac:dyDescent="0.25">
      <c r="B1391" s="94"/>
      <c r="E1391" s="4" t="s">
        <v>606</v>
      </c>
      <c r="H1391" s="4" t="s">
        <v>32</v>
      </c>
      <c r="I1391" s="59">
        <v>82000</v>
      </c>
      <c r="J1391" s="59">
        <v>82000</v>
      </c>
      <c r="K1391" s="59">
        <v>82000</v>
      </c>
      <c r="L1391" s="59">
        <v>82000</v>
      </c>
      <c r="M1391" s="59">
        <v>82000</v>
      </c>
      <c r="N1391" s="59">
        <v>82000</v>
      </c>
      <c r="O1391" s="59">
        <v>81844</v>
      </c>
      <c r="P1391" s="59">
        <v>81844</v>
      </c>
      <c r="Q1391" s="59">
        <v>81844</v>
      </c>
      <c r="R1391" s="59">
        <v>81844</v>
      </c>
      <c r="S1391" s="59">
        <v>81844</v>
      </c>
      <c r="T1391" s="59">
        <v>81844</v>
      </c>
      <c r="U1391" s="59">
        <v>81844</v>
      </c>
      <c r="V1391" s="59">
        <f>81844+3314</f>
        <v>85158</v>
      </c>
      <c r="W1391" s="59">
        <f>81844+3314</f>
        <v>85158</v>
      </c>
      <c r="X1391" s="59">
        <f>81844+3314</f>
        <v>85158</v>
      </c>
      <c r="Y1391" s="59">
        <v>81844</v>
      </c>
      <c r="Z1391" s="59">
        <v>81844</v>
      </c>
      <c r="AA1391" s="59">
        <v>81844</v>
      </c>
      <c r="AB1391" s="59">
        <v>81844</v>
      </c>
      <c r="AC1391" s="59">
        <v>81845</v>
      </c>
      <c r="AD1391" s="59"/>
      <c r="AE1391" s="59"/>
      <c r="AF1391" s="59"/>
      <c r="AG1391" s="59"/>
      <c r="AH1391" s="59"/>
      <c r="AI1391" s="59"/>
      <c r="AJ1391" s="59"/>
      <c r="AK1391" s="59"/>
    </row>
    <row r="1392" spans="1:37" s="4" customFormat="1" x14ac:dyDescent="0.25">
      <c r="B1392" s="94"/>
      <c r="E1392" s="4" t="s">
        <v>607</v>
      </c>
      <c r="H1392" s="4" t="s">
        <v>32</v>
      </c>
      <c r="I1392" s="59"/>
      <c r="J1392" s="59">
        <v>61168</v>
      </c>
      <c r="K1392" s="59">
        <v>61168</v>
      </c>
      <c r="L1392" s="59">
        <v>61168</v>
      </c>
      <c r="M1392" s="59">
        <v>61168</v>
      </c>
      <c r="N1392" s="59">
        <v>61168</v>
      </c>
      <c r="O1392" s="59">
        <v>61168</v>
      </c>
      <c r="P1392" s="59">
        <v>61168</v>
      </c>
      <c r="Q1392" s="59">
        <f>61168+7860</f>
        <v>69028</v>
      </c>
      <c r="R1392" s="59">
        <f t="shared" ref="R1392:AC1392" si="219">61168+7860</f>
        <v>69028</v>
      </c>
      <c r="S1392" s="59">
        <f t="shared" si="219"/>
        <v>69028</v>
      </c>
      <c r="T1392" s="59">
        <f t="shared" si="219"/>
        <v>69028</v>
      </c>
      <c r="U1392" s="59">
        <f t="shared" si="219"/>
        <v>69028</v>
      </c>
      <c r="V1392" s="59">
        <f t="shared" si="219"/>
        <v>69028</v>
      </c>
      <c r="W1392" s="59">
        <f t="shared" si="219"/>
        <v>69028</v>
      </c>
      <c r="X1392" s="59">
        <f t="shared" si="219"/>
        <v>69028</v>
      </c>
      <c r="Y1392" s="59">
        <f t="shared" si="219"/>
        <v>69028</v>
      </c>
      <c r="Z1392" s="59">
        <f t="shared" si="219"/>
        <v>69028</v>
      </c>
      <c r="AA1392" s="59">
        <f t="shared" si="219"/>
        <v>69028</v>
      </c>
      <c r="AB1392" s="59">
        <f t="shared" si="219"/>
        <v>69028</v>
      </c>
      <c r="AC1392" s="59">
        <f t="shared" si="219"/>
        <v>69028</v>
      </c>
      <c r="AD1392" s="59"/>
      <c r="AE1392" s="59"/>
      <c r="AF1392" s="59"/>
      <c r="AG1392" s="59"/>
      <c r="AH1392" s="59"/>
      <c r="AI1392" s="59"/>
      <c r="AJ1392" s="59"/>
      <c r="AK1392" s="59"/>
    </row>
    <row r="1393" spans="2:37" s="4" customFormat="1" x14ac:dyDescent="0.25">
      <c r="B1393" s="94"/>
      <c r="E1393" s="4" t="s">
        <v>608</v>
      </c>
      <c r="H1393" s="4" t="s">
        <v>32</v>
      </c>
      <c r="I1393" s="59">
        <v>92500</v>
      </c>
      <c r="J1393" s="59">
        <v>92500</v>
      </c>
      <c r="K1393" s="59">
        <v>92500</v>
      </c>
      <c r="L1393" s="59">
        <v>95000</v>
      </c>
      <c r="M1393" s="59">
        <v>95000</v>
      </c>
      <c r="N1393" s="59">
        <v>95000</v>
      </c>
      <c r="O1393" s="59">
        <v>95000</v>
      </c>
      <c r="P1393" s="59">
        <v>95000</v>
      </c>
      <c r="Q1393" s="59">
        <v>95000</v>
      </c>
      <c r="R1393" s="59">
        <v>95000</v>
      </c>
      <c r="S1393" s="59">
        <v>95000</v>
      </c>
      <c r="T1393" s="59">
        <v>95000</v>
      </c>
      <c r="U1393" s="59">
        <v>95000</v>
      </c>
      <c r="V1393" s="59">
        <v>95000</v>
      </c>
      <c r="W1393" s="59">
        <v>95000</v>
      </c>
      <c r="X1393" s="59">
        <v>95000</v>
      </c>
      <c r="Y1393" s="59">
        <v>95000</v>
      </c>
      <c r="Z1393" s="59">
        <v>95000</v>
      </c>
      <c r="AA1393" s="59">
        <v>95000</v>
      </c>
      <c r="AB1393" s="59">
        <v>95000</v>
      </c>
      <c r="AC1393" s="59">
        <v>95000</v>
      </c>
      <c r="AD1393" s="59"/>
      <c r="AE1393" s="59"/>
      <c r="AF1393" s="59"/>
      <c r="AG1393" s="59"/>
      <c r="AH1393" s="59"/>
      <c r="AI1393" s="59"/>
      <c r="AJ1393" s="59"/>
      <c r="AK1393" s="59"/>
    </row>
    <row r="1394" spans="2:37" s="4" customFormat="1" x14ac:dyDescent="0.25">
      <c r="B1394" s="94"/>
      <c r="E1394" s="4" t="s">
        <v>609</v>
      </c>
      <c r="H1394" s="4" t="s">
        <v>32</v>
      </c>
      <c r="I1394" s="59">
        <v>165000</v>
      </c>
      <c r="J1394" s="59">
        <v>165000</v>
      </c>
      <c r="K1394" s="59">
        <v>165000</v>
      </c>
      <c r="L1394" s="59">
        <v>165000</v>
      </c>
      <c r="M1394" s="59">
        <v>165000</v>
      </c>
      <c r="N1394" s="59">
        <v>165000</v>
      </c>
      <c r="O1394" s="59">
        <v>165000</v>
      </c>
      <c r="P1394" s="59">
        <v>165000</v>
      </c>
      <c r="Q1394" s="59">
        <v>165000</v>
      </c>
      <c r="R1394" s="59">
        <v>165000</v>
      </c>
      <c r="S1394" s="59">
        <v>165000</v>
      </c>
      <c r="T1394" s="59">
        <v>165000</v>
      </c>
      <c r="U1394" s="59">
        <v>165000</v>
      </c>
      <c r="V1394" s="59">
        <v>165000</v>
      </c>
      <c r="W1394" s="59">
        <v>165000</v>
      </c>
      <c r="X1394" s="59">
        <v>165000</v>
      </c>
      <c r="Y1394" s="59">
        <v>165000</v>
      </c>
      <c r="Z1394" s="59">
        <v>165000</v>
      </c>
      <c r="AA1394" s="59">
        <v>165000</v>
      </c>
      <c r="AB1394" s="59">
        <v>165000</v>
      </c>
      <c r="AC1394" s="59">
        <v>165000</v>
      </c>
      <c r="AD1394" s="59"/>
      <c r="AE1394" s="59"/>
      <c r="AF1394" s="59"/>
      <c r="AG1394" s="59"/>
      <c r="AH1394" s="59"/>
      <c r="AI1394" s="59"/>
      <c r="AJ1394" s="59"/>
      <c r="AK1394" s="59"/>
    </row>
    <row r="1395" spans="2:37" s="4" customFormat="1" x14ac:dyDescent="0.25">
      <c r="B1395" s="94"/>
      <c r="E1395" s="4" t="s">
        <v>610</v>
      </c>
      <c r="H1395" s="4" t="s">
        <v>32</v>
      </c>
      <c r="I1395" s="59">
        <v>11900</v>
      </c>
      <c r="J1395" s="59">
        <v>11900</v>
      </c>
      <c r="K1395" s="59">
        <v>11900</v>
      </c>
      <c r="L1395" s="59">
        <v>11900</v>
      </c>
      <c r="M1395" s="59">
        <v>11900</v>
      </c>
      <c r="N1395" s="59">
        <v>11900</v>
      </c>
      <c r="O1395" s="59">
        <v>11900</v>
      </c>
      <c r="P1395" s="59">
        <v>11900</v>
      </c>
      <c r="Q1395" s="59">
        <v>11900</v>
      </c>
      <c r="R1395" s="59">
        <v>11900</v>
      </c>
      <c r="S1395" s="59">
        <v>11900</v>
      </c>
      <c r="T1395" s="59">
        <v>11900</v>
      </c>
      <c r="U1395" s="59">
        <v>11900</v>
      </c>
      <c r="V1395" s="59">
        <v>11900</v>
      </c>
      <c r="W1395" s="59">
        <v>11900</v>
      </c>
      <c r="X1395" s="59">
        <v>11900</v>
      </c>
      <c r="Y1395" s="59">
        <v>11900</v>
      </c>
      <c r="Z1395" s="59">
        <v>11900</v>
      </c>
      <c r="AA1395" s="59">
        <v>11900</v>
      </c>
      <c r="AB1395" s="59">
        <v>11900</v>
      </c>
      <c r="AC1395" s="59">
        <v>11900</v>
      </c>
      <c r="AD1395" s="59"/>
      <c r="AE1395" s="59"/>
      <c r="AF1395" s="59"/>
      <c r="AG1395" s="59"/>
      <c r="AH1395" s="59"/>
      <c r="AI1395" s="59"/>
      <c r="AJ1395" s="59"/>
      <c r="AK1395" s="59"/>
    </row>
    <row r="1396" spans="2:37" s="4" customFormat="1" x14ac:dyDescent="0.25">
      <c r="B1396" s="94"/>
      <c r="E1396" s="4" t="s">
        <v>611</v>
      </c>
      <c r="H1396" s="4" t="s">
        <v>32</v>
      </c>
      <c r="I1396" s="59"/>
      <c r="J1396" s="59"/>
      <c r="K1396" s="59">
        <v>3647</v>
      </c>
      <c r="L1396" s="59">
        <v>3647</v>
      </c>
      <c r="M1396" s="59">
        <v>3647</v>
      </c>
      <c r="N1396" s="59">
        <v>3647</v>
      </c>
      <c r="O1396" s="59">
        <v>3647</v>
      </c>
      <c r="P1396" s="59">
        <v>3647</v>
      </c>
      <c r="Q1396" s="59">
        <v>3647</v>
      </c>
      <c r="R1396" s="59">
        <v>3647</v>
      </c>
      <c r="S1396" s="59">
        <v>3647</v>
      </c>
      <c r="T1396" s="59">
        <v>3647</v>
      </c>
      <c r="U1396" s="59">
        <v>3647</v>
      </c>
      <c r="V1396" s="59">
        <v>3647</v>
      </c>
      <c r="W1396" s="59">
        <v>3647</v>
      </c>
      <c r="X1396" s="59">
        <v>3647</v>
      </c>
      <c r="Y1396" s="59">
        <v>3647</v>
      </c>
      <c r="Z1396" s="59">
        <v>3647</v>
      </c>
      <c r="AA1396" s="59">
        <v>3647</v>
      </c>
      <c r="AB1396" s="59">
        <v>3647</v>
      </c>
      <c r="AC1396" s="59">
        <v>3647</v>
      </c>
      <c r="AD1396" s="59"/>
      <c r="AE1396" s="59"/>
      <c r="AF1396" s="59"/>
      <c r="AG1396" s="59"/>
      <c r="AH1396" s="59"/>
      <c r="AI1396" s="59"/>
      <c r="AJ1396" s="59"/>
      <c r="AK1396" s="59"/>
    </row>
    <row r="1397" spans="2:37" s="4" customFormat="1" x14ac:dyDescent="0.25">
      <c r="B1397" s="94"/>
      <c r="E1397" s="4" t="s">
        <v>612</v>
      </c>
      <c r="H1397" s="4" t="s">
        <v>32</v>
      </c>
      <c r="I1397" s="59"/>
      <c r="J1397" s="210"/>
      <c r="K1397" s="210"/>
      <c r="L1397" s="210"/>
      <c r="M1397" s="210"/>
      <c r="N1397" s="210"/>
      <c r="O1397" s="59"/>
      <c r="P1397" s="59"/>
      <c r="Q1397" s="59"/>
      <c r="R1397" s="59"/>
      <c r="S1397" s="59"/>
      <c r="T1397" s="59"/>
      <c r="U1397" s="59"/>
      <c r="V1397" s="59"/>
      <c r="W1397" s="59"/>
      <c r="X1397" s="59"/>
      <c r="Y1397" s="59"/>
      <c r="Z1397" s="59"/>
      <c r="AA1397" s="59"/>
      <c r="AB1397" s="59"/>
      <c r="AC1397" s="59"/>
      <c r="AD1397" s="59"/>
      <c r="AE1397" s="59"/>
      <c r="AF1397" s="59"/>
      <c r="AG1397" s="59"/>
      <c r="AH1397" s="59"/>
      <c r="AI1397" s="59"/>
      <c r="AJ1397" s="59"/>
      <c r="AK1397" s="59"/>
    </row>
    <row r="1398" spans="2:37" s="4" customFormat="1" x14ac:dyDescent="0.25">
      <c r="B1398" s="94"/>
      <c r="E1398" s="4" t="s">
        <v>613</v>
      </c>
      <c r="H1398" s="4" t="s">
        <v>32</v>
      </c>
      <c r="I1398" s="59"/>
      <c r="J1398" s="210"/>
      <c r="K1398" s="210"/>
      <c r="L1398" s="210"/>
      <c r="M1398" s="210"/>
      <c r="N1398" s="210"/>
      <c r="O1398" s="59"/>
      <c r="P1398" s="59"/>
      <c r="Q1398" s="59"/>
      <c r="R1398" s="59"/>
      <c r="S1398" s="59"/>
      <c r="T1398" s="59"/>
      <c r="U1398" s="59"/>
      <c r="V1398" s="59">
        <v>4256</v>
      </c>
      <c r="W1398" s="59">
        <v>4256</v>
      </c>
      <c r="X1398" s="59">
        <v>4256</v>
      </c>
      <c r="Y1398" s="59">
        <v>4256</v>
      </c>
      <c r="Z1398" s="59">
        <v>0</v>
      </c>
      <c r="AA1398" s="59">
        <v>0</v>
      </c>
      <c r="AB1398" s="59">
        <v>0</v>
      </c>
      <c r="AC1398" s="59">
        <v>0</v>
      </c>
      <c r="AD1398" s="59"/>
      <c r="AE1398" s="59"/>
      <c r="AF1398" s="59"/>
      <c r="AG1398" s="59"/>
      <c r="AH1398" s="59"/>
      <c r="AI1398" s="59"/>
      <c r="AJ1398" s="59"/>
      <c r="AK1398" s="59"/>
    </row>
    <row r="1399" spans="2:37" s="79" customFormat="1" x14ac:dyDescent="0.25">
      <c r="B1399" s="80"/>
      <c r="D1399" s="79" t="s">
        <v>614</v>
      </c>
      <c r="I1399" s="81">
        <f>SUM(I1400:I1409)</f>
        <v>109147</v>
      </c>
      <c r="J1399" s="81">
        <f t="shared" ref="J1399:AK1399" si="220">SUM(J1400:J1409)</f>
        <v>132024</v>
      </c>
      <c r="K1399" s="81">
        <f t="shared" si="220"/>
        <v>132024</v>
      </c>
      <c r="L1399" s="81">
        <f t="shared" si="220"/>
        <v>165574</v>
      </c>
      <c r="M1399" s="81">
        <f t="shared" si="220"/>
        <v>205943</v>
      </c>
      <c r="N1399" s="81">
        <f t="shared" si="220"/>
        <v>205943</v>
      </c>
      <c r="O1399" s="81">
        <f t="shared" si="220"/>
        <v>205943</v>
      </c>
      <c r="P1399" s="81">
        <f t="shared" si="220"/>
        <v>205943</v>
      </c>
      <c r="Q1399" s="81">
        <f t="shared" si="220"/>
        <v>205943</v>
      </c>
      <c r="R1399" s="81">
        <f t="shared" si="220"/>
        <v>205943</v>
      </c>
      <c r="S1399" s="81">
        <f t="shared" si="220"/>
        <v>205943</v>
      </c>
      <c r="T1399" s="81">
        <f t="shared" si="220"/>
        <v>205943</v>
      </c>
      <c r="U1399" s="81">
        <f t="shared" si="220"/>
        <v>205943</v>
      </c>
      <c r="V1399" s="81">
        <f t="shared" si="220"/>
        <v>205943</v>
      </c>
      <c r="W1399" s="81">
        <f t="shared" si="220"/>
        <v>205943</v>
      </c>
      <c r="X1399" s="81">
        <f t="shared" si="220"/>
        <v>205943</v>
      </c>
      <c r="Y1399" s="81">
        <f t="shared" si="220"/>
        <v>287362</v>
      </c>
      <c r="Z1399" s="81">
        <f t="shared" si="220"/>
        <v>287362</v>
      </c>
      <c r="AA1399" s="81">
        <f t="shared" si="220"/>
        <v>297934</v>
      </c>
      <c r="AB1399" s="81">
        <f t="shared" si="220"/>
        <v>297934</v>
      </c>
      <c r="AC1399" s="81">
        <f t="shared" si="220"/>
        <v>297934</v>
      </c>
      <c r="AD1399" s="81">
        <f t="shared" si="220"/>
        <v>0</v>
      </c>
      <c r="AE1399" s="81">
        <f t="shared" si="220"/>
        <v>0</v>
      </c>
      <c r="AF1399" s="81">
        <f t="shared" si="220"/>
        <v>0</v>
      </c>
      <c r="AG1399" s="81">
        <f t="shared" si="220"/>
        <v>0</v>
      </c>
      <c r="AH1399" s="81">
        <f t="shared" si="220"/>
        <v>0</v>
      </c>
      <c r="AI1399" s="81">
        <f t="shared" si="220"/>
        <v>0</v>
      </c>
      <c r="AJ1399" s="81">
        <f t="shared" si="220"/>
        <v>0</v>
      </c>
      <c r="AK1399" s="81">
        <f t="shared" si="220"/>
        <v>0</v>
      </c>
    </row>
    <row r="1400" spans="2:37" s="4" customFormat="1" x14ac:dyDescent="0.25">
      <c r="B1400" s="94"/>
      <c r="E1400" s="4" t="s">
        <v>615</v>
      </c>
      <c r="H1400" s="4" t="s">
        <v>32</v>
      </c>
      <c r="I1400" s="59"/>
      <c r="J1400" s="210"/>
      <c r="K1400" s="210"/>
      <c r="L1400" s="210"/>
      <c r="M1400" s="210"/>
      <c r="N1400" s="210"/>
      <c r="O1400" s="59"/>
      <c r="P1400" s="59"/>
      <c r="Q1400" s="59"/>
      <c r="R1400" s="59"/>
      <c r="S1400" s="59"/>
      <c r="T1400" s="59"/>
      <c r="U1400" s="59"/>
      <c r="V1400" s="59"/>
      <c r="W1400" s="59"/>
      <c r="X1400" s="59"/>
      <c r="Y1400" s="59">
        <v>81419</v>
      </c>
      <c r="Z1400" s="59">
        <v>81419</v>
      </c>
      <c r="AA1400" s="59">
        <v>81419</v>
      </c>
      <c r="AB1400" s="59">
        <v>81419</v>
      </c>
      <c r="AC1400" s="59">
        <v>81419</v>
      </c>
      <c r="AD1400" s="59"/>
      <c r="AE1400" s="59"/>
      <c r="AF1400" s="59"/>
      <c r="AG1400" s="59"/>
      <c r="AH1400" s="59"/>
      <c r="AI1400" s="59"/>
      <c r="AJ1400" s="59"/>
      <c r="AK1400" s="59"/>
    </row>
    <row r="1401" spans="2:37" s="4" customFormat="1" x14ac:dyDescent="0.25">
      <c r="B1401" s="94"/>
      <c r="E1401" s="4" t="s">
        <v>616</v>
      </c>
      <c r="H1401" s="4" t="s">
        <v>32</v>
      </c>
      <c r="I1401" s="59">
        <v>43848</v>
      </c>
      <c r="J1401" s="59">
        <v>43848</v>
      </c>
      <c r="K1401" s="59">
        <v>43848</v>
      </c>
      <c r="L1401" s="59">
        <v>43848</v>
      </c>
      <c r="M1401" s="59">
        <v>43848</v>
      </c>
      <c r="N1401" s="59">
        <v>43848</v>
      </c>
      <c r="O1401" s="59">
        <v>43848</v>
      </c>
      <c r="P1401" s="59">
        <v>43848</v>
      </c>
      <c r="Q1401" s="59">
        <v>43848</v>
      </c>
      <c r="R1401" s="59">
        <v>43848</v>
      </c>
      <c r="S1401" s="59">
        <v>43848</v>
      </c>
      <c r="T1401" s="59">
        <v>43848</v>
      </c>
      <c r="U1401" s="59">
        <v>43848</v>
      </c>
      <c r="V1401" s="59">
        <v>43848</v>
      </c>
      <c r="W1401" s="59">
        <v>43848</v>
      </c>
      <c r="X1401" s="59">
        <v>43848</v>
      </c>
      <c r="Y1401" s="59">
        <v>43848</v>
      </c>
      <c r="Z1401" s="59">
        <v>43848</v>
      </c>
      <c r="AA1401" s="59">
        <v>43848</v>
      </c>
      <c r="AB1401" s="59">
        <v>43848</v>
      </c>
      <c r="AC1401" s="59">
        <v>43848</v>
      </c>
      <c r="AD1401" s="59"/>
      <c r="AE1401" s="59"/>
      <c r="AF1401" s="59"/>
      <c r="AG1401" s="59"/>
      <c r="AH1401" s="59"/>
      <c r="AI1401" s="59"/>
      <c r="AJ1401" s="59"/>
      <c r="AK1401" s="59"/>
    </row>
    <row r="1402" spans="2:37" s="4" customFormat="1" x14ac:dyDescent="0.25">
      <c r="B1402" s="94"/>
      <c r="E1402" s="4" t="s">
        <v>617</v>
      </c>
      <c r="H1402" s="4" t="s">
        <v>32</v>
      </c>
      <c r="I1402" s="59">
        <v>10700</v>
      </c>
      <c r="J1402" s="59">
        <v>10700</v>
      </c>
      <c r="K1402" s="59">
        <v>10700</v>
      </c>
      <c r="L1402" s="59">
        <v>10700</v>
      </c>
      <c r="M1402" s="59">
        <v>10700</v>
      </c>
      <c r="N1402" s="59">
        <v>10700</v>
      </c>
      <c r="O1402" s="59">
        <v>10700</v>
      </c>
      <c r="P1402" s="59">
        <v>10700</v>
      </c>
      <c r="Q1402" s="59">
        <v>10700</v>
      </c>
      <c r="R1402" s="59">
        <v>10700</v>
      </c>
      <c r="S1402" s="59">
        <v>10700</v>
      </c>
      <c r="T1402" s="59">
        <v>10700</v>
      </c>
      <c r="U1402" s="59">
        <v>10700</v>
      </c>
      <c r="V1402" s="59">
        <v>10700</v>
      </c>
      <c r="W1402" s="59">
        <v>10700</v>
      </c>
      <c r="X1402" s="59">
        <v>10700</v>
      </c>
      <c r="Y1402" s="59">
        <v>10700</v>
      </c>
      <c r="Z1402" s="59">
        <v>10700</v>
      </c>
      <c r="AA1402" s="59">
        <f>10700+696</f>
        <v>11396</v>
      </c>
      <c r="AB1402" s="59">
        <v>11396</v>
      </c>
      <c r="AC1402" s="59">
        <v>11396</v>
      </c>
      <c r="AD1402" s="59"/>
      <c r="AE1402" s="59"/>
      <c r="AF1402" s="59"/>
      <c r="AG1402" s="59"/>
      <c r="AH1402" s="59"/>
      <c r="AI1402" s="59"/>
      <c r="AJ1402" s="59"/>
      <c r="AK1402" s="59"/>
    </row>
    <row r="1403" spans="2:37" s="4" customFormat="1" x14ac:dyDescent="0.25">
      <c r="B1403" s="94"/>
      <c r="E1403" s="4" t="s">
        <v>618</v>
      </c>
      <c r="H1403" s="4" t="s">
        <v>32</v>
      </c>
      <c r="I1403" s="59">
        <v>6800</v>
      </c>
      <c r="J1403" s="59">
        <v>6800</v>
      </c>
      <c r="K1403" s="59">
        <v>6800</v>
      </c>
      <c r="L1403" s="59">
        <v>6800</v>
      </c>
      <c r="M1403" s="59">
        <v>6800</v>
      </c>
      <c r="N1403" s="59">
        <v>6800</v>
      </c>
      <c r="O1403" s="59">
        <v>6800</v>
      </c>
      <c r="P1403" s="59">
        <v>6800</v>
      </c>
      <c r="Q1403" s="59">
        <v>6800</v>
      </c>
      <c r="R1403" s="59">
        <v>6800</v>
      </c>
      <c r="S1403" s="59">
        <v>6800</v>
      </c>
      <c r="T1403" s="59">
        <v>6800</v>
      </c>
      <c r="U1403" s="59">
        <v>6800</v>
      </c>
      <c r="V1403" s="59">
        <v>6800</v>
      </c>
      <c r="W1403" s="59">
        <v>6800</v>
      </c>
      <c r="X1403" s="59">
        <v>6800</v>
      </c>
      <c r="Y1403" s="59">
        <v>6800</v>
      </c>
      <c r="Z1403" s="59">
        <v>6800</v>
      </c>
      <c r="AA1403" s="59">
        <v>6800</v>
      </c>
      <c r="AB1403" s="59">
        <v>6800</v>
      </c>
      <c r="AC1403" s="59">
        <v>6800</v>
      </c>
      <c r="AD1403" s="59"/>
      <c r="AE1403" s="59"/>
      <c r="AF1403" s="59"/>
      <c r="AG1403" s="59"/>
      <c r="AH1403" s="59"/>
      <c r="AI1403" s="59"/>
      <c r="AJ1403" s="59"/>
      <c r="AK1403" s="59"/>
    </row>
    <row r="1404" spans="2:37" s="4" customFormat="1" x14ac:dyDescent="0.25">
      <c r="B1404" s="94"/>
      <c r="E1404" s="4" t="s">
        <v>619</v>
      </c>
      <c r="H1404" s="4" t="s">
        <v>32</v>
      </c>
      <c r="I1404" s="59">
        <v>15000</v>
      </c>
      <c r="J1404" s="59">
        <v>15000</v>
      </c>
      <c r="K1404" s="59">
        <v>15000</v>
      </c>
      <c r="L1404" s="59">
        <v>15000</v>
      </c>
      <c r="M1404" s="59">
        <v>15000</v>
      </c>
      <c r="N1404" s="59">
        <v>15000</v>
      </c>
      <c r="O1404" s="59">
        <v>15000</v>
      </c>
      <c r="P1404" s="59">
        <v>15000</v>
      </c>
      <c r="Q1404" s="59">
        <v>15000</v>
      </c>
      <c r="R1404" s="59">
        <v>15000</v>
      </c>
      <c r="S1404" s="59">
        <v>15000</v>
      </c>
      <c r="T1404" s="59">
        <v>15000</v>
      </c>
      <c r="U1404" s="59">
        <v>15000</v>
      </c>
      <c r="V1404" s="59">
        <v>15000</v>
      </c>
      <c r="W1404" s="59">
        <v>15000</v>
      </c>
      <c r="X1404" s="59">
        <v>15000</v>
      </c>
      <c r="Y1404" s="59">
        <v>15000</v>
      </c>
      <c r="Z1404" s="59">
        <v>15000</v>
      </c>
      <c r="AA1404" s="59">
        <v>15000</v>
      </c>
      <c r="AB1404" s="59">
        <v>15000</v>
      </c>
      <c r="AC1404" s="59">
        <v>15000</v>
      </c>
      <c r="AD1404" s="59"/>
      <c r="AE1404" s="59"/>
      <c r="AF1404" s="59"/>
      <c r="AG1404" s="59"/>
      <c r="AH1404" s="59"/>
      <c r="AI1404" s="59"/>
      <c r="AJ1404" s="59"/>
      <c r="AK1404" s="59"/>
    </row>
    <row r="1405" spans="2:37" s="4" customFormat="1" x14ac:dyDescent="0.25">
      <c r="B1405" s="94"/>
      <c r="E1405" s="4" t="s">
        <v>620</v>
      </c>
      <c r="H1405" s="4" t="s">
        <v>32</v>
      </c>
      <c r="I1405" s="59"/>
      <c r="J1405" s="210"/>
      <c r="K1405" s="210"/>
      <c r="L1405" s="59">
        <f>4999+6106+11167+11278</f>
        <v>33550</v>
      </c>
      <c r="M1405" s="59">
        <f>L1405+3880+5280+8213+11460+11536</f>
        <v>73919</v>
      </c>
      <c r="N1405" s="59">
        <v>73919</v>
      </c>
      <c r="O1405" s="59">
        <v>73919</v>
      </c>
      <c r="P1405" s="59">
        <v>73919</v>
      </c>
      <c r="Q1405" s="59">
        <v>73919</v>
      </c>
      <c r="R1405" s="59">
        <v>73919</v>
      </c>
      <c r="S1405" s="59">
        <v>73919</v>
      </c>
      <c r="T1405" s="59">
        <v>73919</v>
      </c>
      <c r="U1405" s="59">
        <v>73919</v>
      </c>
      <c r="V1405" s="59">
        <v>73919</v>
      </c>
      <c r="W1405" s="59">
        <v>73919</v>
      </c>
      <c r="X1405" s="59">
        <v>73919</v>
      </c>
      <c r="Y1405" s="59">
        <v>73919</v>
      </c>
      <c r="Z1405" s="59">
        <v>73919</v>
      </c>
      <c r="AA1405" s="59">
        <v>73919</v>
      </c>
      <c r="AB1405" s="59">
        <v>73919</v>
      </c>
      <c r="AC1405" s="59">
        <v>73919</v>
      </c>
      <c r="AD1405" s="59"/>
      <c r="AE1405" s="59"/>
      <c r="AF1405" s="59"/>
      <c r="AG1405" s="59"/>
      <c r="AH1405" s="59"/>
      <c r="AI1405" s="59"/>
      <c r="AJ1405" s="59"/>
      <c r="AK1405" s="59"/>
    </row>
    <row r="1406" spans="2:37" s="4" customFormat="1" x14ac:dyDescent="0.25">
      <c r="B1406" s="94"/>
      <c r="E1406" s="4" t="s">
        <v>621</v>
      </c>
      <c r="I1406" s="59"/>
      <c r="J1406" s="210"/>
      <c r="K1406" s="210"/>
      <c r="L1406" s="59"/>
      <c r="M1406" s="59"/>
      <c r="N1406" s="210"/>
      <c r="O1406" s="59"/>
      <c r="P1406" s="59"/>
      <c r="Q1406" s="59"/>
      <c r="R1406" s="59"/>
      <c r="S1406" s="59"/>
      <c r="T1406" s="59"/>
      <c r="U1406" s="59"/>
      <c r="V1406" s="59"/>
      <c r="W1406" s="59"/>
      <c r="X1406" s="59"/>
      <c r="Y1406" s="59"/>
      <c r="Z1406" s="59"/>
      <c r="AA1406" s="59"/>
      <c r="AB1406" s="59"/>
      <c r="AC1406" s="59"/>
      <c r="AD1406" s="59"/>
      <c r="AE1406" s="59"/>
      <c r="AF1406" s="59"/>
      <c r="AG1406" s="59"/>
      <c r="AH1406" s="59"/>
      <c r="AI1406" s="59"/>
      <c r="AJ1406" s="59"/>
      <c r="AK1406" s="59"/>
    </row>
    <row r="1407" spans="2:37" s="4" customFormat="1" x14ac:dyDescent="0.25">
      <c r="B1407" s="94"/>
      <c r="E1407" s="4" t="s">
        <v>622</v>
      </c>
      <c r="H1407" s="4" t="s">
        <v>32</v>
      </c>
      <c r="I1407" s="59"/>
      <c r="J1407" s="210"/>
      <c r="K1407" s="210"/>
      <c r="L1407" s="210"/>
      <c r="M1407" s="210"/>
      <c r="N1407" s="210"/>
      <c r="O1407" s="59"/>
      <c r="P1407" s="59"/>
      <c r="Q1407" s="59"/>
      <c r="R1407" s="59"/>
      <c r="S1407" s="59"/>
      <c r="T1407" s="59"/>
      <c r="U1407" s="59"/>
      <c r="V1407" s="59"/>
      <c r="W1407" s="59"/>
      <c r="X1407" s="59"/>
      <c r="Y1407" s="59"/>
      <c r="Z1407" s="59"/>
      <c r="AA1407" s="59">
        <v>9876</v>
      </c>
      <c r="AB1407" s="59">
        <v>9876</v>
      </c>
      <c r="AC1407" s="59">
        <v>9876</v>
      </c>
      <c r="AD1407" s="59"/>
      <c r="AE1407" s="59"/>
      <c r="AF1407" s="59"/>
      <c r="AG1407" s="59"/>
      <c r="AH1407" s="59"/>
      <c r="AI1407" s="59"/>
      <c r="AJ1407" s="59"/>
      <c r="AK1407" s="59"/>
    </row>
    <row r="1408" spans="2:37" s="4" customFormat="1" x14ac:dyDescent="0.25">
      <c r="B1408" s="94"/>
      <c r="E1408" s="4" t="s">
        <v>623</v>
      </c>
      <c r="H1408" s="4" t="s">
        <v>32</v>
      </c>
      <c r="I1408" s="59"/>
      <c r="J1408" s="210"/>
      <c r="K1408" s="210"/>
      <c r="L1408" s="210"/>
      <c r="M1408" s="210"/>
      <c r="N1408" s="210"/>
      <c r="O1408" s="59"/>
      <c r="P1408" s="59"/>
      <c r="Q1408" s="59"/>
      <c r="R1408" s="59"/>
      <c r="S1408" s="59"/>
      <c r="T1408" s="59"/>
      <c r="U1408" s="59"/>
      <c r="V1408" s="59"/>
      <c r="W1408" s="59"/>
      <c r="X1408" s="59"/>
      <c r="Y1408" s="59"/>
      <c r="Z1408" s="59"/>
      <c r="AA1408" s="59"/>
      <c r="AB1408" s="59"/>
      <c r="AC1408" s="59"/>
      <c r="AD1408" s="59"/>
      <c r="AE1408" s="59"/>
      <c r="AF1408" s="59"/>
      <c r="AG1408" s="59"/>
      <c r="AH1408" s="59"/>
      <c r="AI1408" s="59"/>
      <c r="AJ1408" s="59"/>
      <c r="AK1408" s="59"/>
    </row>
    <row r="1409" spans="1:37" s="4" customFormat="1" x14ac:dyDescent="0.25">
      <c r="B1409" s="94"/>
      <c r="E1409" s="4" t="s">
        <v>624</v>
      </c>
      <c r="H1409" s="4" t="s">
        <v>32</v>
      </c>
      <c r="I1409" s="59">
        <f>J1409-22877</f>
        <v>32799</v>
      </c>
      <c r="J1409" s="59">
        <v>55676</v>
      </c>
      <c r="K1409" s="59">
        <v>55676</v>
      </c>
      <c r="L1409" s="59">
        <v>55676</v>
      </c>
      <c r="M1409" s="59">
        <v>55676</v>
      </c>
      <c r="N1409" s="59">
        <v>55676</v>
      </c>
      <c r="O1409" s="59">
        <v>55676</v>
      </c>
      <c r="P1409" s="59">
        <v>55676</v>
      </c>
      <c r="Q1409" s="59">
        <v>55676</v>
      </c>
      <c r="R1409" s="59">
        <v>55676</v>
      </c>
      <c r="S1409" s="59">
        <v>55676</v>
      </c>
      <c r="T1409" s="59">
        <v>55676</v>
      </c>
      <c r="U1409" s="59">
        <v>55676</v>
      </c>
      <c r="V1409" s="59">
        <v>55676</v>
      </c>
      <c r="W1409" s="59">
        <v>55676</v>
      </c>
      <c r="X1409" s="59">
        <v>55676</v>
      </c>
      <c r="Y1409" s="59">
        <v>55676</v>
      </c>
      <c r="Z1409" s="59">
        <v>55676</v>
      </c>
      <c r="AA1409" s="59">
        <v>55676</v>
      </c>
      <c r="AB1409" s="59">
        <v>55676</v>
      </c>
      <c r="AC1409" s="59">
        <v>55676</v>
      </c>
      <c r="AD1409" s="59"/>
      <c r="AE1409" s="59"/>
      <c r="AF1409" s="59"/>
      <c r="AG1409" s="59"/>
      <c r="AH1409" s="59"/>
      <c r="AI1409" s="59"/>
      <c r="AJ1409" s="59"/>
      <c r="AK1409" s="59"/>
    </row>
    <row r="1410" spans="1:37" s="2" customFormat="1" x14ac:dyDescent="0.25">
      <c r="B1410" s="3"/>
      <c r="J1410" s="48"/>
      <c r="K1410" s="49"/>
      <c r="L1410" s="49"/>
      <c r="M1410" s="49"/>
      <c r="N1410" s="49"/>
      <c r="O1410" s="49"/>
      <c r="P1410" s="49"/>
      <c r="Q1410" s="49"/>
      <c r="R1410" s="49"/>
      <c r="S1410" s="49"/>
      <c r="T1410" s="49"/>
      <c r="U1410" s="49"/>
      <c r="V1410" s="49"/>
      <c r="W1410" s="49"/>
    </row>
    <row r="1411" spans="1:37" s="28" customFormat="1" ht="17.25" x14ac:dyDescent="0.3">
      <c r="A1411" s="28" t="s">
        <v>625</v>
      </c>
    </row>
    <row r="1412" spans="1:37" x14ac:dyDescent="0.25">
      <c r="B1412" s="29" t="s">
        <v>3</v>
      </c>
      <c r="C1412" t="s">
        <v>626</v>
      </c>
    </row>
    <row r="1413" spans="1:37" x14ac:dyDescent="0.25">
      <c r="B1413" s="29" t="s">
        <v>10</v>
      </c>
      <c r="C1413" s="263" t="s">
        <v>627</v>
      </c>
    </row>
    <row r="1414" spans="1:37" x14ac:dyDescent="0.25">
      <c r="B1414" s="29" t="s">
        <v>14</v>
      </c>
      <c r="C1414" t="s">
        <v>628</v>
      </c>
    </row>
    <row r="1415" spans="1:37" x14ac:dyDescent="0.25">
      <c r="B1415" s="29" t="s">
        <v>17</v>
      </c>
      <c r="C1415" t="s">
        <v>629</v>
      </c>
    </row>
    <row r="1416" spans="1:37" x14ac:dyDescent="0.25">
      <c r="B1416" s="29" t="s">
        <v>19</v>
      </c>
      <c r="C1416" t="s">
        <v>630</v>
      </c>
    </row>
    <row r="1417" spans="1:37" s="25" customFormat="1" ht="15.75" thickBot="1" x14ac:dyDescent="0.3">
      <c r="B1417" s="30"/>
      <c r="C1417" s="25" t="s">
        <v>631</v>
      </c>
    </row>
    <row r="1418" spans="1:37" s="8" customFormat="1" ht="15.75" thickTop="1" x14ac:dyDescent="0.25">
      <c r="B1418" s="9"/>
      <c r="C1418" s="4" t="s">
        <v>632</v>
      </c>
      <c r="G1418" s="4" t="s">
        <v>633</v>
      </c>
      <c r="H1418" s="4"/>
      <c r="J1418" s="50"/>
      <c r="K1418" s="50"/>
      <c r="L1418" s="50"/>
      <c r="M1418" s="50"/>
      <c r="N1418" s="50"/>
    </row>
    <row r="1419" spans="1:37" x14ac:dyDescent="0.25">
      <c r="C1419" s="8" t="s">
        <v>634</v>
      </c>
      <c r="J1419" s="46"/>
      <c r="K1419" s="46"/>
      <c r="L1419" s="46"/>
      <c r="M1419" s="46"/>
      <c r="N1419" s="46"/>
    </row>
    <row r="1420" spans="1:37" x14ac:dyDescent="0.25">
      <c r="D1420" t="s">
        <v>635</v>
      </c>
      <c r="G1420" t="s">
        <v>636</v>
      </c>
      <c r="J1420" s="46"/>
      <c r="K1420" s="46"/>
      <c r="L1420" s="46"/>
      <c r="M1420" s="46"/>
      <c r="N1420" s="46"/>
      <c r="T1420" t="s">
        <v>253</v>
      </c>
    </row>
    <row r="1421" spans="1:37" x14ac:dyDescent="0.25">
      <c r="D1421" t="s">
        <v>637</v>
      </c>
      <c r="G1421" t="s">
        <v>638</v>
      </c>
      <c r="T1421" t="s">
        <v>255</v>
      </c>
    </row>
    <row r="1422" spans="1:37" x14ac:dyDescent="0.25">
      <c r="D1422" t="s">
        <v>639</v>
      </c>
      <c r="G1422" t="s">
        <v>640</v>
      </c>
      <c r="T1422" s="85">
        <v>0.25</v>
      </c>
      <c r="U1422" t="s">
        <v>254</v>
      </c>
    </row>
    <row r="1423" spans="1:37" x14ac:dyDescent="0.25">
      <c r="D1423" t="s">
        <v>641</v>
      </c>
      <c r="G1423" t="s">
        <v>642</v>
      </c>
      <c r="T1423" s="85">
        <v>0.25</v>
      </c>
      <c r="U1423" s="85">
        <v>0.5</v>
      </c>
      <c r="V1423" t="s">
        <v>255</v>
      </c>
    </row>
    <row r="1424" spans="1:37" x14ac:dyDescent="0.25">
      <c r="D1424" t="s">
        <v>643</v>
      </c>
      <c r="G1424" t="s">
        <v>644</v>
      </c>
      <c r="T1424" s="85">
        <v>0.25</v>
      </c>
      <c r="U1424" s="85">
        <v>0.5</v>
      </c>
      <c r="V1424" s="85">
        <v>0.8</v>
      </c>
      <c r="W1424" t="s">
        <v>254</v>
      </c>
    </row>
    <row r="1425" spans="4:27" x14ac:dyDescent="0.25">
      <c r="D1425" t="s">
        <v>645</v>
      </c>
      <c r="G1425" t="s">
        <v>646</v>
      </c>
      <c r="U1425" s="85">
        <v>0.5</v>
      </c>
      <c r="V1425" s="85">
        <v>0.95</v>
      </c>
      <c r="X1425" t="s">
        <v>247</v>
      </c>
    </row>
    <row r="1426" spans="4:27" x14ac:dyDescent="0.25">
      <c r="D1426" t="s">
        <v>647</v>
      </c>
      <c r="G1426" t="s">
        <v>648</v>
      </c>
      <c r="U1426" s="85">
        <v>0.1</v>
      </c>
      <c r="V1426" s="85">
        <v>0.1</v>
      </c>
    </row>
    <row r="1427" spans="4:27" x14ac:dyDescent="0.25">
      <c r="D1427" t="s">
        <v>649</v>
      </c>
      <c r="G1427" t="s">
        <v>640</v>
      </c>
      <c r="W1427" t="s">
        <v>248</v>
      </c>
    </row>
    <row r="1428" spans="4:27" x14ac:dyDescent="0.25">
      <c r="D1428" t="s">
        <v>650</v>
      </c>
      <c r="G1428" t="s">
        <v>651</v>
      </c>
      <c r="W1428" t="s">
        <v>250</v>
      </c>
    </row>
    <row r="1429" spans="4:27" x14ac:dyDescent="0.25">
      <c r="D1429" t="s">
        <v>652</v>
      </c>
      <c r="G1429" t="s">
        <v>653</v>
      </c>
      <c r="X1429" t="s">
        <v>246</v>
      </c>
    </row>
    <row r="1430" spans="4:27" x14ac:dyDescent="0.25">
      <c r="D1430" t="s">
        <v>654</v>
      </c>
      <c r="G1430" t="s">
        <v>655</v>
      </c>
      <c r="W1430" t="s">
        <v>252</v>
      </c>
    </row>
    <row r="1431" spans="4:27" x14ac:dyDescent="0.25">
      <c r="D1431" t="s">
        <v>656</v>
      </c>
      <c r="G1431" t="s">
        <v>657</v>
      </c>
      <c r="W1431" t="s">
        <v>254</v>
      </c>
    </row>
    <row r="1432" spans="4:27" x14ac:dyDescent="0.25">
      <c r="D1432" t="s">
        <v>658</v>
      </c>
      <c r="G1432" t="s">
        <v>659</v>
      </c>
      <c r="W1432" t="s">
        <v>255</v>
      </c>
    </row>
    <row r="1433" spans="4:27" x14ac:dyDescent="0.25">
      <c r="D1433" t="s">
        <v>660</v>
      </c>
      <c r="G1433" t="s">
        <v>640</v>
      </c>
      <c r="W1433" s="85">
        <v>0.25</v>
      </c>
      <c r="X1433" t="s">
        <v>244</v>
      </c>
    </row>
    <row r="1434" spans="4:27" x14ac:dyDescent="0.25">
      <c r="D1434" t="s">
        <v>661</v>
      </c>
      <c r="G1434" t="s">
        <v>662</v>
      </c>
      <c r="X1434" s="85">
        <v>0.05</v>
      </c>
      <c r="Y1434" t="s">
        <v>250</v>
      </c>
    </row>
    <row r="1435" spans="4:27" x14ac:dyDescent="0.25">
      <c r="D1435" t="s">
        <v>663</v>
      </c>
      <c r="G1435" t="s">
        <v>664</v>
      </c>
      <c r="X1435" s="85">
        <v>0.05</v>
      </c>
      <c r="Y1435" t="s">
        <v>250</v>
      </c>
    </row>
    <row r="1436" spans="4:27" x14ac:dyDescent="0.25">
      <c r="D1436" t="s">
        <v>665</v>
      </c>
      <c r="G1436" t="s">
        <v>666</v>
      </c>
      <c r="W1436" s="85">
        <v>0.05</v>
      </c>
      <c r="X1436" s="85">
        <v>0.05</v>
      </c>
      <c r="Y1436" s="85">
        <v>0.75</v>
      </c>
      <c r="Z1436" s="85">
        <v>0.75</v>
      </c>
      <c r="AA1436" s="85">
        <v>0.75</v>
      </c>
    </row>
    <row r="1437" spans="4:27" x14ac:dyDescent="0.25">
      <c r="D1437" t="s">
        <v>667</v>
      </c>
      <c r="G1437" t="s">
        <v>668</v>
      </c>
      <c r="Y1437" s="85">
        <v>0.2</v>
      </c>
      <c r="Z1437" s="85">
        <v>0.25</v>
      </c>
    </row>
    <row r="1438" spans="4:27" x14ac:dyDescent="0.25">
      <c r="D1438" t="s">
        <v>669</v>
      </c>
      <c r="Z1438" s="85"/>
      <c r="AA1438" s="85"/>
    </row>
    <row r="1439" spans="4:27" x14ac:dyDescent="0.25">
      <c r="D1439" t="s">
        <v>670</v>
      </c>
      <c r="G1439" t="s">
        <v>640</v>
      </c>
      <c r="Z1439" s="85"/>
      <c r="AA1439" s="85" t="s">
        <v>250</v>
      </c>
    </row>
    <row r="1440" spans="4:27" x14ac:dyDescent="0.25">
      <c r="D1440" t="s">
        <v>671</v>
      </c>
      <c r="Z1440" s="85"/>
      <c r="AA1440" s="85">
        <v>0.05</v>
      </c>
    </row>
    <row r="1441" spans="3:27" x14ac:dyDescent="0.25">
      <c r="D1441" t="s">
        <v>672</v>
      </c>
      <c r="Z1441" s="85"/>
      <c r="AA1441" s="85">
        <v>0.1</v>
      </c>
    </row>
    <row r="1442" spans="3:27" x14ac:dyDescent="0.25">
      <c r="D1442" t="s">
        <v>673</v>
      </c>
      <c r="S1442" t="s">
        <v>674</v>
      </c>
      <c r="T1442" t="s">
        <v>674</v>
      </c>
      <c r="U1442" t="s">
        <v>674</v>
      </c>
      <c r="V1442" t="s">
        <v>674</v>
      </c>
      <c r="W1442" t="s">
        <v>674</v>
      </c>
      <c r="X1442" t="s">
        <v>674</v>
      </c>
      <c r="Y1442" t="s">
        <v>674</v>
      </c>
      <c r="Z1442" t="s">
        <v>674</v>
      </c>
      <c r="AA1442" t="s">
        <v>674</v>
      </c>
    </row>
    <row r="1443" spans="3:27" x14ac:dyDescent="0.25">
      <c r="C1443" s="8" t="s">
        <v>675</v>
      </c>
    </row>
    <row r="1444" spans="3:27" x14ac:dyDescent="0.25">
      <c r="D1444" t="s">
        <v>676</v>
      </c>
      <c r="G1444" t="s">
        <v>677</v>
      </c>
      <c r="S1444" t="s">
        <v>249</v>
      </c>
    </row>
    <row r="1445" spans="3:27" x14ac:dyDescent="0.25">
      <c r="D1445" t="s">
        <v>678</v>
      </c>
      <c r="G1445" t="s">
        <v>679</v>
      </c>
      <c r="T1445" s="85">
        <v>0.33</v>
      </c>
      <c r="U1445" s="85">
        <v>0.67</v>
      </c>
      <c r="V1445" t="s">
        <v>249</v>
      </c>
    </row>
    <row r="1446" spans="3:27" x14ac:dyDescent="0.25">
      <c r="D1446" t="s">
        <v>680</v>
      </c>
      <c r="G1446" t="s">
        <v>677</v>
      </c>
      <c r="T1446" t="s">
        <v>248</v>
      </c>
    </row>
    <row r="1447" spans="3:27" x14ac:dyDescent="0.25">
      <c r="D1447" t="s">
        <v>681</v>
      </c>
      <c r="G1447" t="s">
        <v>682</v>
      </c>
      <c r="W1447" s="85">
        <v>0.25</v>
      </c>
      <c r="X1447" s="85">
        <v>0.5</v>
      </c>
      <c r="Y1447" s="85">
        <v>0.5</v>
      </c>
      <c r="Z1447" s="85">
        <v>0.5</v>
      </c>
      <c r="AA1447" s="85">
        <v>0.7</v>
      </c>
    </row>
    <row r="1448" spans="3:27" x14ac:dyDescent="0.25">
      <c r="D1448" t="s">
        <v>683</v>
      </c>
      <c r="G1448" t="s">
        <v>677</v>
      </c>
      <c r="U1448" t="s">
        <v>248</v>
      </c>
    </row>
    <row r="1449" spans="3:27" x14ac:dyDescent="0.25">
      <c r="D1449" t="s">
        <v>684</v>
      </c>
      <c r="G1449" t="s">
        <v>677</v>
      </c>
      <c r="V1449" t="s">
        <v>251</v>
      </c>
    </row>
    <row r="1450" spans="3:27" x14ac:dyDescent="0.25">
      <c r="D1450" t="s">
        <v>685</v>
      </c>
      <c r="G1450" t="s">
        <v>677</v>
      </c>
      <c r="W1450" t="s">
        <v>247</v>
      </c>
    </row>
    <row r="1451" spans="3:27" x14ac:dyDescent="0.25">
      <c r="D1451" t="s">
        <v>686</v>
      </c>
      <c r="G1451" t="s">
        <v>677</v>
      </c>
      <c r="X1451" t="s">
        <v>247</v>
      </c>
    </row>
    <row r="1452" spans="3:27" x14ac:dyDescent="0.25">
      <c r="D1452" t="s">
        <v>687</v>
      </c>
      <c r="G1452" t="s">
        <v>677</v>
      </c>
      <c r="Y1452" t="s">
        <v>247</v>
      </c>
    </row>
    <row r="1453" spans="3:27" x14ac:dyDescent="0.25">
      <c r="D1453" t="s">
        <v>688</v>
      </c>
      <c r="G1453" t="s">
        <v>677</v>
      </c>
      <c r="Z1453" t="s">
        <v>247</v>
      </c>
    </row>
    <row r="1454" spans="3:27" x14ac:dyDescent="0.25">
      <c r="D1454" t="s">
        <v>689</v>
      </c>
      <c r="G1454" t="s">
        <v>677</v>
      </c>
      <c r="AA1454" t="s">
        <v>247</v>
      </c>
    </row>
    <row r="1455" spans="3:27" x14ac:dyDescent="0.25">
      <c r="D1455" t="s">
        <v>690</v>
      </c>
      <c r="G1455" t="s">
        <v>691</v>
      </c>
      <c r="Z1455" s="85">
        <v>0.05</v>
      </c>
      <c r="AA1455" s="85" t="s">
        <v>254</v>
      </c>
    </row>
    <row r="1456" spans="3:27" x14ac:dyDescent="0.25">
      <c r="D1456" t="s">
        <v>692</v>
      </c>
      <c r="G1456" t="s">
        <v>693</v>
      </c>
      <c r="Y1456" t="s">
        <v>674</v>
      </c>
      <c r="Z1456" t="s">
        <v>674</v>
      </c>
      <c r="AA1456" t="s">
        <v>674</v>
      </c>
    </row>
    <row r="1457" spans="3:27" x14ac:dyDescent="0.25">
      <c r="D1457" t="s">
        <v>694</v>
      </c>
      <c r="G1457" t="s">
        <v>695</v>
      </c>
      <c r="V1457" t="s">
        <v>674</v>
      </c>
      <c r="W1457" t="s">
        <v>674</v>
      </c>
      <c r="X1457" t="s">
        <v>674</v>
      </c>
      <c r="Y1457" t="s">
        <v>674</v>
      </c>
      <c r="Z1457" t="s">
        <v>674</v>
      </c>
    </row>
    <row r="1458" spans="3:27" x14ac:dyDescent="0.25">
      <c r="D1458" t="s">
        <v>696</v>
      </c>
      <c r="S1458" t="s">
        <v>674</v>
      </c>
      <c r="T1458" t="s">
        <v>674</v>
      </c>
      <c r="U1458" t="s">
        <v>674</v>
      </c>
      <c r="V1458" t="s">
        <v>674</v>
      </c>
      <c r="W1458" t="s">
        <v>674</v>
      </c>
      <c r="X1458" t="s">
        <v>674</v>
      </c>
      <c r="Y1458" t="s">
        <v>674</v>
      </c>
      <c r="Z1458" t="s">
        <v>674</v>
      </c>
      <c r="AA1458" t="s">
        <v>674</v>
      </c>
    </row>
    <row r="1459" spans="3:27" x14ac:dyDescent="0.25">
      <c r="C1459" s="8" t="s">
        <v>697</v>
      </c>
    </row>
    <row r="1460" spans="3:27" x14ac:dyDescent="0.25">
      <c r="D1460" t="s">
        <v>698</v>
      </c>
      <c r="G1460" t="s">
        <v>699</v>
      </c>
      <c r="U1460" s="85">
        <v>0.25</v>
      </c>
      <c r="V1460" t="s">
        <v>252</v>
      </c>
    </row>
    <row r="1461" spans="3:27" x14ac:dyDescent="0.25">
      <c r="D1461" t="s">
        <v>700</v>
      </c>
      <c r="G1461" t="s">
        <v>701</v>
      </c>
      <c r="V1461" t="s">
        <v>247</v>
      </c>
    </row>
    <row r="1462" spans="3:27" x14ac:dyDescent="0.25">
      <c r="D1462" t="s">
        <v>702</v>
      </c>
      <c r="G1462" t="s">
        <v>703</v>
      </c>
      <c r="X1462" t="s">
        <v>255</v>
      </c>
    </row>
    <row r="1463" spans="3:27" x14ac:dyDescent="0.25">
      <c r="D1463" t="s">
        <v>704</v>
      </c>
      <c r="Y1463" s="85">
        <v>0.75</v>
      </c>
      <c r="Z1463" t="s">
        <v>244</v>
      </c>
    </row>
    <row r="1464" spans="3:27" x14ac:dyDescent="0.25">
      <c r="D1464" t="s">
        <v>705</v>
      </c>
      <c r="Y1464" t="s">
        <v>248</v>
      </c>
    </row>
    <row r="1465" spans="3:27" x14ac:dyDescent="0.25">
      <c r="D1465" t="s">
        <v>706</v>
      </c>
      <c r="Y1465" s="85">
        <v>0.1</v>
      </c>
      <c r="Z1465" s="85" t="s">
        <v>250</v>
      </c>
    </row>
    <row r="1466" spans="3:27" x14ac:dyDescent="0.25">
      <c r="D1466" t="s">
        <v>707</v>
      </c>
      <c r="Z1466" s="85">
        <v>0.75</v>
      </c>
    </row>
    <row r="1467" spans="3:27" x14ac:dyDescent="0.25">
      <c r="D1467" t="s">
        <v>708</v>
      </c>
      <c r="Z1467" s="85">
        <v>0.75</v>
      </c>
    </row>
    <row r="1468" spans="3:27" x14ac:dyDescent="0.25">
      <c r="D1468" t="s">
        <v>709</v>
      </c>
      <c r="Z1468" s="85"/>
      <c r="AA1468" s="85" t="s">
        <v>255</v>
      </c>
    </row>
    <row r="1469" spans="3:27" x14ac:dyDescent="0.25">
      <c r="C1469" s="8" t="s">
        <v>710</v>
      </c>
    </row>
    <row r="1470" spans="3:27" x14ac:dyDescent="0.25">
      <c r="D1470" t="s">
        <v>711</v>
      </c>
      <c r="G1470" t="s">
        <v>712</v>
      </c>
      <c r="T1470" s="85">
        <v>0.15</v>
      </c>
      <c r="U1470" s="85">
        <v>0.4</v>
      </c>
      <c r="V1470" t="s">
        <v>254</v>
      </c>
    </row>
    <row r="1471" spans="3:27" x14ac:dyDescent="0.25">
      <c r="D1471" t="s">
        <v>713</v>
      </c>
      <c r="G1471" t="s">
        <v>714</v>
      </c>
      <c r="W1471" t="s">
        <v>255</v>
      </c>
    </row>
    <row r="1472" spans="3:27" x14ac:dyDescent="0.25">
      <c r="D1472" t="s">
        <v>715</v>
      </c>
      <c r="G1472" t="s">
        <v>716</v>
      </c>
      <c r="W1472" t="s">
        <v>253</v>
      </c>
    </row>
    <row r="1473" spans="4:27" x14ac:dyDescent="0.25">
      <c r="D1473" t="s">
        <v>717</v>
      </c>
      <c r="G1473" t="s">
        <v>718</v>
      </c>
      <c r="Y1473" t="s">
        <v>250</v>
      </c>
    </row>
    <row r="1474" spans="4:27" x14ac:dyDescent="0.25">
      <c r="D1474" t="s">
        <v>719</v>
      </c>
      <c r="G1474" t="s">
        <v>716</v>
      </c>
      <c r="X1474" t="s">
        <v>254</v>
      </c>
    </row>
    <row r="1475" spans="4:27" x14ac:dyDescent="0.25">
      <c r="D1475" t="s">
        <v>720</v>
      </c>
      <c r="G1475" t="s">
        <v>721</v>
      </c>
      <c r="Z1475" s="85">
        <v>0.75</v>
      </c>
      <c r="AA1475" s="85">
        <v>0.75</v>
      </c>
    </row>
    <row r="1476" spans="4:27" x14ac:dyDescent="0.25">
      <c r="D1476" t="s">
        <v>722</v>
      </c>
      <c r="G1476" t="s">
        <v>723</v>
      </c>
      <c r="Y1476" t="s">
        <v>245</v>
      </c>
    </row>
    <row r="1477" spans="4:27" x14ac:dyDescent="0.25">
      <c r="D1477" t="s">
        <v>724</v>
      </c>
      <c r="G1477" t="s">
        <v>716</v>
      </c>
      <c r="Y1477" t="s">
        <v>249</v>
      </c>
    </row>
    <row r="1478" spans="4:27" x14ac:dyDescent="0.25">
      <c r="D1478" t="s">
        <v>725</v>
      </c>
      <c r="G1478" t="s">
        <v>716</v>
      </c>
      <c r="Z1478" t="s">
        <v>247</v>
      </c>
    </row>
    <row r="1479" spans="4:27" x14ac:dyDescent="0.25">
      <c r="D1479" t="s">
        <v>726</v>
      </c>
      <c r="G1479" t="s">
        <v>716</v>
      </c>
      <c r="AA1479" t="s">
        <v>244</v>
      </c>
    </row>
    <row r="1480" spans="4:27" x14ac:dyDescent="0.25">
      <c r="D1480" t="s">
        <v>727</v>
      </c>
      <c r="G1480" t="s">
        <v>636</v>
      </c>
      <c r="AA1480" s="85">
        <v>0.1</v>
      </c>
    </row>
  </sheetData>
  <sheetProtection sheet="1" objects="1" scenarios="1"/>
  <phoneticPr fontId="25" type="noConversion"/>
  <hyperlinks>
    <hyperlink ref="D10" location="ConsevationBuildoutTracker!A1" display="See ConservationBuildoutTracker sheet: data in this data table autopopulates from that data sheet" xr:uid="{F3A82F3C-E1B4-45E0-84B6-AA962C1FF8F1}"/>
    <hyperlink ref="C329" r:id="rId1" xr:uid="{84013CE3-7A2F-4746-A52C-CBDC889A6858}"/>
    <hyperlink ref="C366" r:id="rId2" xr:uid="{E146EB7C-6E2A-4595-9F66-0538368A28AF}"/>
    <hyperlink ref="C394" r:id="rId3" xr:uid="{6713B2D6-B275-434D-A3CF-4CC5A76C86A9}"/>
    <hyperlink ref="C235" r:id="rId4" xr:uid="{4B3056D1-09D3-4733-93E7-B59B833D47D6}"/>
    <hyperlink ref="D58" location="BuildingPermits!A1" display="See ConservationBuildoutTracker sheet: data in this data table auto populates from that data sheet" xr:uid="{D131B122-4AAB-46C9-B2CC-4681F732E867}"/>
    <hyperlink ref="C59" location="iHsgStock" display="Housing Stock Profile" xr:uid="{3CAE5AC3-ED7E-4053-AF17-62D3DDA6DF06}"/>
    <hyperlink ref="D141" location="BuildingPermits!A1" display="See ConservationBuildoutTracker sheet: data in this data table auto populates from that data sheet" xr:uid="{5DFE3BF4-5F73-41E7-9F78-745730CAD3BD}"/>
    <hyperlink ref="C142" location="InLocGrowth" display="Growth by Location" xr:uid="{D2C6AC55-2F3C-430C-B6B5-8084D639B00F}"/>
    <hyperlink ref="C143" location="InLocPotential" display="Location of Potential Growth" xr:uid="{5BC13B94-77EA-40A2-BA5E-3F24E9D6CD5C}"/>
    <hyperlink ref="C11" location="InConsSubRA" display="Conservation vs. Subdivision of Rural Areas" xr:uid="{77AE26AB-8C85-438B-8B78-97666B00CAF4}"/>
    <hyperlink ref="C12" location="InLocPotential" display="Location of Potential Growth" xr:uid="{281579FD-370A-453C-B59D-F40C625BF291}"/>
    <hyperlink ref="C13" location="InAmtPotential" display="Amount of Potential Growth" xr:uid="{7675D665-9895-4298-9C03-9E4D2B115343}"/>
    <hyperlink ref="C60" location="InGrowthRate" display="Annual Growth Rate Comparison" xr:uid="{A45AEF08-C042-45B5-AB3C-DC09595EB7DE}"/>
    <hyperlink ref="C61" location="InEffPop" display="Effective Population" xr:uid="{F5A648AF-1DB5-4F0E-8E1B-866ACBF26FCB}"/>
    <hyperlink ref="C62" location="RtrdGrowthbyUse" display="Growth by Use (retired)" xr:uid="{7E224066-6CC4-42D4-A639-BC0688DFEC32}"/>
    <hyperlink ref="C63" location="RtrdEffPop" display="Effective Population (retired)" xr:uid="{2108D0FC-4CA3-46C2-A354-FAADC70088AD}"/>
    <hyperlink ref="C144" location="InTownPctg" display="Percentage of Housing in Town" xr:uid="{F4BF344D-30A9-4B46-AF1C-69FD0730B7DB}"/>
    <hyperlink ref="C236" location="InLocalWF" display="Percentage of the Workforce Living Locally (reference)" xr:uid="{B95B52AE-3C45-4609-9E6C-6F736AC02F73}"/>
    <hyperlink ref="C237" location="InGrowthRate" display="Annual Growth Rate Comparison (Jobs per capita?)" xr:uid="{85A7B241-EA80-4251-A75F-B95B65B3B01A}"/>
    <hyperlink ref="C239" location="RtrdLocalWF" display="Percentage of the Workforce Living Locally (retired)" xr:uid="{40DDB38D-8F7B-49A4-96A5-27CC6C28B809}"/>
    <hyperlink ref="C238" location="InJobsbyInd" display="Jobs by Industry" xr:uid="{491D9BBA-AAEE-49AE-B535-E6D36A1F26F8}"/>
    <hyperlink ref="C283" location="InGrowthRate" display="Growth Rate Comparison (GDP per Capita)" xr:uid="{C7990D22-5041-4E2B-BB2C-77FFFD354AA9}"/>
    <hyperlink ref="C330" location="InGrowthRate" display="Growth Rate Comparison (Jobs per Capita, Income per Capita)" xr:uid="{119B3DFB-16ED-45ED-BB04-0A46E51061DF}"/>
    <hyperlink ref="C331" location="InEffPop" display="Effective Population" xr:uid="{FBF40ACF-F1C6-48FF-B2F8-9AB4664DF2D5}"/>
    <hyperlink ref="C367" location="InLocalWF" display="Percentage of the Workforce Living Locally" xr:uid="{150297C6-B23B-4D18-8117-88CF501826D3}"/>
    <hyperlink ref="C368" location="InGrowthRate" display="Growth Rate Comparison" xr:uid="{F30EB3F6-1535-40E1-8FB7-7690A0FDC439}"/>
    <hyperlink ref="C369" location="RtrdEffPop" display="Effective Population (retired)" xr:uid="{62A03DE7-1DFD-45BB-B3F3-57D66D714BDB}"/>
    <hyperlink ref="C395" location="InLocalWF" display="Percentage of the Workforce Living Locally" xr:uid="{7D8CD796-18DD-4D9E-BC27-C2B4A07E2360}"/>
    <hyperlink ref="C396" location="RtrdLocalWF" display="Percentage of the Workforce Living Locally (retired)" xr:uid="{4F152B38-4937-41CF-A764-ADADF776E196}"/>
    <hyperlink ref="C433" location="InTownPctg" display="Percentage of Jobs in Town" xr:uid="{37400C97-891F-46F8-A6DA-37E9B93FC5BC}"/>
    <hyperlink ref="C527" location="InLocalWF" display="Percentage of the Workforce Living Locally" xr:uid="{CEFE3A9E-1C09-4983-A757-A1D4A4256637}"/>
    <hyperlink ref="C587" location="InEffPop" display="Effective Population" xr:uid="{10070B24-83C7-4243-BB3A-A0259B6E040C}"/>
    <hyperlink ref="C597" location="InLocalWF" display="Percentage of the Workforce Living Locally (reference only)" xr:uid="{F44469FE-AE06-4387-A5FF-034A107E995C}"/>
    <hyperlink ref="C598" location="RtrdEffPop" display="Effective Population (retired)" xr:uid="{0A5029B4-AD75-4B24-BFD7-F0DF5FDC91A5}"/>
    <hyperlink ref="C618" location="RtrdEffPop" display="Effective Population (retired)" xr:uid="{E60793E7-9AC0-4D67-A873-01CD93DC2C53}"/>
    <hyperlink ref="C630" location="InHsgStock" display="Housing Stock Profile" xr:uid="{8333C1F9-B460-412A-805A-39E8B48A7E50}"/>
    <hyperlink ref="C631" location="InEffPop" display="Effective Population" xr:uid="{C4EA92A8-C513-4C29-8C1B-EA893174B5CC}"/>
    <hyperlink ref="C669" location="InEffPop" display="Effective Population" xr:uid="{434F315C-D3A9-4C44-9D83-FEAFC74154F1}"/>
    <hyperlink ref="C712" location="InLocalWF" display="Percentage of the Workforce Living Locally (reference only)" xr:uid="{443C05A5-427B-4A6A-9E2B-50FACEAD6AE3}"/>
    <hyperlink ref="C713" location="InActiveShare" display="Walk/Bike Modeshare" xr:uid="{1816A1F1-3150-4875-ACAC-711789688B5A}"/>
    <hyperlink ref="C726" location="InHsgStock" display="Housing Stock Profile" xr:uid="{7209E30B-EAA7-4EC9-ADA4-C4B986FF2137}"/>
    <hyperlink ref="C727" location="InGrowthRate" display="Annual Growth Rate Comparison (Cost of Home Purchase/Rent)" xr:uid="{D48AE556-E1FB-40DA-B9F5-3122769B11AF}"/>
    <hyperlink ref="C774" location="InGrowthRate" display="Annual Growth Rate Comparison (Cost of Home Purchase/Rent)" xr:uid="{C95D9789-87DC-4A8F-9D08-C23621F3AF01}"/>
    <hyperlink ref="C775" location="RtrdAfford" display="Housing Affordability (Retired)" xr:uid="{0CC7B0C3-6DE7-40AA-A3DB-65262061BE40}"/>
    <hyperlink ref="C796" location="InGrowthRate" display="Annual Growth Rate Comparison (Cost of Rent)" xr:uid="{00DD30B5-8346-4FC1-BB69-AEF8514D41A9}"/>
    <hyperlink ref="C824" location="InGrowthRate" display="Annual Growth Rate Comparison (Cost of Rent)" xr:uid="{AF079365-463A-4DA8-B284-4A72EA48147D}"/>
    <hyperlink ref="C838" location="RtrdAfford" display="Housing Affordability (Retired)" xr:uid="{95E046C6-1511-43C2-8FEF-883D6BC46DC2}"/>
    <hyperlink ref="C847" location="InGrowthRate" display="Annual Growth Rate Comparison (Cost of Home Purchase)" xr:uid="{299137F9-2E3E-4859-B3BB-299324233216}"/>
    <hyperlink ref="C848" location="RtrdAfford" display="Housing Affordability (Retired)" xr:uid="{DFA3E057-0318-49F8-A4AE-451EF25E592D}"/>
    <hyperlink ref="C862" location="InGrowthRate" display="Annual Growth Rate Comparison (Cost of Living)" xr:uid="{A32FA0AF-340C-4797-A006-7A8A9C5CBA28}"/>
    <hyperlink ref="C875" location="InHsgStock" display="Housing Stock Profile" xr:uid="{89F13ECF-1749-4DC4-8288-474B509395A6}"/>
    <hyperlink ref="C906" location="InWHPipeline" display="Workforce Housing Pipeline" xr:uid="{465E9112-0D1C-43C6-8D4A-44E4A346ED2C}"/>
    <hyperlink ref="C969" location="InEffPop" display="Effective Population" xr:uid="{9C1BE049-7323-4204-B467-4F0411D407A8}"/>
    <hyperlink ref="C970" location="InLdgOcc" display="Lodging Occupancy" xr:uid="{DEA5DF03-35BF-4EFA-B7EB-731F2232E1E8}"/>
    <hyperlink ref="C971" location="RtrdEffPop" display="Effective Population (retired)" xr:uid="{2B6BF167-A87B-4A72-BF46-703BF703C2D4}"/>
    <hyperlink ref="C992" location="InEffPop" display="Effective Population" xr:uid="{D5868C29-6DAB-4ECF-880B-5483610ADE78}"/>
    <hyperlink ref="C993" location="RtrdEffPop" display="Effective Population (retired)" xr:uid="{6F9A6F27-B05D-4A79-B922-C0E98DB6F48F}"/>
    <hyperlink ref="C1034" location="InEffPop" display="Effective Population" xr:uid="{5BF37BDB-24A8-402D-AF8E-2DA20A65978B}"/>
    <hyperlink ref="C1035" location="RtrdEffPop" display="Effective Population (retired)" xr:uid="{B49993CB-F6F7-4245-B8E8-F2F6BBFA3D12}"/>
    <hyperlink ref="C1043" location="InEffPop" display="Effective Population" xr:uid="{C164AC08-A029-4587-B2DF-54412A4BCAC7}"/>
    <hyperlink ref="C1044" location="RtrdEffPop" display="Effective Population (retired)" xr:uid="{119B932C-4ABC-4DC1-BEE6-656C35E6A58F}"/>
    <hyperlink ref="C1064" location="InEffPop" display="Effective Population" xr:uid="{CAE73C1B-3F01-4C63-B7CB-123EB3595D44}"/>
    <hyperlink ref="C1065" location="RtrdEffPop" display="Effective Population (retired)" xr:uid="{EA1B7E6B-418F-4CD2-80E1-22DB60532E25}"/>
    <hyperlink ref="C1086" location="InGHGEmissions" display="Greenhouse Gas Emissions" xr:uid="{5323953B-D4DE-4DA1-8658-C45B23AE4C9D}"/>
    <hyperlink ref="C1087" location="InGrowthRate" display="Annual Growth Rate Comparison" xr:uid="{BE2AC9CC-9AAA-4B23-A91E-C3C48D53472E}"/>
    <hyperlink ref="C1095" location="InGHGEmissions" display="Greenhouse Gas Emissions" xr:uid="{BFF13DB1-824D-4EC0-BF4A-A0CB171D4DCA}"/>
    <hyperlink ref="C1096" location="InGrowthRate" display="Annual Growth Rate Comparison" xr:uid="{1FAF61F6-F32A-4368-8F1C-05C5B40C06CA}"/>
    <hyperlink ref="C1097" location="InITPBenchmarks" display="Capital Project Group Benchmarks" xr:uid="{74405E08-C639-42A7-BC87-4A6F8000523F}"/>
    <hyperlink ref="C1172" location="InTravelTime" display="Single Occupancy Vehicle vs. Walk/Bike/Bus Travel Time" xr:uid="{D260B30E-7519-40C3-9C1A-E06F66E5A2DC}"/>
    <hyperlink ref="C1252" location="InSTART" display="START Ridership" xr:uid="{FD5286C8-A464-495C-96D9-F7C55F5680D4}"/>
    <hyperlink ref="C1272" location="InWVCs" display="Wildlife Vehicle Collisions" xr:uid="{0F7DA22E-C761-456B-B12E-617295B15C38}"/>
    <hyperlink ref="C1289:C1290" location="InGHGEmissions" display="Greenhouse Gas Emissions" xr:uid="{F40259BC-3BB0-494C-A33E-BE966CC3DF43}"/>
    <hyperlink ref="C1290" location="RtrdEnergyLoad" display="Energy Load (retired)" xr:uid="{EB2295E3-5387-49B5-9371-2E2BAC3FD034}"/>
    <hyperlink ref="C1351" location="InGHGEmissions" display="Greenhouse Gas Emissions" xr:uid="{782ABA39-CE38-4EC4-A82E-0C90120087B1}"/>
    <hyperlink ref="C1384" location="InTownPctg" display="Percentage of Education in Town" xr:uid="{E174B943-3FC5-40B8-B8F2-B4E7C8F6A913}"/>
    <hyperlink ref="C1413" location="InYrlyImp" display="Implementation" xr:uid="{3AC26359-C2B8-48CE-BE13-4692377C139C}"/>
  </hyperlinks>
  <pageMargins left="0.7" right="0.7" top="0.75" bottom="0.75" header="0.3" footer="0.3"/>
  <pageSetup orientation="portrait" verticalDpi="1200" r:id="rId5"/>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7BB0B-76D1-44AE-8007-E961A5431812}">
  <dimension ref="A1:AM1488"/>
  <sheetViews>
    <sheetView workbookViewId="0">
      <pane xSplit="8" ySplit="2" topLeftCell="I1104" activePane="bottomRight" state="frozen"/>
      <selection pane="topRight" activeCell="I1" sqref="I1"/>
      <selection pane="bottomLeft" activeCell="A3" sqref="A3"/>
      <selection pane="bottomRight" activeCell="E1140" sqref="E1140"/>
    </sheetView>
  </sheetViews>
  <sheetFormatPr defaultRowHeight="15" x14ac:dyDescent="0.25"/>
  <cols>
    <col min="2" max="2" width="4.28515625" customWidth="1"/>
    <col min="3" max="6" width="3.7109375" customWidth="1"/>
    <col min="7" max="7" width="46.7109375" customWidth="1"/>
    <col min="8" max="8" width="15" customWidth="1"/>
    <col min="9" max="37" width="11.42578125" customWidth="1"/>
  </cols>
  <sheetData>
    <row r="1" spans="1:37" ht="20.25" thickBot="1" x14ac:dyDescent="0.3">
      <c r="A1" s="61" t="s">
        <v>876</v>
      </c>
      <c r="B1" s="62"/>
      <c r="C1" s="63"/>
      <c r="D1" s="63"/>
      <c r="E1" s="63"/>
      <c r="F1" s="63"/>
      <c r="G1" s="63"/>
      <c r="H1" s="4"/>
    </row>
    <row r="2" spans="1:37" x14ac:dyDescent="0.25">
      <c r="B2" s="1"/>
      <c r="H2" t="s">
        <v>1</v>
      </c>
      <c r="I2">
        <v>2002</v>
      </c>
      <c r="J2">
        <v>2003</v>
      </c>
      <c r="K2">
        <v>2004</v>
      </c>
      <c r="L2">
        <v>2005</v>
      </c>
      <c r="M2">
        <v>2006</v>
      </c>
      <c r="N2">
        <v>2007</v>
      </c>
      <c r="O2">
        <v>2008</v>
      </c>
      <c r="P2">
        <v>2009</v>
      </c>
      <c r="Q2">
        <v>2010</v>
      </c>
      <c r="R2">
        <v>2011</v>
      </c>
      <c r="S2">
        <v>2012</v>
      </c>
      <c r="T2">
        <v>2013</v>
      </c>
      <c r="U2">
        <v>2014</v>
      </c>
      <c r="V2">
        <v>2015</v>
      </c>
      <c r="W2">
        <v>2016</v>
      </c>
      <c r="X2">
        <v>2017</v>
      </c>
      <c r="Y2">
        <v>2018</v>
      </c>
      <c r="Z2">
        <v>2019</v>
      </c>
      <c r="AA2">
        <v>2020</v>
      </c>
      <c r="AB2">
        <v>2021</v>
      </c>
      <c r="AC2">
        <v>2022</v>
      </c>
      <c r="AD2">
        <v>2023</v>
      </c>
      <c r="AE2">
        <v>2024</v>
      </c>
      <c r="AF2">
        <v>2025</v>
      </c>
      <c r="AG2">
        <v>2026</v>
      </c>
      <c r="AH2">
        <v>2027</v>
      </c>
      <c r="AI2">
        <v>2028</v>
      </c>
      <c r="AJ2">
        <v>2029</v>
      </c>
      <c r="AK2">
        <v>2030</v>
      </c>
    </row>
    <row r="3" spans="1:37" s="64" customFormat="1" x14ac:dyDescent="0.25">
      <c r="B3" s="65"/>
    </row>
    <row r="4" spans="1:37" s="53" customFormat="1" ht="17.25" x14ac:dyDescent="0.3">
      <c r="A4" s="53" t="s">
        <v>757</v>
      </c>
    </row>
    <row r="5" spans="1:37" x14ac:dyDescent="0.25">
      <c r="B5" s="29" t="s">
        <v>877</v>
      </c>
      <c r="C5" t="s">
        <v>878</v>
      </c>
    </row>
    <row r="6" spans="1:37" x14ac:dyDescent="0.25">
      <c r="B6" s="29" t="s">
        <v>879</v>
      </c>
      <c r="C6" t="s">
        <v>880</v>
      </c>
    </row>
    <row r="7" spans="1:37" x14ac:dyDescent="0.25">
      <c r="B7" s="29" t="s">
        <v>881</v>
      </c>
      <c r="C7" t="s">
        <v>882</v>
      </c>
    </row>
    <row r="8" spans="1:37" x14ac:dyDescent="0.25">
      <c r="B8" s="29" t="s">
        <v>883</v>
      </c>
      <c r="C8" t="s">
        <v>884</v>
      </c>
    </row>
    <row r="9" spans="1:37" x14ac:dyDescent="0.25">
      <c r="B9" s="29" t="s">
        <v>885</v>
      </c>
      <c r="C9" t="s">
        <v>884</v>
      </c>
    </row>
    <row r="10" spans="1:37" x14ac:dyDescent="0.25">
      <c r="B10" s="29" t="s">
        <v>886</v>
      </c>
      <c r="C10" t="s">
        <v>884</v>
      </c>
    </row>
    <row r="11" spans="1:37" x14ac:dyDescent="0.25">
      <c r="B11" s="29" t="s">
        <v>887</v>
      </c>
      <c r="C11" t="s">
        <v>884</v>
      </c>
    </row>
    <row r="12" spans="1:37" s="71" customFormat="1" ht="15.75" thickBot="1" x14ac:dyDescent="0.3">
      <c r="B12" s="72" t="s">
        <v>19</v>
      </c>
      <c r="C12" s="71" t="s">
        <v>884</v>
      </c>
    </row>
    <row r="13" spans="1:37" s="74" customFormat="1" ht="15.75" thickTop="1" x14ac:dyDescent="0.25">
      <c r="B13" s="75" t="s">
        <v>21</v>
      </c>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row>
    <row r="14" spans="1:37" s="66" customFormat="1" x14ac:dyDescent="0.25">
      <c r="B14" s="67"/>
      <c r="I14" s="68"/>
      <c r="J14" s="68"/>
      <c r="K14" s="68"/>
      <c r="L14" s="68"/>
      <c r="M14" s="68"/>
      <c r="N14" s="68"/>
      <c r="O14" s="68"/>
      <c r="P14" s="68"/>
      <c r="Q14" s="68"/>
      <c r="R14" s="68"/>
      <c r="S14" s="68"/>
      <c r="T14" s="68"/>
      <c r="U14" s="68"/>
      <c r="V14" s="68"/>
      <c r="W14" s="68"/>
      <c r="X14" s="68"/>
      <c r="Y14" s="68"/>
      <c r="Z14" s="68"/>
      <c r="AA14" s="68"/>
      <c r="AB14" s="68"/>
      <c r="AC14" s="68"/>
      <c r="AD14" s="68"/>
      <c r="AE14" s="68"/>
      <c r="AF14" s="68"/>
      <c r="AG14" s="68"/>
      <c r="AH14" s="68"/>
      <c r="AI14" s="68"/>
      <c r="AJ14" s="68"/>
      <c r="AK14" s="68"/>
    </row>
    <row r="15" spans="1:37" s="54" customFormat="1" ht="17.25" x14ac:dyDescent="0.3">
      <c r="A15" s="54" t="s">
        <v>11</v>
      </c>
    </row>
    <row r="16" spans="1:37" x14ac:dyDescent="0.25">
      <c r="B16" s="29" t="s">
        <v>877</v>
      </c>
      <c r="C16" t="s">
        <v>754</v>
      </c>
    </row>
    <row r="17" spans="2:4" x14ac:dyDescent="0.25">
      <c r="B17" s="29" t="s">
        <v>879</v>
      </c>
      <c r="C17" t="s">
        <v>888</v>
      </c>
    </row>
    <row r="18" spans="2:4" x14ac:dyDescent="0.25">
      <c r="B18" s="29"/>
      <c r="D18" t="s">
        <v>889</v>
      </c>
    </row>
    <row r="19" spans="2:4" x14ac:dyDescent="0.25">
      <c r="B19" s="29"/>
      <c r="D19" t="s">
        <v>890</v>
      </c>
    </row>
    <row r="20" spans="2:4" x14ac:dyDescent="0.25">
      <c r="B20" s="29" t="s">
        <v>881</v>
      </c>
      <c r="C20" t="s">
        <v>891</v>
      </c>
    </row>
    <row r="21" spans="2:4" x14ac:dyDescent="0.25">
      <c r="B21" s="29"/>
      <c r="C21" t="s">
        <v>892</v>
      </c>
    </row>
    <row r="22" spans="2:4" x14ac:dyDescent="0.25">
      <c r="B22" s="29"/>
      <c r="C22" t="s">
        <v>893</v>
      </c>
    </row>
    <row r="23" spans="2:4" x14ac:dyDescent="0.25">
      <c r="B23" s="29" t="s">
        <v>883</v>
      </c>
      <c r="C23" s="263" t="s">
        <v>894</v>
      </c>
    </row>
    <row r="24" spans="2:4" x14ac:dyDescent="0.25">
      <c r="B24" s="29"/>
      <c r="C24" s="263" t="s">
        <v>2</v>
      </c>
    </row>
    <row r="25" spans="2:4" x14ac:dyDescent="0.25">
      <c r="B25" s="29" t="s">
        <v>885</v>
      </c>
      <c r="C25" t="s">
        <v>895</v>
      </c>
    </row>
    <row r="26" spans="2:4" x14ac:dyDescent="0.25">
      <c r="B26" s="29" t="s">
        <v>886</v>
      </c>
    </row>
    <row r="27" spans="2:4" x14ac:dyDescent="0.25">
      <c r="B27" s="29" t="s">
        <v>887</v>
      </c>
    </row>
    <row r="28" spans="2:4" x14ac:dyDescent="0.25">
      <c r="B28" s="29" t="s">
        <v>19</v>
      </c>
      <c r="C28" t="s">
        <v>896</v>
      </c>
    </row>
    <row r="29" spans="2:4" s="71" customFormat="1" ht="15.75" thickBot="1" x14ac:dyDescent="0.3">
      <c r="B29" s="72"/>
      <c r="C29" s="71" t="s">
        <v>897</v>
      </c>
    </row>
    <row r="30" spans="2:4" ht="15.75" thickTop="1" x14ac:dyDescent="0.25">
      <c r="B30" s="29"/>
    </row>
    <row r="31" spans="2:4" x14ac:dyDescent="0.25">
      <c r="B31" s="29"/>
    </row>
    <row r="32" spans="2:4" x14ac:dyDescent="0.25">
      <c r="B32" s="29"/>
    </row>
    <row r="33" spans="2:37" x14ac:dyDescent="0.25">
      <c r="B33" s="29"/>
    </row>
    <row r="34" spans="2:37" x14ac:dyDescent="0.25">
      <c r="B34" s="29"/>
    </row>
    <row r="35" spans="2:37" x14ac:dyDescent="0.25">
      <c r="B35" s="29"/>
    </row>
    <row r="36" spans="2:37" x14ac:dyDescent="0.25">
      <c r="B36" s="29"/>
    </row>
    <row r="37" spans="2:37" x14ac:dyDescent="0.25">
      <c r="B37" s="29"/>
    </row>
    <row r="38" spans="2:37" x14ac:dyDescent="0.25">
      <c r="B38" s="29"/>
    </row>
    <row r="39" spans="2:37" x14ac:dyDescent="0.25">
      <c r="B39" s="29"/>
    </row>
    <row r="40" spans="2:37" x14ac:dyDescent="0.25">
      <c r="B40" s="29"/>
    </row>
    <row r="41" spans="2:37" x14ac:dyDescent="0.25">
      <c r="B41" s="29"/>
    </row>
    <row r="42" spans="2:37" x14ac:dyDescent="0.25">
      <c r="B42" s="29"/>
    </row>
    <row r="43" spans="2:37" x14ac:dyDescent="0.25">
      <c r="B43" s="29"/>
    </row>
    <row r="44" spans="2:37" x14ac:dyDescent="0.25">
      <c r="B44" s="29"/>
    </row>
    <row r="45" spans="2:37" s="74" customFormat="1" x14ac:dyDescent="0.25">
      <c r="B45" s="75" t="s">
        <v>21</v>
      </c>
      <c r="C45" s="59" t="s">
        <v>898</v>
      </c>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row>
    <row r="46" spans="2:37" s="74" customFormat="1" x14ac:dyDescent="0.25">
      <c r="B46" s="207"/>
      <c r="D46" s="74" t="s">
        <v>899</v>
      </c>
      <c r="H46" s="74" t="s">
        <v>900</v>
      </c>
      <c r="I46" s="76"/>
      <c r="J46" s="76"/>
      <c r="K46" s="76"/>
      <c r="L46" s="76"/>
      <c r="M46" s="76">
        <f>COUNTIFS(ConsevationBuildoutTracker!$C20:$C583,"CE",ConsevationBuildoutTracker!$G20:$G583,M$2)</f>
        <v>4</v>
      </c>
      <c r="N46" s="76">
        <f>COUNTIFS(ConsevationBuildoutTracker!$C20:$C583,"CE",ConsevationBuildoutTracker!$G20:$G583,N$2)</f>
        <v>15</v>
      </c>
      <c r="O46" s="76">
        <f>COUNTIFS(ConsevationBuildoutTracker!$C20:$C583,"CE",ConsevationBuildoutTracker!$G20:$G583,O$2)</f>
        <v>3</v>
      </c>
      <c r="P46" s="76">
        <f>COUNTIFS(ConsevationBuildoutTracker!$C20:$C583,"CE",ConsevationBuildoutTracker!$G20:$G583,P$2)</f>
        <v>4</v>
      </c>
      <c r="Q46" s="76">
        <f>COUNTIFS(ConsevationBuildoutTracker!$C20:$C583,"CE",ConsevationBuildoutTracker!$G20:$G583,Q$2)</f>
        <v>5</v>
      </c>
      <c r="R46" s="76">
        <f>COUNTIFS(ConsevationBuildoutTracker!$C20:$C583,"CE",ConsevationBuildoutTracker!$G20:$G583,R$2)</f>
        <v>2</v>
      </c>
      <c r="S46" s="76">
        <f>COUNTIFS(ConsevationBuildoutTracker!$C20:$C583,"CE",ConsevationBuildoutTracker!$G20:$G583,S$2)</f>
        <v>10</v>
      </c>
      <c r="T46" s="76">
        <f>COUNTIFS(ConsevationBuildoutTracker!$C20:$C583,"CE",ConsevationBuildoutTracker!$G20:$G583,T$2)</f>
        <v>4</v>
      </c>
      <c r="U46" s="76">
        <f>COUNTIFS(ConsevationBuildoutTracker!$C20:$C583,"CE",ConsevationBuildoutTracker!$G20:$G583,U$2)</f>
        <v>7</v>
      </c>
      <c r="V46" s="76">
        <f>COUNTIFS(ConsevationBuildoutTracker!$C20:$C583,"CE",ConsevationBuildoutTracker!$G20:$G583,V$2)</f>
        <v>8</v>
      </c>
      <c r="W46" s="76">
        <f>COUNTIFS(ConsevationBuildoutTracker!$C20:$C583,"CE",ConsevationBuildoutTracker!$G20:$G583,W$2)</f>
        <v>3</v>
      </c>
      <c r="X46" s="76">
        <f>COUNTIFS(ConsevationBuildoutTracker!$C20:$C583,"CE",ConsevationBuildoutTracker!$G20:$G583,X$2)</f>
        <v>5</v>
      </c>
      <c r="Y46" s="76">
        <f>COUNTIFS(ConsevationBuildoutTracker!$C20:$C583,"CE",ConsevationBuildoutTracker!$G20:$G583,Y$2)</f>
        <v>3</v>
      </c>
      <c r="Z46" s="76">
        <f>COUNTIFS(ConsevationBuildoutTracker!$C20:$C583,"CE",ConsevationBuildoutTracker!$G20:$G583,Z$2)</f>
        <v>1</v>
      </c>
      <c r="AA46" s="76">
        <f>COUNTIFS(ConsevationBuildoutTracker!$C20:$C583,"CE",ConsevationBuildoutTracker!$G20:$G583,AA$2)</f>
        <v>1</v>
      </c>
      <c r="AB46" s="76">
        <f>COUNTIFS(ConsevationBuildoutTracker!$C20:$C583,"CE",ConsevationBuildoutTracker!$G20:$G583,AB$2)</f>
        <v>3</v>
      </c>
      <c r="AC46" s="76">
        <f>COUNTIFS(ConsevationBuildoutTracker!$C20:$C583,"CE",ConsevationBuildoutTracker!$G20:$G583,AC$2)</f>
        <v>2</v>
      </c>
      <c r="AD46" s="76">
        <f>COUNTIFS(ConsevationBuildoutTracker!$C20:$C583,"CE",ConsevationBuildoutTracker!$G20:$G583,AD$2)</f>
        <v>0</v>
      </c>
      <c r="AE46" s="76">
        <f>COUNTIFS(ConsevationBuildoutTracker!$C20:$C583,"CE",ConsevationBuildoutTracker!$G20:$G583,AE$2)</f>
        <v>0</v>
      </c>
      <c r="AF46" s="76">
        <f>COUNTIFS(ConsevationBuildoutTracker!$C20:$C583,"CE",ConsevationBuildoutTracker!$G20:$G583,AF$2)</f>
        <v>0</v>
      </c>
      <c r="AG46" s="76">
        <f>COUNTIFS(ConsevationBuildoutTracker!$C20:$C583,"CE",ConsevationBuildoutTracker!$G20:$G583,AG$2)</f>
        <v>0</v>
      </c>
      <c r="AH46" s="76">
        <f>COUNTIFS(ConsevationBuildoutTracker!$C20:$C583,"CE",ConsevationBuildoutTracker!$G20:$G583,AH$2)</f>
        <v>0</v>
      </c>
      <c r="AI46" s="76">
        <f>COUNTIFS(ConsevationBuildoutTracker!$C20:$C583,"CE",ConsevationBuildoutTracker!$G20:$G583,AI$2)</f>
        <v>0</v>
      </c>
      <c r="AJ46" s="76">
        <f>COUNTIFS(ConsevationBuildoutTracker!$C20:$C583,"CE",ConsevationBuildoutTracker!$G20:$G583,AJ$2)</f>
        <v>0</v>
      </c>
      <c r="AK46" s="76">
        <f>COUNTIFS(ConsevationBuildoutTracker!$C20:$C583,"CE",ConsevationBuildoutTracker!$G20:$G583,AK$2)</f>
        <v>0</v>
      </c>
    </row>
    <row r="47" spans="2:37" s="59" customFormat="1" x14ac:dyDescent="0.25">
      <c r="B47" s="75"/>
      <c r="E47" s="59" t="s">
        <v>901</v>
      </c>
      <c r="H47" s="59" t="s">
        <v>900</v>
      </c>
      <c r="I47" s="69"/>
      <c r="J47" s="69"/>
      <c r="K47" s="69"/>
      <c r="L47" s="69"/>
      <c r="M47" s="59">
        <f>COUNTIFS(ConsevationBuildoutTracker!$W20:$W583,"&gt;0",ConsevationBuildoutTracker!$C20:$C583,"CE",ConsevationBuildoutTracker!$G20:$G583,M$2)</f>
        <v>2</v>
      </c>
      <c r="N47" s="59">
        <f>COUNTIFS(ConsevationBuildoutTracker!$W20:$W583,"&gt;0",ConsevationBuildoutTracker!$C20:$C583,"CE",ConsevationBuildoutTracker!$G20:$G583,N$2)</f>
        <v>10</v>
      </c>
      <c r="O47" s="59">
        <f>COUNTIFS(ConsevationBuildoutTracker!$W20:$W583,"&gt;0",ConsevationBuildoutTracker!$C20:$C583,"CE",ConsevationBuildoutTracker!$G20:$G583,O$2)</f>
        <v>2</v>
      </c>
      <c r="P47" s="59">
        <f>COUNTIFS(ConsevationBuildoutTracker!$W20:$W583,"&gt;0",ConsevationBuildoutTracker!$C20:$C583,"CE",ConsevationBuildoutTracker!$G20:$G583,P$2)</f>
        <v>3</v>
      </c>
      <c r="Q47" s="59">
        <f>COUNTIFS(ConsevationBuildoutTracker!$W20:$W583,"&gt;0",ConsevationBuildoutTracker!$C20:$C583,"CE",ConsevationBuildoutTracker!$G20:$G583,Q$2)</f>
        <v>3</v>
      </c>
      <c r="R47" s="59">
        <f>COUNTIFS(ConsevationBuildoutTracker!$W20:$W583,"&gt;0",ConsevationBuildoutTracker!$C20:$C583,"CE",ConsevationBuildoutTracker!$G20:$G583,R$2)</f>
        <v>2</v>
      </c>
      <c r="S47" s="59">
        <f>COUNTIFS(ConsevationBuildoutTracker!$W20:$W583,"&gt;0",ConsevationBuildoutTracker!$C20:$C583,"CE",ConsevationBuildoutTracker!$G20:$G583,S$2)</f>
        <v>7</v>
      </c>
      <c r="T47" s="59">
        <f>COUNTIFS(ConsevationBuildoutTracker!$W20:$W583,"&gt;0",ConsevationBuildoutTracker!$C20:$C583,"CE",ConsevationBuildoutTracker!$G20:$G583,T$2)</f>
        <v>4</v>
      </c>
      <c r="U47" s="59">
        <f>COUNTIFS(ConsevationBuildoutTracker!$W20:$W583,"&gt;0",ConsevationBuildoutTracker!$C20:$C583,"CE",ConsevationBuildoutTracker!$G20:$G583,U$2)</f>
        <v>5</v>
      </c>
      <c r="V47" s="59">
        <f>COUNTIFS(ConsevationBuildoutTracker!$W20:$W583,"&gt;0",ConsevationBuildoutTracker!$C20:$C583,"CE",ConsevationBuildoutTracker!$G20:$G583,V$2)</f>
        <v>6</v>
      </c>
      <c r="W47" s="59">
        <f>COUNTIFS(ConsevationBuildoutTracker!$W20:$W583,"&gt;0",ConsevationBuildoutTracker!$C20:$C583,"CE",ConsevationBuildoutTracker!$G20:$G583,W$2)</f>
        <v>3</v>
      </c>
      <c r="X47" s="59">
        <f>COUNTIFS(ConsevationBuildoutTracker!$W20:$W583,"&gt;0",ConsevationBuildoutTracker!$C20:$C583,"CE",ConsevationBuildoutTracker!$G20:$G583,X$2)</f>
        <v>5</v>
      </c>
      <c r="Y47" s="59">
        <f>COUNTIFS(ConsevationBuildoutTracker!$W20:$W583,"&gt;0",ConsevationBuildoutTracker!$C20:$C583,"CE",ConsevationBuildoutTracker!$G20:$G583,Y$2)</f>
        <v>2</v>
      </c>
      <c r="Z47" s="59">
        <f>COUNTIFS(ConsevationBuildoutTracker!$W20:$W583,"&gt;0",ConsevationBuildoutTracker!$C20:$C583,"CE",ConsevationBuildoutTracker!$G20:$G583,Z$2)</f>
        <v>0</v>
      </c>
      <c r="AA47" s="59">
        <f>COUNTIFS(ConsevationBuildoutTracker!$W20:$W583,"&gt;0",ConsevationBuildoutTracker!$C20:$C583,"CE",ConsevationBuildoutTracker!$G20:$G583,AA$2)</f>
        <v>0</v>
      </c>
      <c r="AB47" s="59">
        <f>COUNTIFS(ConsevationBuildoutTracker!$W20:$W583,"&gt;0",ConsevationBuildoutTracker!$C20:$C583,"CE",ConsevationBuildoutTracker!$G20:$G583,AB$2)</f>
        <v>3</v>
      </c>
      <c r="AC47" s="59">
        <f>COUNTIFS(ConsevationBuildoutTracker!$W20:$W583,"&gt;0",ConsevationBuildoutTracker!$C20:$C583,"CE",ConsevationBuildoutTracker!$G20:$G583,AC$2)</f>
        <v>2</v>
      </c>
      <c r="AD47" s="59">
        <f>COUNTIFS(ConsevationBuildoutTracker!$W20:$W583,"&gt;0",ConsevationBuildoutTracker!$C20:$C583,"CE",ConsevationBuildoutTracker!$G20:$G583,AD$2)</f>
        <v>0</v>
      </c>
      <c r="AE47" s="59">
        <f>COUNTIFS(ConsevationBuildoutTracker!$W20:$W583,"&gt;0",ConsevationBuildoutTracker!$C20:$C583,"CE",ConsevationBuildoutTracker!$G20:$G583,AE$2)</f>
        <v>0</v>
      </c>
      <c r="AF47" s="59">
        <f>COUNTIFS(ConsevationBuildoutTracker!$W20:$W583,"&gt;0",ConsevationBuildoutTracker!$C20:$C583,"CE",ConsevationBuildoutTracker!$G20:$G583,AF$2)</f>
        <v>0</v>
      </c>
      <c r="AG47" s="59">
        <f>COUNTIFS(ConsevationBuildoutTracker!$W20:$W583,"&gt;0",ConsevationBuildoutTracker!$C20:$C583,"CE",ConsevationBuildoutTracker!$G20:$G583,AG$2)</f>
        <v>0</v>
      </c>
      <c r="AH47" s="59">
        <f>COUNTIFS(ConsevationBuildoutTracker!$W20:$W583,"&gt;0",ConsevationBuildoutTracker!$C20:$C583,"CE",ConsevationBuildoutTracker!$G20:$G583,AH$2)</f>
        <v>0</v>
      </c>
      <c r="AI47" s="59">
        <f>COUNTIFS(ConsevationBuildoutTracker!$W20:$W583,"&gt;0",ConsevationBuildoutTracker!$C20:$C583,"CE",ConsevationBuildoutTracker!$G20:$G583,AI$2)</f>
        <v>0</v>
      </c>
      <c r="AJ47" s="59">
        <f>COUNTIFS(ConsevationBuildoutTracker!$W20:$W583,"&gt;0",ConsevationBuildoutTracker!$C20:$C583,"CE",ConsevationBuildoutTracker!$G20:$G583,AJ$2)</f>
        <v>0</v>
      </c>
      <c r="AK47" s="59">
        <f>COUNTIFS(ConsevationBuildoutTracker!$W20:$W583,"&gt;0",ConsevationBuildoutTracker!$C20:$C583,"CE",ConsevationBuildoutTracker!$G20:$G583,AK$2)</f>
        <v>0</v>
      </c>
    </row>
    <row r="48" spans="2:37" s="59" customFormat="1" x14ac:dyDescent="0.25">
      <c r="B48" s="75"/>
      <c r="E48" s="59" t="s">
        <v>902</v>
      </c>
      <c r="H48" s="59" t="s">
        <v>900</v>
      </c>
      <c r="I48" s="69"/>
      <c r="J48" s="69"/>
      <c r="K48" s="69"/>
      <c r="L48" s="69"/>
      <c r="M48" s="69">
        <f>COUNTIFS(ConsevationBuildoutTracker!$X20:$X583,"&gt;0",ConsevationBuildoutTracker!$C20:$C583,"CE",ConsevationBuildoutTracker!$G20:$G583,M$2)</f>
        <v>4</v>
      </c>
      <c r="N48" s="69">
        <f>COUNTIFS(ConsevationBuildoutTracker!$X20:$X583,"&gt;0",ConsevationBuildoutTracker!$C20:$C583,"CE",ConsevationBuildoutTracker!$G20:$G583,N$2)</f>
        <v>6</v>
      </c>
      <c r="O48" s="69">
        <f>COUNTIFS(ConsevationBuildoutTracker!$X20:$X583,"&gt;0",ConsevationBuildoutTracker!$C20:$C583,"CE",ConsevationBuildoutTracker!$G20:$G583,O$2)</f>
        <v>1</v>
      </c>
      <c r="P48" s="69">
        <f>COUNTIFS(ConsevationBuildoutTracker!$X20:$X583,"&gt;0",ConsevationBuildoutTracker!$C20:$C583,"CE",ConsevationBuildoutTracker!$G20:$G583,P$2)</f>
        <v>1</v>
      </c>
      <c r="Q48" s="69">
        <f>COUNTIFS(ConsevationBuildoutTracker!$X20:$X583,"&gt;0",ConsevationBuildoutTracker!$C20:$C583,"CE",ConsevationBuildoutTracker!$G20:$G583,Q$2)</f>
        <v>0</v>
      </c>
      <c r="R48" s="69">
        <f>COUNTIFS(ConsevationBuildoutTracker!$X20:$X583,"&gt;0",ConsevationBuildoutTracker!$C20:$C583,"CE",ConsevationBuildoutTracker!$G20:$G583,R$2)</f>
        <v>0</v>
      </c>
      <c r="S48" s="69">
        <f>COUNTIFS(ConsevationBuildoutTracker!$X20:$X583,"&gt;0",ConsevationBuildoutTracker!$C20:$C583,"CE",ConsevationBuildoutTracker!$G20:$G583,S$2)</f>
        <v>1</v>
      </c>
      <c r="T48" s="69">
        <f>COUNTIFS(ConsevationBuildoutTracker!$X20:$X583,"&gt;0",ConsevationBuildoutTracker!$C20:$C583,"CE",ConsevationBuildoutTracker!$G20:$G583,T$2)</f>
        <v>1</v>
      </c>
      <c r="U48" s="69">
        <f>COUNTIFS(ConsevationBuildoutTracker!$X20:$X583,"&gt;0",ConsevationBuildoutTracker!$C20:$C583,"CE",ConsevationBuildoutTracker!$G20:$G583,U$2)</f>
        <v>1</v>
      </c>
      <c r="V48" s="69">
        <f>COUNTIFS(ConsevationBuildoutTracker!$X20:$X583,"&gt;0",ConsevationBuildoutTracker!$C20:$C583,"CE",ConsevationBuildoutTracker!$G20:$G583,V$2)</f>
        <v>1</v>
      </c>
      <c r="W48" s="69">
        <f>COUNTIFS(ConsevationBuildoutTracker!$X20:$X583,"&gt;0",ConsevationBuildoutTracker!$C20:$C583,"CE",ConsevationBuildoutTracker!$G20:$G583,W$2)</f>
        <v>2</v>
      </c>
      <c r="X48" s="69">
        <f>COUNTIFS(ConsevationBuildoutTracker!$X20:$X583,"&gt;0",ConsevationBuildoutTracker!$C20:$C583,"CE",ConsevationBuildoutTracker!$G20:$G583,X$2)</f>
        <v>1</v>
      </c>
      <c r="Y48" s="69">
        <f>COUNTIFS(ConsevationBuildoutTracker!$X20:$X583,"&gt;0",ConsevationBuildoutTracker!$C20:$C583,"CE",ConsevationBuildoutTracker!$G20:$G583,Y$2)</f>
        <v>1</v>
      </c>
      <c r="Z48" s="69">
        <f>COUNTIFS(ConsevationBuildoutTracker!$X20:$X583,"&gt;0",ConsevationBuildoutTracker!$C20:$C583,"CE",ConsevationBuildoutTracker!$G20:$G583,Z$2)</f>
        <v>0</v>
      </c>
      <c r="AA48" s="69">
        <f>COUNTIFS(ConsevationBuildoutTracker!$X20:$X583,"&gt;0",ConsevationBuildoutTracker!$C20:$C583,"CE",ConsevationBuildoutTracker!$G20:$G583,AA$2)</f>
        <v>1</v>
      </c>
      <c r="AB48" s="69">
        <f>COUNTIFS(ConsevationBuildoutTracker!$X20:$X583,"&gt;0",ConsevationBuildoutTracker!$C20:$C583,"CE",ConsevationBuildoutTracker!$G20:$G583,AB$2)</f>
        <v>2</v>
      </c>
      <c r="AC48" s="69">
        <f>COUNTIFS(ConsevationBuildoutTracker!$X20:$X583,"&gt;0",ConsevationBuildoutTracker!$C20:$C583,"CE",ConsevationBuildoutTracker!$G20:$G583,AC$2)</f>
        <v>0</v>
      </c>
      <c r="AD48" s="69">
        <f>COUNTIFS(ConsevationBuildoutTracker!$X20:$X583,"&gt;0",ConsevationBuildoutTracker!$C20:$C583,"CE",ConsevationBuildoutTracker!$G20:$G583,AD$2)</f>
        <v>0</v>
      </c>
      <c r="AE48" s="69">
        <f>COUNTIFS(ConsevationBuildoutTracker!$X20:$X583,"&gt;0",ConsevationBuildoutTracker!$C20:$C583,"CE",ConsevationBuildoutTracker!$G20:$G583,AE$2)</f>
        <v>0</v>
      </c>
      <c r="AF48" s="69">
        <f>COUNTIFS(ConsevationBuildoutTracker!$X20:$X583,"&gt;0",ConsevationBuildoutTracker!$C20:$C583,"CE",ConsevationBuildoutTracker!$G20:$G583,AF$2)</f>
        <v>0</v>
      </c>
      <c r="AG48" s="69">
        <f>COUNTIFS(ConsevationBuildoutTracker!$X20:$X583,"&gt;0",ConsevationBuildoutTracker!$C20:$C583,"CE",ConsevationBuildoutTracker!$G20:$G583,AG$2)</f>
        <v>0</v>
      </c>
      <c r="AH48" s="69">
        <f>COUNTIFS(ConsevationBuildoutTracker!$X20:$X583,"&gt;0",ConsevationBuildoutTracker!$C20:$C583,"CE",ConsevationBuildoutTracker!$G20:$G583,AH$2)</f>
        <v>0</v>
      </c>
      <c r="AI48" s="69">
        <f>COUNTIFS(ConsevationBuildoutTracker!$X20:$X583,"&gt;0",ConsevationBuildoutTracker!$C20:$C583,"CE",ConsevationBuildoutTracker!$G20:$G583,AI$2)</f>
        <v>0</v>
      </c>
      <c r="AJ48" s="69">
        <f>COUNTIFS(ConsevationBuildoutTracker!$X20:$X583,"&gt;0",ConsevationBuildoutTracker!$C20:$C583,"CE",ConsevationBuildoutTracker!$G20:$G583,AJ$2)</f>
        <v>0</v>
      </c>
      <c r="AK48" s="69">
        <f>COUNTIFS(ConsevationBuildoutTracker!$X20:$X583,"&gt;0",ConsevationBuildoutTracker!$C20:$C583,"CE",ConsevationBuildoutTracker!$G20:$G583,AK$2)</f>
        <v>0</v>
      </c>
    </row>
    <row r="49" spans="2:37" s="59" customFormat="1" x14ac:dyDescent="0.25">
      <c r="B49" s="75"/>
      <c r="E49" s="59" t="s">
        <v>46</v>
      </c>
      <c r="H49" s="59" t="s">
        <v>900</v>
      </c>
      <c r="I49" s="69"/>
      <c r="J49" s="69"/>
      <c r="K49" s="69"/>
      <c r="L49" s="69"/>
      <c r="M49" s="69">
        <f>COUNTIFS(ConsevationBuildoutTracker!$Y20:$Y583,"&gt;0",ConsevationBuildoutTracker!$C20:$C583,"CE",ConsevationBuildoutTracker!$G20:$G583,M$2)</f>
        <v>4</v>
      </c>
      <c r="N49" s="69">
        <f>COUNTIFS(ConsevationBuildoutTracker!$Y20:$Y583,"&gt;0",ConsevationBuildoutTracker!$C20:$C583,"CE",ConsevationBuildoutTracker!$G20:$G583,N$2)</f>
        <v>8</v>
      </c>
      <c r="O49" s="69">
        <f>COUNTIFS(ConsevationBuildoutTracker!$Y20:$Y583,"&gt;0",ConsevationBuildoutTracker!$C20:$C583,"CE",ConsevationBuildoutTracker!$G20:$G583,O$2)</f>
        <v>1</v>
      </c>
      <c r="P49" s="69">
        <f>COUNTIFS(ConsevationBuildoutTracker!$Y20:$Y583,"&gt;0",ConsevationBuildoutTracker!$C20:$C583,"CE",ConsevationBuildoutTracker!$G20:$G583,P$2)</f>
        <v>0</v>
      </c>
      <c r="Q49" s="69">
        <f>COUNTIFS(ConsevationBuildoutTracker!$Y20:$Y583,"&gt;0",ConsevationBuildoutTracker!$C20:$C583,"CE",ConsevationBuildoutTracker!$G20:$G583,Q$2)</f>
        <v>0</v>
      </c>
      <c r="R49" s="69">
        <f>COUNTIFS(ConsevationBuildoutTracker!$Y20:$Y583,"&gt;0",ConsevationBuildoutTracker!$C20:$C583,"CE",ConsevationBuildoutTracker!$G20:$G583,R$2)</f>
        <v>0</v>
      </c>
      <c r="S49" s="69">
        <f>COUNTIFS(ConsevationBuildoutTracker!$Y20:$Y583,"&gt;0",ConsevationBuildoutTracker!$C20:$C583,"CE",ConsevationBuildoutTracker!$G20:$G583,S$2)</f>
        <v>1</v>
      </c>
      <c r="T49" s="69">
        <f>COUNTIFS(ConsevationBuildoutTracker!$Y20:$Y583,"&gt;0",ConsevationBuildoutTracker!$C20:$C583,"CE",ConsevationBuildoutTracker!$G20:$G583,T$2)</f>
        <v>0</v>
      </c>
      <c r="U49" s="69">
        <f>COUNTIFS(ConsevationBuildoutTracker!$Y20:$Y583,"&gt;0",ConsevationBuildoutTracker!$C20:$C583,"CE",ConsevationBuildoutTracker!$G20:$G583,U$2)</f>
        <v>1</v>
      </c>
      <c r="V49" s="69">
        <f>COUNTIFS(ConsevationBuildoutTracker!$Y20:$Y583,"&gt;0",ConsevationBuildoutTracker!$C20:$C583,"CE",ConsevationBuildoutTracker!$G20:$G583,V$2)</f>
        <v>5</v>
      </c>
      <c r="W49" s="69">
        <f>COUNTIFS(ConsevationBuildoutTracker!$Y20:$Y583,"&gt;0",ConsevationBuildoutTracker!$C20:$C583,"CE",ConsevationBuildoutTracker!$G20:$G583,W$2)</f>
        <v>0</v>
      </c>
      <c r="X49" s="69">
        <f>COUNTIFS(ConsevationBuildoutTracker!$Y20:$Y583,"&gt;0",ConsevationBuildoutTracker!$C20:$C583,"CE",ConsevationBuildoutTracker!$G20:$G583,X$2)</f>
        <v>0</v>
      </c>
      <c r="Y49" s="69">
        <f>COUNTIFS(ConsevationBuildoutTracker!$Y20:$Y583,"&gt;0",ConsevationBuildoutTracker!$C20:$C583,"CE",ConsevationBuildoutTracker!$G20:$G583,Y$2)</f>
        <v>2</v>
      </c>
      <c r="Z49" s="69">
        <f>COUNTIFS(ConsevationBuildoutTracker!$Y20:$Y583,"&gt;0",ConsevationBuildoutTracker!$C20:$C583,"CE",ConsevationBuildoutTracker!$G20:$G583,Z$2)</f>
        <v>0</v>
      </c>
      <c r="AA49" s="69">
        <f>COUNTIFS(ConsevationBuildoutTracker!$Y20:$Y583,"&gt;0",ConsevationBuildoutTracker!$C20:$C583,"CE",ConsevationBuildoutTracker!$G20:$G583,AA$2)</f>
        <v>0</v>
      </c>
      <c r="AB49" s="69">
        <f>COUNTIFS(ConsevationBuildoutTracker!$Y20:$Y583,"&gt;0",ConsevationBuildoutTracker!$C20:$C583,"CE",ConsevationBuildoutTracker!$G20:$G583,AB$2)</f>
        <v>1</v>
      </c>
      <c r="AC49" s="69">
        <f>COUNTIFS(ConsevationBuildoutTracker!$Y20:$Y583,"&gt;0",ConsevationBuildoutTracker!$C20:$C583,"CE",ConsevationBuildoutTracker!$G20:$G583,AC$2)</f>
        <v>1</v>
      </c>
      <c r="AD49" s="69">
        <f>COUNTIFS(ConsevationBuildoutTracker!$Y20:$Y583,"&gt;0",ConsevationBuildoutTracker!$C20:$C583,"CE",ConsevationBuildoutTracker!$G20:$G583,AD$2)</f>
        <v>0</v>
      </c>
      <c r="AE49" s="69">
        <f>COUNTIFS(ConsevationBuildoutTracker!$Y20:$Y583,"&gt;0",ConsevationBuildoutTracker!$C20:$C583,"CE",ConsevationBuildoutTracker!$G20:$G583,AE$2)</f>
        <v>0</v>
      </c>
      <c r="AF49" s="69">
        <f>COUNTIFS(ConsevationBuildoutTracker!$Y20:$Y583,"&gt;0",ConsevationBuildoutTracker!$C20:$C583,"CE",ConsevationBuildoutTracker!$G20:$G583,AF$2)</f>
        <v>0</v>
      </c>
      <c r="AG49" s="69">
        <f>COUNTIFS(ConsevationBuildoutTracker!$Y20:$Y583,"&gt;0",ConsevationBuildoutTracker!$C20:$C583,"CE",ConsevationBuildoutTracker!$G20:$G583,AG$2)</f>
        <v>0</v>
      </c>
      <c r="AH49" s="69">
        <f>COUNTIFS(ConsevationBuildoutTracker!$Y20:$Y583,"&gt;0",ConsevationBuildoutTracker!$C20:$C583,"CE",ConsevationBuildoutTracker!$G20:$G583,AH$2)</f>
        <v>0</v>
      </c>
      <c r="AI49" s="69">
        <f>COUNTIFS(ConsevationBuildoutTracker!$Y20:$Y583,"&gt;0",ConsevationBuildoutTracker!$C20:$C583,"CE",ConsevationBuildoutTracker!$G20:$G583,AI$2)</f>
        <v>0</v>
      </c>
      <c r="AJ49" s="69">
        <f>COUNTIFS(ConsevationBuildoutTracker!$Y20:$Y583,"&gt;0",ConsevationBuildoutTracker!$C20:$C583,"CE",ConsevationBuildoutTracker!$G20:$G583,AJ$2)</f>
        <v>0</v>
      </c>
      <c r="AK49" s="69">
        <f>COUNTIFS(ConsevationBuildoutTracker!$Y20:$Y583,"&gt;0",ConsevationBuildoutTracker!$C20:$C583,"CE",ConsevationBuildoutTracker!$G20:$G583,AK$2)</f>
        <v>0</v>
      </c>
    </row>
    <row r="50" spans="2:37" s="74" customFormat="1" x14ac:dyDescent="0.25">
      <c r="B50" s="207"/>
      <c r="D50" s="74" t="s">
        <v>903</v>
      </c>
      <c r="H50" t="s">
        <v>904</v>
      </c>
      <c r="I50" s="76"/>
      <c r="J50" s="76"/>
      <c r="K50" s="76"/>
      <c r="L50" s="76"/>
      <c r="M50" s="76">
        <f>SUMIFS(ConsevationBuildoutTracker!$V20:$V583,ConsevationBuildoutTracker!$C20:$C583,"CE",ConsevationBuildoutTracker!$G20:$G583,M$2)+SUMIFS(ConsevationBuildoutTracker!$V20:$V583,ConsevationBuildoutTracker!$C20:$C583,"PPT",ConsevationBuildoutTracker!$G20:$G583,M$2)</f>
        <v>507</v>
      </c>
      <c r="N50" s="76">
        <f>SUMIFS(ConsevationBuildoutTracker!$V20:$V583,ConsevationBuildoutTracker!$C20:$C583,"CE",ConsevationBuildoutTracker!$G20:$G583,N$2)+SUMIFS(ConsevationBuildoutTracker!$V20:$V583,ConsevationBuildoutTracker!$C20:$C583,"PPT",ConsevationBuildoutTracker!$G20:$G583,N$2)</f>
        <v>2463.7800000000002</v>
      </c>
      <c r="O50" s="76">
        <f>SUMIFS(ConsevationBuildoutTracker!$V20:$V583,ConsevationBuildoutTracker!$C20:$C583,"CE",ConsevationBuildoutTracker!$G20:$G583,O$2)+SUMIFS(ConsevationBuildoutTracker!$V20:$V583,ConsevationBuildoutTracker!$C20:$C583,"PPT",ConsevationBuildoutTracker!$G20:$G583,O$2)</f>
        <v>80.91</v>
      </c>
      <c r="P50" s="76">
        <f>SUMIFS(ConsevationBuildoutTracker!$V20:$V583,ConsevationBuildoutTracker!$C20:$C583,"CE",ConsevationBuildoutTracker!$G20:$G583,P$2)+SUMIFS(ConsevationBuildoutTracker!$V20:$V583,ConsevationBuildoutTracker!$C20:$C583,"PPT",ConsevationBuildoutTracker!$G20:$G583,P$2)</f>
        <v>81.539999999999992</v>
      </c>
      <c r="Q50" s="76">
        <f>SUMIFS(ConsevationBuildoutTracker!$V20:$V583,ConsevationBuildoutTracker!$C20:$C583,"CE",ConsevationBuildoutTracker!$G20:$G583,Q$2)+SUMIFS(ConsevationBuildoutTracker!$V20:$V583,ConsevationBuildoutTracker!$C20:$C583,"PPT",ConsevationBuildoutTracker!$G20:$G583,Q$2)</f>
        <v>125.47999999999999</v>
      </c>
      <c r="R50" s="76">
        <f>SUMIFS(ConsevationBuildoutTracker!$V20:$V583,ConsevationBuildoutTracker!$C20:$C583,"CE",ConsevationBuildoutTracker!$G20:$G583,R$2)+SUMIFS(ConsevationBuildoutTracker!$V20:$V583,ConsevationBuildoutTracker!$C20:$C583,"PPT",ConsevationBuildoutTracker!$G20:$G583,R$2)</f>
        <v>21.29</v>
      </c>
      <c r="S50" s="76">
        <f>SUMIFS(ConsevationBuildoutTracker!$V20:$V583,ConsevationBuildoutTracker!$C20:$C583,"CE",ConsevationBuildoutTracker!$G20:$G583,S$2)+SUMIFS(ConsevationBuildoutTracker!$V20:$V583,ConsevationBuildoutTracker!$C20:$C583,"PPT",ConsevationBuildoutTracker!$G20:$G583,S$2)</f>
        <v>473.79999999999995</v>
      </c>
      <c r="T50" s="76">
        <f>SUMIFS(ConsevationBuildoutTracker!$V20:$V583,ConsevationBuildoutTracker!$C20:$C583,"CE",ConsevationBuildoutTracker!$G20:$G583,T$2)+SUMIFS(ConsevationBuildoutTracker!$V20:$V583,ConsevationBuildoutTracker!$C20:$C583,"PPT",ConsevationBuildoutTracker!$G20:$G583,T$2)</f>
        <v>259.38</v>
      </c>
      <c r="U50" s="76">
        <f>SUMIFS(ConsevationBuildoutTracker!$V20:$V583,ConsevationBuildoutTracker!$C20:$C583,"CE",ConsevationBuildoutTracker!$G20:$G583,U$2)+SUMIFS(ConsevationBuildoutTracker!$V20:$V583,ConsevationBuildoutTracker!$C20:$C583,"PPT",ConsevationBuildoutTracker!$G20:$G583,U$2)</f>
        <v>322.08</v>
      </c>
      <c r="V50" s="76">
        <f>SUMIFS(ConsevationBuildoutTracker!$V20:$V583,ConsevationBuildoutTracker!$C20:$C583,"CE",ConsevationBuildoutTracker!$G20:$G583,V$2)+SUMIFS(ConsevationBuildoutTracker!$V20:$V583,ConsevationBuildoutTracker!$C20:$C583,"PPT",ConsevationBuildoutTracker!$G20:$G583,V$2)</f>
        <v>425.3</v>
      </c>
      <c r="W50" s="76">
        <f>SUMIFS(ConsevationBuildoutTracker!$V20:$V583,ConsevationBuildoutTracker!$C20:$C583,"CE",ConsevationBuildoutTracker!$G20:$G583,W$2)+SUMIFS(ConsevationBuildoutTracker!$V20:$V583,ConsevationBuildoutTracker!$C20:$C583,"PPT",ConsevationBuildoutTracker!$G20:$G583,W$2)</f>
        <v>834.51</v>
      </c>
      <c r="X50" s="76">
        <f>SUMIFS(ConsevationBuildoutTracker!$V20:$V583,ConsevationBuildoutTracker!$C20:$C583,"CE",ConsevationBuildoutTracker!$G20:$G583,X$2)+SUMIFS(ConsevationBuildoutTracker!$V20:$V583,ConsevationBuildoutTracker!$C20:$C583,"PPT",ConsevationBuildoutTracker!$G20:$G583,X$2)</f>
        <v>113.4</v>
      </c>
      <c r="Y50" s="76">
        <f>SUMIFS(ConsevationBuildoutTracker!$V20:$V583,ConsevationBuildoutTracker!$C20:$C583,"CE",ConsevationBuildoutTracker!$G20:$G583,Y$2)+SUMIFS(ConsevationBuildoutTracker!$V20:$V583,ConsevationBuildoutTracker!$C20:$C583,"PPT",ConsevationBuildoutTracker!$G20:$G583,Y$2)</f>
        <v>191</v>
      </c>
      <c r="Z50" s="76">
        <f>SUMIFS(ConsevationBuildoutTracker!$V20:$V583,ConsevationBuildoutTracker!$C20:$C583,"CE",ConsevationBuildoutTracker!$G20:$G583,Z$2)+SUMIFS(ConsevationBuildoutTracker!$V20:$V583,ConsevationBuildoutTracker!$C20:$C583,"PPT",ConsevationBuildoutTracker!$G20:$G583,Z$2)</f>
        <v>1.2529999999999999</v>
      </c>
      <c r="AA50" s="76">
        <f>SUMIFS(ConsevationBuildoutTracker!$V20:$V583,ConsevationBuildoutTracker!$C20:$C583,"CE",ConsevationBuildoutTracker!$G20:$G583,AA$2)+SUMIFS(ConsevationBuildoutTracker!$V20:$V583,ConsevationBuildoutTracker!$C20:$C583,"PPT",ConsevationBuildoutTracker!$G20:$G583,AA$2)</f>
        <v>40.14</v>
      </c>
      <c r="AB50" s="76">
        <f>SUMIFS(ConsevationBuildoutTracker!$V20:$V583,ConsevationBuildoutTracker!$C20:$C583,"CE",ConsevationBuildoutTracker!$G20:$G583,AB$2)+SUMIFS(ConsevationBuildoutTracker!$V20:$V583,ConsevationBuildoutTracker!$C20:$C583,"PPT",ConsevationBuildoutTracker!$G20:$G583,AB$2)</f>
        <v>247.75</v>
      </c>
      <c r="AC50" s="76">
        <f>SUMIFS(ConsevationBuildoutTracker!$V20:$V583,ConsevationBuildoutTracker!$C20:$C583,"CE",ConsevationBuildoutTracker!$G20:$G583,AC$2)+SUMIFS(ConsevationBuildoutTracker!$V20:$V583,ConsevationBuildoutTracker!$C20:$C583,"PPT",ConsevationBuildoutTracker!$G20:$G583,AC$2)</f>
        <v>89.22</v>
      </c>
      <c r="AD50" s="76">
        <f>SUMIFS(ConsevationBuildoutTracker!$V20:$V583,ConsevationBuildoutTracker!$C20:$C583,"CE",ConsevationBuildoutTracker!$G20:$G583,AD$2)+SUMIFS(ConsevationBuildoutTracker!$V20:$V583,ConsevationBuildoutTracker!$C20:$C583,"PPT",ConsevationBuildoutTracker!$G20:$G583,AD$2)</f>
        <v>0</v>
      </c>
      <c r="AE50" s="76">
        <f>SUMIFS(ConsevationBuildoutTracker!$V20:$V583,ConsevationBuildoutTracker!$C20:$C583,"CE",ConsevationBuildoutTracker!$G20:$G583,AE$2)+SUMIFS(ConsevationBuildoutTracker!$V20:$V583,ConsevationBuildoutTracker!$C20:$C583,"PPT",ConsevationBuildoutTracker!$G20:$G583,AE$2)</f>
        <v>0</v>
      </c>
      <c r="AF50" s="76">
        <f>SUMIFS(ConsevationBuildoutTracker!$V20:$V583,ConsevationBuildoutTracker!$C20:$C583,"CE",ConsevationBuildoutTracker!$G20:$G583,AF$2)+SUMIFS(ConsevationBuildoutTracker!$V20:$V583,ConsevationBuildoutTracker!$C20:$C583,"PPT",ConsevationBuildoutTracker!$G20:$G583,AF$2)</f>
        <v>0</v>
      </c>
      <c r="AG50" s="76">
        <f>SUMIFS(ConsevationBuildoutTracker!$V20:$V583,ConsevationBuildoutTracker!$C20:$C583,"CE",ConsevationBuildoutTracker!$G20:$G583,AG$2)+SUMIFS(ConsevationBuildoutTracker!$V20:$V583,ConsevationBuildoutTracker!$C20:$C583,"PPT",ConsevationBuildoutTracker!$G20:$G583,AG$2)</f>
        <v>0</v>
      </c>
      <c r="AH50" s="76">
        <f>SUMIFS(ConsevationBuildoutTracker!$V20:$V583,ConsevationBuildoutTracker!$C20:$C583,"CE",ConsevationBuildoutTracker!$G20:$G583,AH$2)+SUMIFS(ConsevationBuildoutTracker!$V20:$V583,ConsevationBuildoutTracker!$C20:$C583,"PPT",ConsevationBuildoutTracker!$G20:$G583,AH$2)</f>
        <v>0</v>
      </c>
      <c r="AI50" s="76">
        <f>SUMIFS(ConsevationBuildoutTracker!$V20:$V583,ConsevationBuildoutTracker!$C20:$C583,"CE",ConsevationBuildoutTracker!$G20:$G583,AI$2)+SUMIFS(ConsevationBuildoutTracker!$V20:$V583,ConsevationBuildoutTracker!$C20:$C583,"PPT",ConsevationBuildoutTracker!$G20:$G583,AI$2)</f>
        <v>0</v>
      </c>
      <c r="AJ50" s="76">
        <f>SUMIFS(ConsevationBuildoutTracker!$V20:$V583,ConsevationBuildoutTracker!$C20:$C583,"CE",ConsevationBuildoutTracker!$G20:$G583,AJ$2)+SUMIFS(ConsevationBuildoutTracker!$V20:$V583,ConsevationBuildoutTracker!$C20:$C583,"PPT",ConsevationBuildoutTracker!$G20:$G583,AJ$2)</f>
        <v>0</v>
      </c>
      <c r="AK50" s="76">
        <f>SUMIFS(ConsevationBuildoutTracker!$V20:$V583,ConsevationBuildoutTracker!$C20:$C583,"CE",ConsevationBuildoutTracker!$G20:$G583,AK$2)+SUMIFS(ConsevationBuildoutTracker!$V20:$V583,ConsevationBuildoutTracker!$C20:$C583,"PPT",ConsevationBuildoutTracker!$G20:$G583,AK$2)</f>
        <v>0</v>
      </c>
    </row>
    <row r="51" spans="2:37" s="59" customFormat="1" x14ac:dyDescent="0.25">
      <c r="B51" s="75"/>
      <c r="E51" s="59" t="s">
        <v>901</v>
      </c>
      <c r="H51" t="s">
        <v>904</v>
      </c>
      <c r="I51" s="69"/>
      <c r="J51" s="69"/>
      <c r="K51" s="69"/>
      <c r="L51" s="69"/>
      <c r="M51" s="69">
        <f>SUMIFS(ConsevationBuildoutTracker!$W20:$W583,ConsevationBuildoutTracker!$C20:$C583,"CE",ConsevationBuildoutTracker!$G20:$G583,M$2)+SUMIFS(ConsevationBuildoutTracker!$W20:$W583,ConsevationBuildoutTracker!$C20:$C583,"PPT",ConsevationBuildoutTracker!$G20:$G583,M$2)</f>
        <v>123</v>
      </c>
      <c r="N51" s="69">
        <f>SUMIFS(ConsevationBuildoutTracker!$W20:$W583,ConsevationBuildoutTracker!$C20:$C583,"CE",ConsevationBuildoutTracker!$G20:$G583,N$2)+SUMIFS(ConsevationBuildoutTracker!$W20:$W583,ConsevationBuildoutTracker!$C20:$C583,"PPT",ConsevationBuildoutTracker!$G20:$G583,N$2)</f>
        <v>881.21</v>
      </c>
      <c r="O51" s="69">
        <f>SUMIFS(ConsevationBuildoutTracker!$W20:$W583,ConsevationBuildoutTracker!$C20:$C583,"CE",ConsevationBuildoutTracker!$G20:$G583,O$2)+SUMIFS(ConsevationBuildoutTracker!$W20:$W583,ConsevationBuildoutTracker!$C20:$C583,"PPT",ConsevationBuildoutTracker!$G20:$G583,O$2)</f>
        <v>72.11</v>
      </c>
      <c r="P51" s="69">
        <f>SUMIFS(ConsevationBuildoutTracker!$W20:$W583,ConsevationBuildoutTracker!$C20:$C583,"CE",ConsevationBuildoutTracker!$G20:$G583,P$2)+SUMIFS(ConsevationBuildoutTracker!$W20:$W583,ConsevationBuildoutTracker!$C20:$C583,"PPT",ConsevationBuildoutTracker!$G20:$G583,P$2)</f>
        <v>46.56</v>
      </c>
      <c r="Q51" s="69">
        <f>SUMIFS(ConsevationBuildoutTracker!$W20:$W583,ConsevationBuildoutTracker!$C20:$C583,"CE",ConsevationBuildoutTracker!$G20:$G583,Q$2)+SUMIFS(ConsevationBuildoutTracker!$W20:$W583,ConsevationBuildoutTracker!$C20:$C583,"PPT",ConsevationBuildoutTracker!$G20:$G583,Q$2)</f>
        <v>43.63</v>
      </c>
      <c r="R51" s="69">
        <f>SUMIFS(ConsevationBuildoutTracker!$W20:$W583,ConsevationBuildoutTracker!$C20:$C583,"CE",ConsevationBuildoutTracker!$G20:$G583,R$2)+SUMIFS(ConsevationBuildoutTracker!$W20:$W583,ConsevationBuildoutTracker!$C20:$C583,"PPT",ConsevationBuildoutTracker!$G20:$G583,R$2)</f>
        <v>21.29</v>
      </c>
      <c r="S51" s="69">
        <f>SUMIFS(ConsevationBuildoutTracker!$W20:$W583,ConsevationBuildoutTracker!$C20:$C583,"CE",ConsevationBuildoutTracker!$G20:$G583,S$2)+SUMIFS(ConsevationBuildoutTracker!$W20:$W583,ConsevationBuildoutTracker!$C20:$C583,"PPT",ConsevationBuildoutTracker!$G20:$G583,S$2)</f>
        <v>376.28</v>
      </c>
      <c r="T51" s="69">
        <f>SUMIFS(ConsevationBuildoutTracker!$W20:$W583,ConsevationBuildoutTracker!$C20:$C583,"CE",ConsevationBuildoutTracker!$G20:$G583,T$2)+SUMIFS(ConsevationBuildoutTracker!$W20:$W583,ConsevationBuildoutTracker!$C20:$C583,"PPT",ConsevationBuildoutTracker!$G20:$G583,T$2)</f>
        <v>249.22000000000003</v>
      </c>
      <c r="U51" s="69">
        <f>SUMIFS(ConsevationBuildoutTracker!$W20:$W583,ConsevationBuildoutTracker!$C20:$C583,"CE",ConsevationBuildoutTracker!$G20:$G583,U$2)+SUMIFS(ConsevationBuildoutTracker!$W20:$W583,ConsevationBuildoutTracker!$C20:$C583,"PPT",ConsevationBuildoutTracker!$G20:$G583,U$2)</f>
        <v>248.14000000000001</v>
      </c>
      <c r="V51" s="69">
        <f>SUMIFS(ConsevationBuildoutTracker!$W20:$W583,ConsevationBuildoutTracker!$C20:$C583,"CE",ConsevationBuildoutTracker!$G20:$G583,V$2)+SUMIFS(ConsevationBuildoutTracker!$W20:$W583,ConsevationBuildoutTracker!$C20:$C583,"PPT",ConsevationBuildoutTracker!$G20:$G583,V$2)</f>
        <v>119.45</v>
      </c>
      <c r="W51" s="69">
        <f>SUMIFS(ConsevationBuildoutTracker!$W20:$W583,ConsevationBuildoutTracker!$C20:$C583,"CE",ConsevationBuildoutTracker!$G20:$G583,W$2)+SUMIFS(ConsevationBuildoutTracker!$W20:$W583,ConsevationBuildoutTracker!$C20:$C583,"PPT",ConsevationBuildoutTracker!$G20:$G583,W$2)</f>
        <v>141.04</v>
      </c>
      <c r="X51" s="69">
        <f>SUMIFS(ConsevationBuildoutTracker!$W20:$W583,ConsevationBuildoutTracker!$C20:$C583,"CE",ConsevationBuildoutTracker!$G20:$G583,X$2)+SUMIFS(ConsevationBuildoutTracker!$W20:$W583,ConsevationBuildoutTracker!$C20:$C583,"PPT",ConsevationBuildoutTracker!$G20:$G583,X$2)</f>
        <v>113.4</v>
      </c>
      <c r="Y51" s="69">
        <f>SUMIFS(ConsevationBuildoutTracker!$W20:$W583,ConsevationBuildoutTracker!$C20:$C583,"CE",ConsevationBuildoutTracker!$G20:$G583,Y$2)+SUMIFS(ConsevationBuildoutTracker!$W20:$W583,ConsevationBuildoutTracker!$C20:$C583,"PPT",ConsevationBuildoutTracker!$G20:$G583,Y$2)</f>
        <v>104.3</v>
      </c>
      <c r="Z51" s="69">
        <f>SUMIFS(ConsevationBuildoutTracker!$W20:$W583,ConsevationBuildoutTracker!$C20:$C583,"CE",ConsevationBuildoutTracker!$G20:$G583,Z$2)+SUMIFS(ConsevationBuildoutTracker!$W20:$W583,ConsevationBuildoutTracker!$C20:$C583,"PPT",ConsevationBuildoutTracker!$G20:$G583,Z$2)</f>
        <v>0</v>
      </c>
      <c r="AA51" s="69">
        <f>SUMIFS(ConsevationBuildoutTracker!$W20:$W583,ConsevationBuildoutTracker!$C20:$C583,"CE",ConsevationBuildoutTracker!$G20:$G583,AA$2)+SUMIFS(ConsevationBuildoutTracker!$W20:$W583,ConsevationBuildoutTracker!$C20:$C583,"PPT",ConsevationBuildoutTracker!$G20:$G583,AA$2)</f>
        <v>0</v>
      </c>
      <c r="AB51" s="69">
        <f>SUMIFS(ConsevationBuildoutTracker!$W20:$W583,ConsevationBuildoutTracker!$C20:$C583,"CE",ConsevationBuildoutTracker!$G20:$G583,AB$2)+SUMIFS(ConsevationBuildoutTracker!$W20:$W583,ConsevationBuildoutTracker!$C20:$C583,"PPT",ConsevationBuildoutTracker!$G20:$G583,AB$2)</f>
        <v>247.75</v>
      </c>
      <c r="AC51" s="69">
        <f>SUMIFS(ConsevationBuildoutTracker!$W20:$W583,ConsevationBuildoutTracker!$C20:$C583,"CE",ConsevationBuildoutTracker!$G20:$G583,AC$2)+SUMIFS(ConsevationBuildoutTracker!$W20:$W583,ConsevationBuildoutTracker!$C20:$C583,"PPT",ConsevationBuildoutTracker!$G20:$G583,AC$2)</f>
        <v>36.42</v>
      </c>
      <c r="AD51" s="69">
        <f>SUMIFS(ConsevationBuildoutTracker!$W20:$W583,ConsevationBuildoutTracker!$C20:$C583,"CE",ConsevationBuildoutTracker!$G20:$G583,AD$2)+SUMIFS(ConsevationBuildoutTracker!$W20:$W583,ConsevationBuildoutTracker!$C20:$C583,"PPT",ConsevationBuildoutTracker!$G20:$G583,AD$2)</f>
        <v>0</v>
      </c>
      <c r="AE51" s="69">
        <f>SUMIFS(ConsevationBuildoutTracker!$W20:$W583,ConsevationBuildoutTracker!$C20:$C583,"CE",ConsevationBuildoutTracker!$G20:$G583,AE$2)+SUMIFS(ConsevationBuildoutTracker!$W20:$W583,ConsevationBuildoutTracker!$C20:$C583,"PPT",ConsevationBuildoutTracker!$G20:$G583,AE$2)</f>
        <v>0</v>
      </c>
      <c r="AF51" s="69">
        <f>SUMIFS(ConsevationBuildoutTracker!$W20:$W583,ConsevationBuildoutTracker!$C20:$C583,"CE",ConsevationBuildoutTracker!$G20:$G583,AF$2)+SUMIFS(ConsevationBuildoutTracker!$W20:$W583,ConsevationBuildoutTracker!$C20:$C583,"PPT",ConsevationBuildoutTracker!$G20:$G583,AF$2)</f>
        <v>0</v>
      </c>
      <c r="AG51" s="69">
        <f>SUMIFS(ConsevationBuildoutTracker!$W20:$W583,ConsevationBuildoutTracker!$C20:$C583,"CE",ConsevationBuildoutTracker!$G20:$G583,AG$2)+SUMIFS(ConsevationBuildoutTracker!$W20:$W583,ConsevationBuildoutTracker!$C20:$C583,"PPT",ConsevationBuildoutTracker!$G20:$G583,AG$2)</f>
        <v>0</v>
      </c>
      <c r="AH51" s="69">
        <f>SUMIFS(ConsevationBuildoutTracker!$W20:$W583,ConsevationBuildoutTracker!$C20:$C583,"CE",ConsevationBuildoutTracker!$G20:$G583,AH$2)+SUMIFS(ConsevationBuildoutTracker!$W20:$W583,ConsevationBuildoutTracker!$C20:$C583,"PPT",ConsevationBuildoutTracker!$G20:$G583,AH$2)</f>
        <v>0</v>
      </c>
      <c r="AI51" s="69">
        <f>SUMIFS(ConsevationBuildoutTracker!$W20:$W583,ConsevationBuildoutTracker!$C20:$C583,"CE",ConsevationBuildoutTracker!$G20:$G583,AI$2)+SUMIFS(ConsevationBuildoutTracker!$W20:$W583,ConsevationBuildoutTracker!$C20:$C583,"PPT",ConsevationBuildoutTracker!$G20:$G583,AI$2)</f>
        <v>0</v>
      </c>
      <c r="AJ51" s="69">
        <f>SUMIFS(ConsevationBuildoutTracker!$W20:$W583,ConsevationBuildoutTracker!$C20:$C583,"CE",ConsevationBuildoutTracker!$G20:$G583,AJ$2)+SUMIFS(ConsevationBuildoutTracker!$W20:$W583,ConsevationBuildoutTracker!$C20:$C583,"PPT",ConsevationBuildoutTracker!$G20:$G583,AJ$2)</f>
        <v>0</v>
      </c>
      <c r="AK51" s="69">
        <f>SUMIFS(ConsevationBuildoutTracker!$W20:$W583,ConsevationBuildoutTracker!$C20:$C583,"CE",ConsevationBuildoutTracker!$G20:$G583,AK$2)+SUMIFS(ConsevationBuildoutTracker!$W20:$W583,ConsevationBuildoutTracker!$C20:$C583,"PPT",ConsevationBuildoutTracker!$G20:$G583,AK$2)</f>
        <v>0</v>
      </c>
    </row>
    <row r="52" spans="2:37" s="59" customFormat="1" x14ac:dyDescent="0.25">
      <c r="B52" s="75"/>
      <c r="E52" s="59" t="s">
        <v>902</v>
      </c>
      <c r="H52" t="s">
        <v>904</v>
      </c>
      <c r="I52" s="69"/>
      <c r="J52" s="69"/>
      <c r="K52" s="69"/>
      <c r="L52" s="69"/>
      <c r="M52" s="69">
        <f>SUMIFS(ConsevationBuildoutTracker!$X20:$X583,ConsevationBuildoutTracker!$C20:$C583,"CE",ConsevationBuildoutTracker!$G20:$G583,M$2)+SUMIFS(ConsevationBuildoutTracker!$X20:$X583,ConsevationBuildoutTracker!$C20:$C583,"PPT",ConsevationBuildoutTracker!$G20:$G583,M$2)</f>
        <v>507</v>
      </c>
      <c r="N52" s="69">
        <f>SUMIFS(ConsevationBuildoutTracker!$X20:$X583,ConsevationBuildoutTracker!$C20:$C583,"CE",ConsevationBuildoutTracker!$G20:$G583,N$2)+SUMIFS(ConsevationBuildoutTracker!$X20:$X583,ConsevationBuildoutTracker!$C20:$C583,"PPT",ConsevationBuildoutTracker!$G20:$G583,N$2)</f>
        <v>1016.72</v>
      </c>
      <c r="O52" s="69">
        <f>SUMIFS(ConsevationBuildoutTracker!$X20:$X583,ConsevationBuildoutTracker!$C20:$C583,"CE",ConsevationBuildoutTracker!$G20:$G583,O$2)+SUMIFS(ConsevationBuildoutTracker!$X20:$X583,ConsevationBuildoutTracker!$C20:$C583,"PPT",ConsevationBuildoutTracker!$G20:$G583,O$2)</f>
        <v>8.8000000000000007</v>
      </c>
      <c r="P52" s="69">
        <f>SUMIFS(ConsevationBuildoutTracker!$X20:$X583,ConsevationBuildoutTracker!$C20:$C583,"CE",ConsevationBuildoutTracker!$G20:$G583,P$2)+SUMIFS(ConsevationBuildoutTracker!$X20:$X583,ConsevationBuildoutTracker!$C20:$C583,"PPT",ConsevationBuildoutTracker!$G20:$G583,P$2)</f>
        <v>2</v>
      </c>
      <c r="Q52" s="69">
        <f>SUMIFS(ConsevationBuildoutTracker!$X20:$X583,ConsevationBuildoutTracker!$C20:$C583,"CE",ConsevationBuildoutTracker!$G20:$G583,Q$2)+SUMIFS(ConsevationBuildoutTracker!$X20:$X583,ConsevationBuildoutTracker!$C20:$C583,"PPT",ConsevationBuildoutTracker!$G20:$G583,Q$2)</f>
        <v>0</v>
      </c>
      <c r="R52" s="69">
        <f>SUMIFS(ConsevationBuildoutTracker!$X20:$X583,ConsevationBuildoutTracker!$C20:$C583,"CE",ConsevationBuildoutTracker!$G20:$G583,R$2)+SUMIFS(ConsevationBuildoutTracker!$X20:$X583,ConsevationBuildoutTracker!$C20:$C583,"PPT",ConsevationBuildoutTracker!$G20:$G583,R$2)</f>
        <v>0</v>
      </c>
      <c r="S52" s="69">
        <f>SUMIFS(ConsevationBuildoutTracker!$X20:$X583,ConsevationBuildoutTracker!$C20:$C583,"CE",ConsevationBuildoutTracker!$G20:$G583,S$2)+SUMIFS(ConsevationBuildoutTracker!$X20:$X583,ConsevationBuildoutTracker!$C20:$C583,"PPT",ConsevationBuildoutTracker!$G20:$G583,S$2)</f>
        <v>0.34</v>
      </c>
      <c r="T52" s="69">
        <f>SUMIFS(ConsevationBuildoutTracker!$X20:$X583,ConsevationBuildoutTracker!$C20:$C583,"CE",ConsevationBuildoutTracker!$G20:$G583,T$2)+SUMIFS(ConsevationBuildoutTracker!$X20:$X583,ConsevationBuildoutTracker!$C20:$C583,"PPT",ConsevationBuildoutTracker!$G20:$G583,T$2)</f>
        <v>181.29</v>
      </c>
      <c r="U52" s="69">
        <f>SUMIFS(ConsevationBuildoutTracker!$X20:$X583,ConsevationBuildoutTracker!$C20:$C583,"CE",ConsevationBuildoutTracker!$G20:$G583,U$2)+SUMIFS(ConsevationBuildoutTracker!$X20:$X583,ConsevationBuildoutTracker!$C20:$C583,"PPT",ConsevationBuildoutTracker!$G20:$G583,U$2)</f>
        <v>70.69</v>
      </c>
      <c r="V52" s="69">
        <f>SUMIFS(ConsevationBuildoutTracker!$X20:$X583,ConsevationBuildoutTracker!$C20:$C583,"CE",ConsevationBuildoutTracker!$G20:$G583,V$2)+SUMIFS(ConsevationBuildoutTracker!$X20:$X583,ConsevationBuildoutTracker!$C20:$C583,"PPT",ConsevationBuildoutTracker!$G20:$G583,V$2)</f>
        <v>71</v>
      </c>
      <c r="W52" s="69">
        <f>SUMIFS(ConsevationBuildoutTracker!$X20:$X583,ConsevationBuildoutTracker!$C20:$C583,"CE",ConsevationBuildoutTracker!$G20:$G583,W$2)+SUMIFS(ConsevationBuildoutTracker!$X20:$X583,ConsevationBuildoutTracker!$C20:$C583,"PPT",ConsevationBuildoutTracker!$G20:$G583,W$2)</f>
        <v>755.95999999999992</v>
      </c>
      <c r="X52" s="69">
        <f>SUMIFS(ConsevationBuildoutTracker!$X20:$X583,ConsevationBuildoutTracker!$C20:$C583,"CE",ConsevationBuildoutTracker!$G20:$G583,X$2)+SUMIFS(ConsevationBuildoutTracker!$X20:$X583,ConsevationBuildoutTracker!$C20:$C583,"PPT",ConsevationBuildoutTracker!$G20:$G583,X$2)</f>
        <v>35</v>
      </c>
      <c r="Y52" s="69">
        <f>SUMIFS(ConsevationBuildoutTracker!$X20:$X583,ConsevationBuildoutTracker!$C20:$C583,"CE",ConsevationBuildoutTracker!$G20:$G583,Y$2)+SUMIFS(ConsevationBuildoutTracker!$X20:$X583,ConsevationBuildoutTracker!$C20:$C583,"PPT",ConsevationBuildoutTracker!$G20:$G583,Y$2)</f>
        <v>35</v>
      </c>
      <c r="Z52" s="69">
        <f>SUMIFS(ConsevationBuildoutTracker!$X20:$X583,ConsevationBuildoutTracker!$C20:$C583,"CE",ConsevationBuildoutTracker!$G20:$G583,Z$2)+SUMIFS(ConsevationBuildoutTracker!$X20:$X583,ConsevationBuildoutTracker!$C20:$C583,"PPT",ConsevationBuildoutTracker!$G20:$G583,Z$2)</f>
        <v>0</v>
      </c>
      <c r="AA52" s="69">
        <f>SUMIFS(ConsevationBuildoutTracker!$X20:$X583,ConsevationBuildoutTracker!$C20:$C583,"CE",ConsevationBuildoutTracker!$G20:$G583,AA$2)+SUMIFS(ConsevationBuildoutTracker!$X20:$X583,ConsevationBuildoutTracker!$C20:$C583,"PPT",ConsevationBuildoutTracker!$G20:$G583,AA$2)</f>
        <v>38.050000000000004</v>
      </c>
      <c r="AB52" s="69">
        <f>SUMIFS(ConsevationBuildoutTracker!$X20:$X583,ConsevationBuildoutTracker!$C20:$C583,"CE",ConsevationBuildoutTracker!$G20:$G583,AB$2)+SUMIFS(ConsevationBuildoutTracker!$X20:$X583,ConsevationBuildoutTracker!$C20:$C583,"PPT",ConsevationBuildoutTracker!$G20:$G583,AB$2)</f>
        <v>211</v>
      </c>
      <c r="AC52" s="69">
        <f>SUMIFS(ConsevationBuildoutTracker!$X20:$X583,ConsevationBuildoutTracker!$C20:$C583,"CE",ConsevationBuildoutTracker!$G20:$G583,AC$2)+SUMIFS(ConsevationBuildoutTracker!$X20:$X583,ConsevationBuildoutTracker!$C20:$C583,"PPT",ConsevationBuildoutTracker!$G20:$G583,AC$2)</f>
        <v>23.4</v>
      </c>
      <c r="AD52" s="69">
        <f>SUMIFS(ConsevationBuildoutTracker!$X20:$X583,ConsevationBuildoutTracker!$C20:$C583,"CE",ConsevationBuildoutTracker!$G20:$G583,AD$2)+SUMIFS(ConsevationBuildoutTracker!$X20:$X583,ConsevationBuildoutTracker!$C20:$C583,"PPT",ConsevationBuildoutTracker!$G20:$G583,AD$2)</f>
        <v>0</v>
      </c>
      <c r="AE52" s="69">
        <f>SUMIFS(ConsevationBuildoutTracker!$X20:$X583,ConsevationBuildoutTracker!$C20:$C583,"CE",ConsevationBuildoutTracker!$G20:$G583,AE$2)+SUMIFS(ConsevationBuildoutTracker!$X20:$X583,ConsevationBuildoutTracker!$C20:$C583,"PPT",ConsevationBuildoutTracker!$G20:$G583,AE$2)</f>
        <v>0</v>
      </c>
      <c r="AF52" s="69">
        <f>SUMIFS(ConsevationBuildoutTracker!$X20:$X583,ConsevationBuildoutTracker!$C20:$C583,"CE",ConsevationBuildoutTracker!$G20:$G583,AF$2)+SUMIFS(ConsevationBuildoutTracker!$X20:$X583,ConsevationBuildoutTracker!$C20:$C583,"PPT",ConsevationBuildoutTracker!$G20:$G583,AF$2)</f>
        <v>0</v>
      </c>
      <c r="AG52" s="69">
        <f>SUMIFS(ConsevationBuildoutTracker!$X20:$X583,ConsevationBuildoutTracker!$C20:$C583,"CE",ConsevationBuildoutTracker!$G20:$G583,AG$2)+SUMIFS(ConsevationBuildoutTracker!$X20:$X583,ConsevationBuildoutTracker!$C20:$C583,"PPT",ConsevationBuildoutTracker!$G20:$G583,AG$2)</f>
        <v>0</v>
      </c>
      <c r="AH52" s="69">
        <f>SUMIFS(ConsevationBuildoutTracker!$X20:$X583,ConsevationBuildoutTracker!$C20:$C583,"CE",ConsevationBuildoutTracker!$G20:$G583,AH$2)+SUMIFS(ConsevationBuildoutTracker!$X20:$X583,ConsevationBuildoutTracker!$C20:$C583,"PPT",ConsevationBuildoutTracker!$G20:$G583,AH$2)</f>
        <v>0</v>
      </c>
      <c r="AI52" s="69">
        <f>SUMIFS(ConsevationBuildoutTracker!$X20:$X583,ConsevationBuildoutTracker!$C20:$C583,"CE",ConsevationBuildoutTracker!$G20:$G583,AI$2)+SUMIFS(ConsevationBuildoutTracker!$X20:$X583,ConsevationBuildoutTracker!$C20:$C583,"PPT",ConsevationBuildoutTracker!$G20:$G583,AI$2)</f>
        <v>0</v>
      </c>
      <c r="AJ52" s="69">
        <f>SUMIFS(ConsevationBuildoutTracker!$X20:$X583,ConsevationBuildoutTracker!$C20:$C583,"CE",ConsevationBuildoutTracker!$G20:$G583,AJ$2)+SUMIFS(ConsevationBuildoutTracker!$X20:$X583,ConsevationBuildoutTracker!$C20:$C583,"PPT",ConsevationBuildoutTracker!$G20:$G583,AJ$2)</f>
        <v>0</v>
      </c>
      <c r="AK52" s="69">
        <f>SUMIFS(ConsevationBuildoutTracker!$X20:$X583,ConsevationBuildoutTracker!$C20:$C583,"CE",ConsevationBuildoutTracker!$G20:$G583,AK$2)+SUMIFS(ConsevationBuildoutTracker!$X20:$X583,ConsevationBuildoutTracker!$C20:$C583,"PPT",ConsevationBuildoutTracker!$G20:$G583,AK$2)</f>
        <v>0</v>
      </c>
    </row>
    <row r="53" spans="2:37" s="59" customFormat="1" x14ac:dyDescent="0.25">
      <c r="B53" s="75"/>
      <c r="E53" s="59" t="s">
        <v>46</v>
      </c>
      <c r="H53" t="s">
        <v>904</v>
      </c>
      <c r="I53" s="69"/>
      <c r="J53" s="69"/>
      <c r="K53" s="69"/>
      <c r="L53" s="69"/>
      <c r="M53" s="69">
        <f>SUMIFS(ConsevationBuildoutTracker!$Y20:$Y583,ConsevationBuildoutTracker!$C20:$C583,"CE",ConsevationBuildoutTracker!$G20:$G583,M$2)+SUMIFS(ConsevationBuildoutTracker!$Y20:$Y583,ConsevationBuildoutTracker!$C20:$C583,"PPT",ConsevationBuildoutTracker!$G20:$G583,M$2)</f>
        <v>507</v>
      </c>
      <c r="N53" s="69">
        <f>SUMIFS(ConsevationBuildoutTracker!$Y20:$Y583,ConsevationBuildoutTracker!$C20:$C583,"CE",ConsevationBuildoutTracker!$G20:$G583,N$2)+SUMIFS(ConsevationBuildoutTracker!$Y20:$Y583,ConsevationBuildoutTracker!$C20:$C583,"PPT",ConsevationBuildoutTracker!$G20:$G583,N$2)</f>
        <v>2018.7099999999998</v>
      </c>
      <c r="O53" s="69">
        <f>SUMIFS(ConsevationBuildoutTracker!$Y20:$Y583,ConsevationBuildoutTracker!$C20:$C583,"CE",ConsevationBuildoutTracker!$G20:$G583,O$2)+SUMIFS(ConsevationBuildoutTracker!$Y20:$Y583,ConsevationBuildoutTracker!$C20:$C583,"PPT",ConsevationBuildoutTracker!$G20:$G583,O$2)</f>
        <v>70.86</v>
      </c>
      <c r="P53" s="69">
        <f>SUMIFS(ConsevationBuildoutTracker!$Y20:$Y583,ConsevationBuildoutTracker!$C20:$C583,"CE",ConsevationBuildoutTracker!$G20:$G583,P$2)+SUMIFS(ConsevationBuildoutTracker!$Y20:$Y583,ConsevationBuildoutTracker!$C20:$C583,"PPT",ConsevationBuildoutTracker!$G20:$G583,P$2)</f>
        <v>0</v>
      </c>
      <c r="Q53" s="69">
        <f>SUMIFS(ConsevationBuildoutTracker!$Y20:$Y583,ConsevationBuildoutTracker!$C20:$C583,"CE",ConsevationBuildoutTracker!$G20:$G583,Q$2)+SUMIFS(ConsevationBuildoutTracker!$Y20:$Y583,ConsevationBuildoutTracker!$C20:$C583,"PPT",ConsevationBuildoutTracker!$G20:$G583,Q$2)</f>
        <v>0</v>
      </c>
      <c r="R53" s="69">
        <f>SUMIFS(ConsevationBuildoutTracker!$Y20:$Y583,ConsevationBuildoutTracker!$C20:$C583,"CE",ConsevationBuildoutTracker!$G20:$G583,R$2)+SUMIFS(ConsevationBuildoutTracker!$Y20:$Y583,ConsevationBuildoutTracker!$C20:$C583,"PPT",ConsevationBuildoutTracker!$G20:$G583,R$2)</f>
        <v>0</v>
      </c>
      <c r="S53" s="69">
        <f>SUMIFS(ConsevationBuildoutTracker!$Y20:$Y583,ConsevationBuildoutTracker!$C20:$C583,"CE",ConsevationBuildoutTracker!$G20:$G583,S$2)+SUMIFS(ConsevationBuildoutTracker!$Y20:$Y583,ConsevationBuildoutTracker!$C20:$C583,"PPT",ConsevationBuildoutTracker!$G20:$G583,S$2)</f>
        <v>153</v>
      </c>
      <c r="T53" s="69">
        <f>SUMIFS(ConsevationBuildoutTracker!$Y20:$Y583,ConsevationBuildoutTracker!$C20:$C583,"CE",ConsevationBuildoutTracker!$G20:$G583,T$2)+SUMIFS(ConsevationBuildoutTracker!$Y20:$Y583,ConsevationBuildoutTracker!$C20:$C583,"PPT",ConsevationBuildoutTracker!$G20:$G583,T$2)</f>
        <v>0</v>
      </c>
      <c r="U53" s="69">
        <f>SUMIFS(ConsevationBuildoutTracker!$Y20:$Y583,ConsevationBuildoutTracker!$C20:$C583,"CE",ConsevationBuildoutTracker!$G20:$G583,U$2)+SUMIFS(ConsevationBuildoutTracker!$Y20:$Y583,ConsevationBuildoutTracker!$C20:$C583,"PPT",ConsevationBuildoutTracker!$G20:$G583,U$2)</f>
        <v>70.69</v>
      </c>
      <c r="V53" s="69">
        <f>SUMIFS(ConsevationBuildoutTracker!$Y20:$Y583,ConsevationBuildoutTracker!$C20:$C583,"CE",ConsevationBuildoutTracker!$G20:$G583,V$2)+SUMIFS(ConsevationBuildoutTracker!$Y20:$Y583,ConsevationBuildoutTracker!$C20:$C583,"PPT",ConsevationBuildoutTracker!$G20:$G583,V$2)</f>
        <v>378</v>
      </c>
      <c r="W53" s="69">
        <f>SUMIFS(ConsevationBuildoutTracker!$Y20:$Y583,ConsevationBuildoutTracker!$C20:$C583,"CE",ConsevationBuildoutTracker!$G20:$G583,W$2)+SUMIFS(ConsevationBuildoutTracker!$Y20:$Y583,ConsevationBuildoutTracker!$C20:$C583,"PPT",ConsevationBuildoutTracker!$G20:$G583,W$2)</f>
        <v>34.549999999999997</v>
      </c>
      <c r="X53" s="69">
        <f>SUMIFS(ConsevationBuildoutTracker!$Y20:$Y583,ConsevationBuildoutTracker!$C20:$C583,"CE",ConsevationBuildoutTracker!$G20:$G583,X$2)+SUMIFS(ConsevationBuildoutTracker!$Y20:$Y583,ConsevationBuildoutTracker!$C20:$C583,"PPT",ConsevationBuildoutTracker!$G20:$G583,X$2)</f>
        <v>0</v>
      </c>
      <c r="Y53" s="69">
        <f>SUMIFS(ConsevationBuildoutTracker!$Y20:$Y583,ConsevationBuildoutTracker!$C20:$C583,"CE",ConsevationBuildoutTracker!$G20:$G583,Y$2)+SUMIFS(ConsevationBuildoutTracker!$Y20:$Y583,ConsevationBuildoutTracker!$C20:$C583,"PPT",ConsevationBuildoutTracker!$G20:$G583,Y$2)</f>
        <v>156</v>
      </c>
      <c r="Z53" s="69">
        <f>SUMIFS(ConsevationBuildoutTracker!$Y20:$Y583,ConsevationBuildoutTracker!$C20:$C583,"CE",ConsevationBuildoutTracker!$G20:$G583,Z$2)+SUMIFS(ConsevationBuildoutTracker!$Y20:$Y583,ConsevationBuildoutTracker!$C20:$C583,"PPT",ConsevationBuildoutTracker!$G20:$G583,Z$2)</f>
        <v>0</v>
      </c>
      <c r="AA53" s="69">
        <f>SUMIFS(ConsevationBuildoutTracker!$Y20:$Y583,ConsevationBuildoutTracker!$C20:$C583,"CE",ConsevationBuildoutTracker!$G20:$G583,AA$2)+SUMIFS(ConsevationBuildoutTracker!$Y20:$Y583,ConsevationBuildoutTracker!$C20:$C583,"PPT",ConsevationBuildoutTracker!$G20:$G583,AA$2)</f>
        <v>0</v>
      </c>
      <c r="AB53" s="69">
        <f>SUMIFS(ConsevationBuildoutTracker!$Y20:$Y583,ConsevationBuildoutTracker!$C20:$C583,"CE",ConsevationBuildoutTracker!$G20:$G583,AB$2)+SUMIFS(ConsevationBuildoutTracker!$Y20:$Y583,ConsevationBuildoutTracker!$C20:$C583,"PPT",ConsevationBuildoutTracker!$G20:$G583,AB$2)</f>
        <v>90</v>
      </c>
      <c r="AC53" s="69">
        <f>SUMIFS(ConsevationBuildoutTracker!$Y20:$Y583,ConsevationBuildoutTracker!$C20:$C583,"CE",ConsevationBuildoutTracker!$G20:$G583,AC$2)+SUMIFS(ConsevationBuildoutTracker!$Y20:$Y583,ConsevationBuildoutTracker!$C20:$C583,"PPT",ConsevationBuildoutTracker!$G20:$G583,AC$2)</f>
        <v>37.145000000000003</v>
      </c>
      <c r="AD53" s="69">
        <f>SUMIFS(ConsevationBuildoutTracker!$Y20:$Y583,ConsevationBuildoutTracker!$C20:$C583,"CE",ConsevationBuildoutTracker!$G20:$G583,AD$2)+SUMIFS(ConsevationBuildoutTracker!$Y20:$Y583,ConsevationBuildoutTracker!$C20:$C583,"PPT",ConsevationBuildoutTracker!$G20:$G583,AD$2)</f>
        <v>0</v>
      </c>
      <c r="AE53" s="69">
        <f>SUMIFS(ConsevationBuildoutTracker!$Y20:$Y583,ConsevationBuildoutTracker!$C20:$C583,"CE",ConsevationBuildoutTracker!$G20:$G583,AE$2)+SUMIFS(ConsevationBuildoutTracker!$Y20:$Y583,ConsevationBuildoutTracker!$C20:$C583,"PPT",ConsevationBuildoutTracker!$G20:$G583,AE$2)</f>
        <v>0</v>
      </c>
      <c r="AF53" s="69">
        <f>SUMIFS(ConsevationBuildoutTracker!$Y20:$Y583,ConsevationBuildoutTracker!$C20:$C583,"CE",ConsevationBuildoutTracker!$G20:$G583,AF$2)+SUMIFS(ConsevationBuildoutTracker!$Y20:$Y583,ConsevationBuildoutTracker!$C20:$C583,"PPT",ConsevationBuildoutTracker!$G20:$G583,AF$2)</f>
        <v>0</v>
      </c>
      <c r="AG53" s="69">
        <f>SUMIFS(ConsevationBuildoutTracker!$Y20:$Y583,ConsevationBuildoutTracker!$C20:$C583,"CE",ConsevationBuildoutTracker!$G20:$G583,AG$2)+SUMIFS(ConsevationBuildoutTracker!$Y20:$Y583,ConsevationBuildoutTracker!$C20:$C583,"PPT",ConsevationBuildoutTracker!$G20:$G583,AG$2)</f>
        <v>0</v>
      </c>
      <c r="AH53" s="69">
        <f>SUMIFS(ConsevationBuildoutTracker!$Y20:$Y583,ConsevationBuildoutTracker!$C20:$C583,"CE",ConsevationBuildoutTracker!$G20:$G583,AH$2)+SUMIFS(ConsevationBuildoutTracker!$Y20:$Y583,ConsevationBuildoutTracker!$C20:$C583,"PPT",ConsevationBuildoutTracker!$G20:$G583,AH$2)</f>
        <v>0</v>
      </c>
      <c r="AI53" s="69">
        <f>SUMIFS(ConsevationBuildoutTracker!$Y20:$Y583,ConsevationBuildoutTracker!$C20:$C583,"CE",ConsevationBuildoutTracker!$G20:$G583,AI$2)+SUMIFS(ConsevationBuildoutTracker!$Y20:$Y583,ConsevationBuildoutTracker!$C20:$C583,"PPT",ConsevationBuildoutTracker!$G20:$G583,AI$2)</f>
        <v>0</v>
      </c>
      <c r="AJ53" s="69">
        <f>SUMIFS(ConsevationBuildoutTracker!$Y20:$Y583,ConsevationBuildoutTracker!$C20:$C583,"CE",ConsevationBuildoutTracker!$G20:$G583,AJ$2)+SUMIFS(ConsevationBuildoutTracker!$Y20:$Y583,ConsevationBuildoutTracker!$C20:$C583,"PPT",ConsevationBuildoutTracker!$G20:$G583,AJ$2)</f>
        <v>0</v>
      </c>
      <c r="AK53" s="69">
        <f>SUMIFS(ConsevationBuildoutTracker!$Y20:$Y583,ConsevationBuildoutTracker!$C20:$C583,"CE",ConsevationBuildoutTracker!$G20:$G583,AK$2)+SUMIFS(ConsevationBuildoutTracker!$Y20:$Y583,ConsevationBuildoutTracker!$C20:$C583,"PPT",ConsevationBuildoutTracker!$G20:$G583,AK$2)</f>
        <v>0</v>
      </c>
    </row>
    <row r="54" spans="2:37" s="74" customFormat="1" x14ac:dyDescent="0.25">
      <c r="B54" s="207"/>
      <c r="D54" s="74" t="s">
        <v>905</v>
      </c>
      <c r="H54" t="s">
        <v>904</v>
      </c>
      <c r="I54" s="76"/>
      <c r="J54" s="76"/>
      <c r="K54" s="76"/>
      <c r="L54" s="76">
        <f t="shared" ref="L54:V57" si="0">M54-M50</f>
        <v>18035.71</v>
      </c>
      <c r="M54" s="76">
        <f t="shared" si="0"/>
        <v>18542.71</v>
      </c>
      <c r="N54" s="76">
        <f t="shared" si="0"/>
        <v>21006.489999999998</v>
      </c>
      <c r="O54" s="76">
        <f t="shared" si="0"/>
        <v>21087.399999999998</v>
      </c>
      <c r="P54" s="76">
        <f t="shared" si="0"/>
        <v>21168.94</v>
      </c>
      <c r="Q54" s="76">
        <f t="shared" si="0"/>
        <v>21294.42</v>
      </c>
      <c r="R54" s="76">
        <f t="shared" si="0"/>
        <v>21315.71</v>
      </c>
      <c r="S54" s="76">
        <f t="shared" si="0"/>
        <v>21789.51</v>
      </c>
      <c r="T54" s="76">
        <f t="shared" si="0"/>
        <v>22048.89</v>
      </c>
      <c r="U54" s="76">
        <f t="shared" si="0"/>
        <v>22370.97</v>
      </c>
      <c r="V54" s="76">
        <f t="shared" si="0"/>
        <v>22796.27</v>
      </c>
      <c r="W54" s="76">
        <f>X54-X50</f>
        <v>23630.78</v>
      </c>
      <c r="X54" s="76">
        <v>23744.18</v>
      </c>
      <c r="Y54" s="76">
        <f>X54+Y50</f>
        <v>23935.18</v>
      </c>
      <c r="Z54" s="76">
        <f t="shared" ref="Z54:AK54" si="1">Y54+Z50</f>
        <v>23936.433000000001</v>
      </c>
      <c r="AA54" s="76">
        <f t="shared" si="1"/>
        <v>23976.573</v>
      </c>
      <c r="AB54" s="76">
        <f t="shared" si="1"/>
        <v>24224.323</v>
      </c>
      <c r="AC54" s="76">
        <f t="shared" si="1"/>
        <v>24313.543000000001</v>
      </c>
      <c r="AD54" s="76">
        <f t="shared" si="1"/>
        <v>24313.543000000001</v>
      </c>
      <c r="AE54" s="76">
        <f t="shared" si="1"/>
        <v>24313.543000000001</v>
      </c>
      <c r="AF54" s="76">
        <f t="shared" si="1"/>
        <v>24313.543000000001</v>
      </c>
      <c r="AG54" s="76">
        <f t="shared" si="1"/>
        <v>24313.543000000001</v>
      </c>
      <c r="AH54" s="76">
        <f t="shared" si="1"/>
        <v>24313.543000000001</v>
      </c>
      <c r="AI54" s="76">
        <f t="shared" si="1"/>
        <v>24313.543000000001</v>
      </c>
      <c r="AJ54" s="76">
        <f t="shared" si="1"/>
        <v>24313.543000000001</v>
      </c>
      <c r="AK54" s="76">
        <f t="shared" si="1"/>
        <v>24313.543000000001</v>
      </c>
    </row>
    <row r="55" spans="2:37" s="59" customFormat="1" x14ac:dyDescent="0.25">
      <c r="B55" s="75"/>
      <c r="E55" s="59" t="s">
        <v>901</v>
      </c>
      <c r="H55" t="s">
        <v>904</v>
      </c>
      <c r="I55" s="69"/>
      <c r="J55" s="69"/>
      <c r="K55" s="69"/>
      <c r="L55" s="69">
        <f t="shared" si="0"/>
        <v>9610.2999999999993</v>
      </c>
      <c r="M55" s="69">
        <f t="shared" si="0"/>
        <v>9733.2999999999993</v>
      </c>
      <c r="N55" s="69">
        <f t="shared" si="0"/>
        <v>10614.509999999998</v>
      </c>
      <c r="O55" s="69">
        <f t="shared" si="0"/>
        <v>10686.619999999999</v>
      </c>
      <c r="P55" s="69">
        <f t="shared" si="0"/>
        <v>10733.179999999998</v>
      </c>
      <c r="Q55" s="69">
        <f t="shared" si="0"/>
        <v>10776.809999999998</v>
      </c>
      <c r="R55" s="69">
        <f t="shared" si="0"/>
        <v>10798.099999999999</v>
      </c>
      <c r="S55" s="69">
        <f t="shared" si="0"/>
        <v>11174.38</v>
      </c>
      <c r="T55" s="69">
        <f t="shared" si="0"/>
        <v>11423.599999999999</v>
      </c>
      <c r="U55" s="69">
        <f t="shared" si="0"/>
        <v>11671.739999999998</v>
      </c>
      <c r="V55" s="69">
        <f t="shared" si="0"/>
        <v>11791.189999999999</v>
      </c>
      <c r="W55" s="69">
        <f>X55-X51</f>
        <v>11932.23</v>
      </c>
      <c r="X55" s="69">
        <v>12045.63</v>
      </c>
      <c r="Y55" s="69">
        <f t="shared" ref="Y55:AK57" si="2">X55+Y51</f>
        <v>12149.929999999998</v>
      </c>
      <c r="Z55" s="69">
        <f t="shared" si="2"/>
        <v>12149.929999999998</v>
      </c>
      <c r="AA55" s="69">
        <f t="shared" si="2"/>
        <v>12149.929999999998</v>
      </c>
      <c r="AB55" s="69">
        <f t="shared" si="2"/>
        <v>12397.679999999998</v>
      </c>
      <c r="AC55" s="69">
        <f t="shared" si="2"/>
        <v>12434.099999999999</v>
      </c>
      <c r="AD55" s="69">
        <f t="shared" si="2"/>
        <v>12434.099999999999</v>
      </c>
      <c r="AE55" s="69">
        <f t="shared" si="2"/>
        <v>12434.099999999999</v>
      </c>
      <c r="AF55" s="69">
        <f t="shared" si="2"/>
        <v>12434.099999999999</v>
      </c>
      <c r="AG55" s="69">
        <f t="shared" si="2"/>
        <v>12434.099999999999</v>
      </c>
      <c r="AH55" s="69">
        <f t="shared" si="2"/>
        <v>12434.099999999999</v>
      </c>
      <c r="AI55" s="69">
        <f t="shared" si="2"/>
        <v>12434.099999999999</v>
      </c>
      <c r="AJ55" s="69">
        <f t="shared" si="2"/>
        <v>12434.099999999999</v>
      </c>
      <c r="AK55" s="69">
        <f t="shared" si="2"/>
        <v>12434.099999999999</v>
      </c>
    </row>
    <row r="56" spans="2:37" s="59" customFormat="1" x14ac:dyDescent="0.25">
      <c r="B56" s="75"/>
      <c r="E56" s="59" t="s">
        <v>902</v>
      </c>
      <c r="H56" t="s">
        <v>904</v>
      </c>
      <c r="I56" s="69"/>
      <c r="J56" s="69"/>
      <c r="K56" s="69"/>
      <c r="L56" s="69">
        <f t="shared" si="0"/>
        <v>7839.42</v>
      </c>
      <c r="M56" s="69">
        <f t="shared" si="0"/>
        <v>8346.42</v>
      </c>
      <c r="N56" s="69">
        <f t="shared" si="0"/>
        <v>9363.14</v>
      </c>
      <c r="O56" s="69">
        <f t="shared" si="0"/>
        <v>9371.9399999999987</v>
      </c>
      <c r="P56" s="69">
        <f t="shared" si="0"/>
        <v>9373.9399999999987</v>
      </c>
      <c r="Q56" s="69">
        <f t="shared" si="0"/>
        <v>9373.9399999999987</v>
      </c>
      <c r="R56" s="69">
        <f t="shared" si="0"/>
        <v>9373.9399999999987</v>
      </c>
      <c r="S56" s="69">
        <f t="shared" si="0"/>
        <v>9374.2799999999988</v>
      </c>
      <c r="T56" s="69">
        <f t="shared" si="0"/>
        <v>9555.57</v>
      </c>
      <c r="U56" s="69">
        <f t="shared" si="0"/>
        <v>9626.26</v>
      </c>
      <c r="V56" s="69">
        <f t="shared" si="0"/>
        <v>9697.26</v>
      </c>
      <c r="W56" s="69">
        <f>X56-X52</f>
        <v>10453.219999999999</v>
      </c>
      <c r="X56" s="69">
        <v>10488.22</v>
      </c>
      <c r="Y56" s="69">
        <f t="shared" si="2"/>
        <v>10523.22</v>
      </c>
      <c r="Z56" s="69">
        <f t="shared" si="2"/>
        <v>10523.22</v>
      </c>
      <c r="AA56" s="69">
        <f t="shared" si="2"/>
        <v>10561.269999999999</v>
      </c>
      <c r="AB56" s="69">
        <f t="shared" si="2"/>
        <v>10772.269999999999</v>
      </c>
      <c r="AC56" s="69">
        <f t="shared" si="2"/>
        <v>10795.669999999998</v>
      </c>
      <c r="AD56" s="69">
        <f t="shared" si="2"/>
        <v>10795.669999999998</v>
      </c>
      <c r="AE56" s="69">
        <f t="shared" si="2"/>
        <v>10795.669999999998</v>
      </c>
      <c r="AF56" s="69">
        <f t="shared" si="2"/>
        <v>10795.669999999998</v>
      </c>
      <c r="AG56" s="69">
        <f t="shared" si="2"/>
        <v>10795.669999999998</v>
      </c>
      <c r="AH56" s="69">
        <f t="shared" si="2"/>
        <v>10795.669999999998</v>
      </c>
      <c r="AI56" s="69">
        <f t="shared" si="2"/>
        <v>10795.669999999998</v>
      </c>
      <c r="AJ56" s="69">
        <f t="shared" si="2"/>
        <v>10795.669999999998</v>
      </c>
      <c r="AK56" s="69">
        <f t="shared" si="2"/>
        <v>10795.669999999998</v>
      </c>
    </row>
    <row r="57" spans="2:37" s="59" customFormat="1" x14ac:dyDescent="0.25">
      <c r="B57" s="75"/>
      <c r="E57" s="59" t="s">
        <v>46</v>
      </c>
      <c r="H57" t="s">
        <v>904</v>
      </c>
      <c r="I57" s="69"/>
      <c r="J57" s="69"/>
      <c r="K57" s="69"/>
      <c r="L57" s="69">
        <f t="shared" si="0"/>
        <v>8380.0300000000007</v>
      </c>
      <c r="M57" s="69">
        <f t="shared" si="0"/>
        <v>8887.0300000000007</v>
      </c>
      <c r="N57" s="69">
        <f t="shared" si="0"/>
        <v>10905.74</v>
      </c>
      <c r="O57" s="69">
        <f t="shared" si="0"/>
        <v>10976.6</v>
      </c>
      <c r="P57" s="69">
        <f t="shared" si="0"/>
        <v>10976.6</v>
      </c>
      <c r="Q57" s="69">
        <f t="shared" si="0"/>
        <v>10976.6</v>
      </c>
      <c r="R57" s="69">
        <f t="shared" si="0"/>
        <v>10976.6</v>
      </c>
      <c r="S57" s="69">
        <f t="shared" si="0"/>
        <v>11129.6</v>
      </c>
      <c r="T57" s="69">
        <f t="shared" si="0"/>
        <v>11129.6</v>
      </c>
      <c r="U57" s="69">
        <f t="shared" si="0"/>
        <v>11200.29</v>
      </c>
      <c r="V57" s="69">
        <f t="shared" si="0"/>
        <v>11578.29</v>
      </c>
      <c r="W57" s="69">
        <f>X57-X53</f>
        <v>11612.84</v>
      </c>
      <c r="X57" s="69">
        <v>11612.84</v>
      </c>
      <c r="Y57" s="69">
        <f t="shared" si="2"/>
        <v>11768.84</v>
      </c>
      <c r="Z57" s="69">
        <f t="shared" si="2"/>
        <v>11768.84</v>
      </c>
      <c r="AA57" s="69">
        <f t="shared" si="2"/>
        <v>11768.84</v>
      </c>
      <c r="AB57" s="69">
        <f t="shared" si="2"/>
        <v>11858.84</v>
      </c>
      <c r="AC57" s="69">
        <f t="shared" si="2"/>
        <v>11895.985000000001</v>
      </c>
      <c r="AD57" s="69">
        <f t="shared" si="2"/>
        <v>11895.985000000001</v>
      </c>
      <c r="AE57" s="69">
        <f t="shared" si="2"/>
        <v>11895.985000000001</v>
      </c>
      <c r="AF57" s="69">
        <f t="shared" si="2"/>
        <v>11895.985000000001</v>
      </c>
      <c r="AG57" s="69">
        <f t="shared" si="2"/>
        <v>11895.985000000001</v>
      </c>
      <c r="AH57" s="69">
        <f t="shared" si="2"/>
        <v>11895.985000000001</v>
      </c>
      <c r="AI57" s="69">
        <f t="shared" si="2"/>
        <v>11895.985000000001</v>
      </c>
      <c r="AJ57" s="69">
        <f t="shared" si="2"/>
        <v>11895.985000000001</v>
      </c>
      <c r="AK57" s="69">
        <f t="shared" si="2"/>
        <v>11895.985000000001</v>
      </c>
    </row>
    <row r="58" spans="2:37" s="74" customFormat="1" x14ac:dyDescent="0.25">
      <c r="B58" s="207"/>
      <c r="D58" s="74" t="s">
        <v>906</v>
      </c>
      <c r="H58" t="s">
        <v>23</v>
      </c>
      <c r="I58" s="76"/>
      <c r="J58" s="76"/>
      <c r="K58" s="76"/>
      <c r="L58" s="76">
        <f>(Datasheet!L24+Datasheet!L27)*-1</f>
        <v>0</v>
      </c>
      <c r="M58" s="76">
        <f>(Datasheet!M24+Datasheet!M27)*-1</f>
        <v>31</v>
      </c>
      <c r="N58" s="76">
        <f>(Datasheet!N24+Datasheet!N27)*-1</f>
        <v>89</v>
      </c>
      <c r="O58" s="76">
        <f>(Datasheet!O24+Datasheet!O27)*-1</f>
        <v>5</v>
      </c>
      <c r="P58" s="76">
        <f>(Datasheet!P24+Datasheet!P27)*-1</f>
        <v>2</v>
      </c>
      <c r="Q58" s="76">
        <f>(Datasheet!Q24+Datasheet!Q27)*-1</f>
        <v>1</v>
      </c>
      <c r="R58" s="76">
        <f>(Datasheet!R24+Datasheet!R27)*-1</f>
        <v>1</v>
      </c>
      <c r="S58" s="76">
        <f>(Datasheet!S24+Datasheet!S27)*-1</f>
        <v>31</v>
      </c>
      <c r="T58" s="76">
        <f>(Datasheet!T24+Datasheet!T27)*-1</f>
        <v>12</v>
      </c>
      <c r="U58" s="76">
        <f>(Datasheet!U24+Datasheet!U27)*-1</f>
        <v>14</v>
      </c>
      <c r="V58" s="76">
        <f>(Datasheet!V24+Datasheet!V27)*-1</f>
        <v>94</v>
      </c>
      <c r="W58" s="76">
        <f>(Datasheet!W24+Datasheet!W27)*-1</f>
        <v>43.2</v>
      </c>
      <c r="X58" s="76">
        <f>(Datasheet!X24+Datasheet!X27)*-1</f>
        <v>3</v>
      </c>
      <c r="Y58" s="76">
        <f>(Datasheet!Y24+Datasheet!Y27)*-1</f>
        <v>6</v>
      </c>
      <c r="Z58" s="76">
        <f>(Datasheet!Z24+Datasheet!Z27)*-1</f>
        <v>0</v>
      </c>
      <c r="AA58" s="76">
        <f>(Datasheet!AA24+Datasheet!AA27)*-1</f>
        <v>2</v>
      </c>
      <c r="AB58" s="76">
        <f>(Datasheet!AB24+Datasheet!AB27)*-1</f>
        <v>5</v>
      </c>
      <c r="AC58" s="76">
        <f>(Datasheet!AC24+Datasheet!AC27)*-1</f>
        <v>1</v>
      </c>
      <c r="AD58" s="76">
        <f>(Datasheet!AD24+Datasheet!AD27)*-1</f>
        <v>0</v>
      </c>
      <c r="AE58" s="76">
        <f>(Datasheet!AE24+Datasheet!AE27)*-1</f>
        <v>0</v>
      </c>
      <c r="AF58" s="76">
        <f>(Datasheet!AF24+Datasheet!AF27)*-1</f>
        <v>0</v>
      </c>
      <c r="AG58" s="76">
        <f>(Datasheet!AG24+Datasheet!AG27)*-1</f>
        <v>0</v>
      </c>
      <c r="AH58" s="76">
        <f>(Datasheet!AH24+Datasheet!AH27)*-1</f>
        <v>0</v>
      </c>
      <c r="AI58" s="76">
        <f>(Datasheet!AI24+Datasheet!AI27)*-1</f>
        <v>0</v>
      </c>
      <c r="AJ58" s="76">
        <f>(Datasheet!AJ24+Datasheet!AJ27)*-1</f>
        <v>0</v>
      </c>
      <c r="AK58" s="76">
        <f>(Datasheet!AK24+Datasheet!AK27)*-1</f>
        <v>0</v>
      </c>
    </row>
    <row r="59" spans="2:37" s="59" customFormat="1" x14ac:dyDescent="0.25">
      <c r="B59" s="75"/>
      <c r="C59" s="59" t="s">
        <v>907</v>
      </c>
      <c r="H5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row>
    <row r="60" spans="2:37" s="74" customFormat="1" x14ac:dyDescent="0.25">
      <c r="B60" s="207"/>
      <c r="D60" s="74" t="s">
        <v>908</v>
      </c>
      <c r="H60" t="s">
        <v>23</v>
      </c>
      <c r="I60" s="76"/>
      <c r="J60" s="76"/>
      <c r="K60" s="76"/>
      <c r="L60" s="76"/>
      <c r="M60" s="76"/>
      <c r="N60" s="76"/>
      <c r="O60" s="76"/>
      <c r="P60" s="76"/>
      <c r="Q60" s="76">
        <f>SUMIFS(ConsevationBuildoutTracker!$U20:$U583,ConsevationBuildoutTracker!$C20:$C583,"S/D",ConsevationBuildoutTracker!$G20:$G583,Q$2)</f>
        <v>27</v>
      </c>
      <c r="R60" s="76">
        <f>SUMIFS(ConsevationBuildoutTracker!$U20:$U583,ConsevationBuildoutTracker!$C20:$C583,"S/D",ConsevationBuildoutTracker!$G20:$G583,R$2)</f>
        <v>1</v>
      </c>
      <c r="S60" s="76">
        <f>SUMIFS(ConsevationBuildoutTracker!$U20:$U583,ConsevationBuildoutTracker!$C20:$C583,"S/D",ConsevationBuildoutTracker!$G20:$G583,S$2)</f>
        <v>4</v>
      </c>
      <c r="T60" s="76">
        <f>SUMIFS(ConsevationBuildoutTracker!$U20:$U583,ConsevationBuildoutTracker!$C20:$C583,"S/D",ConsevationBuildoutTracker!$G20:$G583,T$2)</f>
        <v>11</v>
      </c>
      <c r="U60" s="76">
        <f>SUMIFS(ConsevationBuildoutTracker!$U20:$U583,ConsevationBuildoutTracker!$C20:$C583,"S/D",ConsevationBuildoutTracker!$G20:$G583,U$2)</f>
        <v>0</v>
      </c>
      <c r="V60" s="76">
        <f>SUMIFS(ConsevationBuildoutTracker!$U20:$U583,ConsevationBuildoutTracker!$C20:$C583,"S/D",ConsevationBuildoutTracker!$G20:$G583,V$2)</f>
        <v>3</v>
      </c>
      <c r="W60" s="76">
        <f>SUMIFS(ConsevationBuildoutTracker!$U20:$U583,ConsevationBuildoutTracker!$C20:$C583,"S/D",ConsevationBuildoutTracker!$G20:$G583,W$2)</f>
        <v>4</v>
      </c>
      <c r="X60" s="76">
        <f>SUMIFS(ConsevationBuildoutTracker!$U20:$U583,ConsevationBuildoutTracker!$C20:$C583,"S/D",ConsevationBuildoutTracker!$G20:$G583,X$2)</f>
        <v>60</v>
      </c>
      <c r="Y60" s="76">
        <f>SUMIFS(ConsevationBuildoutTracker!$U20:$U583,ConsevationBuildoutTracker!$C20:$C583,"S/D",ConsevationBuildoutTracker!$G20:$G583,Y$2)</f>
        <v>4</v>
      </c>
      <c r="Z60" s="76">
        <f>SUMIFS(ConsevationBuildoutTracker!$U20:$U583,ConsevationBuildoutTracker!$C20:$C583,"S/D",ConsevationBuildoutTracker!$G20:$G583,Z$2)</f>
        <v>5</v>
      </c>
      <c r="AA60" s="76">
        <f>SUMIFS(ConsevationBuildoutTracker!$U20:$U583,ConsevationBuildoutTracker!$C20:$C583,"S/D",ConsevationBuildoutTracker!$G20:$G583,AA$2)</f>
        <v>2</v>
      </c>
      <c r="AB60" s="76">
        <f>SUMIFS(ConsevationBuildoutTracker!$U20:$U583,ConsevationBuildoutTracker!$C20:$C583,"S/D",ConsevationBuildoutTracker!$G20:$G583,AB$2)</f>
        <v>8</v>
      </c>
      <c r="AC60" s="76">
        <f>SUMIFS(ConsevationBuildoutTracker!$U20:$U583,ConsevationBuildoutTracker!$C20:$C583,"S/D",ConsevationBuildoutTracker!$G20:$G583,AC$2)</f>
        <v>21</v>
      </c>
      <c r="AD60" s="76">
        <f>SUMIFS(ConsevationBuildoutTracker!$U20:$U583,ConsevationBuildoutTracker!$C20:$C583,"S/D",ConsevationBuildoutTracker!$G20:$G583,AD$2)</f>
        <v>2</v>
      </c>
      <c r="AE60" s="76">
        <f>SUMIFS(ConsevationBuildoutTracker!$U20:$U583,ConsevationBuildoutTracker!$C20:$C583,"S/D",ConsevationBuildoutTracker!$G20:$G583,AE$2)</f>
        <v>0</v>
      </c>
      <c r="AF60" s="76">
        <f>SUMIFS(ConsevationBuildoutTracker!$U20:$U583,ConsevationBuildoutTracker!$C20:$C583,"S/D",ConsevationBuildoutTracker!$G20:$G583,AF$2)</f>
        <v>0</v>
      </c>
      <c r="AG60" s="76">
        <f>SUMIFS(ConsevationBuildoutTracker!$U20:$U583,ConsevationBuildoutTracker!$C20:$C583,"S/D",ConsevationBuildoutTracker!$G20:$G583,AG$2)</f>
        <v>0</v>
      </c>
      <c r="AH60" s="76">
        <f>SUMIFS(ConsevationBuildoutTracker!$U20:$U583,ConsevationBuildoutTracker!$C20:$C583,"S/D",ConsevationBuildoutTracker!$G20:$G583,AH$2)</f>
        <v>0</v>
      </c>
      <c r="AI60" s="76">
        <f>SUMIFS(ConsevationBuildoutTracker!$U20:$U583,ConsevationBuildoutTracker!$C20:$C583,"S/D",ConsevationBuildoutTracker!$G20:$G583,AI$2)</f>
        <v>0</v>
      </c>
      <c r="AJ60" s="76">
        <f>SUMIFS(ConsevationBuildoutTracker!$U20:$U583,ConsevationBuildoutTracker!$C20:$C583,"S/D",ConsevationBuildoutTracker!$G20:$G583,AJ$2)</f>
        <v>0</v>
      </c>
      <c r="AK60" s="76">
        <f>SUMIFS(ConsevationBuildoutTracker!$U20:$U583,ConsevationBuildoutTracker!$C20:$C583,"S/D",ConsevationBuildoutTracker!$G20:$G583,AK$2)</f>
        <v>0</v>
      </c>
    </row>
    <row r="61" spans="2:37" s="59" customFormat="1" x14ac:dyDescent="0.25">
      <c r="B61" s="75"/>
      <c r="E61" s="59" t="s">
        <v>909</v>
      </c>
      <c r="H61" t="s">
        <v>23</v>
      </c>
      <c r="I61" s="69"/>
      <c r="J61" s="69"/>
      <c r="K61" s="69"/>
      <c r="L61" s="69"/>
      <c r="M61" s="69"/>
      <c r="N61" s="69"/>
      <c r="O61" s="69"/>
      <c r="P61" s="69"/>
      <c r="Q61" s="69">
        <f>SUMIFS(ConsevationBuildoutTracker!$U20:$U583,ConsevationBuildoutTracker!$C20:$C583,"S/D",ConsevationBuildoutTracker!$Z20:$Z583,"PRD",ConsevationBuildoutTracker!$G20:$G583,Q$2)</f>
        <v>0</v>
      </c>
      <c r="R61" s="69">
        <f>SUMIFS(ConsevationBuildoutTracker!$U20:$U583,ConsevationBuildoutTracker!$C20:$C583,"S/D",ConsevationBuildoutTracker!$Z20:$Z583,"PRD",ConsevationBuildoutTracker!$G20:$G583,R$2)</f>
        <v>0</v>
      </c>
      <c r="S61" s="69">
        <f>SUMIFS(ConsevationBuildoutTracker!$U20:$U583,ConsevationBuildoutTracker!$C20:$C583,"S/D",ConsevationBuildoutTracker!$Z20:$Z583,"PRD",ConsevationBuildoutTracker!$G20:$G583,S$2)</f>
        <v>2</v>
      </c>
      <c r="T61" s="69">
        <f>SUMIFS(ConsevationBuildoutTracker!$U20:$U583,ConsevationBuildoutTracker!$C20:$C583,"S/D",ConsevationBuildoutTracker!$Z20:$Z583,"PRD",ConsevationBuildoutTracker!$G20:$G583,T$2)</f>
        <v>0</v>
      </c>
      <c r="U61" s="69">
        <f>SUMIFS(ConsevationBuildoutTracker!$U20:$U583,ConsevationBuildoutTracker!$C20:$C583,"S/D",ConsevationBuildoutTracker!$Z20:$Z583,"PRD",ConsevationBuildoutTracker!$G20:$G583,U$2)</f>
        <v>0</v>
      </c>
      <c r="V61" s="69">
        <f>SUMIFS(ConsevationBuildoutTracker!$U20:$U583,ConsevationBuildoutTracker!$C20:$C583,"S/D",ConsevationBuildoutTracker!$Z20:$Z583,"PRD",ConsevationBuildoutTracker!$G20:$G583,V$2)</f>
        <v>0</v>
      </c>
      <c r="W61" s="69">
        <f>SUMIFS(ConsevationBuildoutTracker!$U20:$U583,ConsevationBuildoutTracker!$C20:$C583,"S/D",ConsevationBuildoutTracker!$Z20:$Z583,"PRD",ConsevationBuildoutTracker!$G20:$G583,W$2)</f>
        <v>0</v>
      </c>
      <c r="X61" s="69">
        <f>SUMIFS(ConsevationBuildoutTracker!$U20:$U583,ConsevationBuildoutTracker!$C20:$C583,"S/D",ConsevationBuildoutTracker!$Z20:$Z583,"PRD",ConsevationBuildoutTracker!$G20:$G583,X$2)</f>
        <v>4</v>
      </c>
      <c r="Y61" s="69">
        <f>SUMIFS(ConsevationBuildoutTracker!$U20:$U583,ConsevationBuildoutTracker!$C20:$C583,"S/D",ConsevationBuildoutTracker!$Z20:$Z583,"PRD",ConsevationBuildoutTracker!$G20:$G583,Y$2)</f>
        <v>0</v>
      </c>
      <c r="Z61" s="69">
        <f>SUMIFS(ConsevationBuildoutTracker!$U20:$U583,ConsevationBuildoutTracker!$C20:$C583,"S/D",ConsevationBuildoutTracker!$Z20:$Z583,"PRD",ConsevationBuildoutTracker!$G20:$G583,Z$2)</f>
        <v>0</v>
      </c>
      <c r="AA61" s="69">
        <f>SUMIFS(ConsevationBuildoutTracker!$U20:$U583,ConsevationBuildoutTracker!$C20:$C583,"S/D",ConsevationBuildoutTracker!$Z20:$Z583,"PRD",ConsevationBuildoutTracker!$G20:$G583,AA$2)</f>
        <v>0</v>
      </c>
      <c r="AB61" s="69">
        <f>SUMIFS(ConsevationBuildoutTracker!$U20:$U583,ConsevationBuildoutTracker!$C20:$C583,"S/D",ConsevationBuildoutTracker!$Z20:$Z583,"PRD",ConsevationBuildoutTracker!$G20:$G583,AB$2)</f>
        <v>0</v>
      </c>
      <c r="AC61" s="69">
        <f>SUMIFS(ConsevationBuildoutTracker!$U20:$U583,ConsevationBuildoutTracker!$C20:$C583,"S/D",ConsevationBuildoutTracker!$Z20:$Z583,"PRD",ConsevationBuildoutTracker!$G20:$G583,AC$2)</f>
        <v>0</v>
      </c>
      <c r="AD61" s="69">
        <f>SUMIFS(ConsevationBuildoutTracker!$U20:$U583,ConsevationBuildoutTracker!$C20:$C583,"S/D",ConsevationBuildoutTracker!$Z20:$Z583,"PRD",ConsevationBuildoutTracker!$G20:$G583,AD$2)</f>
        <v>0</v>
      </c>
      <c r="AE61" s="69">
        <f>SUMIFS(ConsevationBuildoutTracker!$U20:$U583,ConsevationBuildoutTracker!$C20:$C583,"S/D",ConsevationBuildoutTracker!$Z20:$Z583,"PRD",ConsevationBuildoutTracker!$G20:$G583,AE$2)</f>
        <v>0</v>
      </c>
      <c r="AF61" s="69">
        <f>SUMIFS(ConsevationBuildoutTracker!$U20:$U583,ConsevationBuildoutTracker!$C20:$C583,"S/D",ConsevationBuildoutTracker!$Z20:$Z583,"PRD",ConsevationBuildoutTracker!$G20:$G583,AF$2)</f>
        <v>0</v>
      </c>
      <c r="AG61" s="69">
        <f>SUMIFS(ConsevationBuildoutTracker!$U20:$U583,ConsevationBuildoutTracker!$C20:$C583,"S/D",ConsevationBuildoutTracker!$Z20:$Z583,"PRD",ConsevationBuildoutTracker!$G20:$G583,AG$2)</f>
        <v>0</v>
      </c>
      <c r="AH61" s="69">
        <f>SUMIFS(ConsevationBuildoutTracker!$U20:$U583,ConsevationBuildoutTracker!$C20:$C583,"S/D",ConsevationBuildoutTracker!$Z20:$Z583,"PRD",ConsevationBuildoutTracker!$G20:$G583,AH$2)</f>
        <v>0</v>
      </c>
      <c r="AI61" s="69">
        <f>SUMIFS(ConsevationBuildoutTracker!$U20:$U583,ConsevationBuildoutTracker!$C20:$C583,"S/D",ConsevationBuildoutTracker!$Z20:$Z583,"PRD",ConsevationBuildoutTracker!$G20:$G583,AI$2)</f>
        <v>0</v>
      </c>
      <c r="AJ61" s="69">
        <f>SUMIFS(ConsevationBuildoutTracker!$U20:$U583,ConsevationBuildoutTracker!$C20:$C583,"S/D",ConsevationBuildoutTracker!$Z20:$Z583,"PRD",ConsevationBuildoutTracker!$G20:$G583,AJ$2)</f>
        <v>0</v>
      </c>
      <c r="AK61" s="69">
        <f>SUMIFS(ConsevationBuildoutTracker!$U20:$U583,ConsevationBuildoutTracker!$C20:$C583,"S/D",ConsevationBuildoutTracker!$Z20:$Z583,"PRD",ConsevationBuildoutTracker!$G20:$G583,AK$2)</f>
        <v>0</v>
      </c>
    </row>
    <row r="62" spans="2:37" s="59" customFormat="1" x14ac:dyDescent="0.25">
      <c r="B62" s="75"/>
      <c r="E62" s="59" t="s">
        <v>910</v>
      </c>
      <c r="H62" t="s">
        <v>23</v>
      </c>
      <c r="I62" s="69"/>
      <c r="J62" s="69"/>
      <c r="K62" s="69"/>
      <c r="L62" s="69"/>
      <c r="M62" s="69"/>
      <c r="N62" s="69"/>
      <c r="O62" s="69"/>
      <c r="P62" s="69"/>
      <c r="Q62" s="69">
        <f>SUMIFS(ConsevationBuildoutTracker!$U20:$U583,ConsevationBuildoutTracker!$C20:$C583,"S/D",ConsevationBuildoutTracker!$Z20:$Z583,"35",ConsevationBuildoutTracker!$G20:$G583,Q$2)</f>
        <v>2</v>
      </c>
      <c r="R62" s="69">
        <f>SUMIFS(ConsevationBuildoutTracker!$U20:$U583,ConsevationBuildoutTracker!$C20:$C583,"S/D",ConsevationBuildoutTracker!$Z20:$Z583,"35",ConsevationBuildoutTracker!$G20:$G583,R$2)</f>
        <v>0</v>
      </c>
      <c r="S62" s="69">
        <f>SUMIFS(ConsevationBuildoutTracker!$U20:$U583,ConsevationBuildoutTracker!$C20:$C583,"S/D",ConsevationBuildoutTracker!$Z20:$Z583,"35",ConsevationBuildoutTracker!$G20:$G583,S$2)</f>
        <v>0</v>
      </c>
      <c r="T62" s="69">
        <f>SUMIFS(ConsevationBuildoutTracker!$U20:$U583,ConsevationBuildoutTracker!$C20:$C583,"S/D",ConsevationBuildoutTracker!$Z20:$Z583,"35",ConsevationBuildoutTracker!$G20:$G583,T$2)</f>
        <v>1</v>
      </c>
      <c r="U62" s="69">
        <f>SUMIFS(ConsevationBuildoutTracker!$U20:$U583,ConsevationBuildoutTracker!$C20:$C583,"S/D",ConsevationBuildoutTracker!$Z20:$Z583,"35",ConsevationBuildoutTracker!$G20:$G583,U$2)</f>
        <v>0</v>
      </c>
      <c r="V62" s="69">
        <f>SUMIFS(ConsevationBuildoutTracker!$U20:$U583,ConsevationBuildoutTracker!$C20:$C583,"S/D",ConsevationBuildoutTracker!$Z20:$Z583,"35",ConsevationBuildoutTracker!$G20:$G583,V$2)</f>
        <v>3</v>
      </c>
      <c r="W62" s="69">
        <f>SUMIFS(ConsevationBuildoutTracker!$U20:$U583,ConsevationBuildoutTracker!$C20:$C583,"S/D",ConsevationBuildoutTracker!$Z20:$Z583,"35",ConsevationBuildoutTracker!$G20:$G583,W$2)</f>
        <v>1</v>
      </c>
      <c r="X62" s="69">
        <f>SUMIFS(ConsevationBuildoutTracker!$U20:$U583,ConsevationBuildoutTracker!$C20:$C583,"S/D",ConsevationBuildoutTracker!$Z20:$Z583,"35",ConsevationBuildoutTracker!$G20:$G583,X$2)</f>
        <v>21</v>
      </c>
      <c r="Y62" s="69">
        <f>SUMIFS(ConsevationBuildoutTracker!$U20:$U583,ConsevationBuildoutTracker!$C20:$C583,"S/D",ConsevationBuildoutTracker!$Z20:$Z583,"35",ConsevationBuildoutTracker!$G20:$G583,Y$2)</f>
        <v>3</v>
      </c>
      <c r="Z62" s="69">
        <f>SUMIFS(ConsevationBuildoutTracker!$U20:$U583,ConsevationBuildoutTracker!$C20:$C583,"S/D",ConsevationBuildoutTracker!$Z20:$Z583,"35",ConsevationBuildoutTracker!$G20:$G583,Z$2)</f>
        <v>1</v>
      </c>
      <c r="AA62" s="69">
        <f>SUMIFS(ConsevationBuildoutTracker!$U20:$U583,ConsevationBuildoutTracker!$C20:$C583,"S/D",ConsevationBuildoutTracker!$Z20:$Z583,"35",ConsevationBuildoutTracker!$G20:$G583,AA$2)</f>
        <v>2</v>
      </c>
      <c r="AB62" s="69">
        <f>SUMIFS(ConsevationBuildoutTracker!$U20:$U583,ConsevationBuildoutTracker!$C20:$C583,"S/D",ConsevationBuildoutTracker!$Z20:$Z583,"35",ConsevationBuildoutTracker!$G20:$G583,AB$2)</f>
        <v>0</v>
      </c>
      <c r="AC62" s="69">
        <f>SUMIFS(ConsevationBuildoutTracker!$U20:$U583,ConsevationBuildoutTracker!$C20:$C583,"S/D",ConsevationBuildoutTracker!$Z20:$Z583,"35",ConsevationBuildoutTracker!$G20:$G583,AC$2)</f>
        <v>1</v>
      </c>
      <c r="AD62" s="69">
        <f>SUMIFS(ConsevationBuildoutTracker!$U20:$U583,ConsevationBuildoutTracker!$C20:$C583,"S/D",ConsevationBuildoutTracker!$Z20:$Z583,"35",ConsevationBuildoutTracker!$G20:$G583,AD$2)</f>
        <v>0</v>
      </c>
      <c r="AE62" s="69">
        <f>SUMIFS(ConsevationBuildoutTracker!$U20:$U583,ConsevationBuildoutTracker!$C20:$C583,"S/D",ConsevationBuildoutTracker!$Z20:$Z583,"35",ConsevationBuildoutTracker!$G20:$G583,AE$2)</f>
        <v>0</v>
      </c>
      <c r="AF62" s="69">
        <f>SUMIFS(ConsevationBuildoutTracker!$U20:$U583,ConsevationBuildoutTracker!$C20:$C583,"S/D",ConsevationBuildoutTracker!$Z20:$Z583,"35",ConsevationBuildoutTracker!$G20:$G583,AF$2)</f>
        <v>0</v>
      </c>
      <c r="AG62" s="69">
        <f>SUMIFS(ConsevationBuildoutTracker!$U20:$U583,ConsevationBuildoutTracker!$C20:$C583,"S/D",ConsevationBuildoutTracker!$Z20:$Z583,"35",ConsevationBuildoutTracker!$G20:$G583,AG$2)</f>
        <v>0</v>
      </c>
      <c r="AH62" s="69">
        <f>SUMIFS(ConsevationBuildoutTracker!$U20:$U583,ConsevationBuildoutTracker!$C20:$C583,"S/D",ConsevationBuildoutTracker!$Z20:$Z583,"35",ConsevationBuildoutTracker!$G20:$G583,AH$2)</f>
        <v>0</v>
      </c>
      <c r="AI62" s="69">
        <f>SUMIFS(ConsevationBuildoutTracker!$U20:$U583,ConsevationBuildoutTracker!$C20:$C583,"S/D",ConsevationBuildoutTracker!$Z20:$Z583,"35",ConsevationBuildoutTracker!$G20:$G583,AI$2)</f>
        <v>0</v>
      </c>
      <c r="AJ62" s="69">
        <f>SUMIFS(ConsevationBuildoutTracker!$U20:$U583,ConsevationBuildoutTracker!$C20:$C583,"S/D",ConsevationBuildoutTracker!$Z20:$Z583,"35",ConsevationBuildoutTracker!$G20:$G583,AJ$2)</f>
        <v>0</v>
      </c>
      <c r="AK62" s="69">
        <f>SUMIFS(ConsevationBuildoutTracker!$U20:$U583,ConsevationBuildoutTracker!$C20:$C583,"S/D",ConsevationBuildoutTracker!$Z20:$Z583,"35",ConsevationBuildoutTracker!$G20:$G583,AK$2)</f>
        <v>0</v>
      </c>
    </row>
    <row r="63" spans="2:37" s="59" customFormat="1" x14ac:dyDescent="0.25">
      <c r="B63" s="75"/>
      <c r="E63" s="59" t="s">
        <v>911</v>
      </c>
      <c r="H63" t="s">
        <v>23</v>
      </c>
      <c r="I63" s="69"/>
      <c r="J63" s="69"/>
      <c r="K63" s="69"/>
      <c r="L63" s="69"/>
      <c r="M63" s="69"/>
      <c r="N63" s="69"/>
      <c r="O63" s="69"/>
      <c r="P63" s="69"/>
      <c r="Q63" s="69">
        <f>Q60-SUM(Q61:Q62)</f>
        <v>25</v>
      </c>
      <c r="R63" s="69">
        <f>R60-SUM(R61:R62)</f>
        <v>1</v>
      </c>
      <c r="S63" s="69">
        <f t="shared" ref="S63:AK63" si="3">S60-SUM(S61:S62)</f>
        <v>2</v>
      </c>
      <c r="T63" s="69">
        <f t="shared" si="3"/>
        <v>10</v>
      </c>
      <c r="U63" s="69">
        <f t="shared" si="3"/>
        <v>0</v>
      </c>
      <c r="V63" s="69">
        <f t="shared" si="3"/>
        <v>0</v>
      </c>
      <c r="W63" s="69">
        <f t="shared" si="3"/>
        <v>3</v>
      </c>
      <c r="X63" s="69">
        <f t="shared" si="3"/>
        <v>35</v>
      </c>
      <c r="Y63" s="69">
        <f t="shared" si="3"/>
        <v>1</v>
      </c>
      <c r="Z63" s="69">
        <f t="shared" si="3"/>
        <v>4</v>
      </c>
      <c r="AA63" s="69">
        <f t="shared" si="3"/>
        <v>0</v>
      </c>
      <c r="AB63" s="69">
        <f t="shared" si="3"/>
        <v>8</v>
      </c>
      <c r="AC63" s="69">
        <f t="shared" si="3"/>
        <v>20</v>
      </c>
      <c r="AD63" s="69">
        <f t="shared" si="3"/>
        <v>2</v>
      </c>
      <c r="AE63" s="69">
        <f t="shared" si="3"/>
        <v>0</v>
      </c>
      <c r="AF63" s="69">
        <f t="shared" si="3"/>
        <v>0</v>
      </c>
      <c r="AG63" s="69">
        <f t="shared" si="3"/>
        <v>0</v>
      </c>
      <c r="AH63" s="69">
        <f t="shared" si="3"/>
        <v>0</v>
      </c>
      <c r="AI63" s="69">
        <f t="shared" si="3"/>
        <v>0</v>
      </c>
      <c r="AJ63" s="69">
        <f t="shared" si="3"/>
        <v>0</v>
      </c>
      <c r="AK63" s="69">
        <f t="shared" si="3"/>
        <v>0</v>
      </c>
    </row>
    <row r="64" spans="2:37" s="74" customFormat="1" x14ac:dyDescent="0.25">
      <c r="B64" s="207"/>
      <c r="D64" s="74" t="s">
        <v>912</v>
      </c>
      <c r="H64" t="s">
        <v>904</v>
      </c>
      <c r="I64" s="76"/>
      <c r="J64" s="76"/>
      <c r="K64" s="76"/>
      <c r="L64" s="76"/>
      <c r="M64" s="76"/>
      <c r="N64" s="76"/>
      <c r="O64" s="76"/>
      <c r="P64" s="76"/>
      <c r="Q64" s="76">
        <f>SUMIFS(ConsevationBuildoutTracker!$V20:$V583,ConsevationBuildoutTracker!$C20:$C583,"S/D",ConsevationBuildoutTracker!$G20:$G583,Q$2)</f>
        <v>152.51</v>
      </c>
      <c r="R64" s="76">
        <f>SUMIFS(ConsevationBuildoutTracker!$V20:$V583,ConsevationBuildoutTracker!$C20:$C583,"S/D",ConsevationBuildoutTracker!$G20:$G583,R$2)</f>
        <v>33.64</v>
      </c>
      <c r="S64" s="76">
        <f>SUMIFS(ConsevationBuildoutTracker!$V20:$V583,ConsevationBuildoutTracker!$C20:$C583,"S/D",ConsevationBuildoutTracker!$G20:$G583,S$2)</f>
        <v>37.03</v>
      </c>
      <c r="T64" s="76">
        <f>SUMIFS(ConsevationBuildoutTracker!$V20:$V583,ConsevationBuildoutTracker!$C20:$C583,"S/D",ConsevationBuildoutTracker!$G20:$G583,T$2)</f>
        <v>82.490000000000009</v>
      </c>
      <c r="U64" s="76">
        <f>SUMIFS(ConsevationBuildoutTracker!$V20:$V583,ConsevationBuildoutTracker!$C20:$C583,"S/D",ConsevationBuildoutTracker!$G20:$G583,U$2)</f>
        <v>0</v>
      </c>
      <c r="V64" s="76">
        <f>SUMIFS(ConsevationBuildoutTracker!$V20:$V583,ConsevationBuildoutTracker!$C20:$C583,"S/D",ConsevationBuildoutTracker!$G20:$G583,V$2)</f>
        <v>111.39</v>
      </c>
      <c r="W64" s="76">
        <f>SUMIFS(ConsevationBuildoutTracker!$V20:$V583,ConsevationBuildoutTracker!$C20:$C583,"S/D",ConsevationBuildoutTracker!$G20:$G583,W$2)</f>
        <v>63.9</v>
      </c>
      <c r="X64" s="76">
        <f>SUMIFS(ConsevationBuildoutTracker!$V20:$V583,ConsevationBuildoutTracker!$C20:$C583,"S/D",ConsevationBuildoutTracker!$G20:$G583,X$2)</f>
        <v>1045.7499999999998</v>
      </c>
      <c r="Y64" s="76">
        <f>SUMIFS(ConsevationBuildoutTracker!$V20:$V583,ConsevationBuildoutTracker!$C20:$C583,"S/D",ConsevationBuildoutTracker!$G20:$G583,Y$2)</f>
        <v>281.37</v>
      </c>
      <c r="Z64" s="76">
        <f>SUMIFS(ConsevationBuildoutTracker!$V20:$V583,ConsevationBuildoutTracker!$C20:$C583,"S/D",ConsevationBuildoutTracker!$G20:$G583,Z$2)</f>
        <v>148.78</v>
      </c>
      <c r="AA64" s="76">
        <f>SUMIFS(ConsevationBuildoutTracker!$V20:$V583,ConsevationBuildoutTracker!$C20:$C583,"S/D",ConsevationBuildoutTracker!$G20:$G583,AA$2)</f>
        <v>152.85</v>
      </c>
      <c r="AB64" s="76">
        <f>SUMIFS(ConsevationBuildoutTracker!$V20:$V583,ConsevationBuildoutTracker!$C20:$C583,"S/D",ConsevationBuildoutTracker!$G20:$G583,AB$2)</f>
        <v>199.37</v>
      </c>
      <c r="AC64" s="76">
        <f>SUMIFS(ConsevationBuildoutTracker!$V20:$V583,ConsevationBuildoutTracker!$C20:$C583,"S/D",ConsevationBuildoutTracker!$G20:$G583,AC$2)</f>
        <v>359.83</v>
      </c>
      <c r="AD64" s="76">
        <f>SUMIFS(ConsevationBuildoutTracker!$V20:$V583,ConsevationBuildoutTracker!$C20:$C583,"S/D",ConsevationBuildoutTracker!$G20:$G583,AD$2)</f>
        <v>39.42</v>
      </c>
      <c r="AE64" s="76">
        <f>SUMIFS(ConsevationBuildoutTracker!$V20:$V583,ConsevationBuildoutTracker!$C20:$C583,"S/D",ConsevationBuildoutTracker!$G20:$G583,AE$2)</f>
        <v>0</v>
      </c>
      <c r="AF64" s="76">
        <f>SUMIFS(ConsevationBuildoutTracker!$V20:$V583,ConsevationBuildoutTracker!$C20:$C583,"S/D",ConsevationBuildoutTracker!$G20:$G583,AF$2)</f>
        <v>0</v>
      </c>
      <c r="AG64" s="76">
        <f>SUMIFS(ConsevationBuildoutTracker!$V20:$V583,ConsevationBuildoutTracker!$C20:$C583,"S/D",ConsevationBuildoutTracker!$G20:$G583,AG$2)</f>
        <v>0</v>
      </c>
      <c r="AH64" s="76">
        <f>SUMIFS(ConsevationBuildoutTracker!$V20:$V583,ConsevationBuildoutTracker!$C20:$C583,"S/D",ConsevationBuildoutTracker!$G20:$G583,AH$2)</f>
        <v>0</v>
      </c>
      <c r="AI64" s="76">
        <f>SUMIFS(ConsevationBuildoutTracker!$V20:$V583,ConsevationBuildoutTracker!$C20:$C583,"S/D",ConsevationBuildoutTracker!$G20:$G583,AI$2)</f>
        <v>0</v>
      </c>
      <c r="AJ64" s="76">
        <f>SUMIFS(ConsevationBuildoutTracker!$V20:$V583,ConsevationBuildoutTracker!$C20:$C583,"S/D",ConsevationBuildoutTracker!$G20:$G583,AJ$2)</f>
        <v>0</v>
      </c>
      <c r="AK64" s="76">
        <f>SUMIFS(ConsevationBuildoutTracker!$V20:$V583,ConsevationBuildoutTracker!$C20:$C583,"S/D",ConsevationBuildoutTracker!$G20:$G583,AK$2)</f>
        <v>0</v>
      </c>
    </row>
    <row r="65" spans="1:37" s="59" customFormat="1" x14ac:dyDescent="0.25">
      <c r="B65" s="75"/>
      <c r="E65" s="59" t="s">
        <v>901</v>
      </c>
      <c r="H65" t="s">
        <v>904</v>
      </c>
      <c r="I65" s="69"/>
      <c r="J65" s="69"/>
      <c r="K65" s="69"/>
      <c r="L65" s="69"/>
      <c r="M65" s="69"/>
      <c r="N65" s="69"/>
      <c r="O65" s="69"/>
      <c r="P65" s="69"/>
      <c r="Q65" s="69">
        <f>SUMIFS(ConsevationBuildoutTracker!$W20:$W583,ConsevationBuildoutTracker!$C20:$C583,"S/D",ConsevationBuildoutTracker!$G20:$G583,Q$2)</f>
        <v>134.22</v>
      </c>
      <c r="R65" s="69">
        <f>SUMIFS(ConsevationBuildoutTracker!$W20:$W583,ConsevationBuildoutTracker!$C20:$C583,"S/D",ConsevationBuildoutTracker!$G20:$G583,R$2)</f>
        <v>33.64</v>
      </c>
      <c r="S65" s="69">
        <f>SUMIFS(ConsevationBuildoutTracker!$W20:$W583,ConsevationBuildoutTracker!$C20:$C583,"S/D",ConsevationBuildoutTracker!$G20:$G583,S$2)</f>
        <v>3</v>
      </c>
      <c r="T65" s="69">
        <f>SUMIFS(ConsevationBuildoutTracker!$W20:$W583,ConsevationBuildoutTracker!$C20:$C583,"S/D",ConsevationBuildoutTracker!$G20:$G583,T$2)</f>
        <v>52.17</v>
      </c>
      <c r="U65" s="69">
        <f>SUMIFS(ConsevationBuildoutTracker!$W20:$W583,ConsevationBuildoutTracker!$C20:$C583,"S/D",ConsevationBuildoutTracker!$G20:$G583,U$2)</f>
        <v>0</v>
      </c>
      <c r="V65" s="69">
        <f>SUMIFS(ConsevationBuildoutTracker!$W20:$W583,ConsevationBuildoutTracker!$C20:$C583,"S/D",ConsevationBuildoutTracker!$G20:$G583,V$2)</f>
        <v>91.059999999999988</v>
      </c>
      <c r="W65" s="69">
        <f>SUMIFS(ConsevationBuildoutTracker!$W20:$W583,ConsevationBuildoutTracker!$C20:$C583,"S/D",ConsevationBuildoutTracker!$G20:$G583,W$2)</f>
        <v>45.81</v>
      </c>
      <c r="X65" s="69">
        <f>SUMIFS(ConsevationBuildoutTracker!$W20:$W583,ConsevationBuildoutTracker!$C20:$C583,"S/D",ConsevationBuildoutTracker!$G20:$G583,X$2)</f>
        <v>939.24999999999989</v>
      </c>
      <c r="Y65" s="69">
        <f>SUMIFS(ConsevationBuildoutTracker!$W20:$W583,ConsevationBuildoutTracker!$C20:$C583,"S/D",ConsevationBuildoutTracker!$G20:$G583,Y$2)</f>
        <v>129.72</v>
      </c>
      <c r="Z65" s="69">
        <f>SUMIFS(ConsevationBuildoutTracker!$W20:$W583,ConsevationBuildoutTracker!$C20:$C583,"S/D",ConsevationBuildoutTracker!$G20:$G583,Z$2)</f>
        <v>40.050000000000004</v>
      </c>
      <c r="AA65" s="69">
        <f>SUMIFS(ConsevationBuildoutTracker!$W20:$W583,ConsevationBuildoutTracker!$C20:$C583,"S/D",ConsevationBuildoutTracker!$G20:$G583,AA$2)</f>
        <v>0</v>
      </c>
      <c r="AB65" s="69">
        <f>SUMIFS(ConsevationBuildoutTracker!$W20:$W583,ConsevationBuildoutTracker!$C20:$C583,"S/D",ConsevationBuildoutTracker!$G20:$G583,AB$2)</f>
        <v>35.9</v>
      </c>
      <c r="AC65" s="69">
        <f>SUMIFS(ConsevationBuildoutTracker!$W20:$W583,ConsevationBuildoutTracker!$C20:$C583,"S/D",ConsevationBuildoutTracker!$G20:$G583,AC$2)</f>
        <v>156.68</v>
      </c>
      <c r="AD65" s="69">
        <f>SUMIFS(ConsevationBuildoutTracker!$W20:$W583,ConsevationBuildoutTracker!$C20:$C583,"S/D",ConsevationBuildoutTracker!$G20:$G583,AD$2)</f>
        <v>39.42</v>
      </c>
      <c r="AE65" s="69">
        <f>SUMIFS(ConsevationBuildoutTracker!$W20:$W583,ConsevationBuildoutTracker!$C20:$C583,"S/D",ConsevationBuildoutTracker!$G20:$G583,AE$2)</f>
        <v>0</v>
      </c>
      <c r="AF65" s="69">
        <f>SUMIFS(ConsevationBuildoutTracker!$W20:$W583,ConsevationBuildoutTracker!$C20:$C583,"S/D",ConsevationBuildoutTracker!$G20:$G583,AF$2)</f>
        <v>0</v>
      </c>
      <c r="AG65" s="69">
        <f>SUMIFS(ConsevationBuildoutTracker!$W20:$W583,ConsevationBuildoutTracker!$C20:$C583,"S/D",ConsevationBuildoutTracker!$G20:$G583,AG$2)</f>
        <v>0</v>
      </c>
      <c r="AH65" s="69">
        <f>SUMIFS(ConsevationBuildoutTracker!$W20:$W583,ConsevationBuildoutTracker!$C20:$C583,"S/D",ConsevationBuildoutTracker!$G20:$G583,AH$2)</f>
        <v>0</v>
      </c>
      <c r="AI65" s="69">
        <f>SUMIFS(ConsevationBuildoutTracker!$W20:$W583,ConsevationBuildoutTracker!$C20:$C583,"S/D",ConsevationBuildoutTracker!$G20:$G583,AI$2)</f>
        <v>0</v>
      </c>
      <c r="AJ65" s="69">
        <f>SUMIFS(ConsevationBuildoutTracker!$W20:$W583,ConsevationBuildoutTracker!$C20:$C583,"S/D",ConsevationBuildoutTracker!$G20:$G583,AJ$2)</f>
        <v>0</v>
      </c>
      <c r="AK65" s="69">
        <f>SUMIFS(ConsevationBuildoutTracker!$W20:$W583,ConsevationBuildoutTracker!$C20:$C583,"S/D",ConsevationBuildoutTracker!$G20:$G583,AK$2)</f>
        <v>0</v>
      </c>
    </row>
    <row r="66" spans="1:37" s="59" customFormat="1" x14ac:dyDescent="0.25">
      <c r="B66" s="75"/>
      <c r="E66" s="59" t="s">
        <v>902</v>
      </c>
      <c r="H66" t="s">
        <v>904</v>
      </c>
      <c r="I66" s="69"/>
      <c r="J66" s="69"/>
      <c r="K66" s="69"/>
      <c r="L66" s="69"/>
      <c r="M66" s="69"/>
      <c r="N66" s="69"/>
      <c r="O66" s="69"/>
      <c r="P66" s="69"/>
      <c r="Q66" s="69">
        <f>SUMIFS(ConsevationBuildoutTracker!$X20:$X583,ConsevationBuildoutTracker!$C20:$C583,"S/D",ConsevationBuildoutTracker!$G20:$G583,Q$2)</f>
        <v>10.82</v>
      </c>
      <c r="R66" s="69">
        <f>SUMIFS(ConsevationBuildoutTracker!$X20:$X583,ConsevationBuildoutTracker!$C20:$C583,"S/D",ConsevationBuildoutTracker!$G20:$G583,R$2)</f>
        <v>0</v>
      </c>
      <c r="S66" s="69">
        <f>SUMIFS(ConsevationBuildoutTracker!$X20:$X583,ConsevationBuildoutTracker!$C20:$C583,"S/D",ConsevationBuildoutTracker!$G20:$G583,S$2)</f>
        <v>0</v>
      </c>
      <c r="T66" s="69">
        <f>SUMIFS(ConsevationBuildoutTracker!$X20:$X583,ConsevationBuildoutTracker!$C20:$C583,"S/D",ConsevationBuildoutTracker!$G20:$G583,T$2)</f>
        <v>0</v>
      </c>
      <c r="U66" s="69">
        <f>SUMIFS(ConsevationBuildoutTracker!$X20:$X583,ConsevationBuildoutTracker!$C20:$C583,"S/D",ConsevationBuildoutTracker!$G20:$G583,U$2)</f>
        <v>0</v>
      </c>
      <c r="V66" s="69">
        <f>SUMIFS(ConsevationBuildoutTracker!$X20:$X583,ConsevationBuildoutTracker!$C20:$C583,"S/D",ConsevationBuildoutTracker!$G20:$G583,V$2)</f>
        <v>37.86</v>
      </c>
      <c r="W66" s="69">
        <f>SUMIFS(ConsevationBuildoutTracker!$X20:$X583,ConsevationBuildoutTracker!$C20:$C583,"S/D",ConsevationBuildoutTracker!$G20:$G583,W$2)</f>
        <v>35.01</v>
      </c>
      <c r="X66" s="69">
        <f>SUMIFS(ConsevationBuildoutTracker!$X20:$X583,ConsevationBuildoutTracker!$C20:$C583,"S/D",ConsevationBuildoutTracker!$G20:$G583,X$2)</f>
        <v>845.38999999999987</v>
      </c>
      <c r="Y66" s="69">
        <f>SUMIFS(ConsevationBuildoutTracker!$X20:$X583,ConsevationBuildoutTracker!$C20:$C583,"S/D",ConsevationBuildoutTracker!$G20:$G583,Y$2)</f>
        <v>79.86</v>
      </c>
      <c r="Z66" s="69">
        <f>SUMIFS(ConsevationBuildoutTracker!$X20:$X583,ConsevationBuildoutTracker!$C20:$C583,"S/D",ConsevationBuildoutTracker!$G20:$G583,Z$2)</f>
        <v>0</v>
      </c>
      <c r="AA66" s="69">
        <f>SUMIFS(ConsevationBuildoutTracker!$X20:$X583,ConsevationBuildoutTracker!$C20:$C583,"S/D",ConsevationBuildoutTracker!$G20:$G583,AA$2)</f>
        <v>152.85</v>
      </c>
      <c r="AB66" s="69">
        <f>SUMIFS(ConsevationBuildoutTracker!$X20:$X583,ConsevationBuildoutTracker!$C20:$C583,"S/D",ConsevationBuildoutTracker!$G20:$G583,AB$2)</f>
        <v>0</v>
      </c>
      <c r="AC66" s="69">
        <f>SUMIFS(ConsevationBuildoutTracker!$X20:$X583,ConsevationBuildoutTracker!$C20:$C583,"S/D",ConsevationBuildoutTracker!$G20:$G583,AC$2)</f>
        <v>0</v>
      </c>
      <c r="AD66" s="69">
        <f>SUMIFS(ConsevationBuildoutTracker!$X20:$X583,ConsevationBuildoutTracker!$C20:$C583,"S/D",ConsevationBuildoutTracker!$G20:$G583,AD$2)</f>
        <v>0</v>
      </c>
      <c r="AE66" s="69">
        <f>SUMIFS(ConsevationBuildoutTracker!$X20:$X583,ConsevationBuildoutTracker!$C20:$C583,"S/D",ConsevationBuildoutTracker!$G20:$G583,AE$2)</f>
        <v>0</v>
      </c>
      <c r="AF66" s="69">
        <f>SUMIFS(ConsevationBuildoutTracker!$X20:$X583,ConsevationBuildoutTracker!$C20:$C583,"S/D",ConsevationBuildoutTracker!$G20:$G583,AF$2)</f>
        <v>0</v>
      </c>
      <c r="AG66" s="69">
        <f>SUMIFS(ConsevationBuildoutTracker!$X20:$X583,ConsevationBuildoutTracker!$C20:$C583,"S/D",ConsevationBuildoutTracker!$G20:$G583,AG$2)</f>
        <v>0</v>
      </c>
      <c r="AH66" s="69">
        <f>SUMIFS(ConsevationBuildoutTracker!$X20:$X583,ConsevationBuildoutTracker!$C20:$C583,"S/D",ConsevationBuildoutTracker!$G20:$G583,AH$2)</f>
        <v>0</v>
      </c>
      <c r="AI66" s="69">
        <f>SUMIFS(ConsevationBuildoutTracker!$X20:$X583,ConsevationBuildoutTracker!$C20:$C583,"S/D",ConsevationBuildoutTracker!$G20:$G583,AI$2)</f>
        <v>0</v>
      </c>
      <c r="AJ66" s="69">
        <f>SUMIFS(ConsevationBuildoutTracker!$X20:$X583,ConsevationBuildoutTracker!$C20:$C583,"S/D",ConsevationBuildoutTracker!$G20:$G583,AJ$2)</f>
        <v>0</v>
      </c>
      <c r="AK66" s="69">
        <f>SUMIFS(ConsevationBuildoutTracker!$X20:$X583,ConsevationBuildoutTracker!$C20:$C583,"S/D",ConsevationBuildoutTracker!$G20:$G583,AK$2)</f>
        <v>0</v>
      </c>
    </row>
    <row r="67" spans="1:37" s="59" customFormat="1" x14ac:dyDescent="0.25">
      <c r="B67" s="75"/>
      <c r="E67" s="59" t="s">
        <v>46</v>
      </c>
      <c r="H67" t="s">
        <v>904</v>
      </c>
      <c r="I67" s="69"/>
      <c r="J67" s="69"/>
      <c r="K67" s="69"/>
      <c r="L67" s="69"/>
      <c r="M67" s="69"/>
      <c r="N67" s="69"/>
      <c r="O67" s="69"/>
      <c r="P67" s="69"/>
      <c r="Q67" s="69">
        <f>SUMIFS(ConsevationBuildoutTracker!$Y20:$Y583,ConsevationBuildoutTracker!$C20:$C583,"S/D",ConsevationBuildoutTracker!$G20:$G583,Q$2)</f>
        <v>0</v>
      </c>
      <c r="R67" s="69">
        <f>SUMIFS(ConsevationBuildoutTracker!$Y20:$Y583,ConsevationBuildoutTracker!$C20:$C583,"S/D",ConsevationBuildoutTracker!$G20:$G583,R$2)</f>
        <v>0</v>
      </c>
      <c r="S67" s="69">
        <f>SUMIFS(ConsevationBuildoutTracker!$Y20:$Y583,ConsevationBuildoutTracker!$C20:$C583,"S/D",ConsevationBuildoutTracker!$G20:$G583,S$2)</f>
        <v>0</v>
      </c>
      <c r="T67" s="69">
        <f>SUMIFS(ConsevationBuildoutTracker!$Y20:$Y583,ConsevationBuildoutTracker!$C20:$C583,"S/D",ConsevationBuildoutTracker!$G20:$G583,T$2)</f>
        <v>74.180000000000007</v>
      </c>
      <c r="U67" s="69">
        <f>SUMIFS(ConsevationBuildoutTracker!$Y20:$Y583,ConsevationBuildoutTracker!$C20:$C583,"S/D",ConsevationBuildoutTracker!$G20:$G583,U$2)</f>
        <v>0</v>
      </c>
      <c r="V67" s="69">
        <f>SUMIFS(ConsevationBuildoutTracker!$Y20:$Y583,ConsevationBuildoutTracker!$C20:$C583,"S/D",ConsevationBuildoutTracker!$G20:$G583,V$2)</f>
        <v>111.39</v>
      </c>
      <c r="W67" s="69">
        <f>SUMIFS(ConsevationBuildoutTracker!$Y20:$Y583,ConsevationBuildoutTracker!$C20:$C583,"S/D",ConsevationBuildoutTracker!$G20:$G583,W$2)</f>
        <v>35.01</v>
      </c>
      <c r="X67" s="69">
        <f>SUMIFS(ConsevationBuildoutTracker!$Y20:$Y583,ConsevationBuildoutTracker!$C20:$C583,"S/D",ConsevationBuildoutTracker!$G20:$G583,X$2)</f>
        <v>854.24</v>
      </c>
      <c r="Y67" s="69">
        <f>SUMIFS(ConsevationBuildoutTracker!$Y20:$Y583,ConsevationBuildoutTracker!$C20:$C583,"S/D",ConsevationBuildoutTracker!$G20:$G583,Y$2)</f>
        <v>281.37</v>
      </c>
      <c r="Z67" s="69">
        <f>SUMIFS(ConsevationBuildoutTracker!$Y20:$Y583,ConsevationBuildoutTracker!$C20:$C583,"S/D",ConsevationBuildoutTracker!$G20:$G583,Z$2)</f>
        <v>101.2</v>
      </c>
      <c r="AA67" s="69">
        <f>SUMIFS(ConsevationBuildoutTracker!$Y20:$Y583,ConsevationBuildoutTracker!$C20:$C583,"S/D",ConsevationBuildoutTracker!$G20:$G583,AA$2)</f>
        <v>152.85</v>
      </c>
      <c r="AB67" s="69">
        <f>SUMIFS(ConsevationBuildoutTracker!$Y20:$Y583,ConsevationBuildoutTracker!$C20:$C583,"S/D",ConsevationBuildoutTracker!$G20:$G583,AB$2)</f>
        <v>26.63</v>
      </c>
      <c r="AC67" s="69">
        <f>SUMIFS(ConsevationBuildoutTracker!$Y20:$Y583,ConsevationBuildoutTracker!$C20:$C583,"S/D",ConsevationBuildoutTracker!$G20:$G583,AC$2)</f>
        <v>289.17</v>
      </c>
      <c r="AD67" s="69">
        <f>SUMIFS(ConsevationBuildoutTracker!$Y20:$Y583,ConsevationBuildoutTracker!$C20:$C583,"S/D",ConsevationBuildoutTracker!$G20:$G583,AD$2)</f>
        <v>0</v>
      </c>
      <c r="AE67" s="69">
        <f>SUMIFS(ConsevationBuildoutTracker!$Y20:$Y583,ConsevationBuildoutTracker!$C20:$C583,"S/D",ConsevationBuildoutTracker!$G20:$G583,AE$2)</f>
        <v>0</v>
      </c>
      <c r="AF67" s="69">
        <f>SUMIFS(ConsevationBuildoutTracker!$Y20:$Y583,ConsevationBuildoutTracker!$C20:$C583,"S/D",ConsevationBuildoutTracker!$G20:$G583,AF$2)</f>
        <v>0</v>
      </c>
      <c r="AG67" s="69">
        <f>SUMIFS(ConsevationBuildoutTracker!$Y20:$Y583,ConsevationBuildoutTracker!$C20:$C583,"S/D",ConsevationBuildoutTracker!$G20:$G583,AG$2)</f>
        <v>0</v>
      </c>
      <c r="AH67" s="69">
        <f>SUMIFS(ConsevationBuildoutTracker!$Y20:$Y583,ConsevationBuildoutTracker!$C20:$C583,"S/D",ConsevationBuildoutTracker!$G20:$G583,AH$2)</f>
        <v>0</v>
      </c>
      <c r="AI67" s="69">
        <f>SUMIFS(ConsevationBuildoutTracker!$Y20:$Y583,ConsevationBuildoutTracker!$C20:$C583,"S/D",ConsevationBuildoutTracker!$G20:$G583,AI$2)</f>
        <v>0</v>
      </c>
      <c r="AJ67" s="69">
        <f>SUMIFS(ConsevationBuildoutTracker!$Y20:$Y583,ConsevationBuildoutTracker!$C20:$C583,"S/D",ConsevationBuildoutTracker!$G20:$G583,AJ$2)</f>
        <v>0</v>
      </c>
      <c r="AK67" s="69">
        <f>SUMIFS(ConsevationBuildoutTracker!$Y20:$Y583,ConsevationBuildoutTracker!$C20:$C583,"S/D",ConsevationBuildoutTracker!$G20:$G583,AK$2)</f>
        <v>0</v>
      </c>
    </row>
    <row r="68" spans="1:37" s="59" customFormat="1" x14ac:dyDescent="0.25">
      <c r="B68" s="75"/>
      <c r="C68" s="59" t="s">
        <v>2259</v>
      </c>
      <c r="H68"/>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row>
    <row r="69" spans="1:37" s="59" customFormat="1" x14ac:dyDescent="0.25">
      <c r="B69" s="75"/>
      <c r="D69" s="74" t="s">
        <v>2260</v>
      </c>
      <c r="H69"/>
      <c r="I69" s="69"/>
      <c r="J69" s="69"/>
      <c r="K69" s="69"/>
      <c r="L69" s="69"/>
      <c r="M69" s="69"/>
      <c r="N69" s="69"/>
      <c r="O69" s="69"/>
      <c r="P69" s="69"/>
      <c r="Q69" s="69"/>
      <c r="R69" s="69"/>
      <c r="S69" s="69">
        <f>SUM($S50:S50)-SUM($S64:S64)</f>
        <v>436.77</v>
      </c>
      <c r="T69" s="69">
        <f>SUM($S50:T50)-SUM($S64:T64)</f>
        <v>613.66</v>
      </c>
      <c r="U69" s="69">
        <f>SUM($S50:U50)-SUM($S64:U64)</f>
        <v>935.74</v>
      </c>
      <c r="V69" s="69">
        <f>SUM($S50:V50)-SUM($S64:V64)</f>
        <v>1249.6499999999999</v>
      </c>
      <c r="W69" s="69">
        <f>SUM($S50:W50)-SUM($S64:W64)</f>
        <v>2020.2599999999998</v>
      </c>
      <c r="X69" s="69">
        <f>SUM($S50:X50)-SUM($S64:X64)</f>
        <v>1087.9100000000001</v>
      </c>
      <c r="Y69" s="69">
        <f>SUM($S50:Y50)-SUM($S64:Y64)</f>
        <v>997.54</v>
      </c>
      <c r="Z69" s="69">
        <f>SUM($S50:Z50)-SUM($S64:Z64)</f>
        <v>850.01300000000015</v>
      </c>
      <c r="AA69" s="69">
        <f>SUM($S50:AA50)-SUM($S64:AA64)</f>
        <v>737.30300000000011</v>
      </c>
      <c r="AB69" s="69">
        <f>SUM($S50:AB50)-SUM($S64:AB64)</f>
        <v>785.68299999999999</v>
      </c>
      <c r="AC69" s="69">
        <f>SUM($S50:AC50)-SUM($S64:AC64)</f>
        <v>515.07299999999987</v>
      </c>
      <c r="AD69" s="69">
        <f>SUM($S50:AD50)-SUM($S64:AD64)</f>
        <v>475.65299999999979</v>
      </c>
      <c r="AE69" s="69">
        <f>SUM($S50:AE50)-SUM($S64:AE64)</f>
        <v>475.65299999999979</v>
      </c>
      <c r="AF69" s="69">
        <f>SUM($S50:AF50)-SUM($S64:AF64)</f>
        <v>475.65299999999979</v>
      </c>
      <c r="AG69" s="69">
        <f>SUM($S50:AG50)-SUM($S64:AG64)</f>
        <v>475.65299999999979</v>
      </c>
      <c r="AH69" s="69">
        <f>SUM($S50:AH50)-SUM($S64:AH64)</f>
        <v>475.65299999999979</v>
      </c>
      <c r="AI69" s="69">
        <f>SUM($S50:AI50)-SUM($S64:AI64)</f>
        <v>475.65299999999979</v>
      </c>
      <c r="AJ69" s="69">
        <f>SUM($S50:AJ50)-SUM($S64:AJ64)</f>
        <v>475.65299999999979</v>
      </c>
      <c r="AK69" s="69">
        <f>SUM($S50:AK50)-SUM($S64:AK64)</f>
        <v>475.65299999999979</v>
      </c>
    </row>
    <row r="70" spans="1:37" s="59" customFormat="1" x14ac:dyDescent="0.25">
      <c r="B70" s="75"/>
      <c r="D70" s="74" t="s">
        <v>2261</v>
      </c>
      <c r="H70"/>
      <c r="I70" s="69"/>
      <c r="J70" s="69"/>
      <c r="K70" s="69"/>
      <c r="L70" s="69"/>
      <c r="M70" s="69"/>
      <c r="N70" s="69"/>
      <c r="O70" s="69"/>
      <c r="P70" s="69"/>
      <c r="Q70" s="69"/>
      <c r="R70" s="69"/>
      <c r="S70" s="69">
        <f>SUM($S58:S58)-SUM($S60:S60)</f>
        <v>27</v>
      </c>
      <c r="T70" s="69">
        <f>SUM($S58:T58)-SUM($S60:T60)</f>
        <v>28</v>
      </c>
      <c r="U70" s="69">
        <f>SUM($S58:U58)-SUM($S60:U60)</f>
        <v>42</v>
      </c>
      <c r="V70" s="69">
        <f>SUM($S58:V58)-SUM($S60:V60)</f>
        <v>133</v>
      </c>
      <c r="W70" s="69">
        <f>SUM($S58:W58)-SUM($S60:W60)</f>
        <v>172.2</v>
      </c>
      <c r="X70" s="69">
        <f>SUM($S58:X58)-SUM($S60:X60)</f>
        <v>115.19999999999999</v>
      </c>
      <c r="Y70" s="69">
        <f>SUM($S58:Y58)-SUM($S60:Y60)</f>
        <v>117.19999999999999</v>
      </c>
      <c r="Z70" s="69">
        <f>SUM($S58:Z58)-SUM($S60:Z60)</f>
        <v>112.19999999999999</v>
      </c>
      <c r="AA70" s="69">
        <f>SUM($S58:AA58)-SUM($S60:AA60)</f>
        <v>112.19999999999999</v>
      </c>
      <c r="AB70" s="69">
        <f>SUM($S58:AB58)-SUM($S60:AB60)</f>
        <v>109.19999999999999</v>
      </c>
      <c r="AC70" s="69">
        <f>SUM($S58:AC58)-SUM($S60:AC60)</f>
        <v>89.199999999999989</v>
      </c>
      <c r="AD70" s="69">
        <f>SUM($S58:AD58)-SUM($S60:AD60)</f>
        <v>87.199999999999989</v>
      </c>
      <c r="AE70" s="69">
        <f>SUM($S58:AE58)-SUM($S60:AE60)</f>
        <v>87.199999999999989</v>
      </c>
      <c r="AF70" s="69">
        <f>SUM($S58:AF58)-SUM($S60:AF60)</f>
        <v>87.199999999999989</v>
      </c>
      <c r="AG70" s="69">
        <f>SUM($S58:AG58)-SUM($S60:AG60)</f>
        <v>87.199999999999989</v>
      </c>
      <c r="AH70" s="69">
        <f>SUM($S58:AH58)-SUM($S60:AH60)</f>
        <v>87.199999999999989</v>
      </c>
      <c r="AI70" s="69">
        <f>SUM($S58:AI58)-SUM($S60:AI60)</f>
        <v>87.199999999999989</v>
      </c>
      <c r="AJ70" s="69">
        <f>SUM($S58:AJ58)-SUM($S60:AJ60)</f>
        <v>87.199999999999989</v>
      </c>
      <c r="AK70" s="69">
        <f>SUM($S58:AK58)-SUM($S60:AK60)</f>
        <v>87.199999999999989</v>
      </c>
    </row>
    <row r="71" spans="1:37" s="59" customFormat="1" x14ac:dyDescent="0.25">
      <c r="B71" s="75"/>
      <c r="H71"/>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row>
    <row r="72" spans="1:37" s="59" customFormat="1" x14ac:dyDescent="0.25">
      <c r="B72" s="75"/>
      <c r="H72"/>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69"/>
      <c r="AH72" s="69"/>
      <c r="AI72" s="69"/>
      <c r="AJ72" s="69"/>
      <c r="AK72" s="69"/>
    </row>
    <row r="73" spans="1:37" s="66" customFormat="1" x14ac:dyDescent="0.25">
      <c r="B73" s="67"/>
      <c r="H73" s="68"/>
      <c r="I73" s="68"/>
      <c r="J73" s="68"/>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c r="AK73" s="68"/>
    </row>
    <row r="74" spans="1:37" s="54" customFormat="1" ht="17.25" x14ac:dyDescent="0.3">
      <c r="A74" s="54" t="s">
        <v>766</v>
      </c>
    </row>
    <row r="75" spans="1:37" x14ac:dyDescent="0.25">
      <c r="B75" s="29" t="s">
        <v>877</v>
      </c>
      <c r="C75" t="s">
        <v>878</v>
      </c>
    </row>
    <row r="76" spans="1:37" x14ac:dyDescent="0.25">
      <c r="B76" s="29" t="s">
        <v>879</v>
      </c>
      <c r="C76" t="s">
        <v>913</v>
      </c>
    </row>
    <row r="77" spans="1:37" x14ac:dyDescent="0.25">
      <c r="B77" s="29" t="s">
        <v>881</v>
      </c>
      <c r="C77" t="s">
        <v>891</v>
      </c>
    </row>
    <row r="78" spans="1:37" x14ac:dyDescent="0.25">
      <c r="B78" s="29"/>
      <c r="C78" t="s">
        <v>914</v>
      </c>
    </row>
    <row r="79" spans="1:37" x14ac:dyDescent="0.25">
      <c r="B79" s="29" t="s">
        <v>883</v>
      </c>
      <c r="C79" t="s">
        <v>884</v>
      </c>
    </row>
    <row r="80" spans="1:37" x14ac:dyDescent="0.25">
      <c r="B80" s="29"/>
      <c r="D80" t="s">
        <v>915</v>
      </c>
    </row>
    <row r="81" spans="1:37" x14ac:dyDescent="0.25">
      <c r="B81" s="29" t="s">
        <v>885</v>
      </c>
      <c r="C81" t="s">
        <v>884</v>
      </c>
    </row>
    <row r="82" spans="1:37" x14ac:dyDescent="0.25">
      <c r="B82" s="29" t="s">
        <v>886</v>
      </c>
      <c r="C82" t="s">
        <v>884</v>
      </c>
    </row>
    <row r="83" spans="1:37" x14ac:dyDescent="0.25">
      <c r="B83" s="29" t="s">
        <v>887</v>
      </c>
      <c r="C83" t="s">
        <v>884</v>
      </c>
    </row>
    <row r="84" spans="1:37" s="71" customFormat="1" ht="15.75" thickBot="1" x14ac:dyDescent="0.3">
      <c r="B84" s="72" t="s">
        <v>19</v>
      </c>
      <c r="C84" s="71" t="s">
        <v>884</v>
      </c>
    </row>
    <row r="85" spans="1:37" s="74" customFormat="1" ht="15.75" thickTop="1" x14ac:dyDescent="0.25">
      <c r="B85" s="75" t="s">
        <v>21</v>
      </c>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row>
    <row r="86" spans="1:37" s="66" customFormat="1" x14ac:dyDescent="0.25">
      <c r="B86" s="67"/>
      <c r="I86" s="68"/>
      <c r="J86" s="68"/>
      <c r="K86" s="68"/>
      <c r="L86" s="68"/>
      <c r="M86" s="68"/>
      <c r="N86" s="68"/>
      <c r="O86" s="68"/>
      <c r="P86" s="68"/>
      <c r="Q86" s="68"/>
      <c r="R86" s="68"/>
      <c r="S86" s="68"/>
      <c r="T86" s="68"/>
      <c r="U86" s="68"/>
      <c r="V86" s="68"/>
      <c r="W86" s="68"/>
      <c r="X86" s="68"/>
      <c r="Y86" s="68"/>
      <c r="Z86" s="68"/>
      <c r="AA86" s="68"/>
      <c r="AB86" s="68"/>
      <c r="AC86" s="68"/>
      <c r="AD86" s="68"/>
      <c r="AE86" s="68"/>
      <c r="AF86" s="68"/>
      <c r="AG86" s="68"/>
      <c r="AH86" s="68"/>
      <c r="AI86" s="68"/>
      <c r="AJ86" s="68"/>
      <c r="AK86" s="68"/>
    </row>
    <row r="87" spans="1:37" s="54" customFormat="1" ht="17.25" x14ac:dyDescent="0.3">
      <c r="A87" s="54" t="s">
        <v>768</v>
      </c>
    </row>
    <row r="88" spans="1:37" x14ac:dyDescent="0.25">
      <c r="B88" s="29" t="s">
        <v>877</v>
      </c>
      <c r="C88" t="s">
        <v>878</v>
      </c>
    </row>
    <row r="89" spans="1:37" x14ac:dyDescent="0.25">
      <c r="B89" s="29" t="s">
        <v>879</v>
      </c>
      <c r="C89" t="s">
        <v>916</v>
      </c>
    </row>
    <row r="90" spans="1:37" x14ac:dyDescent="0.25">
      <c r="B90" s="29" t="s">
        <v>881</v>
      </c>
      <c r="C90" t="s">
        <v>891</v>
      </c>
    </row>
    <row r="91" spans="1:37" x14ac:dyDescent="0.25">
      <c r="B91" s="29"/>
      <c r="C91" t="s">
        <v>914</v>
      </c>
    </row>
    <row r="92" spans="1:37" x14ac:dyDescent="0.25">
      <c r="B92" s="29" t="s">
        <v>883</v>
      </c>
      <c r="C92" t="s">
        <v>884</v>
      </c>
    </row>
    <row r="93" spans="1:37" x14ac:dyDescent="0.25">
      <c r="B93" s="29"/>
      <c r="D93" t="s">
        <v>917</v>
      </c>
    </row>
    <row r="94" spans="1:37" x14ac:dyDescent="0.25">
      <c r="B94" s="29" t="s">
        <v>885</v>
      </c>
      <c r="C94" t="s">
        <v>884</v>
      </c>
    </row>
    <row r="95" spans="1:37" x14ac:dyDescent="0.25">
      <c r="B95" s="29" t="s">
        <v>886</v>
      </c>
      <c r="C95" t="s">
        <v>884</v>
      </c>
    </row>
    <row r="96" spans="1:37" x14ac:dyDescent="0.25">
      <c r="B96" s="29" t="s">
        <v>887</v>
      </c>
      <c r="C96" t="s">
        <v>884</v>
      </c>
    </row>
    <row r="97" spans="1:37" s="71" customFormat="1" ht="15.75" thickBot="1" x14ac:dyDescent="0.3">
      <c r="B97" s="72" t="s">
        <v>19</v>
      </c>
      <c r="C97" s="71" t="s">
        <v>884</v>
      </c>
    </row>
    <row r="98" spans="1:37" s="74" customFormat="1" ht="15.75" thickTop="1" x14ac:dyDescent="0.25">
      <c r="B98" s="75" t="s">
        <v>21</v>
      </c>
      <c r="I98" s="76"/>
      <c r="J98" s="76"/>
      <c r="K98" s="76"/>
      <c r="L98" s="76"/>
      <c r="M98" s="76"/>
      <c r="N98" s="76"/>
      <c r="O98" s="76"/>
      <c r="P98" s="76"/>
      <c r="Q98" s="76"/>
      <c r="R98" s="76"/>
      <c r="S98" s="76"/>
      <c r="T98" s="76"/>
      <c r="U98" s="76"/>
      <c r="V98" s="76"/>
      <c r="W98" s="76"/>
      <c r="X98" s="76"/>
      <c r="Y98" s="76"/>
      <c r="Z98" s="76"/>
      <c r="AA98" s="76"/>
      <c r="AB98" s="76"/>
      <c r="AC98" s="76"/>
      <c r="AD98" s="76"/>
      <c r="AE98" s="76"/>
      <c r="AF98" s="76"/>
      <c r="AG98" s="76"/>
      <c r="AH98" s="76"/>
      <c r="AI98" s="76"/>
      <c r="AJ98" s="76"/>
      <c r="AK98" s="76"/>
    </row>
    <row r="99" spans="1:37" s="66" customFormat="1" x14ac:dyDescent="0.25">
      <c r="B99" s="67"/>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row>
    <row r="100" spans="1:37" s="54" customFormat="1" ht="17.25" x14ac:dyDescent="0.3">
      <c r="A100" s="54" t="s">
        <v>770</v>
      </c>
    </row>
    <row r="101" spans="1:37" x14ac:dyDescent="0.25">
      <c r="B101" s="29" t="s">
        <v>877</v>
      </c>
      <c r="C101" t="s">
        <v>878</v>
      </c>
    </row>
    <row r="102" spans="1:37" x14ac:dyDescent="0.25">
      <c r="B102" s="29" t="s">
        <v>879</v>
      </c>
      <c r="C102" t="s">
        <v>918</v>
      </c>
    </row>
    <row r="103" spans="1:37" x14ac:dyDescent="0.25">
      <c r="B103" s="29" t="s">
        <v>881</v>
      </c>
      <c r="C103" t="s">
        <v>919</v>
      </c>
    </row>
    <row r="104" spans="1:37" x14ac:dyDescent="0.25">
      <c r="B104" s="29" t="s">
        <v>883</v>
      </c>
      <c r="C104" t="s">
        <v>884</v>
      </c>
    </row>
    <row r="105" spans="1:37" x14ac:dyDescent="0.25">
      <c r="B105" s="29" t="s">
        <v>885</v>
      </c>
      <c r="C105" t="s">
        <v>884</v>
      </c>
    </row>
    <row r="106" spans="1:37" x14ac:dyDescent="0.25">
      <c r="B106" s="29" t="s">
        <v>886</v>
      </c>
      <c r="C106" t="s">
        <v>884</v>
      </c>
    </row>
    <row r="107" spans="1:37" x14ac:dyDescent="0.25">
      <c r="B107" s="29" t="s">
        <v>887</v>
      </c>
      <c r="C107" t="s">
        <v>884</v>
      </c>
    </row>
    <row r="108" spans="1:37" s="71" customFormat="1" ht="15.75" thickBot="1" x14ac:dyDescent="0.3">
      <c r="B108" s="72" t="s">
        <v>19</v>
      </c>
      <c r="C108" s="71" t="s">
        <v>884</v>
      </c>
    </row>
    <row r="109" spans="1:37" s="74" customFormat="1" ht="15.75" thickTop="1" x14ac:dyDescent="0.25">
      <c r="B109" s="75" t="s">
        <v>21</v>
      </c>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row>
    <row r="110" spans="1:37" s="66" customFormat="1" x14ac:dyDescent="0.25">
      <c r="B110" s="67"/>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row>
    <row r="111" spans="1:37" s="54" customFormat="1" ht="17.25" x14ac:dyDescent="0.3">
      <c r="A111" s="54" t="s">
        <v>522</v>
      </c>
    </row>
    <row r="112" spans="1:37" s="179" customFormat="1" ht="17.25" x14ac:dyDescent="0.3">
      <c r="B112" s="29" t="s">
        <v>877</v>
      </c>
      <c r="C112" t="s">
        <v>920</v>
      </c>
    </row>
    <row r="113" spans="2:37" s="179" customFormat="1" ht="17.25" x14ac:dyDescent="0.3">
      <c r="B113" s="29" t="s">
        <v>879</v>
      </c>
      <c r="C113" t="s">
        <v>921</v>
      </c>
    </row>
    <row r="114" spans="2:37" x14ac:dyDescent="0.25">
      <c r="B114" s="29" t="s">
        <v>881</v>
      </c>
      <c r="C114" t="s">
        <v>922</v>
      </c>
    </row>
    <row r="115" spans="2:37" x14ac:dyDescent="0.25">
      <c r="B115" s="29" t="s">
        <v>883</v>
      </c>
      <c r="C115" s="263" t="s">
        <v>923</v>
      </c>
    </row>
    <row r="116" spans="2:37" x14ac:dyDescent="0.25">
      <c r="B116" s="29"/>
      <c r="C116" s="263" t="s">
        <v>520</v>
      </c>
    </row>
    <row r="117" spans="2:37" x14ac:dyDescent="0.25">
      <c r="B117" s="29"/>
      <c r="C117" s="263" t="s">
        <v>924</v>
      </c>
    </row>
    <row r="118" spans="2:37" x14ac:dyDescent="0.25">
      <c r="B118" s="29"/>
      <c r="C118" s="263" t="s">
        <v>597</v>
      </c>
    </row>
    <row r="119" spans="2:37" x14ac:dyDescent="0.25">
      <c r="B119" s="29" t="s">
        <v>885</v>
      </c>
      <c r="C119" t="s">
        <v>925</v>
      </c>
    </row>
    <row r="120" spans="2:37" x14ac:dyDescent="0.25">
      <c r="B120" s="29" t="s">
        <v>886</v>
      </c>
      <c r="C120" t="s">
        <v>926</v>
      </c>
    </row>
    <row r="121" spans="2:37" x14ac:dyDescent="0.25">
      <c r="B121" s="29"/>
      <c r="C121" t="s">
        <v>927</v>
      </c>
    </row>
    <row r="122" spans="2:37" x14ac:dyDescent="0.25">
      <c r="B122" s="29"/>
      <c r="C122" t="s">
        <v>928</v>
      </c>
    </row>
    <row r="123" spans="2:37" x14ac:dyDescent="0.25">
      <c r="B123" s="29" t="s">
        <v>887</v>
      </c>
      <c r="C123" t="s">
        <v>929</v>
      </c>
    </row>
    <row r="124" spans="2:37" x14ac:dyDescent="0.25">
      <c r="B124" s="29"/>
      <c r="C124" t="s">
        <v>930</v>
      </c>
    </row>
    <row r="125" spans="2:37" x14ac:dyDescent="0.25">
      <c r="B125" s="29"/>
      <c r="C125" t="s">
        <v>931</v>
      </c>
    </row>
    <row r="126" spans="2:37" x14ac:dyDescent="0.25">
      <c r="B126" s="29"/>
      <c r="C126" t="s">
        <v>932</v>
      </c>
    </row>
    <row r="127" spans="2:37" s="71" customFormat="1" ht="15.75" thickBot="1" x14ac:dyDescent="0.3">
      <c r="B127" s="72" t="s">
        <v>19</v>
      </c>
      <c r="C127" s="71" t="s">
        <v>933</v>
      </c>
    </row>
    <row r="128" spans="2:37" s="4" customFormat="1" ht="15.75" thickTop="1" x14ac:dyDescent="0.25">
      <c r="B128" s="44"/>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row>
    <row r="129" spans="2:37" s="4" customFormat="1" x14ac:dyDescent="0.25">
      <c r="B129" s="44"/>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row>
    <row r="130" spans="2:37" s="4" customFormat="1" x14ac:dyDescent="0.25">
      <c r="B130" s="44"/>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row>
    <row r="131" spans="2:37" s="4" customFormat="1" x14ac:dyDescent="0.25">
      <c r="B131" s="44"/>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row>
    <row r="132" spans="2:37" s="4" customFormat="1" x14ac:dyDescent="0.25">
      <c r="B132" s="44"/>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row>
    <row r="133" spans="2:37" s="4" customFormat="1" x14ac:dyDescent="0.25">
      <c r="B133" s="44"/>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row>
    <row r="134" spans="2:37" s="4" customFormat="1" x14ac:dyDescent="0.25">
      <c r="B134" s="44"/>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row>
    <row r="135" spans="2:37" s="4" customFormat="1" x14ac:dyDescent="0.25">
      <c r="B135" s="44"/>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row>
    <row r="136" spans="2:37" s="4" customFormat="1" x14ac:dyDescent="0.25">
      <c r="B136" s="44"/>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row>
    <row r="137" spans="2:37" s="4" customFormat="1" x14ac:dyDescent="0.25">
      <c r="B137" s="44"/>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row>
    <row r="138" spans="2:37" s="4" customFormat="1" x14ac:dyDescent="0.25">
      <c r="B138" s="44"/>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row>
    <row r="139" spans="2:37" s="4" customFormat="1" x14ac:dyDescent="0.25">
      <c r="B139" s="44"/>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row>
    <row r="140" spans="2:37" s="4" customFormat="1" x14ac:dyDescent="0.25">
      <c r="B140" s="44"/>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row>
    <row r="141" spans="2:37" s="4" customFormat="1" x14ac:dyDescent="0.25">
      <c r="B141" s="44"/>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row>
    <row r="142" spans="2:37" s="4" customFormat="1" x14ac:dyDescent="0.25">
      <c r="B142" s="44"/>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row>
    <row r="143" spans="2:37" s="74" customFormat="1" ht="18" x14ac:dyDescent="0.35">
      <c r="B143" s="75" t="s">
        <v>21</v>
      </c>
      <c r="C143" s="74" t="s">
        <v>934</v>
      </c>
      <c r="H143" s="74" t="s">
        <v>935</v>
      </c>
      <c r="I143" s="76"/>
      <c r="J143" s="76"/>
      <c r="K143" s="76"/>
      <c r="L143" s="76"/>
      <c r="M143" s="76"/>
      <c r="N143" s="76"/>
      <c r="O143" s="76">
        <f>O144*O146</f>
        <v>21896</v>
      </c>
      <c r="P143" s="76">
        <f t="shared" ref="P143:AK143" si="4">P144*P146</f>
        <v>20601.037805877622</v>
      </c>
      <c r="Q143" s="76">
        <f t="shared" si="4"/>
        <v>19475.992904644219</v>
      </c>
      <c r="R143" s="76">
        <f t="shared" si="4"/>
        <v>18439.852568977545</v>
      </c>
      <c r="S143" s="76">
        <f t="shared" si="4"/>
        <v>16591.72860126993</v>
      </c>
      <c r="T143" s="76">
        <f t="shared" si="4"/>
        <v>16602.178526069278</v>
      </c>
      <c r="U143" s="76">
        <f t="shared" si="4"/>
        <v>14794.535493311681</v>
      </c>
      <c r="V143" s="76">
        <f t="shared" si="4"/>
        <v>13476.043043996118</v>
      </c>
      <c r="W143" s="76">
        <f t="shared" si="4"/>
        <v>12853.321427017019</v>
      </c>
      <c r="X143" s="76">
        <f t="shared" si="4"/>
        <v>12017.561125988132</v>
      </c>
      <c r="Y143" s="76">
        <f t="shared" si="4"/>
        <v>10673</v>
      </c>
      <c r="Z143" s="76">
        <f t="shared" si="4"/>
        <v>9947.3163135539507</v>
      </c>
      <c r="AA143" s="76">
        <f t="shared" si="4"/>
        <v>8502.1985031749191</v>
      </c>
      <c r="AB143" s="76">
        <f t="shared" si="4"/>
        <v>7107.2679271629167</v>
      </c>
      <c r="AC143" s="76">
        <f t="shared" si="4"/>
        <v>6254.3275388025659</v>
      </c>
      <c r="AD143" s="76">
        <f t="shared" si="4"/>
        <v>0</v>
      </c>
      <c r="AE143" s="76">
        <f t="shared" si="4"/>
        <v>0</v>
      </c>
      <c r="AF143" s="76">
        <f t="shared" si="4"/>
        <v>0</v>
      </c>
      <c r="AG143" s="76">
        <f t="shared" si="4"/>
        <v>0</v>
      </c>
      <c r="AH143" s="76">
        <f t="shared" si="4"/>
        <v>0</v>
      </c>
      <c r="AI143" s="76">
        <f t="shared" si="4"/>
        <v>0</v>
      </c>
      <c r="AJ143" s="76">
        <f t="shared" si="4"/>
        <v>0</v>
      </c>
      <c r="AK143" s="76">
        <f t="shared" si="4"/>
        <v>0</v>
      </c>
    </row>
    <row r="144" spans="2:37" s="69" customFormat="1" x14ac:dyDescent="0.25">
      <c r="D144" s="69" t="s">
        <v>855</v>
      </c>
      <c r="H144" s="69" t="s">
        <v>592</v>
      </c>
      <c r="N144" s="69">
        <f>Datasheet!N1294</f>
        <v>462730210</v>
      </c>
      <c r="O144" s="69">
        <f>Datasheet!O1294</f>
        <v>491236648</v>
      </c>
      <c r="P144" s="69">
        <f>Datasheet!P1294</f>
        <v>489100503</v>
      </c>
      <c r="Q144" s="69">
        <f>Datasheet!Q1294</f>
        <v>490983728</v>
      </c>
      <c r="R144" s="69">
        <f>Datasheet!R1294</f>
        <v>495504205</v>
      </c>
      <c r="S144" s="69">
        <f>Datasheet!S1294</f>
        <v>477303862</v>
      </c>
      <c r="T144" s="69">
        <f>Datasheet!T1294</f>
        <v>513865900</v>
      </c>
      <c r="U144" s="69">
        <f>Datasheet!U1294</f>
        <v>495539345</v>
      </c>
      <c r="V144" s="69">
        <f>Datasheet!V1294</f>
        <v>491782351</v>
      </c>
      <c r="W144" s="69">
        <f>Datasheet!W1294</f>
        <v>515173782</v>
      </c>
      <c r="X144" s="69">
        <f>Datasheet!X1294</f>
        <v>534196454</v>
      </c>
      <c r="Y144" s="69">
        <f>Datasheet!Y1294</f>
        <v>532490423</v>
      </c>
      <c r="Z144" s="69">
        <f>Datasheet!Z1294</f>
        <v>565490897</v>
      </c>
      <c r="AA144" s="69">
        <f>Datasheet!AA1294</f>
        <v>561660217</v>
      </c>
      <c r="AB144" s="69">
        <f>Datasheet!AB1294</f>
        <v>560304510</v>
      </c>
      <c r="AC144" s="69">
        <f>Datasheet!AC1294</f>
        <v>611270503</v>
      </c>
      <c r="AD144" s="69">
        <f>Datasheet!AD1294</f>
        <v>0</v>
      </c>
      <c r="AE144" s="69">
        <f>Datasheet!AE1294</f>
        <v>0</v>
      </c>
      <c r="AF144" s="69">
        <f>Datasheet!AF1294</f>
        <v>0</v>
      </c>
      <c r="AG144" s="69">
        <f>Datasheet!AG1294</f>
        <v>0</v>
      </c>
      <c r="AH144" s="69">
        <f>Datasheet!AH1294</f>
        <v>0</v>
      </c>
      <c r="AI144" s="69">
        <f>Datasheet!AI1294</f>
        <v>0</v>
      </c>
      <c r="AJ144" s="69">
        <f>Datasheet!AJ1294</f>
        <v>0</v>
      </c>
      <c r="AK144" s="69">
        <f>Datasheet!AK1294</f>
        <v>0</v>
      </c>
    </row>
    <row r="145" spans="2:37" s="69" customFormat="1" x14ac:dyDescent="0.25">
      <c r="C145" s="151"/>
      <c r="D145" s="69" t="s">
        <v>936</v>
      </c>
      <c r="H145" s="69" t="s">
        <v>937</v>
      </c>
      <c r="O145" s="69">
        <v>21896</v>
      </c>
      <c r="Y145" s="69">
        <v>10673</v>
      </c>
    </row>
    <row r="146" spans="2:37" s="4" customFormat="1" x14ac:dyDescent="0.25">
      <c r="B146" s="44"/>
      <c r="E146" s="4" t="s">
        <v>938</v>
      </c>
      <c r="H146" s="4" t="s">
        <v>939</v>
      </c>
      <c r="I146" s="73"/>
      <c r="J146" s="73"/>
      <c r="K146" s="73"/>
      <c r="L146" s="73"/>
      <c r="M146" s="73"/>
      <c r="N146" s="73"/>
      <c r="O146" s="73">
        <f>O145/O144</f>
        <v>4.4573221662403332E-5</v>
      </c>
      <c r="P146" s="73">
        <f>O146+O147</f>
        <v>4.2120254793272259E-5</v>
      </c>
      <c r="Q146" s="73">
        <f t="shared" ref="Q146:AK146" si="5">P146+P147</f>
        <v>3.9667287924141185E-5</v>
      </c>
      <c r="R146" s="73">
        <f t="shared" si="5"/>
        <v>3.7214321055010112E-5</v>
      </c>
      <c r="S146" s="73">
        <f t="shared" si="5"/>
        <v>3.4761354185879039E-5</v>
      </c>
      <c r="T146" s="73">
        <f t="shared" si="5"/>
        <v>3.2308387316747966E-5</v>
      </c>
      <c r="U146" s="73">
        <f t="shared" si="5"/>
        <v>2.9855420447616892E-5</v>
      </c>
      <c r="V146" s="73">
        <f t="shared" si="5"/>
        <v>2.7402453578485819E-5</v>
      </c>
      <c r="W146" s="73">
        <f t="shared" si="5"/>
        <v>2.4949486709354746E-5</v>
      </c>
      <c r="X146" s="73">
        <f t="shared" si="5"/>
        <v>2.2496519840223672E-5</v>
      </c>
      <c r="Y146" s="73">
        <f>Y145/Y144</f>
        <v>2.0043552971092589E-5</v>
      </c>
      <c r="Z146" s="73">
        <f t="shared" si="5"/>
        <v>1.7590586101961515E-5</v>
      </c>
      <c r="AA146" s="73">
        <f t="shared" si="5"/>
        <v>1.5137619232830442E-5</v>
      </c>
      <c r="AB146" s="73">
        <f t="shared" si="5"/>
        <v>1.2684652363699369E-5</v>
      </c>
      <c r="AC146" s="73">
        <f t="shared" si="5"/>
        <v>1.0231685494568295E-5</v>
      </c>
      <c r="AD146" s="73">
        <f t="shared" si="5"/>
        <v>7.7787186254372222E-6</v>
      </c>
      <c r="AE146" s="73">
        <f t="shared" si="5"/>
        <v>5.325751756306148E-6</v>
      </c>
      <c r="AF146" s="73">
        <f t="shared" si="5"/>
        <v>2.8727848871750738E-6</v>
      </c>
      <c r="AG146" s="73">
        <f t="shared" si="5"/>
        <v>4.1981801804399968E-7</v>
      </c>
      <c r="AH146" s="73">
        <f t="shared" si="5"/>
        <v>-2.0331488510870745E-6</v>
      </c>
      <c r="AI146" s="73">
        <f t="shared" si="5"/>
        <v>-4.4861157202181487E-6</v>
      </c>
      <c r="AJ146" s="73">
        <f t="shared" si="5"/>
        <v>-6.9390825893492228E-6</v>
      </c>
      <c r="AK146" s="73">
        <f t="shared" si="5"/>
        <v>-9.3920494584802978E-6</v>
      </c>
    </row>
    <row r="147" spans="2:37" s="79" customFormat="1" x14ac:dyDescent="0.25">
      <c r="B147" s="136"/>
      <c r="E147" s="79" t="s">
        <v>940</v>
      </c>
      <c r="H147" s="79" t="s">
        <v>939</v>
      </c>
      <c r="I147" s="170"/>
      <c r="J147" s="170"/>
      <c r="K147" s="170"/>
      <c r="L147" s="170"/>
      <c r="M147" s="170"/>
      <c r="N147" s="170"/>
      <c r="O147" s="170">
        <f>($Y146-$O146)/($Y$2-$O$2)</f>
        <v>-2.4529668691310742E-6</v>
      </c>
      <c r="P147" s="170">
        <f t="shared" ref="P147:AK147" si="6">($Y146-$O146)/($Y$2-$O$2)</f>
        <v>-2.4529668691310742E-6</v>
      </c>
      <c r="Q147" s="170">
        <f t="shared" si="6"/>
        <v>-2.4529668691310742E-6</v>
      </c>
      <c r="R147" s="170">
        <f t="shared" si="6"/>
        <v>-2.4529668691310742E-6</v>
      </c>
      <c r="S147" s="170">
        <f t="shared" si="6"/>
        <v>-2.4529668691310742E-6</v>
      </c>
      <c r="T147" s="170">
        <f t="shared" si="6"/>
        <v>-2.4529668691310742E-6</v>
      </c>
      <c r="U147" s="170">
        <f t="shared" si="6"/>
        <v>-2.4529668691310742E-6</v>
      </c>
      <c r="V147" s="170">
        <f t="shared" si="6"/>
        <v>-2.4529668691310742E-6</v>
      </c>
      <c r="W147" s="170">
        <f t="shared" si="6"/>
        <v>-2.4529668691310742E-6</v>
      </c>
      <c r="X147" s="170">
        <f t="shared" si="6"/>
        <v>-2.4529668691310742E-6</v>
      </c>
      <c r="Y147" s="170">
        <f t="shared" si="6"/>
        <v>-2.4529668691310742E-6</v>
      </c>
      <c r="Z147" s="170">
        <f t="shared" si="6"/>
        <v>-2.4529668691310742E-6</v>
      </c>
      <c r="AA147" s="170">
        <f t="shared" si="6"/>
        <v>-2.4529668691310742E-6</v>
      </c>
      <c r="AB147" s="170">
        <f t="shared" si="6"/>
        <v>-2.4529668691310742E-6</v>
      </c>
      <c r="AC147" s="170">
        <f t="shared" si="6"/>
        <v>-2.4529668691310742E-6</v>
      </c>
      <c r="AD147" s="170">
        <f t="shared" si="6"/>
        <v>-2.4529668691310742E-6</v>
      </c>
      <c r="AE147" s="170">
        <f t="shared" si="6"/>
        <v>-2.4529668691310742E-6</v>
      </c>
      <c r="AF147" s="170">
        <f t="shared" si="6"/>
        <v>-2.4529668691310742E-6</v>
      </c>
      <c r="AG147" s="170">
        <f t="shared" si="6"/>
        <v>-2.4529668691310742E-6</v>
      </c>
      <c r="AH147" s="170">
        <f t="shared" si="6"/>
        <v>-2.4529668691310742E-6</v>
      </c>
      <c r="AI147" s="170">
        <f t="shared" si="6"/>
        <v>-2.4529668691310742E-6</v>
      </c>
      <c r="AJ147" s="170">
        <f t="shared" si="6"/>
        <v>-2.4529668691310742E-6</v>
      </c>
      <c r="AK147" s="170">
        <f t="shared" si="6"/>
        <v>-2.4529668691310742E-6</v>
      </c>
    </row>
    <row r="148" spans="2:37" s="74" customFormat="1" x14ac:dyDescent="0.25">
      <c r="B148" s="75"/>
      <c r="C148" s="74" t="s">
        <v>941</v>
      </c>
      <c r="H148" s="74" t="s">
        <v>937</v>
      </c>
      <c r="I148" s="76"/>
      <c r="J148" s="76"/>
      <c r="K148" s="76"/>
      <c r="L148" s="76"/>
      <c r="M148" s="76"/>
      <c r="N148" s="76"/>
      <c r="O148" s="76">
        <f t="shared" ref="O148:AK148" si="7">O149*O151</f>
        <v>48463.999999999993</v>
      </c>
      <c r="P148" s="76">
        <f t="shared" si="7"/>
        <v>47071.547422386444</v>
      </c>
      <c r="Q148" s="76">
        <f t="shared" si="7"/>
        <v>51020.12310568877</v>
      </c>
      <c r="R148" s="76">
        <f t="shared" si="7"/>
        <v>48822.734154975878</v>
      </c>
      <c r="S148" s="76">
        <f t="shared" si="7"/>
        <v>46172.129437550342</v>
      </c>
      <c r="T148" s="76">
        <f t="shared" si="7"/>
        <v>50470.860806124096</v>
      </c>
      <c r="U148" s="76">
        <f t="shared" si="7"/>
        <v>50686.28809361202</v>
      </c>
      <c r="V148" s="76">
        <f t="shared" si="7"/>
        <v>60320.777785436345</v>
      </c>
      <c r="W148" s="76">
        <f t="shared" si="7"/>
        <v>66446.231736909904</v>
      </c>
      <c r="X148" s="76">
        <f t="shared" si="7"/>
        <v>70236.527932735815</v>
      </c>
      <c r="Y148" s="76">
        <f t="shared" si="7"/>
        <v>71115</v>
      </c>
      <c r="Z148" s="76">
        <f t="shared" si="7"/>
        <v>75966.478340240879</v>
      </c>
      <c r="AA148" s="76">
        <f t="shared" si="7"/>
        <v>72537.803505034681</v>
      </c>
      <c r="AB148" s="76">
        <f t="shared" si="7"/>
        <v>71750.271935168304</v>
      </c>
      <c r="AC148" s="76">
        <f t="shared" si="7"/>
        <v>82130.754937698715</v>
      </c>
      <c r="AD148" s="76">
        <f t="shared" si="7"/>
        <v>0</v>
      </c>
      <c r="AE148" s="76">
        <f t="shared" si="7"/>
        <v>0</v>
      </c>
      <c r="AF148" s="76">
        <f t="shared" si="7"/>
        <v>0</v>
      </c>
      <c r="AG148" s="76">
        <f t="shared" si="7"/>
        <v>0</v>
      </c>
      <c r="AH148" s="76">
        <f t="shared" si="7"/>
        <v>0</v>
      </c>
      <c r="AI148" s="76">
        <f t="shared" si="7"/>
        <v>0</v>
      </c>
      <c r="AJ148" s="76">
        <f t="shared" si="7"/>
        <v>0</v>
      </c>
      <c r="AK148" s="76">
        <f t="shared" si="7"/>
        <v>0</v>
      </c>
    </row>
    <row r="149" spans="2:37" s="69" customFormat="1" x14ac:dyDescent="0.25">
      <c r="D149" s="69" t="s">
        <v>860</v>
      </c>
      <c r="H149" s="69" t="s">
        <v>596</v>
      </c>
      <c r="N149" s="69">
        <f>Datasheet!N1321</f>
        <v>4169576</v>
      </c>
      <c r="O149" s="69">
        <f>Datasheet!O1321</f>
        <v>4687337</v>
      </c>
      <c r="P149" s="69">
        <f>Datasheet!P1321</f>
        <v>4605026</v>
      </c>
      <c r="Q149" s="69">
        <f>Datasheet!Q1321</f>
        <v>5049394</v>
      </c>
      <c r="R149" s="69">
        <f>Datasheet!R1321</f>
        <v>4888806</v>
      </c>
      <c r="S149" s="69">
        <f>Datasheet!S1321</f>
        <v>4678469</v>
      </c>
      <c r="T149" s="69">
        <f>Datasheet!T1321</f>
        <v>5175703</v>
      </c>
      <c r="U149" s="69">
        <f>Datasheet!U1321</f>
        <v>5261227</v>
      </c>
      <c r="V149" s="69">
        <f>Datasheet!V1321</f>
        <v>6338640</v>
      </c>
      <c r="W149" s="69">
        <f>Datasheet!W1321</f>
        <v>7069658</v>
      </c>
      <c r="X149" s="69">
        <f>Datasheet!X1321</f>
        <v>7567596</v>
      </c>
      <c r="Y149" s="69">
        <f>Datasheet!Y1321</f>
        <v>7760553</v>
      </c>
      <c r="Z149" s="69">
        <f>Datasheet!Z1321</f>
        <v>8397722</v>
      </c>
      <c r="AA149" s="69">
        <f>Datasheet!AA1321</f>
        <v>8124288</v>
      </c>
      <c r="AB149" s="69">
        <f>Datasheet!AB1321</f>
        <v>8143314</v>
      </c>
      <c r="AC149" s="69">
        <f>Datasheet!AC1321</f>
        <v>9447513</v>
      </c>
      <c r="AD149" s="69">
        <f>Datasheet!AD1321</f>
        <v>0</v>
      </c>
      <c r="AE149" s="69">
        <f>Datasheet!AE1321</f>
        <v>0</v>
      </c>
      <c r="AF149" s="69">
        <f>Datasheet!AF1321</f>
        <v>0</v>
      </c>
      <c r="AG149" s="69">
        <f>Datasheet!AG1321</f>
        <v>0</v>
      </c>
      <c r="AH149" s="69">
        <f>Datasheet!AH1321</f>
        <v>0</v>
      </c>
      <c r="AI149" s="69">
        <f>Datasheet!AI1321</f>
        <v>0</v>
      </c>
      <c r="AJ149" s="69">
        <f>Datasheet!AJ1321</f>
        <v>0</v>
      </c>
      <c r="AK149" s="69">
        <f>Datasheet!AK1321</f>
        <v>0</v>
      </c>
    </row>
    <row r="150" spans="2:37" s="69" customFormat="1" x14ac:dyDescent="0.25">
      <c r="D150" s="69" t="s">
        <v>942</v>
      </c>
      <c r="H150" s="69" t="s">
        <v>937</v>
      </c>
      <c r="O150" s="69">
        <v>48464</v>
      </c>
      <c r="Y150" s="69">
        <v>71115</v>
      </c>
    </row>
    <row r="151" spans="2:37" s="4" customFormat="1" x14ac:dyDescent="0.25">
      <c r="B151" s="44"/>
      <c r="E151" s="4" t="s">
        <v>938</v>
      </c>
      <c r="H151" s="4" t="s">
        <v>943</v>
      </c>
      <c r="I151" s="73"/>
      <c r="J151" s="73"/>
      <c r="K151" s="73"/>
      <c r="L151" s="73"/>
      <c r="M151" s="73"/>
      <c r="N151" s="73"/>
      <c r="O151" s="73">
        <f>O150/O149</f>
        <v>1.0339346200198534E-2</v>
      </c>
      <c r="P151" s="73">
        <f>O151+O152</f>
        <v>1.022177668972693E-2</v>
      </c>
      <c r="Q151" s="73">
        <f t="shared" ref="Q151:X151" si="8">P151+P152</f>
        <v>1.0104207179255326E-2</v>
      </c>
      <c r="R151" s="73">
        <f t="shared" si="8"/>
        <v>9.9866376687837224E-3</v>
      </c>
      <c r="S151" s="73">
        <f t="shared" si="8"/>
        <v>9.8690681583121186E-3</v>
      </c>
      <c r="T151" s="73">
        <f t="shared" si="8"/>
        <v>9.7514986478405147E-3</v>
      </c>
      <c r="U151" s="73">
        <f t="shared" si="8"/>
        <v>9.6339291373689108E-3</v>
      </c>
      <c r="V151" s="73">
        <f t="shared" si="8"/>
        <v>9.5163596268973069E-3</v>
      </c>
      <c r="W151" s="73">
        <f t="shared" si="8"/>
        <v>9.398790116425703E-3</v>
      </c>
      <c r="X151" s="73">
        <f t="shared" si="8"/>
        <v>9.2812206059540991E-3</v>
      </c>
      <c r="Y151" s="73">
        <f>Y150/Y149</f>
        <v>9.1636510954825005E-3</v>
      </c>
      <c r="Z151" s="73">
        <f t="shared" ref="Z151:AK151" si="9">Y151+Y152</f>
        <v>9.0460815850108966E-3</v>
      </c>
      <c r="AA151" s="73">
        <f t="shared" si="9"/>
        <v>8.9285120745392927E-3</v>
      </c>
      <c r="AB151" s="73">
        <f t="shared" si="9"/>
        <v>8.8109425640676888E-3</v>
      </c>
      <c r="AC151" s="73">
        <f t="shared" si="9"/>
        <v>8.6933730535960849E-3</v>
      </c>
      <c r="AD151" s="73">
        <f t="shared" si="9"/>
        <v>8.5758035431244811E-3</v>
      </c>
      <c r="AE151" s="73">
        <f t="shared" si="9"/>
        <v>8.4582340326528772E-3</v>
      </c>
      <c r="AF151" s="73">
        <f t="shared" si="9"/>
        <v>8.3406645221812733E-3</v>
      </c>
      <c r="AG151" s="73">
        <f t="shared" si="9"/>
        <v>8.2230950117096694E-3</v>
      </c>
      <c r="AH151" s="73">
        <f t="shared" si="9"/>
        <v>8.1055255012380655E-3</v>
      </c>
      <c r="AI151" s="73">
        <f t="shared" si="9"/>
        <v>7.9879559907664616E-3</v>
      </c>
      <c r="AJ151" s="73">
        <f t="shared" si="9"/>
        <v>7.8703864802948578E-3</v>
      </c>
      <c r="AK151" s="73">
        <f t="shared" si="9"/>
        <v>7.7528169698232547E-3</v>
      </c>
    </row>
    <row r="152" spans="2:37" s="79" customFormat="1" x14ac:dyDescent="0.25">
      <c r="B152" s="136"/>
      <c r="E152" s="79" t="s">
        <v>940</v>
      </c>
      <c r="H152" s="79" t="s">
        <v>943</v>
      </c>
      <c r="I152" s="170"/>
      <c r="J152" s="170"/>
      <c r="K152" s="170"/>
      <c r="L152" s="170"/>
      <c r="M152" s="170"/>
      <c r="N152" s="170"/>
      <c r="O152" s="170">
        <f t="shared" ref="O152:AK152" si="10">($Y151-$O151)/($Y$2-$O$2)</f>
        <v>-1.1756951047160337E-4</v>
      </c>
      <c r="P152" s="170">
        <f t="shared" si="10"/>
        <v>-1.1756951047160337E-4</v>
      </c>
      <c r="Q152" s="170">
        <f t="shared" si="10"/>
        <v>-1.1756951047160337E-4</v>
      </c>
      <c r="R152" s="170">
        <f t="shared" si="10"/>
        <v>-1.1756951047160337E-4</v>
      </c>
      <c r="S152" s="170">
        <f t="shared" si="10"/>
        <v>-1.1756951047160337E-4</v>
      </c>
      <c r="T152" s="170">
        <f t="shared" si="10"/>
        <v>-1.1756951047160337E-4</v>
      </c>
      <c r="U152" s="170">
        <f t="shared" si="10"/>
        <v>-1.1756951047160337E-4</v>
      </c>
      <c r="V152" s="170">
        <f t="shared" si="10"/>
        <v>-1.1756951047160337E-4</v>
      </c>
      <c r="W152" s="170">
        <f t="shared" si="10"/>
        <v>-1.1756951047160337E-4</v>
      </c>
      <c r="X152" s="170">
        <f t="shared" si="10"/>
        <v>-1.1756951047160337E-4</v>
      </c>
      <c r="Y152" s="170">
        <f t="shared" si="10"/>
        <v>-1.1756951047160337E-4</v>
      </c>
      <c r="Z152" s="170">
        <f t="shared" si="10"/>
        <v>-1.1756951047160337E-4</v>
      </c>
      <c r="AA152" s="170">
        <f t="shared" si="10"/>
        <v>-1.1756951047160337E-4</v>
      </c>
      <c r="AB152" s="170">
        <f t="shared" si="10"/>
        <v>-1.1756951047160337E-4</v>
      </c>
      <c r="AC152" s="170">
        <f t="shared" si="10"/>
        <v>-1.1756951047160337E-4</v>
      </c>
      <c r="AD152" s="170">
        <f t="shared" si="10"/>
        <v>-1.1756951047160337E-4</v>
      </c>
      <c r="AE152" s="170">
        <f t="shared" si="10"/>
        <v>-1.1756951047160337E-4</v>
      </c>
      <c r="AF152" s="170">
        <f t="shared" si="10"/>
        <v>-1.1756951047160337E-4</v>
      </c>
      <c r="AG152" s="170">
        <f t="shared" si="10"/>
        <v>-1.1756951047160337E-4</v>
      </c>
      <c r="AH152" s="170">
        <f t="shared" si="10"/>
        <v>-1.1756951047160337E-4</v>
      </c>
      <c r="AI152" s="170">
        <f t="shared" si="10"/>
        <v>-1.1756951047160337E-4</v>
      </c>
      <c r="AJ152" s="170">
        <f t="shared" si="10"/>
        <v>-1.1756951047160337E-4</v>
      </c>
      <c r="AK152" s="170">
        <f t="shared" si="10"/>
        <v>-1.1756951047160337E-4</v>
      </c>
    </row>
    <row r="153" spans="2:37" s="74" customFormat="1" x14ac:dyDescent="0.25">
      <c r="B153" s="75"/>
      <c r="C153" s="74" t="s">
        <v>944</v>
      </c>
      <c r="H153" s="74" t="s">
        <v>937</v>
      </c>
      <c r="I153" s="76"/>
      <c r="J153" s="76"/>
      <c r="K153" s="76"/>
      <c r="L153" s="76"/>
      <c r="M153" s="76"/>
      <c r="N153" s="76"/>
      <c r="O153" s="76">
        <f>O154*O156</f>
        <v>254638</v>
      </c>
      <c r="P153" s="76">
        <f>IF(P154&gt;0,P154*P156,P158*P156)</f>
        <v>277863.56755864667</v>
      </c>
      <c r="Q153" s="76">
        <f t="shared" ref="Q153:AK153" si="11">IF(Q154&gt;0,Q154*Q156,Q158*Q156)</f>
        <v>273415.75259788206</v>
      </c>
      <c r="R153" s="76">
        <f t="shared" si="11"/>
        <v>260349.9060783656</v>
      </c>
      <c r="S153" s="76">
        <f t="shared" si="11"/>
        <v>255426.18072038129</v>
      </c>
      <c r="T153" s="76">
        <f t="shared" si="11"/>
        <v>250978.77392450644</v>
      </c>
      <c r="U153" s="76">
        <f t="shared" si="11"/>
        <v>255373.56190166582</v>
      </c>
      <c r="V153" s="76">
        <f t="shared" si="11"/>
        <v>265635.05288536509</v>
      </c>
      <c r="W153" s="76">
        <f t="shared" si="11"/>
        <v>265677.6734354801</v>
      </c>
      <c r="X153" s="76">
        <f t="shared" si="11"/>
        <v>297402.34173040756</v>
      </c>
      <c r="Y153" s="76">
        <f t="shared" si="11"/>
        <v>308207</v>
      </c>
      <c r="Z153" s="76">
        <f t="shared" si="11"/>
        <v>299955.37210755498</v>
      </c>
      <c r="AA153" s="76">
        <f t="shared" si="11"/>
        <v>286268.41540222015</v>
      </c>
      <c r="AB153" s="76">
        <f t="shared" si="11"/>
        <v>321971.69221831055</v>
      </c>
      <c r="AC153" s="76">
        <f t="shared" si="11"/>
        <v>288708.34623933473</v>
      </c>
      <c r="AD153" s="76">
        <f t="shared" si="11"/>
        <v>166008.7817895808</v>
      </c>
      <c r="AE153" s="76">
        <f t="shared" si="11"/>
        <v>164120.56288418453</v>
      </c>
      <c r="AF153" s="76">
        <f t="shared" si="11"/>
        <v>162232.34397878827</v>
      </c>
      <c r="AG153" s="76">
        <f t="shared" si="11"/>
        <v>160344.125073392</v>
      </c>
      <c r="AH153" s="76">
        <f t="shared" si="11"/>
        <v>158455.90616799574</v>
      </c>
      <c r="AI153" s="76">
        <f t="shared" si="11"/>
        <v>156567.68726259944</v>
      </c>
      <c r="AJ153" s="76">
        <f t="shared" si="11"/>
        <v>154679.46835720318</v>
      </c>
      <c r="AK153" s="76">
        <f t="shared" si="11"/>
        <v>152791.24945180691</v>
      </c>
    </row>
    <row r="154" spans="2:37" s="69" customFormat="1" x14ac:dyDescent="0.25">
      <c r="C154" s="180"/>
      <c r="D154" s="69" t="s">
        <v>945</v>
      </c>
      <c r="H154" s="69" t="s">
        <v>946</v>
      </c>
      <c r="O154" s="69">
        <f>Datasheet!O1091</f>
        <v>622769.62</v>
      </c>
      <c r="P154" s="69">
        <f>Datasheet!P1091</f>
        <v>686240.34799999988</v>
      </c>
      <c r="Q154" s="69">
        <f>Datasheet!Q1091</f>
        <v>681946.68699999992</v>
      </c>
      <c r="R154" s="69">
        <f>Datasheet!R1091</f>
        <v>655857.08033333276</v>
      </c>
      <c r="S154" s="69">
        <f>Datasheet!S1091</f>
        <v>649958.44799999974</v>
      </c>
      <c r="T154" s="69">
        <f>Datasheet!T1091</f>
        <v>645163.75499999966</v>
      </c>
      <c r="U154" s="69">
        <f>Datasheet!U1091</f>
        <v>663234.30866666639</v>
      </c>
      <c r="V154" s="69">
        <f>Datasheet!V1091</f>
        <v>697077</v>
      </c>
      <c r="W154" s="69">
        <f>Datasheet!W1091</f>
        <v>704534</v>
      </c>
      <c r="X154" s="69">
        <f>Datasheet!X1091</f>
        <v>797060</v>
      </c>
      <c r="Y154" s="69">
        <f>Datasheet!Y1091</f>
        <v>834907</v>
      </c>
      <c r="Z154" s="69">
        <f>Datasheet!Z1091</f>
        <v>821394</v>
      </c>
      <c r="AA154" s="69">
        <f>Datasheet!AA1091</f>
        <v>792536</v>
      </c>
      <c r="AB154" s="69">
        <f>Datasheet!AB1091</f>
        <v>901294</v>
      </c>
      <c r="AC154" s="69">
        <f>Datasheet!AC1091</f>
        <v>0</v>
      </c>
      <c r="AD154" s="69">
        <f>Datasheet!AD1091</f>
        <v>0</v>
      </c>
      <c r="AE154" s="69">
        <f>Datasheet!AE1091</f>
        <v>0</v>
      </c>
      <c r="AF154" s="69">
        <f>Datasheet!AF1091</f>
        <v>0</v>
      </c>
      <c r="AG154" s="69">
        <f>Datasheet!AG1091</f>
        <v>0</v>
      </c>
      <c r="AH154" s="69">
        <f>Datasheet!AH1091</f>
        <v>0</v>
      </c>
      <c r="AI154" s="69">
        <f>Datasheet!AI1091</f>
        <v>0</v>
      </c>
      <c r="AJ154" s="69">
        <f>Datasheet!AJ1091</f>
        <v>0</v>
      </c>
      <c r="AK154" s="69">
        <f>Datasheet!AK1091</f>
        <v>0</v>
      </c>
    </row>
    <row r="155" spans="2:37" s="69" customFormat="1" x14ac:dyDescent="0.25">
      <c r="C155" s="151"/>
      <c r="D155" s="69" t="s">
        <v>947</v>
      </c>
      <c r="H155" s="69" t="s">
        <v>937</v>
      </c>
      <c r="O155" s="69">
        <v>254638</v>
      </c>
      <c r="Y155" s="69">
        <v>308207</v>
      </c>
    </row>
    <row r="156" spans="2:37" s="4" customFormat="1" x14ac:dyDescent="0.25">
      <c r="B156" s="44"/>
      <c r="E156" s="4" t="s">
        <v>938</v>
      </c>
      <c r="H156" s="4" t="s">
        <v>948</v>
      </c>
      <c r="I156" s="73"/>
      <c r="J156" s="73"/>
      <c r="K156" s="73"/>
      <c r="L156" s="73"/>
      <c r="M156" s="73"/>
      <c r="N156" s="73"/>
      <c r="O156" s="73">
        <f>O155/O154</f>
        <v>0.40887993219707797</v>
      </c>
      <c r="P156" s="73">
        <f>O156+O157</f>
        <v>0.40490706844687996</v>
      </c>
      <c r="Q156" s="73">
        <f t="shared" ref="Q156:X156" si="12">P156+P157</f>
        <v>0.40093420469668195</v>
      </c>
      <c r="R156" s="73">
        <f t="shared" si="12"/>
        <v>0.39696134094648394</v>
      </c>
      <c r="S156" s="73">
        <f t="shared" si="12"/>
        <v>0.39298847719628593</v>
      </c>
      <c r="T156" s="73">
        <f t="shared" si="12"/>
        <v>0.38901561344608793</v>
      </c>
      <c r="U156" s="73">
        <f t="shared" si="12"/>
        <v>0.38504274969588992</v>
      </c>
      <c r="V156" s="73">
        <f t="shared" si="12"/>
        <v>0.38106988594569191</v>
      </c>
      <c r="W156" s="73">
        <f t="shared" si="12"/>
        <v>0.3770970221954939</v>
      </c>
      <c r="X156" s="73">
        <f t="shared" si="12"/>
        <v>0.37312415844529589</v>
      </c>
      <c r="Y156" s="73">
        <f>Y155/Y154</f>
        <v>0.36915129469509778</v>
      </c>
      <c r="Z156" s="73">
        <f t="shared" ref="Z156:AK156" si="13">Y156+Y157</f>
        <v>0.36517843094489977</v>
      </c>
      <c r="AA156" s="73">
        <f t="shared" si="13"/>
        <v>0.36120556719470176</v>
      </c>
      <c r="AB156" s="73">
        <f t="shared" si="13"/>
        <v>0.35723270344450375</v>
      </c>
      <c r="AC156" s="73">
        <f t="shared" si="13"/>
        <v>0.35325983969430574</v>
      </c>
      <c r="AD156" s="73">
        <f t="shared" si="13"/>
        <v>0.34928697594410774</v>
      </c>
      <c r="AE156" s="73">
        <f t="shared" si="13"/>
        <v>0.34531411219390973</v>
      </c>
      <c r="AF156" s="73">
        <f t="shared" si="13"/>
        <v>0.34134124844371172</v>
      </c>
      <c r="AG156" s="73">
        <f t="shared" si="13"/>
        <v>0.33736838469351371</v>
      </c>
      <c r="AH156" s="73">
        <f t="shared" si="13"/>
        <v>0.3333955209433157</v>
      </c>
      <c r="AI156" s="73">
        <f t="shared" si="13"/>
        <v>0.3294226571931177</v>
      </c>
      <c r="AJ156" s="73">
        <f t="shared" si="13"/>
        <v>0.32544979344291969</v>
      </c>
      <c r="AK156" s="73">
        <f t="shared" si="13"/>
        <v>0.32147692969272168</v>
      </c>
    </row>
    <row r="157" spans="2:37" s="79" customFormat="1" x14ac:dyDescent="0.25">
      <c r="B157" s="136"/>
      <c r="E157" s="79" t="s">
        <v>940</v>
      </c>
      <c r="H157" s="79" t="s">
        <v>948</v>
      </c>
      <c r="I157" s="170"/>
      <c r="J157" s="170"/>
      <c r="K157" s="170"/>
      <c r="L157" s="170"/>
      <c r="M157" s="170"/>
      <c r="N157" s="170"/>
      <c r="O157" s="170">
        <f t="shared" ref="O157:AK157" si="14">($Y156-$O156)/($Y$2-$O$2)</f>
        <v>-3.9728637501980192E-3</v>
      </c>
      <c r="P157" s="170">
        <f t="shared" si="14"/>
        <v>-3.9728637501980192E-3</v>
      </c>
      <c r="Q157" s="170">
        <f t="shared" si="14"/>
        <v>-3.9728637501980192E-3</v>
      </c>
      <c r="R157" s="170">
        <f t="shared" si="14"/>
        <v>-3.9728637501980192E-3</v>
      </c>
      <c r="S157" s="170">
        <f t="shared" si="14"/>
        <v>-3.9728637501980192E-3</v>
      </c>
      <c r="T157" s="170">
        <f t="shared" si="14"/>
        <v>-3.9728637501980192E-3</v>
      </c>
      <c r="U157" s="170">
        <f t="shared" si="14"/>
        <v>-3.9728637501980192E-3</v>
      </c>
      <c r="V157" s="170">
        <f t="shared" si="14"/>
        <v>-3.9728637501980192E-3</v>
      </c>
      <c r="W157" s="170">
        <f t="shared" si="14"/>
        <v>-3.9728637501980192E-3</v>
      </c>
      <c r="X157" s="170">
        <f t="shared" si="14"/>
        <v>-3.9728637501980192E-3</v>
      </c>
      <c r="Y157" s="170">
        <f t="shared" si="14"/>
        <v>-3.9728637501980192E-3</v>
      </c>
      <c r="Z157" s="170">
        <f t="shared" si="14"/>
        <v>-3.9728637501980192E-3</v>
      </c>
      <c r="AA157" s="170">
        <f t="shared" si="14"/>
        <v>-3.9728637501980192E-3</v>
      </c>
      <c r="AB157" s="170">
        <f t="shared" si="14"/>
        <v>-3.9728637501980192E-3</v>
      </c>
      <c r="AC157" s="170">
        <f t="shared" si="14"/>
        <v>-3.9728637501980192E-3</v>
      </c>
      <c r="AD157" s="170">
        <f t="shared" si="14"/>
        <v>-3.9728637501980192E-3</v>
      </c>
      <c r="AE157" s="170">
        <f t="shared" si="14"/>
        <v>-3.9728637501980192E-3</v>
      </c>
      <c r="AF157" s="170">
        <f t="shared" si="14"/>
        <v>-3.9728637501980192E-3</v>
      </c>
      <c r="AG157" s="170">
        <f t="shared" si="14"/>
        <v>-3.9728637501980192E-3</v>
      </c>
      <c r="AH157" s="170">
        <f t="shared" si="14"/>
        <v>-3.9728637501980192E-3</v>
      </c>
      <c r="AI157" s="170">
        <f t="shared" si="14"/>
        <v>-3.9728637501980192E-3</v>
      </c>
      <c r="AJ157" s="170">
        <f t="shared" si="14"/>
        <v>-3.9728637501980192E-3</v>
      </c>
      <c r="AK157" s="170">
        <f t="shared" si="14"/>
        <v>-3.9728637501980192E-3</v>
      </c>
    </row>
    <row r="158" spans="2:37" s="4" customFormat="1" x14ac:dyDescent="0.25">
      <c r="B158" s="44"/>
      <c r="D158" s="4" t="s">
        <v>949</v>
      </c>
      <c r="H158" s="4" t="s">
        <v>946</v>
      </c>
      <c r="I158" s="69"/>
      <c r="J158" s="69"/>
      <c r="K158" s="69"/>
      <c r="L158" s="69"/>
      <c r="M158" s="69"/>
      <c r="N158" s="69"/>
      <c r="O158" s="69"/>
      <c r="P158" s="69">
        <f>SUM(P161,P162*Datasheet!P1104,P163*Datasheet!P1130,P164*Datasheet!P1143,P165*Datasheet!P1156)</f>
        <v>684981.30394362286</v>
      </c>
      <c r="Q158" s="69">
        <f>SUM(Q161,Q162*Datasheet!Q1104,Q163*Datasheet!Q1130,Q164*Datasheet!Q1143,Q165*Datasheet!Q1156)</f>
        <v>686649.01780889183</v>
      </c>
      <c r="R158" s="69">
        <f>SUM(R161,R162*Datasheet!R1104,R163*Datasheet!R1130,R164*Datasheet!R1143,R165*Datasheet!R1156)</f>
        <v>653785.68993292027</v>
      </c>
      <c r="S158" s="69">
        <f>SUM(S161,S162*Datasheet!S1104,S163*Datasheet!S1130,S164*Datasheet!S1143,S165*Datasheet!S1156)</f>
        <v>650348.20401038602</v>
      </c>
      <c r="T158" s="69">
        <f>SUM(T161,T162*Datasheet!T1104,T163*Datasheet!T1130,T164*Datasheet!T1143,T165*Datasheet!T1156)</f>
        <v>639300.57124019577</v>
      </c>
      <c r="U158" s="69">
        <f>SUM(U161,U162*Datasheet!U1104,U163*Datasheet!U1130,U164*Datasheet!U1143,U165*Datasheet!U1156)</f>
        <v>668014.9778152568</v>
      </c>
      <c r="V158" s="69">
        <f>SUM(V161,V162*Datasheet!V1104,V163*Datasheet!V1130,V164*Datasheet!V1143,V165*Datasheet!V1156)</f>
        <v>693988.59007668251</v>
      </c>
      <c r="W158" s="69">
        <f>SUM(W161,W162*Datasheet!W1104,W163*Datasheet!W1130,W164*Datasheet!W1143,W165*Datasheet!W1156)</f>
        <v>708384.96462151187</v>
      </c>
      <c r="X158" s="69">
        <f>SUM(X161,X162*Datasheet!X1104,X163*Datasheet!X1130,X164*Datasheet!X1143,X165*Datasheet!X1156)</f>
        <v>797884.74958266818</v>
      </c>
      <c r="Y158" s="69">
        <f>SUM(Y161,Y162*Datasheet!Y1104,Y163*Datasheet!Y1130,Y164*Datasheet!Y1143,Y165*Datasheet!Y1156)</f>
        <v>832184.60526513355</v>
      </c>
      <c r="Z158" s="69">
        <f>SUM(Z161,Z162*Datasheet!Z1104,Z163*Datasheet!Z1130,Z164*Datasheet!Z1143,Z165*Datasheet!Z1156)</f>
        <v>827614.04337362258</v>
      </c>
      <c r="AA158" s="69">
        <f>SUM(AA161,AA162*Datasheet!AA1104,AA163*Datasheet!AA1130,AA164*Datasheet!AA1143,AA165*Datasheet!AA1156)</f>
        <v>860862.85913674708</v>
      </c>
      <c r="AB158" s="69">
        <f>SUM(AB161,AB162*Datasheet!AB1104,AB163*Datasheet!AB1130,AB164*Datasheet!AB1143,AB165*Datasheet!AB1156)</f>
        <v>942207.20016029861</v>
      </c>
      <c r="AC158" s="69">
        <f>SUM(AC161,AC162*Datasheet!AC1104,AC163*Datasheet!AC1130,AC164*Datasheet!AC1143,AC165*Datasheet!AC1156)</f>
        <v>817269.08580711915</v>
      </c>
      <c r="AD158" s="69">
        <f>SUM(AD161,AD162*Datasheet!AD1104,AD163*Datasheet!AD1130,AD164*Datasheet!AD1143,AD165*Datasheet!AD1156)</f>
        <v>475279.04909957258</v>
      </c>
      <c r="AE158" s="69">
        <f>SUM(AE161,AE162*Datasheet!AE1104,AE163*Datasheet!AE1130,AE164*Datasheet!AE1143,AE165*Datasheet!AE1156)</f>
        <v>475279.04909957258</v>
      </c>
      <c r="AF158" s="69">
        <f>SUM(AF161,AF162*Datasheet!AF1104,AF163*Datasheet!AF1130,AF164*Datasheet!AF1143,AF165*Datasheet!AF1156)</f>
        <v>475279.04909957258</v>
      </c>
      <c r="AG158" s="69">
        <f>SUM(AG161,AG162*Datasheet!AG1104,AG163*Datasheet!AG1130,AG164*Datasheet!AG1143,AG165*Datasheet!AG1156)</f>
        <v>475279.04909957258</v>
      </c>
      <c r="AH158" s="69">
        <f>SUM(AH161,AH162*Datasheet!AH1104,AH163*Datasheet!AH1130,AH164*Datasheet!AH1143,AH165*Datasheet!AH1156)</f>
        <v>475279.04909957258</v>
      </c>
      <c r="AI158" s="69">
        <f>SUM(AI161,AI162*Datasheet!AI1104,AI163*Datasheet!AI1130,AI164*Datasheet!AI1143,AI165*Datasheet!AI1156)</f>
        <v>475279.04909957258</v>
      </c>
      <c r="AJ158" s="69">
        <f>SUM(AJ161,AJ162*Datasheet!AJ1104,AJ163*Datasheet!AJ1130,AJ164*Datasheet!AJ1143,AJ165*Datasheet!AJ1156)</f>
        <v>475279.04909957258</v>
      </c>
      <c r="AK158" s="69">
        <f>SUM(AK161,AK162*Datasheet!AK1104,AK163*Datasheet!AK1130,AK164*Datasheet!AK1143,AK165*Datasheet!AK1156)</f>
        <v>475279.04909957258</v>
      </c>
    </row>
    <row r="159" spans="2:37" s="4" customFormat="1" x14ac:dyDescent="0.25">
      <c r="B159" s="44"/>
      <c r="I159" s="69"/>
      <c r="J159" s="69"/>
      <c r="K159" s="69"/>
      <c r="L159" s="69"/>
      <c r="M159" s="69"/>
      <c r="N159" s="69"/>
      <c r="O159" s="69"/>
      <c r="P159" s="69"/>
      <c r="Q159" s="97">
        <f>Q158/Q154</f>
        <v>1.0068954522377376</v>
      </c>
      <c r="R159" s="97">
        <f t="shared" ref="R159:AB159" si="15">R158/R154</f>
        <v>0.9968417045991792</v>
      </c>
      <c r="S159" s="97">
        <f t="shared" si="15"/>
        <v>1.0005996629655105</v>
      </c>
      <c r="T159" s="97">
        <f t="shared" si="15"/>
        <v>0.99091209989035434</v>
      </c>
      <c r="U159" s="97">
        <f t="shared" si="15"/>
        <v>1.0072081149695065</v>
      </c>
      <c r="V159" s="97">
        <f t="shared" si="15"/>
        <v>0.99556948526013989</v>
      </c>
      <c r="W159" s="97">
        <f t="shared" si="15"/>
        <v>1.0054659741354028</v>
      </c>
      <c r="X159" s="97">
        <f t="shared" si="15"/>
        <v>1.0010347396465362</v>
      </c>
      <c r="Y159" s="97">
        <f t="shared" si="15"/>
        <v>0.99673928385452937</v>
      </c>
      <c r="Z159" s="97">
        <f t="shared" si="15"/>
        <v>1.0075725454211044</v>
      </c>
      <c r="AA159" s="97">
        <f t="shared" si="15"/>
        <v>1.086212940657266</v>
      </c>
      <c r="AB159" s="97">
        <f t="shared" si="15"/>
        <v>1.0453938450275921</v>
      </c>
      <c r="AC159" s="69"/>
      <c r="AD159" s="69"/>
      <c r="AE159" s="69"/>
      <c r="AF159" s="69"/>
      <c r="AG159" s="69"/>
      <c r="AH159" s="69"/>
      <c r="AI159" s="69"/>
      <c r="AJ159" s="69"/>
      <c r="AK159" s="69"/>
    </row>
    <row r="160" spans="2:37" s="79" customFormat="1" x14ac:dyDescent="0.25">
      <c r="B160" s="136"/>
      <c r="E160" s="79" t="s">
        <v>950</v>
      </c>
      <c r="I160" s="100"/>
      <c r="J160" s="100"/>
      <c r="K160" s="100"/>
      <c r="L160" s="100"/>
      <c r="M160" s="100"/>
      <c r="N160" s="100"/>
      <c r="O160" s="100"/>
      <c r="Z160" s="100"/>
      <c r="AA160" s="100"/>
      <c r="AB160" s="100"/>
      <c r="AC160" s="100"/>
      <c r="AD160" s="100"/>
      <c r="AE160" s="100"/>
      <c r="AF160" s="100"/>
      <c r="AG160" s="100"/>
      <c r="AH160" s="100"/>
      <c r="AI160" s="100"/>
      <c r="AJ160" s="100"/>
      <c r="AK160" s="100"/>
    </row>
    <row r="161" spans="2:37" s="79" customFormat="1" x14ac:dyDescent="0.25">
      <c r="B161" s="136"/>
      <c r="G161" s="79" t="s">
        <v>839</v>
      </c>
      <c r="H161" s="79" t="s">
        <v>946</v>
      </c>
      <c r="I161" s="100"/>
      <c r="J161" s="100"/>
      <c r="K161" s="100"/>
      <c r="L161" s="100"/>
      <c r="M161" s="100"/>
      <c r="N161" s="100"/>
      <c r="O161" s="100"/>
      <c r="P161" s="141">
        <v>475279.04909957258</v>
      </c>
      <c r="Q161" s="141">
        <v>475279.04909957258</v>
      </c>
      <c r="R161" s="141">
        <v>475279.04909957258</v>
      </c>
      <c r="S161" s="141">
        <v>475279.04909957258</v>
      </c>
      <c r="T161" s="141">
        <v>475279.04909957258</v>
      </c>
      <c r="U161" s="141">
        <v>475279.04909957258</v>
      </c>
      <c r="V161" s="141">
        <v>475279.04909957258</v>
      </c>
      <c r="W161" s="141">
        <v>475279.04909957258</v>
      </c>
      <c r="X161" s="141">
        <v>475279.04909957258</v>
      </c>
      <c r="Y161" s="141">
        <v>475279.04909957258</v>
      </c>
      <c r="Z161" s="141">
        <v>475279.04909957258</v>
      </c>
      <c r="AA161" s="141">
        <v>475279.04909957258</v>
      </c>
      <c r="AB161" s="141">
        <v>475279.04909957258</v>
      </c>
      <c r="AC161" s="141">
        <v>475279.04909957258</v>
      </c>
      <c r="AD161" s="141">
        <v>475279.04909957258</v>
      </c>
      <c r="AE161" s="141">
        <v>475279.04909957258</v>
      </c>
      <c r="AF161" s="141">
        <v>475279.04909957258</v>
      </c>
      <c r="AG161" s="141">
        <v>475279.04909957258</v>
      </c>
      <c r="AH161" s="141">
        <v>475279.04909957258</v>
      </c>
      <c r="AI161" s="141">
        <v>475279.04909957258</v>
      </c>
      <c r="AJ161" s="141">
        <v>475279.04909957258</v>
      </c>
      <c r="AK161" s="141">
        <v>475279.04909957258</v>
      </c>
    </row>
    <row r="162" spans="2:37" s="79" customFormat="1" x14ac:dyDescent="0.25">
      <c r="B162" s="136"/>
      <c r="G162" s="79" t="s">
        <v>951</v>
      </c>
      <c r="H162" s="79" t="s">
        <v>952</v>
      </c>
      <c r="I162" s="100"/>
      <c r="J162" s="100"/>
      <c r="K162" s="100"/>
      <c r="L162" s="100"/>
      <c r="M162" s="100"/>
      <c r="N162" s="100"/>
      <c r="O162" s="100"/>
      <c r="P162" s="141">
        <v>9.5619153513842221</v>
      </c>
      <c r="Q162" s="141">
        <v>9.5619153513842221</v>
      </c>
      <c r="R162" s="141">
        <v>9.5619153513842221</v>
      </c>
      <c r="S162" s="141">
        <v>9.5619153513842221</v>
      </c>
      <c r="T162" s="141">
        <v>9.5619153513842221</v>
      </c>
      <c r="U162" s="141">
        <v>9.5619153513842221</v>
      </c>
      <c r="V162" s="141">
        <v>9.5619153513842221</v>
      </c>
      <c r="W162" s="141">
        <v>9.5619153513842221</v>
      </c>
      <c r="X162" s="141">
        <v>9.5619153513842221</v>
      </c>
      <c r="Y162" s="141">
        <v>9.5619153513842221</v>
      </c>
      <c r="Z162" s="141">
        <v>9.5619153513842221</v>
      </c>
      <c r="AA162" s="141">
        <v>9.5619153513842221</v>
      </c>
      <c r="AB162" s="141">
        <v>9.5619153513842221</v>
      </c>
      <c r="AC162" s="141">
        <v>9.5619153513842221</v>
      </c>
      <c r="AD162" s="141">
        <v>9.5619153513842221</v>
      </c>
      <c r="AE162" s="141">
        <v>9.5619153513842221</v>
      </c>
      <c r="AF162" s="141">
        <v>9.5619153513842221</v>
      </c>
      <c r="AG162" s="141">
        <v>9.5619153513842221</v>
      </c>
      <c r="AH162" s="141">
        <v>9.5619153513842221</v>
      </c>
      <c r="AI162" s="141">
        <v>9.5619153513842221</v>
      </c>
      <c r="AJ162" s="141">
        <v>9.5619153513842221</v>
      </c>
      <c r="AK162" s="141">
        <v>9.5619153513842221</v>
      </c>
    </row>
    <row r="163" spans="2:37" s="79" customFormat="1" x14ac:dyDescent="0.25">
      <c r="B163" s="136"/>
      <c r="G163" s="79" t="s">
        <v>953</v>
      </c>
      <c r="H163" s="79" t="s">
        <v>952</v>
      </c>
      <c r="I163" s="100"/>
      <c r="J163" s="100"/>
      <c r="K163" s="100"/>
      <c r="L163" s="100"/>
      <c r="M163" s="100"/>
      <c r="N163" s="100"/>
      <c r="O163" s="100"/>
      <c r="P163" s="141">
        <v>-1.4930483220835771</v>
      </c>
      <c r="Q163" s="141">
        <v>-1.4930483220835771</v>
      </c>
      <c r="R163" s="141">
        <v>-1.4930483220835771</v>
      </c>
      <c r="S163" s="141">
        <v>-1.4930483220835771</v>
      </c>
      <c r="T163" s="141">
        <v>-1.4930483220835771</v>
      </c>
      <c r="U163" s="141">
        <v>-1.4930483220835771</v>
      </c>
      <c r="V163" s="141">
        <v>-1.4930483220835771</v>
      </c>
      <c r="W163" s="141">
        <v>-1.4930483220835771</v>
      </c>
      <c r="X163" s="141">
        <v>-1.4930483220835771</v>
      </c>
      <c r="Y163" s="141">
        <v>-1.4930483220835771</v>
      </c>
      <c r="Z163" s="141">
        <v>-1.4930483220835771</v>
      </c>
      <c r="AA163" s="141">
        <v>-1.4930483220835771</v>
      </c>
      <c r="AB163" s="141">
        <v>-1.4930483220835771</v>
      </c>
      <c r="AC163" s="141">
        <v>-1.4930483220835771</v>
      </c>
      <c r="AD163" s="141">
        <v>-1.4930483220835771</v>
      </c>
      <c r="AE163" s="141">
        <v>-1.4930483220835771</v>
      </c>
      <c r="AF163" s="141">
        <v>-1.4930483220835771</v>
      </c>
      <c r="AG163" s="141">
        <v>-1.4930483220835771</v>
      </c>
      <c r="AH163" s="141">
        <v>-1.4930483220835771</v>
      </c>
      <c r="AI163" s="141">
        <v>-1.4930483220835771</v>
      </c>
      <c r="AJ163" s="141">
        <v>-1.4930483220835771</v>
      </c>
      <c r="AK163" s="141">
        <v>-1.4930483220835771</v>
      </c>
    </row>
    <row r="164" spans="2:37" s="79" customFormat="1" x14ac:dyDescent="0.25">
      <c r="B164" s="136"/>
      <c r="G164" s="79" t="s">
        <v>954</v>
      </c>
      <c r="H164" s="79" t="s">
        <v>952</v>
      </c>
      <c r="I164" s="100"/>
      <c r="J164" s="100"/>
      <c r="K164" s="100"/>
      <c r="L164" s="100"/>
      <c r="M164" s="100"/>
      <c r="N164" s="100"/>
      <c r="O164" s="100"/>
      <c r="P164" s="169">
        <v>-6.1198535430326988</v>
      </c>
      <c r="Q164" s="169">
        <v>-6.1198535430326988</v>
      </c>
      <c r="R164" s="169">
        <v>-6.1198535430326988</v>
      </c>
      <c r="S164" s="169">
        <v>-6.1198535430326988</v>
      </c>
      <c r="T164" s="169">
        <v>-6.1198535430326988</v>
      </c>
      <c r="U164" s="169">
        <v>-6.1198535430326988</v>
      </c>
      <c r="V164" s="169">
        <v>-6.1198535430326988</v>
      </c>
      <c r="W164" s="169">
        <v>-6.1198535430326988</v>
      </c>
      <c r="X164" s="169">
        <v>-6.1198535430326988</v>
      </c>
      <c r="Y164" s="169">
        <v>-6.1198535430326988</v>
      </c>
      <c r="Z164" s="169">
        <v>-6.1198535430326988</v>
      </c>
      <c r="AA164" s="169">
        <v>-6.1198535430326988</v>
      </c>
      <c r="AB164" s="169">
        <v>-6.1198535430326988</v>
      </c>
      <c r="AC164" s="169">
        <v>-6.1198535430326988</v>
      </c>
      <c r="AD164" s="169">
        <v>-6.1198535430326988</v>
      </c>
      <c r="AE164" s="169">
        <v>-6.1198535430326988</v>
      </c>
      <c r="AF164" s="169">
        <v>-6.1198535430326988</v>
      </c>
      <c r="AG164" s="169">
        <v>-6.1198535430326988</v>
      </c>
      <c r="AH164" s="169">
        <v>-6.1198535430326988</v>
      </c>
      <c r="AI164" s="169">
        <v>-6.1198535430326988</v>
      </c>
      <c r="AJ164" s="169">
        <v>-6.1198535430326988</v>
      </c>
      <c r="AK164" s="169">
        <v>-6.1198535430326988</v>
      </c>
    </row>
    <row r="165" spans="2:37" s="79" customFormat="1" x14ac:dyDescent="0.25">
      <c r="B165" s="136"/>
      <c r="G165" s="79" t="s">
        <v>955</v>
      </c>
      <c r="H165" s="79" t="s">
        <v>952</v>
      </c>
      <c r="I165" s="100"/>
      <c r="J165" s="100"/>
      <c r="K165" s="100"/>
      <c r="L165" s="100"/>
      <c r="M165" s="100"/>
      <c r="N165" s="100"/>
      <c r="O165" s="100"/>
      <c r="P165" s="169">
        <v>4.3516593903237766</v>
      </c>
      <c r="Q165" s="169">
        <v>4.3516593903237766</v>
      </c>
      <c r="R165" s="169">
        <v>4.3516593903237766</v>
      </c>
      <c r="S165" s="169">
        <v>4.3516593903237766</v>
      </c>
      <c r="T165" s="169">
        <v>4.3516593903237766</v>
      </c>
      <c r="U165" s="169">
        <v>4.3516593903237766</v>
      </c>
      <c r="V165" s="169">
        <v>4.3516593903237766</v>
      </c>
      <c r="W165" s="169">
        <v>4.3516593903237766</v>
      </c>
      <c r="X165" s="169">
        <v>4.3516593903237766</v>
      </c>
      <c r="Y165" s="169">
        <v>4.3516593903237766</v>
      </c>
      <c r="Z165" s="169">
        <v>4.3516593903237766</v>
      </c>
      <c r="AA165" s="169">
        <v>4.3516593903237766</v>
      </c>
      <c r="AB165" s="169">
        <v>4.3516593903237766</v>
      </c>
      <c r="AC165" s="169">
        <v>4.3516593903237766</v>
      </c>
      <c r="AD165" s="169">
        <v>4.3516593903237766</v>
      </c>
      <c r="AE165" s="169">
        <v>4.3516593903237766</v>
      </c>
      <c r="AF165" s="169">
        <v>4.3516593903237766</v>
      </c>
      <c r="AG165" s="169">
        <v>4.3516593903237766</v>
      </c>
      <c r="AH165" s="169">
        <v>4.3516593903237766</v>
      </c>
      <c r="AI165" s="169">
        <v>4.3516593903237766</v>
      </c>
      <c r="AJ165" s="169">
        <v>4.3516593903237766</v>
      </c>
      <c r="AK165" s="169">
        <v>4.3516593903237766</v>
      </c>
    </row>
    <row r="166" spans="2:37" s="74" customFormat="1" x14ac:dyDescent="0.25">
      <c r="B166" s="75"/>
      <c r="C166" s="74" t="s">
        <v>956</v>
      </c>
      <c r="H166" s="74" t="s">
        <v>937</v>
      </c>
      <c r="I166" s="76"/>
      <c r="J166" s="76"/>
      <c r="K166" s="76"/>
      <c r="L166" s="76"/>
      <c r="M166" s="76"/>
      <c r="N166" s="76"/>
      <c r="O166" s="76">
        <f t="shared" ref="O166:AK166" si="16">O167*O169</f>
        <v>70546</v>
      </c>
      <c r="P166" s="76">
        <f t="shared" si="16"/>
        <v>65264.47092272681</v>
      </c>
      <c r="Q166" s="76">
        <f t="shared" si="16"/>
        <v>65853.460091159184</v>
      </c>
      <c r="R166" s="76">
        <f t="shared" si="16"/>
        <v>63494.012838279865</v>
      </c>
      <c r="S166" s="76">
        <f t="shared" si="16"/>
        <v>61378.766106358169</v>
      </c>
      <c r="T166" s="76">
        <f t="shared" si="16"/>
        <v>65135.652096991413</v>
      </c>
      <c r="U166" s="76">
        <f t="shared" si="16"/>
        <v>68487.239847891513</v>
      </c>
      <c r="V166" s="76">
        <f t="shared" si="16"/>
        <v>68774.477656951814</v>
      </c>
      <c r="W166" s="76">
        <f t="shared" si="16"/>
        <v>75862.146902429871</v>
      </c>
      <c r="X166" s="76">
        <f t="shared" si="16"/>
        <v>75911.897601890698</v>
      </c>
      <c r="Y166" s="76">
        <f t="shared" si="16"/>
        <v>83466</v>
      </c>
      <c r="Z166" s="76">
        <f t="shared" si="16"/>
        <v>96369.891250047003</v>
      </c>
      <c r="AA166" s="76">
        <f t="shared" si="16"/>
        <v>59922.6710681818</v>
      </c>
      <c r="AB166" s="76">
        <f t="shared" si="16"/>
        <v>106537.15933290187</v>
      </c>
      <c r="AC166" s="76">
        <f t="shared" si="16"/>
        <v>84413.658523846752</v>
      </c>
      <c r="AD166" s="76">
        <f t="shared" si="16"/>
        <v>0</v>
      </c>
      <c r="AE166" s="76">
        <f t="shared" si="16"/>
        <v>0</v>
      </c>
      <c r="AF166" s="76">
        <f t="shared" si="16"/>
        <v>0</v>
      </c>
      <c r="AG166" s="76">
        <f t="shared" si="16"/>
        <v>0</v>
      </c>
      <c r="AH166" s="76">
        <f t="shared" si="16"/>
        <v>0</v>
      </c>
      <c r="AI166" s="76">
        <f t="shared" si="16"/>
        <v>0</v>
      </c>
      <c r="AJ166" s="76">
        <f t="shared" si="16"/>
        <v>0</v>
      </c>
      <c r="AK166" s="76">
        <f t="shared" si="16"/>
        <v>0</v>
      </c>
    </row>
    <row r="167" spans="2:37" s="69" customFormat="1" x14ac:dyDescent="0.25">
      <c r="D167" s="69" t="s">
        <v>597</v>
      </c>
      <c r="H167" s="69" t="s">
        <v>957</v>
      </c>
      <c r="O167" s="69">
        <f>Datasheet!O1355</f>
        <v>311761</v>
      </c>
      <c r="P167" s="69">
        <f>Datasheet!P1355</f>
        <v>290088</v>
      </c>
      <c r="Q167" s="69">
        <f>Datasheet!Q1355</f>
        <v>294408</v>
      </c>
      <c r="R167" s="69">
        <f>Datasheet!R1355</f>
        <v>285520</v>
      </c>
      <c r="S167" s="69">
        <f>Datasheet!S1355</f>
        <v>277632</v>
      </c>
      <c r="T167" s="69">
        <f>Datasheet!T1355</f>
        <v>296369</v>
      </c>
      <c r="U167" s="69">
        <f>Datasheet!U1355</f>
        <v>313474</v>
      </c>
      <c r="V167" s="69">
        <f>Datasheet!V1355</f>
        <v>316674</v>
      </c>
      <c r="W167" s="69">
        <f>Datasheet!W1355</f>
        <v>351414</v>
      </c>
      <c r="X167" s="69">
        <f>Datasheet!X1355</f>
        <v>353776</v>
      </c>
      <c r="Y167" s="69">
        <f>Datasheet!Y1355</f>
        <v>391353</v>
      </c>
      <c r="Z167" s="69">
        <f>Datasheet!Z1355</f>
        <v>454629</v>
      </c>
      <c r="AA167" s="69">
        <f>Datasheet!AA1355</f>
        <v>284433</v>
      </c>
      <c r="AB167" s="69">
        <f>Datasheet!AB1355</f>
        <v>508838</v>
      </c>
      <c r="AC167" s="69">
        <f>Datasheet!AC1355</f>
        <v>405693</v>
      </c>
      <c r="AD167" s="69">
        <f>Datasheet!AD1355</f>
        <v>0</v>
      </c>
      <c r="AE167" s="69">
        <f>Datasheet!AE1355</f>
        <v>0</v>
      </c>
      <c r="AF167" s="69">
        <f>Datasheet!AF1355</f>
        <v>0</v>
      </c>
      <c r="AG167" s="69">
        <f>Datasheet!AG1355</f>
        <v>0</v>
      </c>
      <c r="AH167" s="69">
        <f>Datasheet!AH1355</f>
        <v>0</v>
      </c>
      <c r="AI167" s="69">
        <f>Datasheet!AI1355</f>
        <v>0</v>
      </c>
      <c r="AJ167" s="69">
        <f>Datasheet!AJ1355</f>
        <v>0</v>
      </c>
      <c r="AK167" s="69">
        <f>Datasheet!AK1355</f>
        <v>0</v>
      </c>
    </row>
    <row r="168" spans="2:37" s="69" customFormat="1" x14ac:dyDescent="0.25">
      <c r="C168" s="151"/>
      <c r="D168" s="69" t="s">
        <v>958</v>
      </c>
      <c r="H168" s="69" t="s">
        <v>937</v>
      </c>
      <c r="O168" s="69">
        <v>70546</v>
      </c>
      <c r="Y168" s="69">
        <v>83466</v>
      </c>
    </row>
    <row r="169" spans="2:37" s="4" customFormat="1" x14ac:dyDescent="0.25">
      <c r="B169" s="44"/>
      <c r="E169" s="4" t="s">
        <v>938</v>
      </c>
      <c r="H169" s="4" t="s">
        <v>959</v>
      </c>
      <c r="I169" s="73"/>
      <c r="J169" s="73"/>
      <c r="K169" s="73"/>
      <c r="L169" s="73"/>
      <c r="M169" s="73"/>
      <c r="N169" s="73"/>
      <c r="O169" s="73">
        <f>O168/O167</f>
        <v>0.22628231241239283</v>
      </c>
      <c r="P169" s="73">
        <f>O169+O170</f>
        <v>0.22498162944598471</v>
      </c>
      <c r="Q169" s="73">
        <f t="shared" ref="Q169:X169" si="17">P169+P170</f>
        <v>0.22368094647957659</v>
      </c>
      <c r="R169" s="73">
        <f t="shared" si="17"/>
        <v>0.22238026351316847</v>
      </c>
      <c r="S169" s="73">
        <f t="shared" si="17"/>
        <v>0.22107958054676036</v>
      </c>
      <c r="T169" s="73">
        <f t="shared" si="17"/>
        <v>0.21977889758035224</v>
      </c>
      <c r="U169" s="73">
        <f t="shared" si="17"/>
        <v>0.21847821461394412</v>
      </c>
      <c r="V169" s="73">
        <f t="shared" si="17"/>
        <v>0.217177531647536</v>
      </c>
      <c r="W169" s="73">
        <f t="shared" si="17"/>
        <v>0.21587684868112789</v>
      </c>
      <c r="X169" s="73">
        <f t="shared" si="17"/>
        <v>0.21457616571471977</v>
      </c>
      <c r="Y169" s="73">
        <f>Y168/Y167</f>
        <v>0.21327548274831162</v>
      </c>
      <c r="Z169" s="73">
        <f t="shared" ref="Z169:AK169" si="18">Y169+Y170</f>
        <v>0.21197479978190351</v>
      </c>
      <c r="AA169" s="73">
        <f t="shared" si="18"/>
        <v>0.21067411681549539</v>
      </c>
      <c r="AB169" s="73">
        <f t="shared" si="18"/>
        <v>0.20937343384908727</v>
      </c>
      <c r="AC169" s="73">
        <f t="shared" si="18"/>
        <v>0.20807275088267915</v>
      </c>
      <c r="AD169" s="73">
        <f t="shared" si="18"/>
        <v>0.20677206791627104</v>
      </c>
      <c r="AE169" s="73">
        <f t="shared" si="18"/>
        <v>0.20547138494986292</v>
      </c>
      <c r="AF169" s="73">
        <f t="shared" si="18"/>
        <v>0.2041707019834548</v>
      </c>
      <c r="AG169" s="73">
        <f t="shared" si="18"/>
        <v>0.20287001901704668</v>
      </c>
      <c r="AH169" s="73">
        <f t="shared" si="18"/>
        <v>0.20156933605063856</v>
      </c>
      <c r="AI169" s="73">
        <f t="shared" si="18"/>
        <v>0.20026865308423045</v>
      </c>
      <c r="AJ169" s="73">
        <f t="shared" si="18"/>
        <v>0.19896797011782233</v>
      </c>
      <c r="AK169" s="73">
        <f t="shared" si="18"/>
        <v>0.19766728715141421</v>
      </c>
    </row>
    <row r="170" spans="2:37" s="79" customFormat="1" x14ac:dyDescent="0.25">
      <c r="B170" s="136"/>
      <c r="E170" s="79" t="s">
        <v>940</v>
      </c>
      <c r="H170" s="79" t="s">
        <v>959</v>
      </c>
      <c r="I170" s="170"/>
      <c r="J170" s="170"/>
      <c r="K170" s="170"/>
      <c r="L170" s="170"/>
      <c r="M170" s="170"/>
      <c r="N170" s="170"/>
      <c r="O170" s="170">
        <f t="shared" ref="O170:AK170" si="19">($Y169-$O169)/($Y$2-$O$2)</f>
        <v>-1.3006829664081205E-3</v>
      </c>
      <c r="P170" s="170">
        <f t="shared" si="19"/>
        <v>-1.3006829664081205E-3</v>
      </c>
      <c r="Q170" s="170">
        <f t="shared" si="19"/>
        <v>-1.3006829664081205E-3</v>
      </c>
      <c r="R170" s="170">
        <f t="shared" si="19"/>
        <v>-1.3006829664081205E-3</v>
      </c>
      <c r="S170" s="170">
        <f t="shared" si="19"/>
        <v>-1.3006829664081205E-3</v>
      </c>
      <c r="T170" s="170">
        <f t="shared" si="19"/>
        <v>-1.3006829664081205E-3</v>
      </c>
      <c r="U170" s="170">
        <f t="shared" si="19"/>
        <v>-1.3006829664081205E-3</v>
      </c>
      <c r="V170" s="170">
        <f t="shared" si="19"/>
        <v>-1.3006829664081205E-3</v>
      </c>
      <c r="W170" s="170">
        <f t="shared" si="19"/>
        <v>-1.3006829664081205E-3</v>
      </c>
      <c r="X170" s="170">
        <f t="shared" si="19"/>
        <v>-1.3006829664081205E-3</v>
      </c>
      <c r="Y170" s="170">
        <f t="shared" si="19"/>
        <v>-1.3006829664081205E-3</v>
      </c>
      <c r="Z170" s="170">
        <f t="shared" si="19"/>
        <v>-1.3006829664081205E-3</v>
      </c>
      <c r="AA170" s="170">
        <f t="shared" si="19"/>
        <v>-1.3006829664081205E-3</v>
      </c>
      <c r="AB170" s="170">
        <f t="shared" si="19"/>
        <v>-1.3006829664081205E-3</v>
      </c>
      <c r="AC170" s="170">
        <f t="shared" si="19"/>
        <v>-1.3006829664081205E-3</v>
      </c>
      <c r="AD170" s="170">
        <f t="shared" si="19"/>
        <v>-1.3006829664081205E-3</v>
      </c>
      <c r="AE170" s="170">
        <f t="shared" si="19"/>
        <v>-1.3006829664081205E-3</v>
      </c>
      <c r="AF170" s="170">
        <f t="shared" si="19"/>
        <v>-1.3006829664081205E-3</v>
      </c>
      <c r="AG170" s="170">
        <f t="shared" si="19"/>
        <v>-1.3006829664081205E-3</v>
      </c>
      <c r="AH170" s="170">
        <f t="shared" si="19"/>
        <v>-1.3006829664081205E-3</v>
      </c>
      <c r="AI170" s="170">
        <f t="shared" si="19"/>
        <v>-1.3006829664081205E-3</v>
      </c>
      <c r="AJ170" s="170">
        <f t="shared" si="19"/>
        <v>-1.3006829664081205E-3</v>
      </c>
      <c r="AK170" s="170">
        <f t="shared" si="19"/>
        <v>-1.3006829664081205E-3</v>
      </c>
    </row>
    <row r="171" spans="2:37" s="74" customFormat="1" x14ac:dyDescent="0.25">
      <c r="B171" s="75"/>
      <c r="C171" s="74" t="s">
        <v>960</v>
      </c>
      <c r="H171" s="74" t="s">
        <v>937</v>
      </c>
      <c r="I171" s="76"/>
      <c r="J171" s="76"/>
      <c r="K171" s="76"/>
      <c r="L171" s="76"/>
      <c r="M171" s="76"/>
      <c r="N171" s="76"/>
      <c r="O171" s="76">
        <f t="shared" ref="O171:AK171" si="20">SUM(O143,O148,O153,O166)*AVERAGE($O173,$Y173)</f>
        <v>9313.0054428981475</v>
      </c>
      <c r="P171" s="76">
        <f t="shared" si="20"/>
        <v>9672.2196381535523</v>
      </c>
      <c r="Q171" s="76">
        <f t="shared" si="20"/>
        <v>9647.8438213908448</v>
      </c>
      <c r="R171" s="76">
        <f t="shared" si="20"/>
        <v>9208.5255136818469</v>
      </c>
      <c r="S171" s="76">
        <f t="shared" si="20"/>
        <v>8936.8726252131291</v>
      </c>
      <c r="T171" s="76">
        <f t="shared" si="20"/>
        <v>9022.0732724785921</v>
      </c>
      <c r="U171" s="76">
        <f t="shared" si="20"/>
        <v>9166.9717551156355</v>
      </c>
      <c r="V171" s="76">
        <f t="shared" si="20"/>
        <v>9611.1380077834456</v>
      </c>
      <c r="W171" s="76">
        <f t="shared" si="20"/>
        <v>9908.5800214602004</v>
      </c>
      <c r="X171" s="76">
        <f t="shared" si="20"/>
        <v>10726.266412630706</v>
      </c>
      <c r="Y171" s="76">
        <f t="shared" si="20"/>
        <v>11147.54583560868</v>
      </c>
      <c r="Z171" s="76">
        <f t="shared" si="20"/>
        <v>11354.223479658936</v>
      </c>
      <c r="AA171" s="76">
        <f t="shared" si="20"/>
        <v>10059.071689563258</v>
      </c>
      <c r="AB171" s="76">
        <f t="shared" si="20"/>
        <v>11945.841587226514</v>
      </c>
      <c r="AC171" s="76">
        <f t="shared" si="20"/>
        <v>10866.093318061294</v>
      </c>
      <c r="AD171" s="76">
        <f t="shared" si="20"/>
        <v>3908.6440152682303</v>
      </c>
      <c r="AE171" s="76">
        <f t="shared" si="20"/>
        <v>3864.1862736684625</v>
      </c>
      <c r="AF171" s="76">
        <f t="shared" si="20"/>
        <v>3819.7285320686942</v>
      </c>
      <c r="AG171" s="76">
        <f t="shared" si="20"/>
        <v>3775.2707904689264</v>
      </c>
      <c r="AH171" s="76">
        <f t="shared" si="20"/>
        <v>3730.8130488691586</v>
      </c>
      <c r="AI171" s="76">
        <f t="shared" si="20"/>
        <v>3686.3553072693899</v>
      </c>
      <c r="AJ171" s="76">
        <f t="shared" si="20"/>
        <v>3641.8975656696221</v>
      </c>
      <c r="AK171" s="76">
        <f t="shared" si="20"/>
        <v>3597.4398240698542</v>
      </c>
    </row>
    <row r="172" spans="2:37" s="69" customFormat="1" x14ac:dyDescent="0.25">
      <c r="C172" s="151"/>
      <c r="D172" s="69" t="s">
        <v>961</v>
      </c>
      <c r="H172" s="69" t="s">
        <v>937</v>
      </c>
      <c r="O172" s="69">
        <v>14108</v>
      </c>
      <c r="Y172" s="69">
        <v>5408</v>
      </c>
    </row>
    <row r="173" spans="2:37" s="4" customFormat="1" x14ac:dyDescent="0.25">
      <c r="B173" s="44"/>
      <c r="E173" s="4" t="s">
        <v>938</v>
      </c>
      <c r="H173" s="4" t="s">
        <v>962</v>
      </c>
      <c r="O173" s="4">
        <f>O172/SUM(O145,O150,O155,O168)</f>
        <v>3.5667334101895112E-2</v>
      </c>
      <c r="Y173" s="4">
        <f>Y172/SUM(Y145,Y150,Y155,Y168)</f>
        <v>1.1422271316961692E-2</v>
      </c>
      <c r="AA173" s="60"/>
    </row>
    <row r="174" spans="2:37" s="74" customFormat="1" x14ac:dyDescent="0.25">
      <c r="B174" s="75"/>
      <c r="C174" s="74" t="s">
        <v>963</v>
      </c>
      <c r="H174" s="74" t="s">
        <v>937</v>
      </c>
      <c r="I174" s="76"/>
      <c r="J174" s="76"/>
      <c r="K174" s="76"/>
      <c r="L174" s="76"/>
      <c r="M174" s="76"/>
      <c r="N174" s="76"/>
      <c r="O174" s="76">
        <f t="shared" ref="O174:AK174" si="21">SUM(O143,O148,O153,O166,O171)</f>
        <v>404857.00544289814</v>
      </c>
      <c r="P174" s="76">
        <f t="shared" si="21"/>
        <v>420472.84334779112</v>
      </c>
      <c r="Q174" s="76">
        <f t="shared" si="21"/>
        <v>419413.17252076505</v>
      </c>
      <c r="R174" s="76">
        <f t="shared" si="21"/>
        <v>400315.03115428076</v>
      </c>
      <c r="S174" s="76">
        <f t="shared" si="21"/>
        <v>388505.6774907728</v>
      </c>
      <c r="T174" s="76">
        <f t="shared" si="21"/>
        <v>392209.53862616984</v>
      </c>
      <c r="U174" s="76">
        <f t="shared" si="21"/>
        <v>398508.59709159669</v>
      </c>
      <c r="V174" s="76">
        <f t="shared" si="21"/>
        <v>417817.48937953281</v>
      </c>
      <c r="W174" s="76">
        <f t="shared" si="21"/>
        <v>430747.9535232971</v>
      </c>
      <c r="X174" s="76">
        <f t="shared" si="21"/>
        <v>466294.59480365284</v>
      </c>
      <c r="Y174" s="76">
        <f t="shared" si="21"/>
        <v>484608.54583560867</v>
      </c>
      <c r="Z174" s="76">
        <f t="shared" si="21"/>
        <v>493593.28149105579</v>
      </c>
      <c r="AA174" s="76">
        <f t="shared" si="21"/>
        <v>437290.16016817483</v>
      </c>
      <c r="AB174" s="76">
        <f t="shared" si="21"/>
        <v>519312.23300077015</v>
      </c>
      <c r="AC174" s="76">
        <f t="shared" si="21"/>
        <v>472373.18055774411</v>
      </c>
      <c r="AD174" s="76">
        <f t="shared" si="21"/>
        <v>169917.42580484902</v>
      </c>
      <c r="AE174" s="76">
        <f t="shared" si="21"/>
        <v>167984.74915785299</v>
      </c>
      <c r="AF174" s="76">
        <f t="shared" si="21"/>
        <v>166052.07251085696</v>
      </c>
      <c r="AG174" s="76">
        <f t="shared" si="21"/>
        <v>164119.39586386093</v>
      </c>
      <c r="AH174" s="76">
        <f t="shared" si="21"/>
        <v>162186.71921686491</v>
      </c>
      <c r="AI174" s="76">
        <f t="shared" si="21"/>
        <v>160254.04256986882</v>
      </c>
      <c r="AJ174" s="76">
        <f t="shared" si="21"/>
        <v>158321.36592287279</v>
      </c>
      <c r="AK174" s="76">
        <f t="shared" si="21"/>
        <v>156388.68927587676</v>
      </c>
    </row>
    <row r="175" spans="2:37" s="100" customFormat="1" x14ac:dyDescent="0.25">
      <c r="D175" s="100" t="s">
        <v>964</v>
      </c>
      <c r="H175" s="100" t="s">
        <v>937</v>
      </c>
      <c r="O175" s="100">
        <f>SUM(O145,O150,O155,O168,O172)</f>
        <v>409652</v>
      </c>
      <c r="Y175" s="100">
        <f>SUM(Y145,Y150,Y155,Y168,Y172)</f>
        <v>478869</v>
      </c>
    </row>
    <row r="176" spans="2:37" s="69" customFormat="1" x14ac:dyDescent="0.25">
      <c r="D176" s="69" t="s">
        <v>965</v>
      </c>
      <c r="H176" s="69" t="s">
        <v>966</v>
      </c>
      <c r="Q176" s="69">
        <f>AVERAGE(Q177:Q188)</f>
        <v>804.85744375503725</v>
      </c>
      <c r="R176" s="69">
        <f t="shared" ref="R176:AK176" si="22">AVERAGE(R177:R188)</f>
        <v>768.21038105090201</v>
      </c>
      <c r="S176" s="69">
        <f t="shared" si="22"/>
        <v>745.52254350181181</v>
      </c>
      <c r="T176" s="69">
        <f t="shared" si="22"/>
        <v>752.6172990366091</v>
      </c>
      <c r="U176" s="69">
        <f t="shared" si="22"/>
        <v>764.67258728929426</v>
      </c>
      <c r="V176" s="69">
        <f t="shared" si="22"/>
        <v>801.71450124629473</v>
      </c>
      <c r="W176" s="69">
        <f t="shared" si="22"/>
        <v>826.51160210695991</v>
      </c>
      <c r="X176" s="69">
        <f t="shared" si="22"/>
        <v>894.69984961413513</v>
      </c>
      <c r="Y176" s="69">
        <f t="shared" si="22"/>
        <v>929.83531957049388</v>
      </c>
      <c r="Z176" s="69">
        <f t="shared" si="22"/>
        <v>947.09165602684755</v>
      </c>
      <c r="AA176" s="69">
        <f t="shared" si="22"/>
        <v>839.14860290015338</v>
      </c>
      <c r="AB176" s="69">
        <f t="shared" si="22"/>
        <v>996.41519559084418</v>
      </c>
      <c r="AC176" s="69">
        <f t="shared" si="22"/>
        <v>906.32816826870703</v>
      </c>
      <c r="AD176" s="69" t="e">
        <f t="shared" si="22"/>
        <v>#DIV/0!</v>
      </c>
      <c r="AE176" s="69" t="e">
        <f t="shared" si="22"/>
        <v>#DIV/0!</v>
      </c>
      <c r="AF176" s="69" t="e">
        <f t="shared" si="22"/>
        <v>#DIV/0!</v>
      </c>
      <c r="AG176" s="69" t="e">
        <f t="shared" si="22"/>
        <v>#DIV/0!</v>
      </c>
      <c r="AH176" s="69" t="e">
        <f t="shared" si="22"/>
        <v>#DIV/0!</v>
      </c>
      <c r="AI176" s="69" t="e">
        <f t="shared" si="22"/>
        <v>#DIV/0!</v>
      </c>
      <c r="AJ176" s="69" t="e">
        <f t="shared" si="22"/>
        <v>#DIV/0!</v>
      </c>
      <c r="AK176" s="69" t="e">
        <f t="shared" si="22"/>
        <v>#DIV/0!</v>
      </c>
    </row>
    <row r="177" spans="1:37" s="69" customFormat="1" x14ac:dyDescent="0.25">
      <c r="E177" s="4" t="s">
        <v>244</v>
      </c>
      <c r="H177" s="69" t="s">
        <v>966</v>
      </c>
      <c r="Q177" s="69">
        <f>(SUM(Datasheet!Q1296,Datasheet!Q1309)*Q$146)/Q675+(SUM(Datasheet!Q1323,Datasheet!Q1336)*Q$151)/Q675+(MAX(Q$154,Q$158)*SUM(Datasheet!Q1105,Datasheet!Q1131,Datasheet!Q1144,Datasheet!Q1157)/SUM(Datasheet!Q$1104,Datasheet!Q$1130,Datasheet!Q$1143,Datasheet!Q$1156)*Q$156)/Q675+(Datasheet!Q1356*Q$169)/Q675+Q$171/12</f>
        <v>804.98500978576362</v>
      </c>
      <c r="R177" s="69">
        <f>(SUM(Datasheet!R1296,Datasheet!R1309)*R$146)/R675+(SUM(Datasheet!R1323,Datasheet!R1336)*R$151)/R675+(MAX(R$154,R$158)*SUM(Datasheet!R1105,Datasheet!R1131,Datasheet!R1144,Datasheet!R1157)/SUM(Datasheet!R$1104,Datasheet!R$1130,Datasheet!R$1143,Datasheet!R$1156)*R$156)/R675+(Datasheet!R1356*R$169)/R675+R$171/12</f>
        <v>768.35202925663668</v>
      </c>
      <c r="S177" s="69">
        <f>(SUM(Datasheet!S1296,Datasheet!S1309)*S$146)/S675+(SUM(Datasheet!S1323,Datasheet!S1336)*S$151)/S675+(MAX(S$154,S$158)*SUM(Datasheet!S1105,Datasheet!S1131,Datasheet!S1144,Datasheet!S1157)/SUM(Datasheet!S$1104,Datasheet!S$1130,Datasheet!S$1143,Datasheet!S$1156)*S$156)/S675+(Datasheet!S1356*S$169)/S675+S$171/12</f>
        <v>745.63363916919047</v>
      </c>
      <c r="T177" s="69">
        <f>(SUM(Datasheet!T1296,Datasheet!T1309)*T$146)/T675+(SUM(Datasheet!T1323,Datasheet!T1336)*T$151)/T675+(MAX(T$154,T$158)*SUM(Datasheet!T1105,Datasheet!T1131,Datasheet!T1144,Datasheet!T1157)/SUM(Datasheet!T$1104,Datasheet!T$1130,Datasheet!T$1143,Datasheet!T$1156)*T$156)/T675+(Datasheet!T1356*T$169)/T675+T$171/12</f>
        <v>752.75661079665224</v>
      </c>
      <c r="U177" s="69">
        <f>(SUM(Datasheet!U1296,Datasheet!U1309)*U$146)/U675+(SUM(Datasheet!U1323,Datasheet!U1336)*U$151)/U675+(MAX(U$154,U$158)*SUM(Datasheet!U1105,Datasheet!U1131,Datasheet!U1144,Datasheet!U1157)/SUM(Datasheet!U$1104,Datasheet!U$1130,Datasheet!U$1143,Datasheet!U$1156)*U$156)/U675+(Datasheet!U1356*U$169)/U675+U$171/12</f>
        <v>764.77597273771869</v>
      </c>
      <c r="V177" s="69">
        <f>(SUM(Datasheet!V1296,Datasheet!V1309)*V$146)/V675+(SUM(Datasheet!V1323,Datasheet!V1336)*V$151)/V675+(MAX(V$154,V$158)*SUM(Datasheet!V1105,Datasheet!V1131,Datasheet!V1144,Datasheet!V1157)/SUM(Datasheet!V$1104,Datasheet!V$1130,Datasheet!V$1143,Datasheet!V$1156)*V$156)/V675+(Datasheet!V1356*V$169)/V675+V$171/12</f>
        <v>801.8437307454559</v>
      </c>
      <c r="W177" s="69">
        <f>(SUM(Datasheet!W1296,Datasheet!W1309)*W$146)/W675+(SUM(Datasheet!W1323,Datasheet!W1336)*W$151)/W675+(MAX(W$154,W$158)*SUM(Datasheet!W1105,Datasheet!W1131,Datasheet!W1144,Datasheet!W1157)/SUM(Datasheet!W$1104,Datasheet!W$1130,Datasheet!W$1143,Datasheet!W$1156)*W$156)/W675+(Datasheet!W1356*W$169)/W675+W$171/12</f>
        <v>826.68825776546817</v>
      </c>
      <c r="X177" s="69">
        <f>(SUM(Datasheet!X1296,Datasheet!X1309)*X$146)/X675+(SUM(Datasheet!X1323,Datasheet!X1336)*X$151)/X675+(MAX(X$154,X$158)*SUM(Datasheet!X1105,Datasheet!X1131,Datasheet!X1144,Datasheet!X1157)/SUM(Datasheet!X$1104,Datasheet!X$1130,Datasheet!X$1143,Datasheet!X$1156)*X$156)/X675+(Datasheet!X1356*X$169)/X675+X$171/12</f>
        <v>894.84955649032281</v>
      </c>
      <c r="Y177" s="69">
        <f>(SUM(Datasheet!Y1296,Datasheet!Y1309)*Y$146)/Y675+(SUM(Datasheet!Y1323,Datasheet!Y1336)*Y$151)/Y675+(MAX(Y$154,Y$158)*SUM(Datasheet!Y1105,Datasheet!Y1131,Datasheet!Y1144,Datasheet!Y1157)/SUM(Datasheet!Y$1104,Datasheet!Y$1130,Datasheet!Y$1143,Datasheet!Y$1156)*Y$156)/Y675+(Datasheet!Y1356*Y$169)/Y675+Y$171/12</f>
        <v>929.95139772547793</v>
      </c>
      <c r="Z177" s="69">
        <f>(SUM(Datasheet!Z1296,Datasheet!Z1309)*Z$146)/Z675+(SUM(Datasheet!Z1323,Datasheet!Z1336)*Z$151)/Z675+(MAX(Z$154,Z$158)*SUM(Datasheet!Z1105,Datasheet!Z1131,Datasheet!Z1144,Datasheet!Z1157)/SUM(Datasheet!Z$1104,Datasheet!Z$1130,Datasheet!Z$1143,Datasheet!Z$1156)*Z$156)/Z675+(Datasheet!Z1356*Z$169)/Z675+Z$171/12</f>
        <v>947.22960644524551</v>
      </c>
      <c r="AA177" s="69">
        <f>(SUM(Datasheet!AA1296,Datasheet!AA1309)*AA$146)/AA675+(SUM(Datasheet!AA1323,Datasheet!AA1336)*AA$151)/AA675+(MAX(AA$154,AA$158)*SUM(Datasheet!AA1105,Datasheet!AA1131,Datasheet!AA1144,Datasheet!AA1157)/SUM(Datasheet!AA$1104,Datasheet!AA$1130,Datasheet!AA$1143,Datasheet!AA$1156)*AA$156)/AA675+(Datasheet!AA1356*AA$169)/AA675+AA$171/12</f>
        <v>839.29309137839027</v>
      </c>
      <c r="AB177" s="69">
        <f>(SUM(Datasheet!AB1296,Datasheet!AB1309)*AB$146)/AB675+(SUM(Datasheet!AB1323,Datasheet!AB1336)*AB$151)/AB675+(MAX(AB$154,AB$158)*SUM(Datasheet!AB1105,Datasheet!AB1131,Datasheet!AB1144,Datasheet!AB1157)/SUM(Datasheet!AB$1104,Datasheet!AB$1130,Datasheet!AB$1143,Datasheet!AB$1156)*AB$156)/AB675+(Datasheet!AB1356*AB$169)/AB675+AB$171/12</f>
        <v>996.52117623807396</v>
      </c>
      <c r="AC177" s="69">
        <f>(SUM(Datasheet!AC1296,Datasheet!AC1309)*AC$146)/AC675+(SUM(Datasheet!AC1323,Datasheet!AC1336)*AC$151)/AC675+(MAX(AC$154,AC$158)*SUM(Datasheet!AC1105,Datasheet!AC1131,Datasheet!AC1144,Datasheet!AC1157)/SUM(Datasheet!AC$1104,Datasheet!AC$1130,Datasheet!AC$1143,Datasheet!AC$1156)*AC$156)/AC675+(Datasheet!AC1356*AC$169)/AC675+AC$171/12</f>
        <v>906.49792653973952</v>
      </c>
      <c r="AD177" s="69" t="e">
        <f>(SUM(Datasheet!AD1296,Datasheet!AD1309)*AD$146)/AD675+(SUM(Datasheet!AD1323,Datasheet!AD1336)*AD$151)/AD675+(MAX(AD$154,AD$158)*SUM(Datasheet!AD1105,Datasheet!AD1131,Datasheet!AD1144,Datasheet!AD1157)/SUM(Datasheet!AD$1104,Datasheet!AD$1130,Datasheet!AD$1143,Datasheet!AD$1156)*AD$156)/AD675+(Datasheet!AD1356*AD$169)/AD675+AD$171/12</f>
        <v>#DIV/0!</v>
      </c>
      <c r="AE177" s="69" t="e">
        <f>(SUM(Datasheet!AE1296,Datasheet!AE1309)*AE$146)/AE675+(SUM(Datasheet!AE1323,Datasheet!AE1336)*AE$151)/AE675+(MAX(AE$154,AE$158)*SUM(Datasheet!AE1105,Datasheet!AE1131,Datasheet!AE1144,Datasheet!AE1157)/SUM(Datasheet!AE$1104,Datasheet!AE$1130,Datasheet!AE$1143,Datasheet!AE$1156)*AE$156)/AE675+(Datasheet!AE1356*AE$169)/AE675+AE$171/12</f>
        <v>#DIV/0!</v>
      </c>
      <c r="AF177" s="69" t="e">
        <f>(SUM(Datasheet!AF1296,Datasheet!AF1309)*AF$146)/AF675+(SUM(Datasheet!AF1323,Datasheet!AF1336)*AF$151)/AF675+(MAX(AF$154,AF$158)*SUM(Datasheet!AF1105,Datasheet!AF1131,Datasheet!AF1144,Datasheet!AF1157)/SUM(Datasheet!AF$1104,Datasheet!AF$1130,Datasheet!AF$1143,Datasheet!AF$1156)*AF$156)/AF675+(Datasheet!AF1356*AF$169)/AF675+AF$171/12</f>
        <v>#DIV/0!</v>
      </c>
      <c r="AG177" s="69" t="e">
        <f>(SUM(Datasheet!AG1296,Datasheet!AG1309)*AG$146)/AG675+(SUM(Datasheet!AG1323,Datasheet!AG1336)*AG$151)/AG675+(MAX(AG$154,AG$158)*SUM(Datasheet!AG1105,Datasheet!AG1131,Datasheet!AG1144,Datasheet!AG1157)/SUM(Datasheet!AG$1104,Datasheet!AG$1130,Datasheet!AG$1143,Datasheet!AG$1156)*AG$156)/AG675+(Datasheet!AG1356*AG$169)/AG675+AG$171/12</f>
        <v>#DIV/0!</v>
      </c>
      <c r="AH177" s="69" t="e">
        <f>(SUM(Datasheet!AH1296,Datasheet!AH1309)*AH$146)/AH675+(SUM(Datasheet!AH1323,Datasheet!AH1336)*AH$151)/AH675+(MAX(AH$154,AH$158)*SUM(Datasheet!AH1105,Datasheet!AH1131,Datasheet!AH1144,Datasheet!AH1157)/SUM(Datasheet!AH$1104,Datasheet!AH$1130,Datasheet!AH$1143,Datasheet!AH$1156)*AH$156)/AH675+(Datasheet!AH1356*AH$169)/AH675+AH$171/12</f>
        <v>#DIV/0!</v>
      </c>
      <c r="AI177" s="69" t="e">
        <f>(SUM(Datasheet!AI1296,Datasheet!AI1309)*AI$146)/AI675+(SUM(Datasheet!AI1323,Datasheet!AI1336)*AI$151)/AI675+(MAX(AI$154,AI$158)*SUM(Datasheet!AI1105,Datasheet!AI1131,Datasheet!AI1144,Datasheet!AI1157)/SUM(Datasheet!AI$1104,Datasheet!AI$1130,Datasheet!AI$1143,Datasheet!AI$1156)*AI$156)/AI675+(Datasheet!AI1356*AI$169)/AI675+AI$171/12</f>
        <v>#DIV/0!</v>
      </c>
      <c r="AJ177" s="69" t="e">
        <f>(SUM(Datasheet!AJ1296,Datasheet!AJ1309)*AJ$146)/AJ675+(SUM(Datasheet!AJ1323,Datasheet!AJ1336)*AJ$151)/AJ675+(MAX(AJ$154,AJ$158)*SUM(Datasheet!AJ1105,Datasheet!AJ1131,Datasheet!AJ1144,Datasheet!AJ1157)/SUM(Datasheet!AJ$1104,Datasheet!AJ$1130,Datasheet!AJ$1143,Datasheet!AJ$1156)*AJ$156)/AJ675+(Datasheet!AJ1356*AJ$169)/AJ675+AJ$171/12</f>
        <v>#DIV/0!</v>
      </c>
      <c r="AK177" s="69" t="e">
        <f>(SUM(Datasheet!AK1296,Datasheet!AK1309)*AK$146)/AK675+(SUM(Datasheet!AK1323,Datasheet!AK1336)*AK$151)/AK675+(MAX(AK$154,AK$158)*SUM(Datasheet!AK1105,Datasheet!AK1131,Datasheet!AK1144,Datasheet!AK1157)/SUM(Datasheet!AK$1104,Datasheet!AK$1130,Datasheet!AK$1143,Datasheet!AK$1156)*AK$156)/AK675+(Datasheet!AK1356*AK$169)/AK675+AK$171/12</f>
        <v>#DIV/0!</v>
      </c>
    </row>
    <row r="178" spans="1:37" s="69" customFormat="1" x14ac:dyDescent="0.25">
      <c r="E178" s="4" t="s">
        <v>245</v>
      </c>
      <c r="H178" s="69" t="s">
        <v>966</v>
      </c>
      <c r="Q178" s="69">
        <f>(SUM(Datasheet!Q1297,Datasheet!Q1310)*Q$146)/Q676+(SUM(Datasheet!Q1324,Datasheet!Q1337)*Q$151)/Q676+(MAX(Q$154,Q$158)*SUM(Datasheet!Q1106,Datasheet!Q1132,Datasheet!Q1145,Datasheet!Q1158)/SUM(Datasheet!Q$1104,Datasheet!Q$1130,Datasheet!Q$1143,Datasheet!Q$1156)*Q$156)/Q676+(Datasheet!Q1357*Q$169)/Q676+Q$171/12</f>
        <v>804.9562307023167</v>
      </c>
      <c r="R178" s="69">
        <f>(SUM(Datasheet!R1297,Datasheet!R1310)*R$146)/R676+(SUM(Datasheet!R1324,Datasheet!R1337)*R$151)/R676+(MAX(R$154,R$158)*SUM(Datasheet!R1106,Datasheet!R1132,Datasheet!R1145,Datasheet!R1158)/SUM(Datasheet!R$1104,Datasheet!R$1130,Datasheet!R$1143,Datasheet!R$1156)*R$156)/R676+(Datasheet!R1357*R$169)/R676+R$171/12</f>
        <v>768.27742224537508</v>
      </c>
      <c r="S178" s="69">
        <f>(SUM(Datasheet!S1297,Datasheet!S1310)*S$146)/S676+(SUM(Datasheet!S1324,Datasheet!S1337)*S$151)/S676+(MAX(S$154,S$158)*SUM(Datasheet!S1106,Datasheet!S1132,Datasheet!S1145,Datasheet!S1158)/SUM(Datasheet!S$1104,Datasheet!S$1130,Datasheet!S$1143,Datasheet!S$1156)*S$156)/S676+(Datasheet!S1357*S$169)/S676+S$171/12</f>
        <v>745.56355205323223</v>
      </c>
      <c r="T178" s="69">
        <f>(SUM(Datasheet!T1297,Datasheet!T1310)*T$146)/T676+(SUM(Datasheet!T1324,Datasheet!T1337)*T$151)/T676+(MAX(T$154,T$158)*SUM(Datasheet!T1106,Datasheet!T1132,Datasheet!T1145,Datasheet!T1158)/SUM(Datasheet!T$1104,Datasheet!T$1130,Datasheet!T$1143,Datasheet!T$1156)*T$156)/T676+(Datasheet!T1357*T$169)/T676+T$171/12</f>
        <v>752.66576826088976</v>
      </c>
      <c r="U178" s="69">
        <f>(SUM(Datasheet!U1297,Datasheet!U1310)*U$146)/U676+(SUM(Datasheet!U1324,Datasheet!U1337)*U$151)/U676+(MAX(U$154,U$158)*SUM(Datasheet!U1106,Datasheet!U1132,Datasheet!U1145,Datasheet!U1158)/SUM(Datasheet!U$1104,Datasheet!U$1130,Datasheet!U$1143,Datasheet!U$1156)*U$156)/U676+(Datasheet!U1357*U$169)/U676+U$171/12</f>
        <v>764.74147390338885</v>
      </c>
      <c r="V178" s="69">
        <f>(SUM(Datasheet!V1297,Datasheet!V1310)*V$146)/V676+(SUM(Datasheet!V1324,Datasheet!V1337)*V$151)/V676+(MAX(V$154,V$158)*SUM(Datasheet!V1106,Datasheet!V1132,Datasheet!V1145,Datasheet!V1158)/SUM(Datasheet!V$1104,Datasheet!V$1130,Datasheet!V$1143,Datasheet!V$1156)*V$156)/V676+(Datasheet!V1357*V$169)/V676+V$171/12</f>
        <v>801.76961655278137</v>
      </c>
      <c r="W178" s="69">
        <f>(SUM(Datasheet!W1297,Datasheet!W1310)*W$146)/W676+(SUM(Datasheet!W1324,Datasheet!W1337)*W$151)/W676+(MAX(W$154,W$158)*SUM(Datasheet!W1106,Datasheet!W1132,Datasheet!W1145,Datasheet!W1158)/SUM(Datasheet!W$1104,Datasheet!W$1130,Datasheet!W$1143,Datasheet!W$1156)*W$156)/W676+(Datasheet!W1357*W$169)/W676+W$171/12</f>
        <v>826.60913437651607</v>
      </c>
      <c r="X178" s="69">
        <f>(SUM(Datasheet!X1297,Datasheet!X1310)*X$146)/X676+(SUM(Datasheet!X1324,Datasheet!X1337)*X$151)/X676+(MAX(X$154,X$158)*SUM(Datasheet!X1106,Datasheet!X1132,Datasheet!X1145,Datasheet!X1158)/SUM(Datasheet!X$1104,Datasheet!X$1130,Datasheet!X$1143,Datasheet!X$1156)*X$156)/X676+(Datasheet!X1357*X$169)/X676+X$171/12</f>
        <v>894.74193616901448</v>
      </c>
      <c r="Y178" s="69">
        <f>(SUM(Datasheet!Y1297,Datasheet!Y1310)*Y$146)/Y676+(SUM(Datasheet!Y1324,Datasheet!Y1337)*Y$151)/Y676+(MAX(Y$154,Y$158)*SUM(Datasheet!Y1106,Datasheet!Y1132,Datasheet!Y1145,Datasheet!Y1158)/SUM(Datasheet!Y$1104,Datasheet!Y$1130,Datasheet!Y$1143,Datasheet!Y$1156)*Y$156)/Y676+(Datasheet!Y1357*Y$169)/Y676+Y$171/12</f>
        <v>929.88384347718159</v>
      </c>
      <c r="Z178" s="69">
        <f>(SUM(Datasheet!Z1297,Datasheet!Z1310)*Z$146)/Z676+(SUM(Datasheet!Z1324,Datasheet!Z1337)*Z$151)/Z676+(MAX(Z$154,Z$158)*SUM(Datasheet!Z1106,Datasheet!Z1132,Datasheet!Z1145,Datasheet!Z1158)/SUM(Datasheet!Z$1104,Datasheet!Z$1130,Datasheet!Z$1143,Datasheet!Z$1156)*Z$156)/Z676+(Datasheet!Z1357*Z$169)/Z676+Z$171/12</f>
        <v>947.12342942530529</v>
      </c>
      <c r="AA178" s="69">
        <f>(SUM(Datasheet!AA1297,Datasheet!AA1310)*AA$146)/AA676+(SUM(Datasheet!AA1324,Datasheet!AA1337)*AA$151)/AA676+(MAX(AA$154,AA$158)*SUM(Datasheet!AA1106,Datasheet!AA1132,Datasheet!AA1145,Datasheet!AA1158)/SUM(Datasheet!AA$1104,Datasheet!AA$1130,Datasheet!AA$1143,Datasheet!AA$1156)*AA$156)/AA676+(Datasheet!AA1357*AA$169)/AA676+AA$171/12</f>
        <v>839.25153874985904</v>
      </c>
      <c r="AB178" s="69">
        <f>(SUM(Datasheet!AB1297,Datasheet!AB1310)*AB$146)/AB676+(SUM(Datasheet!AB1324,Datasheet!AB1337)*AB$151)/AB676+(MAX(AB$154,AB$158)*SUM(Datasheet!AB1106,Datasheet!AB1132,Datasheet!AB1145,Datasheet!AB1158)/SUM(Datasheet!AB$1104,Datasheet!AB$1130,Datasheet!AB$1143,Datasheet!AB$1156)*AB$156)/AB676+(Datasheet!AB1357*AB$169)/AB676+AB$171/12</f>
        <v>996.49165528336175</v>
      </c>
      <c r="AC178" s="69">
        <f>(SUM(Datasheet!AC1297,Datasheet!AC1310)*AC$146)/AC676+(SUM(Datasheet!AC1324,Datasheet!AC1337)*AC$151)/AC676+(MAX(AC$154,AC$158)*SUM(Datasheet!AC1106,Datasheet!AC1132,Datasheet!AC1145,Datasheet!AC1158)/SUM(Datasheet!AC$1104,Datasheet!AC$1130,Datasheet!AC$1143,Datasheet!AC$1156)*AC$156)/AC676+(Datasheet!AC1357*AC$169)/AC676+AC$171/12</f>
        <v>906.47682385674591</v>
      </c>
      <c r="AD178" s="69" t="e">
        <f>(SUM(Datasheet!AD1297,Datasheet!AD1310)*AD$146)/AD676+(SUM(Datasheet!AD1324,Datasheet!AD1337)*AD$151)/AD676+(MAX(AD$154,AD$158)*SUM(Datasheet!AD1106,Datasheet!AD1132,Datasheet!AD1145,Datasheet!AD1158)/SUM(Datasheet!AD$1104,Datasheet!AD$1130,Datasheet!AD$1143,Datasheet!AD$1156)*AD$156)/AD676+(Datasheet!AD1357*AD$169)/AD676+AD$171/12</f>
        <v>#DIV/0!</v>
      </c>
      <c r="AE178" s="69" t="e">
        <f>(SUM(Datasheet!AE1297,Datasheet!AE1310)*AE$146)/AE676+(SUM(Datasheet!AE1324,Datasheet!AE1337)*AE$151)/AE676+(MAX(AE$154,AE$158)*SUM(Datasheet!AE1106,Datasheet!AE1132,Datasheet!AE1145,Datasheet!AE1158)/SUM(Datasheet!AE$1104,Datasheet!AE$1130,Datasheet!AE$1143,Datasheet!AE$1156)*AE$156)/AE676+(Datasheet!AE1357*AE$169)/AE676+AE$171/12</f>
        <v>#DIV/0!</v>
      </c>
      <c r="AF178" s="69" t="e">
        <f>(SUM(Datasheet!AF1297,Datasheet!AF1310)*AF$146)/AF676+(SUM(Datasheet!AF1324,Datasheet!AF1337)*AF$151)/AF676+(MAX(AF$154,AF$158)*SUM(Datasheet!AF1106,Datasheet!AF1132,Datasheet!AF1145,Datasheet!AF1158)/SUM(Datasheet!AF$1104,Datasheet!AF$1130,Datasheet!AF$1143,Datasheet!AF$1156)*AF$156)/AF676+(Datasheet!AF1357*AF$169)/AF676+AF$171/12</f>
        <v>#DIV/0!</v>
      </c>
      <c r="AG178" s="69" t="e">
        <f>(SUM(Datasheet!AG1297,Datasheet!AG1310)*AG$146)/AG676+(SUM(Datasheet!AG1324,Datasheet!AG1337)*AG$151)/AG676+(MAX(AG$154,AG$158)*SUM(Datasheet!AG1106,Datasheet!AG1132,Datasheet!AG1145,Datasheet!AG1158)/SUM(Datasheet!AG$1104,Datasheet!AG$1130,Datasheet!AG$1143,Datasheet!AG$1156)*AG$156)/AG676+(Datasheet!AG1357*AG$169)/AG676+AG$171/12</f>
        <v>#DIV/0!</v>
      </c>
      <c r="AH178" s="69" t="e">
        <f>(SUM(Datasheet!AH1297,Datasheet!AH1310)*AH$146)/AH676+(SUM(Datasheet!AH1324,Datasheet!AH1337)*AH$151)/AH676+(MAX(AH$154,AH$158)*SUM(Datasheet!AH1106,Datasheet!AH1132,Datasheet!AH1145,Datasheet!AH1158)/SUM(Datasheet!AH$1104,Datasheet!AH$1130,Datasheet!AH$1143,Datasheet!AH$1156)*AH$156)/AH676+(Datasheet!AH1357*AH$169)/AH676+AH$171/12</f>
        <v>#DIV/0!</v>
      </c>
      <c r="AI178" s="69" t="e">
        <f>(SUM(Datasheet!AI1297,Datasheet!AI1310)*AI$146)/AI676+(SUM(Datasheet!AI1324,Datasheet!AI1337)*AI$151)/AI676+(MAX(AI$154,AI$158)*SUM(Datasheet!AI1106,Datasheet!AI1132,Datasheet!AI1145,Datasheet!AI1158)/SUM(Datasheet!AI$1104,Datasheet!AI$1130,Datasheet!AI$1143,Datasheet!AI$1156)*AI$156)/AI676+(Datasheet!AI1357*AI$169)/AI676+AI$171/12</f>
        <v>#DIV/0!</v>
      </c>
      <c r="AJ178" s="69" t="e">
        <f>(SUM(Datasheet!AJ1297,Datasheet!AJ1310)*AJ$146)/AJ676+(SUM(Datasheet!AJ1324,Datasheet!AJ1337)*AJ$151)/AJ676+(MAX(AJ$154,AJ$158)*SUM(Datasheet!AJ1106,Datasheet!AJ1132,Datasheet!AJ1145,Datasheet!AJ1158)/SUM(Datasheet!AJ$1104,Datasheet!AJ$1130,Datasheet!AJ$1143,Datasheet!AJ$1156)*AJ$156)/AJ676+(Datasheet!AJ1357*AJ$169)/AJ676+AJ$171/12</f>
        <v>#DIV/0!</v>
      </c>
      <c r="AK178" s="69" t="e">
        <f>(SUM(Datasheet!AK1297,Datasheet!AK1310)*AK$146)/AK676+(SUM(Datasheet!AK1324,Datasheet!AK1337)*AK$151)/AK676+(MAX(AK$154,AK$158)*SUM(Datasheet!AK1106,Datasheet!AK1132,Datasheet!AK1145,Datasheet!AK1158)/SUM(Datasheet!AK$1104,Datasheet!AK$1130,Datasheet!AK$1143,Datasheet!AK$1156)*AK$156)/AK676+(Datasheet!AK1357*AK$169)/AK676+AK$171/12</f>
        <v>#DIV/0!</v>
      </c>
    </row>
    <row r="179" spans="1:37" s="69" customFormat="1" x14ac:dyDescent="0.25">
      <c r="E179" s="4" t="s">
        <v>246</v>
      </c>
      <c r="H179" s="69" t="s">
        <v>966</v>
      </c>
      <c r="Q179" s="69">
        <f>(SUM(Datasheet!Q1298,Datasheet!Q1311)*Q$146)/Q677+(SUM(Datasheet!Q1325,Datasheet!Q1338)*Q$151)/Q677+(MAX(Q$154,Q$158)*SUM(Datasheet!Q1107,Datasheet!Q1133,Datasheet!Q1146,Datasheet!Q1159)/SUM(Datasheet!Q$1104,Datasheet!Q$1130,Datasheet!Q$1143,Datasheet!Q$1156)*Q$156)/Q677+(Datasheet!Q1358*Q$169)/Q677+Q$171/12</f>
        <v>804.95385434248351</v>
      </c>
      <c r="R179" s="69">
        <f>(SUM(Datasheet!R1298,Datasheet!R1311)*R$146)/R677+(SUM(Datasheet!R1325,Datasheet!R1338)*R$151)/R677+(MAX(R$154,R$158)*SUM(Datasheet!R1107,Datasheet!R1133,Datasheet!R1146,Datasheet!R1159)/SUM(Datasheet!R$1104,Datasheet!R$1130,Datasheet!R$1143,Datasheet!R$1156)*R$156)/R677+(Datasheet!R1358*R$169)/R677+R$171/12</f>
        <v>768.28984473995763</v>
      </c>
      <c r="S179" s="69">
        <f>(SUM(Datasheet!S1298,Datasheet!S1311)*S$146)/S677+(SUM(Datasheet!S1325,Datasheet!S1338)*S$151)/S677+(MAX(S$154,S$158)*SUM(Datasheet!S1107,Datasheet!S1133,Datasheet!S1146,Datasheet!S1159)/SUM(Datasheet!S$1104,Datasheet!S$1130,Datasheet!S$1143,Datasheet!S$1156)*S$156)/S677+(Datasheet!S1358*S$169)/S677+S$171/12</f>
        <v>745.6121305300901</v>
      </c>
      <c r="T179" s="69">
        <f>(SUM(Datasheet!T1298,Datasheet!T1311)*T$146)/T677+(SUM(Datasheet!T1325,Datasheet!T1338)*T$151)/T677+(MAX(T$154,T$158)*SUM(Datasheet!T1107,Datasheet!T1133,Datasheet!T1146,Datasheet!T1159)/SUM(Datasheet!T$1104,Datasheet!T$1130,Datasheet!T$1143,Datasheet!T$1156)*T$156)/T677+(Datasheet!T1358*T$169)/T677+T$171/12</f>
        <v>752.6769059192668</v>
      </c>
      <c r="U179" s="69">
        <f>(SUM(Datasheet!U1298,Datasheet!U1311)*U$146)/U677+(SUM(Datasheet!U1325,Datasheet!U1338)*U$151)/U677+(MAX(U$154,U$158)*SUM(Datasheet!U1107,Datasheet!U1133,Datasheet!U1146,Datasheet!U1159)/SUM(Datasheet!U$1104,Datasheet!U$1130,Datasheet!U$1143,Datasheet!U$1156)*U$156)/U677+(Datasheet!U1358*U$169)/U677+U$171/12</f>
        <v>764.71913785604397</v>
      </c>
      <c r="V179" s="69">
        <f>(SUM(Datasheet!V1298,Datasheet!V1311)*V$146)/V677+(SUM(Datasheet!V1325,Datasheet!V1338)*V$151)/V677+(MAX(V$154,V$158)*SUM(Datasheet!V1107,Datasheet!V1133,Datasheet!V1146,Datasheet!V1159)/SUM(Datasheet!V$1104,Datasheet!V$1130,Datasheet!V$1143,Datasheet!V$1156)*V$156)/V677+(Datasheet!V1358*V$169)/V677+V$171/12</f>
        <v>801.81208186413824</v>
      </c>
      <c r="W179" s="69">
        <f>(SUM(Datasheet!W1298,Datasheet!W1311)*W$146)/W677+(SUM(Datasheet!W1325,Datasheet!W1338)*W$151)/W677+(MAX(W$154,W$158)*SUM(Datasheet!W1107,Datasheet!W1133,Datasheet!W1146,Datasheet!W1159)/SUM(Datasheet!W$1104,Datasheet!W$1130,Datasheet!W$1143,Datasheet!W$1156)*W$156)/W677+(Datasheet!W1358*W$169)/W677+W$171/12</f>
        <v>826.58305594585624</v>
      </c>
      <c r="X179" s="69">
        <f>(SUM(Datasheet!X1298,Datasheet!X1311)*X$146)/X677+(SUM(Datasheet!X1325,Datasheet!X1338)*X$151)/X677+(MAX(X$154,X$158)*SUM(Datasheet!X1107,Datasheet!X1133,Datasheet!X1146,Datasheet!X1159)/SUM(Datasheet!X$1104,Datasheet!X$1130,Datasheet!X$1143,Datasheet!X$1156)*X$156)/X677+(Datasheet!X1358*X$169)/X677+X$171/12</f>
        <v>894.75718628725781</v>
      </c>
      <c r="Y179" s="69">
        <f>(SUM(Datasheet!Y1298,Datasheet!Y1311)*Y$146)/Y677+(SUM(Datasheet!Y1325,Datasheet!Y1338)*Y$151)/Y677+(MAX(Y$154,Y$158)*SUM(Datasheet!Y1107,Datasheet!Y1133,Datasheet!Y1146,Datasheet!Y1159)/SUM(Datasheet!Y$1104,Datasheet!Y$1130,Datasheet!Y$1143,Datasheet!Y$1156)*Y$156)/Y677+(Datasheet!Y1358*Y$169)/Y677+Y$171/12</f>
        <v>929.95527531610571</v>
      </c>
      <c r="Z179" s="69">
        <f>(SUM(Datasheet!Z1298,Datasheet!Z1311)*Z$146)/Z677+(SUM(Datasheet!Z1325,Datasheet!Z1338)*Z$151)/Z677+(MAX(Z$154,Z$158)*SUM(Datasheet!Z1107,Datasheet!Z1133,Datasheet!Z1146,Datasheet!Z1159)/SUM(Datasheet!Z$1104,Datasheet!Z$1130,Datasheet!Z$1143,Datasheet!Z$1156)*Z$156)/Z677+(Datasheet!Z1358*Z$169)/Z677+Z$171/12</f>
        <v>947.23742703142329</v>
      </c>
      <c r="AA179" s="69">
        <f>(SUM(Datasheet!AA1298,Datasheet!AA1311)*AA$146)/AA677+(SUM(Datasheet!AA1325,Datasheet!AA1338)*AA$151)/AA677+(MAX(AA$154,AA$158)*SUM(Datasheet!AA1107,Datasheet!AA1133,Datasheet!AA1146,Datasheet!AA1159)/SUM(Datasheet!AA$1104,Datasheet!AA$1130,Datasheet!AA$1143,Datasheet!AA$1156)*AA$156)/AA677+(Datasheet!AA1358*AA$169)/AA677+AA$171/12</f>
        <v>839.16113393556486</v>
      </c>
      <c r="AB179" s="69">
        <f>(SUM(Datasheet!AB1298,Datasheet!AB1311)*AB$146)/AB677+(SUM(Datasheet!AB1325,Datasheet!AB1338)*AB$151)/AB677+(MAX(AB$154,AB$158)*SUM(Datasheet!AB1107,Datasheet!AB1133,Datasheet!AB1146,Datasheet!AB1159)/SUM(Datasheet!AB$1104,Datasheet!AB$1130,Datasheet!AB$1143,Datasheet!AB$1156)*AB$156)/AB677+(Datasheet!AB1358*AB$169)/AB677+AB$171/12</f>
        <v>996.52535507144421</v>
      </c>
      <c r="AC179" s="69">
        <f>(SUM(Datasheet!AC1298,Datasheet!AC1311)*AC$146)/AC677+(SUM(Datasheet!AC1325,Datasheet!AC1338)*AC$151)/AC677+(MAX(AC$154,AC$158)*SUM(Datasheet!AC1107,Datasheet!AC1133,Datasheet!AC1146,Datasheet!AC1159)/SUM(Datasheet!AC$1104,Datasheet!AC$1130,Datasheet!AC$1143,Datasheet!AC$1156)*AC$156)/AC677+(Datasheet!AC1358*AC$169)/AC677+AC$171/12</f>
        <v>906.49445187240599</v>
      </c>
      <c r="AD179" s="69" t="e">
        <f>(SUM(Datasheet!AD1298,Datasheet!AD1311)*AD$146)/AD677+(SUM(Datasheet!AD1325,Datasheet!AD1338)*AD$151)/AD677+(MAX(AD$154,AD$158)*SUM(Datasheet!AD1107,Datasheet!AD1133,Datasheet!AD1146,Datasheet!AD1159)/SUM(Datasheet!AD$1104,Datasheet!AD$1130,Datasheet!AD$1143,Datasheet!AD$1156)*AD$156)/AD677+(Datasheet!AD1358*AD$169)/AD677+AD$171/12</f>
        <v>#DIV/0!</v>
      </c>
      <c r="AE179" s="69" t="e">
        <f>(SUM(Datasheet!AE1298,Datasheet!AE1311)*AE$146)/AE677+(SUM(Datasheet!AE1325,Datasheet!AE1338)*AE$151)/AE677+(MAX(AE$154,AE$158)*SUM(Datasheet!AE1107,Datasheet!AE1133,Datasheet!AE1146,Datasheet!AE1159)/SUM(Datasheet!AE$1104,Datasheet!AE$1130,Datasheet!AE$1143,Datasheet!AE$1156)*AE$156)/AE677+(Datasheet!AE1358*AE$169)/AE677+AE$171/12</f>
        <v>#DIV/0!</v>
      </c>
      <c r="AF179" s="69" t="e">
        <f>(SUM(Datasheet!AF1298,Datasheet!AF1311)*AF$146)/AF677+(SUM(Datasheet!AF1325,Datasheet!AF1338)*AF$151)/AF677+(MAX(AF$154,AF$158)*SUM(Datasheet!AF1107,Datasheet!AF1133,Datasheet!AF1146,Datasheet!AF1159)/SUM(Datasheet!AF$1104,Datasheet!AF$1130,Datasheet!AF$1143,Datasheet!AF$1156)*AF$156)/AF677+(Datasheet!AF1358*AF$169)/AF677+AF$171/12</f>
        <v>#DIV/0!</v>
      </c>
      <c r="AG179" s="69" t="e">
        <f>(SUM(Datasheet!AG1298,Datasheet!AG1311)*AG$146)/AG677+(SUM(Datasheet!AG1325,Datasheet!AG1338)*AG$151)/AG677+(MAX(AG$154,AG$158)*SUM(Datasheet!AG1107,Datasheet!AG1133,Datasheet!AG1146,Datasheet!AG1159)/SUM(Datasheet!AG$1104,Datasheet!AG$1130,Datasheet!AG$1143,Datasheet!AG$1156)*AG$156)/AG677+(Datasheet!AG1358*AG$169)/AG677+AG$171/12</f>
        <v>#DIV/0!</v>
      </c>
      <c r="AH179" s="69" t="e">
        <f>(SUM(Datasheet!AH1298,Datasheet!AH1311)*AH$146)/AH677+(SUM(Datasheet!AH1325,Datasheet!AH1338)*AH$151)/AH677+(MAX(AH$154,AH$158)*SUM(Datasheet!AH1107,Datasheet!AH1133,Datasheet!AH1146,Datasheet!AH1159)/SUM(Datasheet!AH$1104,Datasheet!AH$1130,Datasheet!AH$1143,Datasheet!AH$1156)*AH$156)/AH677+(Datasheet!AH1358*AH$169)/AH677+AH$171/12</f>
        <v>#DIV/0!</v>
      </c>
      <c r="AI179" s="69" t="e">
        <f>(SUM(Datasheet!AI1298,Datasheet!AI1311)*AI$146)/AI677+(SUM(Datasheet!AI1325,Datasheet!AI1338)*AI$151)/AI677+(MAX(AI$154,AI$158)*SUM(Datasheet!AI1107,Datasheet!AI1133,Datasheet!AI1146,Datasheet!AI1159)/SUM(Datasheet!AI$1104,Datasheet!AI$1130,Datasheet!AI$1143,Datasheet!AI$1156)*AI$156)/AI677+(Datasheet!AI1358*AI$169)/AI677+AI$171/12</f>
        <v>#DIV/0!</v>
      </c>
      <c r="AJ179" s="69" t="e">
        <f>(SUM(Datasheet!AJ1298,Datasheet!AJ1311)*AJ$146)/AJ677+(SUM(Datasheet!AJ1325,Datasheet!AJ1338)*AJ$151)/AJ677+(MAX(AJ$154,AJ$158)*SUM(Datasheet!AJ1107,Datasheet!AJ1133,Datasheet!AJ1146,Datasheet!AJ1159)/SUM(Datasheet!AJ$1104,Datasheet!AJ$1130,Datasheet!AJ$1143,Datasheet!AJ$1156)*AJ$156)/AJ677+(Datasheet!AJ1358*AJ$169)/AJ677+AJ$171/12</f>
        <v>#DIV/0!</v>
      </c>
      <c r="AK179" s="69" t="e">
        <f>(SUM(Datasheet!AK1298,Datasheet!AK1311)*AK$146)/AK677+(SUM(Datasheet!AK1325,Datasheet!AK1338)*AK$151)/AK677+(MAX(AK$154,AK$158)*SUM(Datasheet!AK1107,Datasheet!AK1133,Datasheet!AK1146,Datasheet!AK1159)/SUM(Datasheet!AK$1104,Datasheet!AK$1130,Datasheet!AK$1143,Datasheet!AK$1156)*AK$156)/AK677+(Datasheet!AK1358*AK$169)/AK677+AK$171/12</f>
        <v>#DIV/0!</v>
      </c>
    </row>
    <row r="180" spans="1:37" s="69" customFormat="1" x14ac:dyDescent="0.25">
      <c r="E180" s="4" t="s">
        <v>247</v>
      </c>
      <c r="H180" s="69" t="s">
        <v>966</v>
      </c>
      <c r="Q180" s="69">
        <f>(SUM(Datasheet!Q1299,Datasheet!Q1312)*Q$146)/Q678+(SUM(Datasheet!Q1326,Datasheet!Q1339)*Q$151)/Q678+(MAX(Q$154,Q$158)*SUM(Datasheet!Q1108,Datasheet!Q1134,Datasheet!Q1147,Datasheet!Q1160)/SUM(Datasheet!Q$1104,Datasheet!Q$1130,Datasheet!Q$1143,Datasheet!Q$1156)*Q$156)/Q678+(Datasheet!Q1359*Q$169)/Q678+Q$171/12</f>
        <v>804.82937066678437</v>
      </c>
      <c r="R180" s="69">
        <f>(SUM(Datasheet!R1299,Datasheet!R1312)*R$146)/R678+(SUM(Datasheet!R1326,Datasheet!R1339)*R$151)/R678+(MAX(R$154,R$158)*SUM(Datasheet!R1108,Datasheet!R1134,Datasheet!R1147,Datasheet!R1160)/SUM(Datasheet!R$1104,Datasheet!R$1130,Datasheet!R$1143,Datasheet!R$1156)*R$156)/R678+(Datasheet!R1359*R$169)/R678+R$171/12</f>
        <v>768.16309591091567</v>
      </c>
      <c r="S180" s="69">
        <f>(SUM(Datasheet!S1299,Datasheet!S1312)*S$146)/S678+(SUM(Datasheet!S1326,Datasheet!S1339)*S$151)/S678+(MAX(S$154,S$158)*SUM(Datasheet!S1108,Datasheet!S1134,Datasheet!S1147,Datasheet!S1160)/SUM(Datasheet!S$1104,Datasheet!S$1130,Datasheet!S$1143,Datasheet!S$1156)*S$156)/S678+(Datasheet!S1359*S$169)/S678+S$171/12</f>
        <v>745.46903217925933</v>
      </c>
      <c r="T180" s="69">
        <f>(SUM(Datasheet!T1299,Datasheet!T1312)*T$146)/T678+(SUM(Datasheet!T1326,Datasheet!T1339)*T$151)/T678+(MAX(T$154,T$158)*SUM(Datasheet!T1108,Datasheet!T1134,Datasheet!T1147,Datasheet!T1160)/SUM(Datasheet!T$1104,Datasheet!T$1130,Datasheet!T$1143,Datasheet!T$1156)*T$156)/T678+(Datasheet!T1359*T$169)/T678+T$171/12</f>
        <v>752.57456292358563</v>
      </c>
      <c r="U180" s="69">
        <f>(SUM(Datasheet!U1299,Datasheet!U1312)*U$146)/U678+(SUM(Datasheet!U1326,Datasheet!U1339)*U$151)/U678+(MAX(U$154,U$158)*SUM(Datasheet!U1108,Datasheet!U1134,Datasheet!U1147,Datasheet!U1160)/SUM(Datasheet!U$1104,Datasheet!U$1130,Datasheet!U$1143,Datasheet!U$1156)*U$156)/U678+(Datasheet!U1359*U$169)/U678+U$171/12</f>
        <v>764.63523688185978</v>
      </c>
      <c r="V180" s="69">
        <f>(SUM(Datasheet!V1299,Datasheet!V1312)*V$146)/V678+(SUM(Datasheet!V1326,Datasheet!V1339)*V$151)/V678+(MAX(V$154,V$158)*SUM(Datasheet!V1108,Datasheet!V1134,Datasheet!V1147,Datasheet!V1160)/SUM(Datasheet!V$1104,Datasheet!V$1130,Datasheet!V$1143,Datasheet!V$1156)*V$156)/V678+(Datasheet!V1359*V$169)/V678+V$171/12</f>
        <v>801.66622795355829</v>
      </c>
      <c r="W180" s="69">
        <f>(SUM(Datasheet!W1299,Datasheet!W1312)*W$146)/W678+(SUM(Datasheet!W1326,Datasheet!W1339)*W$151)/W678+(MAX(W$154,W$158)*SUM(Datasheet!W1108,Datasheet!W1134,Datasheet!W1147,Datasheet!W1160)/SUM(Datasheet!W$1104,Datasheet!W$1130,Datasheet!W$1143,Datasheet!W$1156)*W$156)/W678+(Datasheet!W1359*W$169)/W678+W$171/12</f>
        <v>826.48797405986159</v>
      </c>
      <c r="X180" s="69">
        <f>(SUM(Datasheet!X1299,Datasheet!X1312)*X$146)/X678+(SUM(Datasheet!X1326,Datasheet!X1339)*X$151)/X678+(MAX(X$154,X$158)*SUM(Datasheet!X1108,Datasheet!X1134,Datasheet!X1147,Datasheet!X1160)/SUM(Datasheet!X$1104,Datasheet!X$1130,Datasheet!X$1143,Datasheet!X$1156)*X$156)/X678+(Datasheet!X1359*X$169)/X678+X$171/12</f>
        <v>894.66903245420394</v>
      </c>
      <c r="Y180" s="69">
        <f>(SUM(Datasheet!Y1299,Datasheet!Y1312)*Y$146)/Y678+(SUM(Datasheet!Y1326,Datasheet!Y1339)*Y$151)/Y678+(MAX(Y$154,Y$158)*SUM(Datasheet!Y1108,Datasheet!Y1134,Datasheet!Y1147,Datasheet!Y1160)/SUM(Datasheet!Y$1104,Datasheet!Y$1130,Datasheet!Y$1143,Datasheet!Y$1156)*Y$156)/Y678+(Datasheet!Y1359*Y$169)/Y678+Y$171/12</f>
        <v>929.83047793005471</v>
      </c>
      <c r="Z180" s="69">
        <f>(SUM(Datasheet!Z1299,Datasheet!Z1312)*Z$146)/Z678+(SUM(Datasheet!Z1326,Datasheet!Z1339)*Z$151)/Z678+(MAX(Z$154,Z$158)*SUM(Datasheet!Z1108,Datasheet!Z1134,Datasheet!Z1147,Datasheet!Z1160)/SUM(Datasheet!Z$1104,Datasheet!Z$1130,Datasheet!Z$1143,Datasheet!Z$1156)*Z$156)/Z678+(Datasheet!Z1359*Z$169)/Z678+Z$171/12</f>
        <v>947.07089425008428</v>
      </c>
      <c r="AA180" s="69">
        <f>(SUM(Datasheet!AA1299,Datasheet!AA1312)*AA$146)/AA678+(SUM(Datasheet!AA1326,Datasheet!AA1339)*AA$151)/AA678+(MAX(AA$154,AA$158)*SUM(Datasheet!AA1108,Datasheet!AA1134,Datasheet!AA1147,Datasheet!AA1160)/SUM(Datasheet!AA$1104,Datasheet!AA$1130,Datasheet!AA$1143,Datasheet!AA$1156)*AA$156)/AA678+(Datasheet!AA1359*AA$169)/AA678+AA$171/12</f>
        <v>838.94528989340915</v>
      </c>
      <c r="AB180" s="69">
        <f>(SUM(Datasheet!AB1299,Datasheet!AB1312)*AB$146)/AB678+(SUM(Datasheet!AB1326,Datasheet!AB1339)*AB$151)/AB678+(MAX(AB$154,AB$158)*SUM(Datasheet!AB1108,Datasheet!AB1134,Datasheet!AB1147,Datasheet!AB1160)/SUM(Datasheet!AB$1104,Datasheet!AB$1130,Datasheet!AB$1143,Datasheet!AB$1156)*AB$156)/AB678+(Datasheet!AB1359*AB$169)/AB678+AB$171/12</f>
        <v>996.3476696519449</v>
      </c>
      <c r="AC180" s="69">
        <f>(SUM(Datasheet!AC1299,Datasheet!AC1312)*AC$146)/AC678+(SUM(Datasheet!AC1326,Datasheet!AC1339)*AC$151)/AC678+(MAX(AC$154,AC$158)*SUM(Datasheet!AC1108,Datasheet!AC1134,Datasheet!AC1147,Datasheet!AC1160)/SUM(Datasheet!AC$1104,Datasheet!AC$1130,Datasheet!AC$1143,Datasheet!AC$1156)*AC$156)/AC678+(Datasheet!AC1359*AC$169)/AC678+AC$171/12</f>
        <v>906.223384990657</v>
      </c>
      <c r="AD180" s="69" t="e">
        <f>(SUM(Datasheet!AD1299,Datasheet!AD1312)*AD$146)/AD678+(SUM(Datasheet!AD1326,Datasheet!AD1339)*AD$151)/AD678+(MAX(AD$154,AD$158)*SUM(Datasheet!AD1108,Datasheet!AD1134,Datasheet!AD1147,Datasheet!AD1160)/SUM(Datasheet!AD$1104,Datasheet!AD$1130,Datasheet!AD$1143,Datasheet!AD$1156)*AD$156)/AD678+(Datasheet!AD1359*AD$169)/AD678+AD$171/12</f>
        <v>#DIV/0!</v>
      </c>
      <c r="AE180" s="69" t="e">
        <f>(SUM(Datasheet!AE1299,Datasheet!AE1312)*AE$146)/AE678+(SUM(Datasheet!AE1326,Datasheet!AE1339)*AE$151)/AE678+(MAX(AE$154,AE$158)*SUM(Datasheet!AE1108,Datasheet!AE1134,Datasheet!AE1147,Datasheet!AE1160)/SUM(Datasheet!AE$1104,Datasheet!AE$1130,Datasheet!AE$1143,Datasheet!AE$1156)*AE$156)/AE678+(Datasheet!AE1359*AE$169)/AE678+AE$171/12</f>
        <v>#DIV/0!</v>
      </c>
      <c r="AF180" s="69" t="e">
        <f>(SUM(Datasheet!AF1299,Datasheet!AF1312)*AF$146)/AF678+(SUM(Datasheet!AF1326,Datasheet!AF1339)*AF$151)/AF678+(MAX(AF$154,AF$158)*SUM(Datasheet!AF1108,Datasheet!AF1134,Datasheet!AF1147,Datasheet!AF1160)/SUM(Datasheet!AF$1104,Datasheet!AF$1130,Datasheet!AF$1143,Datasheet!AF$1156)*AF$156)/AF678+(Datasheet!AF1359*AF$169)/AF678+AF$171/12</f>
        <v>#DIV/0!</v>
      </c>
      <c r="AG180" s="69" t="e">
        <f>(SUM(Datasheet!AG1299,Datasheet!AG1312)*AG$146)/AG678+(SUM(Datasheet!AG1326,Datasheet!AG1339)*AG$151)/AG678+(MAX(AG$154,AG$158)*SUM(Datasheet!AG1108,Datasheet!AG1134,Datasheet!AG1147,Datasheet!AG1160)/SUM(Datasheet!AG$1104,Datasheet!AG$1130,Datasheet!AG$1143,Datasheet!AG$1156)*AG$156)/AG678+(Datasheet!AG1359*AG$169)/AG678+AG$171/12</f>
        <v>#DIV/0!</v>
      </c>
      <c r="AH180" s="69" t="e">
        <f>(SUM(Datasheet!AH1299,Datasheet!AH1312)*AH$146)/AH678+(SUM(Datasheet!AH1326,Datasheet!AH1339)*AH$151)/AH678+(MAX(AH$154,AH$158)*SUM(Datasheet!AH1108,Datasheet!AH1134,Datasheet!AH1147,Datasheet!AH1160)/SUM(Datasheet!AH$1104,Datasheet!AH$1130,Datasheet!AH$1143,Datasheet!AH$1156)*AH$156)/AH678+(Datasheet!AH1359*AH$169)/AH678+AH$171/12</f>
        <v>#DIV/0!</v>
      </c>
      <c r="AI180" s="69" t="e">
        <f>(SUM(Datasheet!AI1299,Datasheet!AI1312)*AI$146)/AI678+(SUM(Datasheet!AI1326,Datasheet!AI1339)*AI$151)/AI678+(MAX(AI$154,AI$158)*SUM(Datasheet!AI1108,Datasheet!AI1134,Datasheet!AI1147,Datasheet!AI1160)/SUM(Datasheet!AI$1104,Datasheet!AI$1130,Datasheet!AI$1143,Datasheet!AI$1156)*AI$156)/AI678+(Datasheet!AI1359*AI$169)/AI678+AI$171/12</f>
        <v>#DIV/0!</v>
      </c>
      <c r="AJ180" s="69" t="e">
        <f>(SUM(Datasheet!AJ1299,Datasheet!AJ1312)*AJ$146)/AJ678+(SUM(Datasheet!AJ1326,Datasheet!AJ1339)*AJ$151)/AJ678+(MAX(AJ$154,AJ$158)*SUM(Datasheet!AJ1108,Datasheet!AJ1134,Datasheet!AJ1147,Datasheet!AJ1160)/SUM(Datasheet!AJ$1104,Datasheet!AJ$1130,Datasheet!AJ$1143,Datasheet!AJ$1156)*AJ$156)/AJ678+(Datasheet!AJ1359*AJ$169)/AJ678+AJ$171/12</f>
        <v>#DIV/0!</v>
      </c>
      <c r="AK180" s="69" t="e">
        <f>(SUM(Datasheet!AK1299,Datasheet!AK1312)*AK$146)/AK678+(SUM(Datasheet!AK1326,Datasheet!AK1339)*AK$151)/AK678+(MAX(AK$154,AK$158)*SUM(Datasheet!AK1108,Datasheet!AK1134,Datasheet!AK1147,Datasheet!AK1160)/SUM(Datasheet!AK$1104,Datasheet!AK$1130,Datasheet!AK$1143,Datasheet!AK$1156)*AK$156)/AK678+(Datasheet!AK1359*AK$169)/AK678+AK$171/12</f>
        <v>#DIV/0!</v>
      </c>
    </row>
    <row r="181" spans="1:37" s="69" customFormat="1" x14ac:dyDescent="0.25">
      <c r="E181" s="4" t="s">
        <v>248</v>
      </c>
      <c r="H181" s="69" t="s">
        <v>966</v>
      </c>
      <c r="Q181" s="69">
        <f>(SUM(Datasheet!Q1300,Datasheet!Q1313)*Q$146)/Q679+(SUM(Datasheet!Q1327,Datasheet!Q1340)*Q$151)/Q679+(MAX(Q$154,Q$158)*SUM(Datasheet!Q1109,Datasheet!Q1135,Datasheet!Q1148,Datasheet!Q1161)/SUM(Datasheet!Q$1104,Datasheet!Q$1130,Datasheet!Q$1143,Datasheet!Q$1156)*Q$156)/Q679+(Datasheet!Q1360*Q$169)/Q679+Q$171/12</f>
        <v>804.79976407947754</v>
      </c>
      <c r="R181" s="69">
        <f>(SUM(Datasheet!R1300,Datasheet!R1313)*R$146)/R679+(SUM(Datasheet!R1327,Datasheet!R1340)*R$151)/R679+(MAX(R$154,R$158)*SUM(Datasheet!R1109,Datasheet!R1135,Datasheet!R1148,Datasheet!R1161)/SUM(Datasheet!R$1104,Datasheet!R$1130,Datasheet!R$1143,Datasheet!R$1156)*R$156)/R679+(Datasheet!R1360*R$169)/R679+R$171/12</f>
        <v>768.160939977564</v>
      </c>
      <c r="S181" s="69">
        <f>(SUM(Datasheet!S1300,Datasheet!S1313)*S$146)/S679+(SUM(Datasheet!S1327,Datasheet!S1340)*S$151)/S679+(MAX(S$154,S$158)*SUM(Datasheet!S1109,Datasheet!S1135,Datasheet!S1148,Datasheet!S1161)/SUM(Datasheet!S$1104,Datasheet!S$1130,Datasheet!S$1143,Datasheet!S$1156)*S$156)/S679+(Datasheet!S1360*S$169)/S679+S$171/12</f>
        <v>745.46951233678931</v>
      </c>
      <c r="T181" s="69">
        <f>(SUM(Datasheet!T1300,Datasheet!T1313)*T$146)/T679+(SUM(Datasheet!T1327,Datasheet!T1340)*T$151)/T679+(MAX(T$154,T$158)*SUM(Datasheet!T1109,Datasheet!T1135,Datasheet!T1148,Datasheet!T1161)/SUM(Datasheet!T$1104,Datasheet!T$1130,Datasheet!T$1143,Datasheet!T$1156)*T$156)/T679+(Datasheet!T1360*T$169)/T679+T$171/12</f>
        <v>752.584941269448</v>
      </c>
      <c r="U181" s="69">
        <f>(SUM(Datasheet!U1300,Datasheet!U1313)*U$146)/U679+(SUM(Datasheet!U1327,Datasheet!U1340)*U$151)/U679+(MAX(U$154,U$158)*SUM(Datasheet!U1109,Datasheet!U1135,Datasheet!U1148,Datasheet!U1161)/SUM(Datasheet!U$1104,Datasheet!U$1130,Datasheet!U$1143,Datasheet!U$1156)*U$156)/U679+(Datasheet!U1360*U$169)/U679+U$171/12</f>
        <v>764.61068578057939</v>
      </c>
      <c r="V181" s="69">
        <f>(SUM(Datasheet!V1300,Datasheet!V1313)*V$146)/V679+(SUM(Datasheet!V1327,Datasheet!V1340)*V$151)/V679+(MAX(V$154,V$158)*SUM(Datasheet!V1109,Datasheet!V1135,Datasheet!V1148,Datasheet!V1161)/SUM(Datasheet!V$1104,Datasheet!V$1130,Datasheet!V$1143,Datasheet!V$1156)*V$156)/V679+(Datasheet!V1360*V$169)/V679+V$171/12</f>
        <v>801.63311273402644</v>
      </c>
      <c r="W181" s="69">
        <f>(SUM(Datasheet!W1300,Datasheet!W1313)*W$146)/W679+(SUM(Datasheet!W1327,Datasheet!W1340)*W$151)/W679+(MAX(W$154,W$158)*SUM(Datasheet!W1109,Datasheet!W1135,Datasheet!W1148,Datasheet!W1161)/SUM(Datasheet!W$1104,Datasheet!W$1130,Datasheet!W$1143,Datasheet!W$1156)*W$156)/W679+(Datasheet!W1360*W$169)/W679+W$171/12</f>
        <v>826.40637121588054</v>
      </c>
      <c r="X181" s="69">
        <f>(SUM(Datasheet!X1300,Datasheet!X1313)*X$146)/X679+(SUM(Datasheet!X1327,Datasheet!X1340)*X$151)/X679+(MAX(X$154,X$158)*SUM(Datasheet!X1109,Datasheet!X1135,Datasheet!X1148,Datasheet!X1161)/SUM(Datasheet!X$1104,Datasheet!X$1130,Datasheet!X$1143,Datasheet!X$1156)*X$156)/X679+(Datasheet!X1360*X$169)/X679+X$171/12</f>
        <v>894.61570260469432</v>
      </c>
      <c r="Y181" s="69">
        <f>(SUM(Datasheet!Y1300,Datasheet!Y1313)*Y$146)/Y679+(SUM(Datasheet!Y1327,Datasheet!Y1340)*Y$151)/Y679+(MAX(Y$154,Y$158)*SUM(Datasheet!Y1109,Datasheet!Y1135,Datasheet!Y1148,Datasheet!Y1161)/SUM(Datasheet!Y$1104,Datasheet!Y$1130,Datasheet!Y$1143,Datasheet!Y$1156)*Y$156)/Y679+(Datasheet!Y1360*Y$169)/Y679+Y$171/12</f>
        <v>929.70392289249651</v>
      </c>
      <c r="Z181" s="69">
        <f>(SUM(Datasheet!Z1300,Datasheet!Z1313)*Z$146)/Z679+(SUM(Datasheet!Z1327,Datasheet!Z1340)*Z$151)/Z679+(MAX(Z$154,Z$158)*SUM(Datasheet!Z1109,Datasheet!Z1135,Datasheet!Z1148,Datasheet!Z1161)/SUM(Datasheet!Z$1104,Datasheet!Z$1130,Datasheet!Z$1143,Datasheet!Z$1156)*Z$156)/Z679+(Datasheet!Z1360*Z$169)/Z679+Z$171/12</f>
        <v>946.98632740179028</v>
      </c>
      <c r="AA181" s="69">
        <f>(SUM(Datasheet!AA1300,Datasheet!AA1313)*AA$146)/AA679+(SUM(Datasheet!AA1327,Datasheet!AA1340)*AA$151)/AA679+(MAX(AA$154,AA$158)*SUM(Datasheet!AA1109,Datasheet!AA1135,Datasheet!AA1148,Datasheet!AA1161)/SUM(Datasheet!AA$1104,Datasheet!AA$1130,Datasheet!AA$1143,Datasheet!AA$1156)*AA$156)/AA679+(Datasheet!AA1360*AA$169)/AA679+AA$171/12</f>
        <v>839.04714883113593</v>
      </c>
      <c r="AB181" s="69">
        <f>(SUM(Datasheet!AB1300,Datasheet!AB1313)*AB$146)/AB679+(SUM(Datasheet!AB1327,Datasheet!AB1340)*AB$151)/AB679+(MAX(AB$154,AB$158)*SUM(Datasheet!AB1109,Datasheet!AB1135,Datasheet!AB1148,Datasheet!AB1161)/SUM(Datasheet!AB$1104,Datasheet!AB$1130,Datasheet!AB$1143,Datasheet!AB$1156)*AB$156)/AB679+(Datasheet!AB1360*AB$169)/AB679+AB$171/12</f>
        <v>996.3872241919006</v>
      </c>
      <c r="AC181" s="69">
        <f>(SUM(Datasheet!AC1300,Datasheet!AC1313)*AC$146)/AC679+(SUM(Datasheet!AC1327,Datasheet!AC1340)*AC$151)/AC679+(MAX(AC$154,AC$158)*SUM(Datasheet!AC1109,Datasheet!AC1135,Datasheet!AC1148,Datasheet!AC1161)/SUM(Datasheet!AC$1104,Datasheet!AC$1130,Datasheet!AC$1143,Datasheet!AC$1156)*AC$156)/AC679+(Datasheet!AC1360*AC$169)/AC679+AC$171/12</f>
        <v>906.16557410406642</v>
      </c>
      <c r="AD181" s="69" t="e">
        <f>(SUM(Datasheet!AD1300,Datasheet!AD1313)*AD$146)/AD679+(SUM(Datasheet!AD1327,Datasheet!AD1340)*AD$151)/AD679+(MAX(AD$154,AD$158)*SUM(Datasheet!AD1109,Datasheet!AD1135,Datasheet!AD1148,Datasheet!AD1161)/SUM(Datasheet!AD$1104,Datasheet!AD$1130,Datasheet!AD$1143,Datasheet!AD$1156)*AD$156)/AD679+(Datasheet!AD1360*AD$169)/AD679+AD$171/12</f>
        <v>#DIV/0!</v>
      </c>
      <c r="AE181" s="69" t="e">
        <f>(SUM(Datasheet!AE1300,Datasheet!AE1313)*AE$146)/AE679+(SUM(Datasheet!AE1327,Datasheet!AE1340)*AE$151)/AE679+(MAX(AE$154,AE$158)*SUM(Datasheet!AE1109,Datasheet!AE1135,Datasheet!AE1148,Datasheet!AE1161)/SUM(Datasheet!AE$1104,Datasheet!AE$1130,Datasheet!AE$1143,Datasheet!AE$1156)*AE$156)/AE679+(Datasheet!AE1360*AE$169)/AE679+AE$171/12</f>
        <v>#DIV/0!</v>
      </c>
      <c r="AF181" s="69" t="e">
        <f>(SUM(Datasheet!AF1300,Datasheet!AF1313)*AF$146)/AF679+(SUM(Datasheet!AF1327,Datasheet!AF1340)*AF$151)/AF679+(MAX(AF$154,AF$158)*SUM(Datasheet!AF1109,Datasheet!AF1135,Datasheet!AF1148,Datasheet!AF1161)/SUM(Datasheet!AF$1104,Datasheet!AF$1130,Datasheet!AF$1143,Datasheet!AF$1156)*AF$156)/AF679+(Datasheet!AF1360*AF$169)/AF679+AF$171/12</f>
        <v>#DIV/0!</v>
      </c>
      <c r="AG181" s="69" t="e">
        <f>(SUM(Datasheet!AG1300,Datasheet!AG1313)*AG$146)/AG679+(SUM(Datasheet!AG1327,Datasheet!AG1340)*AG$151)/AG679+(MAX(AG$154,AG$158)*SUM(Datasheet!AG1109,Datasheet!AG1135,Datasheet!AG1148,Datasheet!AG1161)/SUM(Datasheet!AG$1104,Datasheet!AG$1130,Datasheet!AG$1143,Datasheet!AG$1156)*AG$156)/AG679+(Datasheet!AG1360*AG$169)/AG679+AG$171/12</f>
        <v>#DIV/0!</v>
      </c>
      <c r="AH181" s="69" t="e">
        <f>(SUM(Datasheet!AH1300,Datasheet!AH1313)*AH$146)/AH679+(SUM(Datasheet!AH1327,Datasheet!AH1340)*AH$151)/AH679+(MAX(AH$154,AH$158)*SUM(Datasheet!AH1109,Datasheet!AH1135,Datasheet!AH1148,Datasheet!AH1161)/SUM(Datasheet!AH$1104,Datasheet!AH$1130,Datasheet!AH$1143,Datasheet!AH$1156)*AH$156)/AH679+(Datasheet!AH1360*AH$169)/AH679+AH$171/12</f>
        <v>#DIV/0!</v>
      </c>
      <c r="AI181" s="69" t="e">
        <f>(SUM(Datasheet!AI1300,Datasheet!AI1313)*AI$146)/AI679+(SUM(Datasheet!AI1327,Datasheet!AI1340)*AI$151)/AI679+(MAX(AI$154,AI$158)*SUM(Datasheet!AI1109,Datasheet!AI1135,Datasheet!AI1148,Datasheet!AI1161)/SUM(Datasheet!AI$1104,Datasheet!AI$1130,Datasheet!AI$1143,Datasheet!AI$1156)*AI$156)/AI679+(Datasheet!AI1360*AI$169)/AI679+AI$171/12</f>
        <v>#DIV/0!</v>
      </c>
      <c r="AJ181" s="69" t="e">
        <f>(SUM(Datasheet!AJ1300,Datasheet!AJ1313)*AJ$146)/AJ679+(SUM(Datasheet!AJ1327,Datasheet!AJ1340)*AJ$151)/AJ679+(MAX(AJ$154,AJ$158)*SUM(Datasheet!AJ1109,Datasheet!AJ1135,Datasheet!AJ1148,Datasheet!AJ1161)/SUM(Datasheet!AJ$1104,Datasheet!AJ$1130,Datasheet!AJ$1143,Datasheet!AJ$1156)*AJ$156)/AJ679+(Datasheet!AJ1360*AJ$169)/AJ679+AJ$171/12</f>
        <v>#DIV/0!</v>
      </c>
      <c r="AK181" s="69" t="e">
        <f>(SUM(Datasheet!AK1300,Datasheet!AK1313)*AK$146)/AK679+(SUM(Datasheet!AK1327,Datasheet!AK1340)*AK$151)/AK679+(MAX(AK$154,AK$158)*SUM(Datasheet!AK1109,Datasheet!AK1135,Datasheet!AK1148,Datasheet!AK1161)/SUM(Datasheet!AK$1104,Datasheet!AK$1130,Datasheet!AK$1143,Datasheet!AK$1156)*AK$156)/AK679+(Datasheet!AK1360*AK$169)/AK679+AK$171/12</f>
        <v>#DIV/0!</v>
      </c>
    </row>
    <row r="182" spans="1:37" s="69" customFormat="1" x14ac:dyDescent="0.25">
      <c r="E182" s="4" t="s">
        <v>249</v>
      </c>
      <c r="H182" s="69" t="s">
        <v>966</v>
      </c>
      <c r="Q182" s="69">
        <f>(SUM(Datasheet!Q1301,Datasheet!Q1314)*Q$146)/Q680+(SUM(Datasheet!Q1328,Datasheet!Q1341)*Q$151)/Q680+(MAX(Q$154,Q$158)*SUM(Datasheet!Q1110,Datasheet!Q1136,Datasheet!Q1149,Datasheet!Q1162)/SUM(Datasheet!Q$1104,Datasheet!Q$1130,Datasheet!Q$1143,Datasheet!Q$1156)*Q$156)/Q680+(Datasheet!Q1361*Q$169)/Q680+Q$171/12</f>
        <v>804.78002688557774</v>
      </c>
      <c r="R182" s="69">
        <f>(SUM(Datasheet!R1301,Datasheet!R1314)*R$146)/R680+(SUM(Datasheet!R1328,Datasheet!R1341)*R$151)/R680+(MAX(R$154,R$158)*SUM(Datasheet!R1110,Datasheet!R1136,Datasheet!R1149,Datasheet!R1162)/SUM(Datasheet!R$1104,Datasheet!R$1130,Datasheet!R$1143,Datasheet!R$1156)*R$156)/R680+(Datasheet!R1361*R$169)/R680+R$171/12</f>
        <v>768.16432143638747</v>
      </c>
      <c r="S182" s="69">
        <f>(SUM(Datasheet!S1301,Datasheet!S1314)*S$146)/S680+(SUM(Datasheet!S1328,Datasheet!S1341)*S$151)/S680+(MAX(S$154,S$158)*SUM(Datasheet!S1110,Datasheet!S1136,Datasheet!S1149,Datasheet!S1162)/SUM(Datasheet!S$1104,Datasheet!S$1130,Datasheet!S$1143,Datasheet!S$1156)*S$156)/S680+(Datasheet!S1361*S$169)/S680+S$171/12</f>
        <v>745.47999152325144</v>
      </c>
      <c r="T182" s="69">
        <f>(SUM(Datasheet!T1301,Datasheet!T1314)*T$146)/T680+(SUM(Datasheet!T1328,Datasheet!T1341)*T$151)/T680+(MAX(T$154,T$158)*SUM(Datasheet!T1110,Datasheet!T1136,Datasheet!T1149,Datasheet!T1162)/SUM(Datasheet!T$1104,Datasheet!T$1130,Datasheet!T$1143,Datasheet!T$1156)*T$156)/T680+(Datasheet!T1361*T$169)/T680+T$171/12</f>
        <v>752.53811879412581</v>
      </c>
      <c r="U182" s="69">
        <f>(SUM(Datasheet!U1301,Datasheet!U1314)*U$146)/U680+(SUM(Datasheet!U1328,Datasheet!U1341)*U$151)/U680+(MAX(U$154,U$158)*SUM(Datasheet!U1110,Datasheet!U1136,Datasheet!U1149,Datasheet!U1162)/SUM(Datasheet!U$1104,Datasheet!U$1130,Datasheet!U$1143,Datasheet!U$1156)*U$156)/U680+(Datasheet!U1361*U$169)/U680+U$171/12</f>
        <v>764.60491255658087</v>
      </c>
      <c r="V182" s="69">
        <f>(SUM(Datasheet!V1301,Datasheet!V1314)*V$146)/V680+(SUM(Datasheet!V1328,Datasheet!V1341)*V$151)/V680+(MAX(V$154,V$158)*SUM(Datasheet!V1110,Datasheet!V1136,Datasheet!V1149,Datasheet!V1162)/SUM(Datasheet!V$1104,Datasheet!V$1130,Datasheet!V$1143,Datasheet!V$1156)*V$156)/V680+(Datasheet!V1361*V$169)/V680+V$171/12</f>
        <v>801.6214313518775</v>
      </c>
      <c r="W182" s="69">
        <f>(SUM(Datasheet!W1301,Datasheet!W1314)*W$146)/W680+(SUM(Datasheet!W1328,Datasheet!W1341)*W$151)/W680+(MAX(W$154,W$158)*SUM(Datasheet!W1110,Datasheet!W1136,Datasheet!W1149,Datasheet!W1162)/SUM(Datasheet!W$1104,Datasheet!W$1130,Datasheet!W$1143,Datasheet!W$1156)*W$156)/W680+(Datasheet!W1361*W$169)/W680+W$171/12</f>
        <v>826.43012829523957</v>
      </c>
      <c r="X182" s="69">
        <f>(SUM(Datasheet!X1301,Datasheet!X1314)*X$146)/X680+(SUM(Datasheet!X1328,Datasheet!X1341)*X$151)/X680+(MAX(X$154,X$158)*SUM(Datasheet!X1110,Datasheet!X1136,Datasheet!X1149,Datasheet!X1162)/SUM(Datasheet!X$1104,Datasheet!X$1130,Datasheet!X$1143,Datasheet!X$1156)*X$156)/X680+(Datasheet!X1361*X$169)/X680+X$171/12</f>
        <v>894.63273555549279</v>
      </c>
      <c r="Y182" s="69">
        <f>(SUM(Datasheet!Y1301,Datasheet!Y1314)*Y$146)/Y680+(SUM(Datasheet!Y1328,Datasheet!Y1341)*Y$151)/Y680+(MAX(Y$154,Y$158)*SUM(Datasheet!Y1110,Datasheet!Y1136,Datasheet!Y1149,Datasheet!Y1162)/SUM(Datasheet!Y$1104,Datasheet!Y$1130,Datasheet!Y$1143,Datasheet!Y$1156)*Y$156)/Y680+(Datasheet!Y1361*Y$169)/Y680+Y$171/12</f>
        <v>929.76456825364721</v>
      </c>
      <c r="Z182" s="69">
        <f>(SUM(Datasheet!Z1301,Datasheet!Z1314)*Z$146)/Z680+(SUM(Datasheet!Z1328,Datasheet!Z1341)*Z$151)/Z680+(MAX(Z$154,Z$158)*SUM(Datasheet!Z1110,Datasheet!Z1136,Datasheet!Z1149,Datasheet!Z1162)/SUM(Datasheet!Z$1104,Datasheet!Z$1130,Datasheet!Z$1143,Datasheet!Z$1156)*Z$156)/Z680+(Datasheet!Z1361*Z$169)/Z680+Z$171/12</f>
        <v>947.03093589314619</v>
      </c>
      <c r="AA182" s="69">
        <f>(SUM(Datasheet!AA1301,Datasheet!AA1314)*AA$146)/AA680+(SUM(Datasheet!AA1328,Datasheet!AA1341)*AA$151)/AA680+(MAX(AA$154,AA$158)*SUM(Datasheet!AA1110,Datasheet!AA1136,Datasheet!AA1149,Datasheet!AA1162)/SUM(Datasheet!AA$1104,Datasheet!AA$1130,Datasheet!AA$1143,Datasheet!AA$1156)*AA$156)/AA680+(Datasheet!AA1361*AA$169)/AA680+AA$171/12</f>
        <v>839.09266430388868</v>
      </c>
      <c r="AB182" s="69">
        <f>(SUM(Datasheet!AB1301,Datasheet!AB1314)*AB$146)/AB680+(SUM(Datasheet!AB1328,Datasheet!AB1341)*AB$151)/AB680+(MAX(AB$154,AB$158)*SUM(Datasheet!AB1110,Datasheet!AB1136,Datasheet!AB1149,Datasheet!AB1162)/SUM(Datasheet!AB$1104,Datasheet!AB$1130,Datasheet!AB$1143,Datasheet!AB$1156)*AB$156)/AB680+(Datasheet!AB1361*AB$169)/AB680+AB$171/12</f>
        <v>996.44177014116633</v>
      </c>
      <c r="AC182" s="69">
        <f>(SUM(Datasheet!AC1301,Datasheet!AC1314)*AC$146)/AC680+(SUM(Datasheet!AC1328,Datasheet!AC1341)*AC$151)/AC680+(MAX(AC$154,AC$158)*SUM(Datasheet!AC1110,Datasheet!AC1136,Datasheet!AC1149,Datasheet!AC1162)/SUM(Datasheet!AC$1104,Datasheet!AC$1130,Datasheet!AC$1143,Datasheet!AC$1156)*AC$156)/AC680+(Datasheet!AC1361*AC$169)/AC680+AC$171/12</f>
        <v>906.13947545575456</v>
      </c>
      <c r="AD182" s="69" t="e">
        <f>(SUM(Datasheet!AD1301,Datasheet!AD1314)*AD$146)/AD680+(SUM(Datasheet!AD1328,Datasheet!AD1341)*AD$151)/AD680+(MAX(AD$154,AD$158)*SUM(Datasheet!AD1110,Datasheet!AD1136,Datasheet!AD1149,Datasheet!AD1162)/SUM(Datasheet!AD$1104,Datasheet!AD$1130,Datasheet!AD$1143,Datasheet!AD$1156)*AD$156)/AD680+(Datasheet!AD1361*AD$169)/AD680+AD$171/12</f>
        <v>#DIV/0!</v>
      </c>
      <c r="AE182" s="69" t="e">
        <f>(SUM(Datasheet!AE1301,Datasheet!AE1314)*AE$146)/AE680+(SUM(Datasheet!AE1328,Datasheet!AE1341)*AE$151)/AE680+(MAX(AE$154,AE$158)*SUM(Datasheet!AE1110,Datasheet!AE1136,Datasheet!AE1149,Datasheet!AE1162)/SUM(Datasheet!AE$1104,Datasheet!AE$1130,Datasheet!AE$1143,Datasheet!AE$1156)*AE$156)/AE680+(Datasheet!AE1361*AE$169)/AE680+AE$171/12</f>
        <v>#DIV/0!</v>
      </c>
      <c r="AF182" s="69" t="e">
        <f>(SUM(Datasheet!AF1301,Datasheet!AF1314)*AF$146)/AF680+(SUM(Datasheet!AF1328,Datasheet!AF1341)*AF$151)/AF680+(MAX(AF$154,AF$158)*SUM(Datasheet!AF1110,Datasheet!AF1136,Datasheet!AF1149,Datasheet!AF1162)/SUM(Datasheet!AF$1104,Datasheet!AF$1130,Datasheet!AF$1143,Datasheet!AF$1156)*AF$156)/AF680+(Datasheet!AF1361*AF$169)/AF680+AF$171/12</f>
        <v>#DIV/0!</v>
      </c>
      <c r="AG182" s="69" t="e">
        <f>(SUM(Datasheet!AG1301,Datasheet!AG1314)*AG$146)/AG680+(SUM(Datasheet!AG1328,Datasheet!AG1341)*AG$151)/AG680+(MAX(AG$154,AG$158)*SUM(Datasheet!AG1110,Datasheet!AG1136,Datasheet!AG1149,Datasheet!AG1162)/SUM(Datasheet!AG$1104,Datasheet!AG$1130,Datasheet!AG$1143,Datasheet!AG$1156)*AG$156)/AG680+(Datasheet!AG1361*AG$169)/AG680+AG$171/12</f>
        <v>#DIV/0!</v>
      </c>
      <c r="AH182" s="69" t="e">
        <f>(SUM(Datasheet!AH1301,Datasheet!AH1314)*AH$146)/AH680+(SUM(Datasheet!AH1328,Datasheet!AH1341)*AH$151)/AH680+(MAX(AH$154,AH$158)*SUM(Datasheet!AH1110,Datasheet!AH1136,Datasheet!AH1149,Datasheet!AH1162)/SUM(Datasheet!AH$1104,Datasheet!AH$1130,Datasheet!AH$1143,Datasheet!AH$1156)*AH$156)/AH680+(Datasheet!AH1361*AH$169)/AH680+AH$171/12</f>
        <v>#DIV/0!</v>
      </c>
      <c r="AI182" s="69" t="e">
        <f>(SUM(Datasheet!AI1301,Datasheet!AI1314)*AI$146)/AI680+(SUM(Datasheet!AI1328,Datasheet!AI1341)*AI$151)/AI680+(MAX(AI$154,AI$158)*SUM(Datasheet!AI1110,Datasheet!AI1136,Datasheet!AI1149,Datasheet!AI1162)/SUM(Datasheet!AI$1104,Datasheet!AI$1130,Datasheet!AI$1143,Datasheet!AI$1156)*AI$156)/AI680+(Datasheet!AI1361*AI$169)/AI680+AI$171/12</f>
        <v>#DIV/0!</v>
      </c>
      <c r="AJ182" s="69" t="e">
        <f>(SUM(Datasheet!AJ1301,Datasheet!AJ1314)*AJ$146)/AJ680+(SUM(Datasheet!AJ1328,Datasheet!AJ1341)*AJ$151)/AJ680+(MAX(AJ$154,AJ$158)*SUM(Datasheet!AJ1110,Datasheet!AJ1136,Datasheet!AJ1149,Datasheet!AJ1162)/SUM(Datasheet!AJ$1104,Datasheet!AJ$1130,Datasheet!AJ$1143,Datasheet!AJ$1156)*AJ$156)/AJ680+(Datasheet!AJ1361*AJ$169)/AJ680+AJ$171/12</f>
        <v>#DIV/0!</v>
      </c>
      <c r="AK182" s="69" t="e">
        <f>(SUM(Datasheet!AK1301,Datasheet!AK1314)*AK$146)/AK680+(SUM(Datasheet!AK1328,Datasheet!AK1341)*AK$151)/AK680+(MAX(AK$154,AK$158)*SUM(Datasheet!AK1110,Datasheet!AK1136,Datasheet!AK1149,Datasheet!AK1162)/SUM(Datasheet!AK$1104,Datasheet!AK$1130,Datasheet!AK$1143,Datasheet!AK$1156)*AK$156)/AK680+(Datasheet!AK1361*AK$169)/AK680+AK$171/12</f>
        <v>#DIV/0!</v>
      </c>
    </row>
    <row r="183" spans="1:37" s="69" customFormat="1" x14ac:dyDescent="0.25">
      <c r="E183" s="4" t="s">
        <v>250</v>
      </c>
      <c r="H183" s="69" t="s">
        <v>966</v>
      </c>
      <c r="Q183" s="69">
        <f>(SUM(Datasheet!Q1302,Datasheet!Q1315)*Q$146)/Q681+(SUM(Datasheet!Q1329,Datasheet!Q1342)*Q$151)/Q681+(MAX(Q$154,Q$158)*SUM(Datasheet!Q1111,Datasheet!Q1137,Datasheet!Q1150,Datasheet!Q1163)/SUM(Datasheet!Q$1104,Datasheet!Q$1130,Datasheet!Q$1143,Datasheet!Q$1156)*Q$156)/Q681+(Datasheet!Q1362*Q$169)/Q681+Q$171/12</f>
        <v>804.85846457374191</v>
      </c>
      <c r="R183" s="69">
        <f>(SUM(Datasheet!R1302,Datasheet!R1315)*R$146)/R681+(SUM(Datasheet!R1329,Datasheet!R1342)*R$151)/R681+(MAX(R$154,R$158)*SUM(Datasheet!R1111,Datasheet!R1137,Datasheet!R1150,Datasheet!R1163)/SUM(Datasheet!R$1104,Datasheet!R$1130,Datasheet!R$1143,Datasheet!R$1156)*R$156)/R681+(Datasheet!R1362*R$169)/R681+R$171/12</f>
        <v>768.2148005363947</v>
      </c>
      <c r="S183" s="69">
        <f>(SUM(Datasheet!S1302,Datasheet!S1315)*S$146)/S681+(SUM(Datasheet!S1329,Datasheet!S1342)*S$151)/S681+(MAX(S$154,S$158)*SUM(Datasheet!S1111,Datasheet!S1137,Datasheet!S1150,Datasheet!S1163)/SUM(Datasheet!S$1104,Datasheet!S$1130,Datasheet!S$1143,Datasheet!S$1156)*S$156)/S681+(Datasheet!S1362*S$169)/S681+S$171/12</f>
        <v>745.54551687906576</v>
      </c>
      <c r="T183" s="69">
        <f>(SUM(Datasheet!T1302,Datasheet!T1315)*T$146)/T681+(SUM(Datasheet!T1329,Datasheet!T1342)*T$151)/T681+(MAX(T$154,T$158)*SUM(Datasheet!T1111,Datasheet!T1137,Datasheet!T1150,Datasheet!T1163)/SUM(Datasheet!T$1104,Datasheet!T$1130,Datasheet!T$1143,Datasheet!T$1156)*T$156)/T681+(Datasheet!T1362*T$169)/T681+T$171/12</f>
        <v>752.62853156024619</v>
      </c>
      <c r="U183" s="69">
        <f>(SUM(Datasheet!U1302,Datasheet!U1315)*U$146)/U681+(SUM(Datasheet!U1329,Datasheet!U1342)*U$151)/U681+(MAX(U$154,U$158)*SUM(Datasheet!U1111,Datasheet!U1137,Datasheet!U1150,Datasheet!U1163)/SUM(Datasheet!U$1104,Datasheet!U$1130,Datasheet!U$1143,Datasheet!U$1156)*U$156)/U681+(Datasheet!U1362*U$169)/U681+U$171/12</f>
        <v>764.68872577823038</v>
      </c>
      <c r="V183" s="69">
        <f>(SUM(Datasheet!V1302,Datasheet!V1315)*V$146)/V681+(SUM(Datasheet!V1329,Datasheet!V1342)*V$151)/V681+(MAX(V$154,V$158)*SUM(Datasheet!V1111,Datasheet!V1137,Datasheet!V1150,Datasheet!V1163)/SUM(Datasheet!V$1104,Datasheet!V$1130,Datasheet!V$1143,Datasheet!V$1156)*V$156)/V681+(Datasheet!V1362*V$169)/V681+V$171/12</f>
        <v>801.71056153372149</v>
      </c>
      <c r="W183" s="69">
        <f>(SUM(Datasheet!W1302,Datasheet!W1315)*W$146)/W681+(SUM(Datasheet!W1329,Datasheet!W1342)*W$151)/W681+(MAX(W$154,W$158)*SUM(Datasheet!W1111,Datasheet!W1137,Datasheet!W1150,Datasheet!W1163)/SUM(Datasheet!W$1104,Datasheet!W$1130,Datasheet!W$1143,Datasheet!W$1156)*W$156)/W681+(Datasheet!W1362*W$169)/W681+W$171/12</f>
        <v>826.47614955011932</v>
      </c>
      <c r="X183" s="69">
        <f>(SUM(Datasheet!X1302,Datasheet!X1315)*X$146)/X681+(SUM(Datasheet!X1329,Datasheet!X1342)*X$151)/X681+(MAX(X$154,X$158)*SUM(Datasheet!X1111,Datasheet!X1137,Datasheet!X1150,Datasheet!X1163)/SUM(Datasheet!X$1104,Datasheet!X$1130,Datasheet!X$1143,Datasheet!X$1156)*X$156)/X681+(Datasheet!X1362*X$169)/X681+X$171/12</f>
        <v>894.67569560209517</v>
      </c>
      <c r="Y183" s="69">
        <f>(SUM(Datasheet!Y1302,Datasheet!Y1315)*Y$146)/Y681+(SUM(Datasheet!Y1329,Datasheet!Y1342)*Y$151)/Y681+(MAX(Y$154,Y$158)*SUM(Datasheet!Y1111,Datasheet!Y1137,Datasheet!Y1150,Datasheet!Y1163)/SUM(Datasheet!Y$1104,Datasheet!Y$1130,Datasheet!Y$1143,Datasheet!Y$1156)*Y$156)/Y681+(Datasheet!Y1362*Y$169)/Y681+Y$171/12</f>
        <v>929.82410125866909</v>
      </c>
      <c r="Z183" s="69">
        <f>(SUM(Datasheet!Z1302,Datasheet!Z1315)*Z$146)/Z681+(SUM(Datasheet!Z1329,Datasheet!Z1342)*Z$151)/Z681+(MAX(Z$154,Z$158)*SUM(Datasheet!Z1111,Datasheet!Z1137,Datasheet!Z1150,Datasheet!Z1163)/SUM(Datasheet!Z$1104,Datasheet!Z$1130,Datasheet!Z$1143,Datasheet!Z$1156)*Z$156)/Z681+(Datasheet!Z1362*Z$169)/Z681+Z$171/12</f>
        <v>947.07139086108293</v>
      </c>
      <c r="AA183" s="69">
        <f>(SUM(Datasheet!AA1302,Datasheet!AA1315)*AA$146)/AA681+(SUM(Datasheet!AA1329,Datasheet!AA1342)*AA$151)/AA681+(MAX(AA$154,AA$158)*SUM(Datasheet!AA1111,Datasheet!AA1137,Datasheet!AA1150,Datasheet!AA1163)/SUM(Datasheet!AA$1104,Datasheet!AA$1130,Datasheet!AA$1143,Datasheet!AA$1156)*AA$156)/AA681+(Datasheet!AA1362*AA$169)/AA681+AA$171/12</f>
        <v>839.17153441314406</v>
      </c>
      <c r="AB183" s="69">
        <f>(SUM(Datasheet!AB1302,Datasheet!AB1315)*AB$146)/AB681+(SUM(Datasheet!AB1329,Datasheet!AB1342)*AB$151)/AB681+(MAX(AB$154,AB$158)*SUM(Datasheet!AB1111,Datasheet!AB1137,Datasheet!AB1150,Datasheet!AB1163)/SUM(Datasheet!AB$1104,Datasheet!AB$1130,Datasheet!AB$1143,Datasheet!AB$1156)*AB$156)/AB681+(Datasheet!AB1362*AB$169)/AB681+AB$171/12</f>
        <v>996.4444617066988</v>
      </c>
      <c r="AC183" s="69">
        <f>(SUM(Datasheet!AC1302,Datasheet!AC1315)*AC$146)/AC681+(SUM(Datasheet!AC1329,Datasheet!AC1342)*AC$151)/AC681+(MAX(AC$154,AC$158)*SUM(Datasheet!AC1111,Datasheet!AC1137,Datasheet!AC1150,Datasheet!AC1163)/SUM(Datasheet!AC$1104,Datasheet!AC$1130,Datasheet!AC$1143,Datasheet!AC$1156)*AC$156)/AC681+(Datasheet!AC1362*AC$169)/AC681+AC$171/12</f>
        <v>906.30032163841429</v>
      </c>
      <c r="AD183" s="69" t="e">
        <f>(SUM(Datasheet!AD1302,Datasheet!AD1315)*AD$146)/AD681+(SUM(Datasheet!AD1329,Datasheet!AD1342)*AD$151)/AD681+(MAX(AD$154,AD$158)*SUM(Datasheet!AD1111,Datasheet!AD1137,Datasheet!AD1150,Datasheet!AD1163)/SUM(Datasheet!AD$1104,Datasheet!AD$1130,Datasheet!AD$1143,Datasheet!AD$1156)*AD$156)/AD681+(Datasheet!AD1362*AD$169)/AD681+AD$171/12</f>
        <v>#DIV/0!</v>
      </c>
      <c r="AE183" s="69" t="e">
        <f>(SUM(Datasheet!AE1302,Datasheet!AE1315)*AE$146)/AE681+(SUM(Datasheet!AE1329,Datasheet!AE1342)*AE$151)/AE681+(MAX(AE$154,AE$158)*SUM(Datasheet!AE1111,Datasheet!AE1137,Datasheet!AE1150,Datasheet!AE1163)/SUM(Datasheet!AE$1104,Datasheet!AE$1130,Datasheet!AE$1143,Datasheet!AE$1156)*AE$156)/AE681+(Datasheet!AE1362*AE$169)/AE681+AE$171/12</f>
        <v>#DIV/0!</v>
      </c>
      <c r="AF183" s="69" t="e">
        <f>(SUM(Datasheet!AF1302,Datasheet!AF1315)*AF$146)/AF681+(SUM(Datasheet!AF1329,Datasheet!AF1342)*AF$151)/AF681+(MAX(AF$154,AF$158)*SUM(Datasheet!AF1111,Datasheet!AF1137,Datasheet!AF1150,Datasheet!AF1163)/SUM(Datasheet!AF$1104,Datasheet!AF$1130,Datasheet!AF$1143,Datasheet!AF$1156)*AF$156)/AF681+(Datasheet!AF1362*AF$169)/AF681+AF$171/12</f>
        <v>#DIV/0!</v>
      </c>
      <c r="AG183" s="69" t="e">
        <f>(SUM(Datasheet!AG1302,Datasheet!AG1315)*AG$146)/AG681+(SUM(Datasheet!AG1329,Datasheet!AG1342)*AG$151)/AG681+(MAX(AG$154,AG$158)*SUM(Datasheet!AG1111,Datasheet!AG1137,Datasheet!AG1150,Datasheet!AG1163)/SUM(Datasheet!AG$1104,Datasheet!AG$1130,Datasheet!AG$1143,Datasheet!AG$1156)*AG$156)/AG681+(Datasheet!AG1362*AG$169)/AG681+AG$171/12</f>
        <v>#DIV/0!</v>
      </c>
      <c r="AH183" s="69" t="e">
        <f>(SUM(Datasheet!AH1302,Datasheet!AH1315)*AH$146)/AH681+(SUM(Datasheet!AH1329,Datasheet!AH1342)*AH$151)/AH681+(MAX(AH$154,AH$158)*SUM(Datasheet!AH1111,Datasheet!AH1137,Datasheet!AH1150,Datasheet!AH1163)/SUM(Datasheet!AH$1104,Datasheet!AH$1130,Datasheet!AH$1143,Datasheet!AH$1156)*AH$156)/AH681+(Datasheet!AH1362*AH$169)/AH681+AH$171/12</f>
        <v>#DIV/0!</v>
      </c>
      <c r="AI183" s="69" t="e">
        <f>(SUM(Datasheet!AI1302,Datasheet!AI1315)*AI$146)/AI681+(SUM(Datasheet!AI1329,Datasheet!AI1342)*AI$151)/AI681+(MAX(AI$154,AI$158)*SUM(Datasheet!AI1111,Datasheet!AI1137,Datasheet!AI1150,Datasheet!AI1163)/SUM(Datasheet!AI$1104,Datasheet!AI$1130,Datasheet!AI$1143,Datasheet!AI$1156)*AI$156)/AI681+(Datasheet!AI1362*AI$169)/AI681+AI$171/12</f>
        <v>#DIV/0!</v>
      </c>
      <c r="AJ183" s="69" t="e">
        <f>(SUM(Datasheet!AJ1302,Datasheet!AJ1315)*AJ$146)/AJ681+(SUM(Datasheet!AJ1329,Datasheet!AJ1342)*AJ$151)/AJ681+(MAX(AJ$154,AJ$158)*SUM(Datasheet!AJ1111,Datasheet!AJ1137,Datasheet!AJ1150,Datasheet!AJ1163)/SUM(Datasheet!AJ$1104,Datasheet!AJ$1130,Datasheet!AJ$1143,Datasheet!AJ$1156)*AJ$156)/AJ681+(Datasheet!AJ1362*AJ$169)/AJ681+AJ$171/12</f>
        <v>#DIV/0!</v>
      </c>
      <c r="AK183" s="69" t="e">
        <f>(SUM(Datasheet!AK1302,Datasheet!AK1315)*AK$146)/AK681+(SUM(Datasheet!AK1329,Datasheet!AK1342)*AK$151)/AK681+(MAX(AK$154,AK$158)*SUM(Datasheet!AK1111,Datasheet!AK1137,Datasheet!AK1150,Datasheet!AK1163)/SUM(Datasheet!AK$1104,Datasheet!AK$1130,Datasheet!AK$1143,Datasheet!AK$1156)*AK$156)/AK681+(Datasheet!AK1362*AK$169)/AK681+AK$171/12</f>
        <v>#DIV/0!</v>
      </c>
    </row>
    <row r="184" spans="1:37" s="69" customFormat="1" x14ac:dyDescent="0.25">
      <c r="E184" s="4" t="s">
        <v>251</v>
      </c>
      <c r="H184" s="69" t="s">
        <v>966</v>
      </c>
      <c r="Q184" s="69">
        <f>(SUM(Datasheet!Q1303,Datasheet!Q1316)*Q$146)/Q682+(SUM(Datasheet!Q1330,Datasheet!Q1343)*Q$151)/Q682+(MAX(Q$154,Q$158)*SUM(Datasheet!Q1112,Datasheet!Q1138,Datasheet!Q1151,Datasheet!Q1164)/SUM(Datasheet!Q$1104,Datasheet!Q$1130,Datasheet!Q$1143,Datasheet!Q$1156)*Q$156)/Q682+(Datasheet!Q1363*Q$169)/Q682+Q$171/12</f>
        <v>804.85667372656326</v>
      </c>
      <c r="R184" s="69">
        <f>(SUM(Datasheet!R1303,Datasheet!R1316)*R$146)/R682+(SUM(Datasheet!R1330,Datasheet!R1343)*R$151)/R682+(MAX(R$154,R$158)*SUM(Datasheet!R1112,Datasheet!R1138,Datasheet!R1151,Datasheet!R1164)/SUM(Datasheet!R$1104,Datasheet!R$1130,Datasheet!R$1143,Datasheet!R$1156)*R$156)/R682+(Datasheet!R1363*R$169)/R682+R$171/12</f>
        <v>768.22310535796635</v>
      </c>
      <c r="S184" s="69">
        <f>(SUM(Datasheet!S1303,Datasheet!S1316)*S$146)/S682+(SUM(Datasheet!S1330,Datasheet!S1343)*S$151)/S682+(MAX(S$154,S$158)*SUM(Datasheet!S1112,Datasheet!S1138,Datasheet!S1151,Datasheet!S1164)/SUM(Datasheet!S$1104,Datasheet!S$1130,Datasheet!S$1143,Datasheet!S$1156)*S$156)/S682+(Datasheet!S1363*S$169)/S682+S$171/12</f>
        <v>745.5639757858246</v>
      </c>
      <c r="T184" s="69">
        <f>(SUM(Datasheet!T1303,Datasheet!T1316)*T$146)/T682+(SUM(Datasheet!T1330,Datasheet!T1343)*T$151)/T682+(MAX(T$154,T$158)*SUM(Datasheet!T1112,Datasheet!T1138,Datasheet!T1151,Datasheet!T1164)/SUM(Datasheet!T$1104,Datasheet!T$1130,Datasheet!T$1143,Datasheet!T$1156)*T$156)/T682+(Datasheet!T1363*T$169)/T682+T$171/12</f>
        <v>752.62853516976406</v>
      </c>
      <c r="U184" s="69">
        <f>(SUM(Datasheet!U1303,Datasheet!U1316)*U$146)/U682+(SUM(Datasheet!U1330,Datasheet!U1343)*U$151)/U682+(MAX(U$154,U$158)*SUM(Datasheet!U1112,Datasheet!U1138,Datasheet!U1151,Datasheet!U1164)/SUM(Datasheet!U$1104,Datasheet!U$1130,Datasheet!U$1143,Datasheet!U$1156)*U$156)/U682+(Datasheet!U1363*U$169)/U682+U$171/12</f>
        <v>764.6883139870514</v>
      </c>
      <c r="V184" s="69">
        <f>(SUM(Datasheet!V1303,Datasheet!V1316)*V$146)/V682+(SUM(Datasheet!V1330,Datasheet!V1343)*V$151)/V682+(MAX(V$154,V$158)*SUM(Datasheet!V1112,Datasheet!V1138,Datasheet!V1151,Datasheet!V1164)/SUM(Datasheet!V$1104,Datasheet!V$1130,Datasheet!V$1143,Datasheet!V$1156)*V$156)/V682+(Datasheet!V1363*V$169)/V682+V$171/12</f>
        <v>801.72596624923665</v>
      </c>
      <c r="W184" s="69">
        <f>(SUM(Datasheet!W1303,Datasheet!W1316)*W$146)/W682+(SUM(Datasheet!W1330,Datasheet!W1343)*W$151)/W682+(MAX(W$154,W$158)*SUM(Datasheet!W1112,Datasheet!W1138,Datasheet!W1151,Datasheet!W1164)/SUM(Datasheet!W$1104,Datasheet!W$1130,Datasheet!W$1143,Datasheet!W$1156)*W$156)/W682+(Datasheet!W1363*W$169)/W682+W$171/12</f>
        <v>826.48173135696493</v>
      </c>
      <c r="X184" s="69">
        <f>(SUM(Datasheet!X1303,Datasheet!X1316)*X$146)/X682+(SUM(Datasheet!X1330,Datasheet!X1343)*X$151)/X682+(MAX(X$154,X$158)*SUM(Datasheet!X1112,Datasheet!X1138,Datasheet!X1151,Datasheet!X1164)/SUM(Datasheet!X$1104,Datasheet!X$1130,Datasheet!X$1143,Datasheet!X$1156)*X$156)/X682+(Datasheet!X1363*X$169)/X682+X$171/12</f>
        <v>894.66221456964718</v>
      </c>
      <c r="Y184" s="69">
        <f>(SUM(Datasheet!Y1303,Datasheet!Y1316)*Y$146)/Y682+(SUM(Datasheet!Y1330,Datasheet!Y1343)*Y$151)/Y682+(MAX(Y$154,Y$158)*SUM(Datasheet!Y1112,Datasheet!Y1138,Datasheet!Y1151,Datasheet!Y1164)/SUM(Datasheet!Y$1104,Datasheet!Y$1130,Datasheet!Y$1143,Datasheet!Y$1156)*Y$156)/Y682+(Datasheet!Y1363*Y$169)/Y682+Y$171/12</f>
        <v>929.83622468088697</v>
      </c>
      <c r="Z184" s="69">
        <f>(SUM(Datasheet!Z1303,Datasheet!Z1316)*Z$146)/Z682+(SUM(Datasheet!Z1330,Datasheet!Z1343)*Z$151)/Z682+(MAX(Z$154,Z$158)*SUM(Datasheet!Z1112,Datasheet!Z1138,Datasheet!Z1151,Datasheet!Z1164)/SUM(Datasheet!Z$1104,Datasheet!Z$1130,Datasheet!Z$1143,Datasheet!Z$1156)*Z$156)/Z682+(Datasheet!Z1363*Z$169)/Z682+Z$171/12</f>
        <v>947.07573465169241</v>
      </c>
      <c r="AA184" s="69">
        <f>(SUM(Datasheet!AA1303,Datasheet!AA1316)*AA$146)/AA682+(SUM(Datasheet!AA1330,Datasheet!AA1343)*AA$151)/AA682+(MAX(AA$154,AA$158)*SUM(Datasheet!AA1112,Datasheet!AA1138,Datasheet!AA1151,Datasheet!AA1164)/SUM(Datasheet!AA$1104,Datasheet!AA$1130,Datasheet!AA$1143,Datasheet!AA$1156)*AA$156)/AA682+(Datasheet!AA1363*AA$169)/AA682+AA$171/12</f>
        <v>839.19474215855985</v>
      </c>
      <c r="AB184" s="69">
        <f>(SUM(Datasheet!AB1303,Datasheet!AB1316)*AB$146)/AB682+(SUM(Datasheet!AB1330,Datasheet!AB1343)*AB$151)/AB682+(MAX(AB$154,AB$158)*SUM(Datasheet!AB1112,Datasheet!AB1138,Datasheet!AB1151,Datasheet!AB1164)/SUM(Datasheet!AB$1104,Datasheet!AB$1130,Datasheet!AB$1143,Datasheet!AB$1156)*AB$156)/AB682+(Datasheet!AB1363*AB$169)/AB682+AB$171/12</f>
        <v>996.42767157267349</v>
      </c>
      <c r="AC184" s="69">
        <f>(SUM(Datasheet!AC1303,Datasheet!AC1316)*AC$146)/AC682+(SUM(Datasheet!AC1330,Datasheet!AC1343)*AC$151)/AC682+(MAX(AC$154,AC$158)*SUM(Datasheet!AC1112,Datasheet!AC1138,Datasheet!AC1151,Datasheet!AC1164)/SUM(Datasheet!AC$1104,Datasheet!AC$1130,Datasheet!AC$1143,Datasheet!AC$1156)*AC$156)/AC682+(Datasheet!AC1363*AC$169)/AC682+AC$171/12</f>
        <v>906.31156534159413</v>
      </c>
      <c r="AD184" s="69" t="e">
        <f>(SUM(Datasheet!AD1303,Datasheet!AD1316)*AD$146)/AD682+(SUM(Datasheet!AD1330,Datasheet!AD1343)*AD$151)/AD682+(MAX(AD$154,AD$158)*SUM(Datasheet!AD1112,Datasheet!AD1138,Datasheet!AD1151,Datasheet!AD1164)/SUM(Datasheet!AD$1104,Datasheet!AD$1130,Datasheet!AD$1143,Datasheet!AD$1156)*AD$156)/AD682+(Datasheet!AD1363*AD$169)/AD682+AD$171/12</f>
        <v>#DIV/0!</v>
      </c>
      <c r="AE184" s="69" t="e">
        <f>(SUM(Datasheet!AE1303,Datasheet!AE1316)*AE$146)/AE682+(SUM(Datasheet!AE1330,Datasheet!AE1343)*AE$151)/AE682+(MAX(AE$154,AE$158)*SUM(Datasheet!AE1112,Datasheet!AE1138,Datasheet!AE1151,Datasheet!AE1164)/SUM(Datasheet!AE$1104,Datasheet!AE$1130,Datasheet!AE$1143,Datasheet!AE$1156)*AE$156)/AE682+(Datasheet!AE1363*AE$169)/AE682+AE$171/12</f>
        <v>#DIV/0!</v>
      </c>
      <c r="AF184" s="69" t="e">
        <f>(SUM(Datasheet!AF1303,Datasheet!AF1316)*AF$146)/AF682+(SUM(Datasheet!AF1330,Datasheet!AF1343)*AF$151)/AF682+(MAX(AF$154,AF$158)*SUM(Datasheet!AF1112,Datasheet!AF1138,Datasheet!AF1151,Datasheet!AF1164)/SUM(Datasheet!AF$1104,Datasheet!AF$1130,Datasheet!AF$1143,Datasheet!AF$1156)*AF$156)/AF682+(Datasheet!AF1363*AF$169)/AF682+AF$171/12</f>
        <v>#DIV/0!</v>
      </c>
      <c r="AG184" s="69" t="e">
        <f>(SUM(Datasheet!AG1303,Datasheet!AG1316)*AG$146)/AG682+(SUM(Datasheet!AG1330,Datasheet!AG1343)*AG$151)/AG682+(MAX(AG$154,AG$158)*SUM(Datasheet!AG1112,Datasheet!AG1138,Datasheet!AG1151,Datasheet!AG1164)/SUM(Datasheet!AG$1104,Datasheet!AG$1130,Datasheet!AG$1143,Datasheet!AG$1156)*AG$156)/AG682+(Datasheet!AG1363*AG$169)/AG682+AG$171/12</f>
        <v>#DIV/0!</v>
      </c>
      <c r="AH184" s="69" t="e">
        <f>(SUM(Datasheet!AH1303,Datasheet!AH1316)*AH$146)/AH682+(SUM(Datasheet!AH1330,Datasheet!AH1343)*AH$151)/AH682+(MAX(AH$154,AH$158)*SUM(Datasheet!AH1112,Datasheet!AH1138,Datasheet!AH1151,Datasheet!AH1164)/SUM(Datasheet!AH$1104,Datasheet!AH$1130,Datasheet!AH$1143,Datasheet!AH$1156)*AH$156)/AH682+(Datasheet!AH1363*AH$169)/AH682+AH$171/12</f>
        <v>#DIV/0!</v>
      </c>
      <c r="AI184" s="69" t="e">
        <f>(SUM(Datasheet!AI1303,Datasheet!AI1316)*AI$146)/AI682+(SUM(Datasheet!AI1330,Datasheet!AI1343)*AI$151)/AI682+(MAX(AI$154,AI$158)*SUM(Datasheet!AI1112,Datasheet!AI1138,Datasheet!AI1151,Datasheet!AI1164)/SUM(Datasheet!AI$1104,Datasheet!AI$1130,Datasheet!AI$1143,Datasheet!AI$1156)*AI$156)/AI682+(Datasheet!AI1363*AI$169)/AI682+AI$171/12</f>
        <v>#DIV/0!</v>
      </c>
      <c r="AJ184" s="69" t="e">
        <f>(SUM(Datasheet!AJ1303,Datasheet!AJ1316)*AJ$146)/AJ682+(SUM(Datasheet!AJ1330,Datasheet!AJ1343)*AJ$151)/AJ682+(MAX(AJ$154,AJ$158)*SUM(Datasheet!AJ1112,Datasheet!AJ1138,Datasheet!AJ1151,Datasheet!AJ1164)/SUM(Datasheet!AJ$1104,Datasheet!AJ$1130,Datasheet!AJ$1143,Datasheet!AJ$1156)*AJ$156)/AJ682+(Datasheet!AJ1363*AJ$169)/AJ682+AJ$171/12</f>
        <v>#DIV/0!</v>
      </c>
      <c r="AK184" s="69" t="e">
        <f>(SUM(Datasheet!AK1303,Datasheet!AK1316)*AK$146)/AK682+(SUM(Datasheet!AK1330,Datasheet!AK1343)*AK$151)/AK682+(MAX(AK$154,AK$158)*SUM(Datasheet!AK1112,Datasheet!AK1138,Datasheet!AK1151,Datasheet!AK1164)/SUM(Datasheet!AK$1104,Datasheet!AK$1130,Datasheet!AK$1143,Datasheet!AK$1156)*AK$156)/AK682+(Datasheet!AK1363*AK$169)/AK682+AK$171/12</f>
        <v>#DIV/0!</v>
      </c>
    </row>
    <row r="185" spans="1:37" s="69" customFormat="1" x14ac:dyDescent="0.25">
      <c r="E185" s="4" t="s">
        <v>252</v>
      </c>
      <c r="H185" s="69" t="s">
        <v>966</v>
      </c>
      <c r="Q185" s="69">
        <f>(SUM(Datasheet!Q1304,Datasheet!Q1317)*Q$146)/Q683+(SUM(Datasheet!Q1331,Datasheet!Q1344)*Q$151)/Q683+(MAX(Q$154,Q$158)*SUM(Datasheet!Q1113,Datasheet!Q1139,Datasheet!Q1152,Datasheet!Q1165)/SUM(Datasheet!Q$1104,Datasheet!Q$1130,Datasheet!Q$1143,Datasheet!Q$1156)*Q$156)/Q683+(Datasheet!Q1364*Q$169)/Q683+Q$171/12</f>
        <v>804.77599827910421</v>
      </c>
      <c r="R185" s="69">
        <f>(SUM(Datasheet!R1304,Datasheet!R1317)*R$146)/R683+(SUM(Datasheet!R1331,Datasheet!R1344)*R$151)/R683+(MAX(R$154,R$158)*SUM(Datasheet!R1113,Datasheet!R1139,Datasheet!R1152,Datasheet!R1165)/SUM(Datasheet!R$1104,Datasheet!R$1130,Datasheet!R$1143,Datasheet!R$1156)*R$156)/R683+(Datasheet!R1364*R$169)/R683+R$171/12</f>
        <v>768.11990000790024</v>
      </c>
      <c r="S185" s="69">
        <f>(SUM(Datasheet!S1304,Datasheet!S1317)*S$146)/S683+(SUM(Datasheet!S1331,Datasheet!S1344)*S$151)/S683+(MAX(S$154,S$158)*SUM(Datasheet!S1113,Datasheet!S1139,Datasheet!S1152,Datasheet!S1165)/SUM(Datasheet!S$1104,Datasheet!S$1130,Datasheet!S$1143,Datasheet!S$1156)*S$156)/S683+(Datasheet!S1364*S$169)/S683+S$171/12</f>
        <v>745.4727703213224</v>
      </c>
      <c r="T185" s="69">
        <f>(SUM(Datasheet!T1304,Datasheet!T1317)*T$146)/T683+(SUM(Datasheet!T1331,Datasheet!T1344)*T$151)/T683+(MAX(T$154,T$158)*SUM(Datasheet!T1113,Datasheet!T1139,Datasheet!T1152,Datasheet!T1165)/SUM(Datasheet!T$1104,Datasheet!T$1130,Datasheet!T$1143,Datasheet!T$1156)*T$156)/T683+(Datasheet!T1364*T$169)/T683+T$171/12</f>
        <v>752.53917443272326</v>
      </c>
      <c r="U185" s="69">
        <f>(SUM(Datasheet!U1304,Datasheet!U1317)*U$146)/U683+(SUM(Datasheet!U1331,Datasheet!U1344)*U$151)/U683+(MAX(U$154,U$158)*SUM(Datasheet!U1113,Datasheet!U1139,Datasheet!U1152,Datasheet!U1165)/SUM(Datasheet!U$1104,Datasheet!U$1130,Datasheet!U$1143,Datasheet!U$1156)*U$156)/U683+(Datasheet!U1364*U$169)/U683+U$171/12</f>
        <v>764.64570561584969</v>
      </c>
      <c r="V185" s="69">
        <f>(SUM(Datasheet!V1304,Datasheet!V1317)*V$146)/V683+(SUM(Datasheet!V1331,Datasheet!V1344)*V$151)/V683+(MAX(V$154,V$158)*SUM(Datasheet!V1113,Datasheet!V1139,Datasheet!V1152,Datasheet!V1165)/SUM(Datasheet!V$1104,Datasheet!V$1130,Datasheet!V$1143,Datasheet!V$1156)*V$156)/V683+(Datasheet!V1364*V$169)/V683+V$171/12</f>
        <v>801.63495539581402</v>
      </c>
      <c r="W185" s="69">
        <f>(SUM(Datasheet!W1304,Datasheet!W1317)*W$146)/W683+(SUM(Datasheet!W1331,Datasheet!W1344)*W$151)/W683+(MAX(W$154,W$158)*SUM(Datasheet!W1113,Datasheet!W1139,Datasheet!W1152,Datasheet!W1165)/SUM(Datasheet!W$1104,Datasheet!W$1130,Datasheet!W$1143,Datasheet!W$1156)*W$156)/W683+(Datasheet!W1364*W$169)/W683+W$171/12</f>
        <v>826.49414958223872</v>
      </c>
      <c r="X185" s="69">
        <f>(SUM(Datasheet!X1304,Datasheet!X1317)*X$146)/X683+(SUM(Datasheet!X1331,Datasheet!X1344)*X$151)/X683+(MAX(X$154,X$158)*SUM(Datasheet!X1113,Datasheet!X1139,Datasheet!X1152,Datasheet!X1165)/SUM(Datasheet!X$1104,Datasheet!X$1130,Datasheet!X$1143,Datasheet!X$1156)*X$156)/X683+(Datasheet!X1364*X$169)/X683+X$171/12</f>
        <v>894.60413179724856</v>
      </c>
      <c r="Y185" s="69">
        <f>(SUM(Datasheet!Y1304,Datasheet!Y1317)*Y$146)/Y683+(SUM(Datasheet!Y1331,Datasheet!Y1344)*Y$151)/Y683+(MAX(Y$154,Y$158)*SUM(Datasheet!Y1113,Datasheet!Y1139,Datasheet!Y1152,Datasheet!Y1165)/SUM(Datasheet!Y$1104,Datasheet!Y$1130,Datasheet!Y$1143,Datasheet!Y$1156)*Y$156)/Y683+(Datasheet!Y1364*Y$169)/Y683+Y$171/12</f>
        <v>929.75888176171634</v>
      </c>
      <c r="Z185" s="69">
        <f>(SUM(Datasheet!Z1304,Datasheet!Z1317)*Z$146)/Z683+(SUM(Datasheet!Z1331,Datasheet!Z1344)*Z$151)/Z683+(MAX(Z$154,Z$158)*SUM(Datasheet!Z1113,Datasheet!Z1139,Datasheet!Z1152,Datasheet!Z1165)/SUM(Datasheet!Z$1104,Datasheet!Z$1130,Datasheet!Z$1143,Datasheet!Z$1156)*Z$156)/Z683+(Datasheet!Z1364*Z$169)/Z683+Z$171/12</f>
        <v>947.02407669589991</v>
      </c>
      <c r="AA185" s="69">
        <f>(SUM(Datasheet!AA1304,Datasheet!AA1317)*AA$146)/AA683+(SUM(Datasheet!AA1331,Datasheet!AA1344)*AA$151)/AA683+(MAX(AA$154,AA$158)*SUM(Datasheet!AA1113,Datasheet!AA1139,Datasheet!AA1152,Datasheet!AA1165)/SUM(Datasheet!AA$1104,Datasheet!AA$1130,Datasheet!AA$1143,Datasheet!AA$1156)*AA$156)/AA683+(Datasheet!AA1364*AA$169)/AA683+AA$171/12</f>
        <v>839.15954425111397</v>
      </c>
      <c r="AB185" s="69">
        <f>(SUM(Datasheet!AB1304,Datasheet!AB1317)*AB$146)/AB683+(SUM(Datasheet!AB1331,Datasheet!AB1344)*AB$151)/AB683+(MAX(AB$154,AB$158)*SUM(Datasheet!AB1113,Datasheet!AB1139,Datasheet!AB1152,Datasheet!AB1165)/SUM(Datasheet!AB$1104,Datasheet!AB$1130,Datasheet!AB$1143,Datasheet!AB$1156)*AB$156)/AB683+(Datasheet!AB1364*AB$169)/AB683+AB$171/12</f>
        <v>996.33750187409453</v>
      </c>
      <c r="AC185" s="69">
        <f>(SUM(Datasheet!AC1304,Datasheet!AC1317)*AC$146)/AC683+(SUM(Datasheet!AC1331,Datasheet!AC1344)*AC$151)/AC683+(MAX(AC$154,AC$158)*SUM(Datasheet!AC1113,Datasheet!AC1139,Datasheet!AC1152,Datasheet!AC1165)/SUM(Datasheet!AC$1104,Datasheet!AC$1130,Datasheet!AC$1143,Datasheet!AC$1156)*AC$156)/AC683+(Datasheet!AC1364*AC$169)/AC683+AC$171/12</f>
        <v>906.29231167830653</v>
      </c>
      <c r="AD185" s="69" t="e">
        <f>(SUM(Datasheet!AD1304,Datasheet!AD1317)*AD$146)/AD683+(SUM(Datasheet!AD1331,Datasheet!AD1344)*AD$151)/AD683+(MAX(AD$154,AD$158)*SUM(Datasheet!AD1113,Datasheet!AD1139,Datasheet!AD1152,Datasheet!AD1165)/SUM(Datasheet!AD$1104,Datasheet!AD$1130,Datasheet!AD$1143,Datasheet!AD$1156)*AD$156)/AD683+(Datasheet!AD1364*AD$169)/AD683+AD$171/12</f>
        <v>#DIV/0!</v>
      </c>
      <c r="AE185" s="69" t="e">
        <f>(SUM(Datasheet!AE1304,Datasheet!AE1317)*AE$146)/AE683+(SUM(Datasheet!AE1331,Datasheet!AE1344)*AE$151)/AE683+(MAX(AE$154,AE$158)*SUM(Datasheet!AE1113,Datasheet!AE1139,Datasheet!AE1152,Datasheet!AE1165)/SUM(Datasheet!AE$1104,Datasheet!AE$1130,Datasheet!AE$1143,Datasheet!AE$1156)*AE$156)/AE683+(Datasheet!AE1364*AE$169)/AE683+AE$171/12</f>
        <v>#DIV/0!</v>
      </c>
      <c r="AF185" s="69" t="e">
        <f>(SUM(Datasheet!AF1304,Datasheet!AF1317)*AF$146)/AF683+(SUM(Datasheet!AF1331,Datasheet!AF1344)*AF$151)/AF683+(MAX(AF$154,AF$158)*SUM(Datasheet!AF1113,Datasheet!AF1139,Datasheet!AF1152,Datasheet!AF1165)/SUM(Datasheet!AF$1104,Datasheet!AF$1130,Datasheet!AF$1143,Datasheet!AF$1156)*AF$156)/AF683+(Datasheet!AF1364*AF$169)/AF683+AF$171/12</f>
        <v>#DIV/0!</v>
      </c>
      <c r="AG185" s="69" t="e">
        <f>(SUM(Datasheet!AG1304,Datasheet!AG1317)*AG$146)/AG683+(SUM(Datasheet!AG1331,Datasheet!AG1344)*AG$151)/AG683+(MAX(AG$154,AG$158)*SUM(Datasheet!AG1113,Datasheet!AG1139,Datasheet!AG1152,Datasheet!AG1165)/SUM(Datasheet!AG$1104,Datasheet!AG$1130,Datasheet!AG$1143,Datasheet!AG$1156)*AG$156)/AG683+(Datasheet!AG1364*AG$169)/AG683+AG$171/12</f>
        <v>#DIV/0!</v>
      </c>
      <c r="AH185" s="69" t="e">
        <f>(SUM(Datasheet!AH1304,Datasheet!AH1317)*AH$146)/AH683+(SUM(Datasheet!AH1331,Datasheet!AH1344)*AH$151)/AH683+(MAX(AH$154,AH$158)*SUM(Datasheet!AH1113,Datasheet!AH1139,Datasheet!AH1152,Datasheet!AH1165)/SUM(Datasheet!AH$1104,Datasheet!AH$1130,Datasheet!AH$1143,Datasheet!AH$1156)*AH$156)/AH683+(Datasheet!AH1364*AH$169)/AH683+AH$171/12</f>
        <v>#DIV/0!</v>
      </c>
      <c r="AI185" s="69" t="e">
        <f>(SUM(Datasheet!AI1304,Datasheet!AI1317)*AI$146)/AI683+(SUM(Datasheet!AI1331,Datasheet!AI1344)*AI$151)/AI683+(MAX(AI$154,AI$158)*SUM(Datasheet!AI1113,Datasheet!AI1139,Datasheet!AI1152,Datasheet!AI1165)/SUM(Datasheet!AI$1104,Datasheet!AI$1130,Datasheet!AI$1143,Datasheet!AI$1156)*AI$156)/AI683+(Datasheet!AI1364*AI$169)/AI683+AI$171/12</f>
        <v>#DIV/0!</v>
      </c>
      <c r="AJ185" s="69" t="e">
        <f>(SUM(Datasheet!AJ1304,Datasheet!AJ1317)*AJ$146)/AJ683+(SUM(Datasheet!AJ1331,Datasheet!AJ1344)*AJ$151)/AJ683+(MAX(AJ$154,AJ$158)*SUM(Datasheet!AJ1113,Datasheet!AJ1139,Datasheet!AJ1152,Datasheet!AJ1165)/SUM(Datasheet!AJ$1104,Datasheet!AJ$1130,Datasheet!AJ$1143,Datasheet!AJ$1156)*AJ$156)/AJ683+(Datasheet!AJ1364*AJ$169)/AJ683+AJ$171/12</f>
        <v>#DIV/0!</v>
      </c>
      <c r="AK185" s="69" t="e">
        <f>(SUM(Datasheet!AK1304,Datasheet!AK1317)*AK$146)/AK683+(SUM(Datasheet!AK1331,Datasheet!AK1344)*AK$151)/AK683+(MAX(AK$154,AK$158)*SUM(Datasheet!AK1113,Datasheet!AK1139,Datasheet!AK1152,Datasheet!AK1165)/SUM(Datasheet!AK$1104,Datasheet!AK$1130,Datasheet!AK$1143,Datasheet!AK$1156)*AK$156)/AK683+(Datasheet!AK1364*AK$169)/AK683+AK$171/12</f>
        <v>#DIV/0!</v>
      </c>
    </row>
    <row r="186" spans="1:37" s="69" customFormat="1" x14ac:dyDescent="0.25">
      <c r="E186" s="4" t="s">
        <v>253</v>
      </c>
      <c r="H186" s="69" t="s">
        <v>966</v>
      </c>
      <c r="Q186" s="69">
        <f>(SUM(Datasheet!Q1305,Datasheet!Q1318)*Q$146)/Q684+(SUM(Datasheet!Q1332,Datasheet!Q1345)*Q$151)/Q684+(MAX(Q$154,Q$158)*SUM(Datasheet!Q1114,Datasheet!Q1140,Datasheet!Q1153,Datasheet!Q1166)/SUM(Datasheet!Q$1104,Datasheet!Q$1130,Datasheet!Q$1143,Datasheet!Q$1156)*Q$156)/Q684+(Datasheet!Q1365*Q$169)/Q684+Q$171/12</f>
        <v>804.76141422607145</v>
      </c>
      <c r="R186" s="69">
        <f>(SUM(Datasheet!R1305,Datasheet!R1318)*R$146)/R684+(SUM(Datasheet!R1332,Datasheet!R1345)*R$151)/R684+(MAX(R$154,R$158)*SUM(Datasheet!R1114,Datasheet!R1140,Datasheet!R1153,Datasheet!R1166)/SUM(Datasheet!R$1104,Datasheet!R$1130,Datasheet!R$1143,Datasheet!R$1156)*R$156)/R684+(Datasheet!R1365*R$169)/R684+R$171/12</f>
        <v>768.11789320243849</v>
      </c>
      <c r="S186" s="69">
        <f>(SUM(Datasheet!S1305,Datasheet!S1318)*S$146)/S684+(SUM(Datasheet!S1332,Datasheet!S1345)*S$151)/S684+(MAX(S$154,S$158)*SUM(Datasheet!S1114,Datasheet!S1140,Datasheet!S1153,Datasheet!S1166)/SUM(Datasheet!S$1104,Datasheet!S$1130,Datasheet!S$1143,Datasheet!S$1156)*S$156)/S684+(Datasheet!S1365*S$169)/S684+S$171/12</f>
        <v>745.4586264655311</v>
      </c>
      <c r="T186" s="69">
        <f>(SUM(Datasheet!T1305,Datasheet!T1318)*T$146)/T684+(SUM(Datasheet!T1332,Datasheet!T1345)*T$151)/T684+(MAX(T$154,T$158)*SUM(Datasheet!T1114,Datasheet!T1140,Datasheet!T1153,Datasheet!T1166)/SUM(Datasheet!T$1104,Datasheet!T$1130,Datasheet!T$1143,Datasheet!T$1156)*T$156)/T684+(Datasheet!T1365*T$169)/T684+T$171/12</f>
        <v>752.56893349125141</v>
      </c>
      <c r="U186" s="69">
        <f>(SUM(Datasheet!U1305,Datasheet!U1318)*U$146)/U684+(SUM(Datasheet!U1332,Datasheet!U1345)*U$151)/U684+(MAX(U$154,U$158)*SUM(Datasheet!U1114,Datasheet!U1140,Datasheet!U1153,Datasheet!U1166)/SUM(Datasheet!U$1104,Datasheet!U$1130,Datasheet!U$1143,Datasheet!U$1156)*U$156)/U684+(Datasheet!U1365*U$169)/U684+U$171/12</f>
        <v>764.60539116905795</v>
      </c>
      <c r="V186" s="69">
        <f>(SUM(Datasheet!V1305,Datasheet!V1318)*V$146)/V684+(SUM(Datasheet!V1332,Datasheet!V1345)*V$151)/V684+(MAX(V$154,V$158)*SUM(Datasheet!V1114,Datasheet!V1140,Datasheet!V1153,Datasheet!V1166)/SUM(Datasheet!V$1104,Datasheet!V$1130,Datasheet!V$1143,Datasheet!V$1156)*V$156)/V684+(Datasheet!V1365*V$169)/V684+V$171/12</f>
        <v>801.65677501895277</v>
      </c>
      <c r="W186" s="69">
        <f>(SUM(Datasheet!W1305,Datasheet!W1318)*W$146)/W684+(SUM(Datasheet!W1332,Datasheet!W1345)*W$151)/W684+(MAX(W$154,W$158)*SUM(Datasheet!W1114,Datasheet!W1140,Datasheet!W1153,Datasheet!W1166)/SUM(Datasheet!W$1104,Datasheet!W$1130,Datasheet!W$1143,Datasheet!W$1156)*W$156)/W684+(Datasheet!W1365*W$169)/W684+W$171/12</f>
        <v>826.44683777746138</v>
      </c>
      <c r="X186" s="69">
        <f>(SUM(Datasheet!X1305,Datasheet!X1318)*X$146)/X684+(SUM(Datasheet!X1332,Datasheet!X1345)*X$151)/X684+(MAX(X$154,X$158)*SUM(Datasheet!X1114,Datasheet!X1140,Datasheet!X1153,Datasheet!X1166)/SUM(Datasheet!X$1104,Datasheet!X$1130,Datasheet!X$1143,Datasheet!X$1156)*X$156)/X684+(Datasheet!X1365*X$169)/X684+X$171/12</f>
        <v>894.69894491185983</v>
      </c>
      <c r="Y186" s="69">
        <f>(SUM(Datasheet!Y1305,Datasheet!Y1318)*Y$146)/Y684+(SUM(Datasheet!Y1332,Datasheet!Y1345)*Y$151)/Y684+(MAX(Y$154,Y$158)*SUM(Datasheet!Y1114,Datasheet!Y1140,Datasheet!Y1153,Datasheet!Y1166)/SUM(Datasheet!Y$1104,Datasheet!Y$1130,Datasheet!Y$1143,Datasheet!Y$1156)*Y$156)/Y684+(Datasheet!Y1365*Y$169)/Y684+Y$171/12</f>
        <v>929.79143247920024</v>
      </c>
      <c r="Z186" s="69">
        <f>(SUM(Datasheet!Z1305,Datasheet!Z1318)*Z$146)/Z684+(SUM(Datasheet!Z1332,Datasheet!Z1345)*Z$151)/Z684+(MAX(Z$154,Z$158)*SUM(Datasheet!Z1114,Datasheet!Z1140,Datasheet!Z1153,Datasheet!Z1166)/SUM(Datasheet!Z$1104,Datasheet!Z$1130,Datasheet!Z$1143,Datasheet!Z$1156)*Z$156)/Z684+(Datasheet!Z1365*Z$169)/Z684+Z$171/12</f>
        <v>947.02971423242548</v>
      </c>
      <c r="AA186" s="69">
        <f>(SUM(Datasheet!AA1305,Datasheet!AA1318)*AA$146)/AA684+(SUM(Datasheet!AA1332,Datasheet!AA1345)*AA$151)/AA684+(MAX(AA$154,AA$158)*SUM(Datasheet!AA1114,Datasheet!AA1140,Datasheet!AA1153,Datasheet!AA1166)/SUM(Datasheet!AA$1104,Datasheet!AA$1130,Datasheet!AA$1143,Datasheet!AA$1156)*AA$156)/AA684+(Datasheet!AA1365*AA$169)/AA684+AA$171/12</f>
        <v>839.12075416481332</v>
      </c>
      <c r="AB186" s="69">
        <f>(SUM(Datasheet!AB1305,Datasheet!AB1318)*AB$146)/AB684+(SUM(Datasheet!AB1332,Datasheet!AB1345)*AB$151)/AB684+(MAX(AB$154,AB$158)*SUM(Datasheet!AB1114,Datasheet!AB1140,Datasheet!AB1153,Datasheet!AB1166)/SUM(Datasheet!AB$1104,Datasheet!AB$1130,Datasheet!AB$1143,Datasheet!AB$1156)*AB$156)/AB684+(Datasheet!AB1365*AB$169)/AB684+AB$171/12</f>
        <v>996.33316826452665</v>
      </c>
      <c r="AC186" s="69">
        <f>(SUM(Datasheet!AC1305,Datasheet!AC1318)*AC$146)/AC684+(SUM(Datasheet!AC1332,Datasheet!AC1345)*AC$151)/AC684+(MAX(AC$154,AC$158)*SUM(Datasheet!AC1114,Datasheet!AC1140,Datasheet!AC1153,Datasheet!AC1166)/SUM(Datasheet!AC$1104,Datasheet!AC$1130,Datasheet!AC$1143,Datasheet!AC$1156)*AC$156)/AC684+(Datasheet!AC1365*AC$169)/AC684+AC$171/12</f>
        <v>906.29337503742454</v>
      </c>
      <c r="AD186" s="69" t="e">
        <f>(SUM(Datasheet!AD1305,Datasheet!AD1318)*AD$146)/AD684+(SUM(Datasheet!AD1332,Datasheet!AD1345)*AD$151)/AD684+(MAX(AD$154,AD$158)*SUM(Datasheet!AD1114,Datasheet!AD1140,Datasheet!AD1153,Datasheet!AD1166)/SUM(Datasheet!AD$1104,Datasheet!AD$1130,Datasheet!AD$1143,Datasheet!AD$1156)*AD$156)/AD684+(Datasheet!AD1365*AD$169)/AD684+AD$171/12</f>
        <v>#DIV/0!</v>
      </c>
      <c r="AE186" s="69" t="e">
        <f>(SUM(Datasheet!AE1305,Datasheet!AE1318)*AE$146)/AE684+(SUM(Datasheet!AE1332,Datasheet!AE1345)*AE$151)/AE684+(MAX(AE$154,AE$158)*SUM(Datasheet!AE1114,Datasheet!AE1140,Datasheet!AE1153,Datasheet!AE1166)/SUM(Datasheet!AE$1104,Datasheet!AE$1130,Datasheet!AE$1143,Datasheet!AE$1156)*AE$156)/AE684+(Datasheet!AE1365*AE$169)/AE684+AE$171/12</f>
        <v>#DIV/0!</v>
      </c>
      <c r="AF186" s="69" t="e">
        <f>(SUM(Datasheet!AF1305,Datasheet!AF1318)*AF$146)/AF684+(SUM(Datasheet!AF1332,Datasheet!AF1345)*AF$151)/AF684+(MAX(AF$154,AF$158)*SUM(Datasheet!AF1114,Datasheet!AF1140,Datasheet!AF1153,Datasheet!AF1166)/SUM(Datasheet!AF$1104,Datasheet!AF$1130,Datasheet!AF$1143,Datasheet!AF$1156)*AF$156)/AF684+(Datasheet!AF1365*AF$169)/AF684+AF$171/12</f>
        <v>#DIV/0!</v>
      </c>
      <c r="AG186" s="69" t="e">
        <f>(SUM(Datasheet!AG1305,Datasheet!AG1318)*AG$146)/AG684+(SUM(Datasheet!AG1332,Datasheet!AG1345)*AG$151)/AG684+(MAX(AG$154,AG$158)*SUM(Datasheet!AG1114,Datasheet!AG1140,Datasheet!AG1153,Datasheet!AG1166)/SUM(Datasheet!AG$1104,Datasheet!AG$1130,Datasheet!AG$1143,Datasheet!AG$1156)*AG$156)/AG684+(Datasheet!AG1365*AG$169)/AG684+AG$171/12</f>
        <v>#DIV/0!</v>
      </c>
      <c r="AH186" s="69" t="e">
        <f>(SUM(Datasheet!AH1305,Datasheet!AH1318)*AH$146)/AH684+(SUM(Datasheet!AH1332,Datasheet!AH1345)*AH$151)/AH684+(MAX(AH$154,AH$158)*SUM(Datasheet!AH1114,Datasheet!AH1140,Datasheet!AH1153,Datasheet!AH1166)/SUM(Datasheet!AH$1104,Datasheet!AH$1130,Datasheet!AH$1143,Datasheet!AH$1156)*AH$156)/AH684+(Datasheet!AH1365*AH$169)/AH684+AH$171/12</f>
        <v>#DIV/0!</v>
      </c>
      <c r="AI186" s="69" t="e">
        <f>(SUM(Datasheet!AI1305,Datasheet!AI1318)*AI$146)/AI684+(SUM(Datasheet!AI1332,Datasheet!AI1345)*AI$151)/AI684+(MAX(AI$154,AI$158)*SUM(Datasheet!AI1114,Datasheet!AI1140,Datasheet!AI1153,Datasheet!AI1166)/SUM(Datasheet!AI$1104,Datasheet!AI$1130,Datasheet!AI$1143,Datasheet!AI$1156)*AI$156)/AI684+(Datasheet!AI1365*AI$169)/AI684+AI$171/12</f>
        <v>#DIV/0!</v>
      </c>
      <c r="AJ186" s="69" t="e">
        <f>(SUM(Datasheet!AJ1305,Datasheet!AJ1318)*AJ$146)/AJ684+(SUM(Datasheet!AJ1332,Datasheet!AJ1345)*AJ$151)/AJ684+(MAX(AJ$154,AJ$158)*SUM(Datasheet!AJ1114,Datasheet!AJ1140,Datasheet!AJ1153,Datasheet!AJ1166)/SUM(Datasheet!AJ$1104,Datasheet!AJ$1130,Datasheet!AJ$1143,Datasheet!AJ$1156)*AJ$156)/AJ684+(Datasheet!AJ1365*AJ$169)/AJ684+AJ$171/12</f>
        <v>#DIV/0!</v>
      </c>
      <c r="AK186" s="69" t="e">
        <f>(SUM(Datasheet!AK1305,Datasheet!AK1318)*AK$146)/AK684+(SUM(Datasheet!AK1332,Datasheet!AK1345)*AK$151)/AK684+(MAX(AK$154,AK$158)*SUM(Datasheet!AK1114,Datasheet!AK1140,Datasheet!AK1153,Datasheet!AK1166)/SUM(Datasheet!AK$1104,Datasheet!AK$1130,Datasheet!AK$1143,Datasheet!AK$1156)*AK$156)/AK684+(Datasheet!AK1365*AK$169)/AK684+AK$171/12</f>
        <v>#DIV/0!</v>
      </c>
    </row>
    <row r="187" spans="1:37" s="69" customFormat="1" x14ac:dyDescent="0.25">
      <c r="E187" s="4" t="s">
        <v>254</v>
      </c>
      <c r="H187" s="69" t="s">
        <v>966</v>
      </c>
      <c r="Q187" s="69">
        <f>(SUM(Datasheet!Q1306,Datasheet!Q1319)*Q$146)/Q685+(SUM(Datasheet!Q1333,Datasheet!Q1346)*Q$151)/Q685+(MAX(Q$154,Q$158)*SUM(Datasheet!Q1115,Datasheet!Q1141,Datasheet!Q1154,Datasheet!Q1167)/SUM(Datasheet!Q$1104,Datasheet!Q$1130,Datasheet!Q$1143,Datasheet!Q$1156)*Q$156)/Q685+(Datasheet!Q1366*Q$169)/Q685+Q$171/12</f>
        <v>804.79441579552883</v>
      </c>
      <c r="R187" s="69">
        <f>(SUM(Datasheet!R1306,Datasheet!R1319)*R$146)/R685+(SUM(Datasheet!R1333,Datasheet!R1346)*R$151)/R685+(MAX(R$154,R$158)*SUM(Datasheet!R1115,Datasheet!R1141,Datasheet!R1154,Datasheet!R1167)/SUM(Datasheet!R$1104,Datasheet!R$1130,Datasheet!R$1143,Datasheet!R$1156)*R$156)/R685+(Datasheet!R1366*R$169)/R685+R$171/12</f>
        <v>768.15298261496082</v>
      </c>
      <c r="S187" s="69">
        <f>(SUM(Datasheet!S1306,Datasheet!S1319)*S$146)/S685+(SUM(Datasheet!S1333,Datasheet!S1346)*S$151)/S685+(MAX(S$154,S$158)*SUM(Datasheet!S1115,Datasheet!S1141,Datasheet!S1154,Datasheet!S1167)/SUM(Datasheet!S$1104,Datasheet!S$1130,Datasheet!S$1143,Datasheet!S$1156)*S$156)/S685+(Datasheet!S1366*S$169)/S685+S$171/12</f>
        <v>745.46931883232878</v>
      </c>
      <c r="T187" s="69">
        <f>(SUM(Datasheet!T1306,Datasheet!T1319)*T$146)/T685+(SUM(Datasheet!T1333,Datasheet!T1346)*T$151)/T685+(MAX(T$154,T$158)*SUM(Datasheet!T1115,Datasheet!T1141,Datasheet!T1154,Datasheet!T1167)/SUM(Datasheet!T$1104,Datasheet!T$1130,Datasheet!T$1143,Datasheet!T$1156)*T$156)/T685+(Datasheet!T1366*T$169)/T685+T$171/12</f>
        <v>752.58764210964182</v>
      </c>
      <c r="U187" s="69">
        <f>(SUM(Datasheet!U1306,Datasheet!U1319)*U$146)/U685+(SUM(Datasheet!U1333,Datasheet!U1346)*U$151)/U685+(MAX(U$154,U$158)*SUM(Datasheet!U1115,Datasheet!U1141,Datasheet!U1154,Datasheet!U1167)/SUM(Datasheet!U$1104,Datasheet!U$1130,Datasheet!U$1143,Datasheet!U$1156)*U$156)/U685+(Datasheet!U1366*U$169)/U685+U$171/12</f>
        <v>764.64294378947875</v>
      </c>
      <c r="V187" s="69">
        <f>(SUM(Datasheet!V1306,Datasheet!V1319)*V$146)/V685+(SUM(Datasheet!V1333,Datasheet!V1346)*V$151)/V685+(MAX(V$154,V$158)*SUM(Datasheet!V1115,Datasheet!V1141,Datasheet!V1154,Datasheet!V1167)/SUM(Datasheet!V$1104,Datasheet!V$1130,Datasheet!V$1143,Datasheet!V$1156)*V$156)/V685+(Datasheet!V1366*V$169)/V685+V$171/12</f>
        <v>801.68915432238612</v>
      </c>
      <c r="W187" s="69">
        <f>(SUM(Datasheet!W1306,Datasheet!W1319)*W$146)/W685+(SUM(Datasheet!W1333,Datasheet!W1346)*W$151)/W685+(MAX(W$154,W$158)*SUM(Datasheet!W1115,Datasheet!W1141,Datasheet!W1154,Datasheet!W1167)/SUM(Datasheet!W$1104,Datasheet!W$1130,Datasheet!W$1143,Datasheet!W$1156)*W$156)/W685+(Datasheet!W1366*W$169)/W685+W$171/12</f>
        <v>826.45982679590657</v>
      </c>
      <c r="X187" s="69">
        <f>(SUM(Datasheet!X1306,Datasheet!X1319)*X$146)/X685+(SUM(Datasheet!X1333,Datasheet!X1346)*X$151)/X685+(MAX(X$154,X$158)*SUM(Datasheet!X1115,Datasheet!X1141,Datasheet!X1154,Datasheet!X1167)/SUM(Datasheet!X$1104,Datasheet!X$1130,Datasheet!X$1143,Datasheet!X$1156)*X$156)/X685+(Datasheet!X1366*X$169)/X685+X$171/12</f>
        <v>894.71909082027241</v>
      </c>
      <c r="Y187" s="69">
        <f>(SUM(Datasheet!Y1306,Datasheet!Y1319)*Y$146)/Y685+(SUM(Datasheet!Y1333,Datasheet!Y1346)*Y$151)/Y685+(MAX(Y$154,Y$158)*SUM(Datasheet!Y1115,Datasheet!Y1141,Datasheet!Y1154,Datasheet!Y1167)/SUM(Datasheet!Y$1104,Datasheet!Y$1130,Datasheet!Y$1143,Datasheet!Y$1156)*Y$156)/Y685+(Datasheet!Y1366*Y$169)/Y685+Y$171/12</f>
        <v>929.83472328447215</v>
      </c>
      <c r="Z187" s="69">
        <f>(SUM(Datasheet!Z1306,Datasheet!Z1319)*Z$146)/Z685+(SUM(Datasheet!Z1333,Datasheet!Z1346)*Z$151)/Z685+(MAX(Z$154,Z$158)*SUM(Datasheet!Z1115,Datasheet!Z1141,Datasheet!Z1154,Datasheet!Z1167)/SUM(Datasheet!Z$1104,Datasheet!Z$1130,Datasheet!Z$1143,Datasheet!Z$1156)*Z$156)/Z685+(Datasheet!Z1366*Z$169)/Z685+Z$171/12</f>
        <v>947.07841302146755</v>
      </c>
      <c r="AA187" s="69">
        <f>(SUM(Datasheet!AA1306,Datasheet!AA1319)*AA$146)/AA685+(SUM(Datasheet!AA1333,Datasheet!AA1346)*AA$151)/AA685+(MAX(AA$154,AA$158)*SUM(Datasheet!AA1115,Datasheet!AA1141,Datasheet!AA1154,Datasheet!AA1167)/SUM(Datasheet!AA$1104,Datasheet!AA$1130,Datasheet!AA$1143,Datasheet!AA$1156)*AA$156)/AA685+(Datasheet!AA1366*AA$169)/AA685+AA$171/12</f>
        <v>839.1033688250817</v>
      </c>
      <c r="AB187" s="69">
        <f>(SUM(Datasheet!AB1306,Datasheet!AB1319)*AB$146)/AB685+(SUM(Datasheet!AB1333,Datasheet!AB1346)*AB$151)/AB685+(MAX(AB$154,AB$158)*SUM(Datasheet!AB1115,Datasheet!AB1141,Datasheet!AB1154,Datasheet!AB1167)/SUM(Datasheet!AB$1104,Datasheet!AB$1130,Datasheet!AB$1143,Datasheet!AB$1156)*AB$156)/AB685+(Datasheet!AB1366*AB$169)/AB685+AB$171/12</f>
        <v>996.33126890631502</v>
      </c>
      <c r="AC187" s="69">
        <f>(SUM(Datasheet!AC1306,Datasheet!AC1319)*AC$146)/AC685+(SUM(Datasheet!AC1333,Datasheet!AC1346)*AC$151)/AC685+(MAX(AC$154,AC$158)*SUM(Datasheet!AC1115,Datasheet!AC1141,Datasheet!AC1154,Datasheet!AC1167)/SUM(Datasheet!AC$1104,Datasheet!AC$1130,Datasheet!AC$1143,Datasheet!AC$1156)*AC$156)/AC685+(Datasheet!AC1366*AC$169)/AC685+AC$171/12</f>
        <v>906.31164945746002</v>
      </c>
      <c r="AD187" s="69" t="e">
        <f>(SUM(Datasheet!AD1306,Datasheet!AD1319)*AD$146)/AD685+(SUM(Datasheet!AD1333,Datasheet!AD1346)*AD$151)/AD685+(MAX(AD$154,AD$158)*SUM(Datasheet!AD1115,Datasheet!AD1141,Datasheet!AD1154,Datasheet!AD1167)/SUM(Datasheet!AD$1104,Datasheet!AD$1130,Datasheet!AD$1143,Datasheet!AD$1156)*AD$156)/AD685+(Datasheet!AD1366*AD$169)/AD685+AD$171/12</f>
        <v>#DIV/0!</v>
      </c>
      <c r="AE187" s="69" t="e">
        <f>(SUM(Datasheet!AE1306,Datasheet!AE1319)*AE$146)/AE685+(SUM(Datasheet!AE1333,Datasheet!AE1346)*AE$151)/AE685+(MAX(AE$154,AE$158)*SUM(Datasheet!AE1115,Datasheet!AE1141,Datasheet!AE1154,Datasheet!AE1167)/SUM(Datasheet!AE$1104,Datasheet!AE$1130,Datasheet!AE$1143,Datasheet!AE$1156)*AE$156)/AE685+(Datasheet!AE1366*AE$169)/AE685+AE$171/12</f>
        <v>#DIV/0!</v>
      </c>
      <c r="AF187" s="69" t="e">
        <f>(SUM(Datasheet!AF1306,Datasheet!AF1319)*AF$146)/AF685+(SUM(Datasheet!AF1333,Datasheet!AF1346)*AF$151)/AF685+(MAX(AF$154,AF$158)*SUM(Datasheet!AF1115,Datasheet!AF1141,Datasheet!AF1154,Datasheet!AF1167)/SUM(Datasheet!AF$1104,Datasheet!AF$1130,Datasheet!AF$1143,Datasheet!AF$1156)*AF$156)/AF685+(Datasheet!AF1366*AF$169)/AF685+AF$171/12</f>
        <v>#DIV/0!</v>
      </c>
      <c r="AG187" s="69" t="e">
        <f>(SUM(Datasheet!AG1306,Datasheet!AG1319)*AG$146)/AG685+(SUM(Datasheet!AG1333,Datasheet!AG1346)*AG$151)/AG685+(MAX(AG$154,AG$158)*SUM(Datasheet!AG1115,Datasheet!AG1141,Datasheet!AG1154,Datasheet!AG1167)/SUM(Datasheet!AG$1104,Datasheet!AG$1130,Datasheet!AG$1143,Datasheet!AG$1156)*AG$156)/AG685+(Datasheet!AG1366*AG$169)/AG685+AG$171/12</f>
        <v>#DIV/0!</v>
      </c>
      <c r="AH187" s="69" t="e">
        <f>(SUM(Datasheet!AH1306,Datasheet!AH1319)*AH$146)/AH685+(SUM(Datasheet!AH1333,Datasheet!AH1346)*AH$151)/AH685+(MAX(AH$154,AH$158)*SUM(Datasheet!AH1115,Datasheet!AH1141,Datasheet!AH1154,Datasheet!AH1167)/SUM(Datasheet!AH$1104,Datasheet!AH$1130,Datasheet!AH$1143,Datasheet!AH$1156)*AH$156)/AH685+(Datasheet!AH1366*AH$169)/AH685+AH$171/12</f>
        <v>#DIV/0!</v>
      </c>
      <c r="AI187" s="69" t="e">
        <f>(SUM(Datasheet!AI1306,Datasheet!AI1319)*AI$146)/AI685+(SUM(Datasheet!AI1333,Datasheet!AI1346)*AI$151)/AI685+(MAX(AI$154,AI$158)*SUM(Datasheet!AI1115,Datasheet!AI1141,Datasheet!AI1154,Datasheet!AI1167)/SUM(Datasheet!AI$1104,Datasheet!AI$1130,Datasheet!AI$1143,Datasheet!AI$1156)*AI$156)/AI685+(Datasheet!AI1366*AI$169)/AI685+AI$171/12</f>
        <v>#DIV/0!</v>
      </c>
      <c r="AJ187" s="69" t="e">
        <f>(SUM(Datasheet!AJ1306,Datasheet!AJ1319)*AJ$146)/AJ685+(SUM(Datasheet!AJ1333,Datasheet!AJ1346)*AJ$151)/AJ685+(MAX(AJ$154,AJ$158)*SUM(Datasheet!AJ1115,Datasheet!AJ1141,Datasheet!AJ1154,Datasheet!AJ1167)/SUM(Datasheet!AJ$1104,Datasheet!AJ$1130,Datasheet!AJ$1143,Datasheet!AJ$1156)*AJ$156)/AJ685+(Datasheet!AJ1366*AJ$169)/AJ685+AJ$171/12</f>
        <v>#DIV/0!</v>
      </c>
      <c r="AK187" s="69" t="e">
        <f>(SUM(Datasheet!AK1306,Datasheet!AK1319)*AK$146)/AK685+(SUM(Datasheet!AK1333,Datasheet!AK1346)*AK$151)/AK685+(MAX(AK$154,AK$158)*SUM(Datasheet!AK1115,Datasheet!AK1141,Datasheet!AK1154,Datasheet!AK1167)/SUM(Datasheet!AK$1104,Datasheet!AK$1130,Datasheet!AK$1143,Datasheet!AK$1156)*AK$156)/AK685+(Datasheet!AK1366*AK$169)/AK685+AK$171/12</f>
        <v>#DIV/0!</v>
      </c>
    </row>
    <row r="188" spans="1:37" s="69" customFormat="1" x14ac:dyDescent="0.25">
      <c r="E188" s="4" t="s">
        <v>255</v>
      </c>
      <c r="H188" s="69" t="s">
        <v>966</v>
      </c>
      <c r="Q188" s="69">
        <f>(SUM(Datasheet!Q1307,Datasheet!Q1320)*Q$146)/Q686+(SUM(Datasheet!Q1334,Datasheet!Q1347)*Q$151)/Q686+(MAX(Q$154,Q$158)*SUM(Datasheet!Q1116,Datasheet!Q1142,Datasheet!Q1155,Datasheet!Q1168)/SUM(Datasheet!Q$1104,Datasheet!Q$1130,Datasheet!Q$1143,Datasheet!Q$1156)*Q$156)/Q686+(Datasheet!Q1367*Q$169)/Q686+Q$171/12</f>
        <v>804.93810199703285</v>
      </c>
      <c r="R188" s="69">
        <f>(SUM(Datasheet!R1307,Datasheet!R1320)*R$146)/R686+(SUM(Datasheet!R1334,Datasheet!R1347)*R$151)/R686+(MAX(R$154,R$158)*SUM(Datasheet!R1116,Datasheet!R1142,Datasheet!R1155,Datasheet!R1168)/SUM(Datasheet!R$1104,Datasheet!R$1130,Datasheet!R$1143,Datasheet!R$1156)*R$156)/R686+(Datasheet!R1367*R$169)/R686+R$171/12</f>
        <v>768.28823732432716</v>
      </c>
      <c r="S188" s="69">
        <f>(SUM(Datasheet!S1307,Datasheet!S1320)*S$146)/S686+(SUM(Datasheet!S1334,Datasheet!S1347)*S$151)/S686+(MAX(S$154,S$158)*SUM(Datasheet!S1116,Datasheet!S1142,Datasheet!S1155,Datasheet!S1168)/SUM(Datasheet!S$1104,Datasheet!S$1130,Datasheet!S$1143,Datasheet!S$1156)*S$156)/S686+(Datasheet!S1367*S$169)/S686+S$171/12</f>
        <v>745.53245594585724</v>
      </c>
      <c r="T188" s="69">
        <f>(SUM(Datasheet!T1307,Datasheet!T1320)*T$146)/T686+(SUM(Datasheet!T1334,Datasheet!T1347)*T$151)/T686+(MAX(T$154,T$158)*SUM(Datasheet!T1116,Datasheet!T1142,Datasheet!T1155,Datasheet!T1168)/SUM(Datasheet!T$1104,Datasheet!T$1130,Datasheet!T$1143,Datasheet!T$1156)*T$156)/T686+(Datasheet!T1367*T$169)/T686+T$171/12</f>
        <v>752.65786371171362</v>
      </c>
      <c r="U188" s="69">
        <f>(SUM(Datasheet!U1307,Datasheet!U1320)*U$146)/U686+(SUM(Datasheet!U1334,Datasheet!U1347)*U$151)/U686+(MAX(U$154,U$158)*SUM(Datasheet!U1116,Datasheet!U1142,Datasheet!U1155,Datasheet!U1168)/SUM(Datasheet!U$1104,Datasheet!U$1130,Datasheet!U$1143,Datasheet!U$1156)*U$156)/U686+(Datasheet!U1367*U$169)/U686+U$171/12</f>
        <v>764.71254741569157</v>
      </c>
      <c r="V188" s="69">
        <f>(SUM(Datasheet!V1307,Datasheet!V1320)*V$146)/V686+(SUM(Datasheet!V1334,Datasheet!V1347)*V$151)/V686+(MAX(V$154,V$158)*SUM(Datasheet!V1116,Datasheet!V1142,Datasheet!V1155,Datasheet!V1168)/SUM(Datasheet!V$1104,Datasheet!V$1130,Datasheet!V$1143,Datasheet!V$1156)*V$156)/V686+(Datasheet!V1367*V$169)/V686+V$171/12</f>
        <v>801.81040123358753</v>
      </c>
      <c r="W188" s="69">
        <f>(SUM(Datasheet!W1307,Datasheet!W1320)*W$146)/W686+(SUM(Datasheet!W1334,Datasheet!W1347)*W$151)/W686+(MAX(W$154,W$158)*SUM(Datasheet!W1116,Datasheet!W1142,Datasheet!W1155,Datasheet!W1168)/SUM(Datasheet!W$1104,Datasheet!W$1130,Datasheet!W$1143,Datasheet!W$1156)*W$156)/W686+(Datasheet!W1367*W$169)/W686+W$171/12</f>
        <v>826.57560856200632</v>
      </c>
      <c r="X188" s="69">
        <f>(SUM(Datasheet!X1307,Datasheet!X1320)*X$146)/X686+(SUM(Datasheet!X1334,Datasheet!X1347)*X$151)/X686+(MAX(X$154,X$158)*SUM(Datasheet!X1116,Datasheet!X1142,Datasheet!X1155,Datasheet!X1168)/SUM(Datasheet!X$1104,Datasheet!X$1130,Datasheet!X$1143,Datasheet!X$1156)*X$156)/X686+(Datasheet!X1367*X$169)/X686+X$171/12</f>
        <v>894.77196810751241</v>
      </c>
      <c r="Y188" s="69">
        <f>(SUM(Datasheet!Y1307,Datasheet!Y1320)*Y$146)/Y686+(SUM(Datasheet!Y1334,Datasheet!Y1347)*Y$151)/Y686+(MAX(Y$154,Y$158)*SUM(Datasheet!Y1116,Datasheet!Y1142,Datasheet!Y1155,Datasheet!Y1168)/SUM(Datasheet!Y$1104,Datasheet!Y$1130,Datasheet!Y$1143,Datasheet!Y$1156)*Y$156)/Y686+(Datasheet!Y1367*Y$169)/Y686+Y$171/12</f>
        <v>929.88898578601788</v>
      </c>
      <c r="Z188" s="69">
        <f>(SUM(Datasheet!Z1307,Datasheet!Z1320)*Z$146)/Z686+(SUM(Datasheet!Z1334,Datasheet!Z1347)*Z$151)/Z686+(MAX(Z$154,Z$158)*SUM(Datasheet!Z1116,Datasheet!Z1142,Datasheet!Z1155,Datasheet!Z1168)/SUM(Datasheet!Z$1104,Datasheet!Z$1130,Datasheet!Z$1143,Datasheet!Z$1156)*Z$156)/Z686+(Datasheet!Z1367*Z$169)/Z686+Z$171/12</f>
        <v>947.14192241260832</v>
      </c>
      <c r="AA188" s="69">
        <f>(SUM(Datasheet!AA1307,Datasheet!AA1320)*AA$146)/AA686+(SUM(Datasheet!AA1334,Datasheet!AA1347)*AA$151)/AA686+(MAX(AA$154,AA$158)*SUM(Datasheet!AA1116,Datasheet!AA1142,Datasheet!AA1155,Datasheet!AA1168)/SUM(Datasheet!AA$1104,Datasheet!AA$1130,Datasheet!AA$1143,Datasheet!AA$1156)*AA$156)/AA686+(Datasheet!AA1367*AA$169)/AA686+AA$171/12</f>
        <v>839.24242389687981</v>
      </c>
      <c r="AB188" s="69">
        <f>(SUM(Datasheet!AB1307,Datasheet!AB1320)*AB$146)/AB686+(SUM(Datasheet!AB1334,Datasheet!AB1347)*AB$151)/AB686+(MAX(AB$154,AB$158)*SUM(Datasheet!AB1116,Datasheet!AB1142,Datasheet!AB1155,Datasheet!AB1168)/SUM(Datasheet!AB$1104,Datasheet!AB$1130,Datasheet!AB$1143,Datasheet!AB$1156)*AB$156)/AB686+(Datasheet!AB1367*AB$169)/AB686+AB$171/12</f>
        <v>996.39342418792933</v>
      </c>
      <c r="AC188" s="69">
        <f>(SUM(Datasheet!AC1307,Datasheet!AC1320)*AC$146)/AC686+(SUM(Datasheet!AC1334,Datasheet!AC1347)*AC$151)/AC686+(MAX(AC$154,AC$158)*SUM(Datasheet!AC1116,Datasheet!AC1142,Datasheet!AC1155,Datasheet!AC1168)/SUM(Datasheet!AC$1104,Datasheet!AC$1130,Datasheet!AC$1143,Datasheet!AC$1156)*AC$156)/AC686+(Datasheet!AC1367*AC$169)/AC686+AC$171/12</f>
        <v>906.43115925191591</v>
      </c>
      <c r="AD188" s="69" t="e">
        <f>(SUM(Datasheet!AD1307,Datasheet!AD1320)*AD$146)/AD686+(SUM(Datasheet!AD1334,Datasheet!AD1347)*AD$151)/AD686+(MAX(AD$154,AD$158)*SUM(Datasheet!AD1116,Datasheet!AD1142,Datasheet!AD1155,Datasheet!AD1168)/SUM(Datasheet!AD$1104,Datasheet!AD$1130,Datasheet!AD$1143,Datasheet!AD$1156)*AD$156)/AD686+(Datasheet!AD1367*AD$169)/AD686+AD$171/12</f>
        <v>#DIV/0!</v>
      </c>
      <c r="AE188" s="69" t="e">
        <f>(SUM(Datasheet!AE1307,Datasheet!AE1320)*AE$146)/AE686+(SUM(Datasheet!AE1334,Datasheet!AE1347)*AE$151)/AE686+(MAX(AE$154,AE$158)*SUM(Datasheet!AE1116,Datasheet!AE1142,Datasheet!AE1155,Datasheet!AE1168)/SUM(Datasheet!AE$1104,Datasheet!AE$1130,Datasheet!AE$1143,Datasheet!AE$1156)*AE$156)/AE686+(Datasheet!AE1367*AE$169)/AE686+AE$171/12</f>
        <v>#DIV/0!</v>
      </c>
      <c r="AF188" s="69" t="e">
        <f>(SUM(Datasheet!AF1307,Datasheet!AF1320)*AF$146)/AF686+(SUM(Datasheet!AF1334,Datasheet!AF1347)*AF$151)/AF686+(MAX(AF$154,AF$158)*SUM(Datasheet!AF1116,Datasheet!AF1142,Datasheet!AF1155,Datasheet!AF1168)/SUM(Datasheet!AF$1104,Datasheet!AF$1130,Datasheet!AF$1143,Datasheet!AF$1156)*AF$156)/AF686+(Datasheet!AF1367*AF$169)/AF686+AF$171/12</f>
        <v>#DIV/0!</v>
      </c>
      <c r="AG188" s="69" t="e">
        <f>(SUM(Datasheet!AG1307,Datasheet!AG1320)*AG$146)/AG686+(SUM(Datasheet!AG1334,Datasheet!AG1347)*AG$151)/AG686+(MAX(AG$154,AG$158)*SUM(Datasheet!AG1116,Datasheet!AG1142,Datasheet!AG1155,Datasheet!AG1168)/SUM(Datasheet!AG$1104,Datasheet!AG$1130,Datasheet!AG$1143,Datasheet!AG$1156)*AG$156)/AG686+(Datasheet!AG1367*AG$169)/AG686+AG$171/12</f>
        <v>#DIV/0!</v>
      </c>
      <c r="AH188" s="69" t="e">
        <f>(SUM(Datasheet!AH1307,Datasheet!AH1320)*AH$146)/AH686+(SUM(Datasheet!AH1334,Datasheet!AH1347)*AH$151)/AH686+(MAX(AH$154,AH$158)*SUM(Datasheet!AH1116,Datasheet!AH1142,Datasheet!AH1155,Datasheet!AH1168)/SUM(Datasheet!AH$1104,Datasheet!AH$1130,Datasheet!AH$1143,Datasheet!AH$1156)*AH$156)/AH686+(Datasheet!AH1367*AH$169)/AH686+AH$171/12</f>
        <v>#DIV/0!</v>
      </c>
      <c r="AI188" s="69" t="e">
        <f>(SUM(Datasheet!AI1307,Datasheet!AI1320)*AI$146)/AI686+(SUM(Datasheet!AI1334,Datasheet!AI1347)*AI$151)/AI686+(MAX(AI$154,AI$158)*SUM(Datasheet!AI1116,Datasheet!AI1142,Datasheet!AI1155,Datasheet!AI1168)/SUM(Datasheet!AI$1104,Datasheet!AI$1130,Datasheet!AI$1143,Datasheet!AI$1156)*AI$156)/AI686+(Datasheet!AI1367*AI$169)/AI686+AI$171/12</f>
        <v>#DIV/0!</v>
      </c>
      <c r="AJ188" s="69" t="e">
        <f>(SUM(Datasheet!AJ1307,Datasheet!AJ1320)*AJ$146)/AJ686+(SUM(Datasheet!AJ1334,Datasheet!AJ1347)*AJ$151)/AJ686+(MAX(AJ$154,AJ$158)*SUM(Datasheet!AJ1116,Datasheet!AJ1142,Datasheet!AJ1155,Datasheet!AJ1168)/SUM(Datasheet!AJ$1104,Datasheet!AJ$1130,Datasheet!AJ$1143,Datasheet!AJ$1156)*AJ$156)/AJ686+(Datasheet!AJ1367*AJ$169)/AJ686+AJ$171/12</f>
        <v>#DIV/0!</v>
      </c>
      <c r="AK188" s="69" t="e">
        <f>(SUM(Datasheet!AK1307,Datasheet!AK1320)*AK$146)/AK686+(SUM(Datasheet!AK1334,Datasheet!AK1347)*AK$151)/AK686+(MAX(AK$154,AK$158)*SUM(Datasheet!AK1116,Datasheet!AK1142,Datasheet!AK1155,Datasheet!AK1168)/SUM(Datasheet!AK$1104,Datasheet!AK$1130,Datasheet!AK$1143,Datasheet!AK$1156)*AK$156)/AK686+(Datasheet!AK1367*AK$169)/AK686+AK$171/12</f>
        <v>#DIV/0!</v>
      </c>
    </row>
    <row r="189" spans="1:37" s="66" customFormat="1" x14ac:dyDescent="0.25">
      <c r="B189" s="67"/>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row>
    <row r="190" spans="1:37" s="55" customFormat="1" ht="17.25" x14ac:dyDescent="0.3">
      <c r="A190" s="55" t="s">
        <v>773</v>
      </c>
    </row>
    <row r="191" spans="1:37" x14ac:dyDescent="0.25">
      <c r="B191" s="29" t="s">
        <v>877</v>
      </c>
      <c r="C191" t="s">
        <v>754</v>
      </c>
    </row>
    <row r="192" spans="1:37" x14ac:dyDescent="0.25">
      <c r="B192" s="29" t="s">
        <v>879</v>
      </c>
      <c r="C192" t="s">
        <v>967</v>
      </c>
    </row>
    <row r="193" spans="2:37" x14ac:dyDescent="0.25">
      <c r="B193" s="29" t="s">
        <v>881</v>
      </c>
      <c r="C193" t="s">
        <v>968</v>
      </c>
    </row>
    <row r="194" spans="2:37" x14ac:dyDescent="0.25">
      <c r="B194" s="29" t="s">
        <v>883</v>
      </c>
      <c r="C194" s="263" t="s">
        <v>73</v>
      </c>
    </row>
    <row r="195" spans="2:37" x14ac:dyDescent="0.25">
      <c r="B195" s="29" t="s">
        <v>885</v>
      </c>
      <c r="C195" t="s">
        <v>969</v>
      </c>
    </row>
    <row r="196" spans="2:37" x14ac:dyDescent="0.25">
      <c r="B196" s="29" t="s">
        <v>886</v>
      </c>
      <c r="C196" t="s">
        <v>970</v>
      </c>
    </row>
    <row r="197" spans="2:37" x14ac:dyDescent="0.25">
      <c r="B197" s="29" t="s">
        <v>887</v>
      </c>
      <c r="C197" t="s">
        <v>971</v>
      </c>
    </row>
    <row r="198" spans="2:37" x14ac:dyDescent="0.25">
      <c r="B198" s="29"/>
      <c r="C198" t="s">
        <v>972</v>
      </c>
    </row>
    <row r="199" spans="2:37" s="57" customFormat="1" ht="15.75" thickBot="1" x14ac:dyDescent="0.3">
      <c r="B199" s="58" t="s">
        <v>19</v>
      </c>
      <c r="C199" s="57" t="s">
        <v>973</v>
      </c>
    </row>
    <row r="200" spans="2:37" s="4" customFormat="1" ht="15.75" thickTop="1" x14ac:dyDescent="0.25">
      <c r="B200" s="44"/>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row>
    <row r="201" spans="2:37" s="4" customFormat="1" x14ac:dyDescent="0.25">
      <c r="B201" s="44"/>
      <c r="I201" s="59"/>
      <c r="J201" s="59"/>
      <c r="K201" s="59"/>
      <c r="L201" s="59"/>
      <c r="M201" s="59"/>
      <c r="N201" s="59"/>
      <c r="O201" s="59"/>
      <c r="P201" s="59"/>
      <c r="Q201" s="59"/>
      <c r="R201" s="59"/>
      <c r="S201" s="59"/>
      <c r="T201" s="59"/>
      <c r="U201" s="59"/>
      <c r="V201" s="59"/>
      <c r="W201" s="59"/>
      <c r="X201" s="59"/>
      <c r="Y201" s="59"/>
      <c r="Z201" s="59"/>
      <c r="AA201" s="59"/>
      <c r="AB201" s="59"/>
      <c r="AC201" s="59"/>
      <c r="AD201" s="59"/>
      <c r="AE201" s="59"/>
      <c r="AF201" s="59"/>
      <c r="AG201" s="59"/>
      <c r="AH201" s="59"/>
      <c r="AI201" s="59"/>
      <c r="AJ201" s="59"/>
      <c r="AK201" s="59"/>
    </row>
    <row r="202" spans="2:37" s="4" customFormat="1" x14ac:dyDescent="0.25">
      <c r="B202" s="44"/>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row>
    <row r="203" spans="2:37" s="4" customFormat="1" x14ac:dyDescent="0.25">
      <c r="B203" s="44"/>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row>
    <row r="204" spans="2:37" s="4" customFormat="1" x14ac:dyDescent="0.25">
      <c r="B204" s="44"/>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row>
    <row r="205" spans="2:37" s="4" customFormat="1" x14ac:dyDescent="0.25">
      <c r="B205" s="44"/>
      <c r="I205" s="59"/>
      <c r="J205" s="59"/>
      <c r="K205" s="59"/>
      <c r="L205" s="59"/>
      <c r="M205" s="59"/>
      <c r="N205" s="59"/>
      <c r="O205" s="59"/>
      <c r="P205" s="59"/>
      <c r="Q205" s="59"/>
      <c r="R205" s="59"/>
      <c r="S205" s="59"/>
      <c r="T205" s="59"/>
      <c r="U205" s="59"/>
      <c r="V205" s="59"/>
      <c r="W205" s="59"/>
      <c r="X205" s="59"/>
      <c r="Y205" s="59"/>
      <c r="Z205" s="59"/>
      <c r="AA205" s="59"/>
      <c r="AB205" s="59"/>
      <c r="AC205" s="59"/>
      <c r="AD205" s="59"/>
      <c r="AE205" s="59"/>
      <c r="AF205" s="59"/>
      <c r="AG205" s="59"/>
      <c r="AH205" s="59"/>
      <c r="AI205" s="59"/>
      <c r="AJ205" s="59"/>
      <c r="AK205" s="59"/>
    </row>
    <row r="206" spans="2:37" s="4" customFormat="1" x14ac:dyDescent="0.25">
      <c r="B206" s="44"/>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row>
    <row r="207" spans="2:37" s="4" customFormat="1" x14ac:dyDescent="0.25">
      <c r="B207" s="44"/>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row>
    <row r="208" spans="2:37" s="4" customFormat="1" x14ac:dyDescent="0.25">
      <c r="B208" s="44"/>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row>
    <row r="209" spans="1:37" s="4" customFormat="1" x14ac:dyDescent="0.25">
      <c r="B209" s="44"/>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row>
    <row r="210" spans="1:37" s="4" customFormat="1" x14ac:dyDescent="0.25">
      <c r="B210" s="44"/>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row>
    <row r="211" spans="1:37" s="4" customFormat="1" x14ac:dyDescent="0.25">
      <c r="B211" s="44"/>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row>
    <row r="212" spans="1:37" s="4" customFormat="1" x14ac:dyDescent="0.25">
      <c r="B212" s="44"/>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row>
    <row r="213" spans="1:37" s="4" customFormat="1" x14ac:dyDescent="0.25">
      <c r="B213" s="44"/>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row>
    <row r="214" spans="1:37" s="4" customFormat="1" x14ac:dyDescent="0.25">
      <c r="B214" s="44"/>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row>
    <row r="215" spans="1:37" s="4" customFormat="1" x14ac:dyDescent="0.25">
      <c r="B215" s="44" t="s">
        <v>21</v>
      </c>
      <c r="C215" s="4" t="s">
        <v>974</v>
      </c>
      <c r="H215" s="4" t="s">
        <v>975</v>
      </c>
      <c r="I215" s="60">
        <f>Datasheet!I164/Datasheet!I148</f>
        <v>0.45161290322580644</v>
      </c>
      <c r="J215" s="60">
        <f>Datasheet!J164/Datasheet!J148</f>
        <v>0.26203208556149732</v>
      </c>
      <c r="K215" s="60">
        <f>Datasheet!K164/Datasheet!K148</f>
        <v>0.39875389408099687</v>
      </c>
      <c r="L215" s="60">
        <f>Datasheet!L164/Datasheet!L148</f>
        <v>0.48717948717948717</v>
      </c>
      <c r="M215" s="60">
        <f>Datasheet!M164/Datasheet!M148</f>
        <v>0.42412451361867703</v>
      </c>
      <c r="N215" s="60">
        <f>Datasheet!N164/Datasheet!N148</f>
        <v>0.52409638554216864</v>
      </c>
      <c r="O215" s="60">
        <f>Datasheet!O164/Datasheet!O148</f>
        <v>0.48484848484848486</v>
      </c>
      <c r="P215" s="60">
        <f>Datasheet!P164/Datasheet!P148</f>
        <v>0.44751381215469616</v>
      </c>
      <c r="Q215" s="60">
        <f>Datasheet!Q164/Datasheet!Q148</f>
        <v>0.5117647058823529</v>
      </c>
      <c r="R215" s="60">
        <f>Datasheet!R164/Datasheet!R148</f>
        <v>0.6029411764705882</v>
      </c>
      <c r="S215" s="60">
        <f>Datasheet!S164/Datasheet!S148</f>
        <v>0.46969696969696972</v>
      </c>
      <c r="T215" s="60">
        <f>Datasheet!T164/Datasheet!T148</f>
        <v>0.44444444444444442</v>
      </c>
      <c r="U215" s="60">
        <f>Datasheet!U164/Datasheet!U148</f>
        <v>0.43396226415094341</v>
      </c>
      <c r="V215" s="60">
        <f>Datasheet!V164/Datasheet!V148</f>
        <v>0.38582677165354329</v>
      </c>
      <c r="W215" s="60">
        <f>Datasheet!W164/Datasheet!W148</f>
        <v>0.39849624060150374</v>
      </c>
      <c r="X215" s="60">
        <f>Datasheet!X164/Datasheet!X148</f>
        <v>0.62790697674418605</v>
      </c>
      <c r="Y215" s="60">
        <f>Datasheet!Y164/Datasheet!Y148</f>
        <v>0.3045977011494253</v>
      </c>
      <c r="Z215" s="60">
        <f>Datasheet!Z164/Datasheet!Z148</f>
        <v>0.36776859504132231</v>
      </c>
      <c r="AA215" s="60">
        <f>Datasheet!AA164/Datasheet!AA148</f>
        <v>0.23404255319148937</v>
      </c>
      <c r="AB215" s="60">
        <f>Datasheet!AB164/Datasheet!AB148</f>
        <v>0.25321888412017168</v>
      </c>
      <c r="AC215" s="60">
        <f>Datasheet!AC164/Datasheet!AC148</f>
        <v>0.52586206896551724</v>
      </c>
      <c r="AD215" s="60">
        <f>Datasheet!AD164/Datasheet!AD148</f>
        <v>1</v>
      </c>
      <c r="AE215" s="60" t="e">
        <f>Datasheet!AE164/Datasheet!AE148</f>
        <v>#DIV/0!</v>
      </c>
      <c r="AF215" s="60" t="e">
        <f>Datasheet!AF164/Datasheet!AF148</f>
        <v>#DIV/0!</v>
      </c>
      <c r="AG215" s="60" t="e">
        <f>Datasheet!AG164/Datasheet!AG148</f>
        <v>#DIV/0!</v>
      </c>
      <c r="AH215" s="60" t="e">
        <f>Datasheet!AH164/Datasheet!AH148</f>
        <v>#DIV/0!</v>
      </c>
      <c r="AI215" s="60" t="e">
        <f>Datasheet!AI164/Datasheet!AI148</f>
        <v>#DIV/0!</v>
      </c>
      <c r="AJ215" s="60" t="e">
        <f>Datasheet!AJ164/Datasheet!AJ148</f>
        <v>#DIV/0!</v>
      </c>
      <c r="AK215" s="60" t="e">
        <f>Datasheet!AK164/Datasheet!AK148</f>
        <v>#DIV/0!</v>
      </c>
    </row>
    <row r="216" spans="1:37" s="4" customFormat="1" x14ac:dyDescent="0.25">
      <c r="B216" s="44"/>
      <c r="C216" s="4" t="s">
        <v>976</v>
      </c>
      <c r="H216" s="4" t="s">
        <v>975</v>
      </c>
      <c r="I216" s="60">
        <f>Datasheet!I149/Datasheet!I148</f>
        <v>0.54838709677419351</v>
      </c>
      <c r="J216" s="60">
        <f>Datasheet!J149/Datasheet!J148</f>
        <v>0.73796791443850263</v>
      </c>
      <c r="K216" s="60">
        <f>Datasheet!K149/Datasheet!K148</f>
        <v>0.60124610591900307</v>
      </c>
      <c r="L216" s="60">
        <f>Datasheet!L149/Datasheet!L148</f>
        <v>0.51282051282051277</v>
      </c>
      <c r="M216" s="60">
        <f>Datasheet!M149/Datasheet!M148</f>
        <v>0.57587548638132291</v>
      </c>
      <c r="N216" s="60">
        <f>Datasheet!N149/Datasheet!N148</f>
        <v>0.4759036144578313</v>
      </c>
      <c r="O216" s="60">
        <f>Datasheet!O149/Datasheet!O148</f>
        <v>0.51515151515151514</v>
      </c>
      <c r="P216" s="60">
        <f>Datasheet!P149/Datasheet!P148</f>
        <v>0.5524861878453039</v>
      </c>
      <c r="Q216" s="60">
        <f>Datasheet!Q149/Datasheet!Q148</f>
        <v>0.48823529411764705</v>
      </c>
      <c r="R216" s="60">
        <f>Datasheet!R149/Datasheet!R148</f>
        <v>0.39705882352941174</v>
      </c>
      <c r="S216" s="60">
        <f>Datasheet!S149/Datasheet!S148</f>
        <v>0.53030303030303028</v>
      </c>
      <c r="T216" s="60">
        <f>Datasheet!T149/Datasheet!T148</f>
        <v>0.55555555555555558</v>
      </c>
      <c r="U216" s="60">
        <f>Datasheet!U149/Datasheet!U148</f>
        <v>0.56603773584905659</v>
      </c>
      <c r="V216" s="60">
        <f>Datasheet!V149/Datasheet!V148</f>
        <v>0.61417322834645671</v>
      </c>
      <c r="W216" s="60">
        <f>Datasheet!W149/Datasheet!W148</f>
        <v>0.60150375939849621</v>
      </c>
      <c r="X216" s="60">
        <f>Datasheet!X149/Datasheet!X148</f>
        <v>0.37209302325581395</v>
      </c>
      <c r="Y216" s="60">
        <f>Datasheet!Y149/Datasheet!Y148</f>
        <v>0.6954022988505747</v>
      </c>
      <c r="Z216" s="60">
        <f>Datasheet!Z149/Datasheet!Z148</f>
        <v>0.63223140495867769</v>
      </c>
      <c r="AA216" s="60">
        <f>Datasheet!AA149/Datasheet!AA148</f>
        <v>0.76595744680851063</v>
      </c>
      <c r="AB216" s="60">
        <f>Datasheet!AB149/Datasheet!AB148</f>
        <v>0.74678111587982832</v>
      </c>
      <c r="AC216" s="60">
        <f>Datasheet!AC149/Datasheet!AC148</f>
        <v>0.47413793103448276</v>
      </c>
      <c r="AD216" s="60">
        <f>Datasheet!AD149/Datasheet!AD148</f>
        <v>0</v>
      </c>
      <c r="AE216" s="60" t="e">
        <f>Datasheet!AE149/Datasheet!AE148</f>
        <v>#DIV/0!</v>
      </c>
      <c r="AF216" s="60" t="e">
        <f>Datasheet!AF149/Datasheet!AF148</f>
        <v>#DIV/0!</v>
      </c>
      <c r="AG216" s="60" t="e">
        <f>Datasheet!AG149/Datasheet!AG148</f>
        <v>#DIV/0!</v>
      </c>
      <c r="AH216" s="60" t="e">
        <f>Datasheet!AH149/Datasheet!AH148</f>
        <v>#DIV/0!</v>
      </c>
      <c r="AI216" s="60" t="e">
        <f>Datasheet!AI149/Datasheet!AI148</f>
        <v>#DIV/0!</v>
      </c>
      <c r="AJ216" s="60" t="e">
        <f>Datasheet!AJ149/Datasheet!AJ148</f>
        <v>#DIV/0!</v>
      </c>
      <c r="AK216" s="60" t="e">
        <f>Datasheet!AK149/Datasheet!AK148</f>
        <v>#DIV/0!</v>
      </c>
    </row>
    <row r="217" spans="1:37" s="4" customFormat="1" x14ac:dyDescent="0.25">
      <c r="B217" s="44"/>
      <c r="C217" s="4" t="s">
        <v>977</v>
      </c>
      <c r="H217" s="4" t="s">
        <v>23</v>
      </c>
      <c r="I217" s="59">
        <f>Datasheet!I148</f>
        <v>62</v>
      </c>
      <c r="J217" s="59">
        <f>Datasheet!J148</f>
        <v>187</v>
      </c>
      <c r="K217" s="59">
        <f>Datasheet!K148</f>
        <v>321</v>
      </c>
      <c r="L217" s="59">
        <f>Datasheet!L148</f>
        <v>156</v>
      </c>
      <c r="M217" s="59">
        <f>Datasheet!M148</f>
        <v>257</v>
      </c>
      <c r="N217" s="59">
        <f>Datasheet!N148</f>
        <v>166</v>
      </c>
      <c r="O217" s="59">
        <f>Datasheet!O148</f>
        <v>165</v>
      </c>
      <c r="P217" s="59">
        <f>Datasheet!P148</f>
        <v>181</v>
      </c>
      <c r="Q217" s="59">
        <f>Datasheet!Q148</f>
        <v>170</v>
      </c>
      <c r="R217" s="59">
        <f>Datasheet!R148</f>
        <v>68</v>
      </c>
      <c r="S217" s="59">
        <f>Datasheet!S148</f>
        <v>66</v>
      </c>
      <c r="T217" s="59">
        <f>Datasheet!T148</f>
        <v>63</v>
      </c>
      <c r="U217" s="59">
        <f>Datasheet!U148</f>
        <v>106</v>
      </c>
      <c r="V217" s="59">
        <f>Datasheet!V148</f>
        <v>127</v>
      </c>
      <c r="W217" s="59">
        <f>Datasheet!W148</f>
        <v>133</v>
      </c>
      <c r="X217" s="59">
        <f>Datasheet!X148</f>
        <v>86</v>
      </c>
      <c r="Y217" s="59">
        <f>Datasheet!Y148</f>
        <v>174</v>
      </c>
      <c r="Z217" s="59">
        <f>Datasheet!Z148</f>
        <v>242</v>
      </c>
      <c r="AA217" s="59">
        <f>Datasheet!AA148</f>
        <v>235</v>
      </c>
      <c r="AB217" s="59">
        <f>Datasheet!AB148</f>
        <v>233</v>
      </c>
      <c r="AC217" s="59">
        <f>Datasheet!AC148</f>
        <v>116</v>
      </c>
      <c r="AD217" s="59">
        <f>Datasheet!AD148</f>
        <v>-1</v>
      </c>
      <c r="AE217" s="59">
        <f>Datasheet!AE148</f>
        <v>0</v>
      </c>
      <c r="AF217" s="59">
        <f>Datasheet!AF148</f>
        <v>0</v>
      </c>
      <c r="AG217" s="59">
        <f>Datasheet!AG148</f>
        <v>0</v>
      </c>
      <c r="AH217" s="59">
        <f>Datasheet!AH148</f>
        <v>0</v>
      </c>
      <c r="AI217" s="59">
        <f>Datasheet!AI148</f>
        <v>0</v>
      </c>
      <c r="AJ217" s="59">
        <f>Datasheet!AJ148</f>
        <v>0</v>
      </c>
      <c r="AK217" s="59">
        <f>Datasheet!AK148</f>
        <v>0</v>
      </c>
    </row>
    <row r="218" spans="1:37" s="66" customFormat="1" x14ac:dyDescent="0.25">
      <c r="B218" s="67"/>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row>
    <row r="219" spans="1:37" s="55" customFormat="1" ht="17.25" x14ac:dyDescent="0.3">
      <c r="A219" s="55" t="s">
        <v>12</v>
      </c>
    </row>
    <row r="220" spans="1:37" x14ac:dyDescent="0.25">
      <c r="B220" s="29" t="s">
        <v>877</v>
      </c>
      <c r="C220" t="s">
        <v>754</v>
      </c>
    </row>
    <row r="221" spans="1:37" x14ac:dyDescent="0.25">
      <c r="B221" s="29" t="s">
        <v>879</v>
      </c>
      <c r="C221" t="s">
        <v>978</v>
      </c>
    </row>
    <row r="222" spans="1:37" x14ac:dyDescent="0.25">
      <c r="B222" s="29" t="s">
        <v>881</v>
      </c>
      <c r="C222" t="s">
        <v>968</v>
      </c>
    </row>
    <row r="223" spans="1:37" x14ac:dyDescent="0.25">
      <c r="B223" s="29" t="s">
        <v>883</v>
      </c>
      <c r="C223" s="263" t="s">
        <v>2</v>
      </c>
    </row>
    <row r="224" spans="1:37" x14ac:dyDescent="0.25">
      <c r="B224" s="29"/>
      <c r="C224" s="263" t="s">
        <v>73</v>
      </c>
    </row>
    <row r="225" spans="2:37" x14ac:dyDescent="0.25">
      <c r="B225" s="29" t="s">
        <v>885</v>
      </c>
      <c r="C225" t="s">
        <v>979</v>
      </c>
    </row>
    <row r="226" spans="2:37" x14ac:dyDescent="0.25">
      <c r="B226" s="29" t="s">
        <v>886</v>
      </c>
      <c r="C226" t="s">
        <v>980</v>
      </c>
    </row>
    <row r="227" spans="2:37" x14ac:dyDescent="0.25">
      <c r="B227" s="29"/>
      <c r="C227" t="s">
        <v>981</v>
      </c>
    </row>
    <row r="228" spans="2:37" x14ac:dyDescent="0.25">
      <c r="B228" s="29"/>
      <c r="C228" t="s">
        <v>982</v>
      </c>
    </row>
    <row r="229" spans="2:37" x14ac:dyDescent="0.25">
      <c r="B229" s="29" t="s">
        <v>887</v>
      </c>
      <c r="C229" t="s">
        <v>983</v>
      </c>
    </row>
    <row r="230" spans="2:37" x14ac:dyDescent="0.25">
      <c r="B230" s="29"/>
      <c r="C230" t="s">
        <v>984</v>
      </c>
    </row>
    <row r="231" spans="2:37" x14ac:dyDescent="0.25">
      <c r="B231" s="29" t="s">
        <v>19</v>
      </c>
      <c r="C231" t="s">
        <v>985</v>
      </c>
    </row>
    <row r="232" spans="2:37" x14ac:dyDescent="0.25">
      <c r="B232" s="29"/>
      <c r="C232" t="s">
        <v>986</v>
      </c>
    </row>
    <row r="233" spans="2:37" s="57" customFormat="1" ht="15.75" thickBot="1" x14ac:dyDescent="0.3">
      <c r="C233" s="57" t="s">
        <v>987</v>
      </c>
    </row>
    <row r="234" spans="2:37" s="4" customFormat="1" ht="15.75" thickTop="1" x14ac:dyDescent="0.25">
      <c r="B234" s="44"/>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row>
    <row r="235" spans="2:37" s="4" customFormat="1" x14ac:dyDescent="0.25">
      <c r="B235" s="44"/>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row>
    <row r="236" spans="2:37" s="4" customFormat="1" x14ac:dyDescent="0.25">
      <c r="B236" s="44"/>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row>
    <row r="237" spans="2:37" s="4" customFormat="1" x14ac:dyDescent="0.25">
      <c r="B237" s="44"/>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row>
    <row r="238" spans="2:37" s="4" customFormat="1" x14ac:dyDescent="0.25">
      <c r="B238" s="44"/>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row>
    <row r="239" spans="2:37" s="4" customFormat="1" x14ac:dyDescent="0.25">
      <c r="B239" s="44"/>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row>
    <row r="240" spans="2:37" s="4" customFormat="1" x14ac:dyDescent="0.25">
      <c r="B240" s="44"/>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row>
    <row r="241" spans="1:37" s="4" customFormat="1" x14ac:dyDescent="0.25">
      <c r="B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row>
    <row r="242" spans="1:37" s="4" customFormat="1" x14ac:dyDescent="0.25">
      <c r="B242" s="44"/>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row>
    <row r="243" spans="1:37" s="4" customFormat="1" x14ac:dyDescent="0.25">
      <c r="B243" s="44"/>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row>
    <row r="244" spans="1:37" s="4" customFormat="1" x14ac:dyDescent="0.25">
      <c r="B244" s="44"/>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row>
    <row r="245" spans="1:37" s="4" customFormat="1" x14ac:dyDescent="0.25">
      <c r="B245" s="44"/>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row>
    <row r="246" spans="1:37" s="4" customFormat="1" x14ac:dyDescent="0.25">
      <c r="B246" s="44"/>
      <c r="I246" s="59"/>
      <c r="J246" s="59"/>
      <c r="K246" s="59"/>
      <c r="L246" s="59"/>
      <c r="M246" s="59"/>
      <c r="N246" s="59"/>
      <c r="O246" s="59"/>
      <c r="P246" s="59"/>
      <c r="Q246" s="59"/>
      <c r="R246" s="59"/>
      <c r="S246" s="59"/>
      <c r="T246" s="59"/>
      <c r="U246" s="59"/>
      <c r="V246" s="59"/>
      <c r="W246" s="59"/>
      <c r="X246" s="59"/>
      <c r="Y246" s="59"/>
      <c r="Z246" s="59"/>
      <c r="AA246" s="59"/>
      <c r="AB246" s="59"/>
      <c r="AC246" s="59"/>
      <c r="AD246" s="59"/>
      <c r="AE246" s="59"/>
      <c r="AF246" s="59"/>
      <c r="AG246" s="59"/>
      <c r="AH246" s="59"/>
      <c r="AI246" s="59"/>
      <c r="AJ246" s="59"/>
      <c r="AK246" s="59"/>
    </row>
    <row r="247" spans="1:37" s="4" customFormat="1" x14ac:dyDescent="0.25">
      <c r="B247" s="44"/>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row>
    <row r="248" spans="1:37" s="4" customFormat="1" x14ac:dyDescent="0.25">
      <c r="B248" s="44"/>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row>
    <row r="249" spans="1:37" s="4" customFormat="1" x14ac:dyDescent="0.25">
      <c r="B249" s="44" t="s">
        <v>21</v>
      </c>
      <c r="C249" s="4" t="s">
        <v>988</v>
      </c>
      <c r="H249" s="4" t="s">
        <v>23</v>
      </c>
      <c r="I249" s="69"/>
      <c r="J249" s="69"/>
      <c r="K249" s="69"/>
      <c r="L249" s="69"/>
      <c r="M249" s="69">
        <f>N249+Datasheet!N164-SUM(Datasheet!N21,Datasheet!N24,Datasheet!N27)</f>
        <v>6861</v>
      </c>
      <c r="N249" s="69">
        <f>O249+Datasheet!O164-SUM(Datasheet!O21,Datasheet!O24,Datasheet!O27)</f>
        <v>6684</v>
      </c>
      <c r="O249" s="69">
        <f>P249+Datasheet!P164-SUM(Datasheet!P21,Datasheet!P24,Datasheet!P27)</f>
        <v>6598</v>
      </c>
      <c r="P249" s="69">
        <f>Q249+Datasheet!Q164-SUM(Datasheet!Q21,Datasheet!Q24,Datasheet!Q27)</f>
        <v>6515</v>
      </c>
      <c r="Q249" s="69">
        <f>R249+Datasheet!R164-SUM(Datasheet!R21,Datasheet!R24,Datasheet!R27)</f>
        <v>6427</v>
      </c>
      <c r="R249" s="69">
        <v>6385</v>
      </c>
      <c r="S249" s="69">
        <f>R249-Datasheet!S164+SUM(Datasheet!S21,Datasheet!S24,Datasheet!S27)</f>
        <v>6322</v>
      </c>
      <c r="T249" s="69">
        <f>S249-Datasheet!T164+SUM(Datasheet!T21,Datasheet!T24,Datasheet!T27)</f>
        <v>6282</v>
      </c>
      <c r="U249" s="69">
        <f>T249-Datasheet!U164+SUM(Datasheet!U21,Datasheet!U24,Datasheet!U27)</f>
        <v>6222</v>
      </c>
      <c r="V249" s="69">
        <f>U249-Datasheet!V164+SUM(Datasheet!V21,Datasheet!V24,Datasheet!V27)</f>
        <v>3722</v>
      </c>
      <c r="W249" s="69">
        <f>V249-Datasheet!W164+SUM(Datasheet!W21,Datasheet!W24,Datasheet!W27)</f>
        <v>3625.8</v>
      </c>
      <c r="X249" s="69">
        <f>W249-Datasheet!X164+SUM(Datasheet!X21,Datasheet!X24,Datasheet!X27)</f>
        <v>3569.8</v>
      </c>
      <c r="Y249" s="69">
        <f>X249-Datasheet!Y164+SUM(Datasheet!Y21,Datasheet!Y24,Datasheet!Y27)</f>
        <v>3510.8</v>
      </c>
      <c r="Z249" s="69">
        <f>Y249-Datasheet!Z164+SUM(Datasheet!Z21,Datasheet!Z24,Datasheet!Z27)</f>
        <v>3421.8</v>
      </c>
      <c r="AA249" s="69">
        <f>Z249-Datasheet!AA164+SUM(Datasheet!AA21,Datasheet!AA24,Datasheet!AA27)</f>
        <v>3364.8</v>
      </c>
      <c r="AB249" s="69">
        <f>AA249-Datasheet!AB164+SUM(Datasheet!AB21,Datasheet!AB24,Datasheet!AB27)</f>
        <v>3307.8</v>
      </c>
      <c r="AC249" s="69">
        <f>AB249-Datasheet!AC164+SUM(Datasheet!AC21,Datasheet!AC24,Datasheet!AC27)</f>
        <v>3270.8</v>
      </c>
      <c r="AD249" s="69">
        <f>AC249-Datasheet!AD164+SUM(Datasheet!AD21,Datasheet!AD24,Datasheet!AD27)</f>
        <v>3271.8</v>
      </c>
      <c r="AE249" s="69">
        <f>AD249-Datasheet!AE164+SUM(Datasheet!AE21,Datasheet!AE24,Datasheet!AE27)</f>
        <v>3271.8</v>
      </c>
      <c r="AF249" s="69">
        <f>AE249-Datasheet!AF164+SUM(Datasheet!AF21,Datasheet!AF24,Datasheet!AF27)</f>
        <v>3271.8</v>
      </c>
      <c r="AG249" s="69">
        <f>AF249-Datasheet!AG164+SUM(Datasheet!AG21,Datasheet!AG24,Datasheet!AG27)</f>
        <v>3271.8</v>
      </c>
      <c r="AH249" s="69">
        <f>AG249-Datasheet!AH164+SUM(Datasheet!AH21,Datasheet!AH24,Datasheet!AH27)</f>
        <v>3271.8</v>
      </c>
      <c r="AI249" s="69">
        <f>AH249-Datasheet!AI164+SUM(Datasheet!AI21,Datasheet!AI24,Datasheet!AI27)</f>
        <v>3271.8</v>
      </c>
      <c r="AJ249" s="69">
        <f>AI249-Datasheet!AJ164+SUM(Datasheet!AJ21,Datasheet!AJ24,Datasheet!AJ27)</f>
        <v>3271.8</v>
      </c>
      <c r="AK249" s="69">
        <f>AJ249-Datasheet!AK164+SUM(Datasheet!AK21,Datasheet!AK24,Datasheet!AK27)</f>
        <v>3271.8</v>
      </c>
    </row>
    <row r="250" spans="1:37" s="4" customFormat="1" x14ac:dyDescent="0.25">
      <c r="B250" s="44"/>
      <c r="C250" s="4" t="s">
        <v>989</v>
      </c>
      <c r="H250" s="4" t="s">
        <v>23</v>
      </c>
      <c r="I250" s="69"/>
      <c r="J250" s="69"/>
      <c r="K250" s="69"/>
      <c r="L250" s="69"/>
      <c r="M250" s="69">
        <f>N250+Datasheet!N149-SUM(Datasheet!N20,Datasheet!N23,Datasheet!N26)</f>
        <v>3835</v>
      </c>
      <c r="N250" s="69">
        <f>O250+Datasheet!O149-SUM(Datasheet!O20,Datasheet!O23,Datasheet!O26)</f>
        <v>3765</v>
      </c>
      <c r="O250" s="69">
        <f>P250+Datasheet!P149-SUM(Datasheet!P20,Datasheet!P23,Datasheet!P26)</f>
        <v>3698</v>
      </c>
      <c r="P250" s="69">
        <f>Q250+Datasheet!Q149-SUM(Datasheet!Q20,Datasheet!Q23,Datasheet!Q26)</f>
        <v>3618</v>
      </c>
      <c r="Q250" s="69">
        <f>R250+Datasheet!R149-SUM(Datasheet!R20,Datasheet!R23,Datasheet!R26)</f>
        <v>3535</v>
      </c>
      <c r="R250" s="69">
        <v>3576</v>
      </c>
      <c r="S250" s="69">
        <f>R250-Datasheet!S149+SUM(Datasheet!S20,Datasheet!S23,Datasheet!S26)</f>
        <v>3541</v>
      </c>
      <c r="T250" s="69">
        <f>S250-Datasheet!T149+SUM(Datasheet!T20,Datasheet!T23,Datasheet!T26)</f>
        <v>3506</v>
      </c>
      <c r="U250" s="69">
        <f>T250-Datasheet!U149+SUM(Datasheet!U20,Datasheet!U23,Datasheet!U26)</f>
        <v>3446</v>
      </c>
      <c r="V250" s="69">
        <f>U250-Datasheet!V149+SUM(Datasheet!V20,Datasheet!V23,Datasheet!V26)+570</f>
        <v>4194</v>
      </c>
      <c r="W250" s="69">
        <f>V250-Datasheet!W149+SUM(Datasheet!W20,Datasheet!W23,Datasheet!W26)</f>
        <v>4075</v>
      </c>
      <c r="X250" s="69">
        <f>W250-Datasheet!X149+SUM(Datasheet!X20,Datasheet!X23,Datasheet!X26)</f>
        <v>4058</v>
      </c>
      <c r="Y250" s="69">
        <f>X250-Datasheet!Y149+SUM(Datasheet!Y20,Datasheet!Y23,Datasheet!Y26)-SUM(Datasheet!S18:Y18)-570</f>
        <v>5693.2</v>
      </c>
      <c r="Z250" s="69">
        <f>Y250-Datasheet!Z149-SUM(Datasheet!Z19,Datasheet!Z22,Datasheet!Z25)</f>
        <v>5547.2</v>
      </c>
      <c r="AA250" s="69">
        <f>Z250-Datasheet!AA149-SUM(Datasheet!AA19,Datasheet!AA22,Datasheet!AA25)</f>
        <v>5356.2</v>
      </c>
      <c r="AB250" s="69">
        <f>AA250-Datasheet!AB149-SUM(Datasheet!AB19,Datasheet!AB22,Datasheet!AB25)</f>
        <v>5180.2</v>
      </c>
      <c r="AC250" s="69">
        <f>AB250-Datasheet!AC149-SUM(Datasheet!AC19,Datasheet!AC22,Datasheet!AC25)</f>
        <v>5117.2</v>
      </c>
      <c r="AD250" s="69">
        <f>AC250-Datasheet!AD149-SUM(Datasheet!AD19,Datasheet!AD22,Datasheet!AD25)</f>
        <v>5117.2</v>
      </c>
      <c r="AE250" s="69">
        <f>AD250-Datasheet!AE149-SUM(Datasheet!AE19,Datasheet!AE22,Datasheet!AE25)</f>
        <v>5117.2</v>
      </c>
      <c r="AF250" s="69">
        <f>AE250-Datasheet!AF149-SUM(Datasheet!AF19,Datasheet!AF22,Datasheet!AF25)</f>
        <v>5117.2</v>
      </c>
      <c r="AG250" s="69">
        <f>AF250-Datasheet!AG149-SUM(Datasheet!AG19,Datasheet!AG22,Datasheet!AG25)</f>
        <v>5117.2</v>
      </c>
      <c r="AH250" s="69">
        <f>AG250-Datasheet!AH149-SUM(Datasheet!AH19,Datasheet!AH22,Datasheet!AH25)</f>
        <v>5117.2</v>
      </c>
      <c r="AI250" s="69">
        <f>AH250-Datasheet!AI149-SUM(Datasheet!AI19,Datasheet!AI22,Datasheet!AI25)</f>
        <v>5117.2</v>
      </c>
      <c r="AJ250" s="69">
        <f>AI250-Datasheet!AJ149-SUM(Datasheet!AJ19,Datasheet!AJ22,Datasheet!AJ25)</f>
        <v>5117.2</v>
      </c>
      <c r="AK250" s="69">
        <f>AJ250-Datasheet!AK149-SUM(Datasheet!AK19,Datasheet!AK22,Datasheet!AK25)</f>
        <v>5117.2</v>
      </c>
    </row>
    <row r="251" spans="1:37" s="4" customFormat="1" x14ac:dyDescent="0.25">
      <c r="B251" s="44"/>
      <c r="C251" s="4" t="s">
        <v>990</v>
      </c>
      <c r="H251" s="4" t="s">
        <v>991</v>
      </c>
      <c r="I251" s="69"/>
      <c r="J251" s="69"/>
      <c r="K251" s="69"/>
      <c r="L251" s="69"/>
      <c r="M251" s="60">
        <f>M250/SUM(M249:M250)</f>
        <v>0.35854525056095737</v>
      </c>
      <c r="N251" s="60">
        <f t="shared" ref="N251:AK251" si="23">N250/SUM(N249:N250)</f>
        <v>0.36032156187194947</v>
      </c>
      <c r="O251" s="60">
        <f t="shared" si="23"/>
        <v>0.35916860916860915</v>
      </c>
      <c r="P251" s="60">
        <f t="shared" si="23"/>
        <v>0.35705121879009177</v>
      </c>
      <c r="Q251" s="60">
        <f t="shared" si="23"/>
        <v>0.35484842401124272</v>
      </c>
      <c r="R251" s="60">
        <f t="shared" si="23"/>
        <v>0.35900010039152697</v>
      </c>
      <c r="S251" s="60">
        <f t="shared" si="23"/>
        <v>0.35901855419243639</v>
      </c>
      <c r="T251" s="60">
        <f t="shared" si="23"/>
        <v>0.35819370657948507</v>
      </c>
      <c r="U251" s="60">
        <f t="shared" si="23"/>
        <v>0.35643359536615637</v>
      </c>
      <c r="V251" s="60">
        <f t="shared" si="23"/>
        <v>0.52981303688731685</v>
      </c>
      <c r="W251" s="60">
        <f t="shared" si="23"/>
        <v>0.52916580095574484</v>
      </c>
      <c r="X251" s="60">
        <f t="shared" si="23"/>
        <v>0.53200136343375548</v>
      </c>
      <c r="Y251" s="60">
        <f t="shared" si="23"/>
        <v>0.61855714906562365</v>
      </c>
      <c r="Z251" s="60">
        <f t="shared" si="23"/>
        <v>0.61848589586352987</v>
      </c>
      <c r="AA251" s="60">
        <f t="shared" si="23"/>
        <v>0.61417268661850699</v>
      </c>
      <c r="AB251" s="60">
        <f t="shared" si="23"/>
        <v>0.61029688972667295</v>
      </c>
      <c r="AC251" s="60">
        <f t="shared" si="23"/>
        <v>0.61006199332379585</v>
      </c>
      <c r="AD251" s="60">
        <f t="shared" si="23"/>
        <v>0.60998927166527595</v>
      </c>
      <c r="AE251" s="60">
        <f t="shared" si="23"/>
        <v>0.60998927166527595</v>
      </c>
      <c r="AF251" s="60">
        <f t="shared" si="23"/>
        <v>0.60998927166527595</v>
      </c>
      <c r="AG251" s="60">
        <f t="shared" si="23"/>
        <v>0.60998927166527595</v>
      </c>
      <c r="AH251" s="60">
        <f t="shared" si="23"/>
        <v>0.60998927166527595</v>
      </c>
      <c r="AI251" s="60">
        <f t="shared" si="23"/>
        <v>0.60998927166527595</v>
      </c>
      <c r="AJ251" s="60">
        <f t="shared" si="23"/>
        <v>0.60998927166527595</v>
      </c>
      <c r="AK251" s="60">
        <f t="shared" si="23"/>
        <v>0.60998927166527595</v>
      </c>
    </row>
    <row r="252" spans="1:37" s="66" customFormat="1" x14ac:dyDescent="0.25">
      <c r="B252" s="67"/>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row>
    <row r="253" spans="1:37" s="55" customFormat="1" ht="17.25" x14ac:dyDescent="0.3">
      <c r="A253" s="55" t="s">
        <v>13</v>
      </c>
    </row>
    <row r="254" spans="1:37" x14ac:dyDescent="0.25">
      <c r="B254" s="29" t="s">
        <v>877</v>
      </c>
      <c r="C254" t="s">
        <v>754</v>
      </c>
    </row>
    <row r="255" spans="1:37" x14ac:dyDescent="0.25">
      <c r="B255" s="29" t="s">
        <v>879</v>
      </c>
      <c r="C255" t="s">
        <v>967</v>
      </c>
    </row>
    <row r="256" spans="1:37" x14ac:dyDescent="0.25">
      <c r="B256" s="29" t="s">
        <v>881</v>
      </c>
      <c r="C256" t="s">
        <v>992</v>
      </c>
    </row>
    <row r="257" spans="2:37" x14ac:dyDescent="0.25">
      <c r="B257" s="29" t="s">
        <v>883</v>
      </c>
      <c r="C257" s="263" t="s">
        <v>2</v>
      </c>
    </row>
    <row r="258" spans="2:37" x14ac:dyDescent="0.25">
      <c r="B258" s="29" t="s">
        <v>885</v>
      </c>
      <c r="C258" t="s">
        <v>993</v>
      </c>
    </row>
    <row r="259" spans="2:37" x14ac:dyDescent="0.25">
      <c r="B259" s="29" t="s">
        <v>886</v>
      </c>
      <c r="C259" t="s">
        <v>994</v>
      </c>
    </row>
    <row r="260" spans="2:37" x14ac:dyDescent="0.25">
      <c r="B260" s="29"/>
      <c r="C260" t="s">
        <v>995</v>
      </c>
    </row>
    <row r="261" spans="2:37" x14ac:dyDescent="0.25">
      <c r="B261" s="29" t="s">
        <v>887</v>
      </c>
      <c r="C261" t="s">
        <v>996</v>
      </c>
    </row>
    <row r="262" spans="2:37" x14ac:dyDescent="0.25">
      <c r="B262" s="29"/>
      <c r="C262" t="s">
        <v>997</v>
      </c>
    </row>
    <row r="263" spans="2:37" x14ac:dyDescent="0.25">
      <c r="B263" s="29"/>
      <c r="C263" t="s">
        <v>998</v>
      </c>
    </row>
    <row r="264" spans="2:37" x14ac:dyDescent="0.25">
      <c r="B264" s="29"/>
      <c r="C264" t="s">
        <v>999</v>
      </c>
    </row>
    <row r="265" spans="2:37" s="57" customFormat="1" ht="15.75" thickBot="1" x14ac:dyDescent="0.3">
      <c r="B265" s="58" t="s">
        <v>19</v>
      </c>
      <c r="C265" s="57" t="s">
        <v>1000</v>
      </c>
    </row>
    <row r="266" spans="2:37" s="4" customFormat="1" ht="15.75" thickTop="1" x14ac:dyDescent="0.25">
      <c r="B266" s="44" t="s">
        <v>21</v>
      </c>
      <c r="C266" s="91" t="s">
        <v>22</v>
      </c>
      <c r="I266" s="69"/>
      <c r="J266" s="69"/>
      <c r="K266" s="69"/>
      <c r="L266" s="6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row>
    <row r="267" spans="2:37" s="4" customFormat="1" x14ac:dyDescent="0.25">
      <c r="B267" s="44"/>
      <c r="D267" s="4" t="s">
        <v>1001</v>
      </c>
      <c r="H267" s="4" t="s">
        <v>23</v>
      </c>
      <c r="I267" s="69"/>
      <c r="J267" s="69"/>
      <c r="K267" s="69"/>
      <c r="L267" s="69"/>
      <c r="M267" s="69"/>
      <c r="N267" s="69">
        <f>Datasheet!N18</f>
        <v>-81</v>
      </c>
      <c r="O267" s="69">
        <f>Datasheet!O18</f>
        <v>12</v>
      </c>
      <c r="P267" s="69">
        <f>Datasheet!P18</f>
        <v>18</v>
      </c>
      <c r="Q267" s="69">
        <f>Datasheet!Q18</f>
        <v>-1</v>
      </c>
      <c r="R267" s="69">
        <f>Datasheet!R18</f>
        <v>67</v>
      </c>
      <c r="S267" s="69">
        <f>Datasheet!S18</f>
        <v>-32</v>
      </c>
      <c r="T267" s="69">
        <f>Datasheet!T18</f>
        <v>-12</v>
      </c>
      <c r="U267" s="69">
        <f>Datasheet!U18</f>
        <v>-14</v>
      </c>
      <c r="V267" s="69">
        <f>Datasheet!V18</f>
        <v>-2195</v>
      </c>
      <c r="W267" s="69">
        <f>Datasheet!W18</f>
        <v>-82.2</v>
      </c>
      <c r="X267" s="69">
        <f>Datasheet!X18</f>
        <v>15</v>
      </c>
      <c r="Y267" s="69">
        <f>Datasheet!Y18</f>
        <v>126.57239999999999</v>
      </c>
      <c r="Z267" s="69">
        <f>Datasheet!Z18</f>
        <v>5</v>
      </c>
      <c r="AA267" s="69">
        <f>Datasheet!AA18</f>
        <v>39</v>
      </c>
      <c r="AB267" s="69">
        <f>Datasheet!AB18</f>
        <v>78</v>
      </c>
      <c r="AC267" s="69">
        <f>Datasheet!AC18</f>
        <v>38</v>
      </c>
      <c r="AD267" s="69">
        <f>Datasheet!AD18</f>
        <v>109</v>
      </c>
      <c r="AE267" s="69">
        <f>Datasheet!AE18</f>
        <v>0</v>
      </c>
      <c r="AF267" s="69">
        <f>Datasheet!AF18</f>
        <v>0</v>
      </c>
      <c r="AG267" s="69">
        <f>Datasheet!AG18</f>
        <v>0</v>
      </c>
      <c r="AH267" s="69">
        <f>Datasheet!AH18</f>
        <v>0</v>
      </c>
      <c r="AI267" s="69">
        <f>Datasheet!AI18</f>
        <v>0</v>
      </c>
      <c r="AJ267" s="69">
        <f>Datasheet!AJ18</f>
        <v>0</v>
      </c>
      <c r="AK267" s="69">
        <f>Datasheet!AK18</f>
        <v>0</v>
      </c>
    </row>
    <row r="268" spans="2:37" s="4" customFormat="1" x14ac:dyDescent="0.25">
      <c r="B268" s="44"/>
      <c r="D268" s="4" t="s">
        <v>1002</v>
      </c>
      <c r="H268" s="4" t="s">
        <v>23</v>
      </c>
      <c r="I268" s="69"/>
      <c r="J268" s="69"/>
      <c r="K268" s="69"/>
      <c r="L268" s="69"/>
      <c r="M268" s="69"/>
      <c r="N268" s="69"/>
      <c r="O268" s="69"/>
      <c r="P268" s="69"/>
      <c r="Q268" s="69"/>
      <c r="S268" s="69">
        <f>SUM($S267:S267)</f>
        <v>-32</v>
      </c>
      <c r="T268" s="69">
        <f>SUM($S267:T267)</f>
        <v>-44</v>
      </c>
      <c r="U268" s="69">
        <f>SUM($S267:U267)</f>
        <v>-58</v>
      </c>
      <c r="V268" s="69">
        <f>SUM($S267:V267)</f>
        <v>-2253</v>
      </c>
      <c r="W268" s="69">
        <f>SUM($S267:W267)</f>
        <v>-2335.1999999999998</v>
      </c>
      <c r="X268" s="69">
        <f>SUM($S267:X267)</f>
        <v>-2320.1999999999998</v>
      </c>
      <c r="Y268" s="69">
        <f>SUM($S267:Y267)</f>
        <v>-2193.6275999999998</v>
      </c>
      <c r="Z268" s="69">
        <f>SUM($S267:Z267)</f>
        <v>-2188.6275999999998</v>
      </c>
      <c r="AA268" s="69">
        <f>SUM($S267:AA267)</f>
        <v>-2149.6275999999998</v>
      </c>
      <c r="AB268" s="69">
        <f>SUM($S267:AB267)</f>
        <v>-2071.6275999999998</v>
      </c>
      <c r="AC268" s="69">
        <f>SUM($S267:AC267)</f>
        <v>-2033.6275999999998</v>
      </c>
      <c r="AD268" s="69">
        <f>SUM($S267:AD267)</f>
        <v>-1924.6275999999998</v>
      </c>
      <c r="AE268" s="69">
        <f>SUM($S267:AE267)</f>
        <v>-1924.6275999999998</v>
      </c>
      <c r="AF268" s="69">
        <f>SUM($S267:AF267)</f>
        <v>-1924.6275999999998</v>
      </c>
      <c r="AG268" s="69">
        <f>SUM($S267:AG267)</f>
        <v>-1924.6275999999998</v>
      </c>
      <c r="AH268" s="69">
        <f>SUM($S267:AH267)</f>
        <v>-1924.6275999999998</v>
      </c>
      <c r="AI268" s="69">
        <f>SUM($S267:AI267)</f>
        <v>-1924.6275999999998</v>
      </c>
      <c r="AJ268" s="69">
        <f>SUM($S267:AJ267)</f>
        <v>-1924.6275999999998</v>
      </c>
      <c r="AK268" s="69">
        <f>SUM($S267:AK267)</f>
        <v>-1924.6275999999998</v>
      </c>
    </row>
    <row r="269" spans="2:37" s="4" customFormat="1" x14ac:dyDescent="0.25">
      <c r="B269" s="44"/>
      <c r="D269" s="4" t="s">
        <v>1003</v>
      </c>
      <c r="H269" s="4" t="s">
        <v>23</v>
      </c>
      <c r="I269" s="69"/>
      <c r="J269" s="69"/>
      <c r="K269" s="69"/>
      <c r="L269" s="69"/>
      <c r="M269" s="69">
        <f>N269-N267</f>
        <v>-579</v>
      </c>
      <c r="N269" s="69">
        <f>O269-O267</f>
        <v>-660</v>
      </c>
      <c r="O269" s="69">
        <f>P269-P267</f>
        <v>-648</v>
      </c>
      <c r="P269" s="69">
        <f>Q269-Q267</f>
        <v>-630</v>
      </c>
      <c r="Q269" s="69">
        <f>R269-R267</f>
        <v>-631</v>
      </c>
      <c r="R269" s="69">
        <v>-564</v>
      </c>
      <c r="S269" s="69"/>
      <c r="T269" s="69"/>
      <c r="U269" s="69"/>
      <c r="V269" s="69"/>
      <c r="W269" s="69"/>
      <c r="X269" s="69"/>
      <c r="Y269" s="69"/>
      <c r="Z269" s="69"/>
      <c r="AA269" s="69"/>
      <c r="AB269" s="69"/>
      <c r="AC269" s="69"/>
      <c r="AD269" s="69"/>
      <c r="AE269" s="69"/>
      <c r="AF269" s="69"/>
      <c r="AG269" s="69"/>
      <c r="AH269" s="69"/>
      <c r="AI269" s="69"/>
      <c r="AJ269" s="69"/>
      <c r="AK269" s="69"/>
    </row>
    <row r="270" spans="2:37" s="4" customFormat="1" x14ac:dyDescent="0.25">
      <c r="B270" s="44"/>
      <c r="C270" s="91" t="s">
        <v>29</v>
      </c>
      <c r="I270" s="69"/>
      <c r="J270" s="69"/>
      <c r="K270" s="69"/>
      <c r="L270" s="69"/>
      <c r="M270" s="69"/>
      <c r="N270" s="69"/>
      <c r="O270" s="69"/>
      <c r="P270" s="69"/>
      <c r="Q270" s="69"/>
      <c r="S270" s="69"/>
      <c r="T270" s="69"/>
      <c r="U270" s="69"/>
      <c r="V270" s="69"/>
      <c r="W270" s="69"/>
      <c r="X270" s="69"/>
      <c r="Y270" s="69"/>
      <c r="Z270" s="69"/>
      <c r="AA270" s="69"/>
      <c r="AB270" s="69"/>
      <c r="AC270" s="69"/>
      <c r="AD270" s="69"/>
      <c r="AE270" s="69"/>
      <c r="AF270" s="69"/>
      <c r="AG270" s="69"/>
      <c r="AH270" s="69"/>
      <c r="AI270" s="69"/>
      <c r="AJ270" s="69"/>
      <c r="AK270" s="69"/>
    </row>
    <row r="271" spans="2:37" s="4" customFormat="1" x14ac:dyDescent="0.25">
      <c r="B271" s="44"/>
      <c r="D271" s="4" t="s">
        <v>1001</v>
      </c>
      <c r="H271" s="4" t="s">
        <v>30</v>
      </c>
      <c r="I271" s="69"/>
      <c r="J271" s="69"/>
      <c r="K271" s="69"/>
      <c r="L271" s="69"/>
      <c r="M271" s="69"/>
      <c r="N271" s="69"/>
      <c r="O271" s="69"/>
      <c r="P271" s="69"/>
      <c r="Q271" s="69"/>
      <c r="R271" s="69"/>
      <c r="S271" s="69">
        <f>Datasheet!S34</f>
        <v>0</v>
      </c>
      <c r="T271" s="69">
        <f>Datasheet!T34</f>
        <v>0</v>
      </c>
      <c r="U271" s="69">
        <f>Datasheet!U34</f>
        <v>0</v>
      </c>
      <c r="V271" s="69">
        <f>Datasheet!V34</f>
        <v>-317</v>
      </c>
      <c r="W271" s="69">
        <f>Datasheet!W34</f>
        <v>89.024727564102562</v>
      </c>
      <c r="X271" s="69">
        <f>Datasheet!X34</f>
        <v>0</v>
      </c>
      <c r="Y271" s="69">
        <f>Datasheet!Y34</f>
        <v>0</v>
      </c>
      <c r="Z271" s="69">
        <f>Datasheet!Z34</f>
        <v>-22</v>
      </c>
      <c r="AA271" s="69">
        <f>Datasheet!AA34</f>
        <v>0</v>
      </c>
      <c r="AB271" s="69">
        <f>Datasheet!AB34</f>
        <v>0</v>
      </c>
      <c r="AC271" s="69">
        <f>Datasheet!AC34</f>
        <v>0</v>
      </c>
      <c r="AD271" s="69">
        <f>Datasheet!AD34</f>
        <v>0</v>
      </c>
      <c r="AE271" s="69">
        <f>Datasheet!AE34</f>
        <v>0</v>
      </c>
      <c r="AF271" s="69">
        <f>Datasheet!AF34</f>
        <v>0</v>
      </c>
      <c r="AG271" s="69">
        <f>Datasheet!AG34</f>
        <v>0</v>
      </c>
      <c r="AH271" s="69">
        <f>Datasheet!AH34</f>
        <v>0</v>
      </c>
      <c r="AI271" s="69">
        <f>Datasheet!AI34</f>
        <v>0</v>
      </c>
      <c r="AJ271" s="69">
        <f>Datasheet!AJ34</f>
        <v>0</v>
      </c>
      <c r="AK271" s="69">
        <f>Datasheet!AK34</f>
        <v>0</v>
      </c>
    </row>
    <row r="272" spans="2:37" s="4" customFormat="1" x14ac:dyDescent="0.25">
      <c r="B272" s="44"/>
      <c r="D272" s="4" t="s">
        <v>1002</v>
      </c>
      <c r="H272" s="4" t="s">
        <v>30</v>
      </c>
      <c r="I272" s="69"/>
      <c r="J272" s="69"/>
      <c r="K272" s="69"/>
      <c r="L272" s="69"/>
      <c r="M272" s="69"/>
      <c r="N272" s="69"/>
      <c r="O272" s="69"/>
      <c r="P272" s="69"/>
      <c r="Q272" s="69"/>
      <c r="R272" s="69"/>
      <c r="S272" s="69">
        <f>SUM($S271:S271)</f>
        <v>0</v>
      </c>
      <c r="T272" s="69">
        <f>SUM($S271:T271)</f>
        <v>0</v>
      </c>
      <c r="U272" s="69">
        <f>SUM($S271:U271)</f>
        <v>0</v>
      </c>
      <c r="V272" s="69">
        <f>SUM($S271:V271)</f>
        <v>-317</v>
      </c>
      <c r="W272" s="69">
        <f>SUM($S271:W271)</f>
        <v>-227.97527243589744</v>
      </c>
      <c r="X272" s="69">
        <f>SUM($S271:X271)</f>
        <v>-227.97527243589744</v>
      </c>
      <c r="Y272" s="69">
        <f>SUM($S271:Y271)</f>
        <v>-227.97527243589744</v>
      </c>
      <c r="Z272" s="69">
        <f>SUM($S271:Z271)</f>
        <v>-249.97527243589744</v>
      </c>
      <c r="AA272" s="69">
        <f>SUM($S271:AA271)</f>
        <v>-249.97527243589744</v>
      </c>
      <c r="AB272" s="69">
        <f>SUM($S271:AB271)</f>
        <v>-249.97527243589744</v>
      </c>
      <c r="AC272" s="69">
        <f>SUM($S271:AC271)</f>
        <v>-249.97527243589744</v>
      </c>
      <c r="AD272" s="69">
        <f>SUM($S271:AD271)</f>
        <v>-249.97527243589744</v>
      </c>
      <c r="AE272" s="69">
        <f>SUM($S271:AE271)</f>
        <v>-249.97527243589744</v>
      </c>
      <c r="AF272" s="69">
        <f>SUM($S271:AF271)</f>
        <v>-249.97527243589744</v>
      </c>
      <c r="AG272" s="69">
        <f>SUM($S271:AG271)</f>
        <v>-249.97527243589744</v>
      </c>
      <c r="AH272" s="69">
        <f>SUM($S271:AH271)</f>
        <v>-249.97527243589744</v>
      </c>
      <c r="AI272" s="69">
        <f>SUM($S271:AI271)</f>
        <v>-249.97527243589744</v>
      </c>
      <c r="AJ272" s="69">
        <f>SUM($S271:AJ271)</f>
        <v>-249.97527243589744</v>
      </c>
      <c r="AK272" s="69">
        <f>SUM($S271:AK271)</f>
        <v>-249.97527243589744</v>
      </c>
    </row>
    <row r="273" spans="1:37" s="4" customFormat="1" x14ac:dyDescent="0.25">
      <c r="B273" s="44"/>
      <c r="C273" s="91" t="s">
        <v>1004</v>
      </c>
      <c r="I273" s="69"/>
      <c r="J273" s="69"/>
      <c r="K273" s="69"/>
      <c r="L273" s="69"/>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row>
    <row r="274" spans="1:37" s="4" customFormat="1" x14ac:dyDescent="0.25">
      <c r="B274" s="44"/>
      <c r="D274" s="4" t="s">
        <v>1001</v>
      </c>
      <c r="H274" s="4" t="s">
        <v>32</v>
      </c>
      <c r="I274" s="69"/>
      <c r="J274" s="69"/>
      <c r="K274" s="69"/>
      <c r="L274" s="69"/>
      <c r="M274" s="69"/>
      <c r="N274" s="69"/>
      <c r="O274" s="69"/>
      <c r="P274" s="69"/>
      <c r="Q274" s="69"/>
      <c r="R274" s="69"/>
      <c r="S274" s="69">
        <f>Datasheet!S44</f>
        <v>0</v>
      </c>
      <c r="T274" s="69">
        <f>Datasheet!T44</f>
        <v>0</v>
      </c>
      <c r="U274" s="69">
        <f>Datasheet!U44</f>
        <v>0</v>
      </c>
      <c r="V274" s="69">
        <f>Datasheet!V44</f>
        <v>-451</v>
      </c>
      <c r="W274" s="69">
        <f>Datasheet!W44</f>
        <v>94379.124242499995</v>
      </c>
      <c r="X274" s="69">
        <f>Datasheet!X44</f>
        <v>-30650.994000000002</v>
      </c>
      <c r="Y274" s="69">
        <f>Datasheet!Y44</f>
        <v>32476.594000000001</v>
      </c>
      <c r="Z274" s="69">
        <f>Datasheet!Z44</f>
        <v>-9339</v>
      </c>
      <c r="AA274" s="69">
        <f>Datasheet!AA44</f>
        <v>-8102.1599999999962</v>
      </c>
      <c r="AB274" s="69">
        <f>Datasheet!AB44</f>
        <v>0</v>
      </c>
      <c r="AC274" s="69">
        <f>Datasheet!AC44</f>
        <v>0</v>
      </c>
      <c r="AD274" s="69">
        <f>Datasheet!AD44</f>
        <v>0</v>
      </c>
      <c r="AE274" s="69">
        <f>Datasheet!AE44</f>
        <v>0</v>
      </c>
      <c r="AF274" s="69">
        <f>Datasheet!AF44</f>
        <v>0</v>
      </c>
      <c r="AG274" s="69">
        <f>Datasheet!AG44</f>
        <v>0</v>
      </c>
      <c r="AH274" s="69">
        <f>Datasheet!AH44</f>
        <v>0</v>
      </c>
      <c r="AI274" s="69">
        <f>Datasheet!AI44</f>
        <v>0</v>
      </c>
      <c r="AJ274" s="69">
        <f>Datasheet!AJ44</f>
        <v>0</v>
      </c>
      <c r="AK274" s="69">
        <f>Datasheet!AK44</f>
        <v>0</v>
      </c>
    </row>
    <row r="275" spans="1:37" s="4" customFormat="1" x14ac:dyDescent="0.25">
      <c r="B275" s="44"/>
      <c r="D275" s="4" t="s">
        <v>1002</v>
      </c>
      <c r="H275" s="4" t="s">
        <v>32</v>
      </c>
      <c r="I275" s="69"/>
      <c r="J275" s="69"/>
      <c r="K275" s="69"/>
      <c r="L275" s="69"/>
      <c r="M275" s="69"/>
      <c r="N275" s="69"/>
      <c r="O275" s="69"/>
      <c r="P275" s="69"/>
      <c r="Q275" s="69"/>
      <c r="R275" s="69"/>
      <c r="S275" s="69">
        <f>SUM($S274:S274)</f>
        <v>0</v>
      </c>
      <c r="T275" s="69">
        <f>SUM($S274:T274)</f>
        <v>0</v>
      </c>
      <c r="U275" s="69">
        <f>SUM($S274:U274)</f>
        <v>0</v>
      </c>
      <c r="V275" s="69">
        <f>SUM($S274:V274)</f>
        <v>-451</v>
      </c>
      <c r="W275" s="69">
        <f>SUM($S274:W274)</f>
        <v>93928.124242499995</v>
      </c>
      <c r="X275" s="69">
        <f>SUM($S274:X274)</f>
        <v>63277.130242499989</v>
      </c>
      <c r="Y275" s="69">
        <f>SUM($S274:Y274)</f>
        <v>95753.724242499986</v>
      </c>
      <c r="Z275" s="69">
        <f>SUM($S274:Z274)</f>
        <v>86414.724242499986</v>
      </c>
      <c r="AA275" s="69">
        <f>SUM($S274:AA274)</f>
        <v>78312.564242499997</v>
      </c>
      <c r="AB275" s="69">
        <f>SUM($S274:AB274)</f>
        <v>78312.564242499997</v>
      </c>
      <c r="AC275" s="69">
        <f>SUM($S274:AC274)</f>
        <v>78312.564242499997</v>
      </c>
      <c r="AD275" s="69">
        <f>SUM($S274:AD274)</f>
        <v>78312.564242499997</v>
      </c>
      <c r="AE275" s="69">
        <f>SUM($S274:AE274)</f>
        <v>78312.564242499997</v>
      </c>
      <c r="AF275" s="69">
        <f>SUM($S274:AF274)</f>
        <v>78312.564242499997</v>
      </c>
      <c r="AG275" s="69">
        <f>SUM($S274:AG274)</f>
        <v>78312.564242499997</v>
      </c>
      <c r="AH275" s="69">
        <f>SUM($S274:AH274)</f>
        <v>78312.564242499997</v>
      </c>
      <c r="AI275" s="69">
        <f>SUM($S274:AI274)</f>
        <v>78312.564242499997</v>
      </c>
      <c r="AJ275" s="69">
        <f>SUM($S274:AJ274)</f>
        <v>78312.564242499997</v>
      </c>
      <c r="AK275" s="69">
        <f>SUM($S274:AK274)</f>
        <v>78312.564242499997</v>
      </c>
    </row>
    <row r="276" spans="1:37" s="66" customFormat="1" x14ac:dyDescent="0.25">
      <c r="B276" s="67"/>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row>
    <row r="277" spans="1:37" s="55" customFormat="1" ht="17.25" x14ac:dyDescent="0.3">
      <c r="A277" s="55" t="s">
        <v>446</v>
      </c>
    </row>
    <row r="278" spans="1:37" x14ac:dyDescent="0.25">
      <c r="B278" s="29" t="s">
        <v>877</v>
      </c>
      <c r="C278" t="s">
        <v>754</v>
      </c>
    </row>
    <row r="279" spans="1:37" x14ac:dyDescent="0.25">
      <c r="B279" s="29" t="s">
        <v>879</v>
      </c>
      <c r="C279" t="s">
        <v>1005</v>
      </c>
    </row>
    <row r="280" spans="1:37" x14ac:dyDescent="0.25">
      <c r="B280" s="29" t="s">
        <v>881</v>
      </c>
      <c r="C280" t="s">
        <v>1006</v>
      </c>
    </row>
    <row r="281" spans="1:37" x14ac:dyDescent="0.25">
      <c r="B281" s="29" t="s">
        <v>883</v>
      </c>
      <c r="C281" s="263" t="s">
        <v>446</v>
      </c>
    </row>
    <row r="282" spans="1:37" x14ac:dyDescent="0.25">
      <c r="B282" s="29" t="s">
        <v>885</v>
      </c>
      <c r="C282" t="s">
        <v>1007</v>
      </c>
    </row>
    <row r="283" spans="1:37" x14ac:dyDescent="0.25">
      <c r="B283" s="29" t="s">
        <v>886</v>
      </c>
      <c r="C283" t="s">
        <v>1008</v>
      </c>
    </row>
    <row r="284" spans="1:37" x14ac:dyDescent="0.25">
      <c r="B284" s="29" t="s">
        <v>887</v>
      </c>
      <c r="C284" t="s">
        <v>1009</v>
      </c>
    </row>
    <row r="285" spans="1:37" x14ac:dyDescent="0.25">
      <c r="B285" s="29"/>
      <c r="C285" t="s">
        <v>1010</v>
      </c>
    </row>
    <row r="286" spans="1:37" x14ac:dyDescent="0.25">
      <c r="B286" s="29"/>
      <c r="D286" t="s">
        <v>1011</v>
      </c>
    </row>
    <row r="287" spans="1:37" x14ac:dyDescent="0.25">
      <c r="B287" s="29"/>
      <c r="D287" t="s">
        <v>1012</v>
      </c>
    </row>
    <row r="288" spans="1:37" x14ac:dyDescent="0.25">
      <c r="B288" s="29"/>
      <c r="C288" t="s">
        <v>1013</v>
      </c>
    </row>
    <row r="289" spans="2:3" s="57" customFormat="1" ht="15.75" thickBot="1" x14ac:dyDescent="0.3">
      <c r="B289" s="58" t="s">
        <v>19</v>
      </c>
      <c r="C289" s="57" t="s">
        <v>1014</v>
      </c>
    </row>
    <row r="290" spans="2:3" ht="15.75" thickTop="1" x14ac:dyDescent="0.25"/>
    <row r="305" spans="1:37" s="4" customFormat="1" x14ac:dyDescent="0.25">
      <c r="B305" s="44" t="s">
        <v>21</v>
      </c>
      <c r="C305" s="91" t="s">
        <v>1015</v>
      </c>
      <c r="I305" s="69"/>
      <c r="J305" s="69"/>
      <c r="K305" s="69"/>
      <c r="L305" s="69"/>
      <c r="M305" s="69"/>
      <c r="N305" s="69"/>
      <c r="O305" s="69"/>
      <c r="P305" s="69"/>
      <c r="Q305" s="69"/>
      <c r="R305" s="69"/>
      <c r="S305" s="69"/>
      <c r="T305" s="69"/>
      <c r="U305" s="69"/>
      <c r="V305" s="69"/>
      <c r="W305" s="69"/>
      <c r="X305" s="69"/>
      <c r="Y305" s="69"/>
      <c r="Z305" s="69"/>
      <c r="AA305" s="69"/>
      <c r="AB305" s="69"/>
      <c r="AC305" s="69"/>
      <c r="AD305" s="69"/>
      <c r="AE305" s="69"/>
      <c r="AF305" s="69"/>
      <c r="AG305" s="69"/>
      <c r="AH305" s="69"/>
      <c r="AI305" s="69"/>
      <c r="AJ305" s="69"/>
      <c r="AK305" s="69"/>
    </row>
    <row r="306" spans="1:37" s="4" customFormat="1" x14ac:dyDescent="0.25">
      <c r="B306" s="44"/>
      <c r="C306" s="4" t="s">
        <v>1016</v>
      </c>
      <c r="H306" s="4" t="s">
        <v>23</v>
      </c>
      <c r="I306" s="69"/>
      <c r="J306" s="69"/>
      <c r="K306" s="69"/>
      <c r="L306" s="69"/>
      <c r="M306" s="69"/>
      <c r="N306" s="69"/>
      <c r="O306" s="69"/>
      <c r="P306" s="69"/>
      <c r="Q306" s="69"/>
      <c r="R306" s="69"/>
      <c r="S306" s="69"/>
      <c r="T306" s="69"/>
      <c r="U306" s="69"/>
      <c r="V306" s="69"/>
      <c r="W306" s="69">
        <f>SUM(Datasheet!W924,Datasheet!W934,Datasheet!W944)</f>
        <v>72</v>
      </c>
      <c r="X306" s="69">
        <f>SUM(Datasheet!X924,Datasheet!X934,Datasheet!X944)</f>
        <v>94</v>
      </c>
      <c r="Y306" s="69">
        <f>SUM(Datasheet!Y924,Datasheet!Y934,Datasheet!Y944)</f>
        <v>60</v>
      </c>
      <c r="Z306" s="69">
        <f>SUM(Datasheet!Z924,Datasheet!Z934,Datasheet!Z944)</f>
        <v>96</v>
      </c>
      <c r="AA306" s="69">
        <f>SUM(Datasheet!AA924,Datasheet!AA934,Datasheet!AA944)</f>
        <v>94</v>
      </c>
      <c r="AB306" s="69">
        <f>SUM(Datasheet!AB924,Datasheet!AB934,Datasheet!AB944)</f>
        <v>133</v>
      </c>
      <c r="AC306" s="69">
        <f>SUM(Datasheet!AC924,Datasheet!AC934,Datasheet!AC944)</f>
        <v>153</v>
      </c>
      <c r="AD306" s="69">
        <f>SUM(Datasheet!AD924,Datasheet!AD934,Datasheet!AD944)</f>
        <v>0</v>
      </c>
      <c r="AE306" s="69">
        <f>SUM(Datasheet!AE924,Datasheet!AE934,Datasheet!AE944)</f>
        <v>0</v>
      </c>
      <c r="AF306" s="69">
        <f>SUM(Datasheet!AF924,Datasheet!AF934,Datasheet!AF944)</f>
        <v>0</v>
      </c>
      <c r="AG306" s="69">
        <f>SUM(Datasheet!AG924,Datasheet!AG934,Datasheet!AG944)</f>
        <v>0</v>
      </c>
      <c r="AH306" s="69">
        <f>SUM(Datasheet!AH924,Datasheet!AH934,Datasheet!AH944)</f>
        <v>0</v>
      </c>
      <c r="AI306" s="69">
        <f>SUM(Datasheet!AI924,Datasheet!AI934,Datasheet!AI944)</f>
        <v>0</v>
      </c>
      <c r="AJ306" s="69">
        <f>SUM(Datasheet!AJ924,Datasheet!AJ934,Datasheet!AJ944)</f>
        <v>0</v>
      </c>
      <c r="AK306" s="69">
        <f>SUM(Datasheet!AK924,Datasheet!AK934,Datasheet!AK944)</f>
        <v>0</v>
      </c>
    </row>
    <row r="307" spans="1:37" s="4" customFormat="1" x14ac:dyDescent="0.25">
      <c r="B307" s="44"/>
      <c r="C307" s="4" t="s">
        <v>1017</v>
      </c>
      <c r="H307" s="4" t="s">
        <v>23</v>
      </c>
      <c r="I307" s="69"/>
      <c r="J307" s="69"/>
      <c r="K307" s="69"/>
      <c r="L307" s="69"/>
      <c r="M307" s="69"/>
      <c r="N307" s="69"/>
      <c r="O307" s="69"/>
      <c r="P307" s="69"/>
      <c r="Q307" s="69"/>
      <c r="R307" s="69"/>
      <c r="S307" s="69"/>
      <c r="T307" s="69"/>
      <c r="U307" s="69"/>
      <c r="V307" s="69"/>
      <c r="W307" s="69">
        <f>SUM(Datasheet!W928:W930,Datasheet!W938:W940,Datasheet!W948:W950)</f>
        <v>115</v>
      </c>
      <c r="X307" s="69">
        <f>SUM(Datasheet!X928:X930,Datasheet!X938:X940,Datasheet!X948:X950)</f>
        <v>150</v>
      </c>
      <c r="Y307" s="69">
        <f>SUM(Datasheet!Y928:Y930,Datasheet!Y938:Y940,Datasheet!Y948:Y950)</f>
        <v>123</v>
      </c>
      <c r="Z307" s="69">
        <f>SUM(Datasheet!Z928:Z930,Datasheet!Z938:Z940,Datasheet!Z948:Z950)</f>
        <v>106</v>
      </c>
      <c r="AA307" s="69">
        <f>SUM(Datasheet!AA928:AA930,Datasheet!AA938:AA940,Datasheet!AA948:AA950)</f>
        <v>177</v>
      </c>
      <c r="AB307" s="69">
        <f>SUM(Datasheet!AB928:AB930,Datasheet!AB938:AB940,Datasheet!AB948:AB950)</f>
        <v>226</v>
      </c>
      <c r="AC307" s="69">
        <f>SUM(Datasheet!AC928:AC930,Datasheet!AC938:AC940,Datasheet!AC948:AC950)</f>
        <v>395</v>
      </c>
      <c r="AD307" s="69">
        <f>SUM(Datasheet!AD928:AD930,Datasheet!AD938:AD940,Datasheet!AD948:AD950)</f>
        <v>0</v>
      </c>
      <c r="AE307" s="69">
        <f>SUM(Datasheet!AE928:AE930,Datasheet!AE938:AE940,Datasheet!AE948:AE950)</f>
        <v>0</v>
      </c>
      <c r="AF307" s="69">
        <f>SUM(Datasheet!AF928:AF930,Datasheet!AF938:AF940,Datasheet!AF948:AF950)</f>
        <v>0</v>
      </c>
      <c r="AG307" s="69">
        <f>SUM(Datasheet!AG928:AG930,Datasheet!AG938:AG940,Datasheet!AG948:AG950)</f>
        <v>0</v>
      </c>
      <c r="AH307" s="69">
        <f>SUM(Datasheet!AH928:AH930,Datasheet!AH938:AH940,Datasheet!AH948:AH950)</f>
        <v>0</v>
      </c>
      <c r="AI307" s="69">
        <f>SUM(Datasheet!AI928:AI930,Datasheet!AI938:AI940,Datasheet!AI948:AI950)</f>
        <v>0</v>
      </c>
      <c r="AJ307" s="69">
        <f>SUM(Datasheet!AJ928:AJ930,Datasheet!AJ938:AJ940,Datasheet!AJ948:AJ950)</f>
        <v>0</v>
      </c>
      <c r="AK307" s="69">
        <f>SUM(Datasheet!AK928:AK930,Datasheet!AK938:AK940,Datasheet!AK948:AK950)</f>
        <v>0</v>
      </c>
    </row>
    <row r="308" spans="1:37" s="4" customFormat="1" x14ac:dyDescent="0.25">
      <c r="B308" s="44"/>
      <c r="C308" s="4" t="s">
        <v>1018</v>
      </c>
      <c r="H308" s="4" t="s">
        <v>23</v>
      </c>
      <c r="I308" s="69"/>
      <c r="J308" s="69"/>
      <c r="K308" s="69"/>
      <c r="L308" s="69"/>
      <c r="M308" s="69"/>
      <c r="N308" s="69"/>
      <c r="O308" s="69"/>
      <c r="P308" s="69"/>
      <c r="Q308" s="69"/>
      <c r="R308" s="69"/>
      <c r="S308" s="69"/>
      <c r="T308" s="69"/>
      <c r="U308" s="69"/>
      <c r="V308" s="69"/>
      <c r="W308" s="69">
        <f>SUM(Datasheet!W931,Datasheet!W941,IF(Datasheet!W958+Datasheet!W965&gt;Datasheet!W953,Datasheet!W953,0))</f>
        <v>0</v>
      </c>
      <c r="X308" s="69">
        <f>SUM(Datasheet!X931,Datasheet!X941,IF(Datasheet!X958+Datasheet!X965&gt;Datasheet!X953,Datasheet!X953,0))</f>
        <v>74</v>
      </c>
      <c r="Y308" s="69">
        <f>SUM(Datasheet!Y931,Datasheet!Y941,IF(Datasheet!Y958+Datasheet!Y965&gt;Datasheet!Y953,Datasheet!Y953,0))</f>
        <v>78</v>
      </c>
      <c r="Z308" s="69">
        <f>SUM(Datasheet!Z931,Datasheet!Z941,IF(Datasheet!Z958+Datasheet!Z965&gt;Datasheet!Z953,Datasheet!Z953,0))</f>
        <v>162</v>
      </c>
      <c r="AA308" s="69">
        <f>SUM(Datasheet!AA931,Datasheet!AA941,IF(Datasheet!AA958+Datasheet!AA965&gt;Datasheet!AA953,Datasheet!AA953,0))</f>
        <v>67</v>
      </c>
      <c r="AB308" s="69">
        <f>SUM(Datasheet!AB931,Datasheet!AB941,IF(Datasheet!AB958+Datasheet!AB965&gt;Datasheet!AB953,Datasheet!AB953,0))</f>
        <v>82</v>
      </c>
      <c r="AC308" s="69">
        <f>SUM(Datasheet!AC931,Datasheet!AC941,IF(Datasheet!AC958+Datasheet!AC965&gt;Datasheet!AC953,Datasheet!AC953,0))</f>
        <v>126</v>
      </c>
      <c r="AD308" s="69">
        <f>SUM(Datasheet!AD931,Datasheet!AD941,IF(Datasheet!AD958+Datasheet!AD965&gt;Datasheet!AD953,Datasheet!AD953,0))</f>
        <v>0</v>
      </c>
      <c r="AE308" s="69">
        <f>SUM(Datasheet!AE931,Datasheet!AE941,IF(Datasheet!AE958+Datasheet!AE965&gt;Datasheet!AE953,Datasheet!AE953,0))</f>
        <v>0</v>
      </c>
      <c r="AF308" s="69">
        <f>SUM(Datasheet!AF931,Datasheet!AF941,IF(Datasheet!AF958+Datasheet!AF965&gt;Datasheet!AF953,Datasheet!AF953,0))</f>
        <v>0</v>
      </c>
      <c r="AG308" s="69">
        <f>SUM(Datasheet!AG931,Datasheet!AG941,IF(Datasheet!AG958+Datasheet!AG965&gt;Datasheet!AG953,Datasheet!AG953,0))</f>
        <v>0</v>
      </c>
      <c r="AH308" s="69">
        <f>SUM(Datasheet!AH931,Datasheet!AH941,IF(Datasheet!AH958+Datasheet!AH965&gt;Datasheet!AH953,Datasheet!AH953,0))</f>
        <v>0</v>
      </c>
      <c r="AI308" s="69">
        <f>SUM(Datasheet!AI931,Datasheet!AI941,IF(Datasheet!AI958+Datasheet!AI965&gt;Datasheet!AI953,Datasheet!AI953,0))</f>
        <v>0</v>
      </c>
      <c r="AJ308" s="69">
        <f>SUM(Datasheet!AJ931,Datasheet!AJ941,IF(Datasheet!AJ958+Datasheet!AJ965&gt;Datasheet!AJ953,Datasheet!AJ953,0))</f>
        <v>0</v>
      </c>
      <c r="AK308" s="69">
        <f>SUM(Datasheet!AK931,Datasheet!AK941,IF(Datasheet!AK958+Datasheet!AK965&gt;Datasheet!AK953,Datasheet!AK953,0))</f>
        <v>0</v>
      </c>
    </row>
    <row r="309" spans="1:37" s="4" customFormat="1" x14ac:dyDescent="0.25">
      <c r="B309" s="44"/>
      <c r="C309" s="4" t="s">
        <v>1019</v>
      </c>
      <c r="H309" s="4" t="s">
        <v>23</v>
      </c>
      <c r="I309" s="69"/>
      <c r="J309" s="69"/>
      <c r="K309" s="69"/>
      <c r="L309" s="69"/>
      <c r="M309" s="69"/>
      <c r="N309" s="69"/>
      <c r="O309" s="69"/>
      <c r="P309" s="69"/>
      <c r="Q309" s="69"/>
      <c r="R309" s="69"/>
      <c r="S309" s="69"/>
      <c r="T309" s="69"/>
      <c r="U309" s="69"/>
      <c r="V309" s="69"/>
      <c r="W309" s="69">
        <f>SUM(Datasheet!W932,Datasheet!W942,Datasheet!W961-Datasheet!W955)</f>
        <v>188</v>
      </c>
      <c r="X309" s="69">
        <f>SUM(Datasheet!X932,Datasheet!X942,Datasheet!X961-Datasheet!X955)</f>
        <v>324</v>
      </c>
      <c r="Y309" s="69">
        <f>SUM(Datasheet!Y932,Datasheet!Y942,Datasheet!Y961-Datasheet!Y955)</f>
        <v>236</v>
      </c>
      <c r="Z309" s="69">
        <f>SUM(Datasheet!Z932,Datasheet!Z942,Datasheet!Z961-Datasheet!Z955)</f>
        <v>202</v>
      </c>
      <c r="AA309" s="69">
        <f>SUM(Datasheet!AA932,Datasheet!AA942,Datasheet!AA961-Datasheet!AA955)</f>
        <v>131</v>
      </c>
      <c r="AB309" s="69">
        <f>SUM(Datasheet!AB932,Datasheet!AB942,Datasheet!AB961-Datasheet!AB955)</f>
        <v>227</v>
      </c>
      <c r="AC309" s="69">
        <f>SUM(Datasheet!AC932,Datasheet!AC942,Datasheet!AC961-Datasheet!AC955)</f>
        <v>148</v>
      </c>
      <c r="AD309" s="69">
        <f>SUM(Datasheet!AD932,Datasheet!AD942,Datasheet!AD961-Datasheet!AD955)</f>
        <v>0</v>
      </c>
      <c r="AE309" s="69">
        <f>SUM(Datasheet!AE932,Datasheet!AE942,Datasheet!AE961-Datasheet!AE955)</f>
        <v>0</v>
      </c>
      <c r="AF309" s="69">
        <f>SUM(Datasheet!AF932,Datasheet!AF942,Datasheet!AF961-Datasheet!AF955)</f>
        <v>0</v>
      </c>
      <c r="AG309" s="69">
        <f>SUM(Datasheet!AG932,Datasheet!AG942,Datasheet!AG961-Datasheet!AG955)</f>
        <v>0</v>
      </c>
      <c r="AH309" s="69">
        <f>SUM(Datasheet!AH932,Datasheet!AH942,Datasheet!AH961-Datasheet!AH955)</f>
        <v>0</v>
      </c>
      <c r="AI309" s="69">
        <f>SUM(Datasheet!AI932,Datasheet!AI942,Datasheet!AI961-Datasheet!AI955)</f>
        <v>0</v>
      </c>
      <c r="AJ309" s="69">
        <f>SUM(Datasheet!AJ932,Datasheet!AJ942,Datasheet!AJ961-Datasheet!AJ955)</f>
        <v>0</v>
      </c>
      <c r="AK309" s="69">
        <f>SUM(Datasheet!AK932,Datasheet!AK942,Datasheet!AK961-Datasheet!AK955)</f>
        <v>0</v>
      </c>
    </row>
    <row r="310" spans="1:37" s="4" customFormat="1" x14ac:dyDescent="0.25">
      <c r="B310" s="44"/>
      <c r="C310" s="4" t="s">
        <v>1020</v>
      </c>
      <c r="H310" s="4" t="s">
        <v>1021</v>
      </c>
      <c r="I310" s="69"/>
      <c r="J310" s="69"/>
      <c r="K310" s="69"/>
      <c r="L310" s="69"/>
      <c r="M310" s="69"/>
      <c r="N310" s="69"/>
      <c r="O310" s="69"/>
      <c r="P310" s="69"/>
      <c r="Q310" s="69"/>
      <c r="R310" s="69"/>
      <c r="S310" s="69"/>
      <c r="T310" s="69"/>
      <c r="U310" s="69"/>
      <c r="V310" s="69"/>
      <c r="W310" s="60">
        <f>SUM(W306:W308)/SUM(W306:W309)</f>
        <v>0.49866666666666665</v>
      </c>
      <c r="X310" s="60">
        <f t="shared" ref="X310:AK310" si="24">SUM(X306:X308)/SUM(X306:X309)</f>
        <v>0.49532710280373832</v>
      </c>
      <c r="Y310" s="60">
        <f t="shared" si="24"/>
        <v>0.52515090543259557</v>
      </c>
      <c r="Z310" s="60">
        <f t="shared" si="24"/>
        <v>0.64310954063604242</v>
      </c>
      <c r="AA310" s="60">
        <f t="shared" si="24"/>
        <v>0.72068230277185497</v>
      </c>
      <c r="AB310" s="60">
        <f t="shared" si="24"/>
        <v>0.66017964071856283</v>
      </c>
      <c r="AC310" s="60">
        <f t="shared" si="24"/>
        <v>0.81995133819951338</v>
      </c>
      <c r="AD310" s="60" t="e">
        <f t="shared" si="24"/>
        <v>#DIV/0!</v>
      </c>
      <c r="AE310" s="60" t="e">
        <f t="shared" si="24"/>
        <v>#DIV/0!</v>
      </c>
      <c r="AF310" s="60" t="e">
        <f t="shared" si="24"/>
        <v>#DIV/0!</v>
      </c>
      <c r="AG310" s="60" t="e">
        <f t="shared" si="24"/>
        <v>#DIV/0!</v>
      </c>
      <c r="AH310" s="60" t="e">
        <f t="shared" si="24"/>
        <v>#DIV/0!</v>
      </c>
      <c r="AI310" s="60" t="e">
        <f t="shared" si="24"/>
        <v>#DIV/0!</v>
      </c>
      <c r="AJ310" s="60" t="e">
        <f t="shared" si="24"/>
        <v>#DIV/0!</v>
      </c>
      <c r="AK310" s="60" t="e">
        <f t="shared" si="24"/>
        <v>#DIV/0!</v>
      </c>
    </row>
    <row r="311" spans="1:37" s="66" customFormat="1" x14ac:dyDescent="0.25">
      <c r="B311" s="67"/>
      <c r="I311" s="68"/>
      <c r="J311" s="68"/>
      <c r="K311" s="68"/>
      <c r="L311" s="68"/>
      <c r="M311" s="68"/>
      <c r="N311" s="68"/>
      <c r="O311" s="68"/>
      <c r="P311" s="68"/>
      <c r="Q311" s="68"/>
      <c r="R311" s="68"/>
      <c r="S311" s="68"/>
      <c r="T311" s="68"/>
      <c r="U311" s="68"/>
      <c r="V311" s="68"/>
      <c r="W311" s="68"/>
      <c r="X311" s="68"/>
      <c r="Y311" s="68"/>
      <c r="Z311" s="68"/>
      <c r="AA311" s="68"/>
      <c r="AB311" s="68"/>
      <c r="AC311" s="68"/>
      <c r="AD311" s="68"/>
      <c r="AE311" s="68"/>
      <c r="AF311" s="68"/>
      <c r="AG311" s="68"/>
      <c r="AH311" s="68"/>
      <c r="AI311" s="68"/>
      <c r="AJ311" s="68"/>
      <c r="AK311" s="68"/>
    </row>
    <row r="312" spans="1:37" s="56" customFormat="1" ht="17.25" x14ac:dyDescent="0.3">
      <c r="A312" s="56" t="s">
        <v>1022</v>
      </c>
    </row>
    <row r="313" spans="1:37" x14ac:dyDescent="0.25">
      <c r="B313" s="29" t="s">
        <v>877</v>
      </c>
      <c r="C313" t="s">
        <v>754</v>
      </c>
    </row>
    <row r="314" spans="1:37" x14ac:dyDescent="0.25">
      <c r="B314" s="29" t="s">
        <v>879</v>
      </c>
      <c r="C314" t="s">
        <v>1023</v>
      </c>
    </row>
    <row r="315" spans="1:37" x14ac:dyDescent="0.25">
      <c r="B315" s="29" t="s">
        <v>881</v>
      </c>
      <c r="C315" t="s">
        <v>1024</v>
      </c>
    </row>
    <row r="316" spans="1:37" x14ac:dyDescent="0.25">
      <c r="B316" s="29" t="s">
        <v>883</v>
      </c>
      <c r="C316" s="263" t="s">
        <v>264</v>
      </c>
    </row>
    <row r="317" spans="1:37" x14ac:dyDescent="0.25">
      <c r="B317" s="29"/>
      <c r="C317" s="263" t="s">
        <v>73</v>
      </c>
    </row>
    <row r="318" spans="1:37" x14ac:dyDescent="0.25">
      <c r="B318" s="29"/>
      <c r="C318" s="263" t="s">
        <v>602</v>
      </c>
    </row>
    <row r="319" spans="1:37" x14ac:dyDescent="0.25">
      <c r="B319" s="29" t="s">
        <v>885</v>
      </c>
      <c r="C319" t="s">
        <v>1025</v>
      </c>
    </row>
    <row r="320" spans="1:37" x14ac:dyDescent="0.25">
      <c r="B320" s="29"/>
      <c r="D320" t="s">
        <v>1026</v>
      </c>
    </row>
    <row r="321" spans="2:37" x14ac:dyDescent="0.25">
      <c r="B321" s="29" t="s">
        <v>886</v>
      </c>
      <c r="C321" t="s">
        <v>1027</v>
      </c>
    </row>
    <row r="322" spans="2:37" x14ac:dyDescent="0.25">
      <c r="B322" s="29"/>
      <c r="C322" t="s">
        <v>1028</v>
      </c>
    </row>
    <row r="323" spans="2:37" x14ac:dyDescent="0.25">
      <c r="B323" s="29" t="s">
        <v>887</v>
      </c>
      <c r="C323" t="s">
        <v>1029</v>
      </c>
    </row>
    <row r="324" spans="2:37" x14ac:dyDescent="0.25">
      <c r="B324" s="29"/>
      <c r="C324" t="s">
        <v>1030</v>
      </c>
    </row>
    <row r="325" spans="2:37" x14ac:dyDescent="0.25">
      <c r="B325" s="29"/>
    </row>
    <row r="326" spans="2:37" x14ac:dyDescent="0.25">
      <c r="B326" s="29" t="s">
        <v>19</v>
      </c>
      <c r="C326" t="s">
        <v>1031</v>
      </c>
    </row>
    <row r="327" spans="2:37" x14ac:dyDescent="0.25">
      <c r="B327" s="29"/>
      <c r="C327" t="s">
        <v>1032</v>
      </c>
    </row>
    <row r="328" spans="2:37" x14ac:dyDescent="0.25">
      <c r="B328" s="29"/>
      <c r="C328" t="s">
        <v>1033</v>
      </c>
    </row>
    <row r="329" spans="2:37" s="57" customFormat="1" ht="15.75" thickBot="1" x14ac:dyDescent="0.3"/>
    <row r="330" spans="2:37" s="4" customFormat="1" ht="15.75" thickTop="1" x14ac:dyDescent="0.25">
      <c r="B330" s="44"/>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row>
    <row r="331" spans="2:37" s="4" customFormat="1" x14ac:dyDescent="0.25">
      <c r="B331" s="44"/>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59"/>
    </row>
    <row r="332" spans="2:37" s="4" customFormat="1" x14ac:dyDescent="0.25">
      <c r="B332" s="44"/>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row>
    <row r="333" spans="2:37" s="4" customFormat="1" x14ac:dyDescent="0.25">
      <c r="B333" s="44"/>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59"/>
      <c r="AJ333" s="59"/>
      <c r="AK333" s="59"/>
    </row>
    <row r="334" spans="2:37" s="4" customFormat="1" x14ac:dyDescent="0.25">
      <c r="B334" s="44"/>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row>
    <row r="335" spans="2:37" s="4" customFormat="1" x14ac:dyDescent="0.25">
      <c r="B335" s="44"/>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row>
    <row r="336" spans="2:37" s="4" customFormat="1" x14ac:dyDescent="0.25">
      <c r="B336" s="44"/>
      <c r="I336" s="59"/>
      <c r="J336" s="59"/>
      <c r="K336" s="59"/>
      <c r="L336" s="59"/>
      <c r="M336" s="59"/>
      <c r="N336" s="59"/>
      <c r="O336" s="59"/>
      <c r="P336" s="59"/>
      <c r="Q336" s="59"/>
      <c r="R336" s="59"/>
      <c r="S336" s="59"/>
      <c r="T336" s="59"/>
      <c r="U336" s="59"/>
      <c r="V336" s="59"/>
      <c r="W336" s="59"/>
      <c r="X336" s="59"/>
      <c r="Y336" s="59"/>
      <c r="Z336" s="59"/>
      <c r="AA336" s="59"/>
      <c r="AB336" s="59"/>
      <c r="AC336" s="59"/>
      <c r="AD336" s="59"/>
      <c r="AE336" s="59"/>
      <c r="AF336" s="59"/>
      <c r="AG336" s="59"/>
      <c r="AH336" s="59"/>
      <c r="AI336" s="59"/>
      <c r="AJ336" s="59"/>
      <c r="AK336" s="59"/>
    </row>
    <row r="337" spans="2:37" s="4" customFormat="1" x14ac:dyDescent="0.25">
      <c r="B337" s="44"/>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row>
    <row r="338" spans="2:37" s="4" customFormat="1" x14ac:dyDescent="0.25">
      <c r="B338" s="44"/>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row>
    <row r="339" spans="2:37" s="4" customFormat="1" x14ac:dyDescent="0.25">
      <c r="B339" s="44"/>
      <c r="I339" s="59"/>
      <c r="J339" s="59"/>
      <c r="K339" s="59"/>
      <c r="L339" s="59"/>
      <c r="M339" s="59"/>
      <c r="N339" s="59"/>
      <c r="O339" s="59"/>
      <c r="P339" s="59"/>
      <c r="Q339" s="59"/>
      <c r="R339" s="59"/>
      <c r="S339" s="59"/>
      <c r="T339" s="59"/>
      <c r="U339" s="59"/>
      <c r="V339" s="59"/>
      <c r="W339" s="59"/>
      <c r="X339" s="59"/>
      <c r="Y339" s="59"/>
      <c r="Z339" s="59"/>
      <c r="AA339" s="59"/>
      <c r="AB339" s="59"/>
      <c r="AC339" s="59"/>
      <c r="AD339" s="59"/>
      <c r="AE339" s="59"/>
      <c r="AF339" s="59"/>
      <c r="AG339" s="59"/>
      <c r="AH339" s="59"/>
      <c r="AI339" s="59"/>
      <c r="AJ339" s="59"/>
      <c r="AK339" s="59"/>
    </row>
    <row r="340" spans="2:37" s="4" customFormat="1" x14ac:dyDescent="0.25">
      <c r="B340" s="44"/>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row>
    <row r="341" spans="2:37" s="4" customFormat="1" x14ac:dyDescent="0.25">
      <c r="B341" s="44"/>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row>
    <row r="342" spans="2:37" s="4" customFormat="1" x14ac:dyDescent="0.25">
      <c r="B342" s="44"/>
      <c r="I342" s="59"/>
      <c r="J342" s="59"/>
      <c r="K342" s="59"/>
      <c r="L342" s="59"/>
      <c r="M342" s="59"/>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row>
    <row r="343" spans="2:37" s="4" customFormat="1" x14ac:dyDescent="0.25">
      <c r="B343" s="44"/>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row>
    <row r="344" spans="2:37" s="4" customFormat="1" x14ac:dyDescent="0.25">
      <c r="B344" s="44"/>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row>
    <row r="345" spans="2:37" s="4" customFormat="1" x14ac:dyDescent="0.25">
      <c r="B345" s="44" t="s">
        <v>21</v>
      </c>
      <c r="C345" s="4" t="s">
        <v>1034</v>
      </c>
      <c r="H345" s="4" t="s">
        <v>111</v>
      </c>
      <c r="I345" s="102">
        <f>Datasheet!I502/SUM(Datasheet!I481,Datasheet!I460)</f>
        <v>0.73057671381936884</v>
      </c>
      <c r="J345" s="102">
        <f>Datasheet!J502/SUM(Datasheet!J481,Datasheet!J460)</f>
        <v>0.72231567143257636</v>
      </c>
      <c r="K345" s="102">
        <f>Datasheet!K502/SUM(Datasheet!K481,Datasheet!K460)</f>
        <v>0.73826516607191872</v>
      </c>
      <c r="L345" s="102">
        <f>Datasheet!L502/SUM(Datasheet!L481,Datasheet!L460)</f>
        <v>0.73426527096859684</v>
      </c>
      <c r="M345" s="102">
        <f>Datasheet!M502/SUM(Datasheet!M481,Datasheet!M460)</f>
        <v>0.73431758107149769</v>
      </c>
      <c r="N345" s="102">
        <f>Datasheet!N502/SUM(Datasheet!N481,Datasheet!N460)</f>
        <v>0.70436187399030692</v>
      </c>
      <c r="O345" s="102">
        <f>Datasheet!O502/SUM(Datasheet!O481,Datasheet!O460)</f>
        <v>0.68617737003058099</v>
      </c>
      <c r="P345" s="102">
        <f>Datasheet!P502/SUM(Datasheet!P481,Datasheet!P460)</f>
        <v>0.64659135688953107</v>
      </c>
      <c r="Q345" s="102">
        <f>Datasheet!Q502/SUM(Datasheet!Q481,Datasheet!Q460)</f>
        <v>0.7266617380200282</v>
      </c>
      <c r="R345" s="102">
        <f>Datasheet!R502/SUM(Datasheet!R481,Datasheet!R460)</f>
        <v>0.6753360215053763</v>
      </c>
      <c r="S345" s="102">
        <f>Datasheet!S502/SUM(Datasheet!S481,Datasheet!S460)</f>
        <v>0.60095802009181021</v>
      </c>
      <c r="T345" s="102">
        <f>Datasheet!T502/SUM(Datasheet!T481,Datasheet!T460)</f>
        <v>0.59251905463395893</v>
      </c>
      <c r="U345" s="102">
        <f>Datasheet!U502/SUM(Datasheet!U481,Datasheet!U460)</f>
        <v>0.59621848739495797</v>
      </c>
      <c r="V345" s="102">
        <f>Datasheet!V502/SUM(Datasheet!V481,Datasheet!V460)</f>
        <v>0.6023552847433794</v>
      </c>
      <c r="W345" s="102">
        <f>Datasheet!W502/SUM(Datasheet!W481,Datasheet!W460)</f>
        <v>0.61090465683428175</v>
      </c>
      <c r="X345" s="102">
        <f>Datasheet!X502/SUM(Datasheet!X481,Datasheet!X460)</f>
        <v>0.60778990525790899</v>
      </c>
      <c r="Y345" s="102">
        <f>Datasheet!Y502/SUM(Datasheet!Y481,Datasheet!Y460)</f>
        <v>0.59928922908693272</v>
      </c>
      <c r="Z345" s="102">
        <f>Datasheet!Z502/SUM(Datasheet!Z481,Datasheet!Z460)</f>
        <v>0.57195386087744926</v>
      </c>
      <c r="AA345" s="102">
        <f>Datasheet!AA502/SUM(Datasheet!AA481,Datasheet!AA460)</f>
        <v>0.61522285180209124</v>
      </c>
      <c r="AB345" s="102" t="e">
        <f>Datasheet!AB502/SUM(Datasheet!AB481,Datasheet!AB460)</f>
        <v>#DIV/0!</v>
      </c>
      <c r="AC345" s="102" t="e">
        <f>Datasheet!AC502/SUM(Datasheet!AC481,Datasheet!AC460)</f>
        <v>#DIV/0!</v>
      </c>
      <c r="AD345" s="102" t="e">
        <f>Datasheet!AD502/SUM(Datasheet!AD481,Datasheet!AD460)</f>
        <v>#DIV/0!</v>
      </c>
      <c r="AE345" s="102" t="e">
        <f>Datasheet!AE502/SUM(Datasheet!AE481,Datasheet!AE460)</f>
        <v>#DIV/0!</v>
      </c>
      <c r="AF345" s="102" t="e">
        <f>Datasheet!AF502/SUM(Datasheet!AF481,Datasheet!AF460)</f>
        <v>#DIV/0!</v>
      </c>
      <c r="AG345" s="102" t="e">
        <f>Datasheet!AG502/SUM(Datasheet!AG481,Datasheet!AG460)</f>
        <v>#DIV/0!</v>
      </c>
      <c r="AH345" s="102" t="e">
        <f>Datasheet!AH502/SUM(Datasheet!AH481,Datasheet!AH460)</f>
        <v>#DIV/0!</v>
      </c>
      <c r="AI345" s="102" t="e">
        <f>Datasheet!AI502/SUM(Datasheet!AI481,Datasheet!AI460)</f>
        <v>#DIV/0!</v>
      </c>
      <c r="AJ345" s="102" t="e">
        <f>Datasheet!AJ502/SUM(Datasheet!AJ481,Datasheet!AJ460)</f>
        <v>#DIV/0!</v>
      </c>
      <c r="AK345" s="102" t="e">
        <f>Datasheet!AK502/SUM(Datasheet!AK481,Datasheet!AK460)</f>
        <v>#DIV/0!</v>
      </c>
    </row>
    <row r="346" spans="2:37" s="4" customFormat="1" x14ac:dyDescent="0.25">
      <c r="B346" s="44"/>
      <c r="C346" s="4" t="s">
        <v>1035</v>
      </c>
      <c r="H346" s="4" t="s">
        <v>23</v>
      </c>
      <c r="I346" s="102">
        <f t="shared" ref="I346:P346" si="25">I347/I348</f>
        <v>0.46025515210991169</v>
      </c>
      <c r="J346" s="102">
        <f t="shared" si="25"/>
        <v>0.46084662429547907</v>
      </c>
      <c r="K346" s="102">
        <f t="shared" si="25"/>
        <v>0.46420323325635104</v>
      </c>
      <c r="L346" s="102">
        <f t="shared" si="25"/>
        <v>0.46404264972776771</v>
      </c>
      <c r="M346" s="102">
        <f t="shared" si="25"/>
        <v>0.46577758183621737</v>
      </c>
      <c r="N346" s="102">
        <f t="shared" si="25"/>
        <v>0.46357830934083777</v>
      </c>
      <c r="O346" s="102">
        <f t="shared" si="25"/>
        <v>0.46139940450871969</v>
      </c>
      <c r="P346" s="102">
        <f t="shared" si="25"/>
        <v>0.45946791862284819</v>
      </c>
      <c r="Q346" s="102">
        <f>Q347/Q348</f>
        <v>0.4556637621732445</v>
      </c>
      <c r="R346" s="102">
        <f t="shared" ref="R346:AK346" si="26">R347/R348</f>
        <v>0.45424004886490887</v>
      </c>
      <c r="S346" s="102">
        <f t="shared" si="26"/>
        <v>0.45403984224896349</v>
      </c>
      <c r="T346" s="102">
        <f t="shared" si="26"/>
        <v>0.452572347266881</v>
      </c>
      <c r="U346" s="102">
        <f t="shared" si="26"/>
        <v>0.45337045138198451</v>
      </c>
      <c r="V346" s="102">
        <f t="shared" si="26"/>
        <v>0.45203730976926854</v>
      </c>
      <c r="W346" s="102">
        <f t="shared" si="26"/>
        <v>0.45221942236867613</v>
      </c>
      <c r="X346" s="102">
        <f t="shared" si="26"/>
        <v>0.44790465205690116</v>
      </c>
      <c r="Y346" s="102">
        <f t="shared" si="26"/>
        <v>0.44753261486103235</v>
      </c>
      <c r="Z346" s="102">
        <f t="shared" si="26"/>
        <v>0.45</v>
      </c>
      <c r="AA346" s="102">
        <f t="shared" si="26"/>
        <v>0.45554047942107645</v>
      </c>
      <c r="AB346" s="102">
        <f t="shared" si="26"/>
        <v>0.46066619418851878</v>
      </c>
      <c r="AC346" s="102">
        <f t="shared" si="26"/>
        <v>0.45975096457383374</v>
      </c>
      <c r="AD346" s="102">
        <f t="shared" si="26"/>
        <v>0.45979128299570288</v>
      </c>
      <c r="AE346" s="102">
        <f t="shared" si="26"/>
        <v>0.45979128299570288</v>
      </c>
      <c r="AF346" s="102">
        <f t="shared" si="26"/>
        <v>0.45979128299570288</v>
      </c>
      <c r="AG346" s="102">
        <f t="shared" si="26"/>
        <v>0.45979128299570288</v>
      </c>
      <c r="AH346" s="102">
        <f t="shared" si="26"/>
        <v>0.45979128299570288</v>
      </c>
      <c r="AI346" s="102">
        <f t="shared" si="26"/>
        <v>0.45979128299570288</v>
      </c>
      <c r="AJ346" s="102">
        <f t="shared" si="26"/>
        <v>0.45979128299570288</v>
      </c>
      <c r="AK346" s="102">
        <f t="shared" si="26"/>
        <v>0.45979128299570288</v>
      </c>
    </row>
    <row r="347" spans="2:37" s="4" customFormat="1" x14ac:dyDescent="0.25">
      <c r="B347" s="44"/>
      <c r="D347" s="4" t="s">
        <v>1036</v>
      </c>
      <c r="H347" s="4" t="s">
        <v>23</v>
      </c>
      <c r="I347" s="69">
        <f>Datasheet!I192</f>
        <v>3752</v>
      </c>
      <c r="J347" s="69">
        <f>Datasheet!J192</f>
        <v>3843</v>
      </c>
      <c r="K347" s="69">
        <f>Datasheet!K192</f>
        <v>4020</v>
      </c>
      <c r="L347" s="69">
        <f>Datasheet!L192</f>
        <v>4091</v>
      </c>
      <c r="M347" s="69">
        <f>Datasheet!M192</f>
        <v>4226</v>
      </c>
      <c r="N347" s="69">
        <f>Datasheet!N192</f>
        <v>4283</v>
      </c>
      <c r="O347" s="69">
        <f>Datasheet!O192</f>
        <v>4339</v>
      </c>
      <c r="P347" s="69">
        <f>Datasheet!P192</f>
        <v>4404</v>
      </c>
      <c r="Q347" s="69">
        <f>Datasheet!Q192</f>
        <v>4445</v>
      </c>
      <c r="R347" s="69">
        <f>Datasheet!R192</f>
        <v>4462</v>
      </c>
      <c r="S347" s="69">
        <f>Datasheet!S192</f>
        <v>4490</v>
      </c>
      <c r="T347" s="69">
        <f>Datasheet!T192</f>
        <v>4504</v>
      </c>
      <c r="U347" s="69">
        <f>Datasheet!U192</f>
        <v>4560</v>
      </c>
      <c r="V347" s="69">
        <f>Datasheet!V192</f>
        <v>4604</v>
      </c>
      <c r="W347" s="69">
        <f>Datasheet!W192</f>
        <v>4666</v>
      </c>
      <c r="X347" s="69">
        <f>Datasheet!X192</f>
        <v>4660</v>
      </c>
      <c r="Y347" s="69">
        <f>Datasheet!Y192</f>
        <v>4734</v>
      </c>
      <c r="Z347" s="69">
        <f>Datasheet!Z192</f>
        <v>4869</v>
      </c>
      <c r="AA347" s="69">
        <f>Datasheet!AA192</f>
        <v>5036</v>
      </c>
      <c r="AB347" s="69">
        <f>Datasheet!AB192</f>
        <v>5200</v>
      </c>
      <c r="AC347" s="69">
        <f>Datasheet!AC192</f>
        <v>5243</v>
      </c>
      <c r="AD347" s="69">
        <f>Datasheet!AD192</f>
        <v>5243</v>
      </c>
      <c r="AE347" s="69">
        <f>Datasheet!AE192</f>
        <v>5243</v>
      </c>
      <c r="AF347" s="69">
        <f>Datasheet!AF192</f>
        <v>5243</v>
      </c>
      <c r="AG347" s="69">
        <f>Datasheet!AG192</f>
        <v>5243</v>
      </c>
      <c r="AH347" s="69">
        <f>Datasheet!AH192</f>
        <v>5243</v>
      </c>
      <c r="AI347" s="69">
        <f>Datasheet!AI192</f>
        <v>5243</v>
      </c>
      <c r="AJ347" s="69">
        <f>Datasheet!AJ192</f>
        <v>5243</v>
      </c>
      <c r="AK347" s="69">
        <f>Datasheet!AK192</f>
        <v>5243</v>
      </c>
    </row>
    <row r="348" spans="2:37" s="4" customFormat="1" x14ac:dyDescent="0.25">
      <c r="B348" s="44"/>
      <c r="D348" s="4" t="s">
        <v>1015</v>
      </c>
      <c r="H348" s="4" t="s">
        <v>23</v>
      </c>
      <c r="I348" s="69">
        <f>Datasheet!I190</f>
        <v>8152</v>
      </c>
      <c r="J348" s="69">
        <f>Datasheet!J190</f>
        <v>8339</v>
      </c>
      <c r="K348" s="69">
        <f>Datasheet!K190</f>
        <v>8660</v>
      </c>
      <c r="L348" s="69">
        <f>Datasheet!L190</f>
        <v>8816</v>
      </c>
      <c r="M348" s="69">
        <f>Datasheet!M190</f>
        <v>9073</v>
      </c>
      <c r="N348" s="69">
        <f>Datasheet!N190</f>
        <v>9239</v>
      </c>
      <c r="O348" s="69">
        <f>Datasheet!O190</f>
        <v>9404</v>
      </c>
      <c r="P348" s="69">
        <f>Datasheet!P190</f>
        <v>9585</v>
      </c>
      <c r="Q348" s="69">
        <f>Datasheet!Q190</f>
        <v>9755</v>
      </c>
      <c r="R348" s="69">
        <f>Datasheet!R190</f>
        <v>9823</v>
      </c>
      <c r="S348" s="69">
        <f>Datasheet!S190</f>
        <v>9889</v>
      </c>
      <c r="T348" s="69">
        <f>Datasheet!T190</f>
        <v>9952</v>
      </c>
      <c r="U348" s="69">
        <f>Datasheet!U190</f>
        <v>10058</v>
      </c>
      <c r="V348" s="69">
        <f>Datasheet!V190</f>
        <v>10185</v>
      </c>
      <c r="W348" s="69">
        <f>Datasheet!W190</f>
        <v>10318</v>
      </c>
      <c r="X348" s="69">
        <f>Datasheet!X190</f>
        <v>10404</v>
      </c>
      <c r="Y348" s="69">
        <f>Datasheet!Y190</f>
        <v>10578</v>
      </c>
      <c r="Z348" s="69">
        <f>Datasheet!Z190</f>
        <v>10820</v>
      </c>
      <c r="AA348" s="69">
        <f>Datasheet!AA190</f>
        <v>11055</v>
      </c>
      <c r="AB348" s="69">
        <f>Datasheet!AB190</f>
        <v>11288</v>
      </c>
      <c r="AC348" s="69">
        <f>Datasheet!AC190</f>
        <v>11404</v>
      </c>
      <c r="AD348" s="69">
        <f>Datasheet!AD190</f>
        <v>11403</v>
      </c>
      <c r="AE348" s="69">
        <f>Datasheet!AE190</f>
        <v>11403</v>
      </c>
      <c r="AF348" s="69">
        <f>Datasheet!AF190</f>
        <v>11403</v>
      </c>
      <c r="AG348" s="69">
        <f>Datasheet!AG190</f>
        <v>11403</v>
      </c>
      <c r="AH348" s="69">
        <f>Datasheet!AH190</f>
        <v>11403</v>
      </c>
      <c r="AI348" s="69">
        <f>Datasheet!AI190</f>
        <v>11403</v>
      </c>
      <c r="AJ348" s="69">
        <f>Datasheet!AJ190</f>
        <v>11403</v>
      </c>
      <c r="AK348" s="69">
        <f>Datasheet!AK190</f>
        <v>11403</v>
      </c>
    </row>
    <row r="349" spans="2:37" s="4" customFormat="1" x14ac:dyDescent="0.25">
      <c r="B349" s="44"/>
      <c r="E349" s="79" t="s">
        <v>1037</v>
      </c>
      <c r="F349" s="79"/>
      <c r="G349" s="79"/>
      <c r="H349" s="79" t="s">
        <v>1021</v>
      </c>
      <c r="I349" s="138" t="e">
        <f>Datasheet!I645/(Datasheet!I643+Datasheet!I644)</f>
        <v>#DIV/0!</v>
      </c>
      <c r="J349" s="138" t="e">
        <f>Datasheet!J645/(Datasheet!J643+Datasheet!J644)</f>
        <v>#DIV/0!</v>
      </c>
      <c r="K349" s="138" t="e">
        <f>Datasheet!K645/(Datasheet!K643+Datasheet!K644)</f>
        <v>#DIV/0!</v>
      </c>
      <c r="L349" s="138" t="e">
        <f>Datasheet!L645/(Datasheet!L643+Datasheet!L644)</f>
        <v>#DIV/0!</v>
      </c>
      <c r="M349" s="138" t="e">
        <f>Datasheet!M645/(Datasheet!M643+Datasheet!M644)</f>
        <v>#DIV/0!</v>
      </c>
      <c r="N349" s="138" t="e">
        <f>Datasheet!N645/(Datasheet!N643+Datasheet!N644)</f>
        <v>#DIV/0!</v>
      </c>
      <c r="O349" s="138" t="e">
        <f>Datasheet!O645/(Datasheet!O643+Datasheet!O644)</f>
        <v>#DIV/0!</v>
      </c>
      <c r="P349" s="138" t="e">
        <f>Datasheet!P645/(Datasheet!P643+Datasheet!P644)</f>
        <v>#DIV/0!</v>
      </c>
      <c r="Q349" s="138">
        <f>Datasheet!Q645/(Datasheet!Q643+Datasheet!Q644)</f>
        <v>0.42754116206286569</v>
      </c>
      <c r="R349" s="138">
        <f>Datasheet!R645/(Datasheet!R643+Datasheet!R644)</f>
        <v>0.46128087065717871</v>
      </c>
      <c r="S349" s="138">
        <f>Datasheet!S645/(Datasheet!S643+Datasheet!S644)</f>
        <v>0.45601534667032062</v>
      </c>
      <c r="T349" s="138">
        <f>Datasheet!T645/(Datasheet!T643+Datasheet!T644)</f>
        <v>0.42951338520374521</v>
      </c>
      <c r="U349" s="138">
        <f>Datasheet!U645/(Datasheet!U643+Datasheet!U644)</f>
        <v>0.42271052965832595</v>
      </c>
      <c r="V349" s="138">
        <f>Datasheet!V645/(Datasheet!V643+Datasheet!V644)</f>
        <v>0.41846830340784169</v>
      </c>
      <c r="W349" s="138">
        <f>Datasheet!W645/(Datasheet!W643+Datasheet!W644)</f>
        <v>0.43155317164179102</v>
      </c>
      <c r="X349" s="138">
        <f>Datasheet!X645/(Datasheet!X643+Datasheet!X644)</f>
        <v>0.43422105383472398</v>
      </c>
      <c r="Y349" s="138">
        <f>Datasheet!Y645/(Datasheet!Y643+Datasheet!Y644)</f>
        <v>0.44605277808707272</v>
      </c>
      <c r="Z349" s="138">
        <f>Datasheet!Z645/(Datasheet!Z643+Datasheet!Z644)</f>
        <v>0.4491458309763548</v>
      </c>
      <c r="AA349" s="138">
        <f>Datasheet!AA645/(Datasheet!AA643+Datasheet!AA644)</f>
        <v>0.4667952883834281</v>
      </c>
      <c r="AB349" s="138">
        <f>Datasheet!AB645/(Datasheet!AB643+Datasheet!AB644)</f>
        <v>0.45959757266049184</v>
      </c>
      <c r="AC349" s="138" t="e">
        <f>Datasheet!AC645/(Datasheet!AC643+Datasheet!AC644)</f>
        <v>#DIV/0!</v>
      </c>
      <c r="AD349" s="138" t="e">
        <f>Datasheet!AD645/(Datasheet!AD643+Datasheet!AD644)</f>
        <v>#DIV/0!</v>
      </c>
      <c r="AE349" s="138" t="e">
        <f>Datasheet!AE645/(Datasheet!AE643+Datasheet!AE644)</f>
        <v>#DIV/0!</v>
      </c>
      <c r="AF349" s="138" t="e">
        <f>Datasheet!AF645/(Datasheet!AF643+Datasheet!AF644)</f>
        <v>#DIV/0!</v>
      </c>
      <c r="AG349" s="138" t="e">
        <f>Datasheet!AG645/(Datasheet!AG643+Datasheet!AG644)</f>
        <v>#DIV/0!</v>
      </c>
      <c r="AH349" s="138" t="e">
        <f>Datasheet!AH645/(Datasheet!AH643+Datasheet!AH644)</f>
        <v>#DIV/0!</v>
      </c>
      <c r="AI349" s="138" t="e">
        <f>Datasheet!AI645/(Datasheet!AI643+Datasheet!AI644)</f>
        <v>#DIV/0!</v>
      </c>
      <c r="AJ349" s="138" t="e">
        <f>Datasheet!AJ645/(Datasheet!AJ643+Datasheet!AJ644)</f>
        <v>#DIV/0!</v>
      </c>
      <c r="AK349" s="138" t="e">
        <f>Datasheet!AK645/(Datasheet!AK643+Datasheet!AK644)</f>
        <v>#DIV/0!</v>
      </c>
    </row>
    <row r="350" spans="2:37" s="4" customFormat="1" x14ac:dyDescent="0.25">
      <c r="B350" s="44"/>
      <c r="E350" s="79" t="s">
        <v>1038</v>
      </c>
      <c r="H350" s="79" t="s">
        <v>1039</v>
      </c>
      <c r="I350" s="138" t="e">
        <f>Datasheet!I626/SUM(Datasheet!I624:I625)</f>
        <v>#DIV/0!</v>
      </c>
      <c r="J350" s="138" t="e">
        <f>Datasheet!J626/SUM(Datasheet!J624:J625)</f>
        <v>#DIV/0!</v>
      </c>
      <c r="K350" s="138" t="e">
        <f>Datasheet!K626/SUM(Datasheet!K624:K625)</f>
        <v>#DIV/0!</v>
      </c>
      <c r="L350" s="138" t="e">
        <f>Datasheet!L626/SUM(Datasheet!L624:L625)</f>
        <v>#DIV/0!</v>
      </c>
      <c r="M350" s="138" t="e">
        <f>Datasheet!M626/SUM(Datasheet!M624:M625)</f>
        <v>#DIV/0!</v>
      </c>
      <c r="N350" s="138" t="e">
        <f>Datasheet!N626/SUM(Datasheet!N624:N625)</f>
        <v>#DIV/0!</v>
      </c>
      <c r="O350" s="138" t="e">
        <f>Datasheet!O626/SUM(Datasheet!O624:O625)</f>
        <v>#DIV/0!</v>
      </c>
      <c r="P350" s="138" t="e">
        <f>Datasheet!P626/SUM(Datasheet!P624:P625)</f>
        <v>#DIV/0!</v>
      </c>
      <c r="Q350" s="138">
        <f>Datasheet!Q626/SUM(Datasheet!Q624:Q625)</f>
        <v>0.4634301983114078</v>
      </c>
      <c r="R350" s="138">
        <f>Datasheet!R626/SUM(Datasheet!R624:R625)</f>
        <v>0.45779438535977773</v>
      </c>
      <c r="S350" s="138">
        <f>Datasheet!S626/SUM(Datasheet!S624:S625)</f>
        <v>0.45889628924833492</v>
      </c>
      <c r="T350" s="138">
        <f>Datasheet!T626/SUM(Datasheet!T624:T625)</f>
        <v>0.45996424538953706</v>
      </c>
      <c r="U350" s="138">
        <f>Datasheet!U626/SUM(Datasheet!U624:U625)</f>
        <v>0.46184143459524579</v>
      </c>
      <c r="V350" s="138">
        <f>Datasheet!V626/SUM(Datasheet!V624:V625)</f>
        <v>0.46379460002741102</v>
      </c>
      <c r="W350" s="138">
        <f>Datasheet!W626/SUM(Datasheet!W624:W625)</f>
        <v>0.46370731267198989</v>
      </c>
      <c r="X350" s="138">
        <f>Datasheet!X626/SUM(Datasheet!X624:X625)</f>
        <v>0.46651135701805474</v>
      </c>
      <c r="Y350" s="138">
        <f>Datasheet!Y626/SUM(Datasheet!Y624:Y625)</f>
        <v>0.47229230491980539</v>
      </c>
      <c r="Z350" s="138">
        <f>Datasheet!Z626/SUM(Datasheet!Z624:Z625)</f>
        <v>0.47105298397536044</v>
      </c>
      <c r="AA350" s="138">
        <f>Datasheet!AA626/SUM(Datasheet!AA624:AA625)</f>
        <v>0.47092583529830495</v>
      </c>
      <c r="AB350" s="138">
        <f>Datasheet!AB626/SUM(Datasheet!AB624:AB625)</f>
        <v>0.47601721613346942</v>
      </c>
      <c r="AC350" s="138" t="e">
        <f>Datasheet!AC626/SUM(Datasheet!AC624:AC625)</f>
        <v>#DIV/0!</v>
      </c>
      <c r="AD350" s="138" t="e">
        <f>Datasheet!AD626/SUM(Datasheet!AD624:AD625)</f>
        <v>#DIV/0!</v>
      </c>
      <c r="AE350" s="138" t="e">
        <f>Datasheet!AE626/SUM(Datasheet!AE624:AE625)</f>
        <v>#DIV/0!</v>
      </c>
      <c r="AF350" s="138" t="e">
        <f>Datasheet!AF626/SUM(Datasheet!AF624:AF625)</f>
        <v>#DIV/0!</v>
      </c>
      <c r="AG350" s="138" t="e">
        <f>Datasheet!AG626/SUM(Datasheet!AG624:AG625)</f>
        <v>#DIV/0!</v>
      </c>
      <c r="AH350" s="138" t="e">
        <f>Datasheet!AH626/SUM(Datasheet!AH624:AH625)</f>
        <v>#DIV/0!</v>
      </c>
      <c r="AI350" s="138" t="e">
        <f>Datasheet!AI626/SUM(Datasheet!AI624:AI625)</f>
        <v>#DIV/0!</v>
      </c>
      <c r="AJ350" s="138" t="e">
        <f>Datasheet!AJ626/SUM(Datasheet!AJ624:AJ625)</f>
        <v>#DIV/0!</v>
      </c>
      <c r="AK350" s="138" t="e">
        <f>Datasheet!AK626/SUM(Datasheet!AK624:AK625)</f>
        <v>#DIV/0!</v>
      </c>
    </row>
    <row r="351" spans="2:37" s="4" customFormat="1" x14ac:dyDescent="0.25">
      <c r="B351" s="44"/>
      <c r="C351" s="4" t="s">
        <v>788</v>
      </c>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row>
    <row r="352" spans="2:37" s="4" customFormat="1" x14ac:dyDescent="0.25">
      <c r="B352" s="44"/>
      <c r="C352" s="4" t="s">
        <v>1040</v>
      </c>
      <c r="I352" s="102">
        <f>I353</f>
        <v>0.76300573014263473</v>
      </c>
      <c r="J352" s="102">
        <f t="shared" ref="J352:AK352" si="27">J353</f>
        <v>0.75757264153715076</v>
      </c>
      <c r="K352" s="102">
        <f t="shared" si="27"/>
        <v>0.75918531881168616</v>
      </c>
      <c r="L352" s="102">
        <f t="shared" si="27"/>
        <v>0.71662310945439667</v>
      </c>
      <c r="M352" s="102">
        <f t="shared" si="27"/>
        <v>0.67031079406651317</v>
      </c>
      <c r="N352" s="102">
        <f t="shared" si="27"/>
        <v>0.67031079406651317</v>
      </c>
      <c r="O352" s="102">
        <f t="shared" si="27"/>
        <v>0.6702284380194139</v>
      </c>
      <c r="P352" s="102">
        <f t="shared" si="27"/>
        <v>0.6702284380194139</v>
      </c>
      <c r="Q352" s="102">
        <f t="shared" si="27"/>
        <v>0.67432736312428643</v>
      </c>
      <c r="R352" s="102">
        <f t="shared" si="27"/>
        <v>0.67432736312428643</v>
      </c>
      <c r="S352" s="102">
        <f t="shared" si="27"/>
        <v>0.67432736312428643</v>
      </c>
      <c r="T352" s="102">
        <f t="shared" si="27"/>
        <v>0.67432736312428643</v>
      </c>
      <c r="U352" s="102">
        <f t="shared" si="27"/>
        <v>0.67432736312428643</v>
      </c>
      <c r="V352" s="102">
        <f t="shared" si="27"/>
        <v>0.67817986911109307</v>
      </c>
      <c r="W352" s="102">
        <f t="shared" si="27"/>
        <v>0.67817986911109307</v>
      </c>
      <c r="X352" s="102">
        <f t="shared" si="27"/>
        <v>0.67817986911109307</v>
      </c>
      <c r="Y352" s="102">
        <f t="shared" si="27"/>
        <v>0.59979499663666358</v>
      </c>
      <c r="Z352" s="102">
        <f t="shared" si="27"/>
        <v>0.59740872900791697</v>
      </c>
      <c r="AA352" s="102">
        <f t="shared" si="27"/>
        <v>0.58868949255404479</v>
      </c>
      <c r="AB352" s="102">
        <f t="shared" si="27"/>
        <v>0.58868949255404479</v>
      </c>
      <c r="AC352" s="102">
        <f t="shared" si="27"/>
        <v>0.58869006038483951</v>
      </c>
      <c r="AD352" s="102" t="e">
        <f t="shared" si="27"/>
        <v>#DIV/0!</v>
      </c>
      <c r="AE352" s="102" t="e">
        <f t="shared" si="27"/>
        <v>#DIV/0!</v>
      </c>
      <c r="AF352" s="102" t="e">
        <f t="shared" si="27"/>
        <v>#DIV/0!</v>
      </c>
      <c r="AG352" s="102" t="e">
        <f t="shared" si="27"/>
        <v>#DIV/0!</v>
      </c>
      <c r="AH352" s="102" t="e">
        <f t="shared" si="27"/>
        <v>#DIV/0!</v>
      </c>
      <c r="AI352" s="102" t="e">
        <f t="shared" si="27"/>
        <v>#DIV/0!</v>
      </c>
      <c r="AJ352" s="102" t="e">
        <f t="shared" si="27"/>
        <v>#DIV/0!</v>
      </c>
      <c r="AK352" s="102" t="e">
        <f t="shared" si="27"/>
        <v>#DIV/0!</v>
      </c>
    </row>
    <row r="353" spans="1:37" s="4" customFormat="1" x14ac:dyDescent="0.25">
      <c r="B353" s="44"/>
      <c r="D353" s="4" t="s">
        <v>1041</v>
      </c>
      <c r="I353" s="102">
        <f>Datasheet!I1390/SUM(Datasheet!I1390,Datasheet!I1399)</f>
        <v>0.76300573014263473</v>
      </c>
      <c r="J353" s="102">
        <f>Datasheet!J1390/SUM(Datasheet!J1390,Datasheet!J1399)</f>
        <v>0.75757264153715076</v>
      </c>
      <c r="K353" s="102">
        <f>Datasheet!K1390/SUM(Datasheet!K1390,Datasheet!K1399)</f>
        <v>0.75918531881168616</v>
      </c>
      <c r="L353" s="102">
        <f>Datasheet!L1390/SUM(Datasheet!L1390,Datasheet!L1399)</f>
        <v>0.71662310945439667</v>
      </c>
      <c r="M353" s="102">
        <f>Datasheet!M1390/SUM(Datasheet!M1390,Datasheet!M1399)</f>
        <v>0.67031079406651317</v>
      </c>
      <c r="N353" s="102">
        <f>Datasheet!N1390/SUM(Datasheet!N1390,Datasheet!N1399)</f>
        <v>0.67031079406651317</v>
      </c>
      <c r="O353" s="102">
        <f>Datasheet!O1390/SUM(Datasheet!O1390,Datasheet!O1399)</f>
        <v>0.6702284380194139</v>
      </c>
      <c r="P353" s="102">
        <f>Datasheet!P1390/SUM(Datasheet!P1390,Datasheet!P1399)</f>
        <v>0.6702284380194139</v>
      </c>
      <c r="Q353" s="102">
        <f>Datasheet!Q1390/SUM(Datasheet!Q1390,Datasheet!Q1399)</f>
        <v>0.67432736312428643</v>
      </c>
      <c r="R353" s="102">
        <f>Datasheet!R1390/SUM(Datasheet!R1390,Datasheet!R1399)</f>
        <v>0.67432736312428643</v>
      </c>
      <c r="S353" s="102">
        <f>Datasheet!S1390/SUM(Datasheet!S1390,Datasheet!S1399)</f>
        <v>0.67432736312428643</v>
      </c>
      <c r="T353" s="102">
        <f>Datasheet!T1390/SUM(Datasheet!T1390,Datasheet!T1399)</f>
        <v>0.67432736312428643</v>
      </c>
      <c r="U353" s="102">
        <f>Datasheet!U1390/SUM(Datasheet!U1390,Datasheet!U1399)</f>
        <v>0.67432736312428643</v>
      </c>
      <c r="V353" s="102">
        <f>Datasheet!V1390/SUM(Datasheet!V1390,Datasheet!V1399)</f>
        <v>0.67817986911109307</v>
      </c>
      <c r="W353" s="102">
        <f>Datasheet!W1390/SUM(Datasheet!W1390,Datasheet!W1399)</f>
        <v>0.67817986911109307</v>
      </c>
      <c r="X353" s="102">
        <f>Datasheet!X1390/SUM(Datasheet!X1390,Datasheet!X1399)</f>
        <v>0.67817986911109307</v>
      </c>
      <c r="Y353" s="102">
        <f>Datasheet!Y1390/SUM(Datasheet!Y1390,Datasheet!Y1399)</f>
        <v>0.59979499663666358</v>
      </c>
      <c r="Z353" s="102">
        <f>Datasheet!Z1390/SUM(Datasheet!Z1390,Datasheet!Z1399)</f>
        <v>0.59740872900791697</v>
      </c>
      <c r="AA353" s="102">
        <f>Datasheet!AA1390/SUM(Datasheet!AA1390,Datasheet!AA1399)</f>
        <v>0.58868949255404479</v>
      </c>
      <c r="AB353" s="102">
        <f>Datasheet!AB1390/SUM(Datasheet!AB1390,Datasheet!AB1399)</f>
        <v>0.58868949255404479</v>
      </c>
      <c r="AC353" s="102">
        <f>Datasheet!AC1390/SUM(Datasheet!AC1390,Datasheet!AC1399)</f>
        <v>0.58869006038483951</v>
      </c>
      <c r="AD353" s="102" t="e">
        <f>Datasheet!AD1390/SUM(Datasheet!AD1390,Datasheet!AD1399)</f>
        <v>#DIV/0!</v>
      </c>
      <c r="AE353" s="102" t="e">
        <f>Datasheet!AE1390/SUM(Datasheet!AE1390,Datasheet!AE1399)</f>
        <v>#DIV/0!</v>
      </c>
      <c r="AF353" s="102" t="e">
        <f>Datasheet!AF1390/SUM(Datasheet!AF1390,Datasheet!AF1399)</f>
        <v>#DIV/0!</v>
      </c>
      <c r="AG353" s="102" t="e">
        <f>Datasheet!AG1390/SUM(Datasheet!AG1390,Datasheet!AG1399)</f>
        <v>#DIV/0!</v>
      </c>
      <c r="AH353" s="102" t="e">
        <f>Datasheet!AH1390/SUM(Datasheet!AH1390,Datasheet!AH1399)</f>
        <v>#DIV/0!</v>
      </c>
      <c r="AI353" s="102" t="e">
        <f>Datasheet!AI1390/SUM(Datasheet!AI1390,Datasheet!AI1399)</f>
        <v>#DIV/0!</v>
      </c>
      <c r="AJ353" s="102" t="e">
        <f>Datasheet!AJ1390/SUM(Datasheet!AJ1390,Datasheet!AJ1399)</f>
        <v>#DIV/0!</v>
      </c>
      <c r="AK353" s="102" t="e">
        <f>Datasheet!AK1390/SUM(Datasheet!AK1390,Datasheet!AK1399)</f>
        <v>#DIV/0!</v>
      </c>
    </row>
    <row r="354" spans="1:37" s="4" customFormat="1" x14ac:dyDescent="0.25">
      <c r="B354" s="44"/>
      <c r="D354" s="4" t="s">
        <v>1042</v>
      </c>
      <c r="E354" s="79"/>
      <c r="I354" s="138"/>
      <c r="J354" s="138"/>
      <c r="K354" s="138"/>
      <c r="L354" s="138"/>
      <c r="M354" s="138"/>
      <c r="N354" s="138"/>
      <c r="O354" s="138"/>
      <c r="P354" s="138"/>
      <c r="Q354" s="138"/>
      <c r="R354" s="138"/>
      <c r="S354" s="138"/>
      <c r="T354" s="138"/>
      <c r="U354" s="138"/>
      <c r="V354" s="138"/>
      <c r="W354" s="138"/>
      <c r="X354" s="138"/>
      <c r="Y354" s="138"/>
      <c r="Z354" s="138"/>
      <c r="AA354" s="138"/>
      <c r="AB354" s="138"/>
      <c r="AC354" s="138"/>
      <c r="AD354" s="138"/>
      <c r="AE354" s="138"/>
      <c r="AF354" s="138"/>
      <c r="AG354" s="138"/>
      <c r="AH354" s="138"/>
      <c r="AI354" s="138"/>
      <c r="AJ354" s="138"/>
      <c r="AK354" s="138"/>
    </row>
    <row r="355" spans="1:37" s="4" customFormat="1" x14ac:dyDescent="0.25">
      <c r="B355" s="44"/>
      <c r="C355" s="4" t="s">
        <v>1043</v>
      </c>
      <c r="E355" s="79"/>
      <c r="I355" s="138"/>
      <c r="J355" s="138"/>
      <c r="K355" s="138"/>
      <c r="L355" s="138"/>
      <c r="M355" s="138"/>
      <c r="N355" s="138"/>
      <c r="O355" s="138"/>
      <c r="P355" s="138"/>
      <c r="Q355" s="138"/>
      <c r="R355" s="138"/>
      <c r="S355" s="138"/>
      <c r="T355" s="138"/>
      <c r="U355" s="138"/>
      <c r="V355" s="138"/>
      <c r="W355" s="138"/>
      <c r="X355" s="138"/>
      <c r="Y355" s="138"/>
      <c r="Z355" s="138"/>
      <c r="AA355" s="138"/>
      <c r="AB355" s="138"/>
      <c r="AC355" s="138"/>
      <c r="AD355" s="138"/>
      <c r="AE355" s="138"/>
      <c r="AF355" s="138"/>
      <c r="AG355" s="138"/>
      <c r="AH355" s="138"/>
      <c r="AI355" s="138"/>
      <c r="AJ355" s="138"/>
      <c r="AK355" s="138"/>
    </row>
    <row r="356" spans="1:37" s="66" customFormat="1" x14ac:dyDescent="0.25">
      <c r="B356" s="67"/>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row>
    <row r="357" spans="1:37" s="86" customFormat="1" ht="17.25" x14ac:dyDescent="0.3">
      <c r="A357" s="86" t="s">
        <v>239</v>
      </c>
    </row>
    <row r="358" spans="1:37" x14ac:dyDescent="0.25">
      <c r="B358" s="29" t="s">
        <v>877</v>
      </c>
      <c r="C358" t="s">
        <v>754</v>
      </c>
    </row>
    <row r="359" spans="1:37" x14ac:dyDescent="0.25">
      <c r="B359" s="29" t="s">
        <v>879</v>
      </c>
      <c r="C359" t="s">
        <v>1044</v>
      </c>
    </row>
    <row r="360" spans="1:37" x14ac:dyDescent="0.25">
      <c r="B360" s="29" t="s">
        <v>881</v>
      </c>
      <c r="C360" t="s">
        <v>1045</v>
      </c>
    </row>
    <row r="361" spans="1:37" x14ac:dyDescent="0.25">
      <c r="B361" s="29" t="s">
        <v>883</v>
      </c>
      <c r="C361" s="263" t="s">
        <v>236</v>
      </c>
    </row>
    <row r="362" spans="1:37" x14ac:dyDescent="0.25">
      <c r="B362" s="29"/>
      <c r="C362" s="263" t="s">
        <v>1046</v>
      </c>
    </row>
    <row r="363" spans="1:37" x14ac:dyDescent="0.25">
      <c r="B363" s="29"/>
      <c r="C363" s="263" t="s">
        <v>256</v>
      </c>
    </row>
    <row r="364" spans="1:37" x14ac:dyDescent="0.25">
      <c r="B364" s="29"/>
      <c r="C364" s="263" t="s">
        <v>1047</v>
      </c>
    </row>
    <row r="365" spans="1:37" x14ac:dyDescent="0.25">
      <c r="B365" s="29"/>
      <c r="C365" s="263" t="s">
        <v>1048</v>
      </c>
    </row>
    <row r="366" spans="1:37" x14ac:dyDescent="0.25">
      <c r="B366" s="29"/>
      <c r="C366" s="263" t="s">
        <v>1049</v>
      </c>
    </row>
    <row r="367" spans="1:37" x14ac:dyDescent="0.25">
      <c r="B367" s="29" t="s">
        <v>885</v>
      </c>
      <c r="C367" t="s">
        <v>1050</v>
      </c>
    </row>
    <row r="368" spans="1:37" x14ac:dyDescent="0.25">
      <c r="B368" s="29"/>
      <c r="D368" t="s">
        <v>1051</v>
      </c>
    </row>
    <row r="369" spans="2:3" x14ac:dyDescent="0.25">
      <c r="B369" s="29" t="s">
        <v>886</v>
      </c>
      <c r="C369" t="s">
        <v>1052</v>
      </c>
    </row>
    <row r="370" spans="2:3" x14ac:dyDescent="0.25">
      <c r="B370" s="29"/>
      <c r="C370" t="s">
        <v>1053</v>
      </c>
    </row>
    <row r="371" spans="2:3" x14ac:dyDescent="0.25">
      <c r="B371" s="29"/>
      <c r="C371" t="s">
        <v>1054</v>
      </c>
    </row>
    <row r="372" spans="2:3" x14ac:dyDescent="0.25">
      <c r="B372" s="29"/>
      <c r="C372" t="s">
        <v>1055</v>
      </c>
    </row>
    <row r="373" spans="2:3" x14ac:dyDescent="0.25">
      <c r="B373" s="29"/>
      <c r="C373" t="s">
        <v>1056</v>
      </c>
    </row>
    <row r="374" spans="2:3" x14ac:dyDescent="0.25">
      <c r="B374" s="29"/>
      <c r="C374" t="s">
        <v>1057</v>
      </c>
    </row>
    <row r="375" spans="2:3" x14ac:dyDescent="0.25">
      <c r="B375" s="29"/>
      <c r="C375" t="s">
        <v>1058</v>
      </c>
    </row>
    <row r="376" spans="2:3" x14ac:dyDescent="0.25">
      <c r="B376" s="29"/>
      <c r="C376" t="s">
        <v>1059</v>
      </c>
    </row>
    <row r="377" spans="2:3" x14ac:dyDescent="0.25">
      <c r="B377" s="29" t="s">
        <v>887</v>
      </c>
      <c r="C377" t="s">
        <v>1060</v>
      </c>
    </row>
    <row r="378" spans="2:3" x14ac:dyDescent="0.25">
      <c r="B378" s="29"/>
      <c r="C378" t="s">
        <v>1061</v>
      </c>
    </row>
    <row r="379" spans="2:3" x14ac:dyDescent="0.25">
      <c r="B379" s="29"/>
      <c r="C379" t="s">
        <v>1062</v>
      </c>
    </row>
    <row r="380" spans="2:3" x14ac:dyDescent="0.25">
      <c r="B380" s="29"/>
      <c r="C380" t="s">
        <v>1063</v>
      </c>
    </row>
    <row r="381" spans="2:3" x14ac:dyDescent="0.25">
      <c r="B381" s="29" t="s">
        <v>19</v>
      </c>
      <c r="C381" t="s">
        <v>1064</v>
      </c>
    </row>
    <row r="382" spans="2:3" s="88" customFormat="1" ht="15.75" thickBot="1" x14ac:dyDescent="0.3">
      <c r="B382" s="95"/>
      <c r="C382" s="88" t="s">
        <v>1065</v>
      </c>
    </row>
    <row r="383" spans="2:3" ht="15.75" thickTop="1" x14ac:dyDescent="0.25"/>
    <row r="398" spans="2:37" x14ac:dyDescent="0.25">
      <c r="B398" s="44" t="s">
        <v>21</v>
      </c>
    </row>
    <row r="399" spans="2:37" x14ac:dyDescent="0.25">
      <c r="B399" s="44"/>
      <c r="C399" t="s">
        <v>111</v>
      </c>
    </row>
    <row r="400" spans="2:37" x14ac:dyDescent="0.25">
      <c r="B400" s="44"/>
      <c r="D400" t="s">
        <v>1066</v>
      </c>
      <c r="H400" t="s">
        <v>274</v>
      </c>
      <c r="I400" s="39">
        <f>Datasheet!I375</f>
        <v>16688.416666666668</v>
      </c>
      <c r="J400" s="39">
        <f>Datasheet!J375</f>
        <v>16546.083333333332</v>
      </c>
      <c r="K400" s="39">
        <f>Datasheet!K375</f>
        <v>16730.083333333332</v>
      </c>
      <c r="L400" s="39">
        <f>Datasheet!L375</f>
        <v>17250.833333333332</v>
      </c>
      <c r="M400" s="39">
        <f>Datasheet!M375</f>
        <v>17942.583333333332</v>
      </c>
      <c r="N400" s="39">
        <f>Datasheet!N375</f>
        <v>18444.75</v>
      </c>
      <c r="O400" s="39">
        <f>Datasheet!O375</f>
        <v>18906.166666666668</v>
      </c>
      <c r="P400" s="39">
        <f>Datasheet!P375</f>
        <v>17414.833333333332</v>
      </c>
      <c r="Q400" s="39">
        <f>Datasheet!Q375</f>
        <v>16937.583333333332</v>
      </c>
      <c r="R400" s="39">
        <f>Datasheet!R375</f>
        <v>16945.5</v>
      </c>
      <c r="S400" s="39">
        <f>Datasheet!S375</f>
        <v>17418.666666666668</v>
      </c>
      <c r="T400" s="39">
        <f>Datasheet!T375</f>
        <v>18106.833333333332</v>
      </c>
      <c r="U400" s="39">
        <f>Datasheet!U375</f>
        <v>18835.583333333332</v>
      </c>
      <c r="V400" s="39">
        <f>Datasheet!V375</f>
        <v>19496.583333333332</v>
      </c>
      <c r="W400" s="39">
        <f>Datasheet!W375</f>
        <v>20232</v>
      </c>
      <c r="X400" s="39">
        <f>Datasheet!X375</f>
        <v>20783.583333333332</v>
      </c>
      <c r="Y400" s="39">
        <f>Datasheet!Y375</f>
        <v>20959.25</v>
      </c>
      <c r="Z400" s="39">
        <f>Datasheet!Z375</f>
        <v>21429.083333333332</v>
      </c>
      <c r="AA400" s="39">
        <f>Datasheet!AA375</f>
        <v>19106.333333333332</v>
      </c>
      <c r="AB400" s="39">
        <f>Datasheet!AB375</f>
        <v>21133.583333333332</v>
      </c>
      <c r="AC400" s="39">
        <f>Datasheet!AC375</f>
        <v>22550.001508402056</v>
      </c>
      <c r="AD400" s="39" t="e">
        <f>Datasheet!AD375</f>
        <v>#DIV/0!</v>
      </c>
      <c r="AE400" s="39" t="e">
        <f>Datasheet!AE375</f>
        <v>#DIV/0!</v>
      </c>
      <c r="AF400" s="39" t="e">
        <f>Datasheet!AF375</f>
        <v>#DIV/0!</v>
      </c>
      <c r="AG400" s="39" t="e">
        <f>Datasheet!AG375</f>
        <v>#DIV/0!</v>
      </c>
      <c r="AH400" s="39" t="e">
        <f>Datasheet!AH375</f>
        <v>#DIV/0!</v>
      </c>
      <c r="AI400" s="39" t="e">
        <f>Datasheet!AI375</f>
        <v>#DIV/0!</v>
      </c>
      <c r="AJ400" s="39" t="e">
        <f>Datasheet!AJ375</f>
        <v>#DIV/0!</v>
      </c>
      <c r="AK400" s="39" t="e">
        <f>Datasheet!AK375</f>
        <v>#DIV/0!</v>
      </c>
    </row>
    <row r="401" spans="1:37" x14ac:dyDescent="0.25">
      <c r="B401" s="44"/>
      <c r="C401" s="177"/>
      <c r="D401" t="s">
        <v>1067</v>
      </c>
      <c r="H401" t="s">
        <v>274</v>
      </c>
      <c r="I401" s="39">
        <f>Datasheet!I533</f>
        <v>13515</v>
      </c>
      <c r="J401" s="39">
        <f>Datasheet!J533</f>
        <v>13962</v>
      </c>
      <c r="K401" s="39">
        <f>Datasheet!K533</f>
        <v>14254</v>
      </c>
      <c r="L401" s="39">
        <f>Datasheet!L533</f>
        <v>14769</v>
      </c>
      <c r="M401" s="39">
        <f>Datasheet!M533</f>
        <v>15121</v>
      </c>
      <c r="N401" s="39">
        <f>Datasheet!N533</f>
        <v>15389</v>
      </c>
      <c r="O401" s="39">
        <f>Datasheet!O533</f>
        <v>16004</v>
      </c>
      <c r="P401" s="39">
        <f>Datasheet!P533</f>
        <v>14880</v>
      </c>
      <c r="Q401" s="39">
        <f>Datasheet!Q533</f>
        <v>14264</v>
      </c>
      <c r="R401" s="39">
        <f>Datasheet!R533</f>
        <v>14192</v>
      </c>
      <c r="S401" s="39">
        <f>Datasheet!S533</f>
        <v>14671</v>
      </c>
      <c r="T401" s="39">
        <f>Datasheet!T533</f>
        <v>15304</v>
      </c>
      <c r="U401" s="39">
        <f>Datasheet!U533</f>
        <v>16320</v>
      </c>
      <c r="V401" s="39">
        <f>Datasheet!V533</f>
        <v>16700</v>
      </c>
      <c r="W401" s="39">
        <f>Datasheet!W533</f>
        <v>16910</v>
      </c>
      <c r="X401" s="39">
        <f>Datasheet!X533</f>
        <v>17741</v>
      </c>
      <c r="Y401" s="39">
        <f>IF(Datasheet!Y533&gt;0,Datasheet!Y533,Y402)</f>
        <v>16717</v>
      </c>
      <c r="Z401" s="39">
        <f>IF(Datasheet!Z533&gt;0,Datasheet!Z533,Z402)</f>
        <v>19445</v>
      </c>
      <c r="AA401" s="39">
        <f>IF(Datasheet!AA533&gt;0,Datasheet!AA533,AA402)</f>
        <v>16953</v>
      </c>
      <c r="AB401" s="39">
        <f>IF(Datasheet!AB533&gt;0,Datasheet!AB533,AB402)</f>
        <v>18138</v>
      </c>
      <c r="AC401" s="39">
        <f>IF(Datasheet!AC533&gt;0,Datasheet!AC533,AC402)</f>
        <v>19357.794915941133</v>
      </c>
      <c r="AD401" s="39">
        <f>IF(Datasheet!AD533&gt;0,Datasheet!AD533,AD402)</f>
        <v>0</v>
      </c>
      <c r="AE401" s="39">
        <f>IF(Datasheet!AE533&gt;0,Datasheet!AE533,AE402)</f>
        <v>0</v>
      </c>
      <c r="AF401" s="39">
        <f>IF(Datasheet!AF533&gt;0,Datasheet!AF533,AF402)</f>
        <v>0</v>
      </c>
      <c r="AG401" s="39">
        <f>IF(Datasheet!AG533&gt;0,Datasheet!AG533,AG402)</f>
        <v>0</v>
      </c>
      <c r="AH401" s="39">
        <f>IF(Datasheet!AH533&gt;0,Datasheet!AH533,AH402)</f>
        <v>0</v>
      </c>
      <c r="AI401" s="39">
        <f>IF(Datasheet!AI533&gt;0,Datasheet!AI533,AI402)</f>
        <v>0</v>
      </c>
      <c r="AJ401" s="39">
        <f>IF(Datasheet!AJ533&gt;0,Datasheet!AJ533,AJ402)</f>
        <v>0</v>
      </c>
      <c r="AK401" s="39">
        <f>IF(Datasheet!AK533&gt;0,Datasheet!AK533,AK402)</f>
        <v>0</v>
      </c>
    </row>
    <row r="402" spans="1:37" s="79" customFormat="1" x14ac:dyDescent="0.25">
      <c r="B402" s="136"/>
      <c r="F402" s="79" t="s">
        <v>1068</v>
      </c>
      <c r="H402" s="79" t="s">
        <v>274</v>
      </c>
      <c r="I402" s="81">
        <f>MIN(Datasheet!I376:I387)</f>
        <v>14332</v>
      </c>
      <c r="J402" s="81">
        <f>MIN(Datasheet!J376:J387)</f>
        <v>14378</v>
      </c>
      <c r="K402" s="81">
        <f>MIN(Datasheet!K376:K387)</f>
        <v>14516</v>
      </c>
      <c r="L402" s="81">
        <f>MIN(Datasheet!L376:L387)</f>
        <v>15014</v>
      </c>
      <c r="M402" s="81">
        <f>MIN(Datasheet!M376:M387)</f>
        <v>15599</v>
      </c>
      <c r="N402" s="81">
        <f>MIN(Datasheet!N376:N387)</f>
        <v>16097</v>
      </c>
      <c r="O402" s="81">
        <f>MIN(Datasheet!O376:O387)</f>
        <v>16024</v>
      </c>
      <c r="P402" s="81">
        <f>MIN(Datasheet!P376:P387)</f>
        <v>14407</v>
      </c>
      <c r="Q402" s="81">
        <f>MIN(Datasheet!Q376:Q387)</f>
        <v>13867</v>
      </c>
      <c r="R402" s="81">
        <f>MIN(Datasheet!R376:R387)</f>
        <v>13891</v>
      </c>
      <c r="S402" s="81">
        <f>MIN(Datasheet!S376:S387)</f>
        <v>14916</v>
      </c>
      <c r="T402" s="81">
        <f>MIN(Datasheet!T376:T387)</f>
        <v>15483</v>
      </c>
      <c r="U402" s="81">
        <f>MIN(Datasheet!U376:U387)</f>
        <v>15675</v>
      </c>
      <c r="V402" s="81">
        <f>MIN(Datasheet!V376:V387)</f>
        <v>16310</v>
      </c>
      <c r="W402" s="81">
        <f>MIN(Datasheet!W376:W387)</f>
        <v>16938</v>
      </c>
      <c r="X402" s="81">
        <f>MIN(Datasheet!X376:X387)</f>
        <v>17445</v>
      </c>
      <c r="Y402" s="81">
        <f>MIN(Datasheet!Y376:Y387)</f>
        <v>17390</v>
      </c>
      <c r="Z402" s="81">
        <f>MIN(Datasheet!Z376:Z387)</f>
        <v>17658</v>
      </c>
      <c r="AA402" s="81">
        <f>MIN(Datasheet!AA376:AA387)</f>
        <v>14603</v>
      </c>
      <c r="AB402" s="81">
        <f>MIN(Datasheet!AB376:AB387)</f>
        <v>18138</v>
      </c>
      <c r="AC402" s="81">
        <f>MIN(Datasheet!AC376:AC387)</f>
        <v>19357.794915941133</v>
      </c>
      <c r="AD402" s="81">
        <f>MIN(Datasheet!AD376:AD387)</f>
        <v>0</v>
      </c>
      <c r="AE402" s="81">
        <f>MIN(Datasheet!AE376:AE387)</f>
        <v>0</v>
      </c>
      <c r="AF402" s="81">
        <f>MIN(Datasheet!AF376:AF387)</f>
        <v>0</v>
      </c>
      <c r="AG402" s="81">
        <f>MIN(Datasheet!AG376:AG387)</f>
        <v>0</v>
      </c>
      <c r="AH402" s="81">
        <f>MIN(Datasheet!AH376:AH387)</f>
        <v>0</v>
      </c>
      <c r="AI402" s="81">
        <f>MIN(Datasheet!AI376:AI387)</f>
        <v>0</v>
      </c>
      <c r="AJ402" s="81">
        <f>MIN(Datasheet!AJ376:AJ387)</f>
        <v>0</v>
      </c>
      <c r="AK402" s="81">
        <f>MIN(Datasheet!AK376:AK387)</f>
        <v>0</v>
      </c>
    </row>
    <row r="403" spans="1:37" s="79" customFormat="1" x14ac:dyDescent="0.25">
      <c r="B403" s="136"/>
      <c r="F403" s="79" t="s">
        <v>1069</v>
      </c>
      <c r="I403" s="139">
        <f t="shared" ref="I403:AK403" si="28">I402/I401</f>
        <v>1.0604513503514614</v>
      </c>
      <c r="J403" s="139">
        <f t="shared" si="28"/>
        <v>1.0297951582867784</v>
      </c>
      <c r="K403" s="139">
        <f t="shared" si="28"/>
        <v>1.0183808053879613</v>
      </c>
      <c r="L403" s="139">
        <f t="shared" si="28"/>
        <v>1.0165888008666801</v>
      </c>
      <c r="M403" s="139">
        <f t="shared" si="28"/>
        <v>1.0316116658951127</v>
      </c>
      <c r="N403" s="139">
        <f t="shared" si="28"/>
        <v>1.0460068880369096</v>
      </c>
      <c r="O403" s="139">
        <f t="shared" si="28"/>
        <v>1.0012496875781054</v>
      </c>
      <c r="P403" s="139">
        <f t="shared" si="28"/>
        <v>0.96821236559139789</v>
      </c>
      <c r="Q403" s="139">
        <f t="shared" si="28"/>
        <v>0.97216769489624233</v>
      </c>
      <c r="R403" s="139">
        <f t="shared" si="28"/>
        <v>0.97879086809470128</v>
      </c>
      <c r="S403" s="139">
        <f t="shared" si="28"/>
        <v>1.0166996114784268</v>
      </c>
      <c r="T403" s="139">
        <f t="shared" si="28"/>
        <v>1.0116962885520124</v>
      </c>
      <c r="U403" s="139">
        <f t="shared" si="28"/>
        <v>0.96047794117647056</v>
      </c>
      <c r="V403" s="139">
        <f t="shared" si="28"/>
        <v>0.9766467065868264</v>
      </c>
      <c r="W403" s="139">
        <f t="shared" si="28"/>
        <v>1.0016558249556475</v>
      </c>
      <c r="X403" s="139">
        <f t="shared" si="28"/>
        <v>0.98331548390733325</v>
      </c>
      <c r="Y403" s="139">
        <f t="shared" si="28"/>
        <v>1.0402584195728899</v>
      </c>
      <c r="Z403" s="139">
        <f t="shared" si="28"/>
        <v>0.90809976857804064</v>
      </c>
      <c r="AA403" s="139">
        <f t="shared" si="28"/>
        <v>0.86138146640712554</v>
      </c>
      <c r="AB403" s="139">
        <f t="shared" si="28"/>
        <v>1</v>
      </c>
      <c r="AC403" s="139">
        <f t="shared" si="28"/>
        <v>1</v>
      </c>
      <c r="AD403" s="139" t="e">
        <f t="shared" si="28"/>
        <v>#DIV/0!</v>
      </c>
      <c r="AE403" s="139" t="e">
        <f t="shared" si="28"/>
        <v>#DIV/0!</v>
      </c>
      <c r="AF403" s="139" t="e">
        <f t="shared" si="28"/>
        <v>#DIV/0!</v>
      </c>
      <c r="AG403" s="139" t="e">
        <f t="shared" si="28"/>
        <v>#DIV/0!</v>
      </c>
      <c r="AH403" s="139" t="e">
        <f t="shared" si="28"/>
        <v>#DIV/0!</v>
      </c>
      <c r="AI403" s="139" t="e">
        <f t="shared" si="28"/>
        <v>#DIV/0!</v>
      </c>
      <c r="AJ403" s="139" t="e">
        <f t="shared" si="28"/>
        <v>#DIV/0!</v>
      </c>
      <c r="AK403" s="139" t="e">
        <f t="shared" si="28"/>
        <v>#DIV/0!</v>
      </c>
    </row>
    <row r="404" spans="1:37" x14ac:dyDescent="0.25">
      <c r="B404" s="44"/>
      <c r="D404" t="s">
        <v>1070</v>
      </c>
      <c r="I404" s="128"/>
      <c r="J404" s="128"/>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row>
    <row r="405" spans="1:37" x14ac:dyDescent="0.25">
      <c r="B405" s="44"/>
      <c r="E405" t="s">
        <v>1071</v>
      </c>
    </row>
    <row r="406" spans="1:37" s="4" customFormat="1" x14ac:dyDescent="0.25">
      <c r="A406" s="4" t="s">
        <v>1072</v>
      </c>
      <c r="B406" s="44" t="s">
        <v>62</v>
      </c>
      <c r="C406" s="172"/>
      <c r="F406" s="4" t="s">
        <v>1073</v>
      </c>
      <c r="H406" s="4" t="s">
        <v>1074</v>
      </c>
      <c r="I406" s="176">
        <f>IFERROR(Datasheet!I533/Datasheet!I546,AVERAGE(D406:G406))</f>
        <v>1.1234413965087282</v>
      </c>
      <c r="J406" s="176">
        <f>IFERROR(Datasheet!J533/Datasheet!J546,AVERAGE(E406:I406))</f>
        <v>1.1246979217013049</v>
      </c>
      <c r="K406" s="176">
        <f>IFERROR(Datasheet!K533/Datasheet!K546,AVERAGE(F406:J406))</f>
        <v>1.1283147312594</v>
      </c>
      <c r="L406" s="176">
        <f>IFERROR(Datasheet!L533/Datasheet!L546,AVERAGE(G406:K406))</f>
        <v>1.1438197026022305</v>
      </c>
      <c r="M406" s="176">
        <f>IFERROR(Datasheet!M533/Datasheet!M546,AVERAGE(H406:L406))</f>
        <v>1.1432783910479358</v>
      </c>
      <c r="N406" s="176">
        <f>IFERROR(Datasheet!N533/Datasheet!N546,AVERAGE(I406:M406))</f>
        <v>1.138660747317795</v>
      </c>
      <c r="O406" s="176">
        <f>IFERROR(Datasheet!O533/Datasheet!O546,AVERAGE(J406:N406))</f>
        <v>1.1500431158378845</v>
      </c>
      <c r="P406" s="176">
        <f>IFERROR(Datasheet!P533/Datasheet!P546,AVERAGE(K406:O406))</f>
        <v>1.1269312329597092</v>
      </c>
      <c r="Q406" s="176">
        <f>IFERROR(Datasheet!Q533/Datasheet!Q546,AVERAGE(L406:P406))</f>
        <v>1.1299112801013942</v>
      </c>
      <c r="R406" s="176">
        <f>IFERROR(Datasheet!R533/Datasheet!R546,AVERAGE(M406:Q406))</f>
        <v>1.1402860356741122</v>
      </c>
      <c r="S406" s="176">
        <f>IFERROR(Datasheet!S533/Datasheet!S546,AVERAGE(N406:R406))</f>
        <v>1.1451877292951369</v>
      </c>
      <c r="T406" s="176">
        <f>IFERROR(Datasheet!T533/Datasheet!T546,AVERAGE(O406:S406))</f>
        <v>1.1512826299556158</v>
      </c>
      <c r="U406" s="176">
        <f>IFERROR(Datasheet!U533/Datasheet!U546,AVERAGE(P406:T406))</f>
        <v>1.1463894352346164</v>
      </c>
      <c r="V406" s="176">
        <f>IFERROR(Datasheet!V533/Datasheet!V546,AVERAGE(Q406:U406))</f>
        <v>1.1594806637506074</v>
      </c>
      <c r="W406" s="176">
        <f>IFERROR(Datasheet!W533/Datasheet!W546,AVERAGE(R406:V406))</f>
        <v>1.1514367424758274</v>
      </c>
      <c r="X406" s="176">
        <f>IFERROR(Datasheet!X533/Datasheet!X546,AVERAGE(S406:W406))</f>
        <v>1.1600732361211012</v>
      </c>
      <c r="Y406" s="176">
        <f>IFERROR(Datasheet!Y533/Datasheet!Y546,AVERAGE(T406:X406))</f>
        <v>1.1516257922292643</v>
      </c>
      <c r="Z406" s="176">
        <f>IFERROR(Datasheet!Z533/Datasheet!Z546,AVERAGE(U406:Y406))</f>
        <v>1.1623528005260326</v>
      </c>
      <c r="AA406" s="176">
        <f>IFERROR(Datasheet!AA533/Datasheet!AA546,AVERAGE(V406:Z406))</f>
        <v>1.1082565208864483</v>
      </c>
      <c r="AB406" s="176">
        <f>IFERROR(Datasheet!AB533/Datasheet!AB546,AVERAGE(W406:AA406))</f>
        <v>1.1467490184477349</v>
      </c>
      <c r="AC406" s="176">
        <f>IFERROR(Datasheet!AC533/Datasheet!AC546,AVERAGE(X406:AB406))</f>
        <v>1.1458114736421163</v>
      </c>
      <c r="AD406" s="176">
        <f>IFERROR(Datasheet!AD533/Datasheet!AD546,AVERAGE(Y406:AC406))</f>
        <v>1.1429591211463195</v>
      </c>
      <c r="AE406" s="176">
        <f>IFERROR(Datasheet!AE533/Datasheet!AE546,AVERAGE(Z406:AD406))</f>
        <v>1.1412257869297302</v>
      </c>
      <c r="AF406" s="176">
        <f>IFERROR(Datasheet!AF533/Datasheet!AF546,AVERAGE(AA406:AE406))</f>
        <v>1.1370003842104697</v>
      </c>
      <c r="AG406" s="176">
        <f>IFERROR(Datasheet!AG533/Datasheet!AG546,AVERAGE(AB406:AF406))</f>
        <v>1.1427491568752743</v>
      </c>
      <c r="AH406" s="176">
        <f>IFERROR(Datasheet!AH533/Datasheet!AH546,AVERAGE(AC406:AG406))</f>
        <v>1.1419491845607819</v>
      </c>
      <c r="AI406" s="176">
        <f>IFERROR(Datasheet!AI533/Datasheet!AI546,AVERAGE(AD406:AH406))</f>
        <v>1.1411767267445152</v>
      </c>
      <c r="AJ406" s="176">
        <f>IFERROR(Datasheet!AJ533/Datasheet!AJ546,AVERAGE(AE406:AI406))</f>
        <v>1.1408202478641543</v>
      </c>
      <c r="AK406" s="176">
        <f>IFERROR(Datasheet!AK533/Datasheet!AK546,AVERAGE(AF406:AJ406))</f>
        <v>1.1407391400510392</v>
      </c>
    </row>
    <row r="407" spans="1:37" s="79" customFormat="1" x14ac:dyDescent="0.25">
      <c r="A407" s="4" t="s">
        <v>1075</v>
      </c>
      <c r="B407" s="136" t="s">
        <v>62</v>
      </c>
      <c r="F407" s="79" t="s">
        <v>1076</v>
      </c>
      <c r="H407" s="79" t="s">
        <v>1074</v>
      </c>
      <c r="I407" s="141">
        <f>Datasheet!I558/Datasheet!I571</f>
        <v>1.1275856624032843</v>
      </c>
      <c r="J407" s="141">
        <f>Datasheet!J558/Datasheet!J571</f>
        <v>1.1349693251533743</v>
      </c>
      <c r="K407" s="141">
        <f>Datasheet!K558/Datasheet!K571</f>
        <v>1.125761993108932</v>
      </c>
      <c r="L407" s="141">
        <f>Datasheet!L558/Datasheet!L571</f>
        <v>1.145819486906819</v>
      </c>
      <c r="M407" s="141">
        <f>Datasheet!M558/Datasheet!M571</f>
        <v>1.1432063818836851</v>
      </c>
      <c r="N407" s="141">
        <f>Datasheet!N558/Datasheet!N571</f>
        <v>1.1272390364422482</v>
      </c>
      <c r="O407" s="141">
        <f>Datasheet!O558/Datasheet!O571</f>
        <v>1.1376875551632832</v>
      </c>
      <c r="P407" s="141">
        <f>Datasheet!P558/Datasheet!P571</f>
        <v>1.1273148148148149</v>
      </c>
      <c r="Q407" s="141">
        <f>Datasheet!Q558/Datasheet!Q571</f>
        <v>1.125944323708993</v>
      </c>
      <c r="R407" s="141">
        <f>Datasheet!R558/Datasheet!R571</f>
        <v>1.1335440074906367</v>
      </c>
      <c r="S407" s="141">
        <f>Datasheet!S558/Datasheet!S571</f>
        <v>1.139275766016713</v>
      </c>
      <c r="T407" s="141">
        <f>Datasheet!T558/Datasheet!T571</f>
        <v>1.1411001788908766</v>
      </c>
      <c r="U407" s="141">
        <f>Datasheet!U558/Datasheet!U571</f>
        <v>1.1393332645267829</v>
      </c>
      <c r="V407" s="141">
        <f>Datasheet!V558/Datasheet!V571</f>
        <v>1.1457243644325508</v>
      </c>
      <c r="W407" s="141">
        <f>Datasheet!W558/Datasheet!W571</f>
        <v>1.1474142097631705</v>
      </c>
      <c r="X407" s="141">
        <f>Datasheet!X558/Datasheet!X571</f>
        <v>1.1512786649057509</v>
      </c>
      <c r="Y407" s="141">
        <f>Datasheet!Y558/Datasheet!Y571</f>
        <v>1.1537363160399809</v>
      </c>
      <c r="Z407" s="141">
        <f>Datasheet!Z558/Datasheet!Z571</f>
        <v>1.1582524271844661</v>
      </c>
      <c r="AA407" s="141">
        <f>Datasheet!AA558/Datasheet!AA571</f>
        <v>1.1084737716591502</v>
      </c>
      <c r="AB407" s="141" t="e">
        <f>Datasheet!AB558/Datasheet!AB571</f>
        <v>#DIV/0!</v>
      </c>
      <c r="AC407" s="141" t="e">
        <f>Datasheet!AC558/Datasheet!AC571</f>
        <v>#DIV/0!</v>
      </c>
      <c r="AD407" s="141" t="e">
        <f>Datasheet!AD558/Datasheet!AD571</f>
        <v>#DIV/0!</v>
      </c>
      <c r="AE407" s="141" t="e">
        <f>Datasheet!AE558/Datasheet!AE571</f>
        <v>#DIV/0!</v>
      </c>
      <c r="AF407" s="141" t="e">
        <f>Datasheet!AF558/Datasheet!AF571</f>
        <v>#DIV/0!</v>
      </c>
      <c r="AG407" s="141" t="e">
        <f>Datasheet!AG558/Datasheet!AG571</f>
        <v>#DIV/0!</v>
      </c>
      <c r="AH407" s="141" t="e">
        <f>Datasheet!AH558/Datasheet!AH571</f>
        <v>#DIV/0!</v>
      </c>
      <c r="AI407" s="141" t="e">
        <f>Datasheet!AI558/Datasheet!AI571</f>
        <v>#DIV/0!</v>
      </c>
      <c r="AJ407" s="141" t="e">
        <f>Datasheet!AJ558/Datasheet!AJ571</f>
        <v>#DIV/0!</v>
      </c>
      <c r="AK407" s="141" t="e">
        <f>Datasheet!AK558/Datasheet!AK571</f>
        <v>#DIV/0!</v>
      </c>
    </row>
    <row r="408" spans="1:37" s="79" customFormat="1" x14ac:dyDescent="0.25">
      <c r="B408" s="136"/>
      <c r="F408" s="79" t="s">
        <v>1077</v>
      </c>
      <c r="H408" s="79" t="s">
        <v>1074</v>
      </c>
      <c r="I408" s="141">
        <f t="shared" ref="I408:AK408" si="29">I409/SUM(I428:I429,I443)</f>
        <v>1.1971272501853909</v>
      </c>
      <c r="J408" s="141">
        <f t="shared" si="29"/>
        <v>1.190286843729073</v>
      </c>
      <c r="K408" s="141">
        <f t="shared" si="29"/>
        <v>1.1849606145552767</v>
      </c>
      <c r="L408" s="141">
        <f t="shared" si="29"/>
        <v>1.1924324543702343</v>
      </c>
      <c r="M408" s="141">
        <f t="shared" si="29"/>
        <v>1.1882266360527001</v>
      </c>
      <c r="N408" s="141">
        <f t="shared" si="29"/>
        <v>1.1862110497410607</v>
      </c>
      <c r="O408" s="141">
        <f t="shared" si="29"/>
        <v>1.1974187647029852</v>
      </c>
      <c r="P408" s="141">
        <f t="shared" si="29"/>
        <v>1.1706219413091028</v>
      </c>
      <c r="Q408" s="141">
        <f t="shared" si="29"/>
        <v>1.174101295233059</v>
      </c>
      <c r="R408" s="141">
        <f t="shared" si="29"/>
        <v>1.1833188715192389</v>
      </c>
      <c r="S408" s="141">
        <f t="shared" si="29"/>
        <v>1.1895874219534335</v>
      </c>
      <c r="T408" s="141">
        <f t="shared" si="29"/>
        <v>1.1976450668445973</v>
      </c>
      <c r="U408" s="141">
        <f t="shared" si="29"/>
        <v>1.1907230327844038</v>
      </c>
      <c r="V408" s="141">
        <f t="shared" si="29"/>
        <v>1.2086284620503727</v>
      </c>
      <c r="W408" s="141">
        <f t="shared" si="29"/>
        <v>1.1990148917793957</v>
      </c>
      <c r="X408" s="141">
        <f t="shared" si="29"/>
        <v>1.201010211823486</v>
      </c>
      <c r="Y408" s="141">
        <f t="shared" si="29"/>
        <v>1.1918874332353113</v>
      </c>
      <c r="Z408" s="141">
        <f t="shared" si="29"/>
        <v>1.2061214411487595</v>
      </c>
      <c r="AA408" s="141">
        <f t="shared" si="29"/>
        <v>1.1497105235867842</v>
      </c>
      <c r="AB408" s="141">
        <f t="shared" si="29"/>
        <v>1.1893672425967785</v>
      </c>
      <c r="AC408" s="141">
        <f t="shared" si="29"/>
        <v>0</v>
      </c>
      <c r="AD408" s="141" t="e">
        <f t="shared" si="29"/>
        <v>#DIV/0!</v>
      </c>
      <c r="AE408" s="141" t="e">
        <f t="shared" si="29"/>
        <v>#DIV/0!</v>
      </c>
      <c r="AF408" s="141" t="e">
        <f t="shared" si="29"/>
        <v>#DIV/0!</v>
      </c>
      <c r="AG408" s="141" t="e">
        <f t="shared" si="29"/>
        <v>#DIV/0!</v>
      </c>
      <c r="AH408" s="141" t="e">
        <f t="shared" si="29"/>
        <v>#DIV/0!</v>
      </c>
      <c r="AI408" s="141" t="e">
        <f t="shared" si="29"/>
        <v>#DIV/0!</v>
      </c>
      <c r="AJ408" s="141" t="e">
        <f t="shared" si="29"/>
        <v>#DIV/0!</v>
      </c>
      <c r="AK408" s="141" t="e">
        <f t="shared" si="29"/>
        <v>#DIV/0!</v>
      </c>
    </row>
    <row r="409" spans="1:37" s="79" customFormat="1" x14ac:dyDescent="0.25">
      <c r="B409" s="136"/>
      <c r="G409" s="79" t="s">
        <v>1078</v>
      </c>
      <c r="H409" s="79" t="s">
        <v>274</v>
      </c>
      <c r="I409" s="81">
        <f>Datasheet!I246</f>
        <v>17783</v>
      </c>
      <c r="J409" s="81">
        <f>Datasheet!J246</f>
        <v>17511</v>
      </c>
      <c r="K409" s="81">
        <f>Datasheet!K246</f>
        <v>17570</v>
      </c>
      <c r="L409" s="81">
        <f>Datasheet!L246</f>
        <v>17984</v>
      </c>
      <c r="M409" s="81">
        <f>Datasheet!M246</f>
        <v>18648</v>
      </c>
      <c r="N409" s="81">
        <f>Datasheet!N246</f>
        <v>19215</v>
      </c>
      <c r="O409" s="81">
        <f>Datasheet!O246</f>
        <v>19685</v>
      </c>
      <c r="P409" s="81">
        <f>Datasheet!P246</f>
        <v>18090</v>
      </c>
      <c r="Q409" s="81">
        <f>Datasheet!Q246</f>
        <v>17600</v>
      </c>
      <c r="R409" s="81">
        <f>Datasheet!R246</f>
        <v>17585</v>
      </c>
      <c r="S409" s="81">
        <f>Datasheet!S246</f>
        <v>18094</v>
      </c>
      <c r="T409" s="81">
        <f>Datasheet!T246</f>
        <v>18836</v>
      </c>
      <c r="U409" s="81">
        <f>Datasheet!U246</f>
        <v>19564</v>
      </c>
      <c r="V409" s="81">
        <f>Datasheet!V246</f>
        <v>20323</v>
      </c>
      <c r="W409" s="81">
        <f>Datasheet!W246</f>
        <v>21068</v>
      </c>
      <c r="X409" s="81">
        <f>Datasheet!X246</f>
        <v>21517</v>
      </c>
      <c r="Y409" s="81">
        <f>Datasheet!Y246</f>
        <v>21692</v>
      </c>
      <c r="Z409" s="81">
        <f>Datasheet!Z246</f>
        <v>22236</v>
      </c>
      <c r="AA409" s="81">
        <f>Datasheet!AA246</f>
        <v>19821</v>
      </c>
      <c r="AB409" s="81">
        <f>Datasheet!AB246</f>
        <v>21919</v>
      </c>
      <c r="AC409" s="81">
        <f>Datasheet!AC246</f>
        <v>0</v>
      </c>
      <c r="AD409" s="81">
        <f>Datasheet!AD246</f>
        <v>0</v>
      </c>
      <c r="AE409" s="81">
        <f>Datasheet!AE246</f>
        <v>0</v>
      </c>
      <c r="AF409" s="81">
        <f>Datasheet!AF246</f>
        <v>0</v>
      </c>
      <c r="AG409" s="81">
        <f>Datasheet!AG246</f>
        <v>0</v>
      </c>
      <c r="AH409" s="81">
        <f>Datasheet!AH246</f>
        <v>0</v>
      </c>
      <c r="AI409" s="81">
        <f>Datasheet!AI246</f>
        <v>0</v>
      </c>
      <c r="AJ409" s="81">
        <f>Datasheet!AJ246</f>
        <v>0</v>
      </c>
      <c r="AK409" s="81">
        <f>Datasheet!AK246</f>
        <v>0</v>
      </c>
    </row>
    <row r="410" spans="1:37" s="79" customFormat="1" x14ac:dyDescent="0.25">
      <c r="B410" s="136"/>
      <c r="E410" s="79" t="s">
        <v>1079</v>
      </c>
      <c r="H410" s="79" t="s">
        <v>1074</v>
      </c>
      <c r="I410" s="139">
        <f>Datasheet!I247/I442</f>
        <v>1.3407141104649529</v>
      </c>
      <c r="J410" s="139">
        <f>Datasheet!J247/J442</f>
        <v>1.3061097351654958</v>
      </c>
      <c r="K410" s="139">
        <f>Datasheet!K247/K442</f>
        <v>1.3775322672369956</v>
      </c>
      <c r="L410" s="139">
        <f>Datasheet!L247/L442</f>
        <v>1.3832923937984607</v>
      </c>
      <c r="M410" s="139">
        <f>Datasheet!M247/M442</f>
        <v>1.552457838012282</v>
      </c>
      <c r="N410" s="139">
        <f>Datasheet!N247/N442</f>
        <v>1.703906573925305</v>
      </c>
      <c r="O410" s="139">
        <f>Datasheet!O247/O442</f>
        <v>1.7222025814962079</v>
      </c>
      <c r="P410" s="139">
        <f>Datasheet!P247/P442</f>
        <v>1.9373506589331229</v>
      </c>
      <c r="Q410" s="139">
        <f>Datasheet!Q247/Q442</f>
        <v>2.0734459451225464</v>
      </c>
      <c r="R410" s="139">
        <f>Datasheet!R247/R442</f>
        <v>2.1790414888937133</v>
      </c>
      <c r="S410" s="139">
        <f>Datasheet!S247/S442</f>
        <v>2.1570061637427416</v>
      </c>
      <c r="T410" s="139">
        <f>Datasheet!T247/T442</f>
        <v>2.2017820246693045</v>
      </c>
      <c r="U410" s="139">
        <f>Datasheet!U247/U442</f>
        <v>2.1374851596571869</v>
      </c>
      <c r="V410" s="139">
        <f>Datasheet!V247/V442</f>
        <v>2.3513909363490471</v>
      </c>
      <c r="W410" s="139">
        <f>Datasheet!W247/W442</f>
        <v>2.2855172573355493</v>
      </c>
      <c r="X410" s="139">
        <f>Datasheet!X247/X442</f>
        <v>2.138581161833113</v>
      </c>
      <c r="Y410" s="139">
        <f>Datasheet!Y247/Y442</f>
        <v>2.6792114765868416</v>
      </c>
      <c r="Z410" s="139">
        <f>Datasheet!Z247/Z442</f>
        <v>2.28838501199054</v>
      </c>
      <c r="AA410" s="139">
        <f>Datasheet!AA247/AA442</f>
        <v>2.7971746310706749</v>
      </c>
      <c r="AB410" s="139">
        <f>Datasheet!AB247/AB442</f>
        <v>2.872562773238879</v>
      </c>
      <c r="AC410" s="139">
        <f>Datasheet!AC247/AC442</f>
        <v>0</v>
      </c>
      <c r="AD410" s="139" t="e">
        <f>Datasheet!AD247/AD442</f>
        <v>#DIV/0!</v>
      </c>
      <c r="AE410" s="139" t="e">
        <f>Datasheet!AE247/AE442</f>
        <v>#DIV/0!</v>
      </c>
      <c r="AF410" s="139" t="e">
        <f>Datasheet!AF247/AF442</f>
        <v>#DIV/0!</v>
      </c>
      <c r="AG410" s="139" t="e">
        <f>Datasheet!AG247/AG442</f>
        <v>#DIV/0!</v>
      </c>
      <c r="AH410" s="139" t="e">
        <f>Datasheet!AH247/AH442</f>
        <v>#DIV/0!</v>
      </c>
      <c r="AI410" s="139" t="e">
        <f>Datasheet!AI247/AI442</f>
        <v>#DIV/0!</v>
      </c>
      <c r="AJ410" s="139" t="e">
        <f>Datasheet!AJ247/AJ442</f>
        <v>#DIV/0!</v>
      </c>
      <c r="AK410" s="139" t="e">
        <f>Datasheet!AK247/AK442</f>
        <v>#DIV/0!</v>
      </c>
    </row>
    <row r="411" spans="1:37" s="79" customFormat="1" x14ac:dyDescent="0.25">
      <c r="B411" s="136"/>
      <c r="C411" s="79" t="s">
        <v>1080</v>
      </c>
      <c r="I411" s="174"/>
      <c r="J411" s="174"/>
      <c r="K411" s="174"/>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row>
    <row r="412" spans="1:37" s="79" customFormat="1" x14ac:dyDescent="0.25">
      <c r="A412" s="175" t="s">
        <v>1081</v>
      </c>
      <c r="B412" s="80" t="s">
        <v>62</v>
      </c>
      <c r="D412" s="79" t="s">
        <v>1082</v>
      </c>
      <c r="H412" s="79" t="s">
        <v>195</v>
      </c>
      <c r="Q412" s="81">
        <f>Datasheet!Q604</f>
        <v>15652</v>
      </c>
      <c r="R412" s="81">
        <f>Datasheet!R604</f>
        <v>16331</v>
      </c>
      <c r="S412" s="81">
        <f>Datasheet!S604</f>
        <v>16101</v>
      </c>
      <c r="T412" s="81">
        <f>Datasheet!T604</f>
        <v>16478</v>
      </c>
      <c r="U412" s="81">
        <f>Datasheet!U604</f>
        <v>16536</v>
      </c>
      <c r="V412" s="81">
        <f>Datasheet!V604</f>
        <v>17393</v>
      </c>
      <c r="W412" s="81">
        <f>Datasheet!W604</f>
        <v>17527</v>
      </c>
      <c r="X412" s="81">
        <f>Datasheet!X604</f>
        <v>17759</v>
      </c>
      <c r="Y412" s="81">
        <f>Datasheet!Y604</f>
        <v>17725</v>
      </c>
      <c r="Z412" s="81">
        <f>Datasheet!Z604</f>
        <v>18513</v>
      </c>
      <c r="AA412" s="81">
        <f>Datasheet!AA604</f>
        <v>18901</v>
      </c>
      <c r="AB412" s="81">
        <f>Datasheet!AB604</f>
        <v>19231</v>
      </c>
      <c r="AC412" s="81">
        <f>Datasheet!AC604</f>
        <v>0</v>
      </c>
      <c r="AD412" s="81">
        <f>Datasheet!AD604</f>
        <v>0</v>
      </c>
      <c r="AE412" s="81">
        <f>Datasheet!AE604</f>
        <v>0</v>
      </c>
      <c r="AF412" s="81">
        <f>Datasheet!AF604</f>
        <v>0</v>
      </c>
      <c r="AG412" s="81">
        <f>Datasheet!AG604</f>
        <v>0</v>
      </c>
      <c r="AH412" s="81">
        <f>Datasheet!AH604</f>
        <v>0</v>
      </c>
      <c r="AI412" s="81">
        <f>Datasheet!AI604</f>
        <v>0</v>
      </c>
      <c r="AJ412" s="81">
        <f>Datasheet!AJ604</f>
        <v>0</v>
      </c>
      <c r="AK412" s="81">
        <f>Datasheet!AK604</f>
        <v>0</v>
      </c>
    </row>
    <row r="413" spans="1:37" s="79" customFormat="1" x14ac:dyDescent="0.25">
      <c r="B413" s="136"/>
      <c r="E413" s="79" t="s">
        <v>1083</v>
      </c>
      <c r="H413" s="79" t="s">
        <v>195</v>
      </c>
      <c r="I413" s="81">
        <f>Datasheet!I546</f>
        <v>12030</v>
      </c>
      <c r="J413" s="81">
        <f>Datasheet!J546</f>
        <v>12414</v>
      </c>
      <c r="K413" s="81">
        <f>Datasheet!K546</f>
        <v>12633</v>
      </c>
      <c r="L413" s="81">
        <f>Datasheet!L546</f>
        <v>12912</v>
      </c>
      <c r="M413" s="81">
        <f>Datasheet!M546</f>
        <v>13226</v>
      </c>
      <c r="N413" s="81">
        <f>Datasheet!N546</f>
        <v>13515</v>
      </c>
      <c r="O413" s="81">
        <f>Datasheet!O546</f>
        <v>13916</v>
      </c>
      <c r="P413" s="81">
        <f>Datasheet!P546</f>
        <v>13204</v>
      </c>
      <c r="Q413" s="81">
        <f>Datasheet!Q546</f>
        <v>12624</v>
      </c>
      <c r="R413" s="81">
        <f>Datasheet!R546</f>
        <v>12446</v>
      </c>
      <c r="S413" s="81">
        <f>Datasheet!S546</f>
        <v>12811</v>
      </c>
      <c r="T413" s="81">
        <f>Datasheet!T546</f>
        <v>13293</v>
      </c>
      <c r="U413" s="81">
        <f>Datasheet!U546</f>
        <v>14236</v>
      </c>
      <c r="V413" s="81">
        <f>Datasheet!V546</f>
        <v>14403</v>
      </c>
      <c r="W413" s="81">
        <f>Datasheet!W546</f>
        <v>14686</v>
      </c>
      <c r="X413" s="81">
        <f>Datasheet!X546</f>
        <v>15293</v>
      </c>
      <c r="Y413" s="81">
        <f>Datasheet!Y546</f>
        <v>14516</v>
      </c>
      <c r="Z413" s="81">
        <f>Datasheet!Z546</f>
        <v>16729</v>
      </c>
      <c r="AA413" s="81">
        <f>Datasheet!AA546</f>
        <v>15297</v>
      </c>
      <c r="AB413" s="81">
        <f>Datasheet!AB546</f>
        <v>0</v>
      </c>
      <c r="AC413" s="81">
        <f>Datasheet!AC546</f>
        <v>0</v>
      </c>
      <c r="AD413" s="81">
        <f>Datasheet!AD546</f>
        <v>0</v>
      </c>
      <c r="AE413" s="81">
        <f>Datasheet!AE546</f>
        <v>0</v>
      </c>
      <c r="AF413" s="81">
        <f>Datasheet!AF546</f>
        <v>0</v>
      </c>
      <c r="AG413" s="81">
        <f>Datasheet!AG546</f>
        <v>0</v>
      </c>
      <c r="AH413" s="81">
        <f>Datasheet!AH546</f>
        <v>0</v>
      </c>
      <c r="AI413" s="81">
        <f>Datasheet!AI546</f>
        <v>0</v>
      </c>
      <c r="AJ413" s="81">
        <f>Datasheet!AJ546</f>
        <v>0</v>
      </c>
      <c r="AK413" s="81">
        <f>Datasheet!AK546</f>
        <v>0</v>
      </c>
    </row>
    <row r="414" spans="1:37" s="79" customFormat="1" x14ac:dyDescent="0.25">
      <c r="B414" s="136"/>
      <c r="F414" s="79" t="s">
        <v>1084</v>
      </c>
      <c r="Q414" s="79">
        <f t="shared" ref="Q414:AD414" si="30">Q412/Q413</f>
        <v>1.2398605830164766</v>
      </c>
      <c r="R414" s="79">
        <f t="shared" si="30"/>
        <v>1.3121484814398201</v>
      </c>
      <c r="S414" s="79">
        <f t="shared" si="30"/>
        <v>1.2568105534306455</v>
      </c>
      <c r="T414" s="79">
        <f t="shared" si="30"/>
        <v>1.2395997893628226</v>
      </c>
      <c r="U414" s="79">
        <f t="shared" si="30"/>
        <v>1.1615622365833098</v>
      </c>
      <c r="V414" s="79">
        <f t="shared" si="30"/>
        <v>1.2075956397972645</v>
      </c>
      <c r="W414" s="79">
        <f t="shared" si="30"/>
        <v>1.1934495437831949</v>
      </c>
      <c r="X414" s="79">
        <f t="shared" si="30"/>
        <v>1.1612502452102269</v>
      </c>
      <c r="Y414" s="79">
        <f t="shared" si="30"/>
        <v>1.2210664094791954</v>
      </c>
      <c r="Z414" s="79">
        <f t="shared" si="30"/>
        <v>1.1066411620539183</v>
      </c>
      <c r="AA414" s="79">
        <f t="shared" si="30"/>
        <v>1.235601751977512</v>
      </c>
      <c r="AB414" s="79" t="e">
        <f t="shared" si="30"/>
        <v>#DIV/0!</v>
      </c>
      <c r="AC414" s="79" t="e">
        <f t="shared" si="30"/>
        <v>#DIV/0!</v>
      </c>
      <c r="AD414" s="79" t="e">
        <f t="shared" si="30"/>
        <v>#DIV/0!</v>
      </c>
    </row>
    <row r="415" spans="1:37" s="79" customFormat="1" x14ac:dyDescent="0.25">
      <c r="B415" s="136"/>
      <c r="E415" s="79" t="s">
        <v>1085</v>
      </c>
      <c r="H415" s="79" t="s">
        <v>195</v>
      </c>
      <c r="I415" s="81">
        <f t="shared" ref="I415:AK415" si="31">I400/I406</f>
        <v>14854.728264890862</v>
      </c>
      <c r="J415" s="81">
        <f t="shared" si="31"/>
        <v>14711.579895430454</v>
      </c>
      <c r="K415" s="81">
        <f t="shared" si="31"/>
        <v>14827.497035919741</v>
      </c>
      <c r="L415" s="81">
        <f t="shared" si="31"/>
        <v>15081.776694427515</v>
      </c>
      <c r="M415" s="81">
        <f t="shared" si="31"/>
        <v>15693.975740140642</v>
      </c>
      <c r="N415" s="81">
        <f t="shared" si="31"/>
        <v>16198.635145233609</v>
      </c>
      <c r="O415" s="81">
        <f t="shared" si="31"/>
        <v>16439.528576189285</v>
      </c>
      <c r="P415" s="81">
        <f t="shared" si="31"/>
        <v>15453.323879928314</v>
      </c>
      <c r="Q415" s="81">
        <f t="shared" si="31"/>
        <v>14990.188726864833</v>
      </c>
      <c r="R415" s="81">
        <f t="shared" si="31"/>
        <v>14860.744997181509</v>
      </c>
      <c r="S415" s="81">
        <f t="shared" si="31"/>
        <v>15210.315497693866</v>
      </c>
      <c r="T415" s="81">
        <f t="shared" si="31"/>
        <v>15727.531070308414</v>
      </c>
      <c r="U415" s="81">
        <f t="shared" si="31"/>
        <v>16430.353206699347</v>
      </c>
      <c r="V415" s="81">
        <f t="shared" si="31"/>
        <v>16814.92752994012</v>
      </c>
      <c r="W415" s="81">
        <f t="shared" si="31"/>
        <v>17571.091188645769</v>
      </c>
      <c r="X415" s="81">
        <f t="shared" si="31"/>
        <v>17915.751080359991</v>
      </c>
      <c r="Y415" s="81">
        <f t="shared" si="31"/>
        <v>18199.705270084345</v>
      </c>
      <c r="Z415" s="81">
        <f t="shared" si="31"/>
        <v>18435.954491300246</v>
      </c>
      <c r="AA415" s="81">
        <f t="shared" si="31"/>
        <v>17239.991800861204</v>
      </c>
      <c r="AB415" s="81">
        <f t="shared" si="31"/>
        <v>18429.127030725715</v>
      </c>
      <c r="AC415" s="81">
        <f t="shared" si="31"/>
        <v>19680.376769769842</v>
      </c>
      <c r="AD415" s="81" t="e">
        <f t="shared" si="31"/>
        <v>#DIV/0!</v>
      </c>
      <c r="AE415" s="81" t="e">
        <f t="shared" si="31"/>
        <v>#DIV/0!</v>
      </c>
      <c r="AF415" s="81" t="e">
        <f t="shared" si="31"/>
        <v>#DIV/0!</v>
      </c>
      <c r="AG415" s="81" t="e">
        <f t="shared" si="31"/>
        <v>#DIV/0!</v>
      </c>
      <c r="AH415" s="81" t="e">
        <f t="shared" si="31"/>
        <v>#DIV/0!</v>
      </c>
      <c r="AI415" s="81" t="e">
        <f t="shared" si="31"/>
        <v>#DIV/0!</v>
      </c>
      <c r="AJ415" s="81" t="e">
        <f t="shared" si="31"/>
        <v>#DIV/0!</v>
      </c>
      <c r="AK415" s="81" t="e">
        <f t="shared" si="31"/>
        <v>#DIV/0!</v>
      </c>
    </row>
    <row r="416" spans="1:37" s="79" customFormat="1" x14ac:dyDescent="0.25">
      <c r="B416" s="80"/>
      <c r="F416" s="79" t="s">
        <v>1086</v>
      </c>
      <c r="Q416" s="79">
        <f t="shared" ref="Q416:AD416" si="32">Q412/Q415</f>
        <v>1.0441496291470362</v>
      </c>
      <c r="R416" s="79">
        <f t="shared" si="32"/>
        <v>1.0989354842639005</v>
      </c>
      <c r="S416" s="79">
        <f t="shared" si="32"/>
        <v>1.0585579242219647</v>
      </c>
      <c r="T416" s="79">
        <f t="shared" si="32"/>
        <v>1.0477168937919554</v>
      </c>
      <c r="U416" s="79">
        <f t="shared" si="32"/>
        <v>1.0064299770048508</v>
      </c>
      <c r="V416" s="79">
        <f t="shared" si="32"/>
        <v>1.0343785287822729</v>
      </c>
      <c r="W416" s="79">
        <f t="shared" si="32"/>
        <v>0.99749069718138739</v>
      </c>
      <c r="X416" s="79">
        <f t="shared" si="32"/>
        <v>0.99125065537822588</v>
      </c>
      <c r="Y416" s="79">
        <f t="shared" si="32"/>
        <v>0.97391687046357622</v>
      </c>
      <c r="Z416" s="79">
        <f t="shared" si="32"/>
        <v>1.0041790897637608</v>
      </c>
      <c r="AA416" s="79">
        <f t="shared" si="32"/>
        <v>1.0963462290658295</v>
      </c>
      <c r="AB416" s="79">
        <f t="shared" si="32"/>
        <v>1.0435111748883912</v>
      </c>
      <c r="AC416" s="79">
        <f t="shared" si="32"/>
        <v>0</v>
      </c>
      <c r="AD416" s="79" t="e">
        <f t="shared" si="32"/>
        <v>#DIV/0!</v>
      </c>
      <c r="AE416" s="81"/>
      <c r="AF416" s="81"/>
      <c r="AG416" s="81"/>
      <c r="AH416" s="81"/>
      <c r="AI416" s="81"/>
      <c r="AJ416" s="81"/>
      <c r="AK416" s="81"/>
    </row>
    <row r="417" spans="1:37" s="4" customFormat="1" x14ac:dyDescent="0.25">
      <c r="C417" s="4" t="s">
        <v>1087</v>
      </c>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row>
    <row r="418" spans="1:37" x14ac:dyDescent="0.25">
      <c r="B418" s="44"/>
      <c r="D418" t="s">
        <v>1088</v>
      </c>
    </row>
    <row r="419" spans="1:37" x14ac:dyDescent="0.25">
      <c r="A419" t="s">
        <v>1089</v>
      </c>
      <c r="B419" s="44" t="s">
        <v>62</v>
      </c>
      <c r="E419" t="s">
        <v>1090</v>
      </c>
      <c r="I419" s="39">
        <f>Datasheet!I403</f>
        <v>13373.75</v>
      </c>
      <c r="J419" s="39">
        <f>Datasheet!J403</f>
        <v>13181</v>
      </c>
      <c r="K419" s="39">
        <f>Datasheet!K403</f>
        <v>13283.583333333334</v>
      </c>
      <c r="L419" s="39">
        <f>Datasheet!L403</f>
        <v>13471.666666666666</v>
      </c>
      <c r="M419" s="39">
        <f>Datasheet!M403</f>
        <v>13773.75</v>
      </c>
      <c r="N419" s="39">
        <f>Datasheet!N403</f>
        <v>14288.333333333334</v>
      </c>
      <c r="O419" s="39">
        <f>Datasheet!O403</f>
        <v>14214.166666666666</v>
      </c>
      <c r="P419" s="39">
        <f>Datasheet!P403</f>
        <v>12916.666666666666</v>
      </c>
      <c r="Q419" s="39">
        <f>Datasheet!Q403</f>
        <v>12445.5</v>
      </c>
      <c r="R419" s="39">
        <f>Datasheet!R403</f>
        <v>12404.416666666666</v>
      </c>
      <c r="S419" s="39">
        <f>Datasheet!S403</f>
        <v>12710.333333333334</v>
      </c>
      <c r="T419" s="39">
        <f>Datasheet!T403</f>
        <v>13119.583333333334</v>
      </c>
      <c r="U419" s="39">
        <f>Datasheet!U403</f>
        <v>13579.333333333334</v>
      </c>
      <c r="V419" s="39">
        <f>Datasheet!V403</f>
        <v>14015.5</v>
      </c>
      <c r="W419" s="39">
        <f>Datasheet!W403</f>
        <v>14714.75</v>
      </c>
      <c r="X419" s="39">
        <f>Datasheet!X403</f>
        <v>15007.166666666666</v>
      </c>
      <c r="Y419" s="39">
        <f>Datasheet!Y403</f>
        <v>14992.833333333334</v>
      </c>
      <c r="Z419" s="39">
        <f>Datasheet!Z403</f>
        <v>15364.916666666666</v>
      </c>
      <c r="AA419" s="39">
        <f>Datasheet!AA403</f>
        <v>14236.75</v>
      </c>
      <c r="AB419" s="39">
        <f>Datasheet!AB403</f>
        <v>15374.75</v>
      </c>
      <c r="AC419" s="39">
        <f>Datasheet!AC403</f>
        <v>16192.583333333334</v>
      </c>
      <c r="AD419" s="39">
        <f>Datasheet!AD403</f>
        <v>16658.666666666668</v>
      </c>
      <c r="AE419" s="39" t="e">
        <f>Datasheet!AE403</f>
        <v>#DIV/0!</v>
      </c>
      <c r="AF419" s="39" t="e">
        <f>Datasheet!AF403</f>
        <v>#DIV/0!</v>
      </c>
      <c r="AG419" s="39" t="e">
        <f>Datasheet!AG403</f>
        <v>#DIV/0!</v>
      </c>
      <c r="AH419" s="39" t="e">
        <f>Datasheet!AH403</f>
        <v>#DIV/0!</v>
      </c>
      <c r="AI419" s="39" t="e">
        <f>Datasheet!AI403</f>
        <v>#DIV/0!</v>
      </c>
      <c r="AJ419" s="39" t="e">
        <f>Datasheet!AJ403</f>
        <v>#DIV/0!</v>
      </c>
      <c r="AK419" s="39" t="e">
        <f>Datasheet!AK403</f>
        <v>#DIV/0!</v>
      </c>
    </row>
    <row r="420" spans="1:37" s="79" customFormat="1" x14ac:dyDescent="0.25">
      <c r="A420" s="4" t="s">
        <v>1091</v>
      </c>
      <c r="B420" s="136" t="s">
        <v>62</v>
      </c>
      <c r="E420" s="79" t="s">
        <v>1082</v>
      </c>
      <c r="I420" s="140"/>
      <c r="J420" s="140"/>
      <c r="K420" s="140"/>
      <c r="L420" s="140"/>
      <c r="M420" s="140"/>
      <c r="N420" s="140"/>
      <c r="O420" s="140"/>
      <c r="P420" s="140"/>
      <c r="Q420" s="81">
        <f>Datasheet!Q719</f>
        <v>12322</v>
      </c>
      <c r="R420" s="81">
        <f>Datasheet!R719</f>
        <v>12982</v>
      </c>
      <c r="S420" s="81">
        <f>Datasheet!S719</f>
        <v>12701</v>
      </c>
      <c r="T420" s="81">
        <f>Datasheet!T719</f>
        <v>13246</v>
      </c>
      <c r="U420" s="81">
        <f>Datasheet!U719</f>
        <v>13381</v>
      </c>
      <c r="V420" s="81">
        <f>Datasheet!V719</f>
        <v>13843</v>
      </c>
      <c r="W420" s="81">
        <f>Datasheet!W719</f>
        <v>14008</v>
      </c>
      <c r="X420" s="81">
        <f>Datasheet!X719</f>
        <v>14152</v>
      </c>
      <c r="Y420" s="81">
        <f>Datasheet!Y719</f>
        <v>14035</v>
      </c>
      <c r="Z420" s="81">
        <f>Datasheet!Z719</f>
        <v>14096</v>
      </c>
      <c r="AA420" s="81">
        <f>Datasheet!AA719</f>
        <v>14614</v>
      </c>
      <c r="AB420" s="81">
        <f>Datasheet!AB719</f>
        <v>14590</v>
      </c>
      <c r="AC420" s="81">
        <f>Datasheet!AC719</f>
        <v>0</v>
      </c>
      <c r="AD420" s="81">
        <f>Datasheet!AD719</f>
        <v>0</v>
      </c>
      <c r="AE420" s="81">
        <f>Datasheet!AE719</f>
        <v>0</v>
      </c>
      <c r="AF420" s="140"/>
      <c r="AG420" s="140"/>
      <c r="AH420" s="140"/>
      <c r="AI420" s="140"/>
      <c r="AJ420" s="140"/>
      <c r="AK420" s="140"/>
    </row>
    <row r="421" spans="1:37" s="79" customFormat="1" x14ac:dyDescent="0.25">
      <c r="B421" s="136"/>
      <c r="F421" s="79" t="s">
        <v>1092</v>
      </c>
      <c r="I421" s="140"/>
      <c r="J421" s="140"/>
      <c r="K421" s="140"/>
      <c r="L421" s="140"/>
      <c r="M421" s="140"/>
      <c r="N421" s="140"/>
      <c r="O421" s="140"/>
      <c r="P421" s="140"/>
      <c r="Q421" s="139">
        <f t="shared" ref="Q421:AK421" si="33">Q419/Q420</f>
        <v>1.0100227235838337</v>
      </c>
      <c r="R421" s="139">
        <f t="shared" si="33"/>
        <v>0.95550890977250547</v>
      </c>
      <c r="S421" s="139">
        <f t="shared" si="33"/>
        <v>1.0007348502742566</v>
      </c>
      <c r="T421" s="139">
        <f t="shared" si="33"/>
        <v>0.99045623836126639</v>
      </c>
      <c r="U421" s="139">
        <f t="shared" si="33"/>
        <v>1.0148220113095683</v>
      </c>
      <c r="V421" s="139">
        <f t="shared" si="33"/>
        <v>1.0124611717113343</v>
      </c>
      <c r="W421" s="139">
        <f t="shared" si="33"/>
        <v>1.0504533123929183</v>
      </c>
      <c r="X421" s="139">
        <f t="shared" si="33"/>
        <v>1.0604272658752592</v>
      </c>
      <c r="Y421" s="139">
        <f t="shared" si="33"/>
        <v>1.0682460515378223</v>
      </c>
      <c r="Z421" s="139">
        <f t="shared" si="33"/>
        <v>1.0900196273174423</v>
      </c>
      <c r="AA421" s="139">
        <f t="shared" si="33"/>
        <v>0.97418571233064188</v>
      </c>
      <c r="AB421" s="139">
        <f t="shared" si="33"/>
        <v>1.0537868403015764</v>
      </c>
      <c r="AC421" s="139" t="e">
        <f t="shared" si="33"/>
        <v>#DIV/0!</v>
      </c>
      <c r="AD421" s="139" t="e">
        <f t="shared" si="33"/>
        <v>#DIV/0!</v>
      </c>
      <c r="AE421" s="139" t="e">
        <f t="shared" si="33"/>
        <v>#DIV/0!</v>
      </c>
      <c r="AF421" s="139" t="e">
        <f t="shared" si="33"/>
        <v>#DIV/0!</v>
      </c>
      <c r="AG421" s="139" t="e">
        <f t="shared" si="33"/>
        <v>#DIV/0!</v>
      </c>
      <c r="AH421" s="139" t="e">
        <f t="shared" si="33"/>
        <v>#DIV/0!</v>
      </c>
      <c r="AI421" s="139" t="e">
        <f t="shared" si="33"/>
        <v>#DIV/0!</v>
      </c>
      <c r="AJ421" s="139" t="e">
        <f t="shared" si="33"/>
        <v>#DIV/0!</v>
      </c>
      <c r="AK421" s="139" t="e">
        <f t="shared" si="33"/>
        <v>#DIV/0!</v>
      </c>
    </row>
    <row r="422" spans="1:37" s="4" customFormat="1" x14ac:dyDescent="0.25">
      <c r="C422" s="172"/>
      <c r="E422" t="s">
        <v>1093</v>
      </c>
      <c r="H422" s="4" t="s">
        <v>195</v>
      </c>
      <c r="I422" s="39">
        <f>IF(I425&gt;0,I425,IF(I423&gt;0,I423,IF(H423&gt;0,H423*I419/H419,#REF!*I419/#REF!)))</f>
        <v>7597.2209431441061</v>
      </c>
      <c r="J422" s="39">
        <f t="shared" ref="J422:AK422" si="34">IF(J425&gt;0,J425,IF(J423&gt;0,J423,IF(I423&gt;0,I423*J419/I419,H423*J419/H419)))</f>
        <v>7487.7255258683963</v>
      </c>
      <c r="K422" s="39">
        <f t="shared" si="34"/>
        <v>7546</v>
      </c>
      <c r="L422" s="39">
        <f t="shared" si="34"/>
        <v>7523</v>
      </c>
      <c r="M422" s="39">
        <f t="shared" si="34"/>
        <v>7772</v>
      </c>
      <c r="N422" s="39">
        <f t="shared" si="34"/>
        <v>8095</v>
      </c>
      <c r="O422" s="39">
        <f t="shared" si="34"/>
        <v>7931</v>
      </c>
      <c r="P422" s="39">
        <f t="shared" si="34"/>
        <v>7207.0410974966289</v>
      </c>
      <c r="Q422" s="39">
        <f t="shared" si="34"/>
        <v>6944.1468370756875</v>
      </c>
      <c r="R422" s="39">
        <f t="shared" si="34"/>
        <v>6921.2237966817138</v>
      </c>
      <c r="S422" s="39">
        <f t="shared" si="34"/>
        <v>7091.9144280940372</v>
      </c>
      <c r="T422" s="39">
        <f t="shared" si="34"/>
        <v>7320.2613882863334</v>
      </c>
      <c r="U422" s="39">
        <f t="shared" si="34"/>
        <v>7576.7855543178748</v>
      </c>
      <c r="V422" s="39">
        <f t="shared" si="34"/>
        <v>8221</v>
      </c>
      <c r="W422" s="39">
        <f t="shared" si="34"/>
        <v>8276</v>
      </c>
      <c r="X422" s="39">
        <f t="shared" si="34"/>
        <v>8329</v>
      </c>
      <c r="Y422" s="39">
        <f t="shared" si="34"/>
        <v>8404</v>
      </c>
      <c r="Z422" s="39">
        <f t="shared" si="34"/>
        <v>9270</v>
      </c>
      <c r="AA422" s="39">
        <f t="shared" si="34"/>
        <v>8426</v>
      </c>
      <c r="AB422" s="39">
        <f t="shared" si="34"/>
        <v>9099.5236623527144</v>
      </c>
      <c r="AC422" s="242">
        <f>AC419*AA422/AA419</f>
        <v>9583.5571437769631</v>
      </c>
      <c r="AD422" s="39">
        <f t="shared" si="34"/>
        <v>0</v>
      </c>
      <c r="AE422" s="39" t="e">
        <f t="shared" si="34"/>
        <v>#DIV/0!</v>
      </c>
      <c r="AF422" s="39" t="e">
        <f t="shared" si="34"/>
        <v>#DIV/0!</v>
      </c>
      <c r="AG422" s="39" t="e">
        <f t="shared" si="34"/>
        <v>#DIV/0!</v>
      </c>
      <c r="AH422" s="39" t="e">
        <f t="shared" si="34"/>
        <v>#DIV/0!</v>
      </c>
      <c r="AI422" s="39" t="e">
        <f t="shared" si="34"/>
        <v>#DIV/0!</v>
      </c>
      <c r="AJ422" s="39" t="e">
        <f t="shared" si="34"/>
        <v>#DIV/0!</v>
      </c>
      <c r="AK422" s="39" t="e">
        <f t="shared" si="34"/>
        <v>#DIV/0!</v>
      </c>
    </row>
    <row r="423" spans="1:37" x14ac:dyDescent="0.25">
      <c r="A423" t="s">
        <v>1094</v>
      </c>
      <c r="B423" s="44" t="s">
        <v>62</v>
      </c>
      <c r="F423" t="s">
        <v>1095</v>
      </c>
      <c r="H423" t="s">
        <v>195</v>
      </c>
      <c r="I423" s="39">
        <f>Datasheet!I571</f>
        <v>6333</v>
      </c>
      <c r="J423" s="39">
        <f>Datasheet!J571</f>
        <v>6846</v>
      </c>
      <c r="K423" s="39">
        <f>Datasheet!K571</f>
        <v>7546</v>
      </c>
      <c r="L423" s="39">
        <f>Datasheet!L571</f>
        <v>7523</v>
      </c>
      <c r="M423" s="39">
        <f>Datasheet!M571</f>
        <v>7772</v>
      </c>
      <c r="N423" s="39">
        <f>Datasheet!N571</f>
        <v>8095</v>
      </c>
      <c r="O423" s="39">
        <f>Datasheet!O571</f>
        <v>7931</v>
      </c>
      <c r="P423" s="39">
        <f>Datasheet!P571</f>
        <v>9936</v>
      </c>
      <c r="Q423" s="39">
        <f>Datasheet!Q571</f>
        <v>9663</v>
      </c>
      <c r="R423" s="39">
        <f>Datasheet!R571</f>
        <v>8544</v>
      </c>
      <c r="S423" s="39">
        <f>Datasheet!S571</f>
        <v>8975</v>
      </c>
      <c r="T423" s="39">
        <f>Datasheet!T571</f>
        <v>8944</v>
      </c>
      <c r="U423" s="39">
        <f>Datasheet!U571</f>
        <v>9689</v>
      </c>
      <c r="V423" s="39">
        <f>Datasheet!V571</f>
        <v>8221</v>
      </c>
      <c r="W423" s="39">
        <f>Datasheet!W571</f>
        <v>8276</v>
      </c>
      <c r="X423" s="39">
        <f>Datasheet!X571</f>
        <v>8329</v>
      </c>
      <c r="Y423" s="39">
        <f>Datasheet!Y571</f>
        <v>8404</v>
      </c>
      <c r="Z423" s="39">
        <f>Datasheet!Z571</f>
        <v>9270</v>
      </c>
      <c r="AA423" s="39">
        <f>Datasheet!AA571</f>
        <v>8426</v>
      </c>
      <c r="AB423" s="39">
        <f>Datasheet!AB571</f>
        <v>0</v>
      </c>
      <c r="AC423" s="39">
        <f>Datasheet!AC571</f>
        <v>0</v>
      </c>
      <c r="AD423" s="39">
        <f>Datasheet!AD571</f>
        <v>0</v>
      </c>
      <c r="AE423" s="39">
        <f>Datasheet!AE571</f>
        <v>0</v>
      </c>
      <c r="AF423" s="39">
        <f>Datasheet!AF571</f>
        <v>0</v>
      </c>
      <c r="AG423" s="39">
        <f>Datasheet!AG571</f>
        <v>0</v>
      </c>
      <c r="AH423" s="39">
        <f>Datasheet!AH571</f>
        <v>0</v>
      </c>
      <c r="AI423" s="39">
        <f>Datasheet!AI571</f>
        <v>0</v>
      </c>
      <c r="AJ423" s="39">
        <f>Datasheet!AJ571</f>
        <v>0</v>
      </c>
      <c r="AK423" s="39">
        <f>Datasheet!AK571</f>
        <v>0</v>
      </c>
    </row>
    <row r="424" spans="1:37" s="79" customFormat="1" x14ac:dyDescent="0.25">
      <c r="A424" s="79" t="s">
        <v>1096</v>
      </c>
      <c r="B424" s="136" t="s">
        <v>62</v>
      </c>
      <c r="F424" s="79" t="s">
        <v>1097</v>
      </c>
      <c r="I424" s="171">
        <f t="shared" ref="I424:AK424" si="35">I423/I419</f>
        <v>0.47353958313861111</v>
      </c>
      <c r="J424" s="171">
        <f t="shared" si="35"/>
        <v>0.51938396176314394</v>
      </c>
      <c r="K424" s="140">
        <f t="shared" si="35"/>
        <v>0.56806960973130993</v>
      </c>
      <c r="L424" s="140">
        <f t="shared" si="35"/>
        <v>0.55843127551651617</v>
      </c>
      <c r="M424" s="140">
        <f t="shared" si="35"/>
        <v>0.56426172973954081</v>
      </c>
      <c r="N424" s="140">
        <f t="shared" si="35"/>
        <v>0.56654613320891167</v>
      </c>
      <c r="O424" s="140">
        <f t="shared" si="35"/>
        <v>0.55796447206425515</v>
      </c>
      <c r="P424" s="171">
        <f t="shared" si="35"/>
        <v>0.76923870967741936</v>
      </c>
      <c r="Q424" s="171">
        <f t="shared" si="35"/>
        <v>0.77642521393274677</v>
      </c>
      <c r="R424" s="171">
        <f t="shared" si="35"/>
        <v>0.68878692401228059</v>
      </c>
      <c r="S424" s="171">
        <f t="shared" si="35"/>
        <v>0.70611838136948935</v>
      </c>
      <c r="T424" s="171">
        <f t="shared" si="35"/>
        <v>0.68172896751040113</v>
      </c>
      <c r="U424" s="171">
        <f t="shared" si="35"/>
        <v>0.71351072708527663</v>
      </c>
      <c r="V424" s="140">
        <f t="shared" si="35"/>
        <v>0.58656487460311801</v>
      </c>
      <c r="W424" s="140">
        <f t="shared" si="35"/>
        <v>0.56242885540019372</v>
      </c>
      <c r="X424" s="140">
        <f t="shared" si="35"/>
        <v>0.55500149928367559</v>
      </c>
      <c r="Y424" s="140">
        <f t="shared" si="35"/>
        <v>0.56053447758373443</v>
      </c>
      <c r="Z424" s="140">
        <f t="shared" si="35"/>
        <v>0.60332250418973965</v>
      </c>
      <c r="AA424" s="140">
        <f t="shared" si="35"/>
        <v>0.59184856094263083</v>
      </c>
      <c r="AB424" s="140">
        <f t="shared" si="35"/>
        <v>0</v>
      </c>
      <c r="AC424" s="140">
        <f t="shared" si="35"/>
        <v>0</v>
      </c>
      <c r="AD424" s="140">
        <f t="shared" si="35"/>
        <v>0</v>
      </c>
      <c r="AE424" s="140" t="e">
        <f t="shared" si="35"/>
        <v>#DIV/0!</v>
      </c>
      <c r="AF424" s="140" t="e">
        <f t="shared" si="35"/>
        <v>#DIV/0!</v>
      </c>
      <c r="AG424" s="140" t="e">
        <f t="shared" si="35"/>
        <v>#DIV/0!</v>
      </c>
      <c r="AH424" s="140" t="e">
        <f t="shared" si="35"/>
        <v>#DIV/0!</v>
      </c>
      <c r="AI424" s="140" t="e">
        <f t="shared" si="35"/>
        <v>#DIV/0!</v>
      </c>
      <c r="AJ424" s="140" t="e">
        <f t="shared" si="35"/>
        <v>#DIV/0!</v>
      </c>
      <c r="AK424" s="140" t="e">
        <f t="shared" si="35"/>
        <v>#DIV/0!</v>
      </c>
    </row>
    <row r="425" spans="1:37" x14ac:dyDescent="0.25">
      <c r="A425" t="s">
        <v>1098</v>
      </c>
      <c r="B425" s="44" t="s">
        <v>62</v>
      </c>
      <c r="F425" t="s">
        <v>1099</v>
      </c>
      <c r="H425" t="s">
        <v>195</v>
      </c>
      <c r="I425" s="39">
        <f>K423*I419/K419</f>
        <v>7597.2209431441061</v>
      </c>
      <c r="J425" s="39">
        <f>K423*J419/K419</f>
        <v>7487.7255258683963</v>
      </c>
      <c r="K425" s="39"/>
      <c r="L425" s="39"/>
      <c r="M425" s="39"/>
      <c r="N425" s="39"/>
      <c r="O425" s="39"/>
      <c r="P425" s="39">
        <f>O423*P419/O419</f>
        <v>7207.0410974966289</v>
      </c>
      <c r="Q425" s="39">
        <f>P425*Q419/P419</f>
        <v>6944.1468370756875</v>
      </c>
      <c r="R425" s="39">
        <f>Q425*R419/Q419</f>
        <v>6921.2237966817138</v>
      </c>
      <c r="S425" s="39">
        <f>R425*S419/R419</f>
        <v>7091.9144280940372</v>
      </c>
      <c r="T425" s="39">
        <f>S425*T419/S419</f>
        <v>7320.2613882863334</v>
      </c>
      <c r="U425" s="39">
        <f>T425*U419/T419</f>
        <v>7576.7855543178748</v>
      </c>
      <c r="V425" s="39"/>
      <c r="W425" s="39"/>
      <c r="X425" s="39"/>
      <c r="Y425" s="39"/>
      <c r="Z425" s="39"/>
      <c r="AA425" s="39"/>
      <c r="AB425" s="39"/>
      <c r="AC425" s="39"/>
      <c r="AD425" s="39"/>
      <c r="AE425" s="39"/>
      <c r="AF425" s="39"/>
      <c r="AG425" s="39"/>
      <c r="AH425" s="39"/>
      <c r="AI425" s="39"/>
      <c r="AJ425" s="39"/>
      <c r="AK425" s="39"/>
    </row>
    <row r="426" spans="1:37" s="8" customFormat="1" x14ac:dyDescent="0.25">
      <c r="D426" s="8" t="s">
        <v>1100</v>
      </c>
      <c r="H426" s="8" t="s">
        <v>195</v>
      </c>
      <c r="I426" s="42">
        <f t="shared" ref="I426:AK426" si="36">I422*I427</f>
        <v>476.25086284986725</v>
      </c>
      <c r="J426" s="42">
        <f t="shared" si="36"/>
        <v>467.02582523310048</v>
      </c>
      <c r="K426" s="42">
        <f t="shared" si="36"/>
        <v>431.00000000000017</v>
      </c>
      <c r="L426" s="42">
        <f t="shared" si="36"/>
        <v>430.00000000000006</v>
      </c>
      <c r="M426" s="42">
        <f t="shared" si="36"/>
        <v>421.0000000000004</v>
      </c>
      <c r="N426" s="42">
        <f t="shared" si="36"/>
        <v>934.00000000000011</v>
      </c>
      <c r="O426" s="42">
        <f t="shared" si="36"/>
        <v>953.00000000000034</v>
      </c>
      <c r="P426" s="42">
        <f t="shared" si="36"/>
        <v>868.96489883262484</v>
      </c>
      <c r="Q426" s="42">
        <f t="shared" si="36"/>
        <v>945.00187216749748</v>
      </c>
      <c r="R426" s="42">
        <f t="shared" si="36"/>
        <v>927.52823586148929</v>
      </c>
      <c r="S426" s="42">
        <f t="shared" si="36"/>
        <v>1103.0988904311173</v>
      </c>
      <c r="T426" s="42">
        <f t="shared" si="36"/>
        <v>1137.6524295301881</v>
      </c>
      <c r="U426" s="42">
        <f t="shared" si="36"/>
        <v>1298.1178677023088</v>
      </c>
      <c r="V426" s="42">
        <f t="shared" si="36"/>
        <v>1329</v>
      </c>
      <c r="W426" s="42">
        <f t="shared" si="36"/>
        <v>1301.9999999999998</v>
      </c>
      <c r="X426" s="42">
        <f t="shared" si="36"/>
        <v>1386.0000000000002</v>
      </c>
      <c r="Y426" s="42">
        <f t="shared" si="36"/>
        <v>1794.9999999999998</v>
      </c>
      <c r="Z426" s="42">
        <f t="shared" si="36"/>
        <v>1414.9999999999998</v>
      </c>
      <c r="AA426" s="42">
        <f t="shared" si="36"/>
        <v>1399.9999999999998</v>
      </c>
      <c r="AB426" s="42">
        <f t="shared" si="36"/>
        <v>1549.8668612600673</v>
      </c>
      <c r="AC426" s="42">
        <f t="shared" si="36"/>
        <v>1640.9215642763754</v>
      </c>
      <c r="AD426" s="42">
        <f t="shared" si="36"/>
        <v>0</v>
      </c>
      <c r="AE426" s="42" t="e">
        <f t="shared" si="36"/>
        <v>#DIV/0!</v>
      </c>
      <c r="AF426" s="42" t="e">
        <f t="shared" si="36"/>
        <v>#DIV/0!</v>
      </c>
      <c r="AG426" s="42" t="e">
        <f t="shared" si="36"/>
        <v>#DIV/0!</v>
      </c>
      <c r="AH426" s="42" t="e">
        <f t="shared" si="36"/>
        <v>#DIV/0!</v>
      </c>
      <c r="AI426" s="42" t="e">
        <f t="shared" si="36"/>
        <v>#DIV/0!</v>
      </c>
      <c r="AJ426" s="42" t="e">
        <f t="shared" si="36"/>
        <v>#DIV/0!</v>
      </c>
      <c r="AK426" s="42" t="e">
        <f t="shared" si="36"/>
        <v>#DIV/0!</v>
      </c>
    </row>
    <row r="427" spans="1:37" x14ac:dyDescent="0.25">
      <c r="B427" s="44"/>
      <c r="C427" s="177"/>
      <c r="F427" t="s">
        <v>1101</v>
      </c>
      <c r="I427" s="128">
        <f>IFERROR(1-Datasheet!I572/Datasheet!I571,IFERROR(AVERAGE(C427:G427),AVERAGE(B427:F427)))</f>
        <v>6.268750986894045E-2</v>
      </c>
      <c r="J427" s="128">
        <f>IFERROR(1-Datasheet!J572/Datasheet!J571,IFERROR(AVERAGE(D427:H427),AVERAGE(C427:G427)))</f>
        <v>6.2372188139059315E-2</v>
      </c>
      <c r="K427" s="128">
        <f>IFERROR(1-Datasheet!K572/Datasheet!K571,IFERROR(AVERAGE(E427:I427),AVERAGE(D427:H427)))</f>
        <v>5.7116353034720402E-2</v>
      </c>
      <c r="L427" s="128">
        <f>IFERROR(1-Datasheet!L572/Datasheet!L571,IFERROR(AVERAGE(F427:J427),AVERAGE(E427:I427)))</f>
        <v>5.7158048650804205E-2</v>
      </c>
      <c r="M427" s="128">
        <f>IFERROR(1-Datasheet!M572/Datasheet!M571,IFERROR(AVERAGE(G427:K427),AVERAGE(F427:J427)))</f>
        <v>5.4168811116829696E-2</v>
      </c>
      <c r="N427" s="128">
        <f>IFERROR(1-Datasheet!N572/Datasheet!N571,IFERROR(AVERAGE(H427:L427),AVERAGE(G427:K427)))</f>
        <v>0.11537986411365042</v>
      </c>
      <c r="O427" s="128">
        <f>IFERROR(1-Datasheet!O572/Datasheet!O571,IFERROR(AVERAGE(I427:M427),AVERAGE(H427:L427)))</f>
        <v>0.12016139200605225</v>
      </c>
      <c r="P427" s="128">
        <f>IFERROR(1-Datasheet!P572/Datasheet!P571,IFERROR(AVERAGE(J427:N427),AVERAGE(I427:M427)))</f>
        <v>0.12057165861513686</v>
      </c>
      <c r="Q427" s="128">
        <f>IFERROR(1-Datasheet!Q572/Datasheet!Q571,IFERROR(AVERAGE(K427:O427),AVERAGE(J427:N427)))</f>
        <v>0.13608610162475421</v>
      </c>
      <c r="R427" s="128">
        <f>IFERROR(1-Datasheet!R572/Datasheet!R571,IFERROR(AVERAGE(L427:P427),AVERAGE(K427:O427)))</f>
        <v>0.13401217228464424</v>
      </c>
      <c r="S427" s="128">
        <f>IFERROR(1-Datasheet!S572/Datasheet!S571,IFERROR(AVERAGE(M427:Q427),AVERAGE(L427:P427)))</f>
        <v>0.15554317548746521</v>
      </c>
      <c r="T427" s="128">
        <f>IFERROR(1-Datasheet!T572/Datasheet!T571,IFERROR(AVERAGE(N427:R427),AVERAGE(M427:Q427)))</f>
        <v>0.15541144901610016</v>
      </c>
      <c r="U427" s="128">
        <f>IFERROR(1-Datasheet!U572/Datasheet!U571,IFERROR(AVERAGE(O427:S427),AVERAGE(N427:R427)))</f>
        <v>0.17132831045515529</v>
      </c>
      <c r="V427" s="128">
        <f>IFERROR(1-Datasheet!V572/Datasheet!V571,IFERROR(AVERAGE(P427:T427),AVERAGE(O427:S427)))</f>
        <v>0.16165916555163606</v>
      </c>
      <c r="W427" s="128">
        <f>IFERROR(1-Datasheet!W572/Datasheet!W571,IFERROR(AVERAGE(Q427:U427),AVERAGE(P427:T427)))</f>
        <v>0.1573223779603673</v>
      </c>
      <c r="X427" s="128">
        <f>IFERROR(1-Datasheet!X572/Datasheet!X571,IFERROR(AVERAGE(R427:V427),AVERAGE(Q427:U427)))</f>
        <v>0.16640653139632611</v>
      </c>
      <c r="Y427" s="128">
        <f>IFERROR(1-Datasheet!Y572/Datasheet!Y571,IFERROR(AVERAGE(S427:W427),AVERAGE(R427:V427)))</f>
        <v>0.21358876725368869</v>
      </c>
      <c r="Z427" s="128">
        <f>IFERROR(1-Datasheet!Z572/Datasheet!Z571,IFERROR(AVERAGE(T427:X427),AVERAGE(S427:W427)))</f>
        <v>0.15264293419633224</v>
      </c>
      <c r="AA427" s="128">
        <f>IFERROR(1-Datasheet!AA572/Datasheet!AA571,IFERROR(AVERAGE(U427:Y427),AVERAGE(T427:X427)))</f>
        <v>0.16615238547353428</v>
      </c>
      <c r="AB427" s="128">
        <f>IFERROR(1-Datasheet!AB572/Datasheet!AB571,IFERROR(AVERAGE(V427:Z427),AVERAGE(U427:Y427)))</f>
        <v>0.17032395527167007</v>
      </c>
      <c r="AC427" s="128">
        <f>IFERROR(1-Datasheet!AC572/Datasheet!AC571,IFERROR(AVERAGE(W427:AA427),AVERAGE(V427:Z427)))</f>
        <v>0.17122259925604971</v>
      </c>
      <c r="AD427" s="128">
        <f>IFERROR(1-Datasheet!AD572/Datasheet!AD571,IFERROR(AVERAGE(X427:AB427),AVERAGE(W427:AA427)))</f>
        <v>0.1738229147183103</v>
      </c>
      <c r="AE427" s="128">
        <f>IFERROR(1-Datasheet!AE572/Datasheet!AE571,IFERROR(AVERAGE(Y427:AC427),AVERAGE(X427:AB427)))</f>
        <v>0.17478612829025503</v>
      </c>
      <c r="AF427" s="128">
        <f>IFERROR(1-Datasheet!AF572/Datasheet!AF571,IFERROR(AVERAGE(Z427:AD427),AVERAGE(Y427:AC427)))</f>
        <v>0.16683295778317936</v>
      </c>
      <c r="AG427" s="128">
        <f>IFERROR(1-Datasheet!AG572/Datasheet!AG571,IFERROR(AVERAGE(AA427:AE427),AVERAGE(Z427:AD427)))</f>
        <v>0.17126159660196388</v>
      </c>
      <c r="AH427" s="128">
        <f>IFERROR(1-Datasheet!AH572/Datasheet!AH571,IFERROR(AVERAGE(AB427:AF427),AVERAGE(AA427:AE427)))</f>
        <v>0.17139771106389284</v>
      </c>
      <c r="AI427" s="128">
        <f>IFERROR(1-Datasheet!AI572/Datasheet!AI571,IFERROR(AVERAGE(AC427:AG427),AVERAGE(AB427:AF427)))</f>
        <v>0.17158523932995165</v>
      </c>
      <c r="AJ427" s="128">
        <f>IFERROR(1-Datasheet!AJ572/Datasheet!AJ571,IFERROR(AVERAGE(AD427:AH427),AVERAGE(AC427:AG427)))</f>
        <v>0.17162026169152028</v>
      </c>
      <c r="AK427" s="128">
        <f>IFERROR(1-Datasheet!AK572/Datasheet!AK571,IFERROR(AVERAGE(AE427:AI427),AVERAGE(AD427:AH427)))</f>
        <v>0.17117272661384855</v>
      </c>
    </row>
    <row r="428" spans="1:37" s="8" customFormat="1" x14ac:dyDescent="0.25">
      <c r="D428" s="8" t="s">
        <v>1102</v>
      </c>
      <c r="H428" s="8" t="s">
        <v>195</v>
      </c>
      <c r="I428" s="42">
        <f t="shared" ref="I428:AK428" si="37">I422-I426</f>
        <v>7120.9700802942389</v>
      </c>
      <c r="J428" s="42">
        <f t="shared" si="37"/>
        <v>7020.6997006352958</v>
      </c>
      <c r="K428" s="42">
        <f t="shared" si="37"/>
        <v>7115</v>
      </c>
      <c r="L428" s="42">
        <f t="shared" si="37"/>
        <v>7093</v>
      </c>
      <c r="M428" s="42">
        <f t="shared" si="37"/>
        <v>7351</v>
      </c>
      <c r="N428" s="42">
        <f t="shared" si="37"/>
        <v>7161</v>
      </c>
      <c r="O428" s="42">
        <f t="shared" si="37"/>
        <v>6978</v>
      </c>
      <c r="P428" s="42">
        <f t="shared" si="37"/>
        <v>6338.0761986640046</v>
      </c>
      <c r="Q428" s="42">
        <f t="shared" si="37"/>
        <v>5999.1449649081896</v>
      </c>
      <c r="R428" s="42">
        <f t="shared" si="37"/>
        <v>5993.6955608202243</v>
      </c>
      <c r="S428" s="42">
        <f t="shared" si="37"/>
        <v>5988.8155376629202</v>
      </c>
      <c r="T428" s="42">
        <f t="shared" si="37"/>
        <v>6182.6089587561455</v>
      </c>
      <c r="U428" s="42">
        <f t="shared" si="37"/>
        <v>6278.6676866155658</v>
      </c>
      <c r="V428" s="42">
        <f t="shared" si="37"/>
        <v>6892</v>
      </c>
      <c r="W428" s="42">
        <f t="shared" si="37"/>
        <v>6974</v>
      </c>
      <c r="X428" s="42">
        <f t="shared" si="37"/>
        <v>6943</v>
      </c>
      <c r="Y428" s="42">
        <f t="shared" si="37"/>
        <v>6609</v>
      </c>
      <c r="Z428" s="42">
        <f t="shared" si="37"/>
        <v>7855</v>
      </c>
      <c r="AA428" s="42">
        <f t="shared" si="37"/>
        <v>7026</v>
      </c>
      <c r="AB428" s="42">
        <f t="shared" si="37"/>
        <v>7549.6568010926476</v>
      </c>
      <c r="AC428" s="42">
        <f t="shared" si="37"/>
        <v>7942.6355795005875</v>
      </c>
      <c r="AD428" s="42">
        <f t="shared" si="37"/>
        <v>0</v>
      </c>
      <c r="AE428" s="42" t="e">
        <f t="shared" si="37"/>
        <v>#DIV/0!</v>
      </c>
      <c r="AF428" s="42" t="e">
        <f t="shared" si="37"/>
        <v>#DIV/0!</v>
      </c>
      <c r="AG428" s="42" t="e">
        <f t="shared" si="37"/>
        <v>#DIV/0!</v>
      </c>
      <c r="AH428" s="42" t="e">
        <f t="shared" si="37"/>
        <v>#DIV/0!</v>
      </c>
      <c r="AI428" s="42" t="e">
        <f t="shared" si="37"/>
        <v>#DIV/0!</v>
      </c>
      <c r="AJ428" s="42" t="e">
        <f t="shared" si="37"/>
        <v>#DIV/0!</v>
      </c>
      <c r="AK428" s="42" t="e">
        <f t="shared" si="37"/>
        <v>#DIV/0!</v>
      </c>
    </row>
    <row r="429" spans="1:37" s="8" customFormat="1" x14ac:dyDescent="0.25">
      <c r="D429" s="8" t="s">
        <v>1103</v>
      </c>
      <c r="H429" s="8" t="s">
        <v>195</v>
      </c>
      <c r="I429" s="42">
        <f>(Datasheet!I375/I$401-1)*I$422</f>
        <v>1783.8806926616767</v>
      </c>
      <c r="J429" s="42">
        <f>(Datasheet!J375/J$401-1)*J$422</f>
        <v>1385.8262953710841</v>
      </c>
      <c r="K429" s="42">
        <f>(Datasheet!K375/K$401-1)*K$422</f>
        <v>1310.8267737711049</v>
      </c>
      <c r="L429" s="42">
        <f>(Datasheet!L375/L$401-1)*L$422</f>
        <v>1264.1906809307782</v>
      </c>
      <c r="M429" s="42">
        <f>(Datasheet!M375/M$401-1)*M$422</f>
        <v>1450.2576328726047</v>
      </c>
      <c r="N429" s="42">
        <f>(Datasheet!N375/N$401-1)*N$422</f>
        <v>1607.4011469231264</v>
      </c>
      <c r="O429" s="42">
        <f>(Datasheet!O375/O$401-1)*O$422</f>
        <v>1438.2081875364495</v>
      </c>
      <c r="P429" s="42">
        <f>(Datasheet!P375/P$401-1)*P$422</f>
        <v>1227.7317210105978</v>
      </c>
      <c r="Q429" s="42">
        <f>(Datasheet!Q375/Q$401-1)*Q$422</f>
        <v>1301.5812708794815</v>
      </c>
      <c r="R429" s="42">
        <f>(Datasheet!R375/R$401-1)*R$422</f>
        <v>1342.8403131456525</v>
      </c>
      <c r="S429" s="42">
        <f>(Datasheet!S375/S$401-1)*S$422</f>
        <v>1328.2132695062639</v>
      </c>
      <c r="T429" s="42">
        <f>(Datasheet!T375/T$401-1)*T$422</f>
        <v>1340.6607833116748</v>
      </c>
      <c r="U429" s="42">
        <f>(Datasheet!U375/U$401-1)*U$422</f>
        <v>1167.8943296987013</v>
      </c>
      <c r="V429" s="42">
        <f>(Datasheet!V375/V$401-1)*V$422</f>
        <v>1376.6893163672639</v>
      </c>
      <c r="W429" s="42">
        <f>(Datasheet!W375/W$401-1)*W$422</f>
        <v>1625.8351271437018</v>
      </c>
      <c r="X429" s="42">
        <f>(Datasheet!X375/X$401-1)*X$422</f>
        <v>1428.4243607087149</v>
      </c>
      <c r="Y429" s="42">
        <f>(Datasheet!Y375/Y$401-1)*Y$422</f>
        <v>2132.6714721540943</v>
      </c>
      <c r="Z429" s="42">
        <f>(Datasheet!Z375/Z$401-1)*Z$422</f>
        <v>945.87053227050615</v>
      </c>
      <c r="AA429" s="42">
        <f>(Datasheet!AA375/AA$401-1)*AA$422</f>
        <v>1070.2522660689342</v>
      </c>
      <c r="AB429" s="42">
        <f>(Datasheet!AB375/AB$401-1)*AB$422</f>
        <v>1502.8328053928817</v>
      </c>
      <c r="AC429" s="42">
        <f>(Datasheet!AC375/AC$401-1)*AC$422</f>
        <v>1580.3811553142209</v>
      </c>
      <c r="AD429" s="42" t="e">
        <f>(Datasheet!AD375/AD$401-1)*AD$422</f>
        <v>#DIV/0!</v>
      </c>
      <c r="AE429" s="42" t="e">
        <f>(Datasheet!AE375/AE$401-1)*AE$422</f>
        <v>#DIV/0!</v>
      </c>
      <c r="AF429" s="42" t="e">
        <f>(Datasheet!AF375/AF$401-1)*AF$422</f>
        <v>#DIV/0!</v>
      </c>
      <c r="AG429" s="42" t="e">
        <f>(Datasheet!AG375/AG$401-1)*AG$422</f>
        <v>#DIV/0!</v>
      </c>
      <c r="AH429" s="42" t="e">
        <f>(Datasheet!AH375/AH$401-1)*AH$422</f>
        <v>#DIV/0!</v>
      </c>
      <c r="AI429" s="42" t="e">
        <f>(Datasheet!AI375/AI$401-1)*AI$422</f>
        <v>#DIV/0!</v>
      </c>
      <c r="AJ429" s="42" t="e">
        <f>(Datasheet!AJ375/AJ$401-1)*AJ$422</f>
        <v>#DIV/0!</v>
      </c>
      <c r="AK429" s="42" t="e">
        <f>(Datasheet!AK375/AK$401-1)*AK$422</f>
        <v>#DIV/0!</v>
      </c>
    </row>
    <row r="430" spans="1:37" s="4" customFormat="1" x14ac:dyDescent="0.25">
      <c r="A430" s="4" t="s">
        <v>1104</v>
      </c>
      <c r="D430"/>
      <c r="E430" t="s">
        <v>244</v>
      </c>
      <c r="F430"/>
      <c r="G430"/>
      <c r="H430" t="s">
        <v>195</v>
      </c>
      <c r="I430" s="39">
        <f>Datasheet!I404-SUM(I$426,I$428,I$442)</f>
        <v>544.13069266167622</v>
      </c>
      <c r="J430" s="39">
        <f>Datasheet!J404-SUM(J$426,J$428,J$442)</f>
        <v>711.82629537108369</v>
      </c>
      <c r="K430" s="39">
        <f>Datasheet!K404-SUM(K$426,K$428,K$442)</f>
        <v>512.24344043777091</v>
      </c>
      <c r="L430" s="39">
        <f>Datasheet!L404-SUM(L$426,L$428,L$442)</f>
        <v>292.52401426411234</v>
      </c>
      <c r="M430" s="39">
        <f>Datasheet!M404-SUM(M$426,M$428,M$442)</f>
        <v>579.50763287260452</v>
      </c>
      <c r="N430" s="39">
        <f>Datasheet!N404-SUM(N$426,N$428,N$442)</f>
        <v>833.06781358979242</v>
      </c>
      <c r="O430" s="39">
        <f>Datasheet!O404-SUM(O$426,O$428,O$442)</f>
        <v>996.0415208697832</v>
      </c>
      <c r="P430" s="39">
        <f>Datasheet!P404-SUM(P$426,P$428,P$442)</f>
        <v>961.06505434393148</v>
      </c>
      <c r="Q430" s="39">
        <f>Datasheet!Q404-SUM(Q$426,Q$428,Q$442)</f>
        <v>804.08127087948014</v>
      </c>
      <c r="R430" s="39">
        <f>Datasheet!R404-SUM(R$426,R$428,R$442)</f>
        <v>766.42364647898648</v>
      </c>
      <c r="S430" s="39">
        <f>Datasheet!S404-SUM(S$426,S$428,S$442)</f>
        <v>686.87993617292886</v>
      </c>
      <c r="T430" s="39">
        <f>Datasheet!T404-SUM(T$426,T$428,T$442)</f>
        <v>563.07744997834016</v>
      </c>
      <c r="U430" s="39">
        <f>Datasheet!U404-SUM(U$426,U$428,U$442)</f>
        <v>545.56099636536601</v>
      </c>
      <c r="V430" s="39">
        <f>Datasheet!V404-SUM(V$426,V$428,V$442)</f>
        <v>636.18931636726484</v>
      </c>
      <c r="W430" s="39">
        <f>Datasheet!W404-SUM(W$426,W$428,W$442)</f>
        <v>827.08512714370227</v>
      </c>
      <c r="X430" s="39">
        <f>Datasheet!X404-SUM(X$426,X$428,X$442)</f>
        <v>856.25769404204948</v>
      </c>
      <c r="Y430" s="39">
        <f>Datasheet!Y404-SUM(Y$426,Y$428,Y$442)</f>
        <v>1619.8381388207599</v>
      </c>
      <c r="Z430" s="39">
        <f>Datasheet!Z404-SUM(Z$426,Z$428,Z$442)</f>
        <v>626.95386560384031</v>
      </c>
      <c r="AA430" s="39">
        <f>Datasheet!AA404-SUM(AA$426,AA$428,AA$442)</f>
        <v>1902.5022660689337</v>
      </c>
      <c r="AB430" s="39">
        <f>Datasheet!AB404-SUM(AB$426,AB$428,AB$442)</f>
        <v>1025.0828053928817</v>
      </c>
      <c r="AC430" s="39">
        <f>Datasheet!AC404-SUM(AC$426,AC$428,AC$442)</f>
        <v>935.79782198088651</v>
      </c>
      <c r="AD430" s="39" t="e">
        <f>Datasheet!AD404-SUM(AD$426,AD$428,AD$442)</f>
        <v>#DIV/0!</v>
      </c>
      <c r="AE430" s="39" t="e">
        <f>Datasheet!AE404-SUM(AE$426,AE$428,AE$442)</f>
        <v>#DIV/0!</v>
      </c>
      <c r="AF430" s="39" t="e">
        <f>Datasheet!AF404-SUM(AF$426,AF$428,AF$442)</f>
        <v>#DIV/0!</v>
      </c>
      <c r="AG430" s="39" t="e">
        <f>Datasheet!AG404-SUM(AG$426,AG$428,AG$442)</f>
        <v>#DIV/0!</v>
      </c>
      <c r="AH430" s="39" t="e">
        <f>Datasheet!AH404-SUM(AH$426,AH$428,AH$442)</f>
        <v>#DIV/0!</v>
      </c>
      <c r="AI430" s="39" t="e">
        <f>Datasheet!AI404-SUM(AI$426,AI$428,AI$442)</f>
        <v>#DIV/0!</v>
      </c>
      <c r="AJ430" s="39" t="e">
        <f>Datasheet!AJ404-SUM(AJ$426,AJ$428,AJ$442)</f>
        <v>#DIV/0!</v>
      </c>
      <c r="AK430" s="39" t="e">
        <f>Datasheet!AK404-SUM(AK$426,AK$428,AK$442)</f>
        <v>#DIV/0!</v>
      </c>
    </row>
    <row r="431" spans="1:37" s="4" customFormat="1" x14ac:dyDescent="0.25">
      <c r="D431"/>
      <c r="E431" t="s">
        <v>245</v>
      </c>
      <c r="F431"/>
      <c r="G431"/>
      <c r="H431" t="s">
        <v>195</v>
      </c>
      <c r="I431" s="39">
        <f>Datasheet!I405-SUM(I$426,I$428,I$442)</f>
        <v>697.13069266167622</v>
      </c>
      <c r="J431" s="39">
        <f>Datasheet!J405-SUM(J$426,J$428,J$442)</f>
        <v>685.82629537108369</v>
      </c>
      <c r="K431" s="39">
        <f>Datasheet!K405-SUM(K$426,K$428,K$442)</f>
        <v>450.24344043777091</v>
      </c>
      <c r="L431" s="39">
        <f>Datasheet!L405-SUM(L$426,L$428,L$442)</f>
        <v>306.52401426411234</v>
      </c>
      <c r="M431" s="39">
        <f>Datasheet!M405-SUM(M$426,M$428,M$442)</f>
        <v>582.50763287260452</v>
      </c>
      <c r="N431" s="39">
        <f>Datasheet!N405-SUM(N$426,N$428,N$442)</f>
        <v>738.06781358979242</v>
      </c>
      <c r="O431" s="39">
        <f>Datasheet!O405-SUM(O$426,O$428,O$442)</f>
        <v>1013.0415208697832</v>
      </c>
      <c r="P431" s="39">
        <f>Datasheet!P405-SUM(P$426,P$428,P$442)</f>
        <v>797.06505434393148</v>
      </c>
      <c r="Q431" s="39">
        <f>Datasheet!Q405-SUM(Q$426,Q$428,Q$442)</f>
        <v>859.08127087948014</v>
      </c>
      <c r="R431" s="39">
        <f>Datasheet!R405-SUM(R$426,R$428,R$442)</f>
        <v>825.42364647898648</v>
      </c>
      <c r="S431" s="39">
        <f>Datasheet!S405-SUM(S$426,S$428,S$442)</f>
        <v>739.87993617292886</v>
      </c>
      <c r="T431" s="39">
        <f>Datasheet!T405-SUM(T$426,T$428,T$442)</f>
        <v>598.07744997834016</v>
      </c>
      <c r="U431" s="39">
        <f>Datasheet!U405-SUM(U$426,U$428,U$442)</f>
        <v>502.56099636536601</v>
      </c>
      <c r="V431" s="39">
        <f>Datasheet!V405-SUM(V$426,V$428,V$442)</f>
        <v>624.18931636726484</v>
      </c>
      <c r="W431" s="39">
        <f>Datasheet!W405-SUM(W$426,W$428,W$442)</f>
        <v>817.08512714370227</v>
      </c>
      <c r="X431" s="39">
        <f>Datasheet!X405-SUM(X$426,X$428,X$442)</f>
        <v>839.25769404204948</v>
      </c>
      <c r="Y431" s="39">
        <f>Datasheet!Y405-SUM(Y$426,Y$428,Y$442)</f>
        <v>1635.8381388207599</v>
      </c>
      <c r="Z431" s="39">
        <f>Datasheet!Z405-SUM(Z$426,Z$428,Z$442)</f>
        <v>519.95386560384031</v>
      </c>
      <c r="AA431" s="39">
        <f>Datasheet!AA405-SUM(AA$426,AA$428,AA$442)</f>
        <v>1805.5022660689337</v>
      </c>
      <c r="AB431" s="39">
        <f>Datasheet!AB405-SUM(AB$426,AB$428,AB$442)</f>
        <v>915.08280539288171</v>
      </c>
      <c r="AC431" s="39">
        <f>Datasheet!AC405-SUM(AC$426,AC$428,AC$442)</f>
        <v>882.79782198088651</v>
      </c>
      <c r="AD431" s="39" t="e">
        <f>Datasheet!AD405-SUM(AD$426,AD$428,AD$442)</f>
        <v>#DIV/0!</v>
      </c>
      <c r="AE431" s="39" t="e">
        <f>Datasheet!AE405-SUM(AE$426,AE$428,AE$442)</f>
        <v>#DIV/0!</v>
      </c>
      <c r="AF431" s="39" t="e">
        <f>Datasheet!AF405-SUM(AF$426,AF$428,AF$442)</f>
        <v>#DIV/0!</v>
      </c>
      <c r="AG431" s="39" t="e">
        <f>Datasheet!AG405-SUM(AG$426,AG$428,AG$442)</f>
        <v>#DIV/0!</v>
      </c>
      <c r="AH431" s="39" t="e">
        <f>Datasheet!AH405-SUM(AH$426,AH$428,AH$442)</f>
        <v>#DIV/0!</v>
      </c>
      <c r="AI431" s="39" t="e">
        <f>Datasheet!AI405-SUM(AI$426,AI$428,AI$442)</f>
        <v>#DIV/0!</v>
      </c>
      <c r="AJ431" s="39" t="e">
        <f>Datasheet!AJ405-SUM(AJ$426,AJ$428,AJ$442)</f>
        <v>#DIV/0!</v>
      </c>
      <c r="AK431" s="39" t="e">
        <f>Datasheet!AK405-SUM(AK$426,AK$428,AK$442)</f>
        <v>#DIV/0!</v>
      </c>
    </row>
    <row r="432" spans="1:37" s="4" customFormat="1" x14ac:dyDescent="0.25">
      <c r="D432"/>
      <c r="E432" t="s">
        <v>246</v>
      </c>
      <c r="F432"/>
      <c r="G432"/>
      <c r="H432" t="s">
        <v>195</v>
      </c>
      <c r="I432" s="39">
        <f>Datasheet!I406-SUM(I$426,I$428,I$442)</f>
        <v>609.13069266167622</v>
      </c>
      <c r="J432" s="39">
        <f>Datasheet!J406-SUM(J$426,J$428,J$442)</f>
        <v>574.82629537108369</v>
      </c>
      <c r="K432" s="39">
        <f>Datasheet!K406-SUM(K$426,K$428,K$442)</f>
        <v>291.24344043777091</v>
      </c>
      <c r="L432" s="39">
        <f>Datasheet!L406-SUM(L$426,L$428,L$442)</f>
        <v>243.52401426411234</v>
      </c>
      <c r="M432" s="39">
        <f>Datasheet!M406-SUM(M$426,M$428,M$442)</f>
        <v>584.50763287260452</v>
      </c>
      <c r="N432" s="39">
        <f>Datasheet!N406-SUM(N$426,N$428,N$442)</f>
        <v>699.06781358979242</v>
      </c>
      <c r="O432" s="39">
        <f>Datasheet!O406-SUM(O$426,O$428,O$442)</f>
        <v>855.0415208697832</v>
      </c>
      <c r="P432" s="39">
        <f>Datasheet!P406-SUM(P$426,P$428,P$442)</f>
        <v>580.06505434393148</v>
      </c>
      <c r="Q432" s="39">
        <f>Datasheet!Q406-SUM(Q$426,Q$428,Q$442)</f>
        <v>694.08127087948014</v>
      </c>
      <c r="R432" s="39">
        <f>Datasheet!R406-SUM(R$426,R$428,R$442)</f>
        <v>776.42364647898648</v>
      </c>
      <c r="S432" s="39">
        <f>Datasheet!S406-SUM(S$426,S$428,S$442)</f>
        <v>575.87993617292886</v>
      </c>
      <c r="T432" s="39">
        <f>Datasheet!T406-SUM(T$426,T$428,T$442)</f>
        <v>533.07744997834016</v>
      </c>
      <c r="U432" s="39">
        <f>Datasheet!U406-SUM(U$426,U$428,U$442)</f>
        <v>496.56099636536601</v>
      </c>
      <c r="V432" s="39">
        <f>Datasheet!V406-SUM(V$426,V$428,V$442)</f>
        <v>674.18931636726484</v>
      </c>
      <c r="W432" s="39">
        <f>Datasheet!W406-SUM(W$426,W$428,W$442)</f>
        <v>815.08512714370227</v>
      </c>
      <c r="X432" s="39">
        <f>Datasheet!X406-SUM(X$426,X$428,X$442)</f>
        <v>747.25769404204948</v>
      </c>
      <c r="Y432" s="39">
        <f>Datasheet!Y406-SUM(Y$426,Y$428,Y$442)</f>
        <v>1492.8381388207599</v>
      </c>
      <c r="Z432" s="39">
        <f>Datasheet!Z406-SUM(Z$426,Z$428,Z$442)</f>
        <v>363.95386560384031</v>
      </c>
      <c r="AA432" s="39">
        <f>Datasheet!AA406-SUM(AA$426,AA$428,AA$442)</f>
        <v>1295.5022660689337</v>
      </c>
      <c r="AB432" s="39">
        <f>Datasheet!AB406-SUM(AB$426,AB$428,AB$442)</f>
        <v>835.08280539288171</v>
      </c>
      <c r="AC432" s="39">
        <f>Datasheet!AC406-SUM(AC$426,AC$428,AC$442)</f>
        <v>901.79782198088651</v>
      </c>
      <c r="AD432" s="39" t="e">
        <f>Datasheet!AD406-SUM(AD$426,AD$428,AD$442)</f>
        <v>#DIV/0!</v>
      </c>
      <c r="AE432" s="39" t="e">
        <f>Datasheet!AE406-SUM(AE$426,AE$428,AE$442)</f>
        <v>#DIV/0!</v>
      </c>
      <c r="AF432" s="39" t="e">
        <f>Datasheet!AF406-SUM(AF$426,AF$428,AF$442)</f>
        <v>#DIV/0!</v>
      </c>
      <c r="AG432" s="39" t="e">
        <f>Datasheet!AG406-SUM(AG$426,AG$428,AG$442)</f>
        <v>#DIV/0!</v>
      </c>
      <c r="AH432" s="39" t="e">
        <f>Datasheet!AH406-SUM(AH$426,AH$428,AH$442)</f>
        <v>#DIV/0!</v>
      </c>
      <c r="AI432" s="39" t="e">
        <f>Datasheet!AI406-SUM(AI$426,AI$428,AI$442)</f>
        <v>#DIV/0!</v>
      </c>
      <c r="AJ432" s="39" t="e">
        <f>Datasheet!AJ406-SUM(AJ$426,AJ$428,AJ$442)</f>
        <v>#DIV/0!</v>
      </c>
      <c r="AK432" s="39" t="e">
        <f>Datasheet!AK406-SUM(AK$426,AK$428,AK$442)</f>
        <v>#DIV/0!</v>
      </c>
    </row>
    <row r="433" spans="3:37" s="4" customFormat="1" x14ac:dyDescent="0.25">
      <c r="D433"/>
      <c r="E433" t="s">
        <v>247</v>
      </c>
      <c r="F433"/>
      <c r="G433"/>
      <c r="H433" t="s">
        <v>195</v>
      </c>
      <c r="I433" s="39">
        <f>Datasheet!I407-SUM(I$426,I$428,I$442)</f>
        <v>123.13069266167622</v>
      </c>
      <c r="J433" s="39">
        <f>Datasheet!J407-SUM(J$426,J$428,J$442)</f>
        <v>-39.173704628916312</v>
      </c>
      <c r="K433" s="39">
        <f>Datasheet!K407-SUM(K$426,K$428,K$442)</f>
        <v>59.243440437770914</v>
      </c>
      <c r="L433" s="39">
        <f>Datasheet!L407-SUM(L$426,L$428,L$442)</f>
        <v>-99.475985735887662</v>
      </c>
      <c r="M433" s="39">
        <f>Datasheet!M407-SUM(M$426,M$428,M$442)</f>
        <v>-142.49236712739548</v>
      </c>
      <c r="N433" s="39">
        <f>Datasheet!N407-SUM(N$426,N$428,N$442)</f>
        <v>153.06781358979242</v>
      </c>
      <c r="O433" s="39">
        <f>Datasheet!O407-SUM(O$426,O$428,O$442)</f>
        <v>55.041520869783199</v>
      </c>
      <c r="P433" s="39">
        <f>Datasheet!P407-SUM(P$426,P$428,P$442)</f>
        <v>-208.93494565606852</v>
      </c>
      <c r="Q433" s="39">
        <f>Datasheet!Q407-SUM(Q$426,Q$428,Q$442)</f>
        <v>-80.918729120519856</v>
      </c>
      <c r="R433" s="39">
        <f>Datasheet!R407-SUM(R$426,R$428,R$442)</f>
        <v>-399.57635352101352</v>
      </c>
      <c r="S433" s="39">
        <f>Datasheet!S407-SUM(S$426,S$428,S$442)</f>
        <v>-139.12006382707114</v>
      </c>
      <c r="T433" s="39">
        <f>Datasheet!T407-SUM(T$426,T$428,T$442)</f>
        <v>-163.92255002165984</v>
      </c>
      <c r="U433" s="39">
        <f>Datasheet!U407-SUM(U$426,U$428,U$442)</f>
        <v>-378.43900363463399</v>
      </c>
      <c r="V433" s="39">
        <f>Datasheet!V407-SUM(V$426,V$428,V$442)</f>
        <v>-227.81068363273516</v>
      </c>
      <c r="W433" s="39">
        <f>Datasheet!W407-SUM(W$426,W$428,W$442)</f>
        <v>-222.91487285629773</v>
      </c>
      <c r="X433" s="39">
        <f>Datasheet!X407-SUM(X$426,X$428,X$442)</f>
        <v>-310.74230595795052</v>
      </c>
      <c r="Y433" s="39">
        <f>Datasheet!Y407-SUM(Y$426,Y$428,Y$442)</f>
        <v>590.83813882075992</v>
      </c>
      <c r="Z433" s="39">
        <f>Datasheet!Z407-SUM(Z$426,Z$428,Z$442)</f>
        <v>-808.04613439615969</v>
      </c>
      <c r="AA433" s="39">
        <f>Datasheet!AA407-SUM(AA$426,AA$428,AA$442)</f>
        <v>-1548.4977339310663</v>
      </c>
      <c r="AB433" s="39">
        <f>Datasheet!AB407-SUM(AB$426,AB$428,AB$442)</f>
        <v>69.08280539288171</v>
      </c>
      <c r="AC433" s="39">
        <f>Datasheet!AC407-SUM(AC$426,AC$428,AC$442)</f>
        <v>26.797821980886511</v>
      </c>
      <c r="AD433" s="39" t="e">
        <f>Datasheet!AD407-SUM(AD$426,AD$428,AD$442)</f>
        <v>#DIV/0!</v>
      </c>
      <c r="AE433" s="39" t="e">
        <f>Datasheet!AE407-SUM(AE$426,AE$428,AE$442)</f>
        <v>#DIV/0!</v>
      </c>
      <c r="AF433" s="39" t="e">
        <f>Datasheet!AF407-SUM(AF$426,AF$428,AF$442)</f>
        <v>#DIV/0!</v>
      </c>
      <c r="AG433" s="39" t="e">
        <f>Datasheet!AG407-SUM(AG$426,AG$428,AG$442)</f>
        <v>#DIV/0!</v>
      </c>
      <c r="AH433" s="39" t="e">
        <f>Datasheet!AH407-SUM(AH$426,AH$428,AH$442)</f>
        <v>#DIV/0!</v>
      </c>
      <c r="AI433" s="39" t="e">
        <f>Datasheet!AI407-SUM(AI$426,AI$428,AI$442)</f>
        <v>#DIV/0!</v>
      </c>
      <c r="AJ433" s="39" t="e">
        <f>Datasheet!AJ407-SUM(AJ$426,AJ$428,AJ$442)</f>
        <v>#DIV/0!</v>
      </c>
      <c r="AK433" s="39" t="e">
        <f>Datasheet!AK407-SUM(AK$426,AK$428,AK$442)</f>
        <v>#DIV/0!</v>
      </c>
    </row>
    <row r="434" spans="3:37" s="4" customFormat="1" x14ac:dyDescent="0.25">
      <c r="D434"/>
      <c r="E434" t="s">
        <v>248</v>
      </c>
      <c r="F434"/>
      <c r="G434"/>
      <c r="H434" t="s">
        <v>195</v>
      </c>
      <c r="I434" s="39">
        <f>Datasheet!I408-SUM(I$426,I$428,I$442)</f>
        <v>981.13069266167622</v>
      </c>
      <c r="J434" s="39">
        <f>Datasheet!J408-SUM(J$426,J$428,J$442)</f>
        <v>539.82629537108369</v>
      </c>
      <c r="K434" s="39">
        <f>Datasheet!K408-SUM(K$426,K$428,K$442)</f>
        <v>344.24344043777091</v>
      </c>
      <c r="L434" s="39">
        <f>Datasheet!L408-SUM(L$426,L$428,L$442)</f>
        <v>301.52401426411234</v>
      </c>
      <c r="M434" s="39">
        <f>Datasheet!M408-SUM(M$426,M$428,M$442)</f>
        <v>457.50763287260452</v>
      </c>
      <c r="N434" s="39">
        <f>Datasheet!N408-SUM(N$426,N$428,N$442)</f>
        <v>768.06781358979242</v>
      </c>
      <c r="O434" s="39">
        <f>Datasheet!O408-SUM(O$426,O$428,O$442)</f>
        <v>943.0415208697832</v>
      </c>
      <c r="P434" s="39">
        <f>Datasheet!P408-SUM(P$426,P$428,P$442)</f>
        <v>506.06505434393148</v>
      </c>
      <c r="Q434" s="39">
        <f>Datasheet!Q408-SUM(Q$426,Q$428,Q$442)</f>
        <v>652.08127087948014</v>
      </c>
      <c r="R434" s="39">
        <f>Datasheet!R408-SUM(R$426,R$428,R$442)</f>
        <v>379.42364647898648</v>
      </c>
      <c r="S434" s="39">
        <f>Datasheet!S408-SUM(S$426,S$428,S$442)</f>
        <v>380.87993617292886</v>
      </c>
      <c r="T434" s="39">
        <f>Datasheet!T408-SUM(T$426,T$428,T$442)</f>
        <v>295.07744997834016</v>
      </c>
      <c r="U434" s="39">
        <f>Datasheet!U408-SUM(U$426,U$428,U$442)</f>
        <v>82.560996365366009</v>
      </c>
      <c r="V434" s="39">
        <f>Datasheet!V408-SUM(V$426,V$428,V$442)</f>
        <v>562.18931636726484</v>
      </c>
      <c r="W434" s="39">
        <f>Datasheet!W408-SUM(W$426,W$428,W$442)</f>
        <v>725.08512714370227</v>
      </c>
      <c r="X434" s="39">
        <f>Datasheet!X408-SUM(X$426,X$428,X$442)</f>
        <v>590.25769404204948</v>
      </c>
      <c r="Y434" s="39">
        <f>Datasheet!Y408-SUM(Y$426,Y$428,Y$442)</f>
        <v>1383.8381388207599</v>
      </c>
      <c r="Z434" s="39">
        <f>Datasheet!Z408-SUM(Z$426,Z$428,Z$442)</f>
        <v>119.95386560384031</v>
      </c>
      <c r="AA434" s="39">
        <f>Datasheet!AA408-SUM(AA$426,AA$428,AA$442)</f>
        <v>-1144.4977339310663</v>
      </c>
      <c r="AB434" s="39">
        <f>Datasheet!AB408-SUM(AB$426,AB$428,AB$442)</f>
        <v>658.08280539288171</v>
      </c>
      <c r="AC434" s="39">
        <f>Datasheet!AC408-SUM(AC$426,AC$428,AC$442)</f>
        <v>341.79782198088651</v>
      </c>
      <c r="AD434" s="39" t="e">
        <f>Datasheet!AD408-SUM(AD$426,AD$428,AD$442)</f>
        <v>#DIV/0!</v>
      </c>
      <c r="AE434" s="39" t="e">
        <f>Datasheet!AE408-SUM(AE$426,AE$428,AE$442)</f>
        <v>#DIV/0!</v>
      </c>
      <c r="AF434" s="39" t="e">
        <f>Datasheet!AF408-SUM(AF$426,AF$428,AF$442)</f>
        <v>#DIV/0!</v>
      </c>
      <c r="AG434" s="39" t="e">
        <f>Datasheet!AG408-SUM(AG$426,AG$428,AG$442)</f>
        <v>#DIV/0!</v>
      </c>
      <c r="AH434" s="39" t="e">
        <f>Datasheet!AH408-SUM(AH$426,AH$428,AH$442)</f>
        <v>#DIV/0!</v>
      </c>
      <c r="AI434" s="39" t="e">
        <f>Datasheet!AI408-SUM(AI$426,AI$428,AI$442)</f>
        <v>#DIV/0!</v>
      </c>
      <c r="AJ434" s="39" t="e">
        <f>Datasheet!AJ408-SUM(AJ$426,AJ$428,AJ$442)</f>
        <v>#DIV/0!</v>
      </c>
      <c r="AK434" s="39" t="e">
        <f>Datasheet!AK408-SUM(AK$426,AK$428,AK$442)</f>
        <v>#DIV/0!</v>
      </c>
    </row>
    <row r="435" spans="3:37" s="4" customFormat="1" x14ac:dyDescent="0.25">
      <c r="D435"/>
      <c r="E435" t="s">
        <v>249</v>
      </c>
      <c r="F435"/>
      <c r="G435"/>
      <c r="H435" t="s">
        <v>195</v>
      </c>
      <c r="I435" s="39">
        <f>Datasheet!I409-SUM(I$426,I$428,I$442)</f>
        <v>3476.1306926616762</v>
      </c>
      <c r="J435" s="39">
        <f>Datasheet!J409-SUM(J$426,J$428,J$442)</f>
        <v>2798.8262953710837</v>
      </c>
      <c r="K435" s="39">
        <f>Datasheet!K409-SUM(K$426,K$428,K$442)</f>
        <v>2753.2434404377709</v>
      </c>
      <c r="L435" s="39">
        <f>Datasheet!L409-SUM(L$426,L$428,L$442)</f>
        <v>2611.5240142641123</v>
      </c>
      <c r="M435" s="39">
        <f>Datasheet!M409-SUM(M$426,M$428,M$442)</f>
        <v>2950.5076328726045</v>
      </c>
      <c r="N435" s="39">
        <f>Datasheet!N409-SUM(N$426,N$428,N$442)</f>
        <v>3122.0678135897924</v>
      </c>
      <c r="O435" s="39">
        <f>Datasheet!O409-SUM(O$426,O$428,O$442)</f>
        <v>3244.0415208697832</v>
      </c>
      <c r="P435" s="39">
        <f>Datasheet!P409-SUM(P$426,P$428,P$442)</f>
        <v>2577.0650543439315</v>
      </c>
      <c r="Q435" s="39">
        <f>Datasheet!Q409-SUM(Q$426,Q$428,Q$442)</f>
        <v>2623.0812708794801</v>
      </c>
      <c r="R435" s="39">
        <f>Datasheet!R409-SUM(R$426,R$428,R$442)</f>
        <v>2558.4236464789865</v>
      </c>
      <c r="S435" s="39">
        <f>Datasheet!S409-SUM(S$426,S$428,S$442)</f>
        <v>2650.8799361729289</v>
      </c>
      <c r="T435" s="39">
        <f>Datasheet!T409-SUM(T$426,T$428,T$442)</f>
        <v>2839.0774499783402</v>
      </c>
      <c r="U435" s="39">
        <f>Datasheet!U409-SUM(U$426,U$428,U$442)</f>
        <v>2689.560996365366</v>
      </c>
      <c r="V435" s="39">
        <f>Datasheet!V409-SUM(V$426,V$428,V$442)</f>
        <v>2929.1893163672648</v>
      </c>
      <c r="W435" s="39">
        <f>Datasheet!W409-SUM(W$426,W$428,W$442)</f>
        <v>3263.0851271437023</v>
      </c>
      <c r="X435" s="39">
        <f>Datasheet!X409-SUM(X$426,X$428,X$442)</f>
        <v>2967.2576940420495</v>
      </c>
      <c r="Y435" s="39">
        <f>Datasheet!Y409-SUM(Y$426,Y$428,Y$442)</f>
        <v>3648.8381388207599</v>
      </c>
      <c r="Z435" s="39">
        <f>Datasheet!Z409-SUM(Z$426,Z$428,Z$442)</f>
        <v>2344.9538656038403</v>
      </c>
      <c r="AA435" s="39">
        <f>Datasheet!AA409-SUM(AA$426,AA$428,AA$442)</f>
        <v>1135.5022660689337</v>
      </c>
      <c r="AB435" s="39">
        <f>Datasheet!AB409-SUM(AB$426,AB$428,AB$442)</f>
        <v>2684.0828053928817</v>
      </c>
      <c r="AC435" s="39">
        <f>Datasheet!AC409-SUM(AC$426,AC$428,AC$442)</f>
        <v>2882.7978219808865</v>
      </c>
      <c r="AD435" s="39" t="e">
        <f>Datasheet!AD409-SUM(AD$426,AD$428,AD$442)</f>
        <v>#DIV/0!</v>
      </c>
      <c r="AE435" s="39" t="e">
        <f>Datasheet!AE409-SUM(AE$426,AE$428,AE$442)</f>
        <v>#DIV/0!</v>
      </c>
      <c r="AF435" s="39" t="e">
        <f>Datasheet!AF409-SUM(AF$426,AF$428,AF$442)</f>
        <v>#DIV/0!</v>
      </c>
      <c r="AG435" s="39" t="e">
        <f>Datasheet!AG409-SUM(AG$426,AG$428,AG$442)</f>
        <v>#DIV/0!</v>
      </c>
      <c r="AH435" s="39" t="e">
        <f>Datasheet!AH409-SUM(AH$426,AH$428,AH$442)</f>
        <v>#DIV/0!</v>
      </c>
      <c r="AI435" s="39" t="e">
        <f>Datasheet!AI409-SUM(AI$426,AI$428,AI$442)</f>
        <v>#DIV/0!</v>
      </c>
      <c r="AJ435" s="39" t="e">
        <f>Datasheet!AJ409-SUM(AJ$426,AJ$428,AJ$442)</f>
        <v>#DIV/0!</v>
      </c>
      <c r="AK435" s="39" t="e">
        <f>Datasheet!AK409-SUM(AK$426,AK$428,AK$442)</f>
        <v>#DIV/0!</v>
      </c>
    </row>
    <row r="436" spans="3:37" s="4" customFormat="1" x14ac:dyDescent="0.25">
      <c r="D436"/>
      <c r="E436" t="s">
        <v>250</v>
      </c>
      <c r="F436"/>
      <c r="G436"/>
      <c r="H436" t="s">
        <v>195</v>
      </c>
      <c r="I436" s="39">
        <f>Datasheet!I410-SUM(I$426,I$428,I$442)</f>
        <v>4705.1306926616762</v>
      </c>
      <c r="J436" s="39">
        <f>Datasheet!J410-SUM(J$426,J$428,J$442)</f>
        <v>3941.8262953710837</v>
      </c>
      <c r="K436" s="39">
        <f>Datasheet!K410-SUM(K$426,K$428,K$442)</f>
        <v>3828.2434404377709</v>
      </c>
      <c r="L436" s="39">
        <f>Datasheet!L410-SUM(L$426,L$428,L$442)</f>
        <v>3770.5240142641123</v>
      </c>
      <c r="M436" s="39">
        <f>Datasheet!M410-SUM(M$426,M$428,M$442)</f>
        <v>4117.5076328726045</v>
      </c>
      <c r="N436" s="39">
        <f>Datasheet!N410-SUM(N$426,N$428,N$442)</f>
        <v>4094.0678135897924</v>
      </c>
      <c r="O436" s="39">
        <f>Datasheet!O410-SUM(O$426,O$428,O$442)</f>
        <v>3935.0415208697832</v>
      </c>
      <c r="P436" s="39">
        <f>Datasheet!P410-SUM(P$426,P$428,P$442)</f>
        <v>3406.0650543439315</v>
      </c>
      <c r="Q436" s="39">
        <f>Datasheet!Q410-SUM(Q$426,Q$428,Q$442)</f>
        <v>3465.0812708794801</v>
      </c>
      <c r="R436" s="39">
        <f>Datasheet!R410-SUM(R$426,R$428,R$442)</f>
        <v>3609.4236464789865</v>
      </c>
      <c r="S436" s="39">
        <f>Datasheet!S410-SUM(S$426,S$428,S$442)</f>
        <v>3436.8799361729289</v>
      </c>
      <c r="T436" s="39">
        <f>Datasheet!T410-SUM(T$426,T$428,T$442)</f>
        <v>3555.0774499783402</v>
      </c>
      <c r="U436" s="39">
        <f>Datasheet!U410-SUM(U$426,U$428,U$442)</f>
        <v>3491.560996365366</v>
      </c>
      <c r="V436" s="39">
        <f>Datasheet!V410-SUM(V$426,V$428,V$442)</f>
        <v>3744.1893163672648</v>
      </c>
      <c r="W436" s="39">
        <f>Datasheet!W410-SUM(W$426,W$428,W$442)</f>
        <v>4213.0851271437023</v>
      </c>
      <c r="X436" s="39">
        <f>Datasheet!X410-SUM(X$426,X$428,X$442)</f>
        <v>3992.2576940420495</v>
      </c>
      <c r="Y436" s="39">
        <f>Datasheet!Y410-SUM(Y$426,Y$428,Y$442)</f>
        <v>4636.8381388207599</v>
      </c>
      <c r="Z436" s="39">
        <f>Datasheet!Z410-SUM(Z$426,Z$428,Z$442)</f>
        <v>3248.9538656038403</v>
      </c>
      <c r="AA436" s="39">
        <f>Datasheet!AA410-SUM(AA$426,AA$428,AA$442)</f>
        <v>2210.5022660689337</v>
      </c>
      <c r="AB436" s="39">
        <f>Datasheet!AB410-SUM(AB$426,AB$428,AB$442)</f>
        <v>3662.0828053928817</v>
      </c>
      <c r="AC436" s="39">
        <f>Datasheet!AC410-SUM(AC$426,AC$428,AC$442)</f>
        <v>3778.7978219808865</v>
      </c>
      <c r="AD436" s="39" t="e">
        <f>Datasheet!AD410-SUM(AD$426,AD$428,AD$442)</f>
        <v>#DIV/0!</v>
      </c>
      <c r="AE436" s="39" t="e">
        <f>Datasheet!AE410-SUM(AE$426,AE$428,AE$442)</f>
        <v>#DIV/0!</v>
      </c>
      <c r="AF436" s="39" t="e">
        <f>Datasheet!AF410-SUM(AF$426,AF$428,AF$442)</f>
        <v>#DIV/0!</v>
      </c>
      <c r="AG436" s="39" t="e">
        <f>Datasheet!AG410-SUM(AG$426,AG$428,AG$442)</f>
        <v>#DIV/0!</v>
      </c>
      <c r="AH436" s="39" t="e">
        <f>Datasheet!AH410-SUM(AH$426,AH$428,AH$442)</f>
        <v>#DIV/0!</v>
      </c>
      <c r="AI436" s="39" t="e">
        <f>Datasheet!AI410-SUM(AI$426,AI$428,AI$442)</f>
        <v>#DIV/0!</v>
      </c>
      <c r="AJ436" s="39" t="e">
        <f>Datasheet!AJ410-SUM(AJ$426,AJ$428,AJ$442)</f>
        <v>#DIV/0!</v>
      </c>
      <c r="AK436" s="39" t="e">
        <f>Datasheet!AK410-SUM(AK$426,AK$428,AK$442)</f>
        <v>#DIV/0!</v>
      </c>
    </row>
    <row r="437" spans="3:37" s="4" customFormat="1" x14ac:dyDescent="0.25">
      <c r="D437"/>
      <c r="E437" t="s">
        <v>251</v>
      </c>
      <c r="F437"/>
      <c r="G437"/>
      <c r="H437" t="s">
        <v>195</v>
      </c>
      <c r="I437" s="39">
        <f>Datasheet!I411-SUM(I$426,I$428,I$442)</f>
        <v>4405.1306926616762</v>
      </c>
      <c r="J437" s="39">
        <f>Datasheet!J411-SUM(J$426,J$428,J$442)</f>
        <v>3732.8262953710837</v>
      </c>
      <c r="K437" s="39">
        <f>Datasheet!K411-SUM(K$426,K$428,K$442)</f>
        <v>3605.2434404377709</v>
      </c>
      <c r="L437" s="39">
        <f>Datasheet!L411-SUM(L$426,L$428,L$442)</f>
        <v>3634.5240142641123</v>
      </c>
      <c r="M437" s="39">
        <f>Datasheet!M411-SUM(M$426,M$428,M$442)</f>
        <v>3850.5076328726045</v>
      </c>
      <c r="N437" s="39">
        <f>Datasheet!N411-SUM(N$426,N$428,N$442)</f>
        <v>3866.0678135897924</v>
      </c>
      <c r="O437" s="39">
        <f>Datasheet!O411-SUM(O$426,O$428,O$442)</f>
        <v>3603.0415208697832</v>
      </c>
      <c r="P437" s="39">
        <f>Datasheet!P411-SUM(P$426,P$428,P$442)</f>
        <v>3246.0650543439315</v>
      </c>
      <c r="Q437" s="39">
        <f>Datasheet!Q411-SUM(Q$426,Q$428,Q$442)</f>
        <v>3244.0812708794801</v>
      </c>
      <c r="R437" s="39">
        <f>Datasheet!R411-SUM(R$426,R$428,R$442)</f>
        <v>3394.4236464789865</v>
      </c>
      <c r="S437" s="39">
        <f>Datasheet!S411-SUM(S$426,S$428,S$442)</f>
        <v>3303.8799361729289</v>
      </c>
      <c r="T437" s="39">
        <f>Datasheet!T411-SUM(T$426,T$428,T$442)</f>
        <v>3533.0774499783402</v>
      </c>
      <c r="U437" s="39">
        <f>Datasheet!U411-SUM(U$426,U$428,U$442)</f>
        <v>3380.560996365366</v>
      </c>
      <c r="V437" s="39">
        <f>Datasheet!V411-SUM(V$426,V$428,V$442)</f>
        <v>3563.1893163672648</v>
      </c>
      <c r="W437" s="39">
        <f>Datasheet!W411-SUM(W$426,W$428,W$442)</f>
        <v>3952.0851271437023</v>
      </c>
      <c r="X437" s="39">
        <f>Datasheet!X411-SUM(X$426,X$428,X$442)</f>
        <v>3786.2576940420495</v>
      </c>
      <c r="Y437" s="39">
        <f>Datasheet!Y411-SUM(Y$426,Y$428,Y$442)</f>
        <v>4232.8381388207599</v>
      </c>
      <c r="Z437" s="39">
        <f>Datasheet!Z411-SUM(Z$426,Z$428,Z$442)</f>
        <v>3076.9538656038403</v>
      </c>
      <c r="AA437" s="39">
        <f>Datasheet!AA411-SUM(AA$426,AA$428,AA$442)</f>
        <v>2460.5022660689337</v>
      </c>
      <c r="AB437" s="39">
        <f>Datasheet!AB411-SUM(AB$426,AB$428,AB$442)</f>
        <v>3258.0828053928817</v>
      </c>
      <c r="AC437" s="39">
        <f>Datasheet!AC411-SUM(AC$426,AC$428,AC$442)</f>
        <v>3636.7978219808865</v>
      </c>
      <c r="AD437" s="39" t="e">
        <f>Datasheet!AD411-SUM(AD$426,AD$428,AD$442)</f>
        <v>#DIV/0!</v>
      </c>
      <c r="AE437" s="39" t="e">
        <f>Datasheet!AE411-SUM(AE$426,AE$428,AE$442)</f>
        <v>#DIV/0!</v>
      </c>
      <c r="AF437" s="39" t="e">
        <f>Datasheet!AF411-SUM(AF$426,AF$428,AF$442)</f>
        <v>#DIV/0!</v>
      </c>
      <c r="AG437" s="39" t="e">
        <f>Datasheet!AG411-SUM(AG$426,AG$428,AG$442)</f>
        <v>#DIV/0!</v>
      </c>
      <c r="AH437" s="39" t="e">
        <f>Datasheet!AH411-SUM(AH$426,AH$428,AH$442)</f>
        <v>#DIV/0!</v>
      </c>
      <c r="AI437" s="39" t="e">
        <f>Datasheet!AI411-SUM(AI$426,AI$428,AI$442)</f>
        <v>#DIV/0!</v>
      </c>
      <c r="AJ437" s="39" t="e">
        <f>Datasheet!AJ411-SUM(AJ$426,AJ$428,AJ$442)</f>
        <v>#DIV/0!</v>
      </c>
      <c r="AK437" s="39" t="e">
        <f>Datasheet!AK411-SUM(AK$426,AK$428,AK$442)</f>
        <v>#DIV/0!</v>
      </c>
    </row>
    <row r="438" spans="3:37" s="4" customFormat="1" x14ac:dyDescent="0.25">
      <c r="D438"/>
      <c r="E438" t="s">
        <v>252</v>
      </c>
      <c r="F438"/>
      <c r="G438"/>
      <c r="H438" t="s">
        <v>195</v>
      </c>
      <c r="I438" s="39">
        <f>Datasheet!I412-SUM(I$426,I$428,I$442)</f>
        <v>3225.1306926616762</v>
      </c>
      <c r="J438" s="39">
        <f>Datasheet!J412-SUM(J$426,J$428,J$442)</f>
        <v>2340.8262953710837</v>
      </c>
      <c r="K438" s="39">
        <f>Datasheet!K412-SUM(K$426,K$428,K$442)</f>
        <v>2342.2434404377709</v>
      </c>
      <c r="L438" s="39">
        <f>Datasheet!L412-SUM(L$426,L$428,L$442)</f>
        <v>2398.5240142641123</v>
      </c>
      <c r="M438" s="39">
        <f>Datasheet!M412-SUM(M$426,M$428,M$442)</f>
        <v>2448.5076328726045</v>
      </c>
      <c r="N438" s="39">
        <f>Datasheet!N412-SUM(N$426,N$428,N$442)</f>
        <v>2785.0678135897924</v>
      </c>
      <c r="O438" s="39">
        <f>Datasheet!O412-SUM(O$426,O$428,O$442)</f>
        <v>2256.0415208697832</v>
      </c>
      <c r="P438" s="39">
        <f>Datasheet!P412-SUM(P$426,P$428,P$442)</f>
        <v>2135.0650543439315</v>
      </c>
      <c r="Q438" s="39">
        <f>Datasheet!Q412-SUM(Q$426,Q$428,Q$442)</f>
        <v>2272.0812708794801</v>
      </c>
      <c r="R438" s="39">
        <f>Datasheet!R412-SUM(R$426,R$428,R$442)</f>
        <v>2387.4236464789865</v>
      </c>
      <c r="S438" s="39">
        <f>Datasheet!S412-SUM(S$426,S$428,S$442)</f>
        <v>2310.8799361729289</v>
      </c>
      <c r="T438" s="39">
        <f>Datasheet!T412-SUM(T$426,T$428,T$442)</f>
        <v>2470.0774499783402</v>
      </c>
      <c r="U438" s="39">
        <f>Datasheet!U412-SUM(U$426,U$428,U$442)</f>
        <v>2165.560996365366</v>
      </c>
      <c r="V438" s="39">
        <f>Datasheet!V412-SUM(V$426,V$428,V$442)</f>
        <v>2405.1893163672648</v>
      </c>
      <c r="W438" s="39">
        <f>Datasheet!W412-SUM(W$426,W$428,W$442)</f>
        <v>2810.0851271437023</v>
      </c>
      <c r="X438" s="39">
        <f>Datasheet!X412-SUM(X$426,X$428,X$442)</f>
        <v>2515.2576940420495</v>
      </c>
      <c r="Y438" s="39">
        <f>Datasheet!Y412-SUM(Y$426,Y$428,Y$442)</f>
        <v>3148.8381388207599</v>
      </c>
      <c r="Z438" s="39">
        <f>Datasheet!Z412-SUM(Z$426,Z$428,Z$442)</f>
        <v>1898.9538656038403</v>
      </c>
      <c r="AA438" s="39">
        <f>Datasheet!AA412-SUM(AA$426,AA$428,AA$442)</f>
        <v>2088.5022660689337</v>
      </c>
      <c r="AB438" s="39">
        <f>Datasheet!AB412-SUM(AB$426,AB$428,AB$442)</f>
        <v>2315.0828053928817</v>
      </c>
      <c r="AC438" s="39">
        <f>Datasheet!AC412-SUM(AC$426,AC$428,AC$442)</f>
        <v>2566.7978219808865</v>
      </c>
      <c r="AD438" s="39" t="e">
        <f>Datasheet!AD412-SUM(AD$426,AD$428,AD$442)</f>
        <v>#DIV/0!</v>
      </c>
      <c r="AE438" s="39" t="e">
        <f>Datasheet!AE412-SUM(AE$426,AE$428,AE$442)</f>
        <v>#DIV/0!</v>
      </c>
      <c r="AF438" s="39" t="e">
        <f>Datasheet!AF412-SUM(AF$426,AF$428,AF$442)</f>
        <v>#DIV/0!</v>
      </c>
      <c r="AG438" s="39" t="e">
        <f>Datasheet!AG412-SUM(AG$426,AG$428,AG$442)</f>
        <v>#DIV/0!</v>
      </c>
      <c r="AH438" s="39" t="e">
        <f>Datasheet!AH412-SUM(AH$426,AH$428,AH$442)</f>
        <v>#DIV/0!</v>
      </c>
      <c r="AI438" s="39" t="e">
        <f>Datasheet!AI412-SUM(AI$426,AI$428,AI$442)</f>
        <v>#DIV/0!</v>
      </c>
      <c r="AJ438" s="39" t="e">
        <f>Datasheet!AJ412-SUM(AJ$426,AJ$428,AJ$442)</f>
        <v>#DIV/0!</v>
      </c>
      <c r="AK438" s="39" t="e">
        <f>Datasheet!AK412-SUM(AK$426,AK$428,AK$442)</f>
        <v>#DIV/0!</v>
      </c>
    </row>
    <row r="439" spans="3:37" s="4" customFormat="1" x14ac:dyDescent="0.25">
      <c r="D439"/>
      <c r="E439" t="s">
        <v>253</v>
      </c>
      <c r="F439"/>
      <c r="G439"/>
      <c r="H439" t="s">
        <v>195</v>
      </c>
      <c r="I439" s="39">
        <f>Datasheet!I413-SUM(I$426,I$428,I$442)</f>
        <v>1200.1306926616762</v>
      </c>
      <c r="J439" s="39">
        <f>Datasheet!J413-SUM(J$426,J$428,J$442)</f>
        <v>564.82629537108369</v>
      </c>
      <c r="K439" s="39">
        <f>Datasheet!K413-SUM(K$426,K$428,K$442)</f>
        <v>920.24344043777091</v>
      </c>
      <c r="L439" s="39">
        <f>Datasheet!L413-SUM(L$426,L$428,L$442)</f>
        <v>1142.5240142641123</v>
      </c>
      <c r="M439" s="39">
        <f>Datasheet!M413-SUM(M$426,M$428,M$442)</f>
        <v>1037.5076328726045</v>
      </c>
      <c r="N439" s="39">
        <f>Datasheet!N413-SUM(N$426,N$428,N$442)</f>
        <v>1116.0678135897924</v>
      </c>
      <c r="O439" s="39">
        <f>Datasheet!O413-SUM(O$426,O$428,O$442)</f>
        <v>782.0415208697832</v>
      </c>
      <c r="P439" s="39">
        <f>Datasheet!P413-SUM(P$426,P$428,P$442)</f>
        <v>782.06505434393148</v>
      </c>
      <c r="Q439" s="39">
        <f>Datasheet!Q413-SUM(Q$426,Q$428,Q$442)</f>
        <v>861.08127087948014</v>
      </c>
      <c r="R439" s="39">
        <f>Datasheet!R413-SUM(R$426,R$428,R$442)</f>
        <v>1211.4236464789865</v>
      </c>
      <c r="S439" s="39">
        <f>Datasheet!S413-SUM(S$426,S$428,S$442)</f>
        <v>1252.8799361729289</v>
      </c>
      <c r="T439" s="39">
        <f>Datasheet!T413-SUM(T$426,T$428,T$442)</f>
        <v>1194.0774499783402</v>
      </c>
      <c r="U439" s="39">
        <f>Datasheet!U413-SUM(U$426,U$428,U$442)</f>
        <v>1056.560996365366</v>
      </c>
      <c r="V439" s="39">
        <f>Datasheet!V413-SUM(V$426,V$428,V$442)</f>
        <v>1193.1893163672648</v>
      </c>
      <c r="W439" s="39">
        <f>Datasheet!W413-SUM(W$426,W$428,W$442)</f>
        <v>1497.0851271437023</v>
      </c>
      <c r="X439" s="39">
        <f>Datasheet!X413-SUM(X$426,X$428,X$442)</f>
        <v>1178.2576940420495</v>
      </c>
      <c r="Y439" s="39">
        <f>Datasheet!Y413-SUM(Y$426,Y$428,Y$442)</f>
        <v>1769.8381388207599</v>
      </c>
      <c r="Z439" s="39">
        <f>Datasheet!Z413-SUM(Z$426,Z$428,Z$442)</f>
        <v>742.95386560384031</v>
      </c>
      <c r="AA439" s="39">
        <f>Datasheet!AA413-SUM(AA$426,AA$428,AA$442)</f>
        <v>1275.5022660689337</v>
      </c>
      <c r="AB439" s="39">
        <f>Datasheet!AB413-SUM(AB$426,AB$428,AB$442)</f>
        <v>1356.0828053928817</v>
      </c>
      <c r="AC439" s="39">
        <f>Datasheet!AC413-SUM(AC$426,AC$428,AC$442)</f>
        <v>1543.7978219808865</v>
      </c>
      <c r="AD439" s="39" t="e">
        <f>Datasheet!AD413-SUM(AD$426,AD$428,AD$442)</f>
        <v>#DIV/0!</v>
      </c>
      <c r="AE439" s="39" t="e">
        <f>Datasheet!AE413-SUM(AE$426,AE$428,AE$442)</f>
        <v>#DIV/0!</v>
      </c>
      <c r="AF439" s="39" t="e">
        <f>Datasheet!AF413-SUM(AF$426,AF$428,AF$442)</f>
        <v>#DIV/0!</v>
      </c>
      <c r="AG439" s="39" t="e">
        <f>Datasheet!AG413-SUM(AG$426,AG$428,AG$442)</f>
        <v>#DIV/0!</v>
      </c>
      <c r="AH439" s="39" t="e">
        <f>Datasheet!AH413-SUM(AH$426,AH$428,AH$442)</f>
        <v>#DIV/0!</v>
      </c>
      <c r="AI439" s="39" t="e">
        <f>Datasheet!AI413-SUM(AI$426,AI$428,AI$442)</f>
        <v>#DIV/0!</v>
      </c>
      <c r="AJ439" s="39" t="e">
        <f>Datasheet!AJ413-SUM(AJ$426,AJ$428,AJ$442)</f>
        <v>#DIV/0!</v>
      </c>
      <c r="AK439" s="39" t="e">
        <f>Datasheet!AK413-SUM(AK$426,AK$428,AK$442)</f>
        <v>#DIV/0!</v>
      </c>
    </row>
    <row r="440" spans="3:37" s="4" customFormat="1" x14ac:dyDescent="0.25">
      <c r="D440"/>
      <c r="E440" t="s">
        <v>254</v>
      </c>
      <c r="F440"/>
      <c r="G440"/>
      <c r="H440" t="s">
        <v>195</v>
      </c>
      <c r="I440" s="39">
        <f>Datasheet!I414-SUM(I$426,I$428,I$442)</f>
        <v>280.13069266167622</v>
      </c>
      <c r="J440" s="39">
        <f>Datasheet!J414-SUM(J$426,J$428,J$442)</f>
        <v>10.826295371083688</v>
      </c>
      <c r="K440" s="39">
        <f>Datasheet!K414-SUM(K$426,K$428,K$442)</f>
        <v>-115.75655956222909</v>
      </c>
      <c r="L440" s="39">
        <f>Datasheet!L414-SUM(L$426,L$428,L$442)</f>
        <v>-192.47598573588766</v>
      </c>
      <c r="M440" s="39">
        <f>Datasheet!M414-SUM(M$426,M$428,M$442)</f>
        <v>8.5076328726045176</v>
      </c>
      <c r="N440" s="39">
        <f>Datasheet!N414-SUM(N$426,N$428,N$442)</f>
        <v>139.06781358979242</v>
      </c>
      <c r="O440" s="39">
        <f>Datasheet!O414-SUM(O$426,O$428,O$442)</f>
        <v>-518.9584791302168</v>
      </c>
      <c r="P440" s="39">
        <f>Datasheet!P414-SUM(P$426,P$428,P$442)</f>
        <v>-569.93494565606852</v>
      </c>
      <c r="Q440" s="39">
        <f>Datasheet!Q414-SUM(Q$426,Q$428,Q$442)</f>
        <v>-584.91872912051986</v>
      </c>
      <c r="R440" s="39">
        <f>Datasheet!R414-SUM(R$426,R$428,R$442)</f>
        <v>-361.57635352101352</v>
      </c>
      <c r="S440" s="39">
        <f>Datasheet!S414-SUM(S$426,S$428,S$442)</f>
        <v>-33.120063827071135</v>
      </c>
      <c r="T440" s="39">
        <f>Datasheet!T414-SUM(T$426,T$428,T$442)</f>
        <v>-235.92255002165984</v>
      </c>
      <c r="U440" s="39">
        <f>Datasheet!U414-SUM(U$426,U$428,U$442)</f>
        <v>-682.43900363463399</v>
      </c>
      <c r="V440" s="39">
        <f>Datasheet!V414-SUM(V$426,V$428,V$442)</f>
        <v>-510.81068363273516</v>
      </c>
      <c r="W440" s="39">
        <f>Datasheet!W414-SUM(W$426,W$428,W$442)</f>
        <v>-277.91487285629773</v>
      </c>
      <c r="X440" s="39">
        <f>Datasheet!X414-SUM(X$426,X$428,X$442)</f>
        <v>-600.74230595795052</v>
      </c>
      <c r="Y440" s="39">
        <f>Datasheet!Y414-SUM(Y$426,Y$428,Y$442)</f>
        <v>-15.161861179240077</v>
      </c>
      <c r="Z440" s="39">
        <f>Datasheet!Z414-SUM(Z$426,Z$428,Z$442)</f>
        <v>-1223.0461343961597</v>
      </c>
      <c r="AA440" s="39">
        <f>Datasheet!AA414-SUM(AA$426,AA$428,AA$442)</f>
        <v>-66.49773393106625</v>
      </c>
      <c r="AB440" s="39">
        <f>Datasheet!AB414-SUM(AB$426,AB$428,AB$442)</f>
        <v>-279.91719460711829</v>
      </c>
      <c r="AC440" s="39">
        <f>Datasheet!AC414-SUM(AC$426,AC$428,AC$442)</f>
        <v>-174.20217801911349</v>
      </c>
      <c r="AD440" s="39" t="e">
        <f>Datasheet!AD414-SUM(AD$426,AD$428,AD$442)</f>
        <v>#DIV/0!</v>
      </c>
      <c r="AE440" s="39" t="e">
        <f>Datasheet!AE414-SUM(AE$426,AE$428,AE$442)</f>
        <v>#DIV/0!</v>
      </c>
      <c r="AF440" s="39" t="e">
        <f>Datasheet!AF414-SUM(AF$426,AF$428,AF$442)</f>
        <v>#DIV/0!</v>
      </c>
      <c r="AG440" s="39" t="e">
        <f>Datasheet!AG414-SUM(AG$426,AG$428,AG$442)</f>
        <v>#DIV/0!</v>
      </c>
      <c r="AH440" s="39" t="e">
        <f>Datasheet!AH414-SUM(AH$426,AH$428,AH$442)</f>
        <v>#DIV/0!</v>
      </c>
      <c r="AI440" s="39" t="e">
        <f>Datasheet!AI414-SUM(AI$426,AI$428,AI$442)</f>
        <v>#DIV/0!</v>
      </c>
      <c r="AJ440" s="39" t="e">
        <f>Datasheet!AJ414-SUM(AJ$426,AJ$428,AJ$442)</f>
        <v>#DIV/0!</v>
      </c>
      <c r="AK440" s="39" t="e">
        <f>Datasheet!AK414-SUM(AK$426,AK$428,AK$442)</f>
        <v>#DIV/0!</v>
      </c>
    </row>
    <row r="441" spans="3:37" s="4" customFormat="1" x14ac:dyDescent="0.25">
      <c r="D441"/>
      <c r="E441" t="s">
        <v>255</v>
      </c>
      <c r="F441"/>
      <c r="G441"/>
      <c r="H441" t="s">
        <v>195</v>
      </c>
      <c r="I441" s="39">
        <f>Datasheet!I415-SUM(I$426,I$428,I$442)</f>
        <v>1160.1306926616762</v>
      </c>
      <c r="J441" s="39">
        <f>Datasheet!J415-SUM(J$426,J$428,J$442)</f>
        <v>766.82629537108369</v>
      </c>
      <c r="K441" s="39">
        <f>Datasheet!K415-SUM(K$426,K$428,K$442)</f>
        <v>739.24344043777091</v>
      </c>
      <c r="L441" s="39">
        <f>Datasheet!L415-SUM(L$426,L$428,L$442)</f>
        <v>760.52401426411234</v>
      </c>
      <c r="M441" s="39">
        <f>Datasheet!M415-SUM(M$426,M$428,M$442)</f>
        <v>928.50763287260452</v>
      </c>
      <c r="N441" s="39">
        <f>Datasheet!N415-SUM(N$426,N$428,N$442)</f>
        <v>975.06781358979242</v>
      </c>
      <c r="O441" s="39">
        <f>Datasheet!O415-SUM(O$426,O$428,O$442)</f>
        <v>95.041520869783199</v>
      </c>
      <c r="P441" s="39">
        <f>Datasheet!P415-SUM(P$426,P$428,P$442)</f>
        <v>521.06505434393148</v>
      </c>
      <c r="Q441" s="39">
        <f>Datasheet!Q415-SUM(Q$426,Q$428,Q$442)</f>
        <v>810.08127087948014</v>
      </c>
      <c r="R441" s="39">
        <f>Datasheet!R415-SUM(R$426,R$428,R$442)</f>
        <v>966.42364647898648</v>
      </c>
      <c r="S441" s="39">
        <f>Datasheet!S415-SUM(S$426,S$428,S$442)</f>
        <v>771.87993617292886</v>
      </c>
      <c r="T441" s="39">
        <f>Datasheet!T415-SUM(T$426,T$428,T$442)</f>
        <v>907.07744997834016</v>
      </c>
      <c r="U441" s="39">
        <f>Datasheet!U415-SUM(U$426,U$428,U$442)</f>
        <v>664.56099636536601</v>
      </c>
      <c r="V441" s="39">
        <f>Datasheet!V415-SUM(V$426,V$428,V$442)</f>
        <v>927.18931636726484</v>
      </c>
      <c r="W441" s="39">
        <f>Datasheet!W415-SUM(W$426,W$428,W$442)</f>
        <v>1091.0851271437023</v>
      </c>
      <c r="X441" s="39">
        <f>Datasheet!X415-SUM(X$426,X$428,X$442)</f>
        <v>580.25769404204948</v>
      </c>
      <c r="Y441" s="39">
        <f>Datasheet!Y415-SUM(Y$426,Y$428,Y$442)</f>
        <v>1446.8381388207599</v>
      </c>
      <c r="Z441" s="39">
        <f>Datasheet!Z415-SUM(Z$426,Z$428,Z$442)</f>
        <v>437.95386560384031</v>
      </c>
      <c r="AA441" s="39">
        <f>Datasheet!AA415-SUM(AA$426,AA$428,AA$442)</f>
        <v>1428.5022660689337</v>
      </c>
      <c r="AB441" s="39">
        <f>Datasheet!AB415-SUM(AB$426,AB$428,AB$442)</f>
        <v>1536.0828053928817</v>
      </c>
      <c r="AC441" s="39">
        <f>Datasheet!AC415-SUM(AC$426,AC$428,AC$442)</f>
        <v>1640.7978219808865</v>
      </c>
      <c r="AD441" s="39" t="e">
        <f>Datasheet!AD415-SUM(AD$426,AD$428,AD$442)</f>
        <v>#DIV/0!</v>
      </c>
      <c r="AE441" s="39" t="e">
        <f>Datasheet!AE415-SUM(AE$426,AE$428,AE$442)</f>
        <v>#DIV/0!</v>
      </c>
      <c r="AF441" s="39" t="e">
        <f>Datasheet!AF415-SUM(AF$426,AF$428,AF$442)</f>
        <v>#DIV/0!</v>
      </c>
      <c r="AG441" s="39" t="e">
        <f>Datasheet!AG415-SUM(AG$426,AG$428,AG$442)</f>
        <v>#DIV/0!</v>
      </c>
      <c r="AH441" s="39" t="e">
        <f>Datasheet!AH415-SUM(AH$426,AH$428,AH$442)</f>
        <v>#DIV/0!</v>
      </c>
      <c r="AI441" s="39" t="e">
        <f>Datasheet!AI415-SUM(AI$426,AI$428,AI$442)</f>
        <v>#DIV/0!</v>
      </c>
      <c r="AJ441" s="39" t="e">
        <f>Datasheet!AJ415-SUM(AJ$426,AJ$428,AJ$442)</f>
        <v>#DIV/0!</v>
      </c>
      <c r="AK441" s="39" t="e">
        <f>Datasheet!AK415-SUM(AK$426,AK$428,AK$442)</f>
        <v>#DIV/0!</v>
      </c>
    </row>
    <row r="442" spans="3:37" s="8" customFormat="1" x14ac:dyDescent="0.25">
      <c r="D442" s="8" t="s">
        <v>1105</v>
      </c>
      <c r="H442" s="8" t="s">
        <v>195</v>
      </c>
      <c r="I442" s="42">
        <f>Datasheet!I403-SUM(I$426,I$428,I429)</f>
        <v>3992.6483641942177</v>
      </c>
      <c r="J442" s="42">
        <f>Datasheet!J403-SUM(J$426,J$428,J429)</f>
        <v>4307.44817876052</v>
      </c>
      <c r="K442" s="42">
        <f>Datasheet!K403-SUM(K$426,K$428,K429)</f>
        <v>4426.7565595622291</v>
      </c>
      <c r="L442" s="42">
        <f>Datasheet!L403-SUM(L$426,L$428,L429)</f>
        <v>4684.4759857358877</v>
      </c>
      <c r="M442" s="42">
        <f>Datasheet!M403-SUM(M$426,M$428,M429)</f>
        <v>4551.4923671273955</v>
      </c>
      <c r="N442" s="42">
        <f>Datasheet!N403-SUM(N$426,N$428,N429)</f>
        <v>4585.9321864102076</v>
      </c>
      <c r="O442" s="42">
        <f>Datasheet!O403-SUM(O$426,O$428,O429)</f>
        <v>4844.9584791302168</v>
      </c>
      <c r="P442" s="42">
        <f>Datasheet!P403-SUM(P$426,P$428,P429)</f>
        <v>4481.8938481594396</v>
      </c>
      <c r="Q442" s="42">
        <f>Datasheet!Q403-SUM(Q$426,Q$428,Q429)</f>
        <v>4199.7718920448315</v>
      </c>
      <c r="R442" s="42">
        <f>Datasheet!R403-SUM(R$426,R$428,R429)</f>
        <v>4140.3525568392997</v>
      </c>
      <c r="S442" s="42">
        <f>Datasheet!S403-SUM(S$426,S$428,S429)</f>
        <v>4290.205635733033</v>
      </c>
      <c r="T442" s="42">
        <f>Datasheet!T403-SUM(T$426,T$428,T429)</f>
        <v>4458.6611617353265</v>
      </c>
      <c r="U442" s="42">
        <f>Datasheet!U403-SUM(U$426,U$428,U429)</f>
        <v>4834.6534493167583</v>
      </c>
      <c r="V442" s="42">
        <f>Datasheet!V403-SUM(V$426,V$428,V429)</f>
        <v>4417.8106836327352</v>
      </c>
      <c r="W442" s="42">
        <f>Datasheet!W403-SUM(W$426,W$428,W429)</f>
        <v>4812.9148728562977</v>
      </c>
      <c r="X442" s="42">
        <f>Datasheet!X403-SUM(X$426,X$428,X429)</f>
        <v>5249.7423059579505</v>
      </c>
      <c r="Y442" s="42">
        <f>Datasheet!Y403-SUM(Y$426,Y$428,Y429)</f>
        <v>4456.1618611792401</v>
      </c>
      <c r="Z442" s="42">
        <f>Datasheet!Z403-SUM(Z$426,Z$428,Z429)</f>
        <v>5149.0461343961597</v>
      </c>
      <c r="AA442" s="42">
        <f>Datasheet!AA403-SUM(AA$426,AA$428,AA429)</f>
        <v>4740.4977339310663</v>
      </c>
      <c r="AB442" s="42">
        <f>Datasheet!AB403-SUM(AB$426,AB$428,AB429)</f>
        <v>4772.3935322544039</v>
      </c>
      <c r="AC442" s="42">
        <f>Datasheet!AC403-SUM(AC$426,AC$428,AC429)</f>
        <v>5028.6450342421504</v>
      </c>
      <c r="AD442" s="42" t="e">
        <f>Datasheet!AD403-SUM(AD$426,AD$428,AD429)</f>
        <v>#DIV/0!</v>
      </c>
      <c r="AE442" s="42" t="e">
        <f>Datasheet!AE403-SUM(AE$426,AE$428,AE429)</f>
        <v>#DIV/0!</v>
      </c>
      <c r="AF442" s="42" t="e">
        <f>Datasheet!AF403-SUM(AF$426,AF$428,AF429)</f>
        <v>#DIV/0!</v>
      </c>
      <c r="AG442" s="42" t="e">
        <f>Datasheet!AG403-SUM(AG$426,AG$428,AG429)</f>
        <v>#DIV/0!</v>
      </c>
      <c r="AH442" s="42" t="e">
        <f>Datasheet!AH403-SUM(AH$426,AH$428,AH429)</f>
        <v>#DIV/0!</v>
      </c>
      <c r="AI442" s="42" t="e">
        <f>Datasheet!AI403-SUM(AI$426,AI$428,AI429)</f>
        <v>#DIV/0!</v>
      </c>
      <c r="AJ442" s="42" t="e">
        <f>Datasheet!AJ403-SUM(AJ$426,AJ$428,AJ429)</f>
        <v>#DIV/0!</v>
      </c>
      <c r="AK442" s="42" t="e">
        <f>Datasheet!AK403-SUM(AK$426,AK$428,AK429)</f>
        <v>#DIV/0!</v>
      </c>
    </row>
    <row r="443" spans="3:37" s="8" customFormat="1" x14ac:dyDescent="0.25">
      <c r="C443" s="8" t="s">
        <v>1106</v>
      </c>
      <c r="H443" s="8" t="s">
        <v>195</v>
      </c>
      <c r="I443" s="42">
        <f>Datasheet!I375/I$406-SUM(I$428,I429)</f>
        <v>5949.8774919349471</v>
      </c>
      <c r="J443" s="42">
        <f>Datasheet!J375/J$406-SUM(J$428,J429)</f>
        <v>6305.0538994240742</v>
      </c>
      <c r="K443" s="42">
        <f>Datasheet!K375/K$406-SUM(K$428,K429)</f>
        <v>6401.6702621486365</v>
      </c>
      <c r="L443" s="42">
        <f>Datasheet!L375/L$406-SUM(L$428,L429)</f>
        <v>6724.586013496737</v>
      </c>
      <c r="M443" s="42">
        <f>Datasheet!M375/M$406-SUM(M$428,M429)</f>
        <v>6892.7181072680378</v>
      </c>
      <c r="N443" s="42">
        <f>Datasheet!N375/N$406-SUM(N$428,N429)</f>
        <v>7430.233998310483</v>
      </c>
      <c r="O443" s="42">
        <f>Datasheet!O375/O$406-SUM(O$428,O429)</f>
        <v>8023.3203886528354</v>
      </c>
      <c r="P443" s="42">
        <f>Datasheet!P375/P$406-SUM(P$428,P429)</f>
        <v>7887.5159602537115</v>
      </c>
      <c r="Q443" s="42">
        <f>Datasheet!Q375/Q$406-SUM(Q$428,Q429)</f>
        <v>7689.4624910771618</v>
      </c>
      <c r="R443" s="42">
        <f>Datasheet!R375/R$406-SUM(R$428,R429)</f>
        <v>7524.2091232156326</v>
      </c>
      <c r="S443" s="42">
        <f>Datasheet!S375/S$406-SUM(S$428,S429)</f>
        <v>7893.2866905246819</v>
      </c>
      <c r="T443" s="42">
        <f>Datasheet!T375/T$406-SUM(T$428,T429)</f>
        <v>8204.2613282405946</v>
      </c>
      <c r="U443" s="42">
        <f>Datasheet!U375/U$406-SUM(U$428,U429)</f>
        <v>8983.79119038508</v>
      </c>
      <c r="V443" s="42">
        <f>Datasheet!V375/V$406-SUM(V$428,V429)</f>
        <v>8546.2382135728549</v>
      </c>
      <c r="W443" s="42">
        <f>Datasheet!W375/W$406-SUM(W$428,W429)</f>
        <v>8971.2560615020666</v>
      </c>
      <c r="X443" s="42">
        <f>Datasheet!X375/X$406-SUM(X$428,X429)</f>
        <v>9544.3267196512752</v>
      </c>
      <c r="Y443" s="42">
        <f>Datasheet!Y375/Y$406-SUM(Y$428,Y429)</f>
        <v>9458.0337979302512</v>
      </c>
      <c r="Z443" s="42">
        <f>Datasheet!Z375/Z$406-SUM(Z$428,Z429)</f>
        <v>9635.0839590297401</v>
      </c>
      <c r="AA443" s="42">
        <f>Datasheet!AA375/AA$406-SUM(AA$428,AA429)</f>
        <v>9143.7395347922702</v>
      </c>
      <c r="AB443" s="42">
        <f>Datasheet!AB375/AB$406-SUM(AB$428,AB429)</f>
        <v>9376.6374242401853</v>
      </c>
      <c r="AC443" s="42">
        <f>Datasheet!AC375/AC$406-SUM(AC$428,AC429)</f>
        <v>10157.360034955034</v>
      </c>
      <c r="AD443" s="42" t="e">
        <f>Datasheet!AD375/AD$406-SUM(AD$428,AD429)</f>
        <v>#DIV/0!</v>
      </c>
      <c r="AE443" s="42" t="e">
        <f>Datasheet!AE375/AE$406-SUM(AE$428,AE429)</f>
        <v>#DIV/0!</v>
      </c>
      <c r="AF443" s="42" t="e">
        <f>Datasheet!AF375/AF$406-SUM(AF$428,AF429)</f>
        <v>#DIV/0!</v>
      </c>
      <c r="AG443" s="42" t="e">
        <f>Datasheet!AG375/AG$406-SUM(AG$428,AG429)</f>
        <v>#DIV/0!</v>
      </c>
      <c r="AH443" s="42" t="e">
        <f>Datasheet!AH375/AH$406-SUM(AH$428,AH429)</f>
        <v>#DIV/0!</v>
      </c>
      <c r="AI443" s="42" t="e">
        <f>Datasheet!AI375/AI$406-SUM(AI$428,AI429)</f>
        <v>#DIV/0!</v>
      </c>
      <c r="AJ443" s="42" t="e">
        <f>Datasheet!AJ375/AJ$406-SUM(AJ$428,AJ429)</f>
        <v>#DIV/0!</v>
      </c>
      <c r="AK443" s="42" t="e">
        <f>Datasheet!AK375/AK$406-SUM(AK$428,AK429)</f>
        <v>#DIV/0!</v>
      </c>
    </row>
    <row r="444" spans="3:37" s="4" customFormat="1" x14ac:dyDescent="0.25">
      <c r="D444"/>
      <c r="E444" t="s">
        <v>244</v>
      </c>
      <c r="F444"/>
      <c r="G444"/>
      <c r="H444" t="s">
        <v>195</v>
      </c>
      <c r="I444" s="39">
        <f>Datasheet!I376/I$406-SUM(I$428,I430)</f>
        <v>5602.168927377048</v>
      </c>
      <c r="J444" s="39">
        <f>Datasheet!J376/J$406-SUM(J$428,J430)</f>
        <v>5992.048133774455</v>
      </c>
      <c r="K444" s="39">
        <f>Datasheet!K376/K$406-SUM(K$428,K430)</f>
        <v>6071.9484355268705</v>
      </c>
      <c r="L444" s="39">
        <f>Datasheet!L376/L$406-SUM(L$428,L430)</f>
        <v>6384.1286365585565</v>
      </c>
      <c r="M444" s="39">
        <f>Datasheet!M376/M$406-SUM(M$428,M430)</f>
        <v>6571.6469865308754</v>
      </c>
      <c r="N444" s="39">
        <f>Datasheet!N376/N$406-SUM(N$428,N430)</f>
        <v>7235.2268124417897</v>
      </c>
      <c r="O444" s="39">
        <f>Datasheet!O376/O$406-SUM(O$428,O430)</f>
        <v>7629.7212884278906</v>
      </c>
      <c r="P444" s="39">
        <f>Datasheet!P376/P$406-SUM(P$428,P430)</f>
        <v>7895.2197684974399</v>
      </c>
      <c r="Q444" s="39">
        <f>Datasheet!Q376/Q$406-SUM(Q$428,Q430)</f>
        <v>7295.2258113239404</v>
      </c>
      <c r="R444" s="39">
        <f>Datasheet!R376/R$406-SUM(R$428,R430)</f>
        <v>7103.0690677853436</v>
      </c>
      <c r="S444" s="39">
        <f>Datasheet!S376/S$406-SUM(S$428,S430)</f>
        <v>7501.0194740204679</v>
      </c>
      <c r="T444" s="39">
        <f>Datasheet!T376/T$406-SUM(T$428,T430)</f>
        <v>7703.4154600579859</v>
      </c>
      <c r="U444" s="39">
        <f>Datasheet!U376/U$406-SUM(U$428,U430)</f>
        <v>8507.3850425092642</v>
      </c>
      <c r="V444" s="39">
        <f>Datasheet!V376/V$406-SUM(V$428,V430)</f>
        <v>8153.8315818363299</v>
      </c>
      <c r="W444" s="39">
        <f>Datasheet!W376/W$406-SUM(W$428,W430)</f>
        <v>8661.8253400354806</v>
      </c>
      <c r="X444" s="39">
        <f>Datasheet!X376/X$406-SUM(X$428,X430)</f>
        <v>9060.0227298348454</v>
      </c>
      <c r="Y444" s="39">
        <f>Datasheet!Y376/Y$406-SUM(Y$428,Y430)</f>
        <v>8989.4285358218185</v>
      </c>
      <c r="Z444" s="39">
        <f>Datasheet!Z376/Z$406-SUM(Z$428,Z430)</f>
        <v>9262.2284434730445</v>
      </c>
      <c r="AA444" s="39">
        <f>Datasheet!AA376/AA$406-SUM(AA$428,AA430)</f>
        <v>9787.3812943628491</v>
      </c>
      <c r="AB444" s="39">
        <f>Datasheet!AB376/AB$406-SUM(AB$428,AB430)</f>
        <v>8739.4238945010857</v>
      </c>
      <c r="AC444" s="39">
        <f>Datasheet!AC376/AC$406-SUM(AC$428,AC430)</f>
        <v>9768.6132475499653</v>
      </c>
      <c r="AD444" s="39" t="e">
        <f>Datasheet!AD376/AD$406-SUM(AD$428,AD430)</f>
        <v>#DIV/0!</v>
      </c>
      <c r="AE444" s="39" t="e">
        <f>Datasheet!AE376/AE$406-SUM(AE$428,AE430)</f>
        <v>#DIV/0!</v>
      </c>
      <c r="AF444" s="39" t="e">
        <f>Datasheet!AF376/AF$406-SUM(AF$428,AF430)</f>
        <v>#DIV/0!</v>
      </c>
      <c r="AG444" s="39" t="e">
        <f>Datasheet!AG376/AG$406-SUM(AG$428,AG430)</f>
        <v>#DIV/0!</v>
      </c>
      <c r="AH444" s="39" t="e">
        <f>Datasheet!AH376/AH$406-SUM(AH$428,AH430)</f>
        <v>#DIV/0!</v>
      </c>
      <c r="AI444" s="39" t="e">
        <f>Datasheet!AI376/AI$406-SUM(AI$428,AI430)</f>
        <v>#DIV/0!</v>
      </c>
      <c r="AJ444" s="39" t="e">
        <f>Datasheet!AJ376/AJ$406-SUM(AJ$428,AJ430)</f>
        <v>#DIV/0!</v>
      </c>
      <c r="AK444" s="39" t="e">
        <f>Datasheet!AK376/AK$406-SUM(AK$428,AK430)</f>
        <v>#DIV/0!</v>
      </c>
    </row>
    <row r="445" spans="3:37" s="4" customFormat="1" x14ac:dyDescent="0.25">
      <c r="D445"/>
      <c r="E445" t="s">
        <v>245</v>
      </c>
      <c r="F445"/>
      <c r="G445"/>
      <c r="H445" t="s">
        <v>195</v>
      </c>
      <c r="I445" s="39">
        <f>Datasheet!I377/I$406-SUM(I$428,I431)</f>
        <v>5430.476363559068</v>
      </c>
      <c r="J445" s="39">
        <f>Datasheet!J377/J$406-SUM(J$428,J431)</f>
        <v>5961.1439653172147</v>
      </c>
      <c r="K445" s="39">
        <f>Datasheet!K377/K$406-SUM(K$428,K431)</f>
        <v>6052.4109022028915</v>
      </c>
      <c r="L445" s="39">
        <f>Datasheet!L377/L$406-SUM(L$428,L431)</f>
        <v>6375.3742185207739</v>
      </c>
      <c r="M445" s="39">
        <f>Datasheet!M377/M$406-SUM(M$428,M431)</f>
        <v>6648.2426481934635</v>
      </c>
      <c r="N445" s="39">
        <f>Datasheet!N377/N$406-SUM(N$428,N431)</f>
        <v>7282.8026783200148</v>
      </c>
      <c r="O445" s="39">
        <f>Datasheet!O377/O$406-SUM(O$428,O431)</f>
        <v>7713.5870719820032</v>
      </c>
      <c r="P445" s="39">
        <f>Datasheet!P377/P$406-SUM(P$428,P431)</f>
        <v>7792.1227254866881</v>
      </c>
      <c r="Q445" s="39">
        <f>Datasheet!Q377/Q$406-SUM(Q$428,Q431)</f>
        <v>7241.1108365623022</v>
      </c>
      <c r="R445" s="39">
        <f>Datasheet!R377/R$406-SUM(R$428,R431)</f>
        <v>7042.3151219003375</v>
      </c>
      <c r="S445" s="39">
        <f>Datasheet!S377/S$406-SUM(S$428,S431)</f>
        <v>7472.4696137519095</v>
      </c>
      <c r="T445" s="39">
        <f>Datasheet!T377/T$406-SUM(T$428,T431)</f>
        <v>7714.4510716627956</v>
      </c>
      <c r="U445" s="39">
        <f>Datasheet!U377/U$406-SUM(U$428,U431)</f>
        <v>8440.474748391618</v>
      </c>
      <c r="V445" s="39">
        <f>Datasheet!V377/V$406-SUM(V$428,V431)</f>
        <v>8140.8203842315379</v>
      </c>
      <c r="W445" s="39">
        <f>Datasheet!W377/W$406-SUM(W$428,W431)</f>
        <v>8541.55331164991</v>
      </c>
      <c r="X445" s="39">
        <f>Datasheet!X377/X$406-SUM(X$428,X431)</f>
        <v>9016.6817118538947</v>
      </c>
      <c r="Y445" s="39">
        <f>Datasheet!Y377/Y$406-SUM(Y$428,Y431)</f>
        <v>8839.7045422823066</v>
      </c>
      <c r="Z445" s="39">
        <f>Datasheet!Z377/Z$406-SUM(Z$428,Z431)</f>
        <v>9134.3599940001714</v>
      </c>
      <c r="AA445" s="39">
        <f>Datasheet!AA377/AA$406-SUM(AA$428,AA431)</f>
        <v>9642.5600237912677</v>
      </c>
      <c r="AB445" s="39">
        <f>Datasheet!AB377/AB$406-SUM(AB$428,AB431)</f>
        <v>8777.0453716815518</v>
      </c>
      <c r="AC445" s="39">
        <f>Datasheet!AC377/AC$406-SUM(AC$428,AC431)</f>
        <v>9771.8668439650719</v>
      </c>
      <c r="AD445" s="39" t="e">
        <f>Datasheet!AD377/AD$406-SUM(AD$428,AD431)</f>
        <v>#DIV/0!</v>
      </c>
      <c r="AE445" s="39" t="e">
        <f>Datasheet!AE377/AE$406-SUM(AE$428,AE431)</f>
        <v>#DIV/0!</v>
      </c>
      <c r="AF445" s="39" t="e">
        <f>Datasheet!AF377/AF$406-SUM(AF$428,AF431)</f>
        <v>#DIV/0!</v>
      </c>
      <c r="AG445" s="39" t="e">
        <f>Datasheet!AG377/AG$406-SUM(AG$428,AG431)</f>
        <v>#DIV/0!</v>
      </c>
      <c r="AH445" s="39" t="e">
        <f>Datasheet!AH377/AH$406-SUM(AH$428,AH431)</f>
        <v>#DIV/0!</v>
      </c>
      <c r="AI445" s="39" t="e">
        <f>Datasheet!AI377/AI$406-SUM(AI$428,AI431)</f>
        <v>#DIV/0!</v>
      </c>
      <c r="AJ445" s="39" t="e">
        <f>Datasheet!AJ377/AJ$406-SUM(AJ$428,AJ431)</f>
        <v>#DIV/0!</v>
      </c>
      <c r="AK445" s="39" t="e">
        <f>Datasheet!AK377/AK$406-SUM(AK$428,AK431)</f>
        <v>#DIV/0!</v>
      </c>
    </row>
    <row r="446" spans="3:37" s="4" customFormat="1" x14ac:dyDescent="0.25">
      <c r="D446"/>
      <c r="E446" t="s">
        <v>246</v>
      </c>
      <c r="F446"/>
      <c r="G446"/>
      <c r="H446" t="s">
        <v>195</v>
      </c>
      <c r="I446" s="39">
        <f>Datasheet!I378/I$406-SUM(I$428,I432)</f>
        <v>5499.7837997410879</v>
      </c>
      <c r="J446" s="39">
        <f>Datasheet!J378/J$406-SUM(J$428,J432)</f>
        <v>5965.4486494598877</v>
      </c>
      <c r="K446" s="39">
        <f>Datasheet!K378/K$406-SUM(K$428,K432)</f>
        <v>6146.7126420653858</v>
      </c>
      <c r="L446" s="39">
        <f>Datasheet!L378/L$406-SUM(L$428,L432)</f>
        <v>6425.2602636152296</v>
      </c>
      <c r="M446" s="39">
        <f>Datasheet!M378/M$406-SUM(M$428,M432)</f>
        <v>6687.35249542579</v>
      </c>
      <c r="N446" s="39">
        <f>Datasheet!N378/N$406-SUM(N$428,N432)</f>
        <v>7326.1938018498076</v>
      </c>
      <c r="O446" s="39">
        <f>Datasheet!O378/O$406-SUM(O$428,O432)</f>
        <v>7728.1141902024483</v>
      </c>
      <c r="P446" s="39">
        <f>Datasheet!P378/P$406-SUM(P$428,P432)</f>
        <v>7812.1275641963639</v>
      </c>
      <c r="Q446" s="39">
        <f>Datasheet!Q378/Q$406-SUM(Q$428,Q432)</f>
        <v>7157.4187445824919</v>
      </c>
      <c r="R446" s="39">
        <f>Datasheet!R378/R$406-SUM(R$428,R432)</f>
        <v>6978.185612317473</v>
      </c>
      <c r="S446" s="39">
        <f>Datasheet!S378/S$406-SUM(S$428,S432)</f>
        <v>7457.4596621467026</v>
      </c>
      <c r="T446" s="39">
        <f>Datasheet!T378/T$406-SUM(T$428,T432)</f>
        <v>7731.678267167239</v>
      </c>
      <c r="U446" s="39">
        <f>Datasheet!U378/U$406-SUM(U$428,U432)</f>
        <v>8421.1779346661278</v>
      </c>
      <c r="V446" s="39">
        <f>Datasheet!V378/V$406-SUM(V$428,V432)</f>
        <v>8135.6680489021965</v>
      </c>
      <c r="W446" s="39">
        <f>Datasheet!W378/W$406-SUM(W$428,W432)</f>
        <v>8527.0521880544038</v>
      </c>
      <c r="X446" s="39">
        <f>Datasheet!X378/X$406-SUM(X$428,X432)</f>
        <v>9025.0663012231544</v>
      </c>
      <c r="Y446" s="39">
        <f>Datasheet!Y378/Y$406-SUM(Y$428,Y432)</f>
        <v>8882.8457159378668</v>
      </c>
      <c r="Z446" s="39">
        <f>Datasheet!Z378/Z$406-SUM(Z$428,Z432)</f>
        <v>9101.0887160366856</v>
      </c>
      <c r="AA446" s="39">
        <f>Datasheet!AA378/AA$406-SUM(AA$428,AA432)</f>
        <v>9767.2701635895337</v>
      </c>
      <c r="AB446" s="39">
        <f>Datasheet!AB378/AB$406-SUM(AB$428,AB432)</f>
        <v>8778.5626360941005</v>
      </c>
      <c r="AC446" s="39">
        <f>Datasheet!AC378/AC$406-SUM(AC$428,AC432)</f>
        <v>9708.3569039154318</v>
      </c>
      <c r="AD446" s="39" t="e">
        <f>Datasheet!AD378/AD$406-SUM(AD$428,AD432)</f>
        <v>#DIV/0!</v>
      </c>
      <c r="AE446" s="39" t="e">
        <f>Datasheet!AE378/AE$406-SUM(AE$428,AE432)</f>
        <v>#DIV/0!</v>
      </c>
      <c r="AF446" s="39" t="e">
        <f>Datasheet!AF378/AF$406-SUM(AF$428,AF432)</f>
        <v>#DIV/0!</v>
      </c>
      <c r="AG446" s="39" t="e">
        <f>Datasheet!AG378/AG$406-SUM(AG$428,AG432)</f>
        <v>#DIV/0!</v>
      </c>
      <c r="AH446" s="39" t="e">
        <f>Datasheet!AH378/AH$406-SUM(AH$428,AH432)</f>
        <v>#DIV/0!</v>
      </c>
      <c r="AI446" s="39" t="e">
        <f>Datasheet!AI378/AI$406-SUM(AI$428,AI432)</f>
        <v>#DIV/0!</v>
      </c>
      <c r="AJ446" s="39" t="e">
        <f>Datasheet!AJ378/AJ$406-SUM(AJ$428,AJ432)</f>
        <v>#DIV/0!</v>
      </c>
      <c r="AK446" s="39" t="e">
        <f>Datasheet!AK378/AK$406-SUM(AK$428,AK432)</f>
        <v>#DIV/0!</v>
      </c>
    </row>
    <row r="447" spans="3:37" s="4" customFormat="1" x14ac:dyDescent="0.25">
      <c r="D447"/>
      <c r="E447" t="s">
        <v>247</v>
      </c>
      <c r="F447"/>
      <c r="G447"/>
      <c r="H447" t="s">
        <v>195</v>
      </c>
      <c r="I447" s="39">
        <f>Datasheet!I379/I$406-SUM(I$428,I433)</f>
        <v>5513.1289717721647</v>
      </c>
      <c r="J447" s="39">
        <f>Datasheet!J379/J$406-SUM(J$428,J433)</f>
        <v>6053.9742188625514</v>
      </c>
      <c r="K447" s="39">
        <f>Datasheet!K379/K$406-SUM(K$428,K433)</f>
        <v>6041.9271783359072</v>
      </c>
      <c r="L447" s="39">
        <f>Datasheet!L379/L$406-SUM(L$428,L433)</f>
        <v>6374.8416164488663</v>
      </c>
      <c r="M447" s="39">
        <f>Datasheet!M379/M$406-SUM(M$428,M433)</f>
        <v>6527.4294083283748</v>
      </c>
      <c r="N447" s="39">
        <f>Datasheet!N379/N$406-SUM(N$428,N433)</f>
        <v>6822.7152782290395</v>
      </c>
      <c r="O447" s="39">
        <f>Datasheet!O379/O$406-SUM(O$428,O433)</f>
        <v>7379.4616033491602</v>
      </c>
      <c r="P447" s="39">
        <f>Datasheet!P379/P$406-SUM(P$428,P433)</f>
        <v>7337.5189620458277</v>
      </c>
      <c r="Q447" s="39">
        <f>Datasheet!Q379/Q$406-SUM(Q$428,Q433)</f>
        <v>6848.2628275886618</v>
      </c>
      <c r="R447" s="39">
        <f>Datasheet!R379/R$406-SUM(R$428,R433)</f>
        <v>6587.9119370074404</v>
      </c>
      <c r="S447" s="39">
        <f>Datasheet!S379/S$406-SUM(S$428,S433)</f>
        <v>7175.2432488142786</v>
      </c>
      <c r="T447" s="39">
        <f>Datasheet!T379/T$406-SUM(T$428,T433)</f>
        <v>7494.0684919450741</v>
      </c>
      <c r="U447" s="39">
        <f>Datasheet!U379/U$406-SUM(U$428,U433)</f>
        <v>8234.5840621171083</v>
      </c>
      <c r="V447" s="39">
        <f>Datasheet!V379/V$406-SUM(V$428,V433)</f>
        <v>7844.8926596806396</v>
      </c>
      <c r="W447" s="39">
        <f>Datasheet!W379/W$406-SUM(W$428,W433)</f>
        <v>8195.4589296274389</v>
      </c>
      <c r="X447" s="39">
        <f>Datasheet!X379/X$406-SUM(X$428,X433)</f>
        <v>8738.3236147905973</v>
      </c>
      <c r="Y447" s="39">
        <f>Datasheet!Y379/Y$406-SUM(Y$428,Y433)</f>
        <v>8697.6870152140546</v>
      </c>
      <c r="Z447" s="39">
        <f>Datasheet!Z379/Z$406-SUM(Z$428,Z433)</f>
        <v>8856.1351032827624</v>
      </c>
      <c r="AA447" s="39">
        <f>Datasheet!AA379/AA$406-SUM(AA$428,AA433)</f>
        <v>7699.0500255608658</v>
      </c>
      <c r="AB447" s="39">
        <f>Datasheet!AB379/AB$406-SUM(AB$428,AB433)</f>
        <v>8650.7314807926032</v>
      </c>
      <c r="AC447" s="39">
        <f>Datasheet!AC379/AC$406-SUM(AC$428,AC433)</f>
        <v>9506.3909034986609</v>
      </c>
      <c r="AD447" s="39" t="e">
        <f>Datasheet!AD379/AD$406-SUM(AD$428,AD433)</f>
        <v>#DIV/0!</v>
      </c>
      <c r="AE447" s="39" t="e">
        <f>Datasheet!AE379/AE$406-SUM(AE$428,AE433)</f>
        <v>#DIV/0!</v>
      </c>
      <c r="AF447" s="39" t="e">
        <f>Datasheet!AF379/AF$406-SUM(AF$428,AF433)</f>
        <v>#DIV/0!</v>
      </c>
      <c r="AG447" s="39" t="e">
        <f>Datasheet!AG379/AG$406-SUM(AG$428,AG433)</f>
        <v>#DIV/0!</v>
      </c>
      <c r="AH447" s="39" t="e">
        <f>Datasheet!AH379/AH$406-SUM(AH$428,AH433)</f>
        <v>#DIV/0!</v>
      </c>
      <c r="AI447" s="39" t="e">
        <f>Datasheet!AI379/AI$406-SUM(AI$428,AI433)</f>
        <v>#DIV/0!</v>
      </c>
      <c r="AJ447" s="39" t="e">
        <f>Datasheet!AJ379/AJ$406-SUM(AJ$428,AJ433)</f>
        <v>#DIV/0!</v>
      </c>
      <c r="AK447" s="39" t="e">
        <f>Datasheet!AK379/AK$406-SUM(AK$428,AK433)</f>
        <v>#DIV/0!</v>
      </c>
    </row>
    <row r="448" spans="3:37" s="4" customFormat="1" x14ac:dyDescent="0.25">
      <c r="D448"/>
      <c r="E448" t="s">
        <v>248</v>
      </c>
      <c r="F448"/>
      <c r="G448"/>
      <c r="H448" t="s">
        <v>195</v>
      </c>
      <c r="I448" s="39">
        <f>Datasheet!I380/I$406-SUM(I$428,I434)</f>
        <v>6000.9935666667261</v>
      </c>
      <c r="J448" s="39">
        <f>Datasheet!J380/J$406-SUM(J$428,J434)</f>
        <v>6359.656212846221</v>
      </c>
      <c r="K448" s="39">
        <f>Datasheet!K380/K$406-SUM(K$428,K434)</f>
        <v>6327.6899116037621</v>
      </c>
      <c r="L448" s="39">
        <f>Datasheet!L380/L$406-SUM(L$428,L434)</f>
        <v>6691.6120816123857</v>
      </c>
      <c r="M448" s="39">
        <f>Datasheet!M380/M$406-SUM(M$428,M434)</f>
        <v>6770.6186153914005</v>
      </c>
      <c r="N448" s="39">
        <f>Datasheet!N380/N$406-SUM(N$428,N434)</f>
        <v>7160.5890841943401</v>
      </c>
      <c r="O448" s="39">
        <f>Datasheet!O380/O$406-SUM(O$428,O434)</f>
        <v>7912.2778992751792</v>
      </c>
      <c r="P448" s="39">
        <f>Datasheet!P380/P$406-SUM(P$428,P434)</f>
        <v>7861.2813276372253</v>
      </c>
      <c r="Q448" s="39">
        <f>Datasheet!Q380/Q$406-SUM(Q$428,Q434)</f>
        <v>7480.856770381708</v>
      </c>
      <c r="R448" s="39">
        <f>Datasheet!R380/R$406-SUM(R$428,R434)</f>
        <v>7152.4344849217578</v>
      </c>
      <c r="S448" s="39">
        <f>Datasheet!S380/S$406-SUM(S$428,S434)</f>
        <v>7547.6733490119477</v>
      </c>
      <c r="T448" s="39">
        <f>Datasheet!T380/T$406-SUM(T$428,T434)</f>
        <v>7840.2573968065481</v>
      </c>
      <c r="U448" s="39">
        <f>Datasheet!U380/U$406-SUM(U$428,U434)</f>
        <v>8700.8431307445571</v>
      </c>
      <c r="V448" s="39">
        <f>Datasheet!V380/V$406-SUM(V$428,V434)</f>
        <v>8288.2034381237536</v>
      </c>
      <c r="W448" s="39">
        <f>Datasheet!W380/W$406-SUM(W$428,W434)</f>
        <v>8795.0906268480176</v>
      </c>
      <c r="X448" s="39">
        <f>Datasheet!X380/X$406-SUM(X$428,X434)</f>
        <v>9420.8443295191919</v>
      </c>
      <c r="Y448" s="39">
        <f>Datasheet!Y380/Y$406-SUM(Y$428,Y434)</f>
        <v>9322.6823493050979</v>
      </c>
      <c r="Z448" s="39">
        <f>Datasheet!Z380/Z$406-SUM(Z$428,Z434)</f>
        <v>9586.8397574355022</v>
      </c>
      <c r="AA448" s="39">
        <f>Datasheet!AA380/AA$406-SUM(AA$428,AA434)</f>
        <v>8225.340062722431</v>
      </c>
      <c r="AB448" s="39">
        <f>Datasheet!AB380/AB$406-SUM(AB$428,AB434)</f>
        <v>9170.0821133664631</v>
      </c>
      <c r="AC448" s="39">
        <f>Datasheet!AC380/AC$406-SUM(AC$428,AC434)</f>
        <v>9767.4018923763506</v>
      </c>
      <c r="AD448" s="39" t="e">
        <f>Datasheet!AD380/AD$406-SUM(AD$428,AD434)</f>
        <v>#DIV/0!</v>
      </c>
      <c r="AE448" s="39" t="e">
        <f>Datasheet!AE380/AE$406-SUM(AE$428,AE434)</f>
        <v>#DIV/0!</v>
      </c>
      <c r="AF448" s="39" t="e">
        <f>Datasheet!AF380/AF$406-SUM(AF$428,AF434)</f>
        <v>#DIV/0!</v>
      </c>
      <c r="AG448" s="39" t="e">
        <f>Datasheet!AG380/AG$406-SUM(AG$428,AG434)</f>
        <v>#DIV/0!</v>
      </c>
      <c r="AH448" s="39" t="e">
        <f>Datasheet!AH380/AH$406-SUM(AH$428,AH434)</f>
        <v>#DIV/0!</v>
      </c>
      <c r="AI448" s="39" t="e">
        <f>Datasheet!AI380/AI$406-SUM(AI$428,AI434)</f>
        <v>#DIV/0!</v>
      </c>
      <c r="AJ448" s="39" t="e">
        <f>Datasheet!AJ380/AJ$406-SUM(AJ$428,AJ434)</f>
        <v>#DIV/0!</v>
      </c>
      <c r="AK448" s="39" t="e">
        <f>Datasheet!AK380/AK$406-SUM(AK$428,AK434)</f>
        <v>#DIV/0!</v>
      </c>
    </row>
    <row r="449" spans="3:37" s="4" customFormat="1" x14ac:dyDescent="0.25">
      <c r="D449"/>
      <c r="E449" t="s">
        <v>249</v>
      </c>
      <c r="F449"/>
      <c r="G449"/>
      <c r="H449" t="s">
        <v>195</v>
      </c>
      <c r="I449" s="39">
        <f>Datasheet!I381/I$406-SUM(I$428,I435)</f>
        <v>6737.13674091756</v>
      </c>
      <c r="J449" s="39">
        <f>Datasheet!J381/J$406-SUM(J$428,J435)</f>
        <v>7051.6708239334603</v>
      </c>
      <c r="K449" s="39">
        <f>Datasheet!K381/K$406-SUM(K$428,K435)</f>
        <v>7091.5634909499095</v>
      </c>
      <c r="L449" s="39">
        <f>Datasheet!L381/L$406-SUM(L$428,L435)</f>
        <v>7416.1812467555901</v>
      </c>
      <c r="M449" s="39">
        <f>Datasheet!M381/M$406-SUM(M$428,M435)</f>
        <v>7708.9788428895827</v>
      </c>
      <c r="N449" s="39">
        <f>Datasheet!N381/N$406-SUM(N$428,N435)</f>
        <v>8015.6221597678032</v>
      </c>
      <c r="O449" s="39">
        <f>Datasheet!O381/O$406-SUM(O$428,O435)</f>
        <v>8785.9414833791543</v>
      </c>
      <c r="P449" s="39">
        <f>Datasheet!P381/P$406-SUM(P$428,P435)</f>
        <v>8628.0764889275488</v>
      </c>
      <c r="Q449" s="39">
        <f>Datasheet!Q381/Q$406-SUM(Q$428,Q435)</f>
        <v>8550.8034893946078</v>
      </c>
      <c r="R449" s="39">
        <f>Datasheet!R381/R$406-SUM(R$428,R435)</f>
        <v>8292.7770722949263</v>
      </c>
      <c r="S449" s="39">
        <f>Datasheet!S381/S$406-SUM(S$428,S435)</f>
        <v>8733.8752439066393</v>
      </c>
      <c r="T449" s="39">
        <f>Datasheet!T381/T$406-SUM(T$428,T435)</f>
        <v>8993.8724647626386</v>
      </c>
      <c r="U449" s="39">
        <f>Datasheet!U381/U$406-SUM(U$428,U435)</f>
        <v>9904.9389640778936</v>
      </c>
      <c r="V449" s="39">
        <f>Datasheet!V381/V$406-SUM(V$428,V435)</f>
        <v>9337.3880489021976</v>
      </c>
      <c r="W449" s="39">
        <f>Datasheet!W381/W$406-SUM(W$428,W435)</f>
        <v>9876.9160555884082</v>
      </c>
      <c r="X449" s="39">
        <f>Datasheet!X381/X$406-SUM(X$428,X435)</f>
        <v>10463.456019953779</v>
      </c>
      <c r="Y449" s="39">
        <f>Datasheet!Y381/Y$406-SUM(Y$428,Y435)</f>
        <v>10452.882445016054</v>
      </c>
      <c r="Z449" s="39">
        <f>Datasheet!Z381/Z$406-SUM(Z$428,Z435)</f>
        <v>10575.149862861063</v>
      </c>
      <c r="AA449" s="39">
        <f>Datasheet!AA381/AA$406-SUM(AA$428,AA435)</f>
        <v>9074.5794893725815</v>
      </c>
      <c r="AB449" s="39">
        <f>Datasheet!AB381/AB$406-SUM(AB$428,AB435)</f>
        <v>10322.63290465814</v>
      </c>
      <c r="AC449" s="39">
        <f>Datasheet!AC381/AC$406-SUM(AC$428,AC435)</f>
        <v>11000.146613447771</v>
      </c>
      <c r="AD449" s="39" t="e">
        <f>Datasheet!AD381/AD$406-SUM(AD$428,AD435)</f>
        <v>#DIV/0!</v>
      </c>
      <c r="AE449" s="39" t="e">
        <f>Datasheet!AE381/AE$406-SUM(AE$428,AE435)</f>
        <v>#DIV/0!</v>
      </c>
      <c r="AF449" s="39" t="e">
        <f>Datasheet!AF381/AF$406-SUM(AF$428,AF435)</f>
        <v>#DIV/0!</v>
      </c>
      <c r="AG449" s="39" t="e">
        <f>Datasheet!AG381/AG$406-SUM(AG$428,AG435)</f>
        <v>#DIV/0!</v>
      </c>
      <c r="AH449" s="39" t="e">
        <f>Datasheet!AH381/AH$406-SUM(AH$428,AH435)</f>
        <v>#DIV/0!</v>
      </c>
      <c r="AI449" s="39" t="e">
        <f>Datasheet!AI381/AI$406-SUM(AI$428,AI435)</f>
        <v>#DIV/0!</v>
      </c>
      <c r="AJ449" s="39" t="e">
        <f>Datasheet!AJ381/AJ$406-SUM(AJ$428,AJ435)</f>
        <v>#DIV/0!</v>
      </c>
      <c r="AK449" s="39" t="e">
        <f>Datasheet!AK381/AK$406-SUM(AK$428,AK435)</f>
        <v>#DIV/0!</v>
      </c>
    </row>
    <row r="450" spans="3:37" s="4" customFormat="1" x14ac:dyDescent="0.25">
      <c r="D450"/>
      <c r="E450" t="s">
        <v>250</v>
      </c>
      <c r="F450"/>
      <c r="G450"/>
      <c r="H450" t="s">
        <v>195</v>
      </c>
      <c r="I450" s="39">
        <f>Datasheet!I382/I$406-SUM(I$428,I436)</f>
        <v>6637.7016687754931</v>
      </c>
      <c r="J450" s="39">
        <f>Datasheet!J382/J$406-SUM(J$428,J436)</f>
        <v>6813.802753456448</v>
      </c>
      <c r="K450" s="39">
        <f>Datasheet!K382/K$406-SUM(K$428,K436)</f>
        <v>6904.6135821523785</v>
      </c>
      <c r="L450" s="39">
        <f>Datasheet!L382/L$406-SUM(L$428,L436)</f>
        <v>7172.5352991626605</v>
      </c>
      <c r="M450" s="39">
        <f>Datasheet!M382/M$406-SUM(M$428,M436)</f>
        <v>7428.901929986996</v>
      </c>
      <c r="N450" s="39">
        <f>Datasheet!N382/N$406-SUM(N$428,N436)</f>
        <v>7884.9614280763326</v>
      </c>
      <c r="O450" s="39">
        <f>Datasheet!O382/O$406-SUM(O$428,O436)</f>
        <v>8567.9672269432613</v>
      </c>
      <c r="P450" s="39">
        <f>Datasheet!P382/P$406-SUM(P$428,P436)</f>
        <v>8353.6799835512029</v>
      </c>
      <c r="Q450" s="39">
        <f>Datasheet!Q382/Q$406-SUM(Q$428,Q436)</f>
        <v>8590.288626803469</v>
      </c>
      <c r="R450" s="39">
        <f>Datasheet!R382/R$406-SUM(R$428,R436)</f>
        <v>8428.3214635012391</v>
      </c>
      <c r="S450" s="39">
        <f>Datasheet!S382/S$406-SUM(S$428,S436)</f>
        <v>8693.6045057156498</v>
      </c>
      <c r="T450" s="39">
        <f>Datasheet!T382/T$406-SUM(T$428,T436)</f>
        <v>8939.7429561374429</v>
      </c>
      <c r="U450" s="39">
        <f>Datasheet!U382/U$406-SUM(U$428,U436)</f>
        <v>9898.4801405484795</v>
      </c>
      <c r="V450" s="39">
        <f>Datasheet!V382/V$406-SUM(V$428,V436)</f>
        <v>9364.1442165668668</v>
      </c>
      <c r="W450" s="39">
        <f>Datasheet!W382/W$406-SUM(W$428,W436)</f>
        <v>9897.0084269662912</v>
      </c>
      <c r="X450" s="39">
        <f>Datasheet!X382/X$406-SUM(X$428,X436)</f>
        <v>10488.389732822276</v>
      </c>
      <c r="Y450" s="39">
        <f>Datasheet!Y382/Y$406-SUM(Y$428,Y436)</f>
        <v>10460.865695599292</v>
      </c>
      <c r="Z450" s="39">
        <f>Datasheet!Z382/Z$406-SUM(Z$428,Z436)</f>
        <v>10662.243100197136</v>
      </c>
      <c r="AA450" s="39">
        <f>Datasheet!AA382/AA$406-SUM(AA$428,AA436)</f>
        <v>9392.7587496804899</v>
      </c>
      <c r="AB450" s="39">
        <f>Datasheet!AB382/AB$406-SUM(AB$428,AB436)</f>
        <v>10358.80425452706</v>
      </c>
      <c r="AC450" s="39">
        <f>Datasheet!AC382/AC$406-SUM(AC$428,AC436)</f>
        <v>11124.384258899318</v>
      </c>
      <c r="AD450" s="39" t="e">
        <f>Datasheet!AD382/AD$406-SUM(AD$428,AD436)</f>
        <v>#DIV/0!</v>
      </c>
      <c r="AE450" s="39" t="e">
        <f>Datasheet!AE382/AE$406-SUM(AE$428,AE436)</f>
        <v>#DIV/0!</v>
      </c>
      <c r="AF450" s="39" t="e">
        <f>Datasheet!AF382/AF$406-SUM(AF$428,AF436)</f>
        <v>#DIV/0!</v>
      </c>
      <c r="AG450" s="39" t="e">
        <f>Datasheet!AG382/AG$406-SUM(AG$428,AG436)</f>
        <v>#DIV/0!</v>
      </c>
      <c r="AH450" s="39" t="e">
        <f>Datasheet!AH382/AH$406-SUM(AH$428,AH436)</f>
        <v>#DIV/0!</v>
      </c>
      <c r="AI450" s="39" t="e">
        <f>Datasheet!AI382/AI$406-SUM(AI$428,AI436)</f>
        <v>#DIV/0!</v>
      </c>
      <c r="AJ450" s="39" t="e">
        <f>Datasheet!AJ382/AJ$406-SUM(AJ$428,AJ436)</f>
        <v>#DIV/0!</v>
      </c>
      <c r="AK450" s="39" t="e">
        <f>Datasheet!AK382/AK$406-SUM(AK$428,AK436)</f>
        <v>#DIV/0!</v>
      </c>
    </row>
    <row r="451" spans="3:37" s="4" customFormat="1" x14ac:dyDescent="0.25">
      <c r="D451"/>
      <c r="E451" t="s">
        <v>251</v>
      </c>
      <c r="F451"/>
      <c r="G451"/>
      <c r="H451" t="s">
        <v>195</v>
      </c>
      <c r="I451" s="39">
        <f>Datasheet!I383/I$406-SUM(I$428,I437)</f>
        <v>6634.1700372549622</v>
      </c>
      <c r="J451" s="39">
        <f>Datasheet!J383/J$406-SUM(J$428,J437)</f>
        <v>6892.9901191633671</v>
      </c>
      <c r="K451" s="39">
        <f>Datasheet!K383/K$406-SUM(K$428,K437)</f>
        <v>6999.9896169496278</v>
      </c>
      <c r="L451" s="39">
        <f>Datasheet!L383/L$406-SUM(L$428,L437)</f>
        <v>7231.6000970501264</v>
      </c>
      <c r="M451" s="39">
        <f>Datasheet!M383/M$406-SUM(M$428,M437)</f>
        <v>7429.1252617772207</v>
      </c>
      <c r="N451" s="39">
        <f>Datasheet!N383/N$406-SUM(N$428,N437)</f>
        <v>7921.5084421773154</v>
      </c>
      <c r="O451" s="39">
        <f>Datasheet!O383/O$406-SUM(O$428,O437)</f>
        <v>8646.9332354411363</v>
      </c>
      <c r="P451" s="39">
        <f>Datasheet!P383/P$406-SUM(P$428,P437)</f>
        <v>8335.319499680234</v>
      </c>
      <c r="Q451" s="39">
        <f>Datasheet!Q383/Q$406-SUM(Q$428,Q437)</f>
        <v>8616.5830743637616</v>
      </c>
      <c r="R451" s="39">
        <f>Datasheet!R383/R$406-SUM(R$428,R437)</f>
        <v>8510.8985491833137</v>
      </c>
      <c r="S451" s="39">
        <f>Datasheet!S383/S$406-SUM(S$428,S437)</f>
        <v>8755.8737443496884</v>
      </c>
      <c r="T451" s="39">
        <f>Datasheet!T383/T$406-SUM(T$428,T437)</f>
        <v>9062.5001438007985</v>
      </c>
      <c r="U451" s="39">
        <f>Datasheet!U383/U$406-SUM(U$428,U437)</f>
        <v>9942.3127385876978</v>
      </c>
      <c r="V451" s="39">
        <f>Datasheet!V383/V$406-SUM(V$428,V437)</f>
        <v>9436.4748752495034</v>
      </c>
      <c r="W451" s="39">
        <f>Datasheet!W383/W$406-SUM(W$428,W437)</f>
        <v>9887.0426079243043</v>
      </c>
      <c r="X451" s="39">
        <f>Datasheet!X383/X$406-SUM(X$428,X437)</f>
        <v>10551.295318753169</v>
      </c>
      <c r="Y451" s="39">
        <f>Datasheet!Y383/Y$406-SUM(Y$428,Y437)</f>
        <v>10619.994486650317</v>
      </c>
      <c r="Z451" s="39">
        <f>Datasheet!Z383/Z$406-SUM(Z$428,Z437)</f>
        <v>10724.981953372762</v>
      </c>
      <c r="AA451" s="39">
        <f>Datasheet!AA383/AA$406-SUM(AA$428,AA437)</f>
        <v>9558.7274277905617</v>
      </c>
      <c r="AB451" s="39">
        <f>Datasheet!AB383/AB$406-SUM(AB$428,AB437)</f>
        <v>10331.149208796092</v>
      </c>
      <c r="AC451" s="39">
        <f>Datasheet!AC383/AC$406-SUM(AC$428,AC437)</f>
        <v>11051.689253953995</v>
      </c>
      <c r="AD451" s="39" t="e">
        <f>Datasheet!AD383/AD$406-SUM(AD$428,AD437)</f>
        <v>#DIV/0!</v>
      </c>
      <c r="AE451" s="39" t="e">
        <f>Datasheet!AE383/AE$406-SUM(AE$428,AE437)</f>
        <v>#DIV/0!</v>
      </c>
      <c r="AF451" s="39" t="e">
        <f>Datasheet!AF383/AF$406-SUM(AF$428,AF437)</f>
        <v>#DIV/0!</v>
      </c>
      <c r="AG451" s="39" t="e">
        <f>Datasheet!AG383/AG$406-SUM(AG$428,AG437)</f>
        <v>#DIV/0!</v>
      </c>
      <c r="AH451" s="39" t="e">
        <f>Datasheet!AH383/AH$406-SUM(AH$428,AH437)</f>
        <v>#DIV/0!</v>
      </c>
      <c r="AI451" s="39" t="e">
        <f>Datasheet!AI383/AI$406-SUM(AI$428,AI437)</f>
        <v>#DIV/0!</v>
      </c>
      <c r="AJ451" s="39" t="e">
        <f>Datasheet!AJ383/AJ$406-SUM(AJ$428,AJ437)</f>
        <v>#DIV/0!</v>
      </c>
      <c r="AK451" s="39" t="e">
        <f>Datasheet!AK383/AK$406-SUM(AK$428,AK437)</f>
        <v>#DIV/0!</v>
      </c>
    </row>
    <row r="452" spans="3:37" s="4" customFormat="1" x14ac:dyDescent="0.25">
      <c r="D452"/>
      <c r="E452" t="s">
        <v>252</v>
      </c>
      <c r="F452"/>
      <c r="G452"/>
      <c r="H452" t="s">
        <v>195</v>
      </c>
      <c r="I452" s="39">
        <f>Datasheet!I384/I$406-SUM(I$428,I438)</f>
        <v>6380.1833557899208</v>
      </c>
      <c r="J452" s="39">
        <f>Datasheet!J384/J$406-SUM(J$428,J438)</f>
        <v>6689.0060194641846</v>
      </c>
      <c r="K452" s="39">
        <f>Datasheet!K384/K$406-SUM(K$428,K438)</f>
        <v>6813.0395678406076</v>
      </c>
      <c r="L452" s="39">
        <f>Datasheet!L384/L$406-SUM(L$428,L438)</f>
        <v>7109.8686324959926</v>
      </c>
      <c r="M452" s="39">
        <f>Datasheet!M384/M$406-SUM(M$428,M438)</f>
        <v>7249.7081597337037</v>
      </c>
      <c r="N452" s="39">
        <f>Datasheet!N384/N$406-SUM(N$428,N438)</f>
        <v>7800.2188197197156</v>
      </c>
      <c r="O452" s="39">
        <f>Datasheet!O384/O$406-SUM(O$428,O438)</f>
        <v>8480.9464821294659</v>
      </c>
      <c r="P452" s="39">
        <f>Datasheet!P384/P$406-SUM(P$428,P438)</f>
        <v>8285.6453061318498</v>
      </c>
      <c r="Q452" s="39">
        <f>Datasheet!Q384/Q$406-SUM(Q$428,Q438)</f>
        <v>8361.0530687552364</v>
      </c>
      <c r="R452" s="39">
        <f>Datasheet!R384/R$406-SUM(R$428,R438)</f>
        <v>8327.8462662069887</v>
      </c>
      <c r="S452" s="39">
        <f>Datasheet!S384/S$406-SUM(S$428,S438)</f>
        <v>8442.5377072697356</v>
      </c>
      <c r="T452" s="39">
        <f>Datasheet!T384/T$406-SUM(T$428,T438)</f>
        <v>8849.5319655467483</v>
      </c>
      <c r="U452" s="39">
        <f>Datasheet!U384/U$406-SUM(U$428,U438)</f>
        <v>9615.0794052543642</v>
      </c>
      <c r="V452" s="39">
        <f>Datasheet!V384/V$406-SUM(V$428,V438)</f>
        <v>9174.0113423153707</v>
      </c>
      <c r="W452" s="39">
        <f>Datasheet!W384/W$406-SUM(W$428,W438)</f>
        <v>9557.8371673565925</v>
      </c>
      <c r="X452" s="39">
        <f>Datasheet!X384/X$406-SUM(X$428,X438)</f>
        <v>10147.401062510567</v>
      </c>
      <c r="Y452" s="39">
        <f>Datasheet!Y384/Y$406-SUM(Y$428,Y438)</f>
        <v>10015.94615261909</v>
      </c>
      <c r="Z452" s="39">
        <f>Datasheet!Z384/Z$406-SUM(Z$428,Z438)</f>
        <v>10175.451379960572</v>
      </c>
      <c r="AA452" s="39">
        <f>Datasheet!AA384/AA$406-SUM(AA$428,AA438)</f>
        <v>9521.0749768969126</v>
      </c>
      <c r="AB452" s="39">
        <f>Datasheet!AB384/AB$406-SUM(AB$428,AB438)</f>
        <v>9877.156515339504</v>
      </c>
      <c r="AC452" s="39">
        <f>Datasheet!AC384/AC$406-SUM(AC$428,AC438)</f>
        <v>10657.224951928594</v>
      </c>
      <c r="AD452" s="39" t="e">
        <f>Datasheet!AD384/AD$406-SUM(AD$428,AD438)</f>
        <v>#DIV/0!</v>
      </c>
      <c r="AE452" s="39" t="e">
        <f>Datasheet!AE384/AE$406-SUM(AE$428,AE438)</f>
        <v>#DIV/0!</v>
      </c>
      <c r="AF452" s="39" t="e">
        <f>Datasheet!AF384/AF$406-SUM(AF$428,AF438)</f>
        <v>#DIV/0!</v>
      </c>
      <c r="AG452" s="39" t="e">
        <f>Datasheet!AG384/AG$406-SUM(AG$428,AG438)</f>
        <v>#DIV/0!</v>
      </c>
      <c r="AH452" s="39" t="e">
        <f>Datasheet!AH384/AH$406-SUM(AH$428,AH438)</f>
        <v>#DIV/0!</v>
      </c>
      <c r="AI452" s="39" t="e">
        <f>Datasheet!AI384/AI$406-SUM(AI$428,AI438)</f>
        <v>#DIV/0!</v>
      </c>
      <c r="AJ452" s="39" t="e">
        <f>Datasheet!AJ384/AJ$406-SUM(AJ$428,AJ438)</f>
        <v>#DIV/0!</v>
      </c>
      <c r="AK452" s="39" t="e">
        <f>Datasheet!AK384/AK$406-SUM(AK$428,AK438)</f>
        <v>#DIV/0!</v>
      </c>
    </row>
    <row r="453" spans="3:37" s="4" customFormat="1" x14ac:dyDescent="0.25">
      <c r="D453"/>
      <c r="E453" t="s">
        <v>253</v>
      </c>
      <c r="F453"/>
      <c r="G453"/>
      <c r="H453" t="s">
        <v>195</v>
      </c>
      <c r="I453" s="39">
        <f>Datasheet!I385/I$406-SUM(I$428,I439)</f>
        <v>5715.23441017394</v>
      </c>
      <c r="J453" s="39">
        <f>Datasheet!J385/J$406-SUM(J$428,J439)</f>
        <v>6022.5724139635404</v>
      </c>
      <c r="K453" s="39">
        <f>Datasheet!K385/K$406-SUM(K$428,K439)</f>
        <v>6266.6171600954131</v>
      </c>
      <c r="L453" s="39">
        <f>Datasheet!L385/L$406-SUM(L$428,L439)</f>
        <v>6627.8324756810416</v>
      </c>
      <c r="M453" s="39">
        <f>Datasheet!M385/M$406-SUM(M$428,M439)</f>
        <v>6631.4561261380441</v>
      </c>
      <c r="N453" s="39">
        <f>Datasheet!N385/N$406-SUM(N$428,N439)</f>
        <v>7322.8376383564046</v>
      </c>
      <c r="O453" s="39">
        <f>Datasheet!O385/O$406-SUM(O$428,O439)</f>
        <v>7944.5870719820032</v>
      </c>
      <c r="P453" s="39">
        <f>Datasheet!P385/P$406-SUM(P$428,P439)</f>
        <v>7634.9738007555043</v>
      </c>
      <c r="Q453" s="39">
        <f>Datasheet!Q385/Q$406-SUM(Q$428,Q439)</f>
        <v>7628.5219414417188</v>
      </c>
      <c r="R453" s="39">
        <f>Datasheet!R385/R$406-SUM(R$428,R439)</f>
        <v>7593.7991974358501</v>
      </c>
      <c r="S453" s="39">
        <f>Datasheet!S385/S$406-SUM(S$428,S439)</f>
        <v>7874.6034151287768</v>
      </c>
      <c r="T453" s="39">
        <f>Datasheet!T385/T$406-SUM(T$428,T439)</f>
        <v>8417.8713539419387</v>
      </c>
      <c r="U453" s="39">
        <f>Datasheet!U385/U$406-SUM(U$428,U439)</f>
        <v>9075.4249934896579</v>
      </c>
      <c r="V453" s="39">
        <f>Datasheet!V385/V$406-SUM(V$428,V439)</f>
        <v>8627.4654141716601</v>
      </c>
      <c r="W453" s="39">
        <f>Datasheet!W385/W$406-SUM(W$428,W439)</f>
        <v>8944.5481076286196</v>
      </c>
      <c r="X453" s="39">
        <f>Datasheet!X385/X$406-SUM(X$428,X439)</f>
        <v>9577.6248943126066</v>
      </c>
      <c r="Y453" s="39">
        <f>Datasheet!Y385/Y$406-SUM(Y$428,Y439)</f>
        <v>9412.5313652768637</v>
      </c>
      <c r="Z453" s="39">
        <f>Datasheet!Z385/Z$406-SUM(Z$428,Z439)</f>
        <v>9579.831734807578</v>
      </c>
      <c r="AA453" s="39">
        <f>Datasheet!AA385/AA$406-SUM(AA$428,AA439)</f>
        <v>9138.5033966456303</v>
      </c>
      <c r="AB453" s="39">
        <f>Datasheet!AB385/AB$406-SUM(AB$428,AB439)</f>
        <v>9385.969967762534</v>
      </c>
      <c r="AC453" s="39">
        <f>Datasheet!AC385/AC$406-SUM(AC$428,AC439)</f>
        <v>10051.381663681415</v>
      </c>
      <c r="AD453" s="39" t="e">
        <f>Datasheet!AD385/AD$406-SUM(AD$428,AD439)</f>
        <v>#DIV/0!</v>
      </c>
      <c r="AE453" s="39" t="e">
        <f>Datasheet!AE385/AE$406-SUM(AE$428,AE439)</f>
        <v>#DIV/0!</v>
      </c>
      <c r="AF453" s="39" t="e">
        <f>Datasheet!AF385/AF$406-SUM(AF$428,AF439)</f>
        <v>#DIV/0!</v>
      </c>
      <c r="AG453" s="39" t="e">
        <f>Datasheet!AG385/AG$406-SUM(AG$428,AG439)</f>
        <v>#DIV/0!</v>
      </c>
      <c r="AH453" s="39" t="e">
        <f>Datasheet!AH385/AH$406-SUM(AH$428,AH439)</f>
        <v>#DIV/0!</v>
      </c>
      <c r="AI453" s="39" t="e">
        <f>Datasheet!AI385/AI$406-SUM(AI$428,AI439)</f>
        <v>#DIV/0!</v>
      </c>
      <c r="AJ453" s="39" t="e">
        <f>Datasheet!AJ385/AJ$406-SUM(AJ$428,AJ439)</f>
        <v>#DIV/0!</v>
      </c>
      <c r="AK453" s="39" t="e">
        <f>Datasheet!AK385/AK$406-SUM(AK$428,AK439)</f>
        <v>#DIV/0!</v>
      </c>
    </row>
    <row r="454" spans="3:37" s="4" customFormat="1" x14ac:dyDescent="0.25">
      <c r="D454"/>
      <c r="E454" t="s">
        <v>254</v>
      </c>
      <c r="F454"/>
      <c r="G454"/>
      <c r="H454" t="s">
        <v>195</v>
      </c>
      <c r="I454" s="39">
        <f>Datasheet!I386/I$406-SUM(I$428,I440)</f>
        <v>5446.031302515783</v>
      </c>
      <c r="J454" s="39">
        <f>Datasheet!J386/J$406-SUM(J$428,J440)</f>
        <v>5752.3510989656879</v>
      </c>
      <c r="K454" s="39">
        <f>Datasheet!K386/K$406-SUM(K$428,K440)</f>
        <v>5865.9612740283446</v>
      </c>
      <c r="L454" s="39">
        <f>Datasheet!L386/L$406-SUM(L$428,L440)</f>
        <v>6225.6705825264617</v>
      </c>
      <c r="M454" s="39">
        <f>Datasheet!M386/M$406-SUM(M$428,M440)</f>
        <v>6284.5882602561578</v>
      </c>
      <c r="N454" s="39">
        <f>Datasheet!N386/N$406-SUM(N$428,N440)</f>
        <v>6902.5821311759501</v>
      </c>
      <c r="O454" s="39">
        <f>Datasheet!O386/O$406-SUM(O$428,O440)</f>
        <v>7474.3491314671319</v>
      </c>
      <c r="P454" s="39">
        <f>Datasheet!P386/P$406-SUM(P$428,P440)</f>
        <v>7016.1348222608813</v>
      </c>
      <c r="Q454" s="39">
        <f>Datasheet!Q386/Q$406-SUM(Q$428,Q440)</f>
        <v>6858.4187445824919</v>
      </c>
      <c r="R454" s="39">
        <f>Datasheet!R386/R$406-SUM(R$428,R440)</f>
        <v>6741.9690114155565</v>
      </c>
      <c r="S454" s="39">
        <f>Datasheet!S386/S$406-SUM(S$428,S440)</f>
        <v>7208.9583329939524</v>
      </c>
      <c r="T454" s="39">
        <f>Datasheet!T386/T$406-SUM(T$428,T440)</f>
        <v>7501.7923549874158</v>
      </c>
      <c r="U454" s="39">
        <f>Datasheet!U386/U$406-SUM(U$428,U440)</f>
        <v>8077.1352876073042</v>
      </c>
      <c r="V454" s="39">
        <f>Datasheet!V386/V$406-SUM(V$428,V440)</f>
        <v>7685.453198602796</v>
      </c>
      <c r="W454" s="39">
        <f>Datasheet!W386/W$406-SUM(W$428,W440)</f>
        <v>8014.2323181549364</v>
      </c>
      <c r="X454" s="39">
        <f>Datasheet!X386/X$406-SUM(X$428,X440)</f>
        <v>8695.5860013527981</v>
      </c>
      <c r="Y454" s="39">
        <f>Datasheet!Y386/Y$406-SUM(Y$428,Y440)</f>
        <v>8506.553079699308</v>
      </c>
      <c r="Z454" s="39">
        <f>Datasheet!Z386/Z$406-SUM(Z$428,Z440)</f>
        <v>8559.6471629382013</v>
      </c>
      <c r="AA454" s="39">
        <f>Datasheet!AA386/AA$406-SUM(AA$428,AA440)</f>
        <v>8492.6964598202885</v>
      </c>
      <c r="AB454" s="39">
        <f>Datasheet!AB386/AB$406-SUM(AB$428,AB440)</f>
        <v>8547.1477055716477</v>
      </c>
      <c r="AC454" s="39">
        <f>Datasheet!AC386/AC$406-SUM(AC$428,AC440)</f>
        <v>9125.9644652197312</v>
      </c>
      <c r="AD454" s="39" t="e">
        <f>Datasheet!AD386/AD$406-SUM(AD$428,AD440)</f>
        <v>#DIV/0!</v>
      </c>
      <c r="AE454" s="39" t="e">
        <f>Datasheet!AE386/AE$406-SUM(AE$428,AE440)</f>
        <v>#DIV/0!</v>
      </c>
      <c r="AF454" s="39" t="e">
        <f>Datasheet!AF386/AF$406-SUM(AF$428,AF440)</f>
        <v>#DIV/0!</v>
      </c>
      <c r="AG454" s="39" t="e">
        <f>Datasheet!AG386/AG$406-SUM(AG$428,AG440)</f>
        <v>#DIV/0!</v>
      </c>
      <c r="AH454" s="39" t="e">
        <f>Datasheet!AH386/AH$406-SUM(AH$428,AH440)</f>
        <v>#DIV/0!</v>
      </c>
      <c r="AI454" s="39" t="e">
        <f>Datasheet!AI386/AI$406-SUM(AI$428,AI440)</f>
        <v>#DIV/0!</v>
      </c>
      <c r="AJ454" s="39" t="e">
        <f>Datasheet!AJ386/AJ$406-SUM(AJ$428,AJ440)</f>
        <v>#DIV/0!</v>
      </c>
      <c r="AK454" s="39" t="e">
        <f>Datasheet!AK386/AK$406-SUM(AK$428,AK440)</f>
        <v>#DIV/0!</v>
      </c>
    </row>
    <row r="455" spans="3:37" s="4" customFormat="1" x14ac:dyDescent="0.25">
      <c r="D455"/>
      <c r="E455" t="s">
        <v>255</v>
      </c>
      <c r="F455"/>
      <c r="G455"/>
      <c r="H455" t="s">
        <v>195</v>
      </c>
      <c r="I455" s="39">
        <f>Datasheet!I387/I$406-SUM(I$428,I441)</f>
        <v>5801.520758675606</v>
      </c>
      <c r="J455" s="39">
        <f>Datasheet!J387/J$406-SUM(J$428,J441)</f>
        <v>6105.9823838818902</v>
      </c>
      <c r="K455" s="39">
        <f>Datasheet!K387/K$406-SUM(K$428,K441)</f>
        <v>6237.569384032553</v>
      </c>
      <c r="L455" s="39">
        <f>Datasheet!L387/L$406-SUM(L$428,L441)</f>
        <v>6660.1270115331645</v>
      </c>
      <c r="M455" s="39">
        <f>Datasheet!M387/M$406-SUM(M$428,M441)</f>
        <v>6774.5685525648678</v>
      </c>
      <c r="N455" s="39">
        <f>Datasheet!N387/N$406-SUM(N$428,N441)</f>
        <v>7487.549705417292</v>
      </c>
      <c r="O455" s="39">
        <f>Datasheet!O387/O$406-SUM(O$428,O441)</f>
        <v>8015.9579792551849</v>
      </c>
      <c r="P455" s="39">
        <f>Datasheet!P387/P$406-SUM(P$428,P441)</f>
        <v>7698.0912738737843</v>
      </c>
      <c r="Q455" s="39">
        <f>Datasheet!Q387/Q$406-SUM(Q$428,Q441)</f>
        <v>7645.0059571455877</v>
      </c>
      <c r="R455" s="39">
        <f>Datasheet!R387/R$406-SUM(R$428,R441)</f>
        <v>7530.9816946173614</v>
      </c>
      <c r="S455" s="39">
        <f>Datasheet!S387/S$406-SUM(S$428,S441)</f>
        <v>7856.1219891864403</v>
      </c>
      <c r="T455" s="39">
        <f>Datasheet!T387/T$406-SUM(T$428,T441)</f>
        <v>8201.9540120705315</v>
      </c>
      <c r="U455" s="39">
        <f>Datasheet!U387/U$406-SUM(U$428,U441)</f>
        <v>8987.6578366269132</v>
      </c>
      <c r="V455" s="39">
        <f>Datasheet!V387/V$406-SUM(V$428,V441)</f>
        <v>8366.5053542914193</v>
      </c>
      <c r="W455" s="39">
        <f>Datasheet!W387/W$406-SUM(W$428,W441)</f>
        <v>8756.5076581904177</v>
      </c>
      <c r="X455" s="39">
        <f>Datasheet!X387/X$406-SUM(X$428,X441)</f>
        <v>9347.2289188884479</v>
      </c>
      <c r="Y455" s="39">
        <f>Datasheet!Y387/Y$406-SUM(Y$428,Y441)</f>
        <v>9295.2841917409423</v>
      </c>
      <c r="Z455" s="39">
        <f>Datasheet!Z387/Z$406-SUM(Z$428,Z441)</f>
        <v>9403.0502999914297</v>
      </c>
      <c r="AA455" s="39">
        <f>Datasheet!AA387/AA$406-SUM(AA$428,AA441)</f>
        <v>9424.9323472738379</v>
      </c>
      <c r="AB455" s="39">
        <f>Datasheet!AB387/AB$406-SUM(AB$428,AB441)</f>
        <v>9580.9430377914559</v>
      </c>
      <c r="AC455" s="39">
        <f>Datasheet!AC387/AC$406-SUM(AC$428,AC441)</f>
        <v>10354.899421024096</v>
      </c>
      <c r="AD455" s="39" t="e">
        <f>Datasheet!AD387/AD$406-SUM(AD$428,AD441)</f>
        <v>#DIV/0!</v>
      </c>
      <c r="AE455" s="39" t="e">
        <f>Datasheet!AE387/AE$406-SUM(AE$428,AE441)</f>
        <v>#DIV/0!</v>
      </c>
      <c r="AF455" s="39" t="e">
        <f>Datasheet!AF387/AF$406-SUM(AF$428,AF441)</f>
        <v>#DIV/0!</v>
      </c>
      <c r="AG455" s="39" t="e">
        <f>Datasheet!AG387/AG$406-SUM(AG$428,AG441)</f>
        <v>#DIV/0!</v>
      </c>
      <c r="AH455" s="39" t="e">
        <f>Datasheet!AH387/AH$406-SUM(AH$428,AH441)</f>
        <v>#DIV/0!</v>
      </c>
      <c r="AI455" s="39" t="e">
        <f>Datasheet!AI387/AI$406-SUM(AI$428,AI441)</f>
        <v>#DIV/0!</v>
      </c>
      <c r="AJ455" s="39" t="e">
        <f>Datasheet!AJ387/AJ$406-SUM(AJ$428,AJ441)</f>
        <v>#DIV/0!</v>
      </c>
      <c r="AK455" s="39" t="e">
        <f>Datasheet!AK387/AK$406-SUM(AK$428,AK441)</f>
        <v>#DIV/0!</v>
      </c>
    </row>
    <row r="456" spans="3:37" s="8" customFormat="1" x14ac:dyDescent="0.25">
      <c r="C456" s="8" t="s">
        <v>862</v>
      </c>
      <c r="I456" s="173">
        <f t="shared" ref="I456:AK456" si="38">SUM(I$428,I429,I442)/SUM(I$428,I429,I442,I443)</f>
        <v>0.68431269725075916</v>
      </c>
      <c r="J456" s="173">
        <f t="shared" si="38"/>
        <v>0.66848706070421648</v>
      </c>
      <c r="K456" s="173">
        <f t="shared" si="38"/>
        <v>0.66751916762689811</v>
      </c>
      <c r="L456" s="173">
        <f t="shared" si="38"/>
        <v>0.65979459423559561</v>
      </c>
      <c r="M456" s="173">
        <f t="shared" si="38"/>
        <v>0.65954266551171603</v>
      </c>
      <c r="N456" s="173">
        <f t="shared" si="38"/>
        <v>0.64251197151464401</v>
      </c>
      <c r="O456" s="173">
        <f t="shared" si="38"/>
        <v>0.62304375163940751</v>
      </c>
      <c r="P456" s="173">
        <f t="shared" si="38"/>
        <v>0.60434262279761386</v>
      </c>
      <c r="Q456" s="173">
        <f t="shared" si="38"/>
        <v>0.59929764089770898</v>
      </c>
      <c r="R456" s="173">
        <f t="shared" si="38"/>
        <v>0.60401186816582397</v>
      </c>
      <c r="S456" s="173">
        <f t="shared" si="38"/>
        <v>0.59522688462954088</v>
      </c>
      <c r="T456" s="173">
        <f t="shared" si="38"/>
        <v>0.59357063313718583</v>
      </c>
      <c r="U456" s="173">
        <f t="shared" si="38"/>
        <v>0.57753170099086393</v>
      </c>
      <c r="V456" s="173">
        <f t="shared" si="38"/>
        <v>0.59749712318735504</v>
      </c>
      <c r="W456" s="173">
        <f t="shared" si="38"/>
        <v>0.59921132808610156</v>
      </c>
      <c r="X456" s="173">
        <f t="shared" si="38"/>
        <v>0.58799380783798172</v>
      </c>
      <c r="Y456" s="173">
        <f t="shared" si="38"/>
        <v>0.58253490174830713</v>
      </c>
      <c r="Z456" s="173">
        <f t="shared" si="38"/>
        <v>0.59147408507879828</v>
      </c>
      <c r="AA456" s="173">
        <f t="shared" si="38"/>
        <v>0.58400655634539367</v>
      </c>
      <c r="AB456" s="173">
        <f t="shared" si="38"/>
        <v>0.59586108165680485</v>
      </c>
      <c r="AC456" s="173">
        <f t="shared" si="38"/>
        <v>0.58892099754002447</v>
      </c>
      <c r="AD456" s="173" t="e">
        <f t="shared" si="38"/>
        <v>#DIV/0!</v>
      </c>
      <c r="AE456" s="173" t="e">
        <f t="shared" si="38"/>
        <v>#DIV/0!</v>
      </c>
      <c r="AF456" s="173" t="e">
        <f t="shared" si="38"/>
        <v>#DIV/0!</v>
      </c>
      <c r="AG456" s="173" t="e">
        <f t="shared" si="38"/>
        <v>#DIV/0!</v>
      </c>
      <c r="AH456" s="173" t="e">
        <f t="shared" si="38"/>
        <v>#DIV/0!</v>
      </c>
      <c r="AI456" s="173" t="e">
        <f t="shared" si="38"/>
        <v>#DIV/0!</v>
      </c>
      <c r="AJ456" s="173" t="e">
        <f t="shared" si="38"/>
        <v>#DIV/0!</v>
      </c>
      <c r="AK456" s="173" t="e">
        <f t="shared" si="38"/>
        <v>#DIV/0!</v>
      </c>
    </row>
    <row r="457" spans="3:37" s="4" customFormat="1" x14ac:dyDescent="0.25">
      <c r="E457" t="s">
        <v>244</v>
      </c>
      <c r="I457" s="102">
        <f t="shared" ref="I457:AK457" si="39">SUM(I$428,I430,I$442)/SUM(I$428,I430,I$442,I444)</f>
        <v>0.67542320268074141</v>
      </c>
      <c r="J457" s="102">
        <f t="shared" si="39"/>
        <v>0.66769960511106075</v>
      </c>
      <c r="K457" s="102">
        <f t="shared" si="39"/>
        <v>0.6650134773843972</v>
      </c>
      <c r="L457" s="102">
        <f t="shared" si="39"/>
        <v>0.65405418146315097</v>
      </c>
      <c r="M457" s="102">
        <f t="shared" si="39"/>
        <v>0.65509768333713714</v>
      </c>
      <c r="N457" s="102">
        <f t="shared" si="39"/>
        <v>0.63486530429725585</v>
      </c>
      <c r="O457" s="102">
        <f t="shared" si="39"/>
        <v>0.62688516407401873</v>
      </c>
      <c r="P457" s="102">
        <f t="shared" si="39"/>
        <v>0.59874377411782653</v>
      </c>
      <c r="Q457" s="102">
        <f t="shared" si="39"/>
        <v>0.60131508743245521</v>
      </c>
      <c r="R457" s="102">
        <f t="shared" si="39"/>
        <v>0.60546266236749424</v>
      </c>
      <c r="S457" s="102">
        <f t="shared" si="39"/>
        <v>0.59381319478428585</v>
      </c>
      <c r="T457" s="102">
        <f t="shared" si="39"/>
        <v>0.59257922538904639</v>
      </c>
      <c r="U457" s="102">
        <f t="shared" si="39"/>
        <v>0.57813783935495722</v>
      </c>
      <c r="V457" s="102">
        <f t="shared" si="39"/>
        <v>0.59433333813579192</v>
      </c>
      <c r="W457" s="102">
        <f t="shared" si="39"/>
        <v>0.59287946758351062</v>
      </c>
      <c r="X457" s="102">
        <f t="shared" si="39"/>
        <v>0.59021152402141819</v>
      </c>
      <c r="Y457" s="102">
        <f t="shared" si="39"/>
        <v>0.58525187776163112</v>
      </c>
      <c r="Z457" s="102">
        <f t="shared" si="39"/>
        <v>0.59541623994436021</v>
      </c>
      <c r="AA457" s="102">
        <f t="shared" si="39"/>
        <v>0.58274120924547723</v>
      </c>
      <c r="AB457" s="102">
        <f t="shared" si="39"/>
        <v>0.60431026522839404</v>
      </c>
      <c r="AC457" s="102">
        <f t="shared" si="39"/>
        <v>0.58739903449362385</v>
      </c>
      <c r="AD457" s="102" t="e">
        <f t="shared" si="39"/>
        <v>#DIV/0!</v>
      </c>
      <c r="AE457" s="102" t="e">
        <f t="shared" si="39"/>
        <v>#DIV/0!</v>
      </c>
      <c r="AF457" s="102" t="e">
        <f t="shared" si="39"/>
        <v>#DIV/0!</v>
      </c>
      <c r="AG457" s="102" t="e">
        <f t="shared" si="39"/>
        <v>#DIV/0!</v>
      </c>
      <c r="AH457" s="102" t="e">
        <f t="shared" si="39"/>
        <v>#DIV/0!</v>
      </c>
      <c r="AI457" s="102" t="e">
        <f t="shared" si="39"/>
        <v>#DIV/0!</v>
      </c>
      <c r="AJ457" s="102" t="e">
        <f t="shared" si="39"/>
        <v>#DIV/0!</v>
      </c>
      <c r="AK457" s="102" t="e">
        <f t="shared" si="39"/>
        <v>#DIV/0!</v>
      </c>
    </row>
    <row r="458" spans="3:37" s="4" customFormat="1" x14ac:dyDescent="0.25">
      <c r="E458" t="s">
        <v>245</v>
      </c>
      <c r="I458" s="102">
        <f t="shared" ref="I458:AK458" si="40">SUM(I$428,I431,I$442)/SUM(I$428,I431,I$442,I445)</f>
        <v>0.68502956107524426</v>
      </c>
      <c r="J458" s="102">
        <f t="shared" si="40"/>
        <v>0.6683669103668366</v>
      </c>
      <c r="K458" s="102">
        <f t="shared" si="40"/>
        <v>0.66458251615939401</v>
      </c>
      <c r="L458" s="102">
        <f t="shared" si="40"/>
        <v>0.65462674178173419</v>
      </c>
      <c r="M458" s="102">
        <f t="shared" si="40"/>
        <v>0.65252922515874845</v>
      </c>
      <c r="N458" s="102">
        <f t="shared" si="40"/>
        <v>0.63158258928255595</v>
      </c>
      <c r="O458" s="102">
        <f t="shared" si="40"/>
        <v>0.6246354223584879</v>
      </c>
      <c r="P458" s="102">
        <f t="shared" si="40"/>
        <v>0.59853370274592854</v>
      </c>
      <c r="Q458" s="102">
        <f t="shared" si="40"/>
        <v>0.60429161602067194</v>
      </c>
      <c r="R458" s="102">
        <f t="shared" si="40"/>
        <v>0.60879910608418808</v>
      </c>
      <c r="S458" s="102">
        <f t="shared" si="40"/>
        <v>0.59589422949982596</v>
      </c>
      <c r="T458" s="102">
        <f t="shared" si="40"/>
        <v>0.59298654494966219</v>
      </c>
      <c r="U458" s="102">
        <f t="shared" si="40"/>
        <v>0.57916211809542095</v>
      </c>
      <c r="V458" s="102">
        <f t="shared" si="40"/>
        <v>0.5944760536624264</v>
      </c>
      <c r="W458" s="102">
        <f t="shared" si="40"/>
        <v>0.59605912478326895</v>
      </c>
      <c r="X458" s="102">
        <f t="shared" si="40"/>
        <v>0.5910557452055597</v>
      </c>
      <c r="Y458" s="102">
        <f t="shared" si="40"/>
        <v>0.58962788218320217</v>
      </c>
      <c r="Z458" s="102">
        <f t="shared" si="40"/>
        <v>0.59686579273968154</v>
      </c>
      <c r="AA458" s="102">
        <f t="shared" si="40"/>
        <v>0.58463309173599842</v>
      </c>
      <c r="AB458" s="102">
        <f t="shared" si="40"/>
        <v>0.60130034525128839</v>
      </c>
      <c r="AC458" s="102">
        <f t="shared" si="40"/>
        <v>0.58639255579898508</v>
      </c>
      <c r="AD458" s="102" t="e">
        <f t="shared" si="40"/>
        <v>#DIV/0!</v>
      </c>
      <c r="AE458" s="102" t="e">
        <f t="shared" si="40"/>
        <v>#DIV/0!</v>
      </c>
      <c r="AF458" s="102" t="e">
        <f t="shared" si="40"/>
        <v>#DIV/0!</v>
      </c>
      <c r="AG458" s="102" t="e">
        <f t="shared" si="40"/>
        <v>#DIV/0!</v>
      </c>
      <c r="AH458" s="102" t="e">
        <f t="shared" si="40"/>
        <v>#DIV/0!</v>
      </c>
      <c r="AI458" s="102" t="e">
        <f t="shared" si="40"/>
        <v>#DIV/0!</v>
      </c>
      <c r="AJ458" s="102" t="e">
        <f t="shared" si="40"/>
        <v>#DIV/0!</v>
      </c>
      <c r="AK458" s="102" t="e">
        <f t="shared" si="40"/>
        <v>#DIV/0!</v>
      </c>
    </row>
    <row r="459" spans="3:37" s="4" customFormat="1" x14ac:dyDescent="0.25">
      <c r="E459" t="s">
        <v>246</v>
      </c>
      <c r="I459" s="102">
        <f t="shared" ref="I459:AK459" si="41">SUM(I$428,I432,I$442)/SUM(I$428,I432,I$442,I446)</f>
        <v>0.68066347616265122</v>
      </c>
      <c r="J459" s="102">
        <f t="shared" si="41"/>
        <v>0.66614576405861237</v>
      </c>
      <c r="K459" s="102">
        <f t="shared" si="41"/>
        <v>0.65813065178335939</v>
      </c>
      <c r="L459" s="102">
        <f t="shared" si="41"/>
        <v>0.65167680755925961</v>
      </c>
      <c r="M459" s="102">
        <f t="shared" si="41"/>
        <v>0.65123450729190901</v>
      </c>
      <c r="N459" s="102">
        <f t="shared" si="41"/>
        <v>0.62946985674577005</v>
      </c>
      <c r="O459" s="102">
        <f t="shared" si="41"/>
        <v>0.62128437985939855</v>
      </c>
      <c r="P459" s="102">
        <f t="shared" si="41"/>
        <v>0.59337594105007763</v>
      </c>
      <c r="Q459" s="102">
        <f t="shared" si="41"/>
        <v>0.6034762634473777</v>
      </c>
      <c r="R459" s="102">
        <f t="shared" si="41"/>
        <v>0.60991004157183104</v>
      </c>
      <c r="S459" s="102">
        <f t="shared" si="41"/>
        <v>0.59276361168762337</v>
      </c>
      <c r="T459" s="102">
        <f t="shared" si="41"/>
        <v>0.5910468792560597</v>
      </c>
      <c r="U459" s="102">
        <f t="shared" si="41"/>
        <v>0.57959399519974797</v>
      </c>
      <c r="V459" s="102">
        <f t="shared" si="41"/>
        <v>0.59563606968425564</v>
      </c>
      <c r="W459" s="102">
        <f t="shared" si="41"/>
        <v>0.59642997176772139</v>
      </c>
      <c r="X459" s="102">
        <f t="shared" si="41"/>
        <v>0.58911727479190079</v>
      </c>
      <c r="Y459" s="102">
        <f t="shared" si="41"/>
        <v>0.58570450841242327</v>
      </c>
      <c r="Z459" s="102">
        <f t="shared" si="41"/>
        <v>0.5949506973310833</v>
      </c>
      <c r="AA459" s="102">
        <f t="shared" si="41"/>
        <v>0.57216020952052238</v>
      </c>
      <c r="AB459" s="102">
        <f t="shared" si="41"/>
        <v>0.59980468701770551</v>
      </c>
      <c r="AC459" s="102">
        <f t="shared" si="41"/>
        <v>0.58830508982647745</v>
      </c>
      <c r="AD459" s="102" t="e">
        <f t="shared" si="41"/>
        <v>#DIV/0!</v>
      </c>
      <c r="AE459" s="102" t="e">
        <f t="shared" si="41"/>
        <v>#DIV/0!</v>
      </c>
      <c r="AF459" s="102" t="e">
        <f t="shared" si="41"/>
        <v>#DIV/0!</v>
      </c>
      <c r="AG459" s="102" t="e">
        <f t="shared" si="41"/>
        <v>#DIV/0!</v>
      </c>
      <c r="AH459" s="102" t="e">
        <f t="shared" si="41"/>
        <v>#DIV/0!</v>
      </c>
      <c r="AI459" s="102" t="e">
        <f t="shared" si="41"/>
        <v>#DIV/0!</v>
      </c>
      <c r="AJ459" s="102" t="e">
        <f t="shared" si="41"/>
        <v>#DIV/0!</v>
      </c>
      <c r="AK459" s="102" t="e">
        <f t="shared" si="41"/>
        <v>#DIV/0!</v>
      </c>
    </row>
    <row r="460" spans="3:37" s="4" customFormat="1" x14ac:dyDescent="0.25">
      <c r="E460" t="s">
        <v>247</v>
      </c>
      <c r="I460" s="102">
        <f t="shared" ref="I460:AK460" si="42">SUM(I$428,I433,I$442)/SUM(I$428,I433,I$442,I447)</f>
        <v>0.67085557662443884</v>
      </c>
      <c r="J460" s="102">
        <f t="shared" si="42"/>
        <v>0.65092589325317118</v>
      </c>
      <c r="K460" s="102">
        <f t="shared" si="42"/>
        <v>0.65754394850334663</v>
      </c>
      <c r="L460" s="102">
        <f t="shared" si="42"/>
        <v>0.64687877111598746</v>
      </c>
      <c r="M460" s="102">
        <f t="shared" si="42"/>
        <v>0.64306468325418753</v>
      </c>
      <c r="N460" s="102">
        <f t="shared" si="42"/>
        <v>0.63559157008799039</v>
      </c>
      <c r="O460" s="102">
        <f t="shared" si="42"/>
        <v>0.61679987968581684</v>
      </c>
      <c r="P460" s="102">
        <f t="shared" si="42"/>
        <v>0.5911916393819947</v>
      </c>
      <c r="Q460" s="102">
        <f t="shared" si="42"/>
        <v>0.59635992599769228</v>
      </c>
      <c r="R460" s="102">
        <f t="shared" si="42"/>
        <v>0.59638787706326735</v>
      </c>
      <c r="S460" s="102">
        <f t="shared" si="42"/>
        <v>0.58560881155227729</v>
      </c>
      <c r="T460" s="102">
        <f t="shared" si="42"/>
        <v>0.58300066806543749</v>
      </c>
      <c r="U460" s="102">
        <f t="shared" si="42"/>
        <v>0.56590322691623096</v>
      </c>
      <c r="V460" s="102">
        <f t="shared" si="42"/>
        <v>0.58551608017557122</v>
      </c>
      <c r="W460" s="102">
        <f t="shared" si="42"/>
        <v>0.58523869713157362</v>
      </c>
      <c r="X460" s="102">
        <f t="shared" si="42"/>
        <v>0.57622761999124239</v>
      </c>
      <c r="Y460" s="102">
        <f t="shared" si="42"/>
        <v>0.57267265588231397</v>
      </c>
      <c r="Z460" s="102">
        <f t="shared" si="42"/>
        <v>0.57932366195475427</v>
      </c>
      <c r="AA460" s="102">
        <f t="shared" si="42"/>
        <v>0.57029477427493769</v>
      </c>
      <c r="AB460" s="102">
        <f t="shared" si="42"/>
        <v>0.58887999532311475</v>
      </c>
      <c r="AC460" s="102">
        <f t="shared" si="42"/>
        <v>0.57757764645752874</v>
      </c>
      <c r="AD460" s="102" t="e">
        <f t="shared" si="42"/>
        <v>#DIV/0!</v>
      </c>
      <c r="AE460" s="102" t="e">
        <f t="shared" si="42"/>
        <v>#DIV/0!</v>
      </c>
      <c r="AF460" s="102" t="e">
        <f t="shared" si="42"/>
        <v>#DIV/0!</v>
      </c>
      <c r="AG460" s="102" t="e">
        <f t="shared" si="42"/>
        <v>#DIV/0!</v>
      </c>
      <c r="AH460" s="102" t="e">
        <f t="shared" si="42"/>
        <v>#DIV/0!</v>
      </c>
      <c r="AI460" s="102" t="e">
        <f t="shared" si="42"/>
        <v>#DIV/0!</v>
      </c>
      <c r="AJ460" s="102" t="e">
        <f t="shared" si="42"/>
        <v>#DIV/0!</v>
      </c>
      <c r="AK460" s="102" t="e">
        <f t="shared" si="42"/>
        <v>#DIV/0!</v>
      </c>
    </row>
    <row r="461" spans="3:37" s="4" customFormat="1" x14ac:dyDescent="0.25">
      <c r="E461" t="s">
        <v>248</v>
      </c>
      <c r="I461" s="102">
        <f t="shared" ref="I461:AK461" si="43">SUM(I$428,I434,I$442)/SUM(I$428,I434,I$442,I448)</f>
        <v>0.66837539277119784</v>
      </c>
      <c r="J461" s="102">
        <f t="shared" si="43"/>
        <v>0.65109802658890714</v>
      </c>
      <c r="K461" s="102">
        <f t="shared" si="43"/>
        <v>0.65258605245209256</v>
      </c>
      <c r="L461" s="102">
        <f t="shared" si="43"/>
        <v>0.64350592018427244</v>
      </c>
      <c r="M461" s="102">
        <f t="shared" si="43"/>
        <v>0.64608470057815326</v>
      </c>
      <c r="N461" s="102">
        <f t="shared" si="43"/>
        <v>0.6360673597342742</v>
      </c>
      <c r="O461" s="102">
        <f t="shared" si="43"/>
        <v>0.61736282209687676</v>
      </c>
      <c r="P461" s="102">
        <f t="shared" si="43"/>
        <v>0.59028760708633421</v>
      </c>
      <c r="Q461" s="102">
        <f t="shared" si="43"/>
        <v>0.59192035874610527</v>
      </c>
      <c r="R461" s="102">
        <f t="shared" si="43"/>
        <v>0.59512779112012848</v>
      </c>
      <c r="S461" s="102">
        <f t="shared" si="43"/>
        <v>0.58546519383009343</v>
      </c>
      <c r="T461" s="102">
        <f t="shared" si="43"/>
        <v>0.58244542021997825</v>
      </c>
      <c r="U461" s="102">
        <f t="shared" si="43"/>
        <v>0.56269973999660172</v>
      </c>
      <c r="V461" s="102">
        <f t="shared" si="43"/>
        <v>0.58888294636697824</v>
      </c>
      <c r="W461" s="102">
        <f t="shared" si="43"/>
        <v>0.58722235799918376</v>
      </c>
      <c r="X461" s="102">
        <f t="shared" si="43"/>
        <v>0.57571111607035874</v>
      </c>
      <c r="Y461" s="102">
        <f t="shared" si="43"/>
        <v>0.5717977968017407</v>
      </c>
      <c r="Z461" s="102">
        <f t="shared" si="43"/>
        <v>0.57787383206308862</v>
      </c>
      <c r="AA461" s="102">
        <f t="shared" si="43"/>
        <v>0.56358085356611798</v>
      </c>
      <c r="AB461" s="102">
        <f t="shared" si="43"/>
        <v>0.58600483069822873</v>
      </c>
      <c r="AC461" s="102">
        <f t="shared" si="43"/>
        <v>0.57681115152162776</v>
      </c>
      <c r="AD461" s="102" t="e">
        <f t="shared" si="43"/>
        <v>#DIV/0!</v>
      </c>
      <c r="AE461" s="102" t="e">
        <f t="shared" si="43"/>
        <v>#DIV/0!</v>
      </c>
      <c r="AF461" s="102" t="e">
        <f t="shared" si="43"/>
        <v>#DIV/0!</v>
      </c>
      <c r="AG461" s="102" t="e">
        <f t="shared" si="43"/>
        <v>#DIV/0!</v>
      </c>
      <c r="AH461" s="102" t="e">
        <f t="shared" si="43"/>
        <v>#DIV/0!</v>
      </c>
      <c r="AI461" s="102" t="e">
        <f t="shared" si="43"/>
        <v>#DIV/0!</v>
      </c>
      <c r="AJ461" s="102" t="e">
        <f t="shared" si="43"/>
        <v>#DIV/0!</v>
      </c>
      <c r="AK461" s="102" t="e">
        <f t="shared" si="43"/>
        <v>#DIV/0!</v>
      </c>
    </row>
    <row r="462" spans="3:37" s="4" customFormat="1" x14ac:dyDescent="0.25">
      <c r="E462" t="s">
        <v>249</v>
      </c>
      <c r="I462" s="102">
        <f t="shared" ref="I462:AK462" si="44">SUM(I$428,I435,I$442)/SUM(I$428,I435,I$442,I449)</f>
        <v>0.68410124293645946</v>
      </c>
      <c r="J462" s="102">
        <f t="shared" si="44"/>
        <v>0.66703862195309527</v>
      </c>
      <c r="K462" s="102">
        <f t="shared" si="44"/>
        <v>0.6684103318445328</v>
      </c>
      <c r="L462" s="102">
        <f t="shared" si="44"/>
        <v>0.65988903449912628</v>
      </c>
      <c r="M462" s="102">
        <f t="shared" si="44"/>
        <v>0.65831991526226119</v>
      </c>
      <c r="N462" s="102">
        <f t="shared" si="44"/>
        <v>0.64973762276662683</v>
      </c>
      <c r="O462" s="102">
        <f t="shared" si="44"/>
        <v>0.63166213737197818</v>
      </c>
      <c r="P462" s="102">
        <f t="shared" si="44"/>
        <v>0.60826184904290137</v>
      </c>
      <c r="Q462" s="102">
        <f t="shared" si="44"/>
        <v>0.59992126242811294</v>
      </c>
      <c r="R462" s="102">
        <f t="shared" si="44"/>
        <v>0.60482827070902012</v>
      </c>
      <c r="S462" s="102">
        <f t="shared" si="44"/>
        <v>0.59684428506826492</v>
      </c>
      <c r="T462" s="102">
        <f t="shared" si="44"/>
        <v>0.59981381108385079</v>
      </c>
      <c r="U462" s="102">
        <f t="shared" si="44"/>
        <v>0.58220795897636723</v>
      </c>
      <c r="V462" s="102">
        <f t="shared" si="44"/>
        <v>0.6039517151849314</v>
      </c>
      <c r="W462" s="102">
        <f t="shared" si="44"/>
        <v>0.60376502116979347</v>
      </c>
      <c r="X462" s="102">
        <f t="shared" si="44"/>
        <v>0.59164540443702973</v>
      </c>
      <c r="Y462" s="102">
        <f t="shared" si="44"/>
        <v>0.58465723881957821</v>
      </c>
      <c r="Z462" s="102">
        <f t="shared" si="44"/>
        <v>0.59207341730380048</v>
      </c>
      <c r="AA462" s="102">
        <f t="shared" si="44"/>
        <v>0.58707953192802997</v>
      </c>
      <c r="AB462" s="102">
        <f t="shared" si="44"/>
        <v>0.59245417297583958</v>
      </c>
      <c r="AC462" s="102">
        <f t="shared" si="44"/>
        <v>0.59037557057386814</v>
      </c>
      <c r="AD462" s="102" t="e">
        <f t="shared" si="44"/>
        <v>#DIV/0!</v>
      </c>
      <c r="AE462" s="102" t="e">
        <f t="shared" si="44"/>
        <v>#DIV/0!</v>
      </c>
      <c r="AF462" s="102" t="e">
        <f t="shared" si="44"/>
        <v>#DIV/0!</v>
      </c>
      <c r="AG462" s="102" t="e">
        <f t="shared" si="44"/>
        <v>#DIV/0!</v>
      </c>
      <c r="AH462" s="102" t="e">
        <f t="shared" si="44"/>
        <v>#DIV/0!</v>
      </c>
      <c r="AI462" s="102" t="e">
        <f t="shared" si="44"/>
        <v>#DIV/0!</v>
      </c>
      <c r="AJ462" s="102" t="e">
        <f t="shared" si="44"/>
        <v>#DIV/0!</v>
      </c>
      <c r="AK462" s="102" t="e">
        <f t="shared" si="44"/>
        <v>#DIV/0!</v>
      </c>
    </row>
    <row r="463" spans="3:37" s="4" customFormat="1" x14ac:dyDescent="0.25">
      <c r="E463" t="s">
        <v>250</v>
      </c>
      <c r="I463" s="102">
        <f t="shared" ref="I463:AK463" si="45">SUM(I$428,I436,I$442)/SUM(I$428,I436,I$442,I450)</f>
        <v>0.70441893395620692</v>
      </c>
      <c r="J463" s="102">
        <f t="shared" si="45"/>
        <v>0.69145663916083477</v>
      </c>
      <c r="K463" s="102">
        <f t="shared" si="45"/>
        <v>0.69002319359269482</v>
      </c>
      <c r="L463" s="102">
        <f t="shared" si="45"/>
        <v>0.68431486297653399</v>
      </c>
      <c r="M463" s="102">
        <f t="shared" si="45"/>
        <v>0.68318764127343867</v>
      </c>
      <c r="N463" s="102">
        <f t="shared" si="45"/>
        <v>0.66766525133326771</v>
      </c>
      <c r="O463" s="102">
        <f t="shared" si="45"/>
        <v>0.64778513647533631</v>
      </c>
      <c r="P463" s="102">
        <f t="shared" si="45"/>
        <v>0.63003607653115268</v>
      </c>
      <c r="Q463" s="102">
        <f t="shared" si="45"/>
        <v>0.6139939814061236</v>
      </c>
      <c r="R463" s="102">
        <f t="shared" si="45"/>
        <v>0.61986288718431926</v>
      </c>
      <c r="S463" s="102">
        <f t="shared" si="45"/>
        <v>0.61205728252272884</v>
      </c>
      <c r="T463" s="102">
        <f t="shared" si="45"/>
        <v>0.61360183364356879</v>
      </c>
      <c r="U463" s="102">
        <f t="shared" si="45"/>
        <v>0.59603584070102678</v>
      </c>
      <c r="V463" s="102">
        <f t="shared" si="45"/>
        <v>0.61650876768048501</v>
      </c>
      <c r="W463" s="102">
        <f t="shared" si="45"/>
        <v>0.61783198028925079</v>
      </c>
      <c r="X463" s="102">
        <f t="shared" si="45"/>
        <v>0.60678452053223486</v>
      </c>
      <c r="Y463" s="102">
        <f t="shared" si="45"/>
        <v>0.60016361291191223</v>
      </c>
      <c r="Z463" s="102">
        <f t="shared" si="45"/>
        <v>0.60385856220934364</v>
      </c>
      <c r="AA463" s="102">
        <f t="shared" si="45"/>
        <v>0.59808062846139098</v>
      </c>
      <c r="AB463" s="102">
        <f t="shared" si="45"/>
        <v>0.60677110149551239</v>
      </c>
      <c r="AC463" s="102">
        <f t="shared" si="45"/>
        <v>0.60091125770667353</v>
      </c>
      <c r="AD463" s="102" t="e">
        <f t="shared" si="45"/>
        <v>#DIV/0!</v>
      </c>
      <c r="AE463" s="102" t="e">
        <f t="shared" si="45"/>
        <v>#DIV/0!</v>
      </c>
      <c r="AF463" s="102" t="e">
        <f t="shared" si="45"/>
        <v>#DIV/0!</v>
      </c>
      <c r="AG463" s="102" t="e">
        <f t="shared" si="45"/>
        <v>#DIV/0!</v>
      </c>
      <c r="AH463" s="102" t="e">
        <f t="shared" si="45"/>
        <v>#DIV/0!</v>
      </c>
      <c r="AI463" s="102" t="e">
        <f t="shared" si="45"/>
        <v>#DIV/0!</v>
      </c>
      <c r="AJ463" s="102" t="e">
        <f t="shared" si="45"/>
        <v>#DIV/0!</v>
      </c>
      <c r="AK463" s="102" t="e">
        <f t="shared" si="45"/>
        <v>#DIV/0!</v>
      </c>
    </row>
    <row r="464" spans="3:37" s="4" customFormat="1" x14ac:dyDescent="0.25">
      <c r="E464" t="s">
        <v>251</v>
      </c>
      <c r="I464" s="102">
        <f t="shared" ref="I464:AK464" si="46">SUM(I$428,I437,I$442)/SUM(I$428,I437,I$442,I451)</f>
        <v>0.70052840508171454</v>
      </c>
      <c r="J464" s="102">
        <f t="shared" si="46"/>
        <v>0.68602526510125061</v>
      </c>
      <c r="K464" s="102">
        <f t="shared" si="46"/>
        <v>0.68393042404316806</v>
      </c>
      <c r="L464" s="102">
        <f t="shared" si="46"/>
        <v>0.68063381855996408</v>
      </c>
      <c r="M464" s="102">
        <f t="shared" si="46"/>
        <v>0.6795321749888743</v>
      </c>
      <c r="N464" s="102">
        <f t="shared" si="46"/>
        <v>0.66340879982091316</v>
      </c>
      <c r="O464" s="102">
        <f t="shared" si="46"/>
        <v>0.64080267448626593</v>
      </c>
      <c r="P464" s="102">
        <f t="shared" si="46"/>
        <v>0.62791002382664629</v>
      </c>
      <c r="Q464" s="102">
        <f t="shared" si="46"/>
        <v>0.60939498373133705</v>
      </c>
      <c r="R464" s="102">
        <f t="shared" si="46"/>
        <v>0.61383204564429639</v>
      </c>
      <c r="S464" s="102">
        <f t="shared" si="46"/>
        <v>0.60804145251440367</v>
      </c>
      <c r="T464" s="102">
        <f t="shared" si="46"/>
        <v>0.60999442543855975</v>
      </c>
      <c r="U464" s="102">
        <f t="shared" si="46"/>
        <v>0.59313171338171344</v>
      </c>
      <c r="V464" s="102">
        <f t="shared" si="46"/>
        <v>0.61181905723281693</v>
      </c>
      <c r="W464" s="102">
        <f t="shared" si="46"/>
        <v>0.61417988882657404</v>
      </c>
      <c r="X464" s="102">
        <f t="shared" si="46"/>
        <v>0.60229257940845859</v>
      </c>
      <c r="Y464" s="102">
        <f t="shared" si="46"/>
        <v>0.59024628652805677</v>
      </c>
      <c r="Z464" s="102">
        <f t="shared" si="46"/>
        <v>0.59990341066303177</v>
      </c>
      <c r="AA464" s="102">
        <f t="shared" si="46"/>
        <v>0.59813180165251467</v>
      </c>
      <c r="AB464" s="102">
        <f t="shared" si="46"/>
        <v>0.60128761401195141</v>
      </c>
      <c r="AC464" s="102">
        <f t="shared" si="46"/>
        <v>0.60044171816821201</v>
      </c>
      <c r="AD464" s="102" t="e">
        <f t="shared" si="46"/>
        <v>#DIV/0!</v>
      </c>
      <c r="AE464" s="102" t="e">
        <f t="shared" si="46"/>
        <v>#DIV/0!</v>
      </c>
      <c r="AF464" s="102" t="e">
        <f t="shared" si="46"/>
        <v>#DIV/0!</v>
      </c>
      <c r="AG464" s="102" t="e">
        <f t="shared" si="46"/>
        <v>#DIV/0!</v>
      </c>
      <c r="AH464" s="102" t="e">
        <f t="shared" si="46"/>
        <v>#DIV/0!</v>
      </c>
      <c r="AI464" s="102" t="e">
        <f t="shared" si="46"/>
        <v>#DIV/0!</v>
      </c>
      <c r="AJ464" s="102" t="e">
        <f t="shared" si="46"/>
        <v>#DIV/0!</v>
      </c>
      <c r="AK464" s="102" t="e">
        <f t="shared" si="46"/>
        <v>#DIV/0!</v>
      </c>
    </row>
    <row r="465" spans="1:37" s="4" customFormat="1" x14ac:dyDescent="0.25">
      <c r="E465" t="s">
        <v>252</v>
      </c>
      <c r="I465" s="102">
        <f t="shared" ref="I465:AK465" si="47">SUM(I$428,I438,I$442)/SUM(I$428,I438,I$442,I452)</f>
        <v>0.69206022762205732</v>
      </c>
      <c r="J465" s="102">
        <f t="shared" si="47"/>
        <v>0.67143076299093396</v>
      </c>
      <c r="K465" s="102">
        <f t="shared" si="47"/>
        <v>0.67082057578771714</v>
      </c>
      <c r="L465" s="102">
        <f t="shared" si="47"/>
        <v>0.66598174802029275</v>
      </c>
      <c r="M465" s="102">
        <f t="shared" si="47"/>
        <v>0.66437636645413212</v>
      </c>
      <c r="N465" s="102">
        <f t="shared" si="47"/>
        <v>0.65071904038339456</v>
      </c>
      <c r="O465" s="102">
        <f t="shared" si="47"/>
        <v>0.62407062938524582</v>
      </c>
      <c r="P465" s="102">
        <f t="shared" si="47"/>
        <v>0.60991620102317723</v>
      </c>
      <c r="Q465" s="102">
        <f t="shared" si="47"/>
        <v>0.59864475226881331</v>
      </c>
      <c r="R465" s="102">
        <f t="shared" si="47"/>
        <v>0.60056984817987413</v>
      </c>
      <c r="S465" s="102">
        <f t="shared" si="47"/>
        <v>0.5985944482809753</v>
      </c>
      <c r="T465" s="102">
        <f t="shared" si="47"/>
        <v>0.59703198812992775</v>
      </c>
      <c r="U465" s="102">
        <f t="shared" si="47"/>
        <v>0.58001679222343716</v>
      </c>
      <c r="V465" s="102">
        <f t="shared" si="47"/>
        <v>0.59919582348429379</v>
      </c>
      <c r="W465" s="102">
        <f t="shared" si="47"/>
        <v>0.60430960055184002</v>
      </c>
      <c r="X465" s="102">
        <f t="shared" si="47"/>
        <v>0.59174261413082152</v>
      </c>
      <c r="Y465" s="102">
        <f t="shared" si="47"/>
        <v>0.58662945061739502</v>
      </c>
      <c r="Z465" s="102">
        <f t="shared" si="47"/>
        <v>0.59425519439802954</v>
      </c>
      <c r="AA465" s="102">
        <f t="shared" si="47"/>
        <v>0.59270001545140494</v>
      </c>
      <c r="AB465" s="102">
        <f t="shared" si="47"/>
        <v>0.59708575468774228</v>
      </c>
      <c r="AC465" s="102">
        <f t="shared" si="47"/>
        <v>0.59316275920850259</v>
      </c>
      <c r="AD465" s="102" t="e">
        <f t="shared" si="47"/>
        <v>#DIV/0!</v>
      </c>
      <c r="AE465" s="102" t="e">
        <f t="shared" si="47"/>
        <v>#DIV/0!</v>
      </c>
      <c r="AF465" s="102" t="e">
        <f t="shared" si="47"/>
        <v>#DIV/0!</v>
      </c>
      <c r="AG465" s="102" t="e">
        <f t="shared" si="47"/>
        <v>#DIV/0!</v>
      </c>
      <c r="AH465" s="102" t="e">
        <f t="shared" si="47"/>
        <v>#DIV/0!</v>
      </c>
      <c r="AI465" s="102" t="e">
        <f t="shared" si="47"/>
        <v>#DIV/0!</v>
      </c>
      <c r="AJ465" s="102" t="e">
        <f t="shared" si="47"/>
        <v>#DIV/0!</v>
      </c>
      <c r="AK465" s="102" t="e">
        <f t="shared" si="47"/>
        <v>#DIV/0!</v>
      </c>
    </row>
    <row r="466" spans="1:37" s="4" customFormat="1" x14ac:dyDescent="0.25">
      <c r="E466" t="s">
        <v>253</v>
      </c>
      <c r="I466" s="102">
        <f t="shared" ref="I466:AK466" si="48">SUM(I$428,I439,I$442)/SUM(I$428,I439,I$442,I453)</f>
        <v>0.68299741384908985</v>
      </c>
      <c r="J466" s="102">
        <f t="shared" si="48"/>
        <v>0.66383540774848782</v>
      </c>
      <c r="K466" s="102">
        <f t="shared" si="48"/>
        <v>0.66539883289154245</v>
      </c>
      <c r="L466" s="102">
        <f t="shared" si="48"/>
        <v>0.66094284448536389</v>
      </c>
      <c r="M466" s="102">
        <f t="shared" si="48"/>
        <v>0.66116695235151102</v>
      </c>
      <c r="N466" s="102">
        <f t="shared" si="48"/>
        <v>0.63722894389867624</v>
      </c>
      <c r="O466" s="102">
        <f t="shared" si="48"/>
        <v>0.61339432056939391</v>
      </c>
      <c r="P466" s="102">
        <f t="shared" si="48"/>
        <v>0.60311013839618632</v>
      </c>
      <c r="Q466" s="102">
        <f t="shared" si="48"/>
        <v>0.59180706052889831</v>
      </c>
      <c r="R466" s="102">
        <f t="shared" si="48"/>
        <v>0.5990447988814982</v>
      </c>
      <c r="S466" s="102">
        <f t="shared" si="48"/>
        <v>0.5942286564225322</v>
      </c>
      <c r="T466" s="102">
        <f t="shared" si="48"/>
        <v>0.58436871761675124</v>
      </c>
      <c r="U466" s="102">
        <f t="shared" si="48"/>
        <v>0.57282683936943446</v>
      </c>
      <c r="V466" s="102">
        <f t="shared" si="48"/>
        <v>0.59170490355667027</v>
      </c>
      <c r="W466" s="102">
        <f t="shared" si="48"/>
        <v>0.5976098814767421</v>
      </c>
      <c r="X466" s="102">
        <f t="shared" si="48"/>
        <v>0.58264928994999421</v>
      </c>
      <c r="Y466" s="102">
        <f t="shared" si="48"/>
        <v>0.57691794155788445</v>
      </c>
      <c r="Z466" s="102">
        <f t="shared" si="48"/>
        <v>0.58932135132124053</v>
      </c>
      <c r="AA466" s="102">
        <f t="shared" si="48"/>
        <v>0.58799386861401659</v>
      </c>
      <c r="AB466" s="102">
        <f t="shared" si="48"/>
        <v>0.59304856016203189</v>
      </c>
      <c r="AC466" s="102">
        <f t="shared" si="48"/>
        <v>0.59084940919408879</v>
      </c>
      <c r="AD466" s="102" t="e">
        <f t="shared" si="48"/>
        <v>#DIV/0!</v>
      </c>
      <c r="AE466" s="102" t="e">
        <f t="shared" si="48"/>
        <v>#DIV/0!</v>
      </c>
      <c r="AF466" s="102" t="e">
        <f t="shared" si="48"/>
        <v>#DIV/0!</v>
      </c>
      <c r="AG466" s="102" t="e">
        <f t="shared" si="48"/>
        <v>#DIV/0!</v>
      </c>
      <c r="AH466" s="102" t="e">
        <f t="shared" si="48"/>
        <v>#DIV/0!</v>
      </c>
      <c r="AI466" s="102" t="e">
        <f t="shared" si="48"/>
        <v>#DIV/0!</v>
      </c>
      <c r="AJ466" s="102" t="e">
        <f t="shared" si="48"/>
        <v>#DIV/0!</v>
      </c>
      <c r="AK466" s="102" t="e">
        <f t="shared" si="48"/>
        <v>#DIV/0!</v>
      </c>
    </row>
    <row r="467" spans="1:37" s="4" customFormat="1" x14ac:dyDescent="0.25">
      <c r="E467" t="s">
        <v>254</v>
      </c>
      <c r="I467" s="102">
        <f t="shared" ref="I467:AK467" si="49">SUM(I$428,I440,I$442)/SUM(I$428,I440,I$442,I454)</f>
        <v>0.67659725006344407</v>
      </c>
      <c r="J467" s="102">
        <f t="shared" si="49"/>
        <v>0.66343446123476479</v>
      </c>
      <c r="K467" s="102">
        <f t="shared" si="49"/>
        <v>0.66076946500922817</v>
      </c>
      <c r="L467" s="102">
        <f t="shared" si="49"/>
        <v>0.65045276910380412</v>
      </c>
      <c r="M467" s="102">
        <f t="shared" si="49"/>
        <v>0.65460922887646811</v>
      </c>
      <c r="N467" s="102">
        <f t="shared" si="49"/>
        <v>0.63261825277797434</v>
      </c>
      <c r="O467" s="102">
        <f t="shared" si="49"/>
        <v>0.60196984947189713</v>
      </c>
      <c r="P467" s="102">
        <f t="shared" si="49"/>
        <v>0.59364845513649367</v>
      </c>
      <c r="Q467" s="102">
        <f t="shared" si="49"/>
        <v>0.58364223066332643</v>
      </c>
      <c r="R467" s="102">
        <f t="shared" si="49"/>
        <v>0.59175311455925694</v>
      </c>
      <c r="S467" s="102">
        <f t="shared" si="49"/>
        <v>0.58699419169109701</v>
      </c>
      <c r="T467" s="102">
        <f t="shared" si="49"/>
        <v>0.58107255618622355</v>
      </c>
      <c r="U467" s="102">
        <f t="shared" si="49"/>
        <v>0.56358722253413762</v>
      </c>
      <c r="V467" s="102">
        <f t="shared" si="49"/>
        <v>0.5842206898939416</v>
      </c>
      <c r="W467" s="102">
        <f t="shared" si="49"/>
        <v>0.58950279402748362</v>
      </c>
      <c r="X467" s="102">
        <f t="shared" si="49"/>
        <v>0.57138389945590529</v>
      </c>
      <c r="Y467" s="102">
        <f t="shared" si="49"/>
        <v>0.56502799624083344</v>
      </c>
      <c r="Z467" s="102">
        <f t="shared" si="49"/>
        <v>0.57918511174342791</v>
      </c>
      <c r="AA467" s="102">
        <f t="shared" si="49"/>
        <v>0.57941741576122952</v>
      </c>
      <c r="AB467" s="102">
        <f t="shared" si="49"/>
        <v>0.58487390743746848</v>
      </c>
      <c r="AC467" s="102">
        <f t="shared" si="49"/>
        <v>0.58372729066606721</v>
      </c>
      <c r="AD467" s="102" t="e">
        <f t="shared" si="49"/>
        <v>#DIV/0!</v>
      </c>
      <c r="AE467" s="102" t="e">
        <f t="shared" si="49"/>
        <v>#DIV/0!</v>
      </c>
      <c r="AF467" s="102" t="e">
        <f t="shared" si="49"/>
        <v>#DIV/0!</v>
      </c>
      <c r="AG467" s="102" t="e">
        <f t="shared" si="49"/>
        <v>#DIV/0!</v>
      </c>
      <c r="AH467" s="102" t="e">
        <f t="shared" si="49"/>
        <v>#DIV/0!</v>
      </c>
      <c r="AI467" s="102" t="e">
        <f t="shared" si="49"/>
        <v>#DIV/0!</v>
      </c>
      <c r="AJ467" s="102" t="e">
        <f t="shared" si="49"/>
        <v>#DIV/0!</v>
      </c>
      <c r="AK467" s="102" t="e">
        <f t="shared" si="49"/>
        <v>#DIV/0!</v>
      </c>
    </row>
    <row r="468" spans="1:37" s="4" customFormat="1" x14ac:dyDescent="0.25">
      <c r="E468" t="s">
        <v>255</v>
      </c>
      <c r="I468" s="102">
        <f t="shared" ref="I468:AK468" si="50">SUM(I$428,I441,I$442)/SUM(I$428,I441,I$442,I455)</f>
        <v>0.67903545606168814</v>
      </c>
      <c r="J468" s="102">
        <f t="shared" si="50"/>
        <v>0.66452409442291493</v>
      </c>
      <c r="K468" s="102">
        <f t="shared" si="50"/>
        <v>0.66317217843993748</v>
      </c>
      <c r="L468" s="102">
        <f t="shared" si="50"/>
        <v>0.65308454269876792</v>
      </c>
      <c r="M468" s="102">
        <f t="shared" si="50"/>
        <v>0.65445691950215878</v>
      </c>
      <c r="N468" s="102">
        <f t="shared" si="50"/>
        <v>0.62950437716035756</v>
      </c>
      <c r="O468" s="102">
        <f t="shared" si="50"/>
        <v>0.59787424115184706</v>
      </c>
      <c r="P468" s="102">
        <f t="shared" si="50"/>
        <v>0.59566993137009727</v>
      </c>
      <c r="Q468" s="102">
        <f t="shared" si="50"/>
        <v>0.59016809890686972</v>
      </c>
      <c r="R468" s="102">
        <f t="shared" si="50"/>
        <v>0.59579204535552921</v>
      </c>
      <c r="S468" s="102">
        <f t="shared" si="50"/>
        <v>0.58448657156907902</v>
      </c>
      <c r="T468" s="102">
        <f t="shared" si="50"/>
        <v>0.5847175306264073</v>
      </c>
      <c r="U468" s="102">
        <f t="shared" si="50"/>
        <v>0.56718400532435753</v>
      </c>
      <c r="V468" s="102">
        <f t="shared" si="50"/>
        <v>0.59392806173398094</v>
      </c>
      <c r="W468" s="102">
        <f t="shared" si="50"/>
        <v>0.59525274175234721</v>
      </c>
      <c r="X468" s="102">
        <f t="shared" si="50"/>
        <v>0.57743525380486205</v>
      </c>
      <c r="Y468" s="102">
        <f t="shared" si="50"/>
        <v>0.5737532418061787</v>
      </c>
      <c r="Z468" s="102">
        <f t="shared" si="50"/>
        <v>0.58839879201338596</v>
      </c>
      <c r="AA468" s="102">
        <f t="shared" si="50"/>
        <v>0.58333507799329321</v>
      </c>
      <c r="AB468" s="102">
        <f t="shared" si="50"/>
        <v>0.59124058620601816</v>
      </c>
      <c r="AC468" s="102">
        <f t="shared" si="50"/>
        <v>0.58525619398402595</v>
      </c>
      <c r="AD468" s="102" t="e">
        <f t="shared" si="50"/>
        <v>#DIV/0!</v>
      </c>
      <c r="AE468" s="102" t="e">
        <f t="shared" si="50"/>
        <v>#DIV/0!</v>
      </c>
      <c r="AF468" s="102" t="e">
        <f t="shared" si="50"/>
        <v>#DIV/0!</v>
      </c>
      <c r="AG468" s="102" t="e">
        <f t="shared" si="50"/>
        <v>#DIV/0!</v>
      </c>
      <c r="AH468" s="102" t="e">
        <f t="shared" si="50"/>
        <v>#DIV/0!</v>
      </c>
      <c r="AI468" s="102" t="e">
        <f t="shared" si="50"/>
        <v>#DIV/0!</v>
      </c>
      <c r="AJ468" s="102" t="e">
        <f t="shared" si="50"/>
        <v>#DIV/0!</v>
      </c>
      <c r="AK468" s="102" t="e">
        <f t="shared" si="50"/>
        <v>#DIV/0!</v>
      </c>
    </row>
    <row r="469" spans="1:37" x14ac:dyDescent="0.25">
      <c r="B469" s="44"/>
      <c r="D469" t="s">
        <v>1107</v>
      </c>
    </row>
    <row r="470" spans="1:37" s="4" customFormat="1" x14ac:dyDescent="0.25">
      <c r="B470" s="4" t="s">
        <v>62</v>
      </c>
      <c r="E470" s="4" t="s">
        <v>1108</v>
      </c>
      <c r="I470" s="60"/>
      <c r="J470" s="60"/>
      <c r="K470" s="60"/>
      <c r="L470" s="60">
        <f>L1453</f>
        <v>0.68</v>
      </c>
      <c r="M470" s="60"/>
      <c r="N470" s="60"/>
      <c r="O470" s="60"/>
      <c r="P470" s="60"/>
      <c r="Q470" s="60"/>
      <c r="R470" s="60"/>
      <c r="S470" s="60"/>
      <c r="T470" s="60"/>
      <c r="U470" s="60"/>
      <c r="V470" s="60"/>
      <c r="W470" s="60"/>
      <c r="X470" s="60"/>
      <c r="Y470" s="60"/>
      <c r="Z470" s="60"/>
      <c r="AA470" s="69"/>
      <c r="AB470" s="69"/>
      <c r="AC470" s="69"/>
      <c r="AD470" s="69"/>
      <c r="AE470" s="69"/>
      <c r="AF470" s="69"/>
      <c r="AG470" s="69"/>
      <c r="AH470" s="69"/>
      <c r="AI470" s="69"/>
      <c r="AJ470" s="69"/>
      <c r="AK470" s="69"/>
    </row>
    <row r="471" spans="1:37" s="4" customFormat="1" x14ac:dyDescent="0.25">
      <c r="E471" s="4" t="s">
        <v>1109</v>
      </c>
      <c r="I471" s="60"/>
      <c r="J471" s="60"/>
      <c r="K471" s="60"/>
      <c r="L471" s="60"/>
      <c r="M471" s="60"/>
      <c r="N471" s="60"/>
      <c r="O471" s="60"/>
      <c r="P471" s="60"/>
      <c r="Q471" s="60"/>
      <c r="R471" s="60"/>
      <c r="S471" s="60"/>
      <c r="T471" s="60"/>
      <c r="U471" s="60">
        <f>U1455</f>
        <v>0.61999999999999988</v>
      </c>
      <c r="V471" s="60"/>
      <c r="W471" s="60"/>
      <c r="X471" s="60"/>
      <c r="Y471" s="60"/>
      <c r="Z471" s="60"/>
      <c r="AA471" s="69"/>
      <c r="AB471" s="69"/>
      <c r="AC471" s="69"/>
      <c r="AD471" s="69"/>
      <c r="AE471" s="69"/>
      <c r="AF471" s="69"/>
      <c r="AG471" s="69"/>
      <c r="AH471" s="69"/>
      <c r="AI471" s="69"/>
      <c r="AJ471" s="69"/>
      <c r="AK471" s="69"/>
    </row>
    <row r="472" spans="1:37" s="4" customFormat="1" x14ac:dyDescent="0.25">
      <c r="E472" s="4" t="s">
        <v>2102</v>
      </c>
      <c r="I472" s="60"/>
      <c r="J472" s="60"/>
      <c r="K472" s="60"/>
      <c r="L472" s="60"/>
      <c r="M472" s="60"/>
      <c r="N472" s="60"/>
      <c r="O472" s="60"/>
      <c r="P472" s="60"/>
      <c r="Q472" s="60"/>
      <c r="R472" s="60"/>
      <c r="S472" s="60"/>
      <c r="T472" s="60"/>
      <c r="U472" s="60"/>
      <c r="V472" s="60"/>
      <c r="W472" s="60"/>
      <c r="X472" s="60"/>
      <c r="Y472" s="60"/>
      <c r="Z472" s="60"/>
      <c r="AA472" s="69"/>
      <c r="AB472" s="60">
        <v>0.61</v>
      </c>
      <c r="AC472" s="69"/>
      <c r="AD472" s="69"/>
      <c r="AE472" s="69"/>
      <c r="AF472" s="69"/>
      <c r="AG472" s="69"/>
      <c r="AH472" s="69"/>
      <c r="AI472" s="69"/>
      <c r="AJ472" s="69"/>
      <c r="AK472" s="69"/>
    </row>
    <row r="473" spans="1:37" s="64" customFormat="1" x14ac:dyDescent="0.25"/>
    <row r="474" spans="1:37" s="70" customFormat="1" ht="17.25" x14ac:dyDescent="0.3">
      <c r="A474" s="70" t="s">
        <v>35</v>
      </c>
    </row>
    <row r="475" spans="1:37" x14ac:dyDescent="0.25">
      <c r="B475" s="29" t="s">
        <v>877</v>
      </c>
      <c r="C475" t="s">
        <v>754</v>
      </c>
    </row>
    <row r="476" spans="1:37" x14ac:dyDescent="0.25">
      <c r="B476" s="29" t="s">
        <v>879</v>
      </c>
      <c r="C476" t="s">
        <v>1110</v>
      </c>
    </row>
    <row r="477" spans="1:37" x14ac:dyDescent="0.25">
      <c r="B477" s="29"/>
      <c r="D477" t="s">
        <v>1111</v>
      </c>
    </row>
    <row r="478" spans="1:37" x14ac:dyDescent="0.25">
      <c r="B478" s="29"/>
      <c r="D478" t="s">
        <v>1112</v>
      </c>
    </row>
    <row r="479" spans="1:37" x14ac:dyDescent="0.25">
      <c r="B479" s="29"/>
      <c r="D479" t="s">
        <v>1113</v>
      </c>
    </row>
    <row r="480" spans="1:37" x14ac:dyDescent="0.25">
      <c r="B480" s="29"/>
      <c r="D480" t="s">
        <v>1114</v>
      </c>
    </row>
    <row r="481" spans="2:3" x14ac:dyDescent="0.25">
      <c r="B481" s="29" t="s">
        <v>881</v>
      </c>
      <c r="C481" t="s">
        <v>1115</v>
      </c>
    </row>
    <row r="482" spans="2:3" x14ac:dyDescent="0.25">
      <c r="B482" s="29" t="s">
        <v>883</v>
      </c>
      <c r="C482" s="263" t="s">
        <v>33</v>
      </c>
    </row>
    <row r="483" spans="2:3" x14ac:dyDescent="0.25">
      <c r="B483" s="29"/>
      <c r="C483" s="263" t="s">
        <v>1116</v>
      </c>
    </row>
    <row r="484" spans="2:3" x14ac:dyDescent="0.25">
      <c r="B484" s="29"/>
      <c r="C484" s="263" t="s">
        <v>1117</v>
      </c>
    </row>
    <row r="485" spans="2:3" x14ac:dyDescent="0.25">
      <c r="B485" s="29"/>
      <c r="C485" s="263" t="s">
        <v>426</v>
      </c>
    </row>
    <row r="486" spans="2:3" x14ac:dyDescent="0.25">
      <c r="B486" s="29" t="s">
        <v>885</v>
      </c>
      <c r="C486" t="s">
        <v>1118</v>
      </c>
    </row>
    <row r="487" spans="2:3" x14ac:dyDescent="0.25">
      <c r="B487" s="29" t="s">
        <v>886</v>
      </c>
      <c r="C487" t="s">
        <v>1119</v>
      </c>
    </row>
    <row r="488" spans="2:3" x14ac:dyDescent="0.25">
      <c r="B488" s="29"/>
      <c r="C488" t="s">
        <v>1120</v>
      </c>
    </row>
    <row r="489" spans="2:3" x14ac:dyDescent="0.25">
      <c r="B489" s="29"/>
      <c r="C489" t="s">
        <v>1121</v>
      </c>
    </row>
    <row r="490" spans="2:3" x14ac:dyDescent="0.25">
      <c r="B490" s="29"/>
      <c r="C490" t="s">
        <v>1122</v>
      </c>
    </row>
    <row r="491" spans="2:3" x14ac:dyDescent="0.25">
      <c r="B491" s="29"/>
      <c r="C491" t="s">
        <v>1123</v>
      </c>
    </row>
    <row r="492" spans="2:3" x14ac:dyDescent="0.25">
      <c r="B492" s="29"/>
      <c r="C492" t="s">
        <v>1124</v>
      </c>
    </row>
    <row r="493" spans="2:3" x14ac:dyDescent="0.25">
      <c r="B493" s="29" t="s">
        <v>887</v>
      </c>
      <c r="C493" t="s">
        <v>1125</v>
      </c>
    </row>
    <row r="494" spans="2:3" s="88" customFormat="1" ht="15.75" thickBot="1" x14ac:dyDescent="0.3">
      <c r="B494" s="95" t="s">
        <v>19</v>
      </c>
      <c r="C494" s="88" t="s">
        <v>1126</v>
      </c>
    </row>
    <row r="495" spans="2:3" ht="15.75" thickTop="1" x14ac:dyDescent="0.25">
      <c r="B495" s="29"/>
    </row>
    <row r="496" spans="2:3" x14ac:dyDescent="0.25">
      <c r="B496" s="29"/>
    </row>
    <row r="497" spans="2:37" x14ac:dyDescent="0.25">
      <c r="B497" s="29"/>
    </row>
    <row r="498" spans="2:37" x14ac:dyDescent="0.25">
      <c r="B498" s="29"/>
    </row>
    <row r="499" spans="2:37" x14ac:dyDescent="0.25">
      <c r="B499" s="29"/>
    </row>
    <row r="500" spans="2:37" x14ac:dyDescent="0.25">
      <c r="B500" s="29"/>
    </row>
    <row r="501" spans="2:37" x14ac:dyDescent="0.25">
      <c r="B501" s="29"/>
    </row>
    <row r="502" spans="2:37" x14ac:dyDescent="0.25">
      <c r="B502" s="29"/>
    </row>
    <row r="503" spans="2:37" x14ac:dyDescent="0.25">
      <c r="B503" s="29"/>
    </row>
    <row r="504" spans="2:37" x14ac:dyDescent="0.25">
      <c r="B504" s="29"/>
    </row>
    <row r="505" spans="2:37" x14ac:dyDescent="0.25">
      <c r="B505" s="29"/>
    </row>
    <row r="506" spans="2:37" x14ac:dyDescent="0.25">
      <c r="B506" s="29"/>
    </row>
    <row r="507" spans="2:37" x14ac:dyDescent="0.25">
      <c r="B507" s="29"/>
    </row>
    <row r="508" spans="2:37" x14ac:dyDescent="0.25">
      <c r="B508" s="29"/>
    </row>
    <row r="509" spans="2:37" x14ac:dyDescent="0.25">
      <c r="B509" s="29"/>
    </row>
    <row r="510" spans="2:37" x14ac:dyDescent="0.25">
      <c r="B510" s="44" t="s">
        <v>21</v>
      </c>
      <c r="C510" t="s">
        <v>1127</v>
      </c>
      <c r="H510" t="s">
        <v>23</v>
      </c>
      <c r="I510" s="39">
        <f>Datasheet!I106</f>
        <v>8023</v>
      </c>
      <c r="J510" s="39">
        <f>Datasheet!J106</f>
        <v>8210</v>
      </c>
      <c r="K510" s="39">
        <f>Datasheet!K106</f>
        <v>8531</v>
      </c>
      <c r="L510" s="39">
        <f>Datasheet!L106</f>
        <v>8687</v>
      </c>
      <c r="M510" s="39">
        <f>Datasheet!M106</f>
        <v>8944</v>
      </c>
      <c r="N510" s="39">
        <f>Datasheet!N106</f>
        <v>9110</v>
      </c>
      <c r="O510" s="39">
        <f>Datasheet!O106</f>
        <v>9275</v>
      </c>
      <c r="P510" s="39">
        <f>Datasheet!P106</f>
        <v>9456</v>
      </c>
      <c r="Q510" s="39">
        <f>Datasheet!Q106</f>
        <v>9626</v>
      </c>
      <c r="R510" s="39">
        <f>Datasheet!R106</f>
        <v>9694</v>
      </c>
      <c r="S510" s="39">
        <f>Datasheet!S106</f>
        <v>9760</v>
      </c>
      <c r="T510" s="39">
        <f>Datasheet!T106</f>
        <v>9835.125</v>
      </c>
      <c r="U510" s="39">
        <f>Datasheet!U106</f>
        <v>9953.25</v>
      </c>
      <c r="V510" s="39">
        <f>Datasheet!V106</f>
        <v>10092.375</v>
      </c>
      <c r="W510" s="39">
        <f>Datasheet!W106</f>
        <v>10237.5</v>
      </c>
      <c r="X510" s="39">
        <f>Datasheet!X106</f>
        <v>10335.625</v>
      </c>
      <c r="Y510" s="39">
        <f>Datasheet!Y106</f>
        <v>10521.75</v>
      </c>
      <c r="Z510" s="39">
        <f>Datasheet!Z106</f>
        <v>10775.875</v>
      </c>
      <c r="AA510" s="39">
        <f>Datasheet!AA106</f>
        <v>11023</v>
      </c>
      <c r="AB510" s="39">
        <f>Datasheet!AB106</f>
        <v>11256</v>
      </c>
      <c r="AC510" s="39">
        <f>Datasheet!AC106</f>
        <v>11372</v>
      </c>
      <c r="AD510" s="39">
        <f>Datasheet!AD106</f>
        <v>11371</v>
      </c>
      <c r="AE510" s="39">
        <f>Datasheet!AE106</f>
        <v>11371</v>
      </c>
      <c r="AF510" s="39">
        <f>Datasheet!AF106</f>
        <v>11371</v>
      </c>
      <c r="AG510" s="39">
        <f>Datasheet!AG106</f>
        <v>11371</v>
      </c>
      <c r="AH510" s="39">
        <f>Datasheet!AH106</f>
        <v>11371</v>
      </c>
      <c r="AI510" s="39">
        <f>Datasheet!AI106</f>
        <v>11371</v>
      </c>
      <c r="AJ510" s="39">
        <f>Datasheet!AJ106</f>
        <v>11371</v>
      </c>
      <c r="AK510" s="39">
        <f>Datasheet!AK106</f>
        <v>11371</v>
      </c>
    </row>
    <row r="511" spans="2:37" s="79" customFormat="1" x14ac:dyDescent="0.25">
      <c r="B511" s="136"/>
      <c r="E511" s="79" t="s">
        <v>1128</v>
      </c>
      <c r="H511" s="79" t="s">
        <v>23</v>
      </c>
      <c r="I511" s="81"/>
      <c r="J511" s="81"/>
      <c r="K511" s="81"/>
      <c r="L511" s="81"/>
      <c r="M511" s="81"/>
      <c r="N511" s="81"/>
      <c r="O511" s="81"/>
      <c r="P511" s="81"/>
      <c r="Q511" s="81">
        <f>Datasheet!Q638+Datasheet!Q639-Q748-Datasheet!Q111</f>
        <v>9627</v>
      </c>
      <c r="R511" s="81">
        <f>Datasheet!R638+Datasheet!R639-R748-Datasheet!R111</f>
        <v>9862</v>
      </c>
      <c r="S511" s="81">
        <f>Datasheet!S638+Datasheet!S639-S748-Datasheet!S111</f>
        <v>10149</v>
      </c>
      <c r="T511" s="81">
        <f>Datasheet!T638+Datasheet!T639-T748-Datasheet!T111</f>
        <v>10307.125</v>
      </c>
      <c r="U511" s="81">
        <f>Datasheet!U638+Datasheet!U639-U748-Datasheet!U111</f>
        <v>10518.25</v>
      </c>
      <c r="V511" s="81">
        <f>Datasheet!V638+Datasheet!V639-V748-Datasheet!V111</f>
        <v>10616.375</v>
      </c>
      <c r="W511" s="81">
        <f>Datasheet!W638+Datasheet!W639-W748-Datasheet!W111</f>
        <v>10769.5</v>
      </c>
      <c r="X511" s="81">
        <f>Datasheet!X638+Datasheet!X639-X748-Datasheet!X111</f>
        <v>10886.625</v>
      </c>
      <c r="Y511" s="81">
        <f>Datasheet!Y638+Datasheet!Y639-Y748-Datasheet!Y111</f>
        <v>10915.75</v>
      </c>
      <c r="Z511" s="81">
        <f>Datasheet!Z638+Datasheet!Z639-Z748-Datasheet!Z111</f>
        <v>11027.875</v>
      </c>
      <c r="AA511" s="81">
        <f>Datasheet!AA638+Datasheet!AA639-AA748-Datasheet!AA111</f>
        <v>11171</v>
      </c>
      <c r="AB511" s="81">
        <f>Datasheet!AB638+Datasheet!AB639-AB748-Datasheet!AB111</f>
        <v>10436</v>
      </c>
      <c r="AC511" s="81">
        <f>Datasheet!AC638+Datasheet!AC639-AC748-Datasheet!AC111</f>
        <v>-2593</v>
      </c>
      <c r="AD511" s="81">
        <f>Datasheet!AD638+Datasheet!AD639-AD748-Datasheet!AD111</f>
        <v>-2592</v>
      </c>
      <c r="AE511" s="81">
        <f>Datasheet!AE638+Datasheet!AE639-AE748-Datasheet!AE111</f>
        <v>-2592</v>
      </c>
      <c r="AF511" s="81">
        <f>Datasheet!AF638+Datasheet!AF639-AF748-Datasheet!AF111</f>
        <v>-2592</v>
      </c>
      <c r="AG511" s="81">
        <f>Datasheet!AG638+Datasheet!AG639-AG748-Datasheet!AG111</f>
        <v>-2592</v>
      </c>
      <c r="AH511" s="81">
        <f>Datasheet!AH638+Datasheet!AH639-AH748-Datasheet!AH111</f>
        <v>-2592</v>
      </c>
      <c r="AI511" s="81">
        <f>Datasheet!AI638+Datasheet!AI639-AI748-Datasheet!AI111</f>
        <v>-2592</v>
      </c>
      <c r="AJ511" s="81">
        <f>Datasheet!AJ638+Datasheet!AJ639-AJ748-Datasheet!AJ111</f>
        <v>-2592</v>
      </c>
      <c r="AK511" s="81">
        <f>Datasheet!AK638+Datasheet!AK639-AK748-Datasheet!AK111</f>
        <v>-2592</v>
      </c>
    </row>
    <row r="512" spans="2:37" s="4" customFormat="1" x14ac:dyDescent="0.25">
      <c r="C512" s="172"/>
      <c r="D512" s="4" t="s">
        <v>2234</v>
      </c>
      <c r="H512" t="s">
        <v>23</v>
      </c>
      <c r="I512" s="69"/>
      <c r="J512" s="69"/>
      <c r="K512" s="69"/>
      <c r="L512" s="69"/>
      <c r="M512" s="69"/>
      <c r="N512" s="69"/>
      <c r="O512" s="69"/>
      <c r="P512" s="69"/>
      <c r="Q512" s="69">
        <f>IF(Q730&gt;0,Q730,IF(Q732&gt;0,Q732,Q729))</f>
        <v>8973</v>
      </c>
      <c r="R512" s="69">
        <f t="shared" ref="R512:AK512" si="51">IF(R730&gt;0,R730,IF(R732&gt;0,R732,R729))</f>
        <v>8917.284708642941</v>
      </c>
      <c r="S512" s="69">
        <f t="shared" si="51"/>
        <v>8937.4317559640203</v>
      </c>
      <c r="T512" s="69">
        <f t="shared" si="51"/>
        <v>9001.106374657802</v>
      </c>
      <c r="U512" s="69">
        <f t="shared" si="51"/>
        <v>9073.2377786468514</v>
      </c>
      <c r="V512" s="69">
        <f t="shared" si="51"/>
        <v>9151.3386781384434</v>
      </c>
      <c r="W512" s="69">
        <f t="shared" si="51"/>
        <v>9248.0942510754794</v>
      </c>
      <c r="X512" s="69">
        <f t="shared" si="51"/>
        <v>9302.5658975361766</v>
      </c>
      <c r="Y512" s="69">
        <f t="shared" si="51"/>
        <v>9392.8545170121233</v>
      </c>
      <c r="Z512" s="69">
        <f t="shared" si="51"/>
        <v>9358.2811888932356</v>
      </c>
      <c r="AA512" s="69">
        <f t="shared" si="51"/>
        <v>9609</v>
      </c>
      <c r="AB512" s="69">
        <f t="shared" si="51"/>
        <v>9531</v>
      </c>
      <c r="AC512" s="69">
        <f t="shared" si="51"/>
        <v>9844.1494079320273</v>
      </c>
      <c r="AD512" s="69">
        <f t="shared" si="51"/>
        <v>10061.037666144199</v>
      </c>
      <c r="AE512" s="69">
        <f t="shared" si="51"/>
        <v>10416.314579233343</v>
      </c>
      <c r="AF512" s="69">
        <f t="shared" si="51"/>
        <v>10642.137698714778</v>
      </c>
      <c r="AG512" s="69">
        <f t="shared" si="51"/>
        <v>10981.831284714473</v>
      </c>
      <c r="AH512" s="69">
        <f t="shared" si="51"/>
        <v>11144.536016018828</v>
      </c>
      <c r="AI512" s="69">
        <f t="shared" si="51"/>
        <v>11382.933832680286</v>
      </c>
      <c r="AJ512" s="69">
        <f t="shared" si="51"/>
        <v>11627.446008599482</v>
      </c>
      <c r="AK512" s="69">
        <f t="shared" si="51"/>
        <v>11866.633223809476</v>
      </c>
    </row>
    <row r="513" spans="2:37" s="4" customFormat="1" x14ac:dyDescent="0.25">
      <c r="B513" s="44"/>
      <c r="C513" s="172"/>
      <c r="E513" s="4" t="s">
        <v>1129</v>
      </c>
      <c r="H513" t="s">
        <v>23</v>
      </c>
      <c r="I513" s="69"/>
      <c r="J513" s="69"/>
      <c r="K513" s="69"/>
      <c r="L513" s="69"/>
      <c r="M513" s="69"/>
      <c r="N513" s="69"/>
      <c r="O513" s="69"/>
      <c r="P513" s="69"/>
      <c r="Q513" s="69">
        <f>IF(Datasheet!Q649&gt;0,SUM(Datasheet!Q648:Q649),Q512*Q515)</f>
        <v>4542</v>
      </c>
      <c r="R513" s="69">
        <f>IF(Datasheet!R649&gt;0,SUM(Datasheet!R648:R649),R512*R515)</f>
        <v>4517</v>
      </c>
      <c r="S513" s="69">
        <f>IF(Datasheet!S649&gt;0,SUM(Datasheet!S648:S649),S512*S515)</f>
        <v>4461</v>
      </c>
      <c r="T513" s="69">
        <f>IF(Datasheet!T649&gt;0,SUM(Datasheet!T648:T649),T512*T515)</f>
        <v>4480</v>
      </c>
      <c r="U513" s="69">
        <f>IF(Datasheet!U649&gt;0,SUM(Datasheet!U648:U649),U512*U515)</f>
        <v>4644</v>
      </c>
      <c r="V513" s="69">
        <f>IF(Datasheet!V649&gt;0,SUM(Datasheet!V648:V649),V512*V515)</f>
        <v>4953</v>
      </c>
      <c r="W513" s="69">
        <f>IF(Datasheet!W649&gt;0,SUM(Datasheet!W648:W649),W512*W515)</f>
        <v>5132</v>
      </c>
      <c r="X513" s="69">
        <f>IF(Datasheet!X649&gt;0,SUM(Datasheet!X648:X649),X512*X515)</f>
        <v>5142</v>
      </c>
      <c r="Y513" s="69">
        <f>IF(Datasheet!Y649&gt;0,SUM(Datasheet!Y648:Y649),Y512*Y515)</f>
        <v>5287</v>
      </c>
      <c r="Z513" s="69">
        <f>IF(Datasheet!Z649&gt;0,SUM(Datasheet!Z648:Z649),Z512*Z515)</f>
        <v>5448</v>
      </c>
      <c r="AA513" s="69">
        <f>IF(Datasheet!AA649&gt;0,SUM(Datasheet!AA648:AA649),AA512*AA515)</f>
        <v>5609</v>
      </c>
      <c r="AB513" s="69">
        <f>IF(Datasheet!AB649&gt;0,SUM(Datasheet!AB648:AB649),AB512*AB515)</f>
        <v>5656</v>
      </c>
      <c r="AC513" s="69">
        <f>IF(Datasheet!AC649&gt;0,SUM(Datasheet!AC648:AC649),AC512*AC515)</f>
        <v>5934.8980228905239</v>
      </c>
      <c r="AD513" s="69">
        <f>IF(Datasheet!AD649&gt;0,SUM(Datasheet!AD648:AD649),AD512*AD515)</f>
        <v>6160.5695449404875</v>
      </c>
      <c r="AE513" s="69">
        <f>IF(Datasheet!AE649&gt;0,SUM(Datasheet!AE648:AE649),AE512*AE515)</f>
        <v>6476.4770379943166</v>
      </c>
      <c r="AF513" s="69">
        <f>IF(Datasheet!AF649&gt;0,SUM(Datasheet!AF648:AF649),AF512*AF515)</f>
        <v>6717.4449503895821</v>
      </c>
      <c r="AG513" s="69">
        <f>IF(Datasheet!AG649&gt;0,SUM(Datasheet!AG648:AG649),AG512*AG515)</f>
        <v>7035.6720564832385</v>
      </c>
      <c r="AH513" s="69">
        <f>IF(Datasheet!AH649&gt;0,SUM(Datasheet!AH648:AH649),AH512*AH515)</f>
        <v>7245.2811761574585</v>
      </c>
      <c r="AI513" s="69">
        <f>IF(Datasheet!AI649&gt;0,SUM(Datasheet!AI648:AI649),AI512*AI515)</f>
        <v>7507.9055467900425</v>
      </c>
      <c r="AJ513" s="69">
        <f>IF(Datasheet!AJ649&gt;0,SUM(Datasheet!AJ648:AJ649),AJ512*AJ515)</f>
        <v>7779.135685381947</v>
      </c>
      <c r="AK513" s="69">
        <f>IF(Datasheet!AK649&gt;0,SUM(Datasheet!AK648:AK649),AK512*AK515)</f>
        <v>8051.37917198164</v>
      </c>
    </row>
    <row r="514" spans="2:37" s="4" customFormat="1" x14ac:dyDescent="0.25">
      <c r="B514" s="44"/>
      <c r="C514" s="172"/>
      <c r="E514" s="4" t="s">
        <v>1130</v>
      </c>
      <c r="H514" t="s">
        <v>23</v>
      </c>
      <c r="I514" s="69"/>
      <c r="J514" s="69"/>
      <c r="K514" s="69"/>
      <c r="L514" s="69"/>
      <c r="M514" s="69"/>
      <c r="N514" s="69"/>
      <c r="O514" s="69"/>
      <c r="P514" s="69"/>
      <c r="Q514" s="69">
        <f>IF(Datasheet!Q654&gt;0,SUM(Datasheet!Q653:Q654),Q512*Q516)</f>
        <v>2807</v>
      </c>
      <c r="R514" s="69">
        <f>IF(Datasheet!R654&gt;0,SUM(Datasheet!R653:R654),R512*R516)</f>
        <v>2650</v>
      </c>
      <c r="S514" s="69">
        <f>IF(Datasheet!S654&gt;0,SUM(Datasheet!S653:S654),S512*S516)</f>
        <v>2837</v>
      </c>
      <c r="T514" s="69">
        <f>IF(Datasheet!T654&gt;0,SUM(Datasheet!T653:T654),T512*T516)</f>
        <v>3103</v>
      </c>
      <c r="U514" s="69">
        <f>IF(Datasheet!U654&gt;0,SUM(Datasheet!U653:U654),U512*U516)</f>
        <v>3229</v>
      </c>
      <c r="V514" s="69">
        <f>IF(Datasheet!V654&gt;0,SUM(Datasheet!V653:V654),V512*V516)</f>
        <v>3234</v>
      </c>
      <c r="W514" s="69">
        <f>IF(Datasheet!W654&gt;0,SUM(Datasheet!W653:W654),W512*W516)</f>
        <v>3444</v>
      </c>
      <c r="X514" s="69">
        <f>IF(Datasheet!X654&gt;0,SUM(Datasheet!X653:X654),X512*X516)</f>
        <v>3607</v>
      </c>
      <c r="Y514" s="69">
        <f>IF(Datasheet!Y654&gt;0,SUM(Datasheet!Y653:Y654),Y512*Y516)</f>
        <v>3694</v>
      </c>
      <c r="Z514" s="69">
        <f>IF(Datasheet!Z654&gt;0,SUM(Datasheet!Z653:Z654),Z512*Z516)</f>
        <v>3391</v>
      </c>
      <c r="AA514" s="69">
        <f>IF(Datasheet!AA654&gt;0,SUM(Datasheet!AA653:AA654),AA512*AA516)</f>
        <v>4239</v>
      </c>
      <c r="AB514" s="69">
        <f>IF(Datasheet!AB654&gt;0,SUM(Datasheet!AB653:AB654),AB512*AB516)</f>
        <v>3737</v>
      </c>
      <c r="AC514" s="69">
        <f>IF(Datasheet!AC654&gt;0,SUM(Datasheet!AC653:AC654),AC512*AC516)</f>
        <v>4202.0132146736005</v>
      </c>
      <c r="AD514" s="69">
        <f>IF(Datasheet!AD654&gt;0,SUM(Datasheet!AD653:AD654),AD512*AD516)</f>
        <v>4397.4863331904735</v>
      </c>
      <c r="AE514" s="69">
        <f>IF(Datasheet!AE654&gt;0,SUM(Datasheet!AE653:AE654),AE512*AE516)</f>
        <v>4659.0522088371572</v>
      </c>
      <c r="AF514" s="69">
        <f>IF(Datasheet!AF654&gt;0,SUM(Datasheet!AF653:AF654),AF512*AF516)</f>
        <v>4868.4161277415114</v>
      </c>
      <c r="AG514" s="69">
        <f>IF(Datasheet!AG654&gt;0,SUM(Datasheet!AG653:AG654),AG512*AG516)</f>
        <v>5215.4530575258696</v>
      </c>
      <c r="AH514" s="69">
        <f>IF(Datasheet!AH654&gt;0,SUM(Datasheet!AH653:AH654),AH512*AH516)</f>
        <v>5345.419407682758</v>
      </c>
      <c r="AI514" s="69">
        <f>IF(Datasheet!AI654&gt;0,SUM(Datasheet!AI653:AI654),AI512*AI516)</f>
        <v>5655.1850018749356</v>
      </c>
      <c r="AJ514" s="69">
        <f>IF(Datasheet!AJ654&gt;0,SUM(Datasheet!AJ653:AJ654),AJ512*AJ516)</f>
        <v>5834.5517375014706</v>
      </c>
      <c r="AK514" s="69">
        <f>IF(Datasheet!AK654&gt;0,SUM(Datasheet!AK653:AK654),AK512*AK516)</f>
        <v>6131.1857402766655</v>
      </c>
    </row>
    <row r="515" spans="2:37" s="79" customFormat="1" x14ac:dyDescent="0.25">
      <c r="B515" s="136"/>
      <c r="C515" s="189"/>
      <c r="F515" s="79" t="s">
        <v>1131</v>
      </c>
      <c r="I515" s="100"/>
      <c r="J515" s="100"/>
      <c r="K515" s="100"/>
      <c r="L515" s="100"/>
      <c r="M515" s="100"/>
      <c r="N515" s="100"/>
      <c r="O515" s="100"/>
      <c r="P515" s="100"/>
      <c r="Q515" s="187">
        <f>IF(Datasheet!Q644&gt;0,Q513/Q512,_xlfn.FORECAST.ETS(Q2,P515:$Q515,P2:$Q2))</f>
        <v>0.50618522233366769</v>
      </c>
      <c r="R515" s="187">
        <f>IF(Datasheet!R644&gt;0,R513/R512,_xlfn.FORECAST.ETS(R2,$Q515:Q515,$Q2:Q2))</f>
        <v>0.50654432908505964</v>
      </c>
      <c r="S515" s="187">
        <f>IF(Datasheet!S644&gt;0,S513/S512,_xlfn.FORECAST.ETS(S2,$Q515:R515,$Q2:R2))</f>
        <v>0.49913667838897219</v>
      </c>
      <c r="T515" s="187">
        <f>IF(Datasheet!T644&gt;0,T513/T512,_xlfn.FORECAST.ETS(T2,$Q515:S515,$Q2:S2))</f>
        <v>0.49771659321938827</v>
      </c>
      <c r="U515" s="187">
        <f>IF(Datasheet!U644&gt;0,U513/U512,_xlfn.FORECAST.ETS(U2,$Q515:T515,$Q2:T2))</f>
        <v>0.51183492743122938</v>
      </c>
      <c r="V515" s="187">
        <f>IF(Datasheet!V644&gt;0,V513/V512,_xlfn.FORECAST.ETS(V2,$Q515:U515,$Q2:U2))</f>
        <v>0.54123229116546412</v>
      </c>
      <c r="W515" s="187">
        <f>IF(Datasheet!W644&gt;0,W513/W512,_xlfn.FORECAST.ETS(W2,$Q515:V515,$Q2:V2))</f>
        <v>0.55492514032317408</v>
      </c>
      <c r="X515" s="187">
        <f>IF(Datasheet!X644&gt;0,X513/X512,_xlfn.FORECAST.ETS(X2,$Q515:W515,$Q2:W2))</f>
        <v>0.55275072024610761</v>
      </c>
      <c r="Y515" s="187">
        <f>IF(Datasheet!Y644&gt;0,Y513/Y512,_xlfn.FORECAST.ETS(Y2,$Q515:X515,$Q2:X2))</f>
        <v>0.56287468207074931</v>
      </c>
      <c r="Z515" s="187">
        <f>IF(Datasheet!Z644&gt;0,Z513/Z512,_xlfn.FORECAST.ETS(Z2,$Q515:Y515,$Q2:Y2))</f>
        <v>0.58215818589271429</v>
      </c>
      <c r="AA515" s="187">
        <f>IF(Datasheet!AA644&gt;0,AA513/AA512,_xlfn.FORECAST.ETS(AA2,$Q515:Z515,$Q2:Z2))</f>
        <v>0.58372359246539707</v>
      </c>
      <c r="AB515" s="187">
        <f>IF(Datasheet!AB644&gt;0,AB513/AB512,_xlfn.FORECAST.ETS(AB2,$Q515:AA515,$Q2:AA2))</f>
        <v>0.59343195887105238</v>
      </c>
      <c r="AC515" s="187">
        <f>IF(Datasheet!AC644&gt;0,AC513/AC512,_xlfn.FORECAST.ETS(AC2,$Q515:AB515,$Q2:AB2))</f>
        <v>0.60288581338560521</v>
      </c>
      <c r="AD515" s="187">
        <f>IF(Datasheet!AD644&gt;0,AD513/AD512,_xlfn.FORECAST.ETS(AD2,$Q515:AC515,$Q2:AC2))</f>
        <v>0.61231949917761019</v>
      </c>
      <c r="AE515" s="187">
        <f>IF(Datasheet!AE644&gt;0,AE513/AE512,_xlfn.FORECAST.ETS(AE2,$Q515:AD515,$Q2:AD2))</f>
        <v>0.62176281147520751</v>
      </c>
      <c r="AF515" s="187">
        <f>IF(Datasheet!AF644&gt;0,AF513/AF512,_xlfn.FORECAST.ETS(AF2,$Q515:AE515,$Q2:AE2))</f>
        <v>0.63121199335738998</v>
      </c>
      <c r="AG515" s="187">
        <f>IF(Datasheet!AG644&gt;0,AG513/AG512,_xlfn.FORECAST.ETS(AG2,$Q515:AF515,$Q2:AF2))</f>
        <v>0.64066473742645602</v>
      </c>
      <c r="AH515" s="187">
        <f>IF(Datasheet!AH644&gt;0,AH513/AH512,_xlfn.FORECAST.ETS(AH2,$Q515:AG515,$Q2:AG2))</f>
        <v>0.65011958916399071</v>
      </c>
      <c r="AI515" s="187">
        <f>IF(Datasheet!AI644&gt;0,AI513/AI512,_xlfn.FORECAST.ETS(AI2,$Q515:AH515,$Q2:AH2))</f>
        <v>0.65957561180184698</v>
      </c>
      <c r="AJ515" s="187">
        <f>IF(Datasheet!AJ644&gt;0,AJ513/AJ512,_xlfn.FORECAST.ETS(AJ2,$Q515:AI515,$Q2:AI2))</f>
        <v>0.66903219156026328</v>
      </c>
      <c r="AK515" s="187">
        <f>IF(Datasheet!AK644&gt;0,AK513/AK512,_xlfn.FORECAST.ETS(AK2,$Q515:AJ515,$Q2:AJ2))</f>
        <v>0.67848892100475255</v>
      </c>
    </row>
    <row r="516" spans="2:37" s="79" customFormat="1" x14ac:dyDescent="0.25">
      <c r="B516" s="136"/>
      <c r="C516" s="189"/>
      <c r="F516" s="79" t="s">
        <v>1132</v>
      </c>
      <c r="I516" s="100"/>
      <c r="J516" s="100"/>
      <c r="K516" s="100"/>
      <c r="L516" s="100"/>
      <c r="M516" s="100"/>
      <c r="N516" s="100"/>
      <c r="O516" s="100"/>
      <c r="P516" s="100"/>
      <c r="Q516" s="187">
        <f>IF(Datasheet!Q644&gt;0,Q514/Q512,_xlfn.FORECAST.ETS(Q2,P516:$Q516,P2:$Q2))</f>
        <v>0.31282737100189456</v>
      </c>
      <c r="R516" s="187">
        <f>IF(Datasheet!R644&gt;0,R514/R512,_xlfn.FORECAST.ETS(R2,$Q516:Q516,$Q2:Q2))</f>
        <v>0.29717566351016339</v>
      </c>
      <c r="S516" s="187">
        <f>IF(Datasheet!S644&gt;0,S514/S512,_xlfn.FORECAST.ETS(S2,$Q516:R516,$Q2:R2))</f>
        <v>0.31742899721800361</v>
      </c>
      <c r="T516" s="187">
        <f>IF(Datasheet!T644&gt;0,T514/T512,_xlfn.FORECAST.ETS(T2,$Q516:S516,$Q2:S2))</f>
        <v>0.34473539927673258</v>
      </c>
      <c r="U516" s="187">
        <f>IF(Datasheet!U644&gt;0,U514/U512,_xlfn.FORECAST.ETS(U2,$Q516:T516,$Q2:T2))</f>
        <v>0.35588177878454774</v>
      </c>
      <c r="V516" s="187">
        <f>IF(Datasheet!V644&gt;0,V514/V512,_xlfn.FORECAST.ETS(V2,$Q516:U516,$Q2:U2))</f>
        <v>0.35339092057926735</v>
      </c>
      <c r="W516" s="187">
        <f>IF(Datasheet!W644&gt;0,W514/W512,_xlfn.FORECAST.ETS(W2,$Q516:V516,$Q2:V2))</f>
        <v>0.37240104896200538</v>
      </c>
      <c r="X516" s="187">
        <f>IF(Datasheet!X644&gt;0,X514/X512,_xlfn.FORECAST.ETS(X2,$Q516:W516,$Q2:W2))</f>
        <v>0.3877424830664547</v>
      </c>
      <c r="Y516" s="187">
        <f>IF(Datasheet!Y644&gt;0,Y514/Y512,_xlfn.FORECAST.ETS(Y2,$Q516:X516,$Q2:X2))</f>
        <v>0.39327767648370487</v>
      </c>
      <c r="Z516" s="187">
        <f>IF(Datasheet!Z644&gt;0,Z514/Z512,_xlfn.FORECAST.ETS(Z2,$Q516:Y516,$Q2:Y2))</f>
        <v>0.36235286497103419</v>
      </c>
      <c r="AA516" s="187">
        <f>IF(Datasheet!AA644&gt;0,AA514/AA512,_xlfn.FORECAST.ETS(AA2,$Q516:Z516,$Q2:Z2))</f>
        <v>0.44114892288479551</v>
      </c>
      <c r="AB516" s="187">
        <f>IF(Datasheet!AB644&gt;0,AB514/AB512,_xlfn.FORECAST.ETS(AB2,$Q516:AA516,$Q2:AA2))</f>
        <v>0.39208897282551675</v>
      </c>
      <c r="AC516" s="187">
        <f>IF(Datasheet!AC644&gt;0,AC514/AC512,_xlfn.FORECAST.ETS(AC2,$Q516:AB516,$Q2:AB2))</f>
        <v>0.42685386421378202</v>
      </c>
      <c r="AD516" s="187">
        <f>IF(Datasheet!AD644&gt;0,AD514/AD512,_xlfn.FORECAST.ETS(AD2,$Q516:AC516,$Q2:AC2))</f>
        <v>0.43708079415985029</v>
      </c>
      <c r="AE516" s="187">
        <f>IF(Datasheet!AE644&gt;0,AE514/AE512,_xlfn.FORECAST.ETS(AE2,$Q516:AD516,$Q2:AD2))</f>
        <v>0.44728413042802612</v>
      </c>
      <c r="AF516" s="187">
        <f>IF(Datasheet!AF644&gt;0,AF514/AF512,_xlfn.FORECAST.ETS(AF2,$Q516:AE516,$Q2:AE2))</f>
        <v>0.45746599654780423</v>
      </c>
      <c r="AG516" s="187">
        <f>IF(Datasheet!AG644&gt;0,AG514/AG512,_xlfn.FORECAST.ETS(AG2,$Q516:AF516,$Q2:AF2))</f>
        <v>0.47491651640880866</v>
      </c>
      <c r="AH516" s="187">
        <f>IF(Datasheet!AH644&gt;0,AH514/AH512,_xlfn.FORECAST.ETS(AH2,$Q516:AG516,$Q2:AG2))</f>
        <v>0.4796448591488609</v>
      </c>
      <c r="AI516" s="187">
        <f>IF(Datasheet!AI644&gt;0,AI514/AI512,_xlfn.FORECAST.ETS(AI2,$Q516:AH516,$Q2:AH2))</f>
        <v>0.49681260429002561</v>
      </c>
      <c r="AJ516" s="187">
        <f>IF(Datasheet!AJ644&gt;0,AJ514/AJ512,_xlfn.FORECAST.ETS(AJ2,$Q516:AI516,$Q2:AI2))</f>
        <v>0.50179134206998899</v>
      </c>
      <c r="AK516" s="187">
        <f>IF(Datasheet!AK644&gt;0,AK514/AK512,_xlfn.FORECAST.ETS(AK2,$Q516:AJ516,$Q2:AJ2))</f>
        <v>0.51667441174257567</v>
      </c>
    </row>
    <row r="517" spans="2:37" s="4" customFormat="1" x14ac:dyDescent="0.25">
      <c r="B517" s="44"/>
      <c r="C517" s="172"/>
      <c r="D517" s="4" t="s">
        <v>1133</v>
      </c>
      <c r="H517" s="4" t="s">
        <v>23</v>
      </c>
      <c r="I517" s="69"/>
      <c r="J517" s="69"/>
      <c r="K517" s="69"/>
      <c r="L517" s="69"/>
      <c r="M517" s="69"/>
      <c r="N517" s="69"/>
      <c r="O517" s="69"/>
      <c r="P517" s="69"/>
      <c r="Q517" s="69">
        <f>IF(Datasheet!Q749&gt;0,SUM(Datasheet!Q748:Q749),_xlfn.FORECAST.ETS(Q2,P517:$Q517,P2:$Q2))</f>
        <v>6206</v>
      </c>
      <c r="R517" s="69">
        <f>IF(Datasheet!R749&gt;0,SUM(Datasheet!R748:R749),_xlfn.FORECAST.ETS(R2,$Q517:Q517,$Q2:Q2))</f>
        <v>6094</v>
      </c>
      <c r="S517" s="69">
        <f>IF(Datasheet!S749&gt;0,SUM(Datasheet!S748:S749),_xlfn.FORECAST.ETS(S2,$Q517:R517,$Q2:R2))</f>
        <v>6310</v>
      </c>
      <c r="T517" s="69">
        <f>IF(Datasheet!T749&gt;0,SUM(Datasheet!T748:T749),_xlfn.FORECAST.ETS(T2,$Q517:S517,$Q2:S2))</f>
        <v>6580</v>
      </c>
      <c r="U517" s="69">
        <f>IF(Datasheet!U749&gt;0,SUM(Datasheet!U748:U749),_xlfn.FORECAST.ETS(U2,$Q517:T517,$Q2:T2))</f>
        <v>6830</v>
      </c>
      <c r="V517" s="69">
        <f>IF(Datasheet!V749&gt;0,SUM(Datasheet!V748:V749),_xlfn.FORECAST.ETS(V2,$Q517:U517,$Q2:U2))</f>
        <v>7058</v>
      </c>
      <c r="W517" s="69">
        <f>IF(Datasheet!W749&gt;0,SUM(Datasheet!W748:W749),_xlfn.FORECAST.ETS(W2,$Q517:V517,$Q2:V2))</f>
        <v>7283</v>
      </c>
      <c r="X517" s="69">
        <f>IF(Datasheet!X749&gt;0,SUM(Datasheet!X748:X749),_xlfn.FORECAST.ETS(X2,$Q517:W517,$Q2:W2))</f>
        <v>7308</v>
      </c>
      <c r="Y517" s="69">
        <f>IF(Datasheet!Y749&gt;0,SUM(Datasheet!Y748:Y749),_xlfn.FORECAST.ETS(Y2,$Q517:X517,$Q2:X2))</f>
        <v>7531</v>
      </c>
      <c r="Z517" s="69">
        <f>IF(Datasheet!Z749&gt;0,SUM(Datasheet!Z748:Z749),_xlfn.FORECAST.ETS(Z2,$Q517:Y517,$Q2:Y2))</f>
        <v>7413</v>
      </c>
      <c r="AA517" s="69">
        <f>IF(Datasheet!AA749&gt;0,SUM(Datasheet!AA748:AA749),_xlfn.FORECAST.ETS(AA2,$Q517:Z517,$Q2:Z2))</f>
        <v>8582</v>
      </c>
      <c r="AB517" s="69">
        <f>IF(Datasheet!AB749&gt;0,SUM(Datasheet!AB748:AB749),_xlfn.FORECAST.ETS(AB2,$Q517:AA517,$Q2:AA2))</f>
        <v>8158</v>
      </c>
      <c r="AC517" s="69">
        <f>IF(Datasheet!AC749&gt;0,SUM(Datasheet!AC748:AC749),_xlfn.FORECAST.ETS(AC2,$Q517:AB517,$Q2:AB2))</f>
        <v>8475.6111821914947</v>
      </c>
      <c r="AD517" s="69">
        <f>IF(Datasheet!AD749&gt;0,SUM(Datasheet!AD748:AD749),_xlfn.FORECAST.ETS(AD2,$Q517:AC517,$Q2:AC2))</f>
        <v>8680.9748752316918</v>
      </c>
      <c r="AE517" s="69">
        <f>IF(Datasheet!AE749&gt;0,SUM(Datasheet!AE748:AE749),_xlfn.FORECAST.ETS(AE2,$Q517:AD517,$Q2:AD2))</f>
        <v>8916.1042334136691</v>
      </c>
      <c r="AF517" s="69">
        <f>IF(Datasheet!AF749&gt;0,SUM(Datasheet!AF748:AF749),_xlfn.FORECAST.ETS(AF2,$Q517:AE517,$Q2:AE2))</f>
        <v>9108.9904781248533</v>
      </c>
      <c r="AG517" s="69">
        <f>IF(Datasheet!AG749&gt;0,SUM(Datasheet!AG748:AG749),_xlfn.FORECAST.ETS(AG2,$Q517:AF517,$Q2:AF2))</f>
        <v>9352.0867433492604</v>
      </c>
      <c r="AH517" s="69">
        <f>IF(Datasheet!AH749&gt;0,SUM(Datasheet!AH748:AH749),_xlfn.FORECAST.ETS(AH2,$Q517:AG517,$Q2:AG2))</f>
        <v>9529.1919194256989</v>
      </c>
      <c r="AI517" s="69">
        <f>IF(Datasheet!AI749&gt;0,SUM(Datasheet!AI748:AI749),_xlfn.FORECAST.ETS(AI2,$Q517:AH517,$Q2:AH2))</f>
        <v>9737.6237828365847</v>
      </c>
      <c r="AJ517" s="69">
        <f>IF(Datasheet!AJ749&gt;0,SUM(Datasheet!AJ748:AJ749),_xlfn.FORECAST.ETS(AJ2,$Q517:AI517,$Q2:AI2))</f>
        <v>9946.0125856447921</v>
      </c>
      <c r="AK517" s="69">
        <f>IF(Datasheet!AK749&gt;0,SUM(Datasheet!AK748:AK749),_xlfn.FORECAST.ETS(AK2,$Q517:AJ517,$Q2:AJ2))</f>
        <v>10154.365604010718</v>
      </c>
    </row>
    <row r="518" spans="2:37" s="4" customFormat="1" x14ac:dyDescent="0.25">
      <c r="B518" s="44"/>
      <c r="F518" s="4" t="s">
        <v>1134</v>
      </c>
      <c r="I518" s="69"/>
      <c r="J518" s="69"/>
      <c r="K518" s="69"/>
      <c r="L518" s="69"/>
      <c r="M518" s="69"/>
      <c r="N518" s="69"/>
      <c r="O518" s="69"/>
      <c r="P518" s="69"/>
      <c r="Q518" s="60">
        <f t="shared" ref="Q518:AK518" si="52">Q517/Q510</f>
        <v>0.64471223768959074</v>
      </c>
      <c r="R518" s="60">
        <f t="shared" si="52"/>
        <v>0.62863626985764387</v>
      </c>
      <c r="S518" s="60">
        <f t="shared" si="52"/>
        <v>0.64651639344262291</v>
      </c>
      <c r="T518" s="60">
        <f t="shared" si="52"/>
        <v>0.66903064272187696</v>
      </c>
      <c r="U518" s="60">
        <f t="shared" si="52"/>
        <v>0.68620802250521185</v>
      </c>
      <c r="V518" s="60">
        <f t="shared" si="52"/>
        <v>0.69933984815268957</v>
      </c>
      <c r="W518" s="60">
        <f t="shared" si="52"/>
        <v>0.71140415140415136</v>
      </c>
      <c r="X518" s="60">
        <f t="shared" si="52"/>
        <v>0.70706899679506563</v>
      </c>
      <c r="Y518" s="60">
        <f t="shared" si="52"/>
        <v>0.71575545893031101</v>
      </c>
      <c r="Z518" s="60">
        <f t="shared" si="52"/>
        <v>0.68792557448931058</v>
      </c>
      <c r="AA518" s="60">
        <f t="shared" si="52"/>
        <v>0.77855393268620154</v>
      </c>
      <c r="AB518" s="60">
        <f t="shared" si="52"/>
        <v>0.72476901208244493</v>
      </c>
      <c r="AC518" s="60">
        <f>AC517/AC510</f>
        <v>0.74530523937667026</v>
      </c>
      <c r="AD518" s="60">
        <f t="shared" si="52"/>
        <v>0.76343108567687024</v>
      </c>
      <c r="AE518" s="60">
        <f t="shared" si="52"/>
        <v>0.78410906986313156</v>
      </c>
      <c r="AF518" s="60">
        <f t="shared" si="52"/>
        <v>0.80107206737532788</v>
      </c>
      <c r="AG518" s="60">
        <f t="shared" si="52"/>
        <v>0.82245068537061472</v>
      </c>
      <c r="AH518" s="60">
        <f t="shared" si="52"/>
        <v>0.83802584815985393</v>
      </c>
      <c r="AI518" s="60">
        <f t="shared" si="52"/>
        <v>0.85635597421832599</v>
      </c>
      <c r="AJ518" s="60">
        <f t="shared" si="52"/>
        <v>0.87468231339766001</v>
      </c>
      <c r="AK518" s="60">
        <f t="shared" si="52"/>
        <v>0.89300550558532388</v>
      </c>
    </row>
    <row r="519" spans="2:37" s="4" customFormat="1" x14ac:dyDescent="0.25">
      <c r="B519" s="44"/>
      <c r="E519" s="4" t="s">
        <v>1135</v>
      </c>
      <c r="H519" s="4" t="s">
        <v>23</v>
      </c>
      <c r="I519" s="69"/>
      <c r="J519" s="69"/>
      <c r="K519" s="69"/>
      <c r="L519" s="69"/>
      <c r="M519" s="69"/>
      <c r="N519" s="69"/>
      <c r="O519" s="69"/>
      <c r="P519" s="69"/>
      <c r="Q519" s="69">
        <f>Datasheet!Q886</f>
        <v>649</v>
      </c>
      <c r="R519" s="69">
        <f>Datasheet!R886</f>
        <v>649</v>
      </c>
      <c r="S519" s="69">
        <f>Datasheet!S886</f>
        <v>702</v>
      </c>
      <c r="T519" s="69">
        <f>Datasheet!T886</f>
        <v>729</v>
      </c>
      <c r="U519" s="69">
        <f>Datasheet!U886</f>
        <v>738</v>
      </c>
      <c r="V519" s="69">
        <f>Datasheet!V886</f>
        <v>811</v>
      </c>
      <c r="W519" s="69">
        <f>Datasheet!W886</f>
        <v>873</v>
      </c>
      <c r="X519" s="69">
        <f>Datasheet!X886</f>
        <v>883</v>
      </c>
      <c r="Y519" s="69">
        <f>Datasheet!Y886</f>
        <v>963</v>
      </c>
      <c r="Z519" s="69">
        <f>Datasheet!Z886</f>
        <v>1005</v>
      </c>
      <c r="AA519" s="69">
        <f>Datasheet!AA886</f>
        <v>1079</v>
      </c>
      <c r="AB519" s="69">
        <f>Datasheet!AB886</f>
        <v>1160</v>
      </c>
      <c r="AC519" s="69">
        <f>Datasheet!AC886</f>
        <v>1196</v>
      </c>
      <c r="AD519" s="69">
        <f>Datasheet!AD886</f>
        <v>0</v>
      </c>
      <c r="AE519" s="69">
        <f>Datasheet!AE886</f>
        <v>0</v>
      </c>
      <c r="AF519" s="69">
        <f>Datasheet!AF886</f>
        <v>1152</v>
      </c>
      <c r="AG519" s="69">
        <f>Datasheet!AG886</f>
        <v>0</v>
      </c>
      <c r="AH519" s="69">
        <f>Datasheet!AH886</f>
        <v>0</v>
      </c>
      <c r="AI519" s="69">
        <f>Datasheet!AI886</f>
        <v>0</v>
      </c>
      <c r="AJ519" s="69">
        <f>Datasheet!AJ886</f>
        <v>0</v>
      </c>
      <c r="AK519" s="69">
        <f>Datasheet!AK886</f>
        <v>0</v>
      </c>
    </row>
    <row r="520" spans="2:37" s="4" customFormat="1" x14ac:dyDescent="0.25">
      <c r="B520" s="44"/>
      <c r="E520" s="4" t="s">
        <v>1136</v>
      </c>
      <c r="H520" s="4" t="s">
        <v>23</v>
      </c>
      <c r="I520" s="69"/>
      <c r="J520" s="69"/>
      <c r="K520" s="69"/>
      <c r="L520" s="69"/>
      <c r="M520" s="69"/>
      <c r="N520" s="69"/>
      <c r="O520" s="69"/>
      <c r="P520" s="69"/>
      <c r="Q520" s="69">
        <f>Datasheet!Q883</f>
        <v>135</v>
      </c>
      <c r="R520" s="69">
        <f>Datasheet!R883</f>
        <v>137</v>
      </c>
      <c r="S520" s="69">
        <f>Datasheet!S883</f>
        <v>141</v>
      </c>
      <c r="T520" s="69">
        <f>Datasheet!T883</f>
        <v>144</v>
      </c>
      <c r="U520" s="69">
        <f>Datasheet!U883</f>
        <v>151</v>
      </c>
      <c r="V520" s="69">
        <f>Datasheet!V883</f>
        <v>155</v>
      </c>
      <c r="W520" s="69">
        <f>Datasheet!W883</f>
        <v>161</v>
      </c>
      <c r="X520" s="69">
        <f>Datasheet!X883</f>
        <v>169</v>
      </c>
      <c r="Y520" s="69">
        <f>Datasheet!Y883</f>
        <v>173</v>
      </c>
      <c r="Z520" s="69">
        <f>Datasheet!Z883</f>
        <v>177</v>
      </c>
      <c r="AA520" s="69">
        <f>Datasheet!AA883</f>
        <v>177</v>
      </c>
      <c r="AB520" s="69">
        <f>Datasheet!AB883</f>
        <v>177</v>
      </c>
      <c r="AC520" s="69">
        <f>Datasheet!AC883</f>
        <v>177</v>
      </c>
      <c r="AD520" s="69">
        <f>Datasheet!AD883</f>
        <v>0</v>
      </c>
      <c r="AE520" s="69">
        <f>Datasheet!AE883</f>
        <v>0</v>
      </c>
      <c r="AF520" s="69">
        <f>Datasheet!AF883</f>
        <v>0</v>
      </c>
      <c r="AG520" s="69">
        <f>Datasheet!AG883</f>
        <v>0</v>
      </c>
      <c r="AH520" s="69">
        <f>Datasheet!AH883</f>
        <v>0</v>
      </c>
      <c r="AI520" s="69">
        <f>Datasheet!AI883</f>
        <v>0</v>
      </c>
      <c r="AJ520" s="69">
        <f>Datasheet!AJ883</f>
        <v>0</v>
      </c>
      <c r="AK520" s="69">
        <f>Datasheet!AK883</f>
        <v>0</v>
      </c>
    </row>
    <row r="521" spans="2:37" s="4" customFormat="1" x14ac:dyDescent="0.25">
      <c r="B521" s="44"/>
      <c r="E521" s="4" t="s">
        <v>1137</v>
      </c>
      <c r="H521" s="4" t="s">
        <v>23</v>
      </c>
      <c r="I521" s="69"/>
      <c r="J521" s="69"/>
      <c r="K521" s="69"/>
      <c r="L521" s="69"/>
      <c r="M521" s="69"/>
      <c r="N521" s="69"/>
      <c r="O521" s="69"/>
      <c r="P521" s="69"/>
      <c r="Q521" s="69">
        <f t="shared" ref="Q521:AK521" si="53">Q517*Q514/Q512-Q522</f>
        <v>1582.4066644377576</v>
      </c>
      <c r="R521" s="69">
        <f t="shared" si="53"/>
        <v>1449.9884934309357</v>
      </c>
      <c r="S521" s="69">
        <f t="shared" si="53"/>
        <v>1637.9769724456028</v>
      </c>
      <c r="T521" s="69">
        <f t="shared" si="53"/>
        <v>1886.3589272409004</v>
      </c>
      <c r="U521" s="69">
        <f t="shared" si="53"/>
        <v>2041.6725490984609</v>
      </c>
      <c r="V521" s="69">
        <f t="shared" si="53"/>
        <v>2054.2331174484689</v>
      </c>
      <c r="W521" s="69">
        <f t="shared" si="53"/>
        <v>2228.196839590285</v>
      </c>
      <c r="X521" s="69">
        <f t="shared" si="53"/>
        <v>2333.6220662496512</v>
      </c>
      <c r="Y521" s="69">
        <f t="shared" si="53"/>
        <v>2395.7741815987815</v>
      </c>
      <c r="Z521" s="69">
        <f t="shared" si="53"/>
        <v>2054.1217880302765</v>
      </c>
      <c r="AA521" s="69">
        <f t="shared" si="53"/>
        <v>3078.9400561973152</v>
      </c>
      <c r="AB521" s="69">
        <f t="shared" si="53"/>
        <v>2430.6618403105654</v>
      </c>
      <c r="AC521" s="69">
        <f t="shared" si="53"/>
        <v>2842.847384691981</v>
      </c>
      <c r="AD521" s="69">
        <f t="shared" si="53"/>
        <v>3794.2873925479757</v>
      </c>
      <c r="AE521" s="69">
        <f t="shared" si="53"/>
        <v>3988.0319288480759</v>
      </c>
      <c r="AF521" s="69">
        <f t="shared" si="53"/>
        <v>3613.0534066198452</v>
      </c>
      <c r="AG521" s="69">
        <f t="shared" si="53"/>
        <v>4441.4604573044307</v>
      </c>
      <c r="AH521" s="69">
        <f t="shared" si="53"/>
        <v>4570.6279159954029</v>
      </c>
      <c r="AI521" s="69">
        <f t="shared" si="53"/>
        <v>4837.7742311475349</v>
      </c>
      <c r="AJ521" s="69">
        <f t="shared" si="53"/>
        <v>4990.8230035957013</v>
      </c>
      <c r="AK521" s="69">
        <f t="shared" si="53"/>
        <v>5246.5008750712814</v>
      </c>
    </row>
    <row r="522" spans="2:37" s="79" customFormat="1" x14ac:dyDescent="0.25">
      <c r="B522" s="136"/>
      <c r="F522" s="79" t="s">
        <v>468</v>
      </c>
      <c r="H522" s="79" t="s">
        <v>23</v>
      </c>
      <c r="I522" s="100"/>
      <c r="J522" s="100"/>
      <c r="K522" s="100"/>
      <c r="L522" s="100"/>
      <c r="M522" s="100"/>
      <c r="N522" s="100"/>
      <c r="O522" s="100"/>
      <c r="P522" s="100"/>
      <c r="Q522" s="100">
        <f>Datasheet!Q893</f>
        <v>359</v>
      </c>
      <c r="R522" s="100">
        <f>Datasheet!R893</f>
        <v>361</v>
      </c>
      <c r="S522" s="100">
        <f>Datasheet!S893</f>
        <v>365</v>
      </c>
      <c r="T522" s="100">
        <f>Datasheet!T893</f>
        <v>382</v>
      </c>
      <c r="U522" s="100">
        <f>Datasheet!U893</f>
        <v>389</v>
      </c>
      <c r="V522" s="100">
        <f>Datasheet!V893</f>
        <v>440</v>
      </c>
      <c r="W522" s="100">
        <f>Datasheet!W893</f>
        <v>484</v>
      </c>
      <c r="X522" s="100">
        <f>Datasheet!X893</f>
        <v>500</v>
      </c>
      <c r="Y522" s="100">
        <f>Datasheet!Y893</f>
        <v>566</v>
      </c>
      <c r="Z522" s="100">
        <f>Datasheet!Z893</f>
        <v>632</v>
      </c>
      <c r="AA522" s="100">
        <f>Datasheet!AA893</f>
        <v>707</v>
      </c>
      <c r="AB522" s="100">
        <f>Datasheet!AB893</f>
        <v>768</v>
      </c>
      <c r="AC522" s="100">
        <f>Datasheet!AC893</f>
        <v>775</v>
      </c>
      <c r="AD522" s="100">
        <f>Datasheet!AD893</f>
        <v>0</v>
      </c>
      <c r="AE522" s="100">
        <f>Datasheet!AE893</f>
        <v>0</v>
      </c>
      <c r="AF522" s="100">
        <f>Datasheet!AF893</f>
        <v>554</v>
      </c>
      <c r="AG522" s="100">
        <f>Datasheet!AG893</f>
        <v>0</v>
      </c>
      <c r="AH522" s="100">
        <f>Datasheet!AH893</f>
        <v>0</v>
      </c>
      <c r="AI522" s="100">
        <f>Datasheet!AI893</f>
        <v>0</v>
      </c>
      <c r="AJ522" s="100">
        <f>Datasheet!AJ893</f>
        <v>0</v>
      </c>
      <c r="AK522" s="100">
        <f>Datasheet!AK893</f>
        <v>0</v>
      </c>
    </row>
    <row r="523" spans="2:37" s="4" customFormat="1" x14ac:dyDescent="0.25">
      <c r="B523" s="44"/>
      <c r="E523" s="4" t="s">
        <v>1138</v>
      </c>
      <c r="H523" s="4" t="s">
        <v>23</v>
      </c>
      <c r="I523" s="69"/>
      <c r="J523" s="69"/>
      <c r="K523" s="69"/>
      <c r="L523" s="69"/>
      <c r="M523" s="69"/>
      <c r="N523" s="69"/>
      <c r="O523" s="69"/>
      <c r="P523" s="69"/>
      <c r="Q523" s="69">
        <f t="shared" ref="Q523:AK523" si="54">Q517*Q513/Q512-Q524</f>
        <v>2716.3854898027416</v>
      </c>
      <c r="R523" s="69">
        <f t="shared" si="54"/>
        <v>2661.8811414443535</v>
      </c>
      <c r="S523" s="69">
        <f t="shared" si="54"/>
        <v>2671.5524406344143</v>
      </c>
      <c r="T523" s="69">
        <f t="shared" si="54"/>
        <v>2783.9751833835749</v>
      </c>
      <c r="U523" s="69">
        <f t="shared" si="54"/>
        <v>2995.8325543552965</v>
      </c>
      <c r="V523" s="69">
        <f t="shared" si="54"/>
        <v>3294.0175110458463</v>
      </c>
      <c r="W523" s="69">
        <f t="shared" si="54"/>
        <v>3491.5197969736769</v>
      </c>
      <c r="X523" s="69">
        <f t="shared" si="54"/>
        <v>3487.5022635585542</v>
      </c>
      <c r="Y523" s="69">
        <f t="shared" si="54"/>
        <v>3669.0092306748129</v>
      </c>
      <c r="Z523" s="69">
        <f t="shared" si="54"/>
        <v>3765.5386320226917</v>
      </c>
      <c r="AA523" s="69">
        <f t="shared" si="54"/>
        <v>4460.5158705380372</v>
      </c>
      <c r="AB523" s="69">
        <f t="shared" si="54"/>
        <v>4272.2179204700451</v>
      </c>
      <c r="AC523" s="69">
        <f t="shared" si="54"/>
        <v>4511.8257415156504</v>
      </c>
      <c r="AD523" s="69">
        <f t="shared" si="54"/>
        <v>5315.5301879752869</v>
      </c>
      <c r="AE523" s="69">
        <f t="shared" si="54"/>
        <v>5543.702035573283</v>
      </c>
      <c r="AF523" s="69">
        <f t="shared" si="54"/>
        <v>5151.7040371706735</v>
      </c>
      <c r="AG523" s="69">
        <f t="shared" si="54"/>
        <v>5991.5521978172947</v>
      </c>
      <c r="AH523" s="69">
        <f t="shared" si="54"/>
        <v>6195.1143357218552</v>
      </c>
      <c r="AI523" s="69">
        <f t="shared" si="54"/>
        <v>6422.6991640606548</v>
      </c>
      <c r="AJ523" s="69">
        <f t="shared" si="54"/>
        <v>6654.2025974598964</v>
      </c>
      <c r="AK523" s="69">
        <f t="shared" si="54"/>
        <v>6889.6245621530043</v>
      </c>
    </row>
    <row r="524" spans="2:37" s="79" customFormat="1" x14ac:dyDescent="0.25">
      <c r="B524" s="136"/>
      <c r="F524" s="79" t="s">
        <v>470</v>
      </c>
      <c r="H524" s="79" t="s">
        <v>23</v>
      </c>
      <c r="I524" s="100"/>
      <c r="J524" s="100"/>
      <c r="K524" s="100"/>
      <c r="L524" s="100"/>
      <c r="M524" s="100"/>
      <c r="N524" s="100"/>
      <c r="O524" s="100"/>
      <c r="P524" s="100"/>
      <c r="Q524" s="100">
        <f>Datasheet!Q892</f>
        <v>425</v>
      </c>
      <c r="R524" s="100">
        <f>Datasheet!R892</f>
        <v>425</v>
      </c>
      <c r="S524" s="100">
        <f>Datasheet!S892</f>
        <v>478</v>
      </c>
      <c r="T524" s="100">
        <f>Datasheet!T892</f>
        <v>491</v>
      </c>
      <c r="U524" s="100">
        <f>Datasheet!U892</f>
        <v>500</v>
      </c>
      <c r="V524" s="100">
        <f>Datasheet!V892</f>
        <v>526</v>
      </c>
      <c r="W524" s="100">
        <f>Datasheet!W892</f>
        <v>550</v>
      </c>
      <c r="X524" s="100">
        <f>Datasheet!X892</f>
        <v>552</v>
      </c>
      <c r="Y524" s="100">
        <f>Datasheet!Y892</f>
        <v>570</v>
      </c>
      <c r="Z524" s="100">
        <f>Datasheet!Z892</f>
        <v>550</v>
      </c>
      <c r="AA524" s="100">
        <f>Datasheet!AA892</f>
        <v>549</v>
      </c>
      <c r="AB524" s="100">
        <f>Datasheet!AB892</f>
        <v>569</v>
      </c>
      <c r="AC524" s="100">
        <f>Datasheet!AC892</f>
        <v>598</v>
      </c>
      <c r="AD524" s="100">
        <f>Datasheet!AD892</f>
        <v>0</v>
      </c>
      <c r="AE524" s="100">
        <f>Datasheet!AE892</f>
        <v>0</v>
      </c>
      <c r="AF524" s="100">
        <f>Datasheet!AF892</f>
        <v>598</v>
      </c>
      <c r="AG524" s="100">
        <f>Datasheet!AG892</f>
        <v>0</v>
      </c>
      <c r="AH524" s="100">
        <f>Datasheet!AH892</f>
        <v>0</v>
      </c>
      <c r="AI524" s="100">
        <f>Datasheet!AI892</f>
        <v>0</v>
      </c>
      <c r="AJ524" s="100">
        <f>Datasheet!AJ892</f>
        <v>0</v>
      </c>
      <c r="AK524" s="100">
        <f>Datasheet!AK892</f>
        <v>0</v>
      </c>
    </row>
    <row r="525" spans="2:37" s="4" customFormat="1" x14ac:dyDescent="0.25">
      <c r="B525" s="44"/>
      <c r="D525" s="4" t="s">
        <v>1139</v>
      </c>
      <c r="H525" s="4" t="s">
        <v>23</v>
      </c>
      <c r="I525" s="69"/>
      <c r="J525" s="69"/>
      <c r="K525" s="69"/>
      <c r="L525" s="69"/>
      <c r="M525" s="69"/>
      <c r="N525" s="69"/>
      <c r="O525" s="69"/>
      <c r="P525" s="69"/>
      <c r="Q525" s="69">
        <f>SUM(Q526:Q527)</f>
        <v>3420</v>
      </c>
      <c r="R525" s="69">
        <f t="shared" ref="R525:AK525" si="55">SUM(R526:R527)</f>
        <v>3600</v>
      </c>
      <c r="S525" s="69">
        <f t="shared" si="55"/>
        <v>3450</v>
      </c>
      <c r="T525" s="69">
        <f t="shared" si="55"/>
        <v>3255.125</v>
      </c>
      <c r="U525" s="69">
        <f t="shared" si="55"/>
        <v>3123.25</v>
      </c>
      <c r="V525" s="69">
        <f t="shared" si="55"/>
        <v>3034.375</v>
      </c>
      <c r="W525" s="69">
        <f t="shared" si="55"/>
        <v>2954.5</v>
      </c>
      <c r="X525" s="69">
        <f t="shared" si="55"/>
        <v>3027.625</v>
      </c>
      <c r="Y525" s="69">
        <f t="shared" si="55"/>
        <v>2990.75</v>
      </c>
      <c r="Z525" s="69">
        <f t="shared" si="55"/>
        <v>3362.875</v>
      </c>
      <c r="AA525" s="69">
        <f t="shared" si="55"/>
        <v>2441</v>
      </c>
      <c r="AB525" s="69">
        <f t="shared" si="55"/>
        <v>3098</v>
      </c>
      <c r="AC525" s="69">
        <f t="shared" si="55"/>
        <v>2896.3888178085053</v>
      </c>
      <c r="AD525" s="69">
        <f t="shared" si="55"/>
        <v>2690.0251247683082</v>
      </c>
      <c r="AE525" s="69">
        <f t="shared" si="55"/>
        <v>2454.8957665863309</v>
      </c>
      <c r="AF525" s="69">
        <f t="shared" si="55"/>
        <v>2262.0095218751467</v>
      </c>
      <c r="AG525" s="69">
        <f t="shared" si="55"/>
        <v>2018.9132566507396</v>
      </c>
      <c r="AH525" s="69">
        <f t="shared" si="55"/>
        <v>1841.8080805743011</v>
      </c>
      <c r="AI525" s="69">
        <f t="shared" si="55"/>
        <v>1633.3762171634153</v>
      </c>
      <c r="AJ525" s="69">
        <f t="shared" si="55"/>
        <v>1424.9874143552079</v>
      </c>
      <c r="AK525" s="69">
        <f t="shared" si="55"/>
        <v>1216.634395989282</v>
      </c>
    </row>
    <row r="526" spans="2:37" s="4" customFormat="1" x14ac:dyDescent="0.25">
      <c r="B526" s="44"/>
      <c r="E526" s="4" t="s">
        <v>1140</v>
      </c>
      <c r="H526" s="4" t="s">
        <v>23</v>
      </c>
      <c r="I526" s="69"/>
      <c r="J526" s="69"/>
      <c r="K526" s="69"/>
      <c r="L526" s="69"/>
      <c r="M526" s="69"/>
      <c r="N526" s="69"/>
      <c r="O526" s="69"/>
      <c r="P526" s="69"/>
      <c r="Q526" s="69">
        <f t="shared" ref="Q526:AK526" si="56">Q510-Q512</f>
        <v>653</v>
      </c>
      <c r="R526" s="69">
        <f t="shared" si="56"/>
        <v>776.71529135705896</v>
      </c>
      <c r="S526" s="69">
        <f t="shared" si="56"/>
        <v>822.56824403597966</v>
      </c>
      <c r="T526" s="69">
        <f t="shared" si="56"/>
        <v>834.01862534219799</v>
      </c>
      <c r="U526" s="69">
        <f t="shared" si="56"/>
        <v>880.01222135314856</v>
      </c>
      <c r="V526" s="69">
        <f t="shared" si="56"/>
        <v>941.03632186155664</v>
      </c>
      <c r="W526" s="69">
        <f t="shared" si="56"/>
        <v>989.40574892452059</v>
      </c>
      <c r="X526" s="69">
        <f t="shared" si="56"/>
        <v>1033.0591024638234</v>
      </c>
      <c r="Y526" s="69">
        <f t="shared" si="56"/>
        <v>1128.8954829878767</v>
      </c>
      <c r="Z526" s="69">
        <f t="shared" si="56"/>
        <v>1417.5938111067644</v>
      </c>
      <c r="AA526" s="69">
        <f t="shared" si="56"/>
        <v>1414</v>
      </c>
      <c r="AB526" s="69">
        <f t="shared" si="56"/>
        <v>1725</v>
      </c>
      <c r="AC526" s="69">
        <f t="shared" si="56"/>
        <v>1527.8505920679727</v>
      </c>
      <c r="AD526" s="69">
        <f t="shared" si="56"/>
        <v>1309.9623338558013</v>
      </c>
      <c r="AE526" s="69">
        <f t="shared" si="56"/>
        <v>954.68542076665653</v>
      </c>
      <c r="AF526" s="69">
        <f t="shared" si="56"/>
        <v>728.8623012852222</v>
      </c>
      <c r="AG526" s="69">
        <f t="shared" si="56"/>
        <v>389.16871528552656</v>
      </c>
      <c r="AH526" s="69">
        <f t="shared" si="56"/>
        <v>226.46398398117162</v>
      </c>
      <c r="AI526" s="69">
        <f t="shared" si="56"/>
        <v>-11.933832680286287</v>
      </c>
      <c r="AJ526" s="69">
        <f t="shared" si="56"/>
        <v>-256.4460085994815</v>
      </c>
      <c r="AK526" s="69">
        <f t="shared" si="56"/>
        <v>-495.63322380947648</v>
      </c>
    </row>
    <row r="527" spans="2:37" s="4" customFormat="1" x14ac:dyDescent="0.25">
      <c r="B527" s="44"/>
      <c r="E527" s="4" t="s">
        <v>1141</v>
      </c>
      <c r="H527" s="4" t="s">
        <v>23</v>
      </c>
      <c r="I527" s="69"/>
      <c r="J527" s="69"/>
      <c r="K527" s="69"/>
      <c r="L527" s="69"/>
      <c r="M527" s="69"/>
      <c r="N527" s="69"/>
      <c r="O527" s="69"/>
      <c r="P527" s="69"/>
      <c r="Q527" s="69">
        <f t="shared" ref="Q527:AK527" si="57">Q512-Q517</f>
        <v>2767</v>
      </c>
      <c r="R527" s="69">
        <f t="shared" si="57"/>
        <v>2823.284708642941</v>
      </c>
      <c r="S527" s="69">
        <f t="shared" si="57"/>
        <v>2627.4317559640203</v>
      </c>
      <c r="T527" s="69">
        <f t="shared" si="57"/>
        <v>2421.106374657802</v>
      </c>
      <c r="U527" s="69">
        <f t="shared" si="57"/>
        <v>2243.2377786468514</v>
      </c>
      <c r="V527" s="69">
        <f t="shared" si="57"/>
        <v>2093.3386781384434</v>
      </c>
      <c r="W527" s="69">
        <f t="shared" si="57"/>
        <v>1965.0942510754794</v>
      </c>
      <c r="X527" s="69">
        <f t="shared" si="57"/>
        <v>1994.5658975361766</v>
      </c>
      <c r="Y527" s="69">
        <f t="shared" si="57"/>
        <v>1861.8545170121233</v>
      </c>
      <c r="Z527" s="69">
        <f t="shared" si="57"/>
        <v>1945.2811888932356</v>
      </c>
      <c r="AA527" s="69">
        <f t="shared" si="57"/>
        <v>1027</v>
      </c>
      <c r="AB527" s="69">
        <f t="shared" si="57"/>
        <v>1373</v>
      </c>
      <c r="AC527" s="69">
        <f t="shared" si="57"/>
        <v>1368.5382257405327</v>
      </c>
      <c r="AD527" s="69">
        <f t="shared" si="57"/>
        <v>1380.0627909125069</v>
      </c>
      <c r="AE527" s="69">
        <f t="shared" si="57"/>
        <v>1500.2103458196743</v>
      </c>
      <c r="AF527" s="69">
        <f t="shared" si="57"/>
        <v>1533.1472205899245</v>
      </c>
      <c r="AG527" s="69">
        <f t="shared" si="57"/>
        <v>1629.7445413652131</v>
      </c>
      <c r="AH527" s="69">
        <f t="shared" si="57"/>
        <v>1615.3440965931295</v>
      </c>
      <c r="AI527" s="69">
        <f t="shared" si="57"/>
        <v>1645.3100498437016</v>
      </c>
      <c r="AJ527" s="69">
        <f t="shared" si="57"/>
        <v>1681.4334229546894</v>
      </c>
      <c r="AK527" s="69">
        <f t="shared" si="57"/>
        <v>1712.2676197987585</v>
      </c>
    </row>
    <row r="528" spans="2:37" s="64" customFormat="1" x14ac:dyDescent="0.25"/>
    <row r="529" spans="1:4" s="70" customFormat="1" ht="17.25" x14ac:dyDescent="0.3">
      <c r="A529" s="70" t="s">
        <v>36</v>
      </c>
    </row>
    <row r="530" spans="1:4" x14ac:dyDescent="0.25">
      <c r="B530" s="29" t="s">
        <v>877</v>
      </c>
      <c r="C530" t="s">
        <v>754</v>
      </c>
    </row>
    <row r="531" spans="1:4" x14ac:dyDescent="0.25">
      <c r="B531" s="29" t="s">
        <v>1142</v>
      </c>
      <c r="C531" t="s">
        <v>1143</v>
      </c>
    </row>
    <row r="532" spans="1:4" x14ac:dyDescent="0.25">
      <c r="B532" s="29"/>
      <c r="D532" t="s">
        <v>1144</v>
      </c>
    </row>
    <row r="533" spans="1:4" x14ac:dyDescent="0.25">
      <c r="B533" s="29"/>
      <c r="D533" t="s">
        <v>1145</v>
      </c>
    </row>
    <row r="534" spans="1:4" x14ac:dyDescent="0.25">
      <c r="B534" s="29" t="s">
        <v>881</v>
      </c>
      <c r="C534" t="s">
        <v>1146</v>
      </c>
    </row>
    <row r="535" spans="1:4" x14ac:dyDescent="0.25">
      <c r="B535" s="29" t="s">
        <v>883</v>
      </c>
      <c r="C535" s="263" t="s">
        <v>33</v>
      </c>
    </row>
    <row r="536" spans="1:4" x14ac:dyDescent="0.25">
      <c r="B536" s="29"/>
      <c r="C536" t="s">
        <v>1147</v>
      </c>
    </row>
    <row r="537" spans="1:4" x14ac:dyDescent="0.25">
      <c r="B537" s="29"/>
      <c r="C537" s="263" t="s">
        <v>236</v>
      </c>
    </row>
    <row r="538" spans="1:4" x14ac:dyDescent="0.25">
      <c r="B538" s="29"/>
      <c r="C538" s="263" t="s">
        <v>1148</v>
      </c>
    </row>
    <row r="539" spans="1:4" x14ac:dyDescent="0.25">
      <c r="B539" s="29"/>
      <c r="C539" s="263" t="s">
        <v>149</v>
      </c>
    </row>
    <row r="540" spans="1:4" x14ac:dyDescent="0.25">
      <c r="B540" s="29"/>
      <c r="C540" s="263" t="s">
        <v>180</v>
      </c>
    </row>
    <row r="541" spans="1:4" x14ac:dyDescent="0.25">
      <c r="B541" s="29"/>
      <c r="C541" s="263" t="s">
        <v>1117</v>
      </c>
    </row>
    <row r="542" spans="1:4" x14ac:dyDescent="0.25">
      <c r="B542" s="29"/>
      <c r="C542" s="263" t="s">
        <v>1149</v>
      </c>
    </row>
    <row r="543" spans="1:4" x14ac:dyDescent="0.25">
      <c r="B543" s="29"/>
      <c r="C543" s="263" t="s">
        <v>1150</v>
      </c>
    </row>
    <row r="544" spans="1:4" x14ac:dyDescent="0.25">
      <c r="B544" s="29"/>
      <c r="C544" s="263" t="s">
        <v>412</v>
      </c>
    </row>
    <row r="545" spans="2:5" x14ac:dyDescent="0.25">
      <c r="B545" s="29"/>
      <c r="C545" s="263" t="s">
        <v>418</v>
      </c>
    </row>
    <row r="546" spans="2:5" x14ac:dyDescent="0.25">
      <c r="B546" s="29"/>
      <c r="C546" s="263" t="s">
        <v>520</v>
      </c>
    </row>
    <row r="547" spans="2:5" x14ac:dyDescent="0.25">
      <c r="B547" s="29"/>
      <c r="C547" s="263" t="s">
        <v>924</v>
      </c>
    </row>
    <row r="548" spans="2:5" x14ac:dyDescent="0.25">
      <c r="B548" s="29" t="s">
        <v>885</v>
      </c>
      <c r="C548" t="s">
        <v>1151</v>
      </c>
    </row>
    <row r="549" spans="2:5" x14ac:dyDescent="0.25">
      <c r="B549" s="29"/>
      <c r="D549" t="s">
        <v>1152</v>
      </c>
    </row>
    <row r="550" spans="2:5" x14ac:dyDescent="0.25">
      <c r="B550" s="29"/>
      <c r="E550" s="69" t="s">
        <v>1153</v>
      </c>
    </row>
    <row r="551" spans="2:5" x14ac:dyDescent="0.25">
      <c r="B551" s="29"/>
      <c r="E551" t="s">
        <v>1154</v>
      </c>
    </row>
    <row r="552" spans="2:5" x14ac:dyDescent="0.25">
      <c r="B552" s="29"/>
      <c r="E552" t="s">
        <v>1155</v>
      </c>
    </row>
    <row r="553" spans="2:5" x14ac:dyDescent="0.25">
      <c r="B553" s="29"/>
      <c r="E553" t="s">
        <v>1156</v>
      </c>
    </row>
    <row r="554" spans="2:5" x14ac:dyDescent="0.25">
      <c r="B554" s="29" t="s">
        <v>886</v>
      </c>
      <c r="C554" t="s">
        <v>1157</v>
      </c>
    </row>
    <row r="555" spans="2:5" x14ac:dyDescent="0.25">
      <c r="B555" s="29"/>
      <c r="D555" t="s">
        <v>1158</v>
      </c>
    </row>
    <row r="556" spans="2:5" x14ac:dyDescent="0.25">
      <c r="B556" s="29" t="s">
        <v>887</v>
      </c>
      <c r="C556" t="s">
        <v>1159</v>
      </c>
    </row>
    <row r="557" spans="2:5" x14ac:dyDescent="0.25">
      <c r="B557" s="29"/>
      <c r="C557" t="s">
        <v>1160</v>
      </c>
    </row>
    <row r="558" spans="2:5" x14ac:dyDescent="0.25">
      <c r="B558" s="29"/>
      <c r="C558" t="s">
        <v>1161</v>
      </c>
    </row>
    <row r="559" spans="2:5" x14ac:dyDescent="0.25">
      <c r="B559" s="29"/>
      <c r="C559" t="s">
        <v>1162</v>
      </c>
    </row>
    <row r="560" spans="2:5" x14ac:dyDescent="0.25">
      <c r="B560" s="29" t="s">
        <v>19</v>
      </c>
      <c r="C560" t="s">
        <v>1163</v>
      </c>
    </row>
    <row r="561" spans="2:4" x14ac:dyDescent="0.25">
      <c r="B561" s="29"/>
      <c r="C561" t="s">
        <v>1164</v>
      </c>
    </row>
    <row r="562" spans="2:4" x14ac:dyDescent="0.25">
      <c r="B562" s="29"/>
      <c r="C562" t="s">
        <v>1165</v>
      </c>
    </row>
    <row r="563" spans="2:4" x14ac:dyDescent="0.25">
      <c r="B563" s="29"/>
      <c r="D563" t="s">
        <v>1166</v>
      </c>
    </row>
    <row r="564" spans="2:4" x14ac:dyDescent="0.25">
      <c r="B564" s="29"/>
      <c r="C564" t="s">
        <v>1167</v>
      </c>
    </row>
    <row r="565" spans="2:4" s="88" customFormat="1" ht="15.75" thickBot="1" x14ac:dyDescent="0.3">
      <c r="B565" s="95"/>
      <c r="C565" s="88" t="s">
        <v>1168</v>
      </c>
    </row>
    <row r="566" spans="2:4" ht="15.75" thickTop="1" x14ac:dyDescent="0.25"/>
    <row r="581" spans="2:37" x14ac:dyDescent="0.25">
      <c r="B581" s="44" t="s">
        <v>21</v>
      </c>
      <c r="C581" t="s">
        <v>1169</v>
      </c>
    </row>
    <row r="582" spans="2:37" s="4" customFormat="1" x14ac:dyDescent="0.25">
      <c r="D582" s="4" t="s">
        <v>22</v>
      </c>
      <c r="H582" s="4" t="s">
        <v>23</v>
      </c>
      <c r="I582" s="69">
        <f>Datasheet!I106</f>
        <v>8023</v>
      </c>
      <c r="J582" s="69">
        <f>Datasheet!J106</f>
        <v>8210</v>
      </c>
      <c r="K582" s="69">
        <f>Datasheet!K106</f>
        <v>8531</v>
      </c>
      <c r="L582" s="69">
        <f>Datasheet!L106</f>
        <v>8687</v>
      </c>
      <c r="M582" s="69">
        <f>Datasheet!M106</f>
        <v>8944</v>
      </c>
      <c r="N582" s="69">
        <f>Datasheet!N106</f>
        <v>9110</v>
      </c>
      <c r="O582" s="69">
        <f>Datasheet!O106</f>
        <v>9275</v>
      </c>
      <c r="P582" s="69">
        <f>Datasheet!P106</f>
        <v>9456</v>
      </c>
      <c r="Q582" s="69">
        <f>Datasheet!Q106</f>
        <v>9626</v>
      </c>
      <c r="R582" s="69">
        <f>Datasheet!R106</f>
        <v>9694</v>
      </c>
      <c r="S582" s="69">
        <f>Datasheet!S106</f>
        <v>9760</v>
      </c>
      <c r="T582" s="69">
        <f>Datasheet!T106</f>
        <v>9835.125</v>
      </c>
      <c r="U582" s="69">
        <f>Datasheet!U106</f>
        <v>9953.25</v>
      </c>
      <c r="V582" s="69">
        <f>Datasheet!V106</f>
        <v>10092.375</v>
      </c>
      <c r="W582" s="69">
        <f>Datasheet!W106</f>
        <v>10237.5</v>
      </c>
      <c r="X582" s="69">
        <f>Datasheet!X106</f>
        <v>10335.625</v>
      </c>
      <c r="Y582" s="69">
        <f>Datasheet!Y106</f>
        <v>10521.75</v>
      </c>
      <c r="Z582" s="69">
        <f>Datasheet!Z106</f>
        <v>10775.875</v>
      </c>
      <c r="AA582" s="69">
        <f>Datasheet!AA106</f>
        <v>11023</v>
      </c>
      <c r="AB582" s="69">
        <f>Datasheet!AB106</f>
        <v>11256</v>
      </c>
      <c r="AC582" s="69">
        <f>Datasheet!AC106</f>
        <v>11372</v>
      </c>
      <c r="AD582" s="69">
        <f>Datasheet!AD106</f>
        <v>11371</v>
      </c>
      <c r="AE582" s="69">
        <f>Datasheet!AE106</f>
        <v>11371</v>
      </c>
      <c r="AF582" s="69">
        <f>Datasheet!AF106</f>
        <v>11371</v>
      </c>
      <c r="AG582" s="69">
        <f>Datasheet!AG106</f>
        <v>11371</v>
      </c>
      <c r="AH582" s="69">
        <f>Datasheet!AH106</f>
        <v>11371</v>
      </c>
      <c r="AI582" s="69">
        <f>Datasheet!AI106</f>
        <v>11371</v>
      </c>
      <c r="AJ582" s="69">
        <f>Datasheet!AJ106</f>
        <v>11371</v>
      </c>
      <c r="AK582" s="69">
        <f>Datasheet!AK106</f>
        <v>11371</v>
      </c>
    </row>
    <row r="583" spans="2:37" s="4" customFormat="1" x14ac:dyDescent="0.25">
      <c r="B583" s="44"/>
      <c r="D583" s="4" t="s">
        <v>29</v>
      </c>
      <c r="H583" s="4" t="s">
        <v>30</v>
      </c>
      <c r="I583" s="69">
        <f>Datasheet!I120</f>
        <v>5588</v>
      </c>
      <c r="J583" s="69">
        <f>Datasheet!J120</f>
        <v>5627</v>
      </c>
      <c r="K583" s="69">
        <f>Datasheet!K120</f>
        <v>5676</v>
      </c>
      <c r="L583" s="69">
        <f>Datasheet!L120</f>
        <v>5762</v>
      </c>
      <c r="M583" s="69">
        <f>Datasheet!M120</f>
        <v>5850</v>
      </c>
      <c r="N583" s="69">
        <f>Datasheet!N120</f>
        <v>5904</v>
      </c>
      <c r="O583" s="69">
        <f>Datasheet!O120</f>
        <v>5930</v>
      </c>
      <c r="P583" s="69">
        <f>Datasheet!P120</f>
        <v>5957</v>
      </c>
      <c r="Q583" s="69">
        <f>Datasheet!Q120</f>
        <v>5992</v>
      </c>
      <c r="R583" s="69">
        <f>Datasheet!R120</f>
        <v>5993</v>
      </c>
      <c r="S583" s="69">
        <f>Datasheet!S120</f>
        <v>6018</v>
      </c>
      <c r="T583" s="69">
        <f>Datasheet!T120</f>
        <v>5990.5</v>
      </c>
      <c r="U583" s="69">
        <f>Datasheet!U120</f>
        <v>6020</v>
      </c>
      <c r="V583" s="69">
        <f>Datasheet!V120</f>
        <v>5992.5</v>
      </c>
      <c r="W583" s="69">
        <f>Datasheet!W120</f>
        <v>5965</v>
      </c>
      <c r="X583" s="69">
        <f>Datasheet!X120</f>
        <v>6068.5</v>
      </c>
      <c r="Y583" s="69">
        <f>Datasheet!Y120</f>
        <v>6115</v>
      </c>
      <c r="Z583" s="69">
        <f>Datasheet!Z120</f>
        <v>6091.5</v>
      </c>
      <c r="AA583" s="69">
        <f>Datasheet!AA120</f>
        <v>6080</v>
      </c>
      <c r="AB583" s="69">
        <f>Datasheet!AB120</f>
        <v>6180</v>
      </c>
      <c r="AC583" s="69">
        <f>Datasheet!AC120</f>
        <v>6192</v>
      </c>
      <c r="AD583" s="69">
        <f>Datasheet!AD120</f>
        <v>6192</v>
      </c>
      <c r="AE583" s="69">
        <f>Datasheet!AE120</f>
        <v>6192</v>
      </c>
      <c r="AF583" s="69">
        <f>Datasheet!AF120</f>
        <v>6192</v>
      </c>
      <c r="AG583" s="69">
        <f>Datasheet!AG120</f>
        <v>6192</v>
      </c>
      <c r="AH583" s="69">
        <f>Datasheet!AH120</f>
        <v>6192</v>
      </c>
      <c r="AI583" s="69">
        <f>Datasheet!AI120</f>
        <v>6192</v>
      </c>
      <c r="AJ583" s="69">
        <f>Datasheet!AJ120</f>
        <v>6192</v>
      </c>
      <c r="AK583" s="69">
        <f>Datasheet!AK120</f>
        <v>6192</v>
      </c>
    </row>
    <row r="584" spans="2:37" s="4" customFormat="1" x14ac:dyDescent="0.25">
      <c r="B584" s="44"/>
      <c r="D584" s="4" t="s">
        <v>806</v>
      </c>
      <c r="H584" s="4" t="s">
        <v>32</v>
      </c>
      <c r="I584" s="69">
        <f>Datasheet!I128</f>
        <v>4121833</v>
      </c>
      <c r="J584" s="69">
        <f>Datasheet!J128</f>
        <v>4294017</v>
      </c>
      <c r="K584" s="69">
        <f>Datasheet!K128</f>
        <v>4448705</v>
      </c>
      <c r="L584" s="69">
        <f>Datasheet!L128</f>
        <v>4480558</v>
      </c>
      <c r="M584" s="69">
        <f>Datasheet!M128</f>
        <v>4552571</v>
      </c>
      <c r="N584" s="69">
        <f>Datasheet!N128</f>
        <v>4694864</v>
      </c>
      <c r="O584" s="69">
        <f>Datasheet!O128</f>
        <v>4765500</v>
      </c>
      <c r="P584" s="69">
        <f>Datasheet!P128</f>
        <v>4945347</v>
      </c>
      <c r="Q584" s="69">
        <f>Datasheet!Q128</f>
        <v>4986660</v>
      </c>
      <c r="R584" s="69">
        <f>Datasheet!R128</f>
        <v>4992937</v>
      </c>
      <c r="S584" s="69">
        <f>Datasheet!S128</f>
        <v>5019494</v>
      </c>
      <c r="T584" s="69">
        <f>Datasheet!T128</f>
        <v>5055734.375</v>
      </c>
      <c r="U584" s="69">
        <f>Datasheet!U128</f>
        <v>5154791.75</v>
      </c>
      <c r="V584" s="69">
        <f>Datasheet!V128</f>
        <v>5166606.125</v>
      </c>
      <c r="W584" s="69">
        <f>Datasheet!W128</f>
        <v>5209594.5</v>
      </c>
      <c r="X584" s="69">
        <f>Datasheet!X128</f>
        <v>5240428.875</v>
      </c>
      <c r="Y584" s="69">
        <f>Datasheet!Y128</f>
        <v>5247923.25</v>
      </c>
      <c r="Z584" s="69">
        <f>Datasheet!Z128</f>
        <v>5302367.625</v>
      </c>
      <c r="AA584" s="69">
        <f>Datasheet!AA128</f>
        <v>5324505</v>
      </c>
      <c r="AB584" s="69">
        <f>Datasheet!AB128</f>
        <v>5318502</v>
      </c>
      <c r="AC584" s="69">
        <f>Datasheet!AC128</f>
        <v>5316617</v>
      </c>
      <c r="AD584" s="69">
        <f>Datasheet!AD128</f>
        <v>5316617</v>
      </c>
      <c r="AE584" s="69">
        <f>Datasheet!AE128</f>
        <v>5316617</v>
      </c>
      <c r="AF584" s="69">
        <f>Datasheet!AF128</f>
        <v>5316617</v>
      </c>
      <c r="AG584" s="69">
        <f>Datasheet!AG128</f>
        <v>5316617</v>
      </c>
      <c r="AH584" s="69">
        <f>Datasheet!AH128</f>
        <v>5316617</v>
      </c>
      <c r="AI584" s="69">
        <f>Datasheet!AI128</f>
        <v>5316617</v>
      </c>
      <c r="AJ584" s="69">
        <f>Datasheet!AJ128</f>
        <v>5316617</v>
      </c>
      <c r="AK584" s="69">
        <f>Datasheet!AK128</f>
        <v>5316617</v>
      </c>
    </row>
    <row r="585" spans="2:37" s="4" customFormat="1" x14ac:dyDescent="0.25">
      <c r="B585" s="44"/>
      <c r="D585" s="4" t="s">
        <v>808</v>
      </c>
      <c r="H585" s="4" t="s">
        <v>32</v>
      </c>
      <c r="I585" s="69">
        <f>Datasheet!I136</f>
        <v>1370574</v>
      </c>
      <c r="J585" s="69">
        <f>Datasheet!J136</f>
        <v>1385576</v>
      </c>
      <c r="K585" s="69">
        <f>Datasheet!K136</f>
        <v>1418540</v>
      </c>
      <c r="L585" s="69">
        <f>Datasheet!L136</f>
        <v>1514734</v>
      </c>
      <c r="M585" s="69">
        <f>Datasheet!M136</f>
        <v>1701157</v>
      </c>
      <c r="N585" s="69">
        <f>Datasheet!N136</f>
        <v>1891596</v>
      </c>
      <c r="O585" s="69">
        <f>Datasheet!O136</f>
        <v>1898654</v>
      </c>
      <c r="P585" s="69">
        <f>Datasheet!P136</f>
        <v>1902333</v>
      </c>
      <c r="Q585" s="69">
        <f>Datasheet!Q136</f>
        <v>1937924</v>
      </c>
      <c r="R585" s="69">
        <f>Datasheet!R136</f>
        <v>1998611</v>
      </c>
      <c r="S585" s="69">
        <f>Datasheet!S136</f>
        <v>2028569</v>
      </c>
      <c r="T585" s="69">
        <f>Datasheet!T136</f>
        <v>2027932.375</v>
      </c>
      <c r="U585" s="69">
        <f>Datasheet!U136</f>
        <v>2034376.75</v>
      </c>
      <c r="V585" s="69">
        <f>Datasheet!V136</f>
        <v>2064718.125</v>
      </c>
      <c r="W585" s="69">
        <f>Datasheet!W136</f>
        <v>2065845.5</v>
      </c>
      <c r="X585" s="69">
        <f>Datasheet!X136</f>
        <v>2069987.875</v>
      </c>
      <c r="Y585" s="69">
        <f>Datasheet!Y136</f>
        <v>2156302.25</v>
      </c>
      <c r="Z585" s="69">
        <f>Datasheet!Z136</f>
        <v>2201602.625</v>
      </c>
      <c r="AA585" s="69">
        <f>Datasheet!AA136</f>
        <v>2227153</v>
      </c>
      <c r="AB585" s="69">
        <f>Datasheet!AB136</f>
        <v>2231302</v>
      </c>
      <c r="AC585" s="69">
        <f>Datasheet!AC136</f>
        <v>2269853</v>
      </c>
      <c r="AD585" s="69">
        <f>Datasheet!AD136</f>
        <v>2269853</v>
      </c>
      <c r="AE585" s="69">
        <f>Datasheet!AE136</f>
        <v>2269853</v>
      </c>
      <c r="AF585" s="69">
        <f>Datasheet!AF136</f>
        <v>2269853</v>
      </c>
      <c r="AG585" s="69">
        <f>Datasheet!AG136</f>
        <v>2269853</v>
      </c>
      <c r="AH585" s="69">
        <f>Datasheet!AH136</f>
        <v>2269853</v>
      </c>
      <c r="AI585" s="69">
        <f>Datasheet!AI136</f>
        <v>2269853</v>
      </c>
      <c r="AJ585" s="69">
        <f>Datasheet!AJ136</f>
        <v>2269853</v>
      </c>
      <c r="AK585" s="69">
        <f>Datasheet!AK136</f>
        <v>2269853</v>
      </c>
    </row>
    <row r="586" spans="2:37" s="4" customFormat="1" x14ac:dyDescent="0.25">
      <c r="B586" s="44"/>
      <c r="D586" s="4" t="s">
        <v>811</v>
      </c>
      <c r="H586" s="4" t="s">
        <v>1170</v>
      </c>
      <c r="I586" s="69">
        <f>I672</f>
        <v>0</v>
      </c>
      <c r="J586" s="69">
        <f t="shared" ref="J586:AK586" si="58">J672</f>
        <v>0</v>
      </c>
      <c r="K586" s="69">
        <f t="shared" si="58"/>
        <v>0</v>
      </c>
      <c r="L586" s="69">
        <f t="shared" si="58"/>
        <v>0</v>
      </c>
      <c r="M586" s="69">
        <f t="shared" si="58"/>
        <v>0</v>
      </c>
      <c r="N586" s="69">
        <f t="shared" si="58"/>
        <v>0</v>
      </c>
      <c r="O586" s="69">
        <f t="shared" si="58"/>
        <v>0</v>
      </c>
      <c r="P586" s="69">
        <f t="shared" si="58"/>
        <v>0</v>
      </c>
      <c r="Q586" s="69">
        <f t="shared" si="58"/>
        <v>52293.402712498806</v>
      </c>
      <c r="R586" s="69">
        <f t="shared" si="58"/>
        <v>51735.435970537277</v>
      </c>
      <c r="S586" s="69">
        <f t="shared" si="58"/>
        <v>52689.205434570787</v>
      </c>
      <c r="T586" s="69">
        <f t="shared" si="58"/>
        <v>53610.353818085816</v>
      </c>
      <c r="U586" s="69">
        <f t="shared" si="58"/>
        <v>55263.37780913469</v>
      </c>
      <c r="V586" s="69">
        <f t="shared" si="58"/>
        <v>56411.357828689303</v>
      </c>
      <c r="W586" s="69">
        <f t="shared" si="58"/>
        <v>57136.799845249698</v>
      </c>
      <c r="X586" s="69">
        <f t="shared" si="58"/>
        <v>58602.467989843542</v>
      </c>
      <c r="Y586" s="69">
        <f t="shared" si="58"/>
        <v>57545.018453834258</v>
      </c>
      <c r="Z586" s="69">
        <f t="shared" si="58"/>
        <v>56497.90001530193</v>
      </c>
      <c r="AA586" s="69">
        <f t="shared" si="58"/>
        <v>48748.810951692947</v>
      </c>
      <c r="AB586" s="69">
        <f t="shared" si="58"/>
        <v>58232.082255748908</v>
      </c>
      <c r="AC586" s="69">
        <f t="shared" si="58"/>
        <v>57994.292803469078</v>
      </c>
      <c r="AD586" s="69" t="e">
        <f t="shared" si="58"/>
        <v>#DIV/0!</v>
      </c>
      <c r="AE586" s="69" t="e">
        <f t="shared" si="58"/>
        <v>#DIV/0!</v>
      </c>
      <c r="AF586" s="69" t="e">
        <f t="shared" si="58"/>
        <v>#DIV/0!</v>
      </c>
      <c r="AG586" s="69" t="e">
        <f t="shared" si="58"/>
        <v>#DIV/0!</v>
      </c>
      <c r="AH586" s="69" t="e">
        <f t="shared" si="58"/>
        <v>#DIV/0!</v>
      </c>
      <c r="AI586" s="69" t="e">
        <f t="shared" si="58"/>
        <v>#DIV/0!</v>
      </c>
      <c r="AJ586" s="69" t="e">
        <f t="shared" si="58"/>
        <v>#DIV/0!</v>
      </c>
      <c r="AK586" s="69" t="e">
        <f t="shared" si="58"/>
        <v>#DIV/0!</v>
      </c>
    </row>
    <row r="587" spans="2:37" s="4" customFormat="1" x14ac:dyDescent="0.25">
      <c r="B587" s="44"/>
      <c r="D587" s="4" t="s">
        <v>813</v>
      </c>
      <c r="H587" s="4" t="s">
        <v>1170</v>
      </c>
      <c r="I587" s="69">
        <f>I673</f>
        <v>0</v>
      </c>
      <c r="J587" s="69">
        <f t="shared" ref="J587:AK587" si="59">J673</f>
        <v>0</v>
      </c>
      <c r="K587" s="69">
        <f t="shared" si="59"/>
        <v>0</v>
      </c>
      <c r="L587" s="69">
        <f t="shared" si="59"/>
        <v>0</v>
      </c>
      <c r="M587" s="69">
        <f t="shared" si="59"/>
        <v>0</v>
      </c>
      <c r="N587" s="69">
        <f t="shared" si="59"/>
        <v>0</v>
      </c>
      <c r="O587" s="69">
        <f t="shared" si="59"/>
        <v>0</v>
      </c>
      <c r="P587" s="69">
        <f t="shared" si="59"/>
        <v>0</v>
      </c>
      <c r="Q587" s="69">
        <f t="shared" si="59"/>
        <v>34633.765685241582</v>
      </c>
      <c r="R587" s="69">
        <f t="shared" si="59"/>
        <v>34388.442445419292</v>
      </c>
      <c r="S587" s="69">
        <f t="shared" si="59"/>
        <v>35416.201304376642</v>
      </c>
      <c r="T587" s="69">
        <f t="shared" si="59"/>
        <v>36515.34923490505</v>
      </c>
      <c r="U587" s="69">
        <f t="shared" si="59"/>
        <v>38321.308827588131</v>
      </c>
      <c r="V587" s="69">
        <f t="shared" si="59"/>
        <v>38871.761106685386</v>
      </c>
      <c r="W587" s="69">
        <f t="shared" si="59"/>
        <v>39577.483891943572</v>
      </c>
      <c r="X587" s="69">
        <f t="shared" si="59"/>
        <v>40615.458353883361</v>
      </c>
      <c r="Y587" s="69">
        <f t="shared" si="59"/>
        <v>41364.934967978508</v>
      </c>
      <c r="Z587" s="69">
        <f t="shared" si="59"/>
        <v>41427.207148100963</v>
      </c>
      <c r="AA587" s="69">
        <f t="shared" si="59"/>
        <v>41371.989003644499</v>
      </c>
      <c r="AB587" s="69">
        <f t="shared" si="59"/>
        <v>42061.7120683182</v>
      </c>
      <c r="AC587" s="69">
        <f t="shared" si="59"/>
        <v>43722.521771945816</v>
      </c>
      <c r="AD587" s="69" t="e">
        <f t="shared" si="59"/>
        <v>#DIV/0!</v>
      </c>
      <c r="AE587" s="69" t="e">
        <f t="shared" si="59"/>
        <v>#DIV/0!</v>
      </c>
      <c r="AF587" s="69" t="e">
        <f t="shared" si="59"/>
        <v>#DIV/0!</v>
      </c>
      <c r="AG587" s="69" t="e">
        <f t="shared" si="59"/>
        <v>#DIV/0!</v>
      </c>
      <c r="AH587" s="69" t="e">
        <f t="shared" si="59"/>
        <v>#DIV/0!</v>
      </c>
      <c r="AI587" s="69" t="e">
        <f t="shared" si="59"/>
        <v>#DIV/0!</v>
      </c>
      <c r="AJ587" s="69" t="e">
        <f t="shared" si="59"/>
        <v>#DIV/0!</v>
      </c>
      <c r="AK587" s="69" t="e">
        <f t="shared" si="59"/>
        <v>#DIV/0!</v>
      </c>
    </row>
    <row r="588" spans="2:37" s="4" customFormat="1" x14ac:dyDescent="0.25">
      <c r="B588" s="44"/>
      <c r="D588" s="4" t="s">
        <v>817</v>
      </c>
      <c r="H588" s="4" t="s">
        <v>1170</v>
      </c>
      <c r="I588" s="69">
        <f>I674</f>
        <v>0</v>
      </c>
      <c r="J588" s="69">
        <f t="shared" ref="J588:AK588" si="60">J674</f>
        <v>0</v>
      </c>
      <c r="K588" s="69">
        <f t="shared" si="60"/>
        <v>0</v>
      </c>
      <c r="L588" s="69">
        <f t="shared" si="60"/>
        <v>0</v>
      </c>
      <c r="M588" s="69">
        <f t="shared" si="60"/>
        <v>0</v>
      </c>
      <c r="N588" s="69">
        <f t="shared" si="60"/>
        <v>0</v>
      </c>
      <c r="O588" s="69">
        <f t="shared" si="60"/>
        <v>0</v>
      </c>
      <c r="P588" s="69">
        <f t="shared" si="60"/>
        <v>0</v>
      </c>
      <c r="Q588" s="69">
        <f t="shared" si="60"/>
        <v>31819.664219673821</v>
      </c>
      <c r="R588" s="69">
        <f t="shared" si="60"/>
        <v>31453.668788045103</v>
      </c>
      <c r="S588" s="69">
        <f t="shared" si="60"/>
        <v>32799.168420509624</v>
      </c>
      <c r="T588" s="69">
        <f t="shared" si="60"/>
        <v>33102.327755850201</v>
      </c>
      <c r="U588" s="69">
        <f t="shared" si="60"/>
        <v>34850.757608941043</v>
      </c>
      <c r="V588" s="69">
        <f t="shared" si="60"/>
        <v>35222.111616054986</v>
      </c>
      <c r="W588" s="69">
        <f t="shared" si="60"/>
        <v>36279.013657654694</v>
      </c>
      <c r="X588" s="69">
        <f t="shared" si="60"/>
        <v>36807.760250272404</v>
      </c>
      <c r="Y588" s="69">
        <f t="shared" si="60"/>
        <v>37322.60984452792</v>
      </c>
      <c r="Z588" s="69">
        <f t="shared" si="60"/>
        <v>36474.74959866071</v>
      </c>
      <c r="AA588" s="69">
        <f t="shared" si="60"/>
        <v>34402.993045482042</v>
      </c>
      <c r="AB588" s="69">
        <f t="shared" si="60"/>
        <v>39789.822978180178</v>
      </c>
      <c r="AC588" s="69">
        <f t="shared" si="60"/>
        <v>39520.125528883073</v>
      </c>
      <c r="AD588" s="69" t="e">
        <f t="shared" si="60"/>
        <v>#DIV/0!</v>
      </c>
      <c r="AE588" s="69" t="e">
        <f t="shared" si="60"/>
        <v>#DIV/0!</v>
      </c>
      <c r="AF588" s="69" t="e">
        <f t="shared" si="60"/>
        <v>#DIV/0!</v>
      </c>
      <c r="AG588" s="69" t="e">
        <f t="shared" si="60"/>
        <v>#DIV/0!</v>
      </c>
      <c r="AH588" s="69" t="e">
        <f t="shared" si="60"/>
        <v>#DIV/0!</v>
      </c>
      <c r="AI588" s="69" t="e">
        <f t="shared" si="60"/>
        <v>#DIV/0!</v>
      </c>
      <c r="AJ588" s="69" t="e">
        <f t="shared" si="60"/>
        <v>#DIV/0!</v>
      </c>
      <c r="AK588" s="69" t="e">
        <f t="shared" si="60"/>
        <v>#DIV/0!</v>
      </c>
    </row>
    <row r="589" spans="2:37" s="4" customFormat="1" x14ac:dyDescent="0.25">
      <c r="B589" s="44"/>
      <c r="D589" s="4" t="s">
        <v>1171</v>
      </c>
      <c r="H589" s="4" t="s">
        <v>274</v>
      </c>
      <c r="I589" s="69">
        <f>Datasheet!I375</f>
        <v>16688.416666666668</v>
      </c>
      <c r="J589" s="69">
        <f>Datasheet!J375</f>
        <v>16546.083333333332</v>
      </c>
      <c r="K589" s="69">
        <f>Datasheet!K375</f>
        <v>16730.083333333332</v>
      </c>
      <c r="L589" s="69">
        <f>Datasheet!L375</f>
        <v>17250.833333333332</v>
      </c>
      <c r="M589" s="69">
        <f>Datasheet!M375</f>
        <v>17942.583333333332</v>
      </c>
      <c r="N589" s="69">
        <f>Datasheet!N375</f>
        <v>18444.75</v>
      </c>
      <c r="O589" s="69">
        <f>Datasheet!O375</f>
        <v>18906.166666666668</v>
      </c>
      <c r="P589" s="69">
        <f>Datasheet!P375</f>
        <v>17414.833333333332</v>
      </c>
      <c r="Q589" s="69">
        <f>Datasheet!Q375</f>
        <v>16937.583333333332</v>
      </c>
      <c r="R589" s="69">
        <f>Datasheet!R375</f>
        <v>16945.5</v>
      </c>
      <c r="S589" s="69">
        <f>Datasheet!S375</f>
        <v>17418.666666666668</v>
      </c>
      <c r="T589" s="69">
        <f>Datasheet!T375</f>
        <v>18106.833333333332</v>
      </c>
      <c r="U589" s="69">
        <f>Datasheet!U375</f>
        <v>18835.583333333332</v>
      </c>
      <c r="V589" s="69">
        <f>Datasheet!V375</f>
        <v>19496.583333333332</v>
      </c>
      <c r="W589" s="69">
        <f>Datasheet!W375</f>
        <v>20232</v>
      </c>
      <c r="X589" s="69">
        <f>Datasheet!X375</f>
        <v>20783.583333333332</v>
      </c>
      <c r="Y589" s="69">
        <f>Datasheet!Y375</f>
        <v>20959.25</v>
      </c>
      <c r="Z589" s="69">
        <f>Datasheet!Z375</f>
        <v>21429.083333333332</v>
      </c>
      <c r="AA589" s="69">
        <f>Datasheet!AA375</f>
        <v>19106.333333333332</v>
      </c>
      <c r="AB589" s="69">
        <f>Datasheet!AB375</f>
        <v>21133.583333333332</v>
      </c>
      <c r="AC589" s="69">
        <f>Datasheet!AC375</f>
        <v>22550.001508402056</v>
      </c>
      <c r="AD589" s="69" t="e">
        <f>Datasheet!AD375</f>
        <v>#DIV/0!</v>
      </c>
      <c r="AE589" s="69" t="e">
        <f>Datasheet!AE375</f>
        <v>#DIV/0!</v>
      </c>
      <c r="AF589" s="69" t="e">
        <f>Datasheet!AF375</f>
        <v>#DIV/0!</v>
      </c>
      <c r="AG589" s="69" t="e">
        <f>Datasheet!AG375</f>
        <v>#DIV/0!</v>
      </c>
      <c r="AH589" s="69" t="e">
        <f>Datasheet!AH375</f>
        <v>#DIV/0!</v>
      </c>
      <c r="AI589" s="69" t="e">
        <f>Datasheet!AI375</f>
        <v>#DIV/0!</v>
      </c>
      <c r="AJ589" s="69" t="e">
        <f>Datasheet!AJ375</f>
        <v>#DIV/0!</v>
      </c>
      <c r="AK589" s="69" t="e">
        <f>Datasheet!AK375</f>
        <v>#DIV/0!</v>
      </c>
    </row>
    <row r="590" spans="2:37" s="4" customFormat="1" x14ac:dyDescent="0.25">
      <c r="B590" s="44"/>
      <c r="E590" s="129" t="s">
        <v>1172</v>
      </c>
      <c r="H590" s="4" t="s">
        <v>1173</v>
      </c>
      <c r="I590" s="97">
        <f>Datasheet!I244/Datasheet!I340</f>
        <v>1.2282210543080108</v>
      </c>
      <c r="J590" s="97">
        <f>Datasheet!J244/Datasheet!J340</f>
        <v>1.2135214517990141</v>
      </c>
      <c r="K590" s="97">
        <f>Datasheet!K244/Datasheet!K340</f>
        <v>1.2158010992962449</v>
      </c>
      <c r="L590" s="97">
        <f>Datasheet!L244/Datasheet!L340</f>
        <v>1.2461287693561531</v>
      </c>
      <c r="M590" s="97">
        <f>Datasheet!M244/Datasheet!M340</f>
        <v>1.2848006395523133</v>
      </c>
      <c r="N590" s="97">
        <f>Datasheet!N244/Datasheet!N340</f>
        <v>1.3202911293474013</v>
      </c>
      <c r="O590" s="97">
        <f>Datasheet!O244/Datasheet!O340</f>
        <v>1.3354774156660949</v>
      </c>
      <c r="P590" s="97">
        <f>Datasheet!P244/Datasheet!P340</f>
        <v>1.2609740015071591</v>
      </c>
      <c r="Q590" s="97">
        <f>Datasheet!Q244/Datasheet!Q340</f>
        <v>1.235233355244624</v>
      </c>
      <c r="R590" s="97">
        <f>Datasheet!R244/Datasheet!R340</f>
        <v>1.242040892540379</v>
      </c>
      <c r="S590" s="97">
        <f>Datasheet!S244/Datasheet!S340</f>
        <v>1.2635956198308922</v>
      </c>
      <c r="T590" s="97">
        <f>Datasheet!T244/Datasheet!T340</f>
        <v>1.2828744123572868</v>
      </c>
      <c r="U590" s="97">
        <f>Datasheet!U244/Datasheet!U340</f>
        <v>1.3149492017416546</v>
      </c>
      <c r="V590" s="97">
        <f>Datasheet!V244/Datasheet!V340</f>
        <v>1.3351447700199983</v>
      </c>
      <c r="W590" s="97">
        <f>Datasheet!W244/Datasheet!W340</f>
        <v>1.3848080494019086</v>
      </c>
      <c r="X590" s="97">
        <f>Datasheet!X244/Datasheet!X340</f>
        <v>1.4071336484744306</v>
      </c>
      <c r="Y590" s="97">
        <f>Datasheet!Y244/Datasheet!Y340</f>
        <v>1.4537477306129507</v>
      </c>
      <c r="Z590" s="97">
        <f>Datasheet!Z244/Datasheet!Z340</f>
        <v>1.4636864297392651</v>
      </c>
      <c r="AA590" s="97">
        <f>Datasheet!AA244/Datasheet!AA340</f>
        <v>1.4169272283376879</v>
      </c>
      <c r="AB590" s="97">
        <f>Datasheet!AB244/Datasheet!AB340</f>
        <v>1.5112619300106045</v>
      </c>
      <c r="AC590" s="97" t="e">
        <f>Datasheet!AC244/Datasheet!AC340</f>
        <v>#DIV/0!</v>
      </c>
      <c r="AD590" s="97" t="e">
        <f>Datasheet!AD244/Datasheet!AD340</f>
        <v>#DIV/0!</v>
      </c>
      <c r="AE590" s="97" t="e">
        <f>Datasheet!AE244/Datasheet!AE340</f>
        <v>#DIV/0!</v>
      </c>
      <c r="AF590" s="97" t="e">
        <f>Datasheet!AF244/Datasheet!AF340</f>
        <v>#DIV/0!</v>
      </c>
      <c r="AG590" s="97" t="e">
        <f>Datasheet!AG244/Datasheet!AG340</f>
        <v>#DIV/0!</v>
      </c>
      <c r="AH590" s="97" t="e">
        <f>Datasheet!AH244/Datasheet!AH340</f>
        <v>#DIV/0!</v>
      </c>
      <c r="AI590" s="97" t="e">
        <f>Datasheet!AI244/Datasheet!AI340</f>
        <v>#DIV/0!</v>
      </c>
      <c r="AJ590" s="97" t="e">
        <f>Datasheet!AJ244/Datasheet!AJ340</f>
        <v>#DIV/0!</v>
      </c>
      <c r="AK590" s="97" t="e">
        <f>Datasheet!AK244/Datasheet!AK340</f>
        <v>#DIV/0!</v>
      </c>
    </row>
    <row r="591" spans="2:37" s="4" customFormat="1" x14ac:dyDescent="0.25">
      <c r="B591" s="44"/>
      <c r="D591" s="4" t="s">
        <v>1174</v>
      </c>
      <c r="H591" s="4" t="s">
        <v>1175</v>
      </c>
      <c r="I591" s="69">
        <f>Datasheet!I290/Datasheet!I340*1000</f>
        <v>63936.507936507936</v>
      </c>
      <c r="J591" s="69">
        <f>Datasheet!J290/Datasheet!J340*1000</f>
        <v>65063.778453792096</v>
      </c>
      <c r="K591" s="69">
        <f>Datasheet!K290/Datasheet!K340*1000</f>
        <v>66701.494837417165</v>
      </c>
      <c r="L591" s="69">
        <f>Datasheet!L290/Datasheet!L340*1000</f>
        <v>70848.971067644656</v>
      </c>
      <c r="M591" s="69">
        <f>Datasheet!M290/Datasheet!M340*1000</f>
        <v>78340.51164185071</v>
      </c>
      <c r="N591" s="69">
        <f>Datasheet!N290/Datasheet!N340*1000</f>
        <v>81470.398593200473</v>
      </c>
      <c r="O591" s="69">
        <f>Datasheet!O290/Datasheet!O340*1000</f>
        <v>80255.38402896894</v>
      </c>
      <c r="P591" s="69">
        <f>Datasheet!P290/Datasheet!P340*1000</f>
        <v>81161.878296910334</v>
      </c>
      <c r="Q591" s="69">
        <f>Datasheet!Q290/Datasheet!Q340*1000</f>
        <v>80925.345102826555</v>
      </c>
      <c r="R591" s="69">
        <f>Datasheet!R290/Datasheet!R340*1000</f>
        <v>79228.830174586881</v>
      </c>
      <c r="S591" s="69">
        <f>Datasheet!S290/Datasheet!S340*1000</f>
        <v>85037.610312803212</v>
      </c>
      <c r="T591" s="69">
        <f>Datasheet!T290/Datasheet!T340*1000</f>
        <v>85476.292813969107</v>
      </c>
      <c r="U591" s="69">
        <f>Datasheet!U290/Datasheet!U340*1000</f>
        <v>92468.575449707525</v>
      </c>
      <c r="V591" s="69">
        <f>Datasheet!V290/Datasheet!V340*1000</f>
        <v>96426.962872793665</v>
      </c>
      <c r="W591" s="69">
        <f>Datasheet!W290/Datasheet!W340*1000</f>
        <v>100403.67923306128</v>
      </c>
      <c r="X591" s="69">
        <f>Datasheet!X290/Datasheet!X340*1000</f>
        <v>105702.96519123335</v>
      </c>
      <c r="Y591" s="69">
        <f>Datasheet!Y290/Datasheet!Y340*1000</f>
        <v>111066.35255468142</v>
      </c>
      <c r="Z591" s="69">
        <f>Datasheet!Z290/Datasheet!Z340*1000</f>
        <v>115709.79261681439</v>
      </c>
      <c r="AA591" s="69">
        <f>Datasheet!AA290/Datasheet!AA340*1000</f>
        <v>118126.91138047715</v>
      </c>
      <c r="AB591" s="69">
        <f>Datasheet!AB290/Datasheet!AB340*1000</f>
        <v>149429.48038176034</v>
      </c>
      <c r="AC591" s="69" t="e">
        <f>Datasheet!AC290/Datasheet!AC340*1000</f>
        <v>#DIV/0!</v>
      </c>
      <c r="AD591" s="69" t="e">
        <f>Datasheet!AD290/Datasheet!AD340*1000</f>
        <v>#DIV/0!</v>
      </c>
      <c r="AE591" s="69" t="e">
        <f>Datasheet!AE290/Datasheet!AE340*1000</f>
        <v>#DIV/0!</v>
      </c>
      <c r="AF591" s="69" t="e">
        <f>Datasheet!AF290/Datasheet!AF340*1000</f>
        <v>#DIV/0!</v>
      </c>
      <c r="AG591" s="69" t="e">
        <f>Datasheet!AG290/Datasheet!AG340*1000</f>
        <v>#DIV/0!</v>
      </c>
      <c r="AH591" s="69" t="e">
        <f>Datasheet!AH290/Datasheet!AH340*1000</f>
        <v>#DIV/0!</v>
      </c>
      <c r="AI591" s="69" t="e">
        <f>Datasheet!AI290/Datasheet!AI340*1000</f>
        <v>#DIV/0!</v>
      </c>
      <c r="AJ591" s="69" t="e">
        <f>Datasheet!AJ290/Datasheet!AJ340*1000</f>
        <v>#DIV/0!</v>
      </c>
      <c r="AK591" s="69" t="e">
        <f>Datasheet!AK290/Datasheet!AK340*1000</f>
        <v>#DIV/0!</v>
      </c>
    </row>
    <row r="592" spans="2:37" s="4" customFormat="1" x14ac:dyDescent="0.25">
      <c r="B592" s="44"/>
      <c r="D592" s="4" t="s">
        <v>387</v>
      </c>
      <c r="H592" s="4" t="s">
        <v>1175</v>
      </c>
      <c r="I592" s="69">
        <f>Datasheet!I341</f>
        <v>80661</v>
      </c>
      <c r="J592" s="69">
        <f>Datasheet!J341</f>
        <v>88366</v>
      </c>
      <c r="K592" s="69">
        <f>Datasheet!K341</f>
        <v>104917</v>
      </c>
      <c r="L592" s="69">
        <f>Datasheet!L341</f>
        <v>122828</v>
      </c>
      <c r="M592" s="69">
        <f>Datasheet!M341</f>
        <v>154351</v>
      </c>
      <c r="N592" s="69">
        <f>Datasheet!N341</f>
        <v>163582</v>
      </c>
      <c r="O592" s="69">
        <f>Datasheet!O341</f>
        <v>158487</v>
      </c>
      <c r="P592" s="69">
        <f>Datasheet!P341</f>
        <v>130164</v>
      </c>
      <c r="Q592" s="69">
        <f>Datasheet!Q341</f>
        <v>144277</v>
      </c>
      <c r="R592" s="69">
        <f>Datasheet!R341</f>
        <v>152200</v>
      </c>
      <c r="S592" s="69">
        <f>Datasheet!S341</f>
        <v>193906</v>
      </c>
      <c r="T592" s="69">
        <f>Datasheet!T341</f>
        <v>177428</v>
      </c>
      <c r="U592" s="69">
        <f>Datasheet!U341</f>
        <v>201780</v>
      </c>
      <c r="V592" s="69">
        <f>Datasheet!V341</f>
        <v>199786</v>
      </c>
      <c r="W592" s="69">
        <f>Datasheet!W341</f>
        <v>207571</v>
      </c>
      <c r="X592" s="69">
        <f>Datasheet!X341</f>
        <v>228049</v>
      </c>
      <c r="Y592" s="69">
        <f>Datasheet!Y341</f>
        <v>221209</v>
      </c>
      <c r="Z592" s="69">
        <f>Datasheet!Z341</f>
        <v>278682</v>
      </c>
      <c r="AA592" s="69">
        <f>Datasheet!AA341</f>
        <v>290674</v>
      </c>
      <c r="AB592" s="69">
        <f>Datasheet!AB341</f>
        <v>318297</v>
      </c>
      <c r="AC592" s="69">
        <f>Datasheet!AC341</f>
        <v>0</v>
      </c>
      <c r="AD592" s="69">
        <f>Datasheet!AD341</f>
        <v>0</v>
      </c>
      <c r="AE592" s="69">
        <f>Datasheet!AE341</f>
        <v>0</v>
      </c>
      <c r="AF592" s="69">
        <f>Datasheet!AF341</f>
        <v>0</v>
      </c>
      <c r="AG592" s="69">
        <f>Datasheet!AG341</f>
        <v>0</v>
      </c>
      <c r="AH592" s="69">
        <f>Datasheet!AH341</f>
        <v>0</v>
      </c>
      <c r="AI592" s="69">
        <f>Datasheet!AI341</f>
        <v>0</v>
      </c>
      <c r="AJ592" s="69">
        <f>Datasheet!AJ341</f>
        <v>0</v>
      </c>
      <c r="AK592" s="69">
        <f>Datasheet!AK341</f>
        <v>0</v>
      </c>
    </row>
    <row r="593" spans="2:37" s="4" customFormat="1" x14ac:dyDescent="0.25">
      <c r="B593" s="44"/>
      <c r="D593" s="4" t="s">
        <v>828</v>
      </c>
      <c r="I593" s="69"/>
      <c r="J593" s="69"/>
      <c r="K593" s="69"/>
      <c r="L593" s="69"/>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row>
    <row r="594" spans="2:37" s="4" customFormat="1" x14ac:dyDescent="0.25">
      <c r="B594" s="44"/>
      <c r="E594" s="4" t="s">
        <v>1176</v>
      </c>
      <c r="H594" s="4" t="s">
        <v>381</v>
      </c>
      <c r="I594" s="69">
        <f>IF(Datasheet!I757&gt;0,Datasheet!I757,Datasheet!I779)</f>
        <v>65400</v>
      </c>
      <c r="J594" s="69">
        <f>IF(Datasheet!J757&gt;0,Datasheet!J757,Datasheet!J779)</f>
        <v>69900</v>
      </c>
      <c r="K594" s="69">
        <f>IF(Datasheet!K757&gt;0,Datasheet!K757,Datasheet!K779)</f>
        <v>75300</v>
      </c>
      <c r="L594" s="69">
        <f>IF(Datasheet!L757&gt;0,Datasheet!L757,Datasheet!L779)</f>
        <v>74500</v>
      </c>
      <c r="M594" s="69">
        <f>IF(Datasheet!M757&gt;0,Datasheet!M757,Datasheet!M779)</f>
        <v>74500</v>
      </c>
      <c r="N594" s="69">
        <f>IF(Datasheet!N757&gt;0,Datasheet!N757,Datasheet!N779)</f>
        <v>74500</v>
      </c>
      <c r="O594" s="69">
        <f>IF(Datasheet!O757&gt;0,Datasheet!O757,Datasheet!O779)</f>
        <v>83300</v>
      </c>
      <c r="P594" s="69">
        <f>IF(Datasheet!P757&gt;0,Datasheet!P757,Datasheet!P779)</f>
        <v>89500</v>
      </c>
      <c r="Q594" s="69">
        <f>IF(Datasheet!Q757&gt;0,Datasheet!Q757,Datasheet!Q779)</f>
        <v>90596</v>
      </c>
      <c r="R594" s="69">
        <f>IF(Datasheet!R757&gt;0,Datasheet!R757,Datasheet!R779)</f>
        <v>93029</v>
      </c>
      <c r="S594" s="69">
        <f>IF(Datasheet!S757&gt;0,Datasheet!S757,Datasheet!S779)</f>
        <v>86184</v>
      </c>
      <c r="T594" s="69">
        <f>IF(Datasheet!T757&gt;0,Datasheet!T757,Datasheet!T779)</f>
        <v>83558</v>
      </c>
      <c r="U594" s="69">
        <f>IF(Datasheet!U757&gt;0,Datasheet!U757,Datasheet!U779)</f>
        <v>88652</v>
      </c>
      <c r="V594" s="69">
        <f>IF(Datasheet!V757&gt;0,Datasheet!V757,Datasheet!V779)</f>
        <v>93443</v>
      </c>
      <c r="W594" s="69">
        <f>IF(Datasheet!W757&gt;0,Datasheet!W757,Datasheet!W779)</f>
        <v>96113</v>
      </c>
      <c r="X594" s="69">
        <f>IF(Datasheet!X757&gt;0,Datasheet!X757,Datasheet!X779)</f>
        <v>104210</v>
      </c>
      <c r="Y594" s="69">
        <f>IF(Datasheet!Y757&gt;0,Datasheet!Y757,Datasheet!Y779)</f>
        <v>110592</v>
      </c>
      <c r="Z594" s="69">
        <f>IF(Datasheet!Z757&gt;0,Datasheet!Z757,Datasheet!Z779)</f>
        <v>110667</v>
      </c>
      <c r="AA594" s="69">
        <f>IF(Datasheet!AA757&gt;0,Datasheet!AA757,Datasheet!AA779)</f>
        <v>101189</v>
      </c>
      <c r="AB594" s="69">
        <f>IF(Datasheet!AB757&gt;0,Datasheet!AB757,Datasheet!AB779)</f>
        <v>113830</v>
      </c>
      <c r="AC594" s="69">
        <f>IF(Datasheet!AC757&gt;0,Datasheet!AC757,Datasheet!AB779)</f>
        <v>115600</v>
      </c>
      <c r="AD594" s="69">
        <f>IF(Datasheet!AD757&gt;0,Datasheet!AD757,Datasheet!AC779)</f>
        <v>0</v>
      </c>
      <c r="AE594" s="69">
        <f>IF(Datasheet!AE757&gt;0,Datasheet!AE757,Datasheet!AD779)</f>
        <v>0</v>
      </c>
      <c r="AF594" s="69">
        <f>IF(Datasheet!AF757&gt;0,Datasheet!AF757,Datasheet!AE779)</f>
        <v>0</v>
      </c>
      <c r="AG594" s="69">
        <f>IF(Datasheet!AG757&gt;0,Datasheet!AG757,Datasheet!AF779)</f>
        <v>0</v>
      </c>
      <c r="AH594" s="69">
        <f>IF(Datasheet!AH757&gt;0,Datasheet!AH757,Datasheet!AG779)</f>
        <v>0</v>
      </c>
      <c r="AI594" s="69">
        <f>IF(Datasheet!AI757&gt;0,Datasheet!AI757,Datasheet!AH779)</f>
        <v>0</v>
      </c>
      <c r="AJ594" s="69">
        <f>IF(Datasheet!AJ757&gt;0,Datasheet!AJ757,Datasheet!AI779)</f>
        <v>0</v>
      </c>
      <c r="AK594" s="69">
        <f>IF(Datasheet!AK757&gt;0,Datasheet!AK757,Datasheet!AJ779)</f>
        <v>0</v>
      </c>
    </row>
    <row r="595" spans="2:37" s="79" customFormat="1" x14ac:dyDescent="0.25">
      <c r="B595" s="136"/>
      <c r="F595" s="79" t="s">
        <v>2230</v>
      </c>
      <c r="H595" s="79" t="s">
        <v>2229</v>
      </c>
      <c r="I595" s="100">
        <f>Datasheet!I389</f>
        <v>514</v>
      </c>
      <c r="J595" s="100">
        <f>Datasheet!J389</f>
        <v>535</v>
      </c>
      <c r="K595" s="100">
        <f>Datasheet!K389</f>
        <v>568</v>
      </c>
      <c r="L595" s="100">
        <f>Datasheet!L389</f>
        <v>596</v>
      </c>
      <c r="M595" s="100">
        <f>Datasheet!M389</f>
        <v>636</v>
      </c>
      <c r="N595" s="100">
        <f>Datasheet!N389</f>
        <v>685</v>
      </c>
      <c r="O595" s="100">
        <f>Datasheet!O389</f>
        <v>717</v>
      </c>
      <c r="P595" s="100">
        <f>Datasheet!P389</f>
        <v>702</v>
      </c>
      <c r="Q595" s="100">
        <f>Datasheet!Q389</f>
        <v>682</v>
      </c>
      <c r="R595" s="100">
        <f>Datasheet!R389</f>
        <v>726</v>
      </c>
      <c r="S595" s="100">
        <f>Datasheet!S389</f>
        <v>728</v>
      </c>
      <c r="T595" s="100">
        <f>Datasheet!T389</f>
        <v>731</v>
      </c>
      <c r="U595" s="100">
        <f>Datasheet!U389</f>
        <v>750</v>
      </c>
      <c r="V595" s="100">
        <f>Datasheet!V389</f>
        <v>777</v>
      </c>
      <c r="W595" s="100">
        <f>Datasheet!W389</f>
        <v>800</v>
      </c>
      <c r="X595" s="100">
        <f>Datasheet!X389</f>
        <v>831</v>
      </c>
      <c r="Y595" s="100">
        <f>Datasheet!Y389</f>
        <v>854</v>
      </c>
      <c r="Z595" s="100">
        <f>Datasheet!Z389</f>
        <v>880</v>
      </c>
      <c r="AA595" s="100">
        <f>Datasheet!AA389</f>
        <v>1064</v>
      </c>
      <c r="AB595" s="100">
        <f>Datasheet!AB389</f>
        <v>1244</v>
      </c>
      <c r="AC595" s="100">
        <f>Datasheet!AC389</f>
        <v>1333</v>
      </c>
      <c r="AD595" s="100">
        <f>Datasheet!AD389</f>
        <v>0</v>
      </c>
      <c r="AE595" s="100">
        <f>Datasheet!AE389</f>
        <v>0</v>
      </c>
      <c r="AF595" s="100">
        <f>Datasheet!AF389</f>
        <v>0</v>
      </c>
      <c r="AG595" s="100">
        <f>Datasheet!AG389</f>
        <v>0</v>
      </c>
      <c r="AH595" s="100">
        <f>Datasheet!AH389</f>
        <v>0</v>
      </c>
      <c r="AI595" s="100">
        <f>Datasheet!AI389</f>
        <v>0</v>
      </c>
      <c r="AJ595" s="100">
        <f>Datasheet!AJ389</f>
        <v>0</v>
      </c>
      <c r="AK595" s="100">
        <f>Datasheet!AK389</f>
        <v>0</v>
      </c>
    </row>
    <row r="596" spans="2:37" s="4" customFormat="1" x14ac:dyDescent="0.25">
      <c r="B596" s="44"/>
      <c r="E596" s="4" t="s">
        <v>1177</v>
      </c>
      <c r="J596" s="97">
        <f>Datasheet!J854/J594</f>
        <v>6.437768240343348</v>
      </c>
      <c r="K596" s="97">
        <f>Datasheet!K854/K594</f>
        <v>6.0590969455511292</v>
      </c>
      <c r="L596" s="97">
        <f>Datasheet!L854/L594</f>
        <v>8.053691275167786</v>
      </c>
      <c r="M596" s="97">
        <f>Datasheet!M854/M594</f>
        <v>9.1946308724832218</v>
      </c>
      <c r="N596" s="97">
        <f>Datasheet!N854/N594</f>
        <v>10.738255033557047</v>
      </c>
      <c r="O596" s="97">
        <f>Datasheet!O854/O594</f>
        <v>11.437575030012004</v>
      </c>
      <c r="P596" s="97">
        <f>Datasheet!P854/P594</f>
        <v>9.0363128491620106</v>
      </c>
      <c r="Q596" s="97">
        <f>Datasheet!Q854/Q594</f>
        <v>8.7752218640999597</v>
      </c>
      <c r="R596" s="97">
        <f>Datasheet!R854/R594</f>
        <v>6.9870685485171293</v>
      </c>
      <c r="S596" s="97">
        <f>Datasheet!S854/S594</f>
        <v>6.9792536897800055</v>
      </c>
      <c r="T596" s="97">
        <f>Datasheet!T854/T594</f>
        <v>7.4639531822207328</v>
      </c>
      <c r="U596" s="97">
        <f>Datasheet!U854/U594</f>
        <v>8.2908451021973555</v>
      </c>
      <c r="V596" s="97">
        <f>Datasheet!V854/V594</f>
        <v>9.4175058591868837</v>
      </c>
      <c r="W596" s="97">
        <f>Datasheet!W854/W594</f>
        <v>8.1674695410610436</v>
      </c>
      <c r="X596" s="97">
        <f>Datasheet!X854/X594</f>
        <v>7.8687266097303521</v>
      </c>
      <c r="Y596" s="97">
        <f>Datasheet!Y854/Y594</f>
        <v>8.8161892361111107</v>
      </c>
      <c r="Z596" s="97">
        <f>Datasheet!Z854/Z594</f>
        <v>9.2620202951195925</v>
      </c>
      <c r="AA596" s="97">
        <f>Datasheet!AA854/AA594</f>
        <v>14.329620808585913</v>
      </c>
      <c r="AB596" s="97">
        <f>Datasheet!AB854/AB594</f>
        <v>16.164455767372399</v>
      </c>
      <c r="AC596" s="97">
        <f>Datasheet!AC854/AC594</f>
        <v>22.491349480968857</v>
      </c>
      <c r="AD596" s="97" t="e">
        <f>Datasheet!AD854/AD594</f>
        <v>#DIV/0!</v>
      </c>
      <c r="AE596" s="97" t="e">
        <f>Datasheet!AE854/AE594</f>
        <v>#DIV/0!</v>
      </c>
      <c r="AF596" s="97" t="e">
        <f>Datasheet!AF854/AF594</f>
        <v>#DIV/0!</v>
      </c>
      <c r="AG596" s="97" t="e">
        <f>Datasheet!AG854/AG594</f>
        <v>#DIV/0!</v>
      </c>
      <c r="AH596" s="97" t="e">
        <f>Datasheet!AH854/AH594</f>
        <v>#DIV/0!</v>
      </c>
      <c r="AI596" s="97" t="e">
        <f>Datasheet!AI854/AI594</f>
        <v>#DIV/0!</v>
      </c>
      <c r="AJ596" s="97" t="e">
        <f>Datasheet!AJ854/AJ594</f>
        <v>#DIV/0!</v>
      </c>
      <c r="AK596" s="97" t="e">
        <f>Datasheet!AK854/AK594</f>
        <v>#DIV/0!</v>
      </c>
    </row>
    <row r="597" spans="2:37" s="4" customFormat="1" x14ac:dyDescent="0.25">
      <c r="B597" s="44"/>
      <c r="E597" s="4" t="s">
        <v>1178</v>
      </c>
      <c r="I597" s="97">
        <f>Datasheet!I791*12/I594</f>
        <v>0.17009174311926606</v>
      </c>
      <c r="J597" s="97">
        <f>Datasheet!J791*12/J594</f>
        <v>0.16429184549356224</v>
      </c>
      <c r="K597" s="97">
        <f>Datasheet!K791*12/K594</f>
        <v>0.15426294820717132</v>
      </c>
      <c r="L597" s="97">
        <f>Datasheet!L791*12/L594</f>
        <v>0.19425503355704699</v>
      </c>
      <c r="M597" s="97">
        <f>Datasheet!M791*12/M594</f>
        <v>0.20069798657718121</v>
      </c>
      <c r="N597" s="97">
        <f>Datasheet!N791*12/N594</f>
        <v>0.2076241610738255</v>
      </c>
      <c r="O597" s="97">
        <f>Datasheet!O791*12/O594</f>
        <v>0.20355342136854743</v>
      </c>
      <c r="P597" s="97">
        <f>Datasheet!P791*12/P594</f>
        <v>0.20406703910614526</v>
      </c>
      <c r="Q597" s="97">
        <f>Datasheet!Q791*12/Q594</f>
        <v>0.21722813369243676</v>
      </c>
      <c r="R597" s="97">
        <f>Datasheet!R791*12/R594</f>
        <v>0.20574229541325822</v>
      </c>
      <c r="S597" s="97">
        <f>Datasheet!S791*12/S594</f>
        <v>0.16026176552492341</v>
      </c>
      <c r="T597" s="97">
        <f>Datasheet!T791*12/T594</f>
        <v>0.23581225017353216</v>
      </c>
      <c r="U597" s="97">
        <f>Datasheet!U791*12/U594</f>
        <v>0.19803275729819969</v>
      </c>
      <c r="V597" s="97">
        <f>Datasheet!V791*12/V594</f>
        <v>0.21048125595282685</v>
      </c>
      <c r="W597" s="97">
        <f>Datasheet!W791*12/W594</f>
        <v>0.21000280919334532</v>
      </c>
      <c r="X597" s="97">
        <f>Datasheet!X791*12/X594</f>
        <v>0.17100086364072545</v>
      </c>
      <c r="Y597" s="97">
        <f>Datasheet!Y791*12/Y594</f>
        <v>0.17469618055555555</v>
      </c>
      <c r="Z597" s="97">
        <f>Datasheet!Z791*12/Z594</f>
        <v>0.18422836075794952</v>
      </c>
      <c r="AA597" s="97">
        <f>Datasheet!AA791*12/AA594</f>
        <v>0.21239462787457133</v>
      </c>
      <c r="AB597" s="97">
        <f>Datasheet!AB791*12/AB594</f>
        <v>0.19987700957568302</v>
      </c>
      <c r="AC597" s="97">
        <f>Datasheet!AC791*12/AC594</f>
        <v>0.20636678200692041</v>
      </c>
      <c r="AD597" s="97" t="e">
        <f>Datasheet!AD791*12/AD594</f>
        <v>#DIV/0!</v>
      </c>
      <c r="AE597" s="97" t="e">
        <f>Datasheet!AE791*12/AE594</f>
        <v>#DIV/0!</v>
      </c>
      <c r="AF597" s="97" t="e">
        <f>Datasheet!AF791*12/AF594</f>
        <v>#DIV/0!</v>
      </c>
      <c r="AG597" s="97" t="e">
        <f>Datasheet!AG791*12/AG594</f>
        <v>#DIV/0!</v>
      </c>
      <c r="AH597" s="97" t="e">
        <f>Datasheet!AH791*12/AH594</f>
        <v>#DIV/0!</v>
      </c>
      <c r="AI597" s="97" t="e">
        <f>Datasheet!AI791*12/AI594</f>
        <v>#DIV/0!</v>
      </c>
      <c r="AJ597" s="97" t="e">
        <f>Datasheet!AJ791*12/AJ594</f>
        <v>#DIV/0!</v>
      </c>
      <c r="AK597" s="97" t="e">
        <f>Datasheet!AK791*12/AK594</f>
        <v>#DIV/0!</v>
      </c>
    </row>
    <row r="598" spans="2:37" s="4" customFormat="1" x14ac:dyDescent="0.25">
      <c r="B598" s="44"/>
      <c r="E598" s="4" t="s">
        <v>2227</v>
      </c>
      <c r="I598" s="97">
        <f>Datasheet!I830*12/I594</f>
        <v>0.17853211009174311</v>
      </c>
      <c r="J598" s="97">
        <f>Datasheet!J830*12/J594</f>
        <v>0.16394849785407725</v>
      </c>
      <c r="K598" s="97">
        <f>Datasheet!K830*12/K594</f>
        <v>0.15346613545816734</v>
      </c>
      <c r="L598" s="97">
        <f>Datasheet!L830*12/L594</f>
        <v>0.18136912751677853</v>
      </c>
      <c r="M598" s="97">
        <f>Datasheet!M830*12/M594</f>
        <v>0.17299328859060403</v>
      </c>
      <c r="N598" s="97">
        <f>Datasheet!N830*12/N594</f>
        <v>0.16848322147651007</v>
      </c>
      <c r="O598" s="97">
        <f>Datasheet!O830*12/O594</f>
        <v>0.20355342136854743</v>
      </c>
      <c r="P598" s="97">
        <f>Datasheet!P830*12/P594</f>
        <v>0.17805586592178771</v>
      </c>
      <c r="Q598" s="97">
        <f>Datasheet!Q830*12/Q594</f>
        <v>0.16146408229943926</v>
      </c>
      <c r="R598" s="97">
        <f>Datasheet!R830*12/R594</f>
        <v>0.16240097173999504</v>
      </c>
      <c r="S598" s="97">
        <f>Datasheet!S830*12/S594</f>
        <v>0.17752715121136173</v>
      </c>
      <c r="T598" s="97">
        <f>Datasheet!T830*12/T594</f>
        <v>0.1770746068599057</v>
      </c>
      <c r="U598" s="97">
        <f>Datasheet!U830*12/U594</f>
        <v>0.17082524928935613</v>
      </c>
      <c r="V598" s="97">
        <f>Datasheet!V830*12/V594</f>
        <v>0.16553406889761674</v>
      </c>
      <c r="W598" s="97">
        <f>Datasheet!W830*12/W594</f>
        <v>0.22798164660347717</v>
      </c>
      <c r="X598" s="97">
        <f>Datasheet!X830*12/X594</f>
        <v>0.21211016217253623</v>
      </c>
      <c r="Y598" s="97">
        <f>Datasheet!Y830*12/Y594</f>
        <v>0.22699652777777779</v>
      </c>
      <c r="Z598" s="97">
        <f>Datasheet!Z830*12/Z594</f>
        <v>0.24657757054948629</v>
      </c>
      <c r="AA598" s="97">
        <f>Datasheet!AA830*12/AA594</f>
        <v>0.2699107610511024</v>
      </c>
      <c r="AB598" s="97">
        <f>Datasheet!AB830*12/AB594</f>
        <v>0.26460511288763944</v>
      </c>
      <c r="AC598" s="97">
        <f>Datasheet!AC830*12/AC594</f>
        <v>0.28878892733564016</v>
      </c>
      <c r="AD598" s="97" t="e">
        <f>Datasheet!AD820*12/AD594</f>
        <v>#DIV/0!</v>
      </c>
      <c r="AE598" s="97" t="e">
        <f>Datasheet!AE820*12/AE594</f>
        <v>#DIV/0!</v>
      </c>
      <c r="AF598" s="97" t="e">
        <f>Datasheet!AF820*12/AF594</f>
        <v>#DIV/0!</v>
      </c>
      <c r="AG598" s="97" t="e">
        <f>Datasheet!AG820*12/AG594</f>
        <v>#DIV/0!</v>
      </c>
      <c r="AH598" s="97" t="e">
        <f>Datasheet!AH820*12/AH594</f>
        <v>#DIV/0!</v>
      </c>
      <c r="AI598" s="97" t="e">
        <f>Datasheet!AI820*12/AI594</f>
        <v>#DIV/0!</v>
      </c>
      <c r="AJ598" s="97" t="e">
        <f>Datasheet!AJ820*12/AJ594</f>
        <v>#DIV/0!</v>
      </c>
      <c r="AK598" s="97" t="e">
        <f>Datasheet!AK820*12/AK594</f>
        <v>#DIV/0!</v>
      </c>
    </row>
    <row r="599" spans="2:37" s="79" customFormat="1" x14ac:dyDescent="0.25">
      <c r="B599" s="136"/>
      <c r="F599" s="79" t="s">
        <v>2231</v>
      </c>
      <c r="I599" s="256">
        <f>(Datasheet!I830*12)/(I595*52)</f>
        <v>0.43684525591140377</v>
      </c>
      <c r="J599" s="256">
        <f>(Datasheet!J830*12)/(J595*52)</f>
        <v>0.41193386053199138</v>
      </c>
      <c r="K599" s="256">
        <f>(Datasheet!K830*12)/(K595*52)</f>
        <v>0.39125135427952329</v>
      </c>
      <c r="L599" s="256">
        <f>(Datasheet!L830*12)/(L595*52)</f>
        <v>0.43598347960764067</v>
      </c>
      <c r="M599" s="256">
        <f>(Datasheet!M830*12)/(M595*52)</f>
        <v>0.38969521044992744</v>
      </c>
      <c r="N599" s="256">
        <f>(Datasheet!N830*12)/(N595*52)</f>
        <v>0.35238629983155528</v>
      </c>
      <c r="O599" s="256">
        <f>(Datasheet!O830*12)/(O595*52)</f>
        <v>0.4547795300933376</v>
      </c>
      <c r="P599" s="256">
        <f>(Datasheet!P830*12)/(P595*52)</f>
        <v>0.43655489809335962</v>
      </c>
      <c r="Q599" s="256">
        <f>(Datasheet!Q830*12)/(Q595*52)</f>
        <v>0.4124746221520415</v>
      </c>
      <c r="R599" s="256">
        <f>(Datasheet!R830*12)/(R595*52)</f>
        <v>0.40019071837253656</v>
      </c>
      <c r="S599" s="256">
        <f>(Datasheet!S830*12)/(S595*52)</f>
        <v>0.40416314454775992</v>
      </c>
      <c r="T599" s="256">
        <f>(Datasheet!T830*12)/(T595*52)</f>
        <v>0.38924550142060405</v>
      </c>
      <c r="U599" s="256">
        <f>(Datasheet!U830*12)/(U595*52)</f>
        <v>0.3883076923076923</v>
      </c>
      <c r="V599" s="256">
        <f>(Datasheet!V830*12)/(V595*52)</f>
        <v>0.38283338283338281</v>
      </c>
      <c r="W599" s="256">
        <f>(Datasheet!W830*12)/(W595*52)</f>
        <v>0.52673076923076922</v>
      </c>
      <c r="X599" s="256">
        <f>(Datasheet!X830*12)/(X595*52)</f>
        <v>0.51152457650652594</v>
      </c>
      <c r="Y599" s="256">
        <f>(Datasheet!Y830*12)/(Y595*52)</f>
        <v>0.56530354891010626</v>
      </c>
      <c r="Z599" s="256">
        <f>(Datasheet!Z830*12)/(Z595*52)</f>
        <v>0.59632867132867129</v>
      </c>
      <c r="AA599" s="256">
        <f>(Datasheet!AA830*12)/(AA595*52)</f>
        <v>0.49363794100636205</v>
      </c>
      <c r="AB599" s="256">
        <f>(Datasheet!AB830*12)/(AB595*52)</f>
        <v>0.46561958941380166</v>
      </c>
      <c r="AC599" s="256">
        <f>(Datasheet!AC830*12)/(AC595*52)</f>
        <v>0.4816204051012753</v>
      </c>
      <c r="AD599" s="256" t="e">
        <f>(Datasheet!AD830*12)/(AD595*52)</f>
        <v>#DIV/0!</v>
      </c>
      <c r="AE599" s="256" t="e">
        <f>(Datasheet!AE830*12)/(AE595*52)</f>
        <v>#DIV/0!</v>
      </c>
      <c r="AF599" s="256" t="e">
        <f>(Datasheet!AF830*12)/(AF595*52)</f>
        <v>#DIV/0!</v>
      </c>
      <c r="AG599" s="256" t="e">
        <f>(Datasheet!AG830*12)/(AG595*52)</f>
        <v>#DIV/0!</v>
      </c>
      <c r="AH599" s="256" t="e">
        <f>(Datasheet!AH830*12)/(AH595*52)</f>
        <v>#DIV/0!</v>
      </c>
      <c r="AI599" s="256" t="e">
        <f>(Datasheet!AI830*12)/(AI595*52)</f>
        <v>#DIV/0!</v>
      </c>
      <c r="AJ599" s="256" t="e">
        <f>(Datasheet!AJ830*12)/(AJ595*52)</f>
        <v>#DIV/0!</v>
      </c>
      <c r="AK599" s="256" t="e">
        <f>(Datasheet!AK830*12)/(AK595*52)</f>
        <v>#DIV/0!</v>
      </c>
    </row>
    <row r="600" spans="2:37" s="79" customFormat="1" x14ac:dyDescent="0.25">
      <c r="B600" s="136"/>
      <c r="F600" s="79" t="s">
        <v>2232</v>
      </c>
      <c r="I600" s="256">
        <f t="shared" ref="I600:AB600" si="61">I594/(I595*52)</f>
        <v>2.4468721939539062</v>
      </c>
      <c r="J600" s="256">
        <f t="shared" si="61"/>
        <v>2.5125808770668585</v>
      </c>
      <c r="K600" s="256">
        <f t="shared" si="61"/>
        <v>2.5494312026002168</v>
      </c>
      <c r="L600" s="256">
        <f t="shared" si="61"/>
        <v>2.4038461538461537</v>
      </c>
      <c r="M600" s="256">
        <f t="shared" si="61"/>
        <v>2.2526608611514272</v>
      </c>
      <c r="N600" s="256">
        <f t="shared" si="61"/>
        <v>2.0915216170690623</v>
      </c>
      <c r="O600" s="256">
        <f t="shared" si="61"/>
        <v>2.2342023388048493</v>
      </c>
      <c r="P600" s="256">
        <f t="shared" si="61"/>
        <v>2.4517861056322596</v>
      </c>
      <c r="Q600" s="256">
        <f t="shared" si="61"/>
        <v>2.5545905707196028</v>
      </c>
      <c r="R600" s="256">
        <f t="shared" si="61"/>
        <v>2.4642138164865437</v>
      </c>
      <c r="S600" s="256">
        <f t="shared" si="61"/>
        <v>2.276627218934911</v>
      </c>
      <c r="T600" s="256">
        <f t="shared" si="61"/>
        <v>2.1982005682416079</v>
      </c>
      <c r="U600" s="256">
        <f t="shared" si="61"/>
        <v>2.2731282051282053</v>
      </c>
      <c r="V600" s="256">
        <f t="shared" si="61"/>
        <v>2.3127165627165627</v>
      </c>
      <c r="W600" s="256">
        <f t="shared" si="61"/>
        <v>2.3104086538461539</v>
      </c>
      <c r="X600" s="256">
        <f t="shared" si="61"/>
        <v>2.4115986300101824</v>
      </c>
      <c r="Y600" s="256">
        <f t="shared" si="61"/>
        <v>2.490362096919474</v>
      </c>
      <c r="Z600" s="256">
        <f t="shared" si="61"/>
        <v>2.4184222027972027</v>
      </c>
      <c r="AA600" s="256">
        <f t="shared" si="61"/>
        <v>1.8288931463273568</v>
      </c>
      <c r="AB600" s="256">
        <f t="shared" si="61"/>
        <v>1.7596772198862232</v>
      </c>
      <c r="AC600" s="256">
        <f>AC594/(AC595*52)</f>
        <v>1.6677246234635581</v>
      </c>
      <c r="AD600" s="100"/>
      <c r="AE600" s="100"/>
      <c r="AF600" s="100"/>
      <c r="AG600" s="100"/>
      <c r="AH600" s="100"/>
      <c r="AI600" s="100"/>
      <c r="AJ600" s="100"/>
      <c r="AK600" s="100"/>
    </row>
    <row r="601" spans="2:37" s="79" customFormat="1" x14ac:dyDescent="0.25">
      <c r="B601" s="136"/>
      <c r="F601" s="79" t="s">
        <v>2233</v>
      </c>
      <c r="I601" s="256">
        <f>I592/(I595*52)</f>
        <v>3.0178464531577371</v>
      </c>
      <c r="J601" s="256">
        <f t="shared" ref="J601:AC601" si="62">J592/(J595*52)</f>
        <v>3.1763479511143062</v>
      </c>
      <c r="K601" s="256">
        <f t="shared" si="62"/>
        <v>3.5521736186348862</v>
      </c>
      <c r="L601" s="256">
        <f t="shared" si="62"/>
        <v>3.9632163138874548</v>
      </c>
      <c r="M601" s="256">
        <f t="shared" si="62"/>
        <v>4.6671202225447512</v>
      </c>
      <c r="N601" s="256">
        <f t="shared" si="62"/>
        <v>4.5924199887703541</v>
      </c>
      <c r="O601" s="256">
        <f t="shared" si="62"/>
        <v>4.2508046346958483</v>
      </c>
      <c r="P601" s="256">
        <f t="shared" si="62"/>
        <v>3.5657462195923735</v>
      </c>
      <c r="Q601" s="256">
        <f t="shared" si="62"/>
        <v>4.0682664110083469</v>
      </c>
      <c r="R601" s="256">
        <f t="shared" si="62"/>
        <v>4.0315744861199407</v>
      </c>
      <c r="S601" s="256">
        <f t="shared" si="62"/>
        <v>5.122199915469146</v>
      </c>
      <c r="T601" s="256">
        <f t="shared" si="62"/>
        <v>4.6676838892981163</v>
      </c>
      <c r="U601" s="256">
        <f t="shared" si="62"/>
        <v>5.1738461538461538</v>
      </c>
      <c r="V601" s="256">
        <f t="shared" si="62"/>
        <v>4.9447084447084446</v>
      </c>
      <c r="W601" s="256">
        <f t="shared" si="62"/>
        <v>4.9896874999999996</v>
      </c>
      <c r="X601" s="256">
        <f t="shared" si="62"/>
        <v>5.2774460797926501</v>
      </c>
      <c r="Y601" s="256">
        <f t="shared" si="62"/>
        <v>4.9812871554674834</v>
      </c>
      <c r="Z601" s="256">
        <f t="shared" si="62"/>
        <v>6.090078671328671</v>
      </c>
      <c r="AA601" s="256">
        <f t="shared" si="62"/>
        <v>5.2536509543088492</v>
      </c>
      <c r="AB601" s="256">
        <f t="shared" si="62"/>
        <v>4.9204953005194163</v>
      </c>
      <c r="AC601" s="256">
        <f t="shared" si="62"/>
        <v>0</v>
      </c>
      <c r="AD601" s="100"/>
      <c r="AE601" s="100"/>
      <c r="AF601" s="100"/>
      <c r="AG601" s="100"/>
      <c r="AH601" s="100"/>
      <c r="AI601" s="100"/>
      <c r="AJ601" s="100"/>
      <c r="AK601" s="100"/>
    </row>
    <row r="602" spans="2:37" s="4" customFormat="1" x14ac:dyDescent="0.25">
      <c r="B602" s="44"/>
      <c r="D602" s="4" t="s">
        <v>945</v>
      </c>
      <c r="H602" s="4" t="s">
        <v>527</v>
      </c>
      <c r="I602" s="69">
        <f t="shared" ref="I602:S602" si="63">I603*$T604/$T603</f>
        <v>470997087.56500167</v>
      </c>
      <c r="J602" s="69">
        <f t="shared" si="63"/>
        <v>456116248.31244177</v>
      </c>
      <c r="K602" s="69">
        <f t="shared" si="63"/>
        <v>444701141.13055915</v>
      </c>
      <c r="L602" s="69">
        <f t="shared" si="63"/>
        <v>447133138.36847067</v>
      </c>
      <c r="M602" s="69">
        <f t="shared" si="63"/>
        <v>463404498.49029827</v>
      </c>
      <c r="N602" s="69">
        <f t="shared" si="63"/>
        <v>462749138.50410867</v>
      </c>
      <c r="O602" s="69">
        <f t="shared" si="63"/>
        <v>463056829.54671347</v>
      </c>
      <c r="P602" s="69">
        <f t="shared" si="63"/>
        <v>510250130.4606241</v>
      </c>
      <c r="Q602" s="69">
        <f t="shared" si="63"/>
        <v>507057603.10225934</v>
      </c>
      <c r="R602" s="69">
        <f t="shared" si="63"/>
        <v>487658823.58699071</v>
      </c>
      <c r="S602" s="69">
        <f t="shared" si="63"/>
        <v>483272928.86891675</v>
      </c>
      <c r="T602" s="69">
        <f t="shared" ref="T602:AK602" si="64">T603*$T604/$T603</f>
        <v>479707861.99999994</v>
      </c>
      <c r="U602" s="69">
        <f t="shared" si="64"/>
        <v>493144120.00025451</v>
      </c>
      <c r="V602" s="69">
        <f t="shared" si="64"/>
        <v>518307661.78018504</v>
      </c>
      <c r="W602" s="69">
        <f t="shared" si="64"/>
        <v>523852271.96513569</v>
      </c>
      <c r="X602" s="69">
        <f t="shared" si="64"/>
        <v>592649456.08378172</v>
      </c>
      <c r="Y602" s="69">
        <f t="shared" si="64"/>
        <v>620790378.93074787</v>
      </c>
      <c r="Z602" s="69">
        <f t="shared" si="64"/>
        <v>610742864.18899679</v>
      </c>
      <c r="AA602" s="69">
        <f t="shared" si="64"/>
        <v>589285661.46440172</v>
      </c>
      <c r="AB602" s="69">
        <f t="shared" si="64"/>
        <v>670152057.40041649</v>
      </c>
      <c r="AC602" s="69">
        <f t="shared" si="64"/>
        <v>607675807.56489944</v>
      </c>
      <c r="AD602" s="69">
        <f t="shared" si="64"/>
        <v>353391049.5281142</v>
      </c>
      <c r="AE602" s="69">
        <f t="shared" si="64"/>
        <v>353391049.5281142</v>
      </c>
      <c r="AF602" s="69">
        <f t="shared" si="64"/>
        <v>353391049.5281142</v>
      </c>
      <c r="AG602" s="69">
        <f t="shared" si="64"/>
        <v>353391049.5281142</v>
      </c>
      <c r="AH602" s="69">
        <f t="shared" si="64"/>
        <v>353391049.5281142</v>
      </c>
      <c r="AI602" s="69">
        <f t="shared" si="64"/>
        <v>353391049.5281142</v>
      </c>
      <c r="AJ602" s="69">
        <f t="shared" si="64"/>
        <v>353391049.5281142</v>
      </c>
      <c r="AK602" s="69">
        <f t="shared" si="64"/>
        <v>353391049.5281142</v>
      </c>
    </row>
    <row r="603" spans="2:37" s="4" customFormat="1" x14ac:dyDescent="0.25">
      <c r="B603" s="44"/>
      <c r="D603" s="172"/>
      <c r="E603" s="4" t="s">
        <v>1179</v>
      </c>
      <c r="H603" s="4" t="s">
        <v>527</v>
      </c>
      <c r="I603" s="69">
        <f>IF(Datasheet!I1091&gt;0,Datasheet!I1091,I158)</f>
        <v>633448.55000000005</v>
      </c>
      <c r="J603" s="69">
        <f>IF(Datasheet!J1091&gt;0,Datasheet!J1091,J158)</f>
        <v>613435.16499999992</v>
      </c>
      <c r="K603" s="69">
        <f>IF(Datasheet!K1091&gt;0,Datasheet!K1091,K158)</f>
        <v>598082.87666666659</v>
      </c>
      <c r="L603" s="69">
        <f>IF(Datasheet!L1091&gt;0,Datasheet!L1091,L158)</f>
        <v>601353.69333333324</v>
      </c>
      <c r="M603" s="69">
        <f>IF(Datasheet!M1091&gt;0,Datasheet!M1091,M158)</f>
        <v>623237.20333333313</v>
      </c>
      <c r="N603" s="69">
        <f>IF(Datasheet!N1091&gt;0,Datasheet!N1091,N158)</f>
        <v>622355.80333333311</v>
      </c>
      <c r="O603" s="69">
        <f>IF(Datasheet!O1091&gt;0,Datasheet!O1091,O158)</f>
        <v>622769.62</v>
      </c>
      <c r="P603" s="69">
        <f>IF(Datasheet!P1091&gt;0,Datasheet!P1091,P158)</f>
        <v>686240.34799999988</v>
      </c>
      <c r="Q603" s="69">
        <f>IF(Datasheet!Q1091&gt;0,Datasheet!Q1091,Q158)</f>
        <v>681946.68699999992</v>
      </c>
      <c r="R603" s="69">
        <f>IF(Datasheet!R1091&gt;0,Datasheet!R1091,R158)</f>
        <v>655857.08033333276</v>
      </c>
      <c r="S603" s="69">
        <f>IF(Datasheet!S1091&gt;0,Datasheet!S1091,S158)</f>
        <v>649958.44799999974</v>
      </c>
      <c r="T603" s="69">
        <f>IF(Datasheet!T1091&gt;0,Datasheet!T1091,T158)</f>
        <v>645163.75499999966</v>
      </c>
      <c r="U603" s="69">
        <f>IF(Datasheet!U1091&gt;0,Datasheet!U1091,U158)</f>
        <v>663234.30866666639</v>
      </c>
      <c r="V603" s="69">
        <f>IF(Datasheet!V1091&gt;0,Datasheet!V1091,V158)</f>
        <v>697077</v>
      </c>
      <c r="W603" s="69">
        <f>IF(Datasheet!W1091&gt;0,Datasheet!W1091,W158)</f>
        <v>704534</v>
      </c>
      <c r="X603" s="69">
        <f>IF(Datasheet!X1091&gt;0,Datasheet!X1091,X158)</f>
        <v>797060</v>
      </c>
      <c r="Y603" s="69">
        <f>IF(Datasheet!Y1091&gt;0,Datasheet!Y1091,Y158)</f>
        <v>834907</v>
      </c>
      <c r="Z603" s="69">
        <f>IF(Datasheet!Z1091&gt;0,Datasheet!Z1091,Z158)</f>
        <v>821394</v>
      </c>
      <c r="AA603" s="69">
        <f>IF(Datasheet!AA1091&gt;0,Datasheet!AA1091,AA158)</f>
        <v>792536</v>
      </c>
      <c r="AB603" s="69">
        <f>IF(Datasheet!AB1091&gt;0,Datasheet!AB1091,AB158)</f>
        <v>901294</v>
      </c>
      <c r="AC603" s="69">
        <f>IF(Datasheet!AC1091&gt;0,Datasheet!AC1091,AC158)</f>
        <v>817269.08580711915</v>
      </c>
      <c r="AD603" s="69">
        <f>IF(Datasheet!AD1091&gt;0,Datasheet!AD1091,AD158)</f>
        <v>475279.04909957258</v>
      </c>
      <c r="AE603" s="69">
        <f>IF(Datasheet!AE1091&gt;0,Datasheet!AE1091,AE158)</f>
        <v>475279.04909957258</v>
      </c>
      <c r="AF603" s="69">
        <f>IF(Datasheet!AF1091&gt;0,Datasheet!AF1091,AF158)</f>
        <v>475279.04909957258</v>
      </c>
      <c r="AG603" s="69">
        <f>IF(Datasheet!AG1091&gt;0,Datasheet!AG1091,AG158)</f>
        <v>475279.04909957258</v>
      </c>
      <c r="AH603" s="69">
        <f>IF(Datasheet!AH1091&gt;0,Datasheet!AH1091,AH158)</f>
        <v>475279.04909957258</v>
      </c>
      <c r="AI603" s="69">
        <f>IF(Datasheet!AI1091&gt;0,Datasheet!AI1091,AI158)</f>
        <v>475279.04909957258</v>
      </c>
      <c r="AJ603" s="69">
        <f>IF(Datasheet!AJ1091&gt;0,Datasheet!AJ1091,AJ158)</f>
        <v>475279.04909957258</v>
      </c>
      <c r="AK603" s="69">
        <f>IF(Datasheet!AK1091&gt;0,Datasheet!AK1091,AK158)</f>
        <v>475279.04909957258</v>
      </c>
    </row>
    <row r="604" spans="2:37" s="4" customFormat="1" x14ac:dyDescent="0.25">
      <c r="B604" s="44"/>
      <c r="D604" s="181"/>
      <c r="E604" s="4" t="s">
        <v>1180</v>
      </c>
      <c r="H604" s="4" t="s">
        <v>527</v>
      </c>
      <c r="I604" s="69"/>
      <c r="J604" s="69"/>
      <c r="K604" s="69"/>
      <c r="L604" s="69"/>
      <c r="M604" s="69"/>
      <c r="N604" s="69"/>
      <c r="O604" s="69"/>
      <c r="P604" s="69"/>
      <c r="Q604" s="69"/>
      <c r="R604" s="69"/>
      <c r="S604" s="69"/>
      <c r="T604" s="69">
        <v>479707862</v>
      </c>
      <c r="U604" s="69"/>
      <c r="V604" s="69"/>
      <c r="W604" s="69"/>
      <c r="X604" s="69"/>
      <c r="Y604" s="69"/>
      <c r="Z604" s="69"/>
      <c r="AA604" s="69"/>
      <c r="AB604" s="69"/>
      <c r="AC604" s="69"/>
      <c r="AD604" s="69"/>
      <c r="AE604" s="69"/>
      <c r="AF604" s="69"/>
      <c r="AG604" s="69"/>
      <c r="AH604" s="69"/>
      <c r="AI604" s="69"/>
      <c r="AJ604" s="69"/>
      <c r="AK604" s="69"/>
    </row>
    <row r="605" spans="2:37" x14ac:dyDescent="0.25">
      <c r="C605" s="4" t="s">
        <v>1181</v>
      </c>
      <c r="D605" s="4"/>
      <c r="E605" s="4"/>
      <c r="F605" s="4"/>
      <c r="G605" s="4"/>
      <c r="H605" s="4"/>
      <c r="I605" s="69"/>
      <c r="J605" s="79" t="s">
        <v>1182</v>
      </c>
      <c r="K605" s="79" t="s">
        <v>1183</v>
      </c>
      <c r="L605" s="79" t="s">
        <v>1184</v>
      </c>
      <c r="M605" s="79" t="s">
        <v>1185</v>
      </c>
      <c r="N605" s="79" t="s">
        <v>1186</v>
      </c>
      <c r="O605" s="69" t="s">
        <v>1187</v>
      </c>
      <c r="P605" s="79" t="s">
        <v>1188</v>
      </c>
      <c r="Q605" s="79" t="s">
        <v>1189</v>
      </c>
      <c r="R605" s="79" t="s">
        <v>1190</v>
      </c>
      <c r="S605" s="69" t="s">
        <v>1191</v>
      </c>
      <c r="T605" s="79" t="s">
        <v>1192</v>
      </c>
      <c r="U605" s="79" t="s">
        <v>1193</v>
      </c>
      <c r="V605" s="79" t="s">
        <v>1194</v>
      </c>
      <c r="W605" s="79" t="s">
        <v>1195</v>
      </c>
      <c r="X605" s="79" t="s">
        <v>1196</v>
      </c>
      <c r="Y605" s="79" t="s">
        <v>1197</v>
      </c>
      <c r="Z605" s="69" t="s">
        <v>1198</v>
      </c>
      <c r="AA605" s="79" t="s">
        <v>1199</v>
      </c>
      <c r="AB605" s="79" t="s">
        <v>2032</v>
      </c>
      <c r="AC605" s="79" t="s">
        <v>2033</v>
      </c>
      <c r="AD605" s="79" t="s">
        <v>2118</v>
      </c>
      <c r="AE605" s="79" t="s">
        <v>2119</v>
      </c>
      <c r="AF605" s="79"/>
      <c r="AG605" s="79"/>
      <c r="AH605" s="79"/>
      <c r="AI605" s="79"/>
      <c r="AJ605" s="79"/>
      <c r="AK605" s="79"/>
    </row>
    <row r="606" spans="2:37" x14ac:dyDescent="0.25">
      <c r="C606" s="4"/>
      <c r="D606" s="4" t="s">
        <v>22</v>
      </c>
      <c r="E606" s="4"/>
      <c r="F606" s="4"/>
      <c r="G606" s="4"/>
      <c r="H606" t="s">
        <v>1200</v>
      </c>
      <c r="I606" s="130"/>
      <c r="J606" s="188">
        <f t="shared" ref="J606:O612" si="65">(J582/$I582-1)/(J$2-$I$2)</f>
        <v>2.3307989530100937E-2</v>
      </c>
      <c r="K606" s="188">
        <f t="shared" si="65"/>
        <v>3.1658980431260142E-2</v>
      </c>
      <c r="L606" s="188">
        <f t="shared" si="65"/>
        <v>2.7587353026714851E-2</v>
      </c>
      <c r="M606" s="188">
        <f t="shared" si="65"/>
        <v>2.8698741119282056E-2</v>
      </c>
      <c r="N606" s="188">
        <f t="shared" si="65"/>
        <v>2.7097095849432894E-2</v>
      </c>
      <c r="O606" s="132">
        <f t="shared" si="65"/>
        <v>2.600855872699322E-2</v>
      </c>
      <c r="P606" s="188">
        <f t="shared" ref="P606:S612" si="66">(P582/$O582-1)/(P$2-$O$2)</f>
        <v>1.9514824797843611E-2</v>
      </c>
      <c r="Q606" s="188">
        <f t="shared" si="66"/>
        <v>1.892183288409699E-2</v>
      </c>
      <c r="R606" s="188">
        <f t="shared" si="66"/>
        <v>1.5058400718778101E-2</v>
      </c>
      <c r="S606" s="132">
        <f t="shared" si="66"/>
        <v>1.3072776280323439E-2</v>
      </c>
      <c r="T606" s="188">
        <f t="shared" ref="T606:Y606" si="67">(T582/$S582-1)/(T$2-$S$2)</f>
        <v>7.6972336065572744E-3</v>
      </c>
      <c r="U606" s="188">
        <f t="shared" si="67"/>
        <v>9.9001024590164022E-3</v>
      </c>
      <c r="V606" s="188">
        <f t="shared" si="67"/>
        <v>1.135160519125685E-2</v>
      </c>
      <c r="W606" s="188">
        <f t="shared" si="67"/>
        <v>1.2231045081967207E-2</v>
      </c>
      <c r="X606" s="188">
        <f t="shared" si="67"/>
        <v>1.1795594262295062E-2</v>
      </c>
      <c r="Y606" s="188">
        <f t="shared" si="67"/>
        <v>1.3008025956284142E-2</v>
      </c>
      <c r="Z606" s="132">
        <f t="shared" ref="Z606:Z612" si="68">(Z582/$S582-1)/(Z$2-$S$2)</f>
        <v>1.4869364754098375E-2</v>
      </c>
      <c r="AA606" s="188">
        <f t="shared" ref="AA606:AA612" si="69">(AA582/$Z582-1)/(AA$2-$Z$2)</f>
        <v>2.2933172480193109E-2</v>
      </c>
      <c r="AB606" s="188">
        <f t="shared" ref="AB606:AK606" si="70">(AB582/$Z582-1)/(AB$2-$Z$2)</f>
        <v>2.227777326667213E-2</v>
      </c>
      <c r="AC606" s="188">
        <f t="shared" si="70"/>
        <v>1.8440111205199877E-2</v>
      </c>
      <c r="AD606" s="188">
        <f t="shared" si="70"/>
        <v>1.3806883431739858E-2</v>
      </c>
      <c r="AE606" s="188">
        <f t="shared" si="70"/>
        <v>1.1045506745391887E-2</v>
      </c>
      <c r="AF606" s="188">
        <f t="shared" si="70"/>
        <v>9.2045889544932393E-3</v>
      </c>
      <c r="AG606" s="188">
        <f t="shared" si="70"/>
        <v>7.8896476752799184E-3</v>
      </c>
      <c r="AH606" s="188">
        <f t="shared" si="70"/>
        <v>6.9034417158699291E-3</v>
      </c>
      <c r="AI606" s="188">
        <f t="shared" si="70"/>
        <v>6.1363926363288256E-3</v>
      </c>
      <c r="AJ606" s="188">
        <f t="shared" si="70"/>
        <v>5.5227533726959436E-3</v>
      </c>
      <c r="AK606" s="188">
        <f t="shared" si="70"/>
        <v>5.0206848842690392E-3</v>
      </c>
    </row>
    <row r="607" spans="2:37" x14ac:dyDescent="0.25">
      <c r="C607" s="4"/>
      <c r="D607" s="4" t="s">
        <v>29</v>
      </c>
      <c r="E607" s="4"/>
      <c r="F607" s="4"/>
      <c r="G607" s="4"/>
      <c r="H607" t="s">
        <v>1200</v>
      </c>
      <c r="I607" s="130"/>
      <c r="J607" s="188">
        <f t="shared" si="65"/>
        <v>6.9792412312097429E-3</v>
      </c>
      <c r="K607" s="188">
        <f t="shared" si="65"/>
        <v>7.8740157480314821E-3</v>
      </c>
      <c r="L607" s="188">
        <f t="shared" si="65"/>
        <v>1.0379384395132455E-2</v>
      </c>
      <c r="M607" s="188">
        <f t="shared" si="65"/>
        <v>1.1721546170365083E-2</v>
      </c>
      <c r="N607" s="188">
        <f t="shared" si="65"/>
        <v>1.1309949892627059E-2</v>
      </c>
      <c r="O607" s="132">
        <f t="shared" si="65"/>
        <v>1.0200429491768062E-2</v>
      </c>
      <c r="P607" s="188">
        <f t="shared" si="66"/>
        <v>4.553119730185573E-3</v>
      </c>
      <c r="Q607" s="188">
        <f t="shared" si="66"/>
        <v>5.2276559865093164E-3</v>
      </c>
      <c r="R607" s="188">
        <f t="shared" si="66"/>
        <v>3.5413153456998656E-3</v>
      </c>
      <c r="S607" s="132">
        <f t="shared" si="66"/>
        <v>3.709949409780755E-3</v>
      </c>
      <c r="T607" s="188">
        <f t="shared" ref="T607:Y607" si="71">(T583/$S583-1)/(T$2-$S$2)</f>
        <v>-4.5696244599534586E-3</v>
      </c>
      <c r="U607" s="188">
        <f t="shared" si="71"/>
        <v>1.6616816218018027E-4</v>
      </c>
      <c r="V607" s="188">
        <f t="shared" si="71"/>
        <v>-1.4124293785310698E-3</v>
      </c>
      <c r="W607" s="188">
        <f t="shared" si="71"/>
        <v>-2.2017281488866669E-3</v>
      </c>
      <c r="X607" s="188">
        <f t="shared" si="71"/>
        <v>1.6782984380192545E-3</v>
      </c>
      <c r="Y607" s="188">
        <f t="shared" si="71"/>
        <v>2.6863852885787112E-3</v>
      </c>
      <c r="Z607" s="132">
        <f t="shared" si="68"/>
        <v>1.7447657028913138E-3</v>
      </c>
      <c r="AA607" s="188">
        <f t="shared" si="69"/>
        <v>-1.8878765492900129E-3</v>
      </c>
      <c r="AB607" s="188">
        <f t="shared" ref="AB607:AK607" si="72">(AB583/$Z583-1)/(AB$2-$Z$2)</f>
        <v>7.2642206353115135E-3</v>
      </c>
      <c r="AC607" s="188">
        <f t="shared" si="72"/>
        <v>5.4994664696708844E-3</v>
      </c>
      <c r="AD607" s="188">
        <f t="shared" si="72"/>
        <v>4.1245998522531635E-3</v>
      </c>
      <c r="AE607" s="188">
        <f t="shared" si="72"/>
        <v>3.299679881802531E-3</v>
      </c>
      <c r="AF607" s="188">
        <f t="shared" si="72"/>
        <v>2.7497332348354422E-3</v>
      </c>
      <c r="AG607" s="188">
        <f t="shared" si="72"/>
        <v>2.3569142012875221E-3</v>
      </c>
      <c r="AH607" s="188">
        <f t="shared" si="72"/>
        <v>2.0622999261265818E-3</v>
      </c>
      <c r="AI607" s="188">
        <f t="shared" si="72"/>
        <v>1.8331554898902949E-3</v>
      </c>
      <c r="AJ607" s="188">
        <f t="shared" si="72"/>
        <v>1.6498399409012655E-3</v>
      </c>
      <c r="AK607" s="188">
        <f t="shared" si="72"/>
        <v>1.4998544917284231E-3</v>
      </c>
    </row>
    <row r="608" spans="2:37" x14ac:dyDescent="0.25">
      <c r="D608" s="4" t="s">
        <v>806</v>
      </c>
      <c r="H608" t="s">
        <v>1200</v>
      </c>
      <c r="I608" s="130"/>
      <c r="J608" s="188">
        <f t="shared" si="65"/>
        <v>4.1773647792135105E-2</v>
      </c>
      <c r="K608" s="188">
        <f t="shared" si="65"/>
        <v>3.9651291063951377E-2</v>
      </c>
      <c r="L608" s="188">
        <f t="shared" si="65"/>
        <v>2.9010151551506363E-2</v>
      </c>
      <c r="M608" s="188">
        <f t="shared" si="65"/>
        <v>2.612539130042385E-2</v>
      </c>
      <c r="N608" s="188">
        <f t="shared" si="65"/>
        <v>2.7804668456970473E-2</v>
      </c>
      <c r="O608" s="132">
        <f t="shared" si="65"/>
        <v>2.6026729693641948E-2</v>
      </c>
      <c r="P608" s="188">
        <f t="shared" si="66"/>
        <v>3.7739376770538291E-2</v>
      </c>
      <c r="Q608" s="188">
        <f t="shared" si="66"/>
        <v>2.3204280768020169E-2</v>
      </c>
      <c r="R608" s="188">
        <f t="shared" si="66"/>
        <v>1.5908579022837783E-2</v>
      </c>
      <c r="S608" s="132">
        <f t="shared" si="66"/>
        <v>1.3324624908194305E-2</v>
      </c>
      <c r="T608" s="188">
        <f t="shared" ref="T608:Y608" si="73">(T584/$S584-1)/(T$2-$S$2)</f>
        <v>7.219925952695716E-3</v>
      </c>
      <c r="U608" s="188">
        <f t="shared" si="73"/>
        <v>1.3477229975770499E-2</v>
      </c>
      <c r="V608" s="188">
        <f t="shared" si="73"/>
        <v>9.7693861174054462E-3</v>
      </c>
      <c r="W608" s="188">
        <f t="shared" si="73"/>
        <v>9.4681107298862921E-3</v>
      </c>
      <c r="X608" s="188">
        <f t="shared" si="73"/>
        <v>8.8030735767389949E-3</v>
      </c>
      <c r="Y608" s="188">
        <f t="shared" si="73"/>
        <v>7.5847369608702904E-3</v>
      </c>
      <c r="Z608" s="132">
        <f t="shared" si="68"/>
        <v>8.0507154420630701E-3</v>
      </c>
      <c r="AA608" s="188">
        <f t="shared" si="69"/>
        <v>4.1749981452861018E-3</v>
      </c>
      <c r="AB608" s="188">
        <f t="shared" ref="AB608:AK608" si="74">(AB584/$Z584-1)/(AB$2-$Z$2)</f>
        <v>1.5214311927306268E-3</v>
      </c>
      <c r="AC608" s="188">
        <f t="shared" si="74"/>
        <v>8.9578693945546739E-4</v>
      </c>
      <c r="AD608" s="188">
        <f t="shared" si="74"/>
        <v>6.7184020459160054E-4</v>
      </c>
      <c r="AE608" s="188">
        <f t="shared" si="74"/>
        <v>5.3747216367328043E-4</v>
      </c>
      <c r="AF608" s="188">
        <f t="shared" si="74"/>
        <v>4.478934697277337E-4</v>
      </c>
      <c r="AG608" s="188">
        <f t="shared" si="74"/>
        <v>3.8390868833805748E-4</v>
      </c>
      <c r="AH608" s="188">
        <f t="shared" si="74"/>
        <v>3.3592010229580027E-4</v>
      </c>
      <c r="AI608" s="188">
        <f t="shared" si="74"/>
        <v>2.985956464851558E-4</v>
      </c>
      <c r="AJ608" s="188">
        <f t="shared" si="74"/>
        <v>2.6873608183664022E-4</v>
      </c>
      <c r="AK608" s="188">
        <f t="shared" si="74"/>
        <v>2.4430552894240019E-4</v>
      </c>
    </row>
    <row r="609" spans="1:37" x14ac:dyDescent="0.25">
      <c r="D609" s="4" t="s">
        <v>808</v>
      </c>
      <c r="H609" t="s">
        <v>1200</v>
      </c>
      <c r="I609" s="130"/>
      <c r="J609" s="188">
        <f t="shared" si="65"/>
        <v>1.0945778921823912E-2</v>
      </c>
      <c r="K609" s="188">
        <f t="shared" si="65"/>
        <v>1.7498507924417095E-2</v>
      </c>
      <c r="L609" s="188">
        <f t="shared" si="65"/>
        <v>3.5060736110077505E-2</v>
      </c>
      <c r="M609" s="188">
        <f t="shared" si="65"/>
        <v>6.0300100541816781E-2</v>
      </c>
      <c r="N609" s="188">
        <f t="shared" si="65"/>
        <v>7.602975103861595E-2</v>
      </c>
      <c r="O609" s="132">
        <f t="shared" si="65"/>
        <v>6.4216403735466554E-2</v>
      </c>
      <c r="P609" s="188">
        <f t="shared" si="66"/>
        <v>1.9376884887924994E-3</v>
      </c>
      <c r="Q609" s="188">
        <f t="shared" si="66"/>
        <v>1.0341536688622588E-2</v>
      </c>
      <c r="R609" s="188">
        <f t="shared" si="66"/>
        <v>1.7548747691785865E-2</v>
      </c>
      <c r="S609" s="132">
        <f t="shared" si="66"/>
        <v>1.7106197337692919E-2</v>
      </c>
      <c r="T609" s="188">
        <f t="shared" ref="T609:Y609" si="75">(T585/$S585-1)/(T$2-$S$2)</f>
        <v>-3.13829601063631E-4</v>
      </c>
      <c r="U609" s="188">
        <f t="shared" si="75"/>
        <v>1.4314893898111913E-3</v>
      </c>
      <c r="V609" s="188">
        <f t="shared" si="75"/>
        <v>5.9400041770002838E-3</v>
      </c>
      <c r="W609" s="188">
        <f t="shared" si="75"/>
        <v>4.5939403589426719E-3</v>
      </c>
      <c r="X609" s="188">
        <f t="shared" si="75"/>
        <v>4.0835559451021909E-3</v>
      </c>
      <c r="Y609" s="188">
        <f t="shared" si="75"/>
        <v>1.0494528408942458E-2</v>
      </c>
      <c r="Z609" s="132">
        <f t="shared" si="68"/>
        <v>1.2185481137547851E-2</v>
      </c>
      <c r="AA609" s="188">
        <f t="shared" si="69"/>
        <v>1.1605352714366468E-2</v>
      </c>
      <c r="AB609" s="188">
        <f t="shared" ref="AB609:AK609" si="76">(AB585/$Z585-1)/(AB$2-$Z$2)</f>
        <v>6.7449444924240209E-3</v>
      </c>
      <c r="AC609" s="188">
        <f t="shared" si="76"/>
        <v>1.0333438351528113E-2</v>
      </c>
      <c r="AD609" s="188">
        <f t="shared" si="76"/>
        <v>7.7500787636460844E-3</v>
      </c>
      <c r="AE609" s="188">
        <f t="shared" si="76"/>
        <v>6.2000630109168677E-3</v>
      </c>
      <c r="AF609" s="188">
        <f t="shared" si="76"/>
        <v>5.1667191757640563E-3</v>
      </c>
      <c r="AG609" s="188">
        <f t="shared" si="76"/>
        <v>4.4286164363691915E-3</v>
      </c>
      <c r="AH609" s="188">
        <f t="shared" si="76"/>
        <v>3.8750393818230422E-3</v>
      </c>
      <c r="AI609" s="188">
        <f t="shared" si="76"/>
        <v>3.444479450509371E-3</v>
      </c>
      <c r="AJ609" s="188">
        <f t="shared" si="76"/>
        <v>3.1000315054584338E-3</v>
      </c>
      <c r="AK609" s="188">
        <f t="shared" si="76"/>
        <v>2.818210459507667E-3</v>
      </c>
    </row>
    <row r="610" spans="1:37" x14ac:dyDescent="0.25">
      <c r="D610" s="4" t="s">
        <v>811</v>
      </c>
      <c r="H610" t="s">
        <v>1200</v>
      </c>
      <c r="I610" s="130"/>
      <c r="J610" s="188" t="e">
        <f t="shared" si="65"/>
        <v>#DIV/0!</v>
      </c>
      <c r="K610" s="188" t="e">
        <f t="shared" si="65"/>
        <v>#DIV/0!</v>
      </c>
      <c r="L610" s="188" t="e">
        <f t="shared" si="65"/>
        <v>#DIV/0!</v>
      </c>
      <c r="M610" s="188" t="e">
        <f t="shared" si="65"/>
        <v>#DIV/0!</v>
      </c>
      <c r="N610" s="188" t="e">
        <f t="shared" si="65"/>
        <v>#DIV/0!</v>
      </c>
      <c r="O610" s="132" t="e">
        <f t="shared" si="65"/>
        <v>#DIV/0!</v>
      </c>
      <c r="P610" s="188" t="e">
        <f t="shared" si="66"/>
        <v>#DIV/0!</v>
      </c>
      <c r="Q610" s="188" t="e">
        <f t="shared" si="66"/>
        <v>#DIV/0!</v>
      </c>
      <c r="R610" s="188" t="e">
        <f t="shared" si="66"/>
        <v>#DIV/0!</v>
      </c>
      <c r="S610" s="132" t="e">
        <f t="shared" si="66"/>
        <v>#DIV/0!</v>
      </c>
      <c r="T610" s="188">
        <f t="shared" ref="T610:Y610" si="77">(T586/$S586-1)/(T$2-$S$2)</f>
        <v>1.7482677446311268E-2</v>
      </c>
      <c r="U610" s="188">
        <f t="shared" si="77"/>
        <v>2.4427891380526701E-2</v>
      </c>
      <c r="V610" s="188">
        <f t="shared" si="77"/>
        <v>2.3547849212622651E-2</v>
      </c>
      <c r="W610" s="188">
        <f t="shared" si="77"/>
        <v>2.1102967742614331E-2</v>
      </c>
      <c r="X610" s="188">
        <f t="shared" si="77"/>
        <v>2.2445821706747183E-2</v>
      </c>
      <c r="Y610" s="188">
        <f t="shared" si="77"/>
        <v>1.5359923597296099E-2</v>
      </c>
      <c r="Z610" s="132">
        <f t="shared" si="68"/>
        <v>1.0326578685920669E-2</v>
      </c>
      <c r="AA610" s="188">
        <f t="shared" si="69"/>
        <v>-0.13715711666292396</v>
      </c>
      <c r="AB610" s="188">
        <f t="shared" ref="AB610:AK610" si="78">(AB586/$Z586-1)/(AB$2-$Z$2)</f>
        <v>1.534731591773586E-2</v>
      </c>
      <c r="AC610" s="188">
        <f t="shared" si="78"/>
        <v>8.8286041768033865E-3</v>
      </c>
      <c r="AD610" s="188" t="e">
        <f t="shared" si="78"/>
        <v>#DIV/0!</v>
      </c>
      <c r="AE610" s="188" t="e">
        <f t="shared" si="78"/>
        <v>#DIV/0!</v>
      </c>
      <c r="AF610" s="188" t="e">
        <f t="shared" si="78"/>
        <v>#DIV/0!</v>
      </c>
      <c r="AG610" s="188" t="e">
        <f t="shared" si="78"/>
        <v>#DIV/0!</v>
      </c>
      <c r="AH610" s="188" t="e">
        <f t="shared" si="78"/>
        <v>#DIV/0!</v>
      </c>
      <c r="AI610" s="188" t="e">
        <f t="shared" si="78"/>
        <v>#DIV/0!</v>
      </c>
      <c r="AJ610" s="188" t="e">
        <f t="shared" si="78"/>
        <v>#DIV/0!</v>
      </c>
      <c r="AK610" s="188" t="e">
        <f t="shared" si="78"/>
        <v>#DIV/0!</v>
      </c>
    </row>
    <row r="611" spans="1:37" x14ac:dyDescent="0.25">
      <c r="D611" s="4" t="s">
        <v>813</v>
      </c>
      <c r="H611" t="s">
        <v>1200</v>
      </c>
      <c r="I611" s="130"/>
      <c r="J611" s="188" t="e">
        <f t="shared" si="65"/>
        <v>#DIV/0!</v>
      </c>
      <c r="K611" s="188" t="e">
        <f t="shared" si="65"/>
        <v>#DIV/0!</v>
      </c>
      <c r="L611" s="188" t="e">
        <f t="shared" si="65"/>
        <v>#DIV/0!</v>
      </c>
      <c r="M611" s="188" t="e">
        <f t="shared" si="65"/>
        <v>#DIV/0!</v>
      </c>
      <c r="N611" s="188" t="e">
        <f t="shared" si="65"/>
        <v>#DIV/0!</v>
      </c>
      <c r="O611" s="132" t="e">
        <f t="shared" si="65"/>
        <v>#DIV/0!</v>
      </c>
      <c r="P611" s="188" t="e">
        <f t="shared" si="66"/>
        <v>#DIV/0!</v>
      </c>
      <c r="Q611" s="188" t="e">
        <f t="shared" si="66"/>
        <v>#DIV/0!</v>
      </c>
      <c r="R611" s="188" t="e">
        <f t="shared" si="66"/>
        <v>#DIV/0!</v>
      </c>
      <c r="S611" s="132" t="e">
        <f t="shared" si="66"/>
        <v>#DIV/0!</v>
      </c>
      <c r="T611" s="188">
        <f t="shared" ref="T611:Y611" si="79">(T587/$S587-1)/(T$2-$S$2)</f>
        <v>3.1035172888306928E-2</v>
      </c>
      <c r="U611" s="188">
        <f t="shared" si="79"/>
        <v>4.1013821587529864E-2</v>
      </c>
      <c r="V611" s="188">
        <f t="shared" si="79"/>
        <v>3.2523343131492334E-2</v>
      </c>
      <c r="W611" s="188">
        <f t="shared" si="79"/>
        <v>2.9374145407378094E-2</v>
      </c>
      <c r="X611" s="188">
        <f t="shared" si="79"/>
        <v>2.936089618885358E-2</v>
      </c>
      <c r="Y611" s="188">
        <f t="shared" si="79"/>
        <v>2.7994408606373884E-2</v>
      </c>
      <c r="Z611" s="132">
        <f t="shared" si="68"/>
        <v>2.4246392580390248E-2</v>
      </c>
      <c r="AA611" s="188">
        <f t="shared" si="69"/>
        <v>-1.3328956562063121E-3</v>
      </c>
      <c r="AB611" s="188">
        <f t="shared" ref="AB611:AK611" si="80">(AB587/$Z587-1)/(AB$2-$Z$2)</f>
        <v>7.6580701898260051E-3</v>
      </c>
      <c r="AC611" s="188">
        <f t="shared" si="80"/>
        <v>1.8468656887241419E-2</v>
      </c>
      <c r="AD611" s="188" t="e">
        <f t="shared" si="80"/>
        <v>#DIV/0!</v>
      </c>
      <c r="AE611" s="188" t="e">
        <f t="shared" si="80"/>
        <v>#DIV/0!</v>
      </c>
      <c r="AF611" s="188" t="e">
        <f t="shared" si="80"/>
        <v>#DIV/0!</v>
      </c>
      <c r="AG611" s="188" t="e">
        <f t="shared" si="80"/>
        <v>#DIV/0!</v>
      </c>
      <c r="AH611" s="188" t="e">
        <f t="shared" si="80"/>
        <v>#DIV/0!</v>
      </c>
      <c r="AI611" s="188" t="e">
        <f t="shared" si="80"/>
        <v>#DIV/0!</v>
      </c>
      <c r="AJ611" s="188" t="e">
        <f t="shared" si="80"/>
        <v>#DIV/0!</v>
      </c>
      <c r="AK611" s="188" t="e">
        <f t="shared" si="80"/>
        <v>#DIV/0!</v>
      </c>
    </row>
    <row r="612" spans="1:37" x14ac:dyDescent="0.25">
      <c r="D612" s="4" t="s">
        <v>817</v>
      </c>
      <c r="H612" t="s">
        <v>1200</v>
      </c>
      <c r="I612" s="130"/>
      <c r="J612" s="188" t="e">
        <f t="shared" si="65"/>
        <v>#DIV/0!</v>
      </c>
      <c r="K612" s="188" t="e">
        <f t="shared" si="65"/>
        <v>#DIV/0!</v>
      </c>
      <c r="L612" s="188" t="e">
        <f t="shared" si="65"/>
        <v>#DIV/0!</v>
      </c>
      <c r="M612" s="188" t="e">
        <f t="shared" si="65"/>
        <v>#DIV/0!</v>
      </c>
      <c r="N612" s="188" t="e">
        <f t="shared" si="65"/>
        <v>#DIV/0!</v>
      </c>
      <c r="O612" s="132" t="e">
        <f t="shared" si="65"/>
        <v>#DIV/0!</v>
      </c>
      <c r="P612" s="188" t="e">
        <f t="shared" si="66"/>
        <v>#DIV/0!</v>
      </c>
      <c r="Q612" s="188" t="e">
        <f t="shared" si="66"/>
        <v>#DIV/0!</v>
      </c>
      <c r="R612" s="188" t="e">
        <f t="shared" si="66"/>
        <v>#DIV/0!</v>
      </c>
      <c r="S612" s="132" t="e">
        <f t="shared" si="66"/>
        <v>#DIV/0!</v>
      </c>
      <c r="T612" s="188">
        <f t="shared" ref="T612:Y612" si="81">(T588/$S588-1)/(T$2-$S$2)</f>
        <v>9.2428969982973896E-3</v>
      </c>
      <c r="U612" s="188">
        <f t="shared" si="81"/>
        <v>3.1275018349985695E-2</v>
      </c>
      <c r="V612" s="188">
        <f t="shared" si="81"/>
        <v>2.4624030752664616E-2</v>
      </c>
      <c r="W612" s="188">
        <f t="shared" si="81"/>
        <v>2.6523883109861812E-2</v>
      </c>
      <c r="X612" s="188">
        <f t="shared" si="81"/>
        <v>2.444325281891091E-2</v>
      </c>
      <c r="Y612" s="188">
        <f t="shared" si="81"/>
        <v>2.2985549338855327E-2</v>
      </c>
      <c r="Z612" s="132">
        <f t="shared" si="68"/>
        <v>1.6009034702288854E-2</v>
      </c>
      <c r="AA612" s="188">
        <f t="shared" si="69"/>
        <v>-5.6799747112033283E-2</v>
      </c>
      <c r="AB612" s="188">
        <f t="shared" ref="AB612:AK612" si="82">(AB588/$Z588-1)/(AB$2-$Z$2)</f>
        <v>4.5443401476307765E-2</v>
      </c>
      <c r="AC612" s="188">
        <f t="shared" si="82"/>
        <v>2.783090552351301E-2</v>
      </c>
      <c r="AD612" s="188" t="e">
        <f t="shared" si="82"/>
        <v>#DIV/0!</v>
      </c>
      <c r="AE612" s="188" t="e">
        <f t="shared" si="82"/>
        <v>#DIV/0!</v>
      </c>
      <c r="AF612" s="188" t="e">
        <f t="shared" si="82"/>
        <v>#DIV/0!</v>
      </c>
      <c r="AG612" s="188" t="e">
        <f t="shared" si="82"/>
        <v>#DIV/0!</v>
      </c>
      <c r="AH612" s="188" t="e">
        <f t="shared" si="82"/>
        <v>#DIV/0!</v>
      </c>
      <c r="AI612" s="188" t="e">
        <f t="shared" si="82"/>
        <v>#DIV/0!</v>
      </c>
      <c r="AJ612" s="188" t="e">
        <f t="shared" si="82"/>
        <v>#DIV/0!</v>
      </c>
      <c r="AK612" s="188" t="e">
        <f t="shared" si="82"/>
        <v>#DIV/0!</v>
      </c>
    </row>
    <row r="613" spans="1:37" x14ac:dyDescent="0.25">
      <c r="D613" s="4" t="s">
        <v>945</v>
      </c>
      <c r="H613" t="s">
        <v>1200</v>
      </c>
      <c r="I613" s="130"/>
      <c r="J613" s="188">
        <f t="shared" ref="J613:O613" si="83">(J602/$I602-1)/(J$2-$I$2)</f>
        <v>-3.1594333904466532E-2</v>
      </c>
      <c r="K613" s="188">
        <f t="shared" si="83"/>
        <v>-2.7915190060292527E-2</v>
      </c>
      <c r="L613" s="188">
        <f t="shared" si="83"/>
        <v>-1.6888957367659274E-2</v>
      </c>
      <c r="M613" s="188">
        <f t="shared" si="83"/>
        <v>-4.0300615837967069E-3</v>
      </c>
      <c r="N613" s="188">
        <f t="shared" si="83"/>
        <v>-3.5023354830213014E-3</v>
      </c>
      <c r="O613" s="132">
        <f t="shared" si="83"/>
        <v>-2.8097335871503279E-3</v>
      </c>
      <c r="P613" s="188">
        <f>(P602/$O602-1)/(P$2-$O$2)</f>
        <v>0.10191686614385564</v>
      </c>
      <c r="Q613" s="188">
        <f>(Q602/$O602-1)/(Q$2-$O$2)</f>
        <v>4.7511202457178103E-2</v>
      </c>
      <c r="R613" s="188">
        <f>(R602/$O602-1)/(R$2-$O$2)</f>
        <v>1.7709845005676812E-2</v>
      </c>
      <c r="S613" s="132">
        <f>(S602/$O602-1)/(S$2-$O$2)</f>
        <v>1.091448070315304E-2</v>
      </c>
      <c r="T613" s="188">
        <f t="shared" ref="T613:Z613" si="84">(T602/$S602-1)/(T$2-$S$2)</f>
        <v>-7.376922347503978E-3</v>
      </c>
      <c r="U613" s="188">
        <f t="shared" si="84"/>
        <v>1.0212853381256992E-2</v>
      </c>
      <c r="V613" s="188">
        <f t="shared" si="84"/>
        <v>2.4164904769420053E-2</v>
      </c>
      <c r="W613" s="188">
        <f t="shared" si="84"/>
        <v>2.0991938856989911E-2</v>
      </c>
      <c r="X613" s="188">
        <f t="shared" si="84"/>
        <v>4.5264909611575768E-2</v>
      </c>
      <c r="Y613" s="188">
        <f t="shared" si="84"/>
        <v>4.7425737386010115E-2</v>
      </c>
      <c r="Z613" s="132">
        <f t="shared" si="84"/>
        <v>3.7680552069471948E-2</v>
      </c>
      <c r="AA613" s="188">
        <f t="shared" ref="AA613:AK613" si="85">(AA602/$Z602-1)/(AA$2-$Z$2)</f>
        <v>-3.5132956900099099E-2</v>
      </c>
      <c r="AB613" s="188">
        <f t="shared" si="85"/>
        <v>4.8636829584827734E-2</v>
      </c>
      <c r="AC613" s="188">
        <f t="shared" si="85"/>
        <v>-1.6739486746030578E-3</v>
      </c>
      <c r="AD613" s="188">
        <f t="shared" si="85"/>
        <v>-0.10534376648125848</v>
      </c>
      <c r="AE613" s="188">
        <f t="shared" si="85"/>
        <v>-8.4275013185006784E-2</v>
      </c>
      <c r="AF613" s="188">
        <f t="shared" si="85"/>
        <v>-7.0229177654172317E-2</v>
      </c>
      <c r="AG613" s="188">
        <f t="shared" si="85"/>
        <v>-6.0196437989290565E-2</v>
      </c>
      <c r="AH613" s="188">
        <f t="shared" si="85"/>
        <v>-5.2671883240629241E-2</v>
      </c>
      <c r="AI613" s="188">
        <f t="shared" si="85"/>
        <v>-4.6819451769448212E-2</v>
      </c>
      <c r="AJ613" s="188">
        <f t="shared" si="85"/>
        <v>-4.2137506592503392E-2</v>
      </c>
      <c r="AK613" s="188">
        <f t="shared" si="85"/>
        <v>-3.8306824175003085E-2</v>
      </c>
    </row>
    <row r="614" spans="1:37" x14ac:dyDescent="0.25">
      <c r="D614" s="4" t="s">
        <v>1171</v>
      </c>
      <c r="H614" t="s">
        <v>1200</v>
      </c>
      <c r="I614" s="130"/>
      <c r="J614" s="188">
        <f t="shared" ref="J614:O618" si="86">(J589/$I589-1)/(J$2-$I$2)</f>
        <v>-8.5288698248786599E-3</v>
      </c>
      <c r="K614" s="188">
        <f t="shared" si="86"/>
        <v>1.2483708760067103E-3</v>
      </c>
      <c r="L614" s="188">
        <f t="shared" si="86"/>
        <v>1.1233673389559939E-2</v>
      </c>
      <c r="M614" s="188">
        <f t="shared" si="86"/>
        <v>1.8787981683902444E-2</v>
      </c>
      <c r="N614" s="188">
        <f t="shared" si="86"/>
        <v>2.1048531666175617E-2</v>
      </c>
      <c r="O614" s="132">
        <f t="shared" si="86"/>
        <v>2.2148596082112837E-2</v>
      </c>
      <c r="P614" s="188">
        <f t="shared" ref="P614:S618" si="87">(P589/$O589-1)/(P$2-$O$2)</f>
        <v>-7.8880788455266027E-2</v>
      </c>
      <c r="Q614" s="188">
        <f t="shared" si="87"/>
        <v>-5.2061937463085295E-2</v>
      </c>
      <c r="R614" s="188">
        <f t="shared" si="87"/>
        <v>-3.4568380099379716E-2</v>
      </c>
      <c r="S614" s="132">
        <f t="shared" si="87"/>
        <v>-1.9669508185160056E-2</v>
      </c>
      <c r="T614" s="188">
        <f t="shared" ref="T614:Y614" si="88">(T589/$S589-1)/(T$2-$S$2)</f>
        <v>3.9507424984690509E-2</v>
      </c>
      <c r="U614" s="188">
        <f t="shared" si="88"/>
        <v>4.0672362982241195E-2</v>
      </c>
      <c r="V614" s="188">
        <f t="shared" si="88"/>
        <v>3.9764173810981816E-2</v>
      </c>
      <c r="W614" s="188">
        <f t="shared" si="88"/>
        <v>4.0378138395590901E-2</v>
      </c>
      <c r="X614" s="188">
        <f t="shared" si="88"/>
        <v>3.8635754745866488E-2</v>
      </c>
      <c r="Y614" s="188">
        <f t="shared" si="88"/>
        <v>3.3877290008164938E-2</v>
      </c>
      <c r="Z614" s="132">
        <f>(Z589/$S589-1)/(Z$2-$S$2)</f>
        <v>3.2890959889773405E-2</v>
      </c>
      <c r="AA614" s="188">
        <f>(AA589/$Z589-1)/(AA$2-$Z$2)</f>
        <v>-0.10839241062574612</v>
      </c>
      <c r="AB614" s="188">
        <f t="shared" ref="AB614:AK614" si="89">(AB589/$Z589-1)/(AB$2-$Z$2)</f>
        <v>-6.8948352900458643E-3</v>
      </c>
      <c r="AC614" s="188">
        <f t="shared" si="89"/>
        <v>1.7436088416734608E-2</v>
      </c>
      <c r="AD614" s="188" t="e">
        <f t="shared" si="89"/>
        <v>#DIV/0!</v>
      </c>
      <c r="AE614" s="188" t="e">
        <f t="shared" si="89"/>
        <v>#DIV/0!</v>
      </c>
      <c r="AF614" s="188" t="e">
        <f t="shared" si="89"/>
        <v>#DIV/0!</v>
      </c>
      <c r="AG614" s="188" t="e">
        <f t="shared" si="89"/>
        <v>#DIV/0!</v>
      </c>
      <c r="AH614" s="188" t="e">
        <f t="shared" si="89"/>
        <v>#DIV/0!</v>
      </c>
      <c r="AI614" s="188" t="e">
        <f t="shared" si="89"/>
        <v>#DIV/0!</v>
      </c>
      <c r="AJ614" s="188" t="e">
        <f t="shared" si="89"/>
        <v>#DIV/0!</v>
      </c>
      <c r="AK614" s="188" t="e">
        <f t="shared" si="89"/>
        <v>#DIV/0!</v>
      </c>
    </row>
    <row r="615" spans="1:37" x14ac:dyDescent="0.25">
      <c r="E615" s="4" t="s">
        <v>1172</v>
      </c>
      <c r="H615" t="s">
        <v>1200</v>
      </c>
      <c r="I615" s="130"/>
      <c r="J615" s="188">
        <f t="shared" si="86"/>
        <v>-1.1968205932830656E-2</v>
      </c>
      <c r="K615" s="188">
        <f t="shared" si="86"/>
        <v>-5.0560747872716583E-3</v>
      </c>
      <c r="L615" s="188">
        <f t="shared" si="86"/>
        <v>4.86006841231353E-3</v>
      </c>
      <c r="M615" s="188">
        <f t="shared" si="86"/>
        <v>1.1516572087298227E-2</v>
      </c>
      <c r="N615" s="188">
        <f t="shared" si="86"/>
        <v>1.4992427416294963E-2</v>
      </c>
      <c r="O615" s="132">
        <f t="shared" si="86"/>
        <v>1.4554432334185038E-2</v>
      </c>
      <c r="P615" s="188">
        <f t="shared" si="87"/>
        <v>-5.5787850311025844E-2</v>
      </c>
      <c r="Q615" s="188">
        <f t="shared" si="87"/>
        <v>-3.7531170218806087E-2</v>
      </c>
      <c r="R615" s="188">
        <f t="shared" si="87"/>
        <v>-2.3321628163241941E-2</v>
      </c>
      <c r="S615" s="132">
        <f t="shared" si="87"/>
        <v>-1.3456198321285417E-2</v>
      </c>
      <c r="T615" s="188">
        <f t="shared" ref="T615:Z617" si="90">IF(T590&gt;0,(T590/$S590-1)/(T$2-$S$2),(S590/$S590-1)/(S$2-$S$2))</f>
        <v>1.5257090341113111E-2</v>
      </c>
      <c r="U615" s="188">
        <f t="shared" si="90"/>
        <v>2.0320417823874393E-2</v>
      </c>
      <c r="V615" s="188">
        <f t="shared" si="90"/>
        <v>1.8874485124357927E-2</v>
      </c>
      <c r="W615" s="188">
        <f t="shared" si="90"/>
        <v>2.3981649601483745E-2</v>
      </c>
      <c r="X615" s="188">
        <f t="shared" si="90"/>
        <v>2.2718981672751947E-2</v>
      </c>
      <c r="Y615" s="188">
        <f t="shared" si="90"/>
        <v>2.5080823300034694E-2</v>
      </c>
      <c r="Z615" s="132">
        <f t="shared" si="90"/>
        <v>2.2621478712712934E-2</v>
      </c>
      <c r="AA615" s="188">
        <f>(AA590/$Z590-1)/(AA$2-$Z$2)</f>
        <v>-3.1946187688510985E-2</v>
      </c>
      <c r="AB615" s="188">
        <f t="shared" ref="AB615:AK615" si="91">(AB590/$Z590-1)/(AB$2-$Z$2)</f>
        <v>1.6251944168060084E-2</v>
      </c>
      <c r="AC615" s="188">
        <f>IFERROR((AC590/$Z590-1)/(AC$2-$Z$2),(AB590/$Z590-1)/(AB$2-$Z$2))</f>
        <v>1.6251944168060084E-2</v>
      </c>
      <c r="AD615" s="188" t="e">
        <f t="shared" si="91"/>
        <v>#DIV/0!</v>
      </c>
      <c r="AE615" s="188" t="e">
        <f t="shared" si="91"/>
        <v>#DIV/0!</v>
      </c>
      <c r="AF615" s="188" t="e">
        <f t="shared" si="91"/>
        <v>#DIV/0!</v>
      </c>
      <c r="AG615" s="188" t="e">
        <f t="shared" si="91"/>
        <v>#DIV/0!</v>
      </c>
      <c r="AH615" s="188" t="e">
        <f t="shared" si="91"/>
        <v>#DIV/0!</v>
      </c>
      <c r="AI615" s="188" t="e">
        <f t="shared" si="91"/>
        <v>#DIV/0!</v>
      </c>
      <c r="AJ615" s="188" t="e">
        <f t="shared" si="91"/>
        <v>#DIV/0!</v>
      </c>
      <c r="AK615" s="188" t="e">
        <f t="shared" si="91"/>
        <v>#DIV/0!</v>
      </c>
    </row>
    <row r="616" spans="1:37" x14ac:dyDescent="0.25">
      <c r="D616" s="4" t="s">
        <v>1174</v>
      </c>
      <c r="H616" t="s">
        <v>1200</v>
      </c>
      <c r="I616" s="130"/>
      <c r="J616" s="188">
        <f t="shared" si="86"/>
        <v>1.7631092996251763E-2</v>
      </c>
      <c r="K616" s="188">
        <f t="shared" si="86"/>
        <v>2.1622911464409311E-2</v>
      </c>
      <c r="L616" s="188">
        <f t="shared" si="86"/>
        <v>3.6038164288448638E-2</v>
      </c>
      <c r="M616" s="188">
        <f t="shared" si="86"/>
        <v>5.6321513991844263E-2</v>
      </c>
      <c r="N616" s="188">
        <f t="shared" si="86"/>
        <v>5.4847820822821761E-2</v>
      </c>
      <c r="O616" s="132">
        <f t="shared" si="86"/>
        <v>4.2539274818977311E-2</v>
      </c>
      <c r="P616" s="188">
        <f t="shared" si="87"/>
        <v>1.1295120930630453E-2</v>
      </c>
      <c r="Q616" s="188">
        <f t="shared" si="87"/>
        <v>4.1739322661255018E-3</v>
      </c>
      <c r="R616" s="188">
        <f t="shared" si="87"/>
        <v>-4.2636967259895853E-3</v>
      </c>
      <c r="S616" s="132">
        <f t="shared" si="87"/>
        <v>1.4896901752124436E-2</v>
      </c>
      <c r="T616" s="188">
        <f t="shared" si="90"/>
        <v>5.1586880152469927E-3</v>
      </c>
      <c r="U616" s="188">
        <f t="shared" si="90"/>
        <v>4.3692226942703249E-2</v>
      </c>
      <c r="V616" s="188">
        <f t="shared" si="90"/>
        <v>4.4644373699651796E-2</v>
      </c>
      <c r="W616" s="188">
        <f t="shared" si="90"/>
        <v>4.5174331874259399E-2</v>
      </c>
      <c r="X616" s="188">
        <f t="shared" si="90"/>
        <v>4.8602858905405458E-2</v>
      </c>
      <c r="Y616" s="188">
        <f t="shared" si="90"/>
        <v>5.1014177033224528E-2</v>
      </c>
      <c r="Z616" s="132">
        <f t="shared" si="90"/>
        <v>5.1527086815194086E-2</v>
      </c>
      <c r="AA616" s="188">
        <f>IF(AA591&gt;0,(AA591/$Z591-1)/(AA$2-$Z$2),(Z591/$Z591-1)/(Z$2-$Z$2))</f>
        <v>2.0889491796665105E-2</v>
      </c>
      <c r="AB616" s="188">
        <f t="shared" ref="AB616:AK616" si="92">IFERROR((AB591/$Z591-1)/(AB$2-$Z$2),(AA591/$Z591-1)/(AA$2-$Z$2))</f>
        <v>0.14570801227089036</v>
      </c>
      <c r="AC616" s="188">
        <f t="shared" si="92"/>
        <v>0.14570801227089036</v>
      </c>
      <c r="AD616" s="188" t="e">
        <f t="shared" si="92"/>
        <v>#DIV/0!</v>
      </c>
      <c r="AE616" s="188" t="e">
        <f t="shared" si="92"/>
        <v>#DIV/0!</v>
      </c>
      <c r="AF616" s="188" t="e">
        <f t="shared" si="92"/>
        <v>#DIV/0!</v>
      </c>
      <c r="AG616" s="188" t="e">
        <f t="shared" si="92"/>
        <v>#DIV/0!</v>
      </c>
      <c r="AH616" s="188" t="e">
        <f t="shared" si="92"/>
        <v>#DIV/0!</v>
      </c>
      <c r="AI616" s="188" t="e">
        <f t="shared" si="92"/>
        <v>#DIV/0!</v>
      </c>
      <c r="AJ616" s="188" t="e">
        <f t="shared" si="92"/>
        <v>#DIV/0!</v>
      </c>
      <c r="AK616" s="188" t="e">
        <f t="shared" si="92"/>
        <v>#DIV/0!</v>
      </c>
    </row>
    <row r="617" spans="1:37" x14ac:dyDescent="0.25">
      <c r="D617" s="4" t="s">
        <v>387</v>
      </c>
      <c r="H617" t="s">
        <v>1200</v>
      </c>
      <c r="I617" s="130"/>
      <c r="J617" s="188">
        <f t="shared" si="86"/>
        <v>9.5523239235814073E-2</v>
      </c>
      <c r="K617" s="188">
        <f t="shared" si="86"/>
        <v>0.15035766975366038</v>
      </c>
      <c r="L617" s="188">
        <f t="shared" si="86"/>
        <v>0.17425604277986473</v>
      </c>
      <c r="M617" s="188">
        <f t="shared" si="86"/>
        <v>0.22839414339023817</v>
      </c>
      <c r="N617" s="188">
        <f t="shared" si="86"/>
        <v>0.20560369943343124</v>
      </c>
      <c r="O617" s="132">
        <f t="shared" si="86"/>
        <v>0.16080881714831208</v>
      </c>
      <c r="P617" s="188">
        <f t="shared" si="87"/>
        <v>-0.17870866380207839</v>
      </c>
      <c r="Q617" s="188">
        <f t="shared" si="87"/>
        <v>-4.4830175345611956E-2</v>
      </c>
      <c r="R617" s="188">
        <f t="shared" si="87"/>
        <v>-1.3222956246674281E-2</v>
      </c>
      <c r="S617" s="132">
        <f t="shared" si="87"/>
        <v>5.5870513038924319E-2</v>
      </c>
      <c r="T617" s="188">
        <f t="shared" si="90"/>
        <v>-8.4979319876641313E-2</v>
      </c>
      <c r="U617" s="188">
        <f t="shared" si="90"/>
        <v>2.0303652285127871E-2</v>
      </c>
      <c r="V617" s="188">
        <f t="shared" si="90"/>
        <v>1.010799046960901E-2</v>
      </c>
      <c r="W617" s="188">
        <f t="shared" si="90"/>
        <v>1.7618072674388641E-2</v>
      </c>
      <c r="X617" s="188">
        <f t="shared" si="90"/>
        <v>3.5216032510597906E-2</v>
      </c>
      <c r="Y617" s="188">
        <f t="shared" si="90"/>
        <v>2.3467556444875342E-2</v>
      </c>
      <c r="Z617" s="132">
        <f t="shared" si="90"/>
        <v>6.2457361519793829E-2</v>
      </c>
      <c r="AA617" s="188">
        <f>IF(AA592&gt;0,(AA592/$Z592-1)/(AA$2-$Z$2),(Z592/$Z592-1)/(Z$2-$Z$2))</f>
        <v>4.3031125081634203E-2</v>
      </c>
      <c r="AB617" s="188">
        <f t="shared" ref="AB617:AK617" si="93">IF(AB592&gt;0,(AB592/$Z592-1)/(AB$2-$Z$2),(AA592/$Z592-1)/(AA$2-$Z$2))</f>
        <v>7.1075634594268688E-2</v>
      </c>
      <c r="AC617" s="188">
        <f t="shared" si="93"/>
        <v>7.1075634594268688E-2</v>
      </c>
      <c r="AD617" s="188">
        <f t="shared" si="93"/>
        <v>-0.33333333333333331</v>
      </c>
      <c r="AE617" s="188">
        <f t="shared" si="93"/>
        <v>-0.25</v>
      </c>
      <c r="AF617" s="188">
        <f t="shared" si="93"/>
        <v>-0.2</v>
      </c>
      <c r="AG617" s="188">
        <f t="shared" si="93"/>
        <v>-0.16666666666666666</v>
      </c>
      <c r="AH617" s="188">
        <f t="shared" si="93"/>
        <v>-0.14285714285714285</v>
      </c>
      <c r="AI617" s="188">
        <f t="shared" si="93"/>
        <v>-0.125</v>
      </c>
      <c r="AJ617" s="188">
        <f t="shared" si="93"/>
        <v>-0.1111111111111111</v>
      </c>
      <c r="AK617" s="188">
        <f t="shared" si="93"/>
        <v>-0.1</v>
      </c>
    </row>
    <row r="618" spans="1:37" x14ac:dyDescent="0.25">
      <c r="D618" s="4" t="s">
        <v>828</v>
      </c>
      <c r="H618" t="s">
        <v>1200</v>
      </c>
      <c r="I618" s="130"/>
      <c r="J618" s="188" t="e">
        <f t="shared" si="86"/>
        <v>#DIV/0!</v>
      </c>
      <c r="K618" s="188" t="e">
        <f t="shared" si="86"/>
        <v>#DIV/0!</v>
      </c>
      <c r="L618" s="188" t="e">
        <f t="shared" si="86"/>
        <v>#DIV/0!</v>
      </c>
      <c r="M618" s="188" t="e">
        <f t="shared" si="86"/>
        <v>#DIV/0!</v>
      </c>
      <c r="N618" s="188" t="e">
        <f t="shared" si="86"/>
        <v>#DIV/0!</v>
      </c>
      <c r="O618" s="132" t="e">
        <f t="shared" si="86"/>
        <v>#DIV/0!</v>
      </c>
      <c r="P618" s="188" t="e">
        <f t="shared" si="87"/>
        <v>#DIV/0!</v>
      </c>
      <c r="Q618" s="188" t="e">
        <f t="shared" si="87"/>
        <v>#DIV/0!</v>
      </c>
      <c r="R618" s="188" t="e">
        <f t="shared" si="87"/>
        <v>#DIV/0!</v>
      </c>
      <c r="S618" s="132" t="e">
        <f t="shared" si="87"/>
        <v>#DIV/0!</v>
      </c>
      <c r="T618" s="188" t="e">
        <f t="shared" ref="T618:Y618" si="94">(T593/$S593-1)/(T$2-$S$2)</f>
        <v>#DIV/0!</v>
      </c>
      <c r="U618" s="188" t="e">
        <f t="shared" si="94"/>
        <v>#DIV/0!</v>
      </c>
      <c r="V618" s="188" t="e">
        <f t="shared" si="94"/>
        <v>#DIV/0!</v>
      </c>
      <c r="W618" s="188" t="e">
        <f t="shared" si="94"/>
        <v>#DIV/0!</v>
      </c>
      <c r="X618" s="188" t="e">
        <f t="shared" si="94"/>
        <v>#DIV/0!</v>
      </c>
      <c r="Y618" s="188" t="e">
        <f t="shared" si="94"/>
        <v>#DIV/0!</v>
      </c>
      <c r="Z618" s="132" t="e">
        <f>(Z593/$S593-1)/(Z$2-$S$2)</f>
        <v>#DIV/0!</v>
      </c>
      <c r="AA618" s="188" t="e">
        <f>(AA593/$Z593-1)/(AA$2-$Z$2)</f>
        <v>#DIV/0!</v>
      </c>
      <c r="AB618" s="188" t="e">
        <f t="shared" ref="AB618:AK618" si="95">(AB593/$Z593-1)/(AB$2-$Z$2)</f>
        <v>#DIV/0!</v>
      </c>
      <c r="AC618" s="188" t="e">
        <f t="shared" si="95"/>
        <v>#DIV/0!</v>
      </c>
      <c r="AD618" s="188" t="e">
        <f t="shared" si="95"/>
        <v>#DIV/0!</v>
      </c>
      <c r="AE618" s="188" t="e">
        <f t="shared" si="95"/>
        <v>#DIV/0!</v>
      </c>
      <c r="AF618" s="188" t="e">
        <f t="shared" si="95"/>
        <v>#DIV/0!</v>
      </c>
      <c r="AG618" s="188" t="e">
        <f t="shared" si="95"/>
        <v>#DIV/0!</v>
      </c>
      <c r="AH618" s="188" t="e">
        <f t="shared" si="95"/>
        <v>#DIV/0!</v>
      </c>
      <c r="AI618" s="188" t="e">
        <f t="shared" si="95"/>
        <v>#DIV/0!</v>
      </c>
      <c r="AJ618" s="188" t="e">
        <f t="shared" si="95"/>
        <v>#DIV/0!</v>
      </c>
      <c r="AK618" s="188" t="e">
        <f t="shared" si="95"/>
        <v>#DIV/0!</v>
      </c>
    </row>
    <row r="619" spans="1:37" x14ac:dyDescent="0.25">
      <c r="D619" s="4"/>
      <c r="E619" t="s">
        <v>1201</v>
      </c>
      <c r="H619" t="s">
        <v>1200</v>
      </c>
      <c r="I619" s="130"/>
      <c r="J619" s="188" t="e">
        <f t="shared" ref="J619:O619" si="96">(J596/$J596-1)/(J$2-$J$2)</f>
        <v>#DIV/0!</v>
      </c>
      <c r="K619" s="188">
        <f t="shared" si="96"/>
        <v>-5.8820274457724642E-2</v>
      </c>
      <c r="L619" s="188">
        <f t="shared" si="96"/>
        <v>0.12550335570469806</v>
      </c>
      <c r="M619" s="188">
        <f t="shared" si="96"/>
        <v>0.14274422073079793</v>
      </c>
      <c r="N619" s="188">
        <f t="shared" si="96"/>
        <v>0.16700223713646534</v>
      </c>
      <c r="O619" s="132">
        <f t="shared" si="96"/>
        <v>0.15532733093237291</v>
      </c>
      <c r="P619" s="188">
        <f>(P596/$O596-1)/(P$2-$O$2)</f>
        <v>-0.20994504294390393</v>
      </c>
      <c r="Q619" s="188">
        <f>(Q596/$O596-1)/(Q$2-$O$2)</f>
        <v>-0.11638626015243941</v>
      </c>
      <c r="R619" s="188">
        <f>(R596/$O596-1)/(R$2-$O$2)</f>
        <v>-0.12970425606875643</v>
      </c>
      <c r="S619" s="132">
        <f>(S596/$O596-1)/(S$2-$O$2)</f>
        <v>-9.7449007515435726E-2</v>
      </c>
      <c r="T619" s="188">
        <f t="shared" ref="T619:Z619" si="97">(T596/$S596-1)/(T$2-$S$2)</f>
        <v>6.9448613560285422E-2</v>
      </c>
      <c r="U619" s="188">
        <f t="shared" si="97"/>
        <v>9.3963586274128708E-2</v>
      </c>
      <c r="V619" s="188">
        <f t="shared" si="97"/>
        <v>0.11645238291391651</v>
      </c>
      <c r="W619" s="188">
        <f t="shared" si="97"/>
        <v>4.2562425156610573E-2</v>
      </c>
      <c r="X619" s="188">
        <f t="shared" si="97"/>
        <v>2.5489055405819007E-2</v>
      </c>
      <c r="Y619" s="188">
        <f t="shared" si="97"/>
        <v>4.386657055278468E-2</v>
      </c>
      <c r="Z619" s="132">
        <f t="shared" si="97"/>
        <v>4.6725556849444717E-2</v>
      </c>
      <c r="AA619" s="188">
        <f>(AA596/$Z596-1)/(AA$2-$Z$2)</f>
        <v>0.54713770343783152</v>
      </c>
      <c r="AB619" s="188">
        <f t="shared" ref="AB619:AK619" si="98">(AB596/$Z596-1)/(AB$2-$Z$2)</f>
        <v>0.37262040312575673</v>
      </c>
      <c r="AC619" s="188">
        <f t="shared" si="98"/>
        <v>0.47611387740174987</v>
      </c>
      <c r="AD619" s="188" t="e">
        <f t="shared" si="98"/>
        <v>#DIV/0!</v>
      </c>
      <c r="AE619" s="188" t="e">
        <f t="shared" si="98"/>
        <v>#DIV/0!</v>
      </c>
      <c r="AF619" s="188" t="e">
        <f t="shared" si="98"/>
        <v>#DIV/0!</v>
      </c>
      <c r="AG619" s="188" t="e">
        <f t="shared" si="98"/>
        <v>#DIV/0!</v>
      </c>
      <c r="AH619" s="188" t="e">
        <f t="shared" si="98"/>
        <v>#DIV/0!</v>
      </c>
      <c r="AI619" s="188" t="e">
        <f t="shared" si="98"/>
        <v>#DIV/0!</v>
      </c>
      <c r="AJ619" s="188" t="e">
        <f t="shared" si="98"/>
        <v>#DIV/0!</v>
      </c>
      <c r="AK619" s="188" t="e">
        <f t="shared" si="98"/>
        <v>#DIV/0!</v>
      </c>
    </row>
    <row r="620" spans="1:37" x14ac:dyDescent="0.25">
      <c r="D620" s="4"/>
      <c r="E620" t="s">
        <v>1202</v>
      </c>
      <c r="H620" t="s">
        <v>1200</v>
      </c>
      <c r="I620" s="130"/>
      <c r="J620" s="188">
        <f t="shared" ref="J620:O620" si="99">(J598/$I598-1)/(J$2-$I$2)</f>
        <v>-8.1686214486412001E-2</v>
      </c>
      <c r="K620" s="188">
        <f t="shared" si="99"/>
        <v>-7.0200185895677281E-2</v>
      </c>
      <c r="L620" s="188">
        <f t="shared" si="99"/>
        <v>5.2969321570548455E-3</v>
      </c>
      <c r="M620" s="188">
        <f t="shared" si="99"/>
        <v>-7.7560578574532302E-3</v>
      </c>
      <c r="N620" s="188">
        <f t="shared" si="99"/>
        <v>-1.1257233906067855E-2</v>
      </c>
      <c r="O620" s="132">
        <f t="shared" si="99"/>
        <v>2.3358366985026319E-2</v>
      </c>
      <c r="P620" s="188">
        <f>(P598/$O598-1)/(P$2-$O$2)</f>
        <v>-0.12526222981334534</v>
      </c>
      <c r="Q620" s="188">
        <f>(Q598/$O598-1)/(Q$2-$O$2)</f>
        <v>-0.1033864692279049</v>
      </c>
      <c r="R620" s="188">
        <f>(R598/$O598-1)/(R$2-$O$2)</f>
        <v>-6.7390089133805398E-2</v>
      </c>
      <c r="S620" s="132">
        <f>(S598/$O598-1)/(S$2-$O$2)</f>
        <v>-3.1964913660261385E-2</v>
      </c>
      <c r="T620" s="188">
        <f t="shared" ref="T620:Z620" si="100">(T598/$S598-1)/(T$2-$S$2)</f>
        <v>-2.5491557114958319E-3</v>
      </c>
      <c r="U620" s="188">
        <f t="shared" si="100"/>
        <v>-1.887570964856633E-2</v>
      </c>
      <c r="V620" s="188">
        <f t="shared" si="100"/>
        <v>-2.2518775732631762E-2</v>
      </c>
      <c r="W620" s="188">
        <f t="shared" si="100"/>
        <v>7.1051801158073136E-2</v>
      </c>
      <c r="X620" s="188">
        <f t="shared" si="100"/>
        <v>3.8960813289906727E-2</v>
      </c>
      <c r="Y620" s="188">
        <f t="shared" si="100"/>
        <v>4.6443014705882378E-2</v>
      </c>
      <c r="Z620" s="132">
        <f t="shared" si="100"/>
        <v>5.5565278620326106E-2</v>
      </c>
      <c r="AA620" s="188">
        <f>(AA598/$Z598-1)/(AA$2-$Z$2)</f>
        <v>9.4628195296186934E-2</v>
      </c>
      <c r="AB620" s="188">
        <f t="shared" ref="AB620:AK620" si="101">(AB598/$Z598-1)/(AB$2-$Z$2)</f>
        <v>3.6555519421291316E-2</v>
      </c>
      <c r="AC620" s="188">
        <f t="shared" si="101"/>
        <v>5.706298521270995E-2</v>
      </c>
      <c r="AD620" s="188" t="e">
        <f t="shared" si="101"/>
        <v>#DIV/0!</v>
      </c>
      <c r="AE620" s="188" t="e">
        <f t="shared" si="101"/>
        <v>#DIV/0!</v>
      </c>
      <c r="AF620" s="188" t="e">
        <f t="shared" si="101"/>
        <v>#DIV/0!</v>
      </c>
      <c r="AG620" s="188" t="e">
        <f t="shared" si="101"/>
        <v>#DIV/0!</v>
      </c>
      <c r="AH620" s="188" t="e">
        <f t="shared" si="101"/>
        <v>#DIV/0!</v>
      </c>
      <c r="AI620" s="188" t="e">
        <f t="shared" si="101"/>
        <v>#DIV/0!</v>
      </c>
      <c r="AJ620" s="188" t="e">
        <f t="shared" si="101"/>
        <v>#DIV/0!</v>
      </c>
      <c r="AK620" s="188" t="e">
        <f t="shared" si="101"/>
        <v>#DIV/0!</v>
      </c>
    </row>
    <row r="621" spans="1:37" s="70" customFormat="1" ht="17.25" x14ac:dyDescent="0.3">
      <c r="A621" s="70" t="s">
        <v>1203</v>
      </c>
    </row>
    <row r="622" spans="1:37" x14ac:dyDescent="0.25">
      <c r="B622" s="29" t="s">
        <v>877</v>
      </c>
      <c r="C622" t="s">
        <v>754</v>
      </c>
    </row>
    <row r="623" spans="1:37" x14ac:dyDescent="0.25">
      <c r="B623" s="29"/>
      <c r="C623" t="s">
        <v>1204</v>
      </c>
    </row>
    <row r="624" spans="1:37" x14ac:dyDescent="0.25">
      <c r="B624" s="29" t="s">
        <v>881</v>
      </c>
      <c r="C624" t="s">
        <v>1205</v>
      </c>
    </row>
    <row r="625" spans="2:3" x14ac:dyDescent="0.25">
      <c r="B625" s="29" t="s">
        <v>883</v>
      </c>
      <c r="C625" s="263" t="s">
        <v>1206</v>
      </c>
    </row>
    <row r="626" spans="2:3" x14ac:dyDescent="0.25">
      <c r="B626" s="29"/>
      <c r="C626" s="263" t="s">
        <v>1207</v>
      </c>
    </row>
    <row r="627" spans="2:3" x14ac:dyDescent="0.25">
      <c r="B627" s="29"/>
      <c r="C627" s="263" t="s">
        <v>1208</v>
      </c>
    </row>
    <row r="628" spans="2:3" x14ac:dyDescent="0.25">
      <c r="B628" s="29"/>
      <c r="C628" s="263" t="s">
        <v>1209</v>
      </c>
    </row>
    <row r="629" spans="2:3" x14ac:dyDescent="0.25">
      <c r="B629" s="29"/>
      <c r="C629" s="263" t="s">
        <v>1210</v>
      </c>
    </row>
    <row r="630" spans="2:3" x14ac:dyDescent="0.25">
      <c r="B630" s="29"/>
      <c r="C630" s="263" t="s">
        <v>1211</v>
      </c>
    </row>
    <row r="631" spans="2:3" x14ac:dyDescent="0.25">
      <c r="B631" s="29"/>
      <c r="C631" s="263" t="s">
        <v>474</v>
      </c>
    </row>
    <row r="632" spans="2:3" x14ac:dyDescent="0.25">
      <c r="B632" s="29"/>
      <c r="C632" s="263" t="s">
        <v>482</v>
      </c>
    </row>
    <row r="633" spans="2:3" x14ac:dyDescent="0.25">
      <c r="B633" s="29"/>
      <c r="C633" s="263" t="s">
        <v>506</v>
      </c>
    </row>
    <row r="634" spans="2:3" x14ac:dyDescent="0.25">
      <c r="B634" s="29"/>
      <c r="C634" s="263" t="s">
        <v>841</v>
      </c>
    </row>
    <row r="635" spans="2:3" x14ac:dyDescent="0.25">
      <c r="B635" s="29"/>
      <c r="C635" s="263" t="s">
        <v>1212</v>
      </c>
    </row>
    <row r="636" spans="2:3" x14ac:dyDescent="0.25">
      <c r="B636" s="29" t="s">
        <v>885</v>
      </c>
      <c r="C636" t="s">
        <v>1213</v>
      </c>
    </row>
    <row r="637" spans="2:3" x14ac:dyDescent="0.25">
      <c r="B637" s="29" t="s">
        <v>886</v>
      </c>
      <c r="C637" t="s">
        <v>1214</v>
      </c>
    </row>
    <row r="638" spans="2:3" x14ac:dyDescent="0.25">
      <c r="B638" s="29"/>
      <c r="C638" t="s">
        <v>1215</v>
      </c>
    </row>
    <row r="639" spans="2:3" x14ac:dyDescent="0.25">
      <c r="B639" s="29"/>
      <c r="C639" t="s">
        <v>1216</v>
      </c>
    </row>
    <row r="640" spans="2:3" x14ac:dyDescent="0.25">
      <c r="B640" s="29"/>
      <c r="C640" t="s">
        <v>1217</v>
      </c>
    </row>
    <row r="641" spans="2:37" x14ac:dyDescent="0.25">
      <c r="B641" s="29"/>
      <c r="C641" t="s">
        <v>1218</v>
      </c>
    </row>
    <row r="642" spans="2:37" x14ac:dyDescent="0.25">
      <c r="B642" s="29"/>
      <c r="C642" t="s">
        <v>1219</v>
      </c>
    </row>
    <row r="643" spans="2:37" x14ac:dyDescent="0.25">
      <c r="B643" s="29" t="s">
        <v>887</v>
      </c>
      <c r="C643" t="s">
        <v>1220</v>
      </c>
    </row>
    <row r="644" spans="2:37" x14ac:dyDescent="0.25">
      <c r="B644" s="29"/>
      <c r="C644" t="s">
        <v>1221</v>
      </c>
    </row>
    <row r="645" spans="2:37" x14ac:dyDescent="0.25">
      <c r="B645" s="29"/>
      <c r="C645" t="s">
        <v>1222</v>
      </c>
    </row>
    <row r="646" spans="2:37" x14ac:dyDescent="0.25">
      <c r="B646" s="29"/>
      <c r="C646" t="s">
        <v>1223</v>
      </c>
    </row>
    <row r="647" spans="2:37" x14ac:dyDescent="0.25">
      <c r="B647" s="29"/>
      <c r="C647" t="s">
        <v>1224</v>
      </c>
    </row>
    <row r="648" spans="2:37" x14ac:dyDescent="0.25">
      <c r="B648" s="29" t="s">
        <v>19</v>
      </c>
      <c r="C648" t="s">
        <v>1225</v>
      </c>
    </row>
    <row r="649" spans="2:37" x14ac:dyDescent="0.25">
      <c r="B649" s="29"/>
      <c r="C649" t="s">
        <v>1221</v>
      </c>
    </row>
    <row r="650" spans="2:37" x14ac:dyDescent="0.25">
      <c r="B650" s="29"/>
      <c r="C650" t="s">
        <v>1226</v>
      </c>
    </row>
    <row r="651" spans="2:37" x14ac:dyDescent="0.25">
      <c r="B651" s="29"/>
      <c r="C651" t="s">
        <v>1227</v>
      </c>
    </row>
    <row r="652" spans="2:37" x14ac:dyDescent="0.25">
      <c r="B652" s="29"/>
      <c r="C652" t="s">
        <v>20194</v>
      </c>
    </row>
    <row r="653" spans="2:37" x14ac:dyDescent="0.25">
      <c r="B653" s="29"/>
      <c r="C653" t="s">
        <v>1228</v>
      </c>
    </row>
    <row r="654" spans="2:37" s="88" customFormat="1" ht="15.75" thickBot="1" x14ac:dyDescent="0.3">
      <c r="B654" s="95"/>
      <c r="C654" s="88" t="s">
        <v>1229</v>
      </c>
    </row>
    <row r="655" spans="2:37" s="4" customFormat="1" ht="15.75" thickTop="1" x14ac:dyDescent="0.25">
      <c r="B655" s="44"/>
      <c r="I655" s="69"/>
      <c r="J655" s="69"/>
      <c r="K655" s="69"/>
      <c r="L655" s="69"/>
      <c r="M655" s="69"/>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row>
    <row r="656" spans="2:37" s="4" customFormat="1" x14ac:dyDescent="0.25">
      <c r="B656" s="44"/>
      <c r="I656" s="69"/>
      <c r="J656" s="69"/>
      <c r="K656" s="69"/>
      <c r="L656" s="69"/>
      <c r="M656" s="69"/>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row>
    <row r="657" spans="2:37" s="4" customFormat="1" x14ac:dyDescent="0.25">
      <c r="B657" s="44"/>
      <c r="I657" s="69"/>
      <c r="J657" s="69"/>
      <c r="K657" s="69"/>
      <c r="L657" s="69"/>
      <c r="M657" s="69"/>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row>
    <row r="658" spans="2:37" s="4" customFormat="1" x14ac:dyDescent="0.25">
      <c r="B658" s="44"/>
      <c r="I658" s="69"/>
      <c r="J658" s="69"/>
      <c r="K658" s="69"/>
      <c r="L658" s="69"/>
      <c r="M658" s="69"/>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row>
    <row r="659" spans="2:37" s="4" customFormat="1" x14ac:dyDescent="0.25">
      <c r="B659" s="44"/>
      <c r="I659" s="69"/>
      <c r="J659" s="69"/>
      <c r="K659" s="69"/>
      <c r="L659" s="69"/>
      <c r="M659" s="69"/>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row>
    <row r="660" spans="2:37" s="4" customFormat="1" x14ac:dyDescent="0.25">
      <c r="B660" s="44"/>
      <c r="I660" s="69"/>
      <c r="J660" s="69"/>
      <c r="K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row>
    <row r="661" spans="2:37" s="4" customFormat="1" x14ac:dyDescent="0.25">
      <c r="B661" s="44"/>
      <c r="I661" s="69"/>
      <c r="J661" s="69"/>
      <c r="K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row>
    <row r="662" spans="2:37" s="4" customFormat="1" x14ac:dyDescent="0.25">
      <c r="B662" s="44"/>
      <c r="I662" s="69"/>
      <c r="J662" s="69"/>
      <c r="K662" s="69"/>
      <c r="L662" s="69"/>
      <c r="M662" s="69"/>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row>
    <row r="663" spans="2:37" s="4" customFormat="1" x14ac:dyDescent="0.25">
      <c r="B663" s="44"/>
      <c r="I663" s="69"/>
      <c r="J663" s="69"/>
      <c r="K663" s="69"/>
      <c r="L663" s="69"/>
      <c r="M663" s="69"/>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row>
    <row r="664" spans="2:37" s="4" customFormat="1" x14ac:dyDescent="0.25">
      <c r="B664" s="44"/>
      <c r="I664" s="69"/>
      <c r="J664" s="69"/>
      <c r="K664" s="69"/>
      <c r="L664" s="69"/>
      <c r="M664" s="69"/>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row>
    <row r="665" spans="2:37" s="4" customFormat="1" x14ac:dyDescent="0.25">
      <c r="B665" s="44"/>
      <c r="I665" s="69"/>
      <c r="J665" s="69"/>
      <c r="K665" s="69"/>
      <c r="L665" s="69"/>
      <c r="M665" s="69"/>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row>
    <row r="666" spans="2:37" s="4" customFormat="1" x14ac:dyDescent="0.25">
      <c r="B666" s="44"/>
      <c r="I666" s="69"/>
      <c r="J666" s="69"/>
      <c r="K666" s="69"/>
      <c r="L666" s="69"/>
      <c r="M666" s="69"/>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row>
    <row r="667" spans="2:37" s="4" customFormat="1" x14ac:dyDescent="0.25">
      <c r="B667" s="44"/>
      <c r="I667" s="69"/>
      <c r="J667" s="69"/>
      <c r="K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row>
    <row r="668" spans="2:37" s="4" customFormat="1" x14ac:dyDescent="0.25">
      <c r="B668" s="44"/>
      <c r="I668" s="69"/>
      <c r="J668" s="69"/>
      <c r="K668" s="69"/>
      <c r="L668" s="69"/>
      <c r="M668" s="69"/>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row>
    <row r="669" spans="2:37" s="4" customFormat="1" x14ac:dyDescent="0.25">
      <c r="B669" s="44"/>
      <c r="I669" s="69"/>
      <c r="J669" s="69"/>
      <c r="K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row>
    <row r="670" spans="2:37" s="4" customFormat="1" x14ac:dyDescent="0.25">
      <c r="B670" s="44"/>
      <c r="I670" s="69"/>
      <c r="J670" s="69"/>
      <c r="K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row>
    <row r="671" spans="2:37" s="133" customFormat="1" x14ac:dyDescent="0.25">
      <c r="B671" s="44" t="s">
        <v>21</v>
      </c>
      <c r="C671" s="133" t="s">
        <v>1230</v>
      </c>
      <c r="H671" s="133" t="s">
        <v>1231</v>
      </c>
      <c r="I671" s="135"/>
      <c r="J671" s="135"/>
      <c r="K671" s="135"/>
      <c r="L671" s="135"/>
      <c r="M671" s="135"/>
      <c r="N671" s="135"/>
      <c r="O671" s="135"/>
      <c r="P671" s="135"/>
      <c r="Q671" s="135">
        <f t="shared" ref="Q671:AK671" si="102">AVERAGE(Q675:Q686)</f>
        <v>39582.277539138064</v>
      </c>
      <c r="R671" s="135">
        <f t="shared" si="102"/>
        <v>39219.847613041442</v>
      </c>
      <c r="S671" s="135">
        <f t="shared" si="102"/>
        <v>40345.270001706529</v>
      </c>
      <c r="T671" s="135">
        <f t="shared" si="102"/>
        <v>41197.216105198029</v>
      </c>
      <c r="U671" s="135">
        <f t="shared" si="102"/>
        <v>43007.805546670868</v>
      </c>
      <c r="V671" s="135">
        <f t="shared" si="102"/>
        <v>43491.786530497142</v>
      </c>
      <c r="W671" s="135">
        <f t="shared" si="102"/>
        <v>44438.326273215287</v>
      </c>
      <c r="X671" s="135">
        <f t="shared" si="102"/>
        <v>45365.88992331022</v>
      </c>
      <c r="Y671" s="135">
        <f t="shared" si="102"/>
        <v>45410.420779550572</v>
      </c>
      <c r="Z671" s="135">
        <f t="shared" si="102"/>
        <v>44728.158208607325</v>
      </c>
      <c r="AA671" s="135">
        <f t="shared" si="102"/>
        <v>41711.999839682227</v>
      </c>
      <c r="AB671" s="135">
        <f t="shared" si="102"/>
        <v>46751.007602429432</v>
      </c>
      <c r="AC671" s="135">
        <f t="shared" si="102"/>
        <v>47118.340631692663</v>
      </c>
      <c r="AD671" s="135" t="e">
        <f t="shared" si="102"/>
        <v>#DIV/0!</v>
      </c>
      <c r="AE671" s="135" t="e">
        <f t="shared" si="102"/>
        <v>#DIV/0!</v>
      </c>
      <c r="AF671" s="135" t="e">
        <f t="shared" si="102"/>
        <v>#DIV/0!</v>
      </c>
      <c r="AG671" s="135" t="e">
        <f t="shared" si="102"/>
        <v>#DIV/0!</v>
      </c>
      <c r="AH671" s="135" t="e">
        <f t="shared" si="102"/>
        <v>#DIV/0!</v>
      </c>
      <c r="AI671" s="135" t="e">
        <f t="shared" si="102"/>
        <v>#DIV/0!</v>
      </c>
      <c r="AJ671" s="135" t="e">
        <f t="shared" si="102"/>
        <v>#DIV/0!</v>
      </c>
      <c r="AK671" s="135" t="e">
        <f t="shared" si="102"/>
        <v>#DIV/0!</v>
      </c>
    </row>
    <row r="672" spans="2:37" s="79" customFormat="1" x14ac:dyDescent="0.25">
      <c r="B672" s="136"/>
      <c r="D672" s="79" t="s">
        <v>1232</v>
      </c>
      <c r="H672" s="79" t="s">
        <v>1231</v>
      </c>
      <c r="I672" s="100"/>
      <c r="J672" s="100"/>
      <c r="K672" s="100"/>
      <c r="L672" s="100"/>
      <c r="M672" s="100"/>
      <c r="N672" s="100"/>
      <c r="O672" s="100"/>
      <c r="P672" s="100"/>
      <c r="Q672" s="100">
        <f t="shared" ref="Q672:AK672" si="103">AVERAGE(Q680:Q683)</f>
        <v>52293.402712498806</v>
      </c>
      <c r="R672" s="100">
        <f t="shared" si="103"/>
        <v>51735.435970537277</v>
      </c>
      <c r="S672" s="100">
        <f t="shared" si="103"/>
        <v>52689.205434570787</v>
      </c>
      <c r="T672" s="100">
        <f t="shared" si="103"/>
        <v>53610.353818085816</v>
      </c>
      <c r="U672" s="100">
        <f t="shared" si="103"/>
        <v>55263.37780913469</v>
      </c>
      <c r="V672" s="100">
        <f t="shared" si="103"/>
        <v>56411.357828689303</v>
      </c>
      <c r="W672" s="100">
        <f t="shared" si="103"/>
        <v>57136.799845249698</v>
      </c>
      <c r="X672" s="100">
        <f t="shared" si="103"/>
        <v>58602.467989843542</v>
      </c>
      <c r="Y672" s="100">
        <f t="shared" si="103"/>
        <v>57545.018453834258</v>
      </c>
      <c r="Z672" s="100">
        <f t="shared" si="103"/>
        <v>56497.90001530193</v>
      </c>
      <c r="AA672" s="100">
        <f t="shared" si="103"/>
        <v>48748.810951692947</v>
      </c>
      <c r="AB672" s="100">
        <f t="shared" si="103"/>
        <v>58232.082255748908</v>
      </c>
      <c r="AC672" s="100">
        <f t="shared" si="103"/>
        <v>57994.292803469078</v>
      </c>
      <c r="AD672" s="100" t="e">
        <f t="shared" si="103"/>
        <v>#DIV/0!</v>
      </c>
      <c r="AE672" s="100" t="e">
        <f t="shared" si="103"/>
        <v>#DIV/0!</v>
      </c>
      <c r="AF672" s="100" t="e">
        <f t="shared" si="103"/>
        <v>#DIV/0!</v>
      </c>
      <c r="AG672" s="100" t="e">
        <f t="shared" si="103"/>
        <v>#DIV/0!</v>
      </c>
      <c r="AH672" s="100" t="e">
        <f t="shared" si="103"/>
        <v>#DIV/0!</v>
      </c>
      <c r="AI672" s="100" t="e">
        <f t="shared" si="103"/>
        <v>#DIV/0!</v>
      </c>
      <c r="AJ672" s="100" t="e">
        <f t="shared" si="103"/>
        <v>#DIV/0!</v>
      </c>
      <c r="AK672" s="100" t="e">
        <f t="shared" si="103"/>
        <v>#DIV/0!</v>
      </c>
    </row>
    <row r="673" spans="2:37" s="79" customFormat="1" x14ac:dyDescent="0.25">
      <c r="B673" s="136"/>
      <c r="D673" s="79" t="s">
        <v>1233</v>
      </c>
      <c r="H673" s="79" t="s">
        <v>1231</v>
      </c>
      <c r="I673" s="100"/>
      <c r="J673" s="100"/>
      <c r="K673" s="100"/>
      <c r="L673" s="100"/>
      <c r="M673" s="100"/>
      <c r="N673" s="100"/>
      <c r="O673" s="100"/>
      <c r="P673" s="100"/>
      <c r="Q673" s="100">
        <f>AVERAGE(Q675:Q677,Q686)</f>
        <v>34633.765685241582</v>
      </c>
      <c r="R673" s="100">
        <f>AVERAGE(R675:R677,Q686)</f>
        <v>34388.442445419292</v>
      </c>
      <c r="S673" s="100">
        <f>AVERAGE(S675:S677,R686)</f>
        <v>35416.201304376642</v>
      </c>
      <c r="T673" s="100">
        <f t="shared" ref="T673:AK673" si="104">AVERAGE(T675:T677,S686)</f>
        <v>36515.34923490505</v>
      </c>
      <c r="U673" s="100">
        <f t="shared" si="104"/>
        <v>38321.308827588131</v>
      </c>
      <c r="V673" s="100">
        <f t="shared" si="104"/>
        <v>38871.761106685386</v>
      </c>
      <c r="W673" s="100">
        <f t="shared" si="104"/>
        <v>39577.483891943572</v>
      </c>
      <c r="X673" s="100">
        <f t="shared" si="104"/>
        <v>40615.458353883361</v>
      </c>
      <c r="Y673" s="100">
        <f t="shared" si="104"/>
        <v>41364.934967978508</v>
      </c>
      <c r="Z673" s="100">
        <f t="shared" si="104"/>
        <v>41427.207148100963</v>
      </c>
      <c r="AA673" s="100">
        <f t="shared" si="104"/>
        <v>41371.989003644499</v>
      </c>
      <c r="AB673" s="100">
        <f t="shared" si="104"/>
        <v>42061.7120683182</v>
      </c>
      <c r="AC673" s="100">
        <f t="shared" si="104"/>
        <v>43722.521771945816</v>
      </c>
      <c r="AD673" s="100" t="e">
        <f t="shared" si="104"/>
        <v>#DIV/0!</v>
      </c>
      <c r="AE673" s="100" t="e">
        <f t="shared" si="104"/>
        <v>#DIV/0!</v>
      </c>
      <c r="AF673" s="100" t="e">
        <f t="shared" si="104"/>
        <v>#DIV/0!</v>
      </c>
      <c r="AG673" s="100" t="e">
        <f t="shared" si="104"/>
        <v>#DIV/0!</v>
      </c>
      <c r="AH673" s="100" t="e">
        <f t="shared" si="104"/>
        <v>#DIV/0!</v>
      </c>
      <c r="AI673" s="100" t="e">
        <f t="shared" si="104"/>
        <v>#DIV/0!</v>
      </c>
      <c r="AJ673" s="100" t="e">
        <f t="shared" si="104"/>
        <v>#DIV/0!</v>
      </c>
      <c r="AK673" s="100" t="e">
        <f t="shared" si="104"/>
        <v>#DIV/0!</v>
      </c>
    </row>
    <row r="674" spans="2:37" s="79" customFormat="1" x14ac:dyDescent="0.25">
      <c r="B674" s="136"/>
      <c r="D674" s="79" t="s">
        <v>1234</v>
      </c>
      <c r="H674" s="79" t="s">
        <v>1231</v>
      </c>
      <c r="I674" s="100"/>
      <c r="J674" s="100"/>
      <c r="K674" s="100"/>
      <c r="L674" s="100"/>
      <c r="M674" s="100"/>
      <c r="N674" s="100"/>
      <c r="O674" s="100"/>
      <c r="P674" s="100"/>
      <c r="Q674" s="100">
        <f t="shared" ref="Q674:AK674" si="105">AVERAGE(Q678:Q679,Q684:Q685)</f>
        <v>31819.664219673821</v>
      </c>
      <c r="R674" s="100">
        <f t="shared" si="105"/>
        <v>31453.668788045103</v>
      </c>
      <c r="S674" s="100">
        <f t="shared" si="105"/>
        <v>32799.168420509624</v>
      </c>
      <c r="T674" s="100">
        <f t="shared" si="105"/>
        <v>33102.327755850201</v>
      </c>
      <c r="U674" s="100">
        <f t="shared" si="105"/>
        <v>34850.757608941043</v>
      </c>
      <c r="V674" s="100">
        <f t="shared" si="105"/>
        <v>35222.111616054986</v>
      </c>
      <c r="W674" s="100">
        <f t="shared" si="105"/>
        <v>36279.013657654694</v>
      </c>
      <c r="X674" s="100">
        <f t="shared" si="105"/>
        <v>36807.760250272404</v>
      </c>
      <c r="Y674" s="100">
        <f t="shared" si="105"/>
        <v>37322.60984452792</v>
      </c>
      <c r="Z674" s="100">
        <f t="shared" si="105"/>
        <v>36474.74959866071</v>
      </c>
      <c r="AA674" s="100">
        <f t="shared" si="105"/>
        <v>34402.993045482042</v>
      </c>
      <c r="AB674" s="100">
        <f t="shared" si="105"/>
        <v>39789.822978180178</v>
      </c>
      <c r="AC674" s="100">
        <f t="shared" si="105"/>
        <v>39520.125528883073</v>
      </c>
      <c r="AD674" s="100" t="e">
        <f t="shared" si="105"/>
        <v>#DIV/0!</v>
      </c>
      <c r="AE674" s="100" t="e">
        <f t="shared" si="105"/>
        <v>#DIV/0!</v>
      </c>
      <c r="AF674" s="100" t="e">
        <f t="shared" si="105"/>
        <v>#DIV/0!</v>
      </c>
      <c r="AG674" s="100" t="e">
        <f t="shared" si="105"/>
        <v>#DIV/0!</v>
      </c>
      <c r="AH674" s="100" t="e">
        <f t="shared" si="105"/>
        <v>#DIV/0!</v>
      </c>
      <c r="AI674" s="100" t="e">
        <f t="shared" si="105"/>
        <v>#DIV/0!</v>
      </c>
      <c r="AJ674" s="100" t="e">
        <f t="shared" si="105"/>
        <v>#DIV/0!</v>
      </c>
      <c r="AK674" s="100" t="e">
        <f t="shared" si="105"/>
        <v>#DIV/0!</v>
      </c>
    </row>
    <row r="675" spans="2:37" s="4" customFormat="1" x14ac:dyDescent="0.25">
      <c r="B675" s="44"/>
      <c r="D675" s="4" t="s">
        <v>244</v>
      </c>
      <c r="H675" s="4" t="s">
        <v>1231</v>
      </c>
      <c r="I675" s="69"/>
      <c r="J675" s="69"/>
      <c r="K675" s="69"/>
      <c r="L675" s="69"/>
      <c r="M675" s="69"/>
      <c r="N675" s="69"/>
      <c r="O675" s="69"/>
      <c r="P675" s="69"/>
      <c r="Q675" s="69">
        <f t="shared" ref="Q675:AK675" si="106">Q$688+Q695+Q711+Q753*(Q$746*Q$747+Q$748*Q$749+Q$750*Q$751)+Q766+Q779+Q792+Q805</f>
        <v>34527.206191880832</v>
      </c>
      <c r="R675" s="69">
        <f t="shared" si="106"/>
        <v>34092.454004586907</v>
      </c>
      <c r="S675" s="69">
        <f t="shared" si="106"/>
        <v>35077.55399890308</v>
      </c>
      <c r="T675" s="69">
        <f t="shared" si="106"/>
        <v>35831.07573584278</v>
      </c>
      <c r="U675" s="69">
        <f t="shared" si="106"/>
        <v>38388.362013068181</v>
      </c>
      <c r="V675" s="69">
        <f t="shared" si="106"/>
        <v>38666.634256913268</v>
      </c>
      <c r="W675" s="69">
        <f t="shared" si="106"/>
        <v>39531.778895566284</v>
      </c>
      <c r="X675" s="69">
        <f t="shared" si="106"/>
        <v>41018.586349038182</v>
      </c>
      <c r="Y675" s="69">
        <f t="shared" si="106"/>
        <v>42204.839531416772</v>
      </c>
      <c r="Z675" s="69">
        <f t="shared" si="106"/>
        <v>41577.625201334951</v>
      </c>
      <c r="AA675" s="69">
        <f t="shared" si="106"/>
        <v>43235.540738496296</v>
      </c>
      <c r="AB675" s="69">
        <f t="shared" si="106"/>
        <v>41685.713993442354</v>
      </c>
      <c r="AC675" s="69">
        <f t="shared" si="106"/>
        <v>43653.721451411031</v>
      </c>
      <c r="AD675" s="69" t="e">
        <f t="shared" si="106"/>
        <v>#DIV/0!</v>
      </c>
      <c r="AE675" s="69" t="e">
        <f t="shared" si="106"/>
        <v>#DIV/0!</v>
      </c>
      <c r="AF675" s="69" t="e">
        <f t="shared" si="106"/>
        <v>#DIV/0!</v>
      </c>
      <c r="AG675" s="69" t="e">
        <f t="shared" si="106"/>
        <v>#DIV/0!</v>
      </c>
      <c r="AH675" s="69" t="e">
        <f t="shared" si="106"/>
        <v>#DIV/0!</v>
      </c>
      <c r="AI675" s="69" t="e">
        <f t="shared" si="106"/>
        <v>#DIV/0!</v>
      </c>
      <c r="AJ675" s="69" t="e">
        <f t="shared" si="106"/>
        <v>#DIV/0!</v>
      </c>
      <c r="AK675" s="69" t="e">
        <f t="shared" si="106"/>
        <v>#DIV/0!</v>
      </c>
    </row>
    <row r="676" spans="2:37" s="4" customFormat="1" x14ac:dyDescent="0.25">
      <c r="B676" s="44"/>
      <c r="D676" s="4" t="s">
        <v>245</v>
      </c>
      <c r="H676" s="4" t="s">
        <v>1231</v>
      </c>
      <c r="I676" s="69"/>
      <c r="J676" s="69"/>
      <c r="K676" s="69"/>
      <c r="L676" s="69"/>
      <c r="M676" s="69"/>
      <c r="N676" s="69"/>
      <c r="O676" s="69"/>
      <c r="P676" s="69"/>
      <c r="Q676" s="69">
        <f t="shared" ref="Q676:AK676" si="107">Q$688+Q696+Q712+Q754*(Q$746*Q$747+Q$748*Q$749+Q$750*Q$751)+Q767+Q780+Q793+Q806</f>
        <v>36223.062621727498</v>
      </c>
      <c r="R676" s="69">
        <f t="shared" si="107"/>
        <v>35987.688411236464</v>
      </c>
      <c r="S676" s="69">
        <f t="shared" si="107"/>
        <v>37731.39208563912</v>
      </c>
      <c r="T676" s="69">
        <f t="shared" si="107"/>
        <v>39443.096464498281</v>
      </c>
      <c r="U676" s="69">
        <f t="shared" si="107"/>
        <v>40380.069459042701</v>
      </c>
      <c r="V676" s="69">
        <f t="shared" si="107"/>
        <v>40551.404140598803</v>
      </c>
      <c r="W676" s="69">
        <f t="shared" si="107"/>
        <v>41012.479930222187</v>
      </c>
      <c r="X676" s="69">
        <f t="shared" si="107"/>
        <v>41942.771565895942</v>
      </c>
      <c r="Y676" s="69">
        <f t="shared" si="107"/>
        <v>43037.075115388776</v>
      </c>
      <c r="Z676" s="69">
        <f t="shared" si="107"/>
        <v>43720.038965318287</v>
      </c>
      <c r="AA676" s="69">
        <f t="shared" si="107"/>
        <v>45075.166729860204</v>
      </c>
      <c r="AB676" s="69">
        <f t="shared" si="107"/>
        <v>43113.977405645863</v>
      </c>
      <c r="AC676" s="69">
        <f t="shared" si="107"/>
        <v>45420.138423088822</v>
      </c>
      <c r="AD676" s="69" t="e">
        <f t="shared" si="107"/>
        <v>#DIV/0!</v>
      </c>
      <c r="AE676" s="69" t="e">
        <f t="shared" si="107"/>
        <v>#DIV/0!</v>
      </c>
      <c r="AF676" s="69" t="e">
        <f t="shared" si="107"/>
        <v>#DIV/0!</v>
      </c>
      <c r="AG676" s="69" t="e">
        <f t="shared" si="107"/>
        <v>#DIV/0!</v>
      </c>
      <c r="AH676" s="69" t="e">
        <f t="shared" si="107"/>
        <v>#DIV/0!</v>
      </c>
      <c r="AI676" s="69" t="e">
        <f t="shared" si="107"/>
        <v>#DIV/0!</v>
      </c>
      <c r="AJ676" s="69" t="e">
        <f t="shared" si="107"/>
        <v>#DIV/0!</v>
      </c>
      <c r="AK676" s="69" t="e">
        <f t="shared" si="107"/>
        <v>#DIV/0!</v>
      </c>
    </row>
    <row r="677" spans="2:37" s="4" customFormat="1" x14ac:dyDescent="0.25">
      <c r="B677" s="44"/>
      <c r="D677" s="4" t="s">
        <v>246</v>
      </c>
      <c r="H677" s="4" t="s">
        <v>1231</v>
      </c>
      <c r="I677" s="69"/>
      <c r="J677" s="69"/>
      <c r="K677" s="69"/>
      <c r="L677" s="69"/>
      <c r="M677" s="69"/>
      <c r="N677" s="69"/>
      <c r="O677" s="69"/>
      <c r="P677" s="69"/>
      <c r="Q677" s="69">
        <f t="shared" ref="Q677:AK677" si="108">Q$688+Q697+Q713+Q755*(Q$746*Q$747+Q$748*Q$749+Q$750*Q$751)+Q768+Q781+Q794+Q807</f>
        <v>34739.114247720034</v>
      </c>
      <c r="R677" s="69">
        <f t="shared" si="108"/>
        <v>34427.947686215812</v>
      </c>
      <c r="S677" s="69">
        <f t="shared" si="108"/>
        <v>35482.19691283576</v>
      </c>
      <c r="T677" s="69">
        <f t="shared" si="108"/>
        <v>36888.623136500413</v>
      </c>
      <c r="U677" s="69">
        <f t="shared" si="108"/>
        <v>39163.732208450849</v>
      </c>
      <c r="V677" s="69">
        <f t="shared" si="108"/>
        <v>38564.044822043659</v>
      </c>
      <c r="W677" s="69">
        <f t="shared" si="108"/>
        <v>40180.199374552947</v>
      </c>
      <c r="X677" s="69">
        <f t="shared" si="108"/>
        <v>40628.272433974882</v>
      </c>
      <c r="Y677" s="69">
        <f t="shared" si="108"/>
        <v>41057.689454758627</v>
      </c>
      <c r="Z677" s="69">
        <f t="shared" si="108"/>
        <v>41256.232366156655</v>
      </c>
      <c r="AA677" s="69">
        <f t="shared" si="108"/>
        <v>38883.845031593948</v>
      </c>
      <c r="AB677" s="69">
        <f t="shared" si="108"/>
        <v>42704.927286648272</v>
      </c>
      <c r="AC677" s="69">
        <f t="shared" si="108"/>
        <v>44396.375605582951</v>
      </c>
      <c r="AD677" s="69" t="e">
        <f t="shared" si="108"/>
        <v>#DIV/0!</v>
      </c>
      <c r="AE677" s="69" t="e">
        <f t="shared" si="108"/>
        <v>#DIV/0!</v>
      </c>
      <c r="AF677" s="69" t="e">
        <f t="shared" si="108"/>
        <v>#DIV/0!</v>
      </c>
      <c r="AG677" s="69" t="e">
        <f t="shared" si="108"/>
        <v>#DIV/0!</v>
      </c>
      <c r="AH677" s="69" t="e">
        <f t="shared" si="108"/>
        <v>#DIV/0!</v>
      </c>
      <c r="AI677" s="69" t="e">
        <f t="shared" si="108"/>
        <v>#DIV/0!</v>
      </c>
      <c r="AJ677" s="69" t="e">
        <f t="shared" si="108"/>
        <v>#DIV/0!</v>
      </c>
      <c r="AK677" s="69" t="e">
        <f t="shared" si="108"/>
        <v>#DIV/0!</v>
      </c>
    </row>
    <row r="678" spans="2:37" s="4" customFormat="1" x14ac:dyDescent="0.25">
      <c r="B678" s="44"/>
      <c r="D678" s="4" t="s">
        <v>247</v>
      </c>
      <c r="H678" s="4" t="s">
        <v>1231</v>
      </c>
      <c r="I678" s="69"/>
      <c r="J678" s="69"/>
      <c r="K678" s="69"/>
      <c r="L678" s="69"/>
      <c r="M678" s="69"/>
      <c r="N678" s="69"/>
      <c r="O678" s="69"/>
      <c r="P678" s="69"/>
      <c r="Q678" s="69">
        <f t="shared" ref="Q678:AK678" si="109">Q$688+Q698+Q714+Q756*(Q$746*Q$747+Q$748*Q$749+Q$750*Q$751)+Q769+Q782+Q795+Q808</f>
        <v>29249.367485134804</v>
      </c>
      <c r="R678" s="69">
        <f t="shared" si="109"/>
        <v>28424.561416819757</v>
      </c>
      <c r="S678" s="69">
        <f t="shared" si="109"/>
        <v>30219.391518320539</v>
      </c>
      <c r="T678" s="69">
        <f t="shared" si="109"/>
        <v>30900.383408590078</v>
      </c>
      <c r="U678" s="69">
        <f t="shared" si="109"/>
        <v>31089.396258482473</v>
      </c>
      <c r="V678" s="69">
        <f t="shared" si="109"/>
        <v>31754.236989381232</v>
      </c>
      <c r="W678" s="69">
        <f t="shared" si="109"/>
        <v>32089.965343437805</v>
      </c>
      <c r="X678" s="69">
        <f t="shared" si="109"/>
        <v>32448.395482165983</v>
      </c>
      <c r="Y678" s="69">
        <f t="shared" si="109"/>
        <v>33758.870274034816</v>
      </c>
      <c r="Z678" s="69">
        <f t="shared" si="109"/>
        <v>32929.417735553274</v>
      </c>
      <c r="AA678" s="69">
        <f t="shared" si="109"/>
        <v>29101.007111629802</v>
      </c>
      <c r="AB678" s="69">
        <f t="shared" si="109"/>
        <v>38464.564186185482</v>
      </c>
      <c r="AC678" s="69">
        <f t="shared" si="109"/>
        <v>37291.781066241456</v>
      </c>
      <c r="AD678" s="69" t="e">
        <f t="shared" si="109"/>
        <v>#DIV/0!</v>
      </c>
      <c r="AE678" s="69" t="e">
        <f t="shared" si="109"/>
        <v>#DIV/0!</v>
      </c>
      <c r="AF678" s="69" t="e">
        <f t="shared" si="109"/>
        <v>#DIV/0!</v>
      </c>
      <c r="AG678" s="69" t="e">
        <f t="shared" si="109"/>
        <v>#DIV/0!</v>
      </c>
      <c r="AH678" s="69" t="e">
        <f t="shared" si="109"/>
        <v>#DIV/0!</v>
      </c>
      <c r="AI678" s="69" t="e">
        <f t="shared" si="109"/>
        <v>#DIV/0!</v>
      </c>
      <c r="AJ678" s="69" t="e">
        <f t="shared" si="109"/>
        <v>#DIV/0!</v>
      </c>
      <c r="AK678" s="69" t="e">
        <f t="shared" si="109"/>
        <v>#DIV/0!</v>
      </c>
    </row>
    <row r="679" spans="2:37" s="4" customFormat="1" x14ac:dyDescent="0.25">
      <c r="B679" s="44"/>
      <c r="D679" s="4" t="s">
        <v>248</v>
      </c>
      <c r="H679" s="4" t="s">
        <v>1231</v>
      </c>
      <c r="I679" s="69"/>
      <c r="J679" s="69"/>
      <c r="K679" s="69"/>
      <c r="L679" s="69"/>
      <c r="M679" s="69"/>
      <c r="N679" s="69"/>
      <c r="O679" s="69"/>
      <c r="P679" s="69"/>
      <c r="Q679" s="69">
        <f t="shared" ref="Q679:AK679" si="110">Q$688+Q699+Q715+Q757*(Q$746*Q$747+Q$748*Q$749+Q$750*Q$751)+Q770+Q783+Q796+Q809</f>
        <v>34525.628281906349</v>
      </c>
      <c r="R679" s="69">
        <f t="shared" si="110"/>
        <v>33895.103776562035</v>
      </c>
      <c r="S679" s="69">
        <f t="shared" si="110"/>
        <v>35033.210623894549</v>
      </c>
      <c r="T679" s="69">
        <f t="shared" si="110"/>
        <v>35344.207091946177</v>
      </c>
      <c r="U679" s="69">
        <f t="shared" si="110"/>
        <v>38513.437301303464</v>
      </c>
      <c r="V679" s="69">
        <f t="shared" si="110"/>
        <v>39307.036120942626</v>
      </c>
      <c r="W679" s="69">
        <f t="shared" si="110"/>
        <v>41647.310316572366</v>
      </c>
      <c r="X679" s="69">
        <f t="shared" si="110"/>
        <v>41937.223975819303</v>
      </c>
      <c r="Y679" s="69">
        <f t="shared" si="110"/>
        <v>42414.183068771017</v>
      </c>
      <c r="Z679" s="69">
        <f t="shared" si="110"/>
        <v>40979.797232071593</v>
      </c>
      <c r="AA679" s="69">
        <f t="shared" si="110"/>
        <v>31262.869573952656</v>
      </c>
      <c r="AB679" s="69">
        <f t="shared" si="110"/>
        <v>43849.249957469023</v>
      </c>
      <c r="AC679" s="69">
        <f t="shared" si="110"/>
        <v>43520.649218689025</v>
      </c>
      <c r="AD679" s="69" t="e">
        <f t="shared" si="110"/>
        <v>#DIV/0!</v>
      </c>
      <c r="AE679" s="69" t="e">
        <f t="shared" si="110"/>
        <v>#DIV/0!</v>
      </c>
      <c r="AF679" s="69" t="e">
        <f t="shared" si="110"/>
        <v>#DIV/0!</v>
      </c>
      <c r="AG679" s="69" t="e">
        <f t="shared" si="110"/>
        <v>#DIV/0!</v>
      </c>
      <c r="AH679" s="69" t="e">
        <f t="shared" si="110"/>
        <v>#DIV/0!</v>
      </c>
      <c r="AI679" s="69" t="e">
        <f t="shared" si="110"/>
        <v>#DIV/0!</v>
      </c>
      <c r="AJ679" s="69" t="e">
        <f t="shared" si="110"/>
        <v>#DIV/0!</v>
      </c>
      <c r="AK679" s="69" t="e">
        <f t="shared" si="110"/>
        <v>#DIV/0!</v>
      </c>
    </row>
    <row r="680" spans="2:37" s="4" customFormat="1" x14ac:dyDescent="0.25">
      <c r="B680" s="44"/>
      <c r="D680" s="4" t="s">
        <v>249</v>
      </c>
      <c r="H680" s="4" t="s">
        <v>1231</v>
      </c>
      <c r="I680" s="69"/>
      <c r="J680" s="69"/>
      <c r="K680" s="69"/>
      <c r="L680" s="69"/>
      <c r="M680" s="69"/>
      <c r="N680" s="69"/>
      <c r="O680" s="69"/>
      <c r="P680" s="69"/>
      <c r="Q680" s="69">
        <f t="shared" ref="Q680:AK680" si="111">Q$688+Q700+Q716+Q758*(Q$746*Q$747+Q$748*Q$749+Q$750*Q$751)+Q771+Q784+Q797+Q810</f>
        <v>50014.335514591025</v>
      </c>
      <c r="R680" s="69">
        <f t="shared" si="111"/>
        <v>47604.601741997954</v>
      </c>
      <c r="S680" s="69">
        <f t="shared" si="111"/>
        <v>50479.256628167001</v>
      </c>
      <c r="T680" s="69">
        <f t="shared" si="111"/>
        <v>51638.061818566115</v>
      </c>
      <c r="U680" s="69">
        <f t="shared" si="111"/>
        <v>53844.975667547085</v>
      </c>
      <c r="V680" s="69">
        <f t="shared" si="111"/>
        <v>55737.401828876013</v>
      </c>
      <c r="W680" s="69">
        <f t="shared" si="111"/>
        <v>57426.802322185664</v>
      </c>
      <c r="X680" s="69">
        <f t="shared" si="111"/>
        <v>57673.854576072328</v>
      </c>
      <c r="Y680" s="69">
        <f t="shared" si="111"/>
        <v>56454.811253126434</v>
      </c>
      <c r="Z680" s="69">
        <f t="shared" si="111"/>
        <v>55176.867609011344</v>
      </c>
      <c r="AA680" s="69">
        <f t="shared" si="111"/>
        <v>42235.199599485233</v>
      </c>
      <c r="AB680" s="69">
        <f t="shared" si="111"/>
        <v>57746.328140652113</v>
      </c>
      <c r="AC680" s="69">
        <f t="shared" si="111"/>
        <v>55654.672561327163</v>
      </c>
      <c r="AD680" s="69" t="e">
        <f t="shared" si="111"/>
        <v>#DIV/0!</v>
      </c>
      <c r="AE680" s="69" t="e">
        <f t="shared" si="111"/>
        <v>#DIV/0!</v>
      </c>
      <c r="AF680" s="69" t="e">
        <f t="shared" si="111"/>
        <v>#DIV/0!</v>
      </c>
      <c r="AG680" s="69" t="e">
        <f t="shared" si="111"/>
        <v>#DIV/0!</v>
      </c>
      <c r="AH680" s="69" t="e">
        <f t="shared" si="111"/>
        <v>#DIV/0!</v>
      </c>
      <c r="AI680" s="69" t="e">
        <f t="shared" si="111"/>
        <v>#DIV/0!</v>
      </c>
      <c r="AJ680" s="69" t="e">
        <f t="shared" si="111"/>
        <v>#DIV/0!</v>
      </c>
      <c r="AK680" s="69" t="e">
        <f t="shared" si="111"/>
        <v>#DIV/0!</v>
      </c>
    </row>
    <row r="681" spans="2:37" s="4" customFormat="1" x14ac:dyDescent="0.25">
      <c r="B681" s="44"/>
      <c r="D681" s="4" t="s">
        <v>250</v>
      </c>
      <c r="H681" s="4" t="s">
        <v>1231</v>
      </c>
      <c r="I681" s="69"/>
      <c r="J681" s="69"/>
      <c r="K681" s="69"/>
      <c r="L681" s="69"/>
      <c r="M681" s="69"/>
      <c r="N681" s="69"/>
      <c r="O681" s="69"/>
      <c r="P681" s="69"/>
      <c r="Q681" s="69">
        <f t="shared" ref="Q681:AK681" si="112">Q$688+Q701+Q717+Q759*(Q$746*Q$747+Q$748*Q$749+Q$750*Q$751)+Q772+Q785+Q798+Q811</f>
        <v>55955.278235440746</v>
      </c>
      <c r="R681" s="69">
        <f t="shared" si="112"/>
        <v>55491.128031053726</v>
      </c>
      <c r="S681" s="69">
        <f t="shared" si="112"/>
        <v>56364.173443739455</v>
      </c>
      <c r="T681" s="69">
        <f t="shared" si="112"/>
        <v>56497.819324994693</v>
      </c>
      <c r="U681" s="69">
        <f t="shared" si="112"/>
        <v>58631.537278426273</v>
      </c>
      <c r="V681" s="69">
        <f t="shared" si="112"/>
        <v>58947.796064927788</v>
      </c>
      <c r="W681" s="69">
        <f t="shared" si="112"/>
        <v>60914.846245606554</v>
      </c>
      <c r="X681" s="69">
        <f t="shared" si="112"/>
        <v>61076.130898403186</v>
      </c>
      <c r="Y681" s="69">
        <f t="shared" si="112"/>
        <v>59820.46117897849</v>
      </c>
      <c r="Z681" s="69">
        <f t="shared" si="112"/>
        <v>58898.82201688506</v>
      </c>
      <c r="AA681" s="69">
        <f t="shared" si="112"/>
        <v>51488.439926029692</v>
      </c>
      <c r="AB681" s="69">
        <f t="shared" si="112"/>
        <v>61296.313552886626</v>
      </c>
      <c r="AC681" s="69">
        <f t="shared" si="112"/>
        <v>61396.588055337852</v>
      </c>
      <c r="AD681" s="69" t="e">
        <f t="shared" si="112"/>
        <v>#DIV/0!</v>
      </c>
      <c r="AE681" s="69" t="e">
        <f t="shared" si="112"/>
        <v>#DIV/0!</v>
      </c>
      <c r="AF681" s="69" t="e">
        <f t="shared" si="112"/>
        <v>#DIV/0!</v>
      </c>
      <c r="AG681" s="69" t="e">
        <f t="shared" si="112"/>
        <v>#DIV/0!</v>
      </c>
      <c r="AH681" s="69" t="e">
        <f t="shared" si="112"/>
        <v>#DIV/0!</v>
      </c>
      <c r="AI681" s="69" t="e">
        <f t="shared" si="112"/>
        <v>#DIV/0!</v>
      </c>
      <c r="AJ681" s="69" t="e">
        <f t="shared" si="112"/>
        <v>#DIV/0!</v>
      </c>
      <c r="AK681" s="69" t="e">
        <f t="shared" si="112"/>
        <v>#DIV/0!</v>
      </c>
    </row>
    <row r="682" spans="2:37" s="4" customFormat="1" x14ac:dyDescent="0.25">
      <c r="B682" s="44"/>
      <c r="D682" s="4" t="s">
        <v>251</v>
      </c>
      <c r="H682" s="4" t="s">
        <v>1231</v>
      </c>
      <c r="I682" s="69"/>
      <c r="J682" s="69"/>
      <c r="K682" s="69"/>
      <c r="L682" s="69"/>
      <c r="M682" s="69"/>
      <c r="N682" s="69"/>
      <c r="O682" s="69"/>
      <c r="P682" s="69"/>
      <c r="Q682" s="69">
        <f t="shared" ref="Q682:AK682" si="113">Q$688+Q702+Q718+Q760*(Q$746*Q$747+Q$748*Q$749+Q$750*Q$751)+Q773+Q786+Q799+Q812</f>
        <v>54307.868912678459</v>
      </c>
      <c r="R682" s="69">
        <f t="shared" si="113"/>
        <v>54275.026423187417</v>
      </c>
      <c r="S682" s="69">
        <f t="shared" si="113"/>
        <v>54759.063408179944</v>
      </c>
      <c r="T682" s="69">
        <f t="shared" si="113"/>
        <v>55453.524809432223</v>
      </c>
      <c r="U682" s="69">
        <f t="shared" si="113"/>
        <v>57426.724715175173</v>
      </c>
      <c r="V682" s="69">
        <f t="shared" si="113"/>
        <v>57243.712551997523</v>
      </c>
      <c r="W682" s="69">
        <f t="shared" si="113"/>
        <v>59089.148505919402</v>
      </c>
      <c r="X682" s="69">
        <f t="shared" si="113"/>
        <v>60905.300506269567</v>
      </c>
      <c r="Y682" s="69">
        <f t="shared" si="113"/>
        <v>58625.455435835967</v>
      </c>
      <c r="Z682" s="69">
        <f t="shared" si="113"/>
        <v>57934.464095867137</v>
      </c>
      <c r="AA682" s="69">
        <f t="shared" si="113"/>
        <v>51722.478620913971</v>
      </c>
      <c r="AB682" s="69">
        <f t="shared" si="113"/>
        <v>59175.839078123405</v>
      </c>
      <c r="AC682" s="69">
        <f t="shared" si="113"/>
        <v>59601.792992069961</v>
      </c>
      <c r="AD682" s="69" t="e">
        <f t="shared" si="113"/>
        <v>#DIV/0!</v>
      </c>
      <c r="AE682" s="69" t="e">
        <f t="shared" si="113"/>
        <v>#DIV/0!</v>
      </c>
      <c r="AF682" s="69" t="e">
        <f t="shared" si="113"/>
        <v>#DIV/0!</v>
      </c>
      <c r="AG682" s="69" t="e">
        <f t="shared" si="113"/>
        <v>#DIV/0!</v>
      </c>
      <c r="AH682" s="69" t="e">
        <f t="shared" si="113"/>
        <v>#DIV/0!</v>
      </c>
      <c r="AI682" s="69" t="e">
        <f t="shared" si="113"/>
        <v>#DIV/0!</v>
      </c>
      <c r="AJ682" s="69" t="e">
        <f t="shared" si="113"/>
        <v>#DIV/0!</v>
      </c>
      <c r="AK682" s="69" t="e">
        <f t="shared" si="113"/>
        <v>#DIV/0!</v>
      </c>
    </row>
    <row r="683" spans="2:37" s="4" customFormat="1" x14ac:dyDescent="0.25">
      <c r="B683" s="44"/>
      <c r="D683" s="4" t="s">
        <v>252</v>
      </c>
      <c r="H683" s="4" t="s">
        <v>1231</v>
      </c>
      <c r="I683" s="69"/>
      <c r="J683" s="69"/>
      <c r="K683" s="69"/>
      <c r="L683" s="69"/>
      <c r="M683" s="69"/>
      <c r="N683" s="69"/>
      <c r="O683" s="69"/>
      <c r="P683" s="69"/>
      <c r="Q683" s="69">
        <f t="shared" ref="Q683:AK683" si="114">Q$688+Q703+Q719+Q761*(Q$746*Q$747+Q$748*Q$749+Q$750*Q$751)+Q774+Q787+Q800+Q813</f>
        <v>48896.128187284994</v>
      </c>
      <c r="R683" s="69">
        <f t="shared" si="114"/>
        <v>49570.987685910019</v>
      </c>
      <c r="S683" s="69">
        <f t="shared" si="114"/>
        <v>49154.328258196758</v>
      </c>
      <c r="T683" s="69">
        <f t="shared" si="114"/>
        <v>50852.009319350225</v>
      </c>
      <c r="U683" s="69">
        <f t="shared" si="114"/>
        <v>51150.273575390223</v>
      </c>
      <c r="V683" s="69">
        <f t="shared" si="114"/>
        <v>53716.520868955864</v>
      </c>
      <c r="W683" s="69">
        <f t="shared" si="114"/>
        <v>51116.402307287179</v>
      </c>
      <c r="X683" s="69">
        <f t="shared" si="114"/>
        <v>54754.585978629111</v>
      </c>
      <c r="Y683" s="69">
        <f t="shared" si="114"/>
        <v>55279.345947396141</v>
      </c>
      <c r="Z683" s="69">
        <f t="shared" si="114"/>
        <v>53981.446339444199</v>
      </c>
      <c r="AA683" s="69">
        <f t="shared" si="114"/>
        <v>49549.125660342892</v>
      </c>
      <c r="AB683" s="69">
        <f t="shared" si="114"/>
        <v>54709.848251333482</v>
      </c>
      <c r="AC683" s="69">
        <f t="shared" si="114"/>
        <v>55324.117605141328</v>
      </c>
      <c r="AD683" s="69" t="e">
        <f t="shared" si="114"/>
        <v>#DIV/0!</v>
      </c>
      <c r="AE683" s="69" t="e">
        <f t="shared" si="114"/>
        <v>#DIV/0!</v>
      </c>
      <c r="AF683" s="69" t="e">
        <f t="shared" si="114"/>
        <v>#DIV/0!</v>
      </c>
      <c r="AG683" s="69" t="e">
        <f t="shared" si="114"/>
        <v>#DIV/0!</v>
      </c>
      <c r="AH683" s="69" t="e">
        <f t="shared" si="114"/>
        <v>#DIV/0!</v>
      </c>
      <c r="AI683" s="69" t="e">
        <f t="shared" si="114"/>
        <v>#DIV/0!</v>
      </c>
      <c r="AJ683" s="69" t="e">
        <f t="shared" si="114"/>
        <v>#DIV/0!</v>
      </c>
      <c r="AK683" s="69" t="e">
        <f t="shared" si="114"/>
        <v>#DIV/0!</v>
      </c>
    </row>
    <row r="684" spans="2:37" s="4" customFormat="1" x14ac:dyDescent="0.25">
      <c r="B684" s="44"/>
      <c r="D684" s="4" t="s">
        <v>253</v>
      </c>
      <c r="H684" s="4" t="s">
        <v>1231</v>
      </c>
      <c r="I684" s="69"/>
      <c r="J684" s="69"/>
      <c r="K684" s="69"/>
      <c r="L684" s="69"/>
      <c r="M684" s="69"/>
      <c r="N684" s="69"/>
      <c r="O684" s="69"/>
      <c r="P684" s="69"/>
      <c r="Q684" s="69">
        <f t="shared" ref="Q684:AK684" si="115">Q$688+Q704+Q720+Q762*(Q$746*Q$747+Q$748*Q$749+Q$750*Q$751)+Q775+Q788+Q801+Q814</f>
        <v>34834.318096192161</v>
      </c>
      <c r="R684" s="69">
        <f t="shared" si="115"/>
        <v>34898.310384237411</v>
      </c>
      <c r="S684" s="69">
        <f t="shared" si="115"/>
        <v>35733.180770656545</v>
      </c>
      <c r="T684" s="69">
        <f t="shared" si="115"/>
        <v>35623.124184565444</v>
      </c>
      <c r="U684" s="69">
        <f t="shared" si="115"/>
        <v>38731.955125338893</v>
      </c>
      <c r="V684" s="69">
        <f t="shared" si="115"/>
        <v>38407.741798926021</v>
      </c>
      <c r="W684" s="69">
        <f t="shared" si="115"/>
        <v>39582.009598643286</v>
      </c>
      <c r="X684" s="69">
        <f t="shared" si="115"/>
        <v>40434.038607709488</v>
      </c>
      <c r="Y684" s="69">
        <f t="shared" si="115"/>
        <v>40315.897163452457</v>
      </c>
      <c r="Z684" s="69">
        <f t="shared" si="115"/>
        <v>40378.806698475928</v>
      </c>
      <c r="AA684" s="69">
        <f t="shared" si="115"/>
        <v>43165.168170456491</v>
      </c>
      <c r="AB684" s="69">
        <f t="shared" si="115"/>
        <v>42300.912424768321</v>
      </c>
      <c r="AC684" s="69">
        <f t="shared" si="115"/>
        <v>42331.337142639262</v>
      </c>
      <c r="AD684" s="69" t="e">
        <f t="shared" si="115"/>
        <v>#DIV/0!</v>
      </c>
      <c r="AE684" s="69" t="e">
        <f t="shared" si="115"/>
        <v>#DIV/0!</v>
      </c>
      <c r="AF684" s="69" t="e">
        <f t="shared" si="115"/>
        <v>#DIV/0!</v>
      </c>
      <c r="AG684" s="69" t="e">
        <f t="shared" si="115"/>
        <v>#DIV/0!</v>
      </c>
      <c r="AH684" s="69" t="e">
        <f t="shared" si="115"/>
        <v>#DIV/0!</v>
      </c>
      <c r="AI684" s="69" t="e">
        <f t="shared" si="115"/>
        <v>#DIV/0!</v>
      </c>
      <c r="AJ684" s="69" t="e">
        <f t="shared" si="115"/>
        <v>#DIV/0!</v>
      </c>
      <c r="AK684" s="69" t="e">
        <f t="shared" si="115"/>
        <v>#DIV/0!</v>
      </c>
    </row>
    <row r="685" spans="2:37" s="4" customFormat="1" x14ac:dyDescent="0.25">
      <c r="B685" s="44"/>
      <c r="D685" s="4" t="s">
        <v>254</v>
      </c>
      <c r="H685" s="4" t="s">
        <v>1231</v>
      </c>
      <c r="I685" s="69"/>
      <c r="J685" s="69"/>
      <c r="K685" s="69"/>
      <c r="L685" s="69"/>
      <c r="M685" s="69"/>
      <c r="N685" s="69"/>
      <c r="O685" s="69"/>
      <c r="P685" s="69"/>
      <c r="Q685" s="69">
        <f t="shared" ref="Q685:AK685" si="116">Q$688+Q705+Q721+Q763*(Q$746*Q$747+Q$748*Q$749+Q$750*Q$751)+Q776+Q789+Q802+Q815</f>
        <v>28669.343015461975</v>
      </c>
      <c r="R685" s="69">
        <f t="shared" si="116"/>
        <v>28596.699574561208</v>
      </c>
      <c r="S685" s="69">
        <f t="shared" si="116"/>
        <v>30210.890769166883</v>
      </c>
      <c r="T685" s="69">
        <f t="shared" si="116"/>
        <v>30541.596338299089</v>
      </c>
      <c r="U685" s="69">
        <f t="shared" si="116"/>
        <v>31068.241750639336</v>
      </c>
      <c r="V685" s="69">
        <f t="shared" si="116"/>
        <v>31419.431554970062</v>
      </c>
      <c r="W685" s="69">
        <f t="shared" si="116"/>
        <v>31796.769371965303</v>
      </c>
      <c r="X685" s="69">
        <f t="shared" si="116"/>
        <v>32411.382935394849</v>
      </c>
      <c r="Y685" s="69">
        <f t="shared" si="116"/>
        <v>32801.488871853398</v>
      </c>
      <c r="Z685" s="69">
        <f t="shared" si="116"/>
        <v>31610.976728542046</v>
      </c>
      <c r="AA685" s="69">
        <f t="shared" si="116"/>
        <v>34082.927325889221</v>
      </c>
      <c r="AB685" s="69">
        <f t="shared" si="116"/>
        <v>34544.565344297866</v>
      </c>
      <c r="AC685" s="69">
        <f t="shared" si="116"/>
        <v>34936.734687962526</v>
      </c>
      <c r="AD685" s="69" t="e">
        <f t="shared" si="116"/>
        <v>#DIV/0!</v>
      </c>
      <c r="AE685" s="69" t="e">
        <f t="shared" si="116"/>
        <v>#DIV/0!</v>
      </c>
      <c r="AF685" s="69" t="e">
        <f t="shared" si="116"/>
        <v>#DIV/0!</v>
      </c>
      <c r="AG685" s="69" t="e">
        <f t="shared" si="116"/>
        <v>#DIV/0!</v>
      </c>
      <c r="AH685" s="69" t="e">
        <f t="shared" si="116"/>
        <v>#DIV/0!</v>
      </c>
      <c r="AI685" s="69" t="e">
        <f t="shared" si="116"/>
        <v>#DIV/0!</v>
      </c>
      <c r="AJ685" s="69" t="e">
        <f t="shared" si="116"/>
        <v>#DIV/0!</v>
      </c>
      <c r="AK685" s="69" t="e">
        <f t="shared" si="116"/>
        <v>#DIV/0!</v>
      </c>
    </row>
    <row r="686" spans="2:37" s="4" customFormat="1" x14ac:dyDescent="0.25">
      <c r="B686" s="44"/>
      <c r="D686" s="4" t="s">
        <v>255</v>
      </c>
      <c r="H686" s="4" t="s">
        <v>1231</v>
      </c>
      <c r="I686" s="69"/>
      <c r="J686" s="69"/>
      <c r="K686" s="69"/>
      <c r="L686" s="69"/>
      <c r="M686" s="69"/>
      <c r="N686" s="69"/>
      <c r="O686" s="69"/>
      <c r="P686" s="69"/>
      <c r="Q686" s="69">
        <f t="shared" ref="Q686:AK686" si="117">Q$688+Q706+Q722+Q764*(Q$746*Q$747+Q$748*Q$749+Q$750*Q$751)+Q777+Q790+Q803+Q816</f>
        <v>33045.679679637971</v>
      </c>
      <c r="R686" s="69">
        <f t="shared" si="117"/>
        <v>33373.662220128608</v>
      </c>
      <c r="S686" s="69">
        <f t="shared" si="117"/>
        <v>33898.601602778719</v>
      </c>
      <c r="T686" s="69">
        <f t="shared" si="117"/>
        <v>35353.071629790807</v>
      </c>
      <c r="U686" s="69">
        <f t="shared" si="117"/>
        <v>37704.961207185828</v>
      </c>
      <c r="V686" s="69">
        <f t="shared" si="117"/>
        <v>37585.477367432875</v>
      </c>
      <c r="W686" s="69">
        <f t="shared" si="117"/>
        <v>38872.203066624439</v>
      </c>
      <c r="X686" s="69">
        <f t="shared" si="117"/>
        <v>39160.135770349851</v>
      </c>
      <c r="Y686" s="69">
        <f t="shared" si="117"/>
        <v>39154.932059593957</v>
      </c>
      <c r="Z686" s="69">
        <f t="shared" si="117"/>
        <v>38293.403514627535</v>
      </c>
      <c r="AA686" s="69">
        <f t="shared" si="117"/>
        <v>40742.229587536312</v>
      </c>
      <c r="AB686" s="69">
        <f t="shared" si="117"/>
        <v>41419.851607700468</v>
      </c>
      <c r="AC686" s="69">
        <f t="shared" si="117"/>
        <v>41892.178770820639</v>
      </c>
      <c r="AD686" s="69" t="e">
        <f t="shared" si="117"/>
        <v>#DIV/0!</v>
      </c>
      <c r="AE686" s="69" t="e">
        <f t="shared" si="117"/>
        <v>#DIV/0!</v>
      </c>
      <c r="AF686" s="69" t="e">
        <f t="shared" si="117"/>
        <v>#DIV/0!</v>
      </c>
      <c r="AG686" s="69" t="e">
        <f t="shared" si="117"/>
        <v>#DIV/0!</v>
      </c>
      <c r="AH686" s="69" t="e">
        <f t="shared" si="117"/>
        <v>#DIV/0!</v>
      </c>
      <c r="AI686" s="69" t="e">
        <f t="shared" si="117"/>
        <v>#DIV/0!</v>
      </c>
      <c r="AJ686" s="69" t="e">
        <f t="shared" si="117"/>
        <v>#DIV/0!</v>
      </c>
      <c r="AK686" s="69" t="e">
        <f t="shared" si="117"/>
        <v>#DIV/0!</v>
      </c>
    </row>
    <row r="687" spans="2:37" s="133" customFormat="1" x14ac:dyDescent="0.25">
      <c r="B687" s="134"/>
      <c r="C687" s="133" t="s">
        <v>1235</v>
      </c>
      <c r="I687" s="135"/>
      <c r="J687" s="135"/>
      <c r="K687" s="135"/>
      <c r="L687" s="135"/>
      <c r="M687" s="135"/>
      <c r="N687" s="135"/>
      <c r="O687" s="135"/>
      <c r="P687" s="135"/>
      <c r="Q687" s="135"/>
      <c r="R687" s="135"/>
      <c r="S687" s="135"/>
      <c r="T687" s="135"/>
      <c r="U687" s="135"/>
      <c r="V687" s="135"/>
      <c r="W687" s="135"/>
      <c r="X687" s="135"/>
      <c r="Y687" s="135"/>
      <c r="Z687" s="135"/>
      <c r="AA687" s="233"/>
      <c r="AB687" s="135"/>
      <c r="AC687" s="135"/>
      <c r="AD687" s="135"/>
      <c r="AE687" s="135"/>
      <c r="AF687" s="135"/>
      <c r="AG687" s="135"/>
      <c r="AH687" s="135"/>
      <c r="AI687" s="135"/>
      <c r="AJ687" s="135"/>
      <c r="AK687" s="135"/>
    </row>
    <row r="688" spans="2:37" s="79" customFormat="1" x14ac:dyDescent="0.25">
      <c r="D688" s="79" t="s">
        <v>1236</v>
      </c>
      <c r="H688" s="79" t="s">
        <v>1231</v>
      </c>
      <c r="I688" s="81">
        <f>I689*(1-I690)</f>
        <v>17895.149999999998</v>
      </c>
      <c r="J688" s="81">
        <f t="shared" ref="J688:AK688" si="118">J689*(1-J690)</f>
        <v>18112.7</v>
      </c>
      <c r="K688" s="81">
        <f t="shared" si="118"/>
        <v>18493.649999999998</v>
      </c>
      <c r="L688" s="81">
        <f t="shared" si="118"/>
        <v>18650.399999999998</v>
      </c>
      <c r="M688" s="81">
        <f t="shared" si="118"/>
        <v>19013.3</v>
      </c>
      <c r="N688" s="81">
        <f t="shared" si="118"/>
        <v>19448.399999999998</v>
      </c>
      <c r="O688" s="81">
        <f t="shared" si="118"/>
        <v>19938.599999999999</v>
      </c>
      <c r="P688" s="81">
        <f t="shared" si="118"/>
        <v>20170.399999999998</v>
      </c>
      <c r="Q688" s="81">
        <f t="shared" si="118"/>
        <v>20233.099999999999</v>
      </c>
      <c r="R688" s="81">
        <f t="shared" si="118"/>
        <v>20350.899999999998</v>
      </c>
      <c r="S688" s="81">
        <f t="shared" si="118"/>
        <v>20560.849999999999</v>
      </c>
      <c r="T688" s="81">
        <f t="shared" si="118"/>
        <v>21218.25</v>
      </c>
      <c r="U688" s="81">
        <f t="shared" si="118"/>
        <v>21600.149999999998</v>
      </c>
      <c r="V688" s="81">
        <f t="shared" si="118"/>
        <v>21851.899999999998</v>
      </c>
      <c r="W688" s="81">
        <f t="shared" si="118"/>
        <v>21999.149999999998</v>
      </c>
      <c r="X688" s="81">
        <f t="shared" si="118"/>
        <v>22106.5</v>
      </c>
      <c r="Y688" s="81">
        <f t="shared" si="118"/>
        <v>21977.3</v>
      </c>
      <c r="Z688" s="81">
        <f t="shared" si="118"/>
        <v>22079.899999999998</v>
      </c>
      <c r="AA688" s="81">
        <f t="shared" si="118"/>
        <v>22179.649999999998</v>
      </c>
      <c r="AB688" s="81">
        <f t="shared" si="118"/>
        <v>22396.25</v>
      </c>
      <c r="AC688" s="81">
        <f t="shared" si="118"/>
        <v>22646.16857142857</v>
      </c>
      <c r="AD688" s="81">
        <f t="shared" si="118"/>
        <v>23233.652524051195</v>
      </c>
      <c r="AE688" s="81">
        <f t="shared" si="118"/>
        <v>23486.125050260031</v>
      </c>
      <c r="AF688" s="81">
        <f t="shared" si="118"/>
        <v>23727.317024872686</v>
      </c>
      <c r="AG688" s="81">
        <f t="shared" si="118"/>
        <v>23972.322975512874</v>
      </c>
      <c r="AH688" s="81">
        <f t="shared" si="118"/>
        <v>24217.243222731602</v>
      </c>
      <c r="AI688" s="81">
        <f t="shared" si="118"/>
        <v>24471.500078070778</v>
      </c>
      <c r="AJ688" s="81">
        <f t="shared" si="118"/>
        <v>24712.121387103409</v>
      </c>
      <c r="AK688" s="81">
        <f t="shared" si="118"/>
        <v>24953.979155111701</v>
      </c>
    </row>
    <row r="689" spans="2:37" x14ac:dyDescent="0.25">
      <c r="D689" s="4"/>
      <c r="E689" t="s">
        <v>1237</v>
      </c>
      <c r="H689" s="4" t="s">
        <v>1231</v>
      </c>
      <c r="I689" s="39">
        <f>Datasheet!I340</f>
        <v>18837</v>
      </c>
      <c r="J689" s="39">
        <f>Datasheet!J340</f>
        <v>19066</v>
      </c>
      <c r="K689" s="39">
        <f>Datasheet!K340</f>
        <v>19467</v>
      </c>
      <c r="L689" s="39">
        <f>Datasheet!L340</f>
        <v>19632</v>
      </c>
      <c r="M689" s="39">
        <f>Datasheet!M340</f>
        <v>20014</v>
      </c>
      <c r="N689" s="39">
        <f>Datasheet!N340</f>
        <v>20472</v>
      </c>
      <c r="O689" s="39">
        <f>Datasheet!O340</f>
        <v>20988</v>
      </c>
      <c r="P689" s="39">
        <f>Datasheet!P340</f>
        <v>21232</v>
      </c>
      <c r="Q689" s="39">
        <f>Datasheet!Q340</f>
        <v>21298</v>
      </c>
      <c r="R689" s="39">
        <f>Datasheet!R340</f>
        <v>21422</v>
      </c>
      <c r="S689" s="39">
        <f>Datasheet!S340</f>
        <v>21643</v>
      </c>
      <c r="T689" s="39">
        <f>Datasheet!T340</f>
        <v>22335</v>
      </c>
      <c r="U689" s="39">
        <f>Datasheet!U340</f>
        <v>22737</v>
      </c>
      <c r="V689" s="39">
        <f>Datasheet!V340</f>
        <v>23002</v>
      </c>
      <c r="W689" s="39">
        <f>Datasheet!W340</f>
        <v>23157</v>
      </c>
      <c r="X689" s="39">
        <f>Datasheet!X340</f>
        <v>23270</v>
      </c>
      <c r="Y689" s="39">
        <f>Datasheet!Y340</f>
        <v>23134</v>
      </c>
      <c r="Z689" s="39">
        <f>Datasheet!Z340</f>
        <v>23242</v>
      </c>
      <c r="AA689" s="39">
        <f>Datasheet!AA340</f>
        <v>23347</v>
      </c>
      <c r="AB689" s="39">
        <f>Datasheet!AB340</f>
        <v>23575</v>
      </c>
      <c r="AC689" s="39">
        <f>IF(Datasheet!AC340&gt;0,Datasheet!AC340,_xlfn.FORECAST.ETS(AC2,$I689:AB689,$I2:AB2))</f>
        <v>23838.072180451127</v>
      </c>
      <c r="AD689" s="39">
        <f>IF(Datasheet!AD340&gt;0,Datasheet!AD340,_xlfn.FORECAST.ETS(AD2,$I689:AC689,$I2:AC2))</f>
        <v>24456.476341106521</v>
      </c>
      <c r="AE689" s="39">
        <f>IF(Datasheet!AE340&gt;0,Datasheet!AE340,_xlfn.FORECAST.ETS(AE2,$I689:AD689,$I2:AD2))</f>
        <v>24722.236895010559</v>
      </c>
      <c r="AF689" s="39">
        <f>IF(Datasheet!AF340&gt;0,Datasheet!AF340,_xlfn.FORECAST.ETS(AF2,$I689:AE689,$I2:AE2))</f>
        <v>24976.123184076514</v>
      </c>
      <c r="AG689" s="39">
        <f>IF(Datasheet!AG340&gt;0,Datasheet!AG340,_xlfn.FORECAST.ETS(AG2,$I689:AF689,$I2:AF2))</f>
        <v>25234.024184750397</v>
      </c>
      <c r="AH689" s="39">
        <f>IF(Datasheet!AH340&gt;0,Datasheet!AH340,_xlfn.FORECAST.ETS(AH2,$I689:AG689,$I2:AG2))</f>
        <v>25491.834971296426</v>
      </c>
      <c r="AI689" s="39">
        <f>IF(Datasheet!AI340&gt;0,Datasheet!AI340,_xlfn.FORECAST.ETS(AI2,$I689:AH689,$I2:AH2))</f>
        <v>25759.473766390292</v>
      </c>
      <c r="AJ689" s="39">
        <f>IF(Datasheet!AJ340&gt;0,Datasheet!AJ340,_xlfn.FORECAST.ETS(AJ2,$I689:AI689,$I2:AI2))</f>
        <v>26012.759354845693</v>
      </c>
      <c r="AK689" s="39">
        <f>IF(Datasheet!AK340&gt;0,Datasheet!AK340,_xlfn.FORECAST.ETS(AK2,$I689:AJ689,$I2:AJ2))</f>
        <v>26267.346479064949</v>
      </c>
    </row>
    <row r="690" spans="2:37" x14ac:dyDescent="0.25">
      <c r="D690" s="150"/>
      <c r="E690" s="4" t="s">
        <v>1238</v>
      </c>
      <c r="H690" s="4" t="s">
        <v>1239</v>
      </c>
      <c r="I690" s="85">
        <v>0.05</v>
      </c>
      <c r="J690" s="85">
        <v>0.05</v>
      </c>
      <c r="K690" s="85">
        <v>0.05</v>
      </c>
      <c r="L690" s="85">
        <v>0.05</v>
      </c>
      <c r="M690" s="85">
        <v>0.05</v>
      </c>
      <c r="N690" s="85">
        <v>0.05</v>
      </c>
      <c r="O690" s="85">
        <v>0.05</v>
      </c>
      <c r="P690" s="85">
        <v>0.05</v>
      </c>
      <c r="Q690" s="85">
        <v>0.05</v>
      </c>
      <c r="R690" s="85">
        <v>0.05</v>
      </c>
      <c r="S690" s="85">
        <v>0.05</v>
      </c>
      <c r="T690" s="85">
        <v>0.05</v>
      </c>
      <c r="U690" s="85">
        <v>0.05</v>
      </c>
      <c r="V690" s="85">
        <v>0.05</v>
      </c>
      <c r="W690" s="85">
        <v>0.05</v>
      </c>
      <c r="X690" s="85">
        <v>0.05</v>
      </c>
      <c r="Y690" s="85">
        <v>0.05</v>
      </c>
      <c r="Z690" s="85">
        <v>0.05</v>
      </c>
      <c r="AA690" s="85">
        <v>0.05</v>
      </c>
      <c r="AB690" s="85">
        <v>0.05</v>
      </c>
      <c r="AC690" s="85">
        <v>0.05</v>
      </c>
      <c r="AD690" s="85">
        <v>0.05</v>
      </c>
      <c r="AE690" s="85">
        <v>0.05</v>
      </c>
      <c r="AF690" s="85">
        <v>0.05</v>
      </c>
      <c r="AG690" s="85">
        <v>0.05</v>
      </c>
      <c r="AH690" s="85">
        <v>0.05</v>
      </c>
      <c r="AI690" s="85">
        <v>0.05</v>
      </c>
      <c r="AJ690" s="85">
        <v>0.05</v>
      </c>
      <c r="AK690" s="85">
        <v>0.05</v>
      </c>
    </row>
    <row r="691" spans="2:37" s="79" customFormat="1" x14ac:dyDescent="0.25">
      <c r="D691" s="79" t="s">
        <v>1240</v>
      </c>
      <c r="H691" s="79" t="s">
        <v>1231</v>
      </c>
      <c r="I691" s="81">
        <f t="shared" ref="I691:AK691" si="119">I443</f>
        <v>5949.8774919349471</v>
      </c>
      <c r="J691" s="81">
        <f t="shared" si="119"/>
        <v>6305.0538994240742</v>
      </c>
      <c r="K691" s="81">
        <f t="shared" si="119"/>
        <v>6401.6702621486365</v>
      </c>
      <c r="L691" s="81">
        <f t="shared" si="119"/>
        <v>6724.586013496737</v>
      </c>
      <c r="M691" s="81">
        <f t="shared" si="119"/>
        <v>6892.7181072680378</v>
      </c>
      <c r="N691" s="81">
        <f t="shared" si="119"/>
        <v>7430.233998310483</v>
      </c>
      <c r="O691" s="81">
        <f t="shared" si="119"/>
        <v>8023.3203886528354</v>
      </c>
      <c r="P691" s="81">
        <f t="shared" si="119"/>
        <v>7887.5159602537115</v>
      </c>
      <c r="Q691" s="81">
        <f t="shared" si="119"/>
        <v>7689.4624910771618</v>
      </c>
      <c r="R691" s="81">
        <f t="shared" si="119"/>
        <v>7524.2091232156326</v>
      </c>
      <c r="S691" s="81">
        <f t="shared" si="119"/>
        <v>7893.2866905246819</v>
      </c>
      <c r="T691" s="81">
        <f t="shared" si="119"/>
        <v>8204.2613282405946</v>
      </c>
      <c r="U691" s="81">
        <f t="shared" si="119"/>
        <v>8983.79119038508</v>
      </c>
      <c r="V691" s="81">
        <f t="shared" si="119"/>
        <v>8546.2382135728549</v>
      </c>
      <c r="W691" s="81">
        <f t="shared" si="119"/>
        <v>8971.2560615020666</v>
      </c>
      <c r="X691" s="81">
        <f t="shared" si="119"/>
        <v>9544.3267196512752</v>
      </c>
      <c r="Y691" s="81">
        <f t="shared" si="119"/>
        <v>9458.0337979302512</v>
      </c>
      <c r="Z691" s="81">
        <f t="shared" si="119"/>
        <v>9635.0839590297401</v>
      </c>
      <c r="AA691" s="81">
        <f t="shared" si="119"/>
        <v>9143.7395347922702</v>
      </c>
      <c r="AB691" s="81">
        <f t="shared" si="119"/>
        <v>9376.6374242401853</v>
      </c>
      <c r="AC691" s="81">
        <f t="shared" si="119"/>
        <v>10157.360034955034</v>
      </c>
      <c r="AD691" s="81" t="e">
        <f t="shared" si="119"/>
        <v>#DIV/0!</v>
      </c>
      <c r="AE691" s="81" t="e">
        <f t="shared" si="119"/>
        <v>#DIV/0!</v>
      </c>
      <c r="AF691" s="81" t="e">
        <f t="shared" si="119"/>
        <v>#DIV/0!</v>
      </c>
      <c r="AG691" s="81" t="e">
        <f t="shared" si="119"/>
        <v>#DIV/0!</v>
      </c>
      <c r="AH691" s="81" t="e">
        <f t="shared" si="119"/>
        <v>#DIV/0!</v>
      </c>
      <c r="AI691" s="81" t="e">
        <f t="shared" si="119"/>
        <v>#DIV/0!</v>
      </c>
      <c r="AJ691" s="81" t="e">
        <f t="shared" si="119"/>
        <v>#DIV/0!</v>
      </c>
      <c r="AK691" s="81" t="e">
        <f t="shared" si="119"/>
        <v>#DIV/0!</v>
      </c>
    </row>
    <row r="692" spans="2:37" s="79" customFormat="1" x14ac:dyDescent="0.25">
      <c r="B692" s="59"/>
      <c r="E692" s="79" t="s">
        <v>1232</v>
      </c>
      <c r="H692" s="79" t="s">
        <v>1231</v>
      </c>
      <c r="I692" s="81">
        <f>AVERAGE(I700:I703)</f>
        <v>6597.297950684484</v>
      </c>
      <c r="J692" s="81">
        <f>AVERAGE(J700:J703)</f>
        <v>6861.8674290043655</v>
      </c>
      <c r="K692" s="81">
        <f t="shared" ref="K692:AK692" si="120">AVERAGE(K700:K703)</f>
        <v>6952.3015644731313</v>
      </c>
      <c r="L692" s="81">
        <f t="shared" si="120"/>
        <v>7232.5463188660924</v>
      </c>
      <c r="M692" s="81">
        <f t="shared" si="120"/>
        <v>7454.1785485968758</v>
      </c>
      <c r="N692" s="81">
        <f t="shared" si="120"/>
        <v>7905.5777124352917</v>
      </c>
      <c r="O692" s="81">
        <f t="shared" si="120"/>
        <v>8620.4471069732554</v>
      </c>
      <c r="P692" s="81">
        <f t="shared" si="120"/>
        <v>8400.680319572708</v>
      </c>
      <c r="Q692" s="81">
        <f t="shared" si="120"/>
        <v>8529.6820648292687</v>
      </c>
      <c r="R692" s="81">
        <f t="shared" si="120"/>
        <v>8389.960837796616</v>
      </c>
      <c r="S692" s="81">
        <f t="shared" si="120"/>
        <v>8656.4728003104283</v>
      </c>
      <c r="T692" s="81">
        <f t="shared" si="120"/>
        <v>8961.4118825619062</v>
      </c>
      <c r="U692" s="81">
        <f t="shared" si="120"/>
        <v>9840.2028121171097</v>
      </c>
      <c r="V692" s="81">
        <f t="shared" si="120"/>
        <v>9328.0046207584855</v>
      </c>
      <c r="W692" s="81">
        <f t="shared" si="120"/>
        <v>9804.7010644588991</v>
      </c>
      <c r="X692" s="81">
        <f t="shared" si="120"/>
        <v>10412.635533509947</v>
      </c>
      <c r="Y692" s="81">
        <f t="shared" si="120"/>
        <v>10387.422194971188</v>
      </c>
      <c r="Z692" s="81">
        <f t="shared" si="120"/>
        <v>10534.456574097883</v>
      </c>
      <c r="AA692" s="81">
        <f t="shared" si="120"/>
        <v>9386.7851609351364</v>
      </c>
      <c r="AB692" s="81">
        <f t="shared" si="120"/>
        <v>10222.435720830199</v>
      </c>
      <c r="AC692" s="81">
        <f t="shared" si="120"/>
        <v>10958.361269557419</v>
      </c>
      <c r="AD692" s="81" t="e">
        <f t="shared" si="120"/>
        <v>#DIV/0!</v>
      </c>
      <c r="AE692" s="81" t="e">
        <f t="shared" si="120"/>
        <v>#DIV/0!</v>
      </c>
      <c r="AF692" s="81" t="e">
        <f t="shared" si="120"/>
        <v>#DIV/0!</v>
      </c>
      <c r="AG692" s="81" t="e">
        <f t="shared" si="120"/>
        <v>#DIV/0!</v>
      </c>
      <c r="AH692" s="81" t="e">
        <f t="shared" si="120"/>
        <v>#DIV/0!</v>
      </c>
      <c r="AI692" s="81" t="e">
        <f t="shared" si="120"/>
        <v>#DIV/0!</v>
      </c>
      <c r="AJ692" s="81" t="e">
        <f t="shared" si="120"/>
        <v>#DIV/0!</v>
      </c>
      <c r="AK692" s="81" t="e">
        <f t="shared" si="120"/>
        <v>#DIV/0!</v>
      </c>
    </row>
    <row r="693" spans="2:37" s="79" customFormat="1" x14ac:dyDescent="0.25">
      <c r="B693" s="59"/>
      <c r="E693" s="79" t="s">
        <v>1233</v>
      </c>
      <c r="H693" s="79" t="s">
        <v>1231</v>
      </c>
      <c r="I693" s="81">
        <f>AVERAGE(I695:I697)</f>
        <v>5510.809696892401</v>
      </c>
      <c r="J693" s="81">
        <f>AVERAGE(I706,J695:J697)</f>
        <v>5930.0403768067918</v>
      </c>
      <c r="K693" s="81">
        <f t="shared" ref="K693:AK693" si="121">AVERAGE(J706,K695:K697)</f>
        <v>6094.2635909192595</v>
      </c>
      <c r="L693" s="81">
        <f t="shared" si="121"/>
        <v>6355.5831256817783</v>
      </c>
      <c r="M693" s="81">
        <f t="shared" si="121"/>
        <v>6641.8422854208238</v>
      </c>
      <c r="N693" s="81">
        <f t="shared" si="121"/>
        <v>7154.6979612941204</v>
      </c>
      <c r="O693" s="81">
        <f t="shared" si="121"/>
        <v>7639.743064007409</v>
      </c>
      <c r="P693" s="81">
        <f t="shared" si="121"/>
        <v>7878.8570093589187</v>
      </c>
      <c r="Q693" s="81">
        <f t="shared" si="121"/>
        <v>7347.9616665856302</v>
      </c>
      <c r="R693" s="81">
        <f t="shared" si="121"/>
        <v>7192.1439397871854</v>
      </c>
      <c r="S693" s="81">
        <f t="shared" si="121"/>
        <v>7490.4826111341108</v>
      </c>
      <c r="T693" s="81">
        <f t="shared" si="121"/>
        <v>7751.4166970186161</v>
      </c>
      <c r="U693" s="81">
        <f t="shared" si="121"/>
        <v>8392.7479344093845</v>
      </c>
      <c r="V693" s="81">
        <f t="shared" si="121"/>
        <v>8354.4944628992453</v>
      </c>
      <c r="W693" s="81">
        <f t="shared" si="121"/>
        <v>8524.2340485078021</v>
      </c>
      <c r="X693" s="81">
        <f t="shared" si="121"/>
        <v>8964.5696002755776</v>
      </c>
      <c r="Y693" s="81">
        <f t="shared" si="121"/>
        <v>9014.8019282326095</v>
      </c>
      <c r="Z693" s="81">
        <f t="shared" si="121"/>
        <v>9198.2403363127105</v>
      </c>
      <c r="AA693" s="81">
        <f t="shared" si="121"/>
        <v>9650.0654454337709</v>
      </c>
      <c r="AB693" s="81">
        <f t="shared" si="121"/>
        <v>8929.991062387644</v>
      </c>
      <c r="AC693" s="81">
        <f t="shared" si="121"/>
        <v>9707.4450083054817</v>
      </c>
      <c r="AD693" s="81" t="e">
        <f t="shared" si="121"/>
        <v>#DIV/0!</v>
      </c>
      <c r="AE693" s="81" t="e">
        <f t="shared" si="121"/>
        <v>#DIV/0!</v>
      </c>
      <c r="AF693" s="81" t="e">
        <f t="shared" si="121"/>
        <v>#DIV/0!</v>
      </c>
      <c r="AG693" s="81" t="e">
        <f t="shared" si="121"/>
        <v>#DIV/0!</v>
      </c>
      <c r="AH693" s="81" t="e">
        <f t="shared" si="121"/>
        <v>#DIV/0!</v>
      </c>
      <c r="AI693" s="81" t="e">
        <f t="shared" si="121"/>
        <v>#DIV/0!</v>
      </c>
      <c r="AJ693" s="81" t="e">
        <f t="shared" si="121"/>
        <v>#DIV/0!</v>
      </c>
      <c r="AK693" s="81" t="e">
        <f t="shared" si="121"/>
        <v>#DIV/0!</v>
      </c>
    </row>
    <row r="694" spans="2:37" s="79" customFormat="1" x14ac:dyDescent="0.25">
      <c r="B694" s="59"/>
      <c r="E694" s="79" t="s">
        <v>1234</v>
      </c>
      <c r="H694" s="79" t="s">
        <v>1231</v>
      </c>
      <c r="I694" s="81">
        <f>AVERAGE(I698:I699,I704:I705)</f>
        <v>5668.8470627821534</v>
      </c>
      <c r="J694" s="81">
        <f t="shared" ref="J694:AK694" si="122">AVERAGE(J698:J699,J704:J705)</f>
        <v>6047.1384861594997</v>
      </c>
      <c r="K694" s="81">
        <f t="shared" si="122"/>
        <v>6125.5488810158568</v>
      </c>
      <c r="L694" s="81">
        <f t="shared" si="122"/>
        <v>6479.9891890671888</v>
      </c>
      <c r="M694" s="81">
        <f t="shared" si="122"/>
        <v>6553.5231025284947</v>
      </c>
      <c r="N694" s="81">
        <f t="shared" si="122"/>
        <v>7052.181032988934</v>
      </c>
      <c r="O694" s="81">
        <f t="shared" si="122"/>
        <v>7677.6689265183686</v>
      </c>
      <c r="P694" s="81">
        <f t="shared" si="122"/>
        <v>7462.4772281748592</v>
      </c>
      <c r="Q694" s="81">
        <f t="shared" si="122"/>
        <v>7204.0150709986447</v>
      </c>
      <c r="R694" s="81">
        <f t="shared" si="122"/>
        <v>7019.0286576951512</v>
      </c>
      <c r="S694" s="81">
        <f t="shared" si="122"/>
        <v>7451.6195864872388</v>
      </c>
      <c r="T694" s="81">
        <f t="shared" si="122"/>
        <v>7813.4973994202446</v>
      </c>
      <c r="U694" s="81">
        <f t="shared" si="122"/>
        <v>8521.9968684896576</v>
      </c>
      <c r="V694" s="81">
        <f t="shared" si="122"/>
        <v>8111.5036776447123</v>
      </c>
      <c r="W694" s="81">
        <f t="shared" si="122"/>
        <v>8487.3324955647531</v>
      </c>
      <c r="X694" s="81">
        <f t="shared" si="122"/>
        <v>9108.0947099937985</v>
      </c>
      <c r="Y694" s="81">
        <f t="shared" si="122"/>
        <v>8984.863452373831</v>
      </c>
      <c r="Z694" s="81">
        <f t="shared" si="122"/>
        <v>9145.6134396160105</v>
      </c>
      <c r="AA694" s="81">
        <f t="shared" si="122"/>
        <v>8388.8974861873048</v>
      </c>
      <c r="AB694" s="81">
        <f t="shared" si="122"/>
        <v>8938.4828168733111</v>
      </c>
      <c r="AC694" s="81">
        <f t="shared" si="122"/>
        <v>9612.7847311940386</v>
      </c>
      <c r="AD694" s="81" t="e">
        <f t="shared" si="122"/>
        <v>#DIV/0!</v>
      </c>
      <c r="AE694" s="81" t="e">
        <f t="shared" si="122"/>
        <v>#DIV/0!</v>
      </c>
      <c r="AF694" s="81" t="e">
        <f t="shared" si="122"/>
        <v>#DIV/0!</v>
      </c>
      <c r="AG694" s="81" t="e">
        <f t="shared" si="122"/>
        <v>#DIV/0!</v>
      </c>
      <c r="AH694" s="81" t="e">
        <f t="shared" si="122"/>
        <v>#DIV/0!</v>
      </c>
      <c r="AI694" s="81" t="e">
        <f t="shared" si="122"/>
        <v>#DIV/0!</v>
      </c>
      <c r="AJ694" s="81" t="e">
        <f t="shared" si="122"/>
        <v>#DIV/0!</v>
      </c>
      <c r="AK694" s="81" t="e">
        <f t="shared" si="122"/>
        <v>#DIV/0!</v>
      </c>
    </row>
    <row r="695" spans="2:37" s="4" customFormat="1" x14ac:dyDescent="0.25">
      <c r="F695" s="4" t="s">
        <v>244</v>
      </c>
      <c r="H695" s="4" t="s">
        <v>1231</v>
      </c>
      <c r="I695" s="59">
        <f t="shared" ref="I695:AK695" si="123">I444</f>
        <v>5602.168927377048</v>
      </c>
      <c r="J695" s="59">
        <f t="shared" si="123"/>
        <v>5992.048133774455</v>
      </c>
      <c r="K695" s="59">
        <f t="shared" si="123"/>
        <v>6071.9484355268705</v>
      </c>
      <c r="L695" s="59">
        <f t="shared" si="123"/>
        <v>6384.1286365585565</v>
      </c>
      <c r="M695" s="59">
        <f t="shared" si="123"/>
        <v>6571.6469865308754</v>
      </c>
      <c r="N695" s="59">
        <f t="shared" si="123"/>
        <v>7235.2268124417897</v>
      </c>
      <c r="O695" s="59">
        <f t="shared" si="123"/>
        <v>7629.7212884278906</v>
      </c>
      <c r="P695" s="59">
        <f t="shared" si="123"/>
        <v>7895.2197684974399</v>
      </c>
      <c r="Q695" s="59">
        <f t="shared" si="123"/>
        <v>7295.2258113239404</v>
      </c>
      <c r="R695" s="59">
        <f t="shared" si="123"/>
        <v>7103.0690677853436</v>
      </c>
      <c r="S695" s="59">
        <f t="shared" si="123"/>
        <v>7501.0194740204679</v>
      </c>
      <c r="T695" s="59">
        <f t="shared" si="123"/>
        <v>7703.4154600579859</v>
      </c>
      <c r="U695" s="59">
        <f t="shared" si="123"/>
        <v>8507.3850425092642</v>
      </c>
      <c r="V695" s="59">
        <f t="shared" si="123"/>
        <v>8153.8315818363299</v>
      </c>
      <c r="W695" s="59">
        <f t="shared" si="123"/>
        <v>8661.8253400354806</v>
      </c>
      <c r="X695" s="59">
        <f t="shared" si="123"/>
        <v>9060.0227298348454</v>
      </c>
      <c r="Y695" s="59">
        <f t="shared" si="123"/>
        <v>8989.4285358218185</v>
      </c>
      <c r="Z695" s="59">
        <f t="shared" si="123"/>
        <v>9262.2284434730445</v>
      </c>
      <c r="AA695" s="59">
        <f t="shared" si="123"/>
        <v>9787.3812943628491</v>
      </c>
      <c r="AB695" s="59">
        <f t="shared" si="123"/>
        <v>8739.4238945010857</v>
      </c>
      <c r="AC695" s="59">
        <f t="shared" si="123"/>
        <v>9768.6132475499653</v>
      </c>
      <c r="AD695" s="59" t="e">
        <f t="shared" si="123"/>
        <v>#DIV/0!</v>
      </c>
      <c r="AE695" s="59" t="e">
        <f t="shared" si="123"/>
        <v>#DIV/0!</v>
      </c>
      <c r="AF695" s="59" t="e">
        <f t="shared" si="123"/>
        <v>#DIV/0!</v>
      </c>
      <c r="AG695" s="59" t="e">
        <f t="shared" si="123"/>
        <v>#DIV/0!</v>
      </c>
      <c r="AH695" s="59" t="e">
        <f t="shared" si="123"/>
        <v>#DIV/0!</v>
      </c>
      <c r="AI695" s="59" t="e">
        <f t="shared" si="123"/>
        <v>#DIV/0!</v>
      </c>
      <c r="AJ695" s="59" t="e">
        <f t="shared" si="123"/>
        <v>#DIV/0!</v>
      </c>
      <c r="AK695" s="59" t="e">
        <f t="shared" si="123"/>
        <v>#DIV/0!</v>
      </c>
    </row>
    <row r="696" spans="2:37" s="4" customFormat="1" x14ac:dyDescent="0.25">
      <c r="F696" s="4" t="s">
        <v>245</v>
      </c>
      <c r="H696" s="4" t="s">
        <v>1231</v>
      </c>
      <c r="I696" s="59">
        <f t="shared" ref="I696:AK696" si="124">I445</f>
        <v>5430.476363559068</v>
      </c>
      <c r="J696" s="59">
        <f t="shared" si="124"/>
        <v>5961.1439653172147</v>
      </c>
      <c r="K696" s="59">
        <f t="shared" si="124"/>
        <v>6052.4109022028915</v>
      </c>
      <c r="L696" s="59">
        <f t="shared" si="124"/>
        <v>6375.3742185207739</v>
      </c>
      <c r="M696" s="59">
        <f t="shared" si="124"/>
        <v>6648.2426481934635</v>
      </c>
      <c r="N696" s="59">
        <f t="shared" si="124"/>
        <v>7282.8026783200148</v>
      </c>
      <c r="O696" s="59">
        <f t="shared" si="124"/>
        <v>7713.5870719820032</v>
      </c>
      <c r="P696" s="59">
        <f t="shared" si="124"/>
        <v>7792.1227254866881</v>
      </c>
      <c r="Q696" s="59">
        <f t="shared" si="124"/>
        <v>7241.1108365623022</v>
      </c>
      <c r="R696" s="59">
        <f t="shared" si="124"/>
        <v>7042.3151219003375</v>
      </c>
      <c r="S696" s="59">
        <f t="shared" si="124"/>
        <v>7472.4696137519095</v>
      </c>
      <c r="T696" s="59">
        <f t="shared" si="124"/>
        <v>7714.4510716627956</v>
      </c>
      <c r="U696" s="59">
        <f t="shared" si="124"/>
        <v>8440.474748391618</v>
      </c>
      <c r="V696" s="59">
        <f t="shared" si="124"/>
        <v>8140.8203842315379</v>
      </c>
      <c r="W696" s="59">
        <f t="shared" si="124"/>
        <v>8541.55331164991</v>
      </c>
      <c r="X696" s="59">
        <f t="shared" si="124"/>
        <v>9016.6817118538947</v>
      </c>
      <c r="Y696" s="59">
        <f t="shared" si="124"/>
        <v>8839.7045422823066</v>
      </c>
      <c r="Z696" s="59">
        <f t="shared" si="124"/>
        <v>9134.3599940001714</v>
      </c>
      <c r="AA696" s="59">
        <f t="shared" si="124"/>
        <v>9642.5600237912677</v>
      </c>
      <c r="AB696" s="59">
        <f t="shared" si="124"/>
        <v>8777.0453716815518</v>
      </c>
      <c r="AC696" s="59">
        <f t="shared" si="124"/>
        <v>9771.8668439650719</v>
      </c>
      <c r="AD696" s="59" t="e">
        <f t="shared" si="124"/>
        <v>#DIV/0!</v>
      </c>
      <c r="AE696" s="59" t="e">
        <f t="shared" si="124"/>
        <v>#DIV/0!</v>
      </c>
      <c r="AF696" s="59" t="e">
        <f t="shared" si="124"/>
        <v>#DIV/0!</v>
      </c>
      <c r="AG696" s="59" t="e">
        <f t="shared" si="124"/>
        <v>#DIV/0!</v>
      </c>
      <c r="AH696" s="59" t="e">
        <f t="shared" si="124"/>
        <v>#DIV/0!</v>
      </c>
      <c r="AI696" s="59" t="e">
        <f t="shared" si="124"/>
        <v>#DIV/0!</v>
      </c>
      <c r="AJ696" s="59" t="e">
        <f t="shared" si="124"/>
        <v>#DIV/0!</v>
      </c>
      <c r="AK696" s="59" t="e">
        <f t="shared" si="124"/>
        <v>#DIV/0!</v>
      </c>
    </row>
    <row r="697" spans="2:37" s="4" customFormat="1" x14ac:dyDescent="0.25">
      <c r="F697" s="4" t="s">
        <v>246</v>
      </c>
      <c r="H697" s="4" t="s">
        <v>1231</v>
      </c>
      <c r="I697" s="59">
        <f t="shared" ref="I697:AK697" si="125">I446</f>
        <v>5499.7837997410879</v>
      </c>
      <c r="J697" s="59">
        <f t="shared" si="125"/>
        <v>5965.4486494598877</v>
      </c>
      <c r="K697" s="59">
        <f t="shared" si="125"/>
        <v>6146.7126420653858</v>
      </c>
      <c r="L697" s="59">
        <f t="shared" si="125"/>
        <v>6425.2602636152296</v>
      </c>
      <c r="M697" s="59">
        <f t="shared" si="125"/>
        <v>6687.35249542579</v>
      </c>
      <c r="N697" s="59">
        <f t="shared" si="125"/>
        <v>7326.1938018498076</v>
      </c>
      <c r="O697" s="59">
        <f t="shared" si="125"/>
        <v>7728.1141902024483</v>
      </c>
      <c r="P697" s="59">
        <f t="shared" si="125"/>
        <v>7812.1275641963639</v>
      </c>
      <c r="Q697" s="59">
        <f t="shared" si="125"/>
        <v>7157.4187445824919</v>
      </c>
      <c r="R697" s="59">
        <f t="shared" si="125"/>
        <v>6978.185612317473</v>
      </c>
      <c r="S697" s="59">
        <f t="shared" si="125"/>
        <v>7457.4596621467026</v>
      </c>
      <c r="T697" s="59">
        <f t="shared" si="125"/>
        <v>7731.678267167239</v>
      </c>
      <c r="U697" s="59">
        <f t="shared" si="125"/>
        <v>8421.1779346661278</v>
      </c>
      <c r="V697" s="59">
        <f t="shared" si="125"/>
        <v>8135.6680489021965</v>
      </c>
      <c r="W697" s="59">
        <f t="shared" si="125"/>
        <v>8527.0521880544038</v>
      </c>
      <c r="X697" s="59">
        <f t="shared" si="125"/>
        <v>9025.0663012231544</v>
      </c>
      <c r="Y697" s="59">
        <f t="shared" si="125"/>
        <v>8882.8457159378668</v>
      </c>
      <c r="Z697" s="59">
        <f t="shared" si="125"/>
        <v>9101.0887160366856</v>
      </c>
      <c r="AA697" s="59">
        <f t="shared" si="125"/>
        <v>9767.2701635895337</v>
      </c>
      <c r="AB697" s="59">
        <f t="shared" si="125"/>
        <v>8778.5626360941005</v>
      </c>
      <c r="AC697" s="59">
        <f t="shared" si="125"/>
        <v>9708.3569039154318</v>
      </c>
      <c r="AD697" s="59" t="e">
        <f t="shared" si="125"/>
        <v>#DIV/0!</v>
      </c>
      <c r="AE697" s="59" t="e">
        <f t="shared" si="125"/>
        <v>#DIV/0!</v>
      </c>
      <c r="AF697" s="59" t="e">
        <f t="shared" si="125"/>
        <v>#DIV/0!</v>
      </c>
      <c r="AG697" s="59" t="e">
        <f t="shared" si="125"/>
        <v>#DIV/0!</v>
      </c>
      <c r="AH697" s="59" t="e">
        <f t="shared" si="125"/>
        <v>#DIV/0!</v>
      </c>
      <c r="AI697" s="59" t="e">
        <f t="shared" si="125"/>
        <v>#DIV/0!</v>
      </c>
      <c r="AJ697" s="59" t="e">
        <f t="shared" si="125"/>
        <v>#DIV/0!</v>
      </c>
      <c r="AK697" s="59" t="e">
        <f t="shared" si="125"/>
        <v>#DIV/0!</v>
      </c>
    </row>
    <row r="698" spans="2:37" s="4" customFormat="1" x14ac:dyDescent="0.25">
      <c r="F698" s="4" t="s">
        <v>247</v>
      </c>
      <c r="H698" s="4" t="s">
        <v>1231</v>
      </c>
      <c r="I698" s="59">
        <f t="shared" ref="I698:AK698" si="126">I447</f>
        <v>5513.1289717721647</v>
      </c>
      <c r="J698" s="59">
        <f t="shared" si="126"/>
        <v>6053.9742188625514</v>
      </c>
      <c r="K698" s="59">
        <f t="shared" si="126"/>
        <v>6041.9271783359072</v>
      </c>
      <c r="L698" s="59">
        <f t="shared" si="126"/>
        <v>6374.8416164488663</v>
      </c>
      <c r="M698" s="59">
        <f t="shared" si="126"/>
        <v>6527.4294083283748</v>
      </c>
      <c r="N698" s="59">
        <f t="shared" si="126"/>
        <v>6822.7152782290395</v>
      </c>
      <c r="O698" s="59">
        <f t="shared" si="126"/>
        <v>7379.4616033491602</v>
      </c>
      <c r="P698" s="59">
        <f t="shared" si="126"/>
        <v>7337.5189620458277</v>
      </c>
      <c r="Q698" s="59">
        <f t="shared" si="126"/>
        <v>6848.2628275886618</v>
      </c>
      <c r="R698" s="59">
        <f t="shared" si="126"/>
        <v>6587.9119370074404</v>
      </c>
      <c r="S698" s="59">
        <f t="shared" si="126"/>
        <v>7175.2432488142786</v>
      </c>
      <c r="T698" s="59">
        <f t="shared" si="126"/>
        <v>7494.0684919450741</v>
      </c>
      <c r="U698" s="59">
        <f t="shared" si="126"/>
        <v>8234.5840621171083</v>
      </c>
      <c r="V698" s="59">
        <f t="shared" si="126"/>
        <v>7844.8926596806396</v>
      </c>
      <c r="W698" s="59">
        <f t="shared" si="126"/>
        <v>8195.4589296274389</v>
      </c>
      <c r="X698" s="59">
        <f t="shared" si="126"/>
        <v>8738.3236147905973</v>
      </c>
      <c r="Y698" s="59">
        <f t="shared" si="126"/>
        <v>8697.6870152140546</v>
      </c>
      <c r="Z698" s="59">
        <f t="shared" si="126"/>
        <v>8856.1351032827624</v>
      </c>
      <c r="AA698" s="59">
        <f t="shared" si="126"/>
        <v>7699.0500255608658</v>
      </c>
      <c r="AB698" s="59">
        <f t="shared" si="126"/>
        <v>8650.7314807926032</v>
      </c>
      <c r="AC698" s="59">
        <f t="shared" si="126"/>
        <v>9506.3909034986609</v>
      </c>
      <c r="AD698" s="59" t="e">
        <f t="shared" si="126"/>
        <v>#DIV/0!</v>
      </c>
      <c r="AE698" s="59" t="e">
        <f t="shared" si="126"/>
        <v>#DIV/0!</v>
      </c>
      <c r="AF698" s="59" t="e">
        <f t="shared" si="126"/>
        <v>#DIV/0!</v>
      </c>
      <c r="AG698" s="59" t="e">
        <f t="shared" si="126"/>
        <v>#DIV/0!</v>
      </c>
      <c r="AH698" s="59" t="e">
        <f t="shared" si="126"/>
        <v>#DIV/0!</v>
      </c>
      <c r="AI698" s="59" t="e">
        <f t="shared" si="126"/>
        <v>#DIV/0!</v>
      </c>
      <c r="AJ698" s="59" t="e">
        <f t="shared" si="126"/>
        <v>#DIV/0!</v>
      </c>
      <c r="AK698" s="59" t="e">
        <f t="shared" si="126"/>
        <v>#DIV/0!</v>
      </c>
    </row>
    <row r="699" spans="2:37" s="4" customFormat="1" x14ac:dyDescent="0.25">
      <c r="F699" s="4" t="s">
        <v>248</v>
      </c>
      <c r="H699" s="4" t="s">
        <v>1231</v>
      </c>
      <c r="I699" s="59">
        <f t="shared" ref="I699:AK699" si="127">I448</f>
        <v>6000.9935666667261</v>
      </c>
      <c r="J699" s="59">
        <f t="shared" si="127"/>
        <v>6359.656212846221</v>
      </c>
      <c r="K699" s="59">
        <f t="shared" si="127"/>
        <v>6327.6899116037621</v>
      </c>
      <c r="L699" s="59">
        <f t="shared" si="127"/>
        <v>6691.6120816123857</v>
      </c>
      <c r="M699" s="59">
        <f t="shared" si="127"/>
        <v>6770.6186153914005</v>
      </c>
      <c r="N699" s="59">
        <f t="shared" si="127"/>
        <v>7160.5890841943401</v>
      </c>
      <c r="O699" s="59">
        <f t="shared" si="127"/>
        <v>7912.2778992751792</v>
      </c>
      <c r="P699" s="59">
        <f t="shared" si="127"/>
        <v>7861.2813276372253</v>
      </c>
      <c r="Q699" s="59">
        <f t="shared" si="127"/>
        <v>7480.856770381708</v>
      </c>
      <c r="R699" s="59">
        <f t="shared" si="127"/>
        <v>7152.4344849217578</v>
      </c>
      <c r="S699" s="59">
        <f t="shared" si="127"/>
        <v>7547.6733490119477</v>
      </c>
      <c r="T699" s="59">
        <f t="shared" si="127"/>
        <v>7840.2573968065481</v>
      </c>
      <c r="U699" s="59">
        <f t="shared" si="127"/>
        <v>8700.8431307445571</v>
      </c>
      <c r="V699" s="59">
        <f t="shared" si="127"/>
        <v>8288.2034381237536</v>
      </c>
      <c r="W699" s="59">
        <f t="shared" si="127"/>
        <v>8795.0906268480176</v>
      </c>
      <c r="X699" s="59">
        <f t="shared" si="127"/>
        <v>9420.8443295191919</v>
      </c>
      <c r="Y699" s="59">
        <f t="shared" si="127"/>
        <v>9322.6823493050979</v>
      </c>
      <c r="Z699" s="59">
        <f t="shared" si="127"/>
        <v>9586.8397574355022</v>
      </c>
      <c r="AA699" s="59">
        <f t="shared" si="127"/>
        <v>8225.340062722431</v>
      </c>
      <c r="AB699" s="59">
        <f t="shared" si="127"/>
        <v>9170.0821133664631</v>
      </c>
      <c r="AC699" s="59">
        <f t="shared" si="127"/>
        <v>9767.4018923763506</v>
      </c>
      <c r="AD699" s="59" t="e">
        <f t="shared" si="127"/>
        <v>#DIV/0!</v>
      </c>
      <c r="AE699" s="59" t="e">
        <f t="shared" si="127"/>
        <v>#DIV/0!</v>
      </c>
      <c r="AF699" s="59" t="e">
        <f t="shared" si="127"/>
        <v>#DIV/0!</v>
      </c>
      <c r="AG699" s="59" t="e">
        <f t="shared" si="127"/>
        <v>#DIV/0!</v>
      </c>
      <c r="AH699" s="59" t="e">
        <f t="shared" si="127"/>
        <v>#DIV/0!</v>
      </c>
      <c r="AI699" s="59" t="e">
        <f t="shared" si="127"/>
        <v>#DIV/0!</v>
      </c>
      <c r="AJ699" s="59" t="e">
        <f t="shared" si="127"/>
        <v>#DIV/0!</v>
      </c>
      <c r="AK699" s="59" t="e">
        <f t="shared" si="127"/>
        <v>#DIV/0!</v>
      </c>
    </row>
    <row r="700" spans="2:37" s="4" customFormat="1" x14ac:dyDescent="0.25">
      <c r="F700" s="4" t="s">
        <v>249</v>
      </c>
      <c r="H700" s="4" t="s">
        <v>1231</v>
      </c>
      <c r="I700" s="59">
        <f t="shared" ref="I700:AK700" si="128">I449</f>
        <v>6737.13674091756</v>
      </c>
      <c r="J700" s="59">
        <f t="shared" si="128"/>
        <v>7051.6708239334603</v>
      </c>
      <c r="K700" s="59">
        <f t="shared" si="128"/>
        <v>7091.5634909499095</v>
      </c>
      <c r="L700" s="59">
        <f t="shared" si="128"/>
        <v>7416.1812467555901</v>
      </c>
      <c r="M700" s="59">
        <f t="shared" si="128"/>
        <v>7708.9788428895827</v>
      </c>
      <c r="N700" s="59">
        <f t="shared" si="128"/>
        <v>8015.6221597678032</v>
      </c>
      <c r="O700" s="59">
        <f t="shared" si="128"/>
        <v>8785.9414833791543</v>
      </c>
      <c r="P700" s="59">
        <f t="shared" si="128"/>
        <v>8628.0764889275488</v>
      </c>
      <c r="Q700" s="59">
        <f t="shared" si="128"/>
        <v>8550.8034893946078</v>
      </c>
      <c r="R700" s="59">
        <f t="shared" si="128"/>
        <v>8292.7770722949263</v>
      </c>
      <c r="S700" s="59">
        <f t="shared" si="128"/>
        <v>8733.8752439066393</v>
      </c>
      <c r="T700" s="59">
        <f t="shared" si="128"/>
        <v>8993.8724647626386</v>
      </c>
      <c r="U700" s="59">
        <f t="shared" si="128"/>
        <v>9904.9389640778936</v>
      </c>
      <c r="V700" s="59">
        <f t="shared" si="128"/>
        <v>9337.3880489021976</v>
      </c>
      <c r="W700" s="59">
        <f t="shared" si="128"/>
        <v>9876.9160555884082</v>
      </c>
      <c r="X700" s="59">
        <f t="shared" si="128"/>
        <v>10463.456019953779</v>
      </c>
      <c r="Y700" s="59">
        <f t="shared" si="128"/>
        <v>10452.882445016054</v>
      </c>
      <c r="Z700" s="59">
        <f t="shared" si="128"/>
        <v>10575.149862861063</v>
      </c>
      <c r="AA700" s="59">
        <f t="shared" si="128"/>
        <v>9074.5794893725815</v>
      </c>
      <c r="AB700" s="59">
        <f t="shared" si="128"/>
        <v>10322.63290465814</v>
      </c>
      <c r="AC700" s="59">
        <f t="shared" si="128"/>
        <v>11000.146613447771</v>
      </c>
      <c r="AD700" s="59" t="e">
        <f t="shared" si="128"/>
        <v>#DIV/0!</v>
      </c>
      <c r="AE700" s="59" t="e">
        <f t="shared" si="128"/>
        <v>#DIV/0!</v>
      </c>
      <c r="AF700" s="59" t="e">
        <f t="shared" si="128"/>
        <v>#DIV/0!</v>
      </c>
      <c r="AG700" s="59" t="e">
        <f t="shared" si="128"/>
        <v>#DIV/0!</v>
      </c>
      <c r="AH700" s="59" t="e">
        <f t="shared" si="128"/>
        <v>#DIV/0!</v>
      </c>
      <c r="AI700" s="59" t="e">
        <f t="shared" si="128"/>
        <v>#DIV/0!</v>
      </c>
      <c r="AJ700" s="59" t="e">
        <f t="shared" si="128"/>
        <v>#DIV/0!</v>
      </c>
      <c r="AK700" s="59" t="e">
        <f t="shared" si="128"/>
        <v>#DIV/0!</v>
      </c>
    </row>
    <row r="701" spans="2:37" s="4" customFormat="1" x14ac:dyDescent="0.25">
      <c r="F701" s="4" t="s">
        <v>250</v>
      </c>
      <c r="H701" s="4" t="s">
        <v>1231</v>
      </c>
      <c r="I701" s="59">
        <f t="shared" ref="I701:AK701" si="129">I450</f>
        <v>6637.7016687754931</v>
      </c>
      <c r="J701" s="59">
        <f t="shared" si="129"/>
        <v>6813.802753456448</v>
      </c>
      <c r="K701" s="59">
        <f t="shared" si="129"/>
        <v>6904.6135821523785</v>
      </c>
      <c r="L701" s="59">
        <f t="shared" si="129"/>
        <v>7172.5352991626605</v>
      </c>
      <c r="M701" s="59">
        <f t="shared" si="129"/>
        <v>7428.901929986996</v>
      </c>
      <c r="N701" s="59">
        <f t="shared" si="129"/>
        <v>7884.9614280763326</v>
      </c>
      <c r="O701" s="59">
        <f t="shared" si="129"/>
        <v>8567.9672269432613</v>
      </c>
      <c r="P701" s="59">
        <f t="shared" si="129"/>
        <v>8353.6799835512029</v>
      </c>
      <c r="Q701" s="59">
        <f t="shared" si="129"/>
        <v>8590.288626803469</v>
      </c>
      <c r="R701" s="59">
        <f t="shared" si="129"/>
        <v>8428.3214635012391</v>
      </c>
      <c r="S701" s="59">
        <f t="shared" si="129"/>
        <v>8693.6045057156498</v>
      </c>
      <c r="T701" s="59">
        <f t="shared" si="129"/>
        <v>8939.7429561374429</v>
      </c>
      <c r="U701" s="59">
        <f t="shared" si="129"/>
        <v>9898.4801405484795</v>
      </c>
      <c r="V701" s="59">
        <f t="shared" si="129"/>
        <v>9364.1442165668668</v>
      </c>
      <c r="W701" s="59">
        <f t="shared" si="129"/>
        <v>9897.0084269662912</v>
      </c>
      <c r="X701" s="59">
        <f t="shared" si="129"/>
        <v>10488.389732822276</v>
      </c>
      <c r="Y701" s="59">
        <f t="shared" si="129"/>
        <v>10460.865695599292</v>
      </c>
      <c r="Z701" s="59">
        <f t="shared" si="129"/>
        <v>10662.243100197136</v>
      </c>
      <c r="AA701" s="59">
        <f t="shared" si="129"/>
        <v>9392.7587496804899</v>
      </c>
      <c r="AB701" s="59">
        <f t="shared" si="129"/>
        <v>10358.80425452706</v>
      </c>
      <c r="AC701" s="59">
        <f t="shared" si="129"/>
        <v>11124.384258899318</v>
      </c>
      <c r="AD701" s="59" t="e">
        <f t="shared" si="129"/>
        <v>#DIV/0!</v>
      </c>
      <c r="AE701" s="59" t="e">
        <f t="shared" si="129"/>
        <v>#DIV/0!</v>
      </c>
      <c r="AF701" s="59" t="e">
        <f t="shared" si="129"/>
        <v>#DIV/0!</v>
      </c>
      <c r="AG701" s="59" t="e">
        <f t="shared" si="129"/>
        <v>#DIV/0!</v>
      </c>
      <c r="AH701" s="59" t="e">
        <f t="shared" si="129"/>
        <v>#DIV/0!</v>
      </c>
      <c r="AI701" s="59" t="e">
        <f t="shared" si="129"/>
        <v>#DIV/0!</v>
      </c>
      <c r="AJ701" s="59" t="e">
        <f t="shared" si="129"/>
        <v>#DIV/0!</v>
      </c>
      <c r="AK701" s="59" t="e">
        <f t="shared" si="129"/>
        <v>#DIV/0!</v>
      </c>
    </row>
    <row r="702" spans="2:37" s="4" customFormat="1" x14ac:dyDescent="0.25">
      <c r="F702" s="4" t="s">
        <v>251</v>
      </c>
      <c r="H702" s="4" t="s">
        <v>1231</v>
      </c>
      <c r="I702" s="59">
        <f t="shared" ref="I702:AK702" si="130">I451</f>
        <v>6634.1700372549622</v>
      </c>
      <c r="J702" s="59">
        <f t="shared" si="130"/>
        <v>6892.9901191633671</v>
      </c>
      <c r="K702" s="59">
        <f t="shared" si="130"/>
        <v>6999.9896169496278</v>
      </c>
      <c r="L702" s="59">
        <f t="shared" si="130"/>
        <v>7231.6000970501264</v>
      </c>
      <c r="M702" s="59">
        <f t="shared" si="130"/>
        <v>7429.1252617772207</v>
      </c>
      <c r="N702" s="59">
        <f t="shared" si="130"/>
        <v>7921.5084421773154</v>
      </c>
      <c r="O702" s="59">
        <f t="shared" si="130"/>
        <v>8646.9332354411363</v>
      </c>
      <c r="P702" s="59">
        <f t="shared" si="130"/>
        <v>8335.319499680234</v>
      </c>
      <c r="Q702" s="59">
        <f t="shared" si="130"/>
        <v>8616.5830743637616</v>
      </c>
      <c r="R702" s="59">
        <f t="shared" si="130"/>
        <v>8510.8985491833137</v>
      </c>
      <c r="S702" s="59">
        <f t="shared" si="130"/>
        <v>8755.8737443496884</v>
      </c>
      <c r="T702" s="59">
        <f t="shared" si="130"/>
        <v>9062.5001438007985</v>
      </c>
      <c r="U702" s="59">
        <f t="shared" si="130"/>
        <v>9942.3127385876978</v>
      </c>
      <c r="V702" s="59">
        <f t="shared" si="130"/>
        <v>9436.4748752495034</v>
      </c>
      <c r="W702" s="59">
        <f t="shared" si="130"/>
        <v>9887.0426079243043</v>
      </c>
      <c r="X702" s="59">
        <f t="shared" si="130"/>
        <v>10551.295318753169</v>
      </c>
      <c r="Y702" s="59">
        <f t="shared" si="130"/>
        <v>10619.994486650317</v>
      </c>
      <c r="Z702" s="59">
        <f t="shared" si="130"/>
        <v>10724.981953372762</v>
      </c>
      <c r="AA702" s="59">
        <f t="shared" si="130"/>
        <v>9558.7274277905617</v>
      </c>
      <c r="AB702" s="59">
        <f t="shared" si="130"/>
        <v>10331.149208796092</v>
      </c>
      <c r="AC702" s="59">
        <f t="shared" si="130"/>
        <v>11051.689253953995</v>
      </c>
      <c r="AD702" s="59" t="e">
        <f t="shared" si="130"/>
        <v>#DIV/0!</v>
      </c>
      <c r="AE702" s="59" t="e">
        <f t="shared" si="130"/>
        <v>#DIV/0!</v>
      </c>
      <c r="AF702" s="59" t="e">
        <f t="shared" si="130"/>
        <v>#DIV/0!</v>
      </c>
      <c r="AG702" s="59" t="e">
        <f t="shared" si="130"/>
        <v>#DIV/0!</v>
      </c>
      <c r="AH702" s="59" t="e">
        <f t="shared" si="130"/>
        <v>#DIV/0!</v>
      </c>
      <c r="AI702" s="59" t="e">
        <f t="shared" si="130"/>
        <v>#DIV/0!</v>
      </c>
      <c r="AJ702" s="59" t="e">
        <f t="shared" si="130"/>
        <v>#DIV/0!</v>
      </c>
      <c r="AK702" s="59" t="e">
        <f t="shared" si="130"/>
        <v>#DIV/0!</v>
      </c>
    </row>
    <row r="703" spans="2:37" s="4" customFormat="1" x14ac:dyDescent="0.25">
      <c r="F703" s="4" t="s">
        <v>252</v>
      </c>
      <c r="H703" s="4" t="s">
        <v>1231</v>
      </c>
      <c r="I703" s="59">
        <f t="shared" ref="I703:AK703" si="131">I452</f>
        <v>6380.1833557899208</v>
      </c>
      <c r="J703" s="59">
        <f t="shared" si="131"/>
        <v>6689.0060194641846</v>
      </c>
      <c r="K703" s="59">
        <f t="shared" si="131"/>
        <v>6813.0395678406076</v>
      </c>
      <c r="L703" s="59">
        <f t="shared" si="131"/>
        <v>7109.8686324959926</v>
      </c>
      <c r="M703" s="59">
        <f t="shared" si="131"/>
        <v>7249.7081597337037</v>
      </c>
      <c r="N703" s="59">
        <f t="shared" si="131"/>
        <v>7800.2188197197156</v>
      </c>
      <c r="O703" s="59">
        <f t="shared" si="131"/>
        <v>8480.9464821294659</v>
      </c>
      <c r="P703" s="59">
        <f t="shared" si="131"/>
        <v>8285.6453061318498</v>
      </c>
      <c r="Q703" s="59">
        <f t="shared" si="131"/>
        <v>8361.0530687552364</v>
      </c>
      <c r="R703" s="59">
        <f t="shared" si="131"/>
        <v>8327.8462662069887</v>
      </c>
      <c r="S703" s="59">
        <f t="shared" si="131"/>
        <v>8442.5377072697356</v>
      </c>
      <c r="T703" s="59">
        <f t="shared" si="131"/>
        <v>8849.5319655467483</v>
      </c>
      <c r="U703" s="59">
        <f t="shared" si="131"/>
        <v>9615.0794052543642</v>
      </c>
      <c r="V703" s="59">
        <f t="shared" si="131"/>
        <v>9174.0113423153707</v>
      </c>
      <c r="W703" s="59">
        <f t="shared" si="131"/>
        <v>9557.8371673565925</v>
      </c>
      <c r="X703" s="59">
        <f t="shared" si="131"/>
        <v>10147.401062510567</v>
      </c>
      <c r="Y703" s="59">
        <f t="shared" si="131"/>
        <v>10015.94615261909</v>
      </c>
      <c r="Z703" s="59">
        <f t="shared" si="131"/>
        <v>10175.451379960572</v>
      </c>
      <c r="AA703" s="59">
        <f t="shared" si="131"/>
        <v>9521.0749768969126</v>
      </c>
      <c r="AB703" s="59">
        <f t="shared" si="131"/>
        <v>9877.156515339504</v>
      </c>
      <c r="AC703" s="59">
        <f t="shared" si="131"/>
        <v>10657.224951928594</v>
      </c>
      <c r="AD703" s="59" t="e">
        <f t="shared" si="131"/>
        <v>#DIV/0!</v>
      </c>
      <c r="AE703" s="59" t="e">
        <f t="shared" si="131"/>
        <v>#DIV/0!</v>
      </c>
      <c r="AF703" s="59" t="e">
        <f t="shared" si="131"/>
        <v>#DIV/0!</v>
      </c>
      <c r="AG703" s="59" t="e">
        <f t="shared" si="131"/>
        <v>#DIV/0!</v>
      </c>
      <c r="AH703" s="59" t="e">
        <f t="shared" si="131"/>
        <v>#DIV/0!</v>
      </c>
      <c r="AI703" s="59" t="e">
        <f t="shared" si="131"/>
        <v>#DIV/0!</v>
      </c>
      <c r="AJ703" s="59" t="e">
        <f t="shared" si="131"/>
        <v>#DIV/0!</v>
      </c>
      <c r="AK703" s="59" t="e">
        <f t="shared" si="131"/>
        <v>#DIV/0!</v>
      </c>
    </row>
    <row r="704" spans="2:37" s="4" customFormat="1" x14ac:dyDescent="0.25">
      <c r="F704" s="4" t="s">
        <v>253</v>
      </c>
      <c r="H704" s="4" t="s">
        <v>1231</v>
      </c>
      <c r="I704" s="59">
        <f t="shared" ref="I704:AK704" si="132">I453</f>
        <v>5715.23441017394</v>
      </c>
      <c r="J704" s="59">
        <f t="shared" si="132"/>
        <v>6022.5724139635404</v>
      </c>
      <c r="K704" s="59">
        <f t="shared" si="132"/>
        <v>6266.6171600954131</v>
      </c>
      <c r="L704" s="59">
        <f t="shared" si="132"/>
        <v>6627.8324756810416</v>
      </c>
      <c r="M704" s="59">
        <f t="shared" si="132"/>
        <v>6631.4561261380441</v>
      </c>
      <c r="N704" s="59">
        <f t="shared" si="132"/>
        <v>7322.8376383564046</v>
      </c>
      <c r="O704" s="59">
        <f t="shared" si="132"/>
        <v>7944.5870719820032</v>
      </c>
      <c r="P704" s="59">
        <f t="shared" si="132"/>
        <v>7634.9738007555043</v>
      </c>
      <c r="Q704" s="59">
        <f t="shared" si="132"/>
        <v>7628.5219414417188</v>
      </c>
      <c r="R704" s="59">
        <f t="shared" si="132"/>
        <v>7593.7991974358501</v>
      </c>
      <c r="S704" s="59">
        <f t="shared" si="132"/>
        <v>7874.6034151287768</v>
      </c>
      <c r="T704" s="59">
        <f t="shared" si="132"/>
        <v>8417.8713539419387</v>
      </c>
      <c r="U704" s="59">
        <f t="shared" si="132"/>
        <v>9075.4249934896579</v>
      </c>
      <c r="V704" s="59">
        <f t="shared" si="132"/>
        <v>8627.4654141716601</v>
      </c>
      <c r="W704" s="59">
        <f t="shared" si="132"/>
        <v>8944.5481076286196</v>
      </c>
      <c r="X704" s="59">
        <f t="shared" si="132"/>
        <v>9577.6248943126066</v>
      </c>
      <c r="Y704" s="59">
        <f t="shared" si="132"/>
        <v>9412.5313652768637</v>
      </c>
      <c r="Z704" s="59">
        <f t="shared" si="132"/>
        <v>9579.831734807578</v>
      </c>
      <c r="AA704" s="59">
        <f t="shared" si="132"/>
        <v>9138.5033966456303</v>
      </c>
      <c r="AB704" s="59">
        <f t="shared" si="132"/>
        <v>9385.969967762534</v>
      </c>
      <c r="AC704" s="59">
        <f t="shared" si="132"/>
        <v>10051.381663681415</v>
      </c>
      <c r="AD704" s="59" t="e">
        <f t="shared" si="132"/>
        <v>#DIV/0!</v>
      </c>
      <c r="AE704" s="59" t="e">
        <f t="shared" si="132"/>
        <v>#DIV/0!</v>
      </c>
      <c r="AF704" s="59" t="e">
        <f t="shared" si="132"/>
        <v>#DIV/0!</v>
      </c>
      <c r="AG704" s="59" t="e">
        <f t="shared" si="132"/>
        <v>#DIV/0!</v>
      </c>
      <c r="AH704" s="59" t="e">
        <f t="shared" si="132"/>
        <v>#DIV/0!</v>
      </c>
      <c r="AI704" s="59" t="e">
        <f t="shared" si="132"/>
        <v>#DIV/0!</v>
      </c>
      <c r="AJ704" s="59" t="e">
        <f t="shared" si="132"/>
        <v>#DIV/0!</v>
      </c>
      <c r="AK704" s="59" t="e">
        <f t="shared" si="132"/>
        <v>#DIV/0!</v>
      </c>
    </row>
    <row r="705" spans="2:37" s="4" customFormat="1" x14ac:dyDescent="0.25">
      <c r="F705" s="4" t="s">
        <v>254</v>
      </c>
      <c r="H705" s="4" t="s">
        <v>1231</v>
      </c>
      <c r="I705" s="59">
        <f t="shared" ref="I705:AK705" si="133">I454</f>
        <v>5446.031302515783</v>
      </c>
      <c r="J705" s="59">
        <f t="shared" si="133"/>
        <v>5752.3510989656879</v>
      </c>
      <c r="K705" s="59">
        <f t="shared" si="133"/>
        <v>5865.9612740283446</v>
      </c>
      <c r="L705" s="59">
        <f t="shared" si="133"/>
        <v>6225.6705825264617</v>
      </c>
      <c r="M705" s="59">
        <f t="shared" si="133"/>
        <v>6284.5882602561578</v>
      </c>
      <c r="N705" s="59">
        <f t="shared" si="133"/>
        <v>6902.5821311759501</v>
      </c>
      <c r="O705" s="59">
        <f t="shared" si="133"/>
        <v>7474.3491314671319</v>
      </c>
      <c r="P705" s="59">
        <f t="shared" si="133"/>
        <v>7016.1348222608813</v>
      </c>
      <c r="Q705" s="59">
        <f t="shared" si="133"/>
        <v>6858.4187445824919</v>
      </c>
      <c r="R705" s="59">
        <f t="shared" si="133"/>
        <v>6741.9690114155565</v>
      </c>
      <c r="S705" s="59">
        <f t="shared" si="133"/>
        <v>7208.9583329939524</v>
      </c>
      <c r="T705" s="59">
        <f t="shared" si="133"/>
        <v>7501.7923549874158</v>
      </c>
      <c r="U705" s="59">
        <f t="shared" si="133"/>
        <v>8077.1352876073042</v>
      </c>
      <c r="V705" s="59">
        <f t="shared" si="133"/>
        <v>7685.453198602796</v>
      </c>
      <c r="W705" s="59">
        <f t="shared" si="133"/>
        <v>8014.2323181549364</v>
      </c>
      <c r="X705" s="59">
        <f t="shared" si="133"/>
        <v>8695.5860013527981</v>
      </c>
      <c r="Y705" s="59">
        <f t="shared" si="133"/>
        <v>8506.553079699308</v>
      </c>
      <c r="Z705" s="59">
        <f t="shared" si="133"/>
        <v>8559.6471629382013</v>
      </c>
      <c r="AA705" s="59">
        <f t="shared" si="133"/>
        <v>8492.6964598202885</v>
      </c>
      <c r="AB705" s="59">
        <f t="shared" si="133"/>
        <v>8547.1477055716477</v>
      </c>
      <c r="AC705" s="59">
        <f t="shared" si="133"/>
        <v>9125.9644652197312</v>
      </c>
      <c r="AD705" s="59" t="e">
        <f t="shared" si="133"/>
        <v>#DIV/0!</v>
      </c>
      <c r="AE705" s="59" t="e">
        <f t="shared" si="133"/>
        <v>#DIV/0!</v>
      </c>
      <c r="AF705" s="59" t="e">
        <f t="shared" si="133"/>
        <v>#DIV/0!</v>
      </c>
      <c r="AG705" s="59" t="e">
        <f t="shared" si="133"/>
        <v>#DIV/0!</v>
      </c>
      <c r="AH705" s="59" t="e">
        <f t="shared" si="133"/>
        <v>#DIV/0!</v>
      </c>
      <c r="AI705" s="59" t="e">
        <f t="shared" si="133"/>
        <v>#DIV/0!</v>
      </c>
      <c r="AJ705" s="59" t="e">
        <f t="shared" si="133"/>
        <v>#DIV/0!</v>
      </c>
      <c r="AK705" s="59" t="e">
        <f t="shared" si="133"/>
        <v>#DIV/0!</v>
      </c>
    </row>
    <row r="706" spans="2:37" s="4" customFormat="1" x14ac:dyDescent="0.25">
      <c r="F706" s="4" t="s">
        <v>255</v>
      </c>
      <c r="H706" s="4" t="s">
        <v>1231</v>
      </c>
      <c r="I706" s="59">
        <f t="shared" ref="I706:AK706" si="134">I455</f>
        <v>5801.520758675606</v>
      </c>
      <c r="J706" s="59">
        <f t="shared" si="134"/>
        <v>6105.9823838818902</v>
      </c>
      <c r="K706" s="59">
        <f t="shared" si="134"/>
        <v>6237.569384032553</v>
      </c>
      <c r="L706" s="59">
        <f t="shared" si="134"/>
        <v>6660.1270115331645</v>
      </c>
      <c r="M706" s="59">
        <f t="shared" si="134"/>
        <v>6774.5685525648678</v>
      </c>
      <c r="N706" s="59">
        <f t="shared" si="134"/>
        <v>7487.549705417292</v>
      </c>
      <c r="O706" s="59">
        <f t="shared" si="134"/>
        <v>8015.9579792551849</v>
      </c>
      <c r="P706" s="59">
        <f t="shared" si="134"/>
        <v>7698.0912738737843</v>
      </c>
      <c r="Q706" s="59">
        <f t="shared" si="134"/>
        <v>7645.0059571455877</v>
      </c>
      <c r="R706" s="59">
        <f t="shared" si="134"/>
        <v>7530.9816946173614</v>
      </c>
      <c r="S706" s="59">
        <f t="shared" si="134"/>
        <v>7856.1219891864403</v>
      </c>
      <c r="T706" s="59">
        <f t="shared" si="134"/>
        <v>8201.9540120705315</v>
      </c>
      <c r="U706" s="59">
        <f t="shared" si="134"/>
        <v>8987.6578366269132</v>
      </c>
      <c r="V706" s="59">
        <f t="shared" si="134"/>
        <v>8366.5053542914193</v>
      </c>
      <c r="W706" s="59">
        <f t="shared" si="134"/>
        <v>8756.5076581904177</v>
      </c>
      <c r="X706" s="59">
        <f t="shared" si="134"/>
        <v>9347.2289188884479</v>
      </c>
      <c r="Y706" s="59">
        <f t="shared" si="134"/>
        <v>9295.2841917409423</v>
      </c>
      <c r="Z706" s="59">
        <f t="shared" si="134"/>
        <v>9403.0502999914297</v>
      </c>
      <c r="AA706" s="59">
        <f t="shared" si="134"/>
        <v>9424.9323472738379</v>
      </c>
      <c r="AB706" s="59">
        <f t="shared" si="134"/>
        <v>9580.9430377914559</v>
      </c>
      <c r="AC706" s="59">
        <f t="shared" si="134"/>
        <v>10354.899421024096</v>
      </c>
      <c r="AD706" s="59" t="e">
        <f t="shared" si="134"/>
        <v>#DIV/0!</v>
      </c>
      <c r="AE706" s="59" t="e">
        <f t="shared" si="134"/>
        <v>#DIV/0!</v>
      </c>
      <c r="AF706" s="59" t="e">
        <f t="shared" si="134"/>
        <v>#DIV/0!</v>
      </c>
      <c r="AG706" s="59" t="e">
        <f t="shared" si="134"/>
        <v>#DIV/0!</v>
      </c>
      <c r="AH706" s="59" t="e">
        <f t="shared" si="134"/>
        <v>#DIV/0!</v>
      </c>
      <c r="AI706" s="59" t="e">
        <f t="shared" si="134"/>
        <v>#DIV/0!</v>
      </c>
      <c r="AJ706" s="59" t="e">
        <f t="shared" si="134"/>
        <v>#DIV/0!</v>
      </c>
      <c r="AK706" s="59" t="e">
        <f t="shared" si="134"/>
        <v>#DIV/0!</v>
      </c>
    </row>
    <row r="707" spans="2:37" s="79" customFormat="1" x14ac:dyDescent="0.25">
      <c r="D707" s="79" t="s">
        <v>1241</v>
      </c>
      <c r="H707" s="79" t="s">
        <v>1231</v>
      </c>
      <c r="I707" s="81">
        <f t="shared" ref="I707:AK707" si="135">I429</f>
        <v>1783.8806926616767</v>
      </c>
      <c r="J707" s="81">
        <f t="shared" si="135"/>
        <v>1385.8262953710841</v>
      </c>
      <c r="K707" s="81">
        <f t="shared" si="135"/>
        <v>1310.8267737711049</v>
      </c>
      <c r="L707" s="81">
        <f t="shared" si="135"/>
        <v>1264.1906809307782</v>
      </c>
      <c r="M707" s="81">
        <f t="shared" si="135"/>
        <v>1450.2576328726047</v>
      </c>
      <c r="N707" s="81">
        <f t="shared" si="135"/>
        <v>1607.4011469231264</v>
      </c>
      <c r="O707" s="81">
        <f t="shared" si="135"/>
        <v>1438.2081875364495</v>
      </c>
      <c r="P707" s="81">
        <f t="shared" si="135"/>
        <v>1227.7317210105978</v>
      </c>
      <c r="Q707" s="81">
        <f t="shared" si="135"/>
        <v>1301.5812708794815</v>
      </c>
      <c r="R707" s="81">
        <f t="shared" si="135"/>
        <v>1342.8403131456525</v>
      </c>
      <c r="S707" s="81">
        <f t="shared" si="135"/>
        <v>1328.2132695062639</v>
      </c>
      <c r="T707" s="81">
        <f t="shared" si="135"/>
        <v>1340.6607833116748</v>
      </c>
      <c r="U707" s="81">
        <f t="shared" si="135"/>
        <v>1167.8943296987013</v>
      </c>
      <c r="V707" s="81">
        <f t="shared" si="135"/>
        <v>1376.6893163672639</v>
      </c>
      <c r="W707" s="81">
        <f t="shared" si="135"/>
        <v>1625.8351271437018</v>
      </c>
      <c r="X707" s="81">
        <f t="shared" si="135"/>
        <v>1428.4243607087149</v>
      </c>
      <c r="Y707" s="81">
        <f t="shared" si="135"/>
        <v>2132.6714721540943</v>
      </c>
      <c r="Z707" s="81">
        <f t="shared" si="135"/>
        <v>945.87053227050615</v>
      </c>
      <c r="AA707" s="81">
        <f t="shared" si="135"/>
        <v>1070.2522660689342</v>
      </c>
      <c r="AB707" s="81">
        <f t="shared" si="135"/>
        <v>1502.8328053928817</v>
      </c>
      <c r="AC707" s="81">
        <f t="shared" si="135"/>
        <v>1580.3811553142209</v>
      </c>
      <c r="AD707" s="81" t="e">
        <f t="shared" si="135"/>
        <v>#DIV/0!</v>
      </c>
      <c r="AE707" s="81" t="e">
        <f t="shared" si="135"/>
        <v>#DIV/0!</v>
      </c>
      <c r="AF707" s="81" t="e">
        <f t="shared" si="135"/>
        <v>#DIV/0!</v>
      </c>
      <c r="AG707" s="81" t="e">
        <f t="shared" si="135"/>
        <v>#DIV/0!</v>
      </c>
      <c r="AH707" s="81" t="e">
        <f t="shared" si="135"/>
        <v>#DIV/0!</v>
      </c>
      <c r="AI707" s="81" t="e">
        <f t="shared" si="135"/>
        <v>#DIV/0!</v>
      </c>
      <c r="AJ707" s="81" t="e">
        <f t="shared" si="135"/>
        <v>#DIV/0!</v>
      </c>
      <c r="AK707" s="81" t="e">
        <f t="shared" si="135"/>
        <v>#DIV/0!</v>
      </c>
    </row>
    <row r="708" spans="2:37" s="79" customFormat="1" x14ac:dyDescent="0.25">
      <c r="B708" s="59"/>
      <c r="E708" s="79" t="s">
        <v>1232</v>
      </c>
      <c r="H708" s="79" t="s">
        <v>1231</v>
      </c>
      <c r="I708" s="81">
        <f>AVERAGE(I716:I719)</f>
        <v>3952.8806926616762</v>
      </c>
      <c r="J708" s="81">
        <f>AVERAGE(J716:J719)</f>
        <v>3203.5762953710837</v>
      </c>
      <c r="K708" s="81">
        <f t="shared" ref="K708:AK708" si="136">AVERAGE(K716:K719)</f>
        <v>3132.2434404377709</v>
      </c>
      <c r="L708" s="81">
        <f t="shared" si="136"/>
        <v>3103.7740142641123</v>
      </c>
      <c r="M708" s="81">
        <f t="shared" si="136"/>
        <v>3341.7576328726045</v>
      </c>
      <c r="N708" s="81">
        <f t="shared" si="136"/>
        <v>3466.8178135897924</v>
      </c>
      <c r="O708" s="81">
        <f t="shared" si="136"/>
        <v>3259.5415208697832</v>
      </c>
      <c r="P708" s="81">
        <f t="shared" si="136"/>
        <v>2841.0650543439315</v>
      </c>
      <c r="Q708" s="81">
        <f t="shared" si="136"/>
        <v>2901.0812708794801</v>
      </c>
      <c r="R708" s="81">
        <f t="shared" si="136"/>
        <v>2987.4236464789865</v>
      </c>
      <c r="S708" s="81">
        <f t="shared" si="136"/>
        <v>2925.6299361729289</v>
      </c>
      <c r="T708" s="81">
        <f t="shared" si="136"/>
        <v>3099.3274499783402</v>
      </c>
      <c r="U708" s="81">
        <f t="shared" si="136"/>
        <v>2931.810996365366</v>
      </c>
      <c r="V708" s="81">
        <f t="shared" si="136"/>
        <v>3160.4393163672648</v>
      </c>
      <c r="W708" s="81">
        <f t="shared" si="136"/>
        <v>3559.5851271437023</v>
      </c>
      <c r="X708" s="81">
        <f t="shared" si="136"/>
        <v>3315.2576940420495</v>
      </c>
      <c r="Y708" s="81">
        <f t="shared" si="136"/>
        <v>3916.8381388207599</v>
      </c>
      <c r="Z708" s="81">
        <f t="shared" si="136"/>
        <v>2642.4538656038403</v>
      </c>
      <c r="AA708" s="81">
        <f t="shared" si="136"/>
        <v>1973.7522660689337</v>
      </c>
      <c r="AB708" s="81">
        <f t="shared" si="136"/>
        <v>2979.8328053928817</v>
      </c>
      <c r="AC708" s="81">
        <f t="shared" si="136"/>
        <v>3216.2978219808865</v>
      </c>
      <c r="AD708" s="81" t="e">
        <f t="shared" si="136"/>
        <v>#DIV/0!</v>
      </c>
      <c r="AE708" s="81" t="e">
        <f t="shared" si="136"/>
        <v>#DIV/0!</v>
      </c>
      <c r="AF708" s="81" t="e">
        <f t="shared" si="136"/>
        <v>#DIV/0!</v>
      </c>
      <c r="AG708" s="81" t="e">
        <f t="shared" si="136"/>
        <v>#DIV/0!</v>
      </c>
      <c r="AH708" s="81" t="e">
        <f t="shared" si="136"/>
        <v>#DIV/0!</v>
      </c>
      <c r="AI708" s="81" t="e">
        <f t="shared" si="136"/>
        <v>#DIV/0!</v>
      </c>
      <c r="AJ708" s="81" t="e">
        <f t="shared" si="136"/>
        <v>#DIV/0!</v>
      </c>
      <c r="AK708" s="81" t="e">
        <f t="shared" si="136"/>
        <v>#DIV/0!</v>
      </c>
    </row>
    <row r="709" spans="2:37" s="79" customFormat="1" x14ac:dyDescent="0.25">
      <c r="B709" s="59"/>
      <c r="E709" s="79" t="s">
        <v>1233</v>
      </c>
      <c r="H709" s="79" t="s">
        <v>1231</v>
      </c>
      <c r="I709" s="81">
        <f>AVERAGE(I711:I713)</f>
        <v>616.79735932834285</v>
      </c>
      <c r="J709" s="81">
        <f>AVERAGE(I722,J711:J713)</f>
        <v>783.15239469373182</v>
      </c>
      <c r="K709" s="81">
        <f t="shared" ref="K709:AK709" si="137">AVERAGE(J722,K711:K713)</f>
        <v>505.13915417109911</v>
      </c>
      <c r="L709" s="81">
        <f t="shared" si="137"/>
        <v>395.45387080752698</v>
      </c>
      <c r="M709" s="81">
        <f t="shared" si="137"/>
        <v>626.76172822048147</v>
      </c>
      <c r="N709" s="81">
        <f t="shared" si="137"/>
        <v>799.67776841049545</v>
      </c>
      <c r="O709" s="81">
        <f t="shared" si="137"/>
        <v>959.7980940497855</v>
      </c>
      <c r="P709" s="81">
        <f t="shared" si="137"/>
        <v>608.30917097539441</v>
      </c>
      <c r="Q709" s="81">
        <f t="shared" si="137"/>
        <v>719.57721674559298</v>
      </c>
      <c r="R709" s="81">
        <f t="shared" si="137"/>
        <v>794.5880525791099</v>
      </c>
      <c r="S709" s="81">
        <f t="shared" si="137"/>
        <v>742.26586374944327</v>
      </c>
      <c r="T709" s="81">
        <f t="shared" si="137"/>
        <v>616.52807152698733</v>
      </c>
      <c r="U709" s="81">
        <f t="shared" si="137"/>
        <v>612.94010976860955</v>
      </c>
      <c r="V709" s="81">
        <f t="shared" si="137"/>
        <v>649.78223636679013</v>
      </c>
      <c r="W709" s="81">
        <f t="shared" si="137"/>
        <v>846.61117444959291</v>
      </c>
      <c r="X709" s="81">
        <f t="shared" si="137"/>
        <v>883.46455231746268</v>
      </c>
      <c r="Y709" s="81">
        <f t="shared" si="137"/>
        <v>1332.1930276260823</v>
      </c>
      <c r="Z709" s="81">
        <f t="shared" si="137"/>
        <v>739.42493390807022</v>
      </c>
      <c r="AA709" s="81">
        <f t="shared" si="137"/>
        <v>1360.3651659526604</v>
      </c>
      <c r="AB709" s="81">
        <f t="shared" si="137"/>
        <v>1050.9376705618947</v>
      </c>
      <c r="AC709" s="81">
        <f t="shared" si="137"/>
        <v>1064.1190678338853</v>
      </c>
      <c r="AD709" s="81" t="e">
        <f t="shared" si="137"/>
        <v>#DIV/0!</v>
      </c>
      <c r="AE709" s="81" t="e">
        <f t="shared" si="137"/>
        <v>#DIV/0!</v>
      </c>
      <c r="AF709" s="81" t="e">
        <f t="shared" si="137"/>
        <v>#DIV/0!</v>
      </c>
      <c r="AG709" s="81" t="e">
        <f t="shared" si="137"/>
        <v>#DIV/0!</v>
      </c>
      <c r="AH709" s="81" t="e">
        <f t="shared" si="137"/>
        <v>#DIV/0!</v>
      </c>
      <c r="AI709" s="81" t="e">
        <f t="shared" si="137"/>
        <v>#DIV/0!</v>
      </c>
      <c r="AJ709" s="81" t="e">
        <f t="shared" si="137"/>
        <v>#DIV/0!</v>
      </c>
      <c r="AK709" s="81" t="e">
        <f t="shared" si="137"/>
        <v>#DIV/0!</v>
      </c>
    </row>
    <row r="710" spans="2:37" s="79" customFormat="1" x14ac:dyDescent="0.25">
      <c r="B710" s="59"/>
      <c r="E710" s="79" t="s">
        <v>1234</v>
      </c>
      <c r="H710" s="79" t="s">
        <v>1231</v>
      </c>
      <c r="I710" s="81">
        <f>AVERAGE(I714:I715,I720:I721)</f>
        <v>646.13069266167622</v>
      </c>
      <c r="J710" s="81">
        <f t="shared" ref="J710:AK710" si="138">AVERAGE(J714:J715,J720:J721)</f>
        <v>269.07629537108369</v>
      </c>
      <c r="K710" s="81">
        <f t="shared" si="138"/>
        <v>301.99344043777091</v>
      </c>
      <c r="L710" s="81">
        <f t="shared" si="138"/>
        <v>288.02401426411234</v>
      </c>
      <c r="M710" s="81">
        <f t="shared" si="138"/>
        <v>340.25763287260452</v>
      </c>
      <c r="N710" s="81">
        <f t="shared" si="138"/>
        <v>544.06781358979242</v>
      </c>
      <c r="O710" s="81">
        <f t="shared" si="138"/>
        <v>315.2915208697832</v>
      </c>
      <c r="P710" s="81">
        <f t="shared" si="138"/>
        <v>127.31505434393148</v>
      </c>
      <c r="Q710" s="81">
        <f t="shared" si="138"/>
        <v>211.83127087948014</v>
      </c>
      <c r="R710" s="81">
        <f t="shared" si="138"/>
        <v>207.42364647898648</v>
      </c>
      <c r="S710" s="81">
        <f t="shared" si="138"/>
        <v>365.37993617292886</v>
      </c>
      <c r="T710" s="81">
        <f t="shared" si="138"/>
        <v>272.32744997834016</v>
      </c>
      <c r="U710" s="81">
        <f t="shared" si="138"/>
        <v>19.560996365366009</v>
      </c>
      <c r="V710" s="81">
        <f t="shared" si="138"/>
        <v>254.18931636726484</v>
      </c>
      <c r="W710" s="81">
        <f t="shared" si="138"/>
        <v>430.33512714370227</v>
      </c>
      <c r="X710" s="81">
        <f t="shared" si="138"/>
        <v>214.25769404204948</v>
      </c>
      <c r="Y710" s="81">
        <f t="shared" si="138"/>
        <v>932.33813882075992</v>
      </c>
      <c r="Z710" s="81">
        <f t="shared" si="138"/>
        <v>-292.04613439615969</v>
      </c>
      <c r="AA710" s="81">
        <f t="shared" si="138"/>
        <v>-370.99773393106625</v>
      </c>
      <c r="AB710" s="81">
        <f t="shared" si="138"/>
        <v>450.83280539288171</v>
      </c>
      <c r="AC710" s="81">
        <f t="shared" si="138"/>
        <v>434.54782198088651</v>
      </c>
      <c r="AD710" s="81" t="e">
        <f t="shared" si="138"/>
        <v>#DIV/0!</v>
      </c>
      <c r="AE710" s="81" t="e">
        <f t="shared" si="138"/>
        <v>#DIV/0!</v>
      </c>
      <c r="AF710" s="81" t="e">
        <f t="shared" si="138"/>
        <v>#DIV/0!</v>
      </c>
      <c r="AG710" s="81" t="e">
        <f t="shared" si="138"/>
        <v>#DIV/0!</v>
      </c>
      <c r="AH710" s="81" t="e">
        <f t="shared" si="138"/>
        <v>#DIV/0!</v>
      </c>
      <c r="AI710" s="81" t="e">
        <f t="shared" si="138"/>
        <v>#DIV/0!</v>
      </c>
      <c r="AJ710" s="81" t="e">
        <f t="shared" si="138"/>
        <v>#DIV/0!</v>
      </c>
      <c r="AK710" s="81" t="e">
        <f t="shared" si="138"/>
        <v>#DIV/0!</v>
      </c>
    </row>
    <row r="711" spans="2:37" s="4" customFormat="1" x14ac:dyDescent="0.25">
      <c r="F711" s="4" t="s">
        <v>244</v>
      </c>
      <c r="H711" s="4" t="s">
        <v>1231</v>
      </c>
      <c r="I711" s="39">
        <f t="shared" ref="I711:AK711" si="139">I430</f>
        <v>544.13069266167622</v>
      </c>
      <c r="J711" s="39">
        <f t="shared" si="139"/>
        <v>711.82629537108369</v>
      </c>
      <c r="K711" s="39">
        <f t="shared" si="139"/>
        <v>512.24344043777091</v>
      </c>
      <c r="L711" s="39">
        <f t="shared" si="139"/>
        <v>292.52401426411234</v>
      </c>
      <c r="M711" s="39">
        <f t="shared" si="139"/>
        <v>579.50763287260452</v>
      </c>
      <c r="N711" s="39">
        <f t="shared" si="139"/>
        <v>833.06781358979242</v>
      </c>
      <c r="O711" s="39">
        <f t="shared" si="139"/>
        <v>996.0415208697832</v>
      </c>
      <c r="P711" s="39">
        <f t="shared" si="139"/>
        <v>961.06505434393148</v>
      </c>
      <c r="Q711" s="39">
        <f t="shared" si="139"/>
        <v>804.08127087948014</v>
      </c>
      <c r="R711" s="39">
        <f t="shared" si="139"/>
        <v>766.42364647898648</v>
      </c>
      <c r="S711" s="39">
        <f t="shared" si="139"/>
        <v>686.87993617292886</v>
      </c>
      <c r="T711" s="39">
        <f t="shared" si="139"/>
        <v>563.07744997834016</v>
      </c>
      <c r="U711" s="39">
        <f t="shared" si="139"/>
        <v>545.56099636536601</v>
      </c>
      <c r="V711" s="39">
        <f t="shared" si="139"/>
        <v>636.18931636726484</v>
      </c>
      <c r="W711" s="39">
        <f t="shared" si="139"/>
        <v>827.08512714370227</v>
      </c>
      <c r="X711" s="39">
        <f t="shared" si="139"/>
        <v>856.25769404204948</v>
      </c>
      <c r="Y711" s="39">
        <f t="shared" si="139"/>
        <v>1619.8381388207599</v>
      </c>
      <c r="Z711" s="39">
        <f t="shared" si="139"/>
        <v>626.95386560384031</v>
      </c>
      <c r="AA711" s="39">
        <f t="shared" si="139"/>
        <v>1902.5022660689337</v>
      </c>
      <c r="AB711" s="39">
        <f t="shared" si="139"/>
        <v>1025.0828053928817</v>
      </c>
      <c r="AC711" s="39">
        <f t="shared" si="139"/>
        <v>935.79782198088651</v>
      </c>
      <c r="AD711" s="39" t="e">
        <f t="shared" si="139"/>
        <v>#DIV/0!</v>
      </c>
      <c r="AE711" s="39" t="e">
        <f t="shared" si="139"/>
        <v>#DIV/0!</v>
      </c>
      <c r="AF711" s="39" t="e">
        <f t="shared" si="139"/>
        <v>#DIV/0!</v>
      </c>
      <c r="AG711" s="39" t="e">
        <f t="shared" si="139"/>
        <v>#DIV/0!</v>
      </c>
      <c r="AH711" s="39" t="e">
        <f t="shared" si="139"/>
        <v>#DIV/0!</v>
      </c>
      <c r="AI711" s="39" t="e">
        <f t="shared" si="139"/>
        <v>#DIV/0!</v>
      </c>
      <c r="AJ711" s="39" t="e">
        <f t="shared" si="139"/>
        <v>#DIV/0!</v>
      </c>
      <c r="AK711" s="39" t="e">
        <f t="shared" si="139"/>
        <v>#DIV/0!</v>
      </c>
    </row>
    <row r="712" spans="2:37" s="4" customFormat="1" x14ac:dyDescent="0.25">
      <c r="F712" s="4" t="s">
        <v>245</v>
      </c>
      <c r="H712" s="4" t="s">
        <v>1231</v>
      </c>
      <c r="I712" s="39">
        <f t="shared" ref="I712:AK712" si="140">I431</f>
        <v>697.13069266167622</v>
      </c>
      <c r="J712" s="39">
        <f t="shared" si="140"/>
        <v>685.82629537108369</v>
      </c>
      <c r="K712" s="39">
        <f t="shared" si="140"/>
        <v>450.24344043777091</v>
      </c>
      <c r="L712" s="39">
        <f t="shared" si="140"/>
        <v>306.52401426411234</v>
      </c>
      <c r="M712" s="39">
        <f t="shared" si="140"/>
        <v>582.50763287260452</v>
      </c>
      <c r="N712" s="39">
        <f t="shared" si="140"/>
        <v>738.06781358979242</v>
      </c>
      <c r="O712" s="39">
        <f t="shared" si="140"/>
        <v>1013.0415208697832</v>
      </c>
      <c r="P712" s="39">
        <f t="shared" si="140"/>
        <v>797.06505434393148</v>
      </c>
      <c r="Q712" s="39">
        <f t="shared" si="140"/>
        <v>859.08127087948014</v>
      </c>
      <c r="R712" s="39">
        <f t="shared" si="140"/>
        <v>825.42364647898648</v>
      </c>
      <c r="S712" s="39">
        <f t="shared" si="140"/>
        <v>739.87993617292886</v>
      </c>
      <c r="T712" s="39">
        <f t="shared" si="140"/>
        <v>598.07744997834016</v>
      </c>
      <c r="U712" s="39">
        <f t="shared" si="140"/>
        <v>502.56099636536601</v>
      </c>
      <c r="V712" s="39">
        <f t="shared" si="140"/>
        <v>624.18931636726484</v>
      </c>
      <c r="W712" s="39">
        <f t="shared" si="140"/>
        <v>817.08512714370227</v>
      </c>
      <c r="X712" s="39">
        <f t="shared" si="140"/>
        <v>839.25769404204948</v>
      </c>
      <c r="Y712" s="39">
        <f t="shared" si="140"/>
        <v>1635.8381388207599</v>
      </c>
      <c r="Z712" s="39">
        <f t="shared" si="140"/>
        <v>519.95386560384031</v>
      </c>
      <c r="AA712" s="39">
        <f t="shared" si="140"/>
        <v>1805.5022660689337</v>
      </c>
      <c r="AB712" s="39">
        <f t="shared" si="140"/>
        <v>915.08280539288171</v>
      </c>
      <c r="AC712" s="39">
        <f t="shared" si="140"/>
        <v>882.79782198088651</v>
      </c>
      <c r="AD712" s="39" t="e">
        <f t="shared" si="140"/>
        <v>#DIV/0!</v>
      </c>
      <c r="AE712" s="39" t="e">
        <f t="shared" si="140"/>
        <v>#DIV/0!</v>
      </c>
      <c r="AF712" s="39" t="e">
        <f t="shared" si="140"/>
        <v>#DIV/0!</v>
      </c>
      <c r="AG712" s="39" t="e">
        <f t="shared" si="140"/>
        <v>#DIV/0!</v>
      </c>
      <c r="AH712" s="39" t="e">
        <f t="shared" si="140"/>
        <v>#DIV/0!</v>
      </c>
      <c r="AI712" s="39" t="e">
        <f t="shared" si="140"/>
        <v>#DIV/0!</v>
      </c>
      <c r="AJ712" s="39" t="e">
        <f t="shared" si="140"/>
        <v>#DIV/0!</v>
      </c>
      <c r="AK712" s="39" t="e">
        <f t="shared" si="140"/>
        <v>#DIV/0!</v>
      </c>
    </row>
    <row r="713" spans="2:37" s="4" customFormat="1" x14ac:dyDescent="0.25">
      <c r="F713" s="4" t="s">
        <v>246</v>
      </c>
      <c r="H713" s="4" t="s">
        <v>1231</v>
      </c>
      <c r="I713" s="39">
        <f t="shared" ref="I713:AK713" si="141">I432</f>
        <v>609.13069266167622</v>
      </c>
      <c r="J713" s="39">
        <f t="shared" si="141"/>
        <v>574.82629537108369</v>
      </c>
      <c r="K713" s="39">
        <f t="shared" si="141"/>
        <v>291.24344043777091</v>
      </c>
      <c r="L713" s="39">
        <f t="shared" si="141"/>
        <v>243.52401426411234</v>
      </c>
      <c r="M713" s="39">
        <f t="shared" si="141"/>
        <v>584.50763287260452</v>
      </c>
      <c r="N713" s="39">
        <f t="shared" si="141"/>
        <v>699.06781358979242</v>
      </c>
      <c r="O713" s="39">
        <f t="shared" si="141"/>
        <v>855.0415208697832</v>
      </c>
      <c r="P713" s="39">
        <f t="shared" si="141"/>
        <v>580.06505434393148</v>
      </c>
      <c r="Q713" s="39">
        <f t="shared" si="141"/>
        <v>694.08127087948014</v>
      </c>
      <c r="R713" s="39">
        <f t="shared" si="141"/>
        <v>776.42364647898648</v>
      </c>
      <c r="S713" s="39">
        <f t="shared" si="141"/>
        <v>575.87993617292886</v>
      </c>
      <c r="T713" s="39">
        <f t="shared" si="141"/>
        <v>533.07744997834016</v>
      </c>
      <c r="U713" s="39">
        <f t="shared" si="141"/>
        <v>496.56099636536601</v>
      </c>
      <c r="V713" s="39">
        <f t="shared" si="141"/>
        <v>674.18931636726484</v>
      </c>
      <c r="W713" s="39">
        <f t="shared" si="141"/>
        <v>815.08512714370227</v>
      </c>
      <c r="X713" s="39">
        <f t="shared" si="141"/>
        <v>747.25769404204948</v>
      </c>
      <c r="Y713" s="39">
        <f t="shared" si="141"/>
        <v>1492.8381388207599</v>
      </c>
      <c r="Z713" s="39">
        <f t="shared" si="141"/>
        <v>363.95386560384031</v>
      </c>
      <c r="AA713" s="39">
        <f t="shared" si="141"/>
        <v>1295.5022660689337</v>
      </c>
      <c r="AB713" s="39">
        <f t="shared" si="141"/>
        <v>835.08280539288171</v>
      </c>
      <c r="AC713" s="39">
        <f t="shared" si="141"/>
        <v>901.79782198088651</v>
      </c>
      <c r="AD713" s="39" t="e">
        <f t="shared" si="141"/>
        <v>#DIV/0!</v>
      </c>
      <c r="AE713" s="39" t="e">
        <f t="shared" si="141"/>
        <v>#DIV/0!</v>
      </c>
      <c r="AF713" s="39" t="e">
        <f t="shared" si="141"/>
        <v>#DIV/0!</v>
      </c>
      <c r="AG713" s="39" t="e">
        <f t="shared" si="141"/>
        <v>#DIV/0!</v>
      </c>
      <c r="AH713" s="39" t="e">
        <f t="shared" si="141"/>
        <v>#DIV/0!</v>
      </c>
      <c r="AI713" s="39" t="e">
        <f t="shared" si="141"/>
        <v>#DIV/0!</v>
      </c>
      <c r="AJ713" s="39" t="e">
        <f t="shared" si="141"/>
        <v>#DIV/0!</v>
      </c>
      <c r="AK713" s="39" t="e">
        <f t="shared" si="141"/>
        <v>#DIV/0!</v>
      </c>
    </row>
    <row r="714" spans="2:37" s="4" customFormat="1" x14ac:dyDescent="0.25">
      <c r="B714" s="44"/>
      <c r="F714" s="4" t="s">
        <v>247</v>
      </c>
      <c r="H714" s="4" t="s">
        <v>1231</v>
      </c>
      <c r="I714" s="39">
        <f t="shared" ref="I714:AK714" si="142">I433</f>
        <v>123.13069266167622</v>
      </c>
      <c r="J714" s="39">
        <f t="shared" si="142"/>
        <v>-39.173704628916312</v>
      </c>
      <c r="K714" s="39">
        <f t="shared" si="142"/>
        <v>59.243440437770914</v>
      </c>
      <c r="L714" s="39">
        <f t="shared" si="142"/>
        <v>-99.475985735887662</v>
      </c>
      <c r="M714" s="39">
        <f t="shared" si="142"/>
        <v>-142.49236712739548</v>
      </c>
      <c r="N714" s="39">
        <f t="shared" si="142"/>
        <v>153.06781358979242</v>
      </c>
      <c r="O714" s="39">
        <f t="shared" si="142"/>
        <v>55.041520869783199</v>
      </c>
      <c r="P714" s="39">
        <f t="shared" si="142"/>
        <v>-208.93494565606852</v>
      </c>
      <c r="Q714" s="39">
        <f t="shared" si="142"/>
        <v>-80.918729120519856</v>
      </c>
      <c r="R714" s="39">
        <f t="shared" si="142"/>
        <v>-399.57635352101352</v>
      </c>
      <c r="S714" s="39">
        <f t="shared" si="142"/>
        <v>-139.12006382707114</v>
      </c>
      <c r="T714" s="39">
        <f t="shared" si="142"/>
        <v>-163.92255002165984</v>
      </c>
      <c r="U714" s="39">
        <f t="shared" si="142"/>
        <v>-378.43900363463399</v>
      </c>
      <c r="V714" s="39">
        <f t="shared" si="142"/>
        <v>-227.81068363273516</v>
      </c>
      <c r="W714" s="39">
        <f t="shared" si="142"/>
        <v>-222.91487285629773</v>
      </c>
      <c r="X714" s="39">
        <f t="shared" si="142"/>
        <v>-310.74230595795052</v>
      </c>
      <c r="Y714" s="39">
        <f t="shared" si="142"/>
        <v>590.83813882075992</v>
      </c>
      <c r="Z714" s="39">
        <f t="shared" si="142"/>
        <v>-808.04613439615969</v>
      </c>
      <c r="AA714" s="39">
        <f t="shared" si="142"/>
        <v>-1548.4977339310663</v>
      </c>
      <c r="AB714" s="39">
        <f t="shared" si="142"/>
        <v>69.08280539288171</v>
      </c>
      <c r="AC714" s="39">
        <f t="shared" si="142"/>
        <v>26.797821980886511</v>
      </c>
      <c r="AD714" s="39" t="e">
        <f t="shared" si="142"/>
        <v>#DIV/0!</v>
      </c>
      <c r="AE714" s="39" t="e">
        <f t="shared" si="142"/>
        <v>#DIV/0!</v>
      </c>
      <c r="AF714" s="39" t="e">
        <f t="shared" si="142"/>
        <v>#DIV/0!</v>
      </c>
      <c r="AG714" s="39" t="e">
        <f t="shared" si="142"/>
        <v>#DIV/0!</v>
      </c>
      <c r="AH714" s="39" t="e">
        <f t="shared" si="142"/>
        <v>#DIV/0!</v>
      </c>
      <c r="AI714" s="39" t="e">
        <f t="shared" si="142"/>
        <v>#DIV/0!</v>
      </c>
      <c r="AJ714" s="39" t="e">
        <f t="shared" si="142"/>
        <v>#DIV/0!</v>
      </c>
      <c r="AK714" s="39" t="e">
        <f t="shared" si="142"/>
        <v>#DIV/0!</v>
      </c>
    </row>
    <row r="715" spans="2:37" s="4" customFormat="1" x14ac:dyDescent="0.25">
      <c r="B715" s="44"/>
      <c r="F715" s="4" t="s">
        <v>248</v>
      </c>
      <c r="H715" s="4" t="s">
        <v>1231</v>
      </c>
      <c r="I715" s="39">
        <f t="shared" ref="I715:AK715" si="143">I434</f>
        <v>981.13069266167622</v>
      </c>
      <c r="J715" s="39">
        <f t="shared" si="143"/>
        <v>539.82629537108369</v>
      </c>
      <c r="K715" s="39">
        <f t="shared" si="143"/>
        <v>344.24344043777091</v>
      </c>
      <c r="L715" s="39">
        <f t="shared" si="143"/>
        <v>301.52401426411234</v>
      </c>
      <c r="M715" s="39">
        <f t="shared" si="143"/>
        <v>457.50763287260452</v>
      </c>
      <c r="N715" s="39">
        <f t="shared" si="143"/>
        <v>768.06781358979242</v>
      </c>
      <c r="O715" s="39">
        <f t="shared" si="143"/>
        <v>943.0415208697832</v>
      </c>
      <c r="P715" s="39">
        <f t="shared" si="143"/>
        <v>506.06505434393148</v>
      </c>
      <c r="Q715" s="39">
        <f t="shared" si="143"/>
        <v>652.08127087948014</v>
      </c>
      <c r="R715" s="39">
        <f t="shared" si="143"/>
        <v>379.42364647898648</v>
      </c>
      <c r="S715" s="39">
        <f t="shared" si="143"/>
        <v>380.87993617292886</v>
      </c>
      <c r="T715" s="39">
        <f t="shared" si="143"/>
        <v>295.07744997834016</v>
      </c>
      <c r="U715" s="39">
        <f t="shared" si="143"/>
        <v>82.560996365366009</v>
      </c>
      <c r="V715" s="39">
        <f t="shared" si="143"/>
        <v>562.18931636726484</v>
      </c>
      <c r="W715" s="39">
        <f t="shared" si="143"/>
        <v>725.08512714370227</v>
      </c>
      <c r="X715" s="39">
        <f t="shared" si="143"/>
        <v>590.25769404204948</v>
      </c>
      <c r="Y715" s="39">
        <f t="shared" si="143"/>
        <v>1383.8381388207599</v>
      </c>
      <c r="Z715" s="39">
        <f t="shared" si="143"/>
        <v>119.95386560384031</v>
      </c>
      <c r="AA715" s="39">
        <f t="shared" si="143"/>
        <v>-1144.4977339310663</v>
      </c>
      <c r="AB715" s="39">
        <f t="shared" si="143"/>
        <v>658.08280539288171</v>
      </c>
      <c r="AC715" s="39">
        <f t="shared" si="143"/>
        <v>341.79782198088651</v>
      </c>
      <c r="AD715" s="39" t="e">
        <f t="shared" si="143"/>
        <v>#DIV/0!</v>
      </c>
      <c r="AE715" s="39" t="e">
        <f t="shared" si="143"/>
        <v>#DIV/0!</v>
      </c>
      <c r="AF715" s="39" t="e">
        <f t="shared" si="143"/>
        <v>#DIV/0!</v>
      </c>
      <c r="AG715" s="39" t="e">
        <f t="shared" si="143"/>
        <v>#DIV/0!</v>
      </c>
      <c r="AH715" s="39" t="e">
        <f t="shared" si="143"/>
        <v>#DIV/0!</v>
      </c>
      <c r="AI715" s="39" t="e">
        <f t="shared" si="143"/>
        <v>#DIV/0!</v>
      </c>
      <c r="AJ715" s="39" t="e">
        <f t="shared" si="143"/>
        <v>#DIV/0!</v>
      </c>
      <c r="AK715" s="39" t="e">
        <f t="shared" si="143"/>
        <v>#DIV/0!</v>
      </c>
    </row>
    <row r="716" spans="2:37" s="4" customFormat="1" x14ac:dyDescent="0.25">
      <c r="B716" s="44"/>
      <c r="F716" s="4" t="s">
        <v>249</v>
      </c>
      <c r="H716" s="4" t="s">
        <v>1231</v>
      </c>
      <c r="I716" s="39">
        <f t="shared" ref="I716:AK716" si="144">I435</f>
        <v>3476.1306926616762</v>
      </c>
      <c r="J716" s="39">
        <f t="shared" si="144"/>
        <v>2798.8262953710837</v>
      </c>
      <c r="K716" s="39">
        <f t="shared" si="144"/>
        <v>2753.2434404377709</v>
      </c>
      <c r="L716" s="39">
        <f t="shared" si="144"/>
        <v>2611.5240142641123</v>
      </c>
      <c r="M716" s="39">
        <f t="shared" si="144"/>
        <v>2950.5076328726045</v>
      </c>
      <c r="N716" s="39">
        <f t="shared" si="144"/>
        <v>3122.0678135897924</v>
      </c>
      <c r="O716" s="39">
        <f t="shared" si="144"/>
        <v>3244.0415208697832</v>
      </c>
      <c r="P716" s="39">
        <f t="shared" si="144"/>
        <v>2577.0650543439315</v>
      </c>
      <c r="Q716" s="39">
        <f t="shared" si="144"/>
        <v>2623.0812708794801</v>
      </c>
      <c r="R716" s="39">
        <f t="shared" si="144"/>
        <v>2558.4236464789865</v>
      </c>
      <c r="S716" s="39">
        <f t="shared" si="144"/>
        <v>2650.8799361729289</v>
      </c>
      <c r="T716" s="39">
        <f t="shared" si="144"/>
        <v>2839.0774499783402</v>
      </c>
      <c r="U716" s="39">
        <f t="shared" si="144"/>
        <v>2689.560996365366</v>
      </c>
      <c r="V716" s="39">
        <f t="shared" si="144"/>
        <v>2929.1893163672648</v>
      </c>
      <c r="W716" s="39">
        <f t="shared" si="144"/>
        <v>3263.0851271437023</v>
      </c>
      <c r="X716" s="39">
        <f t="shared" si="144"/>
        <v>2967.2576940420495</v>
      </c>
      <c r="Y716" s="39">
        <f t="shared" si="144"/>
        <v>3648.8381388207599</v>
      </c>
      <c r="Z716" s="39">
        <f t="shared" si="144"/>
        <v>2344.9538656038403</v>
      </c>
      <c r="AA716" s="39">
        <f t="shared" si="144"/>
        <v>1135.5022660689337</v>
      </c>
      <c r="AB716" s="39">
        <f t="shared" si="144"/>
        <v>2684.0828053928817</v>
      </c>
      <c r="AC716" s="39">
        <f t="shared" si="144"/>
        <v>2882.7978219808865</v>
      </c>
      <c r="AD716" s="39" t="e">
        <f t="shared" si="144"/>
        <v>#DIV/0!</v>
      </c>
      <c r="AE716" s="39" t="e">
        <f t="shared" si="144"/>
        <v>#DIV/0!</v>
      </c>
      <c r="AF716" s="39" t="e">
        <f t="shared" si="144"/>
        <v>#DIV/0!</v>
      </c>
      <c r="AG716" s="39" t="e">
        <f t="shared" si="144"/>
        <v>#DIV/0!</v>
      </c>
      <c r="AH716" s="39" t="e">
        <f t="shared" si="144"/>
        <v>#DIV/0!</v>
      </c>
      <c r="AI716" s="39" t="e">
        <f t="shared" si="144"/>
        <v>#DIV/0!</v>
      </c>
      <c r="AJ716" s="39" t="e">
        <f t="shared" si="144"/>
        <v>#DIV/0!</v>
      </c>
      <c r="AK716" s="39" t="e">
        <f t="shared" si="144"/>
        <v>#DIV/0!</v>
      </c>
    </row>
    <row r="717" spans="2:37" s="4" customFormat="1" x14ac:dyDescent="0.25">
      <c r="B717" s="44"/>
      <c r="F717" s="4" t="s">
        <v>250</v>
      </c>
      <c r="H717" s="4" t="s">
        <v>1231</v>
      </c>
      <c r="I717" s="39">
        <f t="shared" ref="I717:AK717" si="145">I436</f>
        <v>4705.1306926616762</v>
      </c>
      <c r="J717" s="39">
        <f t="shared" si="145"/>
        <v>3941.8262953710837</v>
      </c>
      <c r="K717" s="39">
        <f t="shared" si="145"/>
        <v>3828.2434404377709</v>
      </c>
      <c r="L717" s="39">
        <f t="shared" si="145"/>
        <v>3770.5240142641123</v>
      </c>
      <c r="M717" s="39">
        <f t="shared" si="145"/>
        <v>4117.5076328726045</v>
      </c>
      <c r="N717" s="39">
        <f t="shared" si="145"/>
        <v>4094.0678135897924</v>
      </c>
      <c r="O717" s="39">
        <f t="shared" si="145"/>
        <v>3935.0415208697832</v>
      </c>
      <c r="P717" s="39">
        <f t="shared" si="145"/>
        <v>3406.0650543439315</v>
      </c>
      <c r="Q717" s="39">
        <f t="shared" si="145"/>
        <v>3465.0812708794801</v>
      </c>
      <c r="R717" s="39">
        <f t="shared" si="145"/>
        <v>3609.4236464789865</v>
      </c>
      <c r="S717" s="39">
        <f t="shared" si="145"/>
        <v>3436.8799361729289</v>
      </c>
      <c r="T717" s="39">
        <f t="shared" si="145"/>
        <v>3555.0774499783402</v>
      </c>
      <c r="U717" s="39">
        <f t="shared" si="145"/>
        <v>3491.560996365366</v>
      </c>
      <c r="V717" s="39">
        <f t="shared" si="145"/>
        <v>3744.1893163672648</v>
      </c>
      <c r="W717" s="39">
        <f t="shared" si="145"/>
        <v>4213.0851271437023</v>
      </c>
      <c r="X717" s="39">
        <f t="shared" si="145"/>
        <v>3992.2576940420495</v>
      </c>
      <c r="Y717" s="39">
        <f t="shared" si="145"/>
        <v>4636.8381388207599</v>
      </c>
      <c r="Z717" s="39">
        <f t="shared" si="145"/>
        <v>3248.9538656038403</v>
      </c>
      <c r="AA717" s="39">
        <f t="shared" si="145"/>
        <v>2210.5022660689337</v>
      </c>
      <c r="AB717" s="39">
        <f t="shared" si="145"/>
        <v>3662.0828053928817</v>
      </c>
      <c r="AC717" s="39">
        <f t="shared" si="145"/>
        <v>3778.7978219808865</v>
      </c>
      <c r="AD717" s="39" t="e">
        <f t="shared" si="145"/>
        <v>#DIV/0!</v>
      </c>
      <c r="AE717" s="39" t="e">
        <f t="shared" si="145"/>
        <v>#DIV/0!</v>
      </c>
      <c r="AF717" s="39" t="e">
        <f t="shared" si="145"/>
        <v>#DIV/0!</v>
      </c>
      <c r="AG717" s="39" t="e">
        <f t="shared" si="145"/>
        <v>#DIV/0!</v>
      </c>
      <c r="AH717" s="39" t="e">
        <f t="shared" si="145"/>
        <v>#DIV/0!</v>
      </c>
      <c r="AI717" s="39" t="e">
        <f t="shared" si="145"/>
        <v>#DIV/0!</v>
      </c>
      <c r="AJ717" s="39" t="e">
        <f t="shared" si="145"/>
        <v>#DIV/0!</v>
      </c>
      <c r="AK717" s="39" t="e">
        <f t="shared" si="145"/>
        <v>#DIV/0!</v>
      </c>
    </row>
    <row r="718" spans="2:37" s="4" customFormat="1" x14ac:dyDescent="0.25">
      <c r="B718" s="44"/>
      <c r="F718" s="4" t="s">
        <v>251</v>
      </c>
      <c r="H718" s="4" t="s">
        <v>1231</v>
      </c>
      <c r="I718" s="39">
        <f t="shared" ref="I718:AK718" si="146">I437</f>
        <v>4405.1306926616762</v>
      </c>
      <c r="J718" s="39">
        <f t="shared" si="146"/>
        <v>3732.8262953710837</v>
      </c>
      <c r="K718" s="39">
        <f t="shared" si="146"/>
        <v>3605.2434404377709</v>
      </c>
      <c r="L718" s="39">
        <f t="shared" si="146"/>
        <v>3634.5240142641123</v>
      </c>
      <c r="M718" s="39">
        <f t="shared" si="146"/>
        <v>3850.5076328726045</v>
      </c>
      <c r="N718" s="39">
        <f t="shared" si="146"/>
        <v>3866.0678135897924</v>
      </c>
      <c r="O718" s="39">
        <f t="shared" si="146"/>
        <v>3603.0415208697832</v>
      </c>
      <c r="P718" s="39">
        <f t="shared" si="146"/>
        <v>3246.0650543439315</v>
      </c>
      <c r="Q718" s="39">
        <f t="shared" si="146"/>
        <v>3244.0812708794801</v>
      </c>
      <c r="R718" s="39">
        <f t="shared" si="146"/>
        <v>3394.4236464789865</v>
      </c>
      <c r="S718" s="39">
        <f t="shared" si="146"/>
        <v>3303.8799361729289</v>
      </c>
      <c r="T718" s="39">
        <f t="shared" si="146"/>
        <v>3533.0774499783402</v>
      </c>
      <c r="U718" s="39">
        <f t="shared" si="146"/>
        <v>3380.560996365366</v>
      </c>
      <c r="V718" s="39">
        <f t="shared" si="146"/>
        <v>3563.1893163672648</v>
      </c>
      <c r="W718" s="39">
        <f t="shared" si="146"/>
        <v>3952.0851271437023</v>
      </c>
      <c r="X718" s="39">
        <f t="shared" si="146"/>
        <v>3786.2576940420495</v>
      </c>
      <c r="Y718" s="39">
        <f t="shared" si="146"/>
        <v>4232.8381388207599</v>
      </c>
      <c r="Z718" s="39">
        <f t="shared" si="146"/>
        <v>3076.9538656038403</v>
      </c>
      <c r="AA718" s="39">
        <f t="shared" si="146"/>
        <v>2460.5022660689337</v>
      </c>
      <c r="AB718" s="39">
        <f t="shared" si="146"/>
        <v>3258.0828053928817</v>
      </c>
      <c r="AC718" s="39">
        <f t="shared" si="146"/>
        <v>3636.7978219808865</v>
      </c>
      <c r="AD718" s="39" t="e">
        <f t="shared" si="146"/>
        <v>#DIV/0!</v>
      </c>
      <c r="AE718" s="39" t="e">
        <f t="shared" si="146"/>
        <v>#DIV/0!</v>
      </c>
      <c r="AF718" s="39" t="e">
        <f t="shared" si="146"/>
        <v>#DIV/0!</v>
      </c>
      <c r="AG718" s="39" t="e">
        <f t="shared" si="146"/>
        <v>#DIV/0!</v>
      </c>
      <c r="AH718" s="39" t="e">
        <f t="shared" si="146"/>
        <v>#DIV/0!</v>
      </c>
      <c r="AI718" s="39" t="e">
        <f t="shared" si="146"/>
        <v>#DIV/0!</v>
      </c>
      <c r="AJ718" s="39" t="e">
        <f t="shared" si="146"/>
        <v>#DIV/0!</v>
      </c>
      <c r="AK718" s="39" t="e">
        <f t="shared" si="146"/>
        <v>#DIV/0!</v>
      </c>
    </row>
    <row r="719" spans="2:37" s="4" customFormat="1" x14ac:dyDescent="0.25">
      <c r="B719" s="44"/>
      <c r="F719" s="4" t="s">
        <v>252</v>
      </c>
      <c r="H719" s="4" t="s">
        <v>1231</v>
      </c>
      <c r="I719" s="39">
        <f t="shared" ref="I719:AK719" si="147">I438</f>
        <v>3225.1306926616762</v>
      </c>
      <c r="J719" s="39">
        <f t="shared" si="147"/>
        <v>2340.8262953710837</v>
      </c>
      <c r="K719" s="39">
        <f t="shared" si="147"/>
        <v>2342.2434404377709</v>
      </c>
      <c r="L719" s="39">
        <f t="shared" si="147"/>
        <v>2398.5240142641123</v>
      </c>
      <c r="M719" s="39">
        <f t="shared" si="147"/>
        <v>2448.5076328726045</v>
      </c>
      <c r="N719" s="39">
        <f t="shared" si="147"/>
        <v>2785.0678135897924</v>
      </c>
      <c r="O719" s="39">
        <f t="shared" si="147"/>
        <v>2256.0415208697832</v>
      </c>
      <c r="P719" s="39">
        <f t="shared" si="147"/>
        <v>2135.0650543439315</v>
      </c>
      <c r="Q719" s="39">
        <f t="shared" si="147"/>
        <v>2272.0812708794801</v>
      </c>
      <c r="R719" s="39">
        <f t="shared" si="147"/>
        <v>2387.4236464789865</v>
      </c>
      <c r="S719" s="39">
        <f t="shared" si="147"/>
        <v>2310.8799361729289</v>
      </c>
      <c r="T719" s="39">
        <f t="shared" si="147"/>
        <v>2470.0774499783402</v>
      </c>
      <c r="U719" s="39">
        <f t="shared" si="147"/>
        <v>2165.560996365366</v>
      </c>
      <c r="V719" s="39">
        <f t="shared" si="147"/>
        <v>2405.1893163672648</v>
      </c>
      <c r="W719" s="39">
        <f t="shared" si="147"/>
        <v>2810.0851271437023</v>
      </c>
      <c r="X719" s="39">
        <f t="shared" si="147"/>
        <v>2515.2576940420495</v>
      </c>
      <c r="Y719" s="39">
        <f t="shared" si="147"/>
        <v>3148.8381388207599</v>
      </c>
      <c r="Z719" s="39">
        <f t="shared" si="147"/>
        <v>1898.9538656038403</v>
      </c>
      <c r="AA719" s="39">
        <f t="shared" si="147"/>
        <v>2088.5022660689337</v>
      </c>
      <c r="AB719" s="39">
        <f t="shared" si="147"/>
        <v>2315.0828053928817</v>
      </c>
      <c r="AC719" s="39">
        <f t="shared" si="147"/>
        <v>2566.7978219808865</v>
      </c>
      <c r="AD719" s="39" t="e">
        <f t="shared" si="147"/>
        <v>#DIV/0!</v>
      </c>
      <c r="AE719" s="39" t="e">
        <f t="shared" si="147"/>
        <v>#DIV/0!</v>
      </c>
      <c r="AF719" s="39" t="e">
        <f t="shared" si="147"/>
        <v>#DIV/0!</v>
      </c>
      <c r="AG719" s="39" t="e">
        <f t="shared" si="147"/>
        <v>#DIV/0!</v>
      </c>
      <c r="AH719" s="39" t="e">
        <f t="shared" si="147"/>
        <v>#DIV/0!</v>
      </c>
      <c r="AI719" s="39" t="e">
        <f t="shared" si="147"/>
        <v>#DIV/0!</v>
      </c>
      <c r="AJ719" s="39" t="e">
        <f t="shared" si="147"/>
        <v>#DIV/0!</v>
      </c>
      <c r="AK719" s="39" t="e">
        <f t="shared" si="147"/>
        <v>#DIV/0!</v>
      </c>
    </row>
    <row r="720" spans="2:37" s="4" customFormat="1" x14ac:dyDescent="0.25">
      <c r="B720" s="44"/>
      <c r="F720" s="4" t="s">
        <v>253</v>
      </c>
      <c r="H720" s="4" t="s">
        <v>1231</v>
      </c>
      <c r="I720" s="39">
        <f t="shared" ref="I720:AK720" si="148">I439</f>
        <v>1200.1306926616762</v>
      </c>
      <c r="J720" s="39">
        <f t="shared" si="148"/>
        <v>564.82629537108369</v>
      </c>
      <c r="K720" s="39">
        <f t="shared" si="148"/>
        <v>920.24344043777091</v>
      </c>
      <c r="L720" s="39">
        <f t="shared" si="148"/>
        <v>1142.5240142641123</v>
      </c>
      <c r="M720" s="39">
        <f t="shared" si="148"/>
        <v>1037.5076328726045</v>
      </c>
      <c r="N720" s="39">
        <f t="shared" si="148"/>
        <v>1116.0678135897924</v>
      </c>
      <c r="O720" s="39">
        <f t="shared" si="148"/>
        <v>782.0415208697832</v>
      </c>
      <c r="P720" s="39">
        <f t="shared" si="148"/>
        <v>782.06505434393148</v>
      </c>
      <c r="Q720" s="39">
        <f t="shared" si="148"/>
        <v>861.08127087948014</v>
      </c>
      <c r="R720" s="39">
        <f t="shared" si="148"/>
        <v>1211.4236464789865</v>
      </c>
      <c r="S720" s="39">
        <f t="shared" si="148"/>
        <v>1252.8799361729289</v>
      </c>
      <c r="T720" s="39">
        <f t="shared" si="148"/>
        <v>1194.0774499783402</v>
      </c>
      <c r="U720" s="39">
        <f t="shared" si="148"/>
        <v>1056.560996365366</v>
      </c>
      <c r="V720" s="39">
        <f t="shared" si="148"/>
        <v>1193.1893163672648</v>
      </c>
      <c r="W720" s="39">
        <f t="shared" si="148"/>
        <v>1497.0851271437023</v>
      </c>
      <c r="X720" s="39">
        <f t="shared" si="148"/>
        <v>1178.2576940420495</v>
      </c>
      <c r="Y720" s="39">
        <f t="shared" si="148"/>
        <v>1769.8381388207599</v>
      </c>
      <c r="Z720" s="39">
        <f t="shared" si="148"/>
        <v>742.95386560384031</v>
      </c>
      <c r="AA720" s="39">
        <f t="shared" si="148"/>
        <v>1275.5022660689337</v>
      </c>
      <c r="AB720" s="39">
        <f t="shared" si="148"/>
        <v>1356.0828053928817</v>
      </c>
      <c r="AC720" s="39">
        <f t="shared" si="148"/>
        <v>1543.7978219808865</v>
      </c>
      <c r="AD720" s="39" t="e">
        <f t="shared" si="148"/>
        <v>#DIV/0!</v>
      </c>
      <c r="AE720" s="39" t="e">
        <f t="shared" si="148"/>
        <v>#DIV/0!</v>
      </c>
      <c r="AF720" s="39" t="e">
        <f t="shared" si="148"/>
        <v>#DIV/0!</v>
      </c>
      <c r="AG720" s="39" t="e">
        <f t="shared" si="148"/>
        <v>#DIV/0!</v>
      </c>
      <c r="AH720" s="39" t="e">
        <f t="shared" si="148"/>
        <v>#DIV/0!</v>
      </c>
      <c r="AI720" s="39" t="e">
        <f t="shared" si="148"/>
        <v>#DIV/0!</v>
      </c>
      <c r="AJ720" s="39" t="e">
        <f t="shared" si="148"/>
        <v>#DIV/0!</v>
      </c>
      <c r="AK720" s="39" t="e">
        <f t="shared" si="148"/>
        <v>#DIV/0!</v>
      </c>
    </row>
    <row r="721" spans="2:39" s="4" customFormat="1" x14ac:dyDescent="0.25">
      <c r="B721" s="44"/>
      <c r="F721" s="4" t="s">
        <v>254</v>
      </c>
      <c r="H721" s="4" t="s">
        <v>1231</v>
      </c>
      <c r="I721" s="39">
        <f t="shared" ref="I721:AK721" si="149">I440</f>
        <v>280.13069266167622</v>
      </c>
      <c r="J721" s="39">
        <f t="shared" si="149"/>
        <v>10.826295371083688</v>
      </c>
      <c r="K721" s="39">
        <f t="shared" si="149"/>
        <v>-115.75655956222909</v>
      </c>
      <c r="L721" s="39">
        <f t="shared" si="149"/>
        <v>-192.47598573588766</v>
      </c>
      <c r="M721" s="39">
        <f t="shared" si="149"/>
        <v>8.5076328726045176</v>
      </c>
      <c r="N721" s="39">
        <f t="shared" si="149"/>
        <v>139.06781358979242</v>
      </c>
      <c r="O721" s="39">
        <f t="shared" si="149"/>
        <v>-518.9584791302168</v>
      </c>
      <c r="P721" s="39">
        <f t="shared" si="149"/>
        <v>-569.93494565606852</v>
      </c>
      <c r="Q721" s="39">
        <f t="shared" si="149"/>
        <v>-584.91872912051986</v>
      </c>
      <c r="R721" s="39">
        <f t="shared" si="149"/>
        <v>-361.57635352101352</v>
      </c>
      <c r="S721" s="39">
        <f t="shared" si="149"/>
        <v>-33.120063827071135</v>
      </c>
      <c r="T721" s="39">
        <f t="shared" si="149"/>
        <v>-235.92255002165984</v>
      </c>
      <c r="U721" s="39">
        <f t="shared" si="149"/>
        <v>-682.43900363463399</v>
      </c>
      <c r="V721" s="39">
        <f t="shared" si="149"/>
        <v>-510.81068363273516</v>
      </c>
      <c r="W721" s="39">
        <f t="shared" si="149"/>
        <v>-277.91487285629773</v>
      </c>
      <c r="X721" s="39">
        <f t="shared" si="149"/>
        <v>-600.74230595795052</v>
      </c>
      <c r="Y721" s="39">
        <f t="shared" si="149"/>
        <v>-15.161861179240077</v>
      </c>
      <c r="Z721" s="39">
        <f t="shared" si="149"/>
        <v>-1223.0461343961597</v>
      </c>
      <c r="AA721" s="39">
        <f t="shared" si="149"/>
        <v>-66.49773393106625</v>
      </c>
      <c r="AB721" s="39">
        <f t="shared" si="149"/>
        <v>-279.91719460711829</v>
      </c>
      <c r="AC721" s="39">
        <f t="shared" si="149"/>
        <v>-174.20217801911349</v>
      </c>
      <c r="AD721" s="39" t="e">
        <f t="shared" si="149"/>
        <v>#DIV/0!</v>
      </c>
      <c r="AE721" s="39" t="e">
        <f t="shared" si="149"/>
        <v>#DIV/0!</v>
      </c>
      <c r="AF721" s="39" t="e">
        <f t="shared" si="149"/>
        <v>#DIV/0!</v>
      </c>
      <c r="AG721" s="39" t="e">
        <f t="shared" si="149"/>
        <v>#DIV/0!</v>
      </c>
      <c r="AH721" s="39" t="e">
        <f t="shared" si="149"/>
        <v>#DIV/0!</v>
      </c>
      <c r="AI721" s="39" t="e">
        <f t="shared" si="149"/>
        <v>#DIV/0!</v>
      </c>
      <c r="AJ721" s="39" t="e">
        <f t="shared" si="149"/>
        <v>#DIV/0!</v>
      </c>
      <c r="AK721" s="39" t="e">
        <f t="shared" si="149"/>
        <v>#DIV/0!</v>
      </c>
    </row>
    <row r="722" spans="2:39" s="4" customFormat="1" x14ac:dyDescent="0.25">
      <c r="B722" s="44"/>
      <c r="F722" s="4" t="s">
        <v>255</v>
      </c>
      <c r="H722" s="4" t="s">
        <v>1231</v>
      </c>
      <c r="I722" s="39">
        <f t="shared" ref="I722:AK722" si="150">I441</f>
        <v>1160.1306926616762</v>
      </c>
      <c r="J722" s="39">
        <f t="shared" si="150"/>
        <v>766.82629537108369</v>
      </c>
      <c r="K722" s="39">
        <f t="shared" si="150"/>
        <v>739.24344043777091</v>
      </c>
      <c r="L722" s="39">
        <f t="shared" si="150"/>
        <v>760.52401426411234</v>
      </c>
      <c r="M722" s="39">
        <f t="shared" si="150"/>
        <v>928.50763287260452</v>
      </c>
      <c r="N722" s="39">
        <f t="shared" si="150"/>
        <v>975.06781358979242</v>
      </c>
      <c r="O722" s="39">
        <f t="shared" si="150"/>
        <v>95.041520869783199</v>
      </c>
      <c r="P722" s="39">
        <f t="shared" si="150"/>
        <v>521.06505434393148</v>
      </c>
      <c r="Q722" s="39">
        <f t="shared" si="150"/>
        <v>810.08127087948014</v>
      </c>
      <c r="R722" s="39">
        <f t="shared" si="150"/>
        <v>966.42364647898648</v>
      </c>
      <c r="S722" s="39">
        <f t="shared" si="150"/>
        <v>771.87993617292886</v>
      </c>
      <c r="T722" s="39">
        <f t="shared" si="150"/>
        <v>907.07744997834016</v>
      </c>
      <c r="U722" s="39">
        <f t="shared" si="150"/>
        <v>664.56099636536601</v>
      </c>
      <c r="V722" s="39">
        <f t="shared" si="150"/>
        <v>927.18931636726484</v>
      </c>
      <c r="W722" s="39">
        <f t="shared" si="150"/>
        <v>1091.0851271437023</v>
      </c>
      <c r="X722" s="39">
        <f t="shared" si="150"/>
        <v>580.25769404204948</v>
      </c>
      <c r="Y722" s="39">
        <f t="shared" si="150"/>
        <v>1446.8381388207599</v>
      </c>
      <c r="Z722" s="39">
        <f t="shared" si="150"/>
        <v>437.95386560384031</v>
      </c>
      <c r="AA722" s="39">
        <f t="shared" si="150"/>
        <v>1428.5022660689337</v>
      </c>
      <c r="AB722" s="39">
        <f t="shared" si="150"/>
        <v>1536.0828053928817</v>
      </c>
      <c r="AC722" s="39">
        <f t="shared" si="150"/>
        <v>1640.7978219808865</v>
      </c>
      <c r="AD722" s="39" t="e">
        <f t="shared" si="150"/>
        <v>#DIV/0!</v>
      </c>
      <c r="AE722" s="39" t="e">
        <f t="shared" si="150"/>
        <v>#DIV/0!</v>
      </c>
      <c r="AF722" s="39" t="e">
        <f t="shared" si="150"/>
        <v>#DIV/0!</v>
      </c>
      <c r="AG722" s="39" t="e">
        <f t="shared" si="150"/>
        <v>#DIV/0!</v>
      </c>
      <c r="AH722" s="39" t="e">
        <f t="shared" si="150"/>
        <v>#DIV/0!</v>
      </c>
      <c r="AI722" s="39" t="e">
        <f t="shared" si="150"/>
        <v>#DIV/0!</v>
      </c>
      <c r="AJ722" s="39" t="e">
        <f t="shared" si="150"/>
        <v>#DIV/0!</v>
      </c>
      <c r="AK722" s="39" t="e">
        <f t="shared" si="150"/>
        <v>#DIV/0!</v>
      </c>
    </row>
    <row r="723" spans="2:39" s="4" customFormat="1" x14ac:dyDescent="0.25">
      <c r="B723" s="44"/>
      <c r="D723" s="79" t="s">
        <v>1242</v>
      </c>
      <c r="I723" s="39"/>
      <c r="J723" s="69"/>
      <c r="K723" s="69"/>
      <c r="L723" s="69"/>
      <c r="M723" s="6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row>
    <row r="724" spans="2:39" s="4" customFormat="1" x14ac:dyDescent="0.25">
      <c r="B724" s="44"/>
      <c r="D724" s="79"/>
      <c r="E724" s="79" t="s">
        <v>1232</v>
      </c>
      <c r="H724" s="79" t="s">
        <v>1231</v>
      </c>
      <c r="I724" s="39"/>
      <c r="J724" s="69"/>
      <c r="K724" s="69"/>
      <c r="L724" s="69"/>
      <c r="M724" s="69"/>
      <c r="N724" s="69"/>
      <c r="O724" s="69"/>
      <c r="P724" s="69"/>
      <c r="Q724" s="100">
        <f t="shared" ref="Q724:AK724" si="151">AVERAGE(SUM(Q739+Q727)*Q741*Q758,SUM(Q739+Q727)*Q741*Q759,SUM(Q739+Q727)*Q741*Q760,SUM(Q739,Q727)*Q741*Q761)</f>
        <v>2434.3386634048011</v>
      </c>
      <c r="R724" s="100">
        <f t="shared" si="151"/>
        <v>2933.336381521035</v>
      </c>
      <c r="S724" s="100">
        <f t="shared" si="151"/>
        <v>3007.9692850570923</v>
      </c>
      <c r="T724" s="100">
        <f t="shared" si="151"/>
        <v>2904.6244887167359</v>
      </c>
      <c r="U724" s="100">
        <f t="shared" si="151"/>
        <v>3136.0128612427116</v>
      </c>
      <c r="V724" s="100">
        <f t="shared" si="151"/>
        <v>3145.1335031782714</v>
      </c>
      <c r="W724" s="100">
        <f t="shared" si="151"/>
        <v>3301.8018673435072</v>
      </c>
      <c r="X724" s="100">
        <f t="shared" si="151"/>
        <v>3096.117170527823</v>
      </c>
      <c r="Y724" s="100">
        <f t="shared" si="151"/>
        <v>2651.1628138202755</v>
      </c>
      <c r="Z724" s="100">
        <f t="shared" si="151"/>
        <v>2923.4231568077839</v>
      </c>
      <c r="AA724" s="100">
        <f t="shared" si="151"/>
        <v>1955.6882485157057</v>
      </c>
      <c r="AB724" s="100">
        <f t="shared" si="151"/>
        <v>4359.5123447368424</v>
      </c>
      <c r="AC724" s="100">
        <f t="shared" si="151"/>
        <v>2723.4348726566168</v>
      </c>
      <c r="AD724" s="100">
        <f t="shared" si="151"/>
        <v>0</v>
      </c>
      <c r="AE724" s="100">
        <f t="shared" si="151"/>
        <v>0</v>
      </c>
      <c r="AF724" s="100">
        <f t="shared" si="151"/>
        <v>0</v>
      </c>
      <c r="AG724" s="100">
        <f t="shared" si="151"/>
        <v>0</v>
      </c>
      <c r="AH724" s="100">
        <f t="shared" si="151"/>
        <v>0</v>
      </c>
      <c r="AI724" s="100">
        <f t="shared" si="151"/>
        <v>0</v>
      </c>
      <c r="AJ724" s="100">
        <f t="shared" si="151"/>
        <v>0</v>
      </c>
      <c r="AK724" s="100">
        <f t="shared" si="151"/>
        <v>0</v>
      </c>
      <c r="AM724" s="60"/>
    </row>
    <row r="725" spans="2:39" s="4" customFormat="1" x14ac:dyDescent="0.25">
      <c r="B725" s="44"/>
      <c r="D725" s="79"/>
      <c r="E725" s="79" t="s">
        <v>1233</v>
      </c>
      <c r="H725" s="79" t="s">
        <v>1231</v>
      </c>
      <c r="I725" s="39"/>
      <c r="J725" s="69"/>
      <c r="K725" s="69"/>
      <c r="L725" s="69"/>
      <c r="M725" s="69"/>
      <c r="N725" s="69"/>
      <c r="O725" s="69"/>
      <c r="P725" s="69"/>
      <c r="Q725" s="100">
        <f>AVERAGE(SUM(Q739,Q727)*P741*P764,SUM(Q739,Q727)*Q741*Q753,SUM(Q739,Q727)*Q741*Q754,SUM(Q739,Q727)*Q741*Q755)</f>
        <v>1028.1858721102967</v>
      </c>
      <c r="R725" s="100">
        <f t="shared" ref="R725:AK725" si="152">AVERAGE(SUM(Q739,Q727)*Q741*Q764,SUM(R739,R727)*R741*R753,SUM(R739,R727)*R741*R754,SUM(R739,R727)*R741*R755)</f>
        <v>1443.5636110765606</v>
      </c>
      <c r="S725" s="100">
        <f t="shared" si="152"/>
        <v>1636.6927025547443</v>
      </c>
      <c r="T725" s="100">
        <f t="shared" si="152"/>
        <v>1748.6046294859652</v>
      </c>
      <c r="U725" s="100">
        <f t="shared" si="152"/>
        <v>1952.1523750985643</v>
      </c>
      <c r="V725" s="100">
        <f t="shared" si="152"/>
        <v>1998.8183243654396</v>
      </c>
      <c r="W725" s="100">
        <f t="shared" si="152"/>
        <v>2060.4309773370669</v>
      </c>
      <c r="X725" s="100">
        <f t="shared" si="152"/>
        <v>2084.7363504583241</v>
      </c>
      <c r="Y725" s="100">
        <f t="shared" si="152"/>
        <v>1899.2337575646038</v>
      </c>
      <c r="Z725" s="100">
        <f t="shared" si="152"/>
        <v>2102.7474656283953</v>
      </c>
      <c r="AA725" s="100">
        <f t="shared" si="152"/>
        <v>1664.9170399601385</v>
      </c>
      <c r="AB725" s="100">
        <f t="shared" si="152"/>
        <v>2865.9459946905995</v>
      </c>
      <c r="AC725" s="100">
        <f t="shared" si="152"/>
        <v>2490.5387174680077</v>
      </c>
      <c r="AD725" s="100">
        <f t="shared" si="152"/>
        <v>407.60074205414026</v>
      </c>
      <c r="AE725" s="100">
        <f t="shared" si="152"/>
        <v>0</v>
      </c>
      <c r="AF725" s="100">
        <f t="shared" si="152"/>
        <v>0</v>
      </c>
      <c r="AG725" s="100">
        <f t="shared" si="152"/>
        <v>0</v>
      </c>
      <c r="AH725" s="100">
        <f t="shared" si="152"/>
        <v>0</v>
      </c>
      <c r="AI725" s="100">
        <f t="shared" si="152"/>
        <v>0</v>
      </c>
      <c r="AJ725" s="100">
        <f t="shared" si="152"/>
        <v>0</v>
      </c>
      <c r="AK725" s="100">
        <f t="shared" si="152"/>
        <v>0</v>
      </c>
      <c r="AM725" s="60"/>
    </row>
    <row r="726" spans="2:39" s="4" customFormat="1" x14ac:dyDescent="0.25">
      <c r="B726" s="44"/>
      <c r="D726" s="79"/>
      <c r="E726" s="79" t="s">
        <v>1234</v>
      </c>
      <c r="H726" s="79" t="s">
        <v>1231</v>
      </c>
      <c r="I726" s="39"/>
      <c r="J726" s="69"/>
      <c r="K726" s="69"/>
      <c r="L726" s="69"/>
      <c r="M726" s="69"/>
      <c r="N726" s="69"/>
      <c r="O726" s="69"/>
      <c r="P726" s="69"/>
      <c r="Q726" s="100">
        <f t="shared" ref="Q726:AK726" si="153">AVERAGE(SUM(Q739,Q727)*Q741*Q756,SUM(Q739,Q727)*Q741*Q757,SUM(Q739,Q727)*Q741*Q762,SUM(Q739,Q727)*Q741*Q763)</f>
        <v>737.83197442281153</v>
      </c>
      <c r="R726" s="100">
        <f t="shared" si="153"/>
        <v>848.10705793441252</v>
      </c>
      <c r="S726" s="100">
        <f t="shared" si="153"/>
        <v>984.42631147323027</v>
      </c>
      <c r="T726" s="100">
        <f t="shared" si="153"/>
        <v>857.55580143065549</v>
      </c>
      <c r="U726" s="100">
        <f t="shared" si="153"/>
        <v>1017.0852522949333</v>
      </c>
      <c r="V726" s="100">
        <f t="shared" si="153"/>
        <v>1078.9400857487299</v>
      </c>
      <c r="W726" s="100">
        <f t="shared" si="153"/>
        <v>1176.5257509063238</v>
      </c>
      <c r="X726" s="100">
        <f t="shared" si="153"/>
        <v>1116.1266470542855</v>
      </c>
      <c r="Y726" s="100">
        <f t="shared" si="153"/>
        <v>998.4082774416504</v>
      </c>
      <c r="Z726" s="100">
        <f t="shared" si="153"/>
        <v>1114.0988368096253</v>
      </c>
      <c r="AA726" s="100">
        <f t="shared" si="153"/>
        <v>800.74232466316437</v>
      </c>
      <c r="AB726" s="100">
        <f t="shared" si="153"/>
        <v>2309.9628463815789</v>
      </c>
      <c r="AC726" s="100">
        <f t="shared" si="153"/>
        <v>1283.7681491192366</v>
      </c>
      <c r="AD726" s="100">
        <f t="shared" si="153"/>
        <v>0</v>
      </c>
      <c r="AE726" s="100">
        <f t="shared" si="153"/>
        <v>0</v>
      </c>
      <c r="AF726" s="100">
        <f t="shared" si="153"/>
        <v>0</v>
      </c>
      <c r="AG726" s="100">
        <f t="shared" si="153"/>
        <v>0</v>
      </c>
      <c r="AH726" s="100">
        <f t="shared" si="153"/>
        <v>0</v>
      </c>
      <c r="AI726" s="100">
        <f t="shared" si="153"/>
        <v>0</v>
      </c>
      <c r="AJ726" s="100">
        <f t="shared" si="153"/>
        <v>0</v>
      </c>
      <c r="AK726" s="100">
        <f t="shared" si="153"/>
        <v>0</v>
      </c>
      <c r="AM726" s="60"/>
    </row>
    <row r="727" spans="2:39" x14ac:dyDescent="0.25">
      <c r="E727" t="s">
        <v>1243</v>
      </c>
      <c r="Q727" s="39">
        <f t="shared" ref="Q727:AB727" si="154">Q728*Q733</f>
        <v>811.9776555493786</v>
      </c>
      <c r="R727" s="39">
        <f t="shared" si="154"/>
        <v>961.39113944714165</v>
      </c>
      <c r="S727" s="39">
        <f t="shared" si="154"/>
        <v>991.45527294617273</v>
      </c>
      <c r="T727" s="39">
        <f t="shared" si="154"/>
        <v>969.9263566160522</v>
      </c>
      <c r="U727" s="39">
        <f t="shared" si="154"/>
        <v>961.90224629862678</v>
      </c>
      <c r="V727" s="39">
        <f t="shared" si="154"/>
        <v>931.7454398279732</v>
      </c>
      <c r="W727" s="39">
        <f t="shared" si="154"/>
        <v>977.52387838334494</v>
      </c>
      <c r="X727" s="39">
        <f t="shared" si="154"/>
        <v>819.00741329027005</v>
      </c>
      <c r="Y727" s="39">
        <f t="shared" si="154"/>
        <v>662.52173991611892</v>
      </c>
      <c r="Z727" s="39">
        <f t="shared" si="154"/>
        <v>723.25492026608242</v>
      </c>
      <c r="AA727" s="39">
        <f t="shared" si="154"/>
        <v>623.19528343338175</v>
      </c>
      <c r="AB727" s="39">
        <f t="shared" si="154"/>
        <v>1236.1109022556393</v>
      </c>
      <c r="AC727" s="39">
        <f t="shared" ref="AC727:AK727" si="155">AC728*AC733</f>
        <v>719.43292737015088</v>
      </c>
      <c r="AD727" s="39">
        <f t="shared" si="155"/>
        <v>631.954804163684</v>
      </c>
      <c r="AE727" s="39">
        <f t="shared" si="155"/>
        <v>490.47113600075909</v>
      </c>
      <c r="AF727" s="39">
        <f t="shared" si="155"/>
        <v>385.69914653373741</v>
      </c>
      <c r="AG727" s="39">
        <f t="shared" si="155"/>
        <v>340.98431839926542</v>
      </c>
      <c r="AH727" s="39">
        <f t="shared" si="155"/>
        <v>238.3808181854676</v>
      </c>
      <c r="AI727" s="39">
        <f t="shared" si="155"/>
        <v>134.93688733169125</v>
      </c>
      <c r="AJ727" s="39">
        <f t="shared" si="155"/>
        <v>72.870546952761828</v>
      </c>
      <c r="AK727" s="39">
        <f t="shared" si="155"/>
        <v>22.24057099704212</v>
      </c>
    </row>
    <row r="728" spans="2:39" s="4" customFormat="1" x14ac:dyDescent="0.25">
      <c r="B728" s="44"/>
      <c r="F728" s="4" t="s">
        <v>2209</v>
      </c>
      <c r="I728" s="39"/>
      <c r="J728" s="69"/>
      <c r="K728" s="69"/>
      <c r="L728" s="69"/>
      <c r="M728" s="69"/>
      <c r="N728" s="69"/>
      <c r="O728" s="69"/>
      <c r="P728" s="69"/>
      <c r="Q728" s="59">
        <f>IF(Q730&gt;0,Datasheet!P106+Datasheet!P111-Q730,IF(Q732&gt;0,Datasheet!P106+Datasheet!P111-Q732,Datasheet!P106+Datasheet!P111-Q729))</f>
        <v>1200</v>
      </c>
      <c r="R728" s="59">
        <f>IF(R730&gt;0,Datasheet!Q106+Datasheet!Q111-R730,IF(R732&gt;0,Datasheet!Q106+Datasheet!Q111-R732,Datasheet!Q106+Datasheet!Q111-R729))</f>
        <v>1446.715291357059</v>
      </c>
      <c r="S728" s="59">
        <f>IF(S730&gt;0,Datasheet!R106+Datasheet!R111-S730,IF(S732&gt;0,Datasheet!R106+Datasheet!R111-S732,Datasheet!R106+Datasheet!R111-S729))</f>
        <v>1514.5682440359797</v>
      </c>
      <c r="T728" s="59">
        <f>IF(T730&gt;0,Datasheet!S106+Datasheet!S111-T730,IF(T732&gt;0,Datasheet!S106+Datasheet!S111-T732,Datasheet!S106+Datasheet!S111-T729))</f>
        <v>1528.893625342198</v>
      </c>
      <c r="U728" s="59">
        <f>IF(U730&gt;0,Datasheet!T106+Datasheet!T111-U730,IF(U732&gt;0,Datasheet!T106+Datasheet!T111-U732,Datasheet!T106+Datasheet!T111-U729))</f>
        <v>1545.7622213531486</v>
      </c>
      <c r="V728" s="59">
        <f>IF(V730&gt;0,Datasheet!U106+Datasheet!U111-V730,IF(V732&gt;0,Datasheet!U106+Datasheet!U111-V732,Datasheet!U106+Datasheet!U111-V729))</f>
        <v>1595.6613218615566</v>
      </c>
      <c r="W728" s="59">
        <f>IF(W730&gt;0,Datasheet!V106+Datasheet!V111-W730,IF(W732&gt;0,Datasheet!V106+Datasheet!V111-W732,Datasheet!V106+Datasheet!V111-W729))</f>
        <v>1657.9057489245206</v>
      </c>
      <c r="X728" s="59">
        <f>IF(X730&gt;0,Datasheet!W106+Datasheet!W111-X730,IF(X732&gt;0,Datasheet!W106+Datasheet!W111-X732,Datasheet!W106+Datasheet!W111-X729))</f>
        <v>1768.4341024638234</v>
      </c>
      <c r="Y728" s="59">
        <f>IF(Y730&gt;0,Datasheet!X106+Datasheet!X111-Y730,IF(Y732&gt;0,Datasheet!X106+Datasheet!X111-Y732,Datasheet!X106+Datasheet!X111-Y729))</f>
        <v>1801.1454829878767</v>
      </c>
      <c r="Z728" s="59">
        <f>IF(Z730&gt;0,Datasheet!Y106+Datasheet!Y111-Z730,IF(Z732&gt;0,Datasheet!Y106+Datasheet!Y111-Z732,Datasheet!Y106+Datasheet!Y111-Z729))</f>
        <v>2044.7188111067644</v>
      </c>
      <c r="AA728" s="59">
        <f>IF(AA730&gt;0,Datasheet!Z106+Datasheet!Z111-AA730,IF(AA732&gt;0,Datasheet!Z106+Datasheet!Z111-AA732,Datasheet!Z106+Datasheet!Z111-AA729))</f>
        <v>2073</v>
      </c>
      <c r="AB728" s="59">
        <f>IF(AB730&gt;0,Datasheet!AA106+Datasheet!AA111-AB730,IF(AB732&gt;0,Datasheet!AA106+Datasheet!AA111-AB732,Datasheet!AA106+Datasheet!AA111-AB729))</f>
        <v>2427</v>
      </c>
      <c r="AC728" s="59">
        <f>IF(AC730&gt;0,Datasheet!AB106+Datasheet!AB111-AC730,IF(AC732&gt;0,Datasheet!AB106+Datasheet!AB111-AC732,Datasheet!AB106+Datasheet!AB111-AC729))</f>
        <v>2371.8505920679727</v>
      </c>
      <c r="AD728" s="59">
        <f>IF(AD730&gt;0,Datasheet!AC106+Datasheet!AC111-AD730,IF(AD732&gt;0,Datasheet!AC106+Datasheet!AC111-AD732,Datasheet!AC106+Datasheet!AC111-AD729))</f>
        <v>2292.9623338558013</v>
      </c>
      <c r="AE728" s="59">
        <f>IF(AE730&gt;0,Datasheet!AD106+Datasheet!AD111-AE730,IF(AE732&gt;0,Datasheet!AD106+Datasheet!AD111-AE732,Datasheet!AD106+Datasheet!AD111-AE729))</f>
        <v>1935.6854207666565</v>
      </c>
      <c r="AF728" s="59">
        <f>IF(AF730&gt;0,Datasheet!AE106+Datasheet!AE111-AF730,IF(AF732&gt;0,Datasheet!AE106+Datasheet!AE111-AF732,Datasheet!AE106+Datasheet!AE111-AF729))</f>
        <v>1709.8623012852222</v>
      </c>
      <c r="AG728" s="59">
        <f>IF(AG730&gt;0,Datasheet!AF106+Datasheet!AF111-AG730,IF(AG732&gt;0,Datasheet!AF106+Datasheet!AF111-AG732,Datasheet!AF106+Datasheet!AF111-AG729))</f>
        <v>1370.1687152855266</v>
      </c>
      <c r="AH728" s="59">
        <f>IF(AH730&gt;0,Datasheet!AG106+Datasheet!AG111-AH730,IF(AH732&gt;0,Datasheet!AG106+Datasheet!AG111-AH732,Datasheet!AG106+Datasheet!AG111-AH729))</f>
        <v>1207.4639839811716</v>
      </c>
      <c r="AI728" s="59">
        <f>IF(AI730&gt;0,Datasheet!AH106+Datasheet!AH111-AI730,IF(AI732&gt;0,Datasheet!AH106+Datasheet!AH111-AI732,Datasheet!AH106+Datasheet!AH111-AI729))</f>
        <v>969.06616731971371</v>
      </c>
      <c r="AJ728" s="59">
        <f>IF(AJ730&gt;0,Datasheet!AI106+Datasheet!AI111-AJ730,IF(AJ732&gt;0,Datasheet!AI106+Datasheet!AI111-AJ732,Datasheet!AI106+Datasheet!AI111-AJ729))</f>
        <v>724.5539914005185</v>
      </c>
      <c r="AK728" s="59">
        <f>IF(AK730&gt;0,Datasheet!AJ106+Datasheet!AJ111-AK730,IF(AK732&gt;0,Datasheet!AJ106+Datasheet!AJ111-AK732,Datasheet!AJ106+Datasheet!AJ111-AK729))</f>
        <v>485.36677619052352</v>
      </c>
    </row>
    <row r="729" spans="2:39" s="4" customFormat="1" x14ac:dyDescent="0.25">
      <c r="B729" s="44"/>
      <c r="G729" s="4" t="s">
        <v>2214</v>
      </c>
      <c r="I729" s="39"/>
      <c r="J729" s="69"/>
      <c r="K729" s="69"/>
      <c r="L729" s="69"/>
      <c r="M729" s="69"/>
      <c r="N729" s="69"/>
      <c r="O729" s="69"/>
      <c r="P729" s="69"/>
      <c r="Q729" s="59">
        <f>Datasheet!Q642</f>
        <v>7470</v>
      </c>
      <c r="R729" s="59">
        <f>Datasheet!R642</f>
        <v>7246</v>
      </c>
      <c r="S729" s="59">
        <f>Datasheet!S642</f>
        <v>7327</v>
      </c>
      <c r="T729" s="59">
        <f>Datasheet!T642</f>
        <v>7583</v>
      </c>
      <c r="U729" s="59">
        <f>Datasheet!U642</f>
        <v>7873</v>
      </c>
      <c r="V729" s="59">
        <f>Datasheet!V642</f>
        <v>8187</v>
      </c>
      <c r="W729" s="59">
        <f>Datasheet!W642</f>
        <v>8576</v>
      </c>
      <c r="X729" s="59">
        <f>Datasheet!X642</f>
        <v>8795</v>
      </c>
      <c r="Y729" s="59">
        <f>Datasheet!Y642</f>
        <v>9158</v>
      </c>
      <c r="Z729" s="59">
        <f>Datasheet!Z642</f>
        <v>9019</v>
      </c>
      <c r="AA729" s="59">
        <f>Datasheet!AA642</f>
        <v>10027</v>
      </c>
      <c r="AB729" s="59">
        <f>Datasheet!AB642</f>
        <v>9531</v>
      </c>
      <c r="AC729" s="59">
        <f>IF(Datasheet!AC642&gt;0,Datasheet!AC642,_xlfn.FORECAST.ETS(AC2,$I729:AB729,$I2:AB2))</f>
        <v>9844.1494079320273</v>
      </c>
      <c r="AD729" s="59">
        <f>IF(Datasheet!AD642&gt;0,Datasheet!AD642,_xlfn.FORECAST.ETS(AD2,$I729:AC729,$I2:AC2))</f>
        <v>10061.037666144199</v>
      </c>
      <c r="AE729" s="59">
        <f>IF(Datasheet!AE642&gt;0,Datasheet!AE642,_xlfn.FORECAST.ETS(AE2,$I729:AD729,$I2:AD2))</f>
        <v>10416.314579233343</v>
      </c>
      <c r="AF729" s="59">
        <f>IF(Datasheet!AF642&gt;0,Datasheet!AF642,_xlfn.FORECAST.ETS(AF2,$I729:AE729,$I2:AE2))</f>
        <v>10642.137698714778</v>
      </c>
      <c r="AG729" s="59">
        <f>IF(Datasheet!AG642&gt;0,Datasheet!AG642,_xlfn.FORECAST.ETS(AG2,$I729:AF729,$I2:AF2))</f>
        <v>10981.831284714473</v>
      </c>
      <c r="AH729" s="59">
        <f>IF(Datasheet!AH642&gt;0,Datasheet!AH642,_xlfn.FORECAST.ETS(AH2,$I729:AG729,$I2:AG2))</f>
        <v>11144.536016018828</v>
      </c>
      <c r="AI729" s="59">
        <f>IF(Datasheet!AI642&gt;0,Datasheet!AI642,_xlfn.FORECAST.ETS(AI2,$I729:AH729,$I2:AH2))</f>
        <v>11382.933832680286</v>
      </c>
      <c r="AJ729" s="59">
        <f>IF(Datasheet!AJ642&gt;0,Datasheet!AJ642,_xlfn.FORECAST.ETS(AJ2,$I729:AI729,$I2:AI2))</f>
        <v>11627.446008599482</v>
      </c>
      <c r="AK729" s="59">
        <f>IF(Datasheet!AK642&gt;0,Datasheet!AK642,_xlfn.FORECAST.ETS(AK2,$I729:AJ729,$I2:AJ2))</f>
        <v>11866.633223809476</v>
      </c>
    </row>
    <row r="730" spans="2:39" s="4" customFormat="1" x14ac:dyDescent="0.25">
      <c r="B730" s="44"/>
      <c r="G730" s="4" t="s">
        <v>2215</v>
      </c>
      <c r="I730" s="39"/>
      <c r="J730" s="69"/>
      <c r="K730" s="69"/>
      <c r="L730" s="69"/>
      <c r="M730" s="69"/>
      <c r="N730" s="69"/>
      <c r="O730" s="69"/>
      <c r="P730" s="69"/>
      <c r="Q730" s="59">
        <f>8973</f>
        <v>8973</v>
      </c>
      <c r="R730" s="254"/>
      <c r="S730" s="59"/>
      <c r="T730" s="59"/>
      <c r="U730" s="59"/>
      <c r="V730" s="59"/>
      <c r="W730" s="59"/>
      <c r="X730" s="59"/>
      <c r="Y730" s="59"/>
      <c r="Z730" s="59"/>
      <c r="AA730" s="59">
        <v>9609</v>
      </c>
      <c r="AB730" s="59"/>
      <c r="AC730" s="59"/>
      <c r="AD730" s="59"/>
      <c r="AE730" s="59"/>
      <c r="AF730" s="59"/>
      <c r="AG730" s="59"/>
      <c r="AH730" s="59"/>
      <c r="AI730" s="59"/>
      <c r="AJ730" s="59"/>
      <c r="AK730" s="59"/>
    </row>
    <row r="731" spans="2:39" s="4" customFormat="1" x14ac:dyDescent="0.25">
      <c r="B731" s="44"/>
      <c r="G731" s="4" t="s">
        <v>2213</v>
      </c>
      <c r="I731" s="39"/>
      <c r="J731" s="69"/>
      <c r="K731" s="69"/>
      <c r="L731" s="69"/>
      <c r="M731" s="69"/>
      <c r="N731" s="69"/>
      <c r="O731" s="69"/>
      <c r="P731" s="69"/>
      <c r="Q731" s="59"/>
      <c r="S731" s="59"/>
      <c r="T731" s="59"/>
      <c r="U731" s="59"/>
      <c r="V731" s="59"/>
      <c r="W731" s="59"/>
      <c r="X731" s="59"/>
      <c r="Y731" s="59"/>
      <c r="Z731" s="59"/>
      <c r="AA731" s="178">
        <f>(AA730/Q730-1)/(AA729/Q729-1)</f>
        <v>0.20706625155089839</v>
      </c>
      <c r="AB731" s="59"/>
      <c r="AC731" s="59"/>
      <c r="AD731" s="59"/>
      <c r="AE731" s="59"/>
      <c r="AF731" s="59"/>
      <c r="AG731" s="59"/>
      <c r="AH731" s="59"/>
      <c r="AI731" s="59"/>
      <c r="AJ731" s="59"/>
      <c r="AK731" s="59"/>
    </row>
    <row r="732" spans="2:39" x14ac:dyDescent="0.25">
      <c r="G732" t="s">
        <v>2212</v>
      </c>
      <c r="R732" s="232">
        <f t="shared" ref="R732:Z732" si="156">(1+(R729/$Q729-1)*$AA731)*$Q730</f>
        <v>8917.284708642941</v>
      </c>
      <c r="S732" s="232">
        <f t="shared" si="156"/>
        <v>8937.4317559640203</v>
      </c>
      <c r="T732" s="232">
        <f t="shared" si="156"/>
        <v>9001.106374657802</v>
      </c>
      <c r="U732" s="232">
        <f t="shared" si="156"/>
        <v>9073.2377786468514</v>
      </c>
      <c r="V732" s="232">
        <f t="shared" si="156"/>
        <v>9151.3386781384434</v>
      </c>
      <c r="W732" s="232">
        <f t="shared" si="156"/>
        <v>9248.0942510754794</v>
      </c>
      <c r="X732" s="232">
        <f t="shared" si="156"/>
        <v>9302.5658975361766</v>
      </c>
      <c r="Y732" s="232">
        <f t="shared" si="156"/>
        <v>9392.8545170121233</v>
      </c>
      <c r="Z732" s="232">
        <f t="shared" si="156"/>
        <v>9358.2811888932356</v>
      </c>
    </row>
    <row r="733" spans="2:39" s="4" customFormat="1" x14ac:dyDescent="0.25">
      <c r="B733" s="44"/>
      <c r="F733" s="4" t="s">
        <v>2208</v>
      </c>
      <c r="I733" s="39"/>
      <c r="J733" s="69"/>
      <c r="K733" s="69"/>
      <c r="L733" s="69"/>
      <c r="M733" s="69"/>
      <c r="N733" s="69"/>
      <c r="O733" s="69"/>
      <c r="P733" s="69"/>
      <c r="Q733" s="60">
        <f>AVERAGE(Q734:Q735)</f>
        <v>0.67664804629114883</v>
      </c>
      <c r="R733" s="60">
        <f t="shared" ref="R733:AB733" si="157">AVERAGE(R734:R735)</f>
        <v>0.6645337511745868</v>
      </c>
      <c r="S733" s="60">
        <f t="shared" si="157"/>
        <v>0.65461247906807429</v>
      </c>
      <c r="T733" s="60">
        <f t="shared" si="157"/>
        <v>0.63439754116246161</v>
      </c>
      <c r="U733" s="60">
        <f t="shared" si="157"/>
        <v>0.62228344891013365</v>
      </c>
      <c r="V733" s="60">
        <f t="shared" si="157"/>
        <v>0.583924312172313</v>
      </c>
      <c r="W733" s="60">
        <f t="shared" si="157"/>
        <v>0.58961366110073643</v>
      </c>
      <c r="X733" s="60">
        <f t="shared" si="157"/>
        <v>0.46312577446296133</v>
      </c>
      <c r="Y733" s="60">
        <f t="shared" si="157"/>
        <v>0.3678335515780089</v>
      </c>
      <c r="Z733" s="60">
        <f t="shared" si="157"/>
        <v>0.35371852419873778</v>
      </c>
      <c r="AA733" s="60">
        <f t="shared" si="157"/>
        <v>0.30062483523076783</v>
      </c>
      <c r="AB733" s="60">
        <f t="shared" si="157"/>
        <v>0.50931639977570631</v>
      </c>
      <c r="AC733" s="60">
        <f t="shared" ref="AC733:AK733" si="158">AVERAGE(AC734:AC735)</f>
        <v>0.30332135159613516</v>
      </c>
      <c r="AD733" s="60">
        <f t="shared" si="158"/>
        <v>0.27560627352347344</v>
      </c>
      <c r="AE733" s="60">
        <f t="shared" si="158"/>
        <v>0.25338370105949387</v>
      </c>
      <c r="AF733" s="60">
        <f t="shared" si="158"/>
        <v>0.22557322086335591</v>
      </c>
      <c r="AG733" s="60">
        <f t="shared" si="158"/>
        <v>0.24886301562374269</v>
      </c>
      <c r="AH733" s="60">
        <f t="shared" si="158"/>
        <v>0.19742271516827681</v>
      </c>
      <c r="AI733" s="60">
        <f t="shared" si="158"/>
        <v>0.13924424552443687</v>
      </c>
      <c r="AJ733" s="60">
        <f t="shared" si="158"/>
        <v>0.10057297015493286</v>
      </c>
      <c r="AK733" s="60">
        <f t="shared" si="158"/>
        <v>4.5822194859732046E-2</v>
      </c>
    </row>
    <row r="734" spans="2:39" s="4" customFormat="1" x14ac:dyDescent="0.25">
      <c r="B734" s="44"/>
      <c r="F734" s="4" t="s">
        <v>2205</v>
      </c>
      <c r="I734" s="39"/>
      <c r="J734" s="69"/>
      <c r="K734" s="69"/>
      <c r="L734" s="69"/>
      <c r="M734" s="69"/>
      <c r="N734" s="69"/>
      <c r="O734" s="69"/>
      <c r="P734" s="69"/>
      <c r="Q734" s="60">
        <f>Datasheet!Q679/Datasheet!Q674</f>
        <v>0.77356986246761017</v>
      </c>
      <c r="R734" s="60">
        <f>Datasheet!R679/Datasheet!R674</f>
        <v>0.75498154981549814</v>
      </c>
      <c r="S734" s="60">
        <f>Datasheet!S679/Datasheet!S674</f>
        <v>0.74954495813614852</v>
      </c>
      <c r="T734" s="60">
        <f>Datasheet!T679/Datasheet!T674</f>
        <v>0.73978252718410198</v>
      </c>
      <c r="U734" s="60">
        <f>Datasheet!U679/Datasheet!U674</f>
        <v>0.73764774268552602</v>
      </c>
      <c r="V734" s="60">
        <f>Datasheet!V679/Datasheet!V674</f>
        <v>0.71667674934462589</v>
      </c>
      <c r="W734" s="60">
        <f>Datasheet!W679/Datasheet!W674</f>
        <v>0.72858354537743852</v>
      </c>
      <c r="X734" s="60">
        <f>Datasheet!X679/Datasheet!X674</f>
        <v>0.65032887757267133</v>
      </c>
      <c r="Y734" s="60">
        <f>Datasheet!Y679/Datasheet!Y674</f>
        <v>0.60747456877487838</v>
      </c>
      <c r="Z734" s="60">
        <f>Datasheet!Z679/Datasheet!Z674</f>
        <v>0.57278939739076418</v>
      </c>
      <c r="AA734" s="60">
        <f>Datasheet!AA679/Datasheet!AA674</f>
        <v>0.58976930792377136</v>
      </c>
      <c r="AB734" s="60">
        <f>IF(Datasheet!AB679&gt;0,Datasheet!AB679/Datasheet!AB674,_xlfn.FORECAST.ETS(AB2,S734:AA734,S2:AA2))</f>
        <v>0.61278195488721809</v>
      </c>
      <c r="AC734" s="60">
        <f>IF(Datasheet!AC679&gt;0,Datasheet!AC679/Datasheet!AC674,_xlfn.FORECAST.ETS(AC2,T734:AB734,T2:AB2))</f>
        <v>0.53648981727888367</v>
      </c>
      <c r="AD734" s="60">
        <f>IF(Datasheet!AD679&gt;0,Datasheet!AD679/Datasheet!AD674,_xlfn.FORECAST.ETS(AD2,U734:AC734,U2:AC2))</f>
        <v>0.51689958755905263</v>
      </c>
      <c r="AE734" s="60">
        <f>IF(Datasheet!AE679&gt;0,Datasheet!AE679/Datasheet!AE674,_xlfn.FORECAST.ETS(AE2,V734:AD734,V2:AD2))</f>
        <v>0.49618831765055482</v>
      </c>
      <c r="AF734" s="60">
        <f>IF(Datasheet!AF679&gt;0,Datasheet!AF679/Datasheet!AF674,_xlfn.FORECAST.ETS(AF2,W734:AE734,W2:AE2))</f>
        <v>0.47196210813008621</v>
      </c>
      <c r="AG734" s="60">
        <f>IF(Datasheet!AG679&gt;0,Datasheet!AG679/Datasheet!AG674,_xlfn.FORECAST.ETS(AG2,X734:AF734,X2:AF2))</f>
        <v>0.46798401171092591</v>
      </c>
      <c r="AH734" s="60">
        <f>IF(Datasheet!AH679&gt;0,Datasheet!AH679/Datasheet!AH674,_xlfn.FORECAST.ETS(AH2,Y734:AG734,Y2:AG2))</f>
        <v>0.44230561189381584</v>
      </c>
      <c r="AI734" s="60">
        <f>IF(Datasheet!AI679&gt;0,Datasheet!AI679/Datasheet!AI674,_xlfn.FORECAST.ETS(AI2,Z734:AH734,Z2:AH2))</f>
        <v>0.42190745483975028</v>
      </c>
      <c r="AJ734" s="60">
        <f>IF(Datasheet!AJ679&gt;0,Datasheet!AJ679/Datasheet!AJ674,_xlfn.FORECAST.ETS(AJ2,AA734:AI734,AA2:AI2))</f>
        <v>0.38550785307935093</v>
      </c>
      <c r="AK734" s="60">
        <f>IF(Datasheet!AK679&gt;0,Datasheet!AK679/Datasheet!AK674,_xlfn.FORECAST.ETS(AK2,AB734:AJ734,AB2:AJ2))</f>
        <v>0.36285031437109627</v>
      </c>
    </row>
    <row r="735" spans="2:39" s="4" customFormat="1" x14ac:dyDescent="0.25">
      <c r="B735" s="44"/>
      <c r="F735" s="4" t="s">
        <v>2206</v>
      </c>
      <c r="I735" s="39"/>
      <c r="J735" s="69"/>
      <c r="K735" s="69"/>
      <c r="L735" s="69"/>
      <c r="M735" s="69"/>
      <c r="N735" s="69"/>
      <c r="O735" s="69"/>
      <c r="P735" s="69"/>
      <c r="Q735" s="60">
        <f>Q737/SUM(Q737:Q738)</f>
        <v>0.57972623011468738</v>
      </c>
      <c r="R735" s="60">
        <f t="shared" ref="R735:AB735" si="159">R737/SUM(R737:R738)</f>
        <v>0.57408595253367545</v>
      </c>
      <c r="S735" s="60">
        <f t="shared" si="159"/>
        <v>0.55967999999999996</v>
      </c>
      <c r="T735" s="60">
        <f t="shared" si="159"/>
        <v>0.52901255514082113</v>
      </c>
      <c r="U735" s="60">
        <f t="shared" si="159"/>
        <v>0.50691915513474139</v>
      </c>
      <c r="V735" s="60">
        <f t="shared" si="159"/>
        <v>0.451171875</v>
      </c>
      <c r="W735" s="60">
        <f t="shared" si="159"/>
        <v>0.45064377682403434</v>
      </c>
      <c r="X735" s="60">
        <f t="shared" si="159"/>
        <v>0.27592267135325133</v>
      </c>
      <c r="Y735" s="60">
        <f t="shared" si="159"/>
        <v>0.12819253438113948</v>
      </c>
      <c r="Z735" s="60">
        <f t="shared" si="159"/>
        <v>0.13464765100671142</v>
      </c>
      <c r="AA735" s="60">
        <f t="shared" si="159"/>
        <v>1.1480362537764351E-2</v>
      </c>
      <c r="AB735" s="60">
        <f t="shared" si="159"/>
        <v>0.40585084466419447</v>
      </c>
      <c r="AC735" s="60">
        <f t="shared" ref="AC735:AK735" si="160">AC737/SUM(AC737:AC738)</f>
        <v>7.0152885913386684E-2</v>
      </c>
      <c r="AD735" s="60">
        <f t="shared" si="160"/>
        <v>3.4312959487894291E-2</v>
      </c>
      <c r="AE735" s="60">
        <f t="shared" si="160"/>
        <v>1.0579084468432877E-2</v>
      </c>
      <c r="AF735" s="60">
        <f t="shared" si="160"/>
        <v>-2.0815666403374424E-2</v>
      </c>
      <c r="AG735" s="60">
        <f t="shared" si="160"/>
        <v>2.9742019536559472E-2</v>
      </c>
      <c r="AH735" s="60">
        <f t="shared" si="160"/>
        <v>-4.746018155726222E-2</v>
      </c>
      <c r="AI735" s="60">
        <f t="shared" si="160"/>
        <v>-0.14341896379087657</v>
      </c>
      <c r="AJ735" s="60">
        <f t="shared" si="160"/>
        <v>-0.18436191276948521</v>
      </c>
      <c r="AK735" s="60">
        <f t="shared" si="160"/>
        <v>-0.27120592465163218</v>
      </c>
    </row>
    <row r="736" spans="2:39" s="4" customFormat="1" x14ac:dyDescent="0.25">
      <c r="B736" s="44"/>
      <c r="G736" s="4" t="s">
        <v>2203</v>
      </c>
      <c r="I736" s="39"/>
      <c r="J736" s="69"/>
      <c r="K736" s="69"/>
      <c r="L736" s="69"/>
      <c r="M736" s="69"/>
      <c r="N736" s="69"/>
      <c r="O736" s="69"/>
      <c r="P736" s="69"/>
      <c r="Q736" s="59">
        <f>Datasheet!Q637-Datasheet!P106-Datasheet!P111</f>
        <v>2314</v>
      </c>
      <c r="R736" s="59">
        <f>Datasheet!R637-Datasheet!Q106-Datasheet!Q111</f>
        <v>2302</v>
      </c>
      <c r="S736" s="59">
        <f>Datasheet!S637-Datasheet!R106-Datasheet!R111</f>
        <v>2369</v>
      </c>
      <c r="T736" s="59">
        <f>Datasheet!T637-Datasheet!S106-Datasheet!S111</f>
        <v>2387</v>
      </c>
      <c r="U736" s="59">
        <f>Datasheet!U637-Datasheet!T106-Datasheet!T111</f>
        <v>2415</v>
      </c>
      <c r="V736" s="59">
        <f>Datasheet!V637-Datasheet!U106-Datasheet!U111</f>
        <v>2399</v>
      </c>
      <c r="W736" s="59">
        <f>Datasheet!W637-Datasheet!V106-Datasheet!V111</f>
        <v>2386</v>
      </c>
      <c r="X736" s="59">
        <f>Datasheet!X637-Datasheet!W106-Datasheet!W111</f>
        <v>2437</v>
      </c>
      <c r="Y736" s="59">
        <f>Datasheet!Y637-Datasheet!X106-Datasheet!X111</f>
        <v>2486</v>
      </c>
      <c r="Z736" s="59">
        <f>Datasheet!Z637-Datasheet!Y106-Datasheet!Y111</f>
        <v>2445</v>
      </c>
      <c r="AA736" s="59">
        <f>Datasheet!AA637-Datasheet!Z106-Datasheet!Z111</f>
        <v>2333</v>
      </c>
      <c r="AB736" s="59">
        <f>Datasheet!AB637-Datasheet!AA106-Datasheet!AA111</f>
        <v>1297</v>
      </c>
      <c r="AC736" s="59">
        <f>Datasheet!AC637-Datasheet!AB106-Datasheet!AB111</f>
        <v>-12216</v>
      </c>
      <c r="AD736" s="59">
        <f>Datasheet!AD637-Datasheet!AC106-Datasheet!AC111</f>
        <v>-12354</v>
      </c>
      <c r="AE736" s="59">
        <f>Datasheet!AE637-Datasheet!AD106-Datasheet!AD111</f>
        <v>-12352</v>
      </c>
      <c r="AF736" s="59">
        <f>Datasheet!AF637-Datasheet!AE106-Datasheet!AE111</f>
        <v>-12352</v>
      </c>
      <c r="AG736" s="59">
        <f>Datasheet!AG637-Datasheet!AF106-Datasheet!AF111</f>
        <v>-12352</v>
      </c>
      <c r="AH736" s="59">
        <f>Datasheet!AH637-Datasheet!AG106-Datasheet!AG111</f>
        <v>-12352</v>
      </c>
      <c r="AI736" s="59">
        <f>Datasheet!AI637-Datasheet!AH106-Datasheet!AH111</f>
        <v>-12352</v>
      </c>
      <c r="AJ736" s="59">
        <f>Datasheet!AJ637-Datasheet!AI106-Datasheet!AI111</f>
        <v>-12352</v>
      </c>
      <c r="AK736" s="59">
        <f>Datasheet!AK637-Datasheet!AJ106-Datasheet!AJ111</f>
        <v>-12352</v>
      </c>
    </row>
    <row r="737" spans="2:39" s="4" customFormat="1" x14ac:dyDescent="0.25">
      <c r="B737" s="44"/>
      <c r="G737" s="4" t="s">
        <v>2204</v>
      </c>
      <c r="I737" s="39"/>
      <c r="J737" s="69"/>
      <c r="K737" s="69"/>
      <c r="L737" s="69"/>
      <c r="M737" s="69"/>
      <c r="N737" s="69"/>
      <c r="O737" s="69"/>
      <c r="P737" s="69"/>
      <c r="Q737" s="59">
        <f>Datasheet!Q679-Q736</f>
        <v>1567</v>
      </c>
      <c r="R737" s="59">
        <f>Datasheet!R679-R736</f>
        <v>1790</v>
      </c>
      <c r="S737" s="59">
        <f>Datasheet!S679-S736</f>
        <v>1749</v>
      </c>
      <c r="T737" s="59">
        <f>Datasheet!T679-T736</f>
        <v>1559</v>
      </c>
      <c r="U737" s="59">
        <f>Datasheet!U679-U736</f>
        <v>1392</v>
      </c>
      <c r="V737" s="59">
        <f>Datasheet!V679-V736</f>
        <v>1155</v>
      </c>
      <c r="W737" s="59">
        <f>Datasheet!W679-W736</f>
        <v>1050</v>
      </c>
      <c r="X737" s="59">
        <f>Datasheet!X679-X736</f>
        <v>628</v>
      </c>
      <c r="Y737" s="59">
        <f>Datasheet!Y679-Y736</f>
        <v>261</v>
      </c>
      <c r="Z737" s="59">
        <f>Datasheet!Z679-Z736</f>
        <v>321</v>
      </c>
      <c r="AA737" s="59">
        <f>Datasheet!AA679-AA736</f>
        <v>19</v>
      </c>
      <c r="AB737" s="59">
        <f>IF(Datasheet!AB679&gt;0,Datasheet!AB679-AB736,_xlfn.FORECAST.ETS(AB2,S737:AA737,S2:AA2))</f>
        <v>985</v>
      </c>
      <c r="AC737" s="59">
        <f>IF(Datasheet!AC679&gt;0,Datasheet!AC679-AC736,_xlfn.FORECAST.ETS(AC2,T737:AB737,T2:AB2))</f>
        <v>137.116046054555</v>
      </c>
      <c r="AD737" s="59">
        <f>IF(Datasheet!AD679&gt;0,Datasheet!AD679-AD736,_xlfn.FORECAST.ETS(AD2,U737:AC737,U2:AC2))</f>
        <v>64.682218150253092</v>
      </c>
      <c r="AE737" s="59">
        <f>IF(Datasheet!AE679&gt;0,Datasheet!AE679-AE736,_xlfn.FORECAST.ETS(AE2,V737:AD737,V2:AD2))</f>
        <v>19.43445481264266</v>
      </c>
      <c r="AF737" s="59">
        <f>IF(Datasheet!AF679&gt;0,Datasheet!AF679-AF736,_xlfn.FORECAST.ETS(AF2,W737:AE737,W2:AE2))</f>
        <v>-37.951874630458846</v>
      </c>
      <c r="AG737" s="59">
        <f>IF(Datasheet!AG679&gt;0,Datasheet!AG679-AG736,_xlfn.FORECAST.ETS(AG2,X737:AF737,X2:AF2))</f>
        <v>53.765022499363411</v>
      </c>
      <c r="AH737" s="59">
        <f>IF(Datasheet!AH679&gt;0,Datasheet!AH679-AH736,_xlfn.FORECAST.ETS(AH2,Y737:AG737,Y2:AG2))</f>
        <v>-80.771613772392641</v>
      </c>
      <c r="AI737" s="59">
        <f>IF(Datasheet!AI679&gt;0,Datasheet!AI679-AI736,_xlfn.FORECAST.ETS(AI2,Z737:AH737,Z2:AH2))</f>
        <v>-223.48722376449462</v>
      </c>
      <c r="AJ737" s="59">
        <f>IF(Datasheet!AJ679&gt;0,Datasheet!AJ679-AJ736,_xlfn.FORECAST.ETS(AJ2,AA737:AI737,AA2:AI2))</f>
        <v>-290.21663911537382</v>
      </c>
      <c r="AK737" s="59">
        <f>IF(Datasheet!AK679&gt;0,Datasheet!AK679-AK736,_xlfn.FORECAST.ETS(AK2,AB737:AJ737,AB2:AJ2))</f>
        <v>-401.75344476884811</v>
      </c>
    </row>
    <row r="738" spans="2:39" s="4" customFormat="1" x14ac:dyDescent="0.25">
      <c r="B738" s="44"/>
      <c r="G738" s="4" t="s">
        <v>2207</v>
      </c>
      <c r="I738" s="39"/>
      <c r="J738" s="69"/>
      <c r="K738" s="69"/>
      <c r="L738" s="69"/>
      <c r="M738" s="69"/>
      <c r="N738" s="69"/>
      <c r="O738" s="69"/>
      <c r="P738" s="69"/>
      <c r="Q738" s="59">
        <f>SUM(Datasheet!Q675:Q678,Datasheet!Q680:Q681)</f>
        <v>1136</v>
      </c>
      <c r="R738" s="59">
        <f>SUM(Datasheet!R675:R678,Datasheet!R680:R681)</f>
        <v>1328</v>
      </c>
      <c r="S738" s="59">
        <f>SUM(Datasheet!S675:S678,Datasheet!S680:S681)</f>
        <v>1376</v>
      </c>
      <c r="T738" s="59">
        <f>SUM(Datasheet!T675:T678,Datasheet!T680:T681)</f>
        <v>1388</v>
      </c>
      <c r="U738" s="59">
        <f>SUM(Datasheet!U675:U678,Datasheet!U680:U681)</f>
        <v>1354</v>
      </c>
      <c r="V738" s="59">
        <f>SUM(Datasheet!V675:V678,Datasheet!V680:V681)</f>
        <v>1405</v>
      </c>
      <c r="W738" s="59">
        <f>SUM(Datasheet!W675:W678,Datasheet!W680:W681)</f>
        <v>1280</v>
      </c>
      <c r="X738" s="59">
        <f>SUM(Datasheet!X675:X678,Datasheet!X680:X681)</f>
        <v>1648</v>
      </c>
      <c r="Y738" s="59">
        <f>SUM(Datasheet!Y675:Y678,Datasheet!Y680:Y681)</f>
        <v>1775</v>
      </c>
      <c r="Z738" s="59">
        <f>SUM(Datasheet!Z675:Z678,Datasheet!Z680:Z681)</f>
        <v>2063</v>
      </c>
      <c r="AA738" s="59">
        <f>SUM(Datasheet!AA675:AA678,Datasheet!AA680:AA681)</f>
        <v>1636</v>
      </c>
      <c r="AB738" s="59">
        <f>SUM(Datasheet!AB675:AB678,Datasheet!AB680:AB681)</f>
        <v>1442</v>
      </c>
      <c r="AC738" s="59">
        <f>IF(Datasheet!AC71&gt;0,SUM(Datasheet!AC675:AC678,Datasheet!AC680:AC681),_xlfn.FORECAST.ETS(AC2,T738:AB738,T2:AB2))</f>
        <v>1817.4157493136852</v>
      </c>
      <c r="AD738" s="59">
        <f>IF(Datasheet!AD71&gt;0,SUM(Datasheet!AD675:AD678,Datasheet!AD680:AD681),_xlfn.FORECAST.ETS(AD2,U738:AC738,U2:AC2))</f>
        <v>1820.3845063645228</v>
      </c>
      <c r="AE738" s="59">
        <f>IF(Datasheet!AE71&gt;0,SUM(Datasheet!AE675:AE678,Datasheet!AE680:AE681),_xlfn.FORECAST.ETS(AE2,V738:AD738,V2:AD2))</f>
        <v>1817.6295057440091</v>
      </c>
      <c r="AF738" s="59">
        <f>IF(Datasheet!AF71&gt;0,SUM(Datasheet!AF675:AF678,Datasheet!AF680:AF681),_xlfn.FORECAST.ETS(AF2,W738:AE738,W2:AE2))</f>
        <v>1861.1879841554689</v>
      </c>
      <c r="AG738" s="59">
        <f>IF(Datasheet!AG71&gt;0,SUM(Datasheet!AG675:AG678,Datasheet!AG680:AG681),_xlfn.FORECAST.ETS(AG2,X738:AF738,X2:AF2))</f>
        <v>1753.9475450105326</v>
      </c>
      <c r="AH738" s="59">
        <f>IF(Datasheet!AH71&gt;0,SUM(Datasheet!AH675:AH678,Datasheet!AH680:AH681),_xlfn.FORECAST.ETS(AH2,Y738:AG738,Y2:AG2))</f>
        <v>1782.6532990529074</v>
      </c>
      <c r="AI738" s="59">
        <f>IF(Datasheet!AI71&gt;0,SUM(Datasheet!AI675:AI678,Datasheet!AI680:AI681),_xlfn.FORECAST.ETS(AI2,Z738:AH738,Z2:AH2))</f>
        <v>1781.7694610449698</v>
      </c>
      <c r="AJ738" s="59">
        <f>IF(Datasheet!AJ71&gt;0,SUM(Datasheet!AJ675:AJ678,Datasheet!AJ680:AJ681),_xlfn.FORECAST.ETS(AJ2,AA738:AI738,AA2:AI2))</f>
        <v>1864.3847238121455</v>
      </c>
      <c r="AK738" s="59">
        <f>IF(Datasheet!AK71&gt;0,SUM(Datasheet!AK675:AK678,Datasheet!AK680:AK681),_xlfn.FORECAST.ETS(AK2,AB738:AJ738,AB2:AJ2))</f>
        <v>1883.1128408989512</v>
      </c>
    </row>
    <row r="739" spans="2:39" s="4" customFormat="1" x14ac:dyDescent="0.25">
      <c r="B739" s="44"/>
      <c r="E739" s="4" t="s">
        <v>2211</v>
      </c>
      <c r="I739" s="39"/>
      <c r="J739" s="69"/>
      <c r="K739" s="69"/>
      <c r="L739" s="69"/>
      <c r="M739" s="69"/>
      <c r="N739" s="69"/>
      <c r="O739" s="69"/>
      <c r="P739" s="69"/>
      <c r="Q739" s="59">
        <f>(Q728-Q727)*Datasheet!Q681/SUM(Datasheet!Q675:Q678,Datasheet!Q680:Q681)</f>
        <v>84.709103365980738</v>
      </c>
      <c r="R739" s="59">
        <f>(R728-R727)*Datasheet!R681/SUM(Datasheet!R675:R678,Datasheet!R680:R681)</f>
        <v>144.35469879850703</v>
      </c>
      <c r="S739" s="59">
        <f>(S728-S727)*Datasheet!S681/SUM(Datasheet!S675:S678,Datasheet!S680:S681)</f>
        <v>130.39807346206672</v>
      </c>
      <c r="T739" s="59">
        <f>(T728-T727)*Datasheet!T681/SUM(Datasheet!T675:T678,Datasheet!T680:T681)</f>
        <v>161.48838239134326</v>
      </c>
      <c r="U739" s="59">
        <f>(U728-U727)*Datasheet!U681/SUM(Datasheet!U675:U678,Datasheet!U680:U681)</f>
        <v>193.6138322005024</v>
      </c>
      <c r="V739" s="59">
        <f>(V728-V727)*Datasheet!V681/SUM(Datasheet!V675:V678,Datasheet!V680:V681)</f>
        <v>204.60895154486948</v>
      </c>
      <c r="W739" s="59">
        <f>(W728-W727)*Datasheet!W681/SUM(Datasheet!W675:W678,Datasheet!W680:W681)</f>
        <v>173.81630598981596</v>
      </c>
      <c r="X739" s="59">
        <f>(X728-X727)*Datasheet!X681/SUM(Datasheet!X675:X678,Datasheet!X680:X681)</f>
        <v>294.39140665514913</v>
      </c>
      <c r="Y739" s="59">
        <f>(Y728-Y727)*Datasheet!Y681/SUM(Datasheet!Y675:Y678,Datasheet!Y680:Y681)</f>
        <v>307.26804108809694</v>
      </c>
      <c r="Z739" s="59">
        <f>(Z728-Z727)*Datasheet!Z681/SUM(Datasheet!Z675:Z678,Datasheet!Z680:Z681)</f>
        <v>352.94551810626064</v>
      </c>
      <c r="AA739" s="59">
        <f>(AA728-AA727)*Datasheet!AA681/SUM(Datasheet!AA675:AA678,Datasheet!AA680:AA681)</f>
        <v>319.91412144287847</v>
      </c>
      <c r="AB739" s="59">
        <f>(AB728-AB727)*Datasheet!AB681/SUM(Datasheet!AB675:AB678,Datasheet!AB680:AB681)</f>
        <v>294.83176691729318</v>
      </c>
      <c r="AC739" s="59">
        <f>IF(Datasheet!AC681&gt;0,(AC728-AC727)*Datasheet!AC681/SUM(Datasheet!AC675:AC678,Datasheet!AC680:AC681),_xlfn.FORECAST.ETS(AC2,T739:AB739,T2:AB2))</f>
        <v>363.15471281125457</v>
      </c>
      <c r="AD739" s="59">
        <f>IF(Datasheet!AD681&gt;0,(AD728-AD727)*Datasheet!AD681/SUM(Datasheet!AD675:AD678,Datasheet!AD680:AD681),_xlfn.FORECAST.ETS(AD2,U739:AC739,U2:AC2))</f>
        <v>388.43169663995172</v>
      </c>
      <c r="AE739" s="59">
        <f>IF(Datasheet!AE681&gt;0,(AE728-AE727)*Datasheet!AE681/SUM(Datasheet!AE675:AE678,Datasheet!AE680:AE681),_xlfn.FORECAST.ETS(AE2,V739:AD739,V2:AD2))</f>
        <v>402.60451448766673</v>
      </c>
      <c r="AF739" s="59">
        <f>IF(Datasheet!AF681&gt;0,(AF728-AF727)*Datasheet!AF681/SUM(Datasheet!AF675:AF678,Datasheet!AF680:AF681),_xlfn.FORECAST.ETS(AF2,W739:AE739,W2:AE2))</f>
        <v>424.11144593117888</v>
      </c>
      <c r="AG739" s="59">
        <f>IF(Datasheet!AG681&gt;0,(AG728-AG727)*Datasheet!AG681/SUM(Datasheet!AG675:AG678,Datasheet!AG680:AG681),_xlfn.FORECAST.ETS(AG2,X739:AF739,X2:AF2))</f>
        <v>431.88670658616888</v>
      </c>
      <c r="AH739" s="59">
        <f>IF(Datasheet!AH681&gt;0,(AH728-AH727)*Datasheet!AH681/SUM(Datasheet!AH675:AH678,Datasheet!AH680:AH681),_xlfn.FORECAST.ETS(AH2,Y739:AG739,Y2:AG2))</f>
        <v>452.47547077837368</v>
      </c>
      <c r="AI739" s="59">
        <f>IF(Datasheet!AI681&gt;0,(AI728-AI727)*Datasheet!AI681/SUM(Datasheet!AI675:AI678,Datasheet!AI680:AI681),_xlfn.FORECAST.ETS(AI2,Z739:AH739,Z2:AH2))</f>
        <v>469.38050939799467</v>
      </c>
      <c r="AJ739" s="59">
        <f>IF(Datasheet!AJ681&gt;0,(AJ728-AJ727)*Datasheet!AJ681/SUM(Datasheet!AJ675:AJ678,Datasheet!AJ680:AJ681),_xlfn.FORECAST.ETS(AJ2,AA739:AI739,AA2:AI2))</f>
        <v>500.81615205677315</v>
      </c>
      <c r="AK739" s="59">
        <f>IF(Datasheet!AK681&gt;0,(AK728-AK727)*Datasheet!AK681/SUM(Datasheet!AK675:AK678,Datasheet!AK680:AK681),_xlfn.FORECAST.ETS(AK2,AB739:AJ739,AB2:AJ2))</f>
        <v>521.59358056836902</v>
      </c>
    </row>
    <row r="740" spans="2:39" s="79" customFormat="1" x14ac:dyDescent="0.25">
      <c r="B740" s="136"/>
      <c r="F740" s="79" t="s">
        <v>2216</v>
      </c>
      <c r="I740" s="81"/>
      <c r="J740" s="100"/>
      <c r="K740" s="100"/>
      <c r="L740" s="100"/>
      <c r="M740" s="100"/>
      <c r="N740" s="100"/>
      <c r="O740" s="100"/>
      <c r="P740" s="100"/>
      <c r="Q740" s="81">
        <f t="shared" ref="Q740:AB740" si="161">Q727+Q739</f>
        <v>896.68675891535929</v>
      </c>
      <c r="R740" s="81">
        <f t="shared" si="161"/>
        <v>1105.7458382456487</v>
      </c>
      <c r="S740" s="81">
        <f t="shared" si="161"/>
        <v>1121.8533464082395</v>
      </c>
      <c r="T740" s="81">
        <f t="shared" si="161"/>
        <v>1131.4147390073954</v>
      </c>
      <c r="U740" s="81">
        <f t="shared" si="161"/>
        <v>1155.5160784991292</v>
      </c>
      <c r="V740" s="81">
        <f t="shared" si="161"/>
        <v>1136.3543913728427</v>
      </c>
      <c r="W740" s="81">
        <f t="shared" si="161"/>
        <v>1151.3401843731608</v>
      </c>
      <c r="X740" s="81">
        <f t="shared" si="161"/>
        <v>1113.3988199454193</v>
      </c>
      <c r="Y740" s="81">
        <f t="shared" si="161"/>
        <v>969.78978100421591</v>
      </c>
      <c r="Z740" s="81">
        <f t="shared" si="161"/>
        <v>1076.2004383723431</v>
      </c>
      <c r="AA740" s="81">
        <f t="shared" si="161"/>
        <v>943.10940487626021</v>
      </c>
      <c r="AB740" s="81">
        <f t="shared" si="161"/>
        <v>1530.9426691729325</v>
      </c>
      <c r="AC740" s="81">
        <f t="shared" ref="AC740:AK740" si="162">AC727+AC739</f>
        <v>1082.5876401814055</v>
      </c>
      <c r="AD740" s="81">
        <f t="shared" si="162"/>
        <v>1020.3865008036357</v>
      </c>
      <c r="AE740" s="81">
        <f t="shared" si="162"/>
        <v>893.07565048842582</v>
      </c>
      <c r="AF740" s="81">
        <f t="shared" si="162"/>
        <v>809.81059246491623</v>
      </c>
      <c r="AG740" s="81">
        <f t="shared" si="162"/>
        <v>772.87102498543436</v>
      </c>
      <c r="AH740" s="81">
        <f t="shared" si="162"/>
        <v>690.85628896384128</v>
      </c>
      <c r="AI740" s="81">
        <f t="shared" si="162"/>
        <v>604.31739672968592</v>
      </c>
      <c r="AJ740" s="81">
        <f t="shared" si="162"/>
        <v>573.686699009535</v>
      </c>
      <c r="AK740" s="81">
        <f t="shared" si="162"/>
        <v>543.83415156541116</v>
      </c>
    </row>
    <row r="741" spans="2:39" s="4" customFormat="1" x14ac:dyDescent="0.25">
      <c r="B741" s="44"/>
      <c r="E741" s="4" t="s">
        <v>1244</v>
      </c>
      <c r="H741" s="4" t="s">
        <v>1245</v>
      </c>
      <c r="I741" s="39"/>
      <c r="J741" s="69"/>
      <c r="K741" s="69"/>
      <c r="L741" s="69"/>
      <c r="M741" s="69"/>
      <c r="N741" s="69"/>
      <c r="O741" s="69"/>
      <c r="P741" s="69"/>
      <c r="Q741" s="178">
        <f>IF(Datasheet!Q593&gt;0,Datasheet!Q593,AVERAGE(L749:P749))</f>
        <v>3.23</v>
      </c>
      <c r="R741" s="178">
        <f>IF(Datasheet!R593&gt;0,Datasheet!R593,AVERAGE(M749:Q749))</f>
        <v>3.25</v>
      </c>
      <c r="S741" s="178">
        <f>IF(Datasheet!S593&gt;0,Datasheet!S593,AVERAGE(N749:R749))</f>
        <v>3.25</v>
      </c>
      <c r="T741" s="178">
        <f>IF(Datasheet!T593&gt;0,Datasheet!T593,AVERAGE(O749:S749))</f>
        <v>3.26</v>
      </c>
      <c r="U741" s="178">
        <f>IF(Datasheet!U593&gt;0,Datasheet!U593,AVERAGE(P749:T749))</f>
        <v>3.26</v>
      </c>
      <c r="V741" s="178">
        <f>IF(Datasheet!V593&gt;0,Datasheet!V593,AVERAGE(Q749:U749))</f>
        <v>3.26</v>
      </c>
      <c r="W741" s="178">
        <f>IF(Datasheet!W593&gt;0,Datasheet!W593,AVERAGE(R749:V749))</f>
        <v>3.27</v>
      </c>
      <c r="X741" s="178">
        <f>IF(Datasheet!X593&gt;0,Datasheet!X593,AVERAGE(S749:W749))</f>
        <v>3.26</v>
      </c>
      <c r="Y741" s="178">
        <f>IF(Datasheet!Y593&gt;0,Datasheet!Y593,AVERAGE(T749:X749))</f>
        <v>3.24</v>
      </c>
      <c r="Z741" s="178">
        <f>IF(Datasheet!Z593&gt;0,Datasheet!Z593,AVERAGE(U749:Y749))</f>
        <v>3.23</v>
      </c>
      <c r="AA741" s="178">
        <f>IF(Datasheet!AA593&gt;0,Datasheet!AA593,AVERAGE(V749:Z749))</f>
        <v>3.21</v>
      </c>
      <c r="AB741" s="178">
        <f>IF(Datasheet!AB593&gt;0,Datasheet!AB593,AVERAGE(W749:AA749))</f>
        <v>3.15</v>
      </c>
      <c r="AC741" s="178">
        <f>IF(Datasheet!AC593&gt;0,Datasheet!AC593,AVERAGE(X749:AB749))</f>
        <v>3.218</v>
      </c>
      <c r="AD741" s="178">
        <f>IF(Datasheet!AD593&gt;0,Datasheet!AD593,AVERAGE(Y749:AC749))</f>
        <v>3.2096000000000005</v>
      </c>
      <c r="AE741" s="178">
        <f>IF(Datasheet!AE593&gt;0,Datasheet!AE593,AVERAGE(Z749:AD749))</f>
        <v>3.2035200000000001</v>
      </c>
      <c r="AF741" s="178">
        <f>IF(Datasheet!AF593&gt;0,Datasheet!AF593,AVERAGE(AA749:AE749))</f>
        <v>3.1982239999999997</v>
      </c>
      <c r="AG741" s="178">
        <f>IF(Datasheet!AG593&gt;0,Datasheet!AG593,AVERAGE(AB749:AF749))</f>
        <v>3.1958688000000004</v>
      </c>
      <c r="AH741" s="178">
        <f>IF(Datasheet!AH593&gt;0,Datasheet!AH593,AVERAGE(AC749:AG749))</f>
        <v>3.2050425599999999</v>
      </c>
      <c r="AI741" s="178">
        <f>IF(Datasheet!AI593&gt;0,Datasheet!AI593,AVERAGE(AD749:AH749))</f>
        <v>3.2024510720000001</v>
      </c>
      <c r="AJ741" s="178">
        <f>IF(Datasheet!AJ593&gt;0,Datasheet!AJ593,AVERAGE(AE749:AI749))</f>
        <v>3.2010212863999996</v>
      </c>
      <c r="AK741" s="178">
        <f>IF(Datasheet!AK593&gt;0,Datasheet!AK593,AVERAGE(AF749:AJ749))</f>
        <v>3.2005215436799999</v>
      </c>
    </row>
    <row r="742" spans="2:39" s="79" customFormat="1" x14ac:dyDescent="0.25">
      <c r="D742" s="79" t="s">
        <v>1246</v>
      </c>
    </row>
    <row r="743" spans="2:39" s="79" customFormat="1" x14ac:dyDescent="0.25">
      <c r="E743" s="79" t="s">
        <v>1232</v>
      </c>
      <c r="Q743" s="225">
        <f t="shared" ref="Q743:Y743" si="163">AVERAGE(SUM(SUM(Q746*Q747,(Q748+Q750)*Q749)*Q758,Q771,Q784,Q797,Q810),SUM(SUM(Q746*Q747,(Q748+Q750)*Q749)*Q759,Q772,Q798,Q785,Q811),SUM(SUM(Q746*Q747,(Q748+Q750)*Q749)*Q760,Q773,Q786,Q799,Q812),SUM(SUM(Q746*Q747,(Q748+Q750)*Q749)*Q761,Q787,Q800,Q813,Q774))</f>
        <v>20629.539376790057</v>
      </c>
      <c r="R743" s="225">
        <f t="shared" si="163"/>
        <v>20007.151486261679</v>
      </c>
      <c r="S743" s="225">
        <f t="shared" si="163"/>
        <v>20546.252698087432</v>
      </c>
      <c r="T743" s="225">
        <f t="shared" si="163"/>
        <v>20331.364485545564</v>
      </c>
      <c r="U743" s="225">
        <f t="shared" si="163"/>
        <v>20891.21400065221</v>
      </c>
      <c r="V743" s="225">
        <f t="shared" si="163"/>
        <v>22071.013891563543</v>
      </c>
      <c r="W743" s="225">
        <f t="shared" si="163"/>
        <v>21773.363653647102</v>
      </c>
      <c r="X743" s="225">
        <f t="shared" si="163"/>
        <v>22768.074762291555</v>
      </c>
      <c r="Y743" s="225">
        <f t="shared" si="163"/>
        <v>21263.458120042309</v>
      </c>
      <c r="Z743" s="225">
        <f>AVERAGE(SUM(SUM(Z746*Z747,(Z748+Z750)*Z749)*Z758,Z771,Z784,Z797,Z810),SUM(SUM(Z746*Z747,(Z748+Z750)*Z749)*Z759,Z772,Z798,Z785,Z811),SUM(SUM(Z746*Z747,(Z748+Z750)*Z749)*Z760,Z773,Z786,Z799,Z812),SUM(SUM(Z746*Z747,(Z748+Z750)*Z749)*Z761,Z787,Z800,Z813,Z774))</f>
        <v>21241.08957560021</v>
      </c>
      <c r="AA743" s="225">
        <f>AVERAGE(SUM(SUM(AA746*AA747,(AA748+AA750)*AA749)*AA758,AA771,AA784,AA797,AA810),SUM(SUM(AA746*AA747,(AA748+AA750)*AA749)*AA759,AA772,AA798,AA785,AA811),SUM(SUM(AA746*AA747,(AA748+AA750)*AA749)*AA760,AA773,AA786,AA799,AA812),SUM(SUM(AA746*AA747,(AA748+AA750)*AA749)*AA761,AA787,AA800,AA813,AA774))</f>
        <v>15208.623524688875</v>
      </c>
      <c r="AB743" s="225">
        <f t="shared" ref="AB743:AK743" si="164">AVERAGE(SUM(AB746*AB747,(AB748+AB750)*AB749,AB771,AB784,AB797,AB810)*AB758,SUM(AB746*AB747,(AB748+AB750)*AB749,AB772,AB798,AB785,AB811)*AB759,SUM(AB746*AB747,(AB748+AB750)*AB749,AB773,AB786,AB799,AB812)*AB760,SUM(AB746*AB747,(AB748+AB750)*AB749,AB787,AB800,AB813,AB774)*AB761)</f>
        <v>21792.947849325752</v>
      </c>
      <c r="AC743" s="225">
        <f t="shared" si="164"/>
        <v>19209.39974222528</v>
      </c>
      <c r="AD743" s="225">
        <f t="shared" si="164"/>
        <v>0</v>
      </c>
      <c r="AE743" s="225">
        <f t="shared" si="164"/>
        <v>0</v>
      </c>
      <c r="AF743" s="225">
        <f t="shared" si="164"/>
        <v>0</v>
      </c>
      <c r="AG743" s="225">
        <f t="shared" si="164"/>
        <v>0</v>
      </c>
      <c r="AH743" s="225">
        <f t="shared" si="164"/>
        <v>0</v>
      </c>
      <c r="AI743" s="225">
        <f t="shared" si="164"/>
        <v>0</v>
      </c>
      <c r="AJ743" s="225">
        <f t="shared" si="164"/>
        <v>0</v>
      </c>
      <c r="AK743" s="225">
        <f t="shared" si="164"/>
        <v>0</v>
      </c>
      <c r="AM743" s="60"/>
    </row>
    <row r="744" spans="2:39" s="79" customFormat="1" x14ac:dyDescent="0.25">
      <c r="B744" s="275"/>
      <c r="E744" s="79" t="s">
        <v>1233</v>
      </c>
      <c r="Q744" s="225">
        <f t="shared" ref="Q744:AK744" si="165">Q673-Q688-Q693-Q709-Q725</f>
        <v>5304.9409298000646</v>
      </c>
      <c r="R744" s="225">
        <f t="shared" si="165"/>
        <v>4607.2468419764382</v>
      </c>
      <c r="S744" s="225">
        <f t="shared" si="165"/>
        <v>4985.9101269383445</v>
      </c>
      <c r="T744" s="225">
        <f t="shared" si="165"/>
        <v>5180.5498368734816</v>
      </c>
      <c r="U744" s="225">
        <f t="shared" si="165"/>
        <v>5763.3184083115748</v>
      </c>
      <c r="V744" s="225">
        <f t="shared" si="165"/>
        <v>6016.7660830539135</v>
      </c>
      <c r="W744" s="225">
        <f t="shared" si="165"/>
        <v>6147.0576916491109</v>
      </c>
      <c r="X744" s="225">
        <f t="shared" si="165"/>
        <v>6576.1878508319969</v>
      </c>
      <c r="Y744" s="225">
        <f t="shared" si="165"/>
        <v>7141.4062545552133</v>
      </c>
      <c r="Z744" s="225">
        <f t="shared" si="165"/>
        <v>7306.8944122517878</v>
      </c>
      <c r="AA744" s="225">
        <f t="shared" si="165"/>
        <v>6516.9913522979314</v>
      </c>
      <c r="AB744" s="225">
        <f t="shared" si="165"/>
        <v>6818.5873406780629</v>
      </c>
      <c r="AC744" s="225">
        <f t="shared" si="165"/>
        <v>7814.2504069098723</v>
      </c>
      <c r="AD744" s="225" t="e">
        <f t="shared" si="165"/>
        <v>#DIV/0!</v>
      </c>
      <c r="AE744" s="225" t="e">
        <f t="shared" si="165"/>
        <v>#DIV/0!</v>
      </c>
      <c r="AF744" s="225" t="e">
        <f t="shared" si="165"/>
        <v>#DIV/0!</v>
      </c>
      <c r="AG744" s="225" t="e">
        <f t="shared" si="165"/>
        <v>#DIV/0!</v>
      </c>
      <c r="AH744" s="225" t="e">
        <f t="shared" si="165"/>
        <v>#DIV/0!</v>
      </c>
      <c r="AI744" s="225" t="e">
        <f t="shared" si="165"/>
        <v>#DIV/0!</v>
      </c>
      <c r="AJ744" s="225" t="e">
        <f t="shared" si="165"/>
        <v>#DIV/0!</v>
      </c>
      <c r="AK744" s="225" t="e">
        <f t="shared" si="165"/>
        <v>#DIV/0!</v>
      </c>
      <c r="AM744" s="60"/>
    </row>
    <row r="745" spans="2:39" s="79" customFormat="1" x14ac:dyDescent="0.25">
      <c r="E745" s="79" t="s">
        <v>1234</v>
      </c>
      <c r="Q745" s="225">
        <f t="shared" ref="Q745:Y745" si="166">AVERAGE(SUM(SUM(Q746*Q747,(Q748+Q750)*Q749)*Q756,Q769,Q782,Q795,Q808),SUM(SUM(Q746*Q747,(Q748+Q750)*Q749)*Q757,Q770,Q796,Q783,Q809),SUM(SUM(Q746*Q747,(Q748+Q750)*Q749)*Q762,Q775,Q788,Q801,Q814),SUM(SUM(Q746*Q747,(Q748+Q750)*Q749)*Q763,Q789,Q802,Q815,Q776))</f>
        <v>4170.7178777956988</v>
      </c>
      <c r="R745" s="225">
        <f t="shared" si="166"/>
        <v>3876.3164838709681</v>
      </c>
      <c r="S745" s="225">
        <f t="shared" si="166"/>
        <v>4421.3188978494618</v>
      </c>
      <c r="T745" s="225">
        <f t="shared" si="166"/>
        <v>3798.2529064516129</v>
      </c>
      <c r="U745" s="225">
        <f t="shared" si="166"/>
        <v>4709.0497440860217</v>
      </c>
      <c r="V745" s="225">
        <f t="shared" si="166"/>
        <v>5004.5186220430105</v>
      </c>
      <c r="W745" s="225">
        <f t="shared" si="166"/>
        <v>5362.196034946237</v>
      </c>
      <c r="X745" s="225">
        <f t="shared" si="166"/>
        <v>5378.9078462365587</v>
      </c>
      <c r="Y745" s="225">
        <f t="shared" si="166"/>
        <v>5428.1082533333338</v>
      </c>
      <c r="Z745" s="225">
        <f t="shared" ref="Z745:AK745" si="167">AVERAGE(SUM(SUM(Z746*Z747,(Z748+Z750)*Z749)*Z756,Z769,Z782,Z795,Z808),SUM(SUM(Z746*Z747,(Z748+Z750)*Z749)*Z757,Z770,Z796,Z783,Z809),SUM(SUM(Z746*Z747,(Z748+Z750)*Z749)*Z762,Z775,Z788,Z801,Z814),SUM(SUM(Z746*Z747,(Z748+Z750)*Z749)*Z763,Z789,Z802,Z815,Z776))</f>
        <v>5541.2822934408596</v>
      </c>
      <c r="AA745" s="225">
        <f t="shared" si="167"/>
        <v>4205.4432932258069</v>
      </c>
      <c r="AB745" s="225">
        <f t="shared" si="167"/>
        <v>8004.2573559139782</v>
      </c>
      <c r="AC745" s="225">
        <f t="shared" si="167"/>
        <v>6826.6244042795697</v>
      </c>
      <c r="AD745" s="225">
        <f t="shared" si="167"/>
        <v>0</v>
      </c>
      <c r="AE745" s="225">
        <f t="shared" si="167"/>
        <v>0</v>
      </c>
      <c r="AF745" s="225">
        <f t="shared" si="167"/>
        <v>0</v>
      </c>
      <c r="AG745" s="225">
        <f t="shared" si="167"/>
        <v>0</v>
      </c>
      <c r="AH745" s="225">
        <f t="shared" si="167"/>
        <v>0</v>
      </c>
      <c r="AI745" s="225">
        <f t="shared" si="167"/>
        <v>0</v>
      </c>
      <c r="AJ745" s="225">
        <f t="shared" si="167"/>
        <v>0</v>
      </c>
      <c r="AK745" s="225">
        <f t="shared" si="167"/>
        <v>0</v>
      </c>
      <c r="AM745" s="60"/>
    </row>
    <row r="746" spans="2:39" x14ac:dyDescent="0.25">
      <c r="F746" t="s">
        <v>1247</v>
      </c>
      <c r="H746" s="4" t="s">
        <v>30</v>
      </c>
      <c r="Q746" s="39">
        <f>R746-Datasheet!R88</f>
        <v>3811</v>
      </c>
      <c r="R746" s="39">
        <f>S746-Datasheet!S88</f>
        <v>3812</v>
      </c>
      <c r="S746" s="39">
        <f>T746-Datasheet!T88</f>
        <v>3837</v>
      </c>
      <c r="T746" s="39">
        <v>3837</v>
      </c>
      <c r="U746" s="39">
        <f>T746+Datasheet!U88</f>
        <v>3894</v>
      </c>
      <c r="V746" s="39">
        <f>U746+Datasheet!V88</f>
        <v>3894</v>
      </c>
      <c r="W746" s="39">
        <f>V746+Datasheet!W88</f>
        <v>3894</v>
      </c>
      <c r="X746" s="39">
        <f>W746+Datasheet!X88</f>
        <v>4025</v>
      </c>
      <c r="Y746" s="39">
        <f>X746+Datasheet!Y88</f>
        <v>4099</v>
      </c>
      <c r="Z746" s="39">
        <f>Y746+Datasheet!Z88</f>
        <v>4103</v>
      </c>
      <c r="AA746" s="39">
        <f>Z746+Datasheet!AA88</f>
        <v>4119</v>
      </c>
      <c r="AB746" s="39">
        <f>AA746+Datasheet!AB88</f>
        <v>4219</v>
      </c>
      <c r="AC746" s="39">
        <f>AB746+Datasheet!AC88</f>
        <v>4231</v>
      </c>
      <c r="AD746" s="39">
        <f>AC746+Datasheet!AD88</f>
        <v>4231</v>
      </c>
      <c r="AE746" s="39">
        <f>AD746+Datasheet!AE88</f>
        <v>4231</v>
      </c>
      <c r="AF746" s="39">
        <f>AE746+Datasheet!AF88</f>
        <v>4231</v>
      </c>
      <c r="AG746" s="39">
        <f>AF746+Datasheet!AG88</f>
        <v>4231</v>
      </c>
      <c r="AH746" s="39">
        <f>AG746+Datasheet!AH88</f>
        <v>4231</v>
      </c>
      <c r="AI746" s="39">
        <f>AH746+Datasheet!AI88</f>
        <v>4231</v>
      </c>
      <c r="AJ746" s="39">
        <f>AI746+Datasheet!AJ88</f>
        <v>4231</v>
      </c>
      <c r="AK746" s="39">
        <f>AJ746+Datasheet!AK88</f>
        <v>4231</v>
      </c>
    </row>
    <row r="747" spans="2:39" x14ac:dyDescent="0.25">
      <c r="D747" s="150"/>
      <c r="G747" t="s">
        <v>1244</v>
      </c>
      <c r="H747" s="4" t="s">
        <v>1248</v>
      </c>
      <c r="Q747" s="39">
        <v>2</v>
      </c>
      <c r="R747" s="39">
        <v>2</v>
      </c>
      <c r="S747" s="39">
        <v>2</v>
      </c>
      <c r="T747" s="39">
        <v>2</v>
      </c>
      <c r="U747" s="39">
        <v>2</v>
      </c>
      <c r="V747" s="39">
        <v>2</v>
      </c>
      <c r="W747" s="39">
        <v>2</v>
      </c>
      <c r="X747" s="39">
        <v>2</v>
      </c>
      <c r="Y747" s="39">
        <v>2</v>
      </c>
      <c r="Z747" s="39">
        <v>2</v>
      </c>
      <c r="AA747" s="39">
        <v>2</v>
      </c>
      <c r="AB747" s="39">
        <v>2</v>
      </c>
      <c r="AC747" s="39">
        <v>2</v>
      </c>
      <c r="AD747" s="39">
        <v>2</v>
      </c>
      <c r="AE747" s="39">
        <v>2</v>
      </c>
      <c r="AF747" s="39">
        <v>2</v>
      </c>
      <c r="AG747" s="39">
        <v>2</v>
      </c>
      <c r="AH747" s="39">
        <v>2</v>
      </c>
      <c r="AI747" s="39">
        <v>2</v>
      </c>
      <c r="AJ747" s="39">
        <v>2</v>
      </c>
      <c r="AK747" s="39">
        <v>2</v>
      </c>
    </row>
    <row r="748" spans="2:39" x14ac:dyDescent="0.25">
      <c r="F748" t="s">
        <v>1249</v>
      </c>
      <c r="H748" s="4" t="s">
        <v>30</v>
      </c>
      <c r="I748" s="126" t="s">
        <v>1250</v>
      </c>
      <c r="Q748" s="39">
        <f>R748-7</f>
        <v>1563</v>
      </c>
      <c r="R748" s="39">
        <f>S748-8</f>
        <v>1570</v>
      </c>
      <c r="S748" s="39">
        <f>T748-29</f>
        <v>1578</v>
      </c>
      <c r="T748" s="39">
        <v>1607</v>
      </c>
      <c r="U748" s="39">
        <f>T748+4</f>
        <v>1611</v>
      </c>
      <c r="V748" s="39">
        <f t="shared" ref="V748:AK748" si="168">U748</f>
        <v>1611</v>
      </c>
      <c r="W748" s="39">
        <f t="shared" si="168"/>
        <v>1611</v>
      </c>
      <c r="X748" s="39">
        <f t="shared" si="168"/>
        <v>1611</v>
      </c>
      <c r="Y748" s="39">
        <f t="shared" si="168"/>
        <v>1611</v>
      </c>
      <c r="Z748" s="39">
        <f t="shared" si="168"/>
        <v>1611</v>
      </c>
      <c r="AA748" s="39">
        <f t="shared" si="168"/>
        <v>1611</v>
      </c>
      <c r="AB748" s="39">
        <f t="shared" si="168"/>
        <v>1611</v>
      </c>
      <c r="AC748" s="39">
        <f t="shared" si="168"/>
        <v>1611</v>
      </c>
      <c r="AD748" s="39">
        <f t="shared" si="168"/>
        <v>1611</v>
      </c>
      <c r="AE748" s="39">
        <f t="shared" si="168"/>
        <v>1611</v>
      </c>
      <c r="AF748" s="39">
        <f t="shared" si="168"/>
        <v>1611</v>
      </c>
      <c r="AG748" s="39">
        <f t="shared" si="168"/>
        <v>1611</v>
      </c>
      <c r="AH748" s="39">
        <f t="shared" si="168"/>
        <v>1611</v>
      </c>
      <c r="AI748" s="39">
        <f t="shared" si="168"/>
        <v>1611</v>
      </c>
      <c r="AJ748" s="39">
        <f t="shared" si="168"/>
        <v>1611</v>
      </c>
      <c r="AK748" s="39">
        <f t="shared" si="168"/>
        <v>1611</v>
      </c>
    </row>
    <row r="749" spans="2:39" x14ac:dyDescent="0.25">
      <c r="D749" s="177"/>
      <c r="G749" t="s">
        <v>1244</v>
      </c>
      <c r="H749" s="4" t="s">
        <v>1248</v>
      </c>
      <c r="Q749" s="137">
        <f>IF(Datasheet!Q593&gt;0,Datasheet!Q593,AVERAGE(L749:P749))</f>
        <v>3.23</v>
      </c>
      <c r="R749" s="137">
        <f>IF(Datasheet!R593&gt;0,Datasheet!R593,AVERAGE(M749:Q749))</f>
        <v>3.25</v>
      </c>
      <c r="S749" s="137">
        <f>IF(Datasheet!S593&gt;0,Datasheet!S593,AVERAGE(N749:R749))</f>
        <v>3.25</v>
      </c>
      <c r="T749" s="137">
        <f>IF(Datasheet!T593&gt;0,Datasheet!T593,AVERAGE(O749:S749))</f>
        <v>3.26</v>
      </c>
      <c r="U749" s="137">
        <f>IF(Datasheet!U593&gt;0,Datasheet!U593,AVERAGE(P749:T749))</f>
        <v>3.26</v>
      </c>
      <c r="V749" s="137">
        <f>IF(Datasheet!V593&gt;0,Datasheet!V593,AVERAGE(Q749:U749))</f>
        <v>3.26</v>
      </c>
      <c r="W749" s="137">
        <f>IF(Datasheet!W593&gt;0,Datasheet!W593,AVERAGE(R749:V749))</f>
        <v>3.27</v>
      </c>
      <c r="X749" s="137">
        <f>IF(Datasheet!X593&gt;0,Datasheet!X593,AVERAGE(S749:W749))</f>
        <v>3.26</v>
      </c>
      <c r="Y749" s="137">
        <f>IF(Datasheet!Y593&gt;0,Datasheet!Y593,AVERAGE(T749:X749))</f>
        <v>3.24</v>
      </c>
      <c r="Z749" s="137">
        <f>IF(Datasheet!Z593&gt;0,Datasheet!Z593,AVERAGE(U749:Y749))</f>
        <v>3.23</v>
      </c>
      <c r="AA749" s="137">
        <f>IF(Datasheet!AA593&gt;0,Datasheet!AA593,AVERAGE(V749:Z749))</f>
        <v>3.21</v>
      </c>
      <c r="AB749" s="137">
        <f>IF(Datasheet!AB593&gt;0,Datasheet!AB593,AVERAGE(W749:AA749))</f>
        <v>3.15</v>
      </c>
      <c r="AC749" s="137">
        <f>IF(Datasheet!AC593&gt;0,Datasheet!AC593,AVERAGE(X749:AB749))</f>
        <v>3.218</v>
      </c>
      <c r="AD749" s="137">
        <f>IF(Datasheet!AD593&gt;0,Datasheet!AD593,AVERAGE(Y749:AC749))</f>
        <v>3.2096000000000005</v>
      </c>
      <c r="AE749" s="137">
        <f>IF(Datasheet!AE593&gt;0,Datasheet!AE593,AVERAGE(Z749:AD749))</f>
        <v>3.2035200000000001</v>
      </c>
      <c r="AF749" s="137">
        <f>IF(Datasheet!AF593&gt;0,Datasheet!AF593,AVERAGE(AA749:AE749))</f>
        <v>3.1982239999999997</v>
      </c>
      <c r="AG749" s="137">
        <f>IF(Datasheet!AG593&gt;0,Datasheet!AG593,AVERAGE(AB749:AF749))</f>
        <v>3.1958688000000004</v>
      </c>
      <c r="AH749" s="137">
        <f>IF(Datasheet!AH593&gt;0,Datasheet!AH593,AVERAGE(AC749:AG749))</f>
        <v>3.2050425599999999</v>
      </c>
      <c r="AI749" s="137">
        <f>IF(Datasheet!AI593&gt;0,Datasheet!AI593,AVERAGE(AD749:AH749))</f>
        <v>3.2024510720000001</v>
      </c>
      <c r="AJ749" s="137">
        <f>IF(Datasheet!AJ593&gt;0,Datasheet!AJ593,AVERAGE(AE749:AI749))</f>
        <v>3.2010212863999996</v>
      </c>
      <c r="AK749" s="137">
        <f>IF(Datasheet!AK593&gt;0,Datasheet!AK593,AVERAGE(AF749:AJ749))</f>
        <v>3.2005215436799999</v>
      </c>
    </row>
    <row r="750" spans="2:39" x14ac:dyDescent="0.25">
      <c r="F750" t="s">
        <v>1251</v>
      </c>
      <c r="H750" s="4" t="s">
        <v>30</v>
      </c>
      <c r="I750" s="126" t="s">
        <v>1250</v>
      </c>
      <c r="Q750" s="39">
        <f>R750</f>
        <v>531</v>
      </c>
      <c r="R750" s="39">
        <f>S750</f>
        <v>531</v>
      </c>
      <c r="S750" s="39">
        <f>T750</f>
        <v>531</v>
      </c>
      <c r="T750" s="39">
        <v>531</v>
      </c>
      <c r="U750" s="39">
        <f t="shared" ref="U750:AK750" si="169">T750</f>
        <v>531</v>
      </c>
      <c r="V750">
        <f t="shared" si="169"/>
        <v>531</v>
      </c>
      <c r="W750">
        <f t="shared" si="169"/>
        <v>531</v>
      </c>
      <c r="X750">
        <f t="shared" si="169"/>
        <v>531</v>
      </c>
      <c r="Y750">
        <f t="shared" si="169"/>
        <v>531</v>
      </c>
      <c r="Z750">
        <f t="shared" si="169"/>
        <v>531</v>
      </c>
      <c r="AA750">
        <f t="shared" si="169"/>
        <v>531</v>
      </c>
      <c r="AB750">
        <f t="shared" si="169"/>
        <v>531</v>
      </c>
      <c r="AC750">
        <f t="shared" si="169"/>
        <v>531</v>
      </c>
      <c r="AD750">
        <f t="shared" si="169"/>
        <v>531</v>
      </c>
      <c r="AE750">
        <f t="shared" si="169"/>
        <v>531</v>
      </c>
      <c r="AF750">
        <f t="shared" si="169"/>
        <v>531</v>
      </c>
      <c r="AG750">
        <f t="shared" si="169"/>
        <v>531</v>
      </c>
      <c r="AH750">
        <f t="shared" si="169"/>
        <v>531</v>
      </c>
      <c r="AI750">
        <f t="shared" si="169"/>
        <v>531</v>
      </c>
      <c r="AJ750">
        <f t="shared" si="169"/>
        <v>531</v>
      </c>
      <c r="AK750">
        <f t="shared" si="169"/>
        <v>531</v>
      </c>
    </row>
    <row r="751" spans="2:39" x14ac:dyDescent="0.25">
      <c r="D751" s="177"/>
      <c r="G751" t="s">
        <v>1244</v>
      </c>
      <c r="H751" s="4" t="s">
        <v>1248</v>
      </c>
      <c r="Q751" s="137">
        <f>IF(Datasheet!Q593&gt;0,Datasheet!Q593,AVERAGE(L751:P751))</f>
        <v>3.23</v>
      </c>
      <c r="R751" s="137">
        <f>IF(Datasheet!R593&gt;0,Datasheet!R593,AVERAGE(M751:Q751))</f>
        <v>3.25</v>
      </c>
      <c r="S751" s="137">
        <f>IF(Datasheet!S593&gt;0,Datasheet!S593,AVERAGE(N751:R751))</f>
        <v>3.25</v>
      </c>
      <c r="T751" s="137">
        <f>IF(Datasheet!T593&gt;0,Datasheet!T593,AVERAGE(O751:S751))</f>
        <v>3.26</v>
      </c>
      <c r="U751" s="137">
        <f>IF(Datasheet!U593&gt;0,Datasheet!U593,AVERAGE(P751:T751))</f>
        <v>3.26</v>
      </c>
      <c r="V751" s="137">
        <f>IF(Datasheet!V593&gt;0,Datasheet!V593,AVERAGE(Q751:U751))</f>
        <v>3.26</v>
      </c>
      <c r="W751" s="137">
        <f>IF(Datasheet!W593&gt;0,Datasheet!W593,AVERAGE(R751:V751))</f>
        <v>3.27</v>
      </c>
      <c r="X751" s="137">
        <f>IF(Datasheet!X593&gt;0,Datasheet!X593,AVERAGE(S751:W751))</f>
        <v>3.26</v>
      </c>
      <c r="Y751" s="137">
        <f>IF(Datasheet!Y593&gt;0,Datasheet!Y593,AVERAGE(T751:X751))</f>
        <v>3.24</v>
      </c>
      <c r="Z751" s="137">
        <f>IF(Datasheet!Z593&gt;0,Datasheet!Z593,AVERAGE(U751:Y751))</f>
        <v>3.23</v>
      </c>
      <c r="AA751" s="137">
        <f>IF(Datasheet!AA593&gt;0,Datasheet!AA593,AVERAGE(V751:Z751))</f>
        <v>3.21</v>
      </c>
      <c r="AB751" s="137">
        <f>IF(Datasheet!AB593&gt;0,Datasheet!AB593,AVERAGE(W751:AA751))</f>
        <v>3.15</v>
      </c>
      <c r="AC751" s="137">
        <f>IF(Datasheet!AC593&gt;0,Datasheet!AC593,AVERAGE(X751:AB751))</f>
        <v>3.218</v>
      </c>
      <c r="AD751" s="137">
        <f>IF(Datasheet!AD593&gt;0,Datasheet!AD593,AVERAGE(Y751:AC751))</f>
        <v>3.2096000000000005</v>
      </c>
      <c r="AE751" s="137">
        <f>IF(Datasheet!AE593&gt;0,Datasheet!AE593,AVERAGE(Z751:AD751))</f>
        <v>3.2035200000000001</v>
      </c>
      <c r="AF751" s="137">
        <f>IF(Datasheet!AF593&gt;0,Datasheet!AF593,AVERAGE(AA751:AE751))</f>
        <v>3.1982239999999997</v>
      </c>
      <c r="AG751" s="137">
        <f>IF(Datasheet!AG593&gt;0,Datasheet!AG593,AVERAGE(AB751:AF751))</f>
        <v>3.1958688000000004</v>
      </c>
      <c r="AH751" s="137">
        <f>IF(Datasheet!AH593&gt;0,Datasheet!AH593,AVERAGE(AC751:AG751))</f>
        <v>3.2050425599999999</v>
      </c>
      <c r="AI751" s="137">
        <f>IF(Datasheet!AI593&gt;0,Datasheet!AI593,AVERAGE(AD751:AH751))</f>
        <v>3.2024510720000001</v>
      </c>
      <c r="AJ751" s="137">
        <f>IF(Datasheet!AJ593&gt;0,Datasheet!AJ593,AVERAGE(AE751:AI751))</f>
        <v>3.2010212863999996</v>
      </c>
      <c r="AK751" s="137">
        <f>IF(Datasheet!AK593&gt;0,Datasheet!AK593,AVERAGE(AF751:AJ751))</f>
        <v>3.2005215436799999</v>
      </c>
    </row>
    <row r="752" spans="2:39" x14ac:dyDescent="0.25">
      <c r="F752" t="s">
        <v>1252</v>
      </c>
    </row>
    <row r="753" spans="6:38" x14ac:dyDescent="0.25">
      <c r="G753" s="4" t="s">
        <v>244</v>
      </c>
      <c r="H753" s="4" t="s">
        <v>1253</v>
      </c>
      <c r="Q753" s="89">
        <f>Datasheet!Q977</f>
        <v>0.42</v>
      </c>
      <c r="R753" s="89">
        <f>Datasheet!R977</f>
        <v>0.4</v>
      </c>
      <c r="S753" s="89">
        <f>Datasheet!S977</f>
        <v>0.42299999999999999</v>
      </c>
      <c r="T753" s="89">
        <f>Datasheet!T977</f>
        <v>0.42</v>
      </c>
      <c r="U753" s="89">
        <f>Datasheet!U977</f>
        <v>0.51</v>
      </c>
      <c r="V753" s="89">
        <f>Datasheet!V977</f>
        <v>0.53100000000000003</v>
      </c>
      <c r="W753" s="89">
        <f>Datasheet!W977</f>
        <v>0.53200000000000003</v>
      </c>
      <c r="X753" s="89">
        <f>Datasheet!X977</f>
        <v>0.58399999999999996</v>
      </c>
      <c r="Y753" s="89">
        <f>Datasheet!Y977</f>
        <v>0.622</v>
      </c>
      <c r="Z753" s="89">
        <f>Datasheet!Z977</f>
        <v>0.621</v>
      </c>
      <c r="AA753" s="89">
        <f>Datasheet!AA977</f>
        <v>0.60599999999999998</v>
      </c>
      <c r="AB753" s="89">
        <f>Datasheet!AB977</f>
        <v>0.627</v>
      </c>
      <c r="AC753" s="89">
        <f>Datasheet!AC977</f>
        <v>0.65900000000000003</v>
      </c>
      <c r="AD753" s="89">
        <f>Datasheet!AD977</f>
        <v>0</v>
      </c>
      <c r="AE753" s="89">
        <f>Datasheet!AE977</f>
        <v>0</v>
      </c>
      <c r="AF753" s="89">
        <f>Datasheet!AF977</f>
        <v>0</v>
      </c>
      <c r="AG753" s="89">
        <f>Datasheet!AG977</f>
        <v>0</v>
      </c>
      <c r="AH753" s="89">
        <f>Datasheet!AH977</f>
        <v>0</v>
      </c>
      <c r="AI753" s="89">
        <f>Datasheet!AI977</f>
        <v>0</v>
      </c>
      <c r="AJ753" s="89">
        <f>Datasheet!AJ977</f>
        <v>0</v>
      </c>
      <c r="AK753" s="89">
        <f>Datasheet!AK977</f>
        <v>0</v>
      </c>
    </row>
    <row r="754" spans="6:38" x14ac:dyDescent="0.25">
      <c r="G754" s="4" t="s">
        <v>245</v>
      </c>
      <c r="H754" s="4" t="s">
        <v>1253</v>
      </c>
      <c r="Q754" s="89">
        <f>Datasheet!Q978</f>
        <v>0.54</v>
      </c>
      <c r="R754" s="89">
        <f>Datasheet!R978</f>
        <v>0.53</v>
      </c>
      <c r="S754" s="89">
        <f>Datasheet!S978</f>
        <v>0.60099999999999998</v>
      </c>
      <c r="T754" s="89">
        <f>Datasheet!T978</f>
        <v>0.66</v>
      </c>
      <c r="U754" s="89">
        <f>Datasheet!U978</f>
        <v>0.65</v>
      </c>
      <c r="V754" s="89">
        <f>Datasheet!V978</f>
        <v>0.65700000000000003</v>
      </c>
      <c r="W754" s="89">
        <f>Datasheet!W978</f>
        <v>0.63800000000000001</v>
      </c>
      <c r="X754" s="89">
        <f>Datasheet!X978</f>
        <v>0.64800000000000002</v>
      </c>
      <c r="Y754" s="89">
        <f>Datasheet!Y978</f>
        <v>0.68400000000000005</v>
      </c>
      <c r="Z754" s="89">
        <f>Datasheet!Z978</f>
        <v>0.77700000000000002</v>
      </c>
      <c r="AA754" s="89">
        <f>Datasheet!AA978</f>
        <v>0.74199999999999999</v>
      </c>
      <c r="AB754" s="89">
        <f>Datasheet!AB978</f>
        <v>0.72599999999999998</v>
      </c>
      <c r="AC754" s="89">
        <f>Datasheet!AC978</f>
        <v>0.77500000000000002</v>
      </c>
      <c r="AD754" s="89">
        <f>Datasheet!AD978</f>
        <v>0</v>
      </c>
      <c r="AE754" s="89">
        <f>Datasheet!AE978</f>
        <v>0</v>
      </c>
      <c r="AF754" s="89">
        <f>Datasheet!AF978</f>
        <v>0</v>
      </c>
      <c r="AG754" s="89">
        <f>Datasheet!AG978</f>
        <v>0</v>
      </c>
      <c r="AH754" s="89">
        <f>Datasheet!AH978</f>
        <v>0</v>
      </c>
      <c r="AI754" s="89">
        <f>Datasheet!AI978</f>
        <v>0</v>
      </c>
      <c r="AJ754" s="89">
        <f>Datasheet!AJ978</f>
        <v>0</v>
      </c>
      <c r="AK754" s="89">
        <f>Datasheet!AK978</f>
        <v>0</v>
      </c>
    </row>
    <row r="755" spans="6:38" x14ac:dyDescent="0.25">
      <c r="G755" s="4" t="s">
        <v>246</v>
      </c>
      <c r="H755" s="4" t="s">
        <v>1253</v>
      </c>
      <c r="Q755" s="89">
        <f>Datasheet!Q979</f>
        <v>0.46</v>
      </c>
      <c r="R755" s="89">
        <f>Datasheet!R979</f>
        <v>0.435</v>
      </c>
      <c r="S755" s="89">
        <f>Datasheet!S979</f>
        <v>0.46899999999999997</v>
      </c>
      <c r="T755" s="89">
        <f>Datasheet!T979</f>
        <v>0.5</v>
      </c>
      <c r="U755" s="89">
        <f>Datasheet!U979</f>
        <v>0.57999999999999996</v>
      </c>
      <c r="V755" s="89">
        <f>Datasheet!V979</f>
        <v>0.53300000000000003</v>
      </c>
      <c r="W755" s="89">
        <f>Datasheet!W979</f>
        <v>0.59599999999999997</v>
      </c>
      <c r="X755" s="89">
        <f>Datasheet!X979</f>
        <v>0.57999999999999996</v>
      </c>
      <c r="Y755" s="89">
        <f>Datasheet!Y979</f>
        <v>0.56999999999999995</v>
      </c>
      <c r="Z755" s="89">
        <f>Datasheet!Z979</f>
        <v>0.64200000000000002</v>
      </c>
      <c r="AA755" s="89">
        <f>Datasheet!AA979</f>
        <v>0.373</v>
      </c>
      <c r="AB755" s="89">
        <f>Datasheet!AB979</f>
        <v>0.70399999999999996</v>
      </c>
      <c r="AC755" s="89">
        <f>Datasheet!AC979</f>
        <v>0.72099999999999997</v>
      </c>
      <c r="AD755" s="89">
        <f>Datasheet!AD979</f>
        <v>0</v>
      </c>
      <c r="AE755" s="89">
        <f>Datasheet!AE979</f>
        <v>0</v>
      </c>
      <c r="AF755" s="89">
        <f>Datasheet!AF979</f>
        <v>0</v>
      </c>
      <c r="AG755" s="89">
        <f>Datasheet!AG979</f>
        <v>0</v>
      </c>
      <c r="AH755" s="89">
        <f>Datasheet!AH979</f>
        <v>0</v>
      </c>
      <c r="AI755" s="89">
        <f>Datasheet!AI979</f>
        <v>0</v>
      </c>
      <c r="AJ755" s="89">
        <f>Datasheet!AJ979</f>
        <v>0</v>
      </c>
      <c r="AK755" s="89">
        <f>Datasheet!AK979</f>
        <v>0</v>
      </c>
    </row>
    <row r="756" spans="6:38" x14ac:dyDescent="0.25">
      <c r="G756" s="4" t="s">
        <v>247</v>
      </c>
      <c r="H756" s="4" t="s">
        <v>1253</v>
      </c>
      <c r="Q756" s="89">
        <f>Datasheet!Q980</f>
        <v>0.156</v>
      </c>
      <c r="R756" s="89">
        <f>Datasheet!R980</f>
        <v>0.13</v>
      </c>
      <c r="S756" s="89">
        <f>Datasheet!S980</f>
        <v>0.18</v>
      </c>
      <c r="T756" s="89">
        <f>Datasheet!T980</f>
        <v>0.16</v>
      </c>
      <c r="U756" s="89">
        <f>Datasheet!U980</f>
        <v>0.11</v>
      </c>
      <c r="V756" s="89">
        <f>Datasheet!V980</f>
        <v>0.154</v>
      </c>
      <c r="W756" s="89">
        <f>Datasheet!W980</f>
        <v>0.14299999999999999</v>
      </c>
      <c r="X756" s="89">
        <f>Datasheet!X980</f>
        <v>0.127</v>
      </c>
      <c r="Y756" s="89">
        <f>Datasheet!Y980</f>
        <v>0.16400000000000001</v>
      </c>
      <c r="Z756" s="89">
        <f>Datasheet!Z980</f>
        <v>0.185</v>
      </c>
      <c r="AA756" s="89">
        <f>Datasheet!AA980</f>
        <v>5.0999999999999997E-2</v>
      </c>
      <c r="AB756" s="89">
        <f>Datasheet!AB980</f>
        <v>0.48299999999999998</v>
      </c>
      <c r="AC756" s="89">
        <f>Datasheet!AC980</f>
        <v>0.33100000000000002</v>
      </c>
      <c r="AD756" s="89">
        <f>Datasheet!AD980</f>
        <v>0</v>
      </c>
      <c r="AE756" s="89">
        <f>Datasheet!AE980</f>
        <v>0</v>
      </c>
      <c r="AF756" s="89">
        <f>Datasheet!AF980</f>
        <v>0</v>
      </c>
      <c r="AG756" s="89">
        <f>Datasheet!AG980</f>
        <v>0</v>
      </c>
      <c r="AH756" s="89">
        <f>Datasheet!AH980</f>
        <v>0</v>
      </c>
      <c r="AI756" s="89">
        <f>Datasheet!AI980</f>
        <v>0</v>
      </c>
      <c r="AJ756" s="89">
        <f>Datasheet!AJ980</f>
        <v>0</v>
      </c>
      <c r="AK756" s="89">
        <f>Datasheet!AK980</f>
        <v>0</v>
      </c>
    </row>
    <row r="757" spans="6:38" x14ac:dyDescent="0.25">
      <c r="G757" s="4" t="s">
        <v>248</v>
      </c>
      <c r="H757" s="4" t="s">
        <v>1253</v>
      </c>
      <c r="Q757" s="89">
        <f>Datasheet!Q981</f>
        <v>0.34300000000000003</v>
      </c>
      <c r="R757" s="89">
        <f>Datasheet!R981</f>
        <v>0.34</v>
      </c>
      <c r="S757" s="89">
        <f>Datasheet!S981</f>
        <v>0.37</v>
      </c>
      <c r="T757" s="89">
        <f>Datasheet!T981</f>
        <v>0.32</v>
      </c>
      <c r="U757" s="89">
        <f>Datasheet!U981</f>
        <v>0.42</v>
      </c>
      <c r="V757" s="89">
        <f>Datasheet!V981</f>
        <v>0.443</v>
      </c>
      <c r="W757" s="89">
        <f>Datasheet!W981</f>
        <v>0.53600000000000003</v>
      </c>
      <c r="X757" s="89">
        <f>Datasheet!X981</f>
        <v>0.501</v>
      </c>
      <c r="Y757" s="89">
        <f>Datasheet!Y981</f>
        <v>0.5</v>
      </c>
      <c r="Z757" s="89">
        <f>Datasheet!Z981</f>
        <v>0.47799999999999998</v>
      </c>
      <c r="AA757" s="89">
        <f>Datasheet!AA981</f>
        <v>0.13</v>
      </c>
      <c r="AB757" s="89">
        <f>Datasheet!AB981</f>
        <v>0.63400000000000001</v>
      </c>
      <c r="AC757" s="89">
        <f>Datasheet!AC981</f>
        <v>0.47</v>
      </c>
      <c r="AD757" s="89">
        <f>Datasheet!AD981</f>
        <v>0</v>
      </c>
      <c r="AE757" s="89">
        <f>Datasheet!AE981</f>
        <v>0</v>
      </c>
      <c r="AF757" s="89">
        <f>Datasheet!AF981</f>
        <v>0</v>
      </c>
      <c r="AG757" s="89">
        <f>Datasheet!AG981</f>
        <v>0</v>
      </c>
      <c r="AH757" s="89">
        <f>Datasheet!AH981</f>
        <v>0</v>
      </c>
      <c r="AI757" s="89">
        <f>Datasheet!AI981</f>
        <v>0</v>
      </c>
      <c r="AJ757" s="89">
        <f>Datasheet!AJ981</f>
        <v>0</v>
      </c>
      <c r="AK757" s="89">
        <f>Datasheet!AK981</f>
        <v>0</v>
      </c>
    </row>
    <row r="758" spans="6:38" x14ac:dyDescent="0.25">
      <c r="G758" s="4" t="s">
        <v>249</v>
      </c>
      <c r="H758" s="4" t="s">
        <v>1253</v>
      </c>
      <c r="Q758" s="89">
        <f>Datasheet!Q982</f>
        <v>0.77400000000000002</v>
      </c>
      <c r="R758" s="89">
        <f>Datasheet!R982</f>
        <v>0.66700000000000004</v>
      </c>
      <c r="S758" s="89">
        <f>Datasheet!S982</f>
        <v>0.74</v>
      </c>
      <c r="T758" s="89">
        <f>Datasheet!T982</f>
        <v>0.71</v>
      </c>
      <c r="U758" s="89">
        <f>Datasheet!U982</f>
        <v>0.79</v>
      </c>
      <c r="V758" s="89">
        <f>Datasheet!V982</f>
        <v>0.81899999999999995</v>
      </c>
      <c r="W758" s="89">
        <f>Datasheet!W982</f>
        <v>0.86599999999999999</v>
      </c>
      <c r="X758" s="89">
        <f>Datasheet!X982</f>
        <v>0.81599999999999995</v>
      </c>
      <c r="Y758" s="89">
        <f>Datasheet!Y982</f>
        <v>0.80700000000000005</v>
      </c>
      <c r="Z758" s="89">
        <f>Datasheet!Z982</f>
        <v>0.81299999999999994</v>
      </c>
      <c r="AA758" s="89">
        <f>Datasheet!AA982</f>
        <v>0.441</v>
      </c>
      <c r="AB758" s="89">
        <f>Datasheet!AB982</f>
        <v>0.95199999999999996</v>
      </c>
      <c r="AC758" s="89">
        <f>Datasheet!AC982</f>
        <v>0.74099999999999999</v>
      </c>
      <c r="AD758" s="89">
        <f>Datasheet!AD982</f>
        <v>0</v>
      </c>
      <c r="AE758" s="89">
        <f>Datasheet!AE982</f>
        <v>0</v>
      </c>
      <c r="AF758" s="89">
        <f>Datasheet!AF982</f>
        <v>0</v>
      </c>
      <c r="AG758" s="89">
        <f>Datasheet!AG982</f>
        <v>0</v>
      </c>
      <c r="AH758" s="89">
        <f>Datasheet!AH982</f>
        <v>0</v>
      </c>
      <c r="AI758" s="89">
        <f>Datasheet!AI982</f>
        <v>0</v>
      </c>
      <c r="AJ758" s="89">
        <f>Datasheet!AJ982</f>
        <v>0</v>
      </c>
      <c r="AK758" s="89">
        <f>Datasheet!AK982</f>
        <v>0</v>
      </c>
    </row>
    <row r="759" spans="6:38" x14ac:dyDescent="0.25">
      <c r="G759" s="4" t="s">
        <v>250</v>
      </c>
      <c r="H759" s="4" t="s">
        <v>1253</v>
      </c>
      <c r="Q759" s="89">
        <f>Datasheet!Q983</f>
        <v>0.88500000000000001</v>
      </c>
      <c r="R759" s="89">
        <f>Datasheet!R983</f>
        <v>0.88500000000000001</v>
      </c>
      <c r="S759" s="89">
        <f>Datasheet!S983</f>
        <v>0.87</v>
      </c>
      <c r="T759" s="89">
        <f>Datasheet!T983</f>
        <v>0.82</v>
      </c>
      <c r="U759" s="89">
        <f>Datasheet!U983</f>
        <v>0.88</v>
      </c>
      <c r="V759" s="89">
        <f>Datasheet!V983</f>
        <v>0.9</v>
      </c>
      <c r="W759" s="89">
        <f>Datasheet!W983</f>
        <v>0.92300000000000004</v>
      </c>
      <c r="X759" s="89">
        <f>Datasheet!X983</f>
        <v>0.86899999999999999</v>
      </c>
      <c r="Y759" s="89">
        <f>Datasheet!Y983</f>
        <v>0.877</v>
      </c>
      <c r="Z759" s="89">
        <f>Datasheet!Z983</f>
        <v>0.86</v>
      </c>
      <c r="AA759" s="89">
        <f>Datasheet!AA983</f>
        <v>0.70699999999999996</v>
      </c>
      <c r="AB759" s="89">
        <f>Datasheet!AB983</f>
        <v>0.93400000000000005</v>
      </c>
      <c r="AC759" s="89">
        <f>Datasheet!AC983</f>
        <v>0.81799999999999995</v>
      </c>
      <c r="AD759" s="89">
        <f>Datasheet!AD983</f>
        <v>0</v>
      </c>
      <c r="AE759" s="89">
        <f>Datasheet!AE983</f>
        <v>0</v>
      </c>
      <c r="AF759" s="89">
        <f>Datasheet!AF983</f>
        <v>0</v>
      </c>
      <c r="AG759" s="89">
        <f>Datasheet!AG983</f>
        <v>0</v>
      </c>
      <c r="AH759" s="89">
        <f>Datasheet!AH983</f>
        <v>0</v>
      </c>
      <c r="AI759" s="89">
        <f>Datasheet!AI983</f>
        <v>0</v>
      </c>
      <c r="AJ759" s="89">
        <f>Datasheet!AJ983</f>
        <v>0</v>
      </c>
      <c r="AK759" s="89">
        <f>Datasheet!AK983</f>
        <v>0</v>
      </c>
    </row>
    <row r="760" spans="6:38" x14ac:dyDescent="0.25">
      <c r="G760" s="4" t="s">
        <v>251</v>
      </c>
      <c r="H760" s="4" t="s">
        <v>1253</v>
      </c>
      <c r="Q760" s="89">
        <f>Datasheet!Q984</f>
        <v>0.88100000000000001</v>
      </c>
      <c r="R760" s="89">
        <f>Datasheet!R984</f>
        <v>0.88300000000000001</v>
      </c>
      <c r="S760" s="89">
        <f>Datasheet!S984</f>
        <v>0.86</v>
      </c>
      <c r="T760" s="89">
        <f>Datasheet!T984</f>
        <v>0.81</v>
      </c>
      <c r="U760" s="89">
        <f>Datasheet!U984</f>
        <v>0.88</v>
      </c>
      <c r="V760" s="89">
        <f>Datasheet!V984</f>
        <v>0.85899999999999999</v>
      </c>
      <c r="W760" s="89">
        <f>Datasheet!W984</f>
        <v>0.872</v>
      </c>
      <c r="X760" s="89">
        <f>Datasheet!X984</f>
        <v>0.878</v>
      </c>
      <c r="Y760" s="89">
        <f>Datasheet!Y984</f>
        <v>0.85499999999999998</v>
      </c>
      <c r="Z760" s="89">
        <f>Datasheet!Z984</f>
        <v>0.86</v>
      </c>
      <c r="AA760" s="89">
        <f>Datasheet!AA984</f>
        <v>0.71299999999999997</v>
      </c>
      <c r="AB760" s="89">
        <f>Datasheet!AB984</f>
        <v>0.873</v>
      </c>
      <c r="AC760" s="89">
        <f>Datasheet!AC984</f>
        <v>0.79</v>
      </c>
      <c r="AD760" s="89">
        <f>Datasheet!AD984</f>
        <v>0</v>
      </c>
      <c r="AE760" s="89">
        <f>Datasheet!AE984</f>
        <v>0</v>
      </c>
      <c r="AF760" s="89">
        <f>Datasheet!AF984</f>
        <v>0</v>
      </c>
      <c r="AG760" s="89">
        <f>Datasheet!AG984</f>
        <v>0</v>
      </c>
      <c r="AH760" s="89">
        <f>Datasheet!AH984</f>
        <v>0</v>
      </c>
      <c r="AI760" s="89">
        <f>Datasheet!AI984</f>
        <v>0</v>
      </c>
      <c r="AJ760" s="89">
        <f>Datasheet!AJ984</f>
        <v>0</v>
      </c>
      <c r="AK760" s="89">
        <f>Datasheet!AK984</f>
        <v>0</v>
      </c>
    </row>
    <row r="761" spans="6:38" x14ac:dyDescent="0.25">
      <c r="G761" s="4" t="s">
        <v>252</v>
      </c>
      <c r="H761" s="4" t="s">
        <v>1253</v>
      </c>
      <c r="Q761" s="89">
        <f>Datasheet!Q985</f>
        <v>0.82199999999999995</v>
      </c>
      <c r="R761" s="89">
        <f>Datasheet!R985</f>
        <v>0.83</v>
      </c>
      <c r="S761" s="89">
        <f>Datasheet!S985</f>
        <v>0.83</v>
      </c>
      <c r="T761" s="89">
        <f>Datasheet!T985</f>
        <v>0.81</v>
      </c>
      <c r="U761" s="89">
        <f>Datasheet!U985</f>
        <v>0.78</v>
      </c>
      <c r="V761" s="89">
        <f>Datasheet!V985</f>
        <v>0.81799999999999995</v>
      </c>
      <c r="W761" s="89">
        <f>Datasheet!W985</f>
        <v>0.84699999999999998</v>
      </c>
      <c r="X761" s="89">
        <f>Datasheet!X985</f>
        <v>0.84899999999999998</v>
      </c>
      <c r="Y761" s="89">
        <f>Datasheet!Y985</f>
        <v>0.83599999999999997</v>
      </c>
      <c r="Z761" s="89">
        <f>Datasheet!Z985</f>
        <v>0.83099999999999996</v>
      </c>
      <c r="AA761" s="89">
        <f>Datasheet!AA985</f>
        <v>0.72299999999999998</v>
      </c>
      <c r="AB761" s="89">
        <f>Datasheet!AB985</f>
        <v>0.85699999999999998</v>
      </c>
      <c r="AC761" s="89">
        <f>Datasheet!AC985</f>
        <v>0.77800000000000002</v>
      </c>
      <c r="AD761" s="89">
        <f>Datasheet!AD985</f>
        <v>0</v>
      </c>
      <c r="AE761" s="89">
        <f>Datasheet!AE985</f>
        <v>0</v>
      </c>
      <c r="AF761" s="89">
        <f>Datasheet!AF985</f>
        <v>0</v>
      </c>
      <c r="AG761" s="89">
        <f>Datasheet!AG985</f>
        <v>0</v>
      </c>
      <c r="AH761" s="89">
        <f>Datasheet!AH985</f>
        <v>0</v>
      </c>
      <c r="AI761" s="89">
        <f>Datasheet!AI985</f>
        <v>0</v>
      </c>
      <c r="AJ761" s="89">
        <f>Datasheet!AJ985</f>
        <v>0</v>
      </c>
      <c r="AK761" s="89">
        <f>Datasheet!AK985</f>
        <v>0</v>
      </c>
    </row>
    <row r="762" spans="6:38" x14ac:dyDescent="0.25">
      <c r="G762" s="4" t="s">
        <v>253</v>
      </c>
      <c r="H762" s="4" t="s">
        <v>1253</v>
      </c>
      <c r="Q762" s="89">
        <f>Datasheet!Q986</f>
        <v>0.37</v>
      </c>
      <c r="R762" s="89">
        <f>Datasheet!R986</f>
        <v>0.34499999999999997</v>
      </c>
      <c r="S762" s="89">
        <f>Datasheet!S986</f>
        <v>0.36</v>
      </c>
      <c r="T762" s="89">
        <f>Datasheet!T986</f>
        <v>0.31</v>
      </c>
      <c r="U762" s="89">
        <f>Datasheet!U986</f>
        <v>0.41</v>
      </c>
      <c r="V762" s="89">
        <f>Datasheet!V986</f>
        <v>0.40600000000000003</v>
      </c>
      <c r="W762" s="89">
        <f>Datasheet!W986</f>
        <v>0.432</v>
      </c>
      <c r="X762" s="89">
        <f>Datasheet!X986</f>
        <v>0.45500000000000002</v>
      </c>
      <c r="Y762" s="89">
        <f>Datasheet!Y986</f>
        <v>0.45300000000000001</v>
      </c>
      <c r="Z762" s="89">
        <f>Datasheet!Z986</f>
        <v>0.47399999999999998</v>
      </c>
      <c r="AA762" s="89">
        <f>Datasheet!AA986</f>
        <v>0.64700000000000002</v>
      </c>
      <c r="AB762" s="89">
        <f>Datasheet!AB986</f>
        <v>0.54400000000000004</v>
      </c>
      <c r="AC762" s="89">
        <f>Datasheet!AC986</f>
        <v>0.45700000000000002</v>
      </c>
      <c r="AD762" s="89">
        <f>Datasheet!AD986</f>
        <v>0</v>
      </c>
      <c r="AE762" s="89">
        <f>Datasheet!AE986</f>
        <v>0</v>
      </c>
      <c r="AF762" s="89">
        <f>Datasheet!AF986</f>
        <v>0</v>
      </c>
      <c r="AG762" s="89">
        <f>Datasheet!AG986</f>
        <v>0</v>
      </c>
      <c r="AH762" s="89">
        <f>Datasheet!AH986</f>
        <v>0</v>
      </c>
      <c r="AI762" s="89">
        <f>Datasheet!AI986</f>
        <v>0</v>
      </c>
      <c r="AJ762" s="89">
        <f>Datasheet!AJ986</f>
        <v>0</v>
      </c>
      <c r="AK762" s="89">
        <f>Datasheet!AK986</f>
        <v>0</v>
      </c>
    </row>
    <row r="763" spans="6:38" x14ac:dyDescent="0.25">
      <c r="G763" s="4" t="s">
        <v>254</v>
      </c>
      <c r="H763" s="4" t="s">
        <v>1253</v>
      </c>
      <c r="Q763" s="89">
        <f>Datasheet!Q987</f>
        <v>0.15</v>
      </c>
      <c r="R763" s="89">
        <f>Datasheet!R987</f>
        <v>0.129</v>
      </c>
      <c r="S763" s="89">
        <f>Datasheet!S987</f>
        <v>0.17</v>
      </c>
      <c r="T763" s="89">
        <f>Datasheet!T987</f>
        <v>0.14000000000000001</v>
      </c>
      <c r="U763" s="89">
        <f>Datasheet!U987</f>
        <v>0.14000000000000001</v>
      </c>
      <c r="V763" s="89">
        <f>Datasheet!V987</f>
        <v>0.16200000000000001</v>
      </c>
      <c r="W763" s="89">
        <f>Datasheet!W987</f>
        <v>0.13900000000000001</v>
      </c>
      <c r="X763" s="89">
        <f>Datasheet!X987</f>
        <v>0.14699999999999999</v>
      </c>
      <c r="Y763" s="89">
        <f>Datasheet!Y987</f>
        <v>0.154</v>
      </c>
      <c r="Z763" s="89">
        <f>Datasheet!Z987</f>
        <v>0.14499999999999999</v>
      </c>
      <c r="AA763" s="89">
        <f>Datasheet!AA987</f>
        <v>0.23</v>
      </c>
      <c r="AB763" s="89">
        <f>Datasheet!AB987</f>
        <v>0.255</v>
      </c>
      <c r="AC763" s="89">
        <f>Datasheet!AC987</f>
        <v>0.216</v>
      </c>
      <c r="AD763" s="89">
        <f>Datasheet!AD987</f>
        <v>0</v>
      </c>
      <c r="AE763" s="89">
        <f>Datasheet!AE987</f>
        <v>0</v>
      </c>
      <c r="AF763" s="89">
        <f>Datasheet!AF987</f>
        <v>0</v>
      </c>
      <c r="AG763" s="89">
        <f>Datasheet!AG987</f>
        <v>0</v>
      </c>
      <c r="AH763" s="89">
        <f>Datasheet!AH987</f>
        <v>0</v>
      </c>
      <c r="AI763" s="89">
        <f>Datasheet!AI987</f>
        <v>0</v>
      </c>
      <c r="AJ763" s="89">
        <f>Datasheet!AJ987</f>
        <v>0</v>
      </c>
      <c r="AK763" s="89">
        <f>Datasheet!AK987</f>
        <v>0</v>
      </c>
    </row>
    <row r="764" spans="6:38" x14ac:dyDescent="0.25">
      <c r="G764" s="4" t="s">
        <v>255</v>
      </c>
      <c r="H764" s="4" t="s">
        <v>1253</v>
      </c>
      <c r="Q764" s="89">
        <f>Datasheet!Q988</f>
        <v>0.3</v>
      </c>
      <c r="R764" s="89">
        <f>Datasheet!R988</f>
        <v>0.307</v>
      </c>
      <c r="S764" s="89">
        <f>Datasheet!S988</f>
        <v>0.32</v>
      </c>
      <c r="T764" s="89">
        <f>Datasheet!T988</f>
        <v>0.34</v>
      </c>
      <c r="U764" s="89">
        <f>Datasheet!U988</f>
        <v>0.43</v>
      </c>
      <c r="V764" s="89">
        <f>Datasheet!V988</f>
        <v>0.43</v>
      </c>
      <c r="W764" s="89">
        <f>Datasheet!W988</f>
        <v>0.46800000000000003</v>
      </c>
      <c r="X764" s="89">
        <f>Datasheet!X988</f>
        <v>0.46899999999999997</v>
      </c>
      <c r="Y764" s="89">
        <f>Datasheet!Y988</f>
        <v>0.42</v>
      </c>
      <c r="Z764" s="89">
        <f>Datasheet!Z988</f>
        <v>0.41699999999999998</v>
      </c>
      <c r="AA764" s="89">
        <f>Datasheet!AA988</f>
        <v>0.51</v>
      </c>
      <c r="AB764" s="89">
        <f>Datasheet!AB988</f>
        <v>0.50900000000000001</v>
      </c>
      <c r="AC764" s="89">
        <f>Datasheet!AC988</f>
        <v>0.46800000000000003</v>
      </c>
      <c r="AD764" s="89">
        <f>Datasheet!AD988</f>
        <v>0</v>
      </c>
      <c r="AE764" s="89">
        <f>Datasheet!AE988</f>
        <v>0</v>
      </c>
      <c r="AF764" s="89">
        <f>Datasheet!AF988</f>
        <v>0</v>
      </c>
      <c r="AG764" s="89">
        <f>Datasheet!AG988</f>
        <v>0</v>
      </c>
      <c r="AH764" s="89">
        <f>Datasheet!AH988</f>
        <v>0</v>
      </c>
      <c r="AI764" s="89">
        <f>Datasheet!AI988</f>
        <v>0</v>
      </c>
      <c r="AJ764" s="89">
        <f>Datasheet!AJ988</f>
        <v>0</v>
      </c>
      <c r="AK764" s="89">
        <f>Datasheet!AK988</f>
        <v>0</v>
      </c>
    </row>
    <row r="765" spans="6:38" x14ac:dyDescent="0.25">
      <c r="F765" t="s">
        <v>1254</v>
      </c>
      <c r="Q765" s="89"/>
    </row>
    <row r="766" spans="6:38" x14ac:dyDescent="0.25">
      <c r="G766" s="4" t="s">
        <v>244</v>
      </c>
      <c r="H766" s="4" t="s">
        <v>1231</v>
      </c>
      <c r="Q766">
        <v>0</v>
      </c>
      <c r="R766">
        <v>0</v>
      </c>
      <c r="S766">
        <v>0</v>
      </c>
      <c r="T766">
        <v>0</v>
      </c>
      <c r="U766">
        <v>0</v>
      </c>
      <c r="V766">
        <v>0</v>
      </c>
      <c r="W766">
        <v>0</v>
      </c>
      <c r="X766">
        <v>0</v>
      </c>
      <c r="Y766">
        <v>0</v>
      </c>
      <c r="Z766">
        <v>0</v>
      </c>
      <c r="AA766">
        <v>0</v>
      </c>
      <c r="AB766">
        <v>0</v>
      </c>
      <c r="AC766">
        <v>0</v>
      </c>
      <c r="AD766">
        <v>0</v>
      </c>
      <c r="AE766">
        <v>0</v>
      </c>
      <c r="AF766">
        <v>0</v>
      </c>
      <c r="AG766">
        <v>0</v>
      </c>
      <c r="AH766">
        <v>0</v>
      </c>
      <c r="AI766">
        <v>0</v>
      </c>
      <c r="AJ766">
        <v>0</v>
      </c>
      <c r="AK766">
        <v>0</v>
      </c>
      <c r="AL766" s="39"/>
    </row>
    <row r="767" spans="6:38" x14ac:dyDescent="0.25">
      <c r="G767" s="4" t="s">
        <v>245</v>
      </c>
      <c r="H767" s="4" t="s">
        <v>1231</v>
      </c>
      <c r="Q767">
        <v>0</v>
      </c>
      <c r="R767">
        <v>0</v>
      </c>
      <c r="S767">
        <v>0</v>
      </c>
      <c r="T767">
        <v>0</v>
      </c>
      <c r="U767">
        <v>0</v>
      </c>
      <c r="V767">
        <v>0</v>
      </c>
      <c r="W767">
        <v>0</v>
      </c>
      <c r="X767">
        <v>0</v>
      </c>
      <c r="Y767">
        <v>0</v>
      </c>
      <c r="Z767">
        <v>0</v>
      </c>
      <c r="AA767">
        <v>0</v>
      </c>
      <c r="AB767">
        <v>0</v>
      </c>
      <c r="AC767">
        <v>0</v>
      </c>
      <c r="AD767">
        <v>0</v>
      </c>
      <c r="AE767">
        <v>0</v>
      </c>
      <c r="AF767">
        <v>0</v>
      </c>
      <c r="AG767">
        <v>0</v>
      </c>
      <c r="AH767">
        <v>0</v>
      </c>
      <c r="AI767">
        <v>0</v>
      </c>
      <c r="AJ767">
        <v>0</v>
      </c>
      <c r="AK767">
        <v>0</v>
      </c>
    </row>
    <row r="768" spans="6:38" x14ac:dyDescent="0.25">
      <c r="G768" s="4" t="s">
        <v>246</v>
      </c>
      <c r="H768" s="4" t="s">
        <v>1231</v>
      </c>
      <c r="Q768">
        <v>0</v>
      </c>
      <c r="R768">
        <v>0</v>
      </c>
      <c r="S768">
        <v>0</v>
      </c>
      <c r="T768">
        <v>0</v>
      </c>
      <c r="U768">
        <v>0</v>
      </c>
      <c r="V768">
        <v>0</v>
      </c>
      <c r="W768">
        <v>0</v>
      </c>
      <c r="X768">
        <v>0</v>
      </c>
      <c r="Y768">
        <v>0</v>
      </c>
      <c r="Z768">
        <v>0</v>
      </c>
      <c r="AA768">
        <v>0</v>
      </c>
      <c r="AB768">
        <v>0</v>
      </c>
      <c r="AC768">
        <v>0</v>
      </c>
      <c r="AD768">
        <v>0</v>
      </c>
      <c r="AE768">
        <v>0</v>
      </c>
      <c r="AF768">
        <v>0</v>
      </c>
      <c r="AG768">
        <v>0</v>
      </c>
      <c r="AH768">
        <v>0</v>
      </c>
      <c r="AI768">
        <v>0</v>
      </c>
      <c r="AJ768">
        <v>0</v>
      </c>
      <c r="AK768">
        <v>0</v>
      </c>
    </row>
    <row r="769" spans="6:37" x14ac:dyDescent="0.25">
      <c r="G769" s="4" t="s">
        <v>247</v>
      </c>
      <c r="H769" s="4" t="s">
        <v>1231</v>
      </c>
      <c r="Q769">
        <v>0</v>
      </c>
      <c r="R769">
        <v>0</v>
      </c>
      <c r="S769">
        <v>0</v>
      </c>
      <c r="T769">
        <v>0</v>
      </c>
      <c r="U769">
        <v>0</v>
      </c>
      <c r="V769">
        <v>0</v>
      </c>
      <c r="W769">
        <v>0</v>
      </c>
      <c r="X769">
        <v>0</v>
      </c>
      <c r="Y769">
        <v>0</v>
      </c>
      <c r="Z769">
        <v>0</v>
      </c>
      <c r="AA769">
        <v>0</v>
      </c>
      <c r="AB769">
        <v>0</v>
      </c>
      <c r="AC769">
        <v>0</v>
      </c>
      <c r="AD769">
        <v>0</v>
      </c>
      <c r="AE769">
        <v>0</v>
      </c>
      <c r="AF769">
        <v>0</v>
      </c>
      <c r="AG769">
        <v>0</v>
      </c>
      <c r="AH769">
        <v>0</v>
      </c>
      <c r="AI769">
        <v>0</v>
      </c>
      <c r="AJ769">
        <v>0</v>
      </c>
      <c r="AK769">
        <v>0</v>
      </c>
    </row>
    <row r="770" spans="6:37" x14ac:dyDescent="0.25">
      <c r="G770" s="4" t="s">
        <v>248</v>
      </c>
      <c r="H770" s="4" t="s">
        <v>1231</v>
      </c>
      <c r="Q770">
        <v>0</v>
      </c>
      <c r="R770">
        <v>0</v>
      </c>
      <c r="S770">
        <v>0</v>
      </c>
      <c r="T770">
        <v>0</v>
      </c>
      <c r="U770">
        <v>0</v>
      </c>
      <c r="V770">
        <v>0</v>
      </c>
      <c r="W770">
        <v>0</v>
      </c>
      <c r="X770">
        <v>0</v>
      </c>
      <c r="Y770">
        <v>0</v>
      </c>
      <c r="Z770">
        <v>0</v>
      </c>
      <c r="AA770">
        <v>0</v>
      </c>
      <c r="AB770">
        <v>0</v>
      </c>
      <c r="AC770">
        <v>0</v>
      </c>
      <c r="AD770">
        <v>0</v>
      </c>
      <c r="AE770">
        <v>0</v>
      </c>
      <c r="AF770">
        <v>0</v>
      </c>
      <c r="AG770">
        <v>0</v>
      </c>
      <c r="AH770">
        <v>0</v>
      </c>
      <c r="AI770">
        <v>0</v>
      </c>
      <c r="AJ770">
        <v>0</v>
      </c>
      <c r="AK770">
        <v>0</v>
      </c>
    </row>
    <row r="771" spans="6:37" x14ac:dyDescent="0.25">
      <c r="G771" s="4" t="s">
        <v>249</v>
      </c>
      <c r="H771" s="4" t="s">
        <v>1231</v>
      </c>
      <c r="I771" s="39"/>
      <c r="J771" s="39"/>
      <c r="K771" s="39"/>
      <c r="L771" s="39"/>
      <c r="M771" s="39"/>
      <c r="N771" s="39"/>
      <c r="O771" s="39"/>
      <c r="P771" s="39"/>
      <c r="Q771" s="39">
        <f>Datasheet!Q999/Q818</f>
        <v>248.14754098360655</v>
      </c>
      <c r="R771" s="39">
        <f>Datasheet!R999/R818</f>
        <v>219.98360655737704</v>
      </c>
      <c r="S771" s="39">
        <f>Datasheet!S999/S818</f>
        <v>282.71311475409834</v>
      </c>
      <c r="T771" s="39">
        <f>Datasheet!T999/T818</f>
        <v>248.57377049180329</v>
      </c>
      <c r="U771" s="39">
        <f>Datasheet!U999/U818</f>
        <v>143.0655737704918</v>
      </c>
      <c r="V771" s="39">
        <f>Datasheet!V999/V818</f>
        <v>198.54098360655738</v>
      </c>
      <c r="W771" s="39">
        <f>Datasheet!W999/W818</f>
        <v>222.91803278688525</v>
      </c>
      <c r="X771" s="39">
        <f>Datasheet!X999/X818</f>
        <v>240.31147540983608</v>
      </c>
      <c r="Y771" s="39">
        <f>Datasheet!Y999/Y818</f>
        <v>235.39344262295083</v>
      </c>
      <c r="Z771" s="39">
        <f>Datasheet!Z999/Z818</f>
        <v>227.58196721311475</v>
      </c>
      <c r="AA771" s="39">
        <f>Datasheet!AA999/AA818</f>
        <v>317.60655737704917</v>
      </c>
      <c r="AB771" s="39">
        <f>Datasheet!AB999/AB818</f>
        <v>285.59016393442624</v>
      </c>
      <c r="AC771" s="39">
        <f>Datasheet!AC999/AC818</f>
        <v>210.2704918032787</v>
      </c>
      <c r="AD771" s="39">
        <f>Datasheet!AD999/AD818</f>
        <v>0</v>
      </c>
      <c r="AE771" s="39">
        <f>Datasheet!AE999/AE818</f>
        <v>0</v>
      </c>
      <c r="AF771" s="39">
        <f>Datasheet!AF999/AF818</f>
        <v>0</v>
      </c>
      <c r="AG771" s="39">
        <f>Datasheet!AG999/AG818</f>
        <v>0</v>
      </c>
      <c r="AH771" s="39">
        <f>Datasheet!AH999/AH818</f>
        <v>0</v>
      </c>
      <c r="AI771" s="39">
        <f>Datasheet!AI999/AI818</f>
        <v>0</v>
      </c>
      <c r="AJ771" s="39">
        <f>Datasheet!AJ999/AJ818</f>
        <v>0</v>
      </c>
      <c r="AK771" s="39">
        <f>Datasheet!AK999/AK818</f>
        <v>0</v>
      </c>
    </row>
    <row r="772" spans="6:37" x14ac:dyDescent="0.25">
      <c r="G772" s="4" t="s">
        <v>250</v>
      </c>
      <c r="H772" s="4" t="s">
        <v>1231</v>
      </c>
      <c r="I772" s="39"/>
      <c r="J772" s="39"/>
      <c r="K772" s="39"/>
      <c r="L772" s="39"/>
      <c r="M772" s="39"/>
      <c r="N772" s="39"/>
      <c r="O772" s="39"/>
      <c r="P772" s="39"/>
      <c r="Q772" s="39">
        <f>Datasheet!Q999/Q818</f>
        <v>248.14754098360655</v>
      </c>
      <c r="R772" s="39">
        <f>Datasheet!R999/R818</f>
        <v>219.98360655737704</v>
      </c>
      <c r="S772" s="39">
        <f>Datasheet!S999/S818</f>
        <v>282.71311475409834</v>
      </c>
      <c r="T772" s="39">
        <f>Datasheet!T999/T818</f>
        <v>248.57377049180329</v>
      </c>
      <c r="U772" s="39">
        <f>Datasheet!U999/U818</f>
        <v>143.0655737704918</v>
      </c>
      <c r="V772" s="39">
        <f>Datasheet!V999/V818</f>
        <v>198.54098360655738</v>
      </c>
      <c r="W772" s="39">
        <f>Datasheet!W999/W818</f>
        <v>222.91803278688525</v>
      </c>
      <c r="X772" s="39">
        <f>Datasheet!X999/X818</f>
        <v>240.31147540983608</v>
      </c>
      <c r="Y772" s="39">
        <f>Datasheet!Y999/Y818</f>
        <v>235.39344262295083</v>
      </c>
      <c r="Z772" s="39">
        <f>Datasheet!Z999/Z818</f>
        <v>227.58196721311475</v>
      </c>
      <c r="AA772" s="39">
        <f>Datasheet!AA999/AA818</f>
        <v>317.60655737704917</v>
      </c>
      <c r="AB772" s="39">
        <f>Datasheet!AB999/AB818</f>
        <v>285.59016393442624</v>
      </c>
      <c r="AC772" s="39">
        <f>Datasheet!AC999/AC818</f>
        <v>210.2704918032787</v>
      </c>
      <c r="AD772" s="39">
        <f>Datasheet!AD999/AD818</f>
        <v>0</v>
      </c>
      <c r="AE772" s="39">
        <f>Datasheet!AE999/AE818</f>
        <v>0</v>
      </c>
      <c r="AF772" s="39">
        <f>Datasheet!AF999/AF818</f>
        <v>0</v>
      </c>
      <c r="AG772" s="39">
        <f>Datasheet!AG999/AG818</f>
        <v>0</v>
      </c>
      <c r="AH772" s="39">
        <f>Datasheet!AH999/AH818</f>
        <v>0</v>
      </c>
      <c r="AI772" s="39">
        <f>Datasheet!AI999/AI818</f>
        <v>0</v>
      </c>
      <c r="AJ772" s="39">
        <f>Datasheet!AJ999/AJ818</f>
        <v>0</v>
      </c>
      <c r="AK772" s="39">
        <f>Datasheet!AK999/AK818</f>
        <v>0</v>
      </c>
    </row>
    <row r="773" spans="6:37" x14ac:dyDescent="0.25">
      <c r="G773" s="4" t="s">
        <v>251</v>
      </c>
      <c r="H773" s="4" t="s">
        <v>1231</v>
      </c>
      <c r="I773" s="39"/>
      <c r="J773" s="39"/>
      <c r="K773" s="39"/>
      <c r="L773" s="39"/>
      <c r="M773" s="39"/>
      <c r="N773" s="39"/>
      <c r="O773" s="39"/>
      <c r="P773" s="39"/>
      <c r="Q773" s="39">
        <f>Datasheet!Q999/Q818</f>
        <v>248.14754098360655</v>
      </c>
      <c r="R773" s="39">
        <f>Datasheet!R999/R818</f>
        <v>219.98360655737704</v>
      </c>
      <c r="S773" s="39">
        <f>Datasheet!S999/S818</f>
        <v>282.71311475409834</v>
      </c>
      <c r="T773" s="39">
        <f>Datasheet!T999/T818</f>
        <v>248.57377049180329</v>
      </c>
      <c r="U773" s="39">
        <f>Datasheet!U999/U818</f>
        <v>143.0655737704918</v>
      </c>
      <c r="V773" s="39">
        <f>Datasheet!V999/V818</f>
        <v>198.54098360655738</v>
      </c>
      <c r="W773" s="39">
        <f>Datasheet!W999/W818</f>
        <v>222.91803278688525</v>
      </c>
      <c r="X773" s="39">
        <f>Datasheet!X999/X818</f>
        <v>240.31147540983608</v>
      </c>
      <c r="Y773" s="39">
        <f>Datasheet!Y999/Y818</f>
        <v>235.39344262295083</v>
      </c>
      <c r="Z773" s="39">
        <f>Datasheet!Z999/Z818</f>
        <v>227.58196721311475</v>
      </c>
      <c r="AA773" s="39">
        <f>Datasheet!AA999/AA818</f>
        <v>317.60655737704917</v>
      </c>
      <c r="AB773" s="39">
        <f>Datasheet!AB999/AB818</f>
        <v>285.59016393442624</v>
      </c>
      <c r="AC773" s="39">
        <f>Datasheet!AC999/AC818</f>
        <v>210.2704918032787</v>
      </c>
      <c r="AD773" s="39">
        <f>Datasheet!AD999/AD818</f>
        <v>0</v>
      </c>
      <c r="AE773" s="39">
        <f>Datasheet!AE999/AE818</f>
        <v>0</v>
      </c>
      <c r="AF773" s="39">
        <f>Datasheet!AF999/AF818</f>
        <v>0</v>
      </c>
      <c r="AG773" s="39">
        <f>Datasheet!AG999/AG818</f>
        <v>0</v>
      </c>
      <c r="AH773" s="39">
        <f>Datasheet!AH999/AH818</f>
        <v>0</v>
      </c>
      <c r="AI773" s="39">
        <f>Datasheet!AI999/AI818</f>
        <v>0</v>
      </c>
      <c r="AJ773" s="39">
        <f>Datasheet!AJ999/AJ818</f>
        <v>0</v>
      </c>
      <c r="AK773" s="39">
        <f>Datasheet!AK999/AK818</f>
        <v>0</v>
      </c>
    </row>
    <row r="774" spans="6:37" x14ac:dyDescent="0.25">
      <c r="G774" s="4" t="s">
        <v>252</v>
      </c>
      <c r="H774" s="4" t="s">
        <v>1231</v>
      </c>
      <c r="I774" s="39"/>
      <c r="J774" s="39"/>
      <c r="K774" s="39"/>
      <c r="L774" s="39"/>
      <c r="M774" s="39"/>
      <c r="N774" s="39"/>
      <c r="O774" s="39"/>
      <c r="P774" s="39"/>
      <c r="Q774" s="39">
        <f>Datasheet!Q999/Q818</f>
        <v>248.14754098360655</v>
      </c>
      <c r="R774" s="39">
        <f>Datasheet!R999/R818</f>
        <v>219.98360655737704</v>
      </c>
      <c r="S774" s="39">
        <f>Datasheet!S999/S818</f>
        <v>282.71311475409834</v>
      </c>
      <c r="T774" s="39">
        <f>Datasheet!T999/T818</f>
        <v>248.57377049180329</v>
      </c>
      <c r="U774" s="39">
        <f>Datasheet!U999/U818</f>
        <v>143.0655737704918</v>
      </c>
      <c r="V774" s="39">
        <f>Datasheet!V999/V818</f>
        <v>198.54098360655738</v>
      </c>
      <c r="W774" s="39">
        <f>Datasheet!W999/W818</f>
        <v>222.91803278688525</v>
      </c>
      <c r="X774" s="39">
        <f>Datasheet!X999/X818</f>
        <v>240.31147540983608</v>
      </c>
      <c r="Y774" s="39">
        <f>Datasheet!Y999/Y818</f>
        <v>235.39344262295083</v>
      </c>
      <c r="Z774" s="39">
        <f>Datasheet!Z999/Z818</f>
        <v>227.58196721311475</v>
      </c>
      <c r="AA774" s="39">
        <f>Datasheet!AA999/AA818</f>
        <v>317.60655737704917</v>
      </c>
      <c r="AB774" s="39">
        <f>Datasheet!AB999/AB818</f>
        <v>285.59016393442624</v>
      </c>
      <c r="AC774" s="39">
        <f>Datasheet!AC999/AC818</f>
        <v>210.2704918032787</v>
      </c>
      <c r="AD774" s="39">
        <f>Datasheet!AD999/AD818</f>
        <v>0</v>
      </c>
      <c r="AE774" s="39">
        <f>Datasheet!AE999/AE818</f>
        <v>0</v>
      </c>
      <c r="AF774" s="39">
        <f>Datasheet!AF999/AF818</f>
        <v>0</v>
      </c>
      <c r="AG774" s="39">
        <f>Datasheet!AG999/AG818</f>
        <v>0</v>
      </c>
      <c r="AH774" s="39">
        <f>Datasheet!AH999/AH818</f>
        <v>0</v>
      </c>
      <c r="AI774" s="39">
        <f>Datasheet!AI999/AI818</f>
        <v>0</v>
      </c>
      <c r="AJ774" s="39">
        <f>Datasheet!AJ999/AJ818</f>
        <v>0</v>
      </c>
      <c r="AK774" s="39">
        <f>Datasheet!AK999/AK818</f>
        <v>0</v>
      </c>
    </row>
    <row r="775" spans="6:37" x14ac:dyDescent="0.25">
      <c r="G775" s="4" t="s">
        <v>253</v>
      </c>
      <c r="H775" s="4" t="s">
        <v>1231</v>
      </c>
      <c r="Q775">
        <v>0</v>
      </c>
      <c r="R775">
        <v>0</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row>
    <row r="776" spans="6:37" x14ac:dyDescent="0.25">
      <c r="G776" s="4" t="s">
        <v>254</v>
      </c>
      <c r="H776" s="4" t="s">
        <v>1231</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0</v>
      </c>
    </row>
    <row r="777" spans="6:37" x14ac:dyDescent="0.25">
      <c r="G777" s="4" t="s">
        <v>255</v>
      </c>
      <c r="H777" s="4" t="s">
        <v>1231</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0</v>
      </c>
    </row>
    <row r="778" spans="6:37" x14ac:dyDescent="0.25">
      <c r="F778" t="s">
        <v>1255</v>
      </c>
      <c r="H778" s="4"/>
    </row>
    <row r="779" spans="6:37" x14ac:dyDescent="0.25">
      <c r="G779" s="4" t="s">
        <v>244</v>
      </c>
      <c r="H779" s="4" t="s">
        <v>1231</v>
      </c>
      <c r="Q779">
        <v>0</v>
      </c>
      <c r="R779">
        <v>0</v>
      </c>
      <c r="S779">
        <v>0</v>
      </c>
      <c r="T779">
        <v>0</v>
      </c>
      <c r="U779">
        <v>0</v>
      </c>
      <c r="V779">
        <v>0</v>
      </c>
      <c r="W779">
        <v>0</v>
      </c>
      <c r="X779">
        <v>0</v>
      </c>
      <c r="Y779">
        <v>0</v>
      </c>
      <c r="Z779">
        <v>0</v>
      </c>
      <c r="AA779">
        <v>0</v>
      </c>
      <c r="AB779">
        <v>0</v>
      </c>
      <c r="AC779">
        <v>0</v>
      </c>
      <c r="AD779">
        <v>0</v>
      </c>
      <c r="AE779">
        <v>0</v>
      </c>
      <c r="AF779">
        <v>0</v>
      </c>
      <c r="AG779">
        <v>0</v>
      </c>
      <c r="AH779">
        <v>0</v>
      </c>
      <c r="AI779">
        <v>0</v>
      </c>
      <c r="AJ779">
        <v>0</v>
      </c>
      <c r="AK779">
        <v>0</v>
      </c>
    </row>
    <row r="780" spans="6:37" x14ac:dyDescent="0.25">
      <c r="G780" s="4" t="s">
        <v>245</v>
      </c>
      <c r="H780" s="4" t="s">
        <v>1231</v>
      </c>
      <c r="Q780">
        <v>0</v>
      </c>
      <c r="R780">
        <v>0</v>
      </c>
      <c r="S780">
        <v>0</v>
      </c>
      <c r="T780">
        <v>0</v>
      </c>
      <c r="U780">
        <v>0</v>
      </c>
      <c r="V780">
        <v>0</v>
      </c>
      <c r="W780">
        <v>0</v>
      </c>
      <c r="X780">
        <v>0</v>
      </c>
      <c r="Y780">
        <v>0</v>
      </c>
      <c r="Z780">
        <v>0</v>
      </c>
      <c r="AA780">
        <v>0</v>
      </c>
      <c r="AB780">
        <v>0</v>
      </c>
      <c r="AC780">
        <v>0</v>
      </c>
      <c r="AD780">
        <v>0</v>
      </c>
      <c r="AE780">
        <v>0</v>
      </c>
      <c r="AF780">
        <v>0</v>
      </c>
      <c r="AG780">
        <v>0</v>
      </c>
      <c r="AH780">
        <v>0</v>
      </c>
      <c r="AI780">
        <v>0</v>
      </c>
      <c r="AJ780">
        <v>0</v>
      </c>
      <c r="AK780">
        <v>0</v>
      </c>
    </row>
    <row r="781" spans="6:37" x14ac:dyDescent="0.25">
      <c r="G781" s="4" t="s">
        <v>246</v>
      </c>
      <c r="H781" s="4" t="s">
        <v>1231</v>
      </c>
      <c r="Q781">
        <v>0</v>
      </c>
      <c r="R781">
        <v>0</v>
      </c>
      <c r="S781">
        <v>0</v>
      </c>
      <c r="T781">
        <v>0</v>
      </c>
      <c r="U781">
        <v>0</v>
      </c>
      <c r="V781">
        <v>0</v>
      </c>
      <c r="W781">
        <v>0</v>
      </c>
      <c r="X781">
        <v>0</v>
      </c>
      <c r="Y781">
        <v>0</v>
      </c>
      <c r="Z781">
        <v>0</v>
      </c>
      <c r="AA781">
        <v>0</v>
      </c>
      <c r="AB781">
        <v>0</v>
      </c>
      <c r="AC781">
        <v>0</v>
      </c>
      <c r="AD781">
        <v>0</v>
      </c>
      <c r="AE781">
        <v>0</v>
      </c>
      <c r="AF781">
        <v>0</v>
      </c>
      <c r="AG781">
        <v>0</v>
      </c>
      <c r="AH781">
        <v>0</v>
      </c>
      <c r="AI781">
        <v>0</v>
      </c>
      <c r="AJ781">
        <v>0</v>
      </c>
      <c r="AK781">
        <v>0</v>
      </c>
    </row>
    <row r="782" spans="6:37" x14ac:dyDescent="0.25">
      <c r="G782" s="4" t="s">
        <v>247</v>
      </c>
      <c r="H782" s="4" t="s">
        <v>1231</v>
      </c>
      <c r="Q782">
        <v>0</v>
      </c>
      <c r="R782">
        <v>0</v>
      </c>
      <c r="S782">
        <v>0</v>
      </c>
      <c r="T782">
        <v>0</v>
      </c>
      <c r="U782">
        <v>0</v>
      </c>
      <c r="V782">
        <v>0</v>
      </c>
      <c r="W782">
        <v>0</v>
      </c>
      <c r="X782">
        <v>0</v>
      </c>
      <c r="Y782">
        <v>0</v>
      </c>
      <c r="Z782">
        <v>0</v>
      </c>
      <c r="AA782">
        <v>0</v>
      </c>
      <c r="AB782">
        <v>0</v>
      </c>
      <c r="AC782">
        <v>0</v>
      </c>
      <c r="AD782">
        <v>0</v>
      </c>
      <c r="AE782">
        <v>0</v>
      </c>
      <c r="AF782">
        <v>0</v>
      </c>
      <c r="AG782">
        <v>0</v>
      </c>
      <c r="AH782">
        <v>0</v>
      </c>
      <c r="AI782">
        <v>0</v>
      </c>
      <c r="AJ782">
        <v>0</v>
      </c>
      <c r="AK782">
        <v>0</v>
      </c>
    </row>
    <row r="783" spans="6:37" x14ac:dyDescent="0.25">
      <c r="G783" s="4" t="s">
        <v>248</v>
      </c>
      <c r="H783" s="4" t="s">
        <v>1231</v>
      </c>
      <c r="Q783">
        <v>0</v>
      </c>
      <c r="R783">
        <v>0</v>
      </c>
      <c r="S783">
        <v>0</v>
      </c>
      <c r="T783">
        <v>0</v>
      </c>
      <c r="U783">
        <v>0</v>
      </c>
      <c r="V783">
        <v>0</v>
      </c>
      <c r="W783">
        <v>0</v>
      </c>
      <c r="X783">
        <v>0</v>
      </c>
      <c r="Y783">
        <v>0</v>
      </c>
      <c r="Z783">
        <v>0</v>
      </c>
      <c r="AA783">
        <v>0</v>
      </c>
      <c r="AB783">
        <v>0</v>
      </c>
      <c r="AC783">
        <v>0</v>
      </c>
      <c r="AD783">
        <v>0</v>
      </c>
      <c r="AE783">
        <v>0</v>
      </c>
      <c r="AF783">
        <v>0</v>
      </c>
      <c r="AG783">
        <v>0</v>
      </c>
      <c r="AH783">
        <v>0</v>
      </c>
      <c r="AI783">
        <v>0</v>
      </c>
      <c r="AJ783">
        <v>0</v>
      </c>
      <c r="AK783">
        <v>0</v>
      </c>
    </row>
    <row r="784" spans="6:37" x14ac:dyDescent="0.25">
      <c r="G784" s="4" t="s">
        <v>249</v>
      </c>
      <c r="H784" s="4" t="s">
        <v>1231</v>
      </c>
      <c r="Q784">
        <v>118</v>
      </c>
      <c r="R784">
        <v>118</v>
      </c>
      <c r="S784">
        <v>118</v>
      </c>
      <c r="T784">
        <v>118</v>
      </c>
      <c r="U784">
        <v>118</v>
      </c>
      <c r="V784">
        <v>118</v>
      </c>
      <c r="W784">
        <v>118</v>
      </c>
      <c r="X784">
        <v>118</v>
      </c>
      <c r="Y784">
        <v>118</v>
      </c>
      <c r="Z784">
        <v>118</v>
      </c>
      <c r="AA784">
        <v>118</v>
      </c>
      <c r="AB784">
        <v>118</v>
      </c>
      <c r="AC784">
        <v>118</v>
      </c>
      <c r="AD784">
        <v>118</v>
      </c>
      <c r="AE784">
        <v>118</v>
      </c>
      <c r="AF784">
        <v>118</v>
      </c>
      <c r="AG784">
        <v>118</v>
      </c>
      <c r="AH784">
        <v>118</v>
      </c>
      <c r="AI784">
        <v>118</v>
      </c>
      <c r="AJ784">
        <v>118</v>
      </c>
      <c r="AK784">
        <v>118</v>
      </c>
    </row>
    <row r="785" spans="6:37" x14ac:dyDescent="0.25">
      <c r="G785" s="4" t="s">
        <v>250</v>
      </c>
      <c r="H785" s="4" t="s">
        <v>1231</v>
      </c>
      <c r="Q785">
        <v>118</v>
      </c>
      <c r="R785">
        <v>118</v>
      </c>
      <c r="S785">
        <v>118</v>
      </c>
      <c r="T785">
        <v>118</v>
      </c>
      <c r="U785">
        <v>118</v>
      </c>
      <c r="V785">
        <v>118</v>
      </c>
      <c r="W785">
        <v>118</v>
      </c>
      <c r="X785">
        <v>118</v>
      </c>
      <c r="Y785">
        <v>118</v>
      </c>
      <c r="Z785">
        <v>118</v>
      </c>
      <c r="AA785">
        <v>118</v>
      </c>
      <c r="AB785">
        <v>118</v>
      </c>
      <c r="AC785">
        <v>118</v>
      </c>
      <c r="AD785">
        <v>118</v>
      </c>
      <c r="AE785">
        <v>118</v>
      </c>
      <c r="AF785">
        <v>118</v>
      </c>
      <c r="AG785">
        <v>118</v>
      </c>
      <c r="AH785">
        <v>118</v>
      </c>
      <c r="AI785">
        <v>118</v>
      </c>
      <c r="AJ785">
        <v>118</v>
      </c>
      <c r="AK785">
        <v>118</v>
      </c>
    </row>
    <row r="786" spans="6:37" x14ac:dyDescent="0.25">
      <c r="G786" s="4" t="s">
        <v>251</v>
      </c>
      <c r="H786" s="4" t="s">
        <v>1231</v>
      </c>
      <c r="Q786">
        <v>118</v>
      </c>
      <c r="R786">
        <v>118</v>
      </c>
      <c r="S786">
        <v>118</v>
      </c>
      <c r="T786">
        <v>118</v>
      </c>
      <c r="U786">
        <v>118</v>
      </c>
      <c r="V786">
        <v>118</v>
      </c>
      <c r="W786">
        <v>118</v>
      </c>
      <c r="X786">
        <v>118</v>
      </c>
      <c r="Y786">
        <v>118</v>
      </c>
      <c r="Z786">
        <v>118</v>
      </c>
      <c r="AA786">
        <v>118</v>
      </c>
      <c r="AB786">
        <v>118</v>
      </c>
      <c r="AC786">
        <v>118</v>
      </c>
      <c r="AD786">
        <v>118</v>
      </c>
      <c r="AE786">
        <v>118</v>
      </c>
      <c r="AF786">
        <v>118</v>
      </c>
      <c r="AG786">
        <v>118</v>
      </c>
      <c r="AH786">
        <v>118</v>
      </c>
      <c r="AI786">
        <v>118</v>
      </c>
      <c r="AJ786">
        <v>118</v>
      </c>
      <c r="AK786">
        <v>118</v>
      </c>
    </row>
    <row r="787" spans="6:37" x14ac:dyDescent="0.25">
      <c r="G787" s="4" t="s">
        <v>252</v>
      </c>
      <c r="H787" s="4" t="s">
        <v>1231</v>
      </c>
      <c r="Q787">
        <v>118</v>
      </c>
      <c r="R787">
        <v>118</v>
      </c>
      <c r="S787">
        <v>118</v>
      </c>
      <c r="T787">
        <v>118</v>
      </c>
      <c r="U787">
        <v>118</v>
      </c>
      <c r="V787">
        <v>118</v>
      </c>
      <c r="W787">
        <v>118</v>
      </c>
      <c r="X787">
        <v>118</v>
      </c>
      <c r="Y787">
        <v>118</v>
      </c>
      <c r="Z787">
        <v>118</v>
      </c>
      <c r="AA787">
        <v>118</v>
      </c>
      <c r="AB787">
        <v>118</v>
      </c>
      <c r="AC787">
        <v>118</v>
      </c>
      <c r="AD787">
        <v>118</v>
      </c>
      <c r="AE787">
        <v>118</v>
      </c>
      <c r="AF787">
        <v>118</v>
      </c>
      <c r="AG787">
        <v>118</v>
      </c>
      <c r="AH787">
        <v>118</v>
      </c>
      <c r="AI787">
        <v>118</v>
      </c>
      <c r="AJ787">
        <v>118</v>
      </c>
      <c r="AK787">
        <v>118</v>
      </c>
    </row>
    <row r="788" spans="6:37" x14ac:dyDescent="0.25">
      <c r="G788" s="4" t="s">
        <v>253</v>
      </c>
      <c r="H788" s="4" t="s">
        <v>1231</v>
      </c>
      <c r="Q788">
        <v>0</v>
      </c>
      <c r="R788">
        <v>0</v>
      </c>
      <c r="S788">
        <v>0</v>
      </c>
      <c r="T788">
        <v>0</v>
      </c>
      <c r="U788">
        <v>0</v>
      </c>
      <c r="V788">
        <v>0</v>
      </c>
      <c r="W788">
        <v>0</v>
      </c>
      <c r="X788">
        <v>0</v>
      </c>
      <c r="Y788">
        <v>0</v>
      </c>
      <c r="Z788">
        <v>0</v>
      </c>
      <c r="AA788">
        <v>0</v>
      </c>
      <c r="AB788">
        <v>0</v>
      </c>
      <c r="AC788">
        <v>0</v>
      </c>
      <c r="AD788">
        <v>0</v>
      </c>
      <c r="AE788">
        <v>0</v>
      </c>
      <c r="AF788">
        <v>0</v>
      </c>
      <c r="AG788">
        <v>0</v>
      </c>
      <c r="AH788">
        <v>0</v>
      </c>
      <c r="AI788">
        <v>0</v>
      </c>
      <c r="AJ788">
        <v>0</v>
      </c>
      <c r="AK788">
        <v>0</v>
      </c>
    </row>
    <row r="789" spans="6:37" x14ac:dyDescent="0.25">
      <c r="G789" s="4" t="s">
        <v>254</v>
      </c>
      <c r="H789" s="4" t="s">
        <v>1231</v>
      </c>
      <c r="Q789">
        <v>0</v>
      </c>
      <c r="R789">
        <v>0</v>
      </c>
      <c r="S789">
        <v>0</v>
      </c>
      <c r="T789">
        <v>0</v>
      </c>
      <c r="U789">
        <v>0</v>
      </c>
      <c r="V789">
        <v>0</v>
      </c>
      <c r="W789">
        <v>0</v>
      </c>
      <c r="X789">
        <v>0</v>
      </c>
      <c r="Y789">
        <v>0</v>
      </c>
      <c r="Z789">
        <v>0</v>
      </c>
      <c r="AA789">
        <v>0</v>
      </c>
      <c r="AB789">
        <v>0</v>
      </c>
      <c r="AC789">
        <v>0</v>
      </c>
      <c r="AD789">
        <v>0</v>
      </c>
      <c r="AE789">
        <v>0</v>
      </c>
      <c r="AF789">
        <v>0</v>
      </c>
      <c r="AG789">
        <v>0</v>
      </c>
      <c r="AH789">
        <v>0</v>
      </c>
      <c r="AI789">
        <v>0</v>
      </c>
      <c r="AJ789">
        <v>0</v>
      </c>
      <c r="AK789">
        <v>0</v>
      </c>
    </row>
    <row r="790" spans="6:37" x14ac:dyDescent="0.25">
      <c r="G790" s="4" t="s">
        <v>255</v>
      </c>
      <c r="H790" s="4" t="s">
        <v>1231</v>
      </c>
      <c r="Q790">
        <v>0</v>
      </c>
      <c r="R790">
        <v>0</v>
      </c>
      <c r="S790">
        <v>0</v>
      </c>
      <c r="T790">
        <v>0</v>
      </c>
      <c r="U790">
        <v>0</v>
      </c>
      <c r="V790">
        <v>0</v>
      </c>
      <c r="W790">
        <v>0</v>
      </c>
      <c r="X790">
        <v>0</v>
      </c>
      <c r="Y790">
        <v>0</v>
      </c>
      <c r="Z790">
        <v>0</v>
      </c>
      <c r="AA790">
        <v>0</v>
      </c>
      <c r="AB790">
        <v>0</v>
      </c>
      <c r="AC790">
        <v>0</v>
      </c>
      <c r="AD790">
        <v>0</v>
      </c>
      <c r="AE790">
        <v>0</v>
      </c>
      <c r="AF790">
        <v>0</v>
      </c>
      <c r="AG790">
        <v>0</v>
      </c>
      <c r="AH790">
        <v>0</v>
      </c>
      <c r="AI790">
        <v>0</v>
      </c>
      <c r="AJ790">
        <v>0</v>
      </c>
      <c r="AK790">
        <v>0</v>
      </c>
    </row>
    <row r="791" spans="6:37" x14ac:dyDescent="0.25">
      <c r="F791" t="s">
        <v>1256</v>
      </c>
      <c r="H791" s="4"/>
    </row>
    <row r="792" spans="6:37" x14ac:dyDescent="0.25">
      <c r="G792" s="4" t="s">
        <v>244</v>
      </c>
      <c r="H792" s="4" t="s">
        <v>1231</v>
      </c>
      <c r="I792" s="39">
        <f>Datasheet!I1049/31</f>
        <v>29.967741935483872</v>
      </c>
      <c r="J792" s="39">
        <f>Datasheet!J1049/31</f>
        <v>13.838709677419354</v>
      </c>
      <c r="K792" s="39">
        <f>Datasheet!K1049/31</f>
        <v>8.67741935483871</v>
      </c>
      <c r="L792" s="39">
        <f>Datasheet!L1049/31</f>
        <v>12.451612903225806</v>
      </c>
      <c r="M792" s="39">
        <f>Datasheet!M1049/31</f>
        <v>3.6774193548387095</v>
      </c>
      <c r="N792" s="39">
        <f>Datasheet!N1049/31</f>
        <v>12.387096774193548</v>
      </c>
      <c r="O792" s="39">
        <f>Datasheet!O1049/31</f>
        <v>13.516129032258064</v>
      </c>
      <c r="P792" s="39">
        <f>Datasheet!P1049/31</f>
        <v>6.741935483870968</v>
      </c>
      <c r="Q792" s="39">
        <f>Datasheet!Q1049/31</f>
        <v>13.03225806451613</v>
      </c>
      <c r="R792" s="39">
        <f>Datasheet!R1049/31</f>
        <v>10.838709677419354</v>
      </c>
      <c r="S792" s="39">
        <f>Datasheet!S1049/31</f>
        <v>14.225806451612904</v>
      </c>
      <c r="T792" s="39">
        <f>Datasheet!T1049/31</f>
        <v>19.161290322580644</v>
      </c>
      <c r="U792" s="39">
        <f>Datasheet!U1049/31</f>
        <v>10.451612903225806</v>
      </c>
      <c r="V792" s="39">
        <f>Datasheet!V1049/31</f>
        <v>10.580645161290322</v>
      </c>
      <c r="W792" s="39">
        <f>Datasheet!W1049/31</f>
        <v>0</v>
      </c>
      <c r="X792" s="39">
        <f>Datasheet!X1049/31</f>
        <v>14.258064516129032</v>
      </c>
      <c r="Y792" s="39">
        <f>Datasheet!Y1049/31</f>
        <v>17.161290322580644</v>
      </c>
      <c r="Z792" s="39">
        <f>Datasheet!Z1049/31</f>
        <v>6.935483870967742</v>
      </c>
      <c r="AA792" s="39">
        <f>Datasheet!AA1049/31</f>
        <v>0.19354838709677419</v>
      </c>
      <c r="AB792" s="39">
        <f>Datasheet!AB1049/31</f>
        <v>3.774193548387097</v>
      </c>
      <c r="AC792" s="39">
        <f>Datasheet!AC1049/31</f>
        <v>13.451612903225806</v>
      </c>
      <c r="AD792" s="39">
        <f>Datasheet!AD1049/31</f>
        <v>0</v>
      </c>
      <c r="AE792" s="39">
        <f>Datasheet!AE1049/31</f>
        <v>0</v>
      </c>
      <c r="AF792" s="39">
        <f>Datasheet!AF1049/31</f>
        <v>0</v>
      </c>
      <c r="AG792" s="39">
        <f>Datasheet!AG1049/31</f>
        <v>0</v>
      </c>
      <c r="AH792" s="39">
        <f>Datasheet!AH1049/31</f>
        <v>0</v>
      </c>
      <c r="AI792" s="39">
        <f>Datasheet!AI1049/31</f>
        <v>0</v>
      </c>
      <c r="AJ792" s="39">
        <f>Datasheet!AJ1049/31</f>
        <v>0</v>
      </c>
      <c r="AK792" s="39">
        <f>Datasheet!AK1049/31</f>
        <v>0</v>
      </c>
    </row>
    <row r="793" spans="6:37" x14ac:dyDescent="0.25">
      <c r="G793" s="4" t="s">
        <v>245</v>
      </c>
      <c r="H793" s="4" t="s">
        <v>1231</v>
      </c>
      <c r="I793" s="39">
        <f>Datasheet!I1050/28</f>
        <v>45.571428571428569</v>
      </c>
      <c r="J793" s="39">
        <f>Datasheet!J1050/28</f>
        <v>23.607142857142858</v>
      </c>
      <c r="K793" s="39">
        <f>Datasheet!K1050/28</f>
        <v>11.321428571428571</v>
      </c>
      <c r="L793" s="39">
        <f>Datasheet!L1050/28</f>
        <v>20.285714285714285</v>
      </c>
      <c r="M793" s="39">
        <f>Datasheet!M1050/28</f>
        <v>23.142857142857142</v>
      </c>
      <c r="N793" s="39">
        <f>Datasheet!N1050/28</f>
        <v>20.535714285714285</v>
      </c>
      <c r="O793" s="39">
        <f>Datasheet!O1050/28</f>
        <v>15</v>
      </c>
      <c r="P793" s="39">
        <f>Datasheet!P1050/28</f>
        <v>13.428571428571429</v>
      </c>
      <c r="Q793" s="39">
        <f>Datasheet!Q1050/28</f>
        <v>14.678571428571429</v>
      </c>
      <c r="R793" s="39">
        <f>Datasheet!R1050/28</f>
        <v>6.25</v>
      </c>
      <c r="S793" s="39">
        <f>Datasheet!S1050/28</f>
        <v>12.321428571428571</v>
      </c>
      <c r="T793" s="39">
        <f>Datasheet!T1050/28</f>
        <v>17.785714285714285</v>
      </c>
      <c r="U793" s="39">
        <f>Datasheet!U1050/28</f>
        <v>8.7857142857142865</v>
      </c>
      <c r="V793" s="39">
        <f>Datasheet!V1050/28</f>
        <v>10.142857142857142</v>
      </c>
      <c r="W793" s="39">
        <f>Datasheet!W1050/28</f>
        <v>5.1785714285714288</v>
      </c>
      <c r="X793" s="39">
        <f>Datasheet!X1050/28</f>
        <v>11.785714285714286</v>
      </c>
      <c r="Y793" s="39">
        <f>Datasheet!Y1050/28</f>
        <v>11.392857142857142</v>
      </c>
      <c r="Z793" s="39">
        <f>Datasheet!Z1050/28</f>
        <v>11.75</v>
      </c>
      <c r="AA793" s="39">
        <f>Datasheet!AA1050/28</f>
        <v>3.5357142857142856</v>
      </c>
      <c r="AB793" s="39">
        <f>Datasheet!AB1050/28</f>
        <v>1.0714285714285714</v>
      </c>
      <c r="AC793" s="39">
        <f>Datasheet!AC1050/28</f>
        <v>7.3571428571428568</v>
      </c>
      <c r="AD793" s="39">
        <f>Datasheet!AD1050/28</f>
        <v>0</v>
      </c>
      <c r="AE793" s="39">
        <f>Datasheet!AE1050/28</f>
        <v>0</v>
      </c>
      <c r="AF793" s="39">
        <f>Datasheet!AF1050/28</f>
        <v>0</v>
      </c>
      <c r="AG793" s="39">
        <f>Datasheet!AG1050/28</f>
        <v>0</v>
      </c>
      <c r="AH793" s="39">
        <f>Datasheet!AH1050/28</f>
        <v>0</v>
      </c>
      <c r="AI793" s="39">
        <f>Datasheet!AI1050/28</f>
        <v>0</v>
      </c>
      <c r="AJ793" s="39">
        <f>Datasheet!AJ1050/28</f>
        <v>0</v>
      </c>
      <c r="AK793" s="39">
        <f>Datasheet!AK1050/28</f>
        <v>0</v>
      </c>
    </row>
    <row r="794" spans="6:37" x14ac:dyDescent="0.25">
      <c r="G794" s="4" t="s">
        <v>246</v>
      </c>
      <c r="H794" s="4" t="s">
        <v>1231</v>
      </c>
      <c r="I794" s="39">
        <f>Datasheet!I1051/31</f>
        <v>45.161290322580648</v>
      </c>
      <c r="J794" s="39">
        <f>Datasheet!J1051/31</f>
        <v>17.193548387096776</v>
      </c>
      <c r="K794" s="39">
        <f>Datasheet!K1051/31</f>
        <v>3.096774193548387</v>
      </c>
      <c r="L794" s="39">
        <f>Datasheet!L1051/31</f>
        <v>10</v>
      </c>
      <c r="M794" s="39">
        <f>Datasheet!M1051/31</f>
        <v>9.741935483870968</v>
      </c>
      <c r="N794" s="39">
        <f>Datasheet!N1051/31</f>
        <v>9.193548387096774</v>
      </c>
      <c r="O794" s="39">
        <f>Datasheet!O1051/31</f>
        <v>9.387096774193548</v>
      </c>
      <c r="P794" s="39">
        <f>Datasheet!P1051/31</f>
        <v>14.870967741935484</v>
      </c>
      <c r="Q794" s="39">
        <f>Datasheet!Q1051/31</f>
        <v>10.258064516129032</v>
      </c>
      <c r="R794" s="39">
        <f>Datasheet!R1051/31</f>
        <v>4.4838709677419351</v>
      </c>
      <c r="S794" s="39">
        <f>Datasheet!S1051/31</f>
        <v>5.870967741935484</v>
      </c>
      <c r="T794" s="39">
        <f>Datasheet!T1051/31</f>
        <v>6.838709677419355</v>
      </c>
      <c r="U794" s="39">
        <f>Datasheet!U1051/31</f>
        <v>6.4516129032258061</v>
      </c>
      <c r="V794" s="39">
        <f>Datasheet!V1051/31</f>
        <v>10.258064516129032</v>
      </c>
      <c r="W794" s="39">
        <f>Datasheet!W1051/31</f>
        <v>4.387096774193548</v>
      </c>
      <c r="X794" s="39">
        <f>Datasheet!X1051/31</f>
        <v>4.967741935483871</v>
      </c>
      <c r="Y794" s="39">
        <f>Datasheet!Y1051/31</f>
        <v>10</v>
      </c>
      <c r="Z794" s="39">
        <f>Datasheet!Z1051/31</f>
        <v>1.2580645161290323</v>
      </c>
      <c r="AA794" s="39">
        <f>Datasheet!AA1051/31</f>
        <v>3.967741935483871</v>
      </c>
      <c r="AB794" s="39">
        <f>Datasheet!AB1051/31</f>
        <v>4.580645161290323</v>
      </c>
      <c r="AC794" s="39">
        <f>Datasheet!AC1051/31</f>
        <v>4.580645161290323</v>
      </c>
      <c r="AD794" s="39">
        <f>Datasheet!AD1051/31</f>
        <v>0</v>
      </c>
      <c r="AE794" s="39">
        <f>Datasheet!AE1051/31</f>
        <v>0</v>
      </c>
      <c r="AF794" s="39">
        <f>Datasheet!AF1051/31</f>
        <v>0</v>
      </c>
      <c r="AG794" s="39">
        <f>Datasheet!AG1051/31</f>
        <v>0</v>
      </c>
      <c r="AH794" s="39">
        <f>Datasheet!AH1051/31</f>
        <v>0</v>
      </c>
      <c r="AI794" s="39">
        <f>Datasheet!AI1051/31</f>
        <v>0</v>
      </c>
      <c r="AJ794" s="39">
        <f>Datasheet!AJ1051/31</f>
        <v>0</v>
      </c>
      <c r="AK794" s="39">
        <f>Datasheet!AK1051/31</f>
        <v>0</v>
      </c>
    </row>
    <row r="795" spans="6:37" x14ac:dyDescent="0.25">
      <c r="G795" s="4" t="s">
        <v>247</v>
      </c>
      <c r="H795" s="4" t="s">
        <v>1231</v>
      </c>
      <c r="I795" s="39">
        <f>Datasheet!I1052/30</f>
        <v>5.4666666666666668</v>
      </c>
      <c r="J795" s="39">
        <f>Datasheet!J1052/30</f>
        <v>7.2666666666666666</v>
      </c>
      <c r="K795" s="39">
        <f>Datasheet!K1052/30</f>
        <v>6.5</v>
      </c>
      <c r="L795" s="39">
        <f>Datasheet!L1052/30</f>
        <v>2.2333333333333334</v>
      </c>
      <c r="M795" s="39">
        <f>Datasheet!M1052/30</f>
        <v>5.5</v>
      </c>
      <c r="N795" s="39">
        <f>Datasheet!N1052/30</f>
        <v>5.9333333333333336</v>
      </c>
      <c r="O795" s="39">
        <f>Datasheet!O1052/30</f>
        <v>6.833333333333333</v>
      </c>
      <c r="P795" s="39">
        <f>Datasheet!P1052/30</f>
        <v>0</v>
      </c>
      <c r="Q795" s="39">
        <f>Datasheet!Q1052/30</f>
        <v>4.7666666666666666</v>
      </c>
      <c r="R795" s="39">
        <f>Datasheet!R1052/30</f>
        <v>6.5333333333333332</v>
      </c>
      <c r="S795" s="39">
        <f>Datasheet!S1052/30</f>
        <v>7.333333333333333</v>
      </c>
      <c r="T795" s="39">
        <f>Datasheet!T1052/30</f>
        <v>8.9666666666666668</v>
      </c>
      <c r="U795" s="39">
        <f>Datasheet!U1052/30</f>
        <v>8.3000000000000007</v>
      </c>
      <c r="V795" s="39">
        <f>Datasheet!V1052/30</f>
        <v>10.533333333333333</v>
      </c>
      <c r="W795" s="39">
        <f>Datasheet!W1052/30</f>
        <v>2.9666666666666668</v>
      </c>
      <c r="X795" s="39">
        <f>Datasheet!X1052/30</f>
        <v>5.1333333333333337</v>
      </c>
      <c r="Y795" s="39">
        <f>Datasheet!Y1052/30</f>
        <v>10.4</v>
      </c>
      <c r="Z795" s="39">
        <f>Datasheet!Z1052/30</f>
        <v>3.3666666666666667</v>
      </c>
      <c r="AA795" s="39">
        <f>Datasheet!AA1052/30</f>
        <v>0</v>
      </c>
      <c r="AB795" s="39">
        <f>Datasheet!AB1052/30</f>
        <v>14</v>
      </c>
      <c r="AC795" s="39">
        <f>Datasheet!AC1052/30</f>
        <v>29.933333333333334</v>
      </c>
      <c r="AD795" s="39">
        <f>Datasheet!AD1052/30</f>
        <v>0</v>
      </c>
      <c r="AE795" s="39">
        <f>Datasheet!AE1052/30</f>
        <v>0</v>
      </c>
      <c r="AF795" s="39">
        <f>Datasheet!AF1052/30</f>
        <v>0</v>
      </c>
      <c r="AG795" s="39">
        <f>Datasheet!AG1052/30</f>
        <v>0</v>
      </c>
      <c r="AH795" s="39">
        <f>Datasheet!AH1052/30</f>
        <v>0</v>
      </c>
      <c r="AI795" s="39">
        <f>Datasheet!AI1052/30</f>
        <v>0</v>
      </c>
      <c r="AJ795" s="39">
        <f>Datasheet!AJ1052/30</f>
        <v>0</v>
      </c>
      <c r="AK795" s="39">
        <f>Datasheet!AK1052/30</f>
        <v>0</v>
      </c>
    </row>
    <row r="796" spans="6:37" x14ac:dyDescent="0.25">
      <c r="G796" s="4" t="s">
        <v>248</v>
      </c>
      <c r="H796" s="4" t="s">
        <v>1231</v>
      </c>
      <c r="I796" s="39">
        <f>Datasheet!I1053/31</f>
        <v>489.58064516129031</v>
      </c>
      <c r="J796" s="39">
        <f>Datasheet!J1053/31</f>
        <v>472.74193548387098</v>
      </c>
      <c r="K796" s="39">
        <f>Datasheet!K1053/31</f>
        <v>334.19354838709677</v>
      </c>
      <c r="L796" s="39">
        <f>Datasheet!L1053/31</f>
        <v>278.45161290322579</v>
      </c>
      <c r="M796" s="39">
        <f>Datasheet!M1053/31</f>
        <v>628.12903225806451</v>
      </c>
      <c r="N796" s="39">
        <f>Datasheet!N1053/31</f>
        <v>858.25806451612902</v>
      </c>
      <c r="O796" s="39">
        <f>Datasheet!O1053/31</f>
        <v>856.87096774193549</v>
      </c>
      <c r="P796" s="39">
        <f>Datasheet!P1053/31</f>
        <v>1142.1612903225807</v>
      </c>
      <c r="Q796" s="39">
        <f>Datasheet!Q1053/31</f>
        <v>418.70967741935482</v>
      </c>
      <c r="R796" s="39">
        <f>Datasheet!R1053/31</f>
        <v>412.64516129032256</v>
      </c>
      <c r="S796" s="39">
        <f>Datasheet!S1053/31</f>
        <v>621.0322580645161</v>
      </c>
      <c r="T796" s="39">
        <f>Datasheet!T1053/31</f>
        <v>618.48387096774195</v>
      </c>
      <c r="U796" s="39">
        <f>Datasheet!U1053/31</f>
        <v>1221.258064516129</v>
      </c>
      <c r="V796" s="39">
        <f>Datasheet!V1053/31</f>
        <v>785.54838709677415</v>
      </c>
      <c r="W796" s="39">
        <f>Datasheet!W1053/31</f>
        <v>1058.9677419354839</v>
      </c>
      <c r="X796" s="39">
        <f>Datasheet!X1053/31</f>
        <v>966.41935483870964</v>
      </c>
      <c r="Y796" s="39">
        <f>Datasheet!Y1053/31</f>
        <v>1081.0322580645161</v>
      </c>
      <c r="Z796" s="39">
        <f>Datasheet!Z1053/31</f>
        <v>1061.516129032258</v>
      </c>
      <c r="AA796" s="39">
        <f>Datasheet!AA1053/31</f>
        <v>37.58064516129032</v>
      </c>
      <c r="AB796" s="39">
        <f>Datasheet!AB1053/31</f>
        <v>1534.516129032258</v>
      </c>
      <c r="AC796" s="39">
        <f>Datasheet!AC1053/31</f>
        <v>2855.0967741935483</v>
      </c>
      <c r="AD796" s="39">
        <f>Datasheet!AD1053/31</f>
        <v>0</v>
      </c>
      <c r="AE796" s="39">
        <f>Datasheet!AE1053/31</f>
        <v>0</v>
      </c>
      <c r="AF796" s="39">
        <f>Datasheet!AF1053/31</f>
        <v>0</v>
      </c>
      <c r="AG796" s="39">
        <f>Datasheet!AG1053/31</f>
        <v>0</v>
      </c>
      <c r="AH796" s="39">
        <f>Datasheet!AH1053/31</f>
        <v>0</v>
      </c>
      <c r="AI796" s="39">
        <f>Datasheet!AI1053/31</f>
        <v>0</v>
      </c>
      <c r="AJ796" s="39">
        <f>Datasheet!AJ1053/31</f>
        <v>0</v>
      </c>
      <c r="AK796" s="39">
        <f>Datasheet!AK1053/31</f>
        <v>0</v>
      </c>
    </row>
    <row r="797" spans="6:37" x14ac:dyDescent="0.25">
      <c r="G797" s="4" t="s">
        <v>249</v>
      </c>
      <c r="H797" s="4" t="s">
        <v>1231</v>
      </c>
      <c r="I797" s="39">
        <f>Datasheet!I1054/30</f>
        <v>3668.7333333333331</v>
      </c>
      <c r="J797" s="39">
        <f>Datasheet!J1054/30</f>
        <v>3482.4666666666667</v>
      </c>
      <c r="K797" s="39">
        <f>Datasheet!K1054/30</f>
        <v>3304.8333333333335</v>
      </c>
      <c r="L797" s="39">
        <f>Datasheet!L1054/30</f>
        <v>3328.0666666666666</v>
      </c>
      <c r="M797" s="39">
        <f>Datasheet!M1054/30</f>
        <v>3293.0333333333333</v>
      </c>
      <c r="N797" s="39">
        <f>Datasheet!N1054/30</f>
        <v>3968.9666666666667</v>
      </c>
      <c r="O797" s="39">
        <f>Datasheet!O1054/30</f>
        <v>3651</v>
      </c>
      <c r="P797" s="39">
        <f>Datasheet!P1054/30</f>
        <v>3092.3666666666668</v>
      </c>
      <c r="Q797" s="39">
        <f>Datasheet!Q1054/30</f>
        <v>3328</v>
      </c>
      <c r="R797" s="39">
        <f>Datasheet!R1054/30</f>
        <v>2800.5666666666666</v>
      </c>
      <c r="S797" s="39">
        <f>Datasheet!S1054/30</f>
        <v>3186.7</v>
      </c>
      <c r="T797" s="39">
        <f>Datasheet!T1054/30</f>
        <v>3496.5666666666666</v>
      </c>
      <c r="U797" s="39">
        <f>Datasheet!U1054/30</f>
        <v>3629.0333333333333</v>
      </c>
      <c r="V797" s="39">
        <f>Datasheet!V1054/30</f>
        <v>4435.1000000000004</v>
      </c>
      <c r="W797" s="39">
        <f>Datasheet!W1054/30</f>
        <v>4495.2333333333336</v>
      </c>
      <c r="X797" s="39">
        <f>Datasheet!X1054/30</f>
        <v>4591.166666666667</v>
      </c>
      <c r="Y797" s="39">
        <f>Datasheet!Y1054/30</f>
        <v>2952.1333333333332</v>
      </c>
      <c r="Z797" s="39">
        <f>Datasheet!Z1054/30</f>
        <v>3829.2333333333331</v>
      </c>
      <c r="AA797" s="39">
        <f>Datasheet!AA1054/30</f>
        <v>1710.8333333333333</v>
      </c>
      <c r="AB797" s="39">
        <f>Datasheet!AB1054/30</f>
        <v>4526.2333333333336</v>
      </c>
      <c r="AC797" s="39">
        <f>Datasheet!AC1054/30</f>
        <v>4457.7</v>
      </c>
      <c r="AD797" s="39">
        <f>Datasheet!AD1054/30</f>
        <v>0</v>
      </c>
      <c r="AE797" s="39">
        <f>Datasheet!AE1054/30</f>
        <v>0</v>
      </c>
      <c r="AF797" s="39">
        <f>Datasheet!AF1054/30</f>
        <v>0</v>
      </c>
      <c r="AG797" s="39">
        <f>Datasheet!AG1054/30</f>
        <v>0</v>
      </c>
      <c r="AH797" s="39">
        <f>Datasheet!AH1054/30</f>
        <v>0</v>
      </c>
      <c r="AI797" s="39">
        <f>Datasheet!AI1054/30</f>
        <v>0</v>
      </c>
      <c r="AJ797" s="39">
        <f>Datasheet!AJ1054/30</f>
        <v>0</v>
      </c>
      <c r="AK797" s="39">
        <f>Datasheet!AK1054/30</f>
        <v>0</v>
      </c>
    </row>
    <row r="798" spans="6:37" x14ac:dyDescent="0.25">
      <c r="G798" s="4" t="s">
        <v>250</v>
      </c>
      <c r="H798" s="4" t="s">
        <v>1231</v>
      </c>
      <c r="I798" s="39">
        <f>Datasheet!I1055/31</f>
        <v>5367.1935483870966</v>
      </c>
      <c r="J798" s="39">
        <f>Datasheet!J1055/31</f>
        <v>4984.1935483870966</v>
      </c>
      <c r="K798" s="39">
        <f>Datasheet!K1055/31</f>
        <v>4933</v>
      </c>
      <c r="L798" s="39">
        <f>Datasheet!L1055/31</f>
        <v>5072.1290322580644</v>
      </c>
      <c r="M798" s="39">
        <f>Datasheet!M1055/31</f>
        <v>6242.3870967741932</v>
      </c>
      <c r="N798" s="39">
        <f>Datasheet!N1055/31</f>
        <v>5943.2903225806449</v>
      </c>
      <c r="O798" s="39">
        <f>Datasheet!O1055/31</f>
        <v>5604.322580645161</v>
      </c>
      <c r="P798" s="39">
        <f>Datasheet!P1055/31</f>
        <v>5498.3870967741932</v>
      </c>
      <c r="Q798" s="39">
        <f>Datasheet!Q1055/31</f>
        <v>5471.8064516129034</v>
      </c>
      <c r="R798" s="39">
        <f>Datasheet!R1055/31</f>
        <v>4912.3548387096771</v>
      </c>
      <c r="S798" s="39">
        <f>Datasheet!S1055/31</f>
        <v>5510.8064516129034</v>
      </c>
      <c r="T798" s="39">
        <f>Datasheet!T1055/31</f>
        <v>5380.1290322580644</v>
      </c>
      <c r="U798" s="39">
        <f>Datasheet!U1055/31</f>
        <v>5314.4516129032254</v>
      </c>
      <c r="V798" s="39">
        <f>Datasheet!V1055/31</f>
        <v>5490.2903225806449</v>
      </c>
      <c r="W798" s="39">
        <f>Datasheet!W1055/31</f>
        <v>5724.7741935483873</v>
      </c>
      <c r="X798" s="39">
        <f>Datasheet!X1055/31</f>
        <v>5893.0967741935483</v>
      </c>
      <c r="Y798" s="39">
        <f>Datasheet!Y1055/31</f>
        <v>3984.6451612903224</v>
      </c>
      <c r="Z798" s="39">
        <f>Datasheet!Z1055/31</f>
        <v>5018.5806451612907</v>
      </c>
      <c r="AA798" s="39">
        <f>Datasheet!AA1055/31</f>
        <v>3962.1935483870966</v>
      </c>
      <c r="AB798" s="39">
        <f>Datasheet!AB1055/31</f>
        <v>5180.2258064516127</v>
      </c>
      <c r="AC798" s="39">
        <f>Datasheet!AC1055/31</f>
        <v>5533</v>
      </c>
      <c r="AD798" s="39">
        <f>Datasheet!AD1055/31</f>
        <v>0</v>
      </c>
      <c r="AE798" s="39">
        <f>Datasheet!AE1055/31</f>
        <v>0</v>
      </c>
      <c r="AF798" s="39">
        <f>Datasheet!AF1055/31</f>
        <v>0</v>
      </c>
      <c r="AG798" s="39">
        <f>Datasheet!AG1055/31</f>
        <v>0</v>
      </c>
      <c r="AH798" s="39">
        <f>Datasheet!AH1055/31</f>
        <v>0</v>
      </c>
      <c r="AI798" s="39">
        <f>Datasheet!AI1055/31</f>
        <v>0</v>
      </c>
      <c r="AJ798" s="39">
        <f>Datasheet!AJ1055/31</f>
        <v>0</v>
      </c>
      <c r="AK798" s="39">
        <f>Datasheet!AK1055/31</f>
        <v>0</v>
      </c>
    </row>
    <row r="799" spans="6:37" x14ac:dyDescent="0.25">
      <c r="G799" s="4" t="s">
        <v>251</v>
      </c>
      <c r="H799" s="4" t="s">
        <v>1231</v>
      </c>
      <c r="I799" s="39">
        <f>Datasheet!I1056/31</f>
        <v>4758.8709677419356</v>
      </c>
      <c r="J799" s="39">
        <f>Datasheet!J1056/31</f>
        <v>4769.1612903225805</v>
      </c>
      <c r="K799" s="39">
        <f>Datasheet!K1056/31</f>
        <v>4344.5806451612907</v>
      </c>
      <c r="L799" s="39">
        <f>Datasheet!L1056/31</f>
        <v>4324.7096774193551</v>
      </c>
      <c r="M799" s="39">
        <f>Datasheet!M1056/31</f>
        <v>4857.9354838709678</v>
      </c>
      <c r="N799" s="39">
        <f>Datasheet!N1056/31</f>
        <v>5163.0645161290322</v>
      </c>
      <c r="O799" s="39">
        <f>Datasheet!O1056/31</f>
        <v>4987.1935483870966</v>
      </c>
      <c r="P799" s="39">
        <f>Datasheet!P1056/31</f>
        <v>4996.9677419354839</v>
      </c>
      <c r="Q799" s="39">
        <f>Datasheet!Q1056/31</f>
        <v>4685.5161290322585</v>
      </c>
      <c r="R799" s="39">
        <f>Datasheet!R1056/31</f>
        <v>4468.1935483870966</v>
      </c>
      <c r="S799" s="39">
        <f>Datasheet!S1056/31</f>
        <v>4678</v>
      </c>
      <c r="T799" s="39">
        <f>Datasheet!T1056/31</f>
        <v>4729.3870967741932</v>
      </c>
      <c r="U799" s="39">
        <f>Datasheet!U1056/31</f>
        <v>4577.6451612903229</v>
      </c>
      <c r="V799" s="39">
        <f>Datasheet!V1056/31</f>
        <v>4793.1935483870966</v>
      </c>
      <c r="W799" s="39">
        <f>Datasheet!W1056/31</f>
        <v>5093</v>
      </c>
      <c r="X799" s="39">
        <f>Datasheet!X1056/31</f>
        <v>5697.8387096774195</v>
      </c>
      <c r="Y799" s="39">
        <f>Datasheet!Y1056/31</f>
        <v>3665.7096774193546</v>
      </c>
      <c r="Z799" s="39">
        <f>Datasheet!Z1056/31</f>
        <v>4716.8709677419356</v>
      </c>
      <c r="AA799" s="39">
        <f>Datasheet!AA1056/31</f>
        <v>3929.4193548387098</v>
      </c>
      <c r="AB799" s="39">
        <f>Datasheet!AB1056/31</f>
        <v>4990.9354838709678</v>
      </c>
      <c r="AC799" s="39">
        <f>Datasheet!AC1056/31</f>
        <v>4375.9677419354839</v>
      </c>
      <c r="AD799" s="39">
        <f>Datasheet!AD1056/31</f>
        <v>0</v>
      </c>
      <c r="AE799" s="39">
        <f>Datasheet!AE1056/31</f>
        <v>0</v>
      </c>
      <c r="AF799" s="39">
        <f>Datasheet!AF1056/31</f>
        <v>0</v>
      </c>
      <c r="AG799" s="39">
        <f>Datasheet!AG1056/31</f>
        <v>0</v>
      </c>
      <c r="AH799" s="39">
        <f>Datasheet!AH1056/31</f>
        <v>0</v>
      </c>
      <c r="AI799" s="39">
        <f>Datasheet!AI1056/31</f>
        <v>0</v>
      </c>
      <c r="AJ799" s="39">
        <f>Datasheet!AJ1056/31</f>
        <v>0</v>
      </c>
      <c r="AK799" s="39">
        <f>Datasheet!AK1056/31</f>
        <v>0</v>
      </c>
    </row>
    <row r="800" spans="6:37" x14ac:dyDescent="0.25">
      <c r="G800" s="4" t="s">
        <v>252</v>
      </c>
      <c r="H800" s="4" t="s">
        <v>1231</v>
      </c>
      <c r="I800" s="39">
        <f>Datasheet!I1057/30</f>
        <v>2957.1333333333332</v>
      </c>
      <c r="J800" s="39">
        <f>Datasheet!J1057/30</f>
        <v>2700.9333333333334</v>
      </c>
      <c r="K800" s="39">
        <f>Datasheet!K1057/30</f>
        <v>2543.4666666666667</v>
      </c>
      <c r="L800" s="39">
        <f>Datasheet!L1057/30</f>
        <v>2530.1</v>
      </c>
      <c r="M800" s="39">
        <f>Datasheet!M1057/30</f>
        <v>2724.7</v>
      </c>
      <c r="N800" s="39">
        <f>Datasheet!N1057/30</f>
        <v>2915.6666666666665</v>
      </c>
      <c r="O800" s="39">
        <f>Datasheet!O1057/30</f>
        <v>2558.7333333333331</v>
      </c>
      <c r="P800" s="39">
        <f>Datasheet!P1057/30</f>
        <v>3109.4666666666667</v>
      </c>
      <c r="Q800" s="39">
        <f>Datasheet!Q1057/30</f>
        <v>2694.3333333333335</v>
      </c>
      <c r="R800" s="39">
        <f>Datasheet!R1057/30</f>
        <v>2850.3333333333335</v>
      </c>
      <c r="S800" s="39">
        <f>Datasheet!S1057/30</f>
        <v>1933.7</v>
      </c>
      <c r="T800" s="39">
        <f>Datasheet!T1057/30</f>
        <v>2869.0333333333333</v>
      </c>
      <c r="U800" s="39">
        <f>Datasheet!U1057/30</f>
        <v>2913.4</v>
      </c>
      <c r="V800" s="39">
        <f>Datasheet!V1057/30</f>
        <v>4766.333333333333</v>
      </c>
      <c r="W800" s="39">
        <f>Datasheet!W1057/30</f>
        <v>553.4</v>
      </c>
      <c r="X800" s="39">
        <f>Datasheet!X1057/30</f>
        <v>3462.0666666666666</v>
      </c>
      <c r="Y800" s="39">
        <f>Datasheet!Y1057/30</f>
        <v>2628.6666666666665</v>
      </c>
      <c r="Z800" s="39">
        <f>Datasheet!Z1057/30</f>
        <v>3464.7</v>
      </c>
      <c r="AA800" s="39">
        <f>Datasheet!AA1057/30</f>
        <v>3209.2333333333331</v>
      </c>
      <c r="AB800" s="39">
        <f>Datasheet!AB1057/30</f>
        <v>3988.4333333333334</v>
      </c>
      <c r="AC800" s="39">
        <f>Datasheet!AC1057/30</f>
        <v>3294.1333333333332</v>
      </c>
      <c r="AD800" s="39">
        <f>Datasheet!AD1057/30</f>
        <v>0</v>
      </c>
      <c r="AE800" s="39">
        <f>Datasheet!AE1057/30</f>
        <v>0</v>
      </c>
      <c r="AF800" s="39">
        <f>Datasheet!AF1057/30</f>
        <v>0</v>
      </c>
      <c r="AG800" s="39">
        <f>Datasheet!AG1057/30</f>
        <v>0</v>
      </c>
      <c r="AH800" s="39">
        <f>Datasheet!AH1057/30</f>
        <v>0</v>
      </c>
      <c r="AI800" s="39">
        <f>Datasheet!AI1057/30</f>
        <v>0</v>
      </c>
      <c r="AJ800" s="39">
        <f>Datasheet!AJ1057/30</f>
        <v>0</v>
      </c>
      <c r="AK800" s="39">
        <f>Datasheet!AK1057/30</f>
        <v>0</v>
      </c>
    </row>
    <row r="801" spans="6:37" x14ac:dyDescent="0.25">
      <c r="G801" s="4" t="s">
        <v>253</v>
      </c>
      <c r="H801" s="4" t="s">
        <v>1231</v>
      </c>
      <c r="I801" s="39">
        <f>Datasheet!I1058/31</f>
        <v>311.12903225806451</v>
      </c>
      <c r="J801" s="39">
        <f>Datasheet!J1058/31</f>
        <v>302.51612903225805</v>
      </c>
      <c r="K801" s="39">
        <f>Datasheet!K1058/31</f>
        <v>464.90322580645159</v>
      </c>
      <c r="L801" s="39">
        <f>Datasheet!L1058/31</f>
        <v>158.25806451612902</v>
      </c>
      <c r="M801" s="39">
        <f>Datasheet!M1058/31</f>
        <v>167.61290322580646</v>
      </c>
      <c r="N801" s="39">
        <f>Datasheet!N1058/31</f>
        <v>237.96774193548387</v>
      </c>
      <c r="O801" s="39">
        <f>Datasheet!O1058/31</f>
        <v>343.25806451612902</v>
      </c>
      <c r="P801" s="39">
        <f>Datasheet!P1058/31</f>
        <v>132.16129032258064</v>
      </c>
      <c r="Q801" s="39">
        <f>Datasheet!Q1058/31</f>
        <v>244.87096774193549</v>
      </c>
      <c r="R801" s="39">
        <f>Datasheet!R1058/31</f>
        <v>301.58064516129031</v>
      </c>
      <c r="S801" s="39">
        <f>Datasheet!S1058/31</f>
        <v>173.29032258064515</v>
      </c>
      <c r="T801" s="39">
        <f>Datasheet!T1058/31</f>
        <v>9.9032258064516121</v>
      </c>
      <c r="U801" s="39">
        <f>Datasheet!U1058/31</f>
        <v>253.67741935483872</v>
      </c>
      <c r="V801" s="39">
        <f>Datasheet!V1058/31</f>
        <v>348.41935483870969</v>
      </c>
      <c r="W801" s="39">
        <f>Datasheet!W1058/31</f>
        <v>341.41935483870969</v>
      </c>
      <c r="X801" s="39">
        <f>Datasheet!X1058/31</f>
        <v>306.87096774193549</v>
      </c>
      <c r="Y801" s="39">
        <f>Datasheet!Y1058/31</f>
        <v>215.29032258064515</v>
      </c>
      <c r="Z801" s="39">
        <f>Datasheet!Z1058/31</f>
        <v>292.06451612903226</v>
      </c>
      <c r="AA801" s="39">
        <f>Datasheet!AA1058/31</f>
        <v>481.29032258064518</v>
      </c>
      <c r="AB801" s="39">
        <f>Datasheet!AB1058/31</f>
        <v>486.74193548387098</v>
      </c>
      <c r="AC801" s="39">
        <f>Datasheet!AC1058/31</f>
        <v>300.29032258064518</v>
      </c>
      <c r="AD801" s="39">
        <f>Datasheet!AD1058/31</f>
        <v>0</v>
      </c>
      <c r="AE801" s="39">
        <f>Datasheet!AE1058/31</f>
        <v>0</v>
      </c>
      <c r="AF801" s="39">
        <f>Datasheet!AF1058/31</f>
        <v>0</v>
      </c>
      <c r="AG801" s="39">
        <f>Datasheet!AG1058/31</f>
        <v>0</v>
      </c>
      <c r="AH801" s="39">
        <f>Datasheet!AH1058/31</f>
        <v>0</v>
      </c>
      <c r="AI801" s="39">
        <f>Datasheet!AI1058/31</f>
        <v>0</v>
      </c>
      <c r="AJ801" s="39">
        <f>Datasheet!AJ1058/31</f>
        <v>0</v>
      </c>
      <c r="AK801" s="39">
        <f>Datasheet!AK1058/31</f>
        <v>0</v>
      </c>
    </row>
    <row r="802" spans="6:37" x14ac:dyDescent="0.25">
      <c r="G802" s="4" t="s">
        <v>254</v>
      </c>
      <c r="H802" s="4" t="s">
        <v>1231</v>
      </c>
      <c r="I802" s="39">
        <f>Datasheet!I1059/30</f>
        <v>114.16666666666667</v>
      </c>
      <c r="J802" s="39">
        <f>Datasheet!J1059/30</f>
        <v>367.3</v>
      </c>
      <c r="K802" s="39">
        <f>Datasheet!K1059/30</f>
        <v>98.233333333333334</v>
      </c>
      <c r="L802" s="39">
        <f>Datasheet!L1059/30</f>
        <v>3.3</v>
      </c>
      <c r="M802" s="39">
        <f>Datasheet!M1059/30</f>
        <v>84.933333333333337</v>
      </c>
      <c r="N802" s="39">
        <f>Datasheet!N1059/30</f>
        <v>4.9000000000000004</v>
      </c>
      <c r="O802" s="39">
        <f>Datasheet!O1059/30</f>
        <v>11.2</v>
      </c>
      <c r="P802" s="39">
        <f>Datasheet!P1059/30</f>
        <v>6.5333333333333332</v>
      </c>
      <c r="Q802" s="39">
        <f>Datasheet!Q1059/30</f>
        <v>4.9000000000000004</v>
      </c>
      <c r="R802" s="39">
        <f>Datasheet!R1059/30</f>
        <v>1.0666666666666667</v>
      </c>
      <c r="S802" s="39">
        <f>Datasheet!S1059/30</f>
        <v>4.4000000000000004</v>
      </c>
      <c r="T802" s="39">
        <f>Datasheet!T1059/30</f>
        <v>6.8</v>
      </c>
      <c r="U802" s="39">
        <f>Datasheet!U1059/30</f>
        <v>5.4666666666666668</v>
      </c>
      <c r="V802" s="39">
        <f>Datasheet!V1059/30</f>
        <v>0</v>
      </c>
      <c r="W802" s="39">
        <f>Datasheet!W1059/30</f>
        <v>2.2000000000000002</v>
      </c>
      <c r="X802" s="39">
        <f>Datasheet!X1059/30</f>
        <v>0</v>
      </c>
      <c r="Y802" s="39">
        <f>Datasheet!Y1059/30</f>
        <v>1.1000000000000001</v>
      </c>
      <c r="Z802" s="39">
        <f>Datasheet!Z1059/30</f>
        <v>0.76666666666666672</v>
      </c>
      <c r="AA802" s="39">
        <f>Datasheet!AA1059/30</f>
        <v>0.9</v>
      </c>
      <c r="AB802" s="39">
        <f>Datasheet!AB1059/30</f>
        <v>0</v>
      </c>
      <c r="AC802" s="39">
        <f>Datasheet!AC1059/30</f>
        <v>0.36666666666666664</v>
      </c>
      <c r="AD802" s="39">
        <f>Datasheet!AD1059/30</f>
        <v>0</v>
      </c>
      <c r="AE802" s="39">
        <f>Datasheet!AE1059/30</f>
        <v>0</v>
      </c>
      <c r="AF802" s="39">
        <f>Datasheet!AF1059/30</f>
        <v>0</v>
      </c>
      <c r="AG802" s="39">
        <f>Datasheet!AG1059/30</f>
        <v>0</v>
      </c>
      <c r="AH802" s="39">
        <f>Datasheet!AH1059/30</f>
        <v>0</v>
      </c>
      <c r="AI802" s="39">
        <f>Datasheet!AI1059/30</f>
        <v>0</v>
      </c>
      <c r="AJ802" s="39">
        <f>Datasheet!AJ1059/30</f>
        <v>0</v>
      </c>
      <c r="AK802" s="39">
        <f>Datasheet!AK1059/30</f>
        <v>0</v>
      </c>
    </row>
    <row r="803" spans="6:37" x14ac:dyDescent="0.25">
      <c r="G803" s="4" t="s">
        <v>255</v>
      </c>
      <c r="H803" s="4" t="s">
        <v>1231</v>
      </c>
      <c r="I803" s="39">
        <f>Datasheet!I1060/31</f>
        <v>14.96774193548387</v>
      </c>
      <c r="J803" s="39">
        <f>Datasheet!J1060/31</f>
        <v>15.193548387096774</v>
      </c>
      <c r="K803" s="39">
        <f>Datasheet!K1060/31</f>
        <v>4.354838709677419</v>
      </c>
      <c r="L803" s="39">
        <f>Datasheet!L1060/31</f>
        <v>2.5806451612903225</v>
      </c>
      <c r="M803" s="39">
        <f>Datasheet!M1060/31</f>
        <v>7.741935483870968</v>
      </c>
      <c r="N803" s="39">
        <f>Datasheet!N1060/31</f>
        <v>7.258064516129032</v>
      </c>
      <c r="O803" s="39">
        <f>Datasheet!O1060/31</f>
        <v>7.4516129032258061</v>
      </c>
      <c r="P803" s="39">
        <f>Datasheet!P1060/31</f>
        <v>6.4838709677419351</v>
      </c>
      <c r="Q803" s="39">
        <f>Datasheet!Q1060/31</f>
        <v>4.161290322580645</v>
      </c>
      <c r="R803" s="39">
        <f>Datasheet!R1060/31</f>
        <v>4</v>
      </c>
      <c r="S803" s="39">
        <f>Datasheet!S1060/31</f>
        <v>2.7419354838709675</v>
      </c>
      <c r="T803" s="39">
        <f>Datasheet!T1060/31</f>
        <v>2.6451612903225805</v>
      </c>
      <c r="U803" s="39">
        <f>Datasheet!U1060/31</f>
        <v>3.4516129032258065</v>
      </c>
      <c r="V803" s="39">
        <f>Datasheet!V1060/31</f>
        <v>0.32258064516129031</v>
      </c>
      <c r="W803" s="39">
        <f>Datasheet!W1060/31</f>
        <v>6.064516129032258</v>
      </c>
      <c r="X803" s="39">
        <f>Datasheet!X1060/31</f>
        <v>1.2258064516129032</v>
      </c>
      <c r="Y803" s="39">
        <f>Datasheet!Y1060/31</f>
        <v>0.70967741935483875</v>
      </c>
      <c r="Z803" s="39">
        <f>Datasheet!Z1060/31</f>
        <v>3.129032258064516</v>
      </c>
      <c r="AA803" s="39">
        <f>Datasheet!AA1060/31</f>
        <v>1.096774193548387</v>
      </c>
      <c r="AB803" s="39">
        <f>Datasheet!AB1060/31</f>
        <v>3.5483870967741935</v>
      </c>
      <c r="AC803" s="39">
        <f>Datasheet!AC1060/31</f>
        <v>3.3225806451612905</v>
      </c>
      <c r="AD803" s="39">
        <f>Datasheet!AD1060/31</f>
        <v>0</v>
      </c>
      <c r="AE803" s="39">
        <f>Datasheet!AE1060/31</f>
        <v>0</v>
      </c>
      <c r="AF803" s="39">
        <f>Datasheet!AF1060/31</f>
        <v>0</v>
      </c>
      <c r="AG803" s="39">
        <f>Datasheet!AG1060/31</f>
        <v>0</v>
      </c>
      <c r="AH803" s="39">
        <f>Datasheet!AH1060/31</f>
        <v>0</v>
      </c>
      <c r="AI803" s="39">
        <f>Datasheet!AI1060/31</f>
        <v>0</v>
      </c>
      <c r="AJ803" s="39">
        <f>Datasheet!AJ1060/31</f>
        <v>0</v>
      </c>
      <c r="AK803" s="39">
        <f>Datasheet!AK1060/31</f>
        <v>0</v>
      </c>
    </row>
    <row r="804" spans="6:37" x14ac:dyDescent="0.25">
      <c r="F804" t="s">
        <v>1257</v>
      </c>
      <c r="H804" s="4"/>
    </row>
    <row r="805" spans="6:37" x14ac:dyDescent="0.25">
      <c r="G805" s="4" t="s">
        <v>244</v>
      </c>
      <c r="H805" s="4" t="s">
        <v>1231</v>
      </c>
      <c r="Q805" s="39">
        <f>Datasheet!Q1071/31</f>
        <v>139.80645161290323</v>
      </c>
      <c r="R805" s="39">
        <f>Datasheet!R1071/31</f>
        <v>80.322580645161295</v>
      </c>
      <c r="S805" s="39">
        <f>Datasheet!S1071/31</f>
        <v>169.12903225806451</v>
      </c>
      <c r="T805" s="39">
        <f>Datasheet!T1071/31</f>
        <v>176.74193548387098</v>
      </c>
      <c r="U805" s="39">
        <f>Datasheet!U1071/31</f>
        <v>191.64516129032259</v>
      </c>
      <c r="V805" s="39">
        <f>Datasheet!V1071/31</f>
        <v>170.7741935483871</v>
      </c>
      <c r="W805" s="39">
        <f>Datasheet!W1071/31</f>
        <v>174.19354838709677</v>
      </c>
      <c r="X805" s="39">
        <f>Datasheet!X1071/31</f>
        <v>202.32258064516128</v>
      </c>
      <c r="Y805" s="39">
        <f>Datasheet!Y1071/31</f>
        <v>185.2258064516129</v>
      </c>
      <c r="Z805" s="39">
        <f>Datasheet!Z1071/31</f>
        <v>209.19354838709677</v>
      </c>
      <c r="AA805" s="39">
        <f>Datasheet!AA1071/31</f>
        <v>206.83870967741936</v>
      </c>
      <c r="AB805" s="39">
        <f>Datasheet!AB1071/31</f>
        <v>0</v>
      </c>
      <c r="AC805" s="39">
        <f>Datasheet!AC1071/31</f>
        <v>170.7741935483871</v>
      </c>
      <c r="AD805" s="39">
        <f>Datasheet!AD1071/31</f>
        <v>0</v>
      </c>
      <c r="AE805" s="39">
        <f>Datasheet!AE1071/31</f>
        <v>0</v>
      </c>
      <c r="AF805" s="39">
        <f>Datasheet!AF1071/31</f>
        <v>0</v>
      </c>
      <c r="AG805" s="39">
        <f>Datasheet!AG1080/31</f>
        <v>0</v>
      </c>
      <c r="AH805" s="39">
        <f>Datasheet!AH1071/31</f>
        <v>0</v>
      </c>
      <c r="AI805" s="39">
        <f>Datasheet!AI1071/31</f>
        <v>0</v>
      </c>
      <c r="AJ805" s="39">
        <f>Datasheet!AJ1071/31</f>
        <v>0</v>
      </c>
      <c r="AK805" s="39">
        <f>Datasheet!AK1071/31</f>
        <v>0</v>
      </c>
    </row>
    <row r="806" spans="6:37" x14ac:dyDescent="0.25">
      <c r="G806" s="4" t="s">
        <v>245</v>
      </c>
      <c r="H806" s="4" t="s">
        <v>1231</v>
      </c>
      <c r="Q806" s="39">
        <f>Datasheet!Q1072/28</f>
        <v>106.85714285714286</v>
      </c>
      <c r="R806" s="39">
        <f>Datasheet!R1072/28</f>
        <v>103.10714285714286</v>
      </c>
      <c r="S806" s="39">
        <f>Datasheet!S1072/28</f>
        <v>214.39285714285714</v>
      </c>
      <c r="T806" s="39">
        <f>Datasheet!T1072/28</f>
        <v>229.57142857142858</v>
      </c>
      <c r="U806" s="39">
        <f>Datasheet!U1072/28</f>
        <v>227</v>
      </c>
      <c r="V806" s="39">
        <f>Datasheet!V1072/28</f>
        <v>219.85714285714286</v>
      </c>
      <c r="W806" s="39">
        <f>Datasheet!W1072/28</f>
        <v>212</v>
      </c>
      <c r="X806" s="39">
        <f>Datasheet!X1072/28</f>
        <v>227.21428571428572</v>
      </c>
      <c r="Y806" s="39">
        <f>Datasheet!Y1072/28</f>
        <v>218.39285714285714</v>
      </c>
      <c r="Z806" s="39">
        <f>Datasheet!Z1072/28</f>
        <v>222.21428571428572</v>
      </c>
      <c r="AA806" s="39">
        <f>Datasheet!AA1072/28</f>
        <v>229.46428571428572</v>
      </c>
      <c r="AB806" s="39">
        <f>Datasheet!AB1072/28</f>
        <v>0</v>
      </c>
      <c r="AC806" s="39">
        <f>Datasheet!AC1072/28</f>
        <v>211.85714285714286</v>
      </c>
      <c r="AD806" s="39">
        <f>Datasheet!AD1072/28</f>
        <v>0</v>
      </c>
      <c r="AE806" s="39">
        <f>Datasheet!AE1072/28</f>
        <v>0</v>
      </c>
      <c r="AF806" s="39">
        <f>Datasheet!AF1072/28</f>
        <v>0</v>
      </c>
      <c r="AG806" s="39">
        <f>Datasheet!AG1072/28</f>
        <v>0</v>
      </c>
      <c r="AH806" s="39">
        <f>Datasheet!AH1072/28</f>
        <v>0</v>
      </c>
      <c r="AI806" s="39">
        <f>Datasheet!AI1072/28</f>
        <v>0</v>
      </c>
      <c r="AJ806" s="39">
        <f>Datasheet!AJ1072/28</f>
        <v>0</v>
      </c>
      <c r="AK806" s="39">
        <f>Datasheet!AK1072/28</f>
        <v>0</v>
      </c>
    </row>
    <row r="807" spans="6:37" x14ac:dyDescent="0.25">
      <c r="G807" s="4" t="s">
        <v>246</v>
      </c>
      <c r="H807" s="4" t="s">
        <v>1231</v>
      </c>
      <c r="Q807" s="39">
        <f>Datasheet!Q1073/31</f>
        <v>26.870967741935484</v>
      </c>
      <c r="R807" s="39">
        <f>Datasheet!R1073/31</f>
        <v>31.225806451612904</v>
      </c>
      <c r="S807" s="39">
        <f>Datasheet!S1073/31</f>
        <v>68.387096774193552</v>
      </c>
      <c r="T807" s="39">
        <f>Datasheet!T1073/31</f>
        <v>76.838709677419359</v>
      </c>
      <c r="U807" s="39">
        <f>Datasheet!U1073/31</f>
        <v>72.258064516129039</v>
      </c>
      <c r="V807" s="39">
        <f>Datasheet!V1073/31</f>
        <v>19.129032258064516</v>
      </c>
      <c r="W807" s="39">
        <f>Datasheet!W1073/31</f>
        <v>18.29032258064516</v>
      </c>
      <c r="X807" s="39">
        <f>Datasheet!X1073/31</f>
        <v>25.387096774193548</v>
      </c>
      <c r="Y807" s="39">
        <f>Datasheet!Y1073/31</f>
        <v>66</v>
      </c>
      <c r="Z807" s="39">
        <f>Datasheet!Z1073/31</f>
        <v>0</v>
      </c>
      <c r="AA807" s="39">
        <f>Datasheet!AA1073/31</f>
        <v>0</v>
      </c>
      <c r="AB807" s="39">
        <f>Datasheet!AB1073/31</f>
        <v>0</v>
      </c>
      <c r="AC807" s="39">
        <f>Datasheet!AC1073/31</f>
        <v>64.548387096774192</v>
      </c>
      <c r="AD807" s="39">
        <f>Datasheet!AD1073/31</f>
        <v>0</v>
      </c>
      <c r="AE807" s="39">
        <f>Datasheet!AE1073/31</f>
        <v>0</v>
      </c>
      <c r="AF807" s="39">
        <f>Datasheet!AF1073/31</f>
        <v>0</v>
      </c>
      <c r="AG807" s="39">
        <f>Datasheet!AG1073/31</f>
        <v>0</v>
      </c>
      <c r="AH807" s="39">
        <f>Datasheet!AH1073/31</f>
        <v>0</v>
      </c>
      <c r="AI807" s="39">
        <f>Datasheet!AI1073/31</f>
        <v>0</v>
      </c>
      <c r="AJ807" s="39">
        <f>Datasheet!AJ1073/31</f>
        <v>0</v>
      </c>
      <c r="AK807" s="39">
        <f>Datasheet!AK1073/31</f>
        <v>0</v>
      </c>
    </row>
    <row r="808" spans="6:37" x14ac:dyDescent="0.25">
      <c r="G808" s="4" t="s">
        <v>247</v>
      </c>
      <c r="H808" s="4" t="s">
        <v>1231</v>
      </c>
      <c r="Q808" s="39">
        <f>Datasheet!Q1074/30</f>
        <v>0</v>
      </c>
      <c r="R808" s="39">
        <f>Datasheet!R1074/30</f>
        <v>0</v>
      </c>
      <c r="S808" s="39">
        <f>Datasheet!S1074/30</f>
        <v>0</v>
      </c>
      <c r="T808" s="39">
        <f>Datasheet!T1074/30</f>
        <v>0</v>
      </c>
      <c r="U808" s="39">
        <f>Datasheet!U1074/30</f>
        <v>0</v>
      </c>
      <c r="V808" s="39">
        <f>Datasheet!V1074/30</f>
        <v>0</v>
      </c>
      <c r="W808" s="39">
        <f>Datasheet!W1074/30</f>
        <v>0</v>
      </c>
      <c r="X808" s="39">
        <f>Datasheet!X1074/30</f>
        <v>0</v>
      </c>
      <c r="Y808" s="39">
        <f>Datasheet!Y1074/30</f>
        <v>0</v>
      </c>
      <c r="Z808" s="39">
        <f>Datasheet!Z1074/30</f>
        <v>0</v>
      </c>
      <c r="AA808" s="39">
        <f>Datasheet!AA1074/30</f>
        <v>0</v>
      </c>
      <c r="AB808" s="39">
        <f>Datasheet!AB1074/30</f>
        <v>0</v>
      </c>
      <c r="AC808" s="39">
        <f>Datasheet!AC1074/30</f>
        <v>0</v>
      </c>
      <c r="AD808" s="39">
        <f>Datasheet!AD1074/30</f>
        <v>0</v>
      </c>
      <c r="AE808" s="39">
        <f>Datasheet!AE1074/30</f>
        <v>0</v>
      </c>
      <c r="AF808" s="39">
        <f>Datasheet!AF1074/30</f>
        <v>0</v>
      </c>
      <c r="AG808" s="39">
        <f>Datasheet!AG1074/30</f>
        <v>0</v>
      </c>
      <c r="AH808" s="39">
        <f>Datasheet!AH1074/30</f>
        <v>0</v>
      </c>
      <c r="AI808" s="39">
        <f>Datasheet!AI1074/30</f>
        <v>0</v>
      </c>
      <c r="AJ808" s="39">
        <f>Datasheet!AJ1074/30</f>
        <v>0</v>
      </c>
      <c r="AK808" s="39">
        <f>Datasheet!AK1074/30</f>
        <v>0</v>
      </c>
    </row>
    <row r="809" spans="6:37" x14ac:dyDescent="0.25">
      <c r="G809" s="4" t="s">
        <v>248</v>
      </c>
      <c r="H809" s="4" t="s">
        <v>1231</v>
      </c>
      <c r="Q809" s="39">
        <f>Datasheet!Q1075/31</f>
        <v>806.61290322580646</v>
      </c>
      <c r="R809" s="39">
        <f>Datasheet!R1075/31</f>
        <v>685.93548387096769</v>
      </c>
      <c r="S809" s="39">
        <f>Datasheet!S1075/31</f>
        <v>547.32258064516134</v>
      </c>
      <c r="T809" s="39">
        <f>Datasheet!T1075/31</f>
        <v>686.09677419354841</v>
      </c>
      <c r="U809" s="39">
        <f>Datasheet!U1075/31</f>
        <v>704.83870967741939</v>
      </c>
      <c r="V809" s="39">
        <f>Datasheet!V1075/31</f>
        <v>1275.6774193548388</v>
      </c>
      <c r="W809" s="39">
        <f>Datasheet!W1075/31</f>
        <v>1140.3225806451612</v>
      </c>
      <c r="X809" s="39">
        <f>Datasheet!X1075/31</f>
        <v>1321.7096774193549</v>
      </c>
      <c r="Y809" s="39">
        <f>Datasheet!Y1075/31</f>
        <v>1080.2903225806451</v>
      </c>
      <c r="Z809" s="39">
        <f>Datasheet!Z1075/31</f>
        <v>902</v>
      </c>
      <c r="AA809" s="39">
        <f>Datasheet!AA1075/31</f>
        <v>0</v>
      </c>
      <c r="AB809" s="39">
        <f>Datasheet!AB1075/31</f>
        <v>462.83870967741933</v>
      </c>
      <c r="AC809" s="39">
        <f>Datasheet!AC1075/31</f>
        <v>693.35483870967744</v>
      </c>
      <c r="AD809" s="39">
        <f>Datasheet!AD1075/31</f>
        <v>0</v>
      </c>
      <c r="AE809" s="39">
        <f>Datasheet!AE1075/31</f>
        <v>0</v>
      </c>
      <c r="AF809" s="39">
        <f>Datasheet!AF1075/31</f>
        <v>0</v>
      </c>
      <c r="AG809" s="39">
        <f>Datasheet!AG1075/31</f>
        <v>0</v>
      </c>
      <c r="AH809" s="39">
        <f>Datasheet!AH1075/31</f>
        <v>0</v>
      </c>
      <c r="AI809" s="39">
        <f>Datasheet!AI1075/31</f>
        <v>0</v>
      </c>
      <c r="AJ809" s="39">
        <f>Datasheet!AJ1075/31</f>
        <v>0</v>
      </c>
      <c r="AK809" s="39">
        <f>Datasheet!AK1075/31</f>
        <v>0</v>
      </c>
    </row>
    <row r="810" spans="6:37" x14ac:dyDescent="0.25">
      <c r="G810" s="4" t="s">
        <v>249</v>
      </c>
      <c r="H810" s="4" t="s">
        <v>1231</v>
      </c>
      <c r="Q810" s="39">
        <f>Datasheet!Q1076/30</f>
        <v>3778.7333333333331</v>
      </c>
      <c r="R810" s="39">
        <f>Datasheet!R1076/30</f>
        <v>3624.3</v>
      </c>
      <c r="S810" s="39">
        <f>Datasheet!S1076/30</f>
        <v>4195.333333333333</v>
      </c>
      <c r="T810" s="39">
        <f>Datasheet!T1076/30</f>
        <v>4326.5666666666666</v>
      </c>
      <c r="U810" s="39">
        <f>Datasheet!U1076/30</f>
        <v>4091.2</v>
      </c>
      <c r="V810" s="39">
        <f>Datasheet!V1076/30</f>
        <v>4769.8999999999996</v>
      </c>
      <c r="W810" s="39">
        <f>Datasheet!W1076/30</f>
        <v>4641.333333333333</v>
      </c>
      <c r="X810" s="39">
        <f>Datasheet!X1076/30</f>
        <v>4920.3</v>
      </c>
      <c r="Y810" s="39">
        <f>Datasheet!Y1076/30</f>
        <v>4853.833333333333</v>
      </c>
      <c r="Z810" s="39">
        <f>Datasheet!Z1076/30</f>
        <v>3705.7</v>
      </c>
      <c r="AA810" s="39">
        <f>Datasheet!AA1076/30</f>
        <v>1033.8333333333333</v>
      </c>
      <c r="AB810" s="39">
        <f>Datasheet!AB1076/30</f>
        <v>2957.1333333333332</v>
      </c>
      <c r="AC810" s="39">
        <f>Datasheet!AC1076/30</f>
        <v>2961.5666666666666</v>
      </c>
      <c r="AD810" s="39">
        <f>Datasheet!AD1076/30</f>
        <v>0</v>
      </c>
      <c r="AE810" s="39">
        <f>Datasheet!AE1076/30</f>
        <v>0</v>
      </c>
      <c r="AF810" s="39">
        <f>Datasheet!AF1076/30</f>
        <v>0</v>
      </c>
      <c r="AG810" s="39">
        <f>Datasheet!AG1076/30</f>
        <v>0</v>
      </c>
      <c r="AH810" s="39">
        <f>Datasheet!AH1076/30</f>
        <v>0</v>
      </c>
      <c r="AI810" s="39">
        <f>Datasheet!AI1076/30</f>
        <v>0</v>
      </c>
      <c r="AJ810" s="39">
        <f>Datasheet!AJ1076/30</f>
        <v>0</v>
      </c>
      <c r="AK810" s="39">
        <f>Datasheet!AK1076/30</f>
        <v>0</v>
      </c>
    </row>
    <row r="811" spans="6:37" x14ac:dyDescent="0.25">
      <c r="G811" s="4" t="s">
        <v>250</v>
      </c>
      <c r="H811" s="4" t="s">
        <v>1231</v>
      </c>
      <c r="Q811" s="39">
        <f>Datasheet!Q1077/31</f>
        <v>5097.5806451612907</v>
      </c>
      <c r="R811" s="39">
        <f>Datasheet!R1077/31</f>
        <v>5061.9032258064517</v>
      </c>
      <c r="S811" s="39">
        <f>Datasheet!S1077/31</f>
        <v>5121.7419354838712</v>
      </c>
      <c r="T811" s="39">
        <f>Datasheet!T1077/31</f>
        <v>5030.0645161290322</v>
      </c>
      <c r="U811" s="39">
        <f>Datasheet!U1077/31</f>
        <v>5067.4193548387093</v>
      </c>
      <c r="V811" s="39">
        <f>Datasheet!V1077/31</f>
        <v>4886.9032258064517</v>
      </c>
      <c r="W811" s="39">
        <f>Datasheet!W1077/31</f>
        <v>5086.5806451612907</v>
      </c>
      <c r="X811" s="39">
        <f>Datasheet!X1077/31</f>
        <v>5173.9677419354839</v>
      </c>
      <c r="Y811" s="39">
        <f>Datasheet!Y1077/31</f>
        <v>5131.322580645161</v>
      </c>
      <c r="Z811" s="39">
        <f>Datasheet!Z1077/31</f>
        <v>4536.3548387096771</v>
      </c>
      <c r="AA811" s="39">
        <f>Datasheet!AA1077/31</f>
        <v>2622.2580645161293</v>
      </c>
      <c r="AB811" s="39">
        <f>Datasheet!AB1077/31</f>
        <v>5112.2903225806449</v>
      </c>
      <c r="AC811" s="39">
        <f>Datasheet!AC1077/31</f>
        <v>5425.6129032258068</v>
      </c>
      <c r="AD811" s="39">
        <f>Datasheet!AD1077/31</f>
        <v>0</v>
      </c>
      <c r="AE811" s="39">
        <f>Datasheet!AE1077/31</f>
        <v>0</v>
      </c>
      <c r="AF811" s="39">
        <f>Datasheet!AF1077/31</f>
        <v>0</v>
      </c>
      <c r="AG811" s="39">
        <f>Datasheet!AG1077/31</f>
        <v>0</v>
      </c>
      <c r="AH811" s="39">
        <f>Datasheet!AH1077/31</f>
        <v>0</v>
      </c>
      <c r="AI811" s="39">
        <f>Datasheet!AI1077/31</f>
        <v>0</v>
      </c>
      <c r="AJ811" s="39">
        <f>Datasheet!AJ1077/31</f>
        <v>0</v>
      </c>
      <c r="AK811" s="39">
        <f>Datasheet!AK1077/31</f>
        <v>0</v>
      </c>
    </row>
    <row r="812" spans="6:37" x14ac:dyDescent="0.25">
      <c r="G812" s="4" t="s">
        <v>251</v>
      </c>
      <c r="H812" s="4" t="s">
        <v>1231</v>
      </c>
      <c r="Q812" s="39">
        <f>Datasheet!Q1078/31</f>
        <v>4488.7096774193551</v>
      </c>
      <c r="R812" s="39">
        <f>Datasheet!R1078/31</f>
        <v>4451.2903225806449</v>
      </c>
      <c r="S812" s="39">
        <f>Datasheet!S1078/31</f>
        <v>4565.4516129032254</v>
      </c>
      <c r="T812" s="39">
        <f>Datasheet!T1078/31</f>
        <v>4682.1935483870966</v>
      </c>
      <c r="U812" s="39">
        <f>Datasheet!U1078/31</f>
        <v>4666.5806451612907</v>
      </c>
      <c r="V812" s="39">
        <f>Datasheet!V1078/31</f>
        <v>4594.1935483870966</v>
      </c>
      <c r="W812" s="39">
        <f>Datasheet!W1078/31</f>
        <v>4918.0322580645161</v>
      </c>
      <c r="X812" s="39">
        <f>Datasheet!X1078/31</f>
        <v>5206.1935483870966</v>
      </c>
      <c r="Y812" s="39">
        <f>Datasheet!Y1078/31</f>
        <v>4833.1612903225805</v>
      </c>
      <c r="Z812" s="39">
        <f>Datasheet!Z1078/31</f>
        <v>3982.9677419354839</v>
      </c>
      <c r="AA812" s="39">
        <f>Datasheet!AA1078/31</f>
        <v>2382.4193548387098</v>
      </c>
      <c r="AB812" s="39">
        <f>Datasheet!AB1078/31</f>
        <v>4539.0645161290322</v>
      </c>
      <c r="AC812" s="39">
        <f>Datasheet!AC1078/31</f>
        <v>5432.4838709677415</v>
      </c>
      <c r="AD812" s="39">
        <f>Datasheet!AD1078/31</f>
        <v>0</v>
      </c>
      <c r="AE812" s="39">
        <f>Datasheet!AE1078/31</f>
        <v>0</v>
      </c>
      <c r="AF812" s="39">
        <f>Datasheet!AF1078/31</f>
        <v>0</v>
      </c>
      <c r="AG812" s="39">
        <f>Datasheet!AG1078/31</f>
        <v>0</v>
      </c>
      <c r="AH812" s="39">
        <f>Datasheet!AH1078/31</f>
        <v>0</v>
      </c>
      <c r="AI812" s="39">
        <f>Datasheet!AI1078/31</f>
        <v>0</v>
      </c>
      <c r="AJ812" s="39">
        <f>Datasheet!AJ1078/31</f>
        <v>0</v>
      </c>
      <c r="AK812" s="39">
        <f>Datasheet!AK1078/31</f>
        <v>0</v>
      </c>
    </row>
    <row r="813" spans="6:37" x14ac:dyDescent="0.25">
      <c r="G813" s="4" t="s">
        <v>252</v>
      </c>
      <c r="H813" s="4" t="s">
        <v>1231</v>
      </c>
      <c r="Q813" s="39">
        <f>Datasheet!Q1079/30</f>
        <v>3144.4333333333334</v>
      </c>
      <c r="R813" s="39">
        <f>Datasheet!R1079/30</f>
        <v>3321.1333333333332</v>
      </c>
      <c r="S813" s="39">
        <f>Datasheet!S1079/30</f>
        <v>3447.2</v>
      </c>
      <c r="T813" s="39">
        <f>Datasheet!T1079/30</f>
        <v>3217</v>
      </c>
      <c r="U813" s="39">
        <f>Datasheet!U1079/30</f>
        <v>3073.7</v>
      </c>
      <c r="V813" s="39">
        <f>Datasheet!V1079/30</f>
        <v>3119.9333333333334</v>
      </c>
      <c r="W813" s="39">
        <f>Datasheet!W1079/30</f>
        <v>3325.9</v>
      </c>
      <c r="X813" s="39">
        <f>Datasheet!X1079/30</f>
        <v>3402.1</v>
      </c>
      <c r="Y813" s="39">
        <f>Datasheet!Y1079/30</f>
        <v>4499.7666666666664</v>
      </c>
      <c r="Z813" s="39">
        <f>Datasheet!Z1079/30</f>
        <v>3448.2666666666669</v>
      </c>
      <c r="AA813" s="39">
        <f>Datasheet!AA1079/30</f>
        <v>1187.7666666666667</v>
      </c>
      <c r="AB813" s="39">
        <f>Datasheet!AB1079/30</f>
        <v>2715.5333333333333</v>
      </c>
      <c r="AC813" s="39">
        <f>Datasheet!AC1079/30</f>
        <v>3885.3666666666668</v>
      </c>
      <c r="AD813" s="39">
        <f>Datasheet!AD1079/30</f>
        <v>0</v>
      </c>
      <c r="AE813" s="39">
        <f>Datasheet!AE1079/30</f>
        <v>0</v>
      </c>
      <c r="AF813" s="39">
        <f>Datasheet!AF1079/30</f>
        <v>0</v>
      </c>
      <c r="AG813" s="39">
        <f>Datasheet!AG1079/30</f>
        <v>0</v>
      </c>
      <c r="AH813" s="39">
        <f>Datasheet!AH1079/30</f>
        <v>0</v>
      </c>
      <c r="AI813" s="39">
        <f>Datasheet!AI1079/30</f>
        <v>0</v>
      </c>
      <c r="AJ813" s="39">
        <f>Datasheet!AJ1079/30</f>
        <v>0</v>
      </c>
      <c r="AK813" s="39">
        <f>Datasheet!AK1079/30</f>
        <v>0</v>
      </c>
    </row>
    <row r="814" spans="6:37" x14ac:dyDescent="0.25">
      <c r="G814" s="4" t="s">
        <v>253</v>
      </c>
      <c r="H814" s="4" t="s">
        <v>1231</v>
      </c>
      <c r="Q814" s="39">
        <f>Datasheet!Q1080/31</f>
        <v>544.06451612903231</v>
      </c>
      <c r="R814" s="39">
        <f>Datasheet!R1080/31</f>
        <v>454.58064516129031</v>
      </c>
      <c r="S814" s="39">
        <f>Datasheet!S1080/31</f>
        <v>641.38709677419354</v>
      </c>
      <c r="T814" s="39">
        <f>Datasheet!T1080/31</f>
        <v>243.41935483870967</v>
      </c>
      <c r="U814" s="39">
        <f>Datasheet!U1080/31</f>
        <v>690.06451612903231</v>
      </c>
      <c r="V814" s="39">
        <f>Datasheet!V1080/31</f>
        <v>389.77419354838707</v>
      </c>
      <c r="W814" s="39">
        <f>Datasheet!W1080/31</f>
        <v>409.51612903225805</v>
      </c>
      <c r="X814" s="39">
        <f>Datasheet!X1080/31</f>
        <v>424.80645161290323</v>
      </c>
      <c r="Y814" s="39">
        <f>Datasheet!Y1080/31</f>
        <v>83.387096774193552</v>
      </c>
      <c r="Z814" s="39">
        <f>Datasheet!Z1080/31</f>
        <v>514.9677419354839</v>
      </c>
      <c r="AA814" s="39">
        <f>Datasheet!AA1080/31</f>
        <v>311.58064516129031</v>
      </c>
      <c r="AB814" s="39">
        <f>Datasheet!AB1080/31</f>
        <v>415.06451612903226</v>
      </c>
      <c r="AC814" s="39">
        <f>Datasheet!AC1080/31</f>
        <v>772.48387096774195</v>
      </c>
      <c r="AD814" s="39">
        <f>Datasheet!AD1080/31</f>
        <v>0</v>
      </c>
      <c r="AE814" s="39">
        <f>Datasheet!AE1080/31</f>
        <v>0</v>
      </c>
      <c r="AF814" s="39">
        <f>Datasheet!AF1080/31</f>
        <v>0</v>
      </c>
      <c r="AG814" s="39">
        <f>Datasheet!AG1080/31</f>
        <v>0</v>
      </c>
      <c r="AH814" s="39">
        <f>Datasheet!AH1080/31</f>
        <v>0</v>
      </c>
      <c r="AI814" s="39">
        <f>Datasheet!AI1080/31</f>
        <v>0</v>
      </c>
      <c r="AJ814" s="39">
        <f>Datasheet!AJ1080/31</f>
        <v>0</v>
      </c>
      <c r="AK814" s="39">
        <f>Datasheet!AK1080/31</f>
        <v>0</v>
      </c>
    </row>
    <row r="815" spans="6:37" x14ac:dyDescent="0.25">
      <c r="G815" s="4" t="s">
        <v>254</v>
      </c>
      <c r="H815" s="4" t="s">
        <v>1231</v>
      </c>
      <c r="Q815" s="39">
        <f>Datasheet!Q1081/30</f>
        <v>0</v>
      </c>
      <c r="R815" s="39">
        <f>Datasheet!R1081/30</f>
        <v>0</v>
      </c>
      <c r="S815" s="39">
        <f>Datasheet!S1081/30</f>
        <v>0</v>
      </c>
      <c r="T815" s="39">
        <f>Datasheet!T1081/30</f>
        <v>0.53333333333333333</v>
      </c>
      <c r="U815" s="39">
        <f>Datasheet!U1081/30</f>
        <v>0</v>
      </c>
      <c r="V815" s="39">
        <f>Datasheet!V1081/30</f>
        <v>0</v>
      </c>
      <c r="W815" s="39">
        <f>Datasheet!W1081/30</f>
        <v>2.9666666666666668</v>
      </c>
      <c r="X815" s="39">
        <f>Datasheet!X1081/30</f>
        <v>0.2</v>
      </c>
      <c r="Y815" s="39">
        <f>Datasheet!Y1081/30</f>
        <v>0.43333333333333335</v>
      </c>
      <c r="Z815" s="39">
        <f>Datasheet!Z1081/30</f>
        <v>0.6333333333333333</v>
      </c>
      <c r="AA815" s="39">
        <f>Datasheet!AA1081/30</f>
        <v>0</v>
      </c>
      <c r="AB815" s="39">
        <f>Datasheet!AB1081/30</f>
        <v>8.8333333333333339</v>
      </c>
      <c r="AC815" s="39">
        <f>Datasheet!AC1081/30</f>
        <v>21.766666666666666</v>
      </c>
      <c r="AD815" s="39">
        <f>Datasheet!AD1081/30</f>
        <v>0</v>
      </c>
      <c r="AE815" s="39">
        <f>Datasheet!AE1081/30</f>
        <v>0</v>
      </c>
      <c r="AF815" s="39">
        <f>Datasheet!AF1081/30</f>
        <v>0</v>
      </c>
      <c r="AG815" s="39">
        <f>Datasheet!AG1081/30</f>
        <v>0</v>
      </c>
      <c r="AH815" s="39">
        <f>Datasheet!AH1081/30</f>
        <v>0</v>
      </c>
      <c r="AI815" s="39">
        <f>Datasheet!AI1081/30</f>
        <v>0</v>
      </c>
      <c r="AJ815" s="39">
        <f>Datasheet!AJ1081/30</f>
        <v>0</v>
      </c>
      <c r="AK815" s="39">
        <f>Datasheet!AK1081/30</f>
        <v>0</v>
      </c>
    </row>
    <row r="816" spans="6:37" x14ac:dyDescent="0.25">
      <c r="G816" s="4" t="s">
        <v>255</v>
      </c>
      <c r="H816" s="4" t="s">
        <v>1231</v>
      </c>
      <c r="Q816" s="39">
        <f>Datasheet!Q1082/31</f>
        <v>37.645161290322584</v>
      </c>
      <c r="R816" s="39">
        <f>Datasheet!R1082/31</f>
        <v>84.516129032258064</v>
      </c>
      <c r="S816" s="39">
        <f>Datasheet!S1082/31</f>
        <v>57.967741935483872</v>
      </c>
      <c r="T816" s="39">
        <f>Datasheet!T1082/31</f>
        <v>44.225806451612904</v>
      </c>
      <c r="U816" s="39">
        <f>Datasheet!U1082/31</f>
        <v>97.645161290322577</v>
      </c>
      <c r="V816" s="39">
        <f>Datasheet!V1082/31</f>
        <v>88.064516129032256</v>
      </c>
      <c r="W816" s="39">
        <f>Datasheet!W1082/31</f>
        <v>96.58064516129032</v>
      </c>
      <c r="X816" s="39">
        <f>Datasheet!X1082/31</f>
        <v>74.483870967741936</v>
      </c>
      <c r="Y816" s="39">
        <f>Datasheet!Y1082/31</f>
        <v>76.806451612903231</v>
      </c>
      <c r="Z816" s="39">
        <f>Datasheet!Z1082/31</f>
        <v>62.387096774193552</v>
      </c>
      <c r="AA816" s="39">
        <f>Datasheet!AA1082/31</f>
        <v>0</v>
      </c>
      <c r="AB816" s="39">
        <f>Datasheet!AB1082/31</f>
        <v>173.70967741935485</v>
      </c>
      <c r="AC816" s="39">
        <f>Datasheet!AC1082/31</f>
        <v>60.87096774193548</v>
      </c>
      <c r="AD816" s="39">
        <f>Datasheet!AD1082/31</f>
        <v>0</v>
      </c>
      <c r="AE816" s="39">
        <f>Datasheet!AE1082/31</f>
        <v>0</v>
      </c>
      <c r="AF816" s="39">
        <f>Datasheet!AF1082/31</f>
        <v>0</v>
      </c>
      <c r="AG816" s="39">
        <f>Datasheet!AG1082/31</f>
        <v>0</v>
      </c>
      <c r="AH816" s="39">
        <f>Datasheet!AH1082/31</f>
        <v>0</v>
      </c>
      <c r="AI816" s="39">
        <f>Datasheet!AI1082/31</f>
        <v>0</v>
      </c>
      <c r="AJ816" s="39">
        <f>Datasheet!AJ1082/31</f>
        <v>0</v>
      </c>
      <c r="AK816" s="39">
        <f>Datasheet!AK1082/31</f>
        <v>0</v>
      </c>
    </row>
    <row r="817" spans="1:37" x14ac:dyDescent="0.25">
      <c r="F817" t="s">
        <v>1258</v>
      </c>
    </row>
    <row r="818" spans="1:37" x14ac:dyDescent="0.25">
      <c r="G818" t="s">
        <v>1232</v>
      </c>
      <c r="H818" s="4" t="s">
        <v>1259</v>
      </c>
      <c r="I818">
        <v>122</v>
      </c>
      <c r="J818">
        <v>122</v>
      </c>
      <c r="K818">
        <v>122</v>
      </c>
      <c r="L818">
        <v>122</v>
      </c>
      <c r="M818">
        <v>122</v>
      </c>
      <c r="N818">
        <v>122</v>
      </c>
      <c r="O818">
        <v>122</v>
      </c>
      <c r="P818">
        <v>122</v>
      </c>
      <c r="Q818">
        <v>122</v>
      </c>
      <c r="R818">
        <v>122</v>
      </c>
      <c r="S818">
        <v>122</v>
      </c>
      <c r="T818">
        <v>122</v>
      </c>
      <c r="U818">
        <v>122</v>
      </c>
      <c r="V818">
        <v>122</v>
      </c>
      <c r="W818">
        <v>122</v>
      </c>
      <c r="X818">
        <v>122</v>
      </c>
      <c r="Y818">
        <v>122</v>
      </c>
      <c r="Z818">
        <v>122</v>
      </c>
      <c r="AA818">
        <v>122</v>
      </c>
      <c r="AB818">
        <v>122</v>
      </c>
      <c r="AC818">
        <v>122</v>
      </c>
      <c r="AD818">
        <v>122</v>
      </c>
      <c r="AE818">
        <v>122</v>
      </c>
      <c r="AF818">
        <v>122</v>
      </c>
      <c r="AG818">
        <v>122</v>
      </c>
      <c r="AH818">
        <v>122</v>
      </c>
      <c r="AI818">
        <v>122</v>
      </c>
      <c r="AJ818">
        <v>122</v>
      </c>
      <c r="AK818">
        <v>122</v>
      </c>
    </row>
    <row r="819" spans="1:37" x14ac:dyDescent="0.25">
      <c r="G819" t="s">
        <v>1233</v>
      </c>
      <c r="H819" s="4" t="s">
        <v>1259</v>
      </c>
      <c r="I819">
        <v>121</v>
      </c>
      <c r="J819">
        <v>121</v>
      </c>
      <c r="K819">
        <v>121</v>
      </c>
      <c r="L819">
        <v>121</v>
      </c>
      <c r="M819">
        <v>121</v>
      </c>
      <c r="N819">
        <v>121</v>
      </c>
      <c r="O819">
        <v>121</v>
      </c>
      <c r="P819">
        <v>121</v>
      </c>
      <c r="Q819">
        <v>121</v>
      </c>
      <c r="R819">
        <v>121</v>
      </c>
      <c r="S819">
        <v>121</v>
      </c>
      <c r="T819">
        <v>121</v>
      </c>
      <c r="U819">
        <v>121</v>
      </c>
      <c r="V819">
        <v>121</v>
      </c>
      <c r="W819">
        <v>121</v>
      </c>
      <c r="X819">
        <v>121</v>
      </c>
      <c r="Y819">
        <v>121</v>
      </c>
      <c r="Z819">
        <v>121</v>
      </c>
      <c r="AA819">
        <v>121</v>
      </c>
      <c r="AB819">
        <v>121</v>
      </c>
      <c r="AC819">
        <v>121</v>
      </c>
      <c r="AD819">
        <v>121</v>
      </c>
      <c r="AE819">
        <v>121</v>
      </c>
      <c r="AF819">
        <v>121</v>
      </c>
      <c r="AG819">
        <v>121</v>
      </c>
      <c r="AH819">
        <v>121</v>
      </c>
      <c r="AI819">
        <v>121</v>
      </c>
      <c r="AJ819">
        <v>121</v>
      </c>
      <c r="AK819">
        <v>121</v>
      </c>
    </row>
    <row r="820" spans="1:37" x14ac:dyDescent="0.25">
      <c r="G820" t="s">
        <v>1234</v>
      </c>
      <c r="H820" s="4" t="s">
        <v>1259</v>
      </c>
      <c r="I820">
        <v>122</v>
      </c>
      <c r="J820">
        <v>122</v>
      </c>
      <c r="K820">
        <v>122</v>
      </c>
      <c r="L820">
        <v>122</v>
      </c>
      <c r="M820">
        <v>122</v>
      </c>
      <c r="N820">
        <v>122</v>
      </c>
      <c r="O820">
        <v>122</v>
      </c>
      <c r="P820">
        <v>122</v>
      </c>
      <c r="Q820">
        <v>122</v>
      </c>
      <c r="R820">
        <v>122</v>
      </c>
      <c r="S820">
        <v>122</v>
      </c>
      <c r="T820">
        <v>122</v>
      </c>
      <c r="U820">
        <v>122</v>
      </c>
      <c r="V820">
        <v>122</v>
      </c>
      <c r="W820">
        <v>122</v>
      </c>
      <c r="X820">
        <v>122</v>
      </c>
      <c r="Y820">
        <v>122</v>
      </c>
      <c r="Z820">
        <v>122</v>
      </c>
      <c r="AA820">
        <v>122</v>
      </c>
      <c r="AB820">
        <v>122</v>
      </c>
      <c r="AC820">
        <v>122</v>
      </c>
      <c r="AD820">
        <v>122</v>
      </c>
      <c r="AE820">
        <v>122</v>
      </c>
      <c r="AF820">
        <v>122</v>
      </c>
      <c r="AG820">
        <v>122</v>
      </c>
      <c r="AH820">
        <v>122</v>
      </c>
      <c r="AI820">
        <v>122</v>
      </c>
      <c r="AJ820">
        <v>122</v>
      </c>
      <c r="AK820">
        <v>122</v>
      </c>
    </row>
    <row r="822" spans="1:37" s="64" customFormat="1" x14ac:dyDescent="0.25"/>
    <row r="823" spans="1:37" s="70" customFormat="1" ht="17.25" x14ac:dyDescent="0.3">
      <c r="A823" s="70" t="s">
        <v>474</v>
      </c>
    </row>
    <row r="824" spans="1:37" x14ac:dyDescent="0.25">
      <c r="B824" s="29" t="s">
        <v>877</v>
      </c>
      <c r="C824" t="s">
        <v>754</v>
      </c>
    </row>
    <row r="825" spans="1:37" x14ac:dyDescent="0.25">
      <c r="B825" s="29" t="s">
        <v>879</v>
      </c>
      <c r="C825" t="s">
        <v>1260</v>
      </c>
    </row>
    <row r="826" spans="1:37" x14ac:dyDescent="0.25">
      <c r="B826" s="29" t="s">
        <v>881</v>
      </c>
      <c r="C826" t="s">
        <v>1261</v>
      </c>
    </row>
    <row r="827" spans="1:37" x14ac:dyDescent="0.25">
      <c r="B827" s="29"/>
      <c r="D827" t="s">
        <v>1262</v>
      </c>
    </row>
    <row r="828" spans="1:37" x14ac:dyDescent="0.25">
      <c r="B828" s="29" t="s">
        <v>883</v>
      </c>
      <c r="C828" s="263" t="s">
        <v>474</v>
      </c>
    </row>
    <row r="829" spans="1:37" x14ac:dyDescent="0.25">
      <c r="B829" s="29" t="s">
        <v>885</v>
      </c>
      <c r="C829" t="s">
        <v>1263</v>
      </c>
    </row>
    <row r="830" spans="1:37" x14ac:dyDescent="0.25">
      <c r="B830" s="29" t="s">
        <v>886</v>
      </c>
    </row>
    <row r="831" spans="1:37" x14ac:dyDescent="0.25">
      <c r="B831" s="29" t="s">
        <v>887</v>
      </c>
      <c r="C831" t="s">
        <v>1264</v>
      </c>
    </row>
    <row r="832" spans="1:37" s="88" customFormat="1" ht="15.75" thickBot="1" x14ac:dyDescent="0.3">
      <c r="B832" s="95" t="s">
        <v>19</v>
      </c>
      <c r="C832" s="88" t="s">
        <v>1265</v>
      </c>
    </row>
    <row r="833" spans="2:37" ht="15.75" thickTop="1" x14ac:dyDescent="0.25"/>
    <row r="848" spans="2:37" s="4" customFormat="1" x14ac:dyDescent="0.25">
      <c r="B848" s="44" t="s">
        <v>21</v>
      </c>
      <c r="C848" s="4" t="s">
        <v>244</v>
      </c>
      <c r="H848" s="4" t="s">
        <v>1266</v>
      </c>
      <c r="I848" s="102"/>
      <c r="J848" s="102"/>
      <c r="K848" s="102"/>
      <c r="L848" s="102"/>
      <c r="M848" s="102"/>
      <c r="N848" s="102">
        <f>Datasheet!N977</f>
        <v>0.52900000000000003</v>
      </c>
      <c r="O848" s="102">
        <f>Datasheet!O977</f>
        <v>0.54600000000000004</v>
      </c>
      <c r="P848" s="102">
        <f>Datasheet!P977</f>
        <v>0.48</v>
      </c>
      <c r="Q848" s="102">
        <f>Datasheet!Q977</f>
        <v>0.42</v>
      </c>
      <c r="R848" s="102">
        <f>Datasheet!R977</f>
        <v>0.4</v>
      </c>
      <c r="S848" s="102">
        <f>Datasheet!S977</f>
        <v>0.42299999999999999</v>
      </c>
      <c r="T848" s="102">
        <f>Datasheet!T977</f>
        <v>0.42</v>
      </c>
      <c r="U848" s="102">
        <f>Datasheet!U977</f>
        <v>0.51</v>
      </c>
      <c r="V848" s="102">
        <f>Datasheet!V977</f>
        <v>0.53100000000000003</v>
      </c>
      <c r="W848" s="102">
        <f>Datasheet!W977</f>
        <v>0.53200000000000003</v>
      </c>
      <c r="X848" s="102">
        <f>Datasheet!X977</f>
        <v>0.58399999999999996</v>
      </c>
      <c r="Y848" s="102">
        <f>Datasheet!Y977</f>
        <v>0.622</v>
      </c>
      <c r="Z848" s="102">
        <f>Datasheet!Z977</f>
        <v>0.621</v>
      </c>
      <c r="AA848" s="102">
        <f>Datasheet!AA977</f>
        <v>0.60599999999999998</v>
      </c>
      <c r="AB848" s="102">
        <f>Datasheet!AB977</f>
        <v>0.627</v>
      </c>
      <c r="AC848" s="102">
        <f>Datasheet!AC977</f>
        <v>0.65900000000000003</v>
      </c>
      <c r="AD848" s="102">
        <f>Datasheet!AD977</f>
        <v>0</v>
      </c>
      <c r="AE848" s="102">
        <f>Datasheet!AE977</f>
        <v>0</v>
      </c>
      <c r="AF848" s="102">
        <f>Datasheet!AF977</f>
        <v>0</v>
      </c>
      <c r="AG848" s="102">
        <f>Datasheet!AG977</f>
        <v>0</v>
      </c>
      <c r="AH848" s="102">
        <f>Datasheet!AH977</f>
        <v>0</v>
      </c>
      <c r="AI848" s="102">
        <f>Datasheet!AI977</f>
        <v>0</v>
      </c>
      <c r="AJ848" s="102">
        <f>Datasheet!AJ977</f>
        <v>0</v>
      </c>
      <c r="AK848" s="102">
        <f>Datasheet!AK977</f>
        <v>0</v>
      </c>
    </row>
    <row r="849" spans="1:37" x14ac:dyDescent="0.25">
      <c r="C849" t="s">
        <v>247</v>
      </c>
      <c r="H849" s="4" t="s">
        <v>1266</v>
      </c>
      <c r="I849" s="102"/>
      <c r="J849" s="102"/>
      <c r="K849" s="102"/>
      <c r="L849" s="102"/>
      <c r="M849" s="102"/>
      <c r="N849" s="102">
        <f>Datasheet!N980</f>
        <v>0.246</v>
      </c>
      <c r="O849" s="102">
        <f>Datasheet!O980</f>
        <v>0.217</v>
      </c>
      <c r="P849" s="102">
        <f>Datasheet!P980</f>
        <v>0.157</v>
      </c>
      <c r="Q849" s="102">
        <f>Datasheet!Q980</f>
        <v>0.156</v>
      </c>
      <c r="R849" s="102">
        <f>Datasheet!R980</f>
        <v>0.13</v>
      </c>
      <c r="S849" s="102">
        <f>Datasheet!S980</f>
        <v>0.18</v>
      </c>
      <c r="T849" s="102">
        <f>Datasheet!T980</f>
        <v>0.16</v>
      </c>
      <c r="U849" s="102">
        <f>Datasheet!U980</f>
        <v>0.11</v>
      </c>
      <c r="V849" s="102">
        <f>Datasheet!V980</f>
        <v>0.154</v>
      </c>
      <c r="W849" s="102">
        <f>Datasheet!W980</f>
        <v>0.14299999999999999</v>
      </c>
      <c r="X849" s="102">
        <f>Datasheet!X980</f>
        <v>0.127</v>
      </c>
      <c r="Y849" s="102">
        <f>Datasheet!Y980</f>
        <v>0.16400000000000001</v>
      </c>
      <c r="Z849" s="102">
        <f>Datasheet!Z980</f>
        <v>0.185</v>
      </c>
      <c r="AA849" s="102">
        <f>Datasheet!AA980</f>
        <v>5.0999999999999997E-2</v>
      </c>
      <c r="AB849" s="102">
        <f>Datasheet!AB980</f>
        <v>0.48299999999999998</v>
      </c>
      <c r="AC849" s="102">
        <f>Datasheet!AC980</f>
        <v>0.33100000000000002</v>
      </c>
      <c r="AD849" s="102">
        <f>Datasheet!AD980</f>
        <v>0</v>
      </c>
      <c r="AE849" s="102">
        <f>Datasheet!AE980</f>
        <v>0</v>
      </c>
      <c r="AF849" s="102">
        <f>Datasheet!AF980</f>
        <v>0</v>
      </c>
      <c r="AG849" s="102">
        <f>Datasheet!AG980</f>
        <v>0</v>
      </c>
      <c r="AH849" s="102">
        <f>Datasheet!AH980</f>
        <v>0</v>
      </c>
      <c r="AI849" s="102">
        <f>Datasheet!AI980</f>
        <v>0</v>
      </c>
      <c r="AJ849" s="102">
        <f>Datasheet!AJ980</f>
        <v>0</v>
      </c>
      <c r="AK849" s="102">
        <f>Datasheet!AK980</f>
        <v>0</v>
      </c>
    </row>
    <row r="850" spans="1:37" x14ac:dyDescent="0.25">
      <c r="C850" t="s">
        <v>250</v>
      </c>
      <c r="H850" s="4" t="s">
        <v>1266</v>
      </c>
      <c r="I850" s="102"/>
      <c r="J850" s="102"/>
      <c r="K850" s="102"/>
      <c r="L850" s="102"/>
      <c r="M850" s="102"/>
      <c r="N850" s="102">
        <f>Datasheet!N983</f>
        <v>0.95399999999999996</v>
      </c>
      <c r="O850" s="102">
        <f>Datasheet!O983</f>
        <v>0.86599999999999999</v>
      </c>
      <c r="P850" s="102">
        <f>Datasheet!P983</f>
        <v>0.83</v>
      </c>
      <c r="Q850" s="102">
        <f>Datasheet!Q983</f>
        <v>0.88500000000000001</v>
      </c>
      <c r="R850" s="102">
        <f>Datasheet!R983</f>
        <v>0.88500000000000001</v>
      </c>
      <c r="S850" s="102">
        <f>Datasheet!S983</f>
        <v>0.87</v>
      </c>
      <c r="T850" s="102">
        <f>Datasheet!T983</f>
        <v>0.82</v>
      </c>
      <c r="U850" s="102">
        <f>Datasheet!U983</f>
        <v>0.88</v>
      </c>
      <c r="V850" s="102">
        <f>Datasheet!V983</f>
        <v>0.9</v>
      </c>
      <c r="W850" s="102">
        <f>Datasheet!W983</f>
        <v>0.92300000000000004</v>
      </c>
      <c r="X850" s="102">
        <f>Datasheet!X983</f>
        <v>0.86899999999999999</v>
      </c>
      <c r="Y850" s="102">
        <f>Datasheet!Y983</f>
        <v>0.877</v>
      </c>
      <c r="Z850" s="102">
        <f>Datasheet!Z983</f>
        <v>0.86</v>
      </c>
      <c r="AA850" s="102">
        <f>Datasheet!AA983</f>
        <v>0.70699999999999996</v>
      </c>
      <c r="AB850" s="102">
        <f>Datasheet!AB983</f>
        <v>0.93400000000000005</v>
      </c>
      <c r="AC850" s="102">
        <f>Datasheet!AC983</f>
        <v>0.81799999999999995</v>
      </c>
      <c r="AD850" s="102">
        <f>Datasheet!AD983</f>
        <v>0</v>
      </c>
      <c r="AE850" s="102">
        <f>Datasheet!AE983</f>
        <v>0</v>
      </c>
      <c r="AF850" s="102">
        <f>Datasheet!AF983</f>
        <v>0</v>
      </c>
      <c r="AG850" s="102">
        <f>Datasheet!AG983</f>
        <v>0</v>
      </c>
      <c r="AH850" s="102">
        <f>Datasheet!AH983</f>
        <v>0</v>
      </c>
      <c r="AI850" s="102">
        <f>Datasheet!AI983</f>
        <v>0</v>
      </c>
      <c r="AJ850" s="102">
        <f>Datasheet!AJ983</f>
        <v>0</v>
      </c>
      <c r="AK850" s="102">
        <f>Datasheet!AK983</f>
        <v>0</v>
      </c>
    </row>
    <row r="851" spans="1:37" x14ac:dyDescent="0.25">
      <c r="C851" t="s">
        <v>253</v>
      </c>
      <c r="H851" s="4" t="s">
        <v>1266</v>
      </c>
      <c r="I851" s="102"/>
      <c r="J851" s="102"/>
      <c r="K851" s="102"/>
      <c r="L851" s="102"/>
      <c r="M851" s="102"/>
      <c r="N851" s="102">
        <f>Datasheet!N986</f>
        <v>0.501</v>
      </c>
      <c r="O851" s="102">
        <f>Datasheet!O986</f>
        <v>0.4</v>
      </c>
      <c r="P851" s="102">
        <f>Datasheet!P986</f>
        <v>0.32100000000000001</v>
      </c>
      <c r="Q851" s="102">
        <f>Datasheet!Q986</f>
        <v>0.37</v>
      </c>
      <c r="R851" s="102">
        <f>Datasheet!R986</f>
        <v>0.34499999999999997</v>
      </c>
      <c r="S851" s="102">
        <f>Datasheet!S986</f>
        <v>0.36</v>
      </c>
      <c r="T851" s="102">
        <f>Datasheet!T986</f>
        <v>0.31</v>
      </c>
      <c r="U851" s="102">
        <f>Datasheet!U986</f>
        <v>0.41</v>
      </c>
      <c r="V851" s="102">
        <f>Datasheet!V986</f>
        <v>0.40600000000000003</v>
      </c>
      <c r="W851" s="102">
        <f>Datasheet!W986</f>
        <v>0.432</v>
      </c>
      <c r="X851" s="102">
        <f>Datasheet!X986</f>
        <v>0.45500000000000002</v>
      </c>
      <c r="Y851" s="102">
        <f>Datasheet!Y986</f>
        <v>0.45300000000000001</v>
      </c>
      <c r="Z851" s="102">
        <f>Datasheet!Z986</f>
        <v>0.47399999999999998</v>
      </c>
      <c r="AA851" s="102">
        <f>Datasheet!AA986</f>
        <v>0.64700000000000002</v>
      </c>
      <c r="AB851" s="102">
        <f>Datasheet!AB986</f>
        <v>0.54400000000000004</v>
      </c>
      <c r="AC851" s="102">
        <f>Datasheet!AC986</f>
        <v>0.45700000000000002</v>
      </c>
      <c r="AD851" s="102">
        <f>Datasheet!AD986</f>
        <v>0</v>
      </c>
      <c r="AE851" s="102">
        <f>Datasheet!AE986</f>
        <v>0</v>
      </c>
      <c r="AF851" s="102">
        <f>Datasheet!AF986</f>
        <v>0</v>
      </c>
      <c r="AG851" s="102">
        <f>Datasheet!AG986</f>
        <v>0</v>
      </c>
      <c r="AH851" s="102">
        <f>Datasheet!AH986</f>
        <v>0</v>
      </c>
      <c r="AI851" s="102">
        <f>Datasheet!AI986</f>
        <v>0</v>
      </c>
      <c r="AJ851" s="102">
        <f>Datasheet!AJ986</f>
        <v>0</v>
      </c>
      <c r="AK851" s="102">
        <f>Datasheet!AK986</f>
        <v>0</v>
      </c>
    </row>
    <row r="852" spans="1:37" s="64" customFormat="1" x14ac:dyDescent="0.25"/>
    <row r="853" spans="1:37" s="70" customFormat="1" ht="17.25" x14ac:dyDescent="0.3">
      <c r="A853" s="70" t="s">
        <v>105</v>
      </c>
    </row>
    <row r="854" spans="1:37" x14ac:dyDescent="0.25">
      <c r="B854" s="29" t="s">
        <v>877</v>
      </c>
      <c r="C854" t="s">
        <v>754</v>
      </c>
    </row>
    <row r="855" spans="1:37" x14ac:dyDescent="0.25">
      <c r="B855" s="29" t="s">
        <v>879</v>
      </c>
      <c r="C855" t="s">
        <v>1267</v>
      </c>
    </row>
    <row r="856" spans="1:37" x14ac:dyDescent="0.25">
      <c r="B856" s="29" t="s">
        <v>881</v>
      </c>
      <c r="C856" t="s">
        <v>1268</v>
      </c>
    </row>
    <row r="857" spans="1:37" x14ac:dyDescent="0.25">
      <c r="B857" s="29" t="s">
        <v>883</v>
      </c>
      <c r="C857" s="263" t="s">
        <v>100</v>
      </c>
    </row>
    <row r="858" spans="1:37" x14ac:dyDescent="0.25">
      <c r="B858" s="29" t="s">
        <v>885</v>
      </c>
      <c r="C858" t="s">
        <v>1269</v>
      </c>
    </row>
    <row r="859" spans="1:37" x14ac:dyDescent="0.25">
      <c r="B859" s="29" t="s">
        <v>886</v>
      </c>
    </row>
    <row r="860" spans="1:37" x14ac:dyDescent="0.25">
      <c r="B860" s="29" t="s">
        <v>887</v>
      </c>
      <c r="C860" t="s">
        <v>1270</v>
      </c>
    </row>
    <row r="861" spans="1:37" x14ac:dyDescent="0.25">
      <c r="B861" s="29" t="s">
        <v>19</v>
      </c>
      <c r="C861" t="s">
        <v>1271</v>
      </c>
    </row>
    <row r="862" spans="1:37" s="88" customFormat="1" ht="15.75" thickBot="1" x14ac:dyDescent="0.3">
      <c r="B862" s="95"/>
      <c r="C862" s="88" t="s">
        <v>1272</v>
      </c>
    </row>
    <row r="863" spans="1:37" ht="15.75" thickTop="1" x14ac:dyDescent="0.25">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row>
    <row r="864" spans="1:37" x14ac:dyDescent="0.25">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row>
    <row r="865" spans="2:37" x14ac:dyDescent="0.25">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c r="AA865" s="59"/>
      <c r="AB865" s="59"/>
      <c r="AC865" s="59"/>
      <c r="AD865" s="59"/>
      <c r="AE865" s="59"/>
      <c r="AF865" s="59"/>
      <c r="AG865" s="59"/>
      <c r="AH865" s="59"/>
      <c r="AI865" s="59"/>
      <c r="AJ865" s="59"/>
      <c r="AK865" s="59"/>
    </row>
    <row r="866" spans="2:37" x14ac:dyDescent="0.25">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c r="AA866" s="59"/>
      <c r="AB866" s="59"/>
      <c r="AC866" s="59"/>
      <c r="AD866" s="59"/>
      <c r="AE866" s="59"/>
      <c r="AF866" s="59"/>
      <c r="AG866" s="59"/>
      <c r="AH866" s="59"/>
      <c r="AI866" s="59"/>
      <c r="AJ866" s="59"/>
      <c r="AK866" s="59"/>
    </row>
    <row r="867" spans="2:37" x14ac:dyDescent="0.25">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c r="AA867" s="59"/>
      <c r="AB867" s="59"/>
      <c r="AC867" s="59"/>
      <c r="AD867" s="59"/>
      <c r="AE867" s="59"/>
      <c r="AF867" s="59"/>
      <c r="AG867" s="59"/>
      <c r="AH867" s="59"/>
      <c r="AI867" s="59"/>
      <c r="AJ867" s="59"/>
      <c r="AK867" s="59"/>
    </row>
    <row r="868" spans="2:37" x14ac:dyDescent="0.25">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row>
    <row r="869" spans="2:37" x14ac:dyDescent="0.25">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row>
    <row r="870" spans="2:37" x14ac:dyDescent="0.25">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row>
    <row r="871" spans="2:37" x14ac:dyDescent="0.25">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row>
    <row r="872" spans="2:37" x14ac:dyDescent="0.25">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c r="AA872" s="59"/>
      <c r="AB872" s="59"/>
      <c r="AC872" s="59"/>
      <c r="AD872" s="59"/>
      <c r="AE872" s="59"/>
      <c r="AF872" s="59"/>
      <c r="AG872" s="59"/>
      <c r="AH872" s="59"/>
      <c r="AI872" s="59"/>
      <c r="AJ872" s="59"/>
      <c r="AK872" s="59"/>
    </row>
    <row r="873" spans="2:37" x14ac:dyDescent="0.25">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row>
    <row r="874" spans="2:37" x14ac:dyDescent="0.25">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c r="AA874" s="59"/>
      <c r="AB874" s="59"/>
      <c r="AC874" s="59"/>
      <c r="AD874" s="59"/>
      <c r="AE874" s="59"/>
      <c r="AF874" s="59"/>
      <c r="AG874" s="59"/>
      <c r="AH874" s="59"/>
      <c r="AI874" s="59"/>
      <c r="AJ874" s="59"/>
      <c r="AK874" s="59"/>
    </row>
    <row r="875" spans="2:37" x14ac:dyDescent="0.25">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row>
    <row r="876" spans="2:37" x14ac:dyDescent="0.25">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row>
    <row r="878" spans="2:37" s="4" customFormat="1" x14ac:dyDescent="0.25">
      <c r="B878" s="44" t="s">
        <v>21</v>
      </c>
      <c r="I878" s="69"/>
      <c r="J878" s="69"/>
      <c r="K878" s="69"/>
      <c r="L878" s="69"/>
      <c r="M878" s="69"/>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row>
    <row r="879" spans="2:37" s="4" customFormat="1" x14ac:dyDescent="0.25">
      <c r="B879" s="44"/>
      <c r="C879" s="59" t="str">
        <f>Datasheet!E251</f>
        <v>Farm employment</v>
      </c>
      <c r="D879" s="59"/>
      <c r="E879"/>
      <c r="F879" s="59"/>
      <c r="G879" s="59"/>
      <c r="H879" s="59" t="s">
        <v>274</v>
      </c>
      <c r="I879" s="59">
        <f>Datasheet!I251</f>
        <v>159</v>
      </c>
      <c r="J879" s="59">
        <f>Datasheet!J251</f>
        <v>153</v>
      </c>
      <c r="K879" s="59">
        <f>Datasheet!K251</f>
        <v>155</v>
      </c>
      <c r="L879" s="59">
        <f>Datasheet!L251</f>
        <v>156</v>
      </c>
      <c r="M879" s="59">
        <f>Datasheet!M251</f>
        <v>156</v>
      </c>
      <c r="N879" s="59">
        <f>Datasheet!N251</f>
        <v>178</v>
      </c>
      <c r="O879" s="59">
        <f>Datasheet!O251</f>
        <v>181</v>
      </c>
      <c r="P879" s="59">
        <f>Datasheet!P251</f>
        <v>177</v>
      </c>
      <c r="Q879" s="59">
        <f>Datasheet!Q251</f>
        <v>181</v>
      </c>
      <c r="R879" s="59">
        <f>Datasheet!R251</f>
        <v>190</v>
      </c>
      <c r="S879" s="59">
        <f>Datasheet!S251</f>
        <v>193</v>
      </c>
      <c r="T879" s="59">
        <f>Datasheet!T251</f>
        <v>195</v>
      </c>
      <c r="U879" s="59">
        <f>Datasheet!U251</f>
        <v>200</v>
      </c>
      <c r="V879" s="59">
        <f>Datasheet!V251</f>
        <v>212</v>
      </c>
      <c r="W879" s="59">
        <f>Datasheet!W251</f>
        <v>218</v>
      </c>
      <c r="X879" s="59">
        <f>Datasheet!X251</f>
        <v>225</v>
      </c>
      <c r="Y879" s="59">
        <f>Datasheet!Y251</f>
        <v>217</v>
      </c>
      <c r="Z879" s="59">
        <f>Datasheet!Z251</f>
        <v>222</v>
      </c>
      <c r="AA879" s="59">
        <f>Datasheet!AA251</f>
        <v>217</v>
      </c>
      <c r="AB879" s="59">
        <f>Datasheet!AB251</f>
        <v>213</v>
      </c>
      <c r="AC879" s="59">
        <f>Datasheet!AC251</f>
        <v>0</v>
      </c>
      <c r="AD879" s="59">
        <f>Datasheet!AD251</f>
        <v>0</v>
      </c>
      <c r="AE879" s="59">
        <f>Datasheet!AE251</f>
        <v>0</v>
      </c>
      <c r="AF879" s="59">
        <f>Datasheet!AF251</f>
        <v>0</v>
      </c>
      <c r="AG879" s="59">
        <f>Datasheet!AG251</f>
        <v>0</v>
      </c>
      <c r="AH879" s="59">
        <f>Datasheet!AH251</f>
        <v>0</v>
      </c>
      <c r="AI879" s="59">
        <f>Datasheet!AI251</f>
        <v>0</v>
      </c>
      <c r="AJ879" s="59">
        <f>Datasheet!AJ251</f>
        <v>0</v>
      </c>
      <c r="AK879" s="59">
        <f>Datasheet!AK251</f>
        <v>0</v>
      </c>
    </row>
    <row r="880" spans="2:37" s="4" customFormat="1" x14ac:dyDescent="0.25">
      <c r="B880" s="44"/>
      <c r="C880" s="59" t="str">
        <f>Datasheet!G254</f>
        <v>Forestry, fishing, and related activities</v>
      </c>
      <c r="D880" s="59"/>
      <c r="E880"/>
      <c r="F880" s="59"/>
      <c r="G880" s="59"/>
      <c r="H880" s="59" t="s">
        <v>274</v>
      </c>
      <c r="I880" s="59" t="str">
        <f>Datasheet!I254</f>
        <v>(D)</v>
      </c>
      <c r="J880" s="59" t="str">
        <f>Datasheet!J254</f>
        <v>(D)</v>
      </c>
      <c r="K880" s="59" t="str">
        <f>Datasheet!K254</f>
        <v>(D)</v>
      </c>
      <c r="L880" s="59">
        <f>Datasheet!L254</f>
        <v>106</v>
      </c>
      <c r="M880" s="59">
        <f>Datasheet!M254</f>
        <v>108</v>
      </c>
      <c r="N880" s="59" t="str">
        <f>Datasheet!N254</f>
        <v>(D)</v>
      </c>
      <c r="O880" s="59">
        <f>Datasheet!O254</f>
        <v>125</v>
      </c>
      <c r="P880" s="59">
        <f>Datasheet!P254</f>
        <v>129</v>
      </c>
      <c r="Q880" s="59">
        <f>Datasheet!Q254</f>
        <v>141</v>
      </c>
      <c r="R880" s="59" t="str">
        <f>Datasheet!R254</f>
        <v>(D)</v>
      </c>
      <c r="S880" s="59" t="str">
        <f>Datasheet!S254</f>
        <v>(D)</v>
      </c>
      <c r="T880" s="59">
        <f>Datasheet!T254</f>
        <v>157</v>
      </c>
      <c r="U880" s="59" t="str">
        <f>Datasheet!U254</f>
        <v>(D)</v>
      </c>
      <c r="V880" s="59">
        <f>Datasheet!V254</f>
        <v>127</v>
      </c>
      <c r="W880" s="59">
        <f>Datasheet!W254</f>
        <v>144</v>
      </c>
      <c r="X880" s="59">
        <f>Datasheet!X254</f>
        <v>144</v>
      </c>
      <c r="Y880" s="59">
        <f>Datasheet!Y254</f>
        <v>148</v>
      </c>
      <c r="Z880" s="59">
        <f>Datasheet!Z254</f>
        <v>130</v>
      </c>
      <c r="AA880" s="59">
        <f>Datasheet!AA254</f>
        <v>145</v>
      </c>
      <c r="AB880" s="59" t="str">
        <f>Datasheet!AB254</f>
        <v>(D)</v>
      </c>
      <c r="AC880" s="59">
        <f>Datasheet!AC254</f>
        <v>0</v>
      </c>
      <c r="AD880" s="59">
        <f>Datasheet!AD254</f>
        <v>0</v>
      </c>
      <c r="AE880" s="59">
        <f>Datasheet!AE254</f>
        <v>0</v>
      </c>
      <c r="AF880" s="59">
        <f>Datasheet!AF254</f>
        <v>0</v>
      </c>
      <c r="AG880" s="59">
        <f>Datasheet!AG254</f>
        <v>0</v>
      </c>
      <c r="AH880" s="59">
        <f>Datasheet!AH254</f>
        <v>0</v>
      </c>
      <c r="AI880" s="59">
        <f>Datasheet!AI254</f>
        <v>0</v>
      </c>
      <c r="AJ880" s="59">
        <f>Datasheet!AJ254</f>
        <v>0</v>
      </c>
      <c r="AK880" s="59">
        <f>Datasheet!AK254</f>
        <v>0</v>
      </c>
    </row>
    <row r="881" spans="2:37" s="4" customFormat="1" x14ac:dyDescent="0.25">
      <c r="B881" s="44"/>
      <c r="C881" s="59" t="str">
        <f>Datasheet!G255</f>
        <v>Mining</v>
      </c>
      <c r="D881" s="59"/>
      <c r="E881"/>
      <c r="F881" s="59"/>
      <c r="G881" s="59"/>
      <c r="H881" s="59" t="s">
        <v>274</v>
      </c>
      <c r="I881" s="59" t="str">
        <f>Datasheet!I255</f>
        <v>(D)</v>
      </c>
      <c r="J881" s="59" t="str">
        <f>Datasheet!J255</f>
        <v>(D)</v>
      </c>
      <c r="K881" s="59" t="str">
        <f>Datasheet!K255</f>
        <v>(D)</v>
      </c>
      <c r="L881" s="59">
        <f>Datasheet!L255</f>
        <v>99</v>
      </c>
      <c r="M881" s="59">
        <f>Datasheet!M255</f>
        <v>154</v>
      </c>
      <c r="N881" s="59" t="str">
        <f>Datasheet!N255</f>
        <v>(D)</v>
      </c>
      <c r="O881" s="59">
        <f>Datasheet!O255</f>
        <v>220</v>
      </c>
      <c r="P881" s="59">
        <f>Datasheet!P255</f>
        <v>189</v>
      </c>
      <c r="Q881" s="59">
        <f>Datasheet!Q255</f>
        <v>223</v>
      </c>
      <c r="R881" s="59" t="str">
        <f>Datasheet!R255</f>
        <v>(D)</v>
      </c>
      <c r="S881" s="59" t="str">
        <f>Datasheet!S255</f>
        <v>(D)</v>
      </c>
      <c r="T881" s="59">
        <f>Datasheet!T255</f>
        <v>242</v>
      </c>
      <c r="U881" s="59" t="str">
        <f>Datasheet!U255</f>
        <v>(D)</v>
      </c>
      <c r="V881" s="59">
        <f>Datasheet!V255</f>
        <v>234</v>
      </c>
      <c r="W881" s="59">
        <f>Datasheet!W255</f>
        <v>197</v>
      </c>
      <c r="X881" s="59">
        <f>Datasheet!X255</f>
        <v>183</v>
      </c>
      <c r="Y881" s="59">
        <f>Datasheet!Y255</f>
        <v>149</v>
      </c>
      <c r="Z881" s="59">
        <f>Datasheet!Z255</f>
        <v>125</v>
      </c>
      <c r="AA881" s="59">
        <f>Datasheet!AA255</f>
        <v>140</v>
      </c>
      <c r="AB881" s="59" t="str">
        <f>Datasheet!AB255</f>
        <v>(D)</v>
      </c>
      <c r="AC881" s="59">
        <f>Datasheet!AC255</f>
        <v>0</v>
      </c>
      <c r="AD881" s="59">
        <f>Datasheet!AD255</f>
        <v>0</v>
      </c>
      <c r="AE881" s="59">
        <f>Datasheet!AE255</f>
        <v>0</v>
      </c>
      <c r="AF881" s="59">
        <f>Datasheet!AF255</f>
        <v>0</v>
      </c>
      <c r="AG881" s="59">
        <f>Datasheet!AG255</f>
        <v>0</v>
      </c>
      <c r="AH881" s="59">
        <f>Datasheet!AH255</f>
        <v>0</v>
      </c>
      <c r="AI881" s="59">
        <f>Datasheet!AI255</f>
        <v>0</v>
      </c>
      <c r="AJ881" s="59">
        <f>Datasheet!AJ255</f>
        <v>0</v>
      </c>
      <c r="AK881" s="59">
        <f>Datasheet!AK255</f>
        <v>0</v>
      </c>
    </row>
    <row r="882" spans="2:37" s="4" customFormat="1" x14ac:dyDescent="0.25">
      <c r="B882" s="44"/>
      <c r="C882" s="59" t="str">
        <f>Datasheet!G256</f>
        <v>Utilities</v>
      </c>
      <c r="D882" s="59"/>
      <c r="E882"/>
      <c r="F882" s="59"/>
      <c r="G882" s="59"/>
      <c r="H882" s="59" t="s">
        <v>274</v>
      </c>
      <c r="I882" s="59" t="str">
        <f>Datasheet!I256</f>
        <v>(D)</v>
      </c>
      <c r="J882" s="59" t="str">
        <f>Datasheet!J256</f>
        <v>(D)</v>
      </c>
      <c r="K882" s="59" t="str">
        <f>Datasheet!K256</f>
        <v>(D)</v>
      </c>
      <c r="L882" s="59" t="str">
        <f>Datasheet!L256</f>
        <v>(D)</v>
      </c>
      <c r="M882" s="59" t="str">
        <f>Datasheet!M256</f>
        <v>(D)</v>
      </c>
      <c r="N882" s="59" t="str">
        <f>Datasheet!N256</f>
        <v>(D)</v>
      </c>
      <c r="O882" s="59" t="str">
        <f>Datasheet!O256</f>
        <v>(D)</v>
      </c>
      <c r="P882" s="59" t="str">
        <f>Datasheet!P256</f>
        <v>(D)</v>
      </c>
      <c r="Q882" s="59" t="str">
        <f>Datasheet!Q256</f>
        <v>(D)</v>
      </c>
      <c r="R882" s="59" t="str">
        <f>Datasheet!R256</f>
        <v>(D)</v>
      </c>
      <c r="S882" s="59" t="str">
        <f>Datasheet!S256</f>
        <v>(D)</v>
      </c>
      <c r="T882" s="59" t="str">
        <f>Datasheet!T256</f>
        <v>(D)</v>
      </c>
      <c r="U882" s="59" t="str">
        <f>Datasheet!U256</f>
        <v>(D)</v>
      </c>
      <c r="V882" s="59" t="str">
        <f>Datasheet!V256</f>
        <v>(D)</v>
      </c>
      <c r="W882" s="59" t="str">
        <f>Datasheet!W256</f>
        <v>(D)</v>
      </c>
      <c r="X882" s="59" t="str">
        <f>Datasheet!X256</f>
        <v>(D)</v>
      </c>
      <c r="Y882" s="59" t="str">
        <f>Datasheet!Y256</f>
        <v>(D)</v>
      </c>
      <c r="Z882" s="59" t="str">
        <f>Datasheet!Z256</f>
        <v>(D)</v>
      </c>
      <c r="AA882" s="59" t="str">
        <f>Datasheet!AA256</f>
        <v>(D)</v>
      </c>
      <c r="AB882" s="59" t="str">
        <f>Datasheet!AB256</f>
        <v>(D)</v>
      </c>
      <c r="AC882" s="59">
        <f>Datasheet!AC256</f>
        <v>0</v>
      </c>
      <c r="AD882" s="59">
        <f>Datasheet!AD256</f>
        <v>0</v>
      </c>
      <c r="AE882" s="59">
        <f>Datasheet!AE256</f>
        <v>0</v>
      </c>
      <c r="AF882" s="59">
        <f>Datasheet!AF256</f>
        <v>0</v>
      </c>
      <c r="AG882" s="59">
        <f>Datasheet!AG256</f>
        <v>0</v>
      </c>
      <c r="AH882" s="59">
        <f>Datasheet!AH256</f>
        <v>0</v>
      </c>
      <c r="AI882" s="59">
        <f>Datasheet!AI256</f>
        <v>0</v>
      </c>
      <c r="AJ882" s="59">
        <f>Datasheet!AJ256</f>
        <v>0</v>
      </c>
      <c r="AK882" s="59">
        <f>Datasheet!AK256</f>
        <v>0</v>
      </c>
    </row>
    <row r="883" spans="2:37" s="4" customFormat="1" x14ac:dyDescent="0.25">
      <c r="B883" s="44"/>
      <c r="C883" s="59" t="str">
        <f>Datasheet!G257</f>
        <v>Construction</v>
      </c>
      <c r="D883" s="59"/>
      <c r="E883"/>
      <c r="F883" s="59"/>
      <c r="G883" s="59"/>
      <c r="H883" s="59" t="s">
        <v>274</v>
      </c>
      <c r="I883" s="59">
        <f>Datasheet!I257</f>
        <v>3167</v>
      </c>
      <c r="J883" s="59">
        <f>Datasheet!J257</f>
        <v>2826</v>
      </c>
      <c r="K883" s="59">
        <f>Datasheet!K257</f>
        <v>2675</v>
      </c>
      <c r="L883" s="59">
        <f>Datasheet!L257</f>
        <v>2752</v>
      </c>
      <c r="M883" s="59">
        <f>Datasheet!M257</f>
        <v>2948</v>
      </c>
      <c r="N883" s="59">
        <f>Datasheet!N257</f>
        <v>3169</v>
      </c>
      <c r="O883" s="59">
        <f>Datasheet!O257</f>
        <v>3236</v>
      </c>
      <c r="P883" s="59">
        <f>Datasheet!P257</f>
        <v>2748</v>
      </c>
      <c r="Q883" s="59">
        <f>Datasheet!Q257</f>
        <v>2200</v>
      </c>
      <c r="R883" s="59">
        <f>Datasheet!R257</f>
        <v>2206</v>
      </c>
      <c r="S883" s="59">
        <f>Datasheet!S257</f>
        <v>2321</v>
      </c>
      <c r="T883" s="59">
        <f>Datasheet!T257</f>
        <v>2452</v>
      </c>
      <c r="U883" s="59">
        <f>Datasheet!U257</f>
        <v>2567</v>
      </c>
      <c r="V883" s="59">
        <f>Datasheet!V257</f>
        <v>2672</v>
      </c>
      <c r="W883" s="59">
        <f>Datasheet!W257</f>
        <v>2846</v>
      </c>
      <c r="X883" s="59">
        <f>Datasheet!X257</f>
        <v>2832</v>
      </c>
      <c r="Y883" s="59">
        <f>Datasheet!Y257</f>
        <v>2789</v>
      </c>
      <c r="Z883" s="59">
        <f>Datasheet!Z257</f>
        <v>2877</v>
      </c>
      <c r="AA883" s="59">
        <f>Datasheet!AA257</f>
        <v>3030</v>
      </c>
      <c r="AB883" s="59">
        <f>Datasheet!AB257</f>
        <v>3185</v>
      </c>
      <c r="AC883" s="59">
        <f>Datasheet!AC257</f>
        <v>0</v>
      </c>
      <c r="AD883" s="59">
        <f>Datasheet!AD257</f>
        <v>0</v>
      </c>
      <c r="AE883" s="59">
        <f>Datasheet!AE257</f>
        <v>0</v>
      </c>
      <c r="AF883" s="59">
        <f>Datasheet!AF257</f>
        <v>0</v>
      </c>
      <c r="AG883" s="59">
        <f>Datasheet!AG257</f>
        <v>0</v>
      </c>
      <c r="AH883" s="59">
        <f>Datasheet!AH257</f>
        <v>0</v>
      </c>
      <c r="AI883" s="59">
        <f>Datasheet!AI257</f>
        <v>0</v>
      </c>
      <c r="AJ883" s="59">
        <f>Datasheet!AJ257</f>
        <v>0</v>
      </c>
      <c r="AK883" s="59">
        <f>Datasheet!AK257</f>
        <v>0</v>
      </c>
    </row>
    <row r="884" spans="2:37" s="4" customFormat="1" x14ac:dyDescent="0.25">
      <c r="B884" s="44"/>
      <c r="C884" s="59" t="str">
        <f>Datasheet!G258</f>
        <v>Manufacturing</v>
      </c>
      <c r="D884" s="59"/>
      <c r="E884"/>
      <c r="F884" s="59"/>
      <c r="G884" s="59"/>
      <c r="H884" s="59" t="s">
        <v>274</v>
      </c>
      <c r="I884" s="59">
        <f>Datasheet!I258</f>
        <v>308</v>
      </c>
      <c r="J884" s="59">
        <f>Datasheet!J258</f>
        <v>279</v>
      </c>
      <c r="K884" s="59">
        <f>Datasheet!K258</f>
        <v>260</v>
      </c>
      <c r="L884" s="59">
        <f>Datasheet!L258</f>
        <v>254</v>
      </c>
      <c r="M884" s="59">
        <f>Datasheet!M258</f>
        <v>267</v>
      </c>
      <c r="N884" s="59">
        <f>Datasheet!N258</f>
        <v>240</v>
      </c>
      <c r="O884" s="59">
        <f>Datasheet!O258</f>
        <v>243</v>
      </c>
      <c r="P884" s="59">
        <f>Datasheet!P258</f>
        <v>262</v>
      </c>
      <c r="Q884" s="59">
        <f>Datasheet!Q258</f>
        <v>257</v>
      </c>
      <c r="R884" s="59">
        <f>Datasheet!R258</f>
        <v>286</v>
      </c>
      <c r="S884" s="59">
        <f>Datasheet!S258</f>
        <v>271</v>
      </c>
      <c r="T884" s="59">
        <f>Datasheet!T258</f>
        <v>287</v>
      </c>
      <c r="U884" s="59">
        <f>Datasheet!U258</f>
        <v>286</v>
      </c>
      <c r="V884" s="59">
        <f>Datasheet!V258</f>
        <v>315</v>
      </c>
      <c r="W884" s="59">
        <f>Datasheet!W258</f>
        <v>332</v>
      </c>
      <c r="X884" s="59">
        <f>Datasheet!X258</f>
        <v>370</v>
      </c>
      <c r="Y884" s="59">
        <f>Datasheet!Y258</f>
        <v>415</v>
      </c>
      <c r="Z884" s="59">
        <f>Datasheet!Z258</f>
        <v>364</v>
      </c>
      <c r="AA884" s="59">
        <f>Datasheet!AA258</f>
        <v>358</v>
      </c>
      <c r="AB884" s="59">
        <f>Datasheet!AB258</f>
        <v>393</v>
      </c>
      <c r="AC884" s="59">
        <f>Datasheet!AC258</f>
        <v>0</v>
      </c>
      <c r="AD884" s="59">
        <f>Datasheet!AD258</f>
        <v>0</v>
      </c>
      <c r="AE884" s="59">
        <f>Datasheet!AE258</f>
        <v>0</v>
      </c>
      <c r="AF884" s="59">
        <f>Datasheet!AF258</f>
        <v>0</v>
      </c>
      <c r="AG884" s="59">
        <f>Datasheet!AG258</f>
        <v>0</v>
      </c>
      <c r="AH884" s="59">
        <f>Datasheet!AH258</f>
        <v>0</v>
      </c>
      <c r="AI884" s="59">
        <f>Datasheet!AI258</f>
        <v>0</v>
      </c>
      <c r="AJ884" s="59">
        <f>Datasheet!AJ258</f>
        <v>0</v>
      </c>
      <c r="AK884" s="59">
        <f>Datasheet!AK258</f>
        <v>0</v>
      </c>
    </row>
    <row r="885" spans="2:37" s="4" customFormat="1" x14ac:dyDescent="0.25">
      <c r="B885" s="44"/>
      <c r="C885" s="59" t="str">
        <f>Datasheet!G259</f>
        <v>Wholesale trade</v>
      </c>
      <c r="D885" s="59"/>
      <c r="E885"/>
      <c r="F885" s="59"/>
      <c r="G885" s="59"/>
      <c r="H885" s="59" t="s">
        <v>274</v>
      </c>
      <c r="I885" s="59" t="str">
        <f>Datasheet!I259</f>
        <v>(D)</v>
      </c>
      <c r="J885" s="59" t="str">
        <f>Datasheet!J259</f>
        <v>(D)</v>
      </c>
      <c r="K885" s="59" t="str">
        <f>Datasheet!K259</f>
        <v>(D)</v>
      </c>
      <c r="L885" s="59" t="str">
        <f>Datasheet!L259</f>
        <v>(D)</v>
      </c>
      <c r="M885" s="59" t="str">
        <f>Datasheet!M259</f>
        <v>(D)</v>
      </c>
      <c r="N885" s="59" t="str">
        <f>Datasheet!N259</f>
        <v>(D)</v>
      </c>
      <c r="O885" s="59" t="str">
        <f>Datasheet!O259</f>
        <v>(D)</v>
      </c>
      <c r="P885" s="59" t="str">
        <f>Datasheet!P259</f>
        <v>(D)</v>
      </c>
      <c r="Q885" s="59" t="str">
        <f>Datasheet!Q259</f>
        <v>(D)</v>
      </c>
      <c r="R885" s="59" t="str">
        <f>Datasheet!R259</f>
        <v>(D)</v>
      </c>
      <c r="S885" s="59" t="str">
        <f>Datasheet!S259</f>
        <v>(D)</v>
      </c>
      <c r="T885" s="59" t="str">
        <f>Datasheet!T259</f>
        <v>(D)</v>
      </c>
      <c r="U885" s="59" t="str">
        <f>Datasheet!U259</f>
        <v>(D)</v>
      </c>
      <c r="V885" s="59" t="str">
        <f>Datasheet!V259</f>
        <v>(D)</v>
      </c>
      <c r="W885" s="59" t="str">
        <f>Datasheet!W259</f>
        <v>(D)</v>
      </c>
      <c r="X885" s="59" t="str">
        <f>Datasheet!X259</f>
        <v>(D)</v>
      </c>
      <c r="Y885" s="59" t="str">
        <f>Datasheet!Y259</f>
        <v>(D)</v>
      </c>
      <c r="Z885" s="59" t="str">
        <f>Datasheet!Z259</f>
        <v>(D)</v>
      </c>
      <c r="AA885" s="59" t="str">
        <f>Datasheet!AA259</f>
        <v>(D)</v>
      </c>
      <c r="AB885" s="59" t="str">
        <f>Datasheet!AB259</f>
        <v>(D)</v>
      </c>
      <c r="AC885" s="59">
        <f>Datasheet!AC259</f>
        <v>0</v>
      </c>
      <c r="AD885" s="59">
        <f>Datasheet!AD259</f>
        <v>0</v>
      </c>
      <c r="AE885" s="59">
        <f>Datasheet!AE259</f>
        <v>0</v>
      </c>
      <c r="AF885" s="59">
        <f>Datasheet!AF259</f>
        <v>0</v>
      </c>
      <c r="AG885" s="59">
        <f>Datasheet!AG259</f>
        <v>0</v>
      </c>
      <c r="AH885" s="59">
        <f>Datasheet!AH259</f>
        <v>0</v>
      </c>
      <c r="AI885" s="59">
        <f>Datasheet!AI259</f>
        <v>0</v>
      </c>
      <c r="AJ885" s="59">
        <f>Datasheet!AJ259</f>
        <v>0</v>
      </c>
      <c r="AK885" s="59">
        <f>Datasheet!AK259</f>
        <v>0</v>
      </c>
    </row>
    <row r="886" spans="2:37" s="4" customFormat="1" x14ac:dyDescent="0.25">
      <c r="B886" s="44"/>
      <c r="C886" s="59" t="str">
        <f>Datasheet!G260</f>
        <v>Retail trade</v>
      </c>
      <c r="D886" s="59"/>
      <c r="E886"/>
      <c r="F886" s="59"/>
      <c r="G886" s="59"/>
      <c r="H886" s="59" t="s">
        <v>274</v>
      </c>
      <c r="I886" s="59">
        <f>Datasheet!I260</f>
        <v>2453</v>
      </c>
      <c r="J886" s="59">
        <f>Datasheet!J260</f>
        <v>2300</v>
      </c>
      <c r="K886" s="59">
        <f>Datasheet!K260</f>
        <v>2250</v>
      </c>
      <c r="L886" s="59">
        <f>Datasheet!L260</f>
        <v>2247</v>
      </c>
      <c r="M886" s="59">
        <f>Datasheet!M260</f>
        <v>2320</v>
      </c>
      <c r="N886" s="59">
        <f>Datasheet!N260</f>
        <v>2360</v>
      </c>
      <c r="O886" s="59">
        <f>Datasheet!O260</f>
        <v>2352</v>
      </c>
      <c r="P886" s="59">
        <f>Datasheet!P260</f>
        <v>2222</v>
      </c>
      <c r="Q886" s="59">
        <f>Datasheet!Q260</f>
        <v>2131</v>
      </c>
      <c r="R886" s="59">
        <f>Datasheet!R260</f>
        <v>2141</v>
      </c>
      <c r="S886" s="59">
        <f>Datasheet!S260</f>
        <v>2169</v>
      </c>
      <c r="T886" s="59">
        <f>Datasheet!T260</f>
        <v>2348</v>
      </c>
      <c r="U886" s="59">
        <f>Datasheet!U260</f>
        <v>2488</v>
      </c>
      <c r="V886" s="59">
        <f>Datasheet!V260</f>
        <v>2641</v>
      </c>
      <c r="W886" s="59">
        <f>Datasheet!W260</f>
        <v>2674</v>
      </c>
      <c r="X886" s="59">
        <f>Datasheet!X260</f>
        <v>2603</v>
      </c>
      <c r="Y886" s="59">
        <f>Datasheet!Y260</f>
        <v>2683</v>
      </c>
      <c r="Z886" s="59">
        <f>Datasheet!Z260</f>
        <v>2629</v>
      </c>
      <c r="AA886" s="59">
        <f>Datasheet!AA260</f>
        <v>2337</v>
      </c>
      <c r="AB886" s="59">
        <f>Datasheet!AB260</f>
        <v>2413</v>
      </c>
      <c r="AC886" s="59">
        <f>Datasheet!AC260</f>
        <v>0</v>
      </c>
      <c r="AD886" s="59">
        <f>Datasheet!AD260</f>
        <v>0</v>
      </c>
      <c r="AE886" s="59">
        <f>Datasheet!AE260</f>
        <v>0</v>
      </c>
      <c r="AF886" s="59">
        <f>Datasheet!AF260</f>
        <v>0</v>
      </c>
      <c r="AG886" s="59">
        <f>Datasheet!AG260</f>
        <v>0</v>
      </c>
      <c r="AH886" s="59">
        <f>Datasheet!AH260</f>
        <v>0</v>
      </c>
      <c r="AI886" s="59">
        <f>Datasheet!AI260</f>
        <v>0</v>
      </c>
      <c r="AJ886" s="59">
        <f>Datasheet!AJ260</f>
        <v>0</v>
      </c>
      <c r="AK886" s="59">
        <f>Datasheet!AK260</f>
        <v>0</v>
      </c>
    </row>
    <row r="887" spans="2:37" s="4" customFormat="1" x14ac:dyDescent="0.25">
      <c r="B887" s="44"/>
      <c r="C887" s="59" t="str">
        <f>Datasheet!G261</f>
        <v>Transportation and warehousing</v>
      </c>
      <c r="D887" s="59"/>
      <c r="F887" s="59"/>
      <c r="G887" s="59"/>
      <c r="H887" s="59" t="s">
        <v>274</v>
      </c>
      <c r="I887" s="59">
        <f>Datasheet!I261</f>
        <v>395</v>
      </c>
      <c r="J887" s="59">
        <f>Datasheet!J261</f>
        <v>402</v>
      </c>
      <c r="K887" s="59">
        <f>Datasheet!K261</f>
        <v>432</v>
      </c>
      <c r="L887" s="59">
        <f>Datasheet!L261</f>
        <v>426</v>
      </c>
      <c r="M887" s="59">
        <f>Datasheet!M261</f>
        <v>426</v>
      </c>
      <c r="N887" s="59">
        <f>Datasheet!N261</f>
        <v>449</v>
      </c>
      <c r="O887" s="59">
        <f>Datasheet!O261</f>
        <v>472</v>
      </c>
      <c r="P887" s="59">
        <f>Datasheet!P261</f>
        <v>470</v>
      </c>
      <c r="Q887" s="59">
        <f>Datasheet!Q261</f>
        <v>483</v>
      </c>
      <c r="R887" s="59">
        <f>Datasheet!R261</f>
        <v>460</v>
      </c>
      <c r="S887" s="59">
        <f>Datasheet!S261</f>
        <v>494</v>
      </c>
      <c r="T887" s="59">
        <f>Datasheet!T261</f>
        <v>539</v>
      </c>
      <c r="U887" s="59">
        <f>Datasheet!U261</f>
        <v>514</v>
      </c>
      <c r="V887" s="59">
        <f>Datasheet!V261</f>
        <v>566</v>
      </c>
      <c r="W887" s="59">
        <f>Datasheet!W261</f>
        <v>581</v>
      </c>
      <c r="X887" s="59">
        <f>Datasheet!X261</f>
        <v>666</v>
      </c>
      <c r="Y887" s="59">
        <f>Datasheet!Y261</f>
        <v>742</v>
      </c>
      <c r="Z887" s="59">
        <f>Datasheet!Z261</f>
        <v>745</v>
      </c>
      <c r="AA887" s="59">
        <f>Datasheet!AA261</f>
        <v>663</v>
      </c>
      <c r="AB887" s="59">
        <f>Datasheet!AB261</f>
        <v>762</v>
      </c>
      <c r="AC887" s="59">
        <f>Datasheet!AC261</f>
        <v>0</v>
      </c>
      <c r="AD887" s="59">
        <f>Datasheet!AD261</f>
        <v>0</v>
      </c>
      <c r="AE887" s="59">
        <f>Datasheet!AE261</f>
        <v>0</v>
      </c>
      <c r="AF887" s="59">
        <f>Datasheet!AF261</f>
        <v>0</v>
      </c>
      <c r="AG887" s="59">
        <f>Datasheet!AG261</f>
        <v>0</v>
      </c>
      <c r="AH887" s="59">
        <f>Datasheet!AH261</f>
        <v>0</v>
      </c>
      <c r="AI887" s="59">
        <f>Datasheet!AI261</f>
        <v>0</v>
      </c>
      <c r="AJ887" s="59">
        <f>Datasheet!AJ261</f>
        <v>0</v>
      </c>
      <c r="AK887" s="59">
        <f>Datasheet!AK261</f>
        <v>0</v>
      </c>
    </row>
    <row r="888" spans="2:37" s="4" customFormat="1" x14ac:dyDescent="0.25">
      <c r="B888" s="44"/>
      <c r="C888" s="59" t="str">
        <f>Datasheet!G262</f>
        <v>Information</v>
      </c>
      <c r="D888" s="59"/>
      <c r="F888" s="59"/>
      <c r="G888" s="59"/>
      <c r="H888" s="59" t="s">
        <v>274</v>
      </c>
      <c r="I888" s="59">
        <f>Datasheet!I262</f>
        <v>394</v>
      </c>
      <c r="J888" s="59">
        <f>Datasheet!J262</f>
        <v>385</v>
      </c>
      <c r="K888" s="59">
        <f>Datasheet!K262</f>
        <v>370</v>
      </c>
      <c r="L888" s="59">
        <f>Datasheet!L262</f>
        <v>365</v>
      </c>
      <c r="M888" s="59">
        <f>Datasheet!M262</f>
        <v>361</v>
      </c>
      <c r="N888" s="59">
        <f>Datasheet!N262</f>
        <v>348</v>
      </c>
      <c r="O888" s="59">
        <f>Datasheet!O262</f>
        <v>351</v>
      </c>
      <c r="P888" s="59">
        <f>Datasheet!P262</f>
        <v>342</v>
      </c>
      <c r="Q888" s="59">
        <f>Datasheet!Q262</f>
        <v>332</v>
      </c>
      <c r="R888" s="59">
        <f>Datasheet!R262</f>
        <v>349</v>
      </c>
      <c r="S888" s="59">
        <f>Datasheet!S262</f>
        <v>352</v>
      </c>
      <c r="T888" s="59">
        <f>Datasheet!T262</f>
        <v>364</v>
      </c>
      <c r="U888" s="59">
        <f>Datasheet!U262</f>
        <v>377</v>
      </c>
      <c r="V888" s="59">
        <f>Datasheet!V262</f>
        <v>347</v>
      </c>
      <c r="W888" s="59">
        <f>Datasheet!W262</f>
        <v>362</v>
      </c>
      <c r="X888" s="59">
        <f>Datasheet!X262</f>
        <v>396</v>
      </c>
      <c r="Y888" s="59">
        <f>Datasheet!Y262</f>
        <v>386</v>
      </c>
      <c r="Z888" s="59">
        <f>Datasheet!Z262</f>
        <v>354</v>
      </c>
      <c r="AA888" s="59">
        <f>Datasheet!AA262</f>
        <v>360</v>
      </c>
      <c r="AB888" s="59">
        <f>Datasheet!AB262</f>
        <v>380</v>
      </c>
      <c r="AC888" s="59">
        <f>Datasheet!AC262</f>
        <v>0</v>
      </c>
      <c r="AD888" s="59">
        <f>Datasheet!AD262</f>
        <v>0</v>
      </c>
      <c r="AE888" s="59">
        <f>Datasheet!AE262</f>
        <v>0</v>
      </c>
      <c r="AF888" s="59">
        <f>Datasheet!AF262</f>
        <v>0</v>
      </c>
      <c r="AG888" s="59">
        <f>Datasheet!AG262</f>
        <v>0</v>
      </c>
      <c r="AH888" s="59">
        <f>Datasheet!AH262</f>
        <v>0</v>
      </c>
      <c r="AI888" s="59">
        <f>Datasheet!AI262</f>
        <v>0</v>
      </c>
      <c r="AJ888" s="59">
        <f>Datasheet!AJ262</f>
        <v>0</v>
      </c>
      <c r="AK888" s="59">
        <f>Datasheet!AK262</f>
        <v>0</v>
      </c>
    </row>
    <row r="889" spans="2:37" s="4" customFormat="1" x14ac:dyDescent="0.25">
      <c r="B889" s="44"/>
      <c r="C889" s="59" t="str">
        <f>Datasheet!G263</f>
        <v>Finance and insurance</v>
      </c>
      <c r="D889" s="59"/>
      <c r="F889" s="59"/>
      <c r="G889" s="59"/>
      <c r="H889" s="59" t="s">
        <v>274</v>
      </c>
      <c r="I889" s="59">
        <f>Datasheet!I263</f>
        <v>932</v>
      </c>
      <c r="J889" s="59">
        <f>Datasheet!J263</f>
        <v>1007</v>
      </c>
      <c r="K889" s="59">
        <f>Datasheet!K263</f>
        <v>1054</v>
      </c>
      <c r="L889" s="59">
        <f>Datasheet!L263</f>
        <v>1140</v>
      </c>
      <c r="M889" s="59">
        <f>Datasheet!M263</f>
        <v>1218</v>
      </c>
      <c r="N889" s="59">
        <f>Datasheet!N263</f>
        <v>1452</v>
      </c>
      <c r="O889" s="59">
        <f>Datasheet!O263</f>
        <v>1670</v>
      </c>
      <c r="P889" s="59">
        <f>Datasheet!P263</f>
        <v>1937</v>
      </c>
      <c r="Q889" s="59">
        <f>Datasheet!Q263</f>
        <v>1798</v>
      </c>
      <c r="R889" s="59">
        <f>Datasheet!R263</f>
        <v>2015</v>
      </c>
      <c r="S889" s="59">
        <f>Datasheet!S263</f>
        <v>2067</v>
      </c>
      <c r="T889" s="59">
        <f>Datasheet!T263</f>
        <v>2222</v>
      </c>
      <c r="U889" s="59">
        <f>Datasheet!U263</f>
        <v>2290</v>
      </c>
      <c r="V889" s="59">
        <f>Datasheet!V263</f>
        <v>2356</v>
      </c>
      <c r="W889" s="59">
        <f>Datasheet!W263</f>
        <v>2457</v>
      </c>
      <c r="X889" s="59">
        <f>Datasheet!X263</f>
        <v>2509</v>
      </c>
      <c r="Y889" s="59">
        <f>Datasheet!Y263</f>
        <v>2882</v>
      </c>
      <c r="Z889" s="59">
        <f>Datasheet!Z263</f>
        <v>3015</v>
      </c>
      <c r="AA889" s="59">
        <f>Datasheet!AA263</f>
        <v>3917</v>
      </c>
      <c r="AB889" s="59">
        <f>Datasheet!AB263</f>
        <v>4225</v>
      </c>
      <c r="AC889" s="59">
        <f>Datasheet!AC263</f>
        <v>0</v>
      </c>
      <c r="AD889" s="59">
        <f>Datasheet!AD263</f>
        <v>0</v>
      </c>
      <c r="AE889" s="59">
        <f>Datasheet!AE263</f>
        <v>0</v>
      </c>
      <c r="AF889" s="59">
        <f>Datasheet!AF263</f>
        <v>0</v>
      </c>
      <c r="AG889" s="59">
        <f>Datasheet!AG263</f>
        <v>0</v>
      </c>
      <c r="AH889" s="59">
        <f>Datasheet!AH263</f>
        <v>0</v>
      </c>
      <c r="AI889" s="59">
        <f>Datasheet!AI263</f>
        <v>0</v>
      </c>
      <c r="AJ889" s="59">
        <f>Datasheet!AJ263</f>
        <v>0</v>
      </c>
      <c r="AK889" s="59">
        <f>Datasheet!AK263</f>
        <v>0</v>
      </c>
    </row>
    <row r="890" spans="2:37" s="4" customFormat="1" x14ac:dyDescent="0.25">
      <c r="B890" s="44"/>
      <c r="C890" s="59" t="str">
        <f>Datasheet!G264</f>
        <v>Real estate and rental and leasing</v>
      </c>
      <c r="D890" s="59"/>
      <c r="F890" s="59"/>
      <c r="G890" s="59"/>
      <c r="H890" s="59" t="s">
        <v>274</v>
      </c>
      <c r="I890" s="59">
        <f>Datasheet!I264</f>
        <v>1652</v>
      </c>
      <c r="J890" s="59">
        <f>Datasheet!J264</f>
        <v>1682</v>
      </c>
      <c r="K890" s="59">
        <f>Datasheet!K264</f>
        <v>1885</v>
      </c>
      <c r="L890" s="59">
        <f>Datasheet!L264</f>
        <v>2177</v>
      </c>
      <c r="M890" s="59">
        <f>Datasheet!M264</f>
        <v>2479</v>
      </c>
      <c r="N890" s="59">
        <f>Datasheet!N264</f>
        <v>2679</v>
      </c>
      <c r="O890" s="59">
        <f>Datasheet!O264</f>
        <v>2986</v>
      </c>
      <c r="P890" s="59">
        <f>Datasheet!P264</f>
        <v>2825</v>
      </c>
      <c r="Q890" s="59">
        <f>Datasheet!Q264</f>
        <v>2922</v>
      </c>
      <c r="R890" s="59">
        <f>Datasheet!R264</f>
        <v>2940</v>
      </c>
      <c r="S890" s="59">
        <f>Datasheet!S264</f>
        <v>2911</v>
      </c>
      <c r="T890" s="59">
        <f>Datasheet!T264</f>
        <v>3088</v>
      </c>
      <c r="U890" s="59">
        <f>Datasheet!U264</f>
        <v>3272</v>
      </c>
      <c r="V890" s="59">
        <f>Datasheet!V264</f>
        <v>3268</v>
      </c>
      <c r="W890" s="59">
        <f>Datasheet!W264</f>
        <v>3387</v>
      </c>
      <c r="X890" s="59">
        <f>Datasheet!X264</f>
        <v>3521</v>
      </c>
      <c r="Y890" s="59">
        <f>Datasheet!Y264</f>
        <v>3706</v>
      </c>
      <c r="Z890" s="59">
        <f>Datasheet!Z264</f>
        <v>3707</v>
      </c>
      <c r="AA890" s="59">
        <f>Datasheet!AA264</f>
        <v>4218</v>
      </c>
      <c r="AB890" s="59">
        <f>Datasheet!AB264</f>
        <v>4422</v>
      </c>
      <c r="AC890" s="59">
        <f>Datasheet!AC264</f>
        <v>0</v>
      </c>
      <c r="AD890" s="59">
        <f>Datasheet!AD264</f>
        <v>0</v>
      </c>
      <c r="AE890" s="59">
        <f>Datasheet!AE264</f>
        <v>0</v>
      </c>
      <c r="AF890" s="59">
        <f>Datasheet!AF264</f>
        <v>0</v>
      </c>
      <c r="AG890" s="59">
        <f>Datasheet!AG264</f>
        <v>0</v>
      </c>
      <c r="AH890" s="59">
        <f>Datasheet!AH264</f>
        <v>0</v>
      </c>
      <c r="AI890" s="59">
        <f>Datasheet!AI264</f>
        <v>0</v>
      </c>
      <c r="AJ890" s="59">
        <f>Datasheet!AJ264</f>
        <v>0</v>
      </c>
      <c r="AK890" s="59">
        <f>Datasheet!AK264</f>
        <v>0</v>
      </c>
    </row>
    <row r="891" spans="2:37" s="4" customFormat="1" x14ac:dyDescent="0.25">
      <c r="B891" s="44"/>
      <c r="C891" s="59" t="str">
        <f>Datasheet!G265</f>
        <v>Professional, scientific, and technical services</v>
      </c>
      <c r="D891" s="59"/>
      <c r="F891" s="59"/>
      <c r="G891" s="59"/>
      <c r="H891" s="59" t="s">
        <v>274</v>
      </c>
      <c r="I891" s="59">
        <f>Datasheet!I265</f>
        <v>1575</v>
      </c>
      <c r="J891" s="59">
        <f>Datasheet!J265</f>
        <v>1574</v>
      </c>
      <c r="K891" s="59">
        <f>Datasheet!K265</f>
        <v>1669</v>
      </c>
      <c r="L891" s="59">
        <f>Datasheet!L265</f>
        <v>1636</v>
      </c>
      <c r="M891" s="59">
        <f>Datasheet!M265</f>
        <v>1729</v>
      </c>
      <c r="N891" s="59">
        <f>Datasheet!N265</f>
        <v>1915</v>
      </c>
      <c r="O891" s="59">
        <f>Datasheet!O265</f>
        <v>1920</v>
      </c>
      <c r="P891" s="59">
        <f>Datasheet!P265</f>
        <v>1819</v>
      </c>
      <c r="Q891" s="59">
        <f>Datasheet!Q265</f>
        <v>1852</v>
      </c>
      <c r="R891" s="59">
        <f>Datasheet!R265</f>
        <v>1813</v>
      </c>
      <c r="S891" s="59">
        <f>Datasheet!S265</f>
        <v>1869</v>
      </c>
      <c r="T891" s="59">
        <f>Datasheet!T265</f>
        <v>1997</v>
      </c>
      <c r="U891" s="59">
        <f>Datasheet!U265</f>
        <v>2144</v>
      </c>
      <c r="V891" s="59">
        <f>Datasheet!V265</f>
        <v>2226</v>
      </c>
      <c r="W891" s="59">
        <f>Datasheet!W265</f>
        <v>2268</v>
      </c>
      <c r="X891" s="59">
        <f>Datasheet!X265</f>
        <v>2291</v>
      </c>
      <c r="Y891" s="59">
        <f>Datasheet!Y265</f>
        <v>2396</v>
      </c>
      <c r="Z891" s="59">
        <f>Datasheet!Z265</f>
        <v>2457</v>
      </c>
      <c r="AA891" s="59">
        <f>Datasheet!AA265</f>
        <v>2486</v>
      </c>
      <c r="AB891" s="59">
        <f>Datasheet!AB265</f>
        <v>2640</v>
      </c>
      <c r="AC891" s="59">
        <f>Datasheet!AC265</f>
        <v>0</v>
      </c>
      <c r="AD891" s="59">
        <f>Datasheet!AD265</f>
        <v>0</v>
      </c>
      <c r="AE891" s="59">
        <f>Datasheet!AE265</f>
        <v>0</v>
      </c>
      <c r="AF891" s="59">
        <f>Datasheet!AF265</f>
        <v>0</v>
      </c>
      <c r="AG891" s="59">
        <f>Datasheet!AG265</f>
        <v>0</v>
      </c>
      <c r="AH891" s="59">
        <f>Datasheet!AH265</f>
        <v>0</v>
      </c>
      <c r="AI891" s="59">
        <f>Datasheet!AI265</f>
        <v>0</v>
      </c>
      <c r="AJ891" s="59">
        <f>Datasheet!AJ265</f>
        <v>0</v>
      </c>
      <c r="AK891" s="59">
        <f>Datasheet!AK265</f>
        <v>0</v>
      </c>
    </row>
    <row r="892" spans="2:37" x14ac:dyDescent="0.25">
      <c r="B892" s="44"/>
      <c r="C892" s="59" t="str">
        <f>Datasheet!G266</f>
        <v>Management of companies and enterprises</v>
      </c>
      <c r="D892" s="39"/>
      <c r="E892" s="4"/>
      <c r="F892" s="59"/>
      <c r="G892" s="39"/>
      <c r="H892" s="59" t="s">
        <v>274</v>
      </c>
      <c r="I892" s="59">
        <f>Datasheet!I266</f>
        <v>78</v>
      </c>
      <c r="J892" s="59">
        <f>Datasheet!J266</f>
        <v>79</v>
      </c>
      <c r="K892" s="59">
        <f>Datasheet!K266</f>
        <v>100</v>
      </c>
      <c r="L892" s="59">
        <f>Datasheet!L266</f>
        <v>114</v>
      </c>
      <c r="M892" s="59">
        <f>Datasheet!M266</f>
        <v>131</v>
      </c>
      <c r="N892" s="59">
        <f>Datasheet!N266</f>
        <v>126</v>
      </c>
      <c r="O892" s="59">
        <f>Datasheet!O266</f>
        <v>102</v>
      </c>
      <c r="P892" s="59">
        <f>Datasheet!P266</f>
        <v>94</v>
      </c>
      <c r="Q892" s="59">
        <f>Datasheet!Q266</f>
        <v>86</v>
      </c>
      <c r="R892" s="59">
        <f>Datasheet!R266</f>
        <v>88</v>
      </c>
      <c r="S892" s="59">
        <f>Datasheet!S266</f>
        <v>93</v>
      </c>
      <c r="T892" s="59">
        <f>Datasheet!T266</f>
        <v>74</v>
      </c>
      <c r="U892" s="59">
        <f>Datasheet!U266</f>
        <v>147</v>
      </c>
      <c r="V892" s="59">
        <f>Datasheet!V266</f>
        <v>163</v>
      </c>
      <c r="W892" s="59">
        <f>Datasheet!W266</f>
        <v>295</v>
      </c>
      <c r="X892" s="59">
        <f>Datasheet!X266</f>
        <v>254</v>
      </c>
      <c r="Y892" s="59">
        <f>Datasheet!Y266</f>
        <v>194</v>
      </c>
      <c r="Z892" s="59">
        <f>Datasheet!Z266</f>
        <v>190</v>
      </c>
      <c r="AA892" s="59">
        <f>Datasheet!AA266</f>
        <v>235</v>
      </c>
      <c r="AB892" s="59">
        <f>Datasheet!AB266</f>
        <v>261</v>
      </c>
      <c r="AC892" s="59">
        <f>Datasheet!AC266</f>
        <v>0</v>
      </c>
      <c r="AD892" s="59">
        <f>Datasheet!AD266</f>
        <v>0</v>
      </c>
      <c r="AE892" s="59">
        <f>Datasheet!AE266</f>
        <v>0</v>
      </c>
      <c r="AF892" s="59">
        <f>Datasheet!AF266</f>
        <v>0</v>
      </c>
      <c r="AG892" s="59">
        <f>Datasheet!AG266</f>
        <v>0</v>
      </c>
      <c r="AH892" s="59">
        <f>Datasheet!AH266</f>
        <v>0</v>
      </c>
      <c r="AI892" s="59">
        <f>Datasheet!AI266</f>
        <v>0</v>
      </c>
      <c r="AJ892" s="59">
        <f>Datasheet!AJ266</f>
        <v>0</v>
      </c>
      <c r="AK892" s="59">
        <f>Datasheet!AK266</f>
        <v>0</v>
      </c>
    </row>
    <row r="893" spans="2:37" x14ac:dyDescent="0.25">
      <c r="B893" s="44"/>
      <c r="C893" s="59" t="str">
        <f>Datasheet!G267</f>
        <v>Administrative and waste management services</v>
      </c>
      <c r="D893" s="39"/>
      <c r="E893" s="4"/>
      <c r="F893" s="59"/>
      <c r="G893" s="39"/>
      <c r="H893" s="59" t="s">
        <v>274</v>
      </c>
      <c r="I893" s="59">
        <f>Datasheet!I267</f>
        <v>1028</v>
      </c>
      <c r="J893" s="59">
        <f>Datasheet!J267</f>
        <v>1044</v>
      </c>
      <c r="K893" s="59">
        <f>Datasheet!K267</f>
        <v>1058</v>
      </c>
      <c r="L893" s="59">
        <f>Datasheet!L267</f>
        <v>1048</v>
      </c>
      <c r="M893" s="59">
        <f>Datasheet!M267</f>
        <v>1124</v>
      </c>
      <c r="N893" s="59">
        <f>Datasheet!N267</f>
        <v>1203</v>
      </c>
      <c r="O893" s="59">
        <f>Datasheet!O267</f>
        <v>1203</v>
      </c>
      <c r="P893" s="59">
        <f>Datasheet!P267</f>
        <v>1186</v>
      </c>
      <c r="Q893" s="59">
        <f>Datasheet!Q267</f>
        <v>1123</v>
      </c>
      <c r="R893" s="59">
        <f>Datasheet!R267</f>
        <v>1109</v>
      </c>
      <c r="S893" s="59">
        <f>Datasheet!S267</f>
        <v>1185</v>
      </c>
      <c r="T893" s="59">
        <f>Datasheet!T267</f>
        <v>1317</v>
      </c>
      <c r="U893" s="59">
        <f>Datasheet!U267</f>
        <v>1308</v>
      </c>
      <c r="V893" s="59">
        <f>Datasheet!V267</f>
        <v>1347</v>
      </c>
      <c r="W893" s="59">
        <f>Datasheet!W267</f>
        <v>1550</v>
      </c>
      <c r="X893" s="59">
        <f>Datasheet!X267</f>
        <v>1503</v>
      </c>
      <c r="Y893" s="59">
        <f>Datasheet!Y267</f>
        <v>1512</v>
      </c>
      <c r="Z893" s="59">
        <f>Datasheet!Z267</f>
        <v>1589</v>
      </c>
      <c r="AA893" s="59">
        <f>Datasheet!AA267</f>
        <v>1532</v>
      </c>
      <c r="AB893" s="59">
        <f>Datasheet!AB267</f>
        <v>1651</v>
      </c>
      <c r="AC893" s="59">
        <f>Datasheet!AC267</f>
        <v>0</v>
      </c>
      <c r="AD893" s="59">
        <f>Datasheet!AD267</f>
        <v>0</v>
      </c>
      <c r="AE893" s="59">
        <f>Datasheet!AE267</f>
        <v>0</v>
      </c>
      <c r="AF893" s="59">
        <f>Datasheet!AF267</f>
        <v>0</v>
      </c>
      <c r="AG893" s="59">
        <f>Datasheet!AG267</f>
        <v>0</v>
      </c>
      <c r="AH893" s="59">
        <f>Datasheet!AH267</f>
        <v>0</v>
      </c>
      <c r="AI893" s="59">
        <f>Datasheet!AI267</f>
        <v>0</v>
      </c>
      <c r="AJ893" s="59">
        <f>Datasheet!AJ267</f>
        <v>0</v>
      </c>
      <c r="AK893" s="59">
        <f>Datasheet!AK267</f>
        <v>0</v>
      </c>
    </row>
    <row r="894" spans="2:37" x14ac:dyDescent="0.25">
      <c r="B894" s="44"/>
      <c r="C894" s="59" t="str">
        <f>Datasheet!G268</f>
        <v>Educational services</v>
      </c>
      <c r="D894" s="39"/>
      <c r="E894" s="4"/>
      <c r="F894" s="59"/>
      <c r="G894" s="39"/>
      <c r="H894" s="59" t="s">
        <v>274</v>
      </c>
      <c r="I894" s="59">
        <f>Datasheet!I268</f>
        <v>205</v>
      </c>
      <c r="J894" s="59">
        <f>Datasheet!J268</f>
        <v>228</v>
      </c>
      <c r="K894" s="59">
        <f>Datasheet!K268</f>
        <v>258</v>
      </c>
      <c r="L894" s="59">
        <f>Datasheet!L268</f>
        <v>287</v>
      </c>
      <c r="M894" s="59">
        <f>Datasheet!M268</f>
        <v>293</v>
      </c>
      <c r="N894" s="59">
        <f>Datasheet!N268</f>
        <v>288</v>
      </c>
      <c r="O894" s="59">
        <f>Datasheet!O268</f>
        <v>327</v>
      </c>
      <c r="P894" s="59">
        <f>Datasheet!P268</f>
        <v>324</v>
      </c>
      <c r="Q894" s="59">
        <f>Datasheet!Q268</f>
        <v>361</v>
      </c>
      <c r="R894" s="59">
        <f>Datasheet!R268</f>
        <v>362</v>
      </c>
      <c r="S894" s="59">
        <f>Datasheet!S268</f>
        <v>360</v>
      </c>
      <c r="T894" s="59">
        <f>Datasheet!T268</f>
        <v>459</v>
      </c>
      <c r="U894" s="59">
        <f>Datasheet!U268</f>
        <v>486</v>
      </c>
      <c r="V894" s="59">
        <f>Datasheet!V268</f>
        <v>508</v>
      </c>
      <c r="W894" s="59">
        <f>Datasheet!W268</f>
        <v>573</v>
      </c>
      <c r="X894" s="59">
        <f>Datasheet!X268</f>
        <v>551</v>
      </c>
      <c r="Y894" s="59">
        <f>Datasheet!Y268</f>
        <v>527</v>
      </c>
      <c r="Z894" s="59">
        <f>Datasheet!Z268</f>
        <v>595</v>
      </c>
      <c r="AA894" s="59">
        <f>Datasheet!AA268</f>
        <v>536</v>
      </c>
      <c r="AB894" s="59">
        <f>Datasheet!AB268</f>
        <v>579</v>
      </c>
      <c r="AC894" s="59">
        <f>Datasheet!AC268</f>
        <v>0</v>
      </c>
      <c r="AD894" s="59">
        <f>Datasheet!AD268</f>
        <v>0</v>
      </c>
      <c r="AE894" s="59">
        <f>Datasheet!AE268</f>
        <v>0</v>
      </c>
      <c r="AF894" s="59">
        <f>Datasheet!AF268</f>
        <v>0</v>
      </c>
      <c r="AG894" s="59">
        <f>Datasheet!AG268</f>
        <v>0</v>
      </c>
      <c r="AH894" s="59">
        <f>Datasheet!AH268</f>
        <v>0</v>
      </c>
      <c r="AI894" s="59">
        <f>Datasheet!AI268</f>
        <v>0</v>
      </c>
      <c r="AJ894" s="59">
        <f>Datasheet!AJ268</f>
        <v>0</v>
      </c>
      <c r="AK894" s="59">
        <f>Datasheet!AK268</f>
        <v>0</v>
      </c>
    </row>
    <row r="895" spans="2:37" x14ac:dyDescent="0.25">
      <c r="B895" s="44"/>
      <c r="C895" s="59" t="str">
        <f>Datasheet!G269</f>
        <v>Health care and social assistance</v>
      </c>
      <c r="D895" s="39"/>
      <c r="E895" s="4"/>
      <c r="F895" s="59"/>
      <c r="G895" s="39"/>
      <c r="H895" s="59" t="s">
        <v>274</v>
      </c>
      <c r="I895" s="59">
        <f>Datasheet!I269</f>
        <v>777</v>
      </c>
      <c r="J895" s="59">
        <f>Datasheet!J269</f>
        <v>813</v>
      </c>
      <c r="K895" s="59">
        <f>Datasheet!K269</f>
        <v>837</v>
      </c>
      <c r="L895" s="59">
        <f>Datasheet!L269</f>
        <v>874</v>
      </c>
      <c r="M895" s="59">
        <f>Datasheet!M269</f>
        <v>901</v>
      </c>
      <c r="N895" s="59">
        <f>Datasheet!N269</f>
        <v>924</v>
      </c>
      <c r="O895" s="59">
        <f>Datasheet!O269</f>
        <v>931</v>
      </c>
      <c r="P895" s="59">
        <f>Datasheet!P269</f>
        <v>951</v>
      </c>
      <c r="Q895" s="59">
        <f>Datasheet!Q269</f>
        <v>972</v>
      </c>
      <c r="R895" s="59">
        <f>Datasheet!R269</f>
        <v>975</v>
      </c>
      <c r="S895" s="59">
        <f>Datasheet!S269</f>
        <v>1025</v>
      </c>
      <c r="T895" s="59">
        <f>Datasheet!T269</f>
        <v>1076</v>
      </c>
      <c r="U895" s="59">
        <f>Datasheet!U269</f>
        <v>1092</v>
      </c>
      <c r="V895" s="59">
        <f>Datasheet!V269</f>
        <v>1123</v>
      </c>
      <c r="W895" s="59">
        <f>Datasheet!W269</f>
        <v>1168</v>
      </c>
      <c r="X895" s="59">
        <f>Datasheet!X269</f>
        <v>1187</v>
      </c>
      <c r="Y895" s="59">
        <f>Datasheet!Y269</f>
        <v>1230</v>
      </c>
      <c r="Z895" s="59">
        <f>Datasheet!Z269</f>
        <v>1246</v>
      </c>
      <c r="AA895" s="59">
        <f>Datasheet!AA269</f>
        <v>1218</v>
      </c>
      <c r="AB895" s="59">
        <f>Datasheet!AB269</f>
        <v>1240</v>
      </c>
      <c r="AC895" s="59">
        <f>Datasheet!AC269</f>
        <v>0</v>
      </c>
      <c r="AD895" s="59">
        <f>Datasheet!AD269</f>
        <v>0</v>
      </c>
      <c r="AE895" s="59">
        <f>Datasheet!AE269</f>
        <v>0</v>
      </c>
      <c r="AF895" s="59">
        <f>Datasheet!AF269</f>
        <v>0</v>
      </c>
      <c r="AG895" s="59">
        <f>Datasheet!AG269</f>
        <v>0</v>
      </c>
      <c r="AH895" s="59">
        <f>Datasheet!AH269</f>
        <v>0</v>
      </c>
      <c r="AI895" s="59">
        <f>Datasheet!AI269</f>
        <v>0</v>
      </c>
      <c r="AJ895" s="59">
        <f>Datasheet!AJ269</f>
        <v>0</v>
      </c>
      <c r="AK895" s="59">
        <f>Datasheet!AK269</f>
        <v>0</v>
      </c>
    </row>
    <row r="896" spans="2:37" x14ac:dyDescent="0.25">
      <c r="B896" s="44"/>
      <c r="C896" s="59" t="str">
        <f>Datasheet!G270</f>
        <v>Arts, entertainment, and recreation</v>
      </c>
      <c r="D896" s="39"/>
      <c r="E896" s="4"/>
      <c r="F896" s="59"/>
      <c r="G896" s="39"/>
      <c r="H896" s="59" t="s">
        <v>274</v>
      </c>
      <c r="I896" s="59">
        <f>Datasheet!I270</f>
        <v>828</v>
      </c>
      <c r="J896" s="59">
        <f>Datasheet!J270</f>
        <v>875</v>
      </c>
      <c r="K896" s="59">
        <f>Datasheet!K270</f>
        <v>946</v>
      </c>
      <c r="L896" s="59">
        <f>Datasheet!L270</f>
        <v>1051</v>
      </c>
      <c r="M896" s="59">
        <f>Datasheet!M270</f>
        <v>1093</v>
      </c>
      <c r="N896" s="59">
        <f>Datasheet!N270</f>
        <v>1209</v>
      </c>
      <c r="O896" s="59">
        <f>Datasheet!O270</f>
        <v>1248</v>
      </c>
      <c r="P896" s="59">
        <f>Datasheet!P270</f>
        <v>1172</v>
      </c>
      <c r="Q896" s="59">
        <f>Datasheet!Q270</f>
        <v>1217</v>
      </c>
      <c r="R896" s="59">
        <f>Datasheet!R270</f>
        <v>1267</v>
      </c>
      <c r="S896" s="59">
        <f>Datasheet!S270</f>
        <v>1307</v>
      </c>
      <c r="T896" s="59">
        <f>Datasheet!T270</f>
        <v>1324</v>
      </c>
      <c r="U896" s="59">
        <f>Datasheet!U270</f>
        <v>1441</v>
      </c>
      <c r="V896" s="59">
        <f>Datasheet!V270</f>
        <v>1329</v>
      </c>
      <c r="W896" s="59">
        <f>Datasheet!W270</f>
        <v>1446</v>
      </c>
      <c r="X896" s="59">
        <f>Datasheet!X270</f>
        <v>1648</v>
      </c>
      <c r="Y896" s="59">
        <f>Datasheet!Y270</f>
        <v>1708</v>
      </c>
      <c r="Z896" s="59">
        <f>Datasheet!Z270</f>
        <v>1623</v>
      </c>
      <c r="AA896" s="59">
        <f>Datasheet!AA270</f>
        <v>1432</v>
      </c>
      <c r="AB896" s="59">
        <f>Datasheet!AB270</f>
        <v>1586</v>
      </c>
      <c r="AC896" s="59">
        <f>Datasheet!AC270</f>
        <v>0</v>
      </c>
      <c r="AD896" s="59">
        <f>Datasheet!AD270</f>
        <v>0</v>
      </c>
      <c r="AE896" s="59">
        <f>Datasheet!AE270</f>
        <v>0</v>
      </c>
      <c r="AF896" s="59">
        <f>Datasheet!AF270</f>
        <v>0</v>
      </c>
      <c r="AG896" s="59">
        <f>Datasheet!AG270</f>
        <v>0</v>
      </c>
      <c r="AH896" s="59">
        <f>Datasheet!AH270</f>
        <v>0</v>
      </c>
      <c r="AI896" s="59">
        <f>Datasheet!AI270</f>
        <v>0</v>
      </c>
      <c r="AJ896" s="59">
        <f>Datasheet!AJ270</f>
        <v>0</v>
      </c>
      <c r="AK896" s="59">
        <f>Datasheet!AK270</f>
        <v>0</v>
      </c>
    </row>
    <row r="897" spans="1:37" x14ac:dyDescent="0.25">
      <c r="B897" s="44"/>
      <c r="C897" s="59" t="str">
        <f>Datasheet!G271</f>
        <v>Accommodation and food services</v>
      </c>
      <c r="D897" s="39"/>
      <c r="E897" s="4"/>
      <c r="F897" s="59"/>
      <c r="G897" s="39"/>
      <c r="H897" s="59" t="s">
        <v>274</v>
      </c>
      <c r="I897" s="59">
        <f>Datasheet!I271</f>
        <v>5431</v>
      </c>
      <c r="J897" s="59">
        <f>Datasheet!J271</f>
        <v>5635</v>
      </c>
      <c r="K897" s="59">
        <f>Datasheet!K271</f>
        <v>5865</v>
      </c>
      <c r="L897" s="59">
        <f>Datasheet!L271</f>
        <v>5971</v>
      </c>
      <c r="M897" s="59">
        <f>Datasheet!M271</f>
        <v>6163</v>
      </c>
      <c r="N897" s="59">
        <f>Datasheet!N271</f>
        <v>6310</v>
      </c>
      <c r="O897" s="59">
        <f>Datasheet!O271</f>
        <v>6613</v>
      </c>
      <c r="P897" s="59">
        <f>Datasheet!P271</f>
        <v>6110</v>
      </c>
      <c r="Q897" s="59">
        <f>Datasheet!Q271</f>
        <v>6252</v>
      </c>
      <c r="R897" s="59">
        <f>Datasheet!R271</f>
        <v>6264</v>
      </c>
      <c r="S897" s="59">
        <f>Datasheet!S271</f>
        <v>6446</v>
      </c>
      <c r="T897" s="59">
        <f>Datasheet!T271</f>
        <v>6540</v>
      </c>
      <c r="U897" s="59">
        <f>Datasheet!U271</f>
        <v>6813</v>
      </c>
      <c r="V897" s="59">
        <f>Datasheet!V271</f>
        <v>7091</v>
      </c>
      <c r="W897" s="59">
        <f>Datasheet!W271</f>
        <v>7328</v>
      </c>
      <c r="X897" s="59">
        <f>Datasheet!X271</f>
        <v>7528</v>
      </c>
      <c r="Y897" s="59">
        <f>Datasheet!Y271</f>
        <v>7569</v>
      </c>
      <c r="Z897" s="59">
        <f>Datasheet!Z271</f>
        <v>7741</v>
      </c>
      <c r="AA897" s="59">
        <f>Datasheet!AA271</f>
        <v>5976</v>
      </c>
      <c r="AB897" s="59">
        <f>Datasheet!AB271</f>
        <v>6956</v>
      </c>
      <c r="AC897" s="59">
        <f>Datasheet!AC271</f>
        <v>0</v>
      </c>
      <c r="AD897" s="59">
        <f>Datasheet!AD271</f>
        <v>0</v>
      </c>
      <c r="AE897" s="59">
        <f>Datasheet!AE271</f>
        <v>0</v>
      </c>
      <c r="AF897" s="59">
        <f>Datasheet!AF271</f>
        <v>0</v>
      </c>
      <c r="AG897" s="59">
        <f>Datasheet!AG271</f>
        <v>0</v>
      </c>
      <c r="AH897" s="59">
        <f>Datasheet!AH271</f>
        <v>0</v>
      </c>
      <c r="AI897" s="59">
        <f>Datasheet!AI271</f>
        <v>0</v>
      </c>
      <c r="AJ897" s="59">
        <f>Datasheet!AJ271</f>
        <v>0</v>
      </c>
      <c r="AK897" s="59">
        <f>Datasheet!AK271</f>
        <v>0</v>
      </c>
    </row>
    <row r="898" spans="1:37" x14ac:dyDescent="0.25">
      <c r="B898" s="44"/>
      <c r="C898" s="59" t="str">
        <f>Datasheet!G272</f>
        <v>Other services, except public administration</v>
      </c>
      <c r="D898" s="39"/>
      <c r="E898" s="4"/>
      <c r="F898" s="59"/>
      <c r="G898" s="39"/>
      <c r="H898" s="59" t="s">
        <v>274</v>
      </c>
      <c r="I898" s="59">
        <f>Datasheet!I272</f>
        <v>1108</v>
      </c>
      <c r="J898" s="59">
        <f>Datasheet!J272</f>
        <v>1122</v>
      </c>
      <c r="K898" s="59">
        <f>Datasheet!K272</f>
        <v>1152</v>
      </c>
      <c r="L898" s="59">
        <f>Datasheet!L272</f>
        <v>1205</v>
      </c>
      <c r="M898" s="59">
        <f>Datasheet!M272</f>
        <v>1228</v>
      </c>
      <c r="N898" s="59">
        <f>Datasheet!N272</f>
        <v>1271</v>
      </c>
      <c r="O898" s="59">
        <f>Datasheet!O272</f>
        <v>1215</v>
      </c>
      <c r="P898" s="59">
        <f>Datasheet!P272</f>
        <v>1132</v>
      </c>
      <c r="Q898" s="59">
        <f>Datasheet!Q272</f>
        <v>1068</v>
      </c>
      <c r="R898" s="59">
        <f>Datasheet!R272</f>
        <v>1110</v>
      </c>
      <c r="S898" s="59">
        <f>Datasheet!S272</f>
        <v>1191</v>
      </c>
      <c r="T898" s="59">
        <f>Datasheet!T272</f>
        <v>1247</v>
      </c>
      <c r="U898" s="59">
        <f>Datasheet!U272</f>
        <v>1240</v>
      </c>
      <c r="V898" s="59">
        <f>Datasheet!V272</f>
        <v>1285</v>
      </c>
      <c r="W898" s="59">
        <f>Datasheet!W272</f>
        <v>1298</v>
      </c>
      <c r="X898" s="59">
        <f>Datasheet!X272</f>
        <v>1345</v>
      </c>
      <c r="Y898" s="59">
        <f>Datasheet!Y272</f>
        <v>1414</v>
      </c>
      <c r="Z898" s="59">
        <f>Datasheet!Z272</f>
        <v>1384</v>
      </c>
      <c r="AA898" s="59">
        <f>Datasheet!AA272</f>
        <v>1287</v>
      </c>
      <c r="AB898" s="59">
        <f>Datasheet!AB272</f>
        <v>1335</v>
      </c>
      <c r="AC898" s="59">
        <f>Datasheet!AC272</f>
        <v>0</v>
      </c>
      <c r="AD898" s="59">
        <f>Datasheet!AD272</f>
        <v>0</v>
      </c>
      <c r="AE898" s="59">
        <f>Datasheet!AE272</f>
        <v>0</v>
      </c>
      <c r="AF898" s="59">
        <f>Datasheet!AF272</f>
        <v>0</v>
      </c>
      <c r="AG898" s="59">
        <f>Datasheet!AG272</f>
        <v>0</v>
      </c>
      <c r="AH898" s="59">
        <f>Datasheet!AH272</f>
        <v>0</v>
      </c>
      <c r="AI898" s="59">
        <f>Datasheet!AI272</f>
        <v>0</v>
      </c>
      <c r="AJ898" s="59">
        <f>Datasheet!AJ272</f>
        <v>0</v>
      </c>
      <c r="AK898" s="59">
        <f>Datasheet!AK272</f>
        <v>0</v>
      </c>
    </row>
    <row r="899" spans="1:37" x14ac:dyDescent="0.25">
      <c r="B899" s="44"/>
      <c r="C899" s="59" t="str">
        <f>Datasheet!F273</f>
        <v>Government and government enterprises</v>
      </c>
      <c r="D899" s="39"/>
      <c r="E899" s="4"/>
      <c r="F899" s="39"/>
      <c r="G899" s="59"/>
      <c r="H899" s="59" t="s">
        <v>274</v>
      </c>
      <c r="I899" s="59">
        <f>Datasheet!I273</f>
        <v>2170</v>
      </c>
      <c r="J899" s="59">
        <f>Datasheet!J273</f>
        <v>2224</v>
      </c>
      <c r="K899" s="59">
        <f>Datasheet!K273</f>
        <v>2220</v>
      </c>
      <c r="L899" s="59">
        <f>Datasheet!L273</f>
        <v>2267</v>
      </c>
      <c r="M899" s="59">
        <f>Datasheet!M273</f>
        <v>2299</v>
      </c>
      <c r="N899" s="59">
        <f>Datasheet!N273</f>
        <v>2269</v>
      </c>
      <c r="O899" s="59">
        <f>Datasheet!O273</f>
        <v>2283</v>
      </c>
      <c r="P899" s="59">
        <f>Datasheet!P273</f>
        <v>2356</v>
      </c>
      <c r="Q899" s="59">
        <f>Datasheet!Q273</f>
        <v>2386</v>
      </c>
      <c r="R899" s="59">
        <f>Datasheet!R273</f>
        <v>2394</v>
      </c>
      <c r="S899" s="59">
        <f>Datasheet!S273</f>
        <v>2397</v>
      </c>
      <c r="T899" s="59">
        <f>Datasheet!T273</f>
        <v>2415</v>
      </c>
      <c r="U899" s="59">
        <f>Datasheet!U273</f>
        <v>2474</v>
      </c>
      <c r="V899" s="59">
        <f>Datasheet!V273</f>
        <v>2522</v>
      </c>
      <c r="W899" s="59">
        <f>Datasheet!W273</f>
        <v>2599</v>
      </c>
      <c r="X899" s="59">
        <f>Datasheet!X273</f>
        <v>2647</v>
      </c>
      <c r="Y899" s="59">
        <f>Datasheet!Y273</f>
        <v>2623</v>
      </c>
      <c r="Z899" s="59">
        <f>Datasheet!Z273</f>
        <v>2697</v>
      </c>
      <c r="AA899" s="59">
        <f>Datasheet!AA273</f>
        <v>2661</v>
      </c>
      <c r="AB899" s="59">
        <f>Datasheet!AB273</f>
        <v>2751</v>
      </c>
      <c r="AC899" s="59">
        <f>Datasheet!AC273</f>
        <v>0</v>
      </c>
      <c r="AD899" s="59">
        <f>Datasheet!AD273</f>
        <v>0</v>
      </c>
      <c r="AE899" s="59">
        <f>Datasheet!AE273</f>
        <v>0</v>
      </c>
      <c r="AF899" s="59">
        <f>Datasheet!AF273</f>
        <v>0</v>
      </c>
      <c r="AG899" s="59">
        <f>Datasheet!AG273</f>
        <v>0</v>
      </c>
      <c r="AH899" s="59">
        <f>Datasheet!AH273</f>
        <v>0</v>
      </c>
      <c r="AI899" s="59">
        <f>Datasheet!AI273</f>
        <v>0</v>
      </c>
      <c r="AJ899" s="59">
        <f>Datasheet!AJ273</f>
        <v>0</v>
      </c>
      <c r="AK899" s="59">
        <f>Datasheet!AK273</f>
        <v>0</v>
      </c>
    </row>
    <row r="900" spans="1:37" s="64" customFormat="1" x14ac:dyDescent="0.25"/>
    <row r="901" spans="1:37" s="70" customFormat="1" ht="17.25" x14ac:dyDescent="0.3">
      <c r="A901" s="70" t="s">
        <v>545</v>
      </c>
    </row>
    <row r="902" spans="1:37" x14ac:dyDescent="0.25">
      <c r="B902" s="29" t="s">
        <v>877</v>
      </c>
      <c r="C902" t="s">
        <v>754</v>
      </c>
    </row>
    <row r="903" spans="1:37" x14ac:dyDescent="0.25">
      <c r="B903" s="29" t="s">
        <v>879</v>
      </c>
      <c r="C903" t="s">
        <v>1273</v>
      </c>
    </row>
    <row r="904" spans="1:37" x14ac:dyDescent="0.25">
      <c r="B904" s="29" t="s">
        <v>881</v>
      </c>
      <c r="C904" t="s">
        <v>1274</v>
      </c>
    </row>
    <row r="905" spans="1:37" x14ac:dyDescent="0.25">
      <c r="B905" s="29" t="s">
        <v>883</v>
      </c>
      <c r="C905" s="263" t="s">
        <v>1275</v>
      </c>
    </row>
    <row r="906" spans="1:37" x14ac:dyDescent="0.25">
      <c r="B906" s="29" t="s">
        <v>885</v>
      </c>
      <c r="C906" t="s">
        <v>1276</v>
      </c>
    </row>
    <row r="907" spans="1:37" x14ac:dyDescent="0.25">
      <c r="B907" s="29" t="s">
        <v>886</v>
      </c>
      <c r="C907" t="s">
        <v>1277</v>
      </c>
    </row>
    <row r="908" spans="1:37" x14ac:dyDescent="0.25">
      <c r="B908" s="29" t="s">
        <v>887</v>
      </c>
      <c r="C908" t="s">
        <v>1277</v>
      </c>
    </row>
    <row r="909" spans="1:37" s="88" customFormat="1" ht="15.75" thickBot="1" x14ac:dyDescent="0.3">
      <c r="B909" s="95" t="s">
        <v>19</v>
      </c>
      <c r="C909" s="88" t="s">
        <v>1277</v>
      </c>
    </row>
    <row r="910" spans="1:37" s="4" customFormat="1" ht="15.75" thickTop="1" x14ac:dyDescent="0.25">
      <c r="B910" s="44" t="s">
        <v>21</v>
      </c>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row>
    <row r="911" spans="1:37" s="64" customFormat="1" x14ac:dyDescent="0.25"/>
    <row r="912" spans="1:37" s="70" customFormat="1" ht="17.25" x14ac:dyDescent="0.3">
      <c r="A912" s="70" t="s">
        <v>563</v>
      </c>
    </row>
    <row r="913" spans="2:37" x14ac:dyDescent="0.25">
      <c r="B913" s="29" t="s">
        <v>877</v>
      </c>
      <c r="C913" t="s">
        <v>754</v>
      </c>
    </row>
    <row r="914" spans="2:37" x14ac:dyDescent="0.25">
      <c r="B914" s="29" t="s">
        <v>879</v>
      </c>
      <c r="C914" t="s">
        <v>1278</v>
      </c>
    </row>
    <row r="915" spans="2:37" x14ac:dyDescent="0.25">
      <c r="B915" s="29" t="s">
        <v>881</v>
      </c>
      <c r="C915" t="s">
        <v>1279</v>
      </c>
    </row>
    <row r="916" spans="2:37" x14ac:dyDescent="0.25">
      <c r="B916" s="29" t="s">
        <v>883</v>
      </c>
      <c r="C916" s="263" t="s">
        <v>563</v>
      </c>
    </row>
    <row r="917" spans="2:37" x14ac:dyDescent="0.25">
      <c r="B917" s="29"/>
      <c r="C917" s="263" t="s">
        <v>1280</v>
      </c>
    </row>
    <row r="918" spans="2:37" x14ac:dyDescent="0.25">
      <c r="B918" s="29" t="s">
        <v>885</v>
      </c>
      <c r="C918" t="s">
        <v>1281</v>
      </c>
    </row>
    <row r="919" spans="2:37" x14ac:dyDescent="0.25">
      <c r="B919" s="29" t="s">
        <v>886</v>
      </c>
      <c r="C919" t="s">
        <v>1282</v>
      </c>
    </row>
    <row r="920" spans="2:37" x14ac:dyDescent="0.25">
      <c r="B920" s="29" t="s">
        <v>887</v>
      </c>
      <c r="C920" t="s">
        <v>1283</v>
      </c>
    </row>
    <row r="921" spans="2:37" x14ac:dyDescent="0.25">
      <c r="B921" s="29" t="s">
        <v>19</v>
      </c>
      <c r="C921" t="s">
        <v>1284</v>
      </c>
    </row>
    <row r="922" spans="2:37" s="88" customFormat="1" ht="15.75" thickBot="1" x14ac:dyDescent="0.3">
      <c r="B922" s="95"/>
      <c r="C922" s="88" t="s">
        <v>1285</v>
      </c>
    </row>
    <row r="923" spans="2:37" s="4" customFormat="1" ht="15.75" thickTop="1" x14ac:dyDescent="0.25">
      <c r="B923" s="44"/>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row>
    <row r="924" spans="2:37" s="4" customFormat="1" x14ac:dyDescent="0.25">
      <c r="B924" s="44"/>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row>
    <row r="925" spans="2:37" s="4" customFormat="1" x14ac:dyDescent="0.25">
      <c r="B925" s="44"/>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row>
    <row r="926" spans="2:37" s="4" customFormat="1" x14ac:dyDescent="0.25">
      <c r="B926" s="44"/>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row>
    <row r="927" spans="2:37" s="4" customFormat="1" x14ac:dyDescent="0.25">
      <c r="B927" s="44"/>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row>
    <row r="928" spans="2:37" s="4" customFormat="1" x14ac:dyDescent="0.25">
      <c r="B928" s="44"/>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row>
    <row r="929" spans="2:37" s="4" customFormat="1" x14ac:dyDescent="0.25">
      <c r="B929" s="44"/>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row>
    <row r="930" spans="2:37" s="4" customFormat="1" x14ac:dyDescent="0.25">
      <c r="B930" s="44"/>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row>
    <row r="931" spans="2:37" s="4" customFormat="1" x14ac:dyDescent="0.25">
      <c r="B931" s="44"/>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row>
    <row r="932" spans="2:37" s="4" customFormat="1" x14ac:dyDescent="0.25">
      <c r="B932" s="44"/>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row>
    <row r="933" spans="2:37" s="4" customFormat="1" x14ac:dyDescent="0.25">
      <c r="B933" s="44"/>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row>
    <row r="934" spans="2:37" s="4" customFormat="1" x14ac:dyDescent="0.25">
      <c r="B934" s="44"/>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row>
    <row r="935" spans="2:37" s="4" customFormat="1" x14ac:dyDescent="0.25">
      <c r="B935" s="44"/>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row>
    <row r="936" spans="2:37" s="4" customFormat="1" x14ac:dyDescent="0.25">
      <c r="B936" s="44"/>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row>
    <row r="937" spans="2:37" s="4" customFormat="1" x14ac:dyDescent="0.25">
      <c r="B937" s="44"/>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row>
    <row r="938" spans="2:37" s="4" customFormat="1" x14ac:dyDescent="0.25">
      <c r="B938" s="44" t="s">
        <v>21</v>
      </c>
      <c r="C938" s="4" t="s">
        <v>1286</v>
      </c>
      <c r="H938" s="4" t="s">
        <v>1287</v>
      </c>
      <c r="I938" s="69">
        <f>Datasheet!I1256</f>
        <v>337450</v>
      </c>
      <c r="J938" s="69">
        <f>Datasheet!J1256</f>
        <v>363180</v>
      </c>
      <c r="K938" s="69">
        <f>Datasheet!K1256</f>
        <v>437923</v>
      </c>
      <c r="L938" s="69">
        <f>Datasheet!L1256</f>
        <v>530642</v>
      </c>
      <c r="M938" s="69">
        <f>Datasheet!M1256</f>
        <v>625874</v>
      </c>
      <c r="N938" s="69">
        <f>Datasheet!N1256</f>
        <v>712562</v>
      </c>
      <c r="O938" s="69">
        <f>Datasheet!O1256</f>
        <v>880898</v>
      </c>
      <c r="P938" s="69">
        <f>Datasheet!P1256</f>
        <v>817327</v>
      </c>
      <c r="Q938" s="69">
        <f>Datasheet!Q1256</f>
        <v>803942</v>
      </c>
      <c r="R938" s="69">
        <f>Datasheet!R1256</f>
        <v>838150</v>
      </c>
      <c r="S938" s="69">
        <f>Datasheet!S1256</f>
        <v>878833</v>
      </c>
      <c r="T938" s="69">
        <f>Datasheet!T1256</f>
        <v>905794</v>
      </c>
      <c r="U938" s="69">
        <f>Datasheet!U1256</f>
        <v>982131</v>
      </c>
      <c r="V938" s="69">
        <f>Datasheet!V1256</f>
        <v>936245</v>
      </c>
      <c r="W938" s="69">
        <f>Datasheet!W1256</f>
        <v>981599</v>
      </c>
      <c r="X938" s="69">
        <f>Datasheet!X1256</f>
        <v>1019392</v>
      </c>
      <c r="Y938" s="69">
        <f>Datasheet!Y1256</f>
        <v>1071736</v>
      </c>
      <c r="Z938" s="69">
        <f>Datasheet!Z1256</f>
        <v>1098706</v>
      </c>
      <c r="AA938" s="69">
        <f>Datasheet!AA1256</f>
        <v>589568</v>
      </c>
      <c r="AB938" s="69">
        <f>Datasheet!AB1256</f>
        <v>516512</v>
      </c>
      <c r="AC938" s="69">
        <f>Datasheet!AC1256</f>
        <v>758100</v>
      </c>
      <c r="AD938" s="69">
        <f>Datasheet!AD1256</f>
        <v>0</v>
      </c>
      <c r="AE938" s="69">
        <f>Datasheet!AE1256</f>
        <v>0</v>
      </c>
      <c r="AF938" s="69">
        <f>Datasheet!AF1256</f>
        <v>0</v>
      </c>
      <c r="AG938" s="69">
        <f>Datasheet!AG1256</f>
        <v>0</v>
      </c>
      <c r="AH938" s="69">
        <f>Datasheet!AH1256</f>
        <v>0</v>
      </c>
      <c r="AI938" s="69">
        <f>Datasheet!AI1256</f>
        <v>0</v>
      </c>
      <c r="AJ938" s="69">
        <f>Datasheet!AJ1256</f>
        <v>0</v>
      </c>
      <c r="AK938" s="69">
        <f>Datasheet!AK1256</f>
        <v>0</v>
      </c>
    </row>
    <row r="939" spans="2:37" s="4" customFormat="1" x14ac:dyDescent="0.25">
      <c r="B939" s="44"/>
      <c r="D939" s="4" t="s">
        <v>1288</v>
      </c>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row>
    <row r="940" spans="2:37" s="4" customFormat="1" x14ac:dyDescent="0.25">
      <c r="B940" s="44"/>
      <c r="E940" s="4" t="s">
        <v>1232</v>
      </c>
      <c r="H940" s="4" t="s">
        <v>1289</v>
      </c>
      <c r="I940" s="97"/>
      <c r="J940" s="97"/>
      <c r="K940" s="97"/>
      <c r="L940" s="97"/>
      <c r="M940" s="97"/>
      <c r="N940" s="97"/>
      <c r="O940" s="97"/>
      <c r="P940" s="97"/>
      <c r="Q940" s="97">
        <f>AVERAGE(Q948:Q951)</f>
        <v>1.0202945402380399</v>
      </c>
      <c r="R940" s="97">
        <f t="shared" ref="R940:AK940" si="170">AVERAGE(R948:R951)</f>
        <v>1.1116049215208927</v>
      </c>
      <c r="S940" s="97">
        <f t="shared" si="170"/>
        <v>1.1489745394232898</v>
      </c>
      <c r="T940" s="97">
        <f t="shared" si="170"/>
        <v>1.1364019561932848</v>
      </c>
      <c r="U940" s="97">
        <f t="shared" si="170"/>
        <v>1.232781007404486</v>
      </c>
      <c r="V940" s="97">
        <f t="shared" si="170"/>
        <v>1.1578751123355664</v>
      </c>
      <c r="W940" s="97">
        <f t="shared" si="170"/>
        <v>1.2355326788843728</v>
      </c>
      <c r="X940" s="97">
        <f t="shared" si="170"/>
        <v>1.2780185037992484</v>
      </c>
      <c r="Y940" s="97">
        <f t="shared" si="170"/>
        <v>1.3356855220615695</v>
      </c>
      <c r="Z940" s="97">
        <f t="shared" si="170"/>
        <v>1.372939637253727</v>
      </c>
      <c r="AA940" s="97">
        <f t="shared" si="170"/>
        <v>0.43250350455037656</v>
      </c>
      <c r="AB940" s="97">
        <f t="shared" si="170"/>
        <v>0.60245231945651168</v>
      </c>
      <c r="AC940" s="97">
        <f t="shared" si="170"/>
        <v>0.94869438319671118</v>
      </c>
      <c r="AD940" s="97" t="e">
        <f t="shared" si="170"/>
        <v>#DIV/0!</v>
      </c>
      <c r="AE940" s="97" t="e">
        <f t="shared" si="170"/>
        <v>#DIV/0!</v>
      </c>
      <c r="AF940" s="97" t="e">
        <f t="shared" si="170"/>
        <v>#DIV/0!</v>
      </c>
      <c r="AG940" s="97" t="e">
        <f t="shared" si="170"/>
        <v>#DIV/0!</v>
      </c>
      <c r="AH940" s="97" t="e">
        <f t="shared" si="170"/>
        <v>#DIV/0!</v>
      </c>
      <c r="AI940" s="97" t="e">
        <f t="shared" si="170"/>
        <v>#DIV/0!</v>
      </c>
      <c r="AJ940" s="97" t="e">
        <f t="shared" si="170"/>
        <v>#DIV/0!</v>
      </c>
      <c r="AK940" s="97" t="e">
        <f t="shared" si="170"/>
        <v>#DIV/0!</v>
      </c>
    </row>
    <row r="941" spans="2:37" s="4" customFormat="1" x14ac:dyDescent="0.25">
      <c r="B941" s="44"/>
      <c r="E941" s="4" t="s">
        <v>1233</v>
      </c>
      <c r="H941" s="4" t="s">
        <v>1289</v>
      </c>
      <c r="I941" s="97"/>
      <c r="J941" s="97"/>
      <c r="K941" s="97"/>
      <c r="L941" s="97"/>
      <c r="M941" s="97"/>
      <c r="N941" s="97"/>
      <c r="O941" s="97"/>
      <c r="P941" s="97"/>
      <c r="Q941" s="97">
        <f>AVERAGE(Q943:Q945,Q954)</f>
        <v>3.224531159173301</v>
      </c>
      <c r="R941" s="97">
        <f t="shared" ref="R941:AK941" si="171">AVERAGE(R943:R945,Q954)</f>
        <v>3.3746759133707958</v>
      </c>
      <c r="S941" s="97">
        <f t="shared" si="171"/>
        <v>3.2947084771739563</v>
      </c>
      <c r="T941" s="97">
        <f t="shared" si="171"/>
        <v>3.3950547649191383</v>
      </c>
      <c r="U941" s="97">
        <f t="shared" si="171"/>
        <v>3.4835125771875655</v>
      </c>
      <c r="V941" s="97">
        <f t="shared" si="171"/>
        <v>3.4060938913114205</v>
      </c>
      <c r="W941" s="97">
        <f t="shared" si="171"/>
        <v>3.3906656593798443</v>
      </c>
      <c r="X941" s="97">
        <f t="shared" si="171"/>
        <v>3.3051546124513633</v>
      </c>
      <c r="Y941" s="97">
        <f t="shared" si="171"/>
        <v>3.4664410897565388</v>
      </c>
      <c r="Z941" s="97">
        <f t="shared" si="171"/>
        <v>3.5581236124874738</v>
      </c>
      <c r="AA941" s="97">
        <f t="shared" si="171"/>
        <v>3.0662913785966008</v>
      </c>
      <c r="AB941" s="97">
        <f t="shared" si="171"/>
        <v>1.4696974127656317</v>
      </c>
      <c r="AC941" s="97">
        <f t="shared" si="171"/>
        <v>2.0919094409280796</v>
      </c>
      <c r="AD941" s="97" t="e">
        <f t="shared" si="171"/>
        <v>#DIV/0!</v>
      </c>
      <c r="AE941" s="97" t="e">
        <f t="shared" si="171"/>
        <v>#DIV/0!</v>
      </c>
      <c r="AF941" s="97" t="e">
        <f t="shared" si="171"/>
        <v>#DIV/0!</v>
      </c>
      <c r="AG941" s="97" t="e">
        <f t="shared" si="171"/>
        <v>#DIV/0!</v>
      </c>
      <c r="AH941" s="97" t="e">
        <f t="shared" si="171"/>
        <v>#DIV/0!</v>
      </c>
      <c r="AI941" s="97" t="e">
        <f t="shared" si="171"/>
        <v>#DIV/0!</v>
      </c>
      <c r="AJ941" s="97" t="e">
        <f t="shared" si="171"/>
        <v>#DIV/0!</v>
      </c>
      <c r="AK941" s="97" t="e">
        <f t="shared" si="171"/>
        <v>#DIV/0!</v>
      </c>
    </row>
    <row r="942" spans="2:37" s="4" customFormat="1" x14ac:dyDescent="0.25">
      <c r="B942" s="44"/>
      <c r="E942" s="4" t="s">
        <v>1234</v>
      </c>
      <c r="H942" s="4" t="s">
        <v>1289</v>
      </c>
      <c r="I942" s="97"/>
      <c r="J942" s="97"/>
      <c r="K942" s="97"/>
      <c r="L942" s="97"/>
      <c r="M942" s="97"/>
      <c r="N942" s="97"/>
      <c r="O942" s="97"/>
      <c r="P942" s="97"/>
      <c r="Q942" s="97">
        <f>AVERAGE(Q946:Q947,Q952:Q953)</f>
        <v>1.1406268398249773</v>
      </c>
      <c r="R942" s="97">
        <f t="shared" ref="R942:AK942" si="172">AVERAGE(R946:R947,R952:R953)</f>
        <v>1.2173299434529858</v>
      </c>
      <c r="S942" s="97">
        <f t="shared" si="172"/>
        <v>1.2295372209920514</v>
      </c>
      <c r="T942" s="97">
        <f t="shared" si="172"/>
        <v>1.2008882325069616</v>
      </c>
      <c r="U942" s="97">
        <f t="shared" si="172"/>
        <v>1.2089321586228865</v>
      </c>
      <c r="V942" s="97">
        <f t="shared" si="172"/>
        <v>1.0608867724750186</v>
      </c>
      <c r="W942" s="97">
        <f t="shared" si="172"/>
        <v>1.092555267462179</v>
      </c>
      <c r="X942" s="97">
        <f t="shared" si="172"/>
        <v>1.2499339797963336</v>
      </c>
      <c r="Y942" s="97">
        <f t="shared" si="172"/>
        <v>1.2898261690685577</v>
      </c>
      <c r="Z942" s="97">
        <f t="shared" si="172"/>
        <v>1.4744683356586277</v>
      </c>
      <c r="AA942" s="97">
        <f t="shared" si="172"/>
        <v>0.41842504959615345</v>
      </c>
      <c r="AB942" s="97">
        <f t="shared" si="172"/>
        <v>0.67216971153834792</v>
      </c>
      <c r="AC942" s="97">
        <f t="shared" si="172"/>
        <v>0.99216313138656764</v>
      </c>
      <c r="AD942" s="97" t="e">
        <f t="shared" si="172"/>
        <v>#DIV/0!</v>
      </c>
      <c r="AE942" s="97" t="e">
        <f t="shared" si="172"/>
        <v>#DIV/0!</v>
      </c>
      <c r="AF942" s="97" t="e">
        <f t="shared" si="172"/>
        <v>#DIV/0!</v>
      </c>
      <c r="AG942" s="97" t="e">
        <f t="shared" si="172"/>
        <v>#DIV/0!</v>
      </c>
      <c r="AH942" s="97" t="e">
        <f t="shared" si="172"/>
        <v>#DIV/0!</v>
      </c>
      <c r="AI942" s="97" t="e">
        <f t="shared" si="172"/>
        <v>#DIV/0!</v>
      </c>
      <c r="AJ942" s="97" t="e">
        <f t="shared" si="172"/>
        <v>#DIV/0!</v>
      </c>
      <c r="AK942" s="97" t="e">
        <f t="shared" si="172"/>
        <v>#DIV/0!</v>
      </c>
    </row>
    <row r="943" spans="2:37" s="4" customFormat="1" x14ac:dyDescent="0.25">
      <c r="B943" s="44"/>
      <c r="F943" s="4" t="s">
        <v>244</v>
      </c>
      <c r="H943" s="4" t="s">
        <v>1289</v>
      </c>
      <c r="I943" s="97"/>
      <c r="J943" s="97"/>
      <c r="K943" s="97"/>
      <c r="L943" s="97"/>
      <c r="M943" s="97"/>
      <c r="N943" s="97"/>
      <c r="O943" s="97"/>
      <c r="P943" s="97"/>
      <c r="Q943" s="97">
        <f>Datasheet!Q1257/Q675</f>
        <v>3.3293745043012413</v>
      </c>
      <c r="R943" s="97">
        <f>Datasheet!R1257/R675</f>
        <v>3.4802716162361418</v>
      </c>
      <c r="S943" s="97">
        <f>Datasheet!S1257/S675</f>
        <v>3.5721989054287655</v>
      </c>
      <c r="T943" s="97">
        <f>Datasheet!T1257/T675</f>
        <v>3.6851251961691696</v>
      </c>
      <c r="U943" s="97">
        <f>Datasheet!U1257/U675</f>
        <v>3.707634098885177</v>
      </c>
      <c r="V943" s="97">
        <f>Datasheet!V1257/V675</f>
        <v>3.759003150733581</v>
      </c>
      <c r="W943" s="97">
        <f>Datasheet!W1257/W675</f>
        <v>3.585646888657918</v>
      </c>
      <c r="X943" s="97">
        <f>Datasheet!X1257/X675</f>
        <v>3.4987066296926423</v>
      </c>
      <c r="Y943" s="97">
        <f>Datasheet!Y1257/Y675</f>
        <v>3.7161851991700967</v>
      </c>
      <c r="Z943" s="97">
        <f>Datasheet!Z1257/Z675</f>
        <v>3.8568099843001939</v>
      </c>
      <c r="AA943" s="97">
        <f>Datasheet!AA1257/AA675</f>
        <v>3.4981174611593429</v>
      </c>
      <c r="AB943" s="97">
        <f>Datasheet!AB1257/AB675</f>
        <v>1.6056819852127158</v>
      </c>
      <c r="AC943" s="97">
        <f>Datasheet!AC1257/AC675</f>
        <v>2.2234530475949295</v>
      </c>
      <c r="AD943" s="97" t="e">
        <f>Datasheet!AD1257/AD675</f>
        <v>#DIV/0!</v>
      </c>
      <c r="AE943" s="97" t="e">
        <f>Datasheet!AE1257/AE675</f>
        <v>#DIV/0!</v>
      </c>
      <c r="AF943" s="97" t="e">
        <f>Datasheet!AF1257/AF675</f>
        <v>#DIV/0!</v>
      </c>
      <c r="AG943" s="97" t="e">
        <f>Datasheet!AG1257/AG675</f>
        <v>#DIV/0!</v>
      </c>
      <c r="AH943" s="97" t="e">
        <f>Datasheet!AH1257/AH675</f>
        <v>#DIV/0!</v>
      </c>
      <c r="AI943" s="97" t="e">
        <f>Datasheet!AI1257/AI675</f>
        <v>#DIV/0!</v>
      </c>
      <c r="AJ943" s="97" t="e">
        <f>Datasheet!AJ1257/AJ675</f>
        <v>#DIV/0!</v>
      </c>
      <c r="AK943" s="97" t="e">
        <f>Datasheet!AK1257/AK675</f>
        <v>#DIV/0!</v>
      </c>
    </row>
    <row r="944" spans="2:37" s="4" customFormat="1" x14ac:dyDescent="0.25">
      <c r="B944" s="44"/>
      <c r="F944" s="4" t="s">
        <v>245</v>
      </c>
      <c r="H944" s="4" t="s">
        <v>1289</v>
      </c>
      <c r="I944" s="97"/>
      <c r="J944" s="97"/>
      <c r="K944" s="97"/>
      <c r="L944" s="97"/>
      <c r="M944" s="97"/>
      <c r="N944" s="97"/>
      <c r="O944" s="97"/>
      <c r="P944" s="97"/>
      <c r="Q944" s="97">
        <f>Datasheet!Q1258/Q676</f>
        <v>3.0981919218692471</v>
      </c>
      <c r="R944" s="97">
        <f>Datasheet!R1258/R676</f>
        <v>3.1464093693954927</v>
      </c>
      <c r="S944" s="97">
        <f>Datasheet!S1258/S676</f>
        <v>3.2062426884600548</v>
      </c>
      <c r="T944" s="97">
        <f>Datasheet!T1258/T676</f>
        <v>3.1868694719021198</v>
      </c>
      <c r="U944" s="97">
        <f>Datasheet!U1258/U676</f>
        <v>3.3637881712356061</v>
      </c>
      <c r="V944" s="97">
        <f>Datasheet!V1258/V676</f>
        <v>3.2368053038289144</v>
      </c>
      <c r="W944" s="97">
        <f>Datasheet!W1258/W676</f>
        <v>3.270687367070253</v>
      </c>
      <c r="X944" s="97">
        <f>Datasheet!X1258/X676</f>
        <v>2.9917670033525252</v>
      </c>
      <c r="Y944" s="97">
        <f>Datasheet!Y1258/Y676</f>
        <v>3.2857251479303415</v>
      </c>
      <c r="Z944" s="97">
        <f>Datasheet!Z1258/Z676</f>
        <v>3.4043428030352043</v>
      </c>
      <c r="AA944" s="97">
        <f>Datasheet!AA1258/AA676</f>
        <v>3.4062880104287565</v>
      </c>
      <c r="AB944" s="97">
        <f>Datasheet!AB1258/AB676</f>
        <v>1.406643590996044</v>
      </c>
      <c r="AC944" s="97">
        <f>Datasheet!AC1258/AC676</f>
        <v>2.0608479685393792</v>
      </c>
      <c r="AD944" s="97" t="e">
        <f>Datasheet!AD1258/AD676</f>
        <v>#DIV/0!</v>
      </c>
      <c r="AE944" s="97" t="e">
        <f>Datasheet!AE1258/AE676</f>
        <v>#DIV/0!</v>
      </c>
      <c r="AF944" s="97" t="e">
        <f>Datasheet!AF1258/AF676</f>
        <v>#DIV/0!</v>
      </c>
      <c r="AG944" s="97" t="e">
        <f>Datasheet!AG1258/AG676</f>
        <v>#DIV/0!</v>
      </c>
      <c r="AH944" s="97" t="e">
        <f>Datasheet!AH1258/AH676</f>
        <v>#DIV/0!</v>
      </c>
      <c r="AI944" s="97" t="e">
        <f>Datasheet!AI1258/AI676</f>
        <v>#DIV/0!</v>
      </c>
      <c r="AJ944" s="97" t="e">
        <f>Datasheet!AJ1258/AJ676</f>
        <v>#DIV/0!</v>
      </c>
      <c r="AK944" s="97" t="e">
        <f>Datasheet!AK1258/AK676</f>
        <v>#DIV/0!</v>
      </c>
    </row>
    <row r="945" spans="1:37" s="4" customFormat="1" x14ac:dyDescent="0.25">
      <c r="B945" s="44"/>
      <c r="F945" s="4" t="s">
        <v>246</v>
      </c>
      <c r="H945" s="4" t="s">
        <v>1289</v>
      </c>
      <c r="I945" s="97"/>
      <c r="J945" s="97"/>
      <c r="K945" s="97"/>
      <c r="L945" s="97"/>
      <c r="M945" s="97"/>
      <c r="N945" s="97"/>
      <c r="O945" s="97"/>
      <c r="P945" s="97"/>
      <c r="Q945" s="97">
        <f>Datasheet!Q1259/Q677</f>
        <v>3.0742292172002958</v>
      </c>
      <c r="R945" s="97">
        <f>Datasheet!R1259/R677</f>
        <v>3.4756936745291274</v>
      </c>
      <c r="S945" s="97">
        <f>Datasheet!S1259/S677</f>
        <v>3.2598319738808952</v>
      </c>
      <c r="T945" s="97">
        <f>Datasheet!T1259/T677</f>
        <v>3.3292649483162862</v>
      </c>
      <c r="U945" s="97">
        <f>Datasheet!U1259/U677</f>
        <v>3.3797340686401278</v>
      </c>
      <c r="V945" s="97">
        <f>Datasheet!V1259/V677</f>
        <v>3.1360558924272866</v>
      </c>
      <c r="W945" s="97">
        <f>Datasheet!W1259/W677</f>
        <v>3.2748966418353929</v>
      </c>
      <c r="X945" s="97">
        <f>Datasheet!X1259/X677</f>
        <v>3.2922640315896308</v>
      </c>
      <c r="Y945" s="97">
        <f>Datasheet!Y1259/Y677</f>
        <v>3.4088864195395776</v>
      </c>
      <c r="Z945" s="97">
        <f>Datasheet!Z1259/Z677</f>
        <v>3.5085850475949485</v>
      </c>
      <c r="AA945" s="97">
        <f>Datasheet!AA1259/AA677</f>
        <v>2.1767651818185008</v>
      </c>
      <c r="AB945" s="97">
        <f>Datasheet!AB1259/AB677</f>
        <v>1.4606745395279606</v>
      </c>
      <c r="AC945" s="97">
        <f>Datasheet!AC1259/AC677</f>
        <v>2.1510990187223871</v>
      </c>
      <c r="AD945" s="97" t="e">
        <f>Datasheet!AD1259/AD677</f>
        <v>#DIV/0!</v>
      </c>
      <c r="AE945" s="97" t="e">
        <f>Datasheet!AE1259/AE677</f>
        <v>#DIV/0!</v>
      </c>
      <c r="AF945" s="97" t="e">
        <f>Datasheet!AF1259/AF677</f>
        <v>#DIV/0!</v>
      </c>
      <c r="AG945" s="97" t="e">
        <f>Datasheet!AG1259/AG677</f>
        <v>#DIV/0!</v>
      </c>
      <c r="AH945" s="97" t="e">
        <f>Datasheet!AH1259/AH677</f>
        <v>#DIV/0!</v>
      </c>
      <c r="AI945" s="97" t="e">
        <f>Datasheet!AI1259/AI677</f>
        <v>#DIV/0!</v>
      </c>
      <c r="AJ945" s="97" t="e">
        <f>Datasheet!AJ1259/AJ677</f>
        <v>#DIV/0!</v>
      </c>
      <c r="AK945" s="97" t="e">
        <f>Datasheet!AK1259/AK677</f>
        <v>#DIV/0!</v>
      </c>
    </row>
    <row r="946" spans="1:37" s="4" customFormat="1" x14ac:dyDescent="0.25">
      <c r="B946" s="44"/>
      <c r="F946" s="4" t="s">
        <v>247</v>
      </c>
      <c r="H946" s="4" t="s">
        <v>1289</v>
      </c>
      <c r="I946" s="97"/>
      <c r="J946" s="97"/>
      <c r="K946" s="97"/>
      <c r="L946" s="97"/>
      <c r="M946" s="97"/>
      <c r="N946" s="97"/>
      <c r="O946" s="97"/>
      <c r="P946" s="97"/>
      <c r="Q946" s="97">
        <f>Datasheet!Q1260/Q678</f>
        <v>1.2798225472405451</v>
      </c>
      <c r="R946" s="97">
        <f>Datasheet!R1260/R678</f>
        <v>1.3028169355706201</v>
      </c>
      <c r="S946" s="97">
        <f>Datasheet!S1260/S678</f>
        <v>1.4446022175375077</v>
      </c>
      <c r="T946" s="97">
        <f>Datasheet!T1260/T678</f>
        <v>1.4615999873789509</v>
      </c>
      <c r="U946" s="97">
        <f>Datasheet!U1260/U678</f>
        <v>1.4593721802372059</v>
      </c>
      <c r="V946" s="97">
        <f>Datasheet!V1260/V678</f>
        <v>1.1725679320353761</v>
      </c>
      <c r="W946" s="97">
        <f>Datasheet!W1260/W678</f>
        <v>1.1938934676298913</v>
      </c>
      <c r="X946" s="97">
        <f>Datasheet!X1260/X678</f>
        <v>1.4929243582051641</v>
      </c>
      <c r="Y946" s="97">
        <f>Datasheet!Y1260/Y678</f>
        <v>1.4834619640254478</v>
      </c>
      <c r="Z946" s="97">
        <f>Datasheet!Z1260/Z678</f>
        <v>1.6385348940362441</v>
      </c>
      <c r="AA946" s="97">
        <f>Datasheet!AA1260/AA678</f>
        <v>0.32971367496644111</v>
      </c>
      <c r="AB946" s="97">
        <f>Datasheet!AB1260/AB678</f>
        <v>0.74413945941131776</v>
      </c>
      <c r="AC946" s="97">
        <f>Datasheet!AC1260/AC678</f>
        <v>1.0973195387828742</v>
      </c>
      <c r="AD946" s="97" t="e">
        <f>Datasheet!AD1260/AD678</f>
        <v>#DIV/0!</v>
      </c>
      <c r="AE946" s="97" t="e">
        <f>Datasheet!AE1260/AE678</f>
        <v>#DIV/0!</v>
      </c>
      <c r="AF946" s="97" t="e">
        <f>Datasheet!AF1260/AF678</f>
        <v>#DIV/0!</v>
      </c>
      <c r="AG946" s="97" t="e">
        <f>Datasheet!AG1260/AG678</f>
        <v>#DIV/0!</v>
      </c>
      <c r="AH946" s="97" t="e">
        <f>Datasheet!AH1260/AH678</f>
        <v>#DIV/0!</v>
      </c>
      <c r="AI946" s="97" t="e">
        <f>Datasheet!AI1260/AI678</f>
        <v>#DIV/0!</v>
      </c>
      <c r="AJ946" s="97" t="e">
        <f>Datasheet!AJ1260/AJ678</f>
        <v>#DIV/0!</v>
      </c>
      <c r="AK946" s="97" t="e">
        <f>Datasheet!AK1260/AK678</f>
        <v>#DIV/0!</v>
      </c>
    </row>
    <row r="947" spans="1:37" s="4" customFormat="1" x14ac:dyDescent="0.25">
      <c r="B947" s="44"/>
      <c r="F947" s="4" t="s">
        <v>248</v>
      </c>
      <c r="H947" s="4" t="s">
        <v>1289</v>
      </c>
      <c r="I947" s="97"/>
      <c r="J947" s="97"/>
      <c r="K947" s="97"/>
      <c r="L947" s="97"/>
      <c r="M947" s="97"/>
      <c r="N947" s="97"/>
      <c r="O947" s="97"/>
      <c r="P947" s="97"/>
      <c r="Q947" s="97">
        <f>Datasheet!Q1261/Q679</f>
        <v>1.0645135752463899</v>
      </c>
      <c r="R947" s="97">
        <f>Datasheet!R1261/R679</f>
        <v>1.1888737755647405</v>
      </c>
      <c r="S947" s="97">
        <f>Datasheet!S1261/S679</f>
        <v>1.0718115562719663</v>
      </c>
      <c r="T947" s="97">
        <f>Datasheet!T1261/T679</f>
        <v>1.1125161160839849</v>
      </c>
      <c r="U947" s="97">
        <f>Datasheet!U1261/U679</f>
        <v>1.2124080132006205</v>
      </c>
      <c r="V947" s="97">
        <f>Datasheet!V1261/V679</f>
        <v>0.98028250925462956</v>
      </c>
      <c r="W947" s="97">
        <f>Datasheet!W1261/W679</f>
        <v>1.0070518283460617</v>
      </c>
      <c r="X947" s="97">
        <f>Datasheet!X1261/X679</f>
        <v>1.0668565002251302</v>
      </c>
      <c r="Y947" s="97">
        <f>Datasheet!Y1261/Y679</f>
        <v>1.09545903370729</v>
      </c>
      <c r="Z947" s="97">
        <f>Datasheet!Z1261/Z679</f>
        <v>1.1456132819334293</v>
      </c>
      <c r="AA947" s="97">
        <f>Datasheet!AA1261/AA679</f>
        <v>0.38125099078974428</v>
      </c>
      <c r="AB947" s="97">
        <f>Datasheet!AB1261/AB679</f>
        <v>0.57852756944771788</v>
      </c>
      <c r="AC947" s="97">
        <f>Datasheet!AC1261/AC679</f>
        <v>0.84141667593218583</v>
      </c>
      <c r="AD947" s="97" t="e">
        <f>Datasheet!AD1261/AD679</f>
        <v>#DIV/0!</v>
      </c>
      <c r="AE947" s="97" t="e">
        <f>Datasheet!AE1261/AE679</f>
        <v>#DIV/0!</v>
      </c>
      <c r="AF947" s="97" t="e">
        <f>Datasheet!AF1261/AF679</f>
        <v>#DIV/0!</v>
      </c>
      <c r="AG947" s="97" t="e">
        <f>Datasheet!AG1261/AG679</f>
        <v>#DIV/0!</v>
      </c>
      <c r="AH947" s="97" t="e">
        <f>Datasheet!AH1261/AH679</f>
        <v>#DIV/0!</v>
      </c>
      <c r="AI947" s="97" t="e">
        <f>Datasheet!AI1261/AI679</f>
        <v>#DIV/0!</v>
      </c>
      <c r="AJ947" s="97" t="e">
        <f>Datasheet!AJ1261/AJ679</f>
        <v>#DIV/0!</v>
      </c>
      <c r="AK947" s="97" t="e">
        <f>Datasheet!AK1261/AK679</f>
        <v>#DIV/0!</v>
      </c>
    </row>
    <row r="948" spans="1:37" s="4" customFormat="1" x14ac:dyDescent="0.25">
      <c r="B948" s="44"/>
      <c r="F948" s="4" t="s">
        <v>249</v>
      </c>
      <c r="H948" s="4" t="s">
        <v>1289</v>
      </c>
      <c r="I948" s="97"/>
      <c r="J948" s="97"/>
      <c r="K948" s="97"/>
      <c r="L948" s="97"/>
      <c r="M948" s="97"/>
      <c r="N948" s="97"/>
      <c r="O948" s="97"/>
      <c r="P948" s="97"/>
      <c r="Q948" s="97">
        <f>Datasheet!Q1262/Q680</f>
        <v>1.0045119960724689</v>
      </c>
      <c r="R948" s="97">
        <f>Datasheet!R1262/R680</f>
        <v>1.2011233768931056</v>
      </c>
      <c r="S948" s="97">
        <f>Datasheet!S1262/S680</f>
        <v>1.1324849813279796</v>
      </c>
      <c r="T948" s="97">
        <f>Datasheet!T1262/T680</f>
        <v>1.1757606281452395</v>
      </c>
      <c r="U948" s="97">
        <f>Datasheet!U1262/U680</f>
        <v>1.2739721608109875</v>
      </c>
      <c r="V948" s="97">
        <f>Datasheet!V1262/V680</f>
        <v>1.1495871335503212</v>
      </c>
      <c r="W948" s="97">
        <f>Datasheet!W1262/W680</f>
        <v>1.1901933807238083</v>
      </c>
      <c r="X948" s="97">
        <f>Datasheet!X1262/X680</f>
        <v>1.2598256269513273</v>
      </c>
      <c r="Y948" s="97">
        <f>Datasheet!Y1262/Y680</f>
        <v>1.2743997969883509</v>
      </c>
      <c r="Z948" s="97">
        <f>Datasheet!Z1262/Z680</f>
        <v>1.2226319275322988</v>
      </c>
      <c r="AA948" s="97">
        <f>Datasheet!AA1262/AA680</f>
        <v>0.41666667061790058</v>
      </c>
      <c r="AB948" s="97">
        <f>Datasheet!AB1262/AB680</f>
        <v>0.60263571936968896</v>
      </c>
      <c r="AC948" s="97">
        <f>Datasheet!AC1262/AC680</f>
        <v>0.92552875849264848</v>
      </c>
      <c r="AD948" s="97" t="e">
        <f>Datasheet!AD1262/AD680</f>
        <v>#DIV/0!</v>
      </c>
      <c r="AE948" s="97" t="e">
        <f>Datasheet!AE1262/AE680</f>
        <v>#DIV/0!</v>
      </c>
      <c r="AF948" s="97" t="e">
        <f>Datasheet!AF1262/AF680</f>
        <v>#DIV/0!</v>
      </c>
      <c r="AG948" s="97" t="e">
        <f>Datasheet!AG1262/AG680</f>
        <v>#DIV/0!</v>
      </c>
      <c r="AH948" s="97" t="e">
        <f>Datasheet!AH1262/AH680</f>
        <v>#DIV/0!</v>
      </c>
      <c r="AI948" s="97" t="e">
        <f>Datasheet!AI1262/AI680</f>
        <v>#DIV/0!</v>
      </c>
      <c r="AJ948" s="97" t="e">
        <f>Datasheet!AJ1262/AJ680</f>
        <v>#DIV/0!</v>
      </c>
      <c r="AK948" s="97" t="e">
        <f>Datasheet!AK1262/AK680</f>
        <v>#DIV/0!</v>
      </c>
    </row>
    <row r="949" spans="1:37" s="4" customFormat="1" x14ac:dyDescent="0.25">
      <c r="B949" s="44"/>
      <c r="F949" s="4" t="s">
        <v>250</v>
      </c>
      <c r="H949" s="4" t="s">
        <v>1289</v>
      </c>
      <c r="I949" s="97"/>
      <c r="J949" s="97"/>
      <c r="K949" s="97"/>
      <c r="L949" s="97"/>
      <c r="M949" s="97"/>
      <c r="N949" s="97"/>
      <c r="O949" s="97"/>
      <c r="P949" s="97"/>
      <c r="Q949" s="97">
        <f>Datasheet!Q1263/Q681</f>
        <v>1.0636708792612652</v>
      </c>
      <c r="R949" s="97">
        <f>Datasheet!R1263/R681</f>
        <v>1.1267386737031291</v>
      </c>
      <c r="S949" s="97">
        <f>Datasheet!S1263/S681</f>
        <v>1.1875451356846727</v>
      </c>
      <c r="T949" s="97">
        <f>Datasheet!T1263/T681</f>
        <v>1.1998162196325861</v>
      </c>
      <c r="U949" s="97">
        <f>Datasheet!U1263/U681</f>
        <v>1.2848545935656219</v>
      </c>
      <c r="V949" s="97">
        <f>Datasheet!V1263/V681</f>
        <v>1.2715318468809631</v>
      </c>
      <c r="W949" s="97">
        <f>Datasheet!W1263/W681</f>
        <v>1.30789134193614</v>
      </c>
      <c r="X949" s="97">
        <f>Datasheet!X1263/X681</f>
        <v>1.3816035619605067</v>
      </c>
      <c r="Y949" s="97">
        <f>Datasheet!Y1263/Y681</f>
        <v>1.4517273569685802</v>
      </c>
      <c r="Z949" s="97">
        <f>Datasheet!Z1263/Z681</f>
        <v>1.3580237645002422</v>
      </c>
      <c r="AA949" s="97">
        <f>Datasheet!AA1263/AA681</f>
        <v>0.42862048319399826</v>
      </c>
      <c r="AB949" s="97">
        <f>Datasheet!AB1263/AB681</f>
        <v>0.59670798911001599</v>
      </c>
      <c r="AC949" s="97">
        <f>Datasheet!AC1263/AC681</f>
        <v>0.96642178139476242</v>
      </c>
      <c r="AD949" s="97" t="e">
        <f>Datasheet!AD1263/AD681</f>
        <v>#DIV/0!</v>
      </c>
      <c r="AE949" s="97" t="e">
        <f>Datasheet!AE1263/AE681</f>
        <v>#DIV/0!</v>
      </c>
      <c r="AF949" s="97" t="e">
        <f>Datasheet!AF1263/AF681</f>
        <v>#DIV/0!</v>
      </c>
      <c r="AG949" s="97" t="e">
        <f>Datasheet!AG1263/AG681</f>
        <v>#DIV/0!</v>
      </c>
      <c r="AH949" s="97" t="e">
        <f>Datasheet!AH1263/AH681</f>
        <v>#DIV/0!</v>
      </c>
      <c r="AI949" s="97" t="e">
        <f>Datasheet!AI1263/AI681</f>
        <v>#DIV/0!</v>
      </c>
      <c r="AJ949" s="97" t="e">
        <f>Datasheet!AJ1263/AJ681</f>
        <v>#DIV/0!</v>
      </c>
      <c r="AK949" s="97" t="e">
        <f>Datasheet!AK1263/AK681</f>
        <v>#DIV/0!</v>
      </c>
    </row>
    <row r="950" spans="1:37" s="4" customFormat="1" x14ac:dyDescent="0.25">
      <c r="B950" s="44"/>
      <c r="F950" s="4" t="s">
        <v>251</v>
      </c>
      <c r="H950" s="4" t="s">
        <v>1289</v>
      </c>
      <c r="I950" s="97"/>
      <c r="J950" s="97"/>
      <c r="K950" s="97"/>
      <c r="L950" s="97"/>
      <c r="M950" s="97"/>
      <c r="N950" s="97"/>
      <c r="O950" s="97"/>
      <c r="P950" s="97"/>
      <c r="Q950" s="97">
        <f>Datasheet!Q1264/Q682</f>
        <v>1.0172927258263726</v>
      </c>
      <c r="R950" s="97">
        <f>Datasheet!R1264/R682</f>
        <v>1.0775858411192512</v>
      </c>
      <c r="S950" s="97">
        <f>Datasheet!S1264/S682</f>
        <v>1.1754766424727541</v>
      </c>
      <c r="T950" s="97">
        <f>Datasheet!T1264/T682</f>
        <v>1.1014989616964874</v>
      </c>
      <c r="U950" s="97">
        <f>Datasheet!U1264/U682</f>
        <v>1.216506780536263</v>
      </c>
      <c r="V950" s="97">
        <f>Datasheet!V1264/V682</f>
        <v>1.1204374618739137</v>
      </c>
      <c r="W950" s="97">
        <f>Datasheet!W1264/W682</f>
        <v>1.2948062704328109</v>
      </c>
      <c r="X950" s="97">
        <f>Datasheet!X1264/X682</f>
        <v>1.3103949793628289</v>
      </c>
      <c r="Y950" s="97">
        <f>Datasheet!Y1264/Y682</f>
        <v>1.4055839632698108</v>
      </c>
      <c r="Z950" s="97">
        <f>Datasheet!Z1264/Z682</f>
        <v>1.3843745903523672</v>
      </c>
      <c r="AA950" s="97">
        <f>Datasheet!AA1264/AA682</f>
        <v>0.44151016364413498</v>
      </c>
      <c r="AB950" s="97">
        <f>Datasheet!AB1264/AB682</f>
        <v>0.60649752600243401</v>
      </c>
      <c r="AC950" s="97">
        <f>Datasheet!AC1264/AC682</f>
        <v>0.97968529248388458</v>
      </c>
      <c r="AD950" s="97" t="e">
        <f>Datasheet!AD1264/AD682</f>
        <v>#DIV/0!</v>
      </c>
      <c r="AE950" s="97" t="e">
        <f>Datasheet!AE1264/AE682</f>
        <v>#DIV/0!</v>
      </c>
      <c r="AF950" s="97" t="e">
        <f>Datasheet!AF1264/AF682</f>
        <v>#DIV/0!</v>
      </c>
      <c r="AG950" s="97" t="e">
        <f>Datasheet!AG1264/AG682</f>
        <v>#DIV/0!</v>
      </c>
      <c r="AH950" s="97" t="e">
        <f>Datasheet!AH1264/AH682</f>
        <v>#DIV/0!</v>
      </c>
      <c r="AI950" s="97" t="e">
        <f>Datasheet!AI1264/AI682</f>
        <v>#DIV/0!</v>
      </c>
      <c r="AJ950" s="97" t="e">
        <f>Datasheet!AJ1264/AJ682</f>
        <v>#DIV/0!</v>
      </c>
      <c r="AK950" s="97" t="e">
        <f>Datasheet!AK1264/AK682</f>
        <v>#DIV/0!</v>
      </c>
    </row>
    <row r="951" spans="1:37" s="4" customFormat="1" x14ac:dyDescent="0.25">
      <c r="B951" s="44"/>
      <c r="F951" s="4" t="s">
        <v>252</v>
      </c>
      <c r="H951" s="4" t="s">
        <v>1289</v>
      </c>
      <c r="I951" s="97"/>
      <c r="J951" s="97"/>
      <c r="K951" s="97"/>
      <c r="L951" s="97"/>
      <c r="M951" s="97"/>
      <c r="N951" s="97"/>
      <c r="O951" s="97"/>
      <c r="P951" s="97"/>
      <c r="Q951" s="97">
        <f>Datasheet!Q1265/Q683</f>
        <v>0.99570255979205247</v>
      </c>
      <c r="R951" s="97">
        <f>Datasheet!R1265/R683</f>
        <v>1.040971794368085</v>
      </c>
      <c r="S951" s="97">
        <f>Datasheet!S1265/S683</f>
        <v>1.1003913982077531</v>
      </c>
      <c r="T951" s="97">
        <f>Datasheet!T1265/T683</f>
        <v>1.0685320152988265</v>
      </c>
      <c r="U951" s="97">
        <f>Datasheet!U1265/U683</f>
        <v>1.1557904947050712</v>
      </c>
      <c r="V951" s="97">
        <f>Datasheet!V1265/V683</f>
        <v>1.0899440070370672</v>
      </c>
      <c r="W951" s="97">
        <f>Datasheet!W1265/W683</f>
        <v>1.1492397224447324</v>
      </c>
      <c r="X951" s="97">
        <f>Datasheet!X1265/X683</f>
        <v>1.1602498469223304</v>
      </c>
      <c r="Y951" s="97">
        <f>Datasheet!Y1265/Y683</f>
        <v>1.2110309710195359</v>
      </c>
      <c r="Z951" s="97">
        <f>Datasheet!Z1265/Z683</f>
        <v>1.5267282666299999</v>
      </c>
      <c r="AA951" s="97">
        <f>Datasheet!AA1265/AA683</f>
        <v>0.44321670074547231</v>
      </c>
      <c r="AB951" s="97">
        <f>Datasheet!AB1265/AB683</f>
        <v>0.60396804334390786</v>
      </c>
      <c r="AC951" s="97">
        <f>Datasheet!AC1265/AC683</f>
        <v>0.92314170041554944</v>
      </c>
      <c r="AD951" s="97" t="e">
        <f>Datasheet!AD1265/AD683</f>
        <v>#DIV/0!</v>
      </c>
      <c r="AE951" s="97" t="e">
        <f>Datasheet!AE1265/AE683</f>
        <v>#DIV/0!</v>
      </c>
      <c r="AF951" s="97" t="e">
        <f>Datasheet!AF1265/AF683</f>
        <v>#DIV/0!</v>
      </c>
      <c r="AG951" s="97" t="e">
        <f>Datasheet!AG1265/AG683</f>
        <v>#DIV/0!</v>
      </c>
      <c r="AH951" s="97" t="e">
        <f>Datasheet!AH1265/AH683</f>
        <v>#DIV/0!</v>
      </c>
      <c r="AI951" s="97" t="e">
        <f>Datasheet!AI1265/AI683</f>
        <v>#DIV/0!</v>
      </c>
      <c r="AJ951" s="97" t="e">
        <f>Datasheet!AJ1265/AJ683</f>
        <v>#DIV/0!</v>
      </c>
      <c r="AK951" s="97" t="e">
        <f>Datasheet!AK1265/AK683</f>
        <v>#DIV/0!</v>
      </c>
    </row>
    <row r="952" spans="1:37" s="4" customFormat="1" x14ac:dyDescent="0.25">
      <c r="B952" s="44"/>
      <c r="F952" s="4" t="s">
        <v>253</v>
      </c>
      <c r="H952" s="4" t="s">
        <v>1289</v>
      </c>
      <c r="I952" s="97"/>
      <c r="J952" s="97"/>
      <c r="K952" s="97"/>
      <c r="L952" s="97"/>
      <c r="M952" s="97"/>
      <c r="N952" s="97"/>
      <c r="O952" s="97"/>
      <c r="P952" s="97"/>
      <c r="Q952" s="97">
        <f>Datasheet!Q1266/Q684</f>
        <v>1.0154928224033997</v>
      </c>
      <c r="R952" s="97">
        <f>Datasheet!R1266/R684</f>
        <v>1.0603092124687279</v>
      </c>
      <c r="S952" s="97">
        <f>Datasheet!S1266/S684</f>
        <v>1.0907509255936825</v>
      </c>
      <c r="T952" s="97">
        <f>Datasheet!T1266/T684</f>
        <v>1.1046757099718441</v>
      </c>
      <c r="U952" s="97">
        <f>Datasheet!U1266/U684</f>
        <v>1.0072045130114939</v>
      </c>
      <c r="V952" s="97">
        <f>Datasheet!V1266/V684</f>
        <v>0.93863888662696848</v>
      </c>
      <c r="W952" s="97">
        <f>Datasheet!W1266/W684</f>
        <v>1.0259206243381811</v>
      </c>
      <c r="X952" s="97">
        <f>Datasheet!X1266/X684</f>
        <v>1.0836414444053502</v>
      </c>
      <c r="Y952" s="97">
        <f>Datasheet!Y1266/Y684</f>
        <v>1.1473389718319953</v>
      </c>
      <c r="Z952" s="97">
        <f>Datasheet!Z1266/Z684</f>
        <v>1.5326604488868139</v>
      </c>
      <c r="AA952" s="97">
        <f>Datasheet!AA1266/AA684</f>
        <v>0.44913528249078</v>
      </c>
      <c r="AB952" s="97">
        <f>Datasheet!AB1266/AB684</f>
        <v>0.64885125229424234</v>
      </c>
      <c r="AC952" s="97">
        <f>Datasheet!AC1266/AC684</f>
        <v>0.91152329703125112</v>
      </c>
      <c r="AD952" s="97" t="e">
        <f>Datasheet!AD1266/AD684</f>
        <v>#DIV/0!</v>
      </c>
      <c r="AE952" s="97" t="e">
        <f>Datasheet!AE1266/AE684</f>
        <v>#DIV/0!</v>
      </c>
      <c r="AF952" s="97" t="e">
        <f>Datasheet!AF1266/AF684</f>
        <v>#DIV/0!</v>
      </c>
      <c r="AG952" s="97" t="e">
        <f>Datasheet!AG1266/AG684</f>
        <v>#DIV/0!</v>
      </c>
      <c r="AH952" s="97" t="e">
        <f>Datasheet!AH1266/AH684</f>
        <v>#DIV/0!</v>
      </c>
      <c r="AI952" s="97" t="e">
        <f>Datasheet!AI1266/AI684</f>
        <v>#DIV/0!</v>
      </c>
      <c r="AJ952" s="97" t="e">
        <f>Datasheet!AJ1266/AJ684</f>
        <v>#DIV/0!</v>
      </c>
      <c r="AK952" s="97" t="e">
        <f>Datasheet!AK1266/AK684</f>
        <v>#DIV/0!</v>
      </c>
    </row>
    <row r="953" spans="1:37" s="4" customFormat="1" x14ac:dyDescent="0.25">
      <c r="B953" s="44"/>
      <c r="F953" s="4" t="s">
        <v>254</v>
      </c>
      <c r="H953" s="4" t="s">
        <v>1289</v>
      </c>
      <c r="I953" s="97"/>
      <c r="J953" s="97"/>
      <c r="K953" s="97"/>
      <c r="L953" s="97"/>
      <c r="M953" s="97"/>
      <c r="N953" s="97"/>
      <c r="O953" s="97"/>
      <c r="P953" s="97"/>
      <c r="Q953" s="97">
        <f>Datasheet!Q1267/Q685</f>
        <v>1.2026784144095739</v>
      </c>
      <c r="R953" s="97">
        <f>Datasheet!R1267/R685</f>
        <v>1.3173198502078549</v>
      </c>
      <c r="S953" s="97">
        <f>Datasheet!S1267/S685</f>
        <v>1.3109841845650485</v>
      </c>
      <c r="T953" s="97">
        <f>Datasheet!T1267/T685</f>
        <v>1.1247611165930667</v>
      </c>
      <c r="U953" s="97">
        <f>Datasheet!U1267/U685</f>
        <v>1.1567439280422251</v>
      </c>
      <c r="V953" s="97">
        <f>Datasheet!V1267/V685</f>
        <v>1.1520577619831001</v>
      </c>
      <c r="W953" s="97">
        <f>Datasheet!W1267/W685</f>
        <v>1.1433551495345817</v>
      </c>
      <c r="X953" s="97">
        <f>Datasheet!X1267/X685</f>
        <v>1.3563136163496894</v>
      </c>
      <c r="Y953" s="97">
        <f>Datasheet!Y1267/Y685</f>
        <v>1.4330447067094976</v>
      </c>
      <c r="Z953" s="97">
        <f>Datasheet!Z1267/Z685</f>
        <v>1.5810647177780235</v>
      </c>
      <c r="AA953" s="97">
        <f>Datasheet!AA1267/AA685</f>
        <v>0.51360025013764854</v>
      </c>
      <c r="AB953" s="97">
        <f>Datasheet!AB1267/AB685</f>
        <v>0.7171605650001136</v>
      </c>
      <c r="AC953" s="97">
        <f>Datasheet!AC1267/AC685</f>
        <v>1.1183930137999596</v>
      </c>
      <c r="AD953" s="97" t="e">
        <f>Datasheet!AD1267/AD685</f>
        <v>#DIV/0!</v>
      </c>
      <c r="AE953" s="97" t="e">
        <f>Datasheet!AE1267/AE685</f>
        <v>#DIV/0!</v>
      </c>
      <c r="AF953" s="97" t="e">
        <f>Datasheet!AF1267/AF685</f>
        <v>#DIV/0!</v>
      </c>
      <c r="AG953" s="97" t="e">
        <f>Datasheet!AG1267/AG685</f>
        <v>#DIV/0!</v>
      </c>
      <c r="AH953" s="97" t="e">
        <f>Datasheet!AH1267/AH685</f>
        <v>#DIV/0!</v>
      </c>
      <c r="AI953" s="97" t="e">
        <f>Datasheet!AI1267/AI685</f>
        <v>#DIV/0!</v>
      </c>
      <c r="AJ953" s="97" t="e">
        <f>Datasheet!AJ1267/AJ685</f>
        <v>#DIV/0!</v>
      </c>
      <c r="AK953" s="97" t="e">
        <f>Datasheet!AK1267/AK685</f>
        <v>#DIV/0!</v>
      </c>
    </row>
    <row r="954" spans="1:37" s="4" customFormat="1" x14ac:dyDescent="0.25">
      <c r="B954" s="44"/>
      <c r="F954" s="4" t="s">
        <v>255</v>
      </c>
      <c r="H954" s="4" t="s">
        <v>1289</v>
      </c>
      <c r="I954" s="97"/>
      <c r="J954" s="97"/>
      <c r="K954" s="97"/>
      <c r="L954" s="97"/>
      <c r="M954" s="97"/>
      <c r="N954" s="97"/>
      <c r="O954" s="97"/>
      <c r="P954" s="97"/>
      <c r="Q954" s="97">
        <f>Datasheet!Q1268/Q686</f>
        <v>3.3963289933224208</v>
      </c>
      <c r="R954" s="97">
        <f>Datasheet!R1268/R686</f>
        <v>3.140560340926112</v>
      </c>
      <c r="S954" s="97">
        <f>Datasheet!S1268/S686</f>
        <v>3.3789594432889767</v>
      </c>
      <c r="T954" s="97">
        <f>Datasheet!T1268/T686</f>
        <v>3.4828939699893509</v>
      </c>
      <c r="U954" s="97">
        <f>Datasheet!U1268/U686</f>
        <v>3.4925112182558995</v>
      </c>
      <c r="V954" s="97">
        <f>Datasheet!V1268/V686</f>
        <v>3.4314317399558125</v>
      </c>
      <c r="W954" s="97">
        <f>Datasheet!W1268/W686</f>
        <v>3.4378807851706559</v>
      </c>
      <c r="X954" s="97">
        <f>Datasheet!X1268/X686</f>
        <v>3.4549675923861405</v>
      </c>
      <c r="Y954" s="97">
        <f>Datasheet!Y1268/Y686</f>
        <v>3.4627566150195492</v>
      </c>
      <c r="Z954" s="97">
        <f>Datasheet!Z1268/Z686</f>
        <v>3.1839948609798032</v>
      </c>
      <c r="AA954" s="97">
        <f>Datasheet!AA1268/AA686</f>
        <v>1.4057895353258065</v>
      </c>
      <c r="AB954" s="97">
        <f>Datasheet!AB1268/AB686</f>
        <v>1.9322377288556212</v>
      </c>
      <c r="AC954" s="97">
        <f>Datasheet!AC1268/AC686</f>
        <v>2.3017661728103782</v>
      </c>
      <c r="AD954" s="97" t="e">
        <f>Datasheet!AD1268/AD686</f>
        <v>#DIV/0!</v>
      </c>
      <c r="AE954" s="97" t="e">
        <f>Datasheet!AE1268/AE686</f>
        <v>#DIV/0!</v>
      </c>
      <c r="AF954" s="97" t="e">
        <f>Datasheet!AF1268/AF686</f>
        <v>#DIV/0!</v>
      </c>
      <c r="AG954" s="97" t="e">
        <f>Datasheet!AG1268/AG686</f>
        <v>#DIV/0!</v>
      </c>
      <c r="AH954" s="97" t="e">
        <f>Datasheet!AH1268/AH686</f>
        <v>#DIV/0!</v>
      </c>
      <c r="AI954" s="97" t="e">
        <f>Datasheet!AI1268/AI686</f>
        <v>#DIV/0!</v>
      </c>
      <c r="AJ954" s="97" t="e">
        <f>Datasheet!AJ1268/AJ686</f>
        <v>#DIV/0!</v>
      </c>
      <c r="AK954" s="97" t="e">
        <f>Datasheet!AK1268/AK686</f>
        <v>#DIV/0!</v>
      </c>
    </row>
    <row r="955" spans="1:37" s="66" customFormat="1" x14ac:dyDescent="0.25">
      <c r="B955" s="67"/>
      <c r="I955" s="96"/>
      <c r="J955" s="96"/>
      <c r="K955" s="96"/>
      <c r="L955" s="96"/>
      <c r="M955" s="96"/>
      <c r="N955" s="96"/>
      <c r="O955" s="96"/>
      <c r="P955" s="96"/>
      <c r="Q955" s="96"/>
      <c r="R955" s="96"/>
      <c r="S955" s="96"/>
      <c r="T955" s="96"/>
      <c r="U955" s="96"/>
      <c r="V955" s="96"/>
      <c r="W955" s="96"/>
      <c r="X955" s="96"/>
      <c r="Y955" s="96"/>
      <c r="Z955" s="96"/>
      <c r="AA955" s="96"/>
      <c r="AB955" s="96"/>
      <c r="AC955" s="96"/>
      <c r="AD955" s="96"/>
      <c r="AE955" s="96"/>
      <c r="AF955" s="96"/>
      <c r="AG955" s="96"/>
      <c r="AH955" s="96"/>
      <c r="AI955" s="96"/>
      <c r="AJ955" s="96"/>
      <c r="AK955" s="96"/>
    </row>
    <row r="956" spans="1:37" s="70" customFormat="1" ht="17.25" x14ac:dyDescent="0.3">
      <c r="A956" s="70" t="s">
        <v>365</v>
      </c>
    </row>
    <row r="957" spans="1:37" x14ac:dyDescent="0.25">
      <c r="B957" s="29" t="s">
        <v>877</v>
      </c>
      <c r="C957" t="s">
        <v>754</v>
      </c>
    </row>
    <row r="958" spans="1:37" x14ac:dyDescent="0.25">
      <c r="B958" s="29" t="s">
        <v>879</v>
      </c>
      <c r="C958" t="s">
        <v>1290</v>
      </c>
    </row>
    <row r="959" spans="1:37" x14ac:dyDescent="0.25">
      <c r="B959" s="29" t="s">
        <v>881</v>
      </c>
      <c r="C959" t="s">
        <v>1291</v>
      </c>
    </row>
    <row r="960" spans="1:37" x14ac:dyDescent="0.25">
      <c r="B960" s="29" t="s">
        <v>883</v>
      </c>
      <c r="C960" s="263" t="s">
        <v>1292</v>
      </c>
    </row>
    <row r="961" spans="2:37" x14ac:dyDescent="0.25">
      <c r="B961" s="29" t="s">
        <v>885</v>
      </c>
      <c r="C961" t="s">
        <v>1293</v>
      </c>
    </row>
    <row r="962" spans="2:37" x14ac:dyDescent="0.25">
      <c r="B962" s="29" t="s">
        <v>886</v>
      </c>
      <c r="C962" t="s">
        <v>1294</v>
      </c>
    </row>
    <row r="963" spans="2:37" x14ac:dyDescent="0.25">
      <c r="B963" s="29"/>
      <c r="C963" t="s">
        <v>1295</v>
      </c>
    </row>
    <row r="964" spans="2:37" x14ac:dyDescent="0.25">
      <c r="B964" s="29" t="s">
        <v>887</v>
      </c>
      <c r="C964" t="s">
        <v>1296</v>
      </c>
    </row>
    <row r="965" spans="2:37" x14ac:dyDescent="0.25">
      <c r="B965" s="29"/>
      <c r="C965" t="s">
        <v>1297</v>
      </c>
    </row>
    <row r="966" spans="2:37" x14ac:dyDescent="0.25">
      <c r="B966" s="29"/>
      <c r="C966" t="s">
        <v>1298</v>
      </c>
    </row>
    <row r="967" spans="2:37" s="88" customFormat="1" ht="15.75" thickBot="1" x14ac:dyDescent="0.3">
      <c r="B967" s="95" t="s">
        <v>19</v>
      </c>
      <c r="C967" s="88" t="s">
        <v>1299</v>
      </c>
    </row>
    <row r="968" spans="2:37" s="4" customFormat="1" ht="15.75" thickTop="1" x14ac:dyDescent="0.25">
      <c r="B968" s="44"/>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row>
    <row r="969" spans="2:37" s="4" customFormat="1" x14ac:dyDescent="0.25">
      <c r="B969" s="44"/>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row>
    <row r="970" spans="2:37" s="4" customFormat="1" x14ac:dyDescent="0.25">
      <c r="B970" s="44"/>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row>
    <row r="971" spans="2:37" s="4" customFormat="1" x14ac:dyDescent="0.25">
      <c r="B971" s="44"/>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row>
    <row r="972" spans="2:37" s="4" customFormat="1" x14ac:dyDescent="0.25">
      <c r="B972" s="44"/>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row>
    <row r="973" spans="2:37" s="4" customFormat="1" x14ac:dyDescent="0.25">
      <c r="B973" s="44"/>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row>
    <row r="974" spans="2:37" s="4" customFormat="1" x14ac:dyDescent="0.25">
      <c r="B974" s="44"/>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row>
    <row r="975" spans="2:37" s="4" customFormat="1" x14ac:dyDescent="0.25">
      <c r="B975" s="44"/>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row>
    <row r="976" spans="2:37" s="4" customFormat="1" x14ac:dyDescent="0.25">
      <c r="B976" s="44"/>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row>
    <row r="977" spans="1:37" s="4" customFormat="1" x14ac:dyDescent="0.25">
      <c r="B977" s="44"/>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row>
    <row r="978" spans="1:37" s="4" customFormat="1" x14ac:dyDescent="0.25">
      <c r="B978" s="44"/>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row>
    <row r="979" spans="1:37" s="4" customFormat="1" x14ac:dyDescent="0.25">
      <c r="B979" s="44"/>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row>
    <row r="980" spans="1:37" s="4" customFormat="1" x14ac:dyDescent="0.25">
      <c r="B980" s="44"/>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row>
    <row r="981" spans="1:37" s="4" customFormat="1" x14ac:dyDescent="0.25">
      <c r="B981" s="44"/>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row>
    <row r="982" spans="1:37" s="4" customFormat="1" x14ac:dyDescent="0.25">
      <c r="B982" s="44"/>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row>
    <row r="983" spans="1:37" s="4" customFormat="1" x14ac:dyDescent="0.25">
      <c r="B983" s="44" t="s">
        <v>21</v>
      </c>
      <c r="C983" s="4" t="s">
        <v>1300</v>
      </c>
      <c r="H983" s="4" t="s">
        <v>1301</v>
      </c>
      <c r="I983" s="69"/>
      <c r="J983" s="69"/>
      <c r="K983" s="69"/>
      <c r="L983" s="69"/>
      <c r="M983" s="69"/>
      <c r="N983" s="69"/>
      <c r="O983" s="69"/>
      <c r="P983" s="69"/>
      <c r="Q983" s="102">
        <f t="shared" ref="Q983:AK983" si="173">Q984*$T985/$T984</f>
        <v>0.21190687798163468</v>
      </c>
      <c r="R983" s="102">
        <f t="shared" si="173"/>
        <v>0.24400224398633799</v>
      </c>
      <c r="S983" s="102">
        <f t="shared" si="173"/>
        <v>0.17319093451488318</v>
      </c>
      <c r="T983" s="102">
        <f t="shared" si="173"/>
        <v>0.161</v>
      </c>
      <c r="U983" s="102">
        <f t="shared" si="173"/>
        <v>0.18592522367303818</v>
      </c>
      <c r="V983" s="102">
        <f t="shared" si="173"/>
        <v>0.18168581430100816</v>
      </c>
      <c r="W983" s="102">
        <f t="shared" si="173"/>
        <v>0.19793914186377654</v>
      </c>
      <c r="X983" s="102">
        <f t="shared" si="173"/>
        <v>0.19168473616588325</v>
      </c>
      <c r="Y983" s="102">
        <f t="shared" si="173"/>
        <v>0.22016226106860598</v>
      </c>
      <c r="Z983" s="102">
        <f t="shared" si="173"/>
        <v>0.19414487659138485</v>
      </c>
      <c r="AA983" s="102">
        <f t="shared" si="173"/>
        <v>0.19521441330550826</v>
      </c>
      <c r="AB983" s="102">
        <f t="shared" si="173"/>
        <v>0.19704381529413026</v>
      </c>
      <c r="AC983" s="102" t="e">
        <f t="shared" si="173"/>
        <v>#DIV/0!</v>
      </c>
      <c r="AD983" s="102" t="e">
        <f t="shared" si="173"/>
        <v>#DIV/0!</v>
      </c>
      <c r="AE983" s="102" t="e">
        <f t="shared" si="173"/>
        <v>#DIV/0!</v>
      </c>
      <c r="AF983" s="102" t="e">
        <f t="shared" si="173"/>
        <v>#DIV/0!</v>
      </c>
      <c r="AG983" s="102" t="e">
        <f t="shared" si="173"/>
        <v>#DIV/0!</v>
      </c>
      <c r="AH983" s="102" t="e">
        <f t="shared" si="173"/>
        <v>#DIV/0!</v>
      </c>
      <c r="AI983" s="102" t="e">
        <f t="shared" si="173"/>
        <v>#DIV/0!</v>
      </c>
      <c r="AJ983" s="102" t="e">
        <f t="shared" si="173"/>
        <v>#DIV/0!</v>
      </c>
      <c r="AK983" s="102" t="e">
        <f t="shared" si="173"/>
        <v>#DIV/0!</v>
      </c>
    </row>
    <row r="984" spans="1:37" s="4" customFormat="1" x14ac:dyDescent="0.25">
      <c r="B984" s="44"/>
      <c r="D984" s="4" t="s">
        <v>1302</v>
      </c>
      <c r="H984" s="4" t="s">
        <v>1303</v>
      </c>
      <c r="I984" s="69"/>
      <c r="J984" s="69"/>
      <c r="K984" s="69"/>
      <c r="L984" s="69"/>
      <c r="M984" s="69"/>
      <c r="N984" s="69"/>
      <c r="O984" s="69"/>
      <c r="P984" s="69"/>
      <c r="Q984" s="102">
        <f>SUM(Datasheet!Q720:Q721)/(Datasheet!Q719-Datasheet!Q722)</f>
        <v>0.16440340394713018</v>
      </c>
      <c r="R984" s="102">
        <f>SUM(Datasheet!R720:R721)/(Datasheet!R719-Datasheet!R722)</f>
        <v>0.18930390492359933</v>
      </c>
      <c r="S984" s="102">
        <f>SUM(Datasheet!S720:S721)/(Datasheet!S719-Datasheet!S722)</f>
        <v>0.13436647001849081</v>
      </c>
      <c r="T984" s="102">
        <f>SUM(Datasheet!T720:T721)/(Datasheet!T719-Datasheet!T722)</f>
        <v>0.12490839508183373</v>
      </c>
      <c r="U984" s="102">
        <f>SUM(Datasheet!U720:U721)/(Datasheet!U719-Datasheet!U722)</f>
        <v>0.14424609499521837</v>
      </c>
      <c r="V984" s="102">
        <f>SUM(Datasheet!V720:V721)/(Datasheet!V719-Datasheet!V722)</f>
        <v>0.14095704020791927</v>
      </c>
      <c r="W984" s="102">
        <f>SUM(Datasheet!W720:W721)/(Datasheet!W719-Datasheet!W722)</f>
        <v>0.15356683561540208</v>
      </c>
      <c r="X984" s="102">
        <f>SUM(Datasheet!X720:X721)/(Datasheet!X719-Datasheet!X722)</f>
        <v>0.14871448916872798</v>
      </c>
      <c r="Y984" s="102">
        <f>SUM(Datasheet!Y720:Y721)/(Datasheet!Y719-Datasheet!Y722)</f>
        <v>0.17080816576190841</v>
      </c>
      <c r="Z984" s="102">
        <f>SUM(Datasheet!Z720:Z721)/(Datasheet!Z719-Datasheet!Z722)</f>
        <v>0.15062313632540714</v>
      </c>
      <c r="AA984" s="102">
        <f>SUM(Datasheet!AA720:AA721)/(Datasheet!AA719-Datasheet!AA722)</f>
        <v>0.15145291343374412</v>
      </c>
      <c r="AB984" s="102">
        <f>SUM(Datasheet!AB720:AB721)/(Datasheet!AB719-Datasheet!AB722)</f>
        <v>0.15287221570926143</v>
      </c>
      <c r="AC984" s="102" t="e">
        <f>SUM(Datasheet!AC720:AC721)/(Datasheet!AC719-Datasheet!AC722)</f>
        <v>#DIV/0!</v>
      </c>
      <c r="AD984" s="102" t="e">
        <f>SUM(Datasheet!AD720:AD721)/(Datasheet!AD719-Datasheet!AD722)</f>
        <v>#DIV/0!</v>
      </c>
      <c r="AE984" s="102" t="e">
        <f>SUM(Datasheet!AE720:AE721)/(Datasheet!AE719-Datasheet!AE722)</f>
        <v>#DIV/0!</v>
      </c>
      <c r="AF984" s="102" t="e">
        <f>SUM(Datasheet!AF720:AF721)/(Datasheet!AF719-Datasheet!AF722)</f>
        <v>#DIV/0!</v>
      </c>
      <c r="AG984" s="102" t="e">
        <f>SUM(Datasheet!AG720:AG721)/(Datasheet!AG719-Datasheet!AG722)</f>
        <v>#DIV/0!</v>
      </c>
      <c r="AH984" s="102" t="e">
        <f>SUM(Datasheet!AH720:AH721)/(Datasheet!AH719-Datasheet!AH722)</f>
        <v>#DIV/0!</v>
      </c>
      <c r="AI984" s="102" t="e">
        <f>SUM(Datasheet!AI720:AI721)/(Datasheet!AI719-Datasheet!AI722)</f>
        <v>#DIV/0!</v>
      </c>
      <c r="AJ984" s="102" t="e">
        <f>SUM(Datasheet!AJ720:AJ721)/(Datasheet!AJ719-Datasheet!AJ722)</f>
        <v>#DIV/0!</v>
      </c>
      <c r="AK984" s="102" t="e">
        <f>SUM(Datasheet!AK720:AK721)/(Datasheet!AK719-Datasheet!AK722)</f>
        <v>#DIV/0!</v>
      </c>
    </row>
    <row r="985" spans="1:37" s="4" customFormat="1" x14ac:dyDescent="0.25">
      <c r="B985" s="44"/>
      <c r="C985" s="181"/>
      <c r="D985" s="4" t="s">
        <v>1304</v>
      </c>
      <c r="H985" s="4" t="s">
        <v>1301</v>
      </c>
      <c r="I985" s="69"/>
      <c r="J985" s="69"/>
      <c r="K985" s="69"/>
      <c r="L985" s="69"/>
      <c r="M985" s="69"/>
      <c r="N985" s="69"/>
      <c r="O985" s="69"/>
      <c r="P985" s="69"/>
      <c r="Q985" s="102"/>
      <c r="R985" s="102"/>
      <c r="S985" s="102"/>
      <c r="T985" s="102">
        <v>0.161</v>
      </c>
      <c r="U985" s="102"/>
      <c r="V985" s="102"/>
      <c r="W985" s="102"/>
      <c r="X985" s="102"/>
      <c r="Y985" s="102"/>
      <c r="Z985" s="102"/>
      <c r="AA985" s="102"/>
      <c r="AB985" s="102"/>
      <c r="AC985" s="102"/>
      <c r="AD985" s="102"/>
      <c r="AE985" s="102"/>
      <c r="AF985" s="102"/>
      <c r="AG985" s="102"/>
      <c r="AH985" s="102"/>
      <c r="AI985" s="102"/>
      <c r="AJ985" s="102"/>
      <c r="AK985" s="102"/>
    </row>
    <row r="986" spans="1:37" s="66" customFormat="1" x14ac:dyDescent="0.25">
      <c r="B986" s="67"/>
      <c r="I986" s="96"/>
      <c r="J986" s="96"/>
      <c r="K986" s="96"/>
      <c r="L986" s="96"/>
      <c r="M986" s="96"/>
      <c r="N986" s="96"/>
      <c r="O986" s="96"/>
      <c r="P986" s="96"/>
      <c r="Q986" s="96"/>
      <c r="R986" s="96"/>
      <c r="S986" s="96"/>
      <c r="T986" s="96"/>
      <c r="U986" s="96"/>
      <c r="V986" s="96"/>
      <c r="W986" s="96"/>
      <c r="X986" s="96"/>
      <c r="Y986" s="96"/>
      <c r="Z986" s="96"/>
      <c r="AA986" s="96"/>
      <c r="AB986" s="96"/>
      <c r="AC986" s="96"/>
      <c r="AD986" s="96"/>
      <c r="AE986" s="96"/>
      <c r="AF986" s="96"/>
      <c r="AG986" s="96"/>
      <c r="AH986" s="96"/>
      <c r="AI986" s="96"/>
      <c r="AJ986" s="96"/>
      <c r="AK986" s="96"/>
    </row>
    <row r="987" spans="1:37" s="70" customFormat="1" ht="17.25" x14ac:dyDescent="0.3">
      <c r="A987" s="70" t="s">
        <v>530</v>
      </c>
    </row>
    <row r="988" spans="1:37" x14ac:dyDescent="0.25">
      <c r="B988" s="29" t="s">
        <v>877</v>
      </c>
      <c r="C988" t="s">
        <v>754</v>
      </c>
    </row>
    <row r="989" spans="1:37" x14ac:dyDescent="0.25">
      <c r="B989" s="29" t="s">
        <v>879</v>
      </c>
      <c r="C989" t="s">
        <v>1305</v>
      </c>
    </row>
    <row r="990" spans="1:37" x14ac:dyDescent="0.25">
      <c r="B990" s="29" t="s">
        <v>881</v>
      </c>
      <c r="C990" t="s">
        <v>1306</v>
      </c>
    </row>
    <row r="991" spans="1:37" x14ac:dyDescent="0.25">
      <c r="B991" s="29" t="s">
        <v>883</v>
      </c>
      <c r="C991" s="263" t="s">
        <v>1307</v>
      </c>
    </row>
    <row r="992" spans="1:37" x14ac:dyDescent="0.25">
      <c r="B992" s="29" t="s">
        <v>885</v>
      </c>
      <c r="C992" t="s">
        <v>1308</v>
      </c>
    </row>
    <row r="993" spans="2:37" x14ac:dyDescent="0.25">
      <c r="B993" s="29" t="s">
        <v>886</v>
      </c>
      <c r="C993" t="s">
        <v>1309</v>
      </c>
    </row>
    <row r="994" spans="2:37" x14ac:dyDescent="0.25">
      <c r="B994" s="29" t="s">
        <v>887</v>
      </c>
      <c r="C994" t="s">
        <v>1310</v>
      </c>
    </row>
    <row r="995" spans="2:37" x14ac:dyDescent="0.25">
      <c r="B995" s="29"/>
      <c r="C995" t="s">
        <v>1311</v>
      </c>
    </row>
    <row r="996" spans="2:37" x14ac:dyDescent="0.25">
      <c r="B996" s="29"/>
      <c r="C996" t="s">
        <v>1312</v>
      </c>
    </row>
    <row r="997" spans="2:37" x14ac:dyDescent="0.25">
      <c r="B997" s="29"/>
      <c r="C997" t="s">
        <v>1313</v>
      </c>
    </row>
    <row r="998" spans="2:37" s="88" customFormat="1" ht="15.75" thickBot="1" x14ac:dyDescent="0.3">
      <c r="B998" s="95" t="s">
        <v>19</v>
      </c>
      <c r="C998" s="88" t="s">
        <v>1314</v>
      </c>
    </row>
    <row r="999" spans="2:37" s="4" customFormat="1" ht="15.75" thickTop="1" x14ac:dyDescent="0.25">
      <c r="B999" s="44"/>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row>
    <row r="1000" spans="2:37" s="4" customFormat="1" x14ac:dyDescent="0.25">
      <c r="B1000" s="44"/>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row>
    <row r="1001" spans="2:37" s="4" customFormat="1" x14ac:dyDescent="0.25">
      <c r="B1001" s="44"/>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row>
    <row r="1002" spans="2:37" s="4" customFormat="1" x14ac:dyDescent="0.25">
      <c r="B1002" s="44"/>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row>
    <row r="1003" spans="2:37" s="4" customFormat="1" x14ac:dyDescent="0.25">
      <c r="B1003" s="44"/>
      <c r="I1003" s="69"/>
      <c r="J1003" s="69"/>
      <c r="K1003" s="69"/>
      <c r="L1003" s="69"/>
      <c r="M1003" s="69"/>
      <c r="N1003" s="69"/>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row>
    <row r="1004" spans="2:37" s="4" customFormat="1" x14ac:dyDescent="0.25">
      <c r="B1004" s="44"/>
      <c r="I1004" s="69"/>
      <c r="J1004" s="69"/>
      <c r="K1004" s="69"/>
      <c r="L1004" s="69"/>
      <c r="M1004" s="69"/>
      <c r="N1004" s="69"/>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row>
    <row r="1005" spans="2:37" s="4" customFormat="1" x14ac:dyDescent="0.25">
      <c r="B1005" s="44"/>
      <c r="I1005" s="69"/>
      <c r="J1005" s="69"/>
      <c r="K1005" s="69"/>
      <c r="L1005" s="69"/>
      <c r="M1005" s="69"/>
      <c r="N1005" s="69"/>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row>
    <row r="1006" spans="2:37" s="4" customFormat="1" x14ac:dyDescent="0.25">
      <c r="B1006" s="44"/>
      <c r="I1006" s="69"/>
      <c r="J1006" s="69"/>
      <c r="K1006" s="69"/>
      <c r="L1006" s="69"/>
      <c r="M1006" s="69"/>
      <c r="N1006" s="69"/>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row>
    <row r="1007" spans="2:37" s="4" customFormat="1" x14ac:dyDescent="0.25">
      <c r="B1007" s="44"/>
      <c r="I1007" s="69"/>
      <c r="J1007" s="69"/>
      <c r="K1007" s="69"/>
      <c r="L1007" s="69"/>
      <c r="M1007" s="69"/>
      <c r="N1007" s="69"/>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row>
    <row r="1008" spans="2:37" s="4" customFormat="1" x14ac:dyDescent="0.25">
      <c r="B1008" s="44"/>
      <c r="I1008" s="69"/>
      <c r="J1008" s="69"/>
      <c r="K1008" s="69"/>
      <c r="L1008" s="69"/>
      <c r="M1008" s="69"/>
      <c r="N1008" s="69"/>
      <c r="O1008" s="69"/>
      <c r="P1008" s="69"/>
      <c r="Q1008" s="69"/>
      <c r="R1008" s="69"/>
      <c r="S1008" s="69"/>
      <c r="T1008" s="69"/>
      <c r="U1008" s="69"/>
      <c r="V1008" s="69"/>
      <c r="W1008" s="69"/>
      <c r="X1008" s="69"/>
      <c r="Y1008" s="69"/>
      <c r="Z1008" s="69"/>
      <c r="AA1008" s="69"/>
      <c r="AB1008" s="69"/>
      <c r="AC1008" s="69"/>
      <c r="AD1008" s="69"/>
      <c r="AE1008" s="69"/>
      <c r="AF1008" s="69"/>
      <c r="AG1008" s="69"/>
      <c r="AH1008" s="69"/>
      <c r="AI1008" s="69"/>
      <c r="AJ1008" s="69"/>
      <c r="AK1008" s="69"/>
    </row>
    <row r="1009" spans="2:37" s="4" customFormat="1" x14ac:dyDescent="0.25">
      <c r="B1009" s="44"/>
      <c r="I1009" s="69"/>
      <c r="J1009" s="69"/>
      <c r="K1009" s="69"/>
      <c r="L1009" s="69"/>
      <c r="M1009" s="69"/>
      <c r="N1009" s="69"/>
      <c r="O1009" s="69"/>
      <c r="P1009" s="69"/>
      <c r="Q1009" s="69"/>
      <c r="R1009" s="69"/>
      <c r="S1009" s="69"/>
      <c r="T1009" s="69"/>
      <c r="U1009" s="69"/>
      <c r="V1009" s="69"/>
      <c r="W1009" s="69"/>
      <c r="X1009" s="69"/>
      <c r="Y1009" s="69"/>
      <c r="Z1009" s="69"/>
      <c r="AA1009" s="69"/>
      <c r="AB1009" s="69"/>
      <c r="AC1009" s="69"/>
      <c r="AD1009" s="69"/>
      <c r="AE1009" s="69"/>
      <c r="AF1009" s="69"/>
      <c r="AG1009" s="69"/>
      <c r="AH1009" s="69"/>
      <c r="AI1009" s="69"/>
      <c r="AJ1009" s="69"/>
      <c r="AK1009" s="69"/>
    </row>
    <row r="1010" spans="2:37" s="4" customFormat="1" x14ac:dyDescent="0.25">
      <c r="B1010" s="44"/>
      <c r="I1010" s="69"/>
      <c r="J1010" s="69"/>
      <c r="K1010" s="69"/>
      <c r="L1010" s="69"/>
      <c r="M1010" s="69"/>
      <c r="N1010" s="69"/>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row>
    <row r="1011" spans="2:37" s="4" customFormat="1" x14ac:dyDescent="0.25">
      <c r="B1011" s="44"/>
      <c r="I1011" s="69"/>
      <c r="J1011" s="69"/>
      <c r="K1011" s="69"/>
      <c r="L1011" s="69"/>
      <c r="M1011" s="69"/>
      <c r="N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row>
    <row r="1012" spans="2:37" s="4" customFormat="1" x14ac:dyDescent="0.25">
      <c r="B1012" s="44"/>
      <c r="I1012" s="69"/>
      <c r="J1012" s="69"/>
      <c r="K1012" s="69"/>
      <c r="L1012" s="69"/>
      <c r="M1012" s="69"/>
      <c r="N1012" s="69"/>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row>
    <row r="1013" spans="2:37" s="4" customFormat="1" x14ac:dyDescent="0.25">
      <c r="B1013" s="44"/>
      <c r="I1013" s="69"/>
      <c r="J1013" s="69"/>
      <c r="K1013" s="69"/>
      <c r="L1013" s="69"/>
      <c r="M1013" s="69"/>
      <c r="N1013" s="69"/>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row>
    <row r="1014" spans="2:37" s="4" customFormat="1" x14ac:dyDescent="0.25">
      <c r="B1014" s="44" t="s">
        <v>21</v>
      </c>
      <c r="C1014" s="4" t="s">
        <v>1315</v>
      </c>
      <c r="I1014" s="69"/>
      <c r="J1014" s="69"/>
      <c r="K1014" s="69"/>
      <c r="L1014" s="69"/>
      <c r="M1014" s="69"/>
      <c r="N1014" s="69"/>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row>
    <row r="1015" spans="2:37" s="79" customFormat="1" x14ac:dyDescent="0.25">
      <c r="B1015" s="136"/>
      <c r="E1015" s="79" t="s">
        <v>1316</v>
      </c>
      <c r="I1015" s="100">
        <v>100000</v>
      </c>
      <c r="J1015" s="100">
        <v>100000</v>
      </c>
      <c r="K1015" s="100">
        <v>100000</v>
      </c>
      <c r="L1015" s="100">
        <v>100000</v>
      </c>
      <c r="M1015" s="100">
        <v>100000</v>
      </c>
      <c r="N1015" s="100">
        <v>100000</v>
      </c>
      <c r="O1015" s="100">
        <v>100000</v>
      </c>
      <c r="P1015" s="100">
        <v>100000</v>
      </c>
      <c r="Q1015" s="100">
        <v>100000</v>
      </c>
      <c r="R1015" s="100">
        <v>100000</v>
      </c>
      <c r="S1015" s="100">
        <v>100000</v>
      </c>
      <c r="T1015" s="100">
        <v>100000</v>
      </c>
      <c r="U1015" s="100">
        <v>100000</v>
      </c>
      <c r="V1015" s="100">
        <v>100000</v>
      </c>
      <c r="W1015" s="100">
        <v>100000</v>
      </c>
      <c r="X1015" s="100">
        <v>100000</v>
      </c>
      <c r="Y1015" s="100">
        <v>100000</v>
      </c>
      <c r="Z1015" s="100">
        <v>100000</v>
      </c>
      <c r="AA1015" s="100">
        <v>100000</v>
      </c>
      <c r="AB1015" s="100">
        <v>100000</v>
      </c>
      <c r="AC1015" s="100">
        <v>100000</v>
      </c>
      <c r="AD1015" s="100">
        <v>100000</v>
      </c>
      <c r="AE1015" s="100">
        <v>100000</v>
      </c>
      <c r="AF1015" s="100">
        <v>100000</v>
      </c>
      <c r="AG1015" s="100">
        <v>100000</v>
      </c>
      <c r="AH1015" s="100">
        <v>100000</v>
      </c>
      <c r="AI1015" s="100">
        <v>100000</v>
      </c>
      <c r="AJ1015" s="100">
        <v>100000</v>
      </c>
      <c r="AK1015" s="100">
        <v>100000</v>
      </c>
    </row>
    <row r="1016" spans="2:37" s="4" customFormat="1" x14ac:dyDescent="0.25">
      <c r="B1016" s="44"/>
      <c r="C1016" s="181"/>
      <c r="D1016" s="4" t="s">
        <v>1317</v>
      </c>
      <c r="H1016" s="4" t="s">
        <v>1318</v>
      </c>
      <c r="I1016" s="69">
        <v>20000</v>
      </c>
      <c r="J1016" s="69">
        <v>20000</v>
      </c>
      <c r="K1016" s="69">
        <v>20000</v>
      </c>
      <c r="L1016" s="69">
        <v>20000</v>
      </c>
      <c r="M1016" s="69">
        <v>20000</v>
      </c>
      <c r="N1016" s="69">
        <v>20000</v>
      </c>
      <c r="O1016" s="69">
        <v>20000</v>
      </c>
      <c r="P1016" s="69">
        <v>20000</v>
      </c>
      <c r="Q1016" s="69">
        <v>20000</v>
      </c>
      <c r="R1016" s="69">
        <v>20000</v>
      </c>
      <c r="S1016" s="69">
        <v>20000</v>
      </c>
      <c r="T1016" s="69">
        <v>20000</v>
      </c>
      <c r="U1016" s="69">
        <v>20000</v>
      </c>
      <c r="V1016" s="69">
        <v>20000</v>
      </c>
      <c r="W1016" s="69">
        <v>20000</v>
      </c>
      <c r="X1016" s="69">
        <v>20000</v>
      </c>
      <c r="Y1016" s="69">
        <v>20000</v>
      </c>
      <c r="Z1016" s="69">
        <v>20000</v>
      </c>
      <c r="AA1016" s="69">
        <v>20000</v>
      </c>
      <c r="AB1016" s="69">
        <v>20000</v>
      </c>
      <c r="AC1016" s="69">
        <v>20000</v>
      </c>
      <c r="AD1016" s="69">
        <v>20000</v>
      </c>
      <c r="AE1016" s="69">
        <v>20000</v>
      </c>
      <c r="AF1016" s="69">
        <v>20000</v>
      </c>
      <c r="AG1016" s="69">
        <v>20000</v>
      </c>
      <c r="AH1016" s="69">
        <v>20000</v>
      </c>
      <c r="AI1016" s="69">
        <v>20000</v>
      </c>
      <c r="AJ1016" s="69">
        <v>20000</v>
      </c>
      <c r="AK1016" s="69">
        <v>20000</v>
      </c>
    </row>
    <row r="1017" spans="2:37" s="79" customFormat="1" x14ac:dyDescent="0.25">
      <c r="B1017" s="136"/>
      <c r="E1017" s="79" t="s">
        <v>1319</v>
      </c>
      <c r="I1017" s="100">
        <f>I1016-I1018</f>
        <v>1400</v>
      </c>
      <c r="J1017" s="100">
        <f t="shared" ref="J1017:AK1017" si="174">J1016-J1018</f>
        <v>1400</v>
      </c>
      <c r="K1017" s="100">
        <f t="shared" si="174"/>
        <v>1400</v>
      </c>
      <c r="L1017" s="100">
        <f t="shared" si="174"/>
        <v>1400</v>
      </c>
      <c r="M1017" s="100">
        <f t="shared" si="174"/>
        <v>1400</v>
      </c>
      <c r="N1017" s="100">
        <f t="shared" si="174"/>
        <v>1400</v>
      </c>
      <c r="O1017" s="100">
        <f t="shared" si="174"/>
        <v>1400</v>
      </c>
      <c r="P1017" s="100">
        <f t="shared" si="174"/>
        <v>1400</v>
      </c>
      <c r="Q1017" s="100">
        <f t="shared" si="174"/>
        <v>1400</v>
      </c>
      <c r="R1017" s="100">
        <f t="shared" si="174"/>
        <v>1400</v>
      </c>
      <c r="S1017" s="100">
        <f t="shared" si="174"/>
        <v>1400</v>
      </c>
      <c r="T1017" s="100">
        <f t="shared" si="174"/>
        <v>1400</v>
      </c>
      <c r="U1017" s="100">
        <f t="shared" si="174"/>
        <v>1400</v>
      </c>
      <c r="V1017" s="100">
        <f t="shared" si="174"/>
        <v>1400</v>
      </c>
      <c r="W1017" s="100">
        <f t="shared" si="174"/>
        <v>1400</v>
      </c>
      <c r="X1017" s="100">
        <f t="shared" si="174"/>
        <v>1400</v>
      </c>
      <c r="Y1017" s="100">
        <f t="shared" si="174"/>
        <v>1400</v>
      </c>
      <c r="Z1017" s="100">
        <f t="shared" si="174"/>
        <v>1400</v>
      </c>
      <c r="AA1017" s="100">
        <f t="shared" si="174"/>
        <v>1400</v>
      </c>
      <c r="AB1017" s="100">
        <f t="shared" si="174"/>
        <v>1400</v>
      </c>
      <c r="AC1017" s="100">
        <f t="shared" si="174"/>
        <v>1400</v>
      </c>
      <c r="AD1017" s="100">
        <f t="shared" si="174"/>
        <v>1400</v>
      </c>
      <c r="AE1017" s="100">
        <f t="shared" si="174"/>
        <v>1400</v>
      </c>
      <c r="AF1017" s="100">
        <f t="shared" si="174"/>
        <v>1400</v>
      </c>
      <c r="AG1017" s="100">
        <f t="shared" si="174"/>
        <v>1400</v>
      </c>
      <c r="AH1017" s="100">
        <f t="shared" si="174"/>
        <v>1400</v>
      </c>
      <c r="AI1017" s="100">
        <f t="shared" si="174"/>
        <v>1400</v>
      </c>
      <c r="AJ1017" s="100">
        <f t="shared" si="174"/>
        <v>1400</v>
      </c>
      <c r="AK1017" s="100">
        <f t="shared" si="174"/>
        <v>1400</v>
      </c>
    </row>
    <row r="1018" spans="2:37" s="4" customFormat="1" x14ac:dyDescent="0.25">
      <c r="B1018" s="44"/>
      <c r="C1018" s="181"/>
      <c r="D1018" s="4" t="s">
        <v>1320</v>
      </c>
      <c r="H1018" s="4" t="s">
        <v>1318</v>
      </c>
      <c r="I1018" s="69">
        <v>18600</v>
      </c>
      <c r="J1018" s="69">
        <v>18600</v>
      </c>
      <c r="K1018" s="69">
        <v>18600</v>
      </c>
      <c r="L1018" s="69">
        <v>18600</v>
      </c>
      <c r="M1018" s="69">
        <v>18600</v>
      </c>
      <c r="N1018" s="69">
        <v>18600</v>
      </c>
      <c r="O1018" s="69">
        <v>18600</v>
      </c>
      <c r="P1018" s="69">
        <v>18600</v>
      </c>
      <c r="Q1018" s="69">
        <v>18600</v>
      </c>
      <c r="R1018" s="69">
        <v>18600</v>
      </c>
      <c r="S1018" s="69">
        <v>18600</v>
      </c>
      <c r="T1018" s="69">
        <v>18600</v>
      </c>
      <c r="U1018" s="69">
        <v>18600</v>
      </c>
      <c r="V1018" s="69">
        <v>18600</v>
      </c>
      <c r="W1018" s="69">
        <v>18600</v>
      </c>
      <c r="X1018" s="69">
        <v>18600</v>
      </c>
      <c r="Y1018" s="69">
        <v>18600</v>
      </c>
      <c r="Z1018" s="69">
        <v>18600</v>
      </c>
      <c r="AA1018" s="69">
        <v>18600</v>
      </c>
      <c r="AB1018" s="69">
        <v>18600</v>
      </c>
      <c r="AC1018" s="69">
        <v>18600</v>
      </c>
      <c r="AD1018" s="69">
        <v>18600</v>
      </c>
      <c r="AE1018" s="69">
        <v>18600</v>
      </c>
      <c r="AF1018" s="69">
        <v>18600</v>
      </c>
      <c r="AG1018" s="69">
        <v>18600</v>
      </c>
      <c r="AH1018" s="69">
        <v>18600</v>
      </c>
      <c r="AI1018" s="69">
        <v>18600</v>
      </c>
      <c r="AJ1018" s="69">
        <v>18600</v>
      </c>
      <c r="AK1018" s="69">
        <v>18600</v>
      </c>
    </row>
    <row r="1019" spans="2:37" s="4" customFormat="1" x14ac:dyDescent="0.25">
      <c r="B1019" s="44"/>
      <c r="C1019" s="181"/>
      <c r="D1019" s="4" t="s">
        <v>1321</v>
      </c>
      <c r="H1019" s="4" t="s">
        <v>1318</v>
      </c>
      <c r="I1019" s="69"/>
      <c r="J1019" s="69"/>
      <c r="K1019" s="69"/>
      <c r="L1019" s="69"/>
      <c r="M1019" s="69"/>
      <c r="N1019" s="69"/>
      <c r="O1019" s="69"/>
      <c r="P1019" s="69">
        <f>_xlfn.FORECAST.LINEAR(P$2,CHOOSE({1;2},23800,27000),CHOOSE({1;2},2024,2035))</f>
        <v>19436.363636363647</v>
      </c>
      <c r="Q1019" s="69">
        <f>_xlfn.FORECAST.LINEAR(Q$2,CHOOSE({1;2},23800,27000),CHOOSE({1;2},2024,2035))</f>
        <v>19727.272727272823</v>
      </c>
      <c r="R1019" s="69">
        <f>_xlfn.FORECAST.LINEAR(R$2,CHOOSE({1;2},23800,27000),CHOOSE({1;2},2024,2035))</f>
        <v>20018.181818181882</v>
      </c>
      <c r="S1019" s="69">
        <f>_xlfn.FORECAST.LINEAR(S$2,CHOOSE({1;2},23800,27000),CHOOSE({1;2},2024,2035))</f>
        <v>20309.090909090941</v>
      </c>
      <c r="T1019" s="69">
        <f>_xlfn.FORECAST.LINEAR(T$2,CHOOSE({1;2},23800,27000),CHOOSE({1;2},2024,2035))</f>
        <v>20600</v>
      </c>
      <c r="U1019" s="69">
        <f>_xlfn.FORECAST.LINEAR(U$2,CHOOSE({1;2},23800,27000),CHOOSE({1;2},2024,2035))</f>
        <v>20890.909090909176</v>
      </c>
      <c r="V1019" s="69">
        <f>_xlfn.FORECAST.LINEAR(V$2,CHOOSE({1;2},23800,27000),CHOOSE({1;2},2024,2035))</f>
        <v>21181.818181818235</v>
      </c>
      <c r="W1019" s="69">
        <f>_xlfn.FORECAST.LINEAR(W$2,CHOOSE({1;2},23800,27000),CHOOSE({1;2},2024,2035))</f>
        <v>21472.727272727294</v>
      </c>
      <c r="X1019" s="69">
        <f>_xlfn.FORECAST.LINEAR(X$2,CHOOSE({1;2},23800,27000),CHOOSE({1;2},2024,2035))</f>
        <v>21763.636363636469</v>
      </c>
      <c r="Y1019" s="69">
        <f>_xlfn.FORECAST.LINEAR(Y$2,CHOOSE({1;2},23800,27000),CHOOSE({1;2},2024,2035))</f>
        <v>22054.545454545529</v>
      </c>
      <c r="Z1019" s="69">
        <f>_xlfn.FORECAST.LINEAR(Z$2,CHOOSE({1;2},23800,27000),CHOOSE({1;2},2024,2035))</f>
        <v>22345.454545454588</v>
      </c>
      <c r="AA1019" s="69">
        <f>_xlfn.FORECAST.LINEAR(AA$2,CHOOSE({1;2},23800,27000),CHOOSE({1;2},2024,2035))</f>
        <v>22636.363636363647</v>
      </c>
      <c r="AB1019" s="69">
        <f>_xlfn.FORECAST.LINEAR(AB$2,CHOOSE({1;2},23800,27000),CHOOSE({1;2},2024,2035))</f>
        <v>22927.272727272823</v>
      </c>
      <c r="AC1019" s="69">
        <f>_xlfn.FORECAST.LINEAR(AC$2,CHOOSE({1;2},23800,27000),CHOOSE({1;2},2024,2035))</f>
        <v>23218.181818181882</v>
      </c>
      <c r="AD1019" s="69">
        <f>_xlfn.FORECAST.LINEAR(AD$2,CHOOSE({1;2},23800,27000),CHOOSE({1;2},2024,2035))</f>
        <v>23509.090909090941</v>
      </c>
      <c r="AE1019" s="69">
        <f>_xlfn.FORECAST.LINEAR(AE$2,CHOOSE({1;2},23800,27000),CHOOSE({1;2},2024,2035))</f>
        <v>23800</v>
      </c>
      <c r="AF1019" s="69">
        <f>_xlfn.FORECAST.LINEAR(AF$2,CHOOSE({1;2},23800,27000),CHOOSE({1;2},2024,2035))</f>
        <v>24090.909090909176</v>
      </c>
      <c r="AG1019" s="69">
        <f>_xlfn.FORECAST.LINEAR(AG$2,CHOOSE({1;2},23800,27000),CHOOSE({1;2},2024,2035))</f>
        <v>24381.818181818235</v>
      </c>
      <c r="AH1019" s="69">
        <f>_xlfn.FORECAST.LINEAR(AH$2,CHOOSE({1;2},23800,27000),CHOOSE({1;2},2024,2035))</f>
        <v>24672.727272727294</v>
      </c>
      <c r="AI1019" s="69">
        <f>_xlfn.FORECAST.LINEAR(AI$2,CHOOSE({1;2},23800,27000),CHOOSE({1;2},2024,2035))</f>
        <v>24963.636363636469</v>
      </c>
      <c r="AJ1019" s="69">
        <f>_xlfn.FORECAST.LINEAR(AJ$2,CHOOSE({1;2},23800,27000),CHOOSE({1;2},2024,2035))</f>
        <v>25254.545454545529</v>
      </c>
      <c r="AK1019" s="69">
        <f>_xlfn.FORECAST.LINEAR(AK$2,CHOOSE({1;2},23800,27000),CHOOSE({1;2},2024,2035))</f>
        <v>25545.454545454588</v>
      </c>
    </row>
    <row r="1020" spans="2:37" s="4" customFormat="1" x14ac:dyDescent="0.25">
      <c r="B1020" s="44"/>
      <c r="C1020" s="181"/>
      <c r="D1020" s="4" t="s">
        <v>1322</v>
      </c>
      <c r="H1020" s="4" t="s">
        <v>1318</v>
      </c>
      <c r="I1020" s="69"/>
      <c r="J1020" s="69"/>
      <c r="K1020" s="69"/>
      <c r="L1020" s="69"/>
      <c r="M1020" s="69"/>
      <c r="N1020" s="69"/>
      <c r="O1020" s="69"/>
      <c r="P1020" s="69"/>
      <c r="Q1020" s="69"/>
      <c r="R1020" s="69"/>
      <c r="S1020" s="69"/>
      <c r="T1020" s="69"/>
      <c r="U1020" s="69"/>
      <c r="V1020" s="69"/>
      <c r="W1020" s="69">
        <f>_xlfn.FORECAST.LINEAR(W$2,CHOOSE({1;2},22700,24400),CHOOSE({1;2},2024,2035))</f>
        <v>21463.636363636353</v>
      </c>
      <c r="X1020" s="69">
        <f>_xlfn.FORECAST.LINEAR(X$2,CHOOSE({1;2},22700,24400),CHOOSE({1;2},2024,2035))</f>
        <v>21618.181818181765</v>
      </c>
      <c r="Y1020" s="69">
        <f>_xlfn.FORECAST.LINEAR(Y$2,CHOOSE({1;2},22700,24400),CHOOSE({1;2},2024,2035))</f>
        <v>21772.727272727236</v>
      </c>
      <c r="Z1020" s="69">
        <f>_xlfn.FORECAST.LINEAR(Z$2,CHOOSE({1;2},22700,24400),CHOOSE({1;2},2024,2035))</f>
        <v>21927.272727272706</v>
      </c>
      <c r="AA1020" s="69">
        <f>_xlfn.FORECAST.LINEAR(AA$2,CHOOSE({1;2},22700,24400),CHOOSE({1;2},2024,2035))</f>
        <v>22081.818181818177</v>
      </c>
      <c r="AB1020" s="69">
        <f>_xlfn.FORECAST.LINEAR(AB$2,CHOOSE({1;2},22700,24400),CHOOSE({1;2},2024,2035))</f>
        <v>22236.363636363589</v>
      </c>
      <c r="AC1020" s="69">
        <f>_xlfn.FORECAST.LINEAR(AC$2,CHOOSE({1;2},22700,24400),CHOOSE({1;2},2024,2035))</f>
        <v>22390.909090909059</v>
      </c>
      <c r="AD1020" s="69">
        <f>_xlfn.FORECAST.LINEAR(AD$2,CHOOSE({1;2},22700,24400),CHOOSE({1;2},2024,2035))</f>
        <v>22545.45454545453</v>
      </c>
      <c r="AE1020" s="69">
        <f>_xlfn.FORECAST.LINEAR(AE$2,CHOOSE({1;2},22700,24400),CHOOSE({1;2},2024,2035))</f>
        <v>22700</v>
      </c>
      <c r="AF1020" s="69">
        <f>_xlfn.FORECAST.LINEAR(AF$2,CHOOSE({1;2},22700,24400),CHOOSE({1;2},2024,2035))</f>
        <v>22854.545454545412</v>
      </c>
      <c r="AG1020" s="69">
        <f>_xlfn.FORECAST.LINEAR(AG$2,CHOOSE({1;2},22700,24400),CHOOSE({1;2},2024,2035))</f>
        <v>23009.090909090883</v>
      </c>
      <c r="AH1020" s="69">
        <f>_xlfn.FORECAST.LINEAR(AH$2,CHOOSE({1;2},22700,24400),CHOOSE({1;2},2024,2035))</f>
        <v>23163.636363636353</v>
      </c>
      <c r="AI1020" s="69">
        <f>_xlfn.FORECAST.LINEAR(AI$2,CHOOSE({1;2},22700,24400),CHOOSE({1;2},2024,2035))</f>
        <v>23318.181818181765</v>
      </c>
      <c r="AJ1020" s="69">
        <f>_xlfn.FORECAST.LINEAR(AJ$2,CHOOSE({1;2},22700,24400),CHOOSE({1;2},2024,2035))</f>
        <v>23472.727272727236</v>
      </c>
      <c r="AK1020" s="69">
        <f>_xlfn.FORECAST.LINEAR(AK$2,CHOOSE({1;2},22700,24400),CHOOSE({1;2},2024,2035))</f>
        <v>23627.272727272706</v>
      </c>
    </row>
    <row r="1021" spans="2:37" s="4" customFormat="1" x14ac:dyDescent="0.25">
      <c r="B1021" s="44"/>
      <c r="D1021" s="4" t="s">
        <v>1323</v>
      </c>
      <c r="H1021" s="4" t="s">
        <v>1318</v>
      </c>
      <c r="I1021" s="69" t="e">
        <f>AVERAGE(Datasheet!I1149:I1152)</f>
        <v>#DIV/0!</v>
      </c>
      <c r="J1021" s="69" t="e">
        <f>AVERAGE(Datasheet!J1149:J1152)</f>
        <v>#DIV/0!</v>
      </c>
      <c r="K1021" s="69" t="e">
        <f>AVERAGE(Datasheet!K1149:K1152)</f>
        <v>#DIV/0!</v>
      </c>
      <c r="L1021" s="69" t="e">
        <f>AVERAGE(Datasheet!L1149:L1152)</f>
        <v>#DIV/0!</v>
      </c>
      <c r="M1021" s="69" t="e">
        <f>AVERAGE(Datasheet!M1149:M1152)</f>
        <v>#DIV/0!</v>
      </c>
      <c r="N1021" s="69" t="e">
        <f>AVERAGE(Datasheet!N1149:N1152)</f>
        <v>#DIV/0!</v>
      </c>
      <c r="O1021" s="69" t="e">
        <f>AVERAGE(Datasheet!O1149:O1152)</f>
        <v>#DIV/0!</v>
      </c>
      <c r="P1021" s="69">
        <f>AVERAGE(Datasheet!P1149:P1152)</f>
        <v>20377.75</v>
      </c>
      <c r="Q1021" s="69">
        <f>AVERAGE(Datasheet!Q1149:Q1152)</f>
        <v>20220.25</v>
      </c>
      <c r="R1021" s="69">
        <f>AVERAGE(Datasheet!R1149:R1152)</f>
        <v>19752.75</v>
      </c>
      <c r="S1021" s="69">
        <f>AVERAGE(Datasheet!S1149:S1152)</f>
        <v>20511.75</v>
      </c>
      <c r="T1021" s="69">
        <f>AVERAGE(Datasheet!T1149:T1152)</f>
        <v>20922.5</v>
      </c>
      <c r="U1021" s="69">
        <f>AVERAGE(Datasheet!U1149:U1152)</f>
        <v>21379.25</v>
      </c>
      <c r="V1021" s="69">
        <f>AVERAGE(Datasheet!V1149:V1152)</f>
        <v>22202.25</v>
      </c>
      <c r="W1021" s="69">
        <f>AVERAGE(Datasheet!W1149:W1152)</f>
        <v>23337</v>
      </c>
      <c r="X1021" s="69">
        <f>AVERAGE(Datasheet!X1149:X1152)</f>
        <v>21767.5</v>
      </c>
      <c r="Y1021" s="69">
        <f>AVERAGE(Datasheet!Y1149:Y1152)</f>
        <v>22745</v>
      </c>
      <c r="Z1021" s="69">
        <f>AVERAGE(Datasheet!Z1149:Z1152)</f>
        <v>23378.25</v>
      </c>
      <c r="AA1021" s="69">
        <f>AVERAGE(Datasheet!AA1149:AA1152)</f>
        <v>22217.75</v>
      </c>
      <c r="AB1021" s="69">
        <f>AVERAGE(Datasheet!AB1149:AB1152)</f>
        <v>22474.25</v>
      </c>
      <c r="AC1021" s="69">
        <f>AVERAGE(Datasheet!AC1149:AC1152)</f>
        <v>24225</v>
      </c>
      <c r="AD1021" s="69" t="e">
        <f>AVERAGE(Datasheet!AD1149:AD1152)</f>
        <v>#DIV/0!</v>
      </c>
      <c r="AE1021" s="69" t="e">
        <f>AVERAGE(Datasheet!AE1149:AE1152)</f>
        <v>#DIV/0!</v>
      </c>
      <c r="AF1021" s="69" t="e">
        <f>AVERAGE(Datasheet!AF1149:AF1152)</f>
        <v>#DIV/0!</v>
      </c>
      <c r="AG1021" s="69" t="e">
        <f>AVERAGE(Datasheet!AG1149:AG1152)</f>
        <v>#DIV/0!</v>
      </c>
      <c r="AH1021" s="69" t="e">
        <f>AVERAGE(Datasheet!AH1149:AH1152)</f>
        <v>#DIV/0!</v>
      </c>
      <c r="AI1021" s="69" t="e">
        <f>AVERAGE(Datasheet!AI1149:AI1152)</f>
        <v>#DIV/0!</v>
      </c>
      <c r="AJ1021" s="69" t="e">
        <f>AVERAGE(Datasheet!AJ1149:AJ1152)</f>
        <v>#DIV/0!</v>
      </c>
      <c r="AK1021" s="69" t="e">
        <f>AVERAGE(Datasheet!AK1149:AK1152)</f>
        <v>#DIV/0!</v>
      </c>
    </row>
    <row r="1022" spans="2:37" s="4" customFormat="1" x14ac:dyDescent="0.25">
      <c r="B1022" s="44"/>
      <c r="I1022" s="69"/>
      <c r="J1022" s="69"/>
      <c r="K1022" s="69"/>
      <c r="L1022" s="69"/>
      <c r="M1022" s="69"/>
      <c r="N1022" s="69"/>
      <c r="O1022" s="69"/>
      <c r="P1022" s="69"/>
      <c r="Q1022" s="69"/>
      <c r="R1022" s="69"/>
      <c r="S1022" s="69"/>
      <c r="T1022" s="69"/>
      <c r="U1022" s="69"/>
      <c r="V1022" s="69"/>
      <c r="W1022" s="69"/>
      <c r="X1022" s="69"/>
      <c r="Y1022" s="69"/>
      <c r="Z1022" s="69"/>
      <c r="AA1022" s="69"/>
      <c r="AB1022" s="69"/>
      <c r="AC1022" s="69"/>
      <c r="AD1022" s="69"/>
      <c r="AE1022" s="69"/>
      <c r="AF1022" s="69"/>
      <c r="AG1022" s="69"/>
      <c r="AH1022" s="69"/>
      <c r="AI1022" s="69"/>
      <c r="AJ1022" s="69"/>
      <c r="AK1022" s="69"/>
    </row>
    <row r="1023" spans="2:37" s="4" customFormat="1" x14ac:dyDescent="0.25">
      <c r="B1023" s="44"/>
      <c r="I1023" s="69"/>
      <c r="J1023" s="69"/>
      <c r="K1023" s="69"/>
      <c r="L1023" s="69"/>
      <c r="M1023" s="69"/>
      <c r="N1023" s="69"/>
      <c r="O1023" s="69"/>
      <c r="P1023" s="69"/>
      <c r="Q1023" s="69"/>
      <c r="R1023" s="69"/>
      <c r="S1023" s="69"/>
      <c r="T1023" s="69"/>
      <c r="U1023" s="69"/>
      <c r="V1023" s="69"/>
      <c r="W1023" s="69"/>
      <c r="X1023" s="69"/>
      <c r="Y1023" s="69"/>
      <c r="Z1023" s="69"/>
      <c r="AA1023" s="69"/>
      <c r="AB1023" s="69"/>
      <c r="AC1023" s="69"/>
      <c r="AD1023" s="69"/>
      <c r="AE1023" s="69"/>
      <c r="AF1023" s="69"/>
      <c r="AG1023" s="69"/>
      <c r="AH1023" s="69"/>
      <c r="AI1023" s="69"/>
      <c r="AJ1023" s="69"/>
      <c r="AK1023" s="69"/>
    </row>
    <row r="1024" spans="2:37" s="4" customFormat="1" x14ac:dyDescent="0.25">
      <c r="B1024" s="44"/>
      <c r="I1024" s="69"/>
      <c r="J1024" s="69"/>
      <c r="K1024" s="69"/>
      <c r="L1024" s="69"/>
      <c r="M1024" s="69"/>
      <c r="N1024" s="69"/>
      <c r="O1024" s="69"/>
      <c r="P1024" s="69"/>
      <c r="Q1024" s="69"/>
      <c r="R1024" s="69"/>
      <c r="S1024" s="69"/>
      <c r="T1024" s="69"/>
      <c r="U1024" s="69"/>
      <c r="V1024" s="69"/>
      <c r="W1024" s="69"/>
      <c r="X1024" s="69"/>
      <c r="Y1024" s="69"/>
      <c r="Z1024" s="69"/>
      <c r="AA1024" s="69"/>
      <c r="AB1024" s="69"/>
      <c r="AC1024" s="69"/>
      <c r="AD1024" s="69"/>
      <c r="AE1024" s="69"/>
      <c r="AF1024" s="69"/>
      <c r="AG1024" s="69"/>
      <c r="AH1024" s="69"/>
      <c r="AI1024" s="69"/>
      <c r="AJ1024" s="69"/>
      <c r="AK1024" s="69"/>
    </row>
    <row r="1025" spans="2:37" s="4" customFormat="1" x14ac:dyDescent="0.25">
      <c r="B1025" s="44"/>
      <c r="I1025" s="69"/>
      <c r="J1025" s="69"/>
      <c r="K1025" s="69"/>
      <c r="L1025" s="69"/>
      <c r="M1025" s="69"/>
      <c r="N1025" s="69"/>
      <c r="O1025" s="69"/>
      <c r="P1025" s="69"/>
      <c r="Q1025" s="69"/>
      <c r="R1025" s="69"/>
      <c r="S1025" s="69"/>
      <c r="T1025" s="69"/>
      <c r="U1025" s="69"/>
      <c r="V1025" s="69"/>
      <c r="W1025" s="69"/>
      <c r="X1025" s="69"/>
      <c r="Y1025" s="69"/>
      <c r="Z1025" s="69"/>
      <c r="AA1025" s="69"/>
      <c r="AB1025" s="69"/>
      <c r="AC1025" s="69"/>
      <c r="AD1025" s="69"/>
      <c r="AE1025" s="69"/>
      <c r="AF1025" s="69"/>
      <c r="AG1025" s="69"/>
      <c r="AH1025" s="69"/>
      <c r="AI1025" s="69"/>
      <c r="AJ1025" s="69"/>
      <c r="AK1025" s="69"/>
    </row>
    <row r="1026" spans="2:37" s="4" customFormat="1" x14ac:dyDescent="0.25">
      <c r="B1026" s="44"/>
      <c r="I1026" s="69"/>
      <c r="J1026" s="69"/>
      <c r="K1026" s="69"/>
      <c r="L1026" s="69"/>
      <c r="M1026" s="69"/>
      <c r="N1026" s="69"/>
      <c r="O1026" s="69"/>
      <c r="P1026" s="69"/>
      <c r="Q1026" s="69"/>
      <c r="R1026" s="69"/>
      <c r="S1026" s="69"/>
      <c r="T1026" s="69"/>
      <c r="U1026" s="69"/>
      <c r="V1026" s="69"/>
      <c r="W1026" s="69"/>
      <c r="X1026" s="69"/>
      <c r="Y1026" s="69"/>
      <c r="Z1026" s="69"/>
      <c r="AA1026" s="69"/>
      <c r="AB1026" s="69"/>
      <c r="AC1026" s="69"/>
      <c r="AD1026" s="69"/>
      <c r="AE1026" s="69"/>
      <c r="AF1026" s="69"/>
      <c r="AG1026" s="69"/>
      <c r="AH1026" s="69"/>
      <c r="AI1026" s="69"/>
      <c r="AJ1026" s="69"/>
      <c r="AK1026" s="69"/>
    </row>
    <row r="1027" spans="2:37" s="4" customFormat="1" x14ac:dyDescent="0.25">
      <c r="B1027" s="44"/>
      <c r="I1027" s="69"/>
      <c r="J1027" s="69"/>
      <c r="K1027" s="69"/>
      <c r="L1027" s="69"/>
      <c r="M1027" s="69"/>
      <c r="N1027" s="69"/>
      <c r="O1027" s="69"/>
      <c r="P1027" s="69"/>
      <c r="Q1027" s="69"/>
      <c r="R1027" s="69"/>
      <c r="S1027" s="69"/>
      <c r="T1027" s="69"/>
      <c r="U1027" s="69"/>
      <c r="V1027" s="69"/>
      <c r="W1027" s="69"/>
      <c r="X1027" s="69"/>
      <c r="Y1027" s="69"/>
      <c r="Z1027" s="69"/>
      <c r="AA1027" s="69"/>
      <c r="AB1027" s="69"/>
      <c r="AC1027" s="69"/>
      <c r="AD1027" s="69"/>
      <c r="AE1027" s="69"/>
      <c r="AF1027" s="69"/>
      <c r="AG1027" s="69"/>
      <c r="AH1027" s="69"/>
      <c r="AI1027" s="69"/>
      <c r="AJ1027" s="69"/>
      <c r="AK1027" s="69"/>
    </row>
    <row r="1028" spans="2:37" s="4" customFormat="1" x14ac:dyDescent="0.25">
      <c r="B1028" s="44"/>
      <c r="I1028" s="69"/>
      <c r="J1028" s="69"/>
      <c r="K1028" s="69"/>
      <c r="L1028" s="69"/>
      <c r="M1028" s="69"/>
      <c r="N1028" s="69"/>
      <c r="O1028" s="69"/>
      <c r="P1028" s="69"/>
      <c r="Q1028" s="69"/>
      <c r="R1028" s="69"/>
      <c r="S1028" s="69"/>
      <c r="T1028" s="69"/>
      <c r="U1028" s="69"/>
      <c r="V1028" s="69"/>
      <c r="W1028" s="69"/>
      <c r="X1028" s="69"/>
      <c r="Y1028" s="69"/>
      <c r="Z1028" s="69"/>
      <c r="AA1028" s="69"/>
      <c r="AB1028" s="69"/>
      <c r="AC1028" s="69"/>
      <c r="AD1028" s="69"/>
      <c r="AE1028" s="69"/>
      <c r="AF1028" s="69"/>
      <c r="AG1028" s="69"/>
      <c r="AH1028" s="69"/>
      <c r="AI1028" s="69"/>
      <c r="AJ1028" s="69"/>
      <c r="AK1028" s="69"/>
    </row>
    <row r="1029" spans="2:37" s="4" customFormat="1" x14ac:dyDescent="0.25">
      <c r="B1029" s="44"/>
      <c r="I1029" s="69"/>
      <c r="J1029" s="69"/>
      <c r="K1029" s="69"/>
      <c r="L1029" s="69"/>
      <c r="M1029" s="69"/>
      <c r="N1029" s="69"/>
      <c r="O1029" s="69"/>
      <c r="P1029" s="69"/>
      <c r="Q1029" s="69"/>
      <c r="R1029" s="69"/>
      <c r="S1029" s="69"/>
      <c r="T1029" s="69"/>
      <c r="U1029" s="69"/>
      <c r="V1029" s="69"/>
      <c r="W1029" s="69"/>
      <c r="X1029" s="69"/>
      <c r="Y1029" s="69"/>
      <c r="Z1029" s="69"/>
      <c r="AA1029" s="69"/>
      <c r="AB1029" s="69"/>
      <c r="AC1029" s="69"/>
      <c r="AD1029" s="69"/>
      <c r="AE1029" s="69"/>
      <c r="AF1029" s="69"/>
      <c r="AG1029" s="69"/>
      <c r="AH1029" s="69"/>
      <c r="AI1029" s="69"/>
      <c r="AJ1029" s="69"/>
      <c r="AK1029" s="69"/>
    </row>
    <row r="1030" spans="2:37" s="4" customFormat="1" x14ac:dyDescent="0.25">
      <c r="B1030" s="44"/>
      <c r="I1030" s="69"/>
      <c r="J1030" s="69"/>
      <c r="K1030" s="69"/>
      <c r="L1030" s="69"/>
      <c r="M1030" s="69"/>
      <c r="N1030" s="69"/>
      <c r="O1030" s="69"/>
      <c r="P1030" s="69"/>
      <c r="Q1030" s="69"/>
      <c r="R1030" s="69"/>
      <c r="S1030" s="69"/>
      <c r="T1030" s="69"/>
      <c r="U1030" s="69"/>
      <c r="V1030" s="69"/>
      <c r="W1030" s="69"/>
      <c r="X1030" s="69"/>
      <c r="Y1030" s="69"/>
      <c r="Z1030" s="69"/>
      <c r="AA1030" s="69"/>
      <c r="AB1030" s="69"/>
      <c r="AC1030" s="69"/>
      <c r="AD1030" s="69"/>
      <c r="AE1030" s="69"/>
      <c r="AF1030" s="69"/>
      <c r="AG1030" s="69"/>
      <c r="AH1030" s="69"/>
      <c r="AI1030" s="69"/>
      <c r="AJ1030" s="69"/>
      <c r="AK1030" s="69"/>
    </row>
    <row r="1031" spans="2:37" s="4" customFormat="1" x14ac:dyDescent="0.25">
      <c r="B1031" s="44"/>
      <c r="I1031" s="69"/>
      <c r="J1031" s="69"/>
      <c r="K1031" s="69"/>
      <c r="L1031" s="69"/>
      <c r="M1031" s="69"/>
      <c r="N1031" s="69"/>
      <c r="O1031" s="69"/>
      <c r="P1031" s="69"/>
      <c r="Q1031" s="69"/>
      <c r="R1031" s="69"/>
      <c r="S1031" s="69"/>
      <c r="T1031" s="69"/>
      <c r="U1031" s="69"/>
      <c r="V1031" s="69"/>
      <c r="W1031" s="69"/>
      <c r="X1031" s="69"/>
      <c r="Y1031" s="69"/>
      <c r="Z1031" s="69"/>
      <c r="AA1031" s="69"/>
      <c r="AB1031" s="69"/>
      <c r="AC1031" s="69"/>
      <c r="AD1031" s="69"/>
      <c r="AE1031" s="69"/>
      <c r="AF1031" s="69"/>
      <c r="AG1031" s="69"/>
      <c r="AH1031" s="69"/>
      <c r="AI1031" s="69"/>
      <c r="AJ1031" s="69"/>
      <c r="AK1031" s="69"/>
    </row>
    <row r="1032" spans="2:37" s="4" customFormat="1" x14ac:dyDescent="0.25">
      <c r="B1032" s="44"/>
      <c r="I1032" s="69"/>
      <c r="J1032" s="69"/>
      <c r="K1032" s="69"/>
      <c r="L1032" s="69"/>
      <c r="M1032" s="69"/>
      <c r="N1032" s="69"/>
      <c r="O1032" s="69"/>
      <c r="P1032" s="69"/>
      <c r="Q1032" s="69"/>
      <c r="R1032" s="69"/>
      <c r="S1032" s="69"/>
      <c r="T1032" s="69"/>
      <c r="U1032" s="69"/>
      <c r="V1032" s="69"/>
      <c r="W1032" s="69"/>
      <c r="X1032" s="69"/>
      <c r="Y1032" s="69"/>
      <c r="Z1032" s="69"/>
      <c r="AA1032" s="69"/>
      <c r="AB1032" s="69"/>
      <c r="AC1032" s="69"/>
      <c r="AD1032" s="69"/>
      <c r="AE1032" s="69"/>
      <c r="AF1032" s="69"/>
      <c r="AG1032" s="69"/>
      <c r="AH1032" s="69"/>
      <c r="AI1032" s="69"/>
      <c r="AJ1032" s="69"/>
      <c r="AK1032" s="69"/>
    </row>
    <row r="1033" spans="2:37" s="4" customFormat="1" x14ac:dyDescent="0.25">
      <c r="B1033" s="44"/>
      <c r="I1033" s="69"/>
      <c r="J1033" s="69"/>
      <c r="K1033" s="69"/>
      <c r="L1033" s="69"/>
      <c r="M1033" s="69"/>
      <c r="N1033" s="69"/>
      <c r="O1033" s="69"/>
      <c r="P1033" s="69"/>
      <c r="Q1033" s="69"/>
      <c r="R1033" s="69"/>
      <c r="S1033" s="69"/>
      <c r="T1033" s="69"/>
      <c r="U1033" s="69"/>
      <c r="V1033" s="69"/>
      <c r="W1033" s="69"/>
      <c r="X1033" s="69"/>
      <c r="Y1033" s="69"/>
      <c r="Z1033" s="69"/>
      <c r="AA1033" s="69"/>
      <c r="AB1033" s="69"/>
      <c r="AC1033" s="69"/>
      <c r="AD1033" s="69"/>
      <c r="AE1033" s="69"/>
      <c r="AF1033" s="69"/>
      <c r="AG1033" s="69"/>
      <c r="AH1033" s="69"/>
      <c r="AI1033" s="69"/>
      <c r="AJ1033" s="69"/>
      <c r="AK1033" s="69"/>
    </row>
    <row r="1034" spans="2:37" s="4" customFormat="1" x14ac:dyDescent="0.25">
      <c r="B1034" s="44"/>
      <c r="I1034" s="69"/>
      <c r="J1034" s="69"/>
      <c r="K1034" s="69"/>
      <c r="L1034" s="69"/>
      <c r="M1034" s="69"/>
      <c r="N1034" s="69"/>
      <c r="O1034" s="69"/>
      <c r="P1034" s="69"/>
      <c r="Q1034" s="69"/>
      <c r="R1034" s="69"/>
      <c r="S1034" s="69"/>
      <c r="T1034" s="69"/>
      <c r="U1034" s="69"/>
      <c r="V1034" s="69"/>
      <c r="W1034" s="69"/>
      <c r="X1034" s="69"/>
      <c r="Y1034" s="69"/>
      <c r="Z1034" s="69"/>
      <c r="AA1034" s="69"/>
      <c r="AB1034" s="69"/>
      <c r="AC1034" s="69"/>
      <c r="AD1034" s="69"/>
      <c r="AE1034" s="69"/>
      <c r="AF1034" s="69"/>
      <c r="AG1034" s="69"/>
      <c r="AH1034" s="69"/>
      <c r="AI1034" s="69"/>
      <c r="AJ1034" s="69"/>
      <c r="AK1034" s="69"/>
    </row>
    <row r="1035" spans="2:37" s="4" customFormat="1" x14ac:dyDescent="0.25">
      <c r="B1035" s="44"/>
      <c r="I1035" s="69"/>
      <c r="J1035" s="69"/>
      <c r="K1035" s="69"/>
      <c r="L1035" s="69"/>
      <c r="M1035" s="69"/>
      <c r="N1035" s="69"/>
      <c r="O1035" s="69"/>
      <c r="P1035" s="69"/>
      <c r="Q1035" s="69"/>
      <c r="R1035" s="69"/>
      <c r="S1035" s="69"/>
      <c r="T1035" s="69"/>
      <c r="U1035" s="69"/>
      <c r="V1035" s="69"/>
      <c r="W1035" s="69"/>
      <c r="X1035" s="69"/>
      <c r="Y1035" s="69"/>
      <c r="Z1035" s="69"/>
      <c r="AA1035" s="69"/>
      <c r="AB1035" s="69"/>
      <c r="AC1035" s="69"/>
      <c r="AD1035" s="69"/>
      <c r="AE1035" s="69"/>
      <c r="AF1035" s="69"/>
      <c r="AG1035" s="69"/>
      <c r="AH1035" s="69"/>
      <c r="AI1035" s="69"/>
      <c r="AJ1035" s="69"/>
      <c r="AK1035" s="69"/>
    </row>
    <row r="1036" spans="2:37" s="4" customFormat="1" x14ac:dyDescent="0.25">
      <c r="B1036" s="44"/>
      <c r="I1036" s="69"/>
      <c r="J1036" s="69"/>
      <c r="K1036" s="69"/>
      <c r="L1036" s="69"/>
      <c r="M1036" s="69"/>
      <c r="N1036" s="69"/>
      <c r="O1036" s="69"/>
      <c r="P1036" s="69"/>
      <c r="Q1036" s="69"/>
      <c r="R1036" s="69"/>
      <c r="S1036" s="69"/>
      <c r="T1036" s="69"/>
      <c r="U1036" s="69"/>
      <c r="V1036" s="69"/>
      <c r="W1036" s="69"/>
      <c r="X1036" s="69"/>
      <c r="Y1036" s="69"/>
      <c r="Z1036" s="69"/>
      <c r="AA1036" s="69"/>
      <c r="AB1036" s="69"/>
      <c r="AC1036" s="69"/>
      <c r="AD1036" s="69"/>
      <c r="AE1036" s="69"/>
      <c r="AF1036" s="69"/>
      <c r="AG1036" s="69"/>
      <c r="AH1036" s="69"/>
      <c r="AI1036" s="69"/>
      <c r="AJ1036" s="69"/>
      <c r="AK1036" s="69"/>
    </row>
    <row r="1037" spans="2:37" s="4" customFormat="1" x14ac:dyDescent="0.25">
      <c r="B1037" s="44" t="s">
        <v>21</v>
      </c>
      <c r="C1037" s="4" t="s">
        <v>1324</v>
      </c>
      <c r="I1037" s="69"/>
      <c r="J1037" s="69"/>
      <c r="K1037" s="69"/>
      <c r="L1037" s="69"/>
      <c r="M1037" s="69"/>
      <c r="N1037" s="69"/>
      <c r="O1037" s="69"/>
      <c r="P1037" s="69"/>
      <c r="Q1037" s="69"/>
      <c r="R1037" s="69"/>
      <c r="S1037" s="69"/>
      <c r="T1037" s="69"/>
      <c r="U1037" s="69"/>
      <c r="V1037" s="69"/>
      <c r="W1037" s="69"/>
      <c r="X1037" s="69"/>
      <c r="Y1037" s="69"/>
      <c r="Z1037" s="69"/>
      <c r="AA1037" s="69"/>
      <c r="AB1037" s="69"/>
      <c r="AC1037" s="69"/>
      <c r="AD1037" s="69"/>
      <c r="AE1037" s="69"/>
      <c r="AF1037" s="69"/>
      <c r="AG1037" s="69"/>
      <c r="AH1037" s="69"/>
      <c r="AI1037" s="69"/>
      <c r="AJ1037" s="69"/>
      <c r="AK1037" s="69"/>
    </row>
    <row r="1038" spans="2:37" s="4" customFormat="1" x14ac:dyDescent="0.25">
      <c r="B1038" s="44"/>
      <c r="D1038" s="79"/>
      <c r="E1038" s="79" t="s">
        <v>1316</v>
      </c>
      <c r="I1038" s="100">
        <v>100000</v>
      </c>
      <c r="J1038" s="100">
        <v>100000</v>
      </c>
      <c r="K1038" s="100">
        <v>100000</v>
      </c>
      <c r="L1038" s="100">
        <v>100000</v>
      </c>
      <c r="M1038" s="100">
        <v>100000</v>
      </c>
      <c r="N1038" s="100">
        <v>100000</v>
      </c>
      <c r="O1038" s="100">
        <v>100000</v>
      </c>
      <c r="P1038" s="100">
        <v>100000</v>
      </c>
      <c r="Q1038" s="100">
        <v>100000</v>
      </c>
      <c r="R1038" s="100">
        <v>100000</v>
      </c>
      <c r="S1038" s="100">
        <v>100000</v>
      </c>
      <c r="T1038" s="100">
        <v>100000</v>
      </c>
      <c r="U1038" s="100">
        <v>100000</v>
      </c>
      <c r="V1038" s="100">
        <v>100000</v>
      </c>
      <c r="W1038" s="100">
        <v>100000</v>
      </c>
      <c r="X1038" s="100">
        <v>100000</v>
      </c>
      <c r="Y1038" s="100">
        <v>100000</v>
      </c>
      <c r="Z1038" s="100">
        <v>100000</v>
      </c>
      <c r="AA1038" s="100">
        <v>100000</v>
      </c>
      <c r="AB1038" s="100">
        <v>100000</v>
      </c>
      <c r="AC1038" s="100">
        <v>100000</v>
      </c>
      <c r="AD1038" s="100">
        <v>100000</v>
      </c>
      <c r="AE1038" s="100">
        <v>100000</v>
      </c>
      <c r="AF1038" s="100">
        <v>100000</v>
      </c>
      <c r="AG1038" s="100">
        <v>100000</v>
      </c>
      <c r="AH1038" s="100">
        <v>100000</v>
      </c>
      <c r="AI1038" s="100">
        <v>100000</v>
      </c>
      <c r="AJ1038" s="100">
        <v>100000</v>
      </c>
      <c r="AK1038" s="100">
        <v>100000</v>
      </c>
    </row>
    <row r="1039" spans="2:37" s="4" customFormat="1" x14ac:dyDescent="0.25">
      <c r="B1039" s="44"/>
      <c r="C1039" s="181"/>
      <c r="D1039" s="4" t="s">
        <v>1317</v>
      </c>
      <c r="H1039" s="4" t="s">
        <v>1318</v>
      </c>
      <c r="I1039" s="69">
        <v>15200</v>
      </c>
      <c r="J1039" s="69">
        <v>15200</v>
      </c>
      <c r="K1039" s="69">
        <v>15200</v>
      </c>
      <c r="L1039" s="69">
        <v>15200</v>
      </c>
      <c r="M1039" s="69">
        <v>15200</v>
      </c>
      <c r="N1039" s="69">
        <v>15200</v>
      </c>
      <c r="O1039" s="69">
        <v>15200</v>
      </c>
      <c r="P1039" s="69">
        <v>15200</v>
      </c>
      <c r="Q1039" s="69">
        <v>15200</v>
      </c>
      <c r="R1039" s="69">
        <v>15200</v>
      </c>
      <c r="S1039" s="69">
        <v>15200</v>
      </c>
      <c r="T1039" s="69">
        <v>15200</v>
      </c>
      <c r="U1039" s="69">
        <v>15200</v>
      </c>
      <c r="V1039" s="69">
        <v>15200</v>
      </c>
      <c r="W1039" s="69">
        <v>15200</v>
      </c>
      <c r="X1039" s="69">
        <v>15200</v>
      </c>
      <c r="Y1039" s="69">
        <v>15200</v>
      </c>
      <c r="Z1039" s="69">
        <v>15200</v>
      </c>
      <c r="AA1039" s="69">
        <v>15200</v>
      </c>
      <c r="AB1039" s="69">
        <v>15200</v>
      </c>
      <c r="AC1039" s="69">
        <v>15200</v>
      </c>
      <c r="AD1039" s="69">
        <v>15200</v>
      </c>
      <c r="AE1039" s="69">
        <v>15200</v>
      </c>
      <c r="AF1039" s="69">
        <v>15200</v>
      </c>
      <c r="AG1039" s="69">
        <v>15200</v>
      </c>
      <c r="AH1039" s="69">
        <v>15200</v>
      </c>
      <c r="AI1039" s="69">
        <v>15200</v>
      </c>
      <c r="AJ1039" s="69">
        <v>15200</v>
      </c>
      <c r="AK1039" s="69">
        <v>15200</v>
      </c>
    </row>
    <row r="1040" spans="2:37" s="4" customFormat="1" x14ac:dyDescent="0.25">
      <c r="B1040" s="44"/>
      <c r="D1040" s="79"/>
      <c r="E1040" s="79" t="s">
        <v>1319</v>
      </c>
      <c r="H1040" s="79"/>
      <c r="I1040" s="100">
        <f>I1039-I1041</f>
        <v>1064</v>
      </c>
      <c r="J1040" s="100">
        <f t="shared" ref="J1040:AK1040" si="175">J1039-J1041</f>
        <v>1063</v>
      </c>
      <c r="K1040" s="100">
        <f t="shared" si="175"/>
        <v>1062</v>
      </c>
      <c r="L1040" s="100">
        <f t="shared" si="175"/>
        <v>1061</v>
      </c>
      <c r="M1040" s="100">
        <f t="shared" si="175"/>
        <v>1060</v>
      </c>
      <c r="N1040" s="100">
        <f t="shared" si="175"/>
        <v>1059</v>
      </c>
      <c r="O1040" s="100">
        <f t="shared" si="175"/>
        <v>1058</v>
      </c>
      <c r="P1040" s="100">
        <f t="shared" si="175"/>
        <v>1057</v>
      </c>
      <c r="Q1040" s="100">
        <f t="shared" si="175"/>
        <v>1056</v>
      </c>
      <c r="R1040" s="100">
        <f t="shared" si="175"/>
        <v>1055</v>
      </c>
      <c r="S1040" s="100">
        <f t="shared" si="175"/>
        <v>1054</v>
      </c>
      <c r="T1040" s="100">
        <f t="shared" si="175"/>
        <v>1053</v>
      </c>
      <c r="U1040" s="100">
        <f t="shared" si="175"/>
        <v>1052</v>
      </c>
      <c r="V1040" s="100">
        <f t="shared" si="175"/>
        <v>1051</v>
      </c>
      <c r="W1040" s="100">
        <f t="shared" si="175"/>
        <v>1050</v>
      </c>
      <c r="X1040" s="100">
        <f t="shared" si="175"/>
        <v>1049</v>
      </c>
      <c r="Y1040" s="100">
        <f t="shared" si="175"/>
        <v>1048</v>
      </c>
      <c r="Z1040" s="100">
        <f t="shared" si="175"/>
        <v>1047</v>
      </c>
      <c r="AA1040" s="100">
        <f t="shared" si="175"/>
        <v>1046</v>
      </c>
      <c r="AB1040" s="100">
        <f t="shared" si="175"/>
        <v>1045</v>
      </c>
      <c r="AC1040" s="100">
        <f t="shared" si="175"/>
        <v>1044</v>
      </c>
      <c r="AD1040" s="100">
        <f t="shared" si="175"/>
        <v>1043</v>
      </c>
      <c r="AE1040" s="100">
        <f t="shared" si="175"/>
        <v>1042</v>
      </c>
      <c r="AF1040" s="100">
        <f t="shared" si="175"/>
        <v>1041</v>
      </c>
      <c r="AG1040" s="100">
        <f t="shared" si="175"/>
        <v>1040</v>
      </c>
      <c r="AH1040" s="100">
        <f t="shared" si="175"/>
        <v>1039</v>
      </c>
      <c r="AI1040" s="100">
        <f t="shared" si="175"/>
        <v>1038</v>
      </c>
      <c r="AJ1040" s="100">
        <f t="shared" si="175"/>
        <v>1037</v>
      </c>
      <c r="AK1040" s="100">
        <f t="shared" si="175"/>
        <v>1036</v>
      </c>
    </row>
    <row r="1041" spans="2:37" s="4" customFormat="1" x14ac:dyDescent="0.25">
      <c r="B1041" s="44"/>
      <c r="C1041" s="181"/>
      <c r="D1041" s="4" t="s">
        <v>1320</v>
      </c>
      <c r="H1041" s="4" t="s">
        <v>1318</v>
      </c>
      <c r="I1041" s="69">
        <v>14136</v>
      </c>
      <c r="J1041" s="69">
        <v>14137</v>
      </c>
      <c r="K1041" s="69">
        <v>14138</v>
      </c>
      <c r="L1041" s="69">
        <v>14139</v>
      </c>
      <c r="M1041" s="69">
        <v>14140</v>
      </c>
      <c r="N1041" s="69">
        <v>14141</v>
      </c>
      <c r="O1041" s="69">
        <v>14142</v>
      </c>
      <c r="P1041" s="69">
        <v>14143</v>
      </c>
      <c r="Q1041" s="69">
        <v>14144</v>
      </c>
      <c r="R1041" s="69">
        <v>14145</v>
      </c>
      <c r="S1041" s="69">
        <v>14146</v>
      </c>
      <c r="T1041" s="69">
        <v>14147</v>
      </c>
      <c r="U1041" s="69">
        <v>14148</v>
      </c>
      <c r="V1041" s="69">
        <v>14149</v>
      </c>
      <c r="W1041" s="69">
        <v>14150</v>
      </c>
      <c r="X1041" s="69">
        <v>14151</v>
      </c>
      <c r="Y1041" s="69">
        <v>14152</v>
      </c>
      <c r="Z1041" s="69">
        <v>14153</v>
      </c>
      <c r="AA1041" s="69">
        <v>14154</v>
      </c>
      <c r="AB1041" s="69">
        <v>14155</v>
      </c>
      <c r="AC1041" s="69">
        <v>14156</v>
      </c>
      <c r="AD1041" s="69">
        <v>14157</v>
      </c>
      <c r="AE1041" s="69">
        <v>14158</v>
      </c>
      <c r="AF1041" s="69">
        <v>14159</v>
      </c>
      <c r="AG1041" s="69">
        <v>14160</v>
      </c>
      <c r="AH1041" s="69">
        <v>14161</v>
      </c>
      <c r="AI1041" s="69">
        <v>14162</v>
      </c>
      <c r="AJ1041" s="69">
        <v>14163</v>
      </c>
      <c r="AK1041" s="69">
        <v>14164</v>
      </c>
    </row>
    <row r="1042" spans="2:37" s="4" customFormat="1" x14ac:dyDescent="0.25">
      <c r="B1042" s="44"/>
      <c r="C1042" s="181"/>
      <c r="D1042" s="4" t="s">
        <v>1321</v>
      </c>
      <c r="H1042" s="4" t="s">
        <v>1318</v>
      </c>
      <c r="I1042" s="69"/>
      <c r="J1042" s="69"/>
      <c r="K1042" s="69"/>
      <c r="L1042" s="69"/>
      <c r="M1042" s="69"/>
      <c r="N1042" s="69"/>
      <c r="O1042" s="69"/>
      <c r="P1042" s="69">
        <f>_xlfn.FORECAST.LINEAR(P$2,CHOOSE({1;2},16800,19500),CHOOSE({1;2},2024,2035))</f>
        <v>13118.181818181823</v>
      </c>
      <c r="Q1042" s="69">
        <f>_xlfn.FORECAST.LINEAR(Q$2,CHOOSE({1;2},16800,19500),CHOOSE({1;2},2024,2035))</f>
        <v>13363.636363636411</v>
      </c>
      <c r="R1042" s="69">
        <f>_xlfn.FORECAST.LINEAR(R$2,CHOOSE({1;2},16800,19500),CHOOSE({1;2},2024,2035))</f>
        <v>13609.090909090941</v>
      </c>
      <c r="S1042" s="69">
        <f>_xlfn.FORECAST.LINEAR(S$2,CHOOSE({1;2},16800,19500),CHOOSE({1;2},2024,2035))</f>
        <v>13854.54545454547</v>
      </c>
      <c r="T1042" s="69">
        <f>_xlfn.FORECAST.LINEAR(T$2,CHOOSE({1;2},16800,19500),CHOOSE({1;2},2024,2035))</f>
        <v>14100</v>
      </c>
      <c r="U1042" s="69">
        <f>_xlfn.FORECAST.LINEAR(U$2,CHOOSE({1;2},16800,19500),CHOOSE({1;2},2024,2035))</f>
        <v>14345.454545454588</v>
      </c>
      <c r="V1042" s="69">
        <f>_xlfn.FORECAST.LINEAR(V$2,CHOOSE({1;2},16800,19500),CHOOSE({1;2},2024,2035))</f>
        <v>14590.909090909117</v>
      </c>
      <c r="W1042" s="69">
        <f>_xlfn.FORECAST.LINEAR(W$2,CHOOSE({1;2},16800,19500),CHOOSE({1;2},2024,2035))</f>
        <v>14836.363636363647</v>
      </c>
      <c r="X1042" s="69">
        <f>_xlfn.FORECAST.LINEAR(X$2,CHOOSE({1;2},16800,19500),CHOOSE({1;2},2024,2035))</f>
        <v>15081.818181818235</v>
      </c>
      <c r="Y1042" s="69">
        <f>_xlfn.FORECAST.LINEAR(Y$2,CHOOSE({1;2},16800,19500),CHOOSE({1;2},2024,2035))</f>
        <v>15327.272727272764</v>
      </c>
      <c r="Z1042" s="69">
        <f>_xlfn.FORECAST.LINEAR(Z$2,CHOOSE({1;2},16800,19500),CHOOSE({1;2},2024,2035))</f>
        <v>15572.727272727294</v>
      </c>
      <c r="AA1042" s="69">
        <f>_xlfn.FORECAST.LINEAR(AA$2,CHOOSE({1;2},16800,19500),CHOOSE({1;2},2024,2035))</f>
        <v>15818.181818181823</v>
      </c>
      <c r="AB1042" s="69">
        <f>_xlfn.FORECAST.LINEAR(AB$2,CHOOSE({1;2},16800,19500),CHOOSE({1;2},2024,2035))</f>
        <v>16063.636363636411</v>
      </c>
      <c r="AC1042" s="69">
        <f>_xlfn.FORECAST.LINEAR(AC$2,CHOOSE({1;2},16800,19500),CHOOSE({1;2},2024,2035))</f>
        <v>16309.090909090941</v>
      </c>
      <c r="AD1042" s="69">
        <f>_xlfn.FORECAST.LINEAR(AD$2,CHOOSE({1;2},16800,19500),CHOOSE({1;2},2024,2035))</f>
        <v>16554.54545454547</v>
      </c>
      <c r="AE1042" s="69">
        <f>_xlfn.FORECAST.LINEAR(AE$2,CHOOSE({1;2},16800,19500),CHOOSE({1;2},2024,2035))</f>
        <v>16800</v>
      </c>
      <c r="AF1042" s="69">
        <f>_xlfn.FORECAST.LINEAR(AF$2,CHOOSE({1;2},16800,19500),CHOOSE({1;2},2024,2035))</f>
        <v>17045.454545454588</v>
      </c>
      <c r="AG1042" s="69">
        <f>_xlfn.FORECAST.LINEAR(AG$2,CHOOSE({1;2},16800,19500),CHOOSE({1;2},2024,2035))</f>
        <v>17290.909090909117</v>
      </c>
      <c r="AH1042" s="69">
        <f>_xlfn.FORECAST.LINEAR(AH$2,CHOOSE({1;2},16800,19500),CHOOSE({1;2},2024,2035))</f>
        <v>17536.363636363647</v>
      </c>
      <c r="AI1042" s="69">
        <f>_xlfn.FORECAST.LINEAR(AI$2,CHOOSE({1;2},16800,19500),CHOOSE({1;2},2024,2035))</f>
        <v>17781.818181818235</v>
      </c>
      <c r="AJ1042" s="69">
        <f>_xlfn.FORECAST.LINEAR(AJ$2,CHOOSE({1;2},16800,19500),CHOOSE({1;2},2024,2035))</f>
        <v>18027.272727272764</v>
      </c>
      <c r="AK1042" s="69">
        <f>_xlfn.FORECAST.LINEAR(AK$2,CHOOSE({1;2},16800,19500),CHOOSE({1;2},2024,2035))</f>
        <v>18272.727272727294</v>
      </c>
    </row>
    <row r="1043" spans="2:37" s="4" customFormat="1" x14ac:dyDescent="0.25">
      <c r="B1043" s="44"/>
      <c r="C1043" s="181"/>
      <c r="D1043" s="4" t="s">
        <v>1322</v>
      </c>
      <c r="H1043" s="4" t="s">
        <v>1318</v>
      </c>
      <c r="I1043" s="69"/>
      <c r="J1043" s="69"/>
      <c r="K1043" s="69"/>
      <c r="L1043" s="69"/>
      <c r="M1043" s="69"/>
      <c r="N1043" s="69"/>
      <c r="O1043" s="69"/>
      <c r="P1043" s="69"/>
      <c r="Q1043" s="69"/>
      <c r="R1043" s="69"/>
      <c r="S1043" s="69"/>
      <c r="T1043" s="69"/>
      <c r="U1043" s="69"/>
      <c r="V1043" s="69"/>
      <c r="W1043" s="69">
        <f>_xlfn.FORECAST.LINEAR(W$2,CHOOSE({1;2},15900,17300),CHOOSE({1;2},2024,2035))</f>
        <v>14881.818181818177</v>
      </c>
      <c r="X1043" s="69">
        <f>_xlfn.FORECAST.LINEAR(X$2,CHOOSE({1;2},15900,17300),CHOOSE({1;2},2024,2035))</f>
        <v>15009.090909090883</v>
      </c>
      <c r="Y1043" s="69">
        <f>_xlfn.FORECAST.LINEAR(Y$2,CHOOSE({1;2},15900,17300),CHOOSE({1;2},2024,2035))</f>
        <v>15136.363636363618</v>
      </c>
      <c r="Z1043" s="69">
        <f>_xlfn.FORECAST.LINEAR(Z$2,CHOOSE({1;2},15900,17300),CHOOSE({1;2},2024,2035))</f>
        <v>15263.636363636353</v>
      </c>
      <c r="AA1043" s="69">
        <f>_xlfn.FORECAST.LINEAR(AA$2,CHOOSE({1;2},15900,17300),CHOOSE({1;2},2024,2035))</f>
        <v>15390.909090909088</v>
      </c>
      <c r="AB1043" s="69">
        <f>_xlfn.FORECAST.LINEAR(AB$2,CHOOSE({1;2},15900,17300),CHOOSE({1;2},2024,2035))</f>
        <v>15518.181818181794</v>
      </c>
      <c r="AC1043" s="69">
        <f>_xlfn.FORECAST.LINEAR(AC$2,CHOOSE({1;2},15900,17300),CHOOSE({1;2},2024,2035))</f>
        <v>15645.45454545453</v>
      </c>
      <c r="AD1043" s="69">
        <f>_xlfn.FORECAST.LINEAR(AD$2,CHOOSE({1;2},15900,17300),CHOOSE({1;2},2024,2035))</f>
        <v>15772.727272727265</v>
      </c>
      <c r="AE1043" s="69">
        <f>_xlfn.FORECAST.LINEAR(AE$2,CHOOSE({1;2},15900,17300),CHOOSE({1;2},2024,2035))</f>
        <v>15900</v>
      </c>
      <c r="AF1043" s="69">
        <f>_xlfn.FORECAST.LINEAR(AF$2,CHOOSE({1;2},15900,17300),CHOOSE({1;2},2024,2035))</f>
        <v>16027.272727272706</v>
      </c>
      <c r="AG1043" s="69">
        <f>_xlfn.FORECAST.LINEAR(AG$2,CHOOSE({1;2},15900,17300),CHOOSE({1;2},2024,2035))</f>
        <v>16154.545454545441</v>
      </c>
      <c r="AH1043" s="69">
        <f>_xlfn.FORECAST.LINEAR(AH$2,CHOOSE({1;2},15900,17300),CHOOSE({1;2},2024,2035))</f>
        <v>16281.818181818177</v>
      </c>
      <c r="AI1043" s="69">
        <f>_xlfn.FORECAST.LINEAR(AI$2,CHOOSE({1;2},15900,17300),CHOOSE({1;2},2024,2035))</f>
        <v>16409.090909090883</v>
      </c>
      <c r="AJ1043" s="69">
        <f>_xlfn.FORECAST.LINEAR(AJ$2,CHOOSE({1;2},15900,17300),CHOOSE({1;2},2024,2035))</f>
        <v>16536.363636363618</v>
      </c>
      <c r="AK1043" s="69">
        <f>_xlfn.FORECAST.LINEAR(AK$2,CHOOSE({1;2},15900,17300),CHOOSE({1;2},2024,2035))</f>
        <v>16663.636363636353</v>
      </c>
    </row>
    <row r="1044" spans="2:37" s="4" customFormat="1" x14ac:dyDescent="0.25">
      <c r="B1044" s="44"/>
      <c r="D1044" s="4" t="s">
        <v>1323</v>
      </c>
      <c r="H1044" s="4" t="s">
        <v>1318</v>
      </c>
      <c r="I1044" s="69" t="e">
        <f>AVERAGE(Datasheet!I1162:I1165)</f>
        <v>#DIV/0!</v>
      </c>
      <c r="J1044" s="69" t="e">
        <f>AVERAGE(Datasheet!J1162:J1165)</f>
        <v>#DIV/0!</v>
      </c>
      <c r="K1044" s="69" t="e">
        <f>AVERAGE(Datasheet!K1162:K1165)</f>
        <v>#DIV/0!</v>
      </c>
      <c r="L1044" s="69" t="e">
        <f>AVERAGE(Datasheet!L1162:L1165)</f>
        <v>#DIV/0!</v>
      </c>
      <c r="M1044" s="69" t="e">
        <f>AVERAGE(Datasheet!M1162:M1165)</f>
        <v>#DIV/0!</v>
      </c>
      <c r="N1044" s="69" t="e">
        <f>AVERAGE(Datasheet!N1162:N1165)</f>
        <v>#DIV/0!</v>
      </c>
      <c r="O1044" s="69" t="e">
        <f>AVERAGE(Datasheet!O1162:O1165)</f>
        <v>#DIV/0!</v>
      </c>
      <c r="P1044" s="69">
        <f>AVERAGE(Datasheet!P1162:P1165)</f>
        <v>13429.300000000017</v>
      </c>
      <c r="Q1044" s="69">
        <f>AVERAGE(Datasheet!Q1162:Q1165)</f>
        <v>13778</v>
      </c>
      <c r="R1044" s="69">
        <f>AVERAGE(Datasheet!R1162:R1165)</f>
        <v>13591</v>
      </c>
      <c r="S1044" s="69">
        <f>AVERAGE(Datasheet!S1162:S1165)</f>
        <v>14059</v>
      </c>
      <c r="T1044" s="69">
        <f>AVERAGE(Datasheet!T1162:T1165)</f>
        <v>14097.5</v>
      </c>
      <c r="U1044" s="69">
        <f>AVERAGE(Datasheet!U1162:U1165)</f>
        <v>14575</v>
      </c>
      <c r="V1044" s="69">
        <f>AVERAGE(Datasheet!V1162:V1165)</f>
        <v>15202.75</v>
      </c>
      <c r="W1044" s="69">
        <f>AVERAGE(Datasheet!W1162:W1165)</f>
        <v>15152</v>
      </c>
      <c r="X1044" s="69">
        <f>AVERAGE(Datasheet!X1162:X1165)</f>
        <v>15379.5</v>
      </c>
      <c r="Y1044" s="69">
        <f>AVERAGE(Datasheet!Y1162:Y1165)</f>
        <v>15551.75</v>
      </c>
      <c r="Z1044" s="69">
        <f>AVERAGE(Datasheet!Z1162:Z1165)</f>
        <v>15165.75</v>
      </c>
      <c r="AA1044" s="69">
        <f>AVERAGE(Datasheet!AA1162:AA1165)</f>
        <v>14394</v>
      </c>
      <c r="AB1044" s="69">
        <f>AVERAGE(Datasheet!AB1162:AB1165)</f>
        <v>15467.25</v>
      </c>
      <c r="AC1044" s="69">
        <f>AVERAGE(Datasheet!AC1162:AC1165)</f>
        <v>14559</v>
      </c>
      <c r="AD1044" s="69" t="e">
        <f>AVERAGE(Datasheet!AD1162:AD1165)</f>
        <v>#DIV/0!</v>
      </c>
      <c r="AE1044" s="69" t="e">
        <f>AVERAGE(Datasheet!AE1162:AE1165)</f>
        <v>#DIV/0!</v>
      </c>
      <c r="AF1044" s="69" t="e">
        <f>AVERAGE(Datasheet!AF1162:AF1165)</f>
        <v>#DIV/0!</v>
      </c>
      <c r="AG1044" s="69" t="e">
        <f>AVERAGE(Datasheet!AG1162:AG1165)</f>
        <v>#DIV/0!</v>
      </c>
      <c r="AH1044" s="69" t="e">
        <f>AVERAGE(Datasheet!AH1162:AH1165)</f>
        <v>#DIV/0!</v>
      </c>
      <c r="AI1044" s="69" t="e">
        <f>AVERAGE(Datasheet!AI1162:AI1165)</f>
        <v>#DIV/0!</v>
      </c>
      <c r="AJ1044" s="69" t="e">
        <f>AVERAGE(Datasheet!AJ1162:AJ1165)</f>
        <v>#DIV/0!</v>
      </c>
      <c r="AK1044" s="69" t="e">
        <f>AVERAGE(Datasheet!AK1162:AK1165)</f>
        <v>#DIV/0!</v>
      </c>
    </row>
    <row r="1045" spans="2:37" s="4" customFormat="1" x14ac:dyDescent="0.25">
      <c r="B1045" s="44"/>
      <c r="I1045" s="69"/>
      <c r="J1045" s="69"/>
      <c r="K1045" s="69"/>
      <c r="L1045" s="69"/>
      <c r="M1045" s="69"/>
      <c r="N1045" s="69"/>
      <c r="O1045" s="69"/>
      <c r="P1045" s="69"/>
      <c r="Q1045" s="69"/>
      <c r="R1045" s="69"/>
      <c r="S1045" s="69"/>
      <c r="T1045" s="69"/>
      <c r="U1045" s="69"/>
      <c r="V1045" s="69"/>
      <c r="W1045" s="69"/>
      <c r="X1045" s="69"/>
      <c r="Y1045" s="69"/>
      <c r="Z1045" s="69"/>
      <c r="AA1045" s="69"/>
      <c r="AB1045" s="69"/>
      <c r="AC1045" s="69"/>
      <c r="AD1045" s="69"/>
      <c r="AE1045" s="69"/>
      <c r="AF1045" s="69"/>
      <c r="AG1045" s="69"/>
      <c r="AH1045" s="69"/>
      <c r="AI1045" s="69"/>
      <c r="AJ1045" s="69"/>
      <c r="AK1045" s="69"/>
    </row>
    <row r="1046" spans="2:37" s="4" customFormat="1" x14ac:dyDescent="0.25">
      <c r="B1046" s="44"/>
      <c r="I1046" s="69"/>
      <c r="J1046" s="69"/>
      <c r="K1046" s="69"/>
      <c r="L1046" s="69"/>
      <c r="M1046" s="69"/>
      <c r="N1046" s="69"/>
      <c r="O1046" s="69"/>
      <c r="P1046" s="69"/>
      <c r="Q1046" s="69"/>
      <c r="R1046" s="69"/>
      <c r="S1046" s="69"/>
      <c r="T1046" s="69"/>
      <c r="U1046" s="69"/>
      <c r="V1046" s="69"/>
      <c r="W1046" s="69"/>
      <c r="X1046" s="69"/>
      <c r="Y1046" s="69"/>
      <c r="Z1046" s="69"/>
      <c r="AA1046" s="69"/>
      <c r="AB1046" s="69"/>
      <c r="AC1046" s="69"/>
      <c r="AD1046" s="69"/>
      <c r="AE1046" s="69"/>
      <c r="AF1046" s="69"/>
      <c r="AG1046" s="69"/>
      <c r="AH1046" s="69"/>
      <c r="AI1046" s="69"/>
      <c r="AJ1046" s="69"/>
      <c r="AK1046" s="69"/>
    </row>
    <row r="1047" spans="2:37" s="4" customFormat="1" x14ac:dyDescent="0.25">
      <c r="B1047" s="44"/>
      <c r="I1047" s="69"/>
      <c r="J1047" s="69"/>
      <c r="K1047" s="69"/>
      <c r="L1047" s="69"/>
      <c r="M1047" s="69"/>
      <c r="N1047" s="69"/>
      <c r="O1047" s="69"/>
      <c r="P1047" s="69"/>
      <c r="Q1047" s="69"/>
      <c r="R1047" s="69"/>
      <c r="S1047" s="69"/>
      <c r="T1047" s="69"/>
      <c r="U1047" s="69"/>
      <c r="V1047" s="69"/>
      <c r="W1047" s="69"/>
      <c r="X1047" s="69"/>
      <c r="Y1047" s="69"/>
      <c r="Z1047" s="69"/>
      <c r="AA1047" s="69"/>
      <c r="AB1047" s="69"/>
      <c r="AC1047" s="69"/>
      <c r="AD1047" s="69"/>
      <c r="AE1047" s="69"/>
      <c r="AF1047" s="69"/>
      <c r="AG1047" s="69"/>
      <c r="AH1047" s="69"/>
      <c r="AI1047" s="69"/>
      <c r="AJ1047" s="69"/>
      <c r="AK1047" s="69"/>
    </row>
    <row r="1048" spans="2:37" s="4" customFormat="1" x14ac:dyDescent="0.25">
      <c r="B1048" s="44"/>
      <c r="I1048" s="69"/>
      <c r="J1048" s="69"/>
      <c r="K1048" s="69"/>
      <c r="L1048" s="69"/>
      <c r="M1048" s="69"/>
      <c r="N1048" s="69"/>
      <c r="O1048" s="69"/>
      <c r="P1048" s="69"/>
      <c r="Q1048" s="69"/>
      <c r="R1048" s="69"/>
      <c r="S1048" s="69"/>
      <c r="T1048" s="69"/>
      <c r="U1048" s="69"/>
      <c r="V1048" s="69"/>
      <c r="W1048" s="69"/>
      <c r="X1048" s="69"/>
      <c r="Y1048" s="69"/>
      <c r="Z1048" s="69"/>
      <c r="AA1048" s="69"/>
      <c r="AB1048" s="69"/>
      <c r="AC1048" s="69"/>
      <c r="AD1048" s="69"/>
      <c r="AE1048" s="69"/>
      <c r="AF1048" s="69"/>
      <c r="AG1048" s="69"/>
      <c r="AH1048" s="69"/>
      <c r="AI1048" s="69"/>
      <c r="AJ1048" s="69"/>
      <c r="AK1048" s="69"/>
    </row>
    <row r="1049" spans="2:37" s="4" customFormat="1" x14ac:dyDescent="0.25">
      <c r="B1049" s="44"/>
      <c r="I1049" s="69"/>
      <c r="J1049" s="69"/>
      <c r="K1049" s="69"/>
      <c r="L1049" s="69"/>
      <c r="M1049" s="69"/>
      <c r="N1049" s="69"/>
      <c r="O1049" s="69"/>
      <c r="P1049" s="69"/>
      <c r="Q1049" s="69"/>
      <c r="R1049" s="69"/>
      <c r="S1049" s="69"/>
      <c r="T1049" s="69"/>
      <c r="U1049" s="69"/>
      <c r="V1049" s="69"/>
      <c r="W1049" s="69"/>
      <c r="X1049" s="69"/>
      <c r="Y1049" s="69"/>
      <c r="Z1049" s="69"/>
      <c r="AA1049" s="69"/>
      <c r="AB1049" s="69"/>
      <c r="AC1049" s="69"/>
      <c r="AD1049" s="69"/>
      <c r="AE1049" s="69"/>
      <c r="AF1049" s="69"/>
      <c r="AG1049" s="69"/>
      <c r="AH1049" s="69"/>
      <c r="AI1049" s="69"/>
      <c r="AJ1049" s="69"/>
      <c r="AK1049" s="69"/>
    </row>
    <row r="1050" spans="2:37" s="4" customFormat="1" x14ac:dyDescent="0.25">
      <c r="B1050" s="44"/>
      <c r="I1050" s="69"/>
      <c r="J1050" s="69"/>
      <c r="K1050" s="69"/>
      <c r="L1050" s="69"/>
      <c r="M1050" s="69"/>
      <c r="N1050" s="69"/>
      <c r="O1050" s="69"/>
      <c r="P1050" s="69"/>
      <c r="Q1050" s="69"/>
      <c r="R1050" s="69"/>
      <c r="S1050" s="69"/>
      <c r="T1050" s="69"/>
      <c r="U1050" s="69"/>
      <c r="V1050" s="69"/>
      <c r="W1050" s="69"/>
      <c r="X1050" s="69"/>
      <c r="Y1050" s="69"/>
      <c r="Z1050" s="69"/>
      <c r="AA1050" s="69"/>
      <c r="AB1050" s="69"/>
      <c r="AC1050" s="69"/>
      <c r="AD1050" s="69"/>
      <c r="AE1050" s="69"/>
      <c r="AF1050" s="69"/>
      <c r="AG1050" s="69"/>
      <c r="AH1050" s="69"/>
      <c r="AI1050" s="69"/>
      <c r="AJ1050" s="69"/>
      <c r="AK1050" s="69"/>
    </row>
    <row r="1051" spans="2:37" s="4" customFormat="1" x14ac:dyDescent="0.25">
      <c r="B1051" s="44"/>
      <c r="I1051" s="69"/>
      <c r="J1051" s="69"/>
      <c r="K1051" s="69"/>
      <c r="L1051" s="69"/>
      <c r="M1051" s="69"/>
      <c r="N1051" s="69"/>
      <c r="O1051" s="69"/>
      <c r="P1051" s="69"/>
      <c r="Q1051" s="69"/>
      <c r="R1051" s="69"/>
      <c r="S1051" s="69"/>
      <c r="T1051" s="69"/>
      <c r="U1051" s="69"/>
      <c r="V1051" s="69"/>
      <c r="W1051" s="69"/>
      <c r="X1051" s="69"/>
      <c r="Y1051" s="69"/>
      <c r="Z1051" s="69"/>
      <c r="AA1051" s="69"/>
      <c r="AB1051" s="69"/>
      <c r="AC1051" s="69"/>
      <c r="AD1051" s="69"/>
      <c r="AE1051" s="69"/>
      <c r="AF1051" s="69"/>
      <c r="AG1051" s="69"/>
      <c r="AH1051" s="69"/>
      <c r="AI1051" s="69"/>
      <c r="AJ1051" s="69"/>
      <c r="AK1051" s="69"/>
    </row>
    <row r="1052" spans="2:37" s="4" customFormat="1" x14ac:dyDescent="0.25">
      <c r="B1052" s="44"/>
      <c r="I1052" s="69"/>
      <c r="J1052" s="69"/>
      <c r="K1052" s="69"/>
      <c r="L1052" s="69"/>
      <c r="M1052" s="69"/>
      <c r="N1052" s="69"/>
      <c r="O1052" s="69"/>
      <c r="P1052" s="69"/>
      <c r="Q1052" s="69"/>
      <c r="R1052" s="69"/>
      <c r="S1052" s="69"/>
      <c r="T1052" s="69"/>
      <c r="U1052" s="69"/>
      <c r="V1052" s="69"/>
      <c r="W1052" s="69"/>
      <c r="X1052" s="69"/>
      <c r="Y1052" s="69"/>
      <c r="Z1052" s="69"/>
      <c r="AA1052" s="69"/>
      <c r="AB1052" s="69"/>
      <c r="AC1052" s="69"/>
      <c r="AD1052" s="69"/>
      <c r="AE1052" s="69"/>
      <c r="AF1052" s="69"/>
      <c r="AG1052" s="69"/>
      <c r="AH1052" s="69"/>
      <c r="AI1052" s="69"/>
      <c r="AJ1052" s="69"/>
      <c r="AK1052" s="69"/>
    </row>
    <row r="1053" spans="2:37" s="4" customFormat="1" x14ac:dyDescent="0.25">
      <c r="B1053" s="44"/>
      <c r="I1053" s="69"/>
      <c r="J1053" s="69"/>
      <c r="K1053" s="69"/>
      <c r="L1053" s="69"/>
      <c r="M1053" s="69"/>
      <c r="N1053" s="69"/>
      <c r="O1053" s="69"/>
      <c r="P1053" s="69"/>
      <c r="Q1053" s="69"/>
      <c r="R1053" s="69"/>
      <c r="S1053" s="69"/>
      <c r="T1053" s="69"/>
      <c r="U1053" s="69"/>
      <c r="V1053" s="69"/>
      <c r="W1053" s="69"/>
      <c r="X1053" s="69"/>
      <c r="Y1053" s="69"/>
      <c r="Z1053" s="69"/>
      <c r="AA1053" s="69"/>
      <c r="AB1053" s="69"/>
      <c r="AC1053" s="69"/>
      <c r="AD1053" s="69"/>
      <c r="AE1053" s="69"/>
      <c r="AF1053" s="69"/>
      <c r="AG1053" s="69"/>
      <c r="AH1053" s="69"/>
      <c r="AI1053" s="69"/>
      <c r="AJ1053" s="69"/>
      <c r="AK1053" s="69"/>
    </row>
    <row r="1054" spans="2:37" s="4" customFormat="1" x14ac:dyDescent="0.25">
      <c r="B1054" s="44"/>
      <c r="I1054" s="69"/>
      <c r="J1054" s="69"/>
      <c r="K1054" s="69"/>
      <c r="L1054" s="69"/>
      <c r="M1054" s="69"/>
      <c r="N1054" s="69"/>
      <c r="O1054" s="69"/>
      <c r="P1054" s="69"/>
      <c r="Q1054" s="69"/>
      <c r="R1054" s="69"/>
      <c r="S1054" s="69"/>
      <c r="T1054" s="69"/>
      <c r="U1054" s="69"/>
      <c r="V1054" s="69"/>
      <c r="W1054" s="69"/>
      <c r="X1054" s="69"/>
      <c r="Y1054" s="69"/>
      <c r="Z1054" s="69"/>
      <c r="AA1054" s="69"/>
      <c r="AB1054" s="69"/>
      <c r="AC1054" s="69"/>
      <c r="AD1054" s="69"/>
      <c r="AE1054" s="69"/>
      <c r="AF1054" s="69"/>
      <c r="AG1054" s="69"/>
      <c r="AH1054" s="69"/>
      <c r="AI1054" s="69"/>
      <c r="AJ1054" s="69"/>
      <c r="AK1054" s="69"/>
    </row>
    <row r="1055" spans="2:37" s="4" customFormat="1" x14ac:dyDescent="0.25">
      <c r="B1055" s="44"/>
      <c r="I1055" s="69"/>
      <c r="J1055" s="69"/>
      <c r="K1055" s="69"/>
      <c r="L1055" s="69"/>
      <c r="M1055" s="69"/>
      <c r="N1055" s="69"/>
      <c r="O1055" s="69"/>
      <c r="P1055" s="69"/>
      <c r="Q1055" s="69"/>
      <c r="R1055" s="69"/>
      <c r="S1055" s="69"/>
      <c r="T1055" s="69"/>
      <c r="U1055" s="69"/>
      <c r="V1055" s="69"/>
      <c r="W1055" s="69"/>
      <c r="X1055" s="69"/>
      <c r="Y1055" s="69"/>
      <c r="Z1055" s="69"/>
      <c r="AA1055" s="69"/>
      <c r="AB1055" s="69"/>
      <c r="AC1055" s="69"/>
      <c r="AD1055" s="69"/>
      <c r="AE1055" s="69"/>
      <c r="AF1055" s="69"/>
      <c r="AG1055" s="69"/>
      <c r="AH1055" s="69"/>
      <c r="AI1055" s="69"/>
      <c r="AJ1055" s="69"/>
      <c r="AK1055" s="69"/>
    </row>
    <row r="1056" spans="2:37" s="4" customFormat="1" x14ac:dyDescent="0.25">
      <c r="B1056" s="44"/>
      <c r="I1056" s="69"/>
      <c r="J1056" s="69"/>
      <c r="K1056" s="69"/>
      <c r="L1056" s="69"/>
      <c r="M1056" s="69"/>
      <c r="N1056" s="69"/>
      <c r="O1056" s="69"/>
      <c r="P1056" s="69"/>
      <c r="Q1056" s="69"/>
      <c r="R1056" s="69"/>
      <c r="S1056" s="69"/>
      <c r="T1056" s="69"/>
      <c r="U1056" s="69"/>
      <c r="V1056" s="69"/>
      <c r="W1056" s="69"/>
      <c r="X1056" s="69"/>
      <c r="Y1056" s="69"/>
      <c r="Z1056" s="69"/>
      <c r="AA1056" s="69"/>
      <c r="AB1056" s="69"/>
      <c r="AC1056" s="69"/>
      <c r="AD1056" s="69"/>
      <c r="AE1056" s="69"/>
      <c r="AF1056" s="69"/>
      <c r="AG1056" s="69"/>
      <c r="AH1056" s="69"/>
      <c r="AI1056" s="69"/>
      <c r="AJ1056" s="69"/>
      <c r="AK1056" s="69"/>
    </row>
    <row r="1057" spans="1:37" s="4" customFormat="1" x14ac:dyDescent="0.25">
      <c r="B1057" s="44"/>
      <c r="I1057" s="69"/>
      <c r="J1057" s="69"/>
      <c r="K1057" s="69"/>
      <c r="L1057" s="69"/>
      <c r="M1057" s="69"/>
      <c r="N1057" s="69"/>
      <c r="O1057" s="69"/>
      <c r="P1057" s="69"/>
      <c r="Q1057" s="69"/>
      <c r="R1057" s="69"/>
      <c r="S1057" s="69"/>
      <c r="T1057" s="69"/>
      <c r="U1057" s="69"/>
      <c r="V1057" s="69"/>
      <c r="W1057" s="69"/>
      <c r="X1057" s="69"/>
      <c r="Y1057" s="69"/>
      <c r="Z1057" s="69"/>
      <c r="AA1057" s="69"/>
      <c r="AB1057" s="69"/>
      <c r="AC1057" s="69"/>
      <c r="AD1057" s="69"/>
      <c r="AE1057" s="69"/>
      <c r="AF1057" s="69"/>
      <c r="AG1057" s="69"/>
      <c r="AH1057" s="69"/>
      <c r="AI1057" s="69"/>
      <c r="AJ1057" s="69"/>
      <c r="AK1057" s="69"/>
    </row>
    <row r="1058" spans="1:37" s="4" customFormat="1" x14ac:dyDescent="0.25">
      <c r="B1058" s="44"/>
      <c r="I1058" s="69"/>
      <c r="J1058" s="69"/>
      <c r="K1058" s="69"/>
      <c r="L1058" s="69"/>
      <c r="M1058" s="69"/>
      <c r="N1058" s="69"/>
      <c r="O1058" s="69"/>
      <c r="P1058" s="69"/>
      <c r="Q1058" s="69"/>
      <c r="R1058" s="69"/>
      <c r="S1058" s="69"/>
      <c r="T1058" s="69"/>
      <c r="U1058" s="69"/>
      <c r="V1058" s="69"/>
      <c r="W1058" s="69"/>
      <c r="X1058" s="69"/>
      <c r="Y1058" s="69"/>
      <c r="Z1058" s="69"/>
      <c r="AA1058" s="69"/>
      <c r="AB1058" s="69"/>
      <c r="AC1058" s="69"/>
      <c r="AD1058" s="69"/>
      <c r="AE1058" s="69"/>
      <c r="AF1058" s="69"/>
      <c r="AG1058" s="69"/>
      <c r="AH1058" s="69"/>
      <c r="AI1058" s="69"/>
      <c r="AJ1058" s="69"/>
      <c r="AK1058" s="69"/>
    </row>
    <row r="1059" spans="1:37" s="4" customFormat="1" x14ac:dyDescent="0.25">
      <c r="B1059" s="44"/>
      <c r="I1059" s="69"/>
      <c r="J1059" s="69"/>
      <c r="K1059" s="69"/>
      <c r="L1059" s="69"/>
      <c r="M1059" s="69"/>
      <c r="N1059" s="69"/>
      <c r="O1059" s="69"/>
      <c r="P1059" s="69"/>
      <c r="Q1059" s="69"/>
      <c r="R1059" s="69"/>
      <c r="S1059" s="69"/>
      <c r="T1059" s="69"/>
      <c r="U1059" s="69"/>
      <c r="V1059" s="69"/>
      <c r="W1059" s="69"/>
      <c r="X1059" s="69"/>
      <c r="Y1059" s="69"/>
      <c r="Z1059" s="69"/>
      <c r="AA1059" s="69"/>
      <c r="AB1059" s="69"/>
      <c r="AC1059" s="69"/>
      <c r="AD1059" s="69"/>
      <c r="AE1059" s="69"/>
      <c r="AF1059" s="69"/>
      <c r="AG1059" s="69"/>
      <c r="AH1059" s="69"/>
      <c r="AI1059" s="69"/>
      <c r="AJ1059" s="69"/>
      <c r="AK1059" s="69"/>
    </row>
    <row r="1060" spans="1:37" s="4" customFormat="1" x14ac:dyDescent="0.25">
      <c r="B1060" s="44" t="s">
        <v>21</v>
      </c>
      <c r="C1060" s="4" t="s">
        <v>1325</v>
      </c>
      <c r="I1060" s="69"/>
      <c r="J1060" s="69"/>
      <c r="K1060" s="69"/>
      <c r="L1060" s="69"/>
      <c r="M1060" s="69"/>
      <c r="N1060" s="69"/>
      <c r="O1060" s="69"/>
      <c r="P1060" s="69"/>
      <c r="Q1060" s="69"/>
      <c r="R1060" s="69"/>
      <c r="S1060" s="69"/>
      <c r="T1060" s="69"/>
      <c r="U1060" s="69"/>
      <c r="V1060" s="69"/>
      <c r="W1060" s="69"/>
      <c r="X1060" s="69"/>
      <c r="Y1060" s="69"/>
      <c r="Z1060" s="69"/>
      <c r="AA1060" s="69"/>
      <c r="AB1060" s="69"/>
      <c r="AC1060" s="69"/>
      <c r="AD1060" s="69"/>
      <c r="AE1060" s="69"/>
      <c r="AF1060" s="69"/>
      <c r="AG1060" s="69"/>
      <c r="AH1060" s="69"/>
      <c r="AI1060" s="69"/>
      <c r="AJ1060" s="69"/>
      <c r="AK1060" s="69"/>
    </row>
    <row r="1061" spans="1:37" s="4" customFormat="1" x14ac:dyDescent="0.25">
      <c r="B1061" s="44"/>
      <c r="D1061" s="79"/>
      <c r="E1061" s="79" t="s">
        <v>1316</v>
      </c>
      <c r="I1061" s="100">
        <v>100000</v>
      </c>
      <c r="J1061" s="100">
        <v>100000</v>
      </c>
      <c r="K1061" s="100">
        <v>100000</v>
      </c>
      <c r="L1061" s="100">
        <v>100000</v>
      </c>
      <c r="M1061" s="100">
        <v>100000</v>
      </c>
      <c r="N1061" s="100">
        <v>100000</v>
      </c>
      <c r="O1061" s="100">
        <v>100000</v>
      </c>
      <c r="P1061" s="100">
        <v>100000</v>
      </c>
      <c r="Q1061" s="100">
        <v>100000</v>
      </c>
      <c r="R1061" s="100">
        <v>100000</v>
      </c>
      <c r="S1061" s="100">
        <v>100000</v>
      </c>
      <c r="T1061" s="100">
        <v>100000</v>
      </c>
      <c r="U1061" s="100">
        <v>100000</v>
      </c>
      <c r="V1061" s="100">
        <v>100000</v>
      </c>
      <c r="W1061" s="100">
        <v>100000</v>
      </c>
      <c r="X1061" s="100">
        <v>100000</v>
      </c>
      <c r="Y1061" s="100">
        <v>100000</v>
      </c>
      <c r="Z1061" s="100">
        <v>100000</v>
      </c>
      <c r="AA1061" s="100">
        <v>100000</v>
      </c>
      <c r="AB1061" s="100">
        <v>100000</v>
      </c>
      <c r="AC1061" s="100">
        <v>100000</v>
      </c>
      <c r="AD1061" s="100">
        <v>100000</v>
      </c>
      <c r="AE1061" s="100">
        <v>100000</v>
      </c>
      <c r="AF1061" s="100">
        <v>100000</v>
      </c>
      <c r="AG1061" s="100">
        <v>100000</v>
      </c>
      <c r="AH1061" s="100">
        <v>100000</v>
      </c>
      <c r="AI1061" s="100">
        <v>100000</v>
      </c>
      <c r="AJ1061" s="100">
        <v>100000</v>
      </c>
      <c r="AK1061" s="100">
        <v>100000</v>
      </c>
    </row>
    <row r="1062" spans="1:37" s="4" customFormat="1" x14ac:dyDescent="0.25">
      <c r="B1062" s="44"/>
      <c r="C1062" s="181"/>
      <c r="D1062" s="4" t="s">
        <v>1317</v>
      </c>
      <c r="H1062" s="4" t="s">
        <v>1318</v>
      </c>
      <c r="I1062" s="69">
        <v>20000</v>
      </c>
      <c r="J1062" s="69">
        <v>20000</v>
      </c>
      <c r="K1062" s="69">
        <v>20000</v>
      </c>
      <c r="L1062" s="69">
        <v>20000</v>
      </c>
      <c r="M1062" s="69">
        <v>20000</v>
      </c>
      <c r="N1062" s="69">
        <v>20000</v>
      </c>
      <c r="O1062" s="69">
        <v>20000</v>
      </c>
      <c r="P1062" s="69">
        <v>20000</v>
      </c>
      <c r="Q1062" s="69">
        <v>20000</v>
      </c>
      <c r="R1062" s="69">
        <v>20000</v>
      </c>
      <c r="S1062" s="69">
        <v>20000</v>
      </c>
      <c r="T1062" s="69">
        <v>20000</v>
      </c>
      <c r="U1062" s="69">
        <v>20000</v>
      </c>
      <c r="V1062" s="69">
        <v>20000</v>
      </c>
      <c r="W1062" s="69">
        <v>20000</v>
      </c>
      <c r="X1062" s="69">
        <v>20000</v>
      </c>
      <c r="Y1062" s="69">
        <v>20000</v>
      </c>
      <c r="Z1062" s="69">
        <v>20000</v>
      </c>
      <c r="AA1062" s="69">
        <v>20000</v>
      </c>
      <c r="AB1062" s="69">
        <v>20000</v>
      </c>
      <c r="AC1062" s="69">
        <v>20000</v>
      </c>
      <c r="AD1062" s="69">
        <v>20000</v>
      </c>
      <c r="AE1062" s="69">
        <v>20000</v>
      </c>
      <c r="AF1062" s="69">
        <v>20000</v>
      </c>
      <c r="AG1062" s="69">
        <v>20000</v>
      </c>
      <c r="AH1062" s="69">
        <v>20000</v>
      </c>
      <c r="AI1062" s="69">
        <v>20000</v>
      </c>
      <c r="AJ1062" s="69">
        <v>20000</v>
      </c>
      <c r="AK1062" s="69">
        <v>20000</v>
      </c>
    </row>
    <row r="1063" spans="1:37" s="4" customFormat="1" x14ac:dyDescent="0.25">
      <c r="B1063" s="44"/>
      <c r="D1063" s="79"/>
      <c r="E1063" s="79" t="s">
        <v>1319</v>
      </c>
      <c r="H1063" s="79"/>
      <c r="I1063" s="100">
        <f>I1062-I1064</f>
        <v>2800</v>
      </c>
      <c r="J1063" s="100">
        <f t="shared" ref="J1063:AK1063" si="176">J1062-J1064</f>
        <v>2800</v>
      </c>
      <c r="K1063" s="100">
        <f t="shared" si="176"/>
        <v>2800</v>
      </c>
      <c r="L1063" s="100">
        <f t="shared" si="176"/>
        <v>2800</v>
      </c>
      <c r="M1063" s="100">
        <f t="shared" si="176"/>
        <v>2800</v>
      </c>
      <c r="N1063" s="100">
        <f t="shared" si="176"/>
        <v>2800</v>
      </c>
      <c r="O1063" s="100">
        <f t="shared" si="176"/>
        <v>2800</v>
      </c>
      <c r="P1063" s="100">
        <f t="shared" si="176"/>
        <v>2800</v>
      </c>
      <c r="Q1063" s="100">
        <f t="shared" si="176"/>
        <v>2800</v>
      </c>
      <c r="R1063" s="100">
        <f t="shared" si="176"/>
        <v>2800</v>
      </c>
      <c r="S1063" s="100">
        <f t="shared" si="176"/>
        <v>2800</v>
      </c>
      <c r="T1063" s="100">
        <f t="shared" si="176"/>
        <v>2800</v>
      </c>
      <c r="U1063" s="100">
        <f t="shared" si="176"/>
        <v>2800</v>
      </c>
      <c r="V1063" s="100">
        <f t="shared" si="176"/>
        <v>2800</v>
      </c>
      <c r="W1063" s="100">
        <f t="shared" si="176"/>
        <v>2800</v>
      </c>
      <c r="X1063" s="100">
        <f t="shared" si="176"/>
        <v>2800</v>
      </c>
      <c r="Y1063" s="100">
        <f t="shared" si="176"/>
        <v>2800</v>
      </c>
      <c r="Z1063" s="100">
        <f t="shared" si="176"/>
        <v>2800</v>
      </c>
      <c r="AA1063" s="100">
        <f t="shared" si="176"/>
        <v>2800</v>
      </c>
      <c r="AB1063" s="100">
        <f t="shared" si="176"/>
        <v>2800</v>
      </c>
      <c r="AC1063" s="100">
        <f t="shared" si="176"/>
        <v>2800</v>
      </c>
      <c r="AD1063" s="100">
        <f t="shared" si="176"/>
        <v>2800</v>
      </c>
      <c r="AE1063" s="100">
        <f t="shared" si="176"/>
        <v>2800</v>
      </c>
      <c r="AF1063" s="100">
        <f t="shared" si="176"/>
        <v>2800</v>
      </c>
      <c r="AG1063" s="100">
        <f t="shared" si="176"/>
        <v>2800</v>
      </c>
      <c r="AH1063" s="100">
        <f t="shared" si="176"/>
        <v>2800</v>
      </c>
      <c r="AI1063" s="100">
        <f t="shared" si="176"/>
        <v>2800</v>
      </c>
      <c r="AJ1063" s="100">
        <f t="shared" si="176"/>
        <v>2800</v>
      </c>
      <c r="AK1063" s="100">
        <f t="shared" si="176"/>
        <v>2800</v>
      </c>
    </row>
    <row r="1064" spans="1:37" s="4" customFormat="1" x14ac:dyDescent="0.25">
      <c r="B1064" s="44"/>
      <c r="C1064" s="181"/>
      <c r="D1064" s="4" t="s">
        <v>1326</v>
      </c>
      <c r="H1064" s="4" t="s">
        <v>1318</v>
      </c>
      <c r="I1064" s="69">
        <v>17200</v>
      </c>
      <c r="J1064" s="69">
        <v>17200</v>
      </c>
      <c r="K1064" s="69">
        <v>17200</v>
      </c>
      <c r="L1064" s="69">
        <v>17200</v>
      </c>
      <c r="M1064" s="69">
        <v>17200</v>
      </c>
      <c r="N1064" s="69">
        <v>17200</v>
      </c>
      <c r="O1064" s="69">
        <v>17200</v>
      </c>
      <c r="P1064" s="69">
        <v>17200</v>
      </c>
      <c r="Q1064" s="69">
        <v>17200</v>
      </c>
      <c r="R1064" s="69">
        <v>17200</v>
      </c>
      <c r="S1064" s="69">
        <v>17200</v>
      </c>
      <c r="T1064" s="69">
        <v>17200</v>
      </c>
      <c r="U1064" s="69">
        <v>17200</v>
      </c>
      <c r="V1064" s="69">
        <v>17200</v>
      </c>
      <c r="W1064" s="69">
        <v>17200</v>
      </c>
      <c r="X1064" s="69">
        <v>17200</v>
      </c>
      <c r="Y1064" s="69">
        <v>17200</v>
      </c>
      <c r="Z1064" s="69">
        <v>17200</v>
      </c>
      <c r="AA1064" s="69">
        <v>17200</v>
      </c>
      <c r="AB1064" s="69">
        <v>17200</v>
      </c>
      <c r="AC1064" s="69">
        <v>17200</v>
      </c>
      <c r="AD1064" s="69">
        <v>17200</v>
      </c>
      <c r="AE1064" s="69">
        <v>17200</v>
      </c>
      <c r="AF1064" s="69">
        <v>17200</v>
      </c>
      <c r="AG1064" s="69">
        <v>17200</v>
      </c>
      <c r="AH1064" s="69">
        <v>17200</v>
      </c>
      <c r="AI1064" s="69">
        <v>17200</v>
      </c>
      <c r="AJ1064" s="69">
        <v>17200</v>
      </c>
      <c r="AK1064" s="69">
        <v>17200</v>
      </c>
    </row>
    <row r="1065" spans="1:37" s="4" customFormat="1" x14ac:dyDescent="0.25">
      <c r="B1065" s="44"/>
      <c r="C1065" s="181"/>
      <c r="D1065" s="4" t="s">
        <v>1321</v>
      </c>
      <c r="H1065" s="4" t="s">
        <v>1318</v>
      </c>
      <c r="I1065" s="69"/>
      <c r="J1065" s="69"/>
      <c r="K1065" s="69"/>
      <c r="L1065" s="69"/>
      <c r="M1065" s="69"/>
      <c r="N1065" s="69"/>
      <c r="O1065" s="69"/>
      <c r="P1065" s="69">
        <f>_xlfn.FORECAST.LINEAR(P$2,CHOOSE({1;2},14000,15800),CHOOSE({1;2},2024,2035))</f>
        <v>11545.45454545453</v>
      </c>
      <c r="Q1065" s="69">
        <f>_xlfn.FORECAST.LINEAR(Q$2,CHOOSE({1;2},14000,15800),CHOOSE({1;2},2024,2035))</f>
        <v>11709.090909090883</v>
      </c>
      <c r="R1065" s="69">
        <f>_xlfn.FORECAST.LINEAR(R$2,CHOOSE({1;2},14000,15800),CHOOSE({1;2},2024,2035))</f>
        <v>11872.727272727236</v>
      </c>
      <c r="S1065" s="69">
        <f>_xlfn.FORECAST.LINEAR(S$2,CHOOSE({1;2},14000,15800),CHOOSE({1;2},2024,2035))</f>
        <v>12036.363636363589</v>
      </c>
      <c r="T1065" s="69">
        <f>_xlfn.FORECAST.LINEAR(T$2,CHOOSE({1;2},14000,15800),CHOOSE({1;2},2024,2035))</f>
        <v>12200</v>
      </c>
      <c r="U1065" s="69">
        <f>_xlfn.FORECAST.LINEAR(U$2,CHOOSE({1;2},14000,15800),CHOOSE({1;2},2024,2035))</f>
        <v>12363.636363636353</v>
      </c>
      <c r="V1065" s="69">
        <f>_xlfn.FORECAST.LINEAR(V$2,CHOOSE({1;2},14000,15800),CHOOSE({1;2},2024,2035))</f>
        <v>12527.272727272706</v>
      </c>
      <c r="W1065" s="69">
        <f>_xlfn.FORECAST.LINEAR(W$2,CHOOSE({1;2},14000,15800),CHOOSE({1;2},2024,2035))</f>
        <v>12690.909090909059</v>
      </c>
      <c r="X1065" s="69">
        <f>_xlfn.FORECAST.LINEAR(X$2,CHOOSE({1;2},14000,15800),CHOOSE({1;2},2024,2035))</f>
        <v>12854.545454545412</v>
      </c>
      <c r="Y1065" s="69">
        <f>_xlfn.FORECAST.LINEAR(Y$2,CHOOSE({1;2},14000,15800),CHOOSE({1;2},2024,2035))</f>
        <v>13018.181818181823</v>
      </c>
      <c r="Z1065" s="69">
        <f>_xlfn.FORECAST.LINEAR(Z$2,CHOOSE({1;2},14000,15800),CHOOSE({1;2},2024,2035))</f>
        <v>13181.818181818177</v>
      </c>
      <c r="AA1065" s="69">
        <f>_xlfn.FORECAST.LINEAR(AA$2,CHOOSE({1;2},14000,15800),CHOOSE({1;2},2024,2035))</f>
        <v>13345.45454545453</v>
      </c>
      <c r="AB1065" s="69">
        <f>_xlfn.FORECAST.LINEAR(AB$2,CHOOSE({1;2},14000,15800),CHOOSE({1;2},2024,2035))</f>
        <v>13509.090909090883</v>
      </c>
      <c r="AC1065" s="69">
        <f>_xlfn.FORECAST.LINEAR(AC$2,CHOOSE({1;2},14000,15800),CHOOSE({1;2},2024,2035))</f>
        <v>13672.727272727236</v>
      </c>
      <c r="AD1065" s="69">
        <f>_xlfn.FORECAST.LINEAR(AD$2,CHOOSE({1;2},14000,15800),CHOOSE({1;2},2024,2035))</f>
        <v>13836.363636363589</v>
      </c>
      <c r="AE1065" s="69">
        <f>_xlfn.FORECAST.LINEAR(AE$2,CHOOSE({1;2},14000,15800),CHOOSE({1;2},2024,2035))</f>
        <v>14000</v>
      </c>
      <c r="AF1065" s="69">
        <f>_xlfn.FORECAST.LINEAR(AF$2,CHOOSE({1;2},14000,15800),CHOOSE({1;2},2024,2035))</f>
        <v>14163.636363636353</v>
      </c>
      <c r="AG1065" s="69">
        <f>_xlfn.FORECAST.LINEAR(AG$2,CHOOSE({1;2},14000,15800),CHOOSE({1;2},2024,2035))</f>
        <v>14327.272727272706</v>
      </c>
      <c r="AH1065" s="69">
        <f>_xlfn.FORECAST.LINEAR(AH$2,CHOOSE({1;2},14000,15800),CHOOSE({1;2},2024,2035))</f>
        <v>14490.909090909059</v>
      </c>
      <c r="AI1065" s="69">
        <f>_xlfn.FORECAST.LINEAR(AI$2,CHOOSE({1;2},14000,15800),CHOOSE({1;2},2024,2035))</f>
        <v>14654.545454545412</v>
      </c>
      <c r="AJ1065" s="69">
        <f>_xlfn.FORECAST.LINEAR(AJ$2,CHOOSE({1;2},14000,15800),CHOOSE({1;2},2024,2035))</f>
        <v>14818.181818181823</v>
      </c>
      <c r="AK1065" s="69">
        <f>_xlfn.FORECAST.LINEAR(AK$2,CHOOSE({1;2},14000,15800),CHOOSE({1;2},2024,2035))</f>
        <v>14981.818181818177</v>
      </c>
    </row>
    <row r="1066" spans="1:37" s="4" customFormat="1" x14ac:dyDescent="0.25">
      <c r="B1066" s="44"/>
      <c r="C1066" s="181"/>
      <c r="D1066" s="4" t="s">
        <v>1322</v>
      </c>
      <c r="H1066" s="4" t="s">
        <v>1318</v>
      </c>
      <c r="I1066" s="69"/>
      <c r="J1066" s="69"/>
      <c r="K1066" s="69"/>
      <c r="L1066" s="69"/>
      <c r="M1066" s="69"/>
      <c r="N1066" s="69"/>
      <c r="O1066" s="69"/>
      <c r="P1066" s="69"/>
      <c r="Q1066" s="69"/>
      <c r="R1066" s="69"/>
      <c r="S1066" s="69"/>
      <c r="T1066" s="69"/>
      <c r="U1066" s="69"/>
      <c r="V1066" s="69"/>
      <c r="W1066" s="69">
        <f>_xlfn.FORECAST.LINEAR(W$2,CHOOSE({1;2},13400,14300),CHOOSE({1;2},2024,2035))</f>
        <v>12745.45454545453</v>
      </c>
      <c r="X1066" s="69">
        <f>_xlfn.FORECAST.LINEAR(X$2,CHOOSE({1;2},13400,14300),CHOOSE({1;2},2024,2035))</f>
        <v>12827.272727272706</v>
      </c>
      <c r="Y1066" s="69">
        <f>_xlfn.FORECAST.LINEAR(Y$2,CHOOSE({1;2},13400,14300),CHOOSE({1;2},2024,2035))</f>
        <v>12909.090909090912</v>
      </c>
      <c r="Z1066" s="69">
        <f>_xlfn.FORECAST.LINEAR(Z$2,CHOOSE({1;2},13400,14300),CHOOSE({1;2},2024,2035))</f>
        <v>12990.909090909088</v>
      </c>
      <c r="AA1066" s="69">
        <f>_xlfn.FORECAST.LINEAR(AA$2,CHOOSE({1;2},13400,14300),CHOOSE({1;2},2024,2035))</f>
        <v>13072.727272727265</v>
      </c>
      <c r="AB1066" s="69">
        <f>_xlfn.FORECAST.LINEAR(AB$2,CHOOSE({1;2},13400,14300),CHOOSE({1;2},2024,2035))</f>
        <v>13154.545454545441</v>
      </c>
      <c r="AC1066" s="69">
        <f>_xlfn.FORECAST.LINEAR(AC$2,CHOOSE({1;2},13400,14300),CHOOSE({1;2},2024,2035))</f>
        <v>13236.363636363618</v>
      </c>
      <c r="AD1066" s="69">
        <f>_xlfn.FORECAST.LINEAR(AD$2,CHOOSE({1;2},13400,14300),CHOOSE({1;2},2024,2035))</f>
        <v>13318.181818181794</v>
      </c>
      <c r="AE1066" s="69">
        <f>_xlfn.FORECAST.LINEAR(AE$2,CHOOSE({1;2},13400,14300),CHOOSE({1;2},2024,2035))</f>
        <v>13400</v>
      </c>
      <c r="AF1066" s="69">
        <f>_xlfn.FORECAST.LINEAR(AF$2,CHOOSE({1;2},13400,14300),CHOOSE({1;2},2024,2035))</f>
        <v>13481.818181818177</v>
      </c>
      <c r="AG1066" s="69">
        <f>_xlfn.FORECAST.LINEAR(AG$2,CHOOSE({1;2},13400,14300),CHOOSE({1;2},2024,2035))</f>
        <v>13563.636363636353</v>
      </c>
      <c r="AH1066" s="69">
        <f>_xlfn.FORECAST.LINEAR(AH$2,CHOOSE({1;2},13400,14300),CHOOSE({1;2},2024,2035))</f>
        <v>13645.45454545453</v>
      </c>
      <c r="AI1066" s="69">
        <f>_xlfn.FORECAST.LINEAR(AI$2,CHOOSE({1;2},13400,14300),CHOOSE({1;2},2024,2035))</f>
        <v>13727.272727272706</v>
      </c>
      <c r="AJ1066" s="69">
        <f>_xlfn.FORECAST.LINEAR(AJ$2,CHOOSE({1;2},13400,14300),CHOOSE({1;2},2024,2035))</f>
        <v>13809.090909090912</v>
      </c>
      <c r="AK1066" s="69">
        <f>_xlfn.FORECAST.LINEAR(AK$2,CHOOSE({1;2},13400,14300),CHOOSE({1;2},2024,2035))</f>
        <v>13890.909090909088</v>
      </c>
    </row>
    <row r="1067" spans="1:37" s="4" customFormat="1" x14ac:dyDescent="0.25">
      <c r="B1067" s="44"/>
      <c r="D1067" s="4" t="s">
        <v>1323</v>
      </c>
      <c r="H1067" s="4" t="s">
        <v>1318</v>
      </c>
      <c r="I1067" s="69" t="e">
        <f>AVERAGE(Datasheet!I1136:I1139)</f>
        <v>#DIV/0!</v>
      </c>
      <c r="J1067" s="69" t="e">
        <f>AVERAGE(Datasheet!J1136:J1139)</f>
        <v>#DIV/0!</v>
      </c>
      <c r="K1067" s="69" t="e">
        <f>AVERAGE(Datasheet!K1136:K1139)</f>
        <v>#DIV/0!</v>
      </c>
      <c r="L1067" s="69" t="e">
        <f>AVERAGE(Datasheet!L1136:L1139)</f>
        <v>#DIV/0!</v>
      </c>
      <c r="M1067" s="69" t="e">
        <f>AVERAGE(Datasheet!M1136:M1139)</f>
        <v>#DIV/0!</v>
      </c>
      <c r="N1067" s="69" t="e">
        <f>AVERAGE(Datasheet!N1136:N1139)</f>
        <v>#DIV/0!</v>
      </c>
      <c r="O1067" s="69" t="e">
        <f>AVERAGE(Datasheet!O1136:O1139)</f>
        <v>#DIV/0!</v>
      </c>
      <c r="P1067" s="69">
        <f>AVERAGE(Datasheet!P1136:P1139)</f>
        <v>11266.642857142884</v>
      </c>
      <c r="Q1067" s="69">
        <f>AVERAGE(Datasheet!Q1136:Q1139)</f>
        <v>11597.553571428594</v>
      </c>
      <c r="R1067" s="69">
        <f>AVERAGE(Datasheet!R1136:R1139)</f>
        <v>11928.464285714319</v>
      </c>
      <c r="S1067" s="69">
        <f>AVERAGE(Datasheet!S1136:S1139)</f>
        <v>12439.75</v>
      </c>
      <c r="T1067" s="69">
        <f>AVERAGE(Datasheet!T1136:T1139)</f>
        <v>12159.25</v>
      </c>
      <c r="U1067" s="69">
        <f>AVERAGE(Datasheet!U1136:U1139)</f>
        <v>12770</v>
      </c>
      <c r="V1067" s="69">
        <f>AVERAGE(Datasheet!V1136:V1139)</f>
        <v>13095.25</v>
      </c>
      <c r="W1067" s="69">
        <f>AVERAGE(Datasheet!W1136:W1139)</f>
        <v>14009.25</v>
      </c>
      <c r="X1067" s="69">
        <f>AVERAGE(Datasheet!X1136:X1139)</f>
        <v>14492.25</v>
      </c>
      <c r="Y1067" s="69">
        <f>AVERAGE(Datasheet!Y1136:Y1139)</f>
        <v>14516.5</v>
      </c>
      <c r="Z1067" s="69">
        <f>AVERAGE(Datasheet!Z1136:Z1139)</f>
        <v>13858.25</v>
      </c>
      <c r="AA1067" s="69">
        <f>AVERAGE(Datasheet!AA1136:AA1139)</f>
        <v>13269.5</v>
      </c>
      <c r="AB1067" s="69">
        <f>AVERAGE(Datasheet!AB1136:AB1139)</f>
        <v>15697.75</v>
      </c>
      <c r="AC1067" s="69">
        <f>AVERAGE(Datasheet!AC1136:AC1139)</f>
        <v>14806.25</v>
      </c>
      <c r="AD1067" s="69" t="e">
        <f>AVERAGE(Datasheet!AD1136:AD1139)</f>
        <v>#DIV/0!</v>
      </c>
      <c r="AE1067" s="69" t="e">
        <f>AVERAGE(Datasheet!AE1136:AE1139)</f>
        <v>#DIV/0!</v>
      </c>
      <c r="AF1067" s="69" t="e">
        <f>AVERAGE(Datasheet!AF1136:AF1139)</f>
        <v>#DIV/0!</v>
      </c>
      <c r="AG1067" s="69" t="e">
        <f>AVERAGE(Datasheet!AG1136:AG1139)</f>
        <v>#DIV/0!</v>
      </c>
      <c r="AH1067" s="69" t="e">
        <f>AVERAGE(Datasheet!AH1136:AH1139)</f>
        <v>#DIV/0!</v>
      </c>
      <c r="AI1067" s="69" t="e">
        <f>AVERAGE(Datasheet!AI1136:AI1139)</f>
        <v>#DIV/0!</v>
      </c>
      <c r="AJ1067" s="69" t="e">
        <f>AVERAGE(Datasheet!AJ1136:AJ1139)</f>
        <v>#DIV/0!</v>
      </c>
      <c r="AK1067" s="69" t="e">
        <f>AVERAGE(Datasheet!AK1136:AK1139)</f>
        <v>#DIV/0!</v>
      </c>
    </row>
    <row r="1068" spans="1:37" s="66" customFormat="1" x14ac:dyDescent="0.25">
      <c r="B1068" s="67"/>
      <c r="I1068" s="96"/>
      <c r="J1068" s="96"/>
      <c r="K1068" s="96"/>
      <c r="L1068" s="96"/>
      <c r="M1068" s="96"/>
      <c r="N1068" s="96"/>
      <c r="O1068" s="96"/>
      <c r="P1068" s="96"/>
      <c r="Q1068" s="96"/>
      <c r="R1068" s="96"/>
      <c r="S1068" s="96"/>
      <c r="T1068" s="96"/>
      <c r="U1068" s="96"/>
      <c r="V1068" s="96"/>
      <c r="W1068" s="96"/>
      <c r="X1068" s="96"/>
      <c r="Y1068" s="96"/>
      <c r="Z1068" s="96"/>
      <c r="AA1068" s="96"/>
      <c r="AB1068" s="96"/>
      <c r="AC1068" s="96"/>
      <c r="AD1068" s="96"/>
      <c r="AE1068" s="96"/>
      <c r="AF1068" s="96"/>
      <c r="AG1068" s="96"/>
      <c r="AH1068" s="96"/>
      <c r="AI1068" s="96"/>
      <c r="AJ1068" s="96"/>
      <c r="AK1068" s="96"/>
    </row>
    <row r="1069" spans="1:37" s="70" customFormat="1" ht="17.25" x14ac:dyDescent="0.3">
      <c r="A1069" s="70" t="s">
        <v>569</v>
      </c>
    </row>
    <row r="1070" spans="1:37" x14ac:dyDescent="0.25">
      <c r="B1070" s="29" t="s">
        <v>877</v>
      </c>
      <c r="C1070" t="s">
        <v>754</v>
      </c>
    </row>
    <row r="1071" spans="1:37" x14ac:dyDescent="0.25">
      <c r="B1071" s="29" t="s">
        <v>879</v>
      </c>
      <c r="C1071" t="s">
        <v>1327</v>
      </c>
    </row>
    <row r="1072" spans="1:37" x14ac:dyDescent="0.25">
      <c r="B1072" s="29" t="s">
        <v>881</v>
      </c>
      <c r="C1072" t="s">
        <v>1328</v>
      </c>
    </row>
    <row r="1073" spans="2:37" x14ac:dyDescent="0.25">
      <c r="B1073" s="29" t="s">
        <v>883</v>
      </c>
      <c r="C1073" s="263" t="s">
        <v>569</v>
      </c>
    </row>
    <row r="1074" spans="2:37" x14ac:dyDescent="0.25">
      <c r="B1074" s="29" t="s">
        <v>885</v>
      </c>
      <c r="C1074" t="s">
        <v>1329</v>
      </c>
    </row>
    <row r="1075" spans="2:37" x14ac:dyDescent="0.25">
      <c r="B1075" s="29"/>
      <c r="D1075" t="s">
        <v>1330</v>
      </c>
    </row>
    <row r="1076" spans="2:37" x14ac:dyDescent="0.25">
      <c r="B1076" s="29" t="s">
        <v>886</v>
      </c>
      <c r="C1076" t="s">
        <v>1331</v>
      </c>
    </row>
    <row r="1077" spans="2:37" x14ac:dyDescent="0.25">
      <c r="B1077" s="29" t="s">
        <v>887</v>
      </c>
      <c r="C1077" t="s">
        <v>1332</v>
      </c>
    </row>
    <row r="1078" spans="2:37" s="88" customFormat="1" ht="15.75" thickBot="1" x14ac:dyDescent="0.3">
      <c r="B1078" s="95" t="s">
        <v>19</v>
      </c>
      <c r="C1078" s="88" t="s">
        <v>1333</v>
      </c>
    </row>
    <row r="1079" spans="2:37" s="4" customFormat="1" ht="15.75" thickTop="1" x14ac:dyDescent="0.25">
      <c r="B1079" s="44" t="s">
        <v>21</v>
      </c>
      <c r="C1079" s="4" t="s">
        <v>1334</v>
      </c>
      <c r="I1079" s="69">
        <f>Datasheet!I1279</f>
        <v>0</v>
      </c>
      <c r="J1079" s="69">
        <f>Datasheet!J1279</f>
        <v>129</v>
      </c>
      <c r="K1079" s="69">
        <f>Datasheet!K1279</f>
        <v>251</v>
      </c>
      <c r="L1079" s="69">
        <f>Datasheet!L1279</f>
        <v>146</v>
      </c>
      <c r="M1079" s="69">
        <f>Datasheet!M1279</f>
        <v>264</v>
      </c>
      <c r="N1079" s="69">
        <f>Datasheet!N1279</f>
        <v>197</v>
      </c>
      <c r="O1079" s="69">
        <f>Datasheet!O1279</f>
        <v>220</v>
      </c>
      <c r="P1079" s="69">
        <f>Datasheet!P1279</f>
        <v>179</v>
      </c>
      <c r="Q1079" s="69">
        <f>Datasheet!Q1279</f>
        <v>136</v>
      </c>
      <c r="R1079" s="69">
        <f>Datasheet!R1279</f>
        <v>371</v>
      </c>
      <c r="S1079" s="69">
        <f>Datasheet!S1279</f>
        <v>206</v>
      </c>
      <c r="T1079" s="69">
        <f>Datasheet!T1279</f>
        <v>171</v>
      </c>
      <c r="U1079" s="69">
        <f>Datasheet!U1279</f>
        <v>213</v>
      </c>
      <c r="V1079" s="69">
        <f>Datasheet!V1279</f>
        <v>277</v>
      </c>
      <c r="W1079" s="69">
        <f>Datasheet!W1279</f>
        <v>284</v>
      </c>
      <c r="X1079" s="69">
        <f>Datasheet!X1279</f>
        <v>358</v>
      </c>
      <c r="Y1079" s="69">
        <f>Datasheet!Y1279</f>
        <v>181</v>
      </c>
      <c r="Z1079" s="69">
        <f>Datasheet!Z1279</f>
        <v>267</v>
      </c>
      <c r="AA1079" s="69">
        <f>Datasheet!AA1279</f>
        <v>220</v>
      </c>
      <c r="AB1079" s="69">
        <f>Datasheet!AB1279</f>
        <v>165</v>
      </c>
      <c r="AC1079" s="69">
        <f>Datasheet!AC1279</f>
        <v>0</v>
      </c>
      <c r="AD1079" s="69">
        <f>Datasheet!AD1279</f>
        <v>0</v>
      </c>
      <c r="AE1079" s="69">
        <f>Datasheet!AE1279</f>
        <v>0</v>
      </c>
      <c r="AF1079" s="69">
        <f>Datasheet!AF1279</f>
        <v>0</v>
      </c>
      <c r="AG1079" s="69">
        <f>Datasheet!AG1279</f>
        <v>0</v>
      </c>
      <c r="AH1079" s="69">
        <f>Datasheet!AH1279</f>
        <v>0</v>
      </c>
      <c r="AI1079" s="69">
        <f>Datasheet!AI1279</f>
        <v>0</v>
      </c>
      <c r="AJ1079" s="69">
        <f>Datasheet!AJ1279</f>
        <v>0</v>
      </c>
      <c r="AK1079" s="69">
        <f>Datasheet!AK1279</f>
        <v>0</v>
      </c>
    </row>
    <row r="1080" spans="2:37" s="4" customFormat="1" x14ac:dyDescent="0.25">
      <c r="B1080" s="44"/>
      <c r="C1080" s="4" t="s">
        <v>1335</v>
      </c>
      <c r="I1080" s="69"/>
      <c r="J1080" s="69"/>
      <c r="K1080" s="69"/>
      <c r="L1080" s="69">
        <f>AVERAGE(J1079:L1079)</f>
        <v>175.33333333333334</v>
      </c>
      <c r="M1080" s="69">
        <f>AVERAGE(K1079:M1079)</f>
        <v>220.33333333333334</v>
      </c>
      <c r="N1080" s="69">
        <f t="shared" ref="N1080:Y1080" si="177">AVERAGE(L1079:N1079)</f>
        <v>202.33333333333334</v>
      </c>
      <c r="O1080" s="69">
        <f t="shared" si="177"/>
        <v>227</v>
      </c>
      <c r="P1080" s="69">
        <f t="shared" si="177"/>
        <v>198.66666666666666</v>
      </c>
      <c r="Q1080" s="69">
        <f t="shared" si="177"/>
        <v>178.33333333333334</v>
      </c>
      <c r="R1080" s="69">
        <f t="shared" si="177"/>
        <v>228.66666666666666</v>
      </c>
      <c r="S1080" s="69">
        <f t="shared" si="177"/>
        <v>237.66666666666666</v>
      </c>
      <c r="T1080" s="69">
        <f t="shared" si="177"/>
        <v>249.33333333333334</v>
      </c>
      <c r="U1080" s="69">
        <f t="shared" si="177"/>
        <v>196.66666666666666</v>
      </c>
      <c r="V1080" s="69">
        <f t="shared" si="177"/>
        <v>220.33333333333334</v>
      </c>
      <c r="W1080" s="69">
        <f t="shared" si="177"/>
        <v>258</v>
      </c>
      <c r="X1080" s="69">
        <f t="shared" si="177"/>
        <v>306.33333333333331</v>
      </c>
      <c r="Y1080" s="69">
        <f t="shared" si="177"/>
        <v>274.33333333333331</v>
      </c>
      <c r="Z1080" s="69">
        <f>AVERAGE(X1079:Z1079)</f>
        <v>268.66666666666669</v>
      </c>
      <c r="AA1080" s="69">
        <f t="shared" ref="AA1080:AK1080" si="178">AVERAGE(Y1079:AA1079)</f>
        <v>222.66666666666666</v>
      </c>
      <c r="AB1080" s="69">
        <f t="shared" si="178"/>
        <v>217.33333333333334</v>
      </c>
      <c r="AC1080" s="69">
        <f t="shared" si="178"/>
        <v>128.33333333333334</v>
      </c>
      <c r="AD1080" s="69">
        <f t="shared" si="178"/>
        <v>55</v>
      </c>
      <c r="AE1080" s="69">
        <f t="shared" si="178"/>
        <v>0</v>
      </c>
      <c r="AF1080" s="69">
        <f t="shared" si="178"/>
        <v>0</v>
      </c>
      <c r="AG1080" s="69">
        <f t="shared" si="178"/>
        <v>0</v>
      </c>
      <c r="AH1080" s="69">
        <f t="shared" si="178"/>
        <v>0</v>
      </c>
      <c r="AI1080" s="69">
        <f t="shared" si="178"/>
        <v>0</v>
      </c>
      <c r="AJ1080" s="69">
        <f t="shared" si="178"/>
        <v>0</v>
      </c>
      <c r="AK1080" s="69">
        <f t="shared" si="178"/>
        <v>0</v>
      </c>
    </row>
    <row r="1081" spans="2:37" s="4" customFormat="1" x14ac:dyDescent="0.25">
      <c r="B1081" s="44"/>
      <c r="C1081" s="4" t="s">
        <v>1336</v>
      </c>
      <c r="I1081" s="69"/>
      <c r="J1081" s="69"/>
      <c r="K1081" s="69"/>
      <c r="L1081" s="69"/>
      <c r="M1081" s="69"/>
      <c r="N1081" s="69">
        <f t="shared" ref="N1081:Y1081" si="179">AVERAGE(J1079:N1079)</f>
        <v>197.4</v>
      </c>
      <c r="O1081" s="69">
        <f t="shared" si="179"/>
        <v>215.6</v>
      </c>
      <c r="P1081" s="69">
        <f t="shared" si="179"/>
        <v>201.2</v>
      </c>
      <c r="Q1081" s="69">
        <f t="shared" si="179"/>
        <v>199.2</v>
      </c>
      <c r="R1081" s="69">
        <f t="shared" si="179"/>
        <v>220.6</v>
      </c>
      <c r="S1081" s="69">
        <f t="shared" si="179"/>
        <v>222.4</v>
      </c>
      <c r="T1081" s="69">
        <f t="shared" si="179"/>
        <v>212.6</v>
      </c>
      <c r="U1081" s="69">
        <f t="shared" si="179"/>
        <v>219.4</v>
      </c>
      <c r="V1081" s="69">
        <f t="shared" si="179"/>
        <v>247.6</v>
      </c>
      <c r="W1081" s="69">
        <f t="shared" si="179"/>
        <v>230.2</v>
      </c>
      <c r="X1081" s="69">
        <f t="shared" si="179"/>
        <v>260.60000000000002</v>
      </c>
      <c r="Y1081" s="69">
        <f t="shared" si="179"/>
        <v>262.60000000000002</v>
      </c>
      <c r="Z1081" s="69">
        <f>AVERAGE(V1079:Z1079)</f>
        <v>273.39999999999998</v>
      </c>
      <c r="AA1081" s="69">
        <f t="shared" ref="AA1081:AK1081" si="180">AVERAGE(W1079:AA1079)</f>
        <v>262</v>
      </c>
      <c r="AB1081" s="69">
        <f t="shared" si="180"/>
        <v>238.2</v>
      </c>
      <c r="AC1081" s="69">
        <f t="shared" si="180"/>
        <v>166.6</v>
      </c>
      <c r="AD1081" s="69">
        <f t="shared" si="180"/>
        <v>130.4</v>
      </c>
      <c r="AE1081" s="69">
        <f t="shared" si="180"/>
        <v>77</v>
      </c>
      <c r="AF1081" s="69">
        <f t="shared" si="180"/>
        <v>33</v>
      </c>
      <c r="AG1081" s="69">
        <f t="shared" si="180"/>
        <v>0</v>
      </c>
      <c r="AH1081" s="69">
        <f t="shared" si="180"/>
        <v>0</v>
      </c>
      <c r="AI1081" s="69">
        <f t="shared" si="180"/>
        <v>0</v>
      </c>
      <c r="AJ1081" s="69">
        <f t="shared" si="180"/>
        <v>0</v>
      </c>
      <c r="AK1081" s="69">
        <f t="shared" si="180"/>
        <v>0</v>
      </c>
    </row>
    <row r="1082" spans="2:37" s="4" customFormat="1" x14ac:dyDescent="0.25">
      <c r="B1082" s="44"/>
      <c r="I1082" s="69"/>
      <c r="J1082" s="69"/>
      <c r="K1082" s="69"/>
      <c r="L1082" s="69"/>
      <c r="M1082" s="69"/>
      <c r="N1082" s="69"/>
      <c r="O1082" s="69"/>
      <c r="P1082" s="69"/>
      <c r="Q1082" s="69"/>
      <c r="R1082" s="69"/>
      <c r="S1082" s="69"/>
      <c r="T1082" s="69"/>
      <c r="U1082" s="69"/>
      <c r="V1082" s="69"/>
      <c r="W1082" s="69"/>
      <c r="X1082" s="69"/>
      <c r="Y1082" s="69"/>
      <c r="Z1082" s="69"/>
      <c r="AA1082" s="69"/>
      <c r="AB1082" s="69"/>
      <c r="AC1082" s="69"/>
      <c r="AD1082" s="69"/>
      <c r="AE1082" s="69"/>
      <c r="AF1082" s="69"/>
      <c r="AG1082" s="69"/>
      <c r="AH1082" s="69"/>
      <c r="AI1082" s="69"/>
      <c r="AJ1082" s="69"/>
      <c r="AK1082" s="69"/>
    </row>
    <row r="1083" spans="2:37" s="4" customFormat="1" x14ac:dyDescent="0.25">
      <c r="B1083" s="44"/>
      <c r="I1083" s="69"/>
      <c r="J1083" s="69"/>
      <c r="K1083" s="69"/>
      <c r="L1083" s="69"/>
      <c r="M1083" s="69"/>
      <c r="N1083" s="69"/>
      <c r="O1083" s="69"/>
      <c r="P1083" s="69"/>
      <c r="Q1083" s="69"/>
      <c r="R1083" s="69"/>
      <c r="S1083" s="69"/>
      <c r="T1083" s="69"/>
      <c r="U1083" s="69"/>
      <c r="V1083" s="69"/>
      <c r="W1083" s="69"/>
      <c r="X1083" s="69"/>
      <c r="Y1083" s="69"/>
      <c r="Z1083" s="69"/>
      <c r="AA1083" s="69"/>
      <c r="AB1083" s="69"/>
      <c r="AC1083" s="69"/>
      <c r="AD1083" s="69"/>
      <c r="AE1083" s="69"/>
      <c r="AF1083" s="69"/>
      <c r="AG1083" s="69"/>
      <c r="AH1083" s="69"/>
      <c r="AI1083" s="69"/>
      <c r="AJ1083" s="69"/>
      <c r="AK1083" s="69"/>
    </row>
    <row r="1084" spans="2:37" s="4" customFormat="1" x14ac:dyDescent="0.25">
      <c r="B1084" s="44"/>
      <c r="I1084" s="69"/>
      <c r="J1084" s="69"/>
      <c r="K1084" s="69"/>
      <c r="L1084" s="69"/>
      <c r="M1084" s="69"/>
      <c r="N1084" s="69"/>
      <c r="O1084" s="69"/>
      <c r="P1084" s="69"/>
      <c r="Q1084" s="69"/>
      <c r="R1084" s="69"/>
      <c r="S1084" s="69"/>
      <c r="T1084" s="69"/>
      <c r="U1084" s="69"/>
      <c r="V1084" s="69"/>
      <c r="W1084" s="69"/>
      <c r="X1084" s="69"/>
      <c r="Y1084" s="69"/>
      <c r="Z1084" s="69"/>
      <c r="AA1084" s="69"/>
      <c r="AB1084" s="69"/>
      <c r="AC1084" s="69"/>
      <c r="AD1084" s="69"/>
      <c r="AE1084" s="69"/>
      <c r="AF1084" s="69"/>
      <c r="AG1084" s="69"/>
      <c r="AH1084" s="69"/>
      <c r="AI1084" s="69"/>
      <c r="AJ1084" s="69"/>
      <c r="AK1084" s="69"/>
    </row>
    <row r="1085" spans="2:37" s="4" customFormat="1" x14ac:dyDescent="0.25">
      <c r="B1085" s="44"/>
      <c r="I1085" s="69"/>
      <c r="J1085" s="69"/>
      <c r="K1085" s="69"/>
      <c r="L1085" s="69"/>
      <c r="M1085" s="69"/>
      <c r="N1085" s="69"/>
      <c r="O1085" s="69"/>
      <c r="P1085" s="69"/>
      <c r="Q1085" s="69"/>
      <c r="R1085" s="69"/>
      <c r="S1085" s="69"/>
      <c r="T1085" s="69"/>
      <c r="U1085" s="69"/>
      <c r="V1085" s="69"/>
      <c r="W1085" s="69"/>
      <c r="X1085" s="69"/>
      <c r="Y1085" s="69"/>
      <c r="Z1085" s="69"/>
      <c r="AA1085" s="69"/>
      <c r="AB1085" s="69"/>
      <c r="AC1085" s="69"/>
      <c r="AD1085" s="69"/>
      <c r="AE1085" s="69"/>
      <c r="AF1085" s="69"/>
      <c r="AG1085" s="69"/>
      <c r="AH1085" s="69"/>
      <c r="AI1085" s="69"/>
      <c r="AJ1085" s="69"/>
      <c r="AK1085" s="69"/>
    </row>
    <row r="1086" spans="2:37" s="4" customFormat="1" x14ac:dyDescent="0.25">
      <c r="B1086" s="44"/>
      <c r="I1086" s="69"/>
      <c r="J1086" s="69"/>
      <c r="K1086" s="69"/>
      <c r="L1086" s="69"/>
      <c r="M1086" s="69"/>
      <c r="N1086" s="69"/>
      <c r="O1086" s="69"/>
      <c r="P1086" s="69"/>
      <c r="Q1086" s="69"/>
      <c r="R1086" s="69"/>
      <c r="S1086" s="69"/>
      <c r="T1086" s="69"/>
      <c r="U1086" s="69"/>
      <c r="V1086" s="69"/>
      <c r="W1086" s="69"/>
      <c r="X1086" s="69"/>
      <c r="Y1086" s="69"/>
      <c r="Z1086" s="69"/>
      <c r="AA1086" s="69"/>
      <c r="AB1086" s="69"/>
      <c r="AC1086" s="69"/>
      <c r="AD1086" s="69"/>
      <c r="AE1086" s="69"/>
      <c r="AF1086" s="69"/>
      <c r="AG1086" s="69"/>
      <c r="AH1086" s="69"/>
      <c r="AI1086" s="69"/>
      <c r="AJ1086" s="69"/>
      <c r="AK1086" s="69"/>
    </row>
    <row r="1087" spans="2:37" s="4" customFormat="1" x14ac:dyDescent="0.25">
      <c r="B1087" s="44"/>
      <c r="I1087" s="69"/>
      <c r="J1087" s="69"/>
      <c r="K1087" s="69"/>
      <c r="L1087" s="69"/>
      <c r="M1087" s="69"/>
      <c r="N1087" s="69"/>
      <c r="O1087" s="69"/>
      <c r="P1087" s="69"/>
      <c r="Q1087" s="69"/>
      <c r="R1087" s="69"/>
      <c r="S1087" s="69"/>
      <c r="T1087" s="69"/>
      <c r="U1087" s="69"/>
      <c r="V1087" s="69"/>
      <c r="W1087" s="69"/>
      <c r="X1087" s="69"/>
      <c r="Y1087" s="69"/>
      <c r="Z1087" s="69"/>
      <c r="AA1087" s="69"/>
      <c r="AB1087" s="69"/>
      <c r="AC1087" s="69"/>
      <c r="AD1087" s="69"/>
      <c r="AE1087" s="69"/>
      <c r="AF1087" s="69"/>
      <c r="AG1087" s="69"/>
      <c r="AH1087" s="69"/>
      <c r="AI1087" s="69"/>
      <c r="AJ1087" s="69"/>
      <c r="AK1087" s="69"/>
    </row>
    <row r="1088" spans="2:37" s="4" customFormat="1" x14ac:dyDescent="0.25">
      <c r="B1088" s="44"/>
      <c r="I1088" s="69"/>
      <c r="J1088" s="69"/>
      <c r="K1088" s="69"/>
      <c r="L1088" s="69"/>
      <c r="M1088" s="69"/>
      <c r="N1088" s="69"/>
      <c r="O1088" s="69"/>
      <c r="P1088" s="69"/>
      <c r="Q1088" s="69"/>
      <c r="R1088" s="69"/>
      <c r="S1088" s="69"/>
      <c r="T1088" s="69"/>
      <c r="U1088" s="69"/>
      <c r="V1088" s="69"/>
      <c r="W1088" s="69"/>
      <c r="X1088" s="69"/>
      <c r="Y1088" s="69"/>
      <c r="Z1088" s="69"/>
      <c r="AA1088" s="69"/>
      <c r="AB1088" s="69"/>
      <c r="AC1088" s="69"/>
      <c r="AD1088" s="69"/>
      <c r="AE1088" s="69"/>
      <c r="AF1088" s="69"/>
      <c r="AG1088" s="69"/>
      <c r="AH1088" s="69"/>
      <c r="AI1088" s="69"/>
      <c r="AJ1088" s="69"/>
      <c r="AK1088" s="69"/>
    </row>
    <row r="1089" spans="1:37" s="4" customFormat="1" x14ac:dyDescent="0.25">
      <c r="B1089" s="44"/>
      <c r="I1089" s="69"/>
      <c r="J1089" s="69"/>
      <c r="K1089" s="69"/>
      <c r="L1089" s="69"/>
      <c r="M1089" s="69"/>
      <c r="N1089" s="69"/>
      <c r="O1089" s="69"/>
      <c r="P1089" s="69"/>
      <c r="Q1089" s="69"/>
      <c r="R1089" s="69"/>
      <c r="S1089" s="69"/>
      <c r="T1089" s="69"/>
      <c r="U1089" s="69"/>
      <c r="V1089" s="69"/>
      <c r="W1089" s="69"/>
      <c r="X1089" s="69"/>
      <c r="Y1089" s="69"/>
      <c r="Z1089" s="69"/>
      <c r="AA1089" s="69"/>
      <c r="AB1089" s="69"/>
      <c r="AC1089" s="69"/>
      <c r="AD1089" s="69"/>
      <c r="AE1089" s="69"/>
      <c r="AF1089" s="69"/>
      <c r="AG1089" s="69"/>
      <c r="AH1089" s="69"/>
      <c r="AI1089" s="69"/>
      <c r="AJ1089" s="69"/>
      <c r="AK1089" s="69"/>
    </row>
    <row r="1090" spans="1:37" s="4" customFormat="1" x14ac:dyDescent="0.25">
      <c r="B1090" s="44"/>
      <c r="I1090" s="69"/>
      <c r="J1090" s="69"/>
      <c r="K1090" s="69"/>
      <c r="L1090" s="69"/>
      <c r="M1090" s="69"/>
      <c r="N1090" s="69"/>
      <c r="O1090" s="69"/>
      <c r="P1090" s="69"/>
      <c r="Q1090" s="69"/>
      <c r="R1090" s="69"/>
      <c r="S1090" s="69"/>
      <c r="T1090" s="69"/>
      <c r="U1090" s="69"/>
      <c r="V1090" s="69"/>
      <c r="W1090" s="69"/>
      <c r="X1090" s="69"/>
      <c r="Y1090" s="69"/>
      <c r="Z1090" s="69"/>
      <c r="AA1090" s="69"/>
      <c r="AB1090" s="69"/>
      <c r="AC1090" s="69"/>
      <c r="AD1090" s="69"/>
      <c r="AE1090" s="69"/>
      <c r="AF1090" s="69"/>
      <c r="AG1090" s="69"/>
      <c r="AH1090" s="69"/>
      <c r="AI1090" s="69"/>
      <c r="AJ1090" s="69"/>
      <c r="AK1090" s="69"/>
    </row>
    <row r="1091" spans="1:37" s="4" customFormat="1" x14ac:dyDescent="0.25">
      <c r="B1091" s="44"/>
      <c r="I1091" s="69"/>
      <c r="J1091" s="69"/>
      <c r="K1091" s="69"/>
      <c r="L1091" s="69"/>
      <c r="M1091" s="69"/>
      <c r="N1091" s="69"/>
      <c r="O1091" s="69"/>
      <c r="P1091" s="69"/>
      <c r="Q1091" s="69"/>
      <c r="R1091" s="69"/>
      <c r="S1091" s="69"/>
      <c r="T1091" s="69"/>
      <c r="U1091" s="69"/>
      <c r="V1091" s="69"/>
      <c r="W1091" s="69"/>
      <c r="X1091" s="69"/>
      <c r="Y1091" s="69"/>
      <c r="Z1091" s="69"/>
      <c r="AA1091" s="69"/>
      <c r="AB1091" s="69"/>
      <c r="AC1091" s="69"/>
      <c r="AD1091" s="69"/>
      <c r="AE1091" s="69"/>
      <c r="AF1091" s="69"/>
      <c r="AG1091" s="69"/>
      <c r="AH1091" s="69"/>
      <c r="AI1091" s="69"/>
      <c r="AJ1091" s="69"/>
      <c r="AK1091" s="69"/>
    </row>
    <row r="1092" spans="1:37" s="4" customFormat="1" x14ac:dyDescent="0.25">
      <c r="B1092" s="44"/>
      <c r="I1092" s="69"/>
      <c r="J1092" s="69"/>
      <c r="K1092" s="69"/>
      <c r="L1092" s="69"/>
      <c r="M1092" s="69"/>
      <c r="N1092" s="69"/>
      <c r="O1092" s="69"/>
      <c r="P1092" s="69"/>
      <c r="Q1092" s="69"/>
      <c r="R1092" s="69"/>
      <c r="S1092" s="69"/>
      <c r="T1092" s="69"/>
      <c r="U1092" s="69"/>
      <c r="V1092" s="69"/>
      <c r="W1092" s="69"/>
      <c r="X1092" s="69"/>
      <c r="Y1092" s="69"/>
      <c r="Z1092" s="69"/>
      <c r="AA1092" s="69"/>
      <c r="AB1092" s="69"/>
      <c r="AC1092" s="69"/>
      <c r="AD1092" s="69"/>
      <c r="AE1092" s="69"/>
      <c r="AF1092" s="69"/>
      <c r="AG1092" s="69"/>
      <c r="AH1092" s="69"/>
      <c r="AI1092" s="69"/>
      <c r="AJ1092" s="69"/>
      <c r="AK1092" s="69"/>
    </row>
    <row r="1093" spans="1:37" s="4" customFormat="1" x14ac:dyDescent="0.25">
      <c r="B1093" s="44"/>
      <c r="I1093" s="69"/>
      <c r="J1093" s="69"/>
      <c r="K1093" s="69"/>
      <c r="L1093" s="69"/>
      <c r="M1093" s="69"/>
      <c r="N1093" s="69"/>
      <c r="O1093" s="69"/>
      <c r="P1093" s="69"/>
      <c r="Q1093" s="69"/>
      <c r="R1093" s="69"/>
      <c r="S1093" s="69"/>
      <c r="T1093" s="69"/>
      <c r="U1093" s="69"/>
      <c r="V1093" s="69"/>
      <c r="W1093" s="69"/>
      <c r="X1093" s="69"/>
      <c r="Y1093" s="69"/>
      <c r="Z1093" s="69"/>
      <c r="AA1093" s="69"/>
      <c r="AB1093" s="69"/>
      <c r="AC1093" s="69"/>
      <c r="AD1093" s="69"/>
      <c r="AE1093" s="69"/>
      <c r="AF1093" s="69"/>
      <c r="AG1093" s="69"/>
      <c r="AH1093" s="69"/>
      <c r="AI1093" s="69"/>
      <c r="AJ1093" s="69"/>
      <c r="AK1093" s="69"/>
    </row>
    <row r="1094" spans="1:37" s="4" customFormat="1" x14ac:dyDescent="0.25">
      <c r="B1094" s="44"/>
      <c r="I1094" s="69"/>
      <c r="J1094" s="69"/>
      <c r="K1094" s="69"/>
      <c r="L1094" s="69"/>
      <c r="M1094" s="69"/>
      <c r="N1094" s="69"/>
      <c r="O1094" s="69"/>
      <c r="P1094" s="69"/>
      <c r="Q1094" s="69"/>
      <c r="R1094" s="69"/>
      <c r="S1094" s="69"/>
      <c r="T1094" s="69"/>
      <c r="U1094" s="69"/>
      <c r="V1094" s="69"/>
      <c r="W1094" s="69"/>
      <c r="X1094" s="69"/>
      <c r="Y1094" s="69"/>
      <c r="Z1094" s="69"/>
      <c r="AA1094" s="69"/>
      <c r="AB1094" s="69"/>
      <c r="AC1094" s="69"/>
      <c r="AD1094" s="69"/>
      <c r="AE1094" s="69"/>
      <c r="AF1094" s="69"/>
      <c r="AG1094" s="69"/>
      <c r="AH1094" s="69"/>
      <c r="AI1094" s="69"/>
      <c r="AJ1094" s="69"/>
      <c r="AK1094" s="69"/>
    </row>
    <row r="1095" spans="1:37" s="4" customFormat="1" x14ac:dyDescent="0.25">
      <c r="B1095" s="44"/>
      <c r="I1095" s="69"/>
      <c r="J1095" s="69"/>
      <c r="K1095" s="69"/>
      <c r="L1095" s="69"/>
      <c r="M1095" s="69"/>
      <c r="N1095" s="69"/>
      <c r="O1095" s="69"/>
      <c r="P1095" s="69"/>
      <c r="Q1095" s="69"/>
      <c r="R1095" s="69"/>
      <c r="S1095" s="69"/>
      <c r="T1095" s="69"/>
      <c r="U1095" s="69"/>
      <c r="V1095" s="69"/>
      <c r="W1095" s="69"/>
      <c r="X1095" s="69"/>
      <c r="Y1095" s="69"/>
      <c r="Z1095" s="69"/>
      <c r="AA1095" s="69"/>
      <c r="AB1095" s="69"/>
      <c r="AC1095" s="69"/>
      <c r="AD1095" s="69"/>
      <c r="AE1095" s="69"/>
      <c r="AF1095" s="69"/>
      <c r="AG1095" s="69"/>
      <c r="AH1095" s="69"/>
      <c r="AI1095" s="69"/>
      <c r="AJ1095" s="69"/>
      <c r="AK1095" s="69"/>
    </row>
    <row r="1096" spans="1:37" s="4" customFormat="1" x14ac:dyDescent="0.25">
      <c r="B1096" s="44"/>
      <c r="I1096" s="69"/>
      <c r="J1096" s="69"/>
      <c r="K1096" s="69"/>
      <c r="L1096" s="69"/>
      <c r="M1096" s="69"/>
      <c r="N1096" s="69"/>
      <c r="O1096" s="69"/>
      <c r="P1096" s="69"/>
      <c r="Q1096" s="69"/>
      <c r="R1096" s="69"/>
      <c r="S1096" s="69"/>
      <c r="T1096" s="69"/>
      <c r="U1096" s="69"/>
      <c r="V1096" s="69"/>
      <c r="W1096" s="69"/>
      <c r="X1096" s="69"/>
      <c r="Y1096" s="69"/>
      <c r="Z1096" s="69"/>
      <c r="AA1096" s="69"/>
      <c r="AB1096" s="69"/>
      <c r="AC1096" s="69"/>
      <c r="AD1096" s="69"/>
      <c r="AE1096" s="69"/>
      <c r="AF1096" s="69"/>
      <c r="AG1096" s="69"/>
      <c r="AH1096" s="69"/>
      <c r="AI1096" s="69"/>
      <c r="AJ1096" s="69"/>
      <c r="AK1096" s="69"/>
    </row>
    <row r="1097" spans="1:37" s="66" customFormat="1" x14ac:dyDescent="0.25">
      <c r="B1097" s="67"/>
      <c r="I1097" s="96"/>
      <c r="J1097" s="96"/>
      <c r="K1097" s="96"/>
      <c r="L1097" s="96"/>
      <c r="M1097" s="96"/>
      <c r="N1097" s="96"/>
      <c r="O1097" s="96"/>
      <c r="P1097" s="96"/>
      <c r="Q1097" s="96"/>
      <c r="R1097" s="96"/>
      <c r="S1097" s="96"/>
      <c r="T1097" s="96"/>
      <c r="U1097" s="96"/>
      <c r="V1097" s="96"/>
      <c r="W1097" s="96"/>
      <c r="X1097" s="96"/>
      <c r="Y1097" s="96"/>
      <c r="Z1097" s="96"/>
      <c r="AA1097" s="96"/>
      <c r="AB1097" s="96"/>
      <c r="AC1097" s="96"/>
      <c r="AD1097" s="96"/>
      <c r="AE1097" s="96"/>
      <c r="AF1097" s="96"/>
      <c r="AG1097" s="96"/>
      <c r="AH1097" s="96"/>
      <c r="AI1097" s="96"/>
      <c r="AJ1097" s="96"/>
      <c r="AK1097" s="96"/>
    </row>
    <row r="1098" spans="1:37" s="86" customFormat="1" ht="17.25" x14ac:dyDescent="0.3">
      <c r="A1098" s="86" t="s">
        <v>851</v>
      </c>
    </row>
    <row r="1099" spans="1:37" x14ac:dyDescent="0.25">
      <c r="B1099" s="29" t="s">
        <v>877</v>
      </c>
      <c r="C1099" t="s">
        <v>1337</v>
      </c>
    </row>
    <row r="1100" spans="1:37" x14ac:dyDescent="0.25">
      <c r="B1100" s="29" t="s">
        <v>879</v>
      </c>
      <c r="C1100" t="s">
        <v>1338</v>
      </c>
    </row>
    <row r="1101" spans="1:37" x14ac:dyDescent="0.25">
      <c r="B1101" s="29" t="s">
        <v>881</v>
      </c>
      <c r="C1101" t="s">
        <v>1339</v>
      </c>
    </row>
    <row r="1102" spans="1:37" x14ac:dyDescent="0.25">
      <c r="B1102" s="29" t="s">
        <v>883</v>
      </c>
      <c r="C1102" t="s">
        <v>1340</v>
      </c>
    </row>
    <row r="1103" spans="1:37" x14ac:dyDescent="0.25">
      <c r="B1103" s="29" t="s">
        <v>885</v>
      </c>
      <c r="C1103" t="s">
        <v>1340</v>
      </c>
    </row>
    <row r="1104" spans="1:37" x14ac:dyDescent="0.25">
      <c r="B1104" s="29" t="s">
        <v>886</v>
      </c>
      <c r="C1104" t="s">
        <v>1340</v>
      </c>
    </row>
    <row r="1105" spans="1:37" x14ac:dyDescent="0.25">
      <c r="B1105" s="29" t="s">
        <v>887</v>
      </c>
      <c r="C1105" t="s">
        <v>1340</v>
      </c>
    </row>
    <row r="1106" spans="1:37" s="88" customFormat="1" ht="15.75" thickBot="1" x14ac:dyDescent="0.3">
      <c r="B1106" s="95" t="s">
        <v>19</v>
      </c>
      <c r="C1106" s="88" t="s">
        <v>1340</v>
      </c>
    </row>
    <row r="1107" spans="1:37" s="4" customFormat="1" ht="15.75" thickTop="1" x14ac:dyDescent="0.25">
      <c r="B1107" s="44" t="s">
        <v>21</v>
      </c>
      <c r="I1107" s="69"/>
      <c r="J1107" s="69"/>
      <c r="K1107" s="69"/>
      <c r="L1107" s="69"/>
      <c r="M1107" s="69"/>
      <c r="N1107" s="69"/>
      <c r="O1107" s="69"/>
      <c r="P1107" s="69"/>
      <c r="Q1107" s="69"/>
      <c r="R1107" s="69"/>
      <c r="S1107" s="69"/>
      <c r="T1107" s="69"/>
      <c r="U1107" s="69"/>
      <c r="V1107" s="69"/>
      <c r="W1107" s="69"/>
      <c r="X1107" s="69"/>
      <c r="Y1107" s="69"/>
      <c r="Z1107" s="69"/>
      <c r="AA1107" s="69"/>
      <c r="AB1107" s="69"/>
      <c r="AC1107" s="69"/>
      <c r="AD1107" s="69"/>
      <c r="AE1107" s="69"/>
      <c r="AF1107" s="69"/>
      <c r="AG1107" s="69"/>
      <c r="AH1107" s="69"/>
      <c r="AI1107" s="69"/>
      <c r="AJ1107" s="69"/>
      <c r="AK1107" s="69"/>
    </row>
    <row r="1108" spans="1:37" s="64" customFormat="1" x14ac:dyDescent="0.25"/>
    <row r="1109" spans="1:37" s="70" customFormat="1" ht="17.25" x14ac:dyDescent="0.3">
      <c r="A1109" s="70" t="s">
        <v>852</v>
      </c>
    </row>
    <row r="1110" spans="1:37" x14ac:dyDescent="0.25">
      <c r="B1110" s="29" t="s">
        <v>877</v>
      </c>
      <c r="C1110" t="s">
        <v>754</v>
      </c>
    </row>
    <row r="1111" spans="1:37" x14ac:dyDescent="0.25">
      <c r="B1111" s="29"/>
      <c r="C1111" t="s">
        <v>1341</v>
      </c>
    </row>
    <row r="1112" spans="1:37" x14ac:dyDescent="0.25">
      <c r="B1112" s="29" t="s">
        <v>881</v>
      </c>
      <c r="C1112" t="s">
        <v>1342</v>
      </c>
    </row>
    <row r="1113" spans="1:37" x14ac:dyDescent="0.25">
      <c r="B1113" s="29" t="s">
        <v>883</v>
      </c>
      <c r="C1113" s="263" t="s">
        <v>625</v>
      </c>
    </row>
    <row r="1114" spans="1:37" x14ac:dyDescent="0.25">
      <c r="B1114" s="29" t="s">
        <v>885</v>
      </c>
      <c r="C1114" t="s">
        <v>1343</v>
      </c>
    </row>
    <row r="1115" spans="1:37" x14ac:dyDescent="0.25">
      <c r="B1115" s="29" t="s">
        <v>886</v>
      </c>
    </row>
    <row r="1116" spans="1:37" x14ac:dyDescent="0.25">
      <c r="B1116" s="29" t="s">
        <v>887</v>
      </c>
    </row>
    <row r="1117" spans="1:37" s="88" customFormat="1" ht="15.75" thickBot="1" x14ac:dyDescent="0.3">
      <c r="B1117" s="95" t="s">
        <v>19</v>
      </c>
    </row>
    <row r="1118" spans="1:37" s="4" customFormat="1" ht="15.75" thickTop="1" x14ac:dyDescent="0.25">
      <c r="B1118" s="44" t="s">
        <v>21</v>
      </c>
      <c r="I1118" s="69"/>
      <c r="J1118" s="69"/>
      <c r="K1118" s="69"/>
      <c r="L1118" s="69"/>
      <c r="M1118" s="69"/>
      <c r="N1118" s="69"/>
      <c r="O1118" s="69"/>
      <c r="P1118" s="69"/>
      <c r="Q1118" s="69"/>
      <c r="R1118" s="69"/>
      <c r="S1118" s="69"/>
      <c r="T1118" s="69"/>
      <c r="U1118" s="69"/>
      <c r="V1118" s="69"/>
      <c r="W1118" s="69"/>
      <c r="X1118" s="69"/>
      <c r="Y1118" s="69"/>
      <c r="Z1118" s="69"/>
      <c r="AA1118" s="69"/>
      <c r="AB1118" s="69"/>
      <c r="AC1118" s="69"/>
      <c r="AD1118" s="69"/>
      <c r="AE1118" s="69"/>
      <c r="AF1118" s="69"/>
      <c r="AG1118" s="69"/>
      <c r="AH1118" s="69"/>
      <c r="AI1118" s="69"/>
      <c r="AJ1118" s="69"/>
      <c r="AK1118" s="69"/>
    </row>
    <row r="1119" spans="1:37" s="182" customFormat="1" x14ac:dyDescent="0.25"/>
    <row r="1120" spans="1:37" s="54" customFormat="1" ht="17.25" x14ac:dyDescent="0.3">
      <c r="A1120" s="54" t="s">
        <v>1344</v>
      </c>
    </row>
    <row r="1121" spans="2:37" x14ac:dyDescent="0.25">
      <c r="B1121" s="29" t="s">
        <v>877</v>
      </c>
      <c r="C1121" t="s">
        <v>1345</v>
      </c>
    </row>
    <row r="1122" spans="2:37" x14ac:dyDescent="0.25">
      <c r="B1122" s="29"/>
      <c r="C1122" t="s">
        <v>1346</v>
      </c>
    </row>
    <row r="1123" spans="2:37" x14ac:dyDescent="0.25">
      <c r="B1123" s="29" t="s">
        <v>881</v>
      </c>
      <c r="C1123" t="s">
        <v>1347</v>
      </c>
    </row>
    <row r="1124" spans="2:37" x14ac:dyDescent="0.25">
      <c r="B1124" s="29" t="s">
        <v>883</v>
      </c>
      <c r="C1124" s="263" t="s">
        <v>855</v>
      </c>
    </row>
    <row r="1125" spans="2:37" x14ac:dyDescent="0.25">
      <c r="B1125" s="29"/>
      <c r="C1125" s="263" t="s">
        <v>39</v>
      </c>
    </row>
    <row r="1126" spans="2:37" x14ac:dyDescent="0.25">
      <c r="B1126" s="29" t="s">
        <v>885</v>
      </c>
      <c r="C1126" t="s">
        <v>1348</v>
      </c>
    </row>
    <row r="1127" spans="2:37" x14ac:dyDescent="0.25">
      <c r="B1127" s="29" t="s">
        <v>886</v>
      </c>
      <c r="C1127" t="s">
        <v>1349</v>
      </c>
    </row>
    <row r="1128" spans="2:37" x14ac:dyDescent="0.25">
      <c r="B1128" s="29" t="s">
        <v>887</v>
      </c>
    </row>
    <row r="1129" spans="2:37" s="71" customFormat="1" ht="15.75" thickBot="1" x14ac:dyDescent="0.3">
      <c r="B1129" s="72" t="s">
        <v>19</v>
      </c>
    </row>
    <row r="1130" spans="2:37" s="4" customFormat="1" ht="15.75" thickTop="1" x14ac:dyDescent="0.25">
      <c r="B1130" s="44"/>
      <c r="I1130" s="73"/>
      <c r="J1130" s="73"/>
      <c r="K1130" s="73"/>
      <c r="L1130" s="73"/>
      <c r="M1130" s="73"/>
      <c r="N1130" s="73"/>
      <c r="O1130" s="69"/>
      <c r="P1130" s="69"/>
      <c r="Q1130" s="69"/>
      <c r="R1130" s="69"/>
      <c r="S1130" s="69"/>
      <c r="T1130" s="69"/>
      <c r="U1130" s="69"/>
      <c r="V1130" s="69"/>
      <c r="W1130" s="69"/>
      <c r="X1130" s="69"/>
      <c r="Y1130" s="69"/>
      <c r="Z1130" s="69"/>
      <c r="AA1130" s="69"/>
      <c r="AB1130" s="69"/>
      <c r="AC1130" s="69"/>
      <c r="AD1130" s="69"/>
      <c r="AE1130" s="69"/>
      <c r="AF1130" s="69"/>
      <c r="AG1130" s="69"/>
      <c r="AH1130" s="69"/>
      <c r="AI1130" s="69"/>
      <c r="AJ1130" s="69"/>
      <c r="AK1130" s="69"/>
    </row>
    <row r="1131" spans="2:37" s="4" customFormat="1" x14ac:dyDescent="0.25">
      <c r="B1131" s="44"/>
      <c r="I1131" s="73"/>
      <c r="J1131" s="73"/>
      <c r="K1131" s="73"/>
      <c r="L1131" s="73"/>
      <c r="M1131" s="73"/>
      <c r="N1131" s="73"/>
      <c r="O1131" s="69"/>
      <c r="P1131" s="69"/>
      <c r="Q1131" s="69"/>
      <c r="R1131" s="69"/>
      <c r="S1131" s="69"/>
      <c r="T1131" s="69"/>
      <c r="U1131" s="69"/>
      <c r="V1131" s="69"/>
      <c r="W1131" s="69"/>
      <c r="X1131" s="69"/>
      <c r="Y1131" s="69"/>
      <c r="Z1131" s="69"/>
      <c r="AA1131" s="69"/>
      <c r="AB1131" s="69"/>
      <c r="AC1131" s="69"/>
      <c r="AD1131" s="69"/>
      <c r="AE1131" s="69"/>
      <c r="AF1131" s="69"/>
      <c r="AG1131" s="69"/>
      <c r="AH1131" s="69"/>
      <c r="AI1131" s="69"/>
      <c r="AJ1131" s="69"/>
      <c r="AK1131" s="69"/>
    </row>
    <row r="1132" spans="2:37" s="4" customFormat="1" x14ac:dyDescent="0.25">
      <c r="B1132" s="44"/>
      <c r="I1132" s="73"/>
      <c r="J1132" s="73"/>
      <c r="K1132" s="73"/>
      <c r="L1132" s="73"/>
      <c r="M1132" s="73"/>
      <c r="N1132" s="73"/>
      <c r="O1132" s="69"/>
      <c r="P1132" s="69"/>
      <c r="Q1132" s="69"/>
      <c r="R1132" s="69"/>
      <c r="S1132" s="69"/>
      <c r="T1132" s="69"/>
      <c r="U1132" s="69"/>
      <c r="V1132" s="69"/>
      <c r="W1132" s="69"/>
      <c r="X1132" s="69"/>
      <c r="Y1132" s="69"/>
      <c r="Z1132" s="69"/>
      <c r="AA1132" s="69"/>
      <c r="AB1132" s="69"/>
      <c r="AC1132" s="69"/>
      <c r="AD1132" s="69"/>
      <c r="AE1132" s="69"/>
      <c r="AF1132" s="69"/>
      <c r="AG1132" s="69"/>
      <c r="AH1132" s="69"/>
      <c r="AI1132" s="69"/>
      <c r="AJ1132" s="69"/>
      <c r="AK1132" s="69"/>
    </row>
    <row r="1133" spans="2:37" s="4" customFormat="1" x14ac:dyDescent="0.25">
      <c r="B1133" s="44"/>
      <c r="I1133" s="73"/>
      <c r="J1133" s="73"/>
      <c r="K1133" s="73"/>
      <c r="L1133" s="73"/>
      <c r="M1133" s="73"/>
      <c r="N1133" s="73"/>
      <c r="O1133" s="69"/>
      <c r="P1133" s="69"/>
      <c r="Q1133" s="69"/>
      <c r="R1133" s="69"/>
      <c r="S1133" s="69"/>
      <c r="T1133" s="69"/>
      <c r="U1133" s="69"/>
      <c r="V1133" s="69"/>
      <c r="W1133" s="69"/>
      <c r="X1133" s="69"/>
      <c r="Y1133" s="69"/>
      <c r="Z1133" s="69"/>
      <c r="AA1133" s="69"/>
      <c r="AB1133" s="69"/>
      <c r="AC1133" s="69"/>
      <c r="AD1133" s="69"/>
      <c r="AE1133" s="69"/>
      <c r="AF1133" s="69"/>
      <c r="AG1133" s="69"/>
      <c r="AH1133" s="69"/>
      <c r="AI1133" s="69"/>
      <c r="AJ1133" s="69"/>
      <c r="AK1133" s="69"/>
    </row>
    <row r="1134" spans="2:37" s="4" customFormat="1" x14ac:dyDescent="0.25">
      <c r="B1134" s="44"/>
      <c r="I1134" s="73"/>
      <c r="J1134" s="73"/>
      <c r="K1134" s="73"/>
      <c r="L1134" s="73"/>
      <c r="M1134" s="73"/>
      <c r="N1134" s="73"/>
      <c r="O1134" s="69"/>
      <c r="P1134" s="69"/>
      <c r="Q1134" s="69"/>
      <c r="R1134" s="69"/>
      <c r="S1134" s="69"/>
      <c r="T1134" s="69"/>
      <c r="U1134" s="69"/>
      <c r="V1134" s="69"/>
      <c r="W1134" s="69"/>
      <c r="X1134" s="69"/>
      <c r="Y1134" s="69"/>
      <c r="Z1134" s="69"/>
      <c r="AA1134" s="69"/>
      <c r="AB1134" s="69"/>
      <c r="AC1134" s="69"/>
      <c r="AD1134" s="69"/>
      <c r="AE1134" s="69"/>
      <c r="AF1134" s="69"/>
      <c r="AG1134" s="69"/>
      <c r="AH1134" s="69"/>
      <c r="AI1134" s="69"/>
      <c r="AJ1134" s="69"/>
      <c r="AK1134" s="69"/>
    </row>
    <row r="1135" spans="2:37" s="4" customFormat="1" x14ac:dyDescent="0.25">
      <c r="B1135" s="44"/>
      <c r="I1135" s="73"/>
      <c r="J1135" s="73"/>
      <c r="K1135" s="73"/>
      <c r="L1135" s="73"/>
      <c r="M1135" s="73"/>
      <c r="N1135" s="73"/>
      <c r="O1135" s="69"/>
      <c r="P1135" s="69"/>
      <c r="Q1135" s="69"/>
      <c r="R1135" s="69"/>
      <c r="S1135" s="69"/>
      <c r="T1135" s="69"/>
      <c r="U1135" s="69"/>
      <c r="V1135" s="69"/>
      <c r="W1135" s="69"/>
      <c r="X1135" s="69"/>
      <c r="Y1135" s="69"/>
      <c r="Z1135" s="69"/>
      <c r="AA1135" s="69"/>
      <c r="AB1135" s="69"/>
      <c r="AC1135" s="69"/>
      <c r="AD1135" s="69"/>
      <c r="AE1135" s="69"/>
      <c r="AF1135" s="69"/>
      <c r="AG1135" s="69"/>
      <c r="AH1135" s="69"/>
      <c r="AI1135" s="69"/>
      <c r="AJ1135" s="69"/>
      <c r="AK1135" s="69"/>
    </row>
    <row r="1136" spans="2:37" s="4" customFormat="1" x14ac:dyDescent="0.25">
      <c r="B1136" s="44"/>
      <c r="I1136" s="73"/>
      <c r="J1136" s="73"/>
      <c r="K1136" s="73"/>
      <c r="L1136" s="73"/>
      <c r="M1136" s="73"/>
      <c r="N1136" s="73"/>
      <c r="O1136" s="69"/>
      <c r="P1136" s="69"/>
      <c r="Q1136" s="69"/>
      <c r="R1136" s="69"/>
      <c r="S1136" s="69"/>
      <c r="T1136" s="69"/>
      <c r="U1136" s="69"/>
      <c r="V1136" s="69"/>
      <c r="W1136" s="69"/>
      <c r="X1136" s="69"/>
      <c r="Y1136" s="69"/>
      <c r="Z1136" s="69"/>
      <c r="AA1136" s="69"/>
      <c r="AB1136" s="69"/>
      <c r="AC1136" s="69"/>
      <c r="AD1136" s="69"/>
      <c r="AE1136" s="69"/>
      <c r="AF1136" s="69"/>
      <c r="AG1136" s="69"/>
      <c r="AH1136" s="69"/>
      <c r="AI1136" s="69"/>
      <c r="AJ1136" s="69"/>
      <c r="AK1136" s="69"/>
    </row>
    <row r="1137" spans="2:37" s="4" customFormat="1" x14ac:dyDescent="0.25">
      <c r="B1137" s="44"/>
      <c r="I1137" s="73"/>
      <c r="J1137" s="73"/>
      <c r="K1137" s="73"/>
      <c r="L1137" s="73"/>
      <c r="M1137" s="73"/>
      <c r="N1137" s="73"/>
      <c r="O1137" s="69"/>
      <c r="P1137" s="69"/>
      <c r="Q1137" s="69"/>
      <c r="R1137" s="69"/>
      <c r="S1137" s="69"/>
      <c r="T1137" s="69"/>
      <c r="U1137" s="69"/>
      <c r="V1137" s="69"/>
      <c r="W1137" s="69"/>
      <c r="X1137" s="69"/>
      <c r="Y1137" s="69"/>
      <c r="Z1137" s="69"/>
      <c r="AA1137" s="69"/>
      <c r="AB1137" s="69"/>
      <c r="AC1137" s="69"/>
      <c r="AD1137" s="69"/>
      <c r="AE1137" s="69"/>
      <c r="AF1137" s="69"/>
      <c r="AG1137" s="69"/>
      <c r="AH1137" s="69"/>
      <c r="AI1137" s="69"/>
      <c r="AJ1137" s="69"/>
      <c r="AK1137" s="69"/>
    </row>
    <row r="1138" spans="2:37" s="4" customFormat="1" x14ac:dyDescent="0.25">
      <c r="B1138" s="44"/>
      <c r="I1138" s="73"/>
      <c r="J1138" s="73"/>
      <c r="K1138" s="73"/>
      <c r="L1138" s="73"/>
      <c r="M1138" s="73"/>
      <c r="N1138" s="73"/>
      <c r="O1138" s="69"/>
      <c r="P1138" s="69"/>
      <c r="Q1138" s="69"/>
      <c r="R1138" s="69"/>
      <c r="S1138" s="69"/>
      <c r="T1138" s="69"/>
      <c r="U1138" s="69"/>
      <c r="V1138" s="69"/>
      <c r="W1138" s="69"/>
      <c r="X1138" s="69"/>
      <c r="Y1138" s="69"/>
      <c r="Z1138" s="69"/>
      <c r="AA1138" s="69"/>
      <c r="AB1138" s="69"/>
      <c r="AC1138" s="69"/>
      <c r="AD1138" s="69"/>
      <c r="AE1138" s="69"/>
      <c r="AF1138" s="69"/>
      <c r="AG1138" s="69"/>
      <c r="AH1138" s="69"/>
      <c r="AI1138" s="69"/>
      <c r="AJ1138" s="69"/>
      <c r="AK1138" s="69"/>
    </row>
    <row r="1139" spans="2:37" s="4" customFormat="1" x14ac:dyDescent="0.25">
      <c r="B1139" s="44"/>
      <c r="I1139" s="73"/>
      <c r="J1139" s="73"/>
      <c r="K1139" s="73"/>
      <c r="L1139" s="73"/>
      <c r="M1139" s="73"/>
      <c r="N1139" s="73"/>
      <c r="O1139" s="69"/>
      <c r="P1139" s="69"/>
      <c r="Q1139" s="69"/>
      <c r="R1139" s="69"/>
      <c r="S1139" s="69"/>
      <c r="T1139" s="69"/>
      <c r="U1139" s="69"/>
      <c r="V1139" s="69"/>
      <c r="W1139" s="69"/>
      <c r="X1139" s="69"/>
      <c r="Y1139" s="69"/>
      <c r="Z1139" s="69"/>
      <c r="AA1139" s="69"/>
      <c r="AB1139" s="69"/>
      <c r="AC1139" s="69"/>
      <c r="AD1139" s="69"/>
      <c r="AE1139" s="69"/>
      <c r="AF1139" s="69"/>
      <c r="AG1139" s="69"/>
      <c r="AH1139" s="69"/>
      <c r="AI1139" s="69"/>
      <c r="AJ1139" s="69"/>
      <c r="AK1139" s="69"/>
    </row>
    <row r="1140" spans="2:37" s="4" customFormat="1" x14ac:dyDescent="0.25">
      <c r="B1140" s="44"/>
      <c r="I1140" s="73"/>
      <c r="J1140" s="73"/>
      <c r="K1140" s="73"/>
      <c r="L1140" s="73"/>
      <c r="M1140" s="73"/>
      <c r="N1140" s="73"/>
      <c r="O1140" s="69"/>
      <c r="P1140" s="69"/>
      <c r="Q1140" s="69"/>
      <c r="R1140" s="69"/>
      <c r="S1140" s="69"/>
      <c r="T1140" s="69"/>
      <c r="U1140" s="69"/>
      <c r="V1140" s="69"/>
      <c r="W1140" s="69"/>
      <c r="X1140" s="69"/>
      <c r="Y1140" s="69"/>
      <c r="Z1140" s="69"/>
      <c r="AA1140" s="69"/>
      <c r="AB1140" s="69"/>
      <c r="AC1140" s="69"/>
      <c r="AD1140" s="69"/>
      <c r="AE1140" s="69"/>
      <c r="AF1140" s="69"/>
      <c r="AG1140" s="69"/>
      <c r="AH1140" s="69"/>
      <c r="AI1140" s="69"/>
      <c r="AJ1140" s="69"/>
      <c r="AK1140" s="69"/>
    </row>
    <row r="1141" spans="2:37" s="4" customFormat="1" x14ac:dyDescent="0.25">
      <c r="B1141" s="44"/>
      <c r="I1141" s="73"/>
      <c r="J1141" s="73"/>
      <c r="K1141" s="73"/>
      <c r="L1141" s="73"/>
      <c r="M1141" s="73"/>
      <c r="N1141" s="73"/>
      <c r="O1141" s="69"/>
      <c r="P1141" s="69"/>
      <c r="Q1141" s="69"/>
      <c r="R1141" s="69"/>
      <c r="S1141" s="69"/>
      <c r="T1141" s="69"/>
      <c r="U1141" s="69"/>
      <c r="V1141" s="69"/>
      <c r="W1141" s="69"/>
      <c r="X1141" s="69"/>
      <c r="Y1141" s="69"/>
      <c r="Z1141" s="69"/>
      <c r="AA1141" s="69"/>
      <c r="AB1141" s="69"/>
      <c r="AC1141" s="69"/>
      <c r="AD1141" s="69"/>
      <c r="AE1141" s="69"/>
      <c r="AF1141" s="69"/>
      <c r="AG1141" s="69"/>
      <c r="AH1141" s="69"/>
      <c r="AI1141" s="69"/>
      <c r="AJ1141" s="69"/>
      <c r="AK1141" s="69"/>
    </row>
    <row r="1142" spans="2:37" s="4" customFormat="1" x14ac:dyDescent="0.25">
      <c r="B1142" s="44"/>
      <c r="I1142" s="73"/>
      <c r="J1142" s="73"/>
      <c r="K1142" s="73"/>
      <c r="L1142" s="73"/>
      <c r="M1142" s="73"/>
      <c r="N1142" s="73"/>
      <c r="O1142" s="69"/>
      <c r="P1142" s="69"/>
      <c r="Q1142" s="69"/>
      <c r="R1142" s="69"/>
      <c r="S1142" s="69"/>
      <c r="T1142" s="69"/>
      <c r="U1142" s="69"/>
      <c r="V1142" s="69"/>
      <c r="W1142" s="69"/>
      <c r="X1142" s="69"/>
      <c r="Y1142" s="69"/>
      <c r="Z1142" s="69"/>
      <c r="AA1142" s="69"/>
      <c r="AB1142" s="69"/>
      <c r="AC1142" s="69"/>
      <c r="AD1142" s="69"/>
      <c r="AE1142" s="69"/>
      <c r="AF1142" s="69"/>
      <c r="AG1142" s="69"/>
      <c r="AH1142" s="69"/>
      <c r="AI1142" s="69"/>
      <c r="AJ1142" s="69"/>
      <c r="AK1142" s="69"/>
    </row>
    <row r="1143" spans="2:37" s="4" customFormat="1" x14ac:dyDescent="0.25">
      <c r="B1143" s="44"/>
      <c r="I1143" s="73"/>
      <c r="J1143" s="73"/>
      <c r="K1143" s="73"/>
      <c r="L1143" s="73"/>
      <c r="M1143" s="73"/>
      <c r="N1143" s="73"/>
      <c r="O1143" s="69"/>
      <c r="P1143" s="69"/>
      <c r="Q1143" s="69"/>
      <c r="R1143" s="69"/>
      <c r="S1143" s="69"/>
      <c r="T1143" s="69"/>
      <c r="U1143" s="69"/>
      <c r="V1143" s="69"/>
      <c r="W1143" s="69"/>
      <c r="X1143" s="69"/>
      <c r="Y1143" s="69"/>
      <c r="Z1143" s="69"/>
      <c r="AA1143" s="69"/>
      <c r="AB1143" s="69"/>
      <c r="AC1143" s="69"/>
      <c r="AD1143" s="69"/>
      <c r="AE1143" s="69"/>
      <c r="AF1143" s="69"/>
      <c r="AG1143" s="69"/>
      <c r="AH1143" s="69"/>
      <c r="AI1143" s="69"/>
      <c r="AJ1143" s="69"/>
      <c r="AK1143" s="69"/>
    </row>
    <row r="1144" spans="2:37" s="4" customFormat="1" x14ac:dyDescent="0.25">
      <c r="B1144" s="44"/>
      <c r="I1144" s="73"/>
      <c r="J1144" s="73"/>
      <c r="K1144" s="73"/>
      <c r="L1144" s="73"/>
      <c r="M1144" s="73"/>
      <c r="N1144" s="73"/>
      <c r="O1144" s="69"/>
      <c r="P1144" s="69"/>
      <c r="Q1144" s="69"/>
      <c r="R1144" s="69"/>
      <c r="S1144" s="69"/>
      <c r="T1144" s="69"/>
      <c r="U1144" s="69"/>
      <c r="V1144" s="69"/>
      <c r="W1144" s="69"/>
      <c r="X1144" s="69"/>
      <c r="Y1144" s="69"/>
      <c r="Z1144" s="69"/>
      <c r="AA1144" s="69"/>
      <c r="AB1144" s="69"/>
      <c r="AC1144" s="69"/>
      <c r="AD1144" s="69"/>
      <c r="AE1144" s="69"/>
      <c r="AF1144" s="69"/>
      <c r="AG1144" s="69"/>
      <c r="AH1144" s="69"/>
      <c r="AI1144" s="69"/>
      <c r="AJ1144" s="69"/>
      <c r="AK1144" s="69"/>
    </row>
    <row r="1145" spans="2:37" s="74" customFormat="1" x14ac:dyDescent="0.25">
      <c r="B1145" s="75" t="s">
        <v>21</v>
      </c>
      <c r="C1145" s="74" t="s">
        <v>855</v>
      </c>
      <c r="I1145" s="76"/>
      <c r="J1145" s="76"/>
      <c r="K1145" s="76"/>
      <c r="L1145" s="76"/>
      <c r="M1145" s="76"/>
      <c r="N1145" s="76">
        <f>Datasheet!N1294</f>
        <v>462730210</v>
      </c>
      <c r="O1145" s="76">
        <f>Datasheet!O1294</f>
        <v>491236648</v>
      </c>
      <c r="P1145" s="76">
        <f>Datasheet!P1294</f>
        <v>489100503</v>
      </c>
      <c r="Q1145" s="76">
        <f>Datasheet!Q1294</f>
        <v>490983728</v>
      </c>
      <c r="R1145" s="76">
        <f>Datasheet!R1294</f>
        <v>495504205</v>
      </c>
      <c r="S1145" s="76">
        <f>Datasheet!S1294</f>
        <v>477303862</v>
      </c>
      <c r="T1145" s="76">
        <f>Datasheet!T1294</f>
        <v>513865900</v>
      </c>
      <c r="U1145" s="76">
        <f>Datasheet!U1294</f>
        <v>495539345</v>
      </c>
      <c r="V1145" s="76">
        <f>Datasheet!V1294</f>
        <v>491782351</v>
      </c>
      <c r="W1145" s="76">
        <f>Datasheet!W1294</f>
        <v>515173782</v>
      </c>
      <c r="X1145" s="76">
        <f>Datasheet!X1294</f>
        <v>534196454</v>
      </c>
      <c r="Y1145" s="76">
        <f>Datasheet!Y1294</f>
        <v>532490423</v>
      </c>
      <c r="Z1145" s="76">
        <f>Datasheet!Z1294</f>
        <v>565490897</v>
      </c>
      <c r="AA1145" s="76">
        <f>Datasheet!AA1294</f>
        <v>561660217</v>
      </c>
      <c r="AB1145" s="76">
        <f>Datasheet!AB1294</f>
        <v>560304510</v>
      </c>
      <c r="AC1145" s="76">
        <f>Datasheet!AC1294</f>
        <v>611270503</v>
      </c>
      <c r="AD1145" s="76">
        <f>Datasheet!AD1294</f>
        <v>0</v>
      </c>
      <c r="AE1145" s="76">
        <f>Datasheet!AE1294</f>
        <v>0</v>
      </c>
      <c r="AF1145" s="76">
        <f>Datasheet!AF1294</f>
        <v>0</v>
      </c>
      <c r="AG1145" s="76">
        <f>Datasheet!AG1294</f>
        <v>0</v>
      </c>
      <c r="AH1145" s="76">
        <f>Datasheet!AH1294</f>
        <v>0</v>
      </c>
      <c r="AI1145" s="76">
        <f>Datasheet!AI1294</f>
        <v>0</v>
      </c>
      <c r="AJ1145" s="76">
        <f>Datasheet!AJ1294</f>
        <v>0</v>
      </c>
      <c r="AK1145" s="76">
        <f>Datasheet!AK1294</f>
        <v>0</v>
      </c>
    </row>
    <row r="1146" spans="2:37" s="69" customFormat="1" x14ac:dyDescent="0.25">
      <c r="D1146" s="69" t="s">
        <v>1350</v>
      </c>
      <c r="AK1146" s="69">
        <f>Datasheet!AK1533</f>
        <v>0</v>
      </c>
    </row>
    <row r="1147" spans="2:37" s="69" customFormat="1" x14ac:dyDescent="0.25">
      <c r="E1147" s="69" t="s">
        <v>1232</v>
      </c>
      <c r="H1147" s="69" t="s">
        <v>592</v>
      </c>
      <c r="N1147" s="69">
        <f>SUM(Datasheet!N1301:N1304,Datasheet!N1314:N1317)</f>
        <v>118410228</v>
      </c>
      <c r="O1147" s="69">
        <f>SUM(Datasheet!O1301:O1304,Datasheet!O1314:O1317)</f>
        <v>124879592</v>
      </c>
      <c r="P1147" s="69">
        <f>SUM(Datasheet!P1301:P1304,Datasheet!P1314:P1317)</f>
        <v>121619834</v>
      </c>
      <c r="Q1147" s="69">
        <f>SUM(Datasheet!Q1301:Q1304,Datasheet!Q1314:Q1317)</f>
        <v>123462703</v>
      </c>
      <c r="R1147" s="69">
        <f>SUM(Datasheet!R1301:R1304,Datasheet!R1314:R1317)</f>
        <v>124958203</v>
      </c>
      <c r="S1147" s="69">
        <f>SUM(Datasheet!S1301:S1304,Datasheet!S1314:S1317)</f>
        <v>122156975</v>
      </c>
      <c r="T1147" s="69">
        <f>SUM(Datasheet!T1301:T1304,Datasheet!T1314:T1317)</f>
        <v>121436372</v>
      </c>
      <c r="U1147" s="69">
        <f>SUM(Datasheet!U1301:U1304,Datasheet!U1314:U1317)</f>
        <v>124011242</v>
      </c>
      <c r="V1147" s="69">
        <f>SUM(Datasheet!V1301:V1304,Datasheet!V1314:V1317)</f>
        <v>122239816</v>
      </c>
      <c r="W1147" s="69">
        <f>SUM(Datasheet!W1301:W1304,Datasheet!W1314:W1317)</f>
        <v>125861724</v>
      </c>
      <c r="X1147" s="69">
        <f>SUM(Datasheet!X1301:X1304,Datasheet!X1314:X1317)</f>
        <v>125611713</v>
      </c>
      <c r="Y1147" s="69">
        <f>SUM(Datasheet!Y1301:Y1304,Datasheet!Y1314:Y1317)</f>
        <v>123933374</v>
      </c>
      <c r="Z1147" s="69">
        <f>SUM(Datasheet!Z1301:Z1304,Datasheet!Z1314:Z1317)</f>
        <v>128546936</v>
      </c>
      <c r="AA1147" s="69">
        <f>SUM(Datasheet!AA1301:AA1304,Datasheet!AA1314:AA1317)</f>
        <v>126569350</v>
      </c>
      <c r="AB1147" s="69">
        <f>SUM(Datasheet!AB1301:AB1304,Datasheet!AB1314:AB1317)</f>
        <v>127483491</v>
      </c>
      <c r="AC1147" s="69">
        <f>SUM(Datasheet!AC1301:AC1304,Datasheet!AC1314:AC1317)</f>
        <v>130698699</v>
      </c>
      <c r="AD1147" s="69">
        <f>SUM(Datasheet!AD1301:AD1304,Datasheet!AD1314:AD1317)</f>
        <v>0</v>
      </c>
      <c r="AE1147" s="69">
        <f>SUM(Datasheet!AE1301:AE1304,Datasheet!AE1314:AE1317)</f>
        <v>0</v>
      </c>
      <c r="AF1147" s="69">
        <f>SUM(Datasheet!AF1301:AF1304,Datasheet!AF1314:AF1317)</f>
        <v>0</v>
      </c>
      <c r="AG1147" s="69">
        <f>SUM(Datasheet!AG1301:AG1304,Datasheet!AG1314:AG1317)</f>
        <v>0</v>
      </c>
      <c r="AH1147" s="69">
        <f>SUM(Datasheet!AH1301:AH1304,Datasheet!AH1314:AH1317)</f>
        <v>0</v>
      </c>
      <c r="AI1147" s="69">
        <f>SUM(Datasheet!AI1301:AI1304,Datasheet!AI1314:AI1317)</f>
        <v>0</v>
      </c>
      <c r="AJ1147" s="69">
        <f>SUM(Datasheet!AJ1301:AJ1304,Datasheet!AJ1314:AJ1317)</f>
        <v>0</v>
      </c>
      <c r="AK1147" s="69">
        <f>SUM(Datasheet!AK1301:AK1304,Datasheet!AK1314:AK1317)</f>
        <v>0</v>
      </c>
    </row>
    <row r="1148" spans="2:37" s="4" customFormat="1" x14ac:dyDescent="0.25">
      <c r="B1148" s="44"/>
      <c r="E1148" s="4" t="s">
        <v>1233</v>
      </c>
      <c r="H1148" s="4" t="s">
        <v>592</v>
      </c>
      <c r="I1148" s="73"/>
      <c r="J1148" s="73"/>
      <c r="K1148" s="73"/>
      <c r="L1148" s="73"/>
      <c r="M1148" s="73"/>
      <c r="N1148" s="69">
        <f>SUM(Datasheet!N1296:N1298,Datasheet!N1307,Datasheet!N1309:N1311,Datasheet!N1320)</f>
        <v>212936774</v>
      </c>
      <c r="O1148" s="69">
        <f>SUM(Datasheet!O1296:O1298,Datasheet!O1307,Datasheet!O1309:O1311,Datasheet!O1320)</f>
        <v>217063767</v>
      </c>
      <c r="P1148" s="69">
        <f>SUM(Datasheet!P1296:P1298,Datasheet!P1307,Datasheet!P1309:P1311,Datasheet!P1320)</f>
        <v>220404115</v>
      </c>
      <c r="Q1148" s="69">
        <f>SUM(Datasheet!Q1296:Q1298,Datasheet!Q1307,Datasheet!Q1309:Q1311,Datasheet!Q1320)</f>
        <v>222567724</v>
      </c>
      <c r="R1148" s="69">
        <f>SUM(Datasheet!R1296:R1298,Datasheet!R1307,Datasheet!R1309:R1311,Datasheet!R1320)</f>
        <v>225444398</v>
      </c>
      <c r="S1148" s="69">
        <f>SUM(Datasheet!S1296:S1298,Datasheet!S1307,Datasheet!S1309:S1311,Datasheet!S1320)</f>
        <v>222217943</v>
      </c>
      <c r="T1148" s="69">
        <f>SUM(Datasheet!T1296:T1298,Datasheet!T1307,Datasheet!T1309:T1311,Datasheet!T1320)</f>
        <v>237894345</v>
      </c>
      <c r="U1148" s="69">
        <f>SUM(Datasheet!U1296:U1298,Datasheet!U1307,Datasheet!U1309:U1311,Datasheet!U1320)</f>
        <v>224492510</v>
      </c>
      <c r="V1148" s="69">
        <f>SUM(Datasheet!V1296:V1298,Datasheet!V1307,Datasheet!V1309:V1311,Datasheet!V1320)</f>
        <v>230873605</v>
      </c>
      <c r="W1148" s="69">
        <f>SUM(Datasheet!W1296:W1298,Datasheet!W1307,Datasheet!W1309:W1311,Datasheet!W1320)</f>
        <v>245020052</v>
      </c>
      <c r="X1148" s="69">
        <f>SUM(Datasheet!X1296:X1298,Datasheet!X1307,Datasheet!X1309:X1311,Datasheet!X1320)</f>
        <v>247893956</v>
      </c>
      <c r="Y1148" s="69">
        <f>SUM(Datasheet!Y1296:Y1298,Datasheet!Y1307,Datasheet!Y1309:Y1311,Datasheet!Y1320)</f>
        <v>247457949</v>
      </c>
      <c r="Z1148" s="69">
        <f>SUM(Datasheet!Z1296:Z1298,Datasheet!Z1307,Datasheet!Z1309:Z1311,Datasheet!Z1320)</f>
        <v>264115800</v>
      </c>
      <c r="AA1148" s="69">
        <f>SUM(Datasheet!AA1296:AA1298,Datasheet!AA1307,Datasheet!AA1309:AA1311,Datasheet!AA1320)</f>
        <v>274435742</v>
      </c>
      <c r="AB1148" s="69">
        <f>SUM(Datasheet!AB1296:AB1298,Datasheet!AB1307,Datasheet!AB1309:AB1311,Datasheet!AB1320)</f>
        <v>263567406</v>
      </c>
      <c r="AC1148" s="69">
        <f>SUM(Datasheet!AC1296:AC1298,Datasheet!AC1307,Datasheet!AC1309:AC1311,Datasheet!AC1320)</f>
        <v>297983925</v>
      </c>
      <c r="AD1148" s="69">
        <f>SUM(Datasheet!AD1296:AD1298,Datasheet!AD1307,Datasheet!AD1309:AD1311,Datasheet!AD1320)</f>
        <v>0</v>
      </c>
      <c r="AE1148" s="69">
        <f>SUM(Datasheet!AE1296:AE1298,Datasheet!AE1307,Datasheet!AE1309:AE1311,Datasheet!AE1320)</f>
        <v>0</v>
      </c>
      <c r="AF1148" s="69">
        <f>SUM(Datasheet!AF1296:AF1298,Datasheet!AF1307,Datasheet!AF1309:AF1311,Datasheet!AF1320)</f>
        <v>0</v>
      </c>
      <c r="AG1148" s="69">
        <f>SUM(Datasheet!AG1296:AG1298,Datasheet!AG1307,Datasheet!AG1309:AG1311,Datasheet!AG1320)</f>
        <v>0</v>
      </c>
      <c r="AH1148" s="69">
        <f>SUM(Datasheet!AH1296:AH1298,Datasheet!AH1307,Datasheet!AH1309:AH1311,Datasheet!AH1320)</f>
        <v>0</v>
      </c>
      <c r="AI1148" s="69">
        <f>SUM(Datasheet!AI1296:AI1298,Datasheet!AI1307,Datasheet!AI1309:AI1311,Datasheet!AI1320)</f>
        <v>0</v>
      </c>
      <c r="AJ1148" s="69">
        <f>SUM(Datasheet!AJ1296:AJ1298,Datasheet!AJ1307,Datasheet!AJ1309:AJ1311,Datasheet!AJ1320)</f>
        <v>0</v>
      </c>
      <c r="AK1148" s="69">
        <f>SUM(Datasheet!AK1296:AK1298,Datasheet!AK1307,Datasheet!AK1309:AK1311,Datasheet!AK1320)</f>
        <v>0</v>
      </c>
    </row>
    <row r="1149" spans="2:37" s="4" customFormat="1" x14ac:dyDescent="0.25">
      <c r="B1149" s="44"/>
      <c r="E1149" s="4" t="s">
        <v>1234</v>
      </c>
      <c r="H1149" s="4" t="s">
        <v>592</v>
      </c>
      <c r="I1149" s="73"/>
      <c r="J1149" s="73"/>
      <c r="K1149" s="73"/>
      <c r="L1149" s="73"/>
      <c r="M1149" s="73"/>
      <c r="N1149" s="69">
        <f>SUM(Datasheet!N1299:N1300,Datasheet!N1305:N1306,Datasheet!N1312:N1313,Datasheet!N1318:N1319)</f>
        <v>131383208</v>
      </c>
      <c r="O1149" s="69">
        <f>SUM(Datasheet!O1299:O1300,Datasheet!O1305:O1306,Datasheet!O1312:O1313,Datasheet!O1318:O1319)</f>
        <v>149293289</v>
      </c>
      <c r="P1149" s="69">
        <f>SUM(Datasheet!P1299:P1300,Datasheet!P1305:P1306,Datasheet!P1312:P1313,Datasheet!P1318:P1319)</f>
        <v>147076554</v>
      </c>
      <c r="Q1149" s="69">
        <f>SUM(Datasheet!Q1299:Q1300,Datasheet!Q1305:Q1306,Datasheet!Q1312:Q1313,Datasheet!Q1318:Q1319)</f>
        <v>144953301</v>
      </c>
      <c r="R1149" s="69">
        <f>SUM(Datasheet!R1299:R1300,Datasheet!R1305:R1306,Datasheet!R1312:R1313,Datasheet!R1318:R1319)</f>
        <v>145101604</v>
      </c>
      <c r="S1149" s="69">
        <f>SUM(Datasheet!S1299:S1300,Datasheet!S1305:S1306,Datasheet!S1312:S1313,Datasheet!S1318:S1319)</f>
        <v>132928944</v>
      </c>
      <c r="T1149" s="69">
        <f>SUM(Datasheet!T1299:T1300,Datasheet!T1305:T1306,Datasheet!T1312:T1313,Datasheet!T1318:T1319)</f>
        <v>154535183</v>
      </c>
      <c r="U1149" s="69">
        <f>SUM(Datasheet!U1299:U1300,Datasheet!U1305:U1306,Datasheet!U1312:U1313,Datasheet!U1318:U1319)</f>
        <v>147035593</v>
      </c>
      <c r="V1149" s="69">
        <f>SUM(Datasheet!V1299:V1300,Datasheet!V1305:V1306,Datasheet!V1312:V1313,Datasheet!V1318:V1319)</f>
        <v>138668930</v>
      </c>
      <c r="W1149" s="69">
        <f>SUM(Datasheet!W1299:W1300,Datasheet!W1305:W1306,Datasheet!W1312:W1313,Datasheet!W1318:W1319)</f>
        <v>144292006</v>
      </c>
      <c r="X1149" s="69">
        <f>SUM(Datasheet!X1299:X1300,Datasheet!X1305:X1306,Datasheet!X1312:X1313,Datasheet!X1318:X1319)</f>
        <v>160690785</v>
      </c>
      <c r="Y1149" s="69">
        <f>SUM(Datasheet!Y1299:Y1300,Datasheet!Y1305:Y1306,Datasheet!Y1312:Y1313,Datasheet!Y1318:Y1319)</f>
        <v>161099100</v>
      </c>
      <c r="Z1149" s="69">
        <f>SUM(Datasheet!Z1299:Z1300,Datasheet!Z1305:Z1306,Datasheet!Z1312:Z1313,Datasheet!Z1318:Z1319)</f>
        <v>172828161</v>
      </c>
      <c r="AA1149" s="69">
        <f>SUM(Datasheet!AA1299:AA1300,Datasheet!AA1305:AA1306,Datasheet!AA1312:AA1313,Datasheet!AA1318:AA1319)</f>
        <v>160655125</v>
      </c>
      <c r="AB1149" s="69">
        <f>SUM(Datasheet!AB1299:AB1300,Datasheet!AB1305:AB1306,Datasheet!AB1312:AB1313,Datasheet!AB1318:AB1319)</f>
        <v>169253613</v>
      </c>
      <c r="AC1149" s="69">
        <f>SUM(Datasheet!AC1299:AC1300,Datasheet!AC1305:AC1306,Datasheet!AC1312:AC1313,Datasheet!AC1318:AC1319)</f>
        <v>182587879</v>
      </c>
      <c r="AD1149" s="69">
        <f>SUM(Datasheet!AD1299:AD1300,Datasheet!AD1305:AD1306,Datasheet!AD1312:AD1313,Datasheet!AD1318:AD1319)</f>
        <v>0</v>
      </c>
      <c r="AE1149" s="69">
        <f>SUM(Datasheet!AE1299:AE1300,Datasheet!AE1305:AE1306,Datasheet!AE1312:AE1313,Datasheet!AE1318:AE1319)</f>
        <v>0</v>
      </c>
      <c r="AF1149" s="69">
        <f>SUM(Datasheet!AF1299:AF1300,Datasheet!AF1305:AF1306,Datasheet!AF1312:AF1313,Datasheet!AF1318:AF1319)</f>
        <v>0</v>
      </c>
      <c r="AG1149" s="69">
        <f>SUM(Datasheet!AG1299:AG1300,Datasheet!AG1305:AG1306,Datasheet!AG1312:AG1313,Datasheet!AG1318:AG1319)</f>
        <v>0</v>
      </c>
      <c r="AH1149" s="69">
        <f>SUM(Datasheet!AH1299:AH1300,Datasheet!AH1305:AH1306,Datasheet!AH1312:AH1313,Datasheet!AH1318:AH1319)</f>
        <v>0</v>
      </c>
      <c r="AI1149" s="69">
        <f>SUM(Datasheet!AI1299:AI1300,Datasheet!AI1305:AI1306,Datasheet!AI1312:AI1313,Datasheet!AI1318:AI1319)</f>
        <v>0</v>
      </c>
      <c r="AJ1149" s="69">
        <f>SUM(Datasheet!AJ1299:AJ1300,Datasheet!AJ1305:AJ1306,Datasheet!AJ1312:AJ1313,Datasheet!AJ1318:AJ1319)</f>
        <v>0</v>
      </c>
      <c r="AK1149" s="69">
        <f>SUM(Datasheet!AK1299:AK1300,Datasheet!AK1305:AK1306,Datasheet!AK1312:AK1313,Datasheet!AK1318:AK1319)</f>
        <v>0</v>
      </c>
    </row>
    <row r="1150" spans="2:37" s="4" customFormat="1" x14ac:dyDescent="0.25">
      <c r="B1150" s="44"/>
      <c r="D1150" s="4" t="s">
        <v>1351</v>
      </c>
      <c r="I1150" s="73"/>
      <c r="J1150" s="73"/>
      <c r="K1150" s="73"/>
      <c r="L1150" s="73"/>
      <c r="M1150" s="73"/>
      <c r="N1150" s="73"/>
      <c r="O1150" s="73"/>
      <c r="P1150" s="73"/>
      <c r="Q1150" s="73"/>
      <c r="R1150" s="73"/>
      <c r="S1150" s="73"/>
      <c r="T1150" s="73"/>
      <c r="U1150" s="73"/>
      <c r="V1150" s="73"/>
      <c r="W1150" s="73"/>
      <c r="X1150" s="73"/>
      <c r="Y1150" s="73"/>
      <c r="Z1150" s="73"/>
      <c r="AA1150" s="73"/>
      <c r="AB1150" s="73"/>
      <c r="AC1150" s="73"/>
      <c r="AD1150" s="73"/>
      <c r="AE1150" s="73"/>
      <c r="AF1150" s="73"/>
      <c r="AG1150" s="73"/>
      <c r="AH1150" s="73"/>
      <c r="AI1150" s="73"/>
      <c r="AJ1150" s="73"/>
      <c r="AK1150" s="73"/>
    </row>
    <row r="1151" spans="2:37" s="4" customFormat="1" x14ac:dyDescent="0.25">
      <c r="B1151" s="44"/>
      <c r="E1151" s="69" t="s">
        <v>1232</v>
      </c>
      <c r="H1151" s="4" t="s">
        <v>1352</v>
      </c>
      <c r="I1151" s="73"/>
      <c r="J1151" s="73"/>
      <c r="K1151" s="73"/>
      <c r="L1151" s="73"/>
      <c r="M1151" s="73"/>
      <c r="N1151" s="73"/>
      <c r="O1151" s="69"/>
      <c r="P1151" s="69"/>
      <c r="Q1151" s="69">
        <f t="shared" ref="Q1151:AK1151" si="181">Q1147/Q1351</f>
        <v>1996.0150661690991</v>
      </c>
      <c r="R1151" s="69">
        <f t="shared" si="181"/>
        <v>2032.7555921579035</v>
      </c>
      <c r="S1151" s="69">
        <f t="shared" si="181"/>
        <v>1946.049674536258</v>
      </c>
      <c r="T1151" s="69">
        <f t="shared" si="181"/>
        <v>1915.0106006674635</v>
      </c>
      <c r="U1151" s="69">
        <f t="shared" si="181"/>
        <v>1890.4869467485582</v>
      </c>
      <c r="V1151" s="69">
        <f t="shared" si="181"/>
        <v>1817.7263593523226</v>
      </c>
      <c r="W1151" s="69">
        <f t="shared" si="181"/>
        <v>1842.3324463820632</v>
      </c>
      <c r="X1151" s="69">
        <f t="shared" si="181"/>
        <v>1807.5248399975619</v>
      </c>
      <c r="Y1151" s="69">
        <f t="shared" si="181"/>
        <v>1820.9563353564299</v>
      </c>
      <c r="Z1151" s="69">
        <f t="shared" si="181"/>
        <v>1871.9057105880424</v>
      </c>
      <c r="AA1151" s="69">
        <f t="shared" si="181"/>
        <v>2263.4973351065864</v>
      </c>
      <c r="AB1151" s="69">
        <f t="shared" si="181"/>
        <v>1857.1534209520059</v>
      </c>
      <c r="AC1151" s="69" t="e">
        <f t="shared" si="181"/>
        <v>#DIV/0!</v>
      </c>
      <c r="AD1151" s="69" t="e">
        <f t="shared" si="181"/>
        <v>#DIV/0!</v>
      </c>
      <c r="AE1151" s="69" t="e">
        <f t="shared" si="181"/>
        <v>#DIV/0!</v>
      </c>
      <c r="AF1151" s="69" t="e">
        <f t="shared" si="181"/>
        <v>#DIV/0!</v>
      </c>
      <c r="AG1151" s="69" t="e">
        <f t="shared" si="181"/>
        <v>#DIV/0!</v>
      </c>
      <c r="AH1151" s="69" t="e">
        <f t="shared" si="181"/>
        <v>#DIV/0!</v>
      </c>
      <c r="AI1151" s="69" t="e">
        <f t="shared" si="181"/>
        <v>#DIV/0!</v>
      </c>
      <c r="AJ1151" s="69" t="e">
        <f t="shared" si="181"/>
        <v>#DIV/0!</v>
      </c>
      <c r="AK1151" s="69" t="e">
        <f t="shared" si="181"/>
        <v>#DIV/0!</v>
      </c>
    </row>
    <row r="1152" spans="2:37" s="4" customFormat="1" x14ac:dyDescent="0.25">
      <c r="B1152" s="44"/>
      <c r="E1152" s="4" t="s">
        <v>1233</v>
      </c>
      <c r="H1152" s="4" t="s">
        <v>1352</v>
      </c>
      <c r="I1152" s="73"/>
      <c r="J1152" s="73"/>
      <c r="K1152" s="73"/>
      <c r="L1152" s="73"/>
      <c r="M1152" s="73"/>
      <c r="N1152" s="73"/>
      <c r="O1152" s="69"/>
      <c r="P1152" s="69"/>
      <c r="Q1152" s="69">
        <f t="shared" ref="Q1152:AK1152" si="182">Q1148/Q1357</f>
        <v>5572.4393774369228</v>
      </c>
      <c r="R1152" s="69">
        <f t="shared" si="182"/>
        <v>5656.0420746041173</v>
      </c>
      <c r="S1152" s="69">
        <f t="shared" si="182"/>
        <v>5344.6216618980097</v>
      </c>
      <c r="T1152" s="69">
        <f t="shared" si="182"/>
        <v>5537.0533893407137</v>
      </c>
      <c r="U1152" s="69">
        <f t="shared" si="182"/>
        <v>4913.5856123569001</v>
      </c>
      <c r="V1152" s="69">
        <f t="shared" si="182"/>
        <v>5024.3720147705881</v>
      </c>
      <c r="W1152" s="69">
        <f t="shared" si="182"/>
        <v>5184.0778834105504</v>
      </c>
      <c r="X1152" s="69">
        <f t="shared" si="182"/>
        <v>5149.8209769063033</v>
      </c>
      <c r="Y1152" s="69">
        <f t="shared" si="182"/>
        <v>5076.5247435061592</v>
      </c>
      <c r="Z1152" s="69">
        <f t="shared" si="182"/>
        <v>5227.676020650877</v>
      </c>
      <c r="AA1152" s="69">
        <f t="shared" si="182"/>
        <v>5640.6858641020226</v>
      </c>
      <c r="AB1152" s="69">
        <f t="shared" si="182"/>
        <v>5274.0520869456295</v>
      </c>
      <c r="AC1152" s="69" t="e">
        <f t="shared" si="182"/>
        <v>#DIV/0!</v>
      </c>
      <c r="AD1152" s="69" t="e">
        <f t="shared" si="182"/>
        <v>#DIV/0!</v>
      </c>
      <c r="AE1152" s="69" t="e">
        <f t="shared" si="182"/>
        <v>#DIV/0!</v>
      </c>
      <c r="AF1152" s="69" t="e">
        <f t="shared" si="182"/>
        <v>#DIV/0!</v>
      </c>
      <c r="AG1152" s="69" t="e">
        <f t="shared" si="182"/>
        <v>#DIV/0!</v>
      </c>
      <c r="AH1152" s="69" t="e">
        <f t="shared" si="182"/>
        <v>#DIV/0!</v>
      </c>
      <c r="AI1152" s="69" t="e">
        <f t="shared" si="182"/>
        <v>#DIV/0!</v>
      </c>
      <c r="AJ1152" s="69" t="e">
        <f t="shared" si="182"/>
        <v>#DIV/0!</v>
      </c>
      <c r="AK1152" s="69" t="e">
        <f t="shared" si="182"/>
        <v>#DIV/0!</v>
      </c>
    </row>
    <row r="1153" spans="1:37" s="4" customFormat="1" x14ac:dyDescent="0.25">
      <c r="B1153" s="44"/>
      <c r="E1153" s="4" t="s">
        <v>1234</v>
      </c>
      <c r="H1153" s="4" t="s">
        <v>1352</v>
      </c>
      <c r="I1153" s="73"/>
      <c r="J1153" s="73"/>
      <c r="K1153" s="73"/>
      <c r="L1153" s="73"/>
      <c r="M1153" s="73"/>
      <c r="N1153" s="73"/>
      <c r="O1153" s="69"/>
      <c r="P1153" s="69"/>
      <c r="Q1153" s="69">
        <f t="shared" ref="Q1153:AK1153" si="183">Q1149/Q1363</f>
        <v>4078.2551566328316</v>
      </c>
      <c r="R1153" s="69">
        <f t="shared" si="183"/>
        <v>4131.9434775462751</v>
      </c>
      <c r="S1153" s="69">
        <f t="shared" si="183"/>
        <v>3571.460934622949</v>
      </c>
      <c r="T1153" s="69">
        <f t="shared" si="183"/>
        <v>4158.3425894359316</v>
      </c>
      <c r="U1153" s="69">
        <f t="shared" si="183"/>
        <v>3731.5932117736684</v>
      </c>
      <c r="V1153" s="69">
        <f t="shared" si="183"/>
        <v>3431.4466359192998</v>
      </c>
      <c r="W1153" s="69">
        <f t="shared" si="183"/>
        <v>3454.5313269389585</v>
      </c>
      <c r="X1153" s="69">
        <f t="shared" si="183"/>
        <v>3786.0222113185732</v>
      </c>
      <c r="Y1153" s="69">
        <f t="shared" si="183"/>
        <v>3744.6568446747506</v>
      </c>
      <c r="Z1153" s="69">
        <f t="shared" si="183"/>
        <v>3952.0085663087762</v>
      </c>
      <c r="AA1153" s="69">
        <f t="shared" si="183"/>
        <v>4183.8917208362509</v>
      </c>
      <c r="AB1153" s="69">
        <f t="shared" si="183"/>
        <v>3643.2025163190087</v>
      </c>
      <c r="AC1153" s="69" t="e">
        <f t="shared" si="183"/>
        <v>#DIV/0!</v>
      </c>
      <c r="AD1153" s="69" t="e">
        <f t="shared" si="183"/>
        <v>#DIV/0!</v>
      </c>
      <c r="AE1153" s="69" t="e">
        <f t="shared" si="183"/>
        <v>#DIV/0!</v>
      </c>
      <c r="AF1153" s="69" t="e">
        <f t="shared" si="183"/>
        <v>#DIV/0!</v>
      </c>
      <c r="AG1153" s="69" t="e">
        <f t="shared" si="183"/>
        <v>#DIV/0!</v>
      </c>
      <c r="AH1153" s="69" t="e">
        <f t="shared" si="183"/>
        <v>#DIV/0!</v>
      </c>
      <c r="AI1153" s="69" t="e">
        <f t="shared" si="183"/>
        <v>#DIV/0!</v>
      </c>
      <c r="AJ1153" s="69" t="e">
        <f t="shared" si="183"/>
        <v>#DIV/0!</v>
      </c>
      <c r="AK1153" s="69" t="e">
        <f t="shared" si="183"/>
        <v>#DIV/0!</v>
      </c>
    </row>
    <row r="1154" spans="1:37" s="183" customFormat="1" x14ac:dyDescent="0.25">
      <c r="B1154" s="184"/>
      <c r="I1154" s="185"/>
      <c r="J1154" s="185"/>
      <c r="K1154" s="185"/>
      <c r="L1154" s="185"/>
      <c r="M1154" s="185"/>
      <c r="N1154" s="185"/>
      <c r="O1154" s="186"/>
      <c r="P1154" s="186"/>
      <c r="Q1154" s="186"/>
      <c r="R1154" s="186"/>
      <c r="S1154" s="186"/>
      <c r="T1154" s="186"/>
      <c r="U1154" s="186"/>
      <c r="V1154" s="186"/>
      <c r="W1154" s="186"/>
      <c r="X1154" s="186"/>
      <c r="Y1154" s="186"/>
      <c r="Z1154" s="186"/>
      <c r="AA1154" s="186"/>
      <c r="AB1154" s="186"/>
      <c r="AC1154" s="186"/>
      <c r="AD1154" s="186"/>
      <c r="AE1154" s="186"/>
      <c r="AF1154" s="186"/>
      <c r="AG1154" s="186"/>
      <c r="AH1154" s="186"/>
      <c r="AI1154" s="186"/>
      <c r="AJ1154" s="186"/>
      <c r="AK1154" s="186"/>
    </row>
    <row r="1155" spans="1:37" s="55" customFormat="1" ht="17.25" x14ac:dyDescent="0.3">
      <c r="A1155" s="55" t="s">
        <v>33</v>
      </c>
    </row>
    <row r="1156" spans="1:37" x14ac:dyDescent="0.25">
      <c r="B1156" s="29" t="s">
        <v>877</v>
      </c>
      <c r="C1156" t="s">
        <v>1345</v>
      </c>
    </row>
    <row r="1157" spans="1:37" x14ac:dyDescent="0.25">
      <c r="B1157" s="29"/>
      <c r="D1157" t="s">
        <v>1353</v>
      </c>
    </row>
    <row r="1158" spans="1:37" x14ac:dyDescent="0.25">
      <c r="B1158" s="29" t="s">
        <v>881</v>
      </c>
      <c r="C1158" t="s">
        <v>1354</v>
      </c>
    </row>
    <row r="1159" spans="1:37" x14ac:dyDescent="0.25">
      <c r="B1159" s="29" t="s">
        <v>883</v>
      </c>
      <c r="C1159" s="263" t="s">
        <v>33</v>
      </c>
    </row>
    <row r="1160" spans="1:37" x14ac:dyDescent="0.25">
      <c r="B1160" s="29" t="s">
        <v>885</v>
      </c>
      <c r="C1160" t="s">
        <v>1355</v>
      </c>
    </row>
    <row r="1161" spans="1:37" x14ac:dyDescent="0.25">
      <c r="B1161" s="29" t="s">
        <v>886</v>
      </c>
      <c r="C1161" t="s">
        <v>1356</v>
      </c>
    </row>
    <row r="1162" spans="1:37" s="57" customFormat="1" ht="15.75" thickBot="1" x14ac:dyDescent="0.3">
      <c r="B1162" s="58" t="s">
        <v>19</v>
      </c>
    </row>
    <row r="1163" spans="1:37" ht="15.75" thickTop="1" x14ac:dyDescent="0.25">
      <c r="B1163" s="44" t="s">
        <v>21</v>
      </c>
      <c r="C1163" s="79" t="s">
        <v>1357</v>
      </c>
      <c r="D1163" s="79"/>
      <c r="E1163" s="79"/>
      <c r="F1163" s="79"/>
      <c r="G1163" s="79"/>
      <c r="H1163" s="79"/>
      <c r="I1163" s="100"/>
      <c r="J1163" s="100"/>
      <c r="K1163" s="100"/>
      <c r="L1163" s="100"/>
      <c r="M1163" s="100"/>
      <c r="N1163" s="100"/>
      <c r="O1163" s="100"/>
      <c r="P1163" s="100"/>
      <c r="Q1163" s="100"/>
      <c r="R1163" s="100"/>
      <c r="S1163" s="100"/>
      <c r="T1163" s="100"/>
      <c r="U1163" s="100"/>
      <c r="V1163" s="100"/>
      <c r="W1163" s="100"/>
      <c r="X1163" s="100"/>
      <c r="Y1163" s="100"/>
      <c r="Z1163" s="100"/>
      <c r="AA1163" s="100"/>
      <c r="AB1163" s="100"/>
      <c r="AC1163" s="100"/>
      <c r="AD1163" s="100"/>
      <c r="AE1163" s="100"/>
      <c r="AF1163" s="100"/>
      <c r="AG1163" s="100"/>
      <c r="AH1163" s="100"/>
      <c r="AI1163" s="100"/>
      <c r="AJ1163" s="100"/>
      <c r="AK1163" s="100"/>
    </row>
    <row r="1164" spans="1:37" x14ac:dyDescent="0.25">
      <c r="B1164" s="92"/>
      <c r="C1164" s="91"/>
      <c r="D1164" s="91" t="s">
        <v>1358</v>
      </c>
      <c r="E1164" s="91"/>
      <c r="F1164" s="91"/>
      <c r="G1164" s="91"/>
      <c r="H1164" s="91"/>
      <c r="I1164" s="93"/>
      <c r="J1164" s="93"/>
      <c r="K1164" s="93"/>
      <c r="L1164" s="93"/>
      <c r="M1164" s="93"/>
      <c r="N1164" s="93"/>
      <c r="O1164" s="93"/>
      <c r="P1164" s="93"/>
      <c r="Q1164" s="93"/>
      <c r="R1164" s="93"/>
      <c r="S1164" s="93"/>
      <c r="T1164" s="93"/>
      <c r="U1164" s="93"/>
      <c r="V1164" s="93"/>
      <c r="W1164" s="93"/>
      <c r="X1164" s="93"/>
      <c r="Y1164" s="93"/>
      <c r="Z1164" s="93"/>
      <c r="AA1164" s="93"/>
      <c r="AB1164" s="93"/>
      <c r="AC1164" s="93"/>
      <c r="AD1164" s="93"/>
      <c r="AE1164" s="93"/>
      <c r="AF1164" s="93"/>
      <c r="AG1164" s="93"/>
      <c r="AH1164" s="93"/>
      <c r="AI1164" s="93"/>
      <c r="AJ1164" s="93"/>
      <c r="AK1164" s="93"/>
    </row>
    <row r="1165" spans="1:37" x14ac:dyDescent="0.25">
      <c r="B1165" s="92"/>
      <c r="C1165" s="91"/>
      <c r="D1165" s="91"/>
      <c r="E1165" s="91"/>
      <c r="F1165" s="91" t="s">
        <v>1359</v>
      </c>
      <c r="G1165" s="91"/>
      <c r="H1165" s="91" t="s">
        <v>32</v>
      </c>
      <c r="I1165" s="93">
        <f>SUM(I1170,I1175,I1180,I1185,I1190,I1195,I1200)</f>
        <v>154535</v>
      </c>
      <c r="J1165" s="93">
        <f t="shared" ref="J1165:AK1165" si="184">SUM(J1170,J1175,J1180,J1185,J1190,J1195,J1200)</f>
        <v>188026</v>
      </c>
      <c r="K1165" s="93">
        <f t="shared" si="184"/>
        <v>201252</v>
      </c>
      <c r="L1165" s="93">
        <f t="shared" si="184"/>
        <v>128319</v>
      </c>
      <c r="M1165" s="93">
        <f t="shared" si="184"/>
        <v>260836</v>
      </c>
      <c r="N1165" s="93">
        <f t="shared" si="184"/>
        <v>349728</v>
      </c>
      <c r="O1165" s="93">
        <f t="shared" si="184"/>
        <v>79794</v>
      </c>
      <c r="P1165" s="93">
        <f t="shared" si="184"/>
        <v>184790</v>
      </c>
      <c r="Q1165" s="93">
        <f t="shared" si="184"/>
        <v>77912</v>
      </c>
      <c r="R1165" s="93">
        <f t="shared" si="184"/>
        <v>66964</v>
      </c>
      <c r="S1165" s="93">
        <f t="shared" si="184"/>
        <v>56515</v>
      </c>
      <c r="T1165" s="93">
        <f t="shared" si="184"/>
        <v>45081</v>
      </c>
      <c r="U1165" s="93">
        <f t="shared" si="184"/>
        <v>118924</v>
      </c>
      <c r="V1165" s="93">
        <f t="shared" si="184"/>
        <v>53226</v>
      </c>
      <c r="W1165" s="93">
        <f t="shared" si="184"/>
        <v>53593</v>
      </c>
      <c r="X1165" s="93">
        <f t="shared" si="184"/>
        <v>44454</v>
      </c>
      <c r="Y1165" s="93">
        <f t="shared" si="184"/>
        <v>103286</v>
      </c>
      <c r="Z1165" s="93">
        <f t="shared" si="184"/>
        <v>111742</v>
      </c>
      <c r="AA1165" s="93">
        <f t="shared" si="184"/>
        <v>66487</v>
      </c>
      <c r="AB1165" s="93">
        <f t="shared" si="184"/>
        <v>4242</v>
      </c>
      <c r="AC1165" s="93">
        <f t="shared" si="184"/>
        <v>39971</v>
      </c>
      <c r="AD1165" s="93">
        <f t="shared" si="184"/>
        <v>0</v>
      </c>
      <c r="AE1165" s="93">
        <f t="shared" si="184"/>
        <v>0</v>
      </c>
      <c r="AF1165" s="93">
        <f t="shared" si="184"/>
        <v>0</v>
      </c>
      <c r="AG1165" s="93">
        <f t="shared" si="184"/>
        <v>0</v>
      </c>
      <c r="AH1165" s="93">
        <f t="shared" si="184"/>
        <v>0</v>
      </c>
      <c r="AI1165" s="93">
        <f t="shared" si="184"/>
        <v>0</v>
      </c>
      <c r="AJ1165" s="93">
        <f t="shared" si="184"/>
        <v>0</v>
      </c>
      <c r="AK1165" s="93">
        <f t="shared" si="184"/>
        <v>0</v>
      </c>
    </row>
    <row r="1166" spans="1:37" x14ac:dyDescent="0.25">
      <c r="B1166" s="92"/>
      <c r="C1166" s="91"/>
      <c r="D1166" s="91"/>
      <c r="E1166" s="91"/>
      <c r="F1166" s="91" t="s">
        <v>1360</v>
      </c>
      <c r="G1166" s="91"/>
      <c r="H1166" s="91" t="s">
        <v>32</v>
      </c>
      <c r="I1166" s="93"/>
      <c r="J1166" s="93"/>
      <c r="K1166" s="93"/>
      <c r="L1166" s="93"/>
      <c r="M1166" s="93"/>
      <c r="N1166" s="93"/>
      <c r="O1166" s="93"/>
      <c r="P1166" s="93"/>
      <c r="Q1166" s="93"/>
      <c r="R1166" s="93">
        <f t="shared" ref="R1166:AK1166" si="185">SUM(I1165:R1165)</f>
        <v>1692156</v>
      </c>
      <c r="S1166" s="93">
        <f t="shared" si="185"/>
        <v>1594136</v>
      </c>
      <c r="T1166" s="93">
        <f t="shared" si="185"/>
        <v>1451191</v>
      </c>
      <c r="U1166" s="93">
        <f t="shared" si="185"/>
        <v>1368863</v>
      </c>
      <c r="V1166" s="93">
        <f t="shared" si="185"/>
        <v>1293770</v>
      </c>
      <c r="W1166" s="93">
        <f t="shared" si="185"/>
        <v>1086527</v>
      </c>
      <c r="X1166" s="93">
        <f t="shared" si="185"/>
        <v>781253</v>
      </c>
      <c r="Y1166" s="93">
        <f t="shared" si="185"/>
        <v>804745</v>
      </c>
      <c r="Z1166" s="93">
        <f t="shared" si="185"/>
        <v>731697</v>
      </c>
      <c r="AA1166" s="93">
        <f t="shared" si="185"/>
        <v>720272</v>
      </c>
      <c r="AB1166" s="93">
        <f t="shared" si="185"/>
        <v>657550</v>
      </c>
      <c r="AC1166" s="93">
        <f t="shared" si="185"/>
        <v>641006</v>
      </c>
      <c r="AD1166" s="93">
        <f t="shared" si="185"/>
        <v>595925</v>
      </c>
      <c r="AE1166" s="93">
        <f t="shared" si="185"/>
        <v>477001</v>
      </c>
      <c r="AF1166" s="93">
        <f t="shared" si="185"/>
        <v>423775</v>
      </c>
      <c r="AG1166" s="93">
        <f t="shared" si="185"/>
        <v>370182</v>
      </c>
      <c r="AH1166" s="93">
        <f t="shared" si="185"/>
        <v>325728</v>
      </c>
      <c r="AI1166" s="93">
        <f t="shared" si="185"/>
        <v>222442</v>
      </c>
      <c r="AJ1166" s="93">
        <f t="shared" si="185"/>
        <v>110700</v>
      </c>
      <c r="AK1166" s="93">
        <f t="shared" si="185"/>
        <v>44213</v>
      </c>
    </row>
    <row r="1167" spans="1:37" x14ac:dyDescent="0.25">
      <c r="B1167" s="92"/>
      <c r="C1167" s="91"/>
      <c r="D1167" s="91"/>
      <c r="E1167" s="91"/>
      <c r="F1167" s="91" t="s">
        <v>1361</v>
      </c>
      <c r="G1167" s="91"/>
      <c r="H1167" s="91" t="s">
        <v>32</v>
      </c>
      <c r="I1167" s="93"/>
      <c r="J1167" s="93"/>
      <c r="K1167" s="93"/>
      <c r="L1167" s="93"/>
      <c r="M1167" s="93"/>
      <c r="N1167" s="93"/>
      <c r="O1167" s="93"/>
      <c r="P1167" s="93"/>
      <c r="Q1167" s="93"/>
      <c r="R1167" s="93"/>
      <c r="S1167" s="93"/>
      <c r="T1167" s="93">
        <f>SUM($T1165:T1165)</f>
        <v>45081</v>
      </c>
      <c r="U1167" s="93">
        <f>SUM($T1165:U1165)</f>
        <v>164005</v>
      </c>
      <c r="V1167" s="93">
        <f>SUM($T1165:V1165)</f>
        <v>217231</v>
      </c>
      <c r="W1167" s="93">
        <f>SUM($T1165:W1165)</f>
        <v>270824</v>
      </c>
      <c r="X1167" s="93">
        <f>SUM($T1165:X1165)</f>
        <v>315278</v>
      </c>
      <c r="Y1167" s="93">
        <f>SUM($T1165:Y1165)</f>
        <v>418564</v>
      </c>
      <c r="Z1167" s="93">
        <f>SUM($T1165:Z1165)</f>
        <v>530306</v>
      </c>
      <c r="AA1167" s="93">
        <f>SUM($T1165:AA1165)</f>
        <v>596793</v>
      </c>
      <c r="AB1167" s="93">
        <f>SUM($T1165:AB1165)</f>
        <v>601035</v>
      </c>
      <c r="AC1167" s="93">
        <f>SUM($T1165:AC1165)</f>
        <v>641006</v>
      </c>
      <c r="AD1167" s="93">
        <f>SUM($T1165:AD1165)</f>
        <v>641006</v>
      </c>
      <c r="AE1167" s="93">
        <f>SUM($T1165:AE1165)</f>
        <v>641006</v>
      </c>
      <c r="AF1167" s="93">
        <f>SUM($T1165:AF1165)</f>
        <v>641006</v>
      </c>
      <c r="AG1167" s="93">
        <f>SUM($T1165:AG1165)</f>
        <v>641006</v>
      </c>
      <c r="AH1167" s="93">
        <f>SUM($T1165:AH1165)</f>
        <v>641006</v>
      </c>
      <c r="AI1167" s="93">
        <f>SUM($T1165:AI1165)</f>
        <v>641006</v>
      </c>
      <c r="AJ1167" s="93">
        <f>SUM($T1165:AJ1165)</f>
        <v>641006</v>
      </c>
      <c r="AK1167" s="93">
        <f>SUM($T1165:AK1165)</f>
        <v>641006</v>
      </c>
    </row>
    <row r="1168" spans="1:37" x14ac:dyDescent="0.25">
      <c r="B1168" s="92"/>
      <c r="C1168" s="91"/>
      <c r="D1168" s="91"/>
      <c r="E1168" s="91"/>
      <c r="F1168" s="91" t="s">
        <v>1362</v>
      </c>
      <c r="G1168" s="91"/>
      <c r="H1168" s="91" t="s">
        <v>32</v>
      </c>
      <c r="I1168" s="93"/>
      <c r="J1168" s="93"/>
      <c r="K1168" s="93"/>
      <c r="L1168" s="93"/>
      <c r="M1168" s="93"/>
      <c r="N1168" s="93"/>
      <c r="O1168" s="93"/>
      <c r="P1168" s="93"/>
      <c r="Q1168" s="93"/>
      <c r="R1168" s="93"/>
      <c r="S1168" s="93"/>
      <c r="T1168" s="93"/>
      <c r="U1168" s="93"/>
      <c r="V1168" s="93"/>
      <c r="W1168" s="93"/>
      <c r="X1168" s="93"/>
      <c r="Y1168" s="93"/>
      <c r="Z1168" s="93"/>
      <c r="AA1168" s="93"/>
      <c r="AB1168" s="93">
        <f>SUM($AB1165:AB1165)</f>
        <v>4242</v>
      </c>
      <c r="AC1168" s="93">
        <f>SUM($AB1165:AC1165)</f>
        <v>44213</v>
      </c>
      <c r="AD1168" s="93">
        <f>SUM($AB1165:AD1165)</f>
        <v>44213</v>
      </c>
      <c r="AE1168" s="93">
        <f>SUM($AB1165:AE1165)</f>
        <v>44213</v>
      </c>
      <c r="AF1168" s="93">
        <f>SUM($AB1165:AF1165)</f>
        <v>44213</v>
      </c>
      <c r="AG1168" s="93">
        <f>SUM($AB1165:AG1165)</f>
        <v>44213</v>
      </c>
      <c r="AH1168" s="93">
        <f>SUM($AB1165:AH1165)</f>
        <v>44213</v>
      </c>
      <c r="AI1168" s="93">
        <f>SUM($AB1165:AI1165)</f>
        <v>44213</v>
      </c>
      <c r="AJ1168" s="93">
        <f>SUM($AB1165:AJ1165)</f>
        <v>44213</v>
      </c>
      <c r="AK1168" s="93">
        <f>SUM($AB1165:AK1165)</f>
        <v>44213</v>
      </c>
    </row>
    <row r="1169" spans="2:37" x14ac:dyDescent="0.25">
      <c r="B1169" s="92"/>
      <c r="C1169" s="91"/>
      <c r="D1169" s="91"/>
      <c r="E1169" s="4" t="s">
        <v>46</v>
      </c>
      <c r="F1169" s="4"/>
      <c r="G1169" s="91"/>
      <c r="H1169" s="91"/>
      <c r="I1169" s="69"/>
      <c r="J1169" s="69"/>
      <c r="K1169" s="69"/>
      <c r="L1169" s="69"/>
      <c r="M1169" s="69"/>
      <c r="N1169" s="69"/>
      <c r="O1169" s="69"/>
      <c r="P1169" s="69"/>
      <c r="Q1169" s="69"/>
      <c r="R1169" s="69"/>
      <c r="S1169" s="69"/>
      <c r="T1169" s="69"/>
      <c r="U1169" s="69"/>
      <c r="V1169" s="69"/>
      <c r="W1169" s="69"/>
      <c r="X1169" s="69"/>
      <c r="Y1169" s="69"/>
      <c r="Z1169" s="69"/>
      <c r="AA1169" s="69"/>
      <c r="AB1169" s="69"/>
      <c r="AC1169" s="69"/>
      <c r="AD1169" s="69"/>
      <c r="AE1169" s="69"/>
      <c r="AF1169" s="69"/>
      <c r="AG1169" s="69"/>
      <c r="AH1169" s="69"/>
      <c r="AI1169" s="69"/>
      <c r="AJ1169" s="69"/>
      <c r="AK1169" s="69"/>
    </row>
    <row r="1170" spans="2:37" x14ac:dyDescent="0.25">
      <c r="B1170" s="92"/>
      <c r="C1170" s="91"/>
      <c r="D1170" s="91"/>
      <c r="E1170" s="4"/>
      <c r="F1170" s="4" t="s">
        <v>1359</v>
      </c>
      <c r="G1170" s="91"/>
      <c r="H1170" s="4" t="s">
        <v>32</v>
      </c>
      <c r="I1170" s="69">
        <f>Datasheet!I97</f>
        <v>104</v>
      </c>
      <c r="J1170" s="69">
        <f>Datasheet!J97</f>
        <v>840</v>
      </c>
      <c r="K1170" s="69">
        <f>Datasheet!K97</f>
        <v>13600</v>
      </c>
      <c r="L1170" s="69">
        <f>Datasheet!L97</f>
        <v>272</v>
      </c>
      <c r="M1170" s="69">
        <f>Datasheet!M97</f>
        <v>2400</v>
      </c>
      <c r="N1170" s="69">
        <f>Datasheet!N97</f>
        <v>16996</v>
      </c>
      <c r="O1170" s="69">
        <f>Datasheet!O97</f>
        <v>2100</v>
      </c>
      <c r="P1170" s="69">
        <f>Datasheet!P97</f>
        <v>1264</v>
      </c>
      <c r="Q1170" s="69">
        <f>Datasheet!Q97</f>
        <v>1008</v>
      </c>
      <c r="R1170" s="69">
        <f>Datasheet!R97</f>
        <v>0</v>
      </c>
      <c r="S1170" s="69">
        <f>Datasheet!S97</f>
        <v>0</v>
      </c>
      <c r="T1170" s="69">
        <f>Datasheet!T97</f>
        <v>0</v>
      </c>
      <c r="U1170" s="69">
        <f>Datasheet!U97</f>
        <v>3945</v>
      </c>
      <c r="V1170" s="69">
        <f>Datasheet!V97</f>
        <v>1593</v>
      </c>
      <c r="W1170" s="69">
        <f>Datasheet!W97</f>
        <v>0</v>
      </c>
      <c r="X1170" s="69">
        <f>Datasheet!X97</f>
        <v>0</v>
      </c>
      <c r="Y1170" s="69">
        <f>Datasheet!Y97</f>
        <v>0</v>
      </c>
      <c r="Z1170" s="69">
        <f>Datasheet!Z97</f>
        <v>2520</v>
      </c>
      <c r="AA1170" s="69">
        <f>Datasheet!AA97</f>
        <v>9322</v>
      </c>
      <c r="AB1170" s="69">
        <f>Datasheet!AB97</f>
        <v>6096</v>
      </c>
      <c r="AC1170" s="69">
        <f>Datasheet!AC97</f>
        <v>3305</v>
      </c>
      <c r="AD1170" s="69">
        <f>Datasheet!AD97</f>
        <v>0</v>
      </c>
      <c r="AE1170" s="69">
        <f>Datasheet!AE97</f>
        <v>0</v>
      </c>
      <c r="AF1170" s="69">
        <f>Datasheet!AF97</f>
        <v>0</v>
      </c>
      <c r="AG1170" s="69">
        <f>Datasheet!AG97</f>
        <v>0</v>
      </c>
      <c r="AH1170" s="69">
        <f>Datasheet!AH97</f>
        <v>0</v>
      </c>
      <c r="AI1170" s="69">
        <f>Datasheet!AI97</f>
        <v>0</v>
      </c>
      <c r="AJ1170" s="69">
        <f>Datasheet!AJ97</f>
        <v>0</v>
      </c>
      <c r="AK1170" s="69">
        <f>Datasheet!AK97</f>
        <v>0</v>
      </c>
    </row>
    <row r="1171" spans="2:37" x14ac:dyDescent="0.25">
      <c r="B1171" s="92"/>
      <c r="C1171" s="91"/>
      <c r="D1171" s="91"/>
      <c r="E1171" s="4"/>
      <c r="F1171" s="4" t="s">
        <v>1360</v>
      </c>
      <c r="G1171" s="91"/>
      <c r="H1171" s="4" t="s">
        <v>32</v>
      </c>
      <c r="I1171" s="69"/>
      <c r="J1171" s="69"/>
      <c r="K1171" s="69"/>
      <c r="L1171" s="69"/>
      <c r="M1171" s="69"/>
      <c r="N1171" s="69"/>
      <c r="O1171" s="69"/>
      <c r="P1171" s="69"/>
      <c r="Q1171" s="69"/>
      <c r="R1171" s="69">
        <f t="shared" ref="R1171:AK1171" si="186">SUM(I1170:R1170)</f>
        <v>38584</v>
      </c>
      <c r="S1171" s="69">
        <f t="shared" si="186"/>
        <v>38480</v>
      </c>
      <c r="T1171" s="69">
        <f t="shared" si="186"/>
        <v>37640</v>
      </c>
      <c r="U1171" s="69">
        <f t="shared" si="186"/>
        <v>27985</v>
      </c>
      <c r="V1171" s="69">
        <f t="shared" si="186"/>
        <v>29306</v>
      </c>
      <c r="W1171" s="69">
        <f t="shared" si="186"/>
        <v>26906</v>
      </c>
      <c r="X1171" s="69">
        <f t="shared" si="186"/>
        <v>9910</v>
      </c>
      <c r="Y1171" s="69">
        <f t="shared" si="186"/>
        <v>7810</v>
      </c>
      <c r="Z1171" s="69">
        <f t="shared" si="186"/>
        <v>9066</v>
      </c>
      <c r="AA1171" s="69">
        <f t="shared" si="186"/>
        <v>17380</v>
      </c>
      <c r="AB1171" s="69">
        <f t="shared" si="186"/>
        <v>23476</v>
      </c>
      <c r="AC1171" s="69">
        <f t="shared" si="186"/>
        <v>26781</v>
      </c>
      <c r="AD1171" s="69">
        <f t="shared" si="186"/>
        <v>26781</v>
      </c>
      <c r="AE1171" s="69">
        <f t="shared" si="186"/>
        <v>22836</v>
      </c>
      <c r="AF1171" s="69">
        <f t="shared" si="186"/>
        <v>21243</v>
      </c>
      <c r="AG1171" s="69">
        <f t="shared" si="186"/>
        <v>21243</v>
      </c>
      <c r="AH1171" s="69">
        <f t="shared" si="186"/>
        <v>21243</v>
      </c>
      <c r="AI1171" s="69">
        <f t="shared" si="186"/>
        <v>21243</v>
      </c>
      <c r="AJ1171" s="69">
        <f t="shared" si="186"/>
        <v>18723</v>
      </c>
      <c r="AK1171" s="69">
        <f t="shared" si="186"/>
        <v>9401</v>
      </c>
    </row>
    <row r="1172" spans="2:37" x14ac:dyDescent="0.25">
      <c r="B1172" s="92"/>
      <c r="C1172" s="91"/>
      <c r="D1172" s="91"/>
      <c r="E1172" s="4"/>
      <c r="F1172" s="4" t="s">
        <v>1361</v>
      </c>
      <c r="G1172" s="91"/>
      <c r="H1172" s="4" t="s">
        <v>32</v>
      </c>
      <c r="I1172" s="69"/>
      <c r="J1172" s="69"/>
      <c r="K1172" s="69"/>
      <c r="L1172" s="69"/>
      <c r="M1172" s="69"/>
      <c r="N1172" s="69"/>
      <c r="O1172" s="69"/>
      <c r="P1172" s="69"/>
      <c r="Q1172" s="69"/>
      <c r="R1172" s="69"/>
      <c r="S1172" s="69"/>
      <c r="T1172" s="69">
        <f>SUM($T1170:T1170)</f>
        <v>0</v>
      </c>
      <c r="U1172" s="69">
        <f>SUM($T1170:U1170)</f>
        <v>3945</v>
      </c>
      <c r="V1172" s="69">
        <f>SUM($T1170:V1170)</f>
        <v>5538</v>
      </c>
      <c r="W1172" s="69">
        <f>SUM($T1170:W1170)</f>
        <v>5538</v>
      </c>
      <c r="X1172" s="69">
        <f>SUM($T1170:X1170)</f>
        <v>5538</v>
      </c>
      <c r="Y1172" s="69">
        <f>SUM($T1170:Y1170)</f>
        <v>5538</v>
      </c>
      <c r="Z1172" s="69">
        <f>SUM($T1170:Z1170)</f>
        <v>8058</v>
      </c>
      <c r="AA1172" s="69">
        <f>SUM($T1170:AA1170)</f>
        <v>17380</v>
      </c>
      <c r="AB1172" s="69">
        <f>SUM($T1170:AB1170)</f>
        <v>23476</v>
      </c>
      <c r="AC1172" s="69">
        <f>SUM($T1170:AC1170)</f>
        <v>26781</v>
      </c>
      <c r="AD1172" s="69">
        <f>SUM($T1170:AD1170)</f>
        <v>26781</v>
      </c>
      <c r="AE1172" s="69">
        <f>SUM($T1170:AE1170)</f>
        <v>26781</v>
      </c>
      <c r="AF1172" s="69">
        <f>SUM($T1170:AF1170)</f>
        <v>26781</v>
      </c>
      <c r="AG1172" s="69">
        <f>SUM($T1170:AG1170)</f>
        <v>26781</v>
      </c>
      <c r="AH1172" s="69">
        <f>SUM($T1170:AH1170)</f>
        <v>26781</v>
      </c>
      <c r="AI1172" s="69">
        <f>SUM($T1170:AI1170)</f>
        <v>26781</v>
      </c>
      <c r="AJ1172" s="69">
        <f>SUM($T1170:AJ1170)</f>
        <v>26781</v>
      </c>
      <c r="AK1172" s="69">
        <f>SUM($T1170:AK1170)</f>
        <v>26781</v>
      </c>
    </row>
    <row r="1173" spans="2:37" x14ac:dyDescent="0.25">
      <c r="B1173" s="92"/>
      <c r="C1173" s="91"/>
      <c r="D1173" s="91"/>
      <c r="E1173" s="4"/>
      <c r="F1173" s="4" t="s">
        <v>1362</v>
      </c>
      <c r="G1173" s="91"/>
      <c r="H1173" s="4" t="s">
        <v>32</v>
      </c>
      <c r="I1173" s="69"/>
      <c r="J1173" s="69"/>
      <c r="K1173" s="69"/>
      <c r="L1173" s="69"/>
      <c r="M1173" s="69"/>
      <c r="N1173" s="69"/>
      <c r="O1173" s="69"/>
      <c r="P1173" s="69"/>
      <c r="Q1173" s="69"/>
      <c r="R1173" s="69"/>
      <c r="S1173" s="69"/>
      <c r="T1173" s="69"/>
      <c r="U1173" s="69"/>
      <c r="V1173" s="69"/>
      <c r="W1173" s="69"/>
      <c r="X1173" s="69"/>
      <c r="Y1173" s="69"/>
      <c r="Z1173" s="69"/>
      <c r="AA1173" s="69"/>
      <c r="AB1173" s="69">
        <f>SUM($AB1170:AB1170)</f>
        <v>6096</v>
      </c>
      <c r="AC1173" s="69">
        <f>SUM($AB1170:AC1170)</f>
        <v>9401</v>
      </c>
      <c r="AD1173" s="69">
        <f>SUM($AB1170:AD1170)</f>
        <v>9401</v>
      </c>
      <c r="AE1173" s="69">
        <f>SUM($AB1170:AE1170)</f>
        <v>9401</v>
      </c>
      <c r="AF1173" s="69">
        <f>SUM($AB1170:AF1170)</f>
        <v>9401</v>
      </c>
      <c r="AG1173" s="69">
        <f>SUM($AB1170:AG1170)</f>
        <v>9401</v>
      </c>
      <c r="AH1173" s="69">
        <f>SUM($AB1170:AH1170)</f>
        <v>9401</v>
      </c>
      <c r="AI1173" s="69">
        <f>SUM($AB1170:AI1170)</f>
        <v>9401</v>
      </c>
      <c r="AJ1173" s="69">
        <f>SUM($AB1170:AJ1170)</f>
        <v>9401</v>
      </c>
      <c r="AK1173" s="69">
        <f>SUM($AB1170:AK1170)</f>
        <v>9401</v>
      </c>
    </row>
    <row r="1174" spans="2:37" x14ac:dyDescent="0.25">
      <c r="B1174" s="92"/>
      <c r="C1174" s="91"/>
      <c r="D1174" s="91"/>
      <c r="E1174" s="4" t="s">
        <v>64</v>
      </c>
      <c r="F1174" s="4"/>
      <c r="G1174" s="91"/>
      <c r="H1174" s="91"/>
      <c r="I1174" s="69"/>
      <c r="J1174" s="69"/>
      <c r="K1174" s="69"/>
      <c r="L1174" s="69"/>
      <c r="M1174" s="69"/>
      <c r="N1174" s="69"/>
      <c r="O1174" s="69"/>
      <c r="P1174" s="69"/>
      <c r="Q1174" s="69"/>
      <c r="R1174" s="69"/>
      <c r="S1174" s="69"/>
      <c r="T1174" s="69"/>
      <c r="U1174" s="69"/>
      <c r="V1174" s="69"/>
      <c r="W1174" s="69"/>
      <c r="X1174" s="69"/>
      <c r="Y1174" s="69"/>
      <c r="Z1174" s="69"/>
      <c r="AA1174" s="69"/>
      <c r="AB1174" s="69"/>
      <c r="AC1174" s="69"/>
      <c r="AD1174" s="69"/>
      <c r="AE1174" s="69"/>
      <c r="AF1174" s="69"/>
      <c r="AG1174" s="69"/>
      <c r="AH1174" s="69"/>
      <c r="AI1174" s="69"/>
      <c r="AJ1174" s="69"/>
      <c r="AK1174" s="69"/>
    </row>
    <row r="1175" spans="2:37" x14ac:dyDescent="0.25">
      <c r="B1175" s="92"/>
      <c r="C1175" s="91"/>
      <c r="D1175" s="91"/>
      <c r="E1175" s="4"/>
      <c r="F1175" s="4" t="s">
        <v>1359</v>
      </c>
      <c r="G1175" s="91"/>
      <c r="H1175" s="4" t="s">
        <v>32</v>
      </c>
      <c r="I1175" s="69">
        <f>Datasheet!I99</f>
        <v>256</v>
      </c>
      <c r="J1175" s="69">
        <f>Datasheet!J99</f>
        <v>10518</v>
      </c>
      <c r="K1175" s="69">
        <f>Datasheet!K99</f>
        <v>0</v>
      </c>
      <c r="L1175" s="69">
        <f>Datasheet!L99</f>
        <v>4267</v>
      </c>
      <c r="M1175" s="69">
        <f>Datasheet!M99</f>
        <v>11356</v>
      </c>
      <c r="N1175" s="69">
        <f>Datasheet!N99</f>
        <v>38977</v>
      </c>
      <c r="O1175" s="69">
        <f>Datasheet!O99</f>
        <v>17603</v>
      </c>
      <c r="P1175" s="69">
        <f>Datasheet!P99</f>
        <v>58450</v>
      </c>
      <c r="Q1175" s="69">
        <f>Datasheet!Q99</f>
        <v>2634</v>
      </c>
      <c r="R1175" s="69">
        <f>Datasheet!R99</f>
        <v>0</v>
      </c>
      <c r="S1175" s="69">
        <f>Datasheet!S99</f>
        <v>0</v>
      </c>
      <c r="T1175" s="69">
        <f>Datasheet!T99</f>
        <v>23039</v>
      </c>
      <c r="U1175" s="69">
        <f>Datasheet!U99</f>
        <v>1436</v>
      </c>
      <c r="V1175" s="69">
        <f>Datasheet!V99</f>
        <v>804</v>
      </c>
      <c r="W1175" s="69">
        <f>Datasheet!W99</f>
        <v>1779</v>
      </c>
      <c r="X1175" s="69">
        <f>Datasheet!X99</f>
        <v>3123</v>
      </c>
      <c r="Y1175" s="69">
        <f>Datasheet!Y99</f>
        <v>-4493</v>
      </c>
      <c r="Z1175" s="69">
        <f>Datasheet!Z99</f>
        <v>4233</v>
      </c>
      <c r="AA1175" s="69">
        <f>Datasheet!AA99</f>
        <v>8170</v>
      </c>
      <c r="AB1175" s="69">
        <f>Datasheet!AB99</f>
        <v>3300</v>
      </c>
      <c r="AC1175" s="69">
        <f>Datasheet!AC99</f>
        <v>3296</v>
      </c>
      <c r="AD1175" s="69">
        <f>Datasheet!AD99</f>
        <v>0</v>
      </c>
      <c r="AE1175" s="69">
        <f>Datasheet!AE99</f>
        <v>0</v>
      </c>
      <c r="AF1175" s="69">
        <f>Datasheet!AF99</f>
        <v>0</v>
      </c>
      <c r="AG1175" s="69">
        <f>Datasheet!AG99</f>
        <v>0</v>
      </c>
      <c r="AH1175" s="69">
        <f>Datasheet!AH99</f>
        <v>0</v>
      </c>
      <c r="AI1175" s="69">
        <f>Datasheet!AI99</f>
        <v>0</v>
      </c>
      <c r="AJ1175" s="69">
        <f>Datasheet!AJ99</f>
        <v>0</v>
      </c>
      <c r="AK1175" s="69">
        <f>Datasheet!AK99</f>
        <v>0</v>
      </c>
    </row>
    <row r="1176" spans="2:37" x14ac:dyDescent="0.25">
      <c r="B1176" s="92"/>
      <c r="C1176" s="91"/>
      <c r="D1176" s="91"/>
      <c r="E1176" s="4"/>
      <c r="F1176" s="4" t="s">
        <v>1360</v>
      </c>
      <c r="G1176" s="91"/>
      <c r="H1176" s="4" t="s">
        <v>32</v>
      </c>
      <c r="I1176" s="69"/>
      <c r="J1176" s="69"/>
      <c r="K1176" s="69"/>
      <c r="L1176" s="69"/>
      <c r="M1176" s="69"/>
      <c r="N1176" s="69"/>
      <c r="O1176" s="69"/>
      <c r="P1176" s="69"/>
      <c r="Q1176" s="69"/>
      <c r="R1176" s="69">
        <f t="shared" ref="R1176:AK1176" si="187">SUM(I1175:R1175)</f>
        <v>144061</v>
      </c>
      <c r="S1176" s="69">
        <f t="shared" si="187"/>
        <v>143805</v>
      </c>
      <c r="T1176" s="69">
        <f t="shared" si="187"/>
        <v>156326</v>
      </c>
      <c r="U1176" s="69">
        <f t="shared" si="187"/>
        <v>157762</v>
      </c>
      <c r="V1176" s="69">
        <f t="shared" si="187"/>
        <v>154299</v>
      </c>
      <c r="W1176" s="69">
        <f t="shared" si="187"/>
        <v>144722</v>
      </c>
      <c r="X1176" s="69">
        <f t="shared" si="187"/>
        <v>108868</v>
      </c>
      <c r="Y1176" s="69">
        <f t="shared" si="187"/>
        <v>86772</v>
      </c>
      <c r="Z1176" s="69">
        <f t="shared" si="187"/>
        <v>32555</v>
      </c>
      <c r="AA1176" s="69">
        <f t="shared" si="187"/>
        <v>38091</v>
      </c>
      <c r="AB1176" s="69">
        <f t="shared" si="187"/>
        <v>41391</v>
      </c>
      <c r="AC1176" s="69">
        <f t="shared" si="187"/>
        <v>44687</v>
      </c>
      <c r="AD1176" s="69">
        <f t="shared" si="187"/>
        <v>21648</v>
      </c>
      <c r="AE1176" s="69">
        <f t="shared" si="187"/>
        <v>20212</v>
      </c>
      <c r="AF1176" s="69">
        <f t="shared" si="187"/>
        <v>19408</v>
      </c>
      <c r="AG1176" s="69">
        <f t="shared" si="187"/>
        <v>17629</v>
      </c>
      <c r="AH1176" s="69">
        <f t="shared" si="187"/>
        <v>14506</v>
      </c>
      <c r="AI1176" s="69">
        <f t="shared" si="187"/>
        <v>18999</v>
      </c>
      <c r="AJ1176" s="69">
        <f t="shared" si="187"/>
        <v>14766</v>
      </c>
      <c r="AK1176" s="69">
        <f t="shared" si="187"/>
        <v>6596</v>
      </c>
    </row>
    <row r="1177" spans="2:37" x14ac:dyDescent="0.25">
      <c r="B1177" s="92"/>
      <c r="C1177" s="91"/>
      <c r="D1177" s="91"/>
      <c r="E1177" s="4"/>
      <c r="F1177" s="4" t="s">
        <v>1361</v>
      </c>
      <c r="G1177" s="91"/>
      <c r="H1177" s="4" t="s">
        <v>32</v>
      </c>
      <c r="I1177" s="69"/>
      <c r="J1177" s="69"/>
      <c r="K1177" s="69"/>
      <c r="L1177" s="69"/>
      <c r="M1177" s="69"/>
      <c r="N1177" s="69"/>
      <c r="O1177" s="69"/>
      <c r="P1177" s="69"/>
      <c r="Q1177" s="69"/>
      <c r="R1177" s="69"/>
      <c r="S1177" s="69"/>
      <c r="T1177" s="69">
        <f>SUM($T1175:T1175)</f>
        <v>23039</v>
      </c>
      <c r="U1177" s="69">
        <f>SUM($T1175:U1175)</f>
        <v>24475</v>
      </c>
      <c r="V1177" s="69">
        <f>SUM($T1175:V1175)</f>
        <v>25279</v>
      </c>
      <c r="W1177" s="69">
        <f>SUM($T1175:W1175)</f>
        <v>27058</v>
      </c>
      <c r="X1177" s="69">
        <f>SUM($T1175:X1175)</f>
        <v>30181</v>
      </c>
      <c r="Y1177" s="69">
        <f>SUM($T1175:Y1175)</f>
        <v>25688</v>
      </c>
      <c r="Z1177" s="69">
        <f>SUM($T1175:Z1175)</f>
        <v>29921</v>
      </c>
      <c r="AA1177" s="69">
        <f>SUM($T1175:AA1175)</f>
        <v>38091</v>
      </c>
      <c r="AB1177" s="69">
        <f>SUM($T1175:AB1175)</f>
        <v>41391</v>
      </c>
      <c r="AC1177" s="69">
        <f>SUM($T1175:AC1175)</f>
        <v>44687</v>
      </c>
      <c r="AD1177" s="69">
        <f>SUM($T1175:AD1175)</f>
        <v>44687</v>
      </c>
      <c r="AE1177" s="69">
        <f>SUM($T1175:AE1175)</f>
        <v>44687</v>
      </c>
      <c r="AF1177" s="69">
        <f>SUM($T1175:AF1175)</f>
        <v>44687</v>
      </c>
      <c r="AG1177" s="69">
        <f>SUM($T1175:AG1175)</f>
        <v>44687</v>
      </c>
      <c r="AH1177" s="69">
        <f>SUM($T1175:AH1175)</f>
        <v>44687</v>
      </c>
      <c r="AI1177" s="69">
        <f>SUM($T1175:AI1175)</f>
        <v>44687</v>
      </c>
      <c r="AJ1177" s="69">
        <f>SUM($T1175:AJ1175)</f>
        <v>44687</v>
      </c>
      <c r="AK1177" s="69">
        <f>SUM($T1175:AK1175)</f>
        <v>44687</v>
      </c>
    </row>
    <row r="1178" spans="2:37" x14ac:dyDescent="0.25">
      <c r="B1178" s="92"/>
      <c r="C1178" s="91"/>
      <c r="D1178" s="91"/>
      <c r="E1178" s="4"/>
      <c r="F1178" s="4" t="s">
        <v>1362</v>
      </c>
      <c r="G1178" s="91"/>
      <c r="H1178" s="4" t="s">
        <v>32</v>
      </c>
      <c r="I1178" s="69"/>
      <c r="J1178" s="69"/>
      <c r="K1178" s="69"/>
      <c r="L1178" s="69"/>
      <c r="M1178" s="69"/>
      <c r="N1178" s="69"/>
      <c r="O1178" s="69"/>
      <c r="P1178" s="69"/>
      <c r="Q1178" s="69"/>
      <c r="R1178" s="69"/>
      <c r="S1178" s="69"/>
      <c r="T1178" s="69"/>
      <c r="U1178" s="69"/>
      <c r="V1178" s="69"/>
      <c r="W1178" s="69"/>
      <c r="X1178" s="69"/>
      <c r="Y1178" s="69"/>
      <c r="Z1178" s="69"/>
      <c r="AA1178" s="69"/>
      <c r="AB1178" s="69">
        <f>SUM($AB1175:AB1175)</f>
        <v>3300</v>
      </c>
      <c r="AC1178" s="69">
        <f>SUM($AB1175:AC1175)</f>
        <v>6596</v>
      </c>
      <c r="AD1178" s="69">
        <f>SUM($AB1175:AD1175)</f>
        <v>6596</v>
      </c>
      <c r="AE1178" s="69">
        <f>SUM($AB1175:AE1175)</f>
        <v>6596</v>
      </c>
      <c r="AF1178" s="69">
        <f>SUM($AB1175:AF1175)</f>
        <v>6596</v>
      </c>
      <c r="AG1178" s="69">
        <f>SUM($AB1175:AG1175)</f>
        <v>6596</v>
      </c>
      <c r="AH1178" s="69">
        <f>SUM($AB1175:AH1175)</f>
        <v>6596</v>
      </c>
      <c r="AI1178" s="69">
        <f>SUM($AB1175:AI1175)</f>
        <v>6596</v>
      </c>
      <c r="AJ1178" s="69">
        <f>SUM($AB1175:AJ1175)</f>
        <v>6596</v>
      </c>
      <c r="AK1178" s="69">
        <f>SUM($AB1175:AK1175)</f>
        <v>6596</v>
      </c>
    </row>
    <row r="1179" spans="2:37" x14ac:dyDescent="0.25">
      <c r="B1179" s="92"/>
      <c r="C1179" s="91"/>
      <c r="D1179" s="91"/>
      <c r="E1179" s="4" t="s">
        <v>65</v>
      </c>
      <c r="F1179" s="4"/>
      <c r="G1179" s="91"/>
      <c r="H1179" s="91"/>
      <c r="I1179" s="69"/>
      <c r="J1179" s="69"/>
      <c r="K1179" s="69"/>
      <c r="L1179" s="69"/>
      <c r="M1179" s="69"/>
      <c r="N1179" s="69"/>
      <c r="O1179" s="69"/>
      <c r="P1179" s="69"/>
      <c r="Q1179" s="69"/>
      <c r="R1179" s="69"/>
      <c r="S1179" s="69"/>
      <c r="T1179" s="69"/>
      <c r="U1179" s="69"/>
      <c r="V1179" s="69"/>
      <c r="W1179" s="69"/>
      <c r="X1179" s="69"/>
      <c r="Y1179" s="69"/>
      <c r="Z1179" s="69"/>
      <c r="AA1179" s="69"/>
      <c r="AB1179" s="69"/>
      <c r="AC1179" s="69"/>
      <c r="AD1179" s="69"/>
      <c r="AE1179" s="69"/>
      <c r="AF1179" s="69"/>
      <c r="AG1179" s="69"/>
      <c r="AH1179" s="69"/>
      <c r="AI1179" s="69"/>
      <c r="AJ1179" s="69"/>
      <c r="AK1179" s="69"/>
    </row>
    <row r="1180" spans="2:37" x14ac:dyDescent="0.25">
      <c r="B1180" s="92"/>
      <c r="C1180" s="91"/>
      <c r="D1180" s="91"/>
      <c r="E1180" s="4"/>
      <c r="F1180" s="4" t="s">
        <v>1359</v>
      </c>
      <c r="G1180" s="91"/>
      <c r="H1180" s="4" t="s">
        <v>32</v>
      </c>
      <c r="I1180" s="69">
        <f>Datasheet!I100</f>
        <v>1312</v>
      </c>
      <c r="J1180" s="69">
        <f>Datasheet!J100</f>
        <v>5326</v>
      </c>
      <c r="K1180" s="69">
        <f>Datasheet!K100</f>
        <v>7988</v>
      </c>
      <c r="L1180" s="69">
        <f>Datasheet!L100</f>
        <v>0</v>
      </c>
      <c r="M1180" s="69">
        <f>Datasheet!M100</f>
        <v>4159</v>
      </c>
      <c r="N1180" s="69">
        <f>Datasheet!N100</f>
        <v>4679</v>
      </c>
      <c r="O1180" s="69">
        <f>Datasheet!O100</f>
        <v>0</v>
      </c>
      <c r="P1180" s="69">
        <f>Datasheet!P100</f>
        <v>6164</v>
      </c>
      <c r="Q1180" s="69">
        <f>Datasheet!Q100</f>
        <v>3813</v>
      </c>
      <c r="R1180" s="69">
        <f>Datasheet!R100</f>
        <v>4739</v>
      </c>
      <c r="S1180" s="69">
        <f>Datasheet!S100</f>
        <v>0</v>
      </c>
      <c r="T1180" s="69">
        <f>Datasheet!T100</f>
        <v>2003</v>
      </c>
      <c r="U1180" s="69">
        <f>Datasheet!U100</f>
        <v>3031</v>
      </c>
      <c r="V1180" s="69">
        <f>Datasheet!V100</f>
        <v>0</v>
      </c>
      <c r="W1180" s="69">
        <f>Datasheet!W100</f>
        <v>4199</v>
      </c>
      <c r="X1180" s="69">
        <f>Datasheet!X100</f>
        <v>15908</v>
      </c>
      <c r="Y1180" s="69">
        <f>Datasheet!Y100</f>
        <v>16243</v>
      </c>
      <c r="Z1180" s="69">
        <f>Datasheet!Z100</f>
        <v>-3653</v>
      </c>
      <c r="AA1180" s="69">
        <f>Datasheet!AA100</f>
        <v>670</v>
      </c>
      <c r="AB1180" s="69">
        <f>Datasheet!AB100</f>
        <v>-3058</v>
      </c>
      <c r="AC1180" s="69">
        <f>Datasheet!AC100</f>
        <v>-2124</v>
      </c>
      <c r="AD1180" s="69">
        <f>Datasheet!AD100</f>
        <v>0</v>
      </c>
      <c r="AE1180" s="69">
        <f>Datasheet!AE100</f>
        <v>0</v>
      </c>
      <c r="AF1180" s="69">
        <f>Datasheet!AF100</f>
        <v>0</v>
      </c>
      <c r="AG1180" s="69">
        <f>Datasheet!AG100</f>
        <v>0</v>
      </c>
      <c r="AH1180" s="69">
        <f>Datasheet!AH100</f>
        <v>0</v>
      </c>
      <c r="AI1180" s="69">
        <f>Datasheet!AI100</f>
        <v>0</v>
      </c>
      <c r="AJ1180" s="69">
        <f>Datasheet!AJ100</f>
        <v>0</v>
      </c>
      <c r="AK1180" s="69">
        <f>Datasheet!AK100</f>
        <v>0</v>
      </c>
    </row>
    <row r="1181" spans="2:37" x14ac:dyDescent="0.25">
      <c r="B1181" s="92"/>
      <c r="C1181" s="91"/>
      <c r="D1181" s="91"/>
      <c r="E1181" s="4"/>
      <c r="F1181" s="4" t="s">
        <v>1360</v>
      </c>
      <c r="G1181" s="91"/>
      <c r="H1181" s="4" t="s">
        <v>32</v>
      </c>
      <c r="I1181" s="69"/>
      <c r="J1181" s="69"/>
      <c r="K1181" s="69"/>
      <c r="L1181" s="69"/>
      <c r="M1181" s="69"/>
      <c r="N1181" s="69"/>
      <c r="O1181" s="69"/>
      <c r="P1181" s="69"/>
      <c r="Q1181" s="69"/>
      <c r="R1181" s="69">
        <f t="shared" ref="R1181:AK1181" si="188">SUM(I1180:R1180)</f>
        <v>38180</v>
      </c>
      <c r="S1181" s="69">
        <f t="shared" si="188"/>
        <v>36868</v>
      </c>
      <c r="T1181" s="69">
        <f t="shared" si="188"/>
        <v>33545</v>
      </c>
      <c r="U1181" s="69">
        <f t="shared" si="188"/>
        <v>28588</v>
      </c>
      <c r="V1181" s="69">
        <f t="shared" si="188"/>
        <v>28588</v>
      </c>
      <c r="W1181" s="69">
        <f t="shared" si="188"/>
        <v>28628</v>
      </c>
      <c r="X1181" s="69">
        <f t="shared" si="188"/>
        <v>39857</v>
      </c>
      <c r="Y1181" s="69">
        <f t="shared" si="188"/>
        <v>56100</v>
      </c>
      <c r="Z1181" s="69">
        <f t="shared" si="188"/>
        <v>46283</v>
      </c>
      <c r="AA1181" s="69">
        <f t="shared" si="188"/>
        <v>43140</v>
      </c>
      <c r="AB1181" s="69">
        <f t="shared" si="188"/>
        <v>35343</v>
      </c>
      <c r="AC1181" s="69">
        <f t="shared" si="188"/>
        <v>33219</v>
      </c>
      <c r="AD1181" s="69">
        <f t="shared" si="188"/>
        <v>31216</v>
      </c>
      <c r="AE1181" s="69">
        <f t="shared" si="188"/>
        <v>28185</v>
      </c>
      <c r="AF1181" s="69">
        <f t="shared" si="188"/>
        <v>28185</v>
      </c>
      <c r="AG1181" s="69">
        <f t="shared" si="188"/>
        <v>23986</v>
      </c>
      <c r="AH1181" s="69">
        <f t="shared" si="188"/>
        <v>8078</v>
      </c>
      <c r="AI1181" s="69">
        <f t="shared" si="188"/>
        <v>-8165</v>
      </c>
      <c r="AJ1181" s="69">
        <f t="shared" si="188"/>
        <v>-4512</v>
      </c>
      <c r="AK1181" s="69">
        <f t="shared" si="188"/>
        <v>-5182</v>
      </c>
    </row>
    <row r="1182" spans="2:37" x14ac:dyDescent="0.25">
      <c r="B1182" s="92"/>
      <c r="C1182" s="91"/>
      <c r="D1182" s="91"/>
      <c r="E1182" s="4"/>
      <c r="F1182" s="4" t="s">
        <v>1361</v>
      </c>
      <c r="G1182" s="91"/>
      <c r="H1182" s="4" t="s">
        <v>32</v>
      </c>
      <c r="I1182" s="69"/>
      <c r="J1182" s="69"/>
      <c r="K1182" s="69"/>
      <c r="L1182" s="69"/>
      <c r="M1182" s="69"/>
      <c r="N1182" s="69"/>
      <c r="O1182" s="69"/>
      <c r="P1182" s="69"/>
      <c r="Q1182" s="69"/>
      <c r="R1182" s="69"/>
      <c r="S1182" s="69"/>
      <c r="T1182" s="69">
        <f>SUM($T1180:T1180)</f>
        <v>2003</v>
      </c>
      <c r="U1182" s="69">
        <f>SUM($T1180:U1180)</f>
        <v>5034</v>
      </c>
      <c r="V1182" s="69">
        <f>SUM($T1180:V1180)</f>
        <v>5034</v>
      </c>
      <c r="W1182" s="69">
        <f>SUM($T1180:W1180)</f>
        <v>9233</v>
      </c>
      <c r="X1182" s="69">
        <f>SUM($T1180:X1180)</f>
        <v>25141</v>
      </c>
      <c r="Y1182" s="69">
        <f>SUM($T1180:Y1180)</f>
        <v>41384</v>
      </c>
      <c r="Z1182" s="69">
        <f>SUM($T1180:Z1180)</f>
        <v>37731</v>
      </c>
      <c r="AA1182" s="69">
        <f>SUM($T1180:AA1180)</f>
        <v>38401</v>
      </c>
      <c r="AB1182" s="69">
        <f>SUM($T1180:AB1180)</f>
        <v>35343</v>
      </c>
      <c r="AC1182" s="69">
        <f>SUM($T1180:AC1180)</f>
        <v>33219</v>
      </c>
      <c r="AD1182" s="69">
        <f>SUM($T1180:AD1180)</f>
        <v>33219</v>
      </c>
      <c r="AE1182" s="69">
        <f>SUM($T1180:AE1180)</f>
        <v>33219</v>
      </c>
      <c r="AF1182" s="69">
        <f>SUM($T1180:AF1180)</f>
        <v>33219</v>
      </c>
      <c r="AG1182" s="69">
        <f>SUM($T1180:AG1180)</f>
        <v>33219</v>
      </c>
      <c r="AH1182" s="69">
        <f>SUM($T1180:AH1180)</f>
        <v>33219</v>
      </c>
      <c r="AI1182" s="69">
        <f>SUM($T1180:AI1180)</f>
        <v>33219</v>
      </c>
      <c r="AJ1182" s="69">
        <f>SUM($T1180:AJ1180)</f>
        <v>33219</v>
      </c>
      <c r="AK1182" s="69">
        <f>SUM($T1180:AK1180)</f>
        <v>33219</v>
      </c>
    </row>
    <row r="1183" spans="2:37" x14ac:dyDescent="0.25">
      <c r="B1183" s="92"/>
      <c r="C1183" s="91"/>
      <c r="D1183" s="91"/>
      <c r="E1183" s="4"/>
      <c r="F1183" s="4" t="s">
        <v>1362</v>
      </c>
      <c r="G1183" s="91"/>
      <c r="H1183" s="4" t="s">
        <v>32</v>
      </c>
      <c r="I1183" s="69"/>
      <c r="J1183" s="69"/>
      <c r="K1183" s="69"/>
      <c r="L1183" s="69"/>
      <c r="M1183" s="69"/>
      <c r="N1183" s="69"/>
      <c r="O1183" s="69"/>
      <c r="P1183" s="69"/>
      <c r="Q1183" s="69"/>
      <c r="R1183" s="69"/>
      <c r="S1183" s="69"/>
      <c r="T1183" s="69"/>
      <c r="U1183" s="69"/>
      <c r="V1183" s="69"/>
      <c r="W1183" s="69"/>
      <c r="X1183" s="69"/>
      <c r="Y1183" s="69"/>
      <c r="Z1183" s="69"/>
      <c r="AA1183" s="69"/>
      <c r="AB1183" s="69">
        <f>SUM($AB1180:AB1180)</f>
        <v>-3058</v>
      </c>
      <c r="AC1183" s="69">
        <f>SUM($AB1180:AC1180)</f>
        <v>-5182</v>
      </c>
      <c r="AD1183" s="69">
        <f>SUM($AB1180:AD1180)</f>
        <v>-5182</v>
      </c>
      <c r="AE1183" s="69">
        <f>SUM($AB1180:AE1180)</f>
        <v>-5182</v>
      </c>
      <c r="AF1183" s="69">
        <f>SUM($AB1180:AF1180)</f>
        <v>-5182</v>
      </c>
      <c r="AG1183" s="69">
        <f>SUM($AB1180:AG1180)</f>
        <v>-5182</v>
      </c>
      <c r="AH1183" s="69">
        <f>SUM($AB1180:AH1180)</f>
        <v>-5182</v>
      </c>
      <c r="AI1183" s="69">
        <f>SUM($AB1180:AI1180)</f>
        <v>-5182</v>
      </c>
      <c r="AJ1183" s="69">
        <f>SUM($AB1180:AJ1180)</f>
        <v>-5182</v>
      </c>
      <c r="AK1183" s="69">
        <f>SUM($AB1180:AK1180)</f>
        <v>-5182</v>
      </c>
    </row>
    <row r="1184" spans="2:37" x14ac:dyDescent="0.25">
      <c r="B1184" s="92"/>
      <c r="C1184" s="91"/>
      <c r="D1184" s="91"/>
      <c r="E1184" s="4" t="s">
        <v>66</v>
      </c>
      <c r="F1184" s="4"/>
      <c r="G1184" s="91"/>
      <c r="H1184" s="91"/>
      <c r="I1184" s="69"/>
      <c r="J1184" s="69"/>
      <c r="K1184" s="69"/>
      <c r="L1184" s="69"/>
      <c r="M1184" s="69"/>
      <c r="N1184" s="69"/>
      <c r="O1184" s="69"/>
      <c r="P1184" s="69"/>
      <c r="Q1184" s="69"/>
      <c r="R1184" s="69"/>
      <c r="S1184" s="69"/>
      <c r="T1184" s="69"/>
      <c r="U1184" s="69"/>
      <c r="V1184" s="69"/>
      <c r="W1184" s="69"/>
      <c r="X1184" s="69"/>
      <c r="Y1184" s="69"/>
      <c r="Z1184" s="69"/>
      <c r="AA1184" s="69"/>
      <c r="AB1184" s="69"/>
      <c r="AC1184" s="69"/>
      <c r="AD1184" s="69"/>
      <c r="AE1184" s="69"/>
      <c r="AF1184" s="69"/>
      <c r="AG1184" s="69"/>
      <c r="AH1184" s="69"/>
      <c r="AI1184" s="69"/>
      <c r="AJ1184" s="69"/>
      <c r="AK1184" s="69"/>
    </row>
    <row r="1185" spans="2:37" x14ac:dyDescent="0.25">
      <c r="B1185" s="92"/>
      <c r="C1185" s="91"/>
      <c r="D1185" s="91"/>
      <c r="E1185" s="4"/>
      <c r="F1185" s="4" t="s">
        <v>1359</v>
      </c>
      <c r="G1185" s="91"/>
      <c r="H1185" s="4" t="s">
        <v>32</v>
      </c>
      <c r="I1185" s="69">
        <f>Datasheet!I101</f>
        <v>16528</v>
      </c>
      <c r="J1185" s="69">
        <f>Datasheet!J101</f>
        <v>27703</v>
      </c>
      <c r="K1185" s="69">
        <f>Datasheet!K101</f>
        <v>26295</v>
      </c>
      <c r="L1185" s="69">
        <f>Datasheet!L101</f>
        <v>11492</v>
      </c>
      <c r="M1185" s="69">
        <f>Datasheet!M101</f>
        <v>45948</v>
      </c>
      <c r="N1185" s="69">
        <f>Datasheet!N101</f>
        <v>50626</v>
      </c>
      <c r="O1185" s="69">
        <f>Datasheet!O101</f>
        <v>30466</v>
      </c>
      <c r="P1185" s="69">
        <f>Datasheet!P101</f>
        <v>77395</v>
      </c>
      <c r="Q1185" s="69">
        <f>Datasheet!Q101</f>
        <v>18906</v>
      </c>
      <c r="R1185" s="69">
        <f>Datasheet!R101</f>
        <v>-1268</v>
      </c>
      <c r="S1185" s="69">
        <f>Datasheet!S101</f>
        <v>13606</v>
      </c>
      <c r="T1185" s="69">
        <f>Datasheet!T101</f>
        <v>3539</v>
      </c>
      <c r="U1185" s="69">
        <f>Datasheet!U101</f>
        <v>-524</v>
      </c>
      <c r="V1185" s="69">
        <f>Datasheet!V101</f>
        <v>3900</v>
      </c>
      <c r="W1185" s="69">
        <f>Datasheet!W101</f>
        <v>-3359</v>
      </c>
      <c r="X1185" s="69">
        <f>Datasheet!X101</f>
        <v>12662</v>
      </c>
      <c r="Y1185" s="69">
        <f>Datasheet!Y101</f>
        <v>10644</v>
      </c>
      <c r="Z1185" s="69">
        <f>Datasheet!Z101</f>
        <v>22989</v>
      </c>
      <c r="AA1185" s="69">
        <f>Datasheet!AA101</f>
        <v>3226</v>
      </c>
      <c r="AB1185" s="69">
        <f>Datasheet!AB101</f>
        <v>-1026</v>
      </c>
      <c r="AC1185" s="69">
        <f>Datasheet!AC101</f>
        <v>-7827</v>
      </c>
      <c r="AD1185" s="69">
        <f>Datasheet!AD101</f>
        <v>0</v>
      </c>
      <c r="AE1185" s="69">
        <f>Datasheet!AE101</f>
        <v>0</v>
      </c>
      <c r="AF1185" s="69">
        <f>Datasheet!AF101</f>
        <v>0</v>
      </c>
      <c r="AG1185" s="69">
        <f>Datasheet!AG101</f>
        <v>0</v>
      </c>
      <c r="AH1185" s="69">
        <f>Datasheet!AH101</f>
        <v>0</v>
      </c>
      <c r="AI1185" s="69">
        <f>Datasheet!AI101</f>
        <v>0</v>
      </c>
      <c r="AJ1185" s="69">
        <f>Datasheet!AJ101</f>
        <v>0</v>
      </c>
      <c r="AK1185" s="69">
        <f>Datasheet!AK101</f>
        <v>0</v>
      </c>
    </row>
    <row r="1186" spans="2:37" x14ac:dyDescent="0.25">
      <c r="B1186" s="92"/>
      <c r="C1186" s="91"/>
      <c r="D1186" s="91"/>
      <c r="E1186" s="4"/>
      <c r="F1186" s="4" t="s">
        <v>1360</v>
      </c>
      <c r="G1186" s="91"/>
      <c r="H1186" s="4" t="s">
        <v>32</v>
      </c>
      <c r="I1186" s="69"/>
      <c r="J1186" s="69"/>
      <c r="K1186" s="69"/>
      <c r="L1186" s="69"/>
      <c r="M1186" s="69"/>
      <c r="N1186" s="69"/>
      <c r="O1186" s="69"/>
      <c r="P1186" s="69"/>
      <c r="Q1186" s="69"/>
      <c r="R1186" s="69">
        <f t="shared" ref="R1186:AK1186" si="189">SUM(I1185:R1185)</f>
        <v>304091</v>
      </c>
      <c r="S1186" s="69">
        <f t="shared" si="189"/>
        <v>301169</v>
      </c>
      <c r="T1186" s="69">
        <f t="shared" si="189"/>
        <v>277005</v>
      </c>
      <c r="U1186" s="69">
        <f t="shared" si="189"/>
        <v>250186</v>
      </c>
      <c r="V1186" s="69">
        <f t="shared" si="189"/>
        <v>242594</v>
      </c>
      <c r="W1186" s="69">
        <f t="shared" si="189"/>
        <v>193287</v>
      </c>
      <c r="X1186" s="69">
        <f t="shared" si="189"/>
        <v>155323</v>
      </c>
      <c r="Y1186" s="69">
        <f t="shared" si="189"/>
        <v>135501</v>
      </c>
      <c r="Z1186" s="69">
        <f t="shared" si="189"/>
        <v>81095</v>
      </c>
      <c r="AA1186" s="69">
        <f t="shared" si="189"/>
        <v>65415</v>
      </c>
      <c r="AB1186" s="69">
        <f t="shared" si="189"/>
        <v>65657</v>
      </c>
      <c r="AC1186" s="69">
        <f t="shared" si="189"/>
        <v>44224</v>
      </c>
      <c r="AD1186" s="69">
        <f t="shared" si="189"/>
        <v>40685</v>
      </c>
      <c r="AE1186" s="69">
        <f t="shared" si="189"/>
        <v>41209</v>
      </c>
      <c r="AF1186" s="69">
        <f t="shared" si="189"/>
        <v>37309</v>
      </c>
      <c r="AG1186" s="69">
        <f t="shared" si="189"/>
        <v>40668</v>
      </c>
      <c r="AH1186" s="69">
        <f t="shared" si="189"/>
        <v>28006</v>
      </c>
      <c r="AI1186" s="69">
        <f t="shared" si="189"/>
        <v>17362</v>
      </c>
      <c r="AJ1186" s="69">
        <f t="shared" si="189"/>
        <v>-5627</v>
      </c>
      <c r="AK1186" s="69">
        <f t="shared" si="189"/>
        <v>-8853</v>
      </c>
    </row>
    <row r="1187" spans="2:37" x14ac:dyDescent="0.25">
      <c r="B1187" s="92"/>
      <c r="C1187" s="91"/>
      <c r="D1187" s="91"/>
      <c r="E1187" s="4"/>
      <c r="F1187" s="4" t="s">
        <v>1361</v>
      </c>
      <c r="G1187" s="91"/>
      <c r="H1187" s="4" t="s">
        <v>32</v>
      </c>
      <c r="I1187" s="69"/>
      <c r="J1187" s="69"/>
      <c r="K1187" s="69"/>
      <c r="L1187" s="69"/>
      <c r="M1187" s="69"/>
      <c r="N1187" s="69"/>
      <c r="O1187" s="69"/>
      <c r="P1187" s="69"/>
      <c r="Q1187" s="69"/>
      <c r="R1187" s="69"/>
      <c r="S1187" s="69"/>
      <c r="T1187" s="69">
        <f>SUM($T1185:T1185)</f>
        <v>3539</v>
      </c>
      <c r="U1187" s="69">
        <f>SUM($T1185:U1185)</f>
        <v>3015</v>
      </c>
      <c r="V1187" s="69">
        <f>SUM($T1185:V1185)</f>
        <v>6915</v>
      </c>
      <c r="W1187" s="69">
        <f>SUM($T1185:W1185)</f>
        <v>3556</v>
      </c>
      <c r="X1187" s="69">
        <f>SUM($T1185:X1185)</f>
        <v>16218</v>
      </c>
      <c r="Y1187" s="69">
        <f>SUM($T1185:Y1185)</f>
        <v>26862</v>
      </c>
      <c r="Z1187" s="69">
        <f>SUM($T1185:Z1185)</f>
        <v>49851</v>
      </c>
      <c r="AA1187" s="69">
        <f>SUM($T1185:AA1185)</f>
        <v>53077</v>
      </c>
      <c r="AB1187" s="69">
        <f>SUM($T1185:AB1185)</f>
        <v>52051</v>
      </c>
      <c r="AC1187" s="69">
        <f>SUM($T1185:AC1185)</f>
        <v>44224</v>
      </c>
      <c r="AD1187" s="69">
        <f>SUM($T1185:AD1185)</f>
        <v>44224</v>
      </c>
      <c r="AE1187" s="69">
        <f>SUM($T1185:AE1185)</f>
        <v>44224</v>
      </c>
      <c r="AF1187" s="69">
        <f>SUM($T1185:AF1185)</f>
        <v>44224</v>
      </c>
      <c r="AG1187" s="69">
        <f>SUM($T1185:AG1185)</f>
        <v>44224</v>
      </c>
      <c r="AH1187" s="69">
        <f>SUM($T1185:AH1185)</f>
        <v>44224</v>
      </c>
      <c r="AI1187" s="69">
        <f>SUM($T1185:AI1185)</f>
        <v>44224</v>
      </c>
      <c r="AJ1187" s="69">
        <f>SUM($T1185:AJ1185)</f>
        <v>44224</v>
      </c>
      <c r="AK1187" s="69">
        <f>SUM($T1185:AK1185)</f>
        <v>44224</v>
      </c>
    </row>
    <row r="1188" spans="2:37" x14ac:dyDescent="0.25">
      <c r="B1188" s="92"/>
      <c r="C1188" s="91"/>
      <c r="D1188" s="91"/>
      <c r="E1188" s="4"/>
      <c r="F1188" s="4" t="s">
        <v>1362</v>
      </c>
      <c r="G1188" s="91"/>
      <c r="H1188" s="4" t="s">
        <v>32</v>
      </c>
      <c r="I1188" s="69"/>
      <c r="J1188" s="69"/>
      <c r="K1188" s="69"/>
      <c r="L1188" s="69"/>
      <c r="M1188" s="69"/>
      <c r="N1188" s="69"/>
      <c r="O1188" s="69"/>
      <c r="P1188" s="69"/>
      <c r="Q1188" s="69"/>
      <c r="R1188" s="69"/>
      <c r="S1188" s="69"/>
      <c r="T1188" s="69"/>
      <c r="U1188" s="69"/>
      <c r="V1188" s="69"/>
      <c r="W1188" s="69"/>
      <c r="X1188" s="69"/>
      <c r="Y1188" s="69"/>
      <c r="Z1188" s="69"/>
      <c r="AA1188" s="69"/>
      <c r="AB1188" s="69">
        <f>SUM($AB1185:AB1185)</f>
        <v>-1026</v>
      </c>
      <c r="AC1188" s="69">
        <f>SUM($AB1185:AC1185)</f>
        <v>-8853</v>
      </c>
      <c r="AD1188" s="69">
        <f>SUM($AB1185:AD1185)</f>
        <v>-8853</v>
      </c>
      <c r="AE1188" s="69">
        <f>SUM($AB1185:AE1185)</f>
        <v>-8853</v>
      </c>
      <c r="AF1188" s="69">
        <f>SUM($AB1185:AF1185)</f>
        <v>-8853</v>
      </c>
      <c r="AG1188" s="69">
        <f>SUM($AB1185:AG1185)</f>
        <v>-8853</v>
      </c>
      <c r="AH1188" s="69">
        <f>SUM($AB1185:AH1185)</f>
        <v>-8853</v>
      </c>
      <c r="AI1188" s="69">
        <f>SUM($AB1185:AI1185)</f>
        <v>-8853</v>
      </c>
      <c r="AJ1188" s="69">
        <f>SUM($AB1185:AJ1185)</f>
        <v>-8853</v>
      </c>
      <c r="AK1188" s="69">
        <f>SUM($AB1185:AK1185)</f>
        <v>-8853</v>
      </c>
    </row>
    <row r="1189" spans="2:37" x14ac:dyDescent="0.25">
      <c r="B1189" s="92"/>
      <c r="C1189" s="91"/>
      <c r="D1189" s="91"/>
      <c r="E1189" s="4" t="s">
        <v>67</v>
      </c>
      <c r="F1189" s="4"/>
      <c r="G1189" s="91"/>
      <c r="H1189" s="91"/>
      <c r="I1189" s="69"/>
      <c r="J1189" s="69"/>
      <c r="K1189" s="69"/>
      <c r="L1189" s="69"/>
      <c r="M1189" s="69"/>
      <c r="N1189" s="69"/>
      <c r="O1189" s="69"/>
      <c r="P1189" s="69"/>
      <c r="Q1189" s="69"/>
      <c r="R1189" s="69"/>
      <c r="S1189" s="69"/>
      <c r="T1189" s="69"/>
      <c r="U1189" s="69"/>
      <c r="V1189" s="69"/>
      <c r="W1189" s="69"/>
      <c r="X1189" s="69"/>
      <c r="Y1189" s="69"/>
      <c r="Z1189" s="69"/>
      <c r="AA1189" s="69"/>
      <c r="AB1189" s="69"/>
      <c r="AC1189" s="69"/>
      <c r="AD1189" s="69"/>
      <c r="AE1189" s="69"/>
      <c r="AF1189" s="69"/>
      <c r="AG1189" s="69"/>
      <c r="AH1189" s="69"/>
      <c r="AI1189" s="69"/>
      <c r="AJ1189" s="69"/>
      <c r="AK1189" s="69"/>
    </row>
    <row r="1190" spans="2:37" x14ac:dyDescent="0.25">
      <c r="B1190" s="92"/>
      <c r="C1190" s="91"/>
      <c r="D1190" s="91"/>
      <c r="E1190" s="4"/>
      <c r="F1190" s="4" t="s">
        <v>1359</v>
      </c>
      <c r="G1190" s="91"/>
      <c r="H1190" s="4" t="s">
        <v>32</v>
      </c>
      <c r="I1190" s="69">
        <f>Datasheet!I102</f>
        <v>10730</v>
      </c>
      <c r="J1190" s="69">
        <f>Datasheet!J102</f>
        <v>21103</v>
      </c>
      <c r="K1190" s="69">
        <f>Datasheet!K102</f>
        <v>10252</v>
      </c>
      <c r="L1190" s="69">
        <f>Datasheet!L102</f>
        <v>8250</v>
      </c>
      <c r="M1190" s="69">
        <f>Datasheet!M102</f>
        <v>10053</v>
      </c>
      <c r="N1190" s="69">
        <f>Datasheet!N102</f>
        <v>25850</v>
      </c>
      <c r="O1190" s="69">
        <f>Datasheet!O102</f>
        <v>5650</v>
      </c>
      <c r="P1190" s="69">
        <f>Datasheet!P102</f>
        <v>14300</v>
      </c>
      <c r="Q1190" s="69">
        <f>Datasheet!Q102</f>
        <v>2214</v>
      </c>
      <c r="R1190" s="69">
        <f>Datasheet!R102</f>
        <v>2806</v>
      </c>
      <c r="S1190" s="69">
        <f>Datasheet!S102</f>
        <v>0</v>
      </c>
      <c r="T1190" s="69">
        <f>Datasheet!T102</f>
        <v>15929</v>
      </c>
      <c r="U1190" s="69">
        <f>Datasheet!U102</f>
        <v>57893</v>
      </c>
      <c r="V1190" s="69">
        <f>Datasheet!V102</f>
        <v>5892</v>
      </c>
      <c r="W1190" s="69">
        <f>Datasheet!W102</f>
        <v>24157</v>
      </c>
      <c r="X1190" s="69">
        <f>Datasheet!X102</f>
        <v>-10211</v>
      </c>
      <c r="Y1190" s="69">
        <f>Datasheet!Y102</f>
        <v>-16909</v>
      </c>
      <c r="Z1190" s="69">
        <f>Datasheet!Z102</f>
        <v>5098</v>
      </c>
      <c r="AA1190" s="69">
        <f>Datasheet!AA102</f>
        <v>-4800</v>
      </c>
      <c r="AB1190" s="69">
        <f>Datasheet!AB102</f>
        <v>2597</v>
      </c>
      <c r="AC1190" s="69">
        <f>Datasheet!AC102</f>
        <v>20540</v>
      </c>
      <c r="AD1190" s="69">
        <f>Datasheet!AD102</f>
        <v>0</v>
      </c>
      <c r="AE1190" s="69">
        <f>Datasheet!AE102</f>
        <v>0</v>
      </c>
      <c r="AF1190" s="69">
        <f>Datasheet!AF102</f>
        <v>0</v>
      </c>
      <c r="AG1190" s="69">
        <f>Datasheet!AG102</f>
        <v>0</v>
      </c>
      <c r="AH1190" s="69">
        <f>Datasheet!AH102</f>
        <v>0</v>
      </c>
      <c r="AI1190" s="69">
        <f>Datasheet!AI102</f>
        <v>0</v>
      </c>
      <c r="AJ1190" s="69">
        <f>Datasheet!AJ102</f>
        <v>0</v>
      </c>
      <c r="AK1190" s="69">
        <f>Datasheet!AK102</f>
        <v>0</v>
      </c>
    </row>
    <row r="1191" spans="2:37" x14ac:dyDescent="0.25">
      <c r="B1191" s="92"/>
      <c r="C1191" s="91"/>
      <c r="D1191" s="91"/>
      <c r="E1191" s="4"/>
      <c r="F1191" s="4" t="s">
        <v>1360</v>
      </c>
      <c r="G1191" s="91"/>
      <c r="H1191" s="4" t="s">
        <v>32</v>
      </c>
      <c r="I1191" s="69"/>
      <c r="J1191" s="69"/>
      <c r="K1191" s="69"/>
      <c r="L1191" s="69"/>
      <c r="M1191" s="69"/>
      <c r="N1191" s="69"/>
      <c r="O1191" s="69"/>
      <c r="P1191" s="69"/>
      <c r="Q1191" s="69"/>
      <c r="R1191" s="69">
        <f t="shared" ref="R1191:AK1191" si="190">SUM(I1190:R1190)</f>
        <v>111208</v>
      </c>
      <c r="S1191" s="69">
        <f t="shared" si="190"/>
        <v>100478</v>
      </c>
      <c r="T1191" s="69">
        <f t="shared" si="190"/>
        <v>95304</v>
      </c>
      <c r="U1191" s="69">
        <f t="shared" si="190"/>
        <v>142945</v>
      </c>
      <c r="V1191" s="69">
        <f t="shared" si="190"/>
        <v>140587</v>
      </c>
      <c r="W1191" s="69">
        <f t="shared" si="190"/>
        <v>154691</v>
      </c>
      <c r="X1191" s="69">
        <f t="shared" si="190"/>
        <v>118630</v>
      </c>
      <c r="Y1191" s="69">
        <f t="shared" si="190"/>
        <v>96071</v>
      </c>
      <c r="Z1191" s="69">
        <f t="shared" si="190"/>
        <v>86869</v>
      </c>
      <c r="AA1191" s="69">
        <f t="shared" si="190"/>
        <v>79855</v>
      </c>
      <c r="AB1191" s="69">
        <f t="shared" si="190"/>
        <v>79646</v>
      </c>
      <c r="AC1191" s="69">
        <f t="shared" si="190"/>
        <v>100186</v>
      </c>
      <c r="AD1191" s="69">
        <f t="shared" si="190"/>
        <v>84257</v>
      </c>
      <c r="AE1191" s="69">
        <f t="shared" si="190"/>
        <v>26364</v>
      </c>
      <c r="AF1191" s="69">
        <f t="shared" si="190"/>
        <v>20472</v>
      </c>
      <c r="AG1191" s="69">
        <f t="shared" si="190"/>
        <v>-3685</v>
      </c>
      <c r="AH1191" s="69">
        <f t="shared" si="190"/>
        <v>6526</v>
      </c>
      <c r="AI1191" s="69">
        <f t="shared" si="190"/>
        <v>23435</v>
      </c>
      <c r="AJ1191" s="69">
        <f t="shared" si="190"/>
        <v>18337</v>
      </c>
      <c r="AK1191" s="69">
        <f t="shared" si="190"/>
        <v>23137</v>
      </c>
    </row>
    <row r="1192" spans="2:37" x14ac:dyDescent="0.25">
      <c r="B1192" s="92"/>
      <c r="C1192" s="91"/>
      <c r="D1192" s="91"/>
      <c r="E1192" s="4"/>
      <c r="F1192" s="4" t="s">
        <v>1361</v>
      </c>
      <c r="G1192" s="91"/>
      <c r="H1192" s="4" t="s">
        <v>32</v>
      </c>
      <c r="I1192" s="69"/>
      <c r="J1192" s="69"/>
      <c r="K1192" s="69"/>
      <c r="L1192" s="69"/>
      <c r="M1192" s="69"/>
      <c r="N1192" s="69"/>
      <c r="O1192" s="69"/>
      <c r="P1192" s="69"/>
      <c r="Q1192" s="69"/>
      <c r="R1192" s="69"/>
      <c r="S1192" s="69"/>
      <c r="T1192" s="69">
        <f>SUM($T1190:T1190)</f>
        <v>15929</v>
      </c>
      <c r="U1192" s="69">
        <f>SUM($T1190:U1190)</f>
        <v>73822</v>
      </c>
      <c r="V1192" s="69">
        <f>SUM($T1190:V1190)</f>
        <v>79714</v>
      </c>
      <c r="W1192" s="69">
        <f>SUM($T1190:W1190)</f>
        <v>103871</v>
      </c>
      <c r="X1192" s="69">
        <f>SUM($T1190:X1190)</f>
        <v>93660</v>
      </c>
      <c r="Y1192" s="69">
        <f>SUM($T1190:Y1190)</f>
        <v>76751</v>
      </c>
      <c r="Z1192" s="69">
        <f>SUM($T1190:Z1190)</f>
        <v>81849</v>
      </c>
      <c r="AA1192" s="69">
        <f>SUM($T1190:AA1190)</f>
        <v>77049</v>
      </c>
      <c r="AB1192" s="69">
        <f>SUM($T1190:AB1190)</f>
        <v>79646</v>
      </c>
      <c r="AC1192" s="69">
        <f>SUM($T1190:AC1190)</f>
        <v>100186</v>
      </c>
      <c r="AD1192" s="69">
        <f>SUM($T1190:AD1190)</f>
        <v>100186</v>
      </c>
      <c r="AE1192" s="69">
        <f>SUM($T1190:AE1190)</f>
        <v>100186</v>
      </c>
      <c r="AF1192" s="69">
        <f>SUM($T1190:AF1190)</f>
        <v>100186</v>
      </c>
      <c r="AG1192" s="69">
        <f>SUM($T1190:AG1190)</f>
        <v>100186</v>
      </c>
      <c r="AH1192" s="69">
        <f>SUM($T1190:AH1190)</f>
        <v>100186</v>
      </c>
      <c r="AI1192" s="69">
        <f>SUM($T1190:AI1190)</f>
        <v>100186</v>
      </c>
      <c r="AJ1192" s="69">
        <f>SUM($T1190:AJ1190)</f>
        <v>100186</v>
      </c>
      <c r="AK1192" s="69">
        <f>SUM($T1190:AK1190)</f>
        <v>100186</v>
      </c>
    </row>
    <row r="1193" spans="2:37" x14ac:dyDescent="0.25">
      <c r="B1193" s="92"/>
      <c r="C1193" s="91"/>
      <c r="D1193" s="91"/>
      <c r="E1193" s="4"/>
      <c r="F1193" s="4" t="s">
        <v>1362</v>
      </c>
      <c r="G1193" s="91"/>
      <c r="H1193" s="4" t="s">
        <v>32</v>
      </c>
      <c r="I1193" s="69"/>
      <c r="J1193" s="69"/>
      <c r="K1193" s="69"/>
      <c r="L1193" s="69"/>
      <c r="M1193" s="69"/>
      <c r="N1193" s="69"/>
      <c r="O1193" s="69"/>
      <c r="P1193" s="69"/>
      <c r="Q1193" s="69"/>
      <c r="R1193" s="69"/>
      <c r="S1193" s="69"/>
      <c r="T1193" s="69"/>
      <c r="U1193" s="69"/>
      <c r="V1193" s="69"/>
      <c r="W1193" s="69"/>
      <c r="X1193" s="69"/>
      <c r="Y1193" s="69"/>
      <c r="Z1193" s="69"/>
      <c r="AA1193" s="69"/>
      <c r="AB1193" s="69">
        <f>SUM($AB1190:AB1190)</f>
        <v>2597</v>
      </c>
      <c r="AC1193" s="69">
        <f>SUM($AB1190:AC1190)</f>
        <v>23137</v>
      </c>
      <c r="AD1193" s="69">
        <f>SUM($AB1190:AD1190)</f>
        <v>23137</v>
      </c>
      <c r="AE1193" s="69">
        <f>SUM($AB1190:AE1190)</f>
        <v>23137</v>
      </c>
      <c r="AF1193" s="69">
        <f>SUM($AB1190:AF1190)</f>
        <v>23137</v>
      </c>
      <c r="AG1193" s="69">
        <f>SUM($AB1190:AG1190)</f>
        <v>23137</v>
      </c>
      <c r="AH1193" s="69">
        <f>SUM($AB1190:AH1190)</f>
        <v>23137</v>
      </c>
      <c r="AI1193" s="69">
        <f>SUM($AB1190:AI1190)</f>
        <v>23137</v>
      </c>
      <c r="AJ1193" s="69">
        <f>SUM($AB1190:AJ1190)</f>
        <v>23137</v>
      </c>
      <c r="AK1193" s="69">
        <f>SUM($AB1190:AK1190)</f>
        <v>23137</v>
      </c>
    </row>
    <row r="1194" spans="2:37" x14ac:dyDescent="0.25">
      <c r="B1194" s="92"/>
      <c r="C1194" s="91"/>
      <c r="D1194" s="91"/>
      <c r="E1194" s="4" t="s">
        <v>68</v>
      </c>
      <c r="F1194" s="4"/>
      <c r="G1194" s="91"/>
      <c r="H1194" s="91"/>
      <c r="I1194" s="69"/>
      <c r="J1194" s="69"/>
      <c r="K1194" s="69"/>
      <c r="L1194" s="69"/>
      <c r="M1194" s="69"/>
      <c r="N1194" s="69"/>
      <c r="O1194" s="69"/>
      <c r="P1194" s="69"/>
      <c r="Q1194" s="69"/>
      <c r="R1194" s="69"/>
      <c r="S1194" s="69"/>
      <c r="T1194" s="69"/>
      <c r="U1194" s="69"/>
      <c r="V1194" s="69"/>
      <c r="W1194" s="69"/>
      <c r="X1194" s="69"/>
      <c r="Y1194" s="69"/>
      <c r="Z1194" s="69"/>
      <c r="AA1194" s="69"/>
      <c r="AB1194" s="69"/>
      <c r="AC1194" s="69"/>
      <c r="AD1194" s="69"/>
      <c r="AE1194" s="69"/>
      <c r="AF1194" s="69"/>
      <c r="AG1194" s="69"/>
      <c r="AH1194" s="69"/>
      <c r="AI1194" s="69"/>
      <c r="AJ1194" s="69"/>
      <c r="AK1194" s="69"/>
    </row>
    <row r="1195" spans="2:37" x14ac:dyDescent="0.25">
      <c r="B1195" s="92"/>
      <c r="C1195" s="91"/>
      <c r="D1195" s="91"/>
      <c r="E1195" s="4"/>
      <c r="F1195" s="4" t="s">
        <v>1359</v>
      </c>
      <c r="G1195" s="91"/>
      <c r="H1195" s="4" t="s">
        <v>32</v>
      </c>
      <c r="I1195" s="69">
        <f>Datasheet!I103</f>
        <v>2344</v>
      </c>
      <c r="J1195" s="69">
        <f>Datasheet!J103</f>
        <v>107534</v>
      </c>
      <c r="K1195" s="69">
        <f>Datasheet!K103</f>
        <v>110153</v>
      </c>
      <c r="L1195" s="69">
        <f>Datasheet!L103</f>
        <v>7844</v>
      </c>
      <c r="M1195" s="69">
        <f>Datasheet!M103</f>
        <v>497</v>
      </c>
      <c r="N1195" s="69">
        <f>Datasheet!N103</f>
        <v>22161</v>
      </c>
      <c r="O1195" s="69">
        <f>Datasheet!O103</f>
        <v>16917</v>
      </c>
      <c r="P1195" s="69">
        <f>Datasheet!P103</f>
        <v>23538</v>
      </c>
      <c r="Q1195" s="69">
        <f>Datasheet!Q103</f>
        <v>13746</v>
      </c>
      <c r="R1195" s="69">
        <f>Datasheet!R103</f>
        <v>0</v>
      </c>
      <c r="S1195" s="69">
        <f>Datasheet!S103</f>
        <v>12951</v>
      </c>
      <c r="T1195" s="69">
        <f>Datasheet!T103</f>
        <v>-1932</v>
      </c>
      <c r="U1195" s="69">
        <f>Datasheet!U103</f>
        <v>43559</v>
      </c>
      <c r="V1195" s="69">
        <f>Datasheet!V103</f>
        <v>7556</v>
      </c>
      <c r="W1195" s="69">
        <f>Datasheet!W103</f>
        <v>22550</v>
      </c>
      <c r="X1195" s="69">
        <f>Datasheet!X103</f>
        <v>15690</v>
      </c>
      <c r="Y1195" s="69">
        <f>Datasheet!Y103</f>
        <v>8347</v>
      </c>
      <c r="Z1195" s="69">
        <f>Datasheet!Z103</f>
        <v>32115</v>
      </c>
      <c r="AA1195" s="69">
        <f>Datasheet!AA103</f>
        <v>21209</v>
      </c>
      <c r="AB1195" s="69">
        <f>Datasheet!AB103</f>
        <v>-7816</v>
      </c>
      <c r="AC1195" s="69">
        <f>Datasheet!AC103</f>
        <v>-15770</v>
      </c>
      <c r="AD1195" s="69">
        <f>Datasheet!AD103</f>
        <v>0</v>
      </c>
      <c r="AE1195" s="69">
        <f>Datasheet!AE103</f>
        <v>0</v>
      </c>
      <c r="AF1195" s="69">
        <f>Datasheet!AF103</f>
        <v>0</v>
      </c>
      <c r="AG1195" s="69">
        <f>Datasheet!AG103</f>
        <v>0</v>
      </c>
      <c r="AH1195" s="69">
        <f>Datasheet!AH103</f>
        <v>0</v>
      </c>
      <c r="AI1195" s="69">
        <f>Datasheet!AI103</f>
        <v>0</v>
      </c>
      <c r="AJ1195" s="69">
        <f>Datasheet!AJ103</f>
        <v>0</v>
      </c>
      <c r="AK1195" s="69">
        <f>Datasheet!AK103</f>
        <v>0</v>
      </c>
    </row>
    <row r="1196" spans="2:37" x14ac:dyDescent="0.25">
      <c r="B1196" s="92"/>
      <c r="C1196" s="91"/>
      <c r="D1196" s="91"/>
      <c r="E1196" s="4"/>
      <c r="F1196" s="4" t="s">
        <v>1360</v>
      </c>
      <c r="G1196" s="91"/>
      <c r="H1196" s="4" t="s">
        <v>32</v>
      </c>
      <c r="I1196" s="69"/>
      <c r="J1196" s="69"/>
      <c r="K1196" s="69"/>
      <c r="L1196" s="69"/>
      <c r="M1196" s="69"/>
      <c r="N1196" s="69"/>
      <c r="O1196" s="69"/>
      <c r="P1196" s="69"/>
      <c r="Q1196" s="69"/>
      <c r="R1196" s="69">
        <f t="shared" ref="R1196:AK1196" si="191">SUM(I1195:R1195)</f>
        <v>304734</v>
      </c>
      <c r="S1196" s="69">
        <f t="shared" si="191"/>
        <v>315341</v>
      </c>
      <c r="T1196" s="69">
        <f t="shared" si="191"/>
        <v>205875</v>
      </c>
      <c r="U1196" s="69">
        <f t="shared" si="191"/>
        <v>139281</v>
      </c>
      <c r="V1196" s="69">
        <f t="shared" si="191"/>
        <v>138993</v>
      </c>
      <c r="W1196" s="69">
        <f t="shared" si="191"/>
        <v>161046</v>
      </c>
      <c r="X1196" s="69">
        <f t="shared" si="191"/>
        <v>154575</v>
      </c>
      <c r="Y1196" s="69">
        <f t="shared" si="191"/>
        <v>146005</v>
      </c>
      <c r="Z1196" s="69">
        <f t="shared" si="191"/>
        <v>154582</v>
      </c>
      <c r="AA1196" s="69">
        <f t="shared" si="191"/>
        <v>162045</v>
      </c>
      <c r="AB1196" s="69">
        <f t="shared" si="191"/>
        <v>154229</v>
      </c>
      <c r="AC1196" s="69">
        <f t="shared" si="191"/>
        <v>125508</v>
      </c>
      <c r="AD1196" s="69">
        <f t="shared" si="191"/>
        <v>127440</v>
      </c>
      <c r="AE1196" s="69">
        <f t="shared" si="191"/>
        <v>83881</v>
      </c>
      <c r="AF1196" s="69">
        <f t="shared" si="191"/>
        <v>76325</v>
      </c>
      <c r="AG1196" s="69">
        <f t="shared" si="191"/>
        <v>53775</v>
      </c>
      <c r="AH1196" s="69">
        <f t="shared" si="191"/>
        <v>38085</v>
      </c>
      <c r="AI1196" s="69">
        <f t="shared" si="191"/>
        <v>29738</v>
      </c>
      <c r="AJ1196" s="69">
        <f t="shared" si="191"/>
        <v>-2377</v>
      </c>
      <c r="AK1196" s="69">
        <f t="shared" si="191"/>
        <v>-23586</v>
      </c>
    </row>
    <row r="1197" spans="2:37" x14ac:dyDescent="0.25">
      <c r="B1197" s="92"/>
      <c r="C1197" s="91"/>
      <c r="D1197" s="91"/>
      <c r="E1197" s="4"/>
      <c r="F1197" s="4" t="s">
        <v>1361</v>
      </c>
      <c r="G1197" s="91"/>
      <c r="H1197" s="4" t="s">
        <v>32</v>
      </c>
      <c r="I1197" s="69"/>
      <c r="J1197" s="69"/>
      <c r="K1197" s="69"/>
      <c r="L1197" s="69"/>
      <c r="M1197" s="69"/>
      <c r="N1197" s="69"/>
      <c r="O1197" s="69"/>
      <c r="P1197" s="69"/>
      <c r="Q1197" s="69"/>
      <c r="R1197" s="69"/>
      <c r="S1197" s="69"/>
      <c r="T1197" s="69">
        <f>SUM($T1195:T1195)</f>
        <v>-1932</v>
      </c>
      <c r="U1197" s="69">
        <f>SUM($T1195:U1195)</f>
        <v>41627</v>
      </c>
      <c r="V1197" s="69">
        <f>SUM($T1195:V1195)</f>
        <v>49183</v>
      </c>
      <c r="W1197" s="69">
        <f>SUM($T1195:W1195)</f>
        <v>71733</v>
      </c>
      <c r="X1197" s="69">
        <f>SUM($T1195:X1195)</f>
        <v>87423</v>
      </c>
      <c r="Y1197" s="69">
        <f>SUM($T1195:Y1195)</f>
        <v>95770</v>
      </c>
      <c r="Z1197" s="69">
        <f>SUM($T1195:Z1195)</f>
        <v>127885</v>
      </c>
      <c r="AA1197" s="69">
        <f>SUM($T1195:AA1195)</f>
        <v>149094</v>
      </c>
      <c r="AB1197" s="69">
        <f>SUM($T1195:AB1195)</f>
        <v>141278</v>
      </c>
      <c r="AC1197" s="69">
        <f>SUM($T1195:AC1195)</f>
        <v>125508</v>
      </c>
      <c r="AD1197" s="69">
        <f>SUM($T1195:AD1195)</f>
        <v>125508</v>
      </c>
      <c r="AE1197" s="69">
        <f>SUM($T1195:AE1195)</f>
        <v>125508</v>
      </c>
      <c r="AF1197" s="69">
        <f>SUM($T1195:AF1195)</f>
        <v>125508</v>
      </c>
      <c r="AG1197" s="69">
        <f>SUM($T1195:AG1195)</f>
        <v>125508</v>
      </c>
      <c r="AH1197" s="69">
        <f>SUM($T1195:AH1195)</f>
        <v>125508</v>
      </c>
      <c r="AI1197" s="69">
        <f>SUM($T1195:AI1195)</f>
        <v>125508</v>
      </c>
      <c r="AJ1197" s="69">
        <f>SUM($T1195:AJ1195)</f>
        <v>125508</v>
      </c>
      <c r="AK1197" s="69">
        <f>SUM($T1195:AK1195)</f>
        <v>125508</v>
      </c>
    </row>
    <row r="1198" spans="2:37" x14ac:dyDescent="0.25">
      <c r="B1198" s="92"/>
      <c r="C1198" s="91"/>
      <c r="D1198" s="91"/>
      <c r="E1198" s="4"/>
      <c r="F1198" s="4" t="s">
        <v>1362</v>
      </c>
      <c r="G1198" s="91"/>
      <c r="H1198" s="4" t="s">
        <v>32</v>
      </c>
      <c r="I1198" s="69"/>
      <c r="J1198" s="69"/>
      <c r="K1198" s="69"/>
      <c r="L1198" s="69"/>
      <c r="M1198" s="69"/>
      <c r="N1198" s="69"/>
      <c r="O1198" s="69"/>
      <c r="P1198" s="69"/>
      <c r="Q1198" s="69"/>
      <c r="R1198" s="69"/>
      <c r="S1198" s="69"/>
      <c r="T1198" s="69"/>
      <c r="U1198" s="69"/>
      <c r="V1198" s="69"/>
      <c r="W1198" s="69"/>
      <c r="X1198" s="69"/>
      <c r="Y1198" s="69"/>
      <c r="Z1198" s="69"/>
      <c r="AA1198" s="69"/>
      <c r="AB1198" s="69">
        <f>SUM($AB1195:AB1195)</f>
        <v>-7816</v>
      </c>
      <c r="AC1198" s="69">
        <f>SUM($AB1195:AC1195)</f>
        <v>-23586</v>
      </c>
      <c r="AD1198" s="69">
        <f>SUM($AB1195:AD1195)</f>
        <v>-23586</v>
      </c>
      <c r="AE1198" s="69">
        <f>SUM($AB1195:AE1195)</f>
        <v>-23586</v>
      </c>
      <c r="AF1198" s="69">
        <f>SUM($AB1195:AF1195)</f>
        <v>-23586</v>
      </c>
      <c r="AG1198" s="69">
        <f>SUM($AB1195:AG1195)</f>
        <v>-23586</v>
      </c>
      <c r="AH1198" s="69">
        <f>SUM($AB1195:AH1195)</f>
        <v>-23586</v>
      </c>
      <c r="AI1198" s="69">
        <f>SUM($AB1195:AI1195)</f>
        <v>-23586</v>
      </c>
      <c r="AJ1198" s="69">
        <f>SUM($AB1195:AJ1195)</f>
        <v>-23586</v>
      </c>
      <c r="AK1198" s="69">
        <f>SUM($AB1195:AK1195)</f>
        <v>-23586</v>
      </c>
    </row>
    <row r="1199" spans="2:37" x14ac:dyDescent="0.25">
      <c r="B1199" s="92"/>
      <c r="C1199" s="91"/>
      <c r="D1199" s="91"/>
      <c r="E1199" s="4" t="s">
        <v>69</v>
      </c>
      <c r="F1199" s="4"/>
      <c r="G1199" s="91"/>
      <c r="H1199" s="91"/>
      <c r="I1199" s="69"/>
      <c r="J1199" s="69"/>
      <c r="K1199" s="69"/>
      <c r="L1199" s="69"/>
      <c r="M1199" s="69"/>
      <c r="N1199" s="69"/>
      <c r="O1199" s="69"/>
      <c r="P1199" s="69"/>
      <c r="Q1199" s="69"/>
      <c r="R1199" s="69"/>
      <c r="S1199" s="69"/>
      <c r="T1199" s="69"/>
      <c r="U1199" s="69"/>
      <c r="V1199" s="69"/>
      <c r="W1199" s="69"/>
      <c r="X1199" s="69"/>
      <c r="Y1199" s="69"/>
      <c r="Z1199" s="69"/>
      <c r="AA1199" s="69"/>
      <c r="AB1199" s="69"/>
      <c r="AC1199" s="69"/>
      <c r="AD1199" s="69"/>
      <c r="AE1199" s="69"/>
      <c r="AF1199" s="69"/>
      <c r="AG1199" s="69"/>
      <c r="AH1199" s="69"/>
      <c r="AI1199" s="69"/>
      <c r="AJ1199" s="69"/>
      <c r="AK1199" s="69"/>
    </row>
    <row r="1200" spans="2:37" x14ac:dyDescent="0.25">
      <c r="B1200" s="92"/>
      <c r="C1200" s="91"/>
      <c r="D1200" s="91"/>
      <c r="E1200" s="91"/>
      <c r="F1200" s="4" t="s">
        <v>1359</v>
      </c>
      <c r="G1200" s="91"/>
      <c r="H1200" s="4" t="s">
        <v>32</v>
      </c>
      <c r="I1200" s="69">
        <f>Datasheet!I104</f>
        <v>123261</v>
      </c>
      <c r="J1200" s="69">
        <f>Datasheet!J104</f>
        <v>15002</v>
      </c>
      <c r="K1200" s="69">
        <f>Datasheet!K104</f>
        <v>32964</v>
      </c>
      <c r="L1200" s="69">
        <f>Datasheet!L104</f>
        <v>96194</v>
      </c>
      <c r="M1200" s="69">
        <f>Datasheet!M104</f>
        <v>186423</v>
      </c>
      <c r="N1200" s="69">
        <f>Datasheet!N104</f>
        <v>190439</v>
      </c>
      <c r="O1200" s="69">
        <f>Datasheet!O104</f>
        <v>7058</v>
      </c>
      <c r="P1200" s="69">
        <f>Datasheet!P104</f>
        <v>3679</v>
      </c>
      <c r="Q1200" s="69">
        <f>Datasheet!Q104</f>
        <v>35591</v>
      </c>
      <c r="R1200" s="69">
        <f>Datasheet!R104</f>
        <v>60687</v>
      </c>
      <c r="S1200" s="69">
        <f>Datasheet!S104</f>
        <v>29958</v>
      </c>
      <c r="T1200" s="69">
        <f>Datasheet!T104</f>
        <v>2503</v>
      </c>
      <c r="U1200" s="69">
        <f>Datasheet!U104</f>
        <v>9584</v>
      </c>
      <c r="V1200" s="69">
        <f>Datasheet!V104</f>
        <v>33481</v>
      </c>
      <c r="W1200" s="69">
        <f>Datasheet!W104</f>
        <v>4267</v>
      </c>
      <c r="X1200" s="69">
        <f>Datasheet!X104</f>
        <v>7282</v>
      </c>
      <c r="Y1200" s="69">
        <f>Datasheet!Y104</f>
        <v>89454</v>
      </c>
      <c r="Z1200" s="69">
        <f>Datasheet!Z104</f>
        <v>48440</v>
      </c>
      <c r="AA1200" s="69">
        <f>Datasheet!AA104</f>
        <v>28690</v>
      </c>
      <c r="AB1200" s="69">
        <f>Datasheet!AB104</f>
        <v>4149</v>
      </c>
      <c r="AC1200" s="69">
        <f>Datasheet!AC104</f>
        <v>38551</v>
      </c>
      <c r="AD1200" s="69">
        <f>Datasheet!AD104</f>
        <v>0</v>
      </c>
      <c r="AE1200" s="69">
        <f>Datasheet!AE104</f>
        <v>0</v>
      </c>
      <c r="AF1200" s="69">
        <f>Datasheet!AF104</f>
        <v>0</v>
      </c>
      <c r="AG1200" s="69">
        <f>Datasheet!AG104</f>
        <v>0</v>
      </c>
      <c r="AH1200" s="69">
        <f>Datasheet!AH104</f>
        <v>0</v>
      </c>
      <c r="AI1200" s="69">
        <f>Datasheet!AI104</f>
        <v>0</v>
      </c>
      <c r="AJ1200" s="69">
        <f>Datasheet!AJ104</f>
        <v>0</v>
      </c>
      <c r="AK1200" s="69">
        <f>Datasheet!AK104</f>
        <v>0</v>
      </c>
    </row>
    <row r="1201" spans="2:37" x14ac:dyDescent="0.25">
      <c r="B1201" s="92"/>
      <c r="C1201" s="91"/>
      <c r="D1201" s="91"/>
      <c r="E1201" s="4"/>
      <c r="F1201" s="4" t="s">
        <v>1360</v>
      </c>
      <c r="G1201" s="91"/>
      <c r="H1201" s="4" t="s">
        <v>32</v>
      </c>
      <c r="I1201" s="69"/>
      <c r="J1201" s="69"/>
      <c r="K1201" s="69"/>
      <c r="L1201" s="69"/>
      <c r="M1201" s="69"/>
      <c r="N1201" s="69"/>
      <c r="O1201" s="69"/>
      <c r="P1201" s="69"/>
      <c r="Q1201" s="69"/>
      <c r="R1201" s="69">
        <f t="shared" ref="R1201:AK1201" si="192">SUM(I1200:R1200)</f>
        <v>751298</v>
      </c>
      <c r="S1201" s="69">
        <f t="shared" si="192"/>
        <v>657995</v>
      </c>
      <c r="T1201" s="69">
        <f t="shared" si="192"/>
        <v>645496</v>
      </c>
      <c r="U1201" s="69">
        <f t="shared" si="192"/>
        <v>622116</v>
      </c>
      <c r="V1201" s="69">
        <f t="shared" si="192"/>
        <v>559403</v>
      </c>
      <c r="W1201" s="69">
        <f t="shared" si="192"/>
        <v>377247</v>
      </c>
      <c r="X1201" s="69">
        <f t="shared" si="192"/>
        <v>194090</v>
      </c>
      <c r="Y1201" s="69">
        <f t="shared" si="192"/>
        <v>276486</v>
      </c>
      <c r="Z1201" s="69">
        <f t="shared" si="192"/>
        <v>321247</v>
      </c>
      <c r="AA1201" s="69">
        <f t="shared" si="192"/>
        <v>314346</v>
      </c>
      <c r="AB1201" s="69">
        <f t="shared" si="192"/>
        <v>257808</v>
      </c>
      <c r="AC1201" s="69">
        <f t="shared" si="192"/>
        <v>266401</v>
      </c>
      <c r="AD1201" s="69">
        <f t="shared" si="192"/>
        <v>263898</v>
      </c>
      <c r="AE1201" s="69">
        <f t="shared" si="192"/>
        <v>254314</v>
      </c>
      <c r="AF1201" s="69">
        <f t="shared" si="192"/>
        <v>220833</v>
      </c>
      <c r="AG1201" s="69">
        <f t="shared" si="192"/>
        <v>216566</v>
      </c>
      <c r="AH1201" s="69">
        <f t="shared" si="192"/>
        <v>209284</v>
      </c>
      <c r="AI1201" s="69">
        <f t="shared" si="192"/>
        <v>119830</v>
      </c>
      <c r="AJ1201" s="69">
        <f t="shared" si="192"/>
        <v>71390</v>
      </c>
      <c r="AK1201" s="69">
        <f t="shared" si="192"/>
        <v>42700</v>
      </c>
    </row>
    <row r="1202" spans="2:37" x14ac:dyDescent="0.25">
      <c r="B1202" s="92"/>
      <c r="C1202" s="91"/>
      <c r="D1202" s="91"/>
      <c r="E1202" s="4"/>
      <c r="F1202" s="4" t="s">
        <v>1361</v>
      </c>
      <c r="G1202" s="91"/>
      <c r="H1202" s="4" t="s">
        <v>32</v>
      </c>
      <c r="I1202" s="69"/>
      <c r="J1202" s="69"/>
      <c r="K1202" s="69"/>
      <c r="L1202" s="69"/>
      <c r="M1202" s="69"/>
      <c r="N1202" s="69"/>
      <c r="O1202" s="69"/>
      <c r="P1202" s="69"/>
      <c r="Q1202" s="69"/>
      <c r="R1202" s="69"/>
      <c r="S1202" s="69"/>
      <c r="T1202" s="69">
        <f>SUM($T1200:T1200)</f>
        <v>2503</v>
      </c>
      <c r="U1202" s="69">
        <f>SUM($T1200:U1200)</f>
        <v>12087</v>
      </c>
      <c r="V1202" s="69">
        <f>SUM($T1200:V1200)</f>
        <v>45568</v>
      </c>
      <c r="W1202" s="69">
        <f>SUM($T1200:W1200)</f>
        <v>49835</v>
      </c>
      <c r="X1202" s="69">
        <f>SUM($T1200:X1200)</f>
        <v>57117</v>
      </c>
      <c r="Y1202" s="69">
        <f>SUM($T1200:Y1200)</f>
        <v>146571</v>
      </c>
      <c r="Z1202" s="69">
        <f>SUM($T1200:Z1200)</f>
        <v>195011</v>
      </c>
      <c r="AA1202" s="69">
        <f>SUM($T1200:AA1200)</f>
        <v>223701</v>
      </c>
      <c r="AB1202" s="69">
        <f>SUM($T1200:AB1200)</f>
        <v>227850</v>
      </c>
      <c r="AC1202" s="69">
        <f>SUM($T1200:AC1200)</f>
        <v>266401</v>
      </c>
      <c r="AD1202" s="69">
        <f>SUM($T1200:AD1200)</f>
        <v>266401</v>
      </c>
      <c r="AE1202" s="69">
        <f>SUM($T1200:AE1200)</f>
        <v>266401</v>
      </c>
      <c r="AF1202" s="69">
        <f>SUM($T1200:AF1200)</f>
        <v>266401</v>
      </c>
      <c r="AG1202" s="69">
        <f>SUM($T1200:AG1200)</f>
        <v>266401</v>
      </c>
      <c r="AH1202" s="69">
        <f>SUM($T1200:AH1200)</f>
        <v>266401</v>
      </c>
      <c r="AI1202" s="69">
        <f>SUM($T1200:AI1200)</f>
        <v>266401</v>
      </c>
      <c r="AJ1202" s="69">
        <f>SUM($T1200:AJ1200)</f>
        <v>266401</v>
      </c>
      <c r="AK1202" s="69">
        <f>SUM($T1200:AK1200)</f>
        <v>266401</v>
      </c>
    </row>
    <row r="1203" spans="2:37" x14ac:dyDescent="0.25">
      <c r="B1203" s="92"/>
      <c r="C1203" s="91"/>
      <c r="D1203" s="91"/>
      <c r="E1203" s="4"/>
      <c r="F1203" s="4" t="s">
        <v>1362</v>
      </c>
      <c r="G1203" s="91"/>
      <c r="H1203" s="4" t="s">
        <v>32</v>
      </c>
      <c r="I1203" s="69"/>
      <c r="J1203" s="69"/>
      <c r="K1203" s="69"/>
      <c r="L1203" s="69"/>
      <c r="M1203" s="69"/>
      <c r="N1203" s="69"/>
      <c r="O1203" s="69"/>
      <c r="P1203" s="69"/>
      <c r="Q1203" s="69"/>
      <c r="R1203" s="69"/>
      <c r="S1203" s="69"/>
      <c r="T1203" s="69"/>
      <c r="U1203" s="69"/>
      <c r="V1203" s="69"/>
      <c r="W1203" s="69"/>
      <c r="X1203" s="69"/>
      <c r="Y1203" s="69"/>
      <c r="Z1203" s="69"/>
      <c r="AA1203" s="69"/>
      <c r="AB1203" s="69">
        <f>SUM($AB1200:AB1200)</f>
        <v>4149</v>
      </c>
      <c r="AC1203" s="69">
        <f>SUM($AB1200:AC1200)</f>
        <v>42700</v>
      </c>
      <c r="AD1203" s="69">
        <f>SUM($AB1200:AD1200)</f>
        <v>42700</v>
      </c>
      <c r="AE1203" s="69">
        <f>SUM($AB1200:AE1200)</f>
        <v>42700</v>
      </c>
      <c r="AF1203" s="69">
        <f>SUM($AB1200:AF1200)</f>
        <v>42700</v>
      </c>
      <c r="AG1203" s="69">
        <f>SUM($AB1200:AG1200)</f>
        <v>42700</v>
      </c>
      <c r="AH1203" s="69">
        <f>SUM($AB1200:AH1200)</f>
        <v>42700</v>
      </c>
      <c r="AI1203" s="69">
        <f>SUM($AB1200:AI1200)</f>
        <v>42700</v>
      </c>
      <c r="AJ1203" s="69">
        <f>SUM($AB1200:AJ1200)</f>
        <v>42700</v>
      </c>
      <c r="AK1203" s="69">
        <f>SUM($AB1200:AK1200)</f>
        <v>42700</v>
      </c>
    </row>
    <row r="1204" spans="2:37" x14ac:dyDescent="0.25">
      <c r="B1204" s="92"/>
      <c r="C1204" s="91"/>
      <c r="D1204" s="91" t="s">
        <v>29</v>
      </c>
      <c r="E1204" s="79"/>
      <c r="F1204" s="79"/>
      <c r="G1204" s="91"/>
      <c r="H1204" s="91"/>
      <c r="I1204" s="69"/>
      <c r="J1204" s="69"/>
      <c r="K1204" s="69"/>
      <c r="L1204" s="69"/>
      <c r="M1204" s="69"/>
      <c r="N1204" s="69"/>
      <c r="O1204" s="69"/>
      <c r="P1204" s="69"/>
      <c r="Q1204" s="69"/>
      <c r="R1204" s="69"/>
      <c r="S1204" s="69"/>
      <c r="T1204" s="69"/>
      <c r="U1204" s="69"/>
      <c r="V1204" s="69"/>
      <c r="W1204" s="69"/>
      <c r="X1204" s="69"/>
      <c r="Y1204" s="69"/>
      <c r="Z1204" s="69"/>
      <c r="AA1204" s="69"/>
      <c r="AB1204" s="69"/>
      <c r="AC1204" s="69"/>
      <c r="AD1204" s="69"/>
      <c r="AE1204" s="69"/>
      <c r="AF1204" s="69"/>
      <c r="AG1204" s="69"/>
      <c r="AH1204" s="69"/>
      <c r="AI1204" s="69"/>
      <c r="AJ1204" s="69"/>
      <c r="AK1204" s="69"/>
    </row>
    <row r="1205" spans="2:37" x14ac:dyDescent="0.25">
      <c r="B1205" s="92"/>
      <c r="C1205" s="91"/>
      <c r="D1205" s="91"/>
      <c r="E1205" s="4" t="s">
        <v>1247</v>
      </c>
      <c r="F1205" s="4"/>
      <c r="G1205" s="91"/>
      <c r="H1205" s="4" t="s">
        <v>30</v>
      </c>
      <c r="I1205" s="93"/>
      <c r="J1205" s="93"/>
      <c r="K1205" s="93"/>
      <c r="L1205" s="93"/>
      <c r="M1205" s="93"/>
      <c r="N1205" s="93"/>
      <c r="O1205" s="93"/>
      <c r="P1205" s="93"/>
      <c r="Q1205" s="93"/>
      <c r="R1205" s="93"/>
      <c r="S1205" s="93"/>
      <c r="T1205" s="93"/>
      <c r="U1205" s="93"/>
      <c r="V1205" s="93"/>
      <c r="W1205" s="93"/>
      <c r="X1205" s="93"/>
      <c r="Y1205" s="93"/>
      <c r="Z1205" s="93"/>
      <c r="AA1205" s="93"/>
      <c r="AB1205" s="93"/>
      <c r="AC1205" s="93"/>
      <c r="AD1205" s="93"/>
      <c r="AE1205" s="93"/>
      <c r="AF1205" s="93"/>
      <c r="AG1205" s="93"/>
      <c r="AH1205" s="93"/>
      <c r="AI1205" s="93"/>
      <c r="AJ1205" s="93"/>
      <c r="AK1205" s="93"/>
    </row>
    <row r="1206" spans="2:37" x14ac:dyDescent="0.25">
      <c r="B1206" s="92"/>
      <c r="C1206" s="91"/>
      <c r="D1206" s="91"/>
      <c r="E1206" s="4"/>
      <c r="F1206" s="4" t="s">
        <v>1359</v>
      </c>
      <c r="G1206" s="91"/>
      <c r="H1206" s="4" t="s">
        <v>30</v>
      </c>
      <c r="I1206" s="69">
        <f>Datasheet!I89</f>
        <v>0</v>
      </c>
      <c r="J1206" s="69">
        <f>Datasheet!J89</f>
        <v>39</v>
      </c>
      <c r="K1206" s="69">
        <f>Datasheet!K89</f>
        <v>49</v>
      </c>
      <c r="L1206" s="69">
        <f>Datasheet!L89</f>
        <v>86</v>
      </c>
      <c r="M1206" s="69">
        <f>Datasheet!M89</f>
        <v>88</v>
      </c>
      <c r="N1206" s="69">
        <f>Datasheet!N89</f>
        <v>54</v>
      </c>
      <c r="O1206" s="69">
        <f>Datasheet!O89</f>
        <v>26</v>
      </c>
      <c r="P1206" s="69">
        <f>Datasheet!P89</f>
        <v>27</v>
      </c>
      <c r="Q1206" s="69">
        <f>Datasheet!Q89</f>
        <v>35</v>
      </c>
      <c r="R1206" s="69">
        <f>Datasheet!R89</f>
        <v>1</v>
      </c>
      <c r="S1206" s="69">
        <f>Datasheet!S89</f>
        <v>25</v>
      </c>
      <c r="T1206" s="69">
        <f>Datasheet!T89</f>
        <v>0</v>
      </c>
      <c r="U1206" s="69">
        <f>Datasheet!U89</f>
        <v>57</v>
      </c>
      <c r="V1206" s="69">
        <f>Datasheet!V89</f>
        <v>0</v>
      </c>
      <c r="W1206" s="69">
        <f>Datasheet!W89</f>
        <v>0</v>
      </c>
      <c r="X1206" s="69">
        <f>Datasheet!X89</f>
        <v>131</v>
      </c>
      <c r="Y1206" s="69">
        <f>Datasheet!Y89</f>
        <v>74</v>
      </c>
      <c r="Z1206" s="69">
        <f>Datasheet!Z89</f>
        <v>4</v>
      </c>
      <c r="AA1206" s="69">
        <f>Datasheet!AA89</f>
        <v>16</v>
      </c>
      <c r="AB1206" s="69">
        <f>Datasheet!AB89</f>
        <v>100</v>
      </c>
      <c r="AC1206" s="69">
        <f>Datasheet!AC89</f>
        <v>12</v>
      </c>
      <c r="AD1206" s="69">
        <f>Datasheet!AD89</f>
        <v>0</v>
      </c>
      <c r="AE1206" s="69">
        <f>Datasheet!AE89</f>
        <v>0</v>
      </c>
      <c r="AF1206" s="69">
        <f>Datasheet!AF89</f>
        <v>0</v>
      </c>
      <c r="AG1206" s="69">
        <f>Datasheet!AG89</f>
        <v>0</v>
      </c>
      <c r="AH1206" s="69">
        <f>Datasheet!AH89</f>
        <v>0</v>
      </c>
      <c r="AI1206" s="69">
        <f>Datasheet!AI89</f>
        <v>0</v>
      </c>
      <c r="AJ1206" s="69">
        <f>Datasheet!AJ89</f>
        <v>0</v>
      </c>
      <c r="AK1206" s="69">
        <f>Datasheet!AK89</f>
        <v>0</v>
      </c>
    </row>
    <row r="1207" spans="2:37" x14ac:dyDescent="0.25">
      <c r="B1207" s="92"/>
      <c r="C1207" s="91"/>
      <c r="D1207" s="91"/>
      <c r="E1207" s="4"/>
      <c r="F1207" s="4" t="s">
        <v>1360</v>
      </c>
      <c r="G1207" s="91"/>
      <c r="H1207" s="4" t="s">
        <v>30</v>
      </c>
      <c r="I1207" s="93"/>
      <c r="J1207" s="93"/>
      <c r="K1207" s="93"/>
      <c r="L1207" s="93"/>
      <c r="M1207" s="93"/>
      <c r="N1207" s="93"/>
      <c r="O1207" s="93"/>
      <c r="P1207" s="93"/>
      <c r="Q1207" s="93"/>
      <c r="R1207" s="69">
        <f t="shared" ref="R1207:AK1207" si="193">SUM(I1206:R1206)</f>
        <v>405</v>
      </c>
      <c r="S1207" s="69">
        <f t="shared" si="193"/>
        <v>430</v>
      </c>
      <c r="T1207" s="69">
        <f t="shared" si="193"/>
        <v>391</v>
      </c>
      <c r="U1207" s="69">
        <f t="shared" si="193"/>
        <v>399</v>
      </c>
      <c r="V1207" s="69">
        <f t="shared" si="193"/>
        <v>313</v>
      </c>
      <c r="W1207" s="69">
        <f t="shared" si="193"/>
        <v>225</v>
      </c>
      <c r="X1207" s="69">
        <f t="shared" si="193"/>
        <v>302</v>
      </c>
      <c r="Y1207" s="69">
        <f t="shared" si="193"/>
        <v>350</v>
      </c>
      <c r="Z1207" s="69">
        <f t="shared" si="193"/>
        <v>327</v>
      </c>
      <c r="AA1207" s="69">
        <f t="shared" si="193"/>
        <v>308</v>
      </c>
      <c r="AB1207" s="69">
        <f t="shared" si="193"/>
        <v>407</v>
      </c>
      <c r="AC1207" s="69">
        <f t="shared" si="193"/>
        <v>394</v>
      </c>
      <c r="AD1207" s="69">
        <f t="shared" si="193"/>
        <v>394</v>
      </c>
      <c r="AE1207" s="69">
        <f t="shared" si="193"/>
        <v>337</v>
      </c>
      <c r="AF1207" s="69">
        <f t="shared" si="193"/>
        <v>337</v>
      </c>
      <c r="AG1207" s="69">
        <f t="shared" si="193"/>
        <v>337</v>
      </c>
      <c r="AH1207" s="69">
        <f t="shared" si="193"/>
        <v>206</v>
      </c>
      <c r="AI1207" s="69">
        <f t="shared" si="193"/>
        <v>132</v>
      </c>
      <c r="AJ1207" s="69">
        <f t="shared" si="193"/>
        <v>128</v>
      </c>
      <c r="AK1207" s="69">
        <f t="shared" si="193"/>
        <v>112</v>
      </c>
    </row>
    <row r="1208" spans="2:37" x14ac:dyDescent="0.25">
      <c r="B1208" s="92"/>
      <c r="C1208" s="91"/>
      <c r="D1208" s="91"/>
      <c r="E1208" s="4"/>
      <c r="F1208" s="4" t="s">
        <v>1361</v>
      </c>
      <c r="G1208" s="91"/>
      <c r="H1208" s="4" t="s">
        <v>30</v>
      </c>
      <c r="I1208" s="93"/>
      <c r="J1208" s="93"/>
      <c r="K1208" s="93"/>
      <c r="L1208" s="93"/>
      <c r="M1208" s="93"/>
      <c r="N1208" s="93"/>
      <c r="O1208" s="93"/>
      <c r="P1208" s="93"/>
      <c r="Q1208" s="93"/>
      <c r="R1208" s="69"/>
      <c r="S1208" s="69"/>
      <c r="T1208" s="69">
        <f>SUM($T1206:T1206)</f>
        <v>0</v>
      </c>
      <c r="U1208" s="69">
        <f>SUM($T1206:U1206)</f>
        <v>57</v>
      </c>
      <c r="V1208" s="69">
        <f>SUM($T1206:V1206)</f>
        <v>57</v>
      </c>
      <c r="W1208" s="69">
        <f>SUM($T1206:W1206)</f>
        <v>57</v>
      </c>
      <c r="X1208" s="69">
        <f>SUM($T1206:X1206)</f>
        <v>188</v>
      </c>
      <c r="Y1208" s="69">
        <f>SUM($T1206:Y1206)</f>
        <v>262</v>
      </c>
      <c r="Z1208" s="69">
        <f>SUM($T1206:Z1206)</f>
        <v>266</v>
      </c>
      <c r="AA1208" s="69">
        <f>SUM($T1206:AA1206)</f>
        <v>282</v>
      </c>
      <c r="AB1208" s="69">
        <f>SUM($T1206:AB1206)</f>
        <v>382</v>
      </c>
      <c r="AC1208" s="69">
        <f>SUM($T1206:AC1206)</f>
        <v>394</v>
      </c>
      <c r="AD1208" s="69">
        <f>SUM($T1206:AD1206)</f>
        <v>394</v>
      </c>
      <c r="AE1208" s="69">
        <f>SUM($T1206:AE1206)</f>
        <v>394</v>
      </c>
      <c r="AF1208" s="69">
        <f>SUM($T1206:AF1206)</f>
        <v>394</v>
      </c>
      <c r="AG1208" s="69">
        <f>SUM($T1206:AG1206)</f>
        <v>394</v>
      </c>
      <c r="AH1208" s="69">
        <f>SUM($T1206:AH1206)</f>
        <v>394</v>
      </c>
      <c r="AI1208" s="69">
        <f>SUM($T1206:AI1206)</f>
        <v>394</v>
      </c>
      <c r="AJ1208" s="69">
        <f>SUM($T1206:AJ1206)</f>
        <v>394</v>
      </c>
      <c r="AK1208" s="69">
        <f>SUM($T1206:AK1206)</f>
        <v>394</v>
      </c>
    </row>
    <row r="1209" spans="2:37" x14ac:dyDescent="0.25">
      <c r="B1209" s="92"/>
      <c r="C1209" s="91"/>
      <c r="D1209" s="91"/>
      <c r="E1209" s="4"/>
      <c r="F1209" s="4" t="s">
        <v>1362</v>
      </c>
      <c r="G1209" s="91"/>
      <c r="H1209" s="4" t="s">
        <v>30</v>
      </c>
      <c r="I1209" s="93"/>
      <c r="J1209" s="93"/>
      <c r="K1209" s="93"/>
      <c r="L1209" s="93"/>
      <c r="M1209" s="93"/>
      <c r="N1209" s="93"/>
      <c r="O1209" s="93"/>
      <c r="P1209" s="93"/>
      <c r="Q1209" s="93"/>
      <c r="R1209" s="69"/>
      <c r="S1209" s="69"/>
      <c r="T1209" s="69"/>
      <c r="U1209" s="69"/>
      <c r="V1209" s="69"/>
      <c r="W1209" s="69"/>
      <c r="X1209" s="69"/>
      <c r="Y1209" s="69"/>
      <c r="Z1209" s="69"/>
      <c r="AA1209" s="69"/>
      <c r="AB1209" s="69">
        <f>SUM($AB1206:AB1206)</f>
        <v>100</v>
      </c>
      <c r="AC1209" s="69">
        <f>SUM($AB1206:AC1206)</f>
        <v>112</v>
      </c>
      <c r="AD1209" s="69">
        <f>SUM($AB1206:AD1206)</f>
        <v>112</v>
      </c>
      <c r="AE1209" s="69">
        <f>SUM($AB1206:AE1206)</f>
        <v>112</v>
      </c>
      <c r="AF1209" s="69">
        <f>SUM($AB1206:AF1206)</f>
        <v>112</v>
      </c>
      <c r="AG1209" s="69">
        <f>SUM($AB1206:AG1206)</f>
        <v>112</v>
      </c>
      <c r="AH1209" s="69">
        <f>SUM($AB1206:AH1206)</f>
        <v>112</v>
      </c>
      <c r="AI1209" s="69">
        <f>SUM($AB1206:AI1206)</f>
        <v>112</v>
      </c>
      <c r="AJ1209" s="69">
        <f>SUM($AB1206:AJ1206)</f>
        <v>112</v>
      </c>
      <c r="AK1209" s="69">
        <f>SUM($AB1206:AK1206)</f>
        <v>112</v>
      </c>
    </row>
    <row r="1210" spans="2:37" x14ac:dyDescent="0.25">
      <c r="B1210" s="92"/>
      <c r="C1210" s="91"/>
      <c r="D1210" s="91" t="s">
        <v>594</v>
      </c>
      <c r="E1210" s="91"/>
      <c r="F1210" s="91"/>
      <c r="G1210" s="91"/>
      <c r="H1210" s="91"/>
      <c r="I1210" s="91"/>
      <c r="J1210" s="93"/>
      <c r="K1210" s="93"/>
      <c r="L1210" s="93"/>
      <c r="M1210" s="93"/>
      <c r="N1210" s="93"/>
      <c r="O1210" s="93"/>
      <c r="P1210" s="93"/>
      <c r="Q1210" s="93"/>
      <c r="R1210" s="93"/>
      <c r="S1210" s="93"/>
      <c r="T1210" s="93"/>
      <c r="U1210" s="93"/>
      <c r="V1210" s="93"/>
      <c r="W1210" s="93"/>
      <c r="X1210" s="93"/>
      <c r="Y1210" s="93"/>
      <c r="Z1210" s="93"/>
      <c r="AA1210" s="93"/>
      <c r="AB1210" s="93"/>
      <c r="AC1210" s="93"/>
      <c r="AD1210" s="93"/>
      <c r="AE1210" s="93"/>
      <c r="AF1210" s="93"/>
      <c r="AG1210" s="93"/>
      <c r="AH1210" s="93"/>
      <c r="AI1210" s="93"/>
      <c r="AJ1210" s="93"/>
      <c r="AK1210" s="93"/>
    </row>
    <row r="1211" spans="2:37" x14ac:dyDescent="0.25">
      <c r="B1211" s="92"/>
      <c r="C1211" s="91"/>
      <c r="D1211" s="91"/>
      <c r="E1211" s="91"/>
      <c r="F1211" s="91" t="s">
        <v>1359</v>
      </c>
      <c r="G1211" s="91"/>
      <c r="H1211" s="91" t="s">
        <v>23</v>
      </c>
      <c r="I1211" s="93">
        <f>SUM(I1221,I1226,I1231,I1236)</f>
        <v>62</v>
      </c>
      <c r="J1211" s="93">
        <f t="shared" ref="J1211:P1211" si="194">SUM(J1221,J1226,J1231,J1236)</f>
        <v>187</v>
      </c>
      <c r="K1211" s="93">
        <f t="shared" si="194"/>
        <v>321</v>
      </c>
      <c r="L1211" s="93">
        <f t="shared" si="194"/>
        <v>156</v>
      </c>
      <c r="M1211" s="93">
        <f t="shared" si="194"/>
        <v>256</v>
      </c>
      <c r="N1211" s="93">
        <f t="shared" si="194"/>
        <v>165</v>
      </c>
      <c r="O1211" s="93">
        <f t="shared" si="194"/>
        <v>165</v>
      </c>
      <c r="P1211" s="93">
        <f t="shared" si="194"/>
        <v>180</v>
      </c>
      <c r="Q1211" s="93">
        <f>SUM(Q1216,Q1221,Q1226,Q1231,Q1236)</f>
        <v>170</v>
      </c>
      <c r="R1211" s="93">
        <f t="shared" ref="R1211:AK1211" si="195">SUM(R1216,R1221,R1226,R1231,R1236)</f>
        <v>68</v>
      </c>
      <c r="S1211" s="93">
        <f t="shared" si="195"/>
        <v>66</v>
      </c>
      <c r="T1211" s="93">
        <f t="shared" si="195"/>
        <v>63</v>
      </c>
      <c r="U1211" s="93">
        <f t="shared" si="195"/>
        <v>106</v>
      </c>
      <c r="V1211" s="93">
        <f t="shared" si="195"/>
        <v>127</v>
      </c>
      <c r="W1211" s="93">
        <f t="shared" si="195"/>
        <v>133</v>
      </c>
      <c r="X1211" s="93">
        <f t="shared" si="195"/>
        <v>86</v>
      </c>
      <c r="Y1211" s="93">
        <f t="shared" si="195"/>
        <v>174</v>
      </c>
      <c r="Z1211" s="93">
        <f t="shared" si="195"/>
        <v>242</v>
      </c>
      <c r="AA1211" s="93">
        <f t="shared" si="195"/>
        <v>235</v>
      </c>
      <c r="AB1211" s="93">
        <f t="shared" si="195"/>
        <v>233</v>
      </c>
      <c r="AC1211" s="93">
        <f t="shared" si="195"/>
        <v>116</v>
      </c>
      <c r="AD1211" s="93">
        <f t="shared" si="195"/>
        <v>-1</v>
      </c>
      <c r="AE1211" s="93">
        <f t="shared" si="195"/>
        <v>0</v>
      </c>
      <c r="AF1211" s="93">
        <f t="shared" si="195"/>
        <v>0</v>
      </c>
      <c r="AG1211" s="93">
        <f t="shared" si="195"/>
        <v>0</v>
      </c>
      <c r="AH1211" s="93">
        <f t="shared" si="195"/>
        <v>0</v>
      </c>
      <c r="AI1211" s="93">
        <f t="shared" si="195"/>
        <v>0</v>
      </c>
      <c r="AJ1211" s="93">
        <f t="shared" si="195"/>
        <v>0</v>
      </c>
      <c r="AK1211" s="93">
        <f t="shared" si="195"/>
        <v>0</v>
      </c>
    </row>
    <row r="1212" spans="2:37" x14ac:dyDescent="0.25">
      <c r="B1212" s="92"/>
      <c r="C1212" s="91"/>
      <c r="D1212" s="91"/>
      <c r="E1212" s="91"/>
      <c r="F1212" s="91" t="s">
        <v>1360</v>
      </c>
      <c r="G1212" s="91"/>
      <c r="H1212" s="91" t="s">
        <v>23</v>
      </c>
      <c r="I1212" s="93"/>
      <c r="J1212" s="93"/>
      <c r="K1212" s="93"/>
      <c r="L1212" s="93"/>
      <c r="M1212" s="93"/>
      <c r="N1212" s="93"/>
      <c r="O1212" s="93"/>
      <c r="P1212" s="93"/>
      <c r="Q1212" s="93"/>
      <c r="R1212" s="93">
        <f t="shared" ref="R1212:AK1212" si="196">SUM(I1211:R1211)</f>
        <v>1730</v>
      </c>
      <c r="S1212" s="93">
        <f t="shared" si="196"/>
        <v>1734</v>
      </c>
      <c r="T1212" s="93">
        <f t="shared" si="196"/>
        <v>1610</v>
      </c>
      <c r="U1212" s="93">
        <f t="shared" si="196"/>
        <v>1395</v>
      </c>
      <c r="V1212" s="93">
        <f t="shared" si="196"/>
        <v>1366</v>
      </c>
      <c r="W1212" s="93">
        <f t="shared" si="196"/>
        <v>1243</v>
      </c>
      <c r="X1212" s="93">
        <f t="shared" si="196"/>
        <v>1164</v>
      </c>
      <c r="Y1212" s="93">
        <f t="shared" si="196"/>
        <v>1173</v>
      </c>
      <c r="Z1212" s="93">
        <f t="shared" si="196"/>
        <v>1235</v>
      </c>
      <c r="AA1212" s="93">
        <f t="shared" si="196"/>
        <v>1300</v>
      </c>
      <c r="AB1212" s="93">
        <f t="shared" si="196"/>
        <v>1465</v>
      </c>
      <c r="AC1212" s="93">
        <f t="shared" si="196"/>
        <v>1515</v>
      </c>
      <c r="AD1212" s="93">
        <f t="shared" si="196"/>
        <v>1451</v>
      </c>
      <c r="AE1212" s="93">
        <f t="shared" si="196"/>
        <v>1345</v>
      </c>
      <c r="AF1212" s="93">
        <f t="shared" si="196"/>
        <v>1218</v>
      </c>
      <c r="AG1212" s="93">
        <f t="shared" si="196"/>
        <v>1085</v>
      </c>
      <c r="AH1212" s="93">
        <f t="shared" si="196"/>
        <v>999</v>
      </c>
      <c r="AI1212" s="93">
        <f t="shared" si="196"/>
        <v>825</v>
      </c>
      <c r="AJ1212" s="93">
        <f t="shared" si="196"/>
        <v>583</v>
      </c>
      <c r="AK1212" s="93">
        <f t="shared" si="196"/>
        <v>348</v>
      </c>
    </row>
    <row r="1213" spans="2:37" x14ac:dyDescent="0.25">
      <c r="B1213" s="92"/>
      <c r="C1213" s="91"/>
      <c r="D1213" s="91"/>
      <c r="E1213" s="91"/>
      <c r="F1213" s="91" t="s">
        <v>1361</v>
      </c>
      <c r="G1213" s="91"/>
      <c r="H1213" s="91" t="s">
        <v>23</v>
      </c>
      <c r="I1213" s="93"/>
      <c r="J1213" s="93"/>
      <c r="K1213" s="93"/>
      <c r="L1213" s="93"/>
      <c r="M1213" s="93"/>
      <c r="N1213" s="93"/>
      <c r="O1213" s="93"/>
      <c r="P1213" s="93"/>
      <c r="Q1213" s="93"/>
      <c r="R1213" s="93"/>
      <c r="S1213" s="93"/>
      <c r="T1213" s="93">
        <f>SUM($T1211:T1211)</f>
        <v>63</v>
      </c>
      <c r="U1213" s="93">
        <f>SUM($T1211:U1211)</f>
        <v>169</v>
      </c>
      <c r="V1213" s="93">
        <f>SUM($T1211:V1211)</f>
        <v>296</v>
      </c>
      <c r="W1213" s="93">
        <f>SUM($T1211:W1211)</f>
        <v>429</v>
      </c>
      <c r="X1213" s="93">
        <f>SUM($T1211:X1211)</f>
        <v>515</v>
      </c>
      <c r="Y1213" s="93">
        <f>SUM($T1211:Y1211)</f>
        <v>689</v>
      </c>
      <c r="Z1213" s="93">
        <f>SUM($T1211:Z1211)</f>
        <v>931</v>
      </c>
      <c r="AA1213" s="93">
        <f>SUM($T1211:AA1211)</f>
        <v>1166</v>
      </c>
      <c r="AB1213" s="93">
        <f>SUM($T1211:AB1211)</f>
        <v>1399</v>
      </c>
      <c r="AC1213" s="93">
        <f>SUM($T1211:AC1211)</f>
        <v>1515</v>
      </c>
      <c r="AD1213" s="93">
        <f>SUM($T1211:AD1211)</f>
        <v>1514</v>
      </c>
      <c r="AE1213" s="93">
        <f>SUM($T1211:AE1211)</f>
        <v>1514</v>
      </c>
      <c r="AF1213" s="93">
        <f>SUM($T1211:AF1211)</f>
        <v>1514</v>
      </c>
      <c r="AG1213" s="93">
        <f>SUM($T1211:AG1211)</f>
        <v>1514</v>
      </c>
      <c r="AH1213" s="93">
        <f>SUM($T1211:AH1211)</f>
        <v>1514</v>
      </c>
      <c r="AI1213" s="93">
        <f>SUM($T1211:AI1211)</f>
        <v>1514</v>
      </c>
      <c r="AJ1213" s="93">
        <f>SUM($T1211:AJ1211)</f>
        <v>1514</v>
      </c>
      <c r="AK1213" s="93">
        <f>SUM($T1211:AK1211)</f>
        <v>1514</v>
      </c>
    </row>
    <row r="1214" spans="2:37" x14ac:dyDescent="0.25">
      <c r="B1214" s="92"/>
      <c r="C1214" s="91"/>
      <c r="D1214" s="91"/>
      <c r="E1214" s="91"/>
      <c r="F1214" s="91" t="s">
        <v>1362</v>
      </c>
      <c r="G1214" s="91"/>
      <c r="H1214" s="91" t="s">
        <v>23</v>
      </c>
      <c r="I1214" s="93"/>
      <c r="J1214" s="93"/>
      <c r="K1214" s="93"/>
      <c r="L1214" s="93"/>
      <c r="M1214" s="93"/>
      <c r="N1214" s="93"/>
      <c r="O1214" s="93"/>
      <c r="P1214" s="93"/>
      <c r="Q1214" s="93"/>
      <c r="R1214" s="93"/>
      <c r="S1214" s="93"/>
      <c r="T1214" s="93"/>
      <c r="U1214" s="93"/>
      <c r="V1214" s="93"/>
      <c r="W1214" s="93"/>
      <c r="X1214" s="93"/>
      <c r="Y1214" s="93"/>
      <c r="Z1214" s="93"/>
      <c r="AA1214" s="93"/>
      <c r="AB1214" s="93">
        <f>SUM($AB1211:AB1211)</f>
        <v>233</v>
      </c>
      <c r="AC1214" s="93">
        <f>SUM($AB1211:AC1211)</f>
        <v>349</v>
      </c>
      <c r="AD1214" s="93">
        <f>SUM($AB1211:AD1211)</f>
        <v>348</v>
      </c>
      <c r="AE1214" s="93">
        <f>SUM($AB1211:AE1211)</f>
        <v>348</v>
      </c>
      <c r="AF1214" s="93">
        <f>SUM($AB1211:AF1211)</f>
        <v>348</v>
      </c>
      <c r="AG1214" s="93">
        <f>SUM($AB1211:AG1211)</f>
        <v>348</v>
      </c>
      <c r="AH1214" s="93">
        <f>SUM($AB1211:AH1211)</f>
        <v>348</v>
      </c>
      <c r="AI1214" s="93">
        <f>SUM($AB1211:AI1211)</f>
        <v>348</v>
      </c>
      <c r="AJ1214" s="93">
        <f>SUM($AB1211:AJ1211)</f>
        <v>348</v>
      </c>
      <c r="AK1214" s="93">
        <f>SUM($AB1211:AK1211)</f>
        <v>348</v>
      </c>
    </row>
    <row r="1215" spans="2:37" x14ac:dyDescent="0.25">
      <c r="B1215" s="92"/>
      <c r="C1215" s="91"/>
      <c r="D1215" s="91"/>
      <c r="E1215" s="4" t="s">
        <v>46</v>
      </c>
      <c r="F1215" s="4"/>
      <c r="G1215" s="91"/>
      <c r="H1215" s="91"/>
      <c r="I1215" s="93"/>
      <c r="J1215" s="93"/>
      <c r="K1215" s="93"/>
      <c r="L1215" s="93"/>
      <c r="M1215" s="93"/>
      <c r="N1215" s="93"/>
      <c r="O1215" s="93"/>
      <c r="P1215" s="93"/>
      <c r="Q1215" s="93"/>
      <c r="R1215" s="93"/>
      <c r="S1215" s="93"/>
      <c r="T1215" s="93"/>
      <c r="U1215" s="93"/>
      <c r="V1215" s="93"/>
      <c r="W1215" s="93"/>
      <c r="X1215" s="93"/>
      <c r="Y1215" s="93"/>
      <c r="Z1215" s="93"/>
      <c r="AA1215" s="93"/>
      <c r="AB1215" s="93"/>
      <c r="AC1215" s="93"/>
      <c r="AD1215" s="93"/>
      <c r="AE1215" s="93"/>
      <c r="AF1215" s="93"/>
      <c r="AG1215" s="93"/>
      <c r="AH1215" s="93"/>
      <c r="AI1215" s="93"/>
      <c r="AJ1215" s="93"/>
      <c r="AK1215" s="93"/>
    </row>
    <row r="1216" spans="2:37" x14ac:dyDescent="0.25">
      <c r="B1216" s="92"/>
      <c r="C1216" s="91"/>
      <c r="D1216" s="91"/>
      <c r="E1216" s="4"/>
      <c r="F1216" s="4" t="s">
        <v>1359</v>
      </c>
      <c r="G1216" s="91"/>
      <c r="H1216" s="4" t="s">
        <v>23</v>
      </c>
      <c r="I1216" s="69">
        <f>Datasheet!I75</f>
        <v>0</v>
      </c>
      <c r="J1216" s="69">
        <f>Datasheet!J75</f>
        <v>0</v>
      </c>
      <c r="K1216" s="69">
        <f>Datasheet!K75</f>
        <v>0</v>
      </c>
      <c r="L1216" s="69">
        <f>Datasheet!L75</f>
        <v>0</v>
      </c>
      <c r="M1216" s="69">
        <f>Datasheet!M75</f>
        <v>1</v>
      </c>
      <c r="N1216" s="69">
        <f>Datasheet!N75</f>
        <v>1</v>
      </c>
      <c r="O1216" s="69">
        <f>Datasheet!O75</f>
        <v>0</v>
      </c>
      <c r="P1216" s="69">
        <f>Datasheet!P75</f>
        <v>1</v>
      </c>
      <c r="Q1216" s="69">
        <f>Datasheet!Q75</f>
        <v>0</v>
      </c>
      <c r="R1216" s="69">
        <f>Datasheet!R75</f>
        <v>0</v>
      </c>
      <c r="S1216" s="69">
        <f>Datasheet!S75</f>
        <v>0</v>
      </c>
      <c r="T1216" s="69">
        <f>Datasheet!T75</f>
        <v>0</v>
      </c>
      <c r="U1216" s="69">
        <f>Datasheet!U75</f>
        <v>2</v>
      </c>
      <c r="V1216" s="69">
        <f>Datasheet!V75</f>
        <v>0</v>
      </c>
      <c r="W1216" s="69">
        <f>Datasheet!W75</f>
        <v>0</v>
      </c>
      <c r="X1216" s="69">
        <f>Datasheet!X75</f>
        <v>0</v>
      </c>
      <c r="Y1216" s="69">
        <f>Datasheet!Y75</f>
        <v>0</v>
      </c>
      <c r="Z1216" s="69">
        <f>Datasheet!Z75</f>
        <v>0</v>
      </c>
      <c r="AA1216" s="69">
        <f>Datasheet!AA75</f>
        <v>1</v>
      </c>
      <c r="AB1216" s="69">
        <f>Datasheet!AB75</f>
        <v>2</v>
      </c>
      <c r="AC1216" s="69">
        <f>Datasheet!AC75</f>
        <v>1</v>
      </c>
      <c r="AD1216" s="69">
        <f>Datasheet!AD75</f>
        <v>0</v>
      </c>
      <c r="AE1216" s="69">
        <f>Datasheet!AE75</f>
        <v>0</v>
      </c>
      <c r="AF1216" s="69">
        <f>Datasheet!AF75</f>
        <v>0</v>
      </c>
      <c r="AG1216" s="69">
        <f>Datasheet!AG75</f>
        <v>0</v>
      </c>
      <c r="AH1216" s="69">
        <f>Datasheet!AH75</f>
        <v>0</v>
      </c>
      <c r="AI1216" s="69">
        <f>Datasheet!AI75</f>
        <v>0</v>
      </c>
      <c r="AJ1216" s="69">
        <f>Datasheet!AJ75</f>
        <v>0</v>
      </c>
      <c r="AK1216" s="69">
        <f>Datasheet!AK75</f>
        <v>0</v>
      </c>
    </row>
    <row r="1217" spans="2:37" x14ac:dyDescent="0.25">
      <c r="B1217" s="92"/>
      <c r="C1217" s="91"/>
      <c r="D1217" s="91"/>
      <c r="E1217" s="4"/>
      <c r="F1217" s="4" t="s">
        <v>1360</v>
      </c>
      <c r="G1217" s="91"/>
      <c r="H1217" s="4" t="s">
        <v>23</v>
      </c>
      <c r="I1217" s="93"/>
      <c r="J1217" s="93"/>
      <c r="K1217" s="93"/>
      <c r="L1217" s="93"/>
      <c r="M1217" s="93"/>
      <c r="N1217" s="93"/>
      <c r="O1217" s="93"/>
      <c r="P1217" s="93"/>
      <c r="Q1217" s="93"/>
      <c r="R1217" s="69">
        <f t="shared" ref="R1217:AK1217" si="197">SUM(I1216:R1216)</f>
        <v>3</v>
      </c>
      <c r="S1217" s="69">
        <f t="shared" si="197"/>
        <v>3</v>
      </c>
      <c r="T1217" s="69">
        <f t="shared" si="197"/>
        <v>3</v>
      </c>
      <c r="U1217" s="69">
        <f t="shared" si="197"/>
        <v>5</v>
      </c>
      <c r="V1217" s="69">
        <f t="shared" si="197"/>
        <v>5</v>
      </c>
      <c r="W1217" s="69">
        <f t="shared" si="197"/>
        <v>4</v>
      </c>
      <c r="X1217" s="69">
        <f t="shared" si="197"/>
        <v>3</v>
      </c>
      <c r="Y1217" s="69">
        <f t="shared" si="197"/>
        <v>3</v>
      </c>
      <c r="Z1217" s="69">
        <f t="shared" si="197"/>
        <v>2</v>
      </c>
      <c r="AA1217" s="69">
        <f t="shared" si="197"/>
        <v>3</v>
      </c>
      <c r="AB1217" s="69">
        <f t="shared" si="197"/>
        <v>5</v>
      </c>
      <c r="AC1217" s="69">
        <f t="shared" si="197"/>
        <v>6</v>
      </c>
      <c r="AD1217" s="69">
        <f t="shared" si="197"/>
        <v>6</v>
      </c>
      <c r="AE1217" s="69">
        <f t="shared" si="197"/>
        <v>4</v>
      </c>
      <c r="AF1217" s="69">
        <f t="shared" si="197"/>
        <v>4</v>
      </c>
      <c r="AG1217" s="69">
        <f t="shared" si="197"/>
        <v>4</v>
      </c>
      <c r="AH1217" s="69">
        <f t="shared" si="197"/>
        <v>4</v>
      </c>
      <c r="AI1217" s="69">
        <f t="shared" si="197"/>
        <v>4</v>
      </c>
      <c r="AJ1217" s="69">
        <f t="shared" si="197"/>
        <v>4</v>
      </c>
      <c r="AK1217" s="69">
        <f t="shared" si="197"/>
        <v>3</v>
      </c>
    </row>
    <row r="1218" spans="2:37" x14ac:dyDescent="0.25">
      <c r="B1218" s="92"/>
      <c r="C1218" s="91"/>
      <c r="D1218" s="91"/>
      <c r="E1218" s="4"/>
      <c r="F1218" s="4" t="s">
        <v>1361</v>
      </c>
      <c r="G1218" s="91"/>
      <c r="H1218" s="4" t="s">
        <v>23</v>
      </c>
      <c r="I1218" s="93"/>
      <c r="J1218" s="93"/>
      <c r="K1218" s="93"/>
      <c r="L1218" s="93"/>
      <c r="M1218" s="93"/>
      <c r="N1218" s="93"/>
      <c r="O1218" s="93"/>
      <c r="P1218" s="93"/>
      <c r="Q1218" s="93"/>
      <c r="R1218" s="69"/>
      <c r="S1218" s="69"/>
      <c r="T1218" s="69">
        <f>SUM($T1216:T1216)</f>
        <v>0</v>
      </c>
      <c r="U1218" s="69">
        <f>SUM($T1216:U1216)</f>
        <v>2</v>
      </c>
      <c r="V1218" s="69">
        <f>SUM($T1216:V1216)</f>
        <v>2</v>
      </c>
      <c r="W1218" s="69">
        <f>SUM($T1216:W1216)</f>
        <v>2</v>
      </c>
      <c r="X1218" s="69">
        <f>SUM($T1216:X1216)</f>
        <v>2</v>
      </c>
      <c r="Y1218" s="69">
        <f>SUM($T1216:Y1216)</f>
        <v>2</v>
      </c>
      <c r="Z1218" s="69">
        <f>SUM($T1216:Z1216)</f>
        <v>2</v>
      </c>
      <c r="AA1218" s="69">
        <f>SUM($T1216:AA1216)</f>
        <v>3</v>
      </c>
      <c r="AB1218" s="69">
        <f>SUM($T1216:AB1216)</f>
        <v>5</v>
      </c>
      <c r="AC1218" s="69">
        <f>SUM($T1216:AC1216)</f>
        <v>6</v>
      </c>
      <c r="AD1218" s="69">
        <f>SUM($T1216:AD1216)</f>
        <v>6</v>
      </c>
      <c r="AE1218" s="69">
        <f>SUM($T1216:AE1216)</f>
        <v>6</v>
      </c>
      <c r="AF1218" s="69">
        <f>SUM($T1216:AF1216)</f>
        <v>6</v>
      </c>
      <c r="AG1218" s="69">
        <f>SUM($T1216:AG1216)</f>
        <v>6</v>
      </c>
      <c r="AH1218" s="69">
        <f>SUM($T1216:AH1216)</f>
        <v>6</v>
      </c>
      <c r="AI1218" s="69">
        <f>SUM($T1216:AI1216)</f>
        <v>6</v>
      </c>
      <c r="AJ1218" s="69">
        <f>SUM($T1216:AJ1216)</f>
        <v>6</v>
      </c>
      <c r="AK1218" s="69">
        <f>SUM($T1216:AK1216)</f>
        <v>6</v>
      </c>
    </row>
    <row r="1219" spans="2:37" x14ac:dyDescent="0.25">
      <c r="B1219" s="92"/>
      <c r="C1219" s="91"/>
      <c r="D1219" s="91"/>
      <c r="E1219" s="4"/>
      <c r="F1219" s="4" t="s">
        <v>1362</v>
      </c>
      <c r="G1219" s="91"/>
      <c r="H1219" s="4" t="s">
        <v>23</v>
      </c>
      <c r="I1219" s="93"/>
      <c r="J1219" s="93"/>
      <c r="K1219" s="93"/>
      <c r="L1219" s="93"/>
      <c r="M1219" s="93"/>
      <c r="N1219" s="93"/>
      <c r="O1219" s="93"/>
      <c r="P1219" s="93"/>
      <c r="Q1219" s="93"/>
      <c r="R1219" s="69"/>
      <c r="S1219" s="69"/>
      <c r="T1219" s="69"/>
      <c r="U1219" s="69"/>
      <c r="V1219" s="69"/>
      <c r="W1219" s="69"/>
      <c r="X1219" s="69"/>
      <c r="Y1219" s="69"/>
      <c r="Z1219" s="69"/>
      <c r="AA1219" s="69"/>
      <c r="AB1219" s="69">
        <f>SUM($AB1216:AB1216)</f>
        <v>2</v>
      </c>
      <c r="AC1219" s="69">
        <f>SUM($AB1216:AC1216)</f>
        <v>3</v>
      </c>
      <c r="AD1219" s="69">
        <f>SUM($AB1216:AD1216)</f>
        <v>3</v>
      </c>
      <c r="AE1219" s="69">
        <f>SUM($AB1216:AE1216)</f>
        <v>3</v>
      </c>
      <c r="AF1219" s="69">
        <f>SUM($AB1216:AF1216)</f>
        <v>3</v>
      </c>
      <c r="AG1219" s="69">
        <f>SUM($AB1216:AG1216)</f>
        <v>3</v>
      </c>
      <c r="AH1219" s="69">
        <f>SUM($AB1216:AH1216)</f>
        <v>3</v>
      </c>
      <c r="AI1219" s="69">
        <f>SUM($AB1216:AI1216)</f>
        <v>3</v>
      </c>
      <c r="AJ1219" s="69">
        <f>SUM($AB1216:AJ1216)</f>
        <v>3</v>
      </c>
      <c r="AK1219" s="69">
        <f>SUM($AB1216:AK1216)</f>
        <v>3</v>
      </c>
    </row>
    <row r="1220" spans="2:37" x14ac:dyDescent="0.25">
      <c r="B1220" s="92"/>
      <c r="C1220" s="91"/>
      <c r="D1220" s="91"/>
      <c r="E1220" s="4" t="s">
        <v>1363</v>
      </c>
      <c r="F1220" s="4"/>
      <c r="G1220" s="91"/>
      <c r="H1220" s="91"/>
      <c r="I1220" s="93"/>
      <c r="J1220" s="93"/>
      <c r="K1220" s="93"/>
      <c r="L1220" s="93"/>
      <c r="M1220" s="93"/>
      <c r="N1220" s="93"/>
      <c r="O1220" s="93"/>
      <c r="P1220" s="93"/>
      <c r="Q1220" s="93"/>
      <c r="R1220" s="69"/>
      <c r="S1220" s="60"/>
      <c r="T1220" s="69"/>
      <c r="U1220" s="69"/>
      <c r="V1220" s="69"/>
      <c r="W1220" s="69"/>
      <c r="X1220" s="69"/>
      <c r="Y1220" s="69"/>
      <c r="Z1220" s="69"/>
      <c r="AA1220" s="69"/>
      <c r="AB1220" s="69"/>
      <c r="AC1220" s="69"/>
      <c r="AD1220" s="69"/>
      <c r="AE1220" s="69"/>
      <c r="AF1220" s="69"/>
      <c r="AG1220" s="69"/>
      <c r="AH1220" s="69"/>
      <c r="AI1220" s="69"/>
      <c r="AJ1220" s="69"/>
      <c r="AK1220" s="69"/>
    </row>
    <row r="1221" spans="2:37" x14ac:dyDescent="0.25">
      <c r="B1221" s="92"/>
      <c r="C1221" s="91"/>
      <c r="D1221" s="91"/>
      <c r="E1221" s="4"/>
      <c r="F1221" s="4" t="s">
        <v>1359</v>
      </c>
      <c r="G1221" s="91"/>
      <c r="H1221" s="4" t="s">
        <v>23</v>
      </c>
      <c r="I1221" s="69">
        <f>Datasheet!I76</f>
        <v>43</v>
      </c>
      <c r="J1221" s="69">
        <f>Datasheet!J76</f>
        <v>111</v>
      </c>
      <c r="K1221" s="69">
        <f>Datasheet!K76</f>
        <v>83</v>
      </c>
      <c r="L1221" s="69">
        <f>Datasheet!L76</f>
        <v>91</v>
      </c>
      <c r="M1221" s="69">
        <f>Datasheet!M76</f>
        <v>130</v>
      </c>
      <c r="N1221" s="69">
        <f>Datasheet!N76</f>
        <v>102</v>
      </c>
      <c r="O1221" s="69">
        <f>Datasheet!O76</f>
        <v>131</v>
      </c>
      <c r="P1221" s="69">
        <f>Datasheet!P76</f>
        <v>90</v>
      </c>
      <c r="Q1221" s="69">
        <f>Datasheet!Q76</f>
        <v>96</v>
      </c>
      <c r="R1221" s="69">
        <f>Datasheet!R76</f>
        <v>45</v>
      </c>
      <c r="S1221" s="69">
        <f>Datasheet!S76</f>
        <v>48</v>
      </c>
      <c r="T1221" s="69">
        <f>Datasheet!T76</f>
        <v>48</v>
      </c>
      <c r="U1221" s="69">
        <f>Datasheet!U76</f>
        <v>54</v>
      </c>
      <c r="V1221" s="69">
        <f>Datasheet!V76</f>
        <v>94</v>
      </c>
      <c r="W1221" s="69">
        <f>Datasheet!W76</f>
        <v>84</v>
      </c>
      <c r="X1221" s="69">
        <f>Datasheet!X76</f>
        <v>96</v>
      </c>
      <c r="Y1221" s="69">
        <f>Datasheet!Y76</f>
        <v>96</v>
      </c>
      <c r="Z1221" s="69">
        <f>Datasheet!Z76</f>
        <v>104</v>
      </c>
      <c r="AA1221" s="69">
        <f>Datasheet!AA76</f>
        <v>78</v>
      </c>
      <c r="AB1221" s="69">
        <f>Datasheet!AB76</f>
        <v>56</v>
      </c>
      <c r="AC1221" s="69">
        <f>Datasheet!AC76</f>
        <v>54</v>
      </c>
      <c r="AD1221" s="69">
        <f>Datasheet!AD76</f>
        <v>-1</v>
      </c>
      <c r="AE1221" s="69">
        <f>Datasheet!AE76</f>
        <v>0</v>
      </c>
      <c r="AF1221" s="69">
        <f>Datasheet!AF76</f>
        <v>0</v>
      </c>
      <c r="AG1221" s="69">
        <f>Datasheet!AG76</f>
        <v>0</v>
      </c>
      <c r="AH1221" s="69">
        <f>Datasheet!AH76</f>
        <v>0</v>
      </c>
      <c r="AI1221" s="69">
        <f>Datasheet!AI76</f>
        <v>0</v>
      </c>
      <c r="AJ1221" s="69">
        <f>Datasheet!AJ76</f>
        <v>0</v>
      </c>
      <c r="AK1221" s="69">
        <f>Datasheet!AK76</f>
        <v>0</v>
      </c>
    </row>
    <row r="1222" spans="2:37" x14ac:dyDescent="0.25">
      <c r="B1222" s="92"/>
      <c r="C1222" s="91"/>
      <c r="D1222" s="91"/>
      <c r="E1222" s="4"/>
      <c r="F1222" s="4" t="s">
        <v>1360</v>
      </c>
      <c r="G1222" s="91"/>
      <c r="H1222" s="4" t="s">
        <v>23</v>
      </c>
      <c r="I1222" s="69"/>
      <c r="J1222" s="69"/>
      <c r="K1222" s="69"/>
      <c r="L1222" s="69"/>
      <c r="M1222" s="69"/>
      <c r="N1222" s="69"/>
      <c r="O1222" s="69"/>
      <c r="P1222" s="69"/>
      <c r="Q1222" s="69"/>
      <c r="R1222" s="69">
        <f t="shared" ref="R1222:AK1222" si="198">SUM(I1221:R1221)</f>
        <v>922</v>
      </c>
      <c r="S1222" s="69">
        <f t="shared" si="198"/>
        <v>927</v>
      </c>
      <c r="T1222" s="69">
        <f t="shared" si="198"/>
        <v>864</v>
      </c>
      <c r="U1222" s="69">
        <f t="shared" si="198"/>
        <v>835</v>
      </c>
      <c r="V1222" s="69">
        <f t="shared" si="198"/>
        <v>838</v>
      </c>
      <c r="W1222" s="69">
        <f t="shared" si="198"/>
        <v>792</v>
      </c>
      <c r="X1222" s="69">
        <f t="shared" si="198"/>
        <v>786</v>
      </c>
      <c r="Y1222" s="69">
        <f t="shared" si="198"/>
        <v>751</v>
      </c>
      <c r="Z1222" s="69">
        <f t="shared" si="198"/>
        <v>765</v>
      </c>
      <c r="AA1222" s="69">
        <f t="shared" si="198"/>
        <v>747</v>
      </c>
      <c r="AB1222" s="69">
        <f t="shared" si="198"/>
        <v>758</v>
      </c>
      <c r="AC1222" s="69">
        <f t="shared" si="198"/>
        <v>764</v>
      </c>
      <c r="AD1222" s="69">
        <f t="shared" si="198"/>
        <v>715</v>
      </c>
      <c r="AE1222" s="69">
        <f t="shared" si="198"/>
        <v>661</v>
      </c>
      <c r="AF1222" s="69">
        <f t="shared" si="198"/>
        <v>567</v>
      </c>
      <c r="AG1222" s="69">
        <f t="shared" si="198"/>
        <v>483</v>
      </c>
      <c r="AH1222" s="69">
        <f t="shared" si="198"/>
        <v>387</v>
      </c>
      <c r="AI1222" s="69">
        <f t="shared" si="198"/>
        <v>291</v>
      </c>
      <c r="AJ1222" s="69">
        <f t="shared" si="198"/>
        <v>187</v>
      </c>
      <c r="AK1222" s="69">
        <f t="shared" si="198"/>
        <v>109</v>
      </c>
    </row>
    <row r="1223" spans="2:37" x14ac:dyDescent="0.25">
      <c r="B1223" s="92"/>
      <c r="C1223" s="91"/>
      <c r="D1223" s="91"/>
      <c r="E1223" s="4"/>
      <c r="F1223" s="4" t="s">
        <v>1361</v>
      </c>
      <c r="G1223" s="91"/>
      <c r="H1223" s="4" t="s">
        <v>23</v>
      </c>
      <c r="I1223" s="69"/>
      <c r="J1223" s="69"/>
      <c r="K1223" s="69"/>
      <c r="L1223" s="69"/>
      <c r="M1223" s="69"/>
      <c r="N1223" s="69"/>
      <c r="O1223" s="69"/>
      <c r="P1223" s="69"/>
      <c r="Q1223" s="69"/>
      <c r="R1223" s="69"/>
      <c r="S1223" s="69"/>
      <c r="T1223" s="69">
        <f>SUM($T1221:T1221)</f>
        <v>48</v>
      </c>
      <c r="U1223" s="69">
        <f>SUM($T1221:U1221)</f>
        <v>102</v>
      </c>
      <c r="V1223" s="69">
        <f>SUM($T1221:V1221)</f>
        <v>196</v>
      </c>
      <c r="W1223" s="69">
        <f>SUM($T1221:W1221)</f>
        <v>280</v>
      </c>
      <c r="X1223" s="69">
        <f>SUM($T1221:X1221)</f>
        <v>376</v>
      </c>
      <c r="Y1223" s="69">
        <f>SUM($T1221:Y1221)</f>
        <v>472</v>
      </c>
      <c r="Z1223" s="69">
        <f>SUM($T1221:Z1221)</f>
        <v>576</v>
      </c>
      <c r="AA1223" s="69">
        <f>SUM($T1221:AA1221)</f>
        <v>654</v>
      </c>
      <c r="AB1223" s="69">
        <f>SUM($T1221:AB1221)</f>
        <v>710</v>
      </c>
      <c r="AC1223" s="69">
        <f>SUM($T1221:AC1221)</f>
        <v>764</v>
      </c>
      <c r="AD1223" s="69">
        <f>SUM($T1221:AD1221)</f>
        <v>763</v>
      </c>
      <c r="AE1223" s="69">
        <f>SUM($T1221:AE1221)</f>
        <v>763</v>
      </c>
      <c r="AF1223" s="69">
        <f>SUM($T1221:AF1221)</f>
        <v>763</v>
      </c>
      <c r="AG1223" s="69">
        <f>SUM($T1221:AG1221)</f>
        <v>763</v>
      </c>
      <c r="AH1223" s="69">
        <f>SUM($T1221:AH1221)</f>
        <v>763</v>
      </c>
      <c r="AI1223" s="69">
        <f>SUM($T1221:AI1221)</f>
        <v>763</v>
      </c>
      <c r="AJ1223" s="69">
        <f>SUM($T1221:AJ1221)</f>
        <v>763</v>
      </c>
      <c r="AK1223" s="69">
        <f>SUM($T1221:AK1221)</f>
        <v>763</v>
      </c>
    </row>
    <row r="1224" spans="2:37" x14ac:dyDescent="0.25">
      <c r="B1224" s="92"/>
      <c r="C1224" s="91"/>
      <c r="D1224" s="91"/>
      <c r="E1224" s="4"/>
      <c r="F1224" s="4" t="s">
        <v>1362</v>
      </c>
      <c r="G1224" s="91"/>
      <c r="H1224" s="4" t="s">
        <v>23</v>
      </c>
      <c r="I1224" s="69"/>
      <c r="J1224" s="69"/>
      <c r="K1224" s="69"/>
      <c r="L1224" s="69"/>
      <c r="M1224" s="69"/>
      <c r="N1224" s="69"/>
      <c r="O1224" s="69"/>
      <c r="P1224" s="69"/>
      <c r="Q1224" s="69"/>
      <c r="R1224" s="69"/>
      <c r="S1224" s="69"/>
      <c r="T1224" s="69"/>
      <c r="U1224" s="69"/>
      <c r="V1224" s="69"/>
      <c r="W1224" s="69"/>
      <c r="X1224" s="69"/>
      <c r="Y1224" s="69"/>
      <c r="Z1224" s="69"/>
      <c r="AA1224" s="69"/>
      <c r="AB1224" s="69">
        <f>SUM($AB1221:AB1221)</f>
        <v>56</v>
      </c>
      <c r="AC1224" s="69">
        <f>SUM($AB1221:AC1221)</f>
        <v>110</v>
      </c>
      <c r="AD1224" s="69">
        <f>SUM($AB1221:AD1221)</f>
        <v>109</v>
      </c>
      <c r="AE1224" s="69">
        <f>SUM($AB1221:AE1221)</f>
        <v>109</v>
      </c>
      <c r="AF1224" s="69">
        <f>SUM($AB1221:AF1221)</f>
        <v>109</v>
      </c>
      <c r="AG1224" s="69">
        <f>SUM($AB1221:AG1221)</f>
        <v>109</v>
      </c>
      <c r="AH1224" s="69">
        <f>SUM($AB1221:AH1221)</f>
        <v>109</v>
      </c>
      <c r="AI1224" s="69">
        <f>SUM($AB1221:AI1221)</f>
        <v>109</v>
      </c>
      <c r="AJ1224" s="69">
        <f>SUM($AB1221:AJ1221)</f>
        <v>109</v>
      </c>
      <c r="AK1224" s="69">
        <f>SUM($AB1221:AK1221)</f>
        <v>109</v>
      </c>
    </row>
    <row r="1225" spans="2:37" x14ac:dyDescent="0.25">
      <c r="B1225" s="92"/>
      <c r="C1225" s="91"/>
      <c r="D1225" s="91"/>
      <c r="E1225" s="4" t="s">
        <v>1364</v>
      </c>
      <c r="F1225" s="4"/>
      <c r="G1225" s="91"/>
      <c r="H1225" s="91"/>
      <c r="I1225" s="69"/>
      <c r="J1225" s="69"/>
      <c r="K1225" s="69"/>
      <c r="L1225" s="69"/>
      <c r="M1225" s="69"/>
      <c r="N1225" s="69"/>
      <c r="O1225" s="69"/>
      <c r="P1225" s="69"/>
      <c r="Q1225" s="69"/>
      <c r="R1225" s="69"/>
      <c r="S1225" s="69"/>
      <c r="T1225" s="69"/>
      <c r="U1225" s="69"/>
      <c r="V1225" s="69"/>
      <c r="W1225" s="69"/>
      <c r="X1225" s="69"/>
      <c r="Y1225" s="69"/>
      <c r="Z1225" s="69"/>
      <c r="AA1225" s="69"/>
      <c r="AB1225" s="69"/>
      <c r="AC1225" s="69"/>
      <c r="AD1225" s="69"/>
      <c r="AE1225" s="69"/>
      <c r="AF1225" s="69"/>
      <c r="AG1225" s="69"/>
      <c r="AH1225" s="69"/>
      <c r="AI1225" s="69"/>
      <c r="AJ1225" s="69"/>
      <c r="AK1225" s="69"/>
    </row>
    <row r="1226" spans="2:37" x14ac:dyDescent="0.25">
      <c r="B1226" s="92"/>
      <c r="C1226" s="91"/>
      <c r="D1226" s="91"/>
      <c r="E1226" s="4"/>
      <c r="F1226" s="4" t="s">
        <v>1359</v>
      </c>
      <c r="G1226" s="91"/>
      <c r="H1226" s="4" t="s">
        <v>23</v>
      </c>
      <c r="I1226" s="69">
        <f>Datasheet!I77</f>
        <v>13</v>
      </c>
      <c r="J1226" s="69">
        <f>Datasheet!J77</f>
        <v>14</v>
      </c>
      <c r="K1226" s="69">
        <f>Datasheet!K77</f>
        <v>91</v>
      </c>
      <c r="L1226" s="69">
        <f>Datasheet!L77</f>
        <v>3</v>
      </c>
      <c r="M1226" s="69">
        <f>Datasheet!M77</f>
        <v>62</v>
      </c>
      <c r="N1226" s="69">
        <f>Datasheet!N77</f>
        <v>11</v>
      </c>
      <c r="O1226" s="69">
        <f>Datasheet!O77</f>
        <v>18</v>
      </c>
      <c r="P1226" s="69">
        <f>Datasheet!P77</f>
        <v>58</v>
      </c>
      <c r="Q1226" s="69">
        <f>Datasheet!Q77</f>
        <v>58</v>
      </c>
      <c r="R1226" s="69">
        <f>Datasheet!R77</f>
        <v>21</v>
      </c>
      <c r="S1226" s="69">
        <f>Datasheet!S77</f>
        <v>14</v>
      </c>
      <c r="T1226" s="69">
        <f>Datasheet!T77</f>
        <v>12</v>
      </c>
      <c r="U1226" s="69">
        <f>Datasheet!U77</f>
        <v>14</v>
      </c>
      <c r="V1226" s="69">
        <f>Datasheet!V77</f>
        <v>9</v>
      </c>
      <c r="W1226" s="69">
        <f>Datasheet!W77</f>
        <v>34</v>
      </c>
      <c r="X1226" s="69">
        <f>Datasheet!X77</f>
        <v>1</v>
      </c>
      <c r="Y1226" s="69">
        <f>Datasheet!Y77</f>
        <v>32</v>
      </c>
      <c r="Z1226" s="69">
        <f>Datasheet!Z77</f>
        <v>39</v>
      </c>
      <c r="AA1226" s="69">
        <f>Datasheet!AA77</f>
        <v>12</v>
      </c>
      <c r="AB1226" s="69">
        <f>Datasheet!AB77</f>
        <v>28</v>
      </c>
      <c r="AC1226" s="69">
        <f>Datasheet!AC77</f>
        <v>15</v>
      </c>
      <c r="AD1226" s="69">
        <f>Datasheet!AD77</f>
        <v>0</v>
      </c>
      <c r="AE1226" s="69">
        <f>Datasheet!AE77</f>
        <v>0</v>
      </c>
      <c r="AF1226" s="69">
        <f>Datasheet!AF77</f>
        <v>0</v>
      </c>
      <c r="AG1226" s="69">
        <f>Datasheet!AG77</f>
        <v>0</v>
      </c>
      <c r="AH1226" s="69">
        <f>Datasheet!AH77</f>
        <v>0</v>
      </c>
      <c r="AI1226" s="69">
        <f>Datasheet!AI77</f>
        <v>0</v>
      </c>
      <c r="AJ1226" s="69">
        <f>Datasheet!AJ77</f>
        <v>0</v>
      </c>
      <c r="AK1226" s="69">
        <f>Datasheet!AK77</f>
        <v>0</v>
      </c>
    </row>
    <row r="1227" spans="2:37" x14ac:dyDescent="0.25">
      <c r="B1227" s="92"/>
      <c r="C1227" s="91"/>
      <c r="D1227" s="91"/>
      <c r="E1227" s="4"/>
      <c r="F1227" s="4" t="s">
        <v>1360</v>
      </c>
      <c r="G1227" s="91"/>
      <c r="H1227" s="4" t="s">
        <v>23</v>
      </c>
      <c r="I1227" s="69"/>
      <c r="J1227" s="69"/>
      <c r="K1227" s="69"/>
      <c r="L1227" s="69"/>
      <c r="M1227" s="69"/>
      <c r="N1227" s="69"/>
      <c r="O1227" s="69"/>
      <c r="P1227" s="69"/>
      <c r="Q1227" s="69"/>
      <c r="R1227" s="69">
        <f t="shared" ref="R1227:AK1227" si="199">SUM(I1226:R1226)</f>
        <v>349</v>
      </c>
      <c r="S1227" s="69">
        <f t="shared" si="199"/>
        <v>350</v>
      </c>
      <c r="T1227" s="69">
        <f t="shared" si="199"/>
        <v>348</v>
      </c>
      <c r="U1227" s="69">
        <f t="shared" si="199"/>
        <v>271</v>
      </c>
      <c r="V1227" s="69">
        <f t="shared" si="199"/>
        <v>277</v>
      </c>
      <c r="W1227" s="69">
        <f t="shared" si="199"/>
        <v>249</v>
      </c>
      <c r="X1227" s="69">
        <f t="shared" si="199"/>
        <v>239</v>
      </c>
      <c r="Y1227" s="69">
        <f t="shared" si="199"/>
        <v>253</v>
      </c>
      <c r="Z1227" s="69">
        <f t="shared" si="199"/>
        <v>234</v>
      </c>
      <c r="AA1227" s="69">
        <f t="shared" si="199"/>
        <v>188</v>
      </c>
      <c r="AB1227" s="69">
        <f t="shared" si="199"/>
        <v>195</v>
      </c>
      <c r="AC1227" s="69">
        <f t="shared" si="199"/>
        <v>196</v>
      </c>
      <c r="AD1227" s="69">
        <f t="shared" si="199"/>
        <v>184</v>
      </c>
      <c r="AE1227" s="69">
        <f t="shared" si="199"/>
        <v>170</v>
      </c>
      <c r="AF1227" s="69">
        <f t="shared" si="199"/>
        <v>161</v>
      </c>
      <c r="AG1227" s="69">
        <f t="shared" si="199"/>
        <v>127</v>
      </c>
      <c r="AH1227" s="69">
        <f t="shared" si="199"/>
        <v>126</v>
      </c>
      <c r="AI1227" s="69">
        <f t="shared" si="199"/>
        <v>94</v>
      </c>
      <c r="AJ1227" s="69">
        <f t="shared" si="199"/>
        <v>55</v>
      </c>
      <c r="AK1227" s="69">
        <f t="shared" si="199"/>
        <v>43</v>
      </c>
    </row>
    <row r="1228" spans="2:37" x14ac:dyDescent="0.25">
      <c r="B1228" s="92"/>
      <c r="C1228" s="91"/>
      <c r="D1228" s="91"/>
      <c r="E1228" s="4"/>
      <c r="F1228" s="4" t="s">
        <v>1361</v>
      </c>
      <c r="G1228" s="91"/>
      <c r="H1228" s="4" t="s">
        <v>23</v>
      </c>
      <c r="I1228" s="69"/>
      <c r="J1228" s="69"/>
      <c r="K1228" s="69"/>
      <c r="L1228" s="69"/>
      <c r="M1228" s="69"/>
      <c r="N1228" s="69"/>
      <c r="O1228" s="69"/>
      <c r="P1228" s="69"/>
      <c r="Q1228" s="69"/>
      <c r="R1228" s="69"/>
      <c r="S1228" s="69"/>
      <c r="T1228" s="69">
        <f>SUM($T1226:T1226)</f>
        <v>12</v>
      </c>
      <c r="U1228" s="69">
        <f>SUM($T1226:U1226)</f>
        <v>26</v>
      </c>
      <c r="V1228" s="69">
        <f>SUM($T1226:V1226)</f>
        <v>35</v>
      </c>
      <c r="W1228" s="69">
        <f>SUM($T1226:W1226)</f>
        <v>69</v>
      </c>
      <c r="X1228" s="69">
        <f>SUM($T1226:X1226)</f>
        <v>70</v>
      </c>
      <c r="Y1228" s="69">
        <f>SUM($T1226:Y1226)</f>
        <v>102</v>
      </c>
      <c r="Z1228" s="69">
        <f>SUM($T1226:Z1226)</f>
        <v>141</v>
      </c>
      <c r="AA1228" s="69">
        <f>SUM($T1226:AA1226)</f>
        <v>153</v>
      </c>
      <c r="AB1228" s="69">
        <f>SUM($T1226:AB1226)</f>
        <v>181</v>
      </c>
      <c r="AC1228" s="69">
        <f>SUM($T1226:AC1226)</f>
        <v>196</v>
      </c>
      <c r="AD1228" s="69">
        <f>SUM($T1226:AD1226)</f>
        <v>196</v>
      </c>
      <c r="AE1228" s="69">
        <f>SUM($T1226:AE1226)</f>
        <v>196</v>
      </c>
      <c r="AF1228" s="69">
        <f>SUM($T1226:AF1226)</f>
        <v>196</v>
      </c>
      <c r="AG1228" s="69">
        <f>SUM($T1226:AG1226)</f>
        <v>196</v>
      </c>
      <c r="AH1228" s="69">
        <f>SUM($T1226:AH1226)</f>
        <v>196</v>
      </c>
      <c r="AI1228" s="69">
        <f>SUM($T1226:AI1226)</f>
        <v>196</v>
      </c>
      <c r="AJ1228" s="69">
        <f>SUM($T1226:AJ1226)</f>
        <v>196</v>
      </c>
      <c r="AK1228" s="69">
        <f>SUM($T1226:AK1226)</f>
        <v>196</v>
      </c>
    </row>
    <row r="1229" spans="2:37" x14ac:dyDescent="0.25">
      <c r="B1229" s="92"/>
      <c r="C1229" s="91"/>
      <c r="D1229" s="91"/>
      <c r="E1229" s="4"/>
      <c r="F1229" s="4" t="s">
        <v>1362</v>
      </c>
      <c r="G1229" s="91"/>
      <c r="H1229" s="4" t="s">
        <v>23</v>
      </c>
      <c r="I1229" s="69"/>
      <c r="J1229" s="69"/>
      <c r="K1229" s="69"/>
      <c r="L1229" s="69"/>
      <c r="M1229" s="69"/>
      <c r="N1229" s="69"/>
      <c r="O1229" s="69"/>
      <c r="P1229" s="69"/>
      <c r="Q1229" s="69"/>
      <c r="R1229" s="69"/>
      <c r="S1229" s="69"/>
      <c r="T1229" s="69"/>
      <c r="U1229" s="69"/>
      <c r="V1229" s="69"/>
      <c r="W1229" s="69"/>
      <c r="X1229" s="69"/>
      <c r="Y1229" s="69"/>
      <c r="Z1229" s="69"/>
      <c r="AA1229" s="69"/>
      <c r="AB1229" s="69">
        <f>SUM($AB1226:AB1226)</f>
        <v>28</v>
      </c>
      <c r="AC1229" s="69">
        <f>SUM($AB1226:AC1226)</f>
        <v>43</v>
      </c>
      <c r="AD1229" s="69">
        <f>SUM($AB1226:AD1226)</f>
        <v>43</v>
      </c>
      <c r="AE1229" s="69">
        <f>SUM($AB1226:AE1226)</f>
        <v>43</v>
      </c>
      <c r="AF1229" s="69">
        <f>SUM($AB1226:AF1226)</f>
        <v>43</v>
      </c>
      <c r="AG1229" s="69">
        <f>SUM($AB1226:AG1226)</f>
        <v>43</v>
      </c>
      <c r="AH1229" s="69">
        <f>SUM($AB1226:AH1226)</f>
        <v>43</v>
      </c>
      <c r="AI1229" s="69">
        <f>SUM($AB1226:AI1226)</f>
        <v>43</v>
      </c>
      <c r="AJ1229" s="69">
        <f>SUM($AB1226:AJ1226)</f>
        <v>43</v>
      </c>
      <c r="AK1229" s="69">
        <f>SUM($AB1226:AK1226)</f>
        <v>43</v>
      </c>
    </row>
    <row r="1230" spans="2:37" x14ac:dyDescent="0.25">
      <c r="B1230" s="92"/>
      <c r="C1230" s="91"/>
      <c r="D1230" s="91"/>
      <c r="E1230" s="4" t="s">
        <v>49</v>
      </c>
      <c r="F1230" s="4"/>
      <c r="G1230" s="91"/>
      <c r="H1230" s="91"/>
      <c r="I1230" s="69"/>
      <c r="J1230" s="69"/>
      <c r="K1230" s="69"/>
      <c r="L1230" s="69"/>
      <c r="M1230" s="69"/>
      <c r="N1230" s="69"/>
      <c r="O1230" s="69"/>
      <c r="P1230" s="69"/>
      <c r="Q1230" s="69"/>
      <c r="R1230" s="69"/>
      <c r="S1230" s="69"/>
      <c r="T1230" s="69"/>
      <c r="U1230" s="69"/>
      <c r="V1230" s="69"/>
      <c r="W1230" s="69"/>
      <c r="X1230" s="69"/>
      <c r="Y1230" s="69"/>
      <c r="Z1230" s="69"/>
      <c r="AA1230" s="69"/>
      <c r="AB1230" s="69"/>
      <c r="AC1230" s="69"/>
      <c r="AD1230" s="69"/>
      <c r="AE1230" s="69"/>
      <c r="AF1230" s="69"/>
      <c r="AG1230" s="69"/>
      <c r="AH1230" s="69"/>
      <c r="AI1230" s="69"/>
      <c r="AJ1230" s="69"/>
      <c r="AK1230" s="69"/>
    </row>
    <row r="1231" spans="2:37" x14ac:dyDescent="0.25">
      <c r="B1231" s="92"/>
      <c r="C1231" s="91"/>
      <c r="D1231" s="91"/>
      <c r="E1231" s="4"/>
      <c r="F1231" s="4" t="s">
        <v>1359</v>
      </c>
      <c r="G1231" s="91"/>
      <c r="H1231" s="4" t="s">
        <v>23</v>
      </c>
      <c r="I1231" s="69">
        <f>Datasheet!I78</f>
        <v>6</v>
      </c>
      <c r="J1231" s="69">
        <f>Datasheet!J78</f>
        <v>62</v>
      </c>
      <c r="K1231" s="69">
        <f>Datasheet!K78</f>
        <v>147</v>
      </c>
      <c r="L1231" s="69">
        <f>Datasheet!L78</f>
        <v>62</v>
      </c>
      <c r="M1231" s="69">
        <f>Datasheet!M78</f>
        <v>64</v>
      </c>
      <c r="N1231" s="69">
        <f>Datasheet!N78</f>
        <v>52</v>
      </c>
      <c r="O1231" s="69">
        <f>Datasheet!O78</f>
        <v>16</v>
      </c>
      <c r="P1231" s="69">
        <f>Datasheet!P78</f>
        <v>32</v>
      </c>
      <c r="Q1231" s="69">
        <f>Datasheet!Q78</f>
        <v>16</v>
      </c>
      <c r="R1231" s="69">
        <f>Datasheet!R78</f>
        <v>2</v>
      </c>
      <c r="S1231" s="69">
        <f>Datasheet!S78</f>
        <v>4</v>
      </c>
      <c r="T1231" s="69">
        <f>Datasheet!T78</f>
        <v>3</v>
      </c>
      <c r="U1231" s="69">
        <f>Datasheet!U78</f>
        <v>36</v>
      </c>
      <c r="V1231" s="69">
        <f>Datasheet!V78</f>
        <v>24</v>
      </c>
      <c r="W1231" s="69">
        <f>Datasheet!W78</f>
        <v>15</v>
      </c>
      <c r="X1231" s="69">
        <f>Datasheet!X78</f>
        <v>1</v>
      </c>
      <c r="Y1231" s="69">
        <f>Datasheet!Y78</f>
        <v>49</v>
      </c>
      <c r="Z1231" s="69">
        <f>Datasheet!Z78</f>
        <v>99</v>
      </c>
      <c r="AA1231" s="69">
        <f>Datasheet!AA78</f>
        <v>144</v>
      </c>
      <c r="AB1231" s="69">
        <f>Datasheet!AB78</f>
        <v>150</v>
      </c>
      <c r="AC1231" s="69">
        <f>Datasheet!AC78</f>
        <v>47</v>
      </c>
      <c r="AD1231" s="69">
        <f>Datasheet!AD78</f>
        <v>0</v>
      </c>
      <c r="AE1231" s="69">
        <f>Datasheet!AE78</f>
        <v>0</v>
      </c>
      <c r="AF1231" s="69">
        <f>Datasheet!AF78</f>
        <v>0</v>
      </c>
      <c r="AG1231" s="69">
        <f>Datasheet!AG78</f>
        <v>0</v>
      </c>
      <c r="AH1231" s="69">
        <f>Datasheet!AH78</f>
        <v>0</v>
      </c>
      <c r="AI1231" s="69">
        <f>Datasheet!AI78</f>
        <v>0</v>
      </c>
      <c r="AJ1231" s="69">
        <f>Datasheet!AJ78</f>
        <v>0</v>
      </c>
      <c r="AK1231" s="69">
        <f>Datasheet!AK78</f>
        <v>0</v>
      </c>
    </row>
    <row r="1232" spans="2:37" x14ac:dyDescent="0.25">
      <c r="B1232" s="92"/>
      <c r="C1232" s="91"/>
      <c r="D1232" s="91"/>
      <c r="E1232" s="4"/>
      <c r="F1232" s="4" t="s">
        <v>1360</v>
      </c>
      <c r="G1232" s="91"/>
      <c r="H1232" s="4" t="s">
        <v>23</v>
      </c>
      <c r="I1232" s="69"/>
      <c r="J1232" s="69"/>
      <c r="K1232" s="69"/>
      <c r="L1232" s="69"/>
      <c r="M1232" s="69"/>
      <c r="N1232" s="69"/>
      <c r="O1232" s="69"/>
      <c r="P1232" s="69"/>
      <c r="Q1232" s="69"/>
      <c r="R1232" s="69">
        <f t="shared" ref="R1232:AK1232" si="200">SUM(I1231:R1231)</f>
        <v>459</v>
      </c>
      <c r="S1232" s="69">
        <f t="shared" si="200"/>
        <v>457</v>
      </c>
      <c r="T1232" s="69">
        <f t="shared" si="200"/>
        <v>398</v>
      </c>
      <c r="U1232" s="69">
        <f t="shared" si="200"/>
        <v>287</v>
      </c>
      <c r="V1232" s="69">
        <f t="shared" si="200"/>
        <v>249</v>
      </c>
      <c r="W1232" s="69">
        <f t="shared" si="200"/>
        <v>200</v>
      </c>
      <c r="X1232" s="69">
        <f t="shared" si="200"/>
        <v>149</v>
      </c>
      <c r="Y1232" s="69">
        <f t="shared" si="200"/>
        <v>182</v>
      </c>
      <c r="Z1232" s="69">
        <f t="shared" si="200"/>
        <v>249</v>
      </c>
      <c r="AA1232" s="69">
        <f t="shared" si="200"/>
        <v>377</v>
      </c>
      <c r="AB1232" s="69">
        <f t="shared" si="200"/>
        <v>525</v>
      </c>
      <c r="AC1232" s="69">
        <f t="shared" si="200"/>
        <v>568</v>
      </c>
      <c r="AD1232" s="69">
        <f t="shared" si="200"/>
        <v>565</v>
      </c>
      <c r="AE1232" s="69">
        <f t="shared" si="200"/>
        <v>529</v>
      </c>
      <c r="AF1232" s="69">
        <f t="shared" si="200"/>
        <v>505</v>
      </c>
      <c r="AG1232" s="69">
        <f t="shared" si="200"/>
        <v>490</v>
      </c>
      <c r="AH1232" s="69">
        <f t="shared" si="200"/>
        <v>489</v>
      </c>
      <c r="AI1232" s="69">
        <f t="shared" si="200"/>
        <v>440</v>
      </c>
      <c r="AJ1232" s="69">
        <f t="shared" si="200"/>
        <v>341</v>
      </c>
      <c r="AK1232" s="69">
        <f t="shared" si="200"/>
        <v>197</v>
      </c>
    </row>
    <row r="1233" spans="2:37" x14ac:dyDescent="0.25">
      <c r="B1233" s="92"/>
      <c r="C1233" s="91"/>
      <c r="D1233" s="91"/>
      <c r="E1233" s="4"/>
      <c r="F1233" s="4" t="s">
        <v>1361</v>
      </c>
      <c r="G1233" s="91"/>
      <c r="H1233" s="4" t="s">
        <v>23</v>
      </c>
      <c r="I1233" s="69"/>
      <c r="J1233" s="69"/>
      <c r="K1233" s="69"/>
      <c r="L1233" s="69"/>
      <c r="M1233" s="69"/>
      <c r="N1233" s="69"/>
      <c r="O1233" s="69"/>
      <c r="P1233" s="69"/>
      <c r="Q1233" s="69"/>
      <c r="R1233" s="69"/>
      <c r="S1233" s="69"/>
      <c r="T1233" s="69">
        <f>SUM($T1231:T1231)</f>
        <v>3</v>
      </c>
      <c r="U1233" s="69">
        <f>SUM($T1231:U1231)</f>
        <v>39</v>
      </c>
      <c r="V1233" s="69">
        <f>SUM($T1231:V1231)</f>
        <v>63</v>
      </c>
      <c r="W1233" s="69">
        <f>SUM($T1231:W1231)</f>
        <v>78</v>
      </c>
      <c r="X1233" s="69">
        <f>SUM($T1231:X1231)</f>
        <v>79</v>
      </c>
      <c r="Y1233" s="69">
        <f>SUM($T1231:Y1231)</f>
        <v>128</v>
      </c>
      <c r="Z1233" s="69">
        <f>SUM($T1231:Z1231)</f>
        <v>227</v>
      </c>
      <c r="AA1233" s="69">
        <f>SUM($T1231:AA1231)</f>
        <v>371</v>
      </c>
      <c r="AB1233" s="69">
        <f>SUM($T1231:AB1231)</f>
        <v>521</v>
      </c>
      <c r="AC1233" s="69">
        <f>SUM($T1231:AC1231)</f>
        <v>568</v>
      </c>
      <c r="AD1233" s="69">
        <f>SUM($T1231:AD1231)</f>
        <v>568</v>
      </c>
      <c r="AE1233" s="69">
        <f>SUM($T1231:AE1231)</f>
        <v>568</v>
      </c>
      <c r="AF1233" s="69">
        <f>SUM($T1231:AF1231)</f>
        <v>568</v>
      </c>
      <c r="AG1233" s="69">
        <f>SUM($T1231:AG1231)</f>
        <v>568</v>
      </c>
      <c r="AH1233" s="69">
        <f>SUM($T1231:AH1231)</f>
        <v>568</v>
      </c>
      <c r="AI1233" s="69">
        <f>SUM($T1231:AI1231)</f>
        <v>568</v>
      </c>
      <c r="AJ1233" s="69">
        <f>SUM($T1231:AJ1231)</f>
        <v>568</v>
      </c>
      <c r="AK1233" s="69">
        <f>SUM($T1231:AK1231)</f>
        <v>568</v>
      </c>
    </row>
    <row r="1234" spans="2:37" x14ac:dyDescent="0.25">
      <c r="B1234" s="92"/>
      <c r="C1234" s="91"/>
      <c r="D1234" s="91"/>
      <c r="E1234" s="4"/>
      <c r="F1234" s="4" t="s">
        <v>1362</v>
      </c>
      <c r="G1234" s="91"/>
      <c r="H1234" s="4" t="s">
        <v>23</v>
      </c>
      <c r="I1234" s="69"/>
      <c r="J1234" s="69"/>
      <c r="K1234" s="69"/>
      <c r="L1234" s="69"/>
      <c r="M1234" s="69"/>
      <c r="N1234" s="69"/>
      <c r="O1234" s="69"/>
      <c r="P1234" s="69"/>
      <c r="Q1234" s="69"/>
      <c r="R1234" s="69"/>
      <c r="S1234" s="69"/>
      <c r="T1234" s="69"/>
      <c r="U1234" s="69"/>
      <c r="V1234" s="69"/>
      <c r="W1234" s="69"/>
      <c r="X1234" s="69"/>
      <c r="Y1234" s="69"/>
      <c r="Z1234" s="69"/>
      <c r="AA1234" s="69"/>
      <c r="AB1234" s="69">
        <f>SUM($AB1231:AB1231)</f>
        <v>150</v>
      </c>
      <c r="AC1234" s="69">
        <f>SUM($AB1231:AC1231)</f>
        <v>197</v>
      </c>
      <c r="AD1234" s="69">
        <f>SUM($AB1231:AD1231)</f>
        <v>197</v>
      </c>
      <c r="AE1234" s="69">
        <f>SUM($AB1231:AE1231)</f>
        <v>197</v>
      </c>
      <c r="AF1234" s="69">
        <f>SUM($AB1231:AF1231)</f>
        <v>197</v>
      </c>
      <c r="AG1234" s="69">
        <f>SUM($AB1231:AG1231)</f>
        <v>197</v>
      </c>
      <c r="AH1234" s="69">
        <f>SUM($AB1231:AH1231)</f>
        <v>197</v>
      </c>
      <c r="AI1234" s="69">
        <f>SUM($AB1231:AI1231)</f>
        <v>197</v>
      </c>
      <c r="AJ1234" s="69">
        <f>SUM($AB1231:AJ1231)</f>
        <v>197</v>
      </c>
      <c r="AK1234" s="69">
        <f>SUM($AB1231:AK1231)</f>
        <v>197</v>
      </c>
    </row>
    <row r="1235" spans="2:37" x14ac:dyDescent="0.25">
      <c r="B1235" s="92"/>
      <c r="C1235" s="91"/>
      <c r="D1235" s="91"/>
      <c r="E1235" s="4" t="s">
        <v>52</v>
      </c>
      <c r="F1235" s="4"/>
      <c r="G1235" s="91"/>
      <c r="H1235" s="91"/>
      <c r="I1235" s="69"/>
      <c r="J1235" s="69"/>
      <c r="K1235" s="69"/>
      <c r="L1235" s="69"/>
      <c r="M1235" s="69"/>
      <c r="N1235" s="69"/>
      <c r="O1235" s="69"/>
      <c r="P1235" s="69"/>
      <c r="Q1235" s="69"/>
      <c r="R1235" s="69"/>
      <c r="S1235" s="69"/>
      <c r="T1235" s="69"/>
      <c r="U1235" s="69"/>
      <c r="V1235" s="69"/>
      <c r="W1235" s="69"/>
      <c r="X1235" s="69"/>
      <c r="Y1235" s="69"/>
      <c r="Z1235" s="69"/>
      <c r="AA1235" s="69"/>
      <c r="AB1235" s="69"/>
      <c r="AC1235" s="69"/>
      <c r="AD1235" s="69"/>
      <c r="AE1235" s="69"/>
      <c r="AF1235" s="69"/>
      <c r="AG1235" s="69"/>
      <c r="AH1235" s="69"/>
      <c r="AI1235" s="69"/>
      <c r="AJ1235" s="69"/>
      <c r="AK1235" s="69"/>
    </row>
    <row r="1236" spans="2:37" x14ac:dyDescent="0.25">
      <c r="B1236" s="92"/>
      <c r="C1236" s="91"/>
      <c r="D1236" s="91"/>
      <c r="E1236" s="4"/>
      <c r="F1236" s="4" t="s">
        <v>1359</v>
      </c>
      <c r="G1236" s="91"/>
      <c r="H1236" s="4" t="s">
        <v>23</v>
      </c>
      <c r="I1236" s="69">
        <f>Datasheet!I80</f>
        <v>0</v>
      </c>
      <c r="J1236" s="69">
        <f>Datasheet!J80</f>
        <v>0</v>
      </c>
      <c r="K1236" s="69">
        <f>Datasheet!K80</f>
        <v>0</v>
      </c>
      <c r="L1236" s="69">
        <f>Datasheet!L80</f>
        <v>0</v>
      </c>
      <c r="M1236" s="69">
        <f>Datasheet!M80</f>
        <v>0</v>
      </c>
      <c r="N1236" s="69">
        <f>Datasheet!N80</f>
        <v>0</v>
      </c>
      <c r="O1236" s="69">
        <f>Datasheet!O80</f>
        <v>0</v>
      </c>
      <c r="P1236" s="69">
        <f>Datasheet!P80</f>
        <v>0</v>
      </c>
      <c r="Q1236" s="69">
        <f>Datasheet!Q80</f>
        <v>0</v>
      </c>
      <c r="R1236" s="69">
        <f>Datasheet!R80</f>
        <v>0</v>
      </c>
      <c r="S1236" s="69">
        <f>Datasheet!S80</f>
        <v>0</v>
      </c>
      <c r="T1236" s="69">
        <f>Datasheet!T80</f>
        <v>0</v>
      </c>
      <c r="U1236" s="69">
        <f>Datasheet!U80</f>
        <v>0</v>
      </c>
      <c r="V1236" s="69">
        <f>Datasheet!V80</f>
        <v>0</v>
      </c>
      <c r="W1236" s="69">
        <f>Datasheet!W80</f>
        <v>0</v>
      </c>
      <c r="X1236" s="69">
        <f>Datasheet!X80</f>
        <v>-12</v>
      </c>
      <c r="Y1236" s="69">
        <f>Datasheet!Y80</f>
        <v>-3</v>
      </c>
      <c r="Z1236" s="69">
        <f>Datasheet!Z80</f>
        <v>0</v>
      </c>
      <c r="AA1236" s="69">
        <f>Datasheet!AA80</f>
        <v>0</v>
      </c>
      <c r="AB1236" s="69">
        <f>Datasheet!AB80</f>
        <v>-3</v>
      </c>
      <c r="AC1236" s="69">
        <f>Datasheet!AC80</f>
        <v>-1</v>
      </c>
      <c r="AD1236" s="69">
        <f>Datasheet!AD80</f>
        <v>0</v>
      </c>
      <c r="AE1236" s="69">
        <f>Datasheet!AE80</f>
        <v>0</v>
      </c>
      <c r="AF1236" s="69">
        <f>Datasheet!AF80</f>
        <v>0</v>
      </c>
      <c r="AG1236" s="69">
        <f>Datasheet!AG80</f>
        <v>0</v>
      </c>
      <c r="AH1236" s="69">
        <f>Datasheet!AH80</f>
        <v>0</v>
      </c>
      <c r="AI1236" s="69">
        <f>Datasheet!AI80</f>
        <v>0</v>
      </c>
      <c r="AJ1236" s="69">
        <f>Datasheet!AJ80</f>
        <v>0</v>
      </c>
      <c r="AK1236" s="69">
        <f>Datasheet!AK80</f>
        <v>0</v>
      </c>
    </row>
    <row r="1237" spans="2:37" x14ac:dyDescent="0.25">
      <c r="B1237" s="92"/>
      <c r="C1237" s="91"/>
      <c r="D1237" s="91"/>
      <c r="E1237" s="4"/>
      <c r="F1237" s="4" t="s">
        <v>1360</v>
      </c>
      <c r="G1237" s="91"/>
      <c r="H1237" s="4" t="s">
        <v>23</v>
      </c>
      <c r="I1237" s="69"/>
      <c r="J1237" s="69"/>
      <c r="K1237" s="69"/>
      <c r="L1237" s="69"/>
      <c r="M1237" s="69"/>
      <c r="N1237" s="69"/>
      <c r="O1237" s="69"/>
      <c r="P1237" s="69"/>
      <c r="Q1237" s="69"/>
      <c r="R1237" s="69">
        <f t="shared" ref="R1237:AK1237" si="201">SUM(I1236:R1236)</f>
        <v>0</v>
      </c>
      <c r="S1237" s="69">
        <f t="shared" si="201"/>
        <v>0</v>
      </c>
      <c r="T1237" s="69">
        <f t="shared" si="201"/>
        <v>0</v>
      </c>
      <c r="U1237" s="69">
        <f t="shared" si="201"/>
        <v>0</v>
      </c>
      <c r="V1237" s="69">
        <f t="shared" si="201"/>
        <v>0</v>
      </c>
      <c r="W1237" s="69">
        <f t="shared" si="201"/>
        <v>0</v>
      </c>
      <c r="X1237" s="69">
        <f t="shared" si="201"/>
        <v>-12</v>
      </c>
      <c r="Y1237" s="69">
        <f t="shared" si="201"/>
        <v>-15</v>
      </c>
      <c r="Z1237" s="69">
        <f t="shared" si="201"/>
        <v>-15</v>
      </c>
      <c r="AA1237" s="69">
        <f t="shared" si="201"/>
        <v>-15</v>
      </c>
      <c r="AB1237" s="69">
        <f t="shared" si="201"/>
        <v>-18</v>
      </c>
      <c r="AC1237" s="69">
        <f t="shared" si="201"/>
        <v>-19</v>
      </c>
      <c r="AD1237" s="69">
        <f t="shared" si="201"/>
        <v>-19</v>
      </c>
      <c r="AE1237" s="69">
        <f t="shared" si="201"/>
        <v>-19</v>
      </c>
      <c r="AF1237" s="69">
        <f t="shared" si="201"/>
        <v>-19</v>
      </c>
      <c r="AG1237" s="69">
        <f t="shared" si="201"/>
        <v>-19</v>
      </c>
      <c r="AH1237" s="69">
        <f t="shared" si="201"/>
        <v>-7</v>
      </c>
      <c r="AI1237" s="69">
        <f t="shared" si="201"/>
        <v>-4</v>
      </c>
      <c r="AJ1237" s="69">
        <f t="shared" si="201"/>
        <v>-4</v>
      </c>
      <c r="AK1237" s="69">
        <f t="shared" si="201"/>
        <v>-4</v>
      </c>
    </row>
    <row r="1238" spans="2:37" x14ac:dyDescent="0.25">
      <c r="B1238" s="92"/>
      <c r="C1238" s="91"/>
      <c r="D1238" s="91"/>
      <c r="E1238" s="4"/>
      <c r="F1238" s="4" t="s">
        <v>1361</v>
      </c>
      <c r="G1238" s="91"/>
      <c r="H1238" s="4" t="s">
        <v>23</v>
      </c>
      <c r="I1238" s="69"/>
      <c r="J1238" s="69"/>
      <c r="K1238" s="69"/>
      <c r="L1238" s="69"/>
      <c r="M1238" s="69"/>
      <c r="N1238" s="69"/>
      <c r="O1238" s="69"/>
      <c r="P1238" s="69"/>
      <c r="Q1238" s="69"/>
      <c r="R1238" s="69"/>
      <c r="S1238" s="69"/>
      <c r="T1238" s="69">
        <f>SUM($T1236:T1236)</f>
        <v>0</v>
      </c>
      <c r="U1238" s="69">
        <f>SUM($T1236:U1236)</f>
        <v>0</v>
      </c>
      <c r="V1238" s="69">
        <f>SUM($T1236:V1236)</f>
        <v>0</v>
      </c>
      <c r="W1238" s="69">
        <f>SUM($T1236:W1236)</f>
        <v>0</v>
      </c>
      <c r="X1238" s="69">
        <f>SUM($T1236:X1236)</f>
        <v>-12</v>
      </c>
      <c r="Y1238" s="69">
        <f>SUM($T1236:Y1236)</f>
        <v>-15</v>
      </c>
      <c r="Z1238" s="69">
        <f>SUM($T1236:Z1236)</f>
        <v>-15</v>
      </c>
      <c r="AA1238" s="69">
        <f>SUM($T1236:AA1236)</f>
        <v>-15</v>
      </c>
      <c r="AB1238" s="69">
        <f>SUM($T1236:AB1236)</f>
        <v>-18</v>
      </c>
      <c r="AC1238" s="69">
        <f>SUM($T1236:AC1236)</f>
        <v>-19</v>
      </c>
      <c r="AD1238" s="69">
        <f>SUM($T1236:AD1236)</f>
        <v>-19</v>
      </c>
      <c r="AE1238" s="69">
        <f>SUM($T1236:AE1236)</f>
        <v>-19</v>
      </c>
      <c r="AF1238" s="69">
        <f>SUM($T1236:AF1236)</f>
        <v>-19</v>
      </c>
      <c r="AG1238" s="69">
        <f>SUM($T1236:AG1236)</f>
        <v>-19</v>
      </c>
      <c r="AH1238" s="69">
        <f>SUM($T1236:AH1236)</f>
        <v>-19</v>
      </c>
      <c r="AI1238" s="69">
        <f>SUM($T1236:AI1236)</f>
        <v>-19</v>
      </c>
      <c r="AJ1238" s="69">
        <f>SUM($T1236:AJ1236)</f>
        <v>-19</v>
      </c>
      <c r="AK1238" s="69">
        <f>SUM($T1236:AK1236)</f>
        <v>-19</v>
      </c>
    </row>
    <row r="1239" spans="2:37" x14ac:dyDescent="0.25">
      <c r="B1239" s="92"/>
      <c r="C1239" s="91"/>
      <c r="D1239" s="91"/>
      <c r="E1239" s="4"/>
      <c r="F1239" s="4" t="s">
        <v>1362</v>
      </c>
      <c r="G1239" s="91"/>
      <c r="H1239" s="4" t="s">
        <v>23</v>
      </c>
      <c r="I1239" s="69"/>
      <c r="J1239" s="69"/>
      <c r="K1239" s="69"/>
      <c r="L1239" s="69"/>
      <c r="M1239" s="69"/>
      <c r="N1239" s="69"/>
      <c r="O1239" s="69"/>
      <c r="P1239" s="69"/>
      <c r="Q1239" s="69"/>
      <c r="R1239" s="69"/>
      <c r="S1239" s="69"/>
      <c r="T1239" s="69"/>
      <c r="U1239" s="69"/>
      <c r="V1239" s="69"/>
      <c r="W1239" s="69"/>
      <c r="X1239" s="69"/>
      <c r="Y1239" s="69"/>
      <c r="Z1239" s="69"/>
      <c r="AA1239" s="69"/>
      <c r="AB1239" s="69">
        <f>SUM($AB1236:AB1236)</f>
        <v>-3</v>
      </c>
      <c r="AC1239" s="69">
        <f>SUM($AB1236:AC1236)</f>
        <v>-4</v>
      </c>
      <c r="AD1239" s="69">
        <f>SUM($AB1236:AD1236)</f>
        <v>-4</v>
      </c>
      <c r="AE1239" s="69">
        <f>SUM($AB1236:AE1236)</f>
        <v>-4</v>
      </c>
      <c r="AF1239" s="69">
        <f>SUM($AB1236:AF1236)</f>
        <v>-4</v>
      </c>
      <c r="AG1239" s="69">
        <f>SUM($AB1236:AG1236)</f>
        <v>-4</v>
      </c>
      <c r="AH1239" s="69">
        <f>SUM($AB1236:AH1236)</f>
        <v>-4</v>
      </c>
      <c r="AI1239" s="69">
        <f>SUM($AB1236:AI1236)</f>
        <v>-4</v>
      </c>
      <c r="AJ1239" s="69">
        <f>SUM($AB1236:AJ1236)</f>
        <v>-4</v>
      </c>
      <c r="AK1239" s="69">
        <f>SUM($AB1236:AK1236)</f>
        <v>-4</v>
      </c>
    </row>
    <row r="1240" spans="2:37" x14ac:dyDescent="0.25">
      <c r="B1240" s="92"/>
      <c r="C1240" s="91"/>
      <c r="D1240" s="4" t="s">
        <v>50</v>
      </c>
      <c r="E1240" s="91"/>
      <c r="F1240" s="4"/>
      <c r="G1240" s="91"/>
      <c r="H1240" s="91"/>
      <c r="I1240" s="69"/>
      <c r="J1240" s="69"/>
      <c r="K1240" s="69"/>
      <c r="L1240" s="69"/>
      <c r="M1240" s="69"/>
      <c r="N1240" s="69"/>
      <c r="O1240" s="69"/>
      <c r="P1240" s="69"/>
      <c r="Q1240" s="69"/>
      <c r="R1240" s="69"/>
      <c r="S1240" s="69"/>
      <c r="T1240" s="69"/>
      <c r="U1240" s="69"/>
      <c r="V1240" s="69"/>
      <c r="W1240" s="69"/>
      <c r="X1240" s="69"/>
      <c r="Y1240" s="69"/>
      <c r="Z1240" s="69"/>
      <c r="AA1240" s="69"/>
      <c r="AB1240" s="69"/>
      <c r="AC1240" s="69"/>
      <c r="AD1240" s="69"/>
      <c r="AE1240" s="69"/>
      <c r="AF1240" s="69"/>
      <c r="AG1240" s="69"/>
      <c r="AH1240" s="69"/>
      <c r="AI1240" s="69"/>
      <c r="AJ1240" s="69"/>
      <c r="AK1240" s="69"/>
    </row>
    <row r="1241" spans="2:37" x14ac:dyDescent="0.25">
      <c r="B1241" s="92"/>
      <c r="C1241" s="91"/>
      <c r="D1241" s="91"/>
      <c r="E1241" s="4"/>
      <c r="F1241" s="4" t="s">
        <v>1359</v>
      </c>
      <c r="G1241" s="91"/>
      <c r="H1241" s="4" t="s">
        <v>51</v>
      </c>
      <c r="I1241" s="69">
        <f>Datasheet!I79</f>
        <v>2</v>
      </c>
      <c r="J1241" s="69">
        <f>Datasheet!J79</f>
        <v>20</v>
      </c>
      <c r="K1241" s="69">
        <f>Datasheet!K79</f>
        <v>23</v>
      </c>
      <c r="L1241" s="69">
        <f>Datasheet!L79</f>
        <v>20</v>
      </c>
      <c r="M1241" s="69">
        <f>Datasheet!M79</f>
        <v>17</v>
      </c>
      <c r="N1241" s="69">
        <f>Datasheet!N79</f>
        <v>22</v>
      </c>
      <c r="O1241" s="69">
        <f>Datasheet!O79</f>
        <v>14</v>
      </c>
      <c r="P1241" s="69">
        <f>Datasheet!P79</f>
        <v>27</v>
      </c>
      <c r="Q1241" s="69">
        <f>Datasheet!Q79</f>
        <v>21</v>
      </c>
      <c r="R1241" s="69">
        <f>Datasheet!R79</f>
        <v>20</v>
      </c>
      <c r="S1241" s="69">
        <f>Datasheet!S79</f>
        <v>12</v>
      </c>
      <c r="T1241" s="69">
        <f>Datasheet!T79</f>
        <v>15</v>
      </c>
      <c r="U1241" s="69">
        <f>Datasheet!U79</f>
        <v>11</v>
      </c>
      <c r="V1241" s="69">
        <f>Datasheet!V79</f>
        <v>21</v>
      </c>
      <c r="W1241" s="69">
        <f>Datasheet!W79</f>
        <v>21</v>
      </c>
      <c r="X1241" s="69">
        <f>Datasheet!X79</f>
        <v>26</v>
      </c>
      <c r="Y1241" s="69">
        <f>Datasheet!Y79</f>
        <v>24</v>
      </c>
      <c r="Z1241" s="69">
        <f>Datasheet!Z79</f>
        <v>26</v>
      </c>
      <c r="AA1241" s="69">
        <f>Datasheet!AA79</f>
        <v>30</v>
      </c>
      <c r="AB1241" s="69">
        <f>Datasheet!AB79</f>
        <v>25</v>
      </c>
      <c r="AC1241" s="69">
        <f>Datasheet!AC79</f>
        <v>22</v>
      </c>
      <c r="AD1241" s="69">
        <f>Datasheet!AD79</f>
        <v>-1</v>
      </c>
      <c r="AE1241" s="69">
        <f>Datasheet!AE79</f>
        <v>0</v>
      </c>
      <c r="AF1241" s="69">
        <f>Datasheet!AF79</f>
        <v>0</v>
      </c>
      <c r="AG1241" s="69">
        <f>Datasheet!AG79</f>
        <v>0</v>
      </c>
      <c r="AH1241" s="69">
        <f>Datasheet!AH79</f>
        <v>0</v>
      </c>
      <c r="AI1241" s="69">
        <f>Datasheet!AI79</f>
        <v>0</v>
      </c>
      <c r="AJ1241" s="69">
        <f>Datasheet!AJ79</f>
        <v>0</v>
      </c>
      <c r="AK1241" s="69">
        <f>Datasheet!AK79</f>
        <v>0</v>
      </c>
    </row>
    <row r="1242" spans="2:37" x14ac:dyDescent="0.25">
      <c r="B1242" s="92"/>
      <c r="C1242" s="91"/>
      <c r="D1242" s="91"/>
      <c r="E1242" s="4"/>
      <c r="F1242" s="4" t="s">
        <v>1360</v>
      </c>
      <c r="G1242" s="91"/>
      <c r="H1242" s="4" t="s">
        <v>51</v>
      </c>
      <c r="I1242" s="93"/>
      <c r="J1242" s="93"/>
      <c r="K1242" s="93"/>
      <c r="L1242" s="93"/>
      <c r="M1242" s="93"/>
      <c r="N1242" s="93"/>
      <c r="O1242" s="93"/>
      <c r="P1242" s="93"/>
      <c r="Q1242" s="93"/>
      <c r="R1242" s="69">
        <f t="shared" ref="R1242:AK1242" si="202">SUM(I1241:R1241)</f>
        <v>186</v>
      </c>
      <c r="S1242" s="69">
        <f t="shared" si="202"/>
        <v>196</v>
      </c>
      <c r="T1242" s="69">
        <f t="shared" si="202"/>
        <v>191</v>
      </c>
      <c r="U1242" s="69">
        <f t="shared" si="202"/>
        <v>179</v>
      </c>
      <c r="V1242" s="69">
        <f t="shared" si="202"/>
        <v>180</v>
      </c>
      <c r="W1242" s="69">
        <f t="shared" si="202"/>
        <v>184</v>
      </c>
      <c r="X1242" s="69">
        <f t="shared" si="202"/>
        <v>188</v>
      </c>
      <c r="Y1242" s="69">
        <f t="shared" si="202"/>
        <v>198</v>
      </c>
      <c r="Z1242" s="69">
        <f t="shared" si="202"/>
        <v>197</v>
      </c>
      <c r="AA1242" s="69">
        <f t="shared" si="202"/>
        <v>206</v>
      </c>
      <c r="AB1242" s="69">
        <f t="shared" si="202"/>
        <v>211</v>
      </c>
      <c r="AC1242" s="69">
        <f t="shared" si="202"/>
        <v>221</v>
      </c>
      <c r="AD1242" s="69">
        <f t="shared" si="202"/>
        <v>205</v>
      </c>
      <c r="AE1242" s="69">
        <f t="shared" si="202"/>
        <v>194</v>
      </c>
      <c r="AF1242" s="69">
        <f t="shared" si="202"/>
        <v>173</v>
      </c>
      <c r="AG1242" s="69">
        <f t="shared" si="202"/>
        <v>152</v>
      </c>
      <c r="AH1242" s="69">
        <f t="shared" si="202"/>
        <v>126</v>
      </c>
      <c r="AI1242" s="69">
        <f t="shared" si="202"/>
        <v>102</v>
      </c>
      <c r="AJ1242" s="69">
        <f t="shared" si="202"/>
        <v>76</v>
      </c>
      <c r="AK1242" s="69">
        <f t="shared" si="202"/>
        <v>46</v>
      </c>
    </row>
    <row r="1243" spans="2:37" x14ac:dyDescent="0.25">
      <c r="B1243" s="92"/>
      <c r="C1243" s="91"/>
      <c r="D1243" s="91"/>
      <c r="E1243" s="4"/>
      <c r="F1243" s="4" t="s">
        <v>1361</v>
      </c>
      <c r="G1243" s="91"/>
      <c r="H1243" s="4" t="s">
        <v>51</v>
      </c>
      <c r="I1243" s="93"/>
      <c r="J1243" s="93"/>
      <c r="K1243" s="93"/>
      <c r="L1243" s="93"/>
      <c r="M1243" s="93"/>
      <c r="N1243" s="93"/>
      <c r="O1243" s="93"/>
      <c r="P1243" s="93"/>
      <c r="Q1243" s="93"/>
      <c r="R1243" s="69"/>
      <c r="S1243" s="69"/>
      <c r="T1243" s="69">
        <f>SUM($T1241:T1241)</f>
        <v>15</v>
      </c>
      <c r="U1243" s="69">
        <f>SUM($T1241:U1241)</f>
        <v>26</v>
      </c>
      <c r="V1243" s="69">
        <f>SUM($T1241:V1241)</f>
        <v>47</v>
      </c>
      <c r="W1243" s="69">
        <f>SUM($T1241:W1241)</f>
        <v>68</v>
      </c>
      <c r="X1243" s="69">
        <f>SUM($T1241:X1241)</f>
        <v>94</v>
      </c>
      <c r="Y1243" s="69">
        <f>SUM($T1241:Y1241)</f>
        <v>118</v>
      </c>
      <c r="Z1243" s="69">
        <f>SUM($T1241:Z1241)</f>
        <v>144</v>
      </c>
      <c r="AA1243" s="69">
        <f>SUM($T1241:AA1241)</f>
        <v>174</v>
      </c>
      <c r="AB1243" s="69">
        <f>SUM($T1241:AB1241)</f>
        <v>199</v>
      </c>
      <c r="AC1243" s="69">
        <f>SUM($T1241:AC1241)</f>
        <v>221</v>
      </c>
      <c r="AD1243" s="69">
        <f>SUM($T1241:AD1241)</f>
        <v>220</v>
      </c>
      <c r="AE1243" s="69">
        <f>SUM($T1241:AE1241)</f>
        <v>220</v>
      </c>
      <c r="AF1243" s="69">
        <f>SUM($T1241:AF1241)</f>
        <v>220</v>
      </c>
      <c r="AG1243" s="69">
        <f>SUM($T1241:AG1241)</f>
        <v>220</v>
      </c>
      <c r="AH1243" s="69">
        <f>SUM($T1241:AH1241)</f>
        <v>220</v>
      </c>
      <c r="AI1243" s="69">
        <f>SUM($T1241:AI1241)</f>
        <v>220</v>
      </c>
      <c r="AJ1243" s="69">
        <f>SUM($T1241:AJ1241)</f>
        <v>220</v>
      </c>
      <c r="AK1243" s="69">
        <f>SUM($T1241:AK1241)</f>
        <v>220</v>
      </c>
    </row>
    <row r="1244" spans="2:37" x14ac:dyDescent="0.25">
      <c r="B1244" s="92"/>
      <c r="C1244" s="91"/>
      <c r="D1244" s="91"/>
      <c r="E1244" s="4"/>
      <c r="F1244" s="4" t="s">
        <v>1362</v>
      </c>
      <c r="G1244" s="91"/>
      <c r="H1244" s="4" t="s">
        <v>51</v>
      </c>
      <c r="I1244" s="93"/>
      <c r="J1244" s="93"/>
      <c r="K1244" s="93"/>
      <c r="L1244" s="93"/>
      <c r="M1244" s="93"/>
      <c r="N1244" s="93"/>
      <c r="O1244" s="93"/>
      <c r="P1244" s="93"/>
      <c r="Q1244" s="93"/>
      <c r="R1244" s="69"/>
      <c r="S1244" s="69"/>
      <c r="T1244" s="69"/>
      <c r="U1244" s="69"/>
      <c r="V1244" s="69"/>
      <c r="W1244" s="69"/>
      <c r="X1244" s="69"/>
      <c r="Y1244" s="69"/>
      <c r="Z1244" s="69"/>
      <c r="AA1244" s="69"/>
      <c r="AB1244" s="69">
        <f>SUM($AB1241:AB1241)</f>
        <v>25</v>
      </c>
      <c r="AC1244" s="69">
        <f>SUM($AB1241:AC1241)</f>
        <v>47</v>
      </c>
      <c r="AD1244" s="69">
        <f>SUM($AB1241:AD1241)</f>
        <v>46</v>
      </c>
      <c r="AE1244" s="69">
        <f>SUM($AB1241:AE1241)</f>
        <v>46</v>
      </c>
      <c r="AF1244" s="69">
        <f>SUM($AB1241:AF1241)</f>
        <v>46</v>
      </c>
      <c r="AG1244" s="69">
        <f>SUM($AB1241:AG1241)</f>
        <v>46</v>
      </c>
      <c r="AH1244" s="69">
        <f>SUM($AB1241:AH1241)</f>
        <v>46</v>
      </c>
      <c r="AI1244" s="69">
        <f>SUM($AB1241:AI1241)</f>
        <v>46</v>
      </c>
      <c r="AJ1244" s="69">
        <f>SUM($AB1241:AJ1241)</f>
        <v>46</v>
      </c>
      <c r="AK1244" s="69">
        <f>SUM($AB1241:AK1241)</f>
        <v>46</v>
      </c>
    </row>
    <row r="1245" spans="2:37" s="79" customFormat="1" x14ac:dyDescent="0.25">
      <c r="C1245" s="79" t="s">
        <v>1365</v>
      </c>
    </row>
    <row r="1246" spans="2:37" s="91" customFormat="1" x14ac:dyDescent="0.25">
      <c r="D1246" s="91" t="s">
        <v>1358</v>
      </c>
    </row>
    <row r="1247" spans="2:37" s="91" customFormat="1" x14ac:dyDescent="0.25">
      <c r="F1247" s="91" t="s">
        <v>1359</v>
      </c>
      <c r="H1247" s="91" t="s">
        <v>1366</v>
      </c>
      <c r="J1247" s="198">
        <f>J1165/Datasheet!I127</f>
        <v>2.9050393609302751E-2</v>
      </c>
      <c r="K1247" s="198">
        <f>K1165/Datasheet!J127</f>
        <v>3.0216048984195325E-2</v>
      </c>
      <c r="L1247" s="198">
        <f>L1165/Datasheet!K127</f>
        <v>1.8700797442494452E-2</v>
      </c>
      <c r="M1247" s="198">
        <f>M1165/Datasheet!L127</f>
        <v>3.7315567013185252E-2</v>
      </c>
      <c r="N1247" s="198">
        <f>N1165/Datasheet!M127</f>
        <v>4.8232749828606092E-2</v>
      </c>
      <c r="O1247" s="198">
        <f>O1165/Datasheet!N127</f>
        <v>1.0498424525848E-2</v>
      </c>
      <c r="P1247" s="198">
        <f>P1165/Datasheet!O127</f>
        <v>2.4060060702860007E-2</v>
      </c>
      <c r="Q1247" s="198">
        <f>Q1165/Datasheet!P127</f>
        <v>9.9059738570883484E-3</v>
      </c>
      <c r="R1247" s="198">
        <f>R1165/Datasheet!Q127</f>
        <v>8.4304988061913132E-3</v>
      </c>
      <c r="S1247" s="198">
        <f>S1165/Datasheet!R127</f>
        <v>7.0555300111897219E-3</v>
      </c>
      <c r="T1247" s="198">
        <f>T1165/Datasheet!S127</f>
        <v>5.5886387032662316E-3</v>
      </c>
      <c r="U1247" s="198">
        <f>U1165/Datasheet!T127</f>
        <v>1.4678533102021322E-2</v>
      </c>
      <c r="V1247" s="198">
        <f>V1165/Datasheet!U127</f>
        <v>6.4822025020283523E-3</v>
      </c>
      <c r="W1247" s="198">
        <f>W1165/Datasheet!V127</f>
        <v>6.4925023306705949E-3</v>
      </c>
      <c r="X1247" s="198">
        <f>X1165/Datasheet!W127</f>
        <v>5.3568936716737771E-3</v>
      </c>
      <c r="Y1247" s="198">
        <f>Y1165/Datasheet!X127</f>
        <v>1.2394526492811371E-2</v>
      </c>
      <c r="Z1247" s="198">
        <f>Z1165/Datasheet!Y127</f>
        <v>1.326038314867348E-2</v>
      </c>
      <c r="AA1247" s="198">
        <f>AA1165/Datasheet!Z127</f>
        <v>7.7956127679115333E-3</v>
      </c>
      <c r="AB1247" s="198">
        <f>AB1165/Datasheet!AA127</f>
        <v>4.9408697165336153E-4</v>
      </c>
      <c r="AC1247" s="198">
        <f>AC1165/Datasheet!AB127</f>
        <v>4.6533232826238176E-3</v>
      </c>
      <c r="AD1247" s="198">
        <f>AD1165/Datasheet!AC127</f>
        <v>0</v>
      </c>
      <c r="AE1247" s="198">
        <f>AE1165/Datasheet!AD127</f>
        <v>0</v>
      </c>
      <c r="AF1247" s="198">
        <f>AF1165/Datasheet!AE127</f>
        <v>0</v>
      </c>
      <c r="AG1247" s="198">
        <f>AG1165/Datasheet!AF127</f>
        <v>0</v>
      </c>
      <c r="AH1247" s="198">
        <f>AH1165/Datasheet!AG127</f>
        <v>0</v>
      </c>
      <c r="AI1247" s="198">
        <f>AI1165/Datasheet!AH127</f>
        <v>0</v>
      </c>
      <c r="AJ1247" s="198">
        <f>AJ1165/Datasheet!AI127</f>
        <v>0</v>
      </c>
      <c r="AK1247" s="198">
        <f>AK1165/Datasheet!AJ127</f>
        <v>0</v>
      </c>
    </row>
    <row r="1248" spans="2:37" s="91" customFormat="1" x14ac:dyDescent="0.25">
      <c r="F1248" s="91" t="s">
        <v>1360</v>
      </c>
      <c r="H1248" s="91" t="s">
        <v>1367</v>
      </c>
      <c r="R1248" s="198">
        <f>R1166/Datasheet!I127</f>
        <v>0.26144149132749356</v>
      </c>
      <c r="S1248" s="198">
        <f>S1166/Datasheet!J127</f>
        <v>0.23934416285785581</v>
      </c>
      <c r="T1248" s="198">
        <f>T1166/Datasheet!K127</f>
        <v>0.21149189863832299</v>
      </c>
      <c r="U1248" s="198">
        <f>U1166/Datasheet!L127</f>
        <v>0.19583147651539592</v>
      </c>
      <c r="V1248" s="198">
        <f>V1166/Datasheet!M127</f>
        <v>0.17843033656371723</v>
      </c>
      <c r="W1248" s="198">
        <f>W1166/Datasheet!N127</f>
        <v>0.14295337625380417</v>
      </c>
      <c r="X1248" s="198">
        <f>X1166/Datasheet!O127</f>
        <v>0.10172084314244001</v>
      </c>
      <c r="Y1248" s="198">
        <f>Y1166/Datasheet!P127</f>
        <v>0.10231778072212963</v>
      </c>
      <c r="Z1248" s="198">
        <f>Z1166/Datasheet!Q127</f>
        <v>9.2117715264825359E-2</v>
      </c>
      <c r="AA1248" s="198">
        <f>AA1166/Datasheet!R127</f>
        <v>8.9921272444831349E-2</v>
      </c>
      <c r="AB1248" s="198">
        <f>AB1166/Datasheet!S127</f>
        <v>8.151570238754044E-2</v>
      </c>
      <c r="AC1248" s="198">
        <f>AC1166/Datasheet!T127</f>
        <v>7.9117989552943732E-2</v>
      </c>
      <c r="AD1248" s="198">
        <f>AD1166/Datasheet!U127</f>
        <v>7.2575555668681582E-2</v>
      </c>
      <c r="AE1248" s="198">
        <f>AE1166/Datasheet!V127</f>
        <v>5.7786093412053902E-2</v>
      </c>
      <c r="AF1248" s="198">
        <f>AF1166/Datasheet!W127</f>
        <v>5.1066667020145652E-2</v>
      </c>
      <c r="AG1248" s="198">
        <f>AG1166/Datasheet!X127</f>
        <v>4.4422580080184133E-2</v>
      </c>
      <c r="AH1248" s="198">
        <f>AH1166/Datasheet!Y127</f>
        <v>3.8654025185258144E-2</v>
      </c>
      <c r="AI1248" s="198">
        <f>AI1166/Datasheet!Z127</f>
        <v>2.6081364707683869E-2</v>
      </c>
      <c r="AJ1248" s="198">
        <f>AJ1166/Datasheet!AA127</f>
        <v>1.2893783065070042E-2</v>
      </c>
      <c r="AK1248" s="198">
        <f>AK1166/Datasheet!AB127</f>
        <v>5.1471662528995233E-3</v>
      </c>
    </row>
    <row r="1249" spans="5:37" s="91" customFormat="1" x14ac:dyDescent="0.25">
      <c r="F1249" s="91" t="s">
        <v>1361</v>
      </c>
      <c r="H1249" s="91" t="s">
        <v>1368</v>
      </c>
      <c r="T1249" s="198">
        <f>T1167/Datasheet!$S127</f>
        <v>5.5886387032662316E-3</v>
      </c>
      <c r="U1249" s="198">
        <f>U1167/Datasheet!$S127</f>
        <v>2.0331507520444939E-2</v>
      </c>
      <c r="V1249" s="198">
        <f>V1167/Datasheet!$S127</f>
        <v>2.6929872322025393E-2</v>
      </c>
      <c r="W1249" s="198">
        <f>W1167/Datasheet!$S127</f>
        <v>3.3573733683222952E-2</v>
      </c>
      <c r="X1249" s="198">
        <f>X1167/Datasheet!$S127</f>
        <v>3.9084643931775492E-2</v>
      </c>
      <c r="Y1249" s="198">
        <f>Y1167/Datasheet!$S127</f>
        <v>5.1888888227721808E-2</v>
      </c>
      <c r="Z1249" s="198">
        <f>Z1167/Datasheet!$S127</f>
        <v>6.5741412927270954E-2</v>
      </c>
      <c r="AA1249" s="198">
        <f>AA1167/Datasheet!$S127</f>
        <v>7.3983728347604624E-2</v>
      </c>
      <c r="AB1249" s="198">
        <f>AB1167/Datasheet!$S127</f>
        <v>7.4509604112988168E-2</v>
      </c>
      <c r="AC1249" s="198">
        <f>AC1167/Datasheet!$S127</f>
        <v>7.9464762108779174E-2</v>
      </c>
      <c r="AD1249" s="198">
        <f>AD1167/Datasheet!$S127</f>
        <v>7.9464762108779174E-2</v>
      </c>
      <c r="AE1249" s="198">
        <f>AE1167/Datasheet!$S127</f>
        <v>7.9464762108779174E-2</v>
      </c>
      <c r="AF1249" s="198">
        <f>AF1167/Datasheet!$S127</f>
        <v>7.9464762108779174E-2</v>
      </c>
      <c r="AG1249" s="198">
        <f>AG1167/Datasheet!$S127</f>
        <v>7.9464762108779174E-2</v>
      </c>
      <c r="AH1249" s="198">
        <f>AH1167/Datasheet!$S127</f>
        <v>7.9464762108779174E-2</v>
      </c>
      <c r="AI1249" s="198">
        <f>AI1167/Datasheet!$S127</f>
        <v>7.9464762108779174E-2</v>
      </c>
      <c r="AJ1249" s="198">
        <f>AJ1167/Datasheet!$S127</f>
        <v>7.9464762108779174E-2</v>
      </c>
      <c r="AK1249" s="198">
        <f>AK1167/Datasheet!$S127</f>
        <v>7.9464762108779174E-2</v>
      </c>
    </row>
    <row r="1250" spans="5:37" s="91" customFormat="1" x14ac:dyDescent="0.25">
      <c r="F1250" s="91" t="s">
        <v>1362</v>
      </c>
      <c r="H1250" s="91" t="s">
        <v>1369</v>
      </c>
      <c r="AB1250" s="198">
        <f>AB1168/Datasheet!$AA127</f>
        <v>4.9408697165336153E-4</v>
      </c>
      <c r="AC1250" s="198">
        <f>AC1168/Datasheet!$AA127</f>
        <v>5.1497094006860145E-3</v>
      </c>
      <c r="AD1250" s="198">
        <f>AD1168/Datasheet!$AA127</f>
        <v>5.1497094006860145E-3</v>
      </c>
      <c r="AE1250" s="198">
        <f>AE1168/Datasheet!$AA127</f>
        <v>5.1497094006860145E-3</v>
      </c>
      <c r="AF1250" s="198">
        <f>AF1168/Datasheet!$AA127</f>
        <v>5.1497094006860145E-3</v>
      </c>
      <c r="AG1250" s="198">
        <f>AG1168/Datasheet!$AA127</f>
        <v>5.1497094006860145E-3</v>
      </c>
      <c r="AH1250" s="198">
        <f>AH1168/Datasheet!$AA127</f>
        <v>5.1497094006860145E-3</v>
      </c>
      <c r="AI1250" s="198">
        <f>AI1168/Datasheet!$AA127</f>
        <v>5.1497094006860145E-3</v>
      </c>
      <c r="AJ1250" s="198">
        <f>AJ1168/Datasheet!$AA127</f>
        <v>5.1497094006860145E-3</v>
      </c>
      <c r="AK1250" s="198">
        <f>AK1168/Datasheet!$AA127</f>
        <v>5.1497094006860145E-3</v>
      </c>
    </row>
    <row r="1251" spans="5:37" s="91" customFormat="1" x14ac:dyDescent="0.25">
      <c r="E1251" s="4" t="s">
        <v>46</v>
      </c>
      <c r="F1251" s="4"/>
    </row>
    <row r="1252" spans="5:37" s="91" customFormat="1" x14ac:dyDescent="0.25">
      <c r="E1252" s="4"/>
      <c r="F1252" s="4" t="s">
        <v>1359</v>
      </c>
      <c r="H1252" s="4" t="s">
        <v>1370</v>
      </c>
      <c r="J1252" s="102">
        <f>J1170/Datasheet!I129</f>
        <v>8.5714198250818111E-4</v>
      </c>
      <c r="K1252" s="102">
        <f>K1170/Datasheet!J129</f>
        <v>1.3865652027188912E-2</v>
      </c>
      <c r="L1252" s="102">
        <f>L1170/Datasheet!K129</f>
        <v>2.7352050046206862E-4</v>
      </c>
      <c r="M1252" s="102">
        <f>M1170/Datasheet!L129</f>
        <v>2.4127562422527906E-3</v>
      </c>
      <c r="N1252" s="102">
        <f>N1170/Datasheet!M129</f>
        <v>1.7045209519883905E-2</v>
      </c>
      <c r="O1252" s="102">
        <f>O1170/Datasheet!N129</f>
        <v>2.0707833181640239E-3</v>
      </c>
      <c r="P1252" s="102">
        <f>P1170/Datasheet!O129</f>
        <v>1.2438386198114757E-3</v>
      </c>
      <c r="Q1252" s="102">
        <f>Q1170/Datasheet!P129</f>
        <v>9.906896792347315E-4</v>
      </c>
      <c r="R1252" s="102">
        <f>R1170/Datasheet!Q129</f>
        <v>0</v>
      </c>
      <c r="S1252" s="102">
        <f>S1170/Datasheet!R129</f>
        <v>0</v>
      </c>
      <c r="T1252" s="102">
        <f>T1170/Datasheet!S129</f>
        <v>0</v>
      </c>
      <c r="U1252" s="102">
        <f>U1170/Datasheet!T129</f>
        <v>3.8743597669589785E-3</v>
      </c>
      <c r="V1252" s="102">
        <f>V1170/Datasheet!U129</f>
        <v>1.5588159457183689E-3</v>
      </c>
      <c r="W1252" s="102">
        <f>W1170/Datasheet!V129</f>
        <v>0</v>
      </c>
      <c r="X1252" s="102">
        <f>X1170/Datasheet!W129</f>
        <v>0</v>
      </c>
      <c r="Y1252" s="102">
        <f>Y1170/Datasheet!X129</f>
        <v>0</v>
      </c>
      <c r="Z1252" s="102">
        <f>Z1170/Datasheet!Y129</f>
        <v>2.4644765750034595E-3</v>
      </c>
      <c r="AA1252" s="102">
        <f>AA1170/Datasheet!Z129</f>
        <v>9.0963979600922618E-3</v>
      </c>
      <c r="AB1252" s="102">
        <f>AB1170/Datasheet!AA129</f>
        <v>5.89626405513239E-3</v>
      </c>
      <c r="AC1252" s="102">
        <f>AC1170/Datasheet!AB129</f>
        <v>3.1779732319458906E-3</v>
      </c>
      <c r="AD1252" s="102">
        <f>AD1170/Datasheet!AC129</f>
        <v>0</v>
      </c>
      <c r="AE1252" s="102">
        <f>AE1170/Datasheet!AD129</f>
        <v>0</v>
      </c>
      <c r="AF1252" s="102">
        <f>AF1170/Datasheet!AE129</f>
        <v>0</v>
      </c>
      <c r="AG1252" s="102">
        <f>AG1170/Datasheet!AF129</f>
        <v>0</v>
      </c>
      <c r="AH1252" s="102">
        <f>AH1170/Datasheet!AG129</f>
        <v>0</v>
      </c>
      <c r="AI1252" s="102">
        <f>AI1170/Datasheet!AH129</f>
        <v>0</v>
      </c>
      <c r="AJ1252" s="102">
        <f>AJ1170/Datasheet!AI129</f>
        <v>0</v>
      </c>
      <c r="AK1252" s="102">
        <f>AK1170/Datasheet!AJ129</f>
        <v>0</v>
      </c>
    </row>
    <row r="1253" spans="5:37" s="91" customFormat="1" x14ac:dyDescent="0.25">
      <c r="E1253" s="4"/>
      <c r="F1253" s="4" t="s">
        <v>1360</v>
      </c>
      <c r="H1253" s="4" t="s">
        <v>1371</v>
      </c>
      <c r="R1253" s="102">
        <f>R1171/Datasheet!I129</f>
        <v>3.9371388396542452E-2</v>
      </c>
      <c r="S1253" s="102">
        <f>S1171/Datasheet!J129</f>
        <v>3.9231638971046277E-2</v>
      </c>
      <c r="T1253" s="102">
        <f>T1171/Datasheet!K129</f>
        <v>3.7850410431589203E-2</v>
      </c>
      <c r="U1253" s="102">
        <f>U1171/Datasheet!L129</f>
        <v>2.8133743099768477E-2</v>
      </c>
      <c r="V1253" s="102">
        <f>V1171/Datasheet!M129</f>
        <v>2.9390851387957034E-2</v>
      </c>
      <c r="W1253" s="102">
        <f>W1171/Datasheet!N129</f>
        <v>2.6531664742152964E-2</v>
      </c>
      <c r="X1253" s="102">
        <f>X1171/Datasheet!O129</f>
        <v>9.7519309512118079E-3</v>
      </c>
      <c r="Y1253" s="102">
        <f>Y1171/Datasheet!P129</f>
        <v>7.6758793599437034E-3</v>
      </c>
      <c r="Z1253" s="102">
        <f>Z1171/Datasheet!Q129</f>
        <v>8.901491534942723E-3</v>
      </c>
      <c r="AA1253" s="102">
        <f>AA1171/Datasheet!R129</f>
        <v>1.7064628598864387E-2</v>
      </c>
      <c r="AB1253" s="102">
        <f>AB1171/Datasheet!S129</f>
        <v>2.3050012715013831E-2</v>
      </c>
      <c r="AC1253" s="102">
        <f>AC1171/Datasheet!T129</f>
        <v>2.6301452197446999E-2</v>
      </c>
      <c r="AD1253" s="102">
        <f>AD1171/Datasheet!U129</f>
        <v>2.620630875221823E-2</v>
      </c>
      <c r="AE1253" s="102">
        <f>AE1171/Datasheet!V129</f>
        <v>2.2316597920840869E-2</v>
      </c>
      <c r="AF1253" s="102">
        <f>AF1171/Datasheet!W129</f>
        <v>2.0764868146068625E-2</v>
      </c>
      <c r="AG1253" s="102">
        <f>AG1171/Datasheet!X129</f>
        <v>2.076990822297415E-2</v>
      </c>
      <c r="AH1253" s="102">
        <f>AH1171/Datasheet!Y129</f>
        <v>2.0774950747142258E-2</v>
      </c>
      <c r="AI1253" s="102">
        <f>AI1171/Datasheet!Z129</f>
        <v>2.0728897432550946E-2</v>
      </c>
      <c r="AJ1253" s="102">
        <f>AJ1171/Datasheet!AA129</f>
        <v>1.8109539354370693E-2</v>
      </c>
      <c r="AK1253" s="102">
        <f>AK1171/Datasheet!AB129</f>
        <v>9.039675144787691E-3</v>
      </c>
    </row>
    <row r="1254" spans="5:37" s="91" customFormat="1" x14ac:dyDescent="0.25">
      <c r="E1254" s="4"/>
      <c r="F1254" s="4" t="s">
        <v>1361</v>
      </c>
      <c r="H1254" s="4" t="s">
        <v>1372</v>
      </c>
      <c r="T1254" s="102">
        <f>T1172/Datasheet!$S129</f>
        <v>0</v>
      </c>
      <c r="U1254" s="102">
        <f>U1172/Datasheet!$S129</f>
        <v>3.8734154098112776E-3</v>
      </c>
      <c r="V1254" s="102">
        <f>V1172/Datasheet!$S129</f>
        <v>5.4375093889822198E-3</v>
      </c>
      <c r="W1254" s="102">
        <f>W1172/Datasheet!$S129</f>
        <v>5.4375093889822198E-3</v>
      </c>
      <c r="X1254" s="102">
        <f>X1172/Datasheet!$S129</f>
        <v>5.4375093889822198E-3</v>
      </c>
      <c r="Y1254" s="102">
        <f>Y1172/Datasheet!$S129</f>
        <v>5.4375093889822198E-3</v>
      </c>
      <c r="Z1254" s="102">
        <f>Z1172/Datasheet!$S129</f>
        <v>7.9117823503825797E-3</v>
      </c>
      <c r="AA1254" s="102">
        <f>AA1172/Datasheet!$S129</f>
        <v>1.7064628598864387E-2</v>
      </c>
      <c r="AB1254" s="102">
        <f>AB1172/Datasheet!$S129</f>
        <v>2.3050012715013831E-2</v>
      </c>
      <c r="AC1254" s="102">
        <f>AC1172/Datasheet!$S129</f>
        <v>2.6295041340977397E-2</v>
      </c>
      <c r="AD1254" s="102">
        <f>AD1172/Datasheet!$S129</f>
        <v>2.6295041340977397E-2</v>
      </c>
      <c r="AE1254" s="102">
        <f>AE1172/Datasheet!$S129</f>
        <v>2.6295041340977397E-2</v>
      </c>
      <c r="AF1254" s="102">
        <f>AF1172/Datasheet!$S129</f>
        <v>2.6295041340977397E-2</v>
      </c>
      <c r="AG1254" s="102">
        <f>AG1172/Datasheet!$S129</f>
        <v>2.6295041340977397E-2</v>
      </c>
      <c r="AH1254" s="102">
        <f>AH1172/Datasheet!$S129</f>
        <v>2.6295041340977397E-2</v>
      </c>
      <c r="AI1254" s="102">
        <f>AI1172/Datasheet!$S129</f>
        <v>2.6295041340977397E-2</v>
      </c>
      <c r="AJ1254" s="102">
        <f>AJ1172/Datasheet!$S129</f>
        <v>2.6295041340977397E-2</v>
      </c>
      <c r="AK1254" s="102">
        <f>AK1172/Datasheet!$S129</f>
        <v>2.6295041340977397E-2</v>
      </c>
    </row>
    <row r="1255" spans="5:37" s="91" customFormat="1" x14ac:dyDescent="0.25">
      <c r="E1255" s="4"/>
      <c r="F1255" s="4" t="s">
        <v>1362</v>
      </c>
      <c r="H1255" s="4" t="s">
        <v>1373</v>
      </c>
      <c r="AB1255" s="102">
        <f>AB1173/Datasheet!$AA129</f>
        <v>5.89626405513239E-3</v>
      </c>
      <c r="AC1255" s="102">
        <f>AC1173/Datasheet!$AA129</f>
        <v>9.0929754564139757E-3</v>
      </c>
      <c r="AD1255" s="102">
        <f>AD1173/Datasheet!$AA129</f>
        <v>9.0929754564139757E-3</v>
      </c>
      <c r="AE1255" s="102">
        <f>AE1173/Datasheet!$AA129</f>
        <v>9.0929754564139757E-3</v>
      </c>
      <c r="AF1255" s="102">
        <f>AF1173/Datasheet!$AA129</f>
        <v>9.0929754564139757E-3</v>
      </c>
      <c r="AG1255" s="102">
        <f>AG1173/Datasheet!$AA129</f>
        <v>9.0929754564139757E-3</v>
      </c>
      <c r="AH1255" s="102">
        <f>AH1173/Datasheet!$AA129</f>
        <v>9.0929754564139757E-3</v>
      </c>
      <c r="AI1255" s="102">
        <f>AI1173/Datasheet!$AA129</f>
        <v>9.0929754564139757E-3</v>
      </c>
      <c r="AJ1255" s="102">
        <f>AJ1173/Datasheet!$AA129</f>
        <v>9.0929754564139757E-3</v>
      </c>
      <c r="AK1255" s="102">
        <f>AK1173/Datasheet!$AA129</f>
        <v>9.0929754564139757E-3</v>
      </c>
    </row>
    <row r="1256" spans="5:37" s="91" customFormat="1" x14ac:dyDescent="0.25">
      <c r="E1256" s="4" t="s">
        <v>64</v>
      </c>
      <c r="F1256" s="4"/>
    </row>
    <row r="1257" spans="5:37" s="91" customFormat="1" x14ac:dyDescent="0.25">
      <c r="E1257" s="4"/>
      <c r="F1257" s="4" t="s">
        <v>1359</v>
      </c>
      <c r="H1257" s="4" t="s">
        <v>1370</v>
      </c>
      <c r="J1257" s="102">
        <f>J1175/Datasheet!I131</f>
        <v>5.3469846321215604E-2</v>
      </c>
      <c r="K1257" s="102">
        <f>K1175/Datasheet!J131</f>
        <v>0</v>
      </c>
      <c r="L1257" s="102">
        <f>L1175/Datasheet!K131</f>
        <v>2.0590946160490668E-2</v>
      </c>
      <c r="M1257" s="102">
        <f>M1175/Datasheet!L131</f>
        <v>5.3694194634363153E-2</v>
      </c>
      <c r="N1257" s="102">
        <f>N1175/Datasheet!M131</f>
        <v>0.17490240071797172</v>
      </c>
      <c r="O1257" s="102">
        <f>O1175/Datasheet!N131</f>
        <v>6.7231416164108368E-2</v>
      </c>
      <c r="P1257" s="102">
        <f>P1175/Datasheet!O131</f>
        <v>0.2091758222094979</v>
      </c>
      <c r="Q1257" s="102">
        <f>Q1175/Datasheet!P131</f>
        <v>7.7956671007458267E-3</v>
      </c>
      <c r="R1257" s="102">
        <f>R1175/Datasheet!Q131</f>
        <v>0</v>
      </c>
      <c r="S1257" s="102">
        <f>S1175/Datasheet!R131</f>
        <v>0</v>
      </c>
      <c r="T1257" s="102">
        <f>T1175/Datasheet!S131</f>
        <v>6.7659479492766822E-2</v>
      </c>
      <c r="U1257" s="102">
        <f>U1175/Datasheet!T131</f>
        <v>3.9505031664548362E-3</v>
      </c>
      <c r="V1257" s="102">
        <f>V1175/Datasheet!U131</f>
        <v>2.2034701914881373E-3</v>
      </c>
      <c r="W1257" s="102">
        <f>W1175/Datasheet!V131</f>
        <v>4.8656011027601821E-3</v>
      </c>
      <c r="X1257" s="102">
        <f>X1175/Datasheet!W131</f>
        <v>8.5013828698360158E-3</v>
      </c>
      <c r="Y1257" s="102">
        <f>Y1175/Datasheet!X131</f>
        <v>-1.2129474650396847E-2</v>
      </c>
      <c r="Z1257" s="102">
        <f>Z1175/Datasheet!Y131</f>
        <v>1.1569619976385184E-2</v>
      </c>
      <c r="AA1257" s="102">
        <f>AA1175/Datasheet!Z131</f>
        <v>2.2078097554384543E-2</v>
      </c>
      <c r="AB1257" s="102">
        <f>AB1175/Datasheet!AA131</f>
        <v>8.7263496092975287E-3</v>
      </c>
      <c r="AC1257" s="102">
        <f>AC1175/Datasheet!AB131</f>
        <v>8.6403732976813082E-3</v>
      </c>
      <c r="AD1257" s="102">
        <f>AD1175/Datasheet!AC131</f>
        <v>0</v>
      </c>
      <c r="AE1257" s="102">
        <f>AE1175/Datasheet!AD131</f>
        <v>0</v>
      </c>
      <c r="AF1257" s="102">
        <f>AF1175/Datasheet!AE131</f>
        <v>0</v>
      </c>
      <c r="AG1257" s="102">
        <f>AG1175/Datasheet!AF131</f>
        <v>0</v>
      </c>
      <c r="AH1257" s="102">
        <f>AH1175/Datasheet!AG131</f>
        <v>0</v>
      </c>
      <c r="AI1257" s="102">
        <f>AI1175/Datasheet!AH131</f>
        <v>0</v>
      </c>
      <c r="AJ1257" s="102">
        <f>AJ1175/Datasheet!AI131</f>
        <v>0</v>
      </c>
      <c r="AK1257" s="102">
        <f>AK1175/Datasheet!AJ131</f>
        <v>0</v>
      </c>
    </row>
    <row r="1258" spans="5:37" s="91" customFormat="1" x14ac:dyDescent="0.25">
      <c r="E1258" s="4"/>
      <c r="F1258" s="4" t="s">
        <v>1360</v>
      </c>
      <c r="H1258" s="4" t="s">
        <v>1371</v>
      </c>
      <c r="R1258" s="102">
        <f>R1176/Datasheet!I131</f>
        <v>0.73235591660778099</v>
      </c>
      <c r="S1258" s="102">
        <f>S1176/Datasheet!J131</f>
        <v>0.69394914755316639</v>
      </c>
      <c r="T1258" s="102">
        <f>T1176/Datasheet!K131</f>
        <v>0.75437081075342494</v>
      </c>
      <c r="U1258" s="102">
        <f>U1176/Datasheet!L131</f>
        <v>0.74594078319006685</v>
      </c>
      <c r="V1258" s="102">
        <f>V1176/Datasheet!M131</f>
        <v>0.69238949966345076</v>
      </c>
      <c r="W1258" s="102">
        <f>W1176/Datasheet!N131</f>
        <v>0.55273902233153949</v>
      </c>
      <c r="X1258" s="102">
        <f>X1176/Datasheet!O131</f>
        <v>0.38960741509501484</v>
      </c>
      <c r="Y1258" s="102">
        <f>Y1176/Datasheet!P131</f>
        <v>0.25681306972889784</v>
      </c>
      <c r="Z1258" s="102">
        <f>Z1176/Datasheet!Q131</f>
        <v>9.5605467029255778E-2</v>
      </c>
      <c r="AA1258" s="102">
        <f>AA1176/Datasheet!R131</f>
        <v>0.11186324203997486</v>
      </c>
      <c r="AB1258" s="102">
        <f>AB1176/Datasheet!S131</f>
        <v>0.12155447353119109</v>
      </c>
      <c r="AC1258" s="102">
        <f>AC1176/Datasheet!T131</f>
        <v>0.12293602715833375</v>
      </c>
      <c r="AD1258" s="102">
        <f>AD1176/Datasheet!U131</f>
        <v>5.9329257096188054E-2</v>
      </c>
      <c r="AE1258" s="102">
        <f>AE1176/Datasheet!V131</f>
        <v>5.5280230179307929E-2</v>
      </c>
      <c r="AF1258" s="102">
        <f>AF1176/Datasheet!W131</f>
        <v>5.2832160979115396E-2</v>
      </c>
      <c r="AG1258" s="102">
        <f>AG1176/Datasheet!X131</f>
        <v>4.7591922682360566E-2</v>
      </c>
      <c r="AH1258" s="102">
        <f>AH1176/Datasheet!Y131</f>
        <v>3.9647745659684264E-2</v>
      </c>
      <c r="AI1258" s="102">
        <f>AI1176/Datasheet!Z131</f>
        <v>5.1341710579651395E-2</v>
      </c>
      <c r="AJ1258" s="102">
        <f>AJ1176/Datasheet!AA131</f>
        <v>3.9046447979056764E-2</v>
      </c>
      <c r="AK1258" s="102">
        <f>AK1176/Datasheet!AB131</f>
        <v>1.7291232485286984E-2</v>
      </c>
    </row>
    <row r="1259" spans="5:37" s="91" customFormat="1" x14ac:dyDescent="0.25">
      <c r="E1259" s="4"/>
      <c r="F1259" s="4" t="s">
        <v>1361</v>
      </c>
      <c r="H1259" s="4" t="s">
        <v>1372</v>
      </c>
      <c r="T1259" s="102">
        <f>T1177/Datasheet!$S131</f>
        <v>6.7659479492766822E-2</v>
      </c>
      <c r="U1259" s="102">
        <f>U1177/Datasheet!$S131</f>
        <v>7.1876633559853631E-2</v>
      </c>
      <c r="V1259" s="102">
        <f>V1177/Datasheet!$S131</f>
        <v>7.4237769959531769E-2</v>
      </c>
      <c r="W1259" s="102">
        <f>W1177/Datasheet!$S131</f>
        <v>7.9462224754341962E-2</v>
      </c>
      <c r="X1259" s="102">
        <f>X1177/Datasheet!$S131</f>
        <v>8.8633653829211137E-2</v>
      </c>
      <c r="Y1259" s="102">
        <f>Y1177/Datasheet!$S131</f>
        <v>7.543889531707948E-2</v>
      </c>
      <c r="Z1259" s="102">
        <f>Z1177/Datasheet!$S131</f>
        <v>8.7870102257175911E-2</v>
      </c>
      <c r="AA1259" s="102">
        <f>AA1177/Datasheet!$S131</f>
        <v>0.11186324203997486</v>
      </c>
      <c r="AB1259" s="102">
        <f>AB1177/Datasheet!$S131</f>
        <v>0.12155447353119109</v>
      </c>
      <c r="AC1259" s="102">
        <f>AC1177/Datasheet!$S131</f>
        <v>0.13123395807514524</v>
      </c>
      <c r="AD1259" s="102">
        <f>AD1177/Datasheet!$S131</f>
        <v>0.13123395807514524</v>
      </c>
      <c r="AE1259" s="102">
        <f>AE1177/Datasheet!$S131</f>
        <v>0.13123395807514524</v>
      </c>
      <c r="AF1259" s="102">
        <f>AF1177/Datasheet!$S131</f>
        <v>0.13123395807514524</v>
      </c>
      <c r="AG1259" s="102">
        <f>AG1177/Datasheet!$S131</f>
        <v>0.13123395807514524</v>
      </c>
      <c r="AH1259" s="102">
        <f>AH1177/Datasheet!$S131</f>
        <v>0.13123395807514524</v>
      </c>
      <c r="AI1259" s="102">
        <f>AI1177/Datasheet!$S131</f>
        <v>0.13123395807514524</v>
      </c>
      <c r="AJ1259" s="102">
        <f>AJ1177/Datasheet!$S131</f>
        <v>0.13123395807514524</v>
      </c>
      <c r="AK1259" s="102">
        <f>AK1177/Datasheet!$S131</f>
        <v>0.13123395807514524</v>
      </c>
    </row>
    <row r="1260" spans="5:37" s="91" customFormat="1" x14ac:dyDescent="0.25">
      <c r="E1260" s="4"/>
      <c r="F1260" s="4" t="s">
        <v>1362</v>
      </c>
      <c r="H1260" s="4" t="s">
        <v>1373</v>
      </c>
      <c r="AB1260" s="102">
        <f>AB1178/Datasheet!$AA131</f>
        <v>8.7263496092975287E-3</v>
      </c>
      <c r="AC1260" s="102">
        <f>AC1178/Datasheet!$AA131</f>
        <v>1.7442121825129244E-2</v>
      </c>
      <c r="AD1260" s="102">
        <f>AD1178/Datasheet!$AA131</f>
        <v>1.7442121825129244E-2</v>
      </c>
      <c r="AE1260" s="102">
        <f>AE1178/Datasheet!$AA131</f>
        <v>1.7442121825129244E-2</v>
      </c>
      <c r="AF1260" s="102">
        <f>AF1178/Datasheet!$AA131</f>
        <v>1.7442121825129244E-2</v>
      </c>
      <c r="AG1260" s="102">
        <f>AG1178/Datasheet!$AA131</f>
        <v>1.7442121825129244E-2</v>
      </c>
      <c r="AH1260" s="102">
        <f>AH1178/Datasheet!$AA131</f>
        <v>1.7442121825129244E-2</v>
      </c>
      <c r="AI1260" s="102">
        <f>AI1178/Datasheet!$AA131</f>
        <v>1.7442121825129244E-2</v>
      </c>
      <c r="AJ1260" s="102">
        <f>AJ1178/Datasheet!$AA131</f>
        <v>1.7442121825129244E-2</v>
      </c>
      <c r="AK1260" s="102">
        <f>AK1178/Datasheet!$AA131</f>
        <v>1.7442121825129244E-2</v>
      </c>
    </row>
    <row r="1261" spans="5:37" s="91" customFormat="1" x14ac:dyDescent="0.25">
      <c r="E1261" s="4" t="s">
        <v>65</v>
      </c>
      <c r="F1261" s="4"/>
    </row>
    <row r="1262" spans="5:37" s="91" customFormat="1" x14ac:dyDescent="0.25">
      <c r="E1262" s="4"/>
      <c r="F1262" s="4" t="s">
        <v>1359</v>
      </c>
      <c r="H1262" s="4" t="s">
        <v>1370</v>
      </c>
      <c r="J1262" s="102">
        <f>J1180/Datasheet!I132</f>
        <v>1.3448170508460025E-2</v>
      </c>
      <c r="K1262" s="102">
        <f>K1180/Datasheet!J132</f>
        <v>1.9902084137879486E-2</v>
      </c>
      <c r="L1262" s="102">
        <f>L1180/Datasheet!K132</f>
        <v>0</v>
      </c>
      <c r="M1262" s="102">
        <f>M1180/Datasheet!L132</f>
        <v>1.0159935312554201E-2</v>
      </c>
      <c r="N1262" s="102">
        <f>N1180/Datasheet!M132</f>
        <v>1.1315270173537889E-2</v>
      </c>
      <c r="O1262" s="102">
        <f>O1180/Datasheet!N132</f>
        <v>0</v>
      </c>
      <c r="P1262" s="102">
        <f>P1180/Datasheet!O132</f>
        <v>1.4739676367975399E-2</v>
      </c>
      <c r="Q1262" s="102">
        <f>Q1180/Datasheet!P132</f>
        <v>8.9854013738497242E-3</v>
      </c>
      <c r="R1262" s="102">
        <f>R1180/Datasheet!Q132</f>
        <v>1.1068085424412847E-2</v>
      </c>
      <c r="S1262" s="102">
        <f>S1180/Datasheet!R132</f>
        <v>0</v>
      </c>
      <c r="T1262" s="102">
        <f>T1180/Datasheet!S132</f>
        <v>4.6268598105366739E-3</v>
      </c>
      <c r="U1262" s="102">
        <f>U1180/Datasheet!T132</f>
        <v>6.9897796668554786E-3</v>
      </c>
      <c r="V1262" s="102">
        <f>V1180/Datasheet!U132</f>
        <v>0</v>
      </c>
      <c r="W1262" s="102">
        <f>W1180/Datasheet!V132</f>
        <v>9.6726552550143504E-3</v>
      </c>
      <c r="X1262" s="102">
        <f>X1180/Datasheet!W132</f>
        <v>3.6400038898708909E-2</v>
      </c>
      <c r="Y1262" s="102">
        <f>Y1180/Datasheet!X132</f>
        <v>3.5962603807202759E-2</v>
      </c>
      <c r="Z1262" s="102">
        <f>Z1180/Datasheet!Y132</f>
        <v>-7.8284764312605438E-3</v>
      </c>
      <c r="AA1262" s="102">
        <f>AA1180/Datasheet!Z132</f>
        <v>1.4511591539850429E-3</v>
      </c>
      <c r="AB1262" s="102">
        <f>AB1180/Datasheet!AA132</f>
        <v>-6.6320677173585373E-3</v>
      </c>
      <c r="AC1262" s="102">
        <f>AC1180/Datasheet!AB132</f>
        <v>-4.6372002139574483E-3</v>
      </c>
      <c r="AD1262" s="102">
        <f>AD1180/Datasheet!AC132</f>
        <v>0</v>
      </c>
      <c r="AE1262" s="102">
        <f>AE1180/Datasheet!AD132</f>
        <v>0</v>
      </c>
      <c r="AF1262" s="102">
        <f>AF1180/Datasheet!AE132</f>
        <v>0</v>
      </c>
      <c r="AG1262" s="102">
        <f>AG1180/Datasheet!AF132</f>
        <v>0</v>
      </c>
      <c r="AH1262" s="102">
        <f>AH1180/Datasheet!AG132</f>
        <v>0</v>
      </c>
      <c r="AI1262" s="102">
        <f>AI1180/Datasheet!AH132</f>
        <v>0</v>
      </c>
      <c r="AJ1262" s="102">
        <f>AJ1180/Datasheet!AI132</f>
        <v>0</v>
      </c>
      <c r="AK1262" s="102">
        <f>AK1180/Datasheet!AJ132</f>
        <v>0</v>
      </c>
    </row>
    <row r="1263" spans="5:37" s="91" customFormat="1" x14ac:dyDescent="0.25">
      <c r="E1263" s="4"/>
      <c r="F1263" s="4" t="s">
        <v>1360</v>
      </c>
      <c r="H1263" s="4" t="s">
        <v>1371</v>
      </c>
      <c r="R1263" s="102">
        <f>R1181/Datasheet!I132</f>
        <v>9.6404647017086703E-2</v>
      </c>
      <c r="S1263" s="102">
        <f>S1181/Datasheet!J132</f>
        <v>9.1856539558755751E-2</v>
      </c>
      <c r="T1263" s="102">
        <f>T1181/Datasheet!K132</f>
        <v>8.1946388569278841E-2</v>
      </c>
      <c r="U1263" s="102">
        <f>U1181/Datasheet!L132</f>
        <v>6.9837035517023208E-2</v>
      </c>
      <c r="V1263" s="102">
        <f>V1181/Datasheet!M132</f>
        <v>6.9134632126758105E-2</v>
      </c>
      <c r="W1263" s="102">
        <f>W1181/Datasheet!N132</f>
        <v>6.8456757797274448E-2</v>
      </c>
      <c r="X1263" s="102">
        <f>X1181/Datasheet!O132</f>
        <v>9.5308124756391221E-2</v>
      </c>
      <c r="Y1263" s="102">
        <f>Y1181/Datasheet!P132</f>
        <v>0.13220063390321782</v>
      </c>
      <c r="Z1263" s="102">
        <f>Z1181/Datasheet!Q132</f>
        <v>0.10809542048915378</v>
      </c>
      <c r="AA1263" s="102">
        <f>AA1181/Datasheet!R132</f>
        <v>9.9651888280854778E-2</v>
      </c>
      <c r="AB1263" s="102">
        <f>AB1181/Datasheet!S132</f>
        <v>8.1641091504641869E-2</v>
      </c>
      <c r="AC1263" s="102">
        <f>AC1181/Datasheet!T132</f>
        <v>7.6606232515101333E-2</v>
      </c>
      <c r="AD1263" s="102">
        <f>AD1181/Datasheet!U132</f>
        <v>7.1697092645684968E-2</v>
      </c>
      <c r="AE1263" s="102">
        <f>AE1181/Datasheet!V132</f>
        <v>6.4925884344505705E-2</v>
      </c>
      <c r="AF1263" s="102">
        <f>AF1181/Datasheet!W132</f>
        <v>6.4491771206946852E-2</v>
      </c>
      <c r="AG1263" s="102">
        <f>AG1181/Datasheet!X132</f>
        <v>5.3105892687284703E-2</v>
      </c>
      <c r="AH1263" s="102">
        <f>AH1181/Datasheet!Y132</f>
        <v>1.7311369452976368E-2</v>
      </c>
      <c r="AI1263" s="102">
        <f>AI1181/Datasheet!Z132</f>
        <v>-1.7684648495952051E-2</v>
      </c>
      <c r="AJ1263" s="102">
        <f>AJ1181/Datasheet!AA132</f>
        <v>-9.7854445849318902E-3</v>
      </c>
      <c r="AK1263" s="102">
        <f>AK1181/Datasheet!AB132</f>
        <v>-1.1313545908063794E-2</v>
      </c>
    </row>
    <row r="1264" spans="5:37" s="91" customFormat="1" x14ac:dyDescent="0.25">
      <c r="E1264" s="4"/>
      <c r="F1264" s="4" t="s">
        <v>1361</v>
      </c>
      <c r="H1264" s="4" t="s">
        <v>1372</v>
      </c>
      <c r="T1264" s="102">
        <f>T1182/Datasheet!$S132</f>
        <v>4.6268598105366739E-3</v>
      </c>
      <c r="U1264" s="102">
        <f>U1182/Datasheet!$S132</f>
        <v>1.1628363597724222E-2</v>
      </c>
      <c r="V1264" s="102">
        <f>V1182/Datasheet!$S132</f>
        <v>1.1628363597724222E-2</v>
      </c>
      <c r="W1264" s="102">
        <f>W1182/Datasheet!$S132</f>
        <v>2.1327906455659067E-2</v>
      </c>
      <c r="X1264" s="102">
        <f>X1182/Datasheet!$S132</f>
        <v>5.8074829004843995E-2</v>
      </c>
      <c r="Y1264" s="102">
        <f>Y1182/Datasheet!$S132</f>
        <v>9.5595589814902501E-2</v>
      </c>
      <c r="Z1264" s="102">
        <f>Z1182/Datasheet!$S132</f>
        <v>8.7157287823943705E-2</v>
      </c>
      <c r="AA1264" s="102">
        <f>AA1182/Datasheet!$S132</f>
        <v>8.8704964345690876E-2</v>
      </c>
      <c r="AB1264" s="102">
        <f>AB1182/Datasheet!$S132</f>
        <v>8.1641091504641869E-2</v>
      </c>
      <c r="AC1264" s="102">
        <f>AC1182/Datasheet!$S132</f>
        <v>7.6734725934207576E-2</v>
      </c>
      <c r="AD1264" s="102">
        <f>AD1182/Datasheet!$S132</f>
        <v>7.6734725934207576E-2</v>
      </c>
      <c r="AE1264" s="102">
        <f>AE1182/Datasheet!$S132</f>
        <v>7.6734725934207576E-2</v>
      </c>
      <c r="AF1264" s="102">
        <f>AF1182/Datasheet!$S132</f>
        <v>7.6734725934207576E-2</v>
      </c>
      <c r="AG1264" s="102">
        <f>AG1182/Datasheet!$S132</f>
        <v>7.6734725934207576E-2</v>
      </c>
      <c r="AH1264" s="102">
        <f>AH1182/Datasheet!$S132</f>
        <v>7.6734725934207576E-2</v>
      </c>
      <c r="AI1264" s="102">
        <f>AI1182/Datasheet!$S132</f>
        <v>7.6734725934207576E-2</v>
      </c>
      <c r="AJ1264" s="102">
        <f>AJ1182/Datasheet!$S132</f>
        <v>7.6734725934207576E-2</v>
      </c>
      <c r="AK1264" s="102">
        <f>AK1182/Datasheet!$S132</f>
        <v>7.6734725934207576E-2</v>
      </c>
    </row>
    <row r="1265" spans="5:37" s="91" customFormat="1" x14ac:dyDescent="0.25">
      <c r="E1265" s="4"/>
      <c r="F1265" s="4" t="s">
        <v>1362</v>
      </c>
      <c r="H1265" s="4" t="s">
        <v>1373</v>
      </c>
      <c r="AB1265" s="102">
        <f>AB1183/Datasheet!$AA132</f>
        <v>-6.6320677173585373E-3</v>
      </c>
      <c r="AC1265" s="102">
        <f>AC1183/Datasheet!$AA132</f>
        <v>-1.123851370547807E-2</v>
      </c>
      <c r="AD1265" s="102">
        <f>AD1183/Datasheet!$AA132</f>
        <v>-1.123851370547807E-2</v>
      </c>
      <c r="AE1265" s="102">
        <f>AE1183/Datasheet!$AA132</f>
        <v>-1.123851370547807E-2</v>
      </c>
      <c r="AF1265" s="102">
        <f>AF1183/Datasheet!$AA132</f>
        <v>-1.123851370547807E-2</v>
      </c>
      <c r="AG1265" s="102">
        <f>AG1183/Datasheet!$AA132</f>
        <v>-1.123851370547807E-2</v>
      </c>
      <c r="AH1265" s="102">
        <f>AH1183/Datasheet!$AA132</f>
        <v>-1.123851370547807E-2</v>
      </c>
      <c r="AI1265" s="102">
        <f>AI1183/Datasheet!$AA132</f>
        <v>-1.123851370547807E-2</v>
      </c>
      <c r="AJ1265" s="102">
        <f>AJ1183/Datasheet!$AA132</f>
        <v>-1.123851370547807E-2</v>
      </c>
      <c r="AK1265" s="102">
        <f>AK1183/Datasheet!$AA132</f>
        <v>-1.123851370547807E-2</v>
      </c>
    </row>
    <row r="1266" spans="5:37" s="91" customFormat="1" x14ac:dyDescent="0.25">
      <c r="E1266" s="4" t="s">
        <v>66</v>
      </c>
      <c r="F1266" s="4"/>
    </row>
    <row r="1267" spans="5:37" s="91" customFormat="1" x14ac:dyDescent="0.25">
      <c r="E1267" s="4"/>
      <c r="F1267" s="4" t="s">
        <v>1359</v>
      </c>
      <c r="H1267" s="4" t="s">
        <v>1370</v>
      </c>
      <c r="J1267" s="102">
        <f>J1185/Datasheet!I133</f>
        <v>2.8821444994454812E-2</v>
      </c>
      <c r="K1267" s="102">
        <f>K1185/Datasheet!J133</f>
        <v>2.6590231338551942E-2</v>
      </c>
      <c r="L1267" s="102">
        <f>L1185/Datasheet!K133</f>
        <v>1.1320026162538712E-2</v>
      </c>
      <c r="M1267" s="102">
        <f>M1185/Datasheet!L133</f>
        <v>4.4753789871080099E-2</v>
      </c>
      <c r="N1267" s="102">
        <f>N1185/Datasheet!M133</f>
        <v>4.7197920628882971E-2</v>
      </c>
      <c r="O1267" s="102">
        <f>O1185/Datasheet!N133</f>
        <v>2.712288717284898E-2</v>
      </c>
      <c r="P1267" s="102">
        <f>P1185/Datasheet!O133</f>
        <v>6.7082768495758088E-2</v>
      </c>
      <c r="Q1267" s="102">
        <f>Q1185/Datasheet!P133</f>
        <v>1.5356760800539996E-2</v>
      </c>
      <c r="R1267" s="102">
        <f>R1185/Datasheet!Q133</f>
        <v>-1.0143797124057519E-3</v>
      </c>
      <c r="S1267" s="102">
        <f>S1185/Datasheet!R133</f>
        <v>1.0895634619065198E-2</v>
      </c>
      <c r="T1267" s="102">
        <f>T1185/Datasheet!S133</f>
        <v>2.8034725352374871E-3</v>
      </c>
      <c r="U1267" s="102">
        <f>U1185/Datasheet!T133</f>
        <v>-4.1413525013146718E-4</v>
      </c>
      <c r="V1267" s="102">
        <f>V1185/Datasheet!U133</f>
        <v>3.0850811999304671E-3</v>
      </c>
      <c r="W1267" s="102">
        <f>W1185/Datasheet!V133</f>
        <v>-2.6502379267075871E-3</v>
      </c>
      <c r="X1267" s="102">
        <f>X1185/Datasheet!W133</f>
        <v>1.0021690445954145E-2</v>
      </c>
      <c r="Y1267" s="102">
        <f>Y1185/Datasheet!X133</f>
        <v>8.3449194158438812E-3</v>
      </c>
      <c r="Z1267" s="102">
        <f>Z1185/Datasheet!Y133</f>
        <v>1.7882816561110806E-2</v>
      </c>
      <c r="AA1267" s="102">
        <f>AA1185/Datasheet!Z133</f>
        <v>2.4665308074075056E-3</v>
      </c>
      <c r="AB1267" s="102">
        <f>AB1185/Datasheet!AA133</f>
        <v>-7.8289474186220591E-4</v>
      </c>
      <c r="AC1267" s="102">
        <f>AC1185/Datasheet!AB133</f>
        <v>-5.9771133146747412E-3</v>
      </c>
      <c r="AD1267" s="102">
        <f>AD1185/Datasheet!AC133</f>
        <v>0</v>
      </c>
      <c r="AE1267" s="102">
        <f>AE1185/Datasheet!AD133</f>
        <v>0</v>
      </c>
      <c r="AF1267" s="102">
        <f>AF1185/Datasheet!AE133</f>
        <v>0</v>
      </c>
      <c r="AG1267" s="102">
        <f>AG1185/Datasheet!AF133</f>
        <v>0</v>
      </c>
      <c r="AH1267" s="102">
        <f>AH1185/Datasheet!AG133</f>
        <v>0</v>
      </c>
      <c r="AI1267" s="102">
        <f>AI1185/Datasheet!AH133</f>
        <v>0</v>
      </c>
      <c r="AJ1267" s="102">
        <f>AJ1185/Datasheet!AI133</f>
        <v>0</v>
      </c>
      <c r="AK1267" s="102">
        <f>AK1185/Datasheet!AJ133</f>
        <v>0</v>
      </c>
    </row>
    <row r="1268" spans="5:37" s="91" customFormat="1" x14ac:dyDescent="0.25">
      <c r="E1268" s="4"/>
      <c r="F1268" s="4" t="s">
        <v>1360</v>
      </c>
      <c r="H1268" s="4" t="s">
        <v>1371</v>
      </c>
      <c r="R1268" s="102">
        <f>R1186/Datasheet!I133</f>
        <v>0.31636797566360175</v>
      </c>
      <c r="S1268" s="102">
        <f>S1186/Datasheet!J133</f>
        <v>0.30455042335046018</v>
      </c>
      <c r="T1268" s="102">
        <f>T1186/Datasheet!K133</f>
        <v>0.27285971520658159</v>
      </c>
      <c r="U1268" s="102">
        <f>U1186/Datasheet!L133</f>
        <v>0.24368354819983559</v>
      </c>
      <c r="V1268" s="102">
        <f>V1186/Datasheet!M133</f>
        <v>0.22616703585199771</v>
      </c>
      <c r="W1268" s="102">
        <f>W1186/Datasheet!N133</f>
        <v>0.17207711852486249</v>
      </c>
      <c r="X1268" s="102">
        <f>X1186/Datasheet!O133</f>
        <v>0.13462751923336952</v>
      </c>
      <c r="Y1268" s="102">
        <f>Y1186/Datasheet!P133</f>
        <v>0.11006328389050937</v>
      </c>
      <c r="Z1268" s="102">
        <f>Z1186/Datasheet!Q133</f>
        <v>6.4874702505949886E-2</v>
      </c>
      <c r="AA1268" s="102">
        <f>AA1186/Datasheet!R133</f>
        <v>5.238409073983169E-2</v>
      </c>
      <c r="AB1268" s="102">
        <f>AB1186/Datasheet!S133</f>
        <v>5.201118854085552E-2</v>
      </c>
      <c r="AC1268" s="102">
        <f>AC1186/Datasheet!T133</f>
        <v>3.4951750575980926E-2</v>
      </c>
      <c r="AD1268" s="102">
        <f>AD1186/Datasheet!U133</f>
        <v>3.2183725286966933E-2</v>
      </c>
      <c r="AE1268" s="102">
        <f>AE1186/Datasheet!V133</f>
        <v>3.2513740613781768E-2</v>
      </c>
      <c r="AF1268" s="102">
        <f>AF1186/Datasheet!W133</f>
        <v>2.952924094519848E-2</v>
      </c>
      <c r="AG1268" s="102">
        <f>AG1186/Datasheet!X133</f>
        <v>3.1883801465946916E-2</v>
      </c>
      <c r="AH1268" s="102">
        <f>AH1186/Datasheet!Y133</f>
        <v>2.1785469598959033E-2</v>
      </c>
      <c r="AI1268" s="102">
        <f>AI1186/Datasheet!Z133</f>
        <v>1.3274614965346905E-2</v>
      </c>
      <c r="AJ1268" s="102">
        <f>AJ1186/Datasheet!AA133</f>
        <v>-4.2937121953787842E-3</v>
      </c>
      <c r="AK1268" s="102">
        <f>AK1186/Datasheet!AB133</f>
        <v>-6.7606214609448679E-3</v>
      </c>
    </row>
    <row r="1269" spans="5:37" s="91" customFormat="1" x14ac:dyDescent="0.25">
      <c r="E1269" s="4"/>
      <c r="F1269" s="4" t="s">
        <v>1361</v>
      </c>
      <c r="H1269" s="4" t="s">
        <v>1372</v>
      </c>
      <c r="T1269" s="102">
        <f>T1187/Datasheet!$S133</f>
        <v>2.8034725352374871E-3</v>
      </c>
      <c r="U1269" s="102">
        <f>U1187/Datasheet!$S133</f>
        <v>2.3883779863636688E-3</v>
      </c>
      <c r="V1269" s="102">
        <f>V1187/Datasheet!$S133</f>
        <v>5.4778221478291112E-3</v>
      </c>
      <c r="W1269" s="102">
        <f>W1187/Datasheet!$S133</f>
        <v>2.8169393431207979E-3</v>
      </c>
      <c r="X1269" s="102">
        <f>X1187/Datasheet!$S133</f>
        <v>1.28473347206786E-2</v>
      </c>
      <c r="Y1269" s="102">
        <f>Y1187/Datasheet!$S133</f>
        <v>2.1279140785970437E-2</v>
      </c>
      <c r="Z1269" s="102">
        <f>Z1187/Datasheet!$S133</f>
        <v>3.949022587005481E-2</v>
      </c>
      <c r="AA1269" s="102">
        <f>AA1187/Datasheet!$S133</f>
        <v>4.2045750707205454E-2</v>
      </c>
      <c r="AB1269" s="102">
        <f>AB1187/Datasheet!$S133</f>
        <v>4.1232989243189161E-2</v>
      </c>
      <c r="AC1269" s="102">
        <f>AC1187/Datasheet!$S133</f>
        <v>3.5032712460678898E-2</v>
      </c>
      <c r="AD1269" s="102">
        <f>AD1187/Datasheet!$S133</f>
        <v>3.5032712460678898E-2</v>
      </c>
      <c r="AE1269" s="102">
        <f>AE1187/Datasheet!$S133</f>
        <v>3.5032712460678898E-2</v>
      </c>
      <c r="AF1269" s="102">
        <f>AF1187/Datasheet!$S133</f>
        <v>3.5032712460678898E-2</v>
      </c>
      <c r="AG1269" s="102">
        <f>AG1187/Datasheet!$S133</f>
        <v>3.5032712460678898E-2</v>
      </c>
      <c r="AH1269" s="102">
        <f>AH1187/Datasheet!$S133</f>
        <v>3.5032712460678898E-2</v>
      </c>
      <c r="AI1269" s="102">
        <f>AI1187/Datasheet!$S133</f>
        <v>3.5032712460678898E-2</v>
      </c>
      <c r="AJ1269" s="102">
        <f>AJ1187/Datasheet!$S133</f>
        <v>3.5032712460678898E-2</v>
      </c>
      <c r="AK1269" s="102">
        <f>AK1187/Datasheet!$S133</f>
        <v>3.5032712460678898E-2</v>
      </c>
    </row>
    <row r="1270" spans="5:37" s="91" customFormat="1" x14ac:dyDescent="0.25">
      <c r="E1270" s="4"/>
      <c r="F1270" s="4" t="s">
        <v>1362</v>
      </c>
      <c r="H1270" s="4" t="s">
        <v>1373</v>
      </c>
      <c r="AB1270" s="102">
        <f>AB1188/Datasheet!$AA133</f>
        <v>-7.8289474186220591E-4</v>
      </c>
      <c r="AC1270" s="102">
        <f>AC1188/Datasheet!$AA133</f>
        <v>-6.7553286059513738E-3</v>
      </c>
      <c r="AD1270" s="102">
        <f>AD1188/Datasheet!$AA133</f>
        <v>-6.7553286059513738E-3</v>
      </c>
      <c r="AE1270" s="102">
        <f>AE1188/Datasheet!$AA133</f>
        <v>-6.7553286059513738E-3</v>
      </c>
      <c r="AF1270" s="102">
        <f>AF1188/Datasheet!$AA133</f>
        <v>-6.7553286059513738E-3</v>
      </c>
      <c r="AG1270" s="102">
        <f>AG1188/Datasheet!$AA133</f>
        <v>-6.7553286059513738E-3</v>
      </c>
      <c r="AH1270" s="102">
        <f>AH1188/Datasheet!$AA133</f>
        <v>-6.7553286059513738E-3</v>
      </c>
      <c r="AI1270" s="102">
        <f>AI1188/Datasheet!$AA133</f>
        <v>-6.7553286059513738E-3</v>
      </c>
      <c r="AJ1270" s="102">
        <f>AJ1188/Datasheet!$AA133</f>
        <v>-6.7553286059513738E-3</v>
      </c>
      <c r="AK1270" s="102">
        <f>AK1188/Datasheet!$AA133</f>
        <v>-6.7553286059513738E-3</v>
      </c>
    </row>
    <row r="1271" spans="5:37" s="91" customFormat="1" x14ac:dyDescent="0.25">
      <c r="E1271" s="4" t="s">
        <v>67</v>
      </c>
      <c r="F1271" s="4"/>
    </row>
    <row r="1272" spans="5:37" s="91" customFormat="1" x14ac:dyDescent="0.25">
      <c r="E1272" s="4"/>
      <c r="F1272" s="4" t="s">
        <v>1359</v>
      </c>
      <c r="H1272" s="4" t="s">
        <v>1370</v>
      </c>
      <c r="J1272" s="102">
        <f>J1190/Datasheet!I134</f>
        <v>1.400764934611499E-2</v>
      </c>
      <c r="K1272" s="102">
        <f>K1190/Datasheet!J134</f>
        <v>6.7110183898399945E-3</v>
      </c>
      <c r="L1272" s="102">
        <f>L1190/Datasheet!K134</f>
        <v>5.3644963973342678E-3</v>
      </c>
      <c r="M1272" s="102">
        <f>M1190/Datasheet!L134</f>
        <v>6.5020027306729863E-3</v>
      </c>
      <c r="N1272" s="102">
        <f>N1190/Datasheet!M134</f>
        <v>1.6611060845962453E-2</v>
      </c>
      <c r="O1272" s="102">
        <f>O1190/Datasheet!N134</f>
        <v>3.5713337572580248E-3</v>
      </c>
      <c r="P1272" s="102">
        <f>P1190/Datasheet!O134</f>
        <v>9.0067846912373437E-3</v>
      </c>
      <c r="Q1272" s="102">
        <f>Q1190/Datasheet!P134</f>
        <v>1.3820293734300795E-3</v>
      </c>
      <c r="R1272" s="102">
        <f>R1190/Datasheet!Q134</f>
        <v>1.7491519168984532E-3</v>
      </c>
      <c r="S1272" s="102">
        <f>S1190/Datasheet!R134</f>
        <v>0</v>
      </c>
      <c r="T1272" s="102">
        <f>T1190/Datasheet!S134</f>
        <v>9.9121848498953339E-3</v>
      </c>
      <c r="U1272" s="102">
        <f>U1190/Datasheet!T134</f>
        <v>3.5867413302967291E-2</v>
      </c>
      <c r="V1272" s="102">
        <f>V1190/Datasheet!U134</f>
        <v>3.5427410786600358E-3</v>
      </c>
      <c r="W1272" s="102">
        <f>W1190/Datasheet!V134</f>
        <v>1.4551064103409716E-2</v>
      </c>
      <c r="X1272" s="102">
        <f>X1190/Datasheet!W134</f>
        <v>-6.0944711669023242E-3</v>
      </c>
      <c r="Y1272" s="102">
        <f>Y1190/Datasheet!X134</f>
        <v>-1.0208378549787202E-2</v>
      </c>
      <c r="Z1272" s="102">
        <f>Z1190/Datasheet!Y134</f>
        <v>3.1264220068710144E-3</v>
      </c>
      <c r="AA1272" s="102">
        <f>AA1190/Datasheet!Z134</f>
        <v>-2.9504717220336005E-3</v>
      </c>
      <c r="AB1272" s="102">
        <f>AB1190/Datasheet!AA134</f>
        <v>1.6098427908239582E-3</v>
      </c>
      <c r="AC1272" s="102">
        <f>AC1190/Datasheet!AB134</f>
        <v>1.2711985037733678E-2</v>
      </c>
      <c r="AD1272" s="102">
        <f>AD1190/Datasheet!AC134</f>
        <v>0</v>
      </c>
      <c r="AE1272" s="102">
        <f>AE1190/Datasheet!AD134</f>
        <v>0</v>
      </c>
      <c r="AF1272" s="102">
        <f>AF1190/Datasheet!AE134</f>
        <v>0</v>
      </c>
      <c r="AG1272" s="102">
        <f>AG1190/Datasheet!AF134</f>
        <v>0</v>
      </c>
      <c r="AH1272" s="102">
        <f>AH1190/Datasheet!AG134</f>
        <v>0</v>
      </c>
      <c r="AI1272" s="102">
        <f>AI1190/Datasheet!AH134</f>
        <v>0</v>
      </c>
      <c r="AJ1272" s="102">
        <f>AJ1190/Datasheet!AI134</f>
        <v>0</v>
      </c>
      <c r="AK1272" s="102">
        <f>AK1190/Datasheet!AJ134</f>
        <v>0</v>
      </c>
    </row>
    <row r="1273" spans="5:37" s="91" customFormat="1" x14ac:dyDescent="0.25">
      <c r="E1273" s="4"/>
      <c r="F1273" s="4" t="s">
        <v>1360</v>
      </c>
      <c r="H1273" s="4" t="s">
        <v>1371</v>
      </c>
      <c r="R1273" s="102">
        <f>R1191/Datasheet!I134</f>
        <v>7.3817119295017566E-2</v>
      </c>
      <c r="S1273" s="102">
        <f>S1191/Datasheet!J134</f>
        <v>6.5773478908929275E-2</v>
      </c>
      <c r="T1273" s="102">
        <f>T1191/Datasheet!K134</f>
        <v>6.1970662382005465E-2</v>
      </c>
      <c r="U1273" s="102">
        <f>U1191/Datasheet!L134</f>
        <v>9.2452877781363768E-2</v>
      </c>
      <c r="V1273" s="102">
        <f>V1191/Datasheet!M134</f>
        <v>9.0340395015525071E-2</v>
      </c>
      <c r="W1273" s="102">
        <f>W1191/Datasheet!N134</f>
        <v>9.7779325706902856E-2</v>
      </c>
      <c r="X1273" s="102">
        <f>X1191/Datasheet!O134</f>
        <v>7.4718522232271753E-2</v>
      </c>
      <c r="Y1273" s="102">
        <f>Y1191/Datasheet!P134</f>
        <v>5.9969712707678938E-2</v>
      </c>
      <c r="Z1273" s="102">
        <f>Z1191/Datasheet!Q134</f>
        <v>5.4150776147203039E-2</v>
      </c>
      <c r="AA1273" s="102">
        <f>AA1191/Datasheet!R134</f>
        <v>4.9691601556180041E-2</v>
      </c>
      <c r="AB1273" s="102">
        <f>AB1191/Datasheet!S134</f>
        <v>4.9561546522365732E-2</v>
      </c>
      <c r="AC1273" s="102">
        <f>AC1191/Datasheet!T134</f>
        <v>6.2069899109928328E-2</v>
      </c>
      <c r="AD1273" s="102">
        <f>AD1191/Datasheet!U134</f>
        <v>5.066203921667662E-2</v>
      </c>
      <c r="AE1273" s="102">
        <f>AE1191/Datasheet!V134</f>
        <v>1.588045924669014E-2</v>
      </c>
      <c r="AF1273" s="102">
        <f>AF1191/Datasheet!W134</f>
        <v>1.2218785009188559E-2</v>
      </c>
      <c r="AG1273" s="102">
        <f>AG1191/Datasheet!X134</f>
        <v>-2.2247249959173126E-3</v>
      </c>
      <c r="AH1273" s="102">
        <f>AH1191/Datasheet!Y134</f>
        <v>4.0021635968694076E-3</v>
      </c>
      <c r="AI1273" s="102">
        <f>AI1191/Datasheet!Z134</f>
        <v>1.4405063501220297E-2</v>
      </c>
      <c r="AJ1273" s="102">
        <f>AJ1191/Datasheet!AA134</f>
        <v>1.1366841453730812E-2</v>
      </c>
      <c r="AK1273" s="102">
        <f>AK1191/Datasheet!AB134</f>
        <v>1.4319240400099518E-2</v>
      </c>
    </row>
    <row r="1274" spans="5:37" s="91" customFormat="1" x14ac:dyDescent="0.25">
      <c r="E1274" s="4"/>
      <c r="F1274" s="4" t="s">
        <v>1361</v>
      </c>
      <c r="H1274" s="4" t="s">
        <v>1372</v>
      </c>
      <c r="T1274" s="102">
        <f>T1192/Datasheet!$S134</f>
        <v>9.9121848498953339E-3</v>
      </c>
      <c r="U1274" s="102">
        <f>U1192/Datasheet!$S134</f>
        <v>4.5937429216458867E-2</v>
      </c>
      <c r="V1274" s="102">
        <f>V1192/Datasheet!$S134</f>
        <v>4.9603861078822059E-2</v>
      </c>
      <c r="W1274" s="102">
        <f>W1192/Datasheet!$S134</f>
        <v>6.4636107259933337E-2</v>
      </c>
      <c r="X1274" s="102">
        <f>X1192/Datasheet!$S134</f>
        <v>5.8282078789704123E-2</v>
      </c>
      <c r="Y1274" s="102">
        <f>Y1192/Datasheet!$S134</f>
        <v>4.7760066508526385E-2</v>
      </c>
      <c r="Z1274" s="102">
        <f>Z1192/Datasheet!$S134</f>
        <v>5.0932413696973017E-2</v>
      </c>
      <c r="AA1274" s="102">
        <f>AA1192/Datasheet!$S134</f>
        <v>4.7945503829467356E-2</v>
      </c>
      <c r="AB1274" s="102">
        <f>AB1192/Datasheet!$S134</f>
        <v>4.9561546522365732E-2</v>
      </c>
      <c r="AC1274" s="102">
        <f>AC1192/Datasheet!$S134</f>
        <v>6.2343031663733686E-2</v>
      </c>
      <c r="AD1274" s="102">
        <f>AD1192/Datasheet!$S134</f>
        <v>6.2343031663733686E-2</v>
      </c>
      <c r="AE1274" s="102">
        <f>AE1192/Datasheet!$S134</f>
        <v>6.2343031663733686E-2</v>
      </c>
      <c r="AF1274" s="102">
        <f>AF1192/Datasheet!$S134</f>
        <v>6.2343031663733686E-2</v>
      </c>
      <c r="AG1274" s="102">
        <f>AG1192/Datasheet!$S134</f>
        <v>6.2343031663733686E-2</v>
      </c>
      <c r="AH1274" s="102">
        <f>AH1192/Datasheet!$S134</f>
        <v>6.2343031663733686E-2</v>
      </c>
      <c r="AI1274" s="102">
        <f>AI1192/Datasheet!$S134</f>
        <v>6.2343031663733686E-2</v>
      </c>
      <c r="AJ1274" s="102">
        <f>AJ1192/Datasheet!$S134</f>
        <v>6.2343031663733686E-2</v>
      </c>
      <c r="AK1274" s="102">
        <f>AK1192/Datasheet!$S134</f>
        <v>6.2343031663733686E-2</v>
      </c>
    </row>
    <row r="1275" spans="5:37" s="91" customFormat="1" x14ac:dyDescent="0.25">
      <c r="E1275" s="4"/>
      <c r="F1275" s="4" t="s">
        <v>1362</v>
      </c>
      <c r="H1275" s="4" t="s">
        <v>1373</v>
      </c>
      <c r="AB1275" s="102">
        <f>AB1193/Datasheet!$AA134</f>
        <v>1.6098427908239582E-3</v>
      </c>
      <c r="AC1275" s="102">
        <f>AC1193/Datasheet!$AA134</f>
        <v>1.4342292126027693E-2</v>
      </c>
      <c r="AD1275" s="102">
        <f>AD1193/Datasheet!$AA134</f>
        <v>1.4342292126027693E-2</v>
      </c>
      <c r="AE1275" s="102">
        <f>AE1193/Datasheet!$AA134</f>
        <v>1.4342292126027693E-2</v>
      </c>
      <c r="AF1275" s="102">
        <f>AF1193/Datasheet!$AA134</f>
        <v>1.4342292126027693E-2</v>
      </c>
      <c r="AG1275" s="102">
        <f>AG1193/Datasheet!$AA134</f>
        <v>1.4342292126027693E-2</v>
      </c>
      <c r="AH1275" s="102">
        <f>AH1193/Datasheet!$AA134</f>
        <v>1.4342292126027693E-2</v>
      </c>
      <c r="AI1275" s="102">
        <f>AI1193/Datasheet!$AA134</f>
        <v>1.4342292126027693E-2</v>
      </c>
      <c r="AJ1275" s="102">
        <f>AJ1193/Datasheet!$AA134</f>
        <v>1.4342292126027693E-2</v>
      </c>
      <c r="AK1275" s="102">
        <f>AK1193/Datasheet!$AA134</f>
        <v>1.4342292126027693E-2</v>
      </c>
    </row>
    <row r="1276" spans="5:37" s="91" customFormat="1" x14ac:dyDescent="0.25">
      <c r="E1276" s="4" t="s">
        <v>68</v>
      </c>
      <c r="F1276" s="4"/>
    </row>
    <row r="1277" spans="5:37" s="91" customFormat="1" x14ac:dyDescent="0.25">
      <c r="E1277" s="4"/>
      <c r="F1277" s="4" t="s">
        <v>1359</v>
      </c>
      <c r="H1277" s="4" t="s">
        <v>1370</v>
      </c>
      <c r="J1277" s="102">
        <f>J1195/Datasheet!I135</f>
        <v>0.10131746434046225</v>
      </c>
      <c r="K1277" s="102">
        <f>K1195/Datasheet!J135</f>
        <v>9.4237187214205598E-2</v>
      </c>
      <c r="L1277" s="102">
        <f>L1195/Datasheet!K135</f>
        <v>6.1327053643189756E-3</v>
      </c>
      <c r="M1277" s="102">
        <f>M1195/Datasheet!L135</f>
        <v>3.8620299513244356E-4</v>
      </c>
      <c r="N1277" s="102">
        <f>N1195/Datasheet!M135</f>
        <v>1.7213964742481852E-2</v>
      </c>
      <c r="O1277" s="102">
        <f>O1195/Datasheet!N135</f>
        <v>1.291821745856961E-2</v>
      </c>
      <c r="P1277" s="102">
        <f>P1195/Datasheet!O135</f>
        <v>1.7744935214928724E-2</v>
      </c>
      <c r="Q1277" s="102">
        <f>Q1195/Datasheet!P135</f>
        <v>1.0182214679840977E-2</v>
      </c>
      <c r="R1277" s="102">
        <f>R1195/Datasheet!Q135</f>
        <v>0</v>
      </c>
      <c r="S1277" s="102">
        <f>S1195/Datasheet!R135</f>
        <v>9.496629506792682E-3</v>
      </c>
      <c r="T1277" s="102">
        <f>T1195/Datasheet!S135</f>
        <v>-1.4033578896751502E-3</v>
      </c>
      <c r="U1277" s="102">
        <f>U1195/Datasheet!T135</f>
        <v>3.158205455007998E-2</v>
      </c>
      <c r="V1277" s="102">
        <f>V1195/Datasheet!U135</f>
        <v>5.2940664382216743E-3</v>
      </c>
      <c r="W1277" s="102">
        <f>W1195/Datasheet!V135</f>
        <v>1.5667546475249317E-2</v>
      </c>
      <c r="X1277" s="102">
        <f>X1195/Datasheet!W135</f>
        <v>1.0700420617234906E-2</v>
      </c>
      <c r="Y1277" s="102">
        <f>Y1195/Datasheet!X135</f>
        <v>5.615376794759811E-3</v>
      </c>
      <c r="Z1277" s="102">
        <f>Z1195/Datasheet!Y135</f>
        <v>2.1420456752971575E-2</v>
      </c>
      <c r="AA1277" s="102">
        <f>AA1195/Datasheet!Z135</f>
        <v>1.3809296891500183E-2</v>
      </c>
      <c r="AB1277" s="102">
        <f>AB1195/Datasheet!AA135</f>
        <v>-5.0053633467283584E-3</v>
      </c>
      <c r="AC1277" s="102">
        <f>AC1195/Datasheet!AB135</f>
        <v>-1.0149905806042187E-2</v>
      </c>
      <c r="AD1277" s="102">
        <f>AD1195/Datasheet!AC135</f>
        <v>0</v>
      </c>
      <c r="AE1277" s="102">
        <f>AE1195/Datasheet!AD135</f>
        <v>0</v>
      </c>
      <c r="AF1277" s="102">
        <f>AF1195/Datasheet!AE135</f>
        <v>0</v>
      </c>
      <c r="AG1277" s="102">
        <f>AG1195/Datasheet!AF135</f>
        <v>0</v>
      </c>
      <c r="AH1277" s="102">
        <f>AH1195/Datasheet!AG135</f>
        <v>0</v>
      </c>
      <c r="AI1277" s="102">
        <f>AI1195/Datasheet!AH135</f>
        <v>0</v>
      </c>
      <c r="AJ1277" s="102">
        <f>AJ1195/Datasheet!AI135</f>
        <v>0</v>
      </c>
      <c r="AK1277" s="102">
        <f>AK1195/Datasheet!AJ135</f>
        <v>0</v>
      </c>
    </row>
    <row r="1278" spans="5:37" s="91" customFormat="1" x14ac:dyDescent="0.25">
      <c r="E1278" s="4"/>
      <c r="F1278" s="4" t="s">
        <v>1360</v>
      </c>
      <c r="H1278" s="4" t="s">
        <v>1371</v>
      </c>
      <c r="R1278" s="102">
        <f>R1196/Datasheet!I135</f>
        <v>0.28711734129044231</v>
      </c>
      <c r="S1278" s="102">
        <f>S1196/Datasheet!J135</f>
        <v>0.26977793481171469</v>
      </c>
      <c r="T1278" s="102">
        <f>T1196/Datasheet!K135</f>
        <v>0.16096006079540656</v>
      </c>
      <c r="U1278" s="102">
        <f>U1196/Datasheet!L135</f>
        <v>0.10823086391356512</v>
      </c>
      <c r="V1278" s="102">
        <f>V1196/Datasheet!M135</f>
        <v>0.10796537166426516</v>
      </c>
      <c r="W1278" s="102">
        <f>W1196/Datasheet!N135</f>
        <v>0.12297849789163573</v>
      </c>
      <c r="X1278" s="102">
        <f>X1196/Datasheet!O135</f>
        <v>0.11653170876232508</v>
      </c>
      <c r="Y1278" s="102">
        <f>Y1196/Datasheet!P135</f>
        <v>0.10815177173942835</v>
      </c>
      <c r="Z1278" s="102">
        <f>Z1196/Datasheet!Q135</f>
        <v>0.11335093679399479</v>
      </c>
      <c r="AA1278" s="102">
        <f>AA1196/Datasheet!R135</f>
        <v>0.11882335946476875</v>
      </c>
      <c r="AB1278" s="102">
        <f>AB1196/Datasheet!S135</f>
        <v>0.11202820081092585</v>
      </c>
      <c r="AC1278" s="102">
        <f>AC1196/Datasheet!T135</f>
        <v>9.0998427477018237E-2</v>
      </c>
      <c r="AD1278" s="102">
        <f>AD1196/Datasheet!U135</f>
        <v>8.9290077671647719E-2</v>
      </c>
      <c r="AE1278" s="102">
        <f>AE1196/Datasheet!V135</f>
        <v>5.8279798930837595E-2</v>
      </c>
      <c r="AF1278" s="102">
        <f>AF1196/Datasheet!W135</f>
        <v>5.2052874672431755E-2</v>
      </c>
      <c r="AG1278" s="102">
        <f>AG1196/Datasheet!X135</f>
        <v>3.6176696674039638E-2</v>
      </c>
      <c r="AH1278" s="102">
        <f>AH1196/Datasheet!Y135</f>
        <v>2.5402400605228786E-2</v>
      </c>
      <c r="AI1278" s="102">
        <f>AI1196/Datasheet!Z135</f>
        <v>1.9362575838532344E-2</v>
      </c>
      <c r="AJ1278" s="102">
        <f>AJ1196/Datasheet!AA135</f>
        <v>-1.5222298714397784E-3</v>
      </c>
      <c r="AK1278" s="102">
        <f>AK1196/Datasheet!AB135</f>
        <v>-1.5180448848529551E-2</v>
      </c>
    </row>
    <row r="1279" spans="5:37" s="91" customFormat="1" x14ac:dyDescent="0.25">
      <c r="E1279" s="4"/>
      <c r="F1279" s="4" t="s">
        <v>1361</v>
      </c>
      <c r="H1279" s="4" t="s">
        <v>1372</v>
      </c>
      <c r="T1279" s="102">
        <f>T1197/Datasheet!$S135</f>
        <v>-1.4033578896751502E-3</v>
      </c>
      <c r="U1279" s="102">
        <f>U1197/Datasheet!$S135</f>
        <v>3.0236842067032858E-2</v>
      </c>
      <c r="V1279" s="102">
        <f>V1197/Datasheet!$S135</f>
        <v>3.5725337002014967E-2</v>
      </c>
      <c r="W1279" s="102">
        <f>W1197/Datasheet!$S135</f>
        <v>5.2105109472084653E-2</v>
      </c>
      <c r="X1279" s="102">
        <f>X1197/Datasheet!$S135</f>
        <v>6.3501944507800542E-2</v>
      </c>
      <c r="Y1279" s="102">
        <f>Y1197/Datasheet!$S135</f>
        <v>6.9565002636743867E-2</v>
      </c>
      <c r="Z1279" s="102">
        <f>Z1197/Datasheet!$S135</f>
        <v>9.289255886185642E-2</v>
      </c>
      <c r="AA1279" s="102">
        <f>AA1197/Datasheet!$S135</f>
        <v>0.10829826149235344</v>
      </c>
      <c r="AB1279" s="102">
        <f>AB1197/Datasheet!$S135</f>
        <v>0.10262090887035501</v>
      </c>
      <c r="AC1279" s="102">
        <f>AC1197/Datasheet!$S135</f>
        <v>9.1165963777095627E-2</v>
      </c>
      <c r="AD1279" s="102">
        <f>AD1197/Datasheet!$S135</f>
        <v>9.1165963777095627E-2</v>
      </c>
      <c r="AE1279" s="102">
        <f>AE1197/Datasheet!$S135</f>
        <v>9.1165963777095627E-2</v>
      </c>
      <c r="AF1279" s="102">
        <f>AF1197/Datasheet!$S135</f>
        <v>9.1165963777095627E-2</v>
      </c>
      <c r="AG1279" s="102">
        <f>AG1197/Datasheet!$S135</f>
        <v>9.1165963777095627E-2</v>
      </c>
      <c r="AH1279" s="102">
        <f>AH1197/Datasheet!$S135</f>
        <v>9.1165963777095627E-2</v>
      </c>
      <c r="AI1279" s="102">
        <f>AI1197/Datasheet!$S135</f>
        <v>9.1165963777095627E-2</v>
      </c>
      <c r="AJ1279" s="102">
        <f>AJ1197/Datasheet!$S135</f>
        <v>9.1165963777095627E-2</v>
      </c>
      <c r="AK1279" s="102">
        <f>AK1197/Datasheet!$S135</f>
        <v>9.1165963777095627E-2</v>
      </c>
    </row>
    <row r="1280" spans="5:37" s="91" customFormat="1" x14ac:dyDescent="0.25">
      <c r="E1280" s="4"/>
      <c r="F1280" s="4" t="s">
        <v>1362</v>
      </c>
      <c r="H1280" s="4" t="s">
        <v>1373</v>
      </c>
      <c r="AB1280" s="102">
        <f>AB1198/Datasheet!$AA135</f>
        <v>-5.0053633467283584E-3</v>
      </c>
      <c r="AC1280" s="102">
        <f>AC1198/Datasheet!$AA135</f>
        <v>-1.5104465186276237E-2</v>
      </c>
      <c r="AD1280" s="102">
        <f>AD1198/Datasheet!$AA135</f>
        <v>-1.5104465186276237E-2</v>
      </c>
      <c r="AE1280" s="102">
        <f>AE1198/Datasheet!$AA135</f>
        <v>-1.5104465186276237E-2</v>
      </c>
      <c r="AF1280" s="102">
        <f>AF1198/Datasheet!$AA135</f>
        <v>-1.5104465186276237E-2</v>
      </c>
      <c r="AG1280" s="102">
        <f>AG1198/Datasheet!$AA135</f>
        <v>-1.5104465186276237E-2</v>
      </c>
      <c r="AH1280" s="102">
        <f>AH1198/Datasheet!$AA135</f>
        <v>-1.5104465186276237E-2</v>
      </c>
      <c r="AI1280" s="102">
        <f>AI1198/Datasheet!$AA135</f>
        <v>-1.5104465186276237E-2</v>
      </c>
      <c r="AJ1280" s="102">
        <f>AJ1198/Datasheet!$AA135</f>
        <v>-1.5104465186276237E-2</v>
      </c>
      <c r="AK1280" s="102">
        <f>AK1198/Datasheet!$AA135</f>
        <v>-1.5104465186276237E-2</v>
      </c>
    </row>
    <row r="1281" spans="4:37" s="91" customFormat="1" x14ac:dyDescent="0.25">
      <c r="E1281" s="4" t="s">
        <v>69</v>
      </c>
      <c r="F1281" s="4"/>
    </row>
    <row r="1282" spans="4:37" s="91" customFormat="1" x14ac:dyDescent="0.25">
      <c r="F1282" s="4" t="s">
        <v>1359</v>
      </c>
      <c r="H1282" s="4" t="s">
        <v>1370</v>
      </c>
      <c r="J1282" s="102">
        <f>J1200/Datasheet!I136</f>
        <v>1.0945778921823995E-2</v>
      </c>
      <c r="K1282" s="102">
        <f>K1200/Datasheet!J136</f>
        <v>2.3790827785700675E-2</v>
      </c>
      <c r="L1282" s="102">
        <f>L1200/Datasheet!K136</f>
        <v>6.7811975693318483E-2</v>
      </c>
      <c r="M1282" s="102">
        <f>M1200/Datasheet!L136</f>
        <v>0.12307309402178865</v>
      </c>
      <c r="N1282" s="102">
        <f>N1200/Datasheet!M136</f>
        <v>0.11194675153439688</v>
      </c>
      <c r="O1282" s="102">
        <f>O1200/Datasheet!N136</f>
        <v>3.7312407089040156E-3</v>
      </c>
      <c r="P1282" s="102">
        <f>P1200/Datasheet!O136</f>
        <v>1.9376884887925868E-3</v>
      </c>
      <c r="Q1282" s="102">
        <f>Q1200/Datasheet!P136</f>
        <v>1.8709132417931037E-2</v>
      </c>
      <c r="R1282" s="102">
        <f>R1200/Datasheet!Q136</f>
        <v>3.1315469543697273E-2</v>
      </c>
      <c r="S1282" s="102">
        <f>S1200/Datasheet!R136</f>
        <v>1.4989410145345944E-2</v>
      </c>
      <c r="T1282" s="102">
        <f>T1200/Datasheet!S136</f>
        <v>1.2338747166105763E-3</v>
      </c>
      <c r="U1282" s="102">
        <f>U1200/Datasheet!T136</f>
        <v>4.7259958557543122E-3</v>
      </c>
      <c r="V1282" s="102">
        <f>V1200/Datasheet!U136</f>
        <v>1.6457620251509462E-2</v>
      </c>
      <c r="W1282" s="102">
        <f>W1200/Datasheet!V136</f>
        <v>2.0666259226062638E-3</v>
      </c>
      <c r="X1282" s="102">
        <f>X1200/Datasheet!W136</f>
        <v>3.5249489857784623E-3</v>
      </c>
      <c r="Y1282" s="102">
        <f>Y1200/Datasheet!X136</f>
        <v>4.3214745883475285E-2</v>
      </c>
      <c r="Z1282" s="102">
        <f>Z1200/Datasheet!Y136</f>
        <v>2.2464383181903188E-2</v>
      </c>
      <c r="AA1282" s="102">
        <f>AA1200/Datasheet!Z136</f>
        <v>1.3031416148497734E-2</v>
      </c>
      <c r="AB1282" s="102">
        <f>AB1200/Datasheet!AA136</f>
        <v>1.862916467795432E-3</v>
      </c>
      <c r="AC1282" s="102">
        <f>AC1200/Datasheet!AB136</f>
        <v>1.7277356449283871E-2</v>
      </c>
      <c r="AD1282" s="102">
        <f>AD1200/Datasheet!AC136</f>
        <v>0</v>
      </c>
      <c r="AE1282" s="102">
        <f>AE1200/Datasheet!AD136</f>
        <v>0</v>
      </c>
      <c r="AF1282" s="102">
        <f>AF1200/Datasheet!AE136</f>
        <v>0</v>
      </c>
      <c r="AG1282" s="102">
        <f>AG1200/Datasheet!AF136</f>
        <v>0</v>
      </c>
      <c r="AH1282" s="102">
        <f>AH1200/Datasheet!AG136</f>
        <v>0</v>
      </c>
      <c r="AI1282" s="102">
        <f>AI1200/Datasheet!AH136</f>
        <v>0</v>
      </c>
      <c r="AJ1282" s="102">
        <f>AJ1200/Datasheet!AI136</f>
        <v>0</v>
      </c>
      <c r="AK1282" s="102">
        <f>AK1200/Datasheet!AJ136</f>
        <v>0</v>
      </c>
    </row>
    <row r="1283" spans="4:37" s="91" customFormat="1" x14ac:dyDescent="0.25">
      <c r="E1283" s="4"/>
      <c r="F1283" s="4" t="s">
        <v>1360</v>
      </c>
      <c r="H1283" s="4" t="s">
        <v>1371</v>
      </c>
      <c r="R1283" s="102">
        <f>R1201/Datasheet!I136</f>
        <v>0.54816303242291187</v>
      </c>
      <c r="S1283" s="102">
        <f>S1201/Datasheet!J136</f>
        <v>0.47488914357638989</v>
      </c>
      <c r="T1283" s="102">
        <f>T1201/Datasheet!K136</f>
        <v>0.45504250849464944</v>
      </c>
      <c r="U1283" s="102">
        <f>U1201/Datasheet!L136</f>
        <v>0.41070973517462472</v>
      </c>
      <c r="V1283" s="102">
        <f>V1201/Datasheet!M136</f>
        <v>0.32883678578755515</v>
      </c>
      <c r="W1283" s="102">
        <f>W1201/Datasheet!N136</f>
        <v>0.1994331770631784</v>
      </c>
      <c r="X1283" s="102">
        <f>X1201/Datasheet!O136</f>
        <v>0.10222504995644283</v>
      </c>
      <c r="Y1283" s="102">
        <f>Y1201/Datasheet!P136</f>
        <v>0.1453404845523891</v>
      </c>
      <c r="Z1283" s="102">
        <f>Z1201/Datasheet!Q136</f>
        <v>0.16576862663344899</v>
      </c>
      <c r="AA1283" s="102">
        <f>AA1201/Datasheet!R136</f>
        <v>0.15728223251047851</v>
      </c>
      <c r="AB1283" s="102">
        <f>AB1201/Datasheet!S136</f>
        <v>0.12708860285255272</v>
      </c>
      <c r="AC1283" s="102">
        <f>AC1201/Datasheet!T136</f>
        <v>0.13136582032228761</v>
      </c>
      <c r="AD1283" s="102">
        <f>AD1201/Datasheet!U136</f>
        <v>0.1297193354180832</v>
      </c>
      <c r="AE1283" s="102">
        <f>AE1201/Datasheet!V136</f>
        <v>0.12317129244942333</v>
      </c>
      <c r="AF1283" s="102">
        <f>AF1201/Datasheet!W136</f>
        <v>0.10689715179571754</v>
      </c>
      <c r="AG1283" s="102">
        <f>AG1201/Datasheet!X136</f>
        <v>0.10462186885998064</v>
      </c>
      <c r="AH1283" s="102">
        <f>AH1201/Datasheet!Y136</f>
        <v>9.705689450539691E-2</v>
      </c>
      <c r="AI1283" s="102">
        <f>AI1201/Datasheet!Z136</f>
        <v>5.4428532487782622E-2</v>
      </c>
      <c r="AJ1283" s="102">
        <f>AJ1201/Datasheet!AA136</f>
        <v>3.2054376147485152E-2</v>
      </c>
      <c r="AK1283" s="102">
        <f>AK1201/Datasheet!AB136</f>
        <v>1.913680891246456E-2</v>
      </c>
    </row>
    <row r="1284" spans="4:37" s="91" customFormat="1" x14ac:dyDescent="0.25">
      <c r="E1284" s="4"/>
      <c r="F1284" s="4" t="s">
        <v>1361</v>
      </c>
      <c r="H1284" s="4" t="s">
        <v>1372</v>
      </c>
      <c r="T1284" s="102">
        <f>T1202/Datasheet!$S136</f>
        <v>1.2338747166105763E-3</v>
      </c>
      <c r="U1284" s="102">
        <f>U1202/Datasheet!$S136</f>
        <v>5.9583874149708492E-3</v>
      </c>
      <c r="V1284" s="102">
        <f>V1202/Datasheet!$S136</f>
        <v>2.2463125484023468E-2</v>
      </c>
      <c r="W1284" s="102">
        <f>W1202/Datasheet!$S136</f>
        <v>2.4566578706467466E-2</v>
      </c>
      <c r="X1284" s="102">
        <f>X1202/Datasheet!$S136</f>
        <v>2.8156301313881856E-2</v>
      </c>
      <c r="Y1284" s="102">
        <f>Y1202/Datasheet!$S136</f>
        <v>7.2253396359699865E-2</v>
      </c>
      <c r="Z1284" s="102">
        <f>Z1202/Datasheet!$S136</f>
        <v>9.6132298186554166E-2</v>
      </c>
      <c r="AA1284" s="102">
        <f>AA1202/Datasheet!$S136</f>
        <v>0.11027527286476328</v>
      </c>
      <c r="AB1284" s="102">
        <f>AB1202/Datasheet!$S136</f>
        <v>0.11232055700348374</v>
      </c>
      <c r="AC1284" s="102">
        <f>AC1202/Datasheet!$S136</f>
        <v>0.13132459383930248</v>
      </c>
      <c r="AD1284" s="102">
        <f>AD1202/Datasheet!$S136</f>
        <v>0.13132459383930248</v>
      </c>
      <c r="AE1284" s="102">
        <f>AE1202/Datasheet!$S136</f>
        <v>0.13132459383930248</v>
      </c>
      <c r="AF1284" s="102">
        <f>AF1202/Datasheet!$S136</f>
        <v>0.13132459383930248</v>
      </c>
      <c r="AG1284" s="102">
        <f>AG1202/Datasheet!$S136</f>
        <v>0.13132459383930248</v>
      </c>
      <c r="AH1284" s="102">
        <f>AH1202/Datasheet!$S136</f>
        <v>0.13132459383930248</v>
      </c>
      <c r="AI1284" s="102">
        <f>AI1202/Datasheet!$S136</f>
        <v>0.13132459383930248</v>
      </c>
      <c r="AJ1284" s="102">
        <f>AJ1202/Datasheet!$S136</f>
        <v>0.13132459383930248</v>
      </c>
      <c r="AK1284" s="102">
        <f>AK1202/Datasheet!$S136</f>
        <v>0.13132459383930248</v>
      </c>
    </row>
    <row r="1285" spans="4:37" s="91" customFormat="1" x14ac:dyDescent="0.25">
      <c r="E1285" s="4"/>
      <c r="F1285" s="4" t="s">
        <v>1362</v>
      </c>
      <c r="H1285" s="4" t="s">
        <v>1373</v>
      </c>
      <c r="AB1285" s="102">
        <f>AB1203/Datasheet!$AA136</f>
        <v>1.862916467795432E-3</v>
      </c>
      <c r="AC1285" s="102">
        <f>AC1203/Datasheet!$AA136</f>
        <v>1.9172459188928646E-2</v>
      </c>
      <c r="AD1285" s="102">
        <f>AD1203/Datasheet!$AA136</f>
        <v>1.9172459188928646E-2</v>
      </c>
      <c r="AE1285" s="102">
        <f>AE1203/Datasheet!$AA136</f>
        <v>1.9172459188928646E-2</v>
      </c>
      <c r="AF1285" s="102">
        <f>AF1203/Datasheet!$AA136</f>
        <v>1.9172459188928646E-2</v>
      </c>
      <c r="AG1285" s="102">
        <f>AG1203/Datasheet!$AA136</f>
        <v>1.9172459188928646E-2</v>
      </c>
      <c r="AH1285" s="102">
        <f>AH1203/Datasheet!$AA136</f>
        <v>1.9172459188928646E-2</v>
      </c>
      <c r="AI1285" s="102">
        <f>AI1203/Datasheet!$AA136</f>
        <v>1.9172459188928646E-2</v>
      </c>
      <c r="AJ1285" s="102">
        <f>AJ1203/Datasheet!$AA136</f>
        <v>1.9172459188928646E-2</v>
      </c>
      <c r="AK1285" s="102">
        <f>AK1203/Datasheet!$AA136</f>
        <v>1.9172459188928646E-2</v>
      </c>
    </row>
    <row r="1286" spans="4:37" s="91" customFormat="1" x14ac:dyDescent="0.25">
      <c r="D1286" s="91" t="s">
        <v>29</v>
      </c>
      <c r="E1286" s="79"/>
      <c r="F1286" s="79"/>
    </row>
    <row r="1287" spans="4:37" s="91" customFormat="1" x14ac:dyDescent="0.25">
      <c r="E1287" s="4" t="s">
        <v>1247</v>
      </c>
      <c r="F1287" s="4"/>
    </row>
    <row r="1288" spans="4:37" s="91" customFormat="1" x14ac:dyDescent="0.25">
      <c r="E1288" s="4"/>
      <c r="F1288" s="4" t="s">
        <v>1359</v>
      </c>
      <c r="H1288" s="4" t="s">
        <v>1370</v>
      </c>
      <c r="J1288" s="102">
        <f>J1206/Datasheet!I121</f>
        <v>6.9792412312097351E-3</v>
      </c>
      <c r="K1288" s="102">
        <f>K1206/Datasheet!J121</f>
        <v>8.7080149280255904E-3</v>
      </c>
      <c r="L1288" s="102">
        <f>L1206/Datasheet!K121</f>
        <v>1.5151515151515152E-2</v>
      </c>
      <c r="M1288" s="102">
        <f>M1206/Datasheet!L121</f>
        <v>1.5272474835126693E-2</v>
      </c>
      <c r="N1288" s="102">
        <f>N1206/Datasheet!M121</f>
        <v>9.2307692307692316E-3</v>
      </c>
      <c r="O1288" s="102">
        <f>O1206/Datasheet!N121</f>
        <v>4.4037940379403791E-3</v>
      </c>
      <c r="P1288" s="102">
        <f>P1206/Datasheet!O121</f>
        <v>4.5531197301854976E-3</v>
      </c>
      <c r="Q1288" s="102">
        <f>Q1206/Datasheet!P121</f>
        <v>5.8754406580493537E-3</v>
      </c>
      <c r="R1288" s="102">
        <f>R1206/Datasheet!Q121</f>
        <v>1.6688918558077436E-4</v>
      </c>
      <c r="S1288" s="102">
        <f>S1206/Datasheet!R121</f>
        <v>4.1715334556983149E-3</v>
      </c>
      <c r="T1288" s="102">
        <f>T1206/Datasheet!S121</f>
        <v>0</v>
      </c>
      <c r="U1288" s="102">
        <f>U1206/Datasheet!T121</f>
        <v>9.5150655204073124E-3</v>
      </c>
      <c r="V1288" s="102">
        <f>V1206/Datasheet!U121</f>
        <v>0</v>
      </c>
      <c r="W1288" s="102">
        <f>W1206/Datasheet!V121</f>
        <v>0</v>
      </c>
      <c r="X1288" s="102">
        <f>X1206/Datasheet!W121</f>
        <v>2.1961441743503771E-2</v>
      </c>
      <c r="Y1288" s="102">
        <f>Y1206/Datasheet!X121</f>
        <v>1.2194117162395979E-2</v>
      </c>
      <c r="Z1288" s="102">
        <f>Z1206/Datasheet!Y121</f>
        <v>6.5412919051512672E-4</v>
      </c>
      <c r="AA1288" s="102">
        <f>AA1206/Datasheet!Z121</f>
        <v>2.6266108511860788E-3</v>
      </c>
      <c r="AB1288" s="102">
        <f>AB1206/Datasheet!AA121</f>
        <v>1.6447368421052631E-2</v>
      </c>
      <c r="AC1288" s="102">
        <f>AC1206/Datasheet!AB121</f>
        <v>1.9417475728155339E-3</v>
      </c>
      <c r="AD1288" s="102">
        <f>AD1206/Datasheet!AC121</f>
        <v>0</v>
      </c>
      <c r="AE1288" s="102">
        <f>AE1206/Datasheet!AD121</f>
        <v>0</v>
      </c>
      <c r="AF1288" s="102">
        <f>AF1206/Datasheet!AE121</f>
        <v>0</v>
      </c>
      <c r="AG1288" s="102">
        <f>AG1206/Datasheet!AF121</f>
        <v>0</v>
      </c>
      <c r="AH1288" s="102">
        <f>AH1206/Datasheet!AG121</f>
        <v>0</v>
      </c>
      <c r="AI1288" s="102">
        <f>AI1206/Datasheet!AH121</f>
        <v>0</v>
      </c>
      <c r="AJ1288" s="102">
        <f>AJ1206/Datasheet!AI121</f>
        <v>0</v>
      </c>
      <c r="AK1288" s="102">
        <f>AK1206/Datasheet!AJ121</f>
        <v>0</v>
      </c>
    </row>
    <row r="1289" spans="4:37" s="91" customFormat="1" x14ac:dyDescent="0.25">
      <c r="E1289" s="4"/>
      <c r="F1289" s="4" t="s">
        <v>1360</v>
      </c>
      <c r="H1289" s="4" t="s">
        <v>1371</v>
      </c>
      <c r="R1289" s="102">
        <f>R1207/Datasheet!I121</f>
        <v>7.2476735862562633E-2</v>
      </c>
      <c r="S1289" s="102">
        <f>S1207/Datasheet!J121</f>
        <v>7.6417273858183754E-2</v>
      </c>
      <c r="T1289" s="102">
        <f>T1207/Datasheet!K121</f>
        <v>6.8886539816772369E-2</v>
      </c>
      <c r="U1289" s="102">
        <f>U1207/Datasheet!L121</f>
        <v>6.9246789309267615E-2</v>
      </c>
      <c r="V1289" s="102">
        <f>V1207/Datasheet!M121</f>
        <v>5.3504273504273503E-2</v>
      </c>
      <c r="W1289" s="102">
        <f>W1207/Datasheet!N121</f>
        <v>3.8109756097560975E-2</v>
      </c>
      <c r="X1289" s="102">
        <f>X1207/Datasheet!O121</f>
        <v>5.0927487352445192E-2</v>
      </c>
      <c r="Y1289" s="102">
        <f>Y1207/Datasheet!P121</f>
        <v>5.8754406580493537E-2</v>
      </c>
      <c r="Z1289" s="102">
        <f>Z1207/Datasheet!Q121</f>
        <v>5.457276368491322E-2</v>
      </c>
      <c r="AA1289" s="102">
        <f>AA1207/Datasheet!R121</f>
        <v>5.1393292174203235E-2</v>
      </c>
      <c r="AB1289" s="102">
        <f>AB1207/Datasheet!S121</f>
        <v>6.76304420073114E-2</v>
      </c>
      <c r="AC1289" s="102">
        <f>AC1207/Datasheet!T121</f>
        <v>6.577080377264001E-2</v>
      </c>
      <c r="AD1289" s="102">
        <f>AD1207/Datasheet!U121</f>
        <v>6.5448504983388708E-2</v>
      </c>
      <c r="AE1289" s="102">
        <f>AE1207/Datasheet!V121</f>
        <v>5.6236962870254488E-2</v>
      </c>
      <c r="AF1289" s="102">
        <f>AF1207/Datasheet!W121</f>
        <v>5.6496227996647108E-2</v>
      </c>
      <c r="AG1289" s="102">
        <f>AG1207/Datasheet!X121</f>
        <v>5.553266869901953E-2</v>
      </c>
      <c r="AH1289" s="102">
        <f>AH1207/Datasheet!Y121</f>
        <v>3.368765331152903E-2</v>
      </c>
      <c r="AI1289" s="102">
        <f>AI1207/Datasheet!Z121</f>
        <v>2.1669539522285151E-2</v>
      </c>
      <c r="AJ1289" s="102">
        <f>AJ1207/Datasheet!AA121</f>
        <v>2.1052631578947368E-2</v>
      </c>
      <c r="AK1289" s="102">
        <f>AK1207/Datasheet!AB121</f>
        <v>1.8122977346278317E-2</v>
      </c>
    </row>
    <row r="1290" spans="4:37" s="91" customFormat="1" x14ac:dyDescent="0.25">
      <c r="E1290" s="4"/>
      <c r="F1290" s="4" t="s">
        <v>1361</v>
      </c>
      <c r="H1290" s="4" t="s">
        <v>1372</v>
      </c>
      <c r="T1290" s="102">
        <f>T1208/Datasheet!$S121</f>
        <v>0</v>
      </c>
      <c r="U1290" s="102">
        <f>U1208/Datasheet!$S121</f>
        <v>9.4715852442671979E-3</v>
      </c>
      <c r="V1290" s="102">
        <f>V1208/Datasheet!$S121</f>
        <v>9.4715852442671979E-3</v>
      </c>
      <c r="W1290" s="102">
        <f>W1208/Datasheet!$S121</f>
        <v>9.4715852442671979E-3</v>
      </c>
      <c r="X1290" s="102">
        <f>X1208/Datasheet!$S121</f>
        <v>3.1239614489863742E-2</v>
      </c>
      <c r="Y1290" s="102">
        <f>Y1208/Datasheet!$S121</f>
        <v>4.3536058491193089E-2</v>
      </c>
      <c r="Z1290" s="102">
        <f>Z1208/Datasheet!$S121</f>
        <v>4.4200731139913595E-2</v>
      </c>
      <c r="AA1290" s="102">
        <f>AA1208/Datasheet!$S121</f>
        <v>4.6859421734795612E-2</v>
      </c>
      <c r="AB1290" s="102">
        <f>AB1208/Datasheet!$S121</f>
        <v>6.347623795280824E-2</v>
      </c>
      <c r="AC1290" s="102">
        <f>AC1208/Datasheet!$S121</f>
        <v>6.5470255898969751E-2</v>
      </c>
      <c r="AD1290" s="102">
        <f>AD1208/Datasheet!$S121</f>
        <v>6.5470255898969751E-2</v>
      </c>
      <c r="AE1290" s="102">
        <f>AE1208/Datasheet!$S121</f>
        <v>6.5470255898969751E-2</v>
      </c>
      <c r="AF1290" s="102">
        <f>AF1208/Datasheet!$S121</f>
        <v>6.5470255898969751E-2</v>
      </c>
      <c r="AG1290" s="102">
        <f>AG1208/Datasheet!$S121</f>
        <v>6.5470255898969751E-2</v>
      </c>
      <c r="AH1290" s="102">
        <f>AH1208/Datasheet!$S121</f>
        <v>6.5470255898969751E-2</v>
      </c>
      <c r="AI1290" s="102">
        <f>AI1208/Datasheet!$S121</f>
        <v>6.5470255898969751E-2</v>
      </c>
      <c r="AJ1290" s="102">
        <f>AJ1208/Datasheet!$S121</f>
        <v>6.5470255898969751E-2</v>
      </c>
      <c r="AK1290" s="102">
        <f>AK1208/Datasheet!$S121</f>
        <v>6.5470255898969751E-2</v>
      </c>
    </row>
    <row r="1291" spans="4:37" s="91" customFormat="1" x14ac:dyDescent="0.25">
      <c r="E1291" s="4"/>
      <c r="F1291" s="4" t="s">
        <v>1362</v>
      </c>
      <c r="H1291" s="4" t="s">
        <v>1373</v>
      </c>
      <c r="AB1291" s="102">
        <f>AB1209/Datasheet!$AA121</f>
        <v>1.6447368421052631E-2</v>
      </c>
      <c r="AC1291" s="102">
        <f>AC1209/Datasheet!$AA121</f>
        <v>1.8421052631578946E-2</v>
      </c>
      <c r="AD1291" s="102">
        <f>AD1209/Datasheet!$AA121</f>
        <v>1.8421052631578946E-2</v>
      </c>
      <c r="AE1291" s="102">
        <f>AE1209/Datasheet!$AA121</f>
        <v>1.8421052631578946E-2</v>
      </c>
      <c r="AF1291" s="102">
        <f>AF1209/Datasheet!$AA121</f>
        <v>1.8421052631578946E-2</v>
      </c>
      <c r="AG1291" s="102">
        <f>AG1209/Datasheet!$AA121</f>
        <v>1.8421052631578946E-2</v>
      </c>
      <c r="AH1291" s="102">
        <f>AH1209/Datasheet!$AA121</f>
        <v>1.8421052631578946E-2</v>
      </c>
      <c r="AI1291" s="102">
        <f>AI1209/Datasheet!$AA121</f>
        <v>1.8421052631578946E-2</v>
      </c>
      <c r="AJ1291" s="102">
        <f>AJ1209/Datasheet!$AA121</f>
        <v>1.8421052631578946E-2</v>
      </c>
      <c r="AK1291" s="102">
        <f>AK1209/Datasheet!$AA121</f>
        <v>1.8421052631578946E-2</v>
      </c>
    </row>
    <row r="1292" spans="4:37" s="91" customFormat="1" x14ac:dyDescent="0.25">
      <c r="D1292" s="91" t="s">
        <v>594</v>
      </c>
    </row>
    <row r="1293" spans="4:37" s="91" customFormat="1" x14ac:dyDescent="0.25">
      <c r="F1293" s="91" t="s">
        <v>1359</v>
      </c>
      <c r="H1293" s="91" t="s">
        <v>1366</v>
      </c>
      <c r="J1293" s="198">
        <f>J1211/Datasheet!I106</f>
        <v>2.3307989530100961E-2</v>
      </c>
      <c r="K1293" s="198">
        <f>K1211/Datasheet!J106</f>
        <v>3.9098660170523748E-2</v>
      </c>
      <c r="L1293" s="198">
        <f>L1211/Datasheet!K106</f>
        <v>1.8286250146524439E-2</v>
      </c>
      <c r="M1293" s="198">
        <f>M1211/Datasheet!L106</f>
        <v>2.9469321975365489E-2</v>
      </c>
      <c r="N1293" s="198">
        <f>N1211/Datasheet!M106</f>
        <v>1.8448121645796064E-2</v>
      </c>
      <c r="O1293" s="198">
        <f>O1211/Datasheet!N106</f>
        <v>1.8111964873765093E-2</v>
      </c>
      <c r="P1293" s="198">
        <f>P1211/Datasheet!O106</f>
        <v>1.9407008086253369E-2</v>
      </c>
      <c r="Q1293" s="198">
        <f>Q1211/Datasheet!P106</f>
        <v>1.7978003384094755E-2</v>
      </c>
      <c r="R1293" s="198">
        <f>R1211/Datasheet!Q106</f>
        <v>7.0642011219613551E-3</v>
      </c>
      <c r="S1293" s="198">
        <f>S1211/Datasheet!R106</f>
        <v>6.8083350526098613E-3</v>
      </c>
      <c r="T1293" s="198">
        <f>T1211/Datasheet!S106</f>
        <v>6.4549180327868856E-3</v>
      </c>
      <c r="U1293" s="198">
        <f>U1211/Datasheet!T106</f>
        <v>1.0777697283969446E-2</v>
      </c>
      <c r="V1293" s="198">
        <f>V1211/Datasheet!U106</f>
        <v>1.2759651370155476E-2</v>
      </c>
      <c r="W1293" s="198">
        <f>W1211/Datasheet!V106</f>
        <v>1.3178265769950086E-2</v>
      </c>
      <c r="X1293" s="198">
        <f>X1211/Datasheet!W106</f>
        <v>8.4004884004884005E-3</v>
      </c>
      <c r="Y1293" s="198">
        <f>Y1211/Datasheet!X106</f>
        <v>1.6834976114168228E-2</v>
      </c>
      <c r="Z1293" s="198">
        <f>Z1211/Datasheet!Y106</f>
        <v>2.2999976239693968E-2</v>
      </c>
      <c r="AA1293" s="198">
        <f>AA1211/Datasheet!Z106</f>
        <v>2.1807973830431402E-2</v>
      </c>
      <c r="AB1293" s="198">
        <f>AB1211/Datasheet!AA106</f>
        <v>2.1137621337204027E-2</v>
      </c>
      <c r="AC1293" s="198">
        <f>AC1211/Datasheet!AB106</f>
        <v>1.0305614783226724E-2</v>
      </c>
      <c r="AD1293" s="198">
        <f>AD1211/Datasheet!AC106</f>
        <v>-8.7935279634189235E-5</v>
      </c>
      <c r="AE1293" s="198">
        <f>AE1211/Datasheet!AD106</f>
        <v>0</v>
      </c>
      <c r="AF1293" s="198">
        <f>AF1211/Datasheet!AE106</f>
        <v>0</v>
      </c>
      <c r="AG1293" s="198">
        <f>AG1211/Datasheet!AF106</f>
        <v>0</v>
      </c>
      <c r="AH1293" s="198">
        <f>AH1211/Datasheet!AG106</f>
        <v>0</v>
      </c>
      <c r="AI1293" s="198">
        <f>AI1211/Datasheet!AH106</f>
        <v>0</v>
      </c>
      <c r="AJ1293" s="198">
        <f>AJ1211/Datasheet!AI106</f>
        <v>0</v>
      </c>
      <c r="AK1293" s="198">
        <f>AK1211/Datasheet!AJ106</f>
        <v>0</v>
      </c>
    </row>
    <row r="1294" spans="4:37" s="91" customFormat="1" x14ac:dyDescent="0.25">
      <c r="F1294" s="91" t="s">
        <v>1360</v>
      </c>
      <c r="H1294" s="91" t="s">
        <v>1367</v>
      </c>
      <c r="R1294" s="198">
        <f>R1212/Datasheet!I106</f>
        <v>0.21563006356724418</v>
      </c>
      <c r="S1294" s="198">
        <f>S1212/Datasheet!J106</f>
        <v>0.21120584652862362</v>
      </c>
      <c r="T1294" s="198">
        <f>T1212/Datasheet!K106</f>
        <v>0.18872347907630993</v>
      </c>
      <c r="U1294" s="198">
        <f>U1212/Datasheet!L106</f>
        <v>0.16058478185794867</v>
      </c>
      <c r="V1294" s="198">
        <f>V1212/Datasheet!M106</f>
        <v>0.15272808586762074</v>
      </c>
      <c r="W1294" s="198">
        <f>W1212/Datasheet!N106</f>
        <v>0.13644346871569704</v>
      </c>
      <c r="X1294" s="198">
        <f>X1212/Datasheet!O106</f>
        <v>0.12549865229110513</v>
      </c>
      <c r="Y1294" s="198">
        <f>Y1212/Datasheet!P106</f>
        <v>0.12404822335025381</v>
      </c>
      <c r="Z1294" s="198">
        <f>Z1212/Datasheet!Q106</f>
        <v>0.12829835861209224</v>
      </c>
      <c r="AA1294" s="198">
        <f>AA1212/Datasheet!R106</f>
        <v>0.13410356921807304</v>
      </c>
      <c r="AB1294" s="198">
        <f>AB1212/Datasheet!S106</f>
        <v>0.15010245901639344</v>
      </c>
      <c r="AC1294" s="198">
        <f>AC1212/Datasheet!T106</f>
        <v>0.15403973004918595</v>
      </c>
      <c r="AD1294" s="198">
        <f>AD1212/Datasheet!U106</f>
        <v>0.14578152864642202</v>
      </c>
      <c r="AE1294" s="198">
        <f>AE1212/Datasheet!V106</f>
        <v>0.13326892827505915</v>
      </c>
      <c r="AF1294" s="198">
        <f>AF1212/Datasheet!W106</f>
        <v>0.11897435897435897</v>
      </c>
      <c r="AG1294" s="198">
        <f>AG1212/Datasheet!X106</f>
        <v>0.10497671887283062</v>
      </c>
      <c r="AH1294" s="198">
        <f>AH1212/Datasheet!Y106</f>
        <v>9.4946182906835846E-2</v>
      </c>
      <c r="AI1294" s="198">
        <f>AI1212/Datasheet!Z106</f>
        <v>7.6559908128110241E-2</v>
      </c>
      <c r="AJ1294" s="198">
        <f>AJ1212/Datasheet!AA106</f>
        <v>5.2889413045450424E-2</v>
      </c>
      <c r="AK1294" s="198">
        <f>AK1212/Datasheet!AB106</f>
        <v>3.0916844349680169E-2</v>
      </c>
    </row>
    <row r="1295" spans="4:37" s="91" customFormat="1" x14ac:dyDescent="0.25">
      <c r="F1295" s="91" t="s">
        <v>1361</v>
      </c>
      <c r="H1295" s="91" t="s">
        <v>1368</v>
      </c>
      <c r="T1295" s="198">
        <f>T1213/Datasheet!$S106</f>
        <v>6.4549180327868856E-3</v>
      </c>
      <c r="U1295" s="198">
        <f>U1213/Datasheet!$S106</f>
        <v>1.7315573770491803E-2</v>
      </c>
      <c r="V1295" s="198">
        <f>V1213/Datasheet!$S106</f>
        <v>3.0327868852459017E-2</v>
      </c>
      <c r="W1295" s="198">
        <f>W1213/Datasheet!$S106</f>
        <v>4.3954918032786887E-2</v>
      </c>
      <c r="X1295" s="198">
        <f>X1213/Datasheet!$S106</f>
        <v>5.2766393442622954E-2</v>
      </c>
      <c r="Y1295" s="198">
        <f>Y1213/Datasheet!$S106</f>
        <v>7.0594262295081964E-2</v>
      </c>
      <c r="Z1295" s="198">
        <f>Z1213/Datasheet!$S106</f>
        <v>9.5389344262295075E-2</v>
      </c>
      <c r="AA1295" s="198">
        <f>AA1213/Datasheet!$S106</f>
        <v>0.1194672131147541</v>
      </c>
      <c r="AB1295" s="198">
        <f>AB1213/Datasheet!$S106</f>
        <v>0.14334016393442622</v>
      </c>
      <c r="AC1295" s="198">
        <f>AC1213/Datasheet!$S106</f>
        <v>0.15522540983606559</v>
      </c>
      <c r="AD1295" s="198">
        <f>AD1213/Datasheet!$S106</f>
        <v>0.15512295081967212</v>
      </c>
      <c r="AE1295" s="198">
        <f>AE1213/Datasheet!$S106</f>
        <v>0.15512295081967212</v>
      </c>
      <c r="AF1295" s="198">
        <f>AF1213/Datasheet!$S106</f>
        <v>0.15512295081967212</v>
      </c>
      <c r="AG1295" s="198">
        <f>AG1213/Datasheet!$S106</f>
        <v>0.15512295081967212</v>
      </c>
      <c r="AH1295" s="198">
        <f>AH1213/Datasheet!$S106</f>
        <v>0.15512295081967212</v>
      </c>
      <c r="AI1295" s="198">
        <f>AI1213/Datasheet!$S106</f>
        <v>0.15512295081967212</v>
      </c>
      <c r="AJ1295" s="198">
        <f>AJ1213/Datasheet!$S106</f>
        <v>0.15512295081967212</v>
      </c>
      <c r="AK1295" s="198">
        <f>AK1213/Datasheet!$S106</f>
        <v>0.15512295081967212</v>
      </c>
    </row>
    <row r="1296" spans="4:37" s="91" customFormat="1" x14ac:dyDescent="0.25">
      <c r="F1296" s="91" t="s">
        <v>1362</v>
      </c>
      <c r="H1296" s="91" t="s">
        <v>1369</v>
      </c>
      <c r="AB1296" s="198">
        <f>AB1214/Datasheet!$AA106</f>
        <v>2.1137621337204027E-2</v>
      </c>
      <c r="AC1296" s="198">
        <f>AC1214/Datasheet!$AA106</f>
        <v>3.1661072303365692E-2</v>
      </c>
      <c r="AD1296" s="198">
        <f>AD1214/Datasheet!$AA106</f>
        <v>3.1570352898484984E-2</v>
      </c>
      <c r="AE1296" s="198">
        <f>AE1214/Datasheet!$AA106</f>
        <v>3.1570352898484984E-2</v>
      </c>
      <c r="AF1296" s="198">
        <f>AF1214/Datasheet!$AA106</f>
        <v>3.1570352898484984E-2</v>
      </c>
      <c r="AG1296" s="198">
        <f>AG1214/Datasheet!$AA106</f>
        <v>3.1570352898484984E-2</v>
      </c>
      <c r="AH1296" s="198">
        <f>AH1214/Datasheet!$AA106</f>
        <v>3.1570352898484984E-2</v>
      </c>
      <c r="AI1296" s="198">
        <f>AI1214/Datasheet!$AA106</f>
        <v>3.1570352898484984E-2</v>
      </c>
      <c r="AJ1296" s="198">
        <f>AJ1214/Datasheet!$AA106</f>
        <v>3.1570352898484984E-2</v>
      </c>
      <c r="AK1296" s="198">
        <f>AK1214/Datasheet!$AA106</f>
        <v>3.1570352898484984E-2</v>
      </c>
    </row>
    <row r="1297" spans="5:37" s="91" customFormat="1" x14ac:dyDescent="0.25">
      <c r="E1297" s="4" t="s">
        <v>46</v>
      </c>
      <c r="AB1297" s="198"/>
      <c r="AC1297" s="198"/>
      <c r="AD1297" s="198"/>
      <c r="AE1297" s="198"/>
      <c r="AF1297" s="198"/>
      <c r="AG1297" s="198"/>
      <c r="AH1297" s="198"/>
      <c r="AI1297" s="198"/>
      <c r="AJ1297" s="198"/>
      <c r="AK1297" s="198"/>
    </row>
    <row r="1298" spans="5:37" s="91" customFormat="1" x14ac:dyDescent="0.25">
      <c r="F1298" s="4" t="s">
        <v>1359</v>
      </c>
      <c r="H1298" s="4" t="s">
        <v>1370</v>
      </c>
      <c r="I1298" s="102">
        <f>I1216/Datasheet!I107</f>
        <v>0</v>
      </c>
      <c r="J1298" s="102">
        <f>J1216/Datasheet!J107</f>
        <v>0</v>
      </c>
      <c r="K1298" s="102">
        <f>K1216/Datasheet!K107</f>
        <v>0</v>
      </c>
      <c r="L1298" s="102">
        <f>L1216/Datasheet!L107</f>
        <v>0</v>
      </c>
      <c r="M1298" s="102">
        <f>M1216/Datasheet!M107</f>
        <v>4.807692307692308E-3</v>
      </c>
      <c r="N1298" s="102">
        <f>N1216/Datasheet!N107</f>
        <v>4.7846889952153108E-3</v>
      </c>
      <c r="O1298" s="102">
        <f>O1216/Datasheet!O107</f>
        <v>0</v>
      </c>
      <c r="P1298" s="102">
        <f>P1216/Datasheet!P107</f>
        <v>4.7619047619047623E-3</v>
      </c>
      <c r="Q1298" s="102">
        <f>Q1216/Datasheet!Q107</f>
        <v>0</v>
      </c>
      <c r="R1298" s="102">
        <f>R1216/Datasheet!R107</f>
        <v>0</v>
      </c>
      <c r="S1298" s="102">
        <f>S1216/Datasheet!S107</f>
        <v>0</v>
      </c>
      <c r="T1298" s="102">
        <f>T1216/Datasheet!T107</f>
        <v>0</v>
      </c>
      <c r="U1298" s="102">
        <f>U1216/Datasheet!U107</f>
        <v>9.4451003541912628E-3</v>
      </c>
      <c r="V1298" s="102">
        <f>V1216/Datasheet!V107</f>
        <v>0</v>
      </c>
      <c r="W1298" s="102">
        <f>W1216/Datasheet!W107</f>
        <v>0</v>
      </c>
      <c r="X1298" s="102">
        <f>X1216/Datasheet!X107</f>
        <v>0</v>
      </c>
      <c r="Y1298" s="102">
        <f>Y1216/Datasheet!Y107</f>
        <v>0</v>
      </c>
      <c r="Z1298" s="102">
        <f>Z1216/Datasheet!Z107</f>
        <v>0</v>
      </c>
      <c r="AA1298" s="102">
        <f>AA1216/Datasheet!AA107</f>
        <v>4.7169811320754715E-3</v>
      </c>
      <c r="AB1298" s="102">
        <f>AB1216/Datasheet!AB107</f>
        <v>9.3457943925233638E-3</v>
      </c>
      <c r="AC1298" s="102">
        <f>AC1216/Datasheet!AC107</f>
        <v>4.6511627906976744E-3</v>
      </c>
      <c r="AD1298" s="102">
        <f>AD1216/Datasheet!AD107</f>
        <v>0</v>
      </c>
      <c r="AE1298" s="102">
        <f>AE1216/Datasheet!AE107</f>
        <v>0</v>
      </c>
      <c r="AF1298" s="102">
        <f>AF1216/Datasheet!AF107</f>
        <v>0</v>
      </c>
      <c r="AG1298" s="102">
        <f>AG1216/Datasheet!AG107</f>
        <v>0</v>
      </c>
      <c r="AH1298" s="102">
        <f>AH1216/Datasheet!AH107</f>
        <v>0</v>
      </c>
      <c r="AI1298" s="102">
        <f>AI1216/Datasheet!AI107</f>
        <v>0</v>
      </c>
      <c r="AJ1298" s="102">
        <f>AJ1216/Datasheet!AJ107</f>
        <v>0</v>
      </c>
      <c r="AK1298" s="102">
        <f>AK1216/Datasheet!AK107</f>
        <v>0</v>
      </c>
    </row>
    <row r="1299" spans="5:37" s="91" customFormat="1" x14ac:dyDescent="0.25">
      <c r="F1299" s="4" t="s">
        <v>1360</v>
      </c>
      <c r="H1299" s="4" t="s">
        <v>1371</v>
      </c>
      <c r="R1299" s="102">
        <f>R1217/Datasheet!I107</f>
        <v>1.4492753623188406E-2</v>
      </c>
      <c r="S1299" s="102">
        <f>S1217/Datasheet!J107</f>
        <v>1.4492753623188406E-2</v>
      </c>
      <c r="T1299" s="102">
        <f>T1217/Datasheet!K107</f>
        <v>1.4492753623188406E-2</v>
      </c>
      <c r="U1299" s="102">
        <f>U1217/Datasheet!L107</f>
        <v>2.4154589371980676E-2</v>
      </c>
      <c r="V1299" s="102">
        <f>V1217/Datasheet!M107</f>
        <v>2.403846153846154E-2</v>
      </c>
      <c r="W1299" s="102">
        <f>W1217/Datasheet!N107</f>
        <v>1.9138755980861243E-2</v>
      </c>
      <c r="X1299" s="102">
        <f>X1217/Datasheet!O107</f>
        <v>1.4354066985645933E-2</v>
      </c>
      <c r="Y1299" s="102">
        <f>Y1217/Datasheet!P107</f>
        <v>1.4285714285714285E-2</v>
      </c>
      <c r="Z1299" s="102">
        <f>Z1217/Datasheet!Q107</f>
        <v>9.5238095238095247E-3</v>
      </c>
      <c r="AA1299" s="102">
        <f>AA1217/Datasheet!R107</f>
        <v>1.4285714285714285E-2</v>
      </c>
      <c r="AB1299" s="102">
        <f>AB1217/Datasheet!S107</f>
        <v>2.3809523809523808E-2</v>
      </c>
      <c r="AC1299" s="102">
        <f>AC1217/Datasheet!T107</f>
        <v>2.8588445503275758E-2</v>
      </c>
      <c r="AD1299" s="102">
        <f>AD1217/Datasheet!U107</f>
        <v>2.833530106257379E-2</v>
      </c>
      <c r="AE1299" s="102">
        <f>AE1217/Datasheet!V107</f>
        <v>1.8901358535144713E-2</v>
      </c>
      <c r="AF1299" s="102">
        <f>AF1217/Datasheet!W107</f>
        <v>1.8912529550827423E-2</v>
      </c>
      <c r="AG1299" s="102">
        <f>AG1217/Datasheet!X107</f>
        <v>1.8923713778829097E-2</v>
      </c>
      <c r="AH1299" s="102">
        <f>AH1217/Datasheet!Y107</f>
        <v>1.8934911242603551E-2</v>
      </c>
      <c r="AI1299" s="102">
        <f>AI1217/Datasheet!Z107</f>
        <v>1.8946121965660152E-2</v>
      </c>
      <c r="AJ1299" s="102">
        <f>AJ1217/Datasheet!AA107</f>
        <v>1.8867924528301886E-2</v>
      </c>
      <c r="AK1299" s="102">
        <f>AK1217/Datasheet!AB107</f>
        <v>1.4018691588785047E-2</v>
      </c>
    </row>
    <row r="1300" spans="5:37" s="91" customFormat="1" x14ac:dyDescent="0.25">
      <c r="F1300" s="4" t="s">
        <v>1361</v>
      </c>
      <c r="H1300" s="4" t="s">
        <v>1372</v>
      </c>
      <c r="T1300" s="102">
        <f>T1218/Datasheet!$S107</f>
        <v>0</v>
      </c>
      <c r="U1300" s="102">
        <f>U1218/Datasheet!$S107</f>
        <v>9.5238095238095247E-3</v>
      </c>
      <c r="V1300" s="102">
        <f>V1218/Datasheet!$S107</f>
        <v>9.5238095238095247E-3</v>
      </c>
      <c r="W1300" s="102">
        <f>W1218/Datasheet!$S107</f>
        <v>9.5238095238095247E-3</v>
      </c>
      <c r="X1300" s="102">
        <f>X1218/Datasheet!$S107</f>
        <v>9.5238095238095247E-3</v>
      </c>
      <c r="Y1300" s="102">
        <f>Y1218/Datasheet!$S107</f>
        <v>9.5238095238095247E-3</v>
      </c>
      <c r="Z1300" s="102">
        <f>Z1218/Datasheet!$S107</f>
        <v>9.5238095238095247E-3</v>
      </c>
      <c r="AA1300" s="102">
        <f>AA1218/Datasheet!$S107</f>
        <v>1.4285714285714285E-2</v>
      </c>
      <c r="AB1300" s="102">
        <f>AB1218/Datasheet!$S107</f>
        <v>2.3809523809523808E-2</v>
      </c>
      <c r="AC1300" s="102">
        <f>AC1218/Datasheet!$S107</f>
        <v>2.8571428571428571E-2</v>
      </c>
      <c r="AD1300" s="102">
        <f>AD1218/Datasheet!$S107</f>
        <v>2.8571428571428571E-2</v>
      </c>
      <c r="AE1300" s="102">
        <f>AE1218/Datasheet!$S107</f>
        <v>2.8571428571428571E-2</v>
      </c>
      <c r="AF1300" s="102">
        <f>AF1218/Datasheet!$S107</f>
        <v>2.8571428571428571E-2</v>
      </c>
      <c r="AG1300" s="102">
        <f>AG1218/Datasheet!$S107</f>
        <v>2.8571428571428571E-2</v>
      </c>
      <c r="AH1300" s="102">
        <f>AH1218/Datasheet!$S107</f>
        <v>2.8571428571428571E-2</v>
      </c>
      <c r="AI1300" s="102">
        <f>AI1218/Datasheet!$S107</f>
        <v>2.8571428571428571E-2</v>
      </c>
      <c r="AJ1300" s="102">
        <f>AJ1218/Datasheet!$S107</f>
        <v>2.8571428571428571E-2</v>
      </c>
      <c r="AK1300" s="102">
        <f>AK1218/Datasheet!$S107</f>
        <v>2.8571428571428571E-2</v>
      </c>
    </row>
    <row r="1301" spans="5:37" s="91" customFormat="1" x14ac:dyDescent="0.25">
      <c r="F1301" s="4" t="s">
        <v>1362</v>
      </c>
      <c r="H1301" s="4" t="s">
        <v>1373</v>
      </c>
      <c r="AB1301" s="102">
        <f>AB1219/Datasheet!$AA107</f>
        <v>9.433962264150943E-3</v>
      </c>
      <c r="AC1301" s="102">
        <f>AC1219/Datasheet!$AA107</f>
        <v>1.4150943396226415E-2</v>
      </c>
      <c r="AD1301" s="102">
        <f>AD1219/Datasheet!$AA107</f>
        <v>1.4150943396226415E-2</v>
      </c>
      <c r="AE1301" s="102">
        <f>AE1219/Datasheet!$AA107</f>
        <v>1.4150943396226415E-2</v>
      </c>
      <c r="AF1301" s="102">
        <f>AF1219/Datasheet!$AA107</f>
        <v>1.4150943396226415E-2</v>
      </c>
      <c r="AG1301" s="102">
        <f>AG1219/Datasheet!$AA107</f>
        <v>1.4150943396226415E-2</v>
      </c>
      <c r="AH1301" s="102">
        <f>AH1219/Datasheet!$AA107</f>
        <v>1.4150943396226415E-2</v>
      </c>
      <c r="AI1301" s="102">
        <f>AI1219/Datasheet!$AA107</f>
        <v>1.4150943396226415E-2</v>
      </c>
      <c r="AJ1301" s="102">
        <f>AJ1219/Datasheet!$AA107</f>
        <v>1.4150943396226415E-2</v>
      </c>
      <c r="AK1301" s="102">
        <f>AK1219/Datasheet!$AA107</f>
        <v>1.4150943396226415E-2</v>
      </c>
    </row>
    <row r="1302" spans="5:37" s="91" customFormat="1" x14ac:dyDescent="0.25">
      <c r="E1302" s="4" t="s">
        <v>1363</v>
      </c>
      <c r="F1302" s="4"/>
    </row>
    <row r="1303" spans="5:37" s="91" customFormat="1" x14ac:dyDescent="0.25">
      <c r="E1303" s="4"/>
      <c r="F1303" s="4" t="s">
        <v>1359</v>
      </c>
      <c r="H1303" s="4" t="s">
        <v>1370</v>
      </c>
      <c r="J1303" s="102">
        <f>J1221/Datasheet!I108</f>
        <v>2.2329511164755584E-2</v>
      </c>
      <c r="K1303" s="102">
        <f>K1221/Datasheet!J108</f>
        <v>1.6332152695789061E-2</v>
      </c>
      <c r="L1303" s="102">
        <f>L1221/Datasheet!K108</f>
        <v>1.7618586640851887E-2</v>
      </c>
      <c r="M1303" s="102">
        <f>M1221/Datasheet!L108</f>
        <v>2.4733637747336376E-2</v>
      </c>
      <c r="N1303" s="102">
        <f>N1221/Datasheet!M108</f>
        <v>1.8937987374675083E-2</v>
      </c>
      <c r="O1303" s="102">
        <f>O1221/Datasheet!N108</f>
        <v>2.3870262390670555E-2</v>
      </c>
      <c r="P1303" s="102">
        <f>P1221/Datasheet!O108</f>
        <v>1.6017084890549919E-2</v>
      </c>
      <c r="Q1303" s="102">
        <f>Q1221/Datasheet!P108</f>
        <v>1.6815554387808723E-2</v>
      </c>
      <c r="R1303" s="102">
        <f>R1221/Datasheet!Q108</f>
        <v>7.7519379844961239E-3</v>
      </c>
      <c r="S1303" s="102">
        <f>S1221/Datasheet!R108</f>
        <v>8.2051282051282051E-3</v>
      </c>
      <c r="T1303" s="102">
        <f>T1221/Datasheet!S108</f>
        <v>8.1383519837232958E-3</v>
      </c>
      <c r="U1303" s="102">
        <f>U1221/Datasheet!T108</f>
        <v>9.0731522903408739E-3</v>
      </c>
      <c r="V1303" s="102">
        <f>V1221/Datasheet!U108</f>
        <v>1.5637346641713453E-2</v>
      </c>
      <c r="W1303" s="102">
        <f>W1221/Datasheet!V108</f>
        <v>1.3745985640354286E-2</v>
      </c>
      <c r="X1303" s="102">
        <f>X1221/Datasheet!W108</f>
        <v>1.5482622369163777E-2</v>
      </c>
      <c r="Y1303" s="102">
        <f>Y1221/Datasheet!X108</f>
        <v>1.5232957137473472E-2</v>
      </c>
      <c r="Z1303" s="102">
        <f>Z1221/Datasheet!Y108</f>
        <v>1.6240484091352723E-2</v>
      </c>
      <c r="AA1303" s="102">
        <f>AA1221/Datasheet!Z108</f>
        <v>1.1975358397144338E-2</v>
      </c>
      <c r="AB1303" s="102">
        <f>AB1221/Datasheet!AA108</f>
        <v>8.4887069880248602E-3</v>
      </c>
      <c r="AC1303" s="102">
        <f>AC1221/Datasheet!AB108</f>
        <v>8.1166391101758599E-3</v>
      </c>
      <c r="AD1303" s="102">
        <f>AD1221/Datasheet!AC108</f>
        <v>-1.490979573579842E-4</v>
      </c>
      <c r="AE1303" s="102">
        <f>AE1221/Datasheet!AD108</f>
        <v>0</v>
      </c>
      <c r="AF1303" s="102">
        <f>AF1221/Datasheet!AE108</f>
        <v>0</v>
      </c>
      <c r="AG1303" s="102">
        <f>AG1221/Datasheet!AF108</f>
        <v>0</v>
      </c>
      <c r="AH1303" s="102">
        <f>AH1221/Datasheet!AG108</f>
        <v>0</v>
      </c>
      <c r="AI1303" s="102">
        <f>AI1221/Datasheet!AH108</f>
        <v>0</v>
      </c>
      <c r="AJ1303" s="102">
        <f>AJ1221/Datasheet!AI108</f>
        <v>0</v>
      </c>
      <c r="AK1303" s="102">
        <f>AK1221/Datasheet!AJ108</f>
        <v>0</v>
      </c>
    </row>
    <row r="1304" spans="5:37" s="91" customFormat="1" x14ac:dyDescent="0.25">
      <c r="E1304" s="4"/>
      <c r="F1304" s="4" t="s">
        <v>1360</v>
      </c>
      <c r="H1304" s="4" t="s">
        <v>1371</v>
      </c>
      <c r="R1304" s="102">
        <f>R1222/Datasheet!I108</f>
        <v>0.18547575940454636</v>
      </c>
      <c r="S1304" s="102">
        <f>S1222/Datasheet!J108</f>
        <v>0.18240850059031877</v>
      </c>
      <c r="T1304" s="102">
        <f>T1222/Datasheet!K108</f>
        <v>0.16727976766698935</v>
      </c>
      <c r="U1304" s="102">
        <f>U1222/Datasheet!L108</f>
        <v>0.15886605783866059</v>
      </c>
      <c r="V1304" s="102">
        <f>V1222/Datasheet!M108</f>
        <v>0.15558856294095805</v>
      </c>
      <c r="W1304" s="102">
        <f>W1222/Datasheet!N108</f>
        <v>0.14431486880466474</v>
      </c>
      <c r="X1304" s="102">
        <f>X1222/Datasheet!O108</f>
        <v>0.1398825413774693</v>
      </c>
      <c r="Y1304" s="102">
        <f>Y1222/Datasheet!P108</f>
        <v>0.13154668067962866</v>
      </c>
      <c r="Z1304" s="102">
        <f>Z1222/Datasheet!Q108</f>
        <v>0.13178294573643412</v>
      </c>
      <c r="AA1304" s="102">
        <f>AA1222/Datasheet!R108</f>
        <v>0.12769230769230769</v>
      </c>
      <c r="AB1304" s="102">
        <f>AB1222/Datasheet!S108</f>
        <v>0.12851814174296372</v>
      </c>
      <c r="AC1304" s="102">
        <f>AC1222/Datasheet!T108</f>
        <v>0.12836830277445235</v>
      </c>
      <c r="AD1304" s="102">
        <f>AD1222/Datasheet!U108</f>
        <v>0.11894364732792681</v>
      </c>
      <c r="AE1304" s="102">
        <f>AE1222/Datasheet!V108</f>
        <v>0.10816781557469266</v>
      </c>
      <c r="AF1304" s="102">
        <f>AF1222/Datasheet!W108</f>
        <v>9.1444238367873562E-2</v>
      </c>
      <c r="AG1304" s="102">
        <f>AG1222/Datasheet!X108</f>
        <v>7.66408155979134E-2</v>
      </c>
      <c r="AH1304" s="102">
        <f>AH1222/Datasheet!Y108</f>
        <v>6.0433339839937539E-2</v>
      </c>
      <c r="AI1304" s="102">
        <f>AI1222/Datasheet!Z108</f>
        <v>4.4677298635500032E-2</v>
      </c>
      <c r="AJ1304" s="102">
        <f>AJ1222/Datasheet!AA108</f>
        <v>2.8346217977868727E-2</v>
      </c>
      <c r="AK1304" s="102">
        <f>AK1222/Datasheet!AB108</f>
        <v>1.6383586352021643E-2</v>
      </c>
    </row>
    <row r="1305" spans="5:37" s="91" customFormat="1" x14ac:dyDescent="0.25">
      <c r="E1305" s="4"/>
      <c r="F1305" s="4" t="s">
        <v>1361</v>
      </c>
      <c r="H1305" s="4" t="s">
        <v>1372</v>
      </c>
      <c r="T1305" s="102">
        <f>T1223/Datasheet!$S108</f>
        <v>8.1383519837232958E-3</v>
      </c>
      <c r="U1305" s="102">
        <f>U1223/Datasheet!$S108</f>
        <v>1.7293997965412006E-2</v>
      </c>
      <c r="V1305" s="102">
        <f>V1223/Datasheet!$S108</f>
        <v>3.3231603933536795E-2</v>
      </c>
      <c r="W1305" s="102">
        <f>W1223/Datasheet!$S108</f>
        <v>4.7473719905052558E-2</v>
      </c>
      <c r="X1305" s="102">
        <f>X1223/Datasheet!$S108</f>
        <v>6.3750423872499157E-2</v>
      </c>
      <c r="Y1305" s="102">
        <f>Y1223/Datasheet!$S108</f>
        <v>8.0027127839945741E-2</v>
      </c>
      <c r="Z1305" s="102">
        <f>Z1223/Datasheet!$S108</f>
        <v>9.766022380467955E-2</v>
      </c>
      <c r="AA1305" s="102">
        <f>AA1223/Datasheet!$S108</f>
        <v>0.11088504577822991</v>
      </c>
      <c r="AB1305" s="102">
        <f>AB1223/Datasheet!$S108</f>
        <v>0.12037978975924042</v>
      </c>
      <c r="AC1305" s="102">
        <f>AC1223/Datasheet!$S108</f>
        <v>0.12953543574092913</v>
      </c>
      <c r="AD1305" s="102">
        <f>AD1223/Datasheet!$S108</f>
        <v>0.12936588674126823</v>
      </c>
      <c r="AE1305" s="102">
        <f>AE1223/Datasheet!$S108</f>
        <v>0.12936588674126823</v>
      </c>
      <c r="AF1305" s="102">
        <f>AF1223/Datasheet!$S108</f>
        <v>0.12936588674126823</v>
      </c>
      <c r="AG1305" s="102">
        <f>AG1223/Datasheet!$S108</f>
        <v>0.12936588674126823</v>
      </c>
      <c r="AH1305" s="102">
        <f>AH1223/Datasheet!$S108</f>
        <v>0.12936588674126823</v>
      </c>
      <c r="AI1305" s="102">
        <f>AI1223/Datasheet!$S108</f>
        <v>0.12936588674126823</v>
      </c>
      <c r="AJ1305" s="102">
        <f>AJ1223/Datasheet!$S108</f>
        <v>0.12936588674126823</v>
      </c>
      <c r="AK1305" s="102">
        <f>AK1223/Datasheet!$S108</f>
        <v>0.12936588674126823</v>
      </c>
    </row>
    <row r="1306" spans="5:37" s="91" customFormat="1" x14ac:dyDescent="0.25">
      <c r="E1306" s="4"/>
      <c r="F1306" s="4" t="s">
        <v>1362</v>
      </c>
      <c r="H1306" s="4" t="s">
        <v>1373</v>
      </c>
      <c r="AB1306" s="102">
        <f>AB1224/Datasheet!$AA108</f>
        <v>8.4887069880248602E-3</v>
      </c>
      <c r="AC1306" s="102">
        <f>AC1224/Datasheet!$AA108</f>
        <v>1.6674245869334546E-2</v>
      </c>
      <c r="AD1306" s="102">
        <f>AD1224/Datasheet!$AA108</f>
        <v>1.6522661815976961E-2</v>
      </c>
      <c r="AE1306" s="102">
        <f>AE1224/Datasheet!$AA108</f>
        <v>1.6522661815976961E-2</v>
      </c>
      <c r="AF1306" s="102">
        <f>AF1224/Datasheet!$AA108</f>
        <v>1.6522661815976961E-2</v>
      </c>
      <c r="AG1306" s="102">
        <f>AG1224/Datasheet!$AA108</f>
        <v>1.6522661815976961E-2</v>
      </c>
      <c r="AH1306" s="102">
        <f>AH1224/Datasheet!$AA108</f>
        <v>1.6522661815976961E-2</v>
      </c>
      <c r="AI1306" s="102">
        <f>AI1224/Datasheet!$AA108</f>
        <v>1.6522661815976961E-2</v>
      </c>
      <c r="AJ1306" s="102">
        <f>AJ1224/Datasheet!$AA108</f>
        <v>1.6522661815976961E-2</v>
      </c>
      <c r="AK1306" s="102">
        <f>AK1224/Datasheet!$AA108</f>
        <v>1.6522661815976961E-2</v>
      </c>
    </row>
    <row r="1307" spans="5:37" s="91" customFormat="1" x14ac:dyDescent="0.25">
      <c r="E1307" s="4" t="s">
        <v>1364</v>
      </c>
      <c r="F1307" s="4"/>
    </row>
    <row r="1308" spans="5:37" s="91" customFormat="1" x14ac:dyDescent="0.25">
      <c r="E1308" s="4"/>
      <c r="F1308" s="4" t="s">
        <v>1359</v>
      </c>
      <c r="H1308" s="4" t="s">
        <v>1370</v>
      </c>
      <c r="J1308" s="102">
        <f>J1226/Datasheet!I109</f>
        <v>1.0043041606886656E-2</v>
      </c>
      <c r="K1308" s="102">
        <f>K1226/Datasheet!J109</f>
        <v>6.4630681818181823E-2</v>
      </c>
      <c r="L1308" s="102">
        <f>L1226/Datasheet!K109</f>
        <v>2.0013342228152103E-3</v>
      </c>
      <c r="M1308" s="102">
        <f>M1226/Datasheet!L109</f>
        <v>4.1278295605858856E-2</v>
      </c>
      <c r="N1308" s="102">
        <f>N1226/Datasheet!M109</f>
        <v>7.0332480818414318E-3</v>
      </c>
      <c r="O1308" s="102">
        <f>O1226/Datasheet!N109</f>
        <v>1.1428571428571429E-2</v>
      </c>
      <c r="P1308" s="102">
        <f>P1226/Datasheet!O109</f>
        <v>3.6409290646578781E-2</v>
      </c>
      <c r="Q1308" s="102">
        <f>Q1226/Datasheet!P109</f>
        <v>3.5130224106602062E-2</v>
      </c>
      <c r="R1308" s="102">
        <f>R1226/Datasheet!Q109</f>
        <v>1.2287887653598596E-2</v>
      </c>
      <c r="S1308" s="102">
        <f>S1226/Datasheet!R109</f>
        <v>8.0924855491329474E-3</v>
      </c>
      <c r="T1308" s="102">
        <f>T1226/Datasheet!S109</f>
        <v>6.8807339449541288E-3</v>
      </c>
      <c r="U1308" s="102">
        <f>U1226/Datasheet!T109</f>
        <v>8.0017146531399588E-3</v>
      </c>
      <c r="V1308" s="102">
        <f>V1226/Datasheet!U109</f>
        <v>5.1216389244558257E-3</v>
      </c>
      <c r="W1308" s="102">
        <f>W1226/Datasheet!V109</f>
        <v>1.9319553945592725E-2</v>
      </c>
      <c r="X1308" s="102">
        <f>X1226/Datasheet!W109</f>
        <v>5.5944055944055944E-4</v>
      </c>
      <c r="Y1308" s="102">
        <f>Y1226/Datasheet!X109</f>
        <v>1.7956091744406256E-2</v>
      </c>
      <c r="Z1308" s="102">
        <f>Z1226/Datasheet!Y109</f>
        <v>2.15737795602268E-2</v>
      </c>
      <c r="AA1308" s="102">
        <f>AA1226/Datasheet!Z109</f>
        <v>6.5204102424777557E-3</v>
      </c>
      <c r="AB1308" s="102">
        <f>AB1226/Datasheet!AA109</f>
        <v>1.5167930660888408E-2</v>
      </c>
      <c r="AC1308" s="102">
        <f>AC1226/Datasheet!AB109</f>
        <v>8.0042689434364992E-3</v>
      </c>
      <c r="AD1308" s="102">
        <f>AD1226/Datasheet!AC109</f>
        <v>0</v>
      </c>
      <c r="AE1308" s="102">
        <f>AE1226/Datasheet!AD109</f>
        <v>0</v>
      </c>
      <c r="AF1308" s="102">
        <f>AF1226/Datasheet!AE109</f>
        <v>0</v>
      </c>
      <c r="AG1308" s="102">
        <f>AG1226/Datasheet!AF109</f>
        <v>0</v>
      </c>
      <c r="AH1308" s="102">
        <f>AH1226/Datasheet!AG109</f>
        <v>0</v>
      </c>
      <c r="AI1308" s="102">
        <f>AI1226/Datasheet!AH109</f>
        <v>0</v>
      </c>
      <c r="AJ1308" s="102">
        <f>AJ1226/Datasheet!AI109</f>
        <v>0</v>
      </c>
      <c r="AK1308" s="102">
        <f>AK1226/Datasheet!AJ109</f>
        <v>0</v>
      </c>
    </row>
    <row r="1309" spans="5:37" s="91" customFormat="1" x14ac:dyDescent="0.25">
      <c r="E1309" s="4"/>
      <c r="F1309" s="4" t="s">
        <v>1360</v>
      </c>
      <c r="H1309" s="4" t="s">
        <v>1371</v>
      </c>
      <c r="R1309" s="102">
        <f>R1227/Datasheet!I109</f>
        <v>0.25035868005738882</v>
      </c>
      <c r="S1309" s="102">
        <f>S1227/Datasheet!J109</f>
        <v>0.24857954545454544</v>
      </c>
      <c r="T1309" s="102">
        <f>T1227/Datasheet!K109</f>
        <v>0.23215476984656438</v>
      </c>
      <c r="U1309" s="102">
        <f>U1227/Datasheet!L109</f>
        <v>0.18042609853528629</v>
      </c>
      <c r="V1309" s="102">
        <f>V1227/Datasheet!M109</f>
        <v>0.17710997442455242</v>
      </c>
      <c r="W1309" s="102">
        <f>W1227/Datasheet!N109</f>
        <v>0.15809523809523809</v>
      </c>
      <c r="X1309" s="102">
        <f>X1227/Datasheet!O109</f>
        <v>0.15003138731952292</v>
      </c>
      <c r="Y1309" s="102">
        <f>Y1227/Datasheet!P109</f>
        <v>0.1532404603270745</v>
      </c>
      <c r="Z1309" s="102">
        <f>Z1227/Datasheet!Q109</f>
        <v>0.1369221767115272</v>
      </c>
      <c r="AA1309" s="102">
        <f>AA1227/Datasheet!R109</f>
        <v>0.10867052023121387</v>
      </c>
      <c r="AB1309" s="102">
        <f>AB1227/Datasheet!S109</f>
        <v>0.11181192660550458</v>
      </c>
      <c r="AC1309" s="102">
        <f>AC1227/Datasheet!T109</f>
        <v>0.11202400514395942</v>
      </c>
      <c r="AD1309" s="102">
        <f>AD1227/Datasheet!U109</f>
        <v>0.10470906245554133</v>
      </c>
      <c r="AE1309" s="102">
        <f>AE1227/Datasheet!V109</f>
        <v>9.6597769727963634E-2</v>
      </c>
      <c r="AF1309" s="102">
        <f>AF1227/Datasheet!W109</f>
        <v>9.0069930069930068E-2</v>
      </c>
      <c r="AG1309" s="102">
        <f>AG1227/Datasheet!X109</f>
        <v>7.1263239110612331E-2</v>
      </c>
      <c r="AH1309" s="102">
        <f>AH1227/Datasheet!Y109</f>
        <v>6.9699903194578902E-2</v>
      </c>
      <c r="AI1309" s="102">
        <f>AI1227/Datasheet!Z109</f>
        <v>5.1076546899409089E-2</v>
      </c>
      <c r="AJ1309" s="102">
        <f>AJ1227/Datasheet!AA109</f>
        <v>2.9794149512459372E-2</v>
      </c>
      <c r="AK1309" s="102">
        <f>AK1227/Datasheet!AB109</f>
        <v>2.2945570971184631E-2</v>
      </c>
    </row>
    <row r="1310" spans="5:37" s="91" customFormat="1" x14ac:dyDescent="0.25">
      <c r="E1310" s="4"/>
      <c r="F1310" s="4" t="s">
        <v>1361</v>
      </c>
      <c r="H1310" s="4" t="s">
        <v>1372</v>
      </c>
      <c r="T1310" s="102">
        <f>T1228/Datasheet!$S109</f>
        <v>6.8807339449541288E-3</v>
      </c>
      <c r="U1310" s="102">
        <f>U1228/Datasheet!$S109</f>
        <v>1.4908256880733946E-2</v>
      </c>
      <c r="V1310" s="102">
        <f>V1228/Datasheet!$S109</f>
        <v>2.0068807339449542E-2</v>
      </c>
      <c r="W1310" s="102">
        <f>W1228/Datasheet!$S109</f>
        <v>3.9564220183486237E-2</v>
      </c>
      <c r="X1310" s="102">
        <f>X1228/Datasheet!$S109</f>
        <v>4.0137614678899085E-2</v>
      </c>
      <c r="Y1310" s="102">
        <f>Y1228/Datasheet!$S109</f>
        <v>5.8486238532110095E-2</v>
      </c>
      <c r="Z1310" s="102">
        <f>Z1228/Datasheet!$S109</f>
        <v>8.084862385321101E-2</v>
      </c>
      <c r="AA1310" s="102">
        <f>AA1228/Datasheet!$S109</f>
        <v>8.7729357798165139E-2</v>
      </c>
      <c r="AB1310" s="102">
        <f>AB1228/Datasheet!$S109</f>
        <v>0.10378440366972477</v>
      </c>
      <c r="AC1310" s="102">
        <f>AC1228/Datasheet!$S109</f>
        <v>0.11238532110091744</v>
      </c>
      <c r="AD1310" s="102">
        <f>AD1228/Datasheet!$S109</f>
        <v>0.11238532110091744</v>
      </c>
      <c r="AE1310" s="102">
        <f>AE1228/Datasheet!$S109</f>
        <v>0.11238532110091744</v>
      </c>
      <c r="AF1310" s="102">
        <f>AF1228/Datasheet!$S109</f>
        <v>0.11238532110091744</v>
      </c>
      <c r="AG1310" s="102">
        <f>AG1228/Datasheet!$S109</f>
        <v>0.11238532110091744</v>
      </c>
      <c r="AH1310" s="102">
        <f>AH1228/Datasheet!$S109</f>
        <v>0.11238532110091744</v>
      </c>
      <c r="AI1310" s="102">
        <f>AI1228/Datasheet!$S109</f>
        <v>0.11238532110091744</v>
      </c>
      <c r="AJ1310" s="102">
        <f>AJ1228/Datasheet!$S109</f>
        <v>0.11238532110091744</v>
      </c>
      <c r="AK1310" s="102">
        <f>AK1228/Datasheet!$S109</f>
        <v>0.11238532110091744</v>
      </c>
    </row>
    <row r="1311" spans="5:37" s="91" customFormat="1" x14ac:dyDescent="0.25">
      <c r="E1311" s="4"/>
      <c r="F1311" s="4" t="s">
        <v>1362</v>
      </c>
      <c r="H1311" s="4" t="s">
        <v>1373</v>
      </c>
      <c r="AB1311" s="102">
        <f>AB1229/Datasheet!$AA109</f>
        <v>1.5167930660888408E-2</v>
      </c>
      <c r="AC1311" s="102">
        <f>AC1229/Datasheet!$AA109</f>
        <v>2.3293607800650054E-2</v>
      </c>
      <c r="AD1311" s="102">
        <f>AD1229/Datasheet!$AA109</f>
        <v>2.3293607800650054E-2</v>
      </c>
      <c r="AE1311" s="102">
        <f>AE1229/Datasheet!$AA109</f>
        <v>2.3293607800650054E-2</v>
      </c>
      <c r="AF1311" s="102">
        <f>AF1229/Datasheet!$AA109</f>
        <v>2.3293607800650054E-2</v>
      </c>
      <c r="AG1311" s="102">
        <f>AG1229/Datasheet!$AA109</f>
        <v>2.3293607800650054E-2</v>
      </c>
      <c r="AH1311" s="102">
        <f>AH1229/Datasheet!$AA109</f>
        <v>2.3293607800650054E-2</v>
      </c>
      <c r="AI1311" s="102">
        <f>AI1229/Datasheet!$AA109</f>
        <v>2.3293607800650054E-2</v>
      </c>
      <c r="AJ1311" s="102">
        <f>AJ1229/Datasheet!$AA109</f>
        <v>2.3293607800650054E-2</v>
      </c>
      <c r="AK1311" s="102">
        <f>AK1229/Datasheet!$AA109</f>
        <v>2.3293607800650054E-2</v>
      </c>
    </row>
    <row r="1312" spans="5:37" s="91" customFormat="1" x14ac:dyDescent="0.25">
      <c r="E1312" s="4" t="s">
        <v>49</v>
      </c>
      <c r="F1312" s="4"/>
    </row>
    <row r="1313" spans="1:37" s="91" customFormat="1" x14ac:dyDescent="0.25">
      <c r="E1313" s="4"/>
      <c r="F1313" s="4" t="s">
        <v>1359</v>
      </c>
      <c r="H1313" s="4" t="s">
        <v>1370</v>
      </c>
      <c r="J1313" s="102">
        <f>J1231/Datasheet!I110</f>
        <v>5.6159420289855072E-2</v>
      </c>
      <c r="K1313" s="102">
        <f>K1231/Datasheet!J110</f>
        <v>0.12607204116638079</v>
      </c>
      <c r="L1313" s="102">
        <f>L1231/Datasheet!K110</f>
        <v>4.7220106626047219E-2</v>
      </c>
      <c r="M1313" s="102">
        <f>M1231/Datasheet!L110</f>
        <v>4.6545454545454543E-2</v>
      </c>
      <c r="N1313" s="102">
        <f>N1231/Datasheet!M110</f>
        <v>3.6136205698401667E-2</v>
      </c>
      <c r="O1313" s="102">
        <f>O1231/Datasheet!N110</f>
        <v>1.0731052984574111E-2</v>
      </c>
      <c r="P1313" s="102">
        <f>P1231/Datasheet!O110</f>
        <v>2.1234240212342402E-2</v>
      </c>
      <c r="Q1313" s="102">
        <f>Q1231/Datasheet!P110</f>
        <v>1.0396361273554255E-2</v>
      </c>
      <c r="R1313" s="102">
        <f>R1231/Datasheet!Q110</f>
        <v>1.2861736334405145E-3</v>
      </c>
      <c r="S1313" s="102">
        <f>S1231/Datasheet!R110</f>
        <v>2.569043031470777E-3</v>
      </c>
      <c r="T1313" s="102">
        <f>T1231/Datasheet!S110</f>
        <v>1.9218449711723255E-3</v>
      </c>
      <c r="U1313" s="102">
        <f>U1231/Datasheet!T110</f>
        <v>2.2875297855440825E-2</v>
      </c>
      <c r="V1313" s="102">
        <f>V1231/Datasheet!U110</f>
        <v>1.4819388700216115E-2</v>
      </c>
      <c r="W1313" s="102">
        <f>W1231/Datasheet!V110</f>
        <v>9.0730379555421133E-3</v>
      </c>
      <c r="X1313" s="102">
        <f>X1231/Datasheet!W110</f>
        <v>5.9594755661501785E-4</v>
      </c>
      <c r="Y1313" s="102">
        <f>Y1231/Datasheet!X110</f>
        <v>2.9015544041450778E-2</v>
      </c>
      <c r="Z1313" s="102">
        <f>Z1231/Datasheet!Y110</f>
        <v>5.6652360515021462E-2</v>
      </c>
      <c r="AA1313" s="102">
        <f>AA1231/Datasheet!Z110</f>
        <v>7.7575757575757576E-2</v>
      </c>
      <c r="AB1313" s="102">
        <f>AB1231/Datasheet!AA110</f>
        <v>7.4626865671641784E-2</v>
      </c>
      <c r="AC1313" s="102">
        <f>AC1231/Datasheet!AB110</f>
        <v>2.1759259259259259E-2</v>
      </c>
      <c r="AD1313" s="102">
        <f>AD1231/Datasheet!AC110</f>
        <v>0</v>
      </c>
      <c r="AE1313" s="102">
        <f>AE1231/Datasheet!AD110</f>
        <v>0</v>
      </c>
      <c r="AF1313" s="102">
        <f>AF1231/Datasheet!AE110</f>
        <v>0</v>
      </c>
      <c r="AG1313" s="102">
        <f>AG1231/Datasheet!AF110</f>
        <v>0</v>
      </c>
      <c r="AH1313" s="102">
        <f>AH1231/Datasheet!AG110</f>
        <v>0</v>
      </c>
      <c r="AI1313" s="102">
        <f>AI1231/Datasheet!AH110</f>
        <v>0</v>
      </c>
      <c r="AJ1313" s="102">
        <f>AJ1231/Datasheet!AI110</f>
        <v>0</v>
      </c>
      <c r="AK1313" s="102">
        <f>AK1231/Datasheet!AJ110</f>
        <v>0</v>
      </c>
    </row>
    <row r="1314" spans="1:37" s="91" customFormat="1" x14ac:dyDescent="0.25">
      <c r="E1314" s="4"/>
      <c r="F1314" s="4" t="s">
        <v>1360</v>
      </c>
      <c r="H1314" s="4" t="s">
        <v>1371</v>
      </c>
      <c r="R1314" s="102">
        <f>R1232/Datasheet!I110</f>
        <v>0.41576086956521741</v>
      </c>
      <c r="S1314" s="102">
        <f>S1232/Datasheet!J110</f>
        <v>0.39193825042881647</v>
      </c>
      <c r="T1314" s="102">
        <f>T1232/Datasheet!K110</f>
        <v>0.30312261995430312</v>
      </c>
      <c r="U1314" s="102">
        <f>U1232/Datasheet!L110</f>
        <v>0.20872727272727273</v>
      </c>
      <c r="V1314" s="102">
        <f>V1232/Datasheet!M110</f>
        <v>0.17303683113273105</v>
      </c>
      <c r="W1314" s="102">
        <f>W1232/Datasheet!N110</f>
        <v>0.1341381623071764</v>
      </c>
      <c r="X1314" s="102">
        <f>X1232/Datasheet!O110</f>
        <v>9.8871930988719312E-2</v>
      </c>
      <c r="Y1314" s="102">
        <f>Y1232/Datasheet!P110</f>
        <v>0.11825860948667966</v>
      </c>
      <c r="Z1314" s="102">
        <f>Z1232/Datasheet!Q110</f>
        <v>0.16012861736334405</v>
      </c>
      <c r="AA1314" s="102">
        <f>AA1232/Datasheet!R110</f>
        <v>0.24213230571612074</v>
      </c>
      <c r="AB1314" s="102">
        <f>AB1232/Datasheet!S110</f>
        <v>0.33632286995515698</v>
      </c>
      <c r="AC1314" s="102">
        <f>AC1232/Datasheet!T110</f>
        <v>0.36092136616362192</v>
      </c>
      <c r="AD1314" s="102">
        <f>AD1232/Datasheet!U110</f>
        <v>0.34887310898425439</v>
      </c>
      <c r="AE1314" s="102">
        <f>AE1232/Datasheet!V110</f>
        <v>0.31997580523211855</v>
      </c>
      <c r="AF1314" s="102">
        <f>AF1232/Datasheet!W110</f>
        <v>0.30095351609058402</v>
      </c>
      <c r="AG1314" s="102">
        <f>AG1232/Datasheet!X110</f>
        <v>0.29015544041450775</v>
      </c>
      <c r="AH1314" s="102">
        <f>AH1232/Datasheet!Y110</f>
        <v>0.27982832618025749</v>
      </c>
      <c r="AI1314" s="102">
        <f>AI1232/Datasheet!Z110</f>
        <v>0.23703703703703705</v>
      </c>
      <c r="AJ1314" s="102">
        <f>AJ1232/Datasheet!AA110</f>
        <v>0.16965174129353233</v>
      </c>
      <c r="AK1314" s="102">
        <f>AK1232/Datasheet!AB110</f>
        <v>9.1203703703703703E-2</v>
      </c>
    </row>
    <row r="1315" spans="1:37" s="91" customFormat="1" x14ac:dyDescent="0.25">
      <c r="E1315" s="4"/>
      <c r="F1315" s="4" t="s">
        <v>1361</v>
      </c>
      <c r="H1315" s="4" t="s">
        <v>1372</v>
      </c>
      <c r="T1315" s="102">
        <f>T1233/Datasheet!$S110</f>
        <v>1.9218449711723255E-3</v>
      </c>
      <c r="U1315" s="102">
        <f>U1233/Datasheet!$S110</f>
        <v>2.4983984625240232E-2</v>
      </c>
      <c r="V1315" s="102">
        <f>V1233/Datasheet!$S110</f>
        <v>4.0358744394618833E-2</v>
      </c>
      <c r="W1315" s="102">
        <f>W1233/Datasheet!$S110</f>
        <v>4.9967969250480464E-2</v>
      </c>
      <c r="X1315" s="102">
        <f>X1233/Datasheet!$S110</f>
        <v>5.0608584240871238E-2</v>
      </c>
      <c r="Y1315" s="102">
        <f>Y1233/Datasheet!$S110</f>
        <v>8.1998718770019213E-2</v>
      </c>
      <c r="Z1315" s="102">
        <f>Z1233/Datasheet!$S110</f>
        <v>0.14541960281870595</v>
      </c>
      <c r="AA1315" s="102">
        <f>AA1233/Datasheet!$S110</f>
        <v>0.23766816143497757</v>
      </c>
      <c r="AB1315" s="102">
        <f>AB1233/Datasheet!$S110</f>
        <v>0.33376040999359385</v>
      </c>
      <c r="AC1315" s="102">
        <f>AC1233/Datasheet!$S110</f>
        <v>0.36386931454196031</v>
      </c>
      <c r="AD1315" s="102">
        <f>AD1233/Datasheet!$S110</f>
        <v>0.36386931454196031</v>
      </c>
      <c r="AE1315" s="102">
        <f>AE1233/Datasheet!$S110</f>
        <v>0.36386931454196031</v>
      </c>
      <c r="AF1315" s="102">
        <f>AF1233/Datasheet!$S110</f>
        <v>0.36386931454196031</v>
      </c>
      <c r="AG1315" s="102">
        <f>AG1233/Datasheet!$S110</f>
        <v>0.36386931454196031</v>
      </c>
      <c r="AH1315" s="102">
        <f>AH1233/Datasheet!$S110</f>
        <v>0.36386931454196031</v>
      </c>
      <c r="AI1315" s="102">
        <f>AI1233/Datasheet!$S110</f>
        <v>0.36386931454196031</v>
      </c>
      <c r="AJ1315" s="102">
        <f>AJ1233/Datasheet!$S110</f>
        <v>0.36386931454196031</v>
      </c>
      <c r="AK1315" s="102">
        <f>AK1233/Datasheet!$S110</f>
        <v>0.36386931454196031</v>
      </c>
    </row>
    <row r="1316" spans="1:37" s="91" customFormat="1" x14ac:dyDescent="0.25">
      <c r="E1316" s="4"/>
      <c r="F1316" s="4" t="s">
        <v>1362</v>
      </c>
      <c r="H1316" s="4" t="s">
        <v>1373</v>
      </c>
      <c r="AB1316" s="102">
        <f>AB1234/Datasheet!$AA110</f>
        <v>7.4626865671641784E-2</v>
      </c>
      <c r="AC1316" s="102">
        <f>AC1234/Datasheet!$AA110</f>
        <v>9.8009950248756222E-2</v>
      </c>
      <c r="AD1316" s="102">
        <f>AD1234/Datasheet!$AA110</f>
        <v>9.8009950248756222E-2</v>
      </c>
      <c r="AE1316" s="102">
        <f>AE1234/Datasheet!$AA110</f>
        <v>9.8009950248756222E-2</v>
      </c>
      <c r="AF1316" s="102">
        <f>AF1234/Datasheet!$AA110</f>
        <v>9.8009950248756222E-2</v>
      </c>
      <c r="AG1316" s="102">
        <f>AG1234/Datasheet!$AA110</f>
        <v>9.8009950248756222E-2</v>
      </c>
      <c r="AH1316" s="102">
        <f>AH1234/Datasheet!$AA110</f>
        <v>9.8009950248756222E-2</v>
      </c>
      <c r="AI1316" s="102">
        <f>AI1234/Datasheet!$AA110</f>
        <v>9.8009950248756222E-2</v>
      </c>
      <c r="AJ1316" s="102">
        <f>AJ1234/Datasheet!$AA110</f>
        <v>9.8009950248756222E-2</v>
      </c>
      <c r="AK1316" s="102">
        <f>AK1234/Datasheet!$AA110</f>
        <v>9.8009950248756222E-2</v>
      </c>
    </row>
    <row r="1317" spans="1:37" s="91" customFormat="1" x14ac:dyDescent="0.25">
      <c r="E1317" s="4" t="s">
        <v>52</v>
      </c>
      <c r="F1317" s="4"/>
    </row>
    <row r="1318" spans="1:37" s="91" customFormat="1" x14ac:dyDescent="0.25">
      <c r="E1318" s="4"/>
      <c r="F1318" s="4" t="s">
        <v>1359</v>
      </c>
      <c r="H1318" s="4" t="s">
        <v>1370</v>
      </c>
      <c r="J1318" s="102">
        <f>J1236/Datasheet!I112</f>
        <v>0</v>
      </c>
      <c r="K1318" s="102">
        <f>K1236/Datasheet!J112</f>
        <v>0</v>
      </c>
      <c r="L1318" s="102">
        <f>L1236/Datasheet!K112</f>
        <v>0</v>
      </c>
      <c r="M1318" s="102">
        <f>M1236/Datasheet!L112</f>
        <v>0</v>
      </c>
      <c r="N1318" s="102">
        <f>N1236/Datasheet!M112</f>
        <v>0</v>
      </c>
      <c r="O1318" s="102">
        <f>O1236/Datasheet!N112</f>
        <v>0</v>
      </c>
      <c r="P1318" s="102">
        <f>P1236/Datasheet!O112</f>
        <v>0</v>
      </c>
      <c r="Q1318" s="102">
        <f>Q1236/Datasheet!P112</f>
        <v>0</v>
      </c>
      <c r="R1318" s="102">
        <f>R1236/Datasheet!Q112</f>
        <v>0</v>
      </c>
      <c r="S1318" s="102">
        <f>S1236/Datasheet!R112</f>
        <v>0</v>
      </c>
      <c r="T1318" s="102">
        <f>T1236/Datasheet!S112</f>
        <v>0</v>
      </c>
      <c r="U1318" s="102">
        <f>U1236/Datasheet!T112</f>
        <v>0</v>
      </c>
      <c r="V1318" s="102">
        <f>V1236/Datasheet!U112</f>
        <v>0</v>
      </c>
      <c r="W1318" s="102">
        <f>W1236/Datasheet!V112</f>
        <v>0</v>
      </c>
      <c r="X1318" s="102">
        <f>X1236/Datasheet!W112</f>
        <v>-3.3333333333333333E-2</v>
      </c>
      <c r="Y1318" s="102">
        <f>Y1236/Datasheet!X112</f>
        <v>-8.5409252669039152E-3</v>
      </c>
      <c r="Z1318" s="102">
        <f>Z1236/Datasheet!Y112</f>
        <v>0</v>
      </c>
      <c r="AA1318" s="102">
        <f>AA1236/Datasheet!Z112</f>
        <v>0</v>
      </c>
      <c r="AB1318" s="102">
        <f>AB1236/Datasheet!AA112</f>
        <v>-8.3798882681564244E-3</v>
      </c>
      <c r="AC1318" s="102">
        <f>AC1236/Datasheet!AB112</f>
        <v>-2.8169014084507044E-3</v>
      </c>
      <c r="AD1318" s="102">
        <f>AD1236/Datasheet!AC112</f>
        <v>0</v>
      </c>
      <c r="AE1318" s="102">
        <f>AE1236/Datasheet!AD112</f>
        <v>0</v>
      </c>
      <c r="AF1318" s="102">
        <f>AF1236/Datasheet!AE112</f>
        <v>0</v>
      </c>
      <c r="AG1318" s="102">
        <f>AG1236/Datasheet!AF112</f>
        <v>0</v>
      </c>
      <c r="AH1318" s="102">
        <f>AH1236/Datasheet!AG112</f>
        <v>0</v>
      </c>
      <c r="AI1318" s="102">
        <f>AI1236/Datasheet!AH112</f>
        <v>0</v>
      </c>
      <c r="AJ1318" s="102">
        <f>AJ1236/Datasheet!AI112</f>
        <v>0</v>
      </c>
      <c r="AK1318" s="102">
        <f>AK1236/Datasheet!AJ112</f>
        <v>0</v>
      </c>
    </row>
    <row r="1319" spans="1:37" s="91" customFormat="1" x14ac:dyDescent="0.25">
      <c r="E1319" s="4"/>
      <c r="F1319" s="4" t="s">
        <v>1360</v>
      </c>
      <c r="H1319" s="4" t="s">
        <v>1371</v>
      </c>
      <c r="R1319" s="102">
        <f>R1237/Datasheet!I112</f>
        <v>0</v>
      </c>
      <c r="S1319" s="102">
        <f>S1237/Datasheet!J112</f>
        <v>0</v>
      </c>
      <c r="T1319" s="102">
        <f>T1237/Datasheet!K112</f>
        <v>0</v>
      </c>
      <c r="U1319" s="102">
        <f>U1237/Datasheet!L112</f>
        <v>0</v>
      </c>
      <c r="V1319" s="102">
        <f>V1237/Datasheet!M112</f>
        <v>0</v>
      </c>
      <c r="W1319" s="102">
        <f>W1237/Datasheet!N112</f>
        <v>0</v>
      </c>
      <c r="X1319" s="102">
        <f>X1237/Datasheet!O112</f>
        <v>-3.4582132564841501E-2</v>
      </c>
      <c r="Y1319" s="102">
        <f>Y1237/Datasheet!P112</f>
        <v>-4.3227665706051875E-2</v>
      </c>
      <c r="Z1319" s="102">
        <f>Z1237/Datasheet!Q112</f>
        <v>-4.3227665706051875E-2</v>
      </c>
      <c r="AA1319" s="102">
        <f>AA1237/Datasheet!R112</f>
        <v>-4.3227665706051875E-2</v>
      </c>
      <c r="AB1319" s="102">
        <f>AB1237/Datasheet!S112</f>
        <v>-5.1873198847262249E-2</v>
      </c>
      <c r="AC1319" s="102">
        <f>AC1237/Datasheet!T112</f>
        <v>-5.4246966452533907E-2</v>
      </c>
      <c r="AD1319" s="102">
        <f>AD1237/Datasheet!U112</f>
        <v>-5.3748231966053751E-2</v>
      </c>
      <c r="AE1319" s="102">
        <f>AE1237/Datasheet!V112</f>
        <v>-5.3258584442887176E-2</v>
      </c>
      <c r="AF1319" s="102">
        <f>AF1237/Datasheet!W112</f>
        <v>-5.2777777777777778E-2</v>
      </c>
      <c r="AG1319" s="102">
        <f>AG1237/Datasheet!X112</f>
        <v>-5.4092526690391461E-2</v>
      </c>
      <c r="AH1319" s="102">
        <f>AH1237/Datasheet!Y112</f>
        <v>-1.9914651493598862E-2</v>
      </c>
      <c r="AI1319" s="102">
        <f>AI1237/Datasheet!Z112</f>
        <v>-1.127554615926709E-2</v>
      </c>
      <c r="AJ1319" s="102">
        <f>AJ1237/Datasheet!AA112</f>
        <v>-1.11731843575419E-2</v>
      </c>
      <c r="AK1319" s="102">
        <f>AK1237/Datasheet!AB112</f>
        <v>-1.1267605633802818E-2</v>
      </c>
    </row>
    <row r="1320" spans="1:37" s="91" customFormat="1" x14ac:dyDescent="0.25">
      <c r="E1320" s="4"/>
      <c r="F1320" s="4" t="s">
        <v>1361</v>
      </c>
      <c r="H1320" s="4" t="s">
        <v>1372</v>
      </c>
      <c r="T1320" s="102">
        <f>T1238/Datasheet!$S112</f>
        <v>0</v>
      </c>
      <c r="U1320" s="102">
        <f>U1238/Datasheet!$S112</f>
        <v>0</v>
      </c>
      <c r="V1320" s="102">
        <f>V1238/Datasheet!$S112</f>
        <v>0</v>
      </c>
      <c r="W1320" s="102">
        <f>W1238/Datasheet!$S112</f>
        <v>0</v>
      </c>
      <c r="X1320" s="102">
        <f>X1238/Datasheet!$S112</f>
        <v>-3.4582132564841501E-2</v>
      </c>
      <c r="Y1320" s="102">
        <f>Y1238/Datasheet!$S112</f>
        <v>-4.3227665706051875E-2</v>
      </c>
      <c r="Z1320" s="102">
        <f>Z1238/Datasheet!$S112</f>
        <v>-4.3227665706051875E-2</v>
      </c>
      <c r="AA1320" s="102">
        <f>AA1238/Datasheet!$S112</f>
        <v>-4.3227665706051875E-2</v>
      </c>
      <c r="AB1320" s="102">
        <f>AB1238/Datasheet!$S112</f>
        <v>-5.1873198847262249E-2</v>
      </c>
      <c r="AC1320" s="102">
        <f>AC1238/Datasheet!$S112</f>
        <v>-5.4755043227665709E-2</v>
      </c>
      <c r="AD1320" s="102">
        <f>AD1238/Datasheet!$S112</f>
        <v>-5.4755043227665709E-2</v>
      </c>
      <c r="AE1320" s="102">
        <f>AE1238/Datasheet!$S112</f>
        <v>-5.4755043227665709E-2</v>
      </c>
      <c r="AF1320" s="102">
        <f>AF1238/Datasheet!$S112</f>
        <v>-5.4755043227665709E-2</v>
      </c>
      <c r="AG1320" s="102">
        <f>AG1238/Datasheet!$S112</f>
        <v>-5.4755043227665709E-2</v>
      </c>
      <c r="AH1320" s="102">
        <f>AH1238/Datasheet!$S112</f>
        <v>-5.4755043227665709E-2</v>
      </c>
      <c r="AI1320" s="102">
        <f>AI1238/Datasheet!$S112</f>
        <v>-5.4755043227665709E-2</v>
      </c>
      <c r="AJ1320" s="102">
        <f>AJ1238/Datasheet!$S112</f>
        <v>-5.4755043227665709E-2</v>
      </c>
      <c r="AK1320" s="102">
        <f>AK1238/Datasheet!$S112</f>
        <v>-5.4755043227665709E-2</v>
      </c>
    </row>
    <row r="1321" spans="1:37" s="91" customFormat="1" x14ac:dyDescent="0.25">
      <c r="E1321" s="4"/>
      <c r="F1321" s="4" t="s">
        <v>1362</v>
      </c>
      <c r="H1321" s="4" t="s">
        <v>1373</v>
      </c>
      <c r="AB1321" s="102">
        <f>AB1239/Datasheet!$AA112</f>
        <v>-8.3798882681564244E-3</v>
      </c>
      <c r="AC1321" s="102">
        <f>AC1239/Datasheet!$AA112</f>
        <v>-1.11731843575419E-2</v>
      </c>
      <c r="AD1321" s="102">
        <f>AD1239/Datasheet!$AA112</f>
        <v>-1.11731843575419E-2</v>
      </c>
      <c r="AE1321" s="102">
        <f>AE1239/Datasheet!$AA112</f>
        <v>-1.11731843575419E-2</v>
      </c>
      <c r="AF1321" s="102">
        <f>AF1239/Datasheet!$AA112</f>
        <v>-1.11731843575419E-2</v>
      </c>
      <c r="AG1321" s="102">
        <f>AG1239/Datasheet!$AA112</f>
        <v>-1.11731843575419E-2</v>
      </c>
      <c r="AH1321" s="102">
        <f>AH1239/Datasheet!$AA112</f>
        <v>-1.11731843575419E-2</v>
      </c>
      <c r="AI1321" s="102">
        <f>AI1239/Datasheet!$AA112</f>
        <v>-1.11731843575419E-2</v>
      </c>
      <c r="AJ1321" s="102">
        <f>AJ1239/Datasheet!$AA112</f>
        <v>-1.11731843575419E-2</v>
      </c>
      <c r="AK1321" s="102">
        <f>AK1239/Datasheet!$AA112</f>
        <v>-1.11731843575419E-2</v>
      </c>
    </row>
    <row r="1322" spans="1:37" s="91" customFormat="1" x14ac:dyDescent="0.25">
      <c r="D1322" s="4" t="s">
        <v>50</v>
      </c>
      <c r="F1322" s="4"/>
    </row>
    <row r="1323" spans="1:37" s="91" customFormat="1" x14ac:dyDescent="0.25">
      <c r="E1323" s="4"/>
      <c r="F1323" s="4" t="s">
        <v>1359</v>
      </c>
      <c r="H1323" s="4" t="s">
        <v>1370</v>
      </c>
      <c r="J1323" s="102">
        <f>J1241/Datasheet!I111</f>
        <v>3.484320557491289E-2</v>
      </c>
      <c r="K1323" s="102">
        <f>K1241/Datasheet!J111</f>
        <v>3.8720538720538718E-2</v>
      </c>
      <c r="L1323" s="102">
        <f>L1241/Datasheet!K111</f>
        <v>3.2414910858995137E-2</v>
      </c>
      <c r="M1323" s="102">
        <f>M1241/Datasheet!L111</f>
        <v>2.6687598116169546E-2</v>
      </c>
      <c r="N1323" s="102">
        <f>N1241/Datasheet!M111</f>
        <v>3.3639143730886847E-2</v>
      </c>
      <c r="O1323" s="102">
        <f>O1241/Datasheet!N111</f>
        <v>2.0710059171597635E-2</v>
      </c>
      <c r="P1323" s="102">
        <f>P1241/Datasheet!O111</f>
        <v>3.9130434782608699E-2</v>
      </c>
      <c r="Q1323" s="102">
        <f>Q1241/Datasheet!P111</f>
        <v>2.9288702928870293E-2</v>
      </c>
      <c r="R1323" s="102">
        <f>R1241/Datasheet!Q111</f>
        <v>2.7100271002710029E-2</v>
      </c>
      <c r="S1323" s="102">
        <f>S1241/Datasheet!R111</f>
        <v>1.5831134564643801E-2</v>
      </c>
      <c r="T1323" s="102">
        <f>T1241/Datasheet!S111</f>
        <v>1.948051948051948E-2</v>
      </c>
      <c r="U1323" s="102">
        <f>U1241/Datasheet!T111</f>
        <v>1.4032849625259129E-2</v>
      </c>
      <c r="V1323" s="102">
        <f>V1241/Datasheet!U111</f>
        <v>2.6456692913385826E-2</v>
      </c>
      <c r="W1323" s="102">
        <f>W1241/Datasheet!V111</f>
        <v>2.5810416346597021E-2</v>
      </c>
      <c r="X1323" s="102">
        <f>X1241/Datasheet!W111</f>
        <v>3.1193761247750449E-2</v>
      </c>
      <c r="Y1323" s="102">
        <f>Y1241/Datasheet!X111</f>
        <v>2.7959807776321538E-2</v>
      </c>
      <c r="Z1323" s="102">
        <f>Z1241/Datasheet!Y111</f>
        <v>2.9503546099290779E-2</v>
      </c>
      <c r="AA1323" s="102">
        <f>AA1241/Datasheet!Z111</f>
        <v>3.3108014898606701E-2</v>
      </c>
      <c r="AB1323" s="102">
        <f>AB1241/Datasheet!AA111</f>
        <v>2.6737967914438502E-2</v>
      </c>
      <c r="AC1323" s="102">
        <f>AC1241/Datasheet!AB111</f>
        <v>2.2916666666666665E-2</v>
      </c>
      <c r="AD1323" s="102">
        <f>AD1241/Datasheet!AC111</f>
        <v>-1.0183299389002036E-3</v>
      </c>
      <c r="AE1323" s="102">
        <f>AE1241/Datasheet!AD111</f>
        <v>0</v>
      </c>
      <c r="AF1323" s="102">
        <f>AF1241/Datasheet!AE111</f>
        <v>0</v>
      </c>
      <c r="AG1323" s="102">
        <f>AG1241/Datasheet!AF111</f>
        <v>0</v>
      </c>
      <c r="AH1323" s="102">
        <f>AH1241/Datasheet!AG111</f>
        <v>0</v>
      </c>
      <c r="AI1323" s="102">
        <f>AI1241/Datasheet!AH111</f>
        <v>0</v>
      </c>
      <c r="AJ1323" s="102">
        <f>AJ1241/Datasheet!AI111</f>
        <v>0</v>
      </c>
      <c r="AK1323" s="102">
        <f>AK1241/Datasheet!AJ111</f>
        <v>0</v>
      </c>
    </row>
    <row r="1324" spans="1:37" s="91" customFormat="1" x14ac:dyDescent="0.25">
      <c r="E1324" s="4"/>
      <c r="F1324" s="4" t="s">
        <v>1360</v>
      </c>
      <c r="H1324" s="4" t="s">
        <v>1371</v>
      </c>
      <c r="R1324" s="102">
        <f>R1242/Datasheet!I111</f>
        <v>0.3240418118466899</v>
      </c>
      <c r="S1324" s="102">
        <f>S1242/Datasheet!J111</f>
        <v>0.32996632996632996</v>
      </c>
      <c r="T1324" s="102">
        <f>T1242/Datasheet!K111</f>
        <v>0.30956239870340357</v>
      </c>
      <c r="U1324" s="102">
        <f>U1242/Datasheet!L111</f>
        <v>0.28100470957613816</v>
      </c>
      <c r="V1324" s="102">
        <f>V1242/Datasheet!M111</f>
        <v>0.27522935779816515</v>
      </c>
      <c r="W1324" s="102">
        <f>W1242/Datasheet!N111</f>
        <v>0.27218934911242604</v>
      </c>
      <c r="X1324" s="102">
        <f>X1242/Datasheet!O111</f>
        <v>0.27246376811594203</v>
      </c>
      <c r="Y1324" s="102">
        <f>Y1242/Datasheet!P111</f>
        <v>0.27615062761506276</v>
      </c>
      <c r="Z1324" s="102">
        <f>Z1242/Datasheet!Q111</f>
        <v>0.26693766937669378</v>
      </c>
      <c r="AA1324" s="102">
        <f>AA1242/Datasheet!R111</f>
        <v>0.27176781002638523</v>
      </c>
      <c r="AB1324" s="102">
        <f>AB1242/Datasheet!S111</f>
        <v>0.27402597402597401</v>
      </c>
      <c r="AC1324" s="102">
        <f>AC1242/Datasheet!T111</f>
        <v>0.28193270610747889</v>
      </c>
      <c r="AD1324" s="102">
        <f>AD1242/Datasheet!U111</f>
        <v>0.25826771653543307</v>
      </c>
      <c r="AE1324" s="102">
        <f>AE1242/Datasheet!V111</f>
        <v>0.23843908434475342</v>
      </c>
      <c r="AF1324" s="102">
        <f>AF1242/Datasheet!W111</f>
        <v>0.20755848830233953</v>
      </c>
      <c r="AG1324" s="102">
        <f>AG1242/Datasheet!X111</f>
        <v>0.17707878258336973</v>
      </c>
      <c r="AH1324" s="102">
        <f>AH1242/Datasheet!Y111</f>
        <v>0.14297872340425533</v>
      </c>
      <c r="AI1324" s="102">
        <f>AI1242/Datasheet!Z111</f>
        <v>0.1125672506552628</v>
      </c>
      <c r="AJ1324" s="102">
        <f>AJ1242/Datasheet!AA111</f>
        <v>8.1283422459893048E-2</v>
      </c>
      <c r="AK1324" s="102">
        <f>AK1242/Datasheet!AB111</f>
        <v>4.791666666666667E-2</v>
      </c>
    </row>
    <row r="1325" spans="1:37" s="91" customFormat="1" x14ac:dyDescent="0.25">
      <c r="E1325" s="4"/>
      <c r="F1325" s="4" t="s">
        <v>1361</v>
      </c>
      <c r="H1325" s="4" t="s">
        <v>1372</v>
      </c>
      <c r="T1325" s="102">
        <f>T1243/Datasheet!$S111</f>
        <v>1.948051948051948E-2</v>
      </c>
      <c r="U1325" s="102">
        <f>U1243/Datasheet!$S111</f>
        <v>3.3766233766233764E-2</v>
      </c>
      <c r="V1325" s="102">
        <f>V1243/Datasheet!$S111</f>
        <v>6.1038961038961038E-2</v>
      </c>
      <c r="W1325" s="102">
        <f>W1243/Datasheet!$S111</f>
        <v>8.8311688311688313E-2</v>
      </c>
      <c r="X1325" s="102">
        <f>X1243/Datasheet!$S111</f>
        <v>0.12207792207792208</v>
      </c>
      <c r="Y1325" s="102">
        <f>Y1243/Datasheet!$S111</f>
        <v>0.15324675324675324</v>
      </c>
      <c r="Z1325" s="102">
        <f>Z1243/Datasheet!$S111</f>
        <v>0.18701298701298702</v>
      </c>
      <c r="AA1325" s="102">
        <f>AA1243/Datasheet!$S111</f>
        <v>0.22597402597402597</v>
      </c>
      <c r="AB1325" s="102">
        <f>AB1243/Datasheet!$S111</f>
        <v>0.25844155844155842</v>
      </c>
      <c r="AC1325" s="102">
        <f>AC1243/Datasheet!$S111</f>
        <v>0.287012987012987</v>
      </c>
      <c r="AD1325" s="102">
        <f>AD1243/Datasheet!$S111</f>
        <v>0.2857142857142857</v>
      </c>
      <c r="AE1325" s="102">
        <f>AE1243/Datasheet!$S111</f>
        <v>0.2857142857142857</v>
      </c>
      <c r="AF1325" s="102">
        <f>AF1243/Datasheet!$S111</f>
        <v>0.2857142857142857</v>
      </c>
      <c r="AG1325" s="102">
        <f>AG1243/Datasheet!$S111</f>
        <v>0.2857142857142857</v>
      </c>
      <c r="AH1325" s="102">
        <f>AH1243/Datasheet!$S111</f>
        <v>0.2857142857142857</v>
      </c>
      <c r="AI1325" s="102">
        <f>AI1243/Datasheet!$S111</f>
        <v>0.2857142857142857</v>
      </c>
      <c r="AJ1325" s="102">
        <f>AJ1243/Datasheet!$S111</f>
        <v>0.2857142857142857</v>
      </c>
      <c r="AK1325" s="102">
        <f>AK1243/Datasheet!$S111</f>
        <v>0.2857142857142857</v>
      </c>
    </row>
    <row r="1326" spans="1:37" s="91" customFormat="1" x14ac:dyDescent="0.25">
      <c r="E1326" s="4"/>
      <c r="F1326" s="4" t="s">
        <v>1362</v>
      </c>
      <c r="H1326" s="4" t="s">
        <v>1373</v>
      </c>
      <c r="AB1326" s="102">
        <f>AB1244/Datasheet!$AA111</f>
        <v>2.6737967914438502E-2</v>
      </c>
      <c r="AC1326" s="102">
        <f>AC1244/Datasheet!$AA111</f>
        <v>5.0267379679144387E-2</v>
      </c>
      <c r="AD1326" s="102">
        <f>AD1244/Datasheet!$AA111</f>
        <v>4.9197860962566842E-2</v>
      </c>
      <c r="AE1326" s="102">
        <f>AE1244/Datasheet!$AA111</f>
        <v>4.9197860962566842E-2</v>
      </c>
      <c r="AF1326" s="102">
        <f>AF1244/Datasheet!$AA111</f>
        <v>4.9197860962566842E-2</v>
      </c>
      <c r="AG1326" s="102">
        <f>AG1244/Datasheet!$AA111</f>
        <v>4.9197860962566842E-2</v>
      </c>
      <c r="AH1326" s="102">
        <f>AH1244/Datasheet!$AA111</f>
        <v>4.9197860962566842E-2</v>
      </c>
      <c r="AI1326" s="102">
        <f>AI1244/Datasheet!$AA111</f>
        <v>4.9197860962566842E-2</v>
      </c>
      <c r="AJ1326" s="102">
        <f>AJ1244/Datasheet!$AA111</f>
        <v>4.9197860962566842E-2</v>
      </c>
      <c r="AK1326" s="102">
        <f>AK1244/Datasheet!$AA111</f>
        <v>4.9197860962566842E-2</v>
      </c>
    </row>
    <row r="1327" spans="1:37" s="183" customFormat="1" x14ac:dyDescent="0.25">
      <c r="B1327" s="184"/>
      <c r="I1327" s="185"/>
      <c r="J1327" s="185"/>
      <c r="K1327" s="185"/>
      <c r="L1327" s="185"/>
      <c r="M1327" s="185"/>
      <c r="N1327" s="185"/>
      <c r="O1327" s="186"/>
      <c r="P1327" s="186"/>
      <c r="Q1327" s="186"/>
      <c r="R1327" s="186"/>
      <c r="S1327" s="186"/>
      <c r="T1327" s="186"/>
      <c r="U1327" s="186"/>
      <c r="V1327" s="186"/>
      <c r="W1327" s="186"/>
      <c r="X1327" s="186"/>
      <c r="Y1327" s="186"/>
      <c r="Z1327" s="186"/>
      <c r="AA1327" s="186"/>
      <c r="AB1327" s="186"/>
      <c r="AC1327" s="186"/>
      <c r="AD1327" s="186"/>
      <c r="AE1327" s="186"/>
      <c r="AF1327" s="186"/>
      <c r="AG1327" s="186"/>
      <c r="AH1327" s="186"/>
      <c r="AI1327" s="186"/>
      <c r="AJ1327" s="186"/>
      <c r="AK1327" s="186"/>
    </row>
    <row r="1328" spans="1:37" s="55" customFormat="1" ht="17.25" x14ac:dyDescent="0.3">
      <c r="A1328" s="55" t="s">
        <v>1374</v>
      </c>
    </row>
    <row r="1329" spans="2:3" x14ac:dyDescent="0.25">
      <c r="B1329" s="29" t="s">
        <v>877</v>
      </c>
      <c r="C1329" t="s">
        <v>1345</v>
      </c>
    </row>
    <row r="1330" spans="2:3" x14ac:dyDescent="0.25">
      <c r="B1330" s="29"/>
      <c r="C1330" t="s">
        <v>1375</v>
      </c>
    </row>
    <row r="1331" spans="2:3" x14ac:dyDescent="0.25">
      <c r="B1331" s="29" t="s">
        <v>881</v>
      </c>
      <c r="C1331" t="s">
        <v>1376</v>
      </c>
    </row>
    <row r="1332" spans="2:3" x14ac:dyDescent="0.25">
      <c r="B1332" s="29" t="s">
        <v>883</v>
      </c>
      <c r="C1332" s="263" t="s">
        <v>1377</v>
      </c>
    </row>
    <row r="1333" spans="2:3" x14ac:dyDescent="0.25">
      <c r="B1333" s="29"/>
      <c r="C1333" s="263" t="s">
        <v>1378</v>
      </c>
    </row>
    <row r="1334" spans="2:3" x14ac:dyDescent="0.25">
      <c r="B1334" s="29"/>
      <c r="C1334" t="s">
        <v>1379</v>
      </c>
    </row>
    <row r="1335" spans="2:3" x14ac:dyDescent="0.25">
      <c r="B1335" s="29"/>
      <c r="C1335" s="263" t="s">
        <v>236</v>
      </c>
    </row>
    <row r="1336" spans="2:3" x14ac:dyDescent="0.25">
      <c r="B1336" s="29"/>
      <c r="C1336" s="263" t="s">
        <v>33</v>
      </c>
    </row>
    <row r="1337" spans="2:3" x14ac:dyDescent="0.25">
      <c r="B1337" s="29"/>
      <c r="C1337" s="263" t="s">
        <v>474</v>
      </c>
    </row>
    <row r="1338" spans="2:3" x14ac:dyDescent="0.25">
      <c r="B1338" s="29"/>
      <c r="C1338" s="263" t="s">
        <v>482</v>
      </c>
    </row>
    <row r="1339" spans="2:3" x14ac:dyDescent="0.25">
      <c r="B1339" s="29"/>
      <c r="C1339" s="263" t="s">
        <v>506</v>
      </c>
    </row>
    <row r="1340" spans="2:3" x14ac:dyDescent="0.25">
      <c r="B1340" s="29"/>
      <c r="C1340" s="263" t="s">
        <v>841</v>
      </c>
    </row>
    <row r="1341" spans="2:3" x14ac:dyDescent="0.25">
      <c r="B1341" s="29"/>
      <c r="C1341" s="263" t="s">
        <v>1212</v>
      </c>
    </row>
    <row r="1342" spans="2:3" x14ac:dyDescent="0.25">
      <c r="B1342" s="29" t="s">
        <v>885</v>
      </c>
    </row>
    <row r="1343" spans="2:3" x14ac:dyDescent="0.25">
      <c r="B1343" s="29" t="s">
        <v>886</v>
      </c>
    </row>
    <row r="1344" spans="2:3" x14ac:dyDescent="0.25">
      <c r="B1344" s="29"/>
    </row>
    <row r="1345" spans="2:37" x14ac:dyDescent="0.25">
      <c r="B1345" s="29"/>
    </row>
    <row r="1346" spans="2:37" x14ac:dyDescent="0.25">
      <c r="B1346" s="29" t="s">
        <v>887</v>
      </c>
    </row>
    <row r="1347" spans="2:37" x14ac:dyDescent="0.25">
      <c r="B1347" s="29" t="s">
        <v>19</v>
      </c>
    </row>
    <row r="1348" spans="2:37" x14ac:dyDescent="0.25">
      <c r="B1348" s="29"/>
    </row>
    <row r="1349" spans="2:37" s="57" customFormat="1" ht="15.75" thickBot="1" x14ac:dyDescent="0.3"/>
    <row r="1350" spans="2:37" s="79" customFormat="1" ht="15.75" thickTop="1" x14ac:dyDescent="0.25">
      <c r="B1350" s="44" t="s">
        <v>21</v>
      </c>
      <c r="C1350" s="79" t="s">
        <v>1230</v>
      </c>
      <c r="H1350" s="79" t="s">
        <v>1170</v>
      </c>
      <c r="I1350" s="100"/>
      <c r="J1350" s="100"/>
      <c r="K1350" s="100"/>
      <c r="L1350" s="100"/>
      <c r="M1350" s="100"/>
      <c r="N1350" s="100"/>
      <c r="O1350" s="100"/>
      <c r="P1350" s="100"/>
      <c r="Q1350" s="100">
        <f>AVERAGE(Q1351,Q1357,Q1363)</f>
        <v>45779.457169011839</v>
      </c>
      <c r="R1350" s="100">
        <f t="shared" ref="R1350:AK1350" si="203">AVERAGE(R1351,R1357,R1363)</f>
        <v>45482.797932454559</v>
      </c>
      <c r="S1350" s="100">
        <f t="shared" si="203"/>
        <v>47189.798452404248</v>
      </c>
      <c r="T1350" s="100">
        <f t="shared" si="203"/>
        <v>47846.551332920091</v>
      </c>
      <c r="U1350" s="100">
        <f t="shared" si="203"/>
        <v>50229.512303103016</v>
      </c>
      <c r="V1350" s="100">
        <f t="shared" si="203"/>
        <v>51203.56633480038</v>
      </c>
      <c r="W1350" s="100">
        <f t="shared" si="203"/>
        <v>52449.793460199813</v>
      </c>
      <c r="X1350" s="100">
        <f t="shared" si="203"/>
        <v>53357.786945464228</v>
      </c>
      <c r="Y1350" s="100">
        <f t="shared" si="203"/>
        <v>53275.365977975744</v>
      </c>
      <c r="Z1350" s="100">
        <f t="shared" si="203"/>
        <v>54308.674733843807</v>
      </c>
      <c r="AA1350" s="100">
        <f t="shared" si="203"/>
        <v>47656.332716662691</v>
      </c>
      <c r="AB1350" s="100">
        <f t="shared" si="203"/>
        <v>55025.434390501876</v>
      </c>
      <c r="AC1350" s="100" t="e">
        <f t="shared" si="203"/>
        <v>#DIV/0!</v>
      </c>
      <c r="AD1350" s="100" t="e">
        <f t="shared" si="203"/>
        <v>#DIV/0!</v>
      </c>
      <c r="AE1350" s="100" t="e">
        <f t="shared" si="203"/>
        <v>#DIV/0!</v>
      </c>
      <c r="AF1350" s="100" t="e">
        <f t="shared" si="203"/>
        <v>#DIV/0!</v>
      </c>
      <c r="AG1350" s="100" t="e">
        <f t="shared" si="203"/>
        <v>#DIV/0!</v>
      </c>
      <c r="AH1350" s="100" t="e">
        <f t="shared" si="203"/>
        <v>#DIV/0!</v>
      </c>
      <c r="AI1350" s="100" t="e">
        <f t="shared" si="203"/>
        <v>#DIV/0!</v>
      </c>
      <c r="AJ1350" s="100" t="e">
        <f t="shared" si="203"/>
        <v>#DIV/0!</v>
      </c>
      <c r="AK1350" s="100" t="e">
        <f t="shared" si="203"/>
        <v>#DIV/0!</v>
      </c>
    </row>
    <row r="1351" spans="2:37" s="91" customFormat="1" x14ac:dyDescent="0.25">
      <c r="B1351" s="92"/>
      <c r="D1351" s="91" t="s">
        <v>1232</v>
      </c>
      <c r="H1351" s="91" t="s">
        <v>1170</v>
      </c>
      <c r="I1351" s="93"/>
      <c r="J1351" s="93"/>
      <c r="K1351" s="93"/>
      <c r="L1351" s="93"/>
      <c r="M1351" s="93"/>
      <c r="N1351" s="93"/>
      <c r="O1351" s="93"/>
      <c r="P1351" s="93"/>
      <c r="Q1351" s="93">
        <f>SUM(Q1352:Q1356)</f>
        <v>61854.594733575243</v>
      </c>
      <c r="R1351" s="93">
        <f t="shared" ref="R1351:AK1351" si="204">SUM(R1352:R1356)</f>
        <v>61472.320372440183</v>
      </c>
      <c r="S1351" s="93">
        <f t="shared" si="204"/>
        <v>62771.766105667324</v>
      </c>
      <c r="T1351" s="93">
        <f t="shared" si="204"/>
        <v>63412.898057939841</v>
      </c>
      <c r="U1351" s="93">
        <f t="shared" si="204"/>
        <v>65597.512965263522</v>
      </c>
      <c r="V1351" s="93">
        <f t="shared" si="204"/>
        <v>67248.744769017649</v>
      </c>
      <c r="W1351" s="93">
        <f t="shared" si="204"/>
        <v>68316.510544643999</v>
      </c>
      <c r="X1351" s="93">
        <f t="shared" si="204"/>
        <v>69493.768616850342</v>
      </c>
      <c r="Y1351" s="93">
        <f t="shared" si="204"/>
        <v>68059.497964700815</v>
      </c>
      <c r="Z1351" s="93">
        <f t="shared" si="204"/>
        <v>68671.693917541459</v>
      </c>
      <c r="AA1351" s="93">
        <f t="shared" si="204"/>
        <v>55917.605042835159</v>
      </c>
      <c r="AB1351" s="93">
        <f t="shared" si="204"/>
        <v>68644.566227947915</v>
      </c>
      <c r="AC1351" s="93" t="e">
        <f t="shared" si="204"/>
        <v>#DIV/0!</v>
      </c>
      <c r="AD1351" s="93" t="e">
        <f t="shared" si="204"/>
        <v>#DIV/0!</v>
      </c>
      <c r="AE1351" s="93" t="e">
        <f t="shared" si="204"/>
        <v>#DIV/0!</v>
      </c>
      <c r="AF1351" s="93" t="e">
        <f t="shared" si="204"/>
        <v>#DIV/0!</v>
      </c>
      <c r="AG1351" s="93" t="e">
        <f t="shared" si="204"/>
        <v>#DIV/0!</v>
      </c>
      <c r="AH1351" s="93" t="e">
        <f t="shared" si="204"/>
        <v>#DIV/0!</v>
      </c>
      <c r="AI1351" s="93" t="e">
        <f t="shared" si="204"/>
        <v>#DIV/0!</v>
      </c>
      <c r="AJ1351" s="93" t="e">
        <f t="shared" si="204"/>
        <v>#DIV/0!</v>
      </c>
      <c r="AK1351" s="93" t="e">
        <f t="shared" si="204"/>
        <v>#DIV/0!</v>
      </c>
    </row>
    <row r="1352" spans="2:37" s="4" customFormat="1" x14ac:dyDescent="0.25">
      <c r="B1352" s="44"/>
      <c r="E1352" s="4" t="s">
        <v>1236</v>
      </c>
      <c r="H1352" s="4" t="s">
        <v>1170</v>
      </c>
      <c r="I1352" s="69"/>
      <c r="J1352" s="69"/>
      <c r="K1352" s="69"/>
      <c r="L1352" s="69"/>
      <c r="M1352" s="69"/>
      <c r="N1352" s="69"/>
      <c r="O1352" s="69"/>
      <c r="P1352" s="69"/>
      <c r="Q1352" s="69">
        <f>Q1371*(1-Q1372)</f>
        <v>19761.899999999998</v>
      </c>
      <c r="R1352" s="69">
        <f t="shared" ref="R1352:AK1352" si="205">R1371*(1-R1372)</f>
        <v>20055.45</v>
      </c>
      <c r="S1352" s="69">
        <f t="shared" si="205"/>
        <v>20259.7</v>
      </c>
      <c r="T1352" s="69">
        <f t="shared" si="205"/>
        <v>20496.25</v>
      </c>
      <c r="U1352" s="69">
        <f t="shared" si="205"/>
        <v>20858.2</v>
      </c>
      <c r="V1352" s="69">
        <f t="shared" si="205"/>
        <v>21195.45</v>
      </c>
      <c r="W1352" s="69">
        <f t="shared" si="205"/>
        <v>21491.85</v>
      </c>
      <c r="X1352" s="69">
        <f t="shared" si="205"/>
        <v>21776.85</v>
      </c>
      <c r="Y1352" s="69">
        <f t="shared" si="205"/>
        <v>21906.05</v>
      </c>
      <c r="Z1352" s="69">
        <f t="shared" si="205"/>
        <v>22116</v>
      </c>
      <c r="AA1352" s="69">
        <f t="shared" si="205"/>
        <v>22188.2</v>
      </c>
      <c r="AB1352" s="69">
        <f t="shared" si="205"/>
        <v>22153.05</v>
      </c>
      <c r="AC1352" s="69">
        <f t="shared" si="205"/>
        <v>0</v>
      </c>
      <c r="AD1352" s="69">
        <f t="shared" si="205"/>
        <v>0</v>
      </c>
      <c r="AE1352" s="69">
        <f t="shared" si="205"/>
        <v>0</v>
      </c>
      <c r="AF1352" s="69">
        <f t="shared" si="205"/>
        <v>0</v>
      </c>
      <c r="AG1352" s="69">
        <f t="shared" si="205"/>
        <v>0</v>
      </c>
      <c r="AH1352" s="69">
        <f t="shared" si="205"/>
        <v>0</v>
      </c>
      <c r="AI1352" s="69">
        <f t="shared" si="205"/>
        <v>0</v>
      </c>
      <c r="AJ1352" s="69">
        <f t="shared" si="205"/>
        <v>0</v>
      </c>
      <c r="AK1352" s="69">
        <f t="shared" si="205"/>
        <v>0</v>
      </c>
    </row>
    <row r="1353" spans="2:37" s="4" customFormat="1" x14ac:dyDescent="0.25">
      <c r="B1353" s="44"/>
      <c r="E1353" s="4" t="s">
        <v>1240</v>
      </c>
      <c r="H1353" s="4" t="s">
        <v>1170</v>
      </c>
      <c r="I1353" s="69"/>
      <c r="J1353" s="69"/>
      <c r="K1353" s="69"/>
      <c r="L1353" s="69"/>
      <c r="M1353" s="69"/>
      <c r="N1353" s="69"/>
      <c r="O1353" s="69"/>
      <c r="P1353" s="69"/>
      <c r="Q1353" s="69">
        <f>Q1374*(1-Q1375)</f>
        <v>6508.5644594010382</v>
      </c>
      <c r="R1353" s="69">
        <f t="shared" ref="R1353:AK1353" si="206">R1374*(1-R1375)</f>
        <v>6929.2593385969931</v>
      </c>
      <c r="S1353" s="69">
        <f t="shared" si="206"/>
        <v>6860.4191466501234</v>
      </c>
      <c r="T1353" s="69">
        <f t="shared" si="206"/>
        <v>7161.1416318301872</v>
      </c>
      <c r="U1353" s="69">
        <f t="shared" si="206"/>
        <v>7261.6853198310328</v>
      </c>
      <c r="V1353" s="69">
        <f t="shared" si="206"/>
        <v>7591.2372326642171</v>
      </c>
      <c r="W1353" s="69">
        <f t="shared" si="206"/>
        <v>7595.7560030509794</v>
      </c>
      <c r="X1353" s="69">
        <f t="shared" si="206"/>
        <v>7708.2022534610423</v>
      </c>
      <c r="Y1353" s="69">
        <f t="shared" si="206"/>
        <v>7967.3501754677745</v>
      </c>
      <c r="Z1353" s="69">
        <f t="shared" si="206"/>
        <v>8264.4144428197178</v>
      </c>
      <c r="AA1353" s="69">
        <f t="shared" si="206"/>
        <v>8856.4134792236073</v>
      </c>
      <c r="AB1353" s="69">
        <f t="shared" si="206"/>
        <v>8983.131609920265</v>
      </c>
      <c r="AC1353" s="69" t="e">
        <f t="shared" si="206"/>
        <v>#DIV/0!</v>
      </c>
      <c r="AD1353" s="69" t="e">
        <f t="shared" si="206"/>
        <v>#DIV/0!</v>
      </c>
      <c r="AE1353" s="69" t="e">
        <f t="shared" si="206"/>
        <v>#DIV/0!</v>
      </c>
      <c r="AF1353" s="69" t="e">
        <f t="shared" si="206"/>
        <v>#DIV/0!</v>
      </c>
      <c r="AG1353" s="69" t="e">
        <f t="shared" si="206"/>
        <v>#DIV/0!</v>
      </c>
      <c r="AH1353" s="69" t="e">
        <f t="shared" si="206"/>
        <v>#DIV/0!</v>
      </c>
      <c r="AI1353" s="69" t="e">
        <f t="shared" si="206"/>
        <v>#DIV/0!</v>
      </c>
      <c r="AJ1353" s="69" t="e">
        <f t="shared" si="206"/>
        <v>#DIV/0!</v>
      </c>
      <c r="AK1353" s="69" t="e">
        <f t="shared" si="206"/>
        <v>#DIV/0!</v>
      </c>
    </row>
    <row r="1354" spans="2:37" s="4" customFormat="1" x14ac:dyDescent="0.25">
      <c r="B1354" s="44"/>
      <c r="E1354" s="4" t="s">
        <v>1242</v>
      </c>
      <c r="H1354" s="4" t="s">
        <v>1170</v>
      </c>
      <c r="I1354" s="69"/>
      <c r="J1354" s="69"/>
      <c r="K1354" s="69"/>
      <c r="L1354" s="69"/>
      <c r="M1354" s="69"/>
      <c r="N1354" s="69"/>
      <c r="O1354" s="69"/>
      <c r="P1354" s="69"/>
      <c r="Q1354" s="69">
        <f>Q1377*Q1378*Q1379*Q1395</f>
        <v>5474.6808000000001</v>
      </c>
      <c r="R1354" s="69">
        <f t="shared" ref="R1354:AK1354" si="207">R1377*R1378*R1379*R1395</f>
        <v>5605.782734346818</v>
      </c>
      <c r="S1354" s="69">
        <f t="shared" si="207"/>
        <v>5701.8755372326705</v>
      </c>
      <c r="T1354" s="69">
        <f t="shared" si="207"/>
        <v>5215.3695336253541</v>
      </c>
      <c r="U1354" s="69">
        <f t="shared" si="207"/>
        <v>5319.178460190672</v>
      </c>
      <c r="V1354" s="69">
        <f t="shared" si="207"/>
        <v>5064.103299561968</v>
      </c>
      <c r="W1354" s="69">
        <f t="shared" si="207"/>
        <v>5057.433614841535</v>
      </c>
      <c r="X1354" s="69">
        <f t="shared" si="207"/>
        <v>4387.9023323885594</v>
      </c>
      <c r="Y1354" s="69">
        <f t="shared" si="207"/>
        <v>3890.0025637722233</v>
      </c>
      <c r="Z1354" s="69">
        <f t="shared" si="207"/>
        <v>4017.4130105642867</v>
      </c>
      <c r="AA1354" s="69">
        <f t="shared" si="207"/>
        <v>2550.0416725586183</v>
      </c>
      <c r="AB1354" s="69">
        <f t="shared" si="207"/>
        <v>3462.2746253027567</v>
      </c>
      <c r="AC1354" s="69">
        <f t="shared" si="207"/>
        <v>0</v>
      </c>
      <c r="AD1354" s="69" t="e">
        <f t="shared" si="207"/>
        <v>#DIV/0!</v>
      </c>
      <c r="AE1354" s="69" t="e">
        <f t="shared" si="207"/>
        <v>#DIV/0!</v>
      </c>
      <c r="AF1354" s="69" t="e">
        <f t="shared" si="207"/>
        <v>#DIV/0!</v>
      </c>
      <c r="AG1354" s="69" t="e">
        <f t="shared" si="207"/>
        <v>#DIV/0!</v>
      </c>
      <c r="AH1354" s="69" t="e">
        <f t="shared" si="207"/>
        <v>#DIV/0!</v>
      </c>
      <c r="AI1354" s="69" t="e">
        <f t="shared" si="207"/>
        <v>#DIV/0!</v>
      </c>
      <c r="AJ1354" s="69" t="e">
        <f t="shared" si="207"/>
        <v>#DIV/0!</v>
      </c>
      <c r="AK1354" s="69" t="e">
        <f t="shared" si="207"/>
        <v>#DIV/0!</v>
      </c>
    </row>
    <row r="1355" spans="2:37" s="4" customFormat="1" x14ac:dyDescent="0.25">
      <c r="B1355" s="44"/>
      <c r="E1355" s="4" t="s">
        <v>1241</v>
      </c>
      <c r="H1355" s="4" t="s">
        <v>1170</v>
      </c>
      <c r="I1355" s="69"/>
      <c r="J1355" s="69"/>
      <c r="K1355" s="69"/>
      <c r="L1355" s="69"/>
      <c r="M1355" s="69"/>
      <c r="N1355" s="69"/>
      <c r="O1355" s="69"/>
      <c r="P1355" s="69"/>
      <c r="Q1355" s="69">
        <f>Q1382/(1-Q1385)/Q1386-Q1374</f>
        <v>8843.3358208955251</v>
      </c>
      <c r="R1355" s="69">
        <f t="shared" ref="R1355:AK1355" si="208">R1382/(1-R1385)/R1386-R1374</f>
        <v>8305.815920398014</v>
      </c>
      <c r="S1355" s="69">
        <f t="shared" si="208"/>
        <v>8926.3631840796043</v>
      </c>
      <c r="T1355" s="69">
        <f t="shared" si="208"/>
        <v>9645.4452736318453</v>
      </c>
      <c r="U1355" s="69">
        <f t="shared" si="208"/>
        <v>10627.557213930351</v>
      </c>
      <c r="V1355" s="69">
        <f t="shared" si="208"/>
        <v>10556.315920398018</v>
      </c>
      <c r="W1355" s="69">
        <f t="shared" si="208"/>
        <v>11600.176616915429</v>
      </c>
      <c r="X1355" s="69">
        <f t="shared" si="208"/>
        <v>12066.559701492544</v>
      </c>
      <c r="Y1355" s="69">
        <f t="shared" si="208"/>
        <v>12230.534825870651</v>
      </c>
      <c r="Z1355" s="69">
        <f t="shared" si="208"/>
        <v>12210.62230514106</v>
      </c>
      <c r="AA1355" s="69">
        <f t="shared" si="208"/>
        <v>6443.5273631840828</v>
      </c>
      <c r="AB1355" s="69">
        <f t="shared" si="208"/>
        <v>10367.569651741298</v>
      </c>
      <c r="AC1355" s="69">
        <f t="shared" si="208"/>
        <v>31520.211442786072</v>
      </c>
      <c r="AD1355" s="69" t="e">
        <f t="shared" si="208"/>
        <v>#DIV/0!</v>
      </c>
      <c r="AE1355" s="69" t="e">
        <f t="shared" si="208"/>
        <v>#DIV/0!</v>
      </c>
      <c r="AF1355" s="69" t="e">
        <f t="shared" si="208"/>
        <v>#DIV/0!</v>
      </c>
      <c r="AG1355" s="69" t="e">
        <f t="shared" si="208"/>
        <v>#DIV/0!</v>
      </c>
      <c r="AH1355" s="69" t="e">
        <f t="shared" si="208"/>
        <v>#DIV/0!</v>
      </c>
      <c r="AI1355" s="69" t="e">
        <f t="shared" si="208"/>
        <v>#DIV/0!</v>
      </c>
      <c r="AJ1355" s="69" t="e">
        <f t="shared" si="208"/>
        <v>#DIV/0!</v>
      </c>
      <c r="AK1355" s="69" t="e">
        <f t="shared" si="208"/>
        <v>#DIV/0!</v>
      </c>
    </row>
    <row r="1356" spans="2:37" s="4" customFormat="1" x14ac:dyDescent="0.25">
      <c r="B1356" s="44"/>
      <c r="E1356" s="4" t="s">
        <v>1246</v>
      </c>
      <c r="H1356" s="4" t="s">
        <v>1170</v>
      </c>
      <c r="I1356" s="69"/>
      <c r="J1356" s="69"/>
      <c r="K1356" s="69"/>
      <c r="L1356" s="69"/>
      <c r="M1356" s="69"/>
      <c r="N1356" s="69"/>
      <c r="O1356" s="69"/>
      <c r="P1356" s="69"/>
      <c r="Q1356" s="69">
        <f>SUM(Q1388*Q1389,Q1390*Q1391,Q1392*Q1393)*Q1395+Q1399+Q1407+Q1411+Q1403</f>
        <v>21266.113653278688</v>
      </c>
      <c r="R1356" s="69">
        <f t="shared" ref="R1356:AK1356" si="209">SUM(R1388*R1389,R1390*R1391,R1392*R1393)*R1395+R1399+R1407+R1411+R1403</f>
        <v>20576.01237909836</v>
      </c>
      <c r="S1356" s="69">
        <f t="shared" si="209"/>
        <v>21023.40823770492</v>
      </c>
      <c r="T1356" s="69">
        <f t="shared" si="209"/>
        <v>20894.691618852456</v>
      </c>
      <c r="U1356" s="69">
        <f t="shared" si="209"/>
        <v>21530.891971311477</v>
      </c>
      <c r="V1356" s="69">
        <f t="shared" si="209"/>
        <v>22841.638316393441</v>
      </c>
      <c r="W1356" s="69">
        <f t="shared" si="209"/>
        <v>22571.294309836063</v>
      </c>
      <c r="X1356" s="69">
        <f t="shared" si="209"/>
        <v>23554.254329508196</v>
      </c>
      <c r="Y1356" s="69">
        <f t="shared" si="209"/>
        <v>22065.560399590166</v>
      </c>
      <c r="Z1356" s="69">
        <f t="shared" si="209"/>
        <v>22063.244159016394</v>
      </c>
      <c r="AA1356" s="69">
        <f t="shared" si="209"/>
        <v>15879.422527868852</v>
      </c>
      <c r="AB1356" s="69">
        <f t="shared" si="209"/>
        <v>23678.540340983607</v>
      </c>
      <c r="AC1356" s="69">
        <f t="shared" si="209"/>
        <v>21968.568671721318</v>
      </c>
      <c r="AD1356" s="69" t="e">
        <f t="shared" si="209"/>
        <v>#DIV/0!</v>
      </c>
      <c r="AE1356" s="69" t="e">
        <f t="shared" si="209"/>
        <v>#DIV/0!</v>
      </c>
      <c r="AF1356" s="69" t="e">
        <f t="shared" si="209"/>
        <v>#DIV/0!</v>
      </c>
      <c r="AG1356" s="69" t="e">
        <f t="shared" si="209"/>
        <v>#DIV/0!</v>
      </c>
      <c r="AH1356" s="69" t="e">
        <f t="shared" si="209"/>
        <v>#DIV/0!</v>
      </c>
      <c r="AI1356" s="69" t="e">
        <f t="shared" si="209"/>
        <v>#DIV/0!</v>
      </c>
      <c r="AJ1356" s="69" t="e">
        <f t="shared" si="209"/>
        <v>#DIV/0!</v>
      </c>
      <c r="AK1356" s="69" t="e">
        <f t="shared" si="209"/>
        <v>#DIV/0!</v>
      </c>
    </row>
    <row r="1357" spans="2:37" s="91" customFormat="1" x14ac:dyDescent="0.25">
      <c r="B1357" s="92"/>
      <c r="D1357" s="91" t="s">
        <v>1233</v>
      </c>
      <c r="H1357" s="91" t="s">
        <v>1170</v>
      </c>
      <c r="I1357" s="93"/>
      <c r="J1357" s="93"/>
      <c r="K1357" s="93"/>
      <c r="L1357" s="93"/>
      <c r="M1357" s="93"/>
      <c r="N1357" s="93"/>
      <c r="O1357" s="93"/>
      <c r="P1357" s="93"/>
      <c r="Q1357" s="93">
        <f>SUM(Q1358:Q1362)</f>
        <v>39940.806696110056</v>
      </c>
      <c r="R1357" s="93">
        <f t="shared" ref="R1357:AK1357" si="210">SUM(R1358:R1362)</f>
        <v>39859.038356920195</v>
      </c>
      <c r="S1357" s="93">
        <f t="shared" si="210"/>
        <v>41577.862205700978</v>
      </c>
      <c r="T1357" s="93">
        <f t="shared" si="210"/>
        <v>42964.069202938575</v>
      </c>
      <c r="U1357" s="93">
        <f t="shared" si="210"/>
        <v>45688.124256029325</v>
      </c>
      <c r="V1357" s="93">
        <f t="shared" si="210"/>
        <v>45950.738584101768</v>
      </c>
      <c r="W1357" s="93">
        <f t="shared" si="210"/>
        <v>47263.960440116665</v>
      </c>
      <c r="X1357" s="93">
        <f t="shared" si="210"/>
        <v>48136.422044892031</v>
      </c>
      <c r="Y1357" s="93">
        <f t="shared" si="210"/>
        <v>48745.541783588429</v>
      </c>
      <c r="Z1357" s="93">
        <f t="shared" si="210"/>
        <v>50522.602960983801</v>
      </c>
      <c r="AA1357" s="93">
        <f t="shared" si="210"/>
        <v>48652.902964609464</v>
      </c>
      <c r="AB1357" s="93">
        <f t="shared" si="210"/>
        <v>49974.365375037516</v>
      </c>
      <c r="AC1357" s="93" t="e">
        <f t="shared" si="210"/>
        <v>#DIV/0!</v>
      </c>
      <c r="AD1357" s="93" t="e">
        <f t="shared" si="210"/>
        <v>#DIV/0!</v>
      </c>
      <c r="AE1357" s="93" t="e">
        <f t="shared" si="210"/>
        <v>#DIV/0!</v>
      </c>
      <c r="AF1357" s="93" t="e">
        <f t="shared" si="210"/>
        <v>#DIV/0!</v>
      </c>
      <c r="AG1357" s="93" t="e">
        <f t="shared" si="210"/>
        <v>#DIV/0!</v>
      </c>
      <c r="AH1357" s="93" t="e">
        <f t="shared" si="210"/>
        <v>#DIV/0!</v>
      </c>
      <c r="AI1357" s="93" t="e">
        <f t="shared" si="210"/>
        <v>#DIV/0!</v>
      </c>
      <c r="AJ1357" s="93" t="e">
        <f t="shared" si="210"/>
        <v>#DIV/0!</v>
      </c>
      <c r="AK1357" s="93" t="e">
        <f t="shared" si="210"/>
        <v>#DIV/0!</v>
      </c>
    </row>
    <row r="1358" spans="2:37" s="4" customFormat="1" x14ac:dyDescent="0.25">
      <c r="B1358" s="44"/>
      <c r="E1358" s="4" t="s">
        <v>1236</v>
      </c>
      <c r="H1358" s="4" t="s">
        <v>1170</v>
      </c>
      <c r="I1358" s="69"/>
      <c r="J1358" s="69"/>
      <c r="K1358" s="69"/>
      <c r="L1358" s="69"/>
      <c r="M1358" s="69"/>
      <c r="N1358" s="69"/>
      <c r="O1358" s="69"/>
      <c r="P1358" s="69"/>
      <c r="Q1358" s="69">
        <f>Q1371*(1-Q1372)</f>
        <v>19761.899999999998</v>
      </c>
      <c r="R1358" s="69">
        <f t="shared" ref="R1358:AK1358" si="211">R1371*(1-R1372)</f>
        <v>20055.45</v>
      </c>
      <c r="S1358" s="69">
        <f t="shared" si="211"/>
        <v>20259.7</v>
      </c>
      <c r="T1358" s="69">
        <f t="shared" si="211"/>
        <v>20496.25</v>
      </c>
      <c r="U1358" s="69">
        <f t="shared" si="211"/>
        <v>20858.2</v>
      </c>
      <c r="V1358" s="69">
        <f t="shared" si="211"/>
        <v>21195.45</v>
      </c>
      <c r="W1358" s="69">
        <f t="shared" si="211"/>
        <v>21491.85</v>
      </c>
      <c r="X1358" s="69">
        <f t="shared" si="211"/>
        <v>21776.85</v>
      </c>
      <c r="Y1358" s="69">
        <f t="shared" si="211"/>
        <v>21906.05</v>
      </c>
      <c r="Z1358" s="69">
        <f t="shared" si="211"/>
        <v>22116</v>
      </c>
      <c r="AA1358" s="69">
        <f t="shared" si="211"/>
        <v>22188.2</v>
      </c>
      <c r="AB1358" s="69">
        <f t="shared" si="211"/>
        <v>22153.05</v>
      </c>
      <c r="AC1358" s="69">
        <f t="shared" si="211"/>
        <v>0</v>
      </c>
      <c r="AD1358" s="69">
        <f t="shared" si="211"/>
        <v>0</v>
      </c>
      <c r="AE1358" s="69">
        <f t="shared" si="211"/>
        <v>0</v>
      </c>
      <c r="AF1358" s="69">
        <f t="shared" si="211"/>
        <v>0</v>
      </c>
      <c r="AG1358" s="69">
        <f t="shared" si="211"/>
        <v>0</v>
      </c>
      <c r="AH1358" s="69">
        <f t="shared" si="211"/>
        <v>0</v>
      </c>
      <c r="AI1358" s="69">
        <f t="shared" si="211"/>
        <v>0</v>
      </c>
      <c r="AJ1358" s="69">
        <f t="shared" si="211"/>
        <v>0</v>
      </c>
      <c r="AK1358" s="69">
        <f t="shared" si="211"/>
        <v>0</v>
      </c>
    </row>
    <row r="1359" spans="2:37" s="4" customFormat="1" x14ac:dyDescent="0.25">
      <c r="B1359" s="44"/>
      <c r="E1359" s="4" t="s">
        <v>1240</v>
      </c>
      <c r="H1359" s="4" t="s">
        <v>1170</v>
      </c>
      <c r="I1359" s="69"/>
      <c r="J1359" s="69"/>
      <c r="K1359" s="69"/>
      <c r="L1359" s="69"/>
      <c r="M1359" s="69"/>
      <c r="N1359" s="69"/>
      <c r="O1359" s="69"/>
      <c r="P1359" s="69"/>
      <c r="Q1359" s="69">
        <f>Q1374*(1-Q1375)</f>
        <v>6508.5644594010382</v>
      </c>
      <c r="R1359" s="69">
        <f t="shared" ref="R1359:AK1359" si="212">R1374*(1-R1375)</f>
        <v>6929.2593385969931</v>
      </c>
      <c r="S1359" s="69">
        <f t="shared" si="212"/>
        <v>6860.4191466501234</v>
      </c>
      <c r="T1359" s="69">
        <f t="shared" si="212"/>
        <v>7161.1416318301872</v>
      </c>
      <c r="U1359" s="69">
        <f t="shared" si="212"/>
        <v>7261.6853198310328</v>
      </c>
      <c r="V1359" s="69">
        <f t="shared" si="212"/>
        <v>7591.2372326642171</v>
      </c>
      <c r="W1359" s="69">
        <f t="shared" si="212"/>
        <v>7595.7560030509794</v>
      </c>
      <c r="X1359" s="69">
        <f t="shared" si="212"/>
        <v>7708.2022534610423</v>
      </c>
      <c r="Y1359" s="69">
        <f t="shared" si="212"/>
        <v>7967.3501754677745</v>
      </c>
      <c r="Z1359" s="69">
        <f t="shared" si="212"/>
        <v>8264.4144428197178</v>
      </c>
      <c r="AA1359" s="69">
        <f t="shared" si="212"/>
        <v>8856.4134792236073</v>
      </c>
      <c r="AB1359" s="69">
        <f t="shared" si="212"/>
        <v>8983.131609920265</v>
      </c>
      <c r="AC1359" s="69" t="e">
        <f t="shared" si="212"/>
        <v>#DIV/0!</v>
      </c>
      <c r="AD1359" s="69" t="e">
        <f t="shared" si="212"/>
        <v>#DIV/0!</v>
      </c>
      <c r="AE1359" s="69" t="e">
        <f t="shared" si="212"/>
        <v>#DIV/0!</v>
      </c>
      <c r="AF1359" s="69" t="e">
        <f t="shared" si="212"/>
        <v>#DIV/0!</v>
      </c>
      <c r="AG1359" s="69" t="e">
        <f t="shared" si="212"/>
        <v>#DIV/0!</v>
      </c>
      <c r="AH1359" s="69" t="e">
        <f t="shared" si="212"/>
        <v>#DIV/0!</v>
      </c>
      <c r="AI1359" s="69" t="e">
        <f t="shared" si="212"/>
        <v>#DIV/0!</v>
      </c>
      <c r="AJ1359" s="69" t="e">
        <f t="shared" si="212"/>
        <v>#DIV/0!</v>
      </c>
      <c r="AK1359" s="69" t="e">
        <f t="shared" si="212"/>
        <v>#DIV/0!</v>
      </c>
    </row>
    <row r="1360" spans="2:37" x14ac:dyDescent="0.25">
      <c r="E1360" s="4" t="s">
        <v>1242</v>
      </c>
      <c r="F1360" s="4"/>
      <c r="G1360" s="4"/>
      <c r="H1360" s="4" t="s">
        <v>1170</v>
      </c>
      <c r="Q1360" s="69">
        <f>Q1377*Q1378*Q1379*Q1396</f>
        <v>2800.8479999999995</v>
      </c>
      <c r="R1360" s="69">
        <f t="shared" ref="R1360:AK1360" si="213">R1377*R1378*R1379*R1396</f>
        <v>2870.7101782014943</v>
      </c>
      <c r="S1360" s="69">
        <f t="shared" si="213"/>
        <v>3132.5758633341916</v>
      </c>
      <c r="T1360" s="69">
        <f t="shared" si="213"/>
        <v>3178.8919062097398</v>
      </c>
      <c r="U1360" s="69">
        <f t="shared" si="213"/>
        <v>3466.2514290131412</v>
      </c>
      <c r="V1360" s="69">
        <f t="shared" si="213"/>
        <v>3207.5636623550636</v>
      </c>
      <c r="W1360" s="69">
        <f t="shared" si="213"/>
        <v>3220.725967946405</v>
      </c>
      <c r="X1360" s="69">
        <f t="shared" si="213"/>
        <v>2933.4130188095846</v>
      </c>
      <c r="Y1360" s="69">
        <f t="shared" si="213"/>
        <v>2646.3543367173406</v>
      </c>
      <c r="Z1360" s="69">
        <f t="shared" si="213"/>
        <v>2934.2401209739751</v>
      </c>
      <c r="AA1360" s="69">
        <f t="shared" si="213"/>
        <v>2201.6807165163614</v>
      </c>
      <c r="AB1360" s="69">
        <f t="shared" si="213"/>
        <v>2456.9128010306617</v>
      </c>
      <c r="AC1360" s="69">
        <f t="shared" si="213"/>
        <v>0</v>
      </c>
      <c r="AD1360" s="69" t="e">
        <f t="shared" si="213"/>
        <v>#DIV/0!</v>
      </c>
      <c r="AE1360" s="69" t="e">
        <f t="shared" si="213"/>
        <v>#DIV/0!</v>
      </c>
      <c r="AF1360" s="69" t="e">
        <f t="shared" si="213"/>
        <v>#DIV/0!</v>
      </c>
      <c r="AG1360" s="69" t="e">
        <f t="shared" si="213"/>
        <v>#DIV/0!</v>
      </c>
      <c r="AH1360" s="69" t="e">
        <f t="shared" si="213"/>
        <v>#DIV/0!</v>
      </c>
      <c r="AI1360" s="69" t="e">
        <f t="shared" si="213"/>
        <v>#DIV/0!</v>
      </c>
      <c r="AJ1360" s="69" t="e">
        <f t="shared" si="213"/>
        <v>#DIV/0!</v>
      </c>
      <c r="AK1360" s="69" t="e">
        <f t="shared" si="213"/>
        <v>#DIV/0!</v>
      </c>
    </row>
    <row r="1361" spans="4:37" x14ac:dyDescent="0.25">
      <c r="E1361" s="4" t="s">
        <v>1241</v>
      </c>
      <c r="F1361" s="4"/>
      <c r="G1361" s="4"/>
      <c r="H1361" s="4" t="s">
        <v>1170</v>
      </c>
      <c r="Q1361" s="69">
        <f>Q1383/(1-Q1385)/Q1386-Q1374</f>
        <v>4199.6791044776146</v>
      </c>
      <c r="R1361" s="69">
        <f t="shared" ref="R1361:AK1361" si="214">R1383/(1-R1385)/R1386-R1374</f>
        <v>3511.9726368159245</v>
      </c>
      <c r="S1361" s="69">
        <f t="shared" si="214"/>
        <v>4202.1716417910466</v>
      </c>
      <c r="T1361" s="69">
        <f t="shared" si="214"/>
        <v>4529.7736318407988</v>
      </c>
      <c r="U1361" s="69">
        <f t="shared" si="214"/>
        <v>5450.9402985074667</v>
      </c>
      <c r="V1361" s="69">
        <f t="shared" si="214"/>
        <v>5402.3980099502551</v>
      </c>
      <c r="W1361" s="69">
        <f t="shared" si="214"/>
        <v>6079.3432835820931</v>
      </c>
      <c r="X1361" s="69">
        <f t="shared" si="214"/>
        <v>6497.2189054726405</v>
      </c>
      <c r="Y1361" s="69">
        <f t="shared" si="214"/>
        <v>6853.9800995024925</v>
      </c>
      <c r="Z1361" s="69">
        <f t="shared" si="214"/>
        <v>7201.9158374793624</v>
      </c>
      <c r="AA1361" s="69">
        <f t="shared" si="214"/>
        <v>6309.820895522389</v>
      </c>
      <c r="AB1361" s="69">
        <f t="shared" si="214"/>
        <v>5866.9477611940347</v>
      </c>
      <c r="AC1361" s="69">
        <f t="shared" si="214"/>
        <v>26983.386353644928</v>
      </c>
      <c r="AD1361" s="69" t="e">
        <f t="shared" si="214"/>
        <v>#DIV/0!</v>
      </c>
      <c r="AE1361" s="69" t="e">
        <f t="shared" si="214"/>
        <v>#DIV/0!</v>
      </c>
      <c r="AF1361" s="69" t="e">
        <f t="shared" si="214"/>
        <v>#DIV/0!</v>
      </c>
      <c r="AG1361" s="69" t="e">
        <f t="shared" si="214"/>
        <v>#DIV/0!</v>
      </c>
      <c r="AH1361" s="69" t="e">
        <f t="shared" si="214"/>
        <v>#DIV/0!</v>
      </c>
      <c r="AI1361" s="69" t="e">
        <f t="shared" si="214"/>
        <v>#DIV/0!</v>
      </c>
      <c r="AJ1361" s="69" t="e">
        <f t="shared" si="214"/>
        <v>#DIV/0!</v>
      </c>
      <c r="AK1361" s="69" t="e">
        <f t="shared" si="214"/>
        <v>#DIV/0!</v>
      </c>
    </row>
    <row r="1362" spans="4:37" x14ac:dyDescent="0.25">
      <c r="E1362" s="4" t="s">
        <v>1246</v>
      </c>
      <c r="F1362" s="4"/>
      <c r="G1362" s="4"/>
      <c r="H1362" s="4" t="s">
        <v>1170</v>
      </c>
      <c r="Q1362" s="69">
        <f>SUM(Q1388*Q1389,Q1390*Q1391,Q1392*Q1393)*Q1396+Q1400+Q1408+Q1412+Q1404</f>
        <v>6669.8151322314052</v>
      </c>
      <c r="R1362" s="69">
        <f t="shared" ref="R1362:AK1362" si="215">SUM(R1388*R1389,R1390*R1391,R1392*R1393)*R1396+R1400+R1408+R1412+R1404</f>
        <v>6491.6462033057851</v>
      </c>
      <c r="S1362" s="69">
        <f t="shared" si="215"/>
        <v>7122.9955539256198</v>
      </c>
      <c r="T1362" s="69">
        <f t="shared" si="215"/>
        <v>7598.012033057852</v>
      </c>
      <c r="U1362" s="69">
        <f t="shared" si="215"/>
        <v>8651.0472086776881</v>
      </c>
      <c r="V1362" s="69">
        <f t="shared" si="215"/>
        <v>8554.089679132232</v>
      </c>
      <c r="W1362" s="69">
        <f t="shared" si="215"/>
        <v>8876.2851855371919</v>
      </c>
      <c r="X1362" s="69">
        <f t="shared" si="215"/>
        <v>9220.7378671487586</v>
      </c>
      <c r="Y1362" s="69">
        <f t="shared" si="215"/>
        <v>9371.8071719008258</v>
      </c>
      <c r="Z1362" s="69">
        <f t="shared" si="215"/>
        <v>10006.032559710744</v>
      </c>
      <c r="AA1362" s="69">
        <f t="shared" si="215"/>
        <v>9096.787873347108</v>
      </c>
      <c r="AB1362" s="69">
        <f t="shared" si="215"/>
        <v>10514.323202892561</v>
      </c>
      <c r="AC1362" s="69">
        <f t="shared" si="215"/>
        <v>10846.840919628101</v>
      </c>
      <c r="AD1362" s="69" t="e">
        <f t="shared" si="215"/>
        <v>#DIV/0!</v>
      </c>
      <c r="AE1362" s="69" t="e">
        <f t="shared" si="215"/>
        <v>#DIV/0!</v>
      </c>
      <c r="AF1362" s="69" t="e">
        <f t="shared" si="215"/>
        <v>#DIV/0!</v>
      </c>
      <c r="AG1362" s="69" t="e">
        <f t="shared" si="215"/>
        <v>#DIV/0!</v>
      </c>
      <c r="AH1362" s="69" t="e">
        <f t="shared" si="215"/>
        <v>#DIV/0!</v>
      </c>
      <c r="AI1362" s="69" t="e">
        <f t="shared" si="215"/>
        <v>#DIV/0!</v>
      </c>
      <c r="AJ1362" s="69" t="e">
        <f t="shared" si="215"/>
        <v>#DIV/0!</v>
      </c>
      <c r="AK1362" s="69" t="e">
        <f t="shared" si="215"/>
        <v>#DIV/0!</v>
      </c>
    </row>
    <row r="1363" spans="4:37" s="91" customFormat="1" x14ac:dyDescent="0.25">
      <c r="D1363" s="91" t="s">
        <v>1234</v>
      </c>
      <c r="H1363" s="91" t="s">
        <v>1170</v>
      </c>
      <c r="Q1363" s="93">
        <f>SUM(Q1364:Q1368)</f>
        <v>35542.970077350226</v>
      </c>
      <c r="R1363" s="93">
        <f t="shared" ref="R1363:AK1363" si="216">SUM(R1364:R1368)</f>
        <v>35117.035068003286</v>
      </c>
      <c r="S1363" s="93">
        <f t="shared" si="216"/>
        <v>37219.767045844434</v>
      </c>
      <c r="T1363" s="93">
        <f t="shared" si="216"/>
        <v>37162.686737881857</v>
      </c>
      <c r="U1363" s="93">
        <f t="shared" si="216"/>
        <v>39402.899688016187</v>
      </c>
      <c r="V1363" s="93">
        <f t="shared" si="216"/>
        <v>40411.215651281716</v>
      </c>
      <c r="W1363" s="93">
        <f t="shared" si="216"/>
        <v>41768.90939583876</v>
      </c>
      <c r="X1363" s="93">
        <f t="shared" si="216"/>
        <v>42443.170174650288</v>
      </c>
      <c r="Y1363" s="93">
        <f t="shared" si="216"/>
        <v>43021.058185637987</v>
      </c>
      <c r="Z1363" s="93">
        <f t="shared" si="216"/>
        <v>43731.727323006184</v>
      </c>
      <c r="AA1363" s="93">
        <f t="shared" si="216"/>
        <v>38398.490142543465</v>
      </c>
      <c r="AB1363" s="93">
        <f t="shared" si="216"/>
        <v>46457.371568520211</v>
      </c>
      <c r="AC1363" s="93" t="e">
        <f t="shared" si="216"/>
        <v>#DIV/0!</v>
      </c>
      <c r="AD1363" s="93" t="e">
        <f t="shared" si="216"/>
        <v>#DIV/0!</v>
      </c>
      <c r="AE1363" s="93" t="e">
        <f t="shared" si="216"/>
        <v>#DIV/0!</v>
      </c>
      <c r="AF1363" s="93" t="e">
        <f t="shared" si="216"/>
        <v>#DIV/0!</v>
      </c>
      <c r="AG1363" s="93" t="e">
        <f t="shared" si="216"/>
        <v>#DIV/0!</v>
      </c>
      <c r="AH1363" s="93" t="e">
        <f t="shared" si="216"/>
        <v>#DIV/0!</v>
      </c>
      <c r="AI1363" s="93" t="e">
        <f t="shared" si="216"/>
        <v>#DIV/0!</v>
      </c>
      <c r="AJ1363" s="93" t="e">
        <f t="shared" si="216"/>
        <v>#DIV/0!</v>
      </c>
      <c r="AK1363" s="93" t="e">
        <f t="shared" si="216"/>
        <v>#DIV/0!</v>
      </c>
    </row>
    <row r="1364" spans="4:37" x14ac:dyDescent="0.25">
      <c r="E1364" s="4" t="s">
        <v>1236</v>
      </c>
      <c r="H1364" t="s">
        <v>1170</v>
      </c>
      <c r="Q1364" s="69">
        <f>Q1371*(1-Q1372)</f>
        <v>19761.899999999998</v>
      </c>
      <c r="R1364" s="69">
        <f t="shared" ref="R1364:AK1364" si="217">R1371*(1-R1372)</f>
        <v>20055.45</v>
      </c>
      <c r="S1364" s="69">
        <f t="shared" si="217"/>
        <v>20259.7</v>
      </c>
      <c r="T1364" s="69">
        <f t="shared" si="217"/>
        <v>20496.25</v>
      </c>
      <c r="U1364" s="69">
        <f t="shared" si="217"/>
        <v>20858.2</v>
      </c>
      <c r="V1364" s="69">
        <f t="shared" si="217"/>
        <v>21195.45</v>
      </c>
      <c r="W1364" s="69">
        <f t="shared" si="217"/>
        <v>21491.85</v>
      </c>
      <c r="X1364" s="69">
        <f t="shared" si="217"/>
        <v>21776.85</v>
      </c>
      <c r="Y1364" s="69">
        <f t="shared" si="217"/>
        <v>21906.05</v>
      </c>
      <c r="Z1364" s="69">
        <f t="shared" si="217"/>
        <v>22116</v>
      </c>
      <c r="AA1364" s="69">
        <f t="shared" si="217"/>
        <v>22188.2</v>
      </c>
      <c r="AB1364" s="69">
        <f t="shared" si="217"/>
        <v>22153.05</v>
      </c>
      <c r="AC1364" s="69">
        <f t="shared" si="217"/>
        <v>0</v>
      </c>
      <c r="AD1364" s="69">
        <f t="shared" si="217"/>
        <v>0</v>
      </c>
      <c r="AE1364" s="69">
        <f t="shared" si="217"/>
        <v>0</v>
      </c>
      <c r="AF1364" s="69">
        <f t="shared" si="217"/>
        <v>0</v>
      </c>
      <c r="AG1364" s="69">
        <f t="shared" si="217"/>
        <v>0</v>
      </c>
      <c r="AH1364" s="69">
        <f t="shared" si="217"/>
        <v>0</v>
      </c>
      <c r="AI1364" s="69">
        <f t="shared" si="217"/>
        <v>0</v>
      </c>
      <c r="AJ1364" s="69">
        <f t="shared" si="217"/>
        <v>0</v>
      </c>
      <c r="AK1364" s="69">
        <f t="shared" si="217"/>
        <v>0</v>
      </c>
    </row>
    <row r="1365" spans="4:37" x14ac:dyDescent="0.25">
      <c r="E1365" s="4" t="s">
        <v>1240</v>
      </c>
      <c r="H1365" t="s">
        <v>1170</v>
      </c>
      <c r="Q1365" s="69">
        <f>Q1374*(1-Q1375)</f>
        <v>6508.5644594010382</v>
      </c>
      <c r="R1365" s="69">
        <f t="shared" ref="R1365:AK1365" si="218">R1374*(1-R1375)</f>
        <v>6929.2593385969931</v>
      </c>
      <c r="S1365" s="69">
        <f t="shared" si="218"/>
        <v>6860.4191466501234</v>
      </c>
      <c r="T1365" s="69">
        <f t="shared" si="218"/>
        <v>7161.1416318301872</v>
      </c>
      <c r="U1365" s="69">
        <f t="shared" si="218"/>
        <v>7261.6853198310328</v>
      </c>
      <c r="V1365" s="69">
        <f t="shared" si="218"/>
        <v>7591.2372326642171</v>
      </c>
      <c r="W1365" s="69">
        <f t="shared" si="218"/>
        <v>7595.7560030509794</v>
      </c>
      <c r="X1365" s="69">
        <f t="shared" si="218"/>
        <v>7708.2022534610423</v>
      </c>
      <c r="Y1365" s="69">
        <f t="shared" si="218"/>
        <v>7967.3501754677745</v>
      </c>
      <c r="Z1365" s="69">
        <f t="shared" si="218"/>
        <v>8264.4144428197178</v>
      </c>
      <c r="AA1365" s="69">
        <f t="shared" si="218"/>
        <v>8856.4134792236073</v>
      </c>
      <c r="AB1365" s="69">
        <f t="shared" si="218"/>
        <v>8983.131609920265</v>
      </c>
      <c r="AC1365" s="69" t="e">
        <f t="shared" si="218"/>
        <v>#DIV/0!</v>
      </c>
      <c r="AD1365" s="69" t="e">
        <f t="shared" si="218"/>
        <v>#DIV/0!</v>
      </c>
      <c r="AE1365" s="69" t="e">
        <f t="shared" si="218"/>
        <v>#DIV/0!</v>
      </c>
      <c r="AF1365" s="69" t="e">
        <f t="shared" si="218"/>
        <v>#DIV/0!</v>
      </c>
      <c r="AG1365" s="69" t="e">
        <f t="shared" si="218"/>
        <v>#DIV/0!</v>
      </c>
      <c r="AH1365" s="69" t="e">
        <f t="shared" si="218"/>
        <v>#DIV/0!</v>
      </c>
      <c r="AI1365" s="69" t="e">
        <f t="shared" si="218"/>
        <v>#DIV/0!</v>
      </c>
      <c r="AJ1365" s="69" t="e">
        <f t="shared" si="218"/>
        <v>#DIV/0!</v>
      </c>
      <c r="AK1365" s="69" t="e">
        <f t="shared" si="218"/>
        <v>#DIV/0!</v>
      </c>
    </row>
    <row r="1366" spans="4:37" x14ac:dyDescent="0.25">
      <c r="E1366" s="4" t="s">
        <v>1242</v>
      </c>
      <c r="H1366" t="s">
        <v>1170</v>
      </c>
      <c r="Q1366" s="69">
        <f>Q1377*Q1378*Q1379*Q1397</f>
        <v>1659.3395999999998</v>
      </c>
      <c r="R1366" s="69">
        <f t="shared" ref="R1366:AK1366" si="219">R1377*R1378*R1379*R1397</f>
        <v>1620.7837369750064</v>
      </c>
      <c r="S1366" s="69">
        <f t="shared" si="219"/>
        <v>1866.0683576397835</v>
      </c>
      <c r="T1366" s="69">
        <f t="shared" si="219"/>
        <v>1539.7757670703427</v>
      </c>
      <c r="U1366" s="69">
        <f t="shared" si="219"/>
        <v>1725.1389600618397</v>
      </c>
      <c r="V1366" s="69">
        <f t="shared" si="219"/>
        <v>1737.243917547024</v>
      </c>
      <c r="W1366" s="69">
        <f t="shared" si="219"/>
        <v>1802.107188868848</v>
      </c>
      <c r="X1366" s="69">
        <f t="shared" si="219"/>
        <v>1581.8053542901312</v>
      </c>
      <c r="Y1366" s="69">
        <f t="shared" si="219"/>
        <v>1464.9461506828134</v>
      </c>
      <c r="Z1366" s="69">
        <f t="shared" si="219"/>
        <v>1531.011735892811</v>
      </c>
      <c r="AA1366" s="69">
        <f t="shared" si="219"/>
        <v>1044.0960098943572</v>
      </c>
      <c r="AB1366" s="69">
        <f t="shared" si="219"/>
        <v>1834.5459574336508</v>
      </c>
      <c r="AC1366" s="69">
        <f t="shared" si="219"/>
        <v>0</v>
      </c>
      <c r="AD1366" s="69" t="e">
        <f t="shared" si="219"/>
        <v>#DIV/0!</v>
      </c>
      <c r="AE1366" s="69" t="e">
        <f t="shared" si="219"/>
        <v>#DIV/0!</v>
      </c>
      <c r="AF1366" s="69" t="e">
        <f t="shared" si="219"/>
        <v>#DIV/0!</v>
      </c>
      <c r="AG1366" s="69" t="e">
        <f t="shared" si="219"/>
        <v>#DIV/0!</v>
      </c>
      <c r="AH1366" s="69" t="e">
        <f t="shared" si="219"/>
        <v>#DIV/0!</v>
      </c>
      <c r="AI1366" s="69" t="e">
        <f t="shared" si="219"/>
        <v>#DIV/0!</v>
      </c>
      <c r="AJ1366" s="69" t="e">
        <f t="shared" si="219"/>
        <v>#DIV/0!</v>
      </c>
      <c r="AK1366" s="69" t="e">
        <f t="shared" si="219"/>
        <v>#DIV/0!</v>
      </c>
    </row>
    <row r="1367" spans="4:37" x14ac:dyDescent="0.25">
      <c r="E1367" s="4" t="s">
        <v>1241</v>
      </c>
      <c r="H1367" t="s">
        <v>1170</v>
      </c>
      <c r="Q1367" s="69">
        <f>Q1384/(1-Q1385)/Q1386-Q1374</f>
        <v>3200.9228855721412</v>
      </c>
      <c r="R1367" s="69">
        <f t="shared" ref="R1367:AK1367" si="220">R1384/(1-R1385)/R1386-R1374</f>
        <v>2418.689054726372</v>
      </c>
      <c r="S1367" s="69">
        <f t="shared" si="220"/>
        <v>3563.4900497512463</v>
      </c>
      <c r="T1367" s="69">
        <f t="shared" si="220"/>
        <v>3953.5920398009985</v>
      </c>
      <c r="U1367" s="69">
        <f t="shared" si="220"/>
        <v>4595.5298507462721</v>
      </c>
      <c r="V1367" s="69">
        <f t="shared" si="220"/>
        <v>4610.7313432835836</v>
      </c>
      <c r="W1367" s="69">
        <f t="shared" si="220"/>
        <v>5232.017412935329</v>
      </c>
      <c r="X1367" s="69">
        <f t="shared" si="220"/>
        <v>5709.9054726368195</v>
      </c>
      <c r="Y1367" s="69">
        <f t="shared" si="220"/>
        <v>5946.6417910447817</v>
      </c>
      <c r="Z1367" s="69">
        <f t="shared" si="220"/>
        <v>5960.3113598674245</v>
      </c>
      <c r="AA1367" s="69">
        <f t="shared" si="220"/>
        <v>1835.9402985074667</v>
      </c>
      <c r="AB1367" s="69">
        <f t="shared" si="220"/>
        <v>4929.136815920403</v>
      </c>
      <c r="AC1367" s="69">
        <f t="shared" si="220"/>
        <v>25638.198876711002</v>
      </c>
      <c r="AD1367" s="69" t="e">
        <f t="shared" si="220"/>
        <v>#DIV/0!</v>
      </c>
      <c r="AE1367" s="69" t="e">
        <f t="shared" si="220"/>
        <v>#DIV/0!</v>
      </c>
      <c r="AF1367" s="69" t="e">
        <f t="shared" si="220"/>
        <v>#DIV/0!</v>
      </c>
      <c r="AG1367" s="69" t="e">
        <f t="shared" si="220"/>
        <v>#DIV/0!</v>
      </c>
      <c r="AH1367" s="69" t="e">
        <f t="shared" si="220"/>
        <v>#DIV/0!</v>
      </c>
      <c r="AI1367" s="69" t="e">
        <f t="shared" si="220"/>
        <v>#DIV/0!</v>
      </c>
      <c r="AJ1367" s="69" t="e">
        <f t="shared" si="220"/>
        <v>#DIV/0!</v>
      </c>
      <c r="AK1367" s="69" t="e">
        <f t="shared" si="220"/>
        <v>#DIV/0!</v>
      </c>
    </row>
    <row r="1368" spans="4:37" x14ac:dyDescent="0.25">
      <c r="E1368" s="4" t="s">
        <v>1246</v>
      </c>
      <c r="H1368" t="s">
        <v>1170</v>
      </c>
      <c r="Q1368" s="69">
        <f>SUM(Q1388*Q1389,Q1390*Q1391,Q1392*Q1393)*Q1397+Q1401+Q1409+Q1413+Q1405</f>
        <v>4412.2431323770488</v>
      </c>
      <c r="R1368" s="69">
        <f t="shared" ref="R1368:AK1368" si="221">SUM(R1388*R1389,R1390*R1391,R1392*R1393)*R1397+R1401+R1409+R1413+R1405</f>
        <v>4092.8529377049181</v>
      </c>
      <c r="S1368" s="69">
        <f t="shared" si="221"/>
        <v>4670.0894918032791</v>
      </c>
      <c r="T1368" s="69">
        <f t="shared" si="221"/>
        <v>4011.9272991803282</v>
      </c>
      <c r="U1368" s="69">
        <f t="shared" si="221"/>
        <v>4962.3455573770498</v>
      </c>
      <c r="V1368" s="69">
        <f t="shared" si="221"/>
        <v>5276.553157786886</v>
      </c>
      <c r="W1368" s="69">
        <f t="shared" si="221"/>
        <v>5647.1787909836066</v>
      </c>
      <c r="X1368" s="69">
        <f t="shared" si="221"/>
        <v>5666.4070942622948</v>
      </c>
      <c r="Y1368" s="69">
        <f t="shared" si="221"/>
        <v>5736.0700684426229</v>
      </c>
      <c r="Z1368" s="69">
        <f t="shared" si="221"/>
        <v>5859.9897844262296</v>
      </c>
      <c r="AA1368" s="69">
        <f t="shared" si="221"/>
        <v>4473.8403549180339</v>
      </c>
      <c r="AB1368" s="69">
        <f t="shared" si="221"/>
        <v>8557.5071852459005</v>
      </c>
      <c r="AC1368" s="69">
        <f t="shared" si="221"/>
        <v>7208.2286303278697</v>
      </c>
      <c r="AD1368" s="69" t="e">
        <f t="shared" si="221"/>
        <v>#DIV/0!</v>
      </c>
      <c r="AE1368" s="69" t="e">
        <f t="shared" si="221"/>
        <v>#DIV/0!</v>
      </c>
      <c r="AF1368" s="69" t="e">
        <f t="shared" si="221"/>
        <v>#DIV/0!</v>
      </c>
      <c r="AG1368" s="69" t="e">
        <f t="shared" si="221"/>
        <v>#DIV/0!</v>
      </c>
      <c r="AH1368" s="69" t="e">
        <f t="shared" si="221"/>
        <v>#DIV/0!</v>
      </c>
      <c r="AI1368" s="69" t="e">
        <f t="shared" si="221"/>
        <v>#DIV/0!</v>
      </c>
      <c r="AJ1368" s="69" t="e">
        <f t="shared" si="221"/>
        <v>#DIV/0!</v>
      </c>
      <c r="AK1368" s="69" t="e">
        <f t="shared" si="221"/>
        <v>#DIV/0!</v>
      </c>
    </row>
    <row r="1369" spans="4:37" x14ac:dyDescent="0.25">
      <c r="D1369" t="s">
        <v>1235</v>
      </c>
      <c r="E1369" s="4"/>
    </row>
    <row r="1370" spans="4:37" x14ac:dyDescent="0.25">
      <c r="E1370" s="4" t="s">
        <v>1236</v>
      </c>
    </row>
    <row r="1371" spans="4:37" x14ac:dyDescent="0.25">
      <c r="E1371" s="4"/>
      <c r="F1371" t="s">
        <v>1380</v>
      </c>
      <c r="H1371" t="s">
        <v>1170</v>
      </c>
      <c r="Q1371" s="39">
        <f>Datasheet!Q623</f>
        <v>20802</v>
      </c>
      <c r="R1371" s="39">
        <f>Datasheet!R623</f>
        <v>21111</v>
      </c>
      <c r="S1371" s="39">
        <f>Datasheet!S623</f>
        <v>21326</v>
      </c>
      <c r="T1371" s="39">
        <f>Datasheet!T623</f>
        <v>21575</v>
      </c>
      <c r="U1371" s="39">
        <f>Datasheet!U623</f>
        <v>21956</v>
      </c>
      <c r="V1371" s="39">
        <f>Datasheet!V623</f>
        <v>22311</v>
      </c>
      <c r="W1371" s="39">
        <f>Datasheet!W623</f>
        <v>22623</v>
      </c>
      <c r="X1371" s="39">
        <f>Datasheet!X623</f>
        <v>22923</v>
      </c>
      <c r="Y1371" s="39">
        <f>Datasheet!Y623</f>
        <v>23059</v>
      </c>
      <c r="Z1371" s="39">
        <f>Datasheet!Z623</f>
        <v>23280</v>
      </c>
      <c r="AA1371" s="39">
        <f>Datasheet!AA623</f>
        <v>23356</v>
      </c>
      <c r="AB1371" s="39">
        <f>Datasheet!AB623</f>
        <v>23319</v>
      </c>
      <c r="AC1371" s="39">
        <f>Datasheet!AC623</f>
        <v>0</v>
      </c>
      <c r="AD1371" s="39">
        <f>Datasheet!AD623</f>
        <v>0</v>
      </c>
      <c r="AE1371" s="39">
        <f>Datasheet!AE623</f>
        <v>0</v>
      </c>
      <c r="AF1371" s="39">
        <f>Datasheet!AF623</f>
        <v>0</v>
      </c>
      <c r="AG1371" s="39">
        <f>Datasheet!AG623</f>
        <v>0</v>
      </c>
      <c r="AH1371" s="39">
        <f>Datasheet!AH623</f>
        <v>0</v>
      </c>
      <c r="AI1371" s="39">
        <f>Datasheet!AI623</f>
        <v>0</v>
      </c>
      <c r="AJ1371" s="39">
        <f>Datasheet!AJ623</f>
        <v>0</v>
      </c>
      <c r="AK1371" s="39">
        <f>Datasheet!AK623</f>
        <v>0</v>
      </c>
    </row>
    <row r="1372" spans="4:37" x14ac:dyDescent="0.25">
      <c r="E1372" s="150"/>
      <c r="F1372" s="4" t="s">
        <v>1238</v>
      </c>
      <c r="I1372" s="126" t="s">
        <v>1381</v>
      </c>
      <c r="Q1372" s="85">
        <v>0.05</v>
      </c>
      <c r="R1372" s="85">
        <v>0.05</v>
      </c>
      <c r="S1372" s="85">
        <v>0.05</v>
      </c>
      <c r="T1372" s="85">
        <v>0.05</v>
      </c>
      <c r="U1372" s="85">
        <v>0.05</v>
      </c>
      <c r="V1372" s="85">
        <v>0.05</v>
      </c>
      <c r="W1372" s="85">
        <v>0.05</v>
      </c>
      <c r="X1372" s="85">
        <v>0.05</v>
      </c>
      <c r="Y1372" s="85">
        <v>0.05</v>
      </c>
      <c r="Z1372" s="85">
        <v>0.05</v>
      </c>
      <c r="AA1372" s="85">
        <v>0.05</v>
      </c>
      <c r="AB1372" s="85">
        <v>0.05</v>
      </c>
      <c r="AC1372" s="85">
        <v>0.05</v>
      </c>
      <c r="AD1372" s="85">
        <v>0.05</v>
      </c>
      <c r="AE1372" s="85">
        <v>0.05</v>
      </c>
      <c r="AF1372" s="85">
        <v>0.05</v>
      </c>
      <c r="AG1372" s="85">
        <v>0.05</v>
      </c>
      <c r="AH1372" s="85">
        <v>0.05</v>
      </c>
      <c r="AI1372" s="85">
        <v>0.05</v>
      </c>
      <c r="AJ1372" s="85">
        <v>0.05</v>
      </c>
      <c r="AK1372" s="85">
        <v>0.05</v>
      </c>
    </row>
    <row r="1373" spans="4:37" x14ac:dyDescent="0.25">
      <c r="E1373" s="4" t="s">
        <v>1240</v>
      </c>
    </row>
    <row r="1374" spans="4:37" x14ac:dyDescent="0.25">
      <c r="E1374" s="4"/>
      <c r="F1374" t="s">
        <v>1378</v>
      </c>
      <c r="H1374" t="s">
        <v>1170</v>
      </c>
      <c r="I1374" s="126" t="s">
        <v>1382</v>
      </c>
      <c r="Q1374" s="39">
        <f>Datasheet!Q604</f>
        <v>15652</v>
      </c>
      <c r="R1374" s="39">
        <f>Datasheet!R604</f>
        <v>16331</v>
      </c>
      <c r="S1374" s="39">
        <f>Datasheet!S604</f>
        <v>16101</v>
      </c>
      <c r="T1374" s="39">
        <f>Datasheet!T604</f>
        <v>16478</v>
      </c>
      <c r="U1374" s="39">
        <f>Datasheet!U604</f>
        <v>16536</v>
      </c>
      <c r="V1374" s="39">
        <f>Datasheet!V604</f>
        <v>17393</v>
      </c>
      <c r="W1374" s="39">
        <f>Datasheet!W604</f>
        <v>17527</v>
      </c>
      <c r="X1374" s="39">
        <f>Datasheet!X604</f>
        <v>17759</v>
      </c>
      <c r="Y1374" s="39">
        <f>Datasheet!Y604</f>
        <v>17725</v>
      </c>
      <c r="Z1374" s="39">
        <f>_xlfn.FORECAST.LINEAR(Z2,Q1374:Y1374,Q2:Y2)</f>
        <v>18195.472222222132</v>
      </c>
      <c r="AA1374" s="39">
        <f>Datasheet!AA604</f>
        <v>18901</v>
      </c>
      <c r="AB1374" s="39">
        <f>Datasheet!AB604</f>
        <v>19231</v>
      </c>
      <c r="AC1374" s="39">
        <f>Datasheet!AC604</f>
        <v>0</v>
      </c>
      <c r="AD1374" s="39">
        <f>Datasheet!AD604</f>
        <v>0</v>
      </c>
      <c r="AE1374" s="39">
        <f>Datasheet!AE604</f>
        <v>0</v>
      </c>
      <c r="AF1374" s="39">
        <f>Datasheet!AF604</f>
        <v>0</v>
      </c>
      <c r="AG1374" s="39">
        <f>Datasheet!AG604</f>
        <v>0</v>
      </c>
      <c r="AH1374" s="39">
        <f>Datasheet!AH604</f>
        <v>0</v>
      </c>
      <c r="AI1374" s="39">
        <f>Datasheet!AI604</f>
        <v>0</v>
      </c>
      <c r="AJ1374" s="39">
        <f>Datasheet!AJ604</f>
        <v>0</v>
      </c>
      <c r="AK1374" s="39">
        <f>Datasheet!AK604</f>
        <v>0</v>
      </c>
    </row>
    <row r="1375" spans="4:37" x14ac:dyDescent="0.25">
      <c r="E1375" s="4"/>
      <c r="F1375" t="s">
        <v>1383</v>
      </c>
      <c r="I1375" s="126" t="s">
        <v>1384</v>
      </c>
      <c r="Q1375" s="90">
        <f>Q1453</f>
        <v>0.58417042809857922</v>
      </c>
      <c r="R1375" s="90">
        <f t="shared" ref="R1375:AK1375" si="222">R1453</f>
        <v>0.57569901790478273</v>
      </c>
      <c r="S1375" s="90">
        <f t="shared" si="222"/>
        <v>0.57391347452641928</v>
      </c>
      <c r="T1375" s="90">
        <f t="shared" si="222"/>
        <v>0.56541196554010276</v>
      </c>
      <c r="U1375" s="90">
        <f t="shared" si="222"/>
        <v>0.56085599178573819</v>
      </c>
      <c r="V1375" s="90">
        <f t="shared" si="222"/>
        <v>0.56354641334650624</v>
      </c>
      <c r="W1375" s="90">
        <f t="shared" si="222"/>
        <v>0.5666254348690033</v>
      </c>
      <c r="X1375" s="90">
        <f t="shared" si="222"/>
        <v>0.56595516338414087</v>
      </c>
      <c r="Y1375" s="90">
        <f t="shared" si="222"/>
        <v>0.55050210575640202</v>
      </c>
      <c r="Z1375" s="90">
        <f t="shared" si="222"/>
        <v>0.54579829850602135</v>
      </c>
      <c r="AA1375" s="90">
        <f t="shared" si="222"/>
        <v>0.53143148620583003</v>
      </c>
      <c r="AB1375" s="90">
        <f t="shared" si="222"/>
        <v>0.5328827616910059</v>
      </c>
      <c r="AC1375" s="90" t="e">
        <f t="shared" si="222"/>
        <v>#DIV/0!</v>
      </c>
      <c r="AD1375" s="90" t="e">
        <f t="shared" si="222"/>
        <v>#DIV/0!</v>
      </c>
      <c r="AE1375" s="90" t="e">
        <f t="shared" si="222"/>
        <v>#DIV/0!</v>
      </c>
      <c r="AF1375" s="90" t="e">
        <f t="shared" si="222"/>
        <v>#DIV/0!</v>
      </c>
      <c r="AG1375" s="90" t="e">
        <f t="shared" si="222"/>
        <v>#DIV/0!</v>
      </c>
      <c r="AH1375" s="90" t="e">
        <f t="shared" si="222"/>
        <v>#DIV/0!</v>
      </c>
      <c r="AI1375" s="90" t="e">
        <f t="shared" si="222"/>
        <v>#DIV/0!</v>
      </c>
      <c r="AJ1375" s="90" t="e">
        <f t="shared" si="222"/>
        <v>#DIV/0!</v>
      </c>
      <c r="AK1375" s="90" t="e">
        <f t="shared" si="222"/>
        <v>#DIV/0!</v>
      </c>
    </row>
    <row r="1376" spans="4:37" x14ac:dyDescent="0.25">
      <c r="E1376" s="4" t="s">
        <v>1242</v>
      </c>
    </row>
    <row r="1377" spans="5:37" x14ac:dyDescent="0.25">
      <c r="E1377" s="4"/>
      <c r="F1377" t="s">
        <v>1385</v>
      </c>
      <c r="H1377" t="s">
        <v>23</v>
      </c>
      <c r="Q1377" s="39">
        <f>Datasheet!Q679</f>
        <v>3881</v>
      </c>
      <c r="R1377" s="39">
        <f>Datasheet!R679</f>
        <v>4092</v>
      </c>
      <c r="S1377" s="39">
        <f>Datasheet!S679</f>
        <v>4118</v>
      </c>
      <c r="T1377" s="39">
        <f>Datasheet!T679</f>
        <v>3946</v>
      </c>
      <c r="U1377" s="39">
        <f>Datasheet!U679</f>
        <v>3807</v>
      </c>
      <c r="V1377" s="39">
        <f>Datasheet!V679</f>
        <v>3554</v>
      </c>
      <c r="W1377" s="39">
        <f>Datasheet!W679</f>
        <v>3436</v>
      </c>
      <c r="X1377" s="39">
        <f>Datasheet!X679</f>
        <v>3065</v>
      </c>
      <c r="Y1377" s="39">
        <f>Datasheet!Y679</f>
        <v>2747</v>
      </c>
      <c r="Z1377" s="39">
        <f>_xlfn.FORECAST.LINEAR(Z2,Q1377:Y1377,Q2:Y2)</f>
        <v>2846.25</v>
      </c>
      <c r="AA1377" s="39">
        <f>Datasheet!AA679</f>
        <v>2352</v>
      </c>
      <c r="AB1377" s="39">
        <f>Datasheet!AB679</f>
        <v>2282</v>
      </c>
      <c r="AC1377" s="39">
        <f>Datasheet!AC679</f>
        <v>0</v>
      </c>
      <c r="AD1377" s="39">
        <f>Datasheet!AD679</f>
        <v>0</v>
      </c>
      <c r="AE1377" s="39">
        <f>Datasheet!AE679</f>
        <v>0</v>
      </c>
      <c r="AF1377" s="39">
        <f>Datasheet!AF679</f>
        <v>0</v>
      </c>
      <c r="AG1377" s="39">
        <f>Datasheet!AG679</f>
        <v>0</v>
      </c>
      <c r="AH1377" s="39">
        <f>Datasheet!AH679</f>
        <v>0</v>
      </c>
      <c r="AI1377" s="39">
        <f>Datasheet!AI679</f>
        <v>0</v>
      </c>
      <c r="AJ1377" s="39">
        <f>Datasheet!AJ679</f>
        <v>0</v>
      </c>
      <c r="AK1377" s="39">
        <f>Datasheet!AK679</f>
        <v>0</v>
      </c>
    </row>
    <row r="1378" spans="5:37" x14ac:dyDescent="0.25">
      <c r="F1378" t="s">
        <v>1386</v>
      </c>
      <c r="I1378" s="126" t="s">
        <v>1387</v>
      </c>
      <c r="Q1378">
        <f>2832/3881</f>
        <v>0.72970883792836894</v>
      </c>
      <c r="R1378">
        <f t="shared" ref="R1378:AK1378" si="223">2832/3881</f>
        <v>0.72970883792836894</v>
      </c>
      <c r="S1378">
        <f t="shared" si="223"/>
        <v>0.72970883792836894</v>
      </c>
      <c r="T1378">
        <f t="shared" si="223"/>
        <v>0.72970883792836894</v>
      </c>
      <c r="U1378">
        <f t="shared" si="223"/>
        <v>0.72970883792836894</v>
      </c>
      <c r="V1378">
        <f t="shared" si="223"/>
        <v>0.72970883792836894</v>
      </c>
      <c r="W1378">
        <f t="shared" si="223"/>
        <v>0.72970883792836894</v>
      </c>
      <c r="X1378">
        <f t="shared" si="223"/>
        <v>0.72970883792836894</v>
      </c>
      <c r="Y1378">
        <f t="shared" si="223"/>
        <v>0.72970883792836894</v>
      </c>
      <c r="Z1378">
        <f t="shared" si="223"/>
        <v>0.72970883792836894</v>
      </c>
      <c r="AA1378">
        <f t="shared" si="223"/>
        <v>0.72970883792836894</v>
      </c>
      <c r="AB1378">
        <f t="shared" si="223"/>
        <v>0.72970883792836894</v>
      </c>
      <c r="AC1378">
        <f t="shared" si="223"/>
        <v>0.72970883792836894</v>
      </c>
      <c r="AD1378">
        <f t="shared" si="223"/>
        <v>0.72970883792836894</v>
      </c>
      <c r="AE1378">
        <f t="shared" si="223"/>
        <v>0.72970883792836894</v>
      </c>
      <c r="AF1378">
        <f t="shared" si="223"/>
        <v>0.72970883792836894</v>
      </c>
      <c r="AG1378">
        <f t="shared" si="223"/>
        <v>0.72970883792836894</v>
      </c>
      <c r="AH1378">
        <f t="shared" si="223"/>
        <v>0.72970883792836894</v>
      </c>
      <c r="AI1378">
        <f t="shared" si="223"/>
        <v>0.72970883792836894</v>
      </c>
      <c r="AJ1378">
        <f t="shared" si="223"/>
        <v>0.72970883792836894</v>
      </c>
      <c r="AK1378">
        <f t="shared" si="223"/>
        <v>0.72970883792836894</v>
      </c>
    </row>
    <row r="1379" spans="5:37" x14ac:dyDescent="0.25">
      <c r="F1379" t="s">
        <v>799</v>
      </c>
      <c r="H1379" t="s">
        <v>1388</v>
      </c>
      <c r="I1379" s="126" t="s">
        <v>1389</v>
      </c>
      <c r="Q1379">
        <v>2.2999999999999998</v>
      </c>
      <c r="R1379">
        <v>2.2999999999999998</v>
      </c>
      <c r="S1379">
        <v>2.2999999999999998</v>
      </c>
      <c r="T1379">
        <v>2.2999999999999998</v>
      </c>
      <c r="U1379">
        <v>2.2999999999999998</v>
      </c>
      <c r="V1379">
        <v>2.2999999999999998</v>
      </c>
      <c r="W1379">
        <v>2.2999999999999998</v>
      </c>
      <c r="X1379">
        <v>2.2999999999999998</v>
      </c>
      <c r="Y1379">
        <v>2.2999999999999998</v>
      </c>
      <c r="Z1379">
        <v>2.2999999999999998</v>
      </c>
      <c r="AA1379">
        <v>2.2999999999999998</v>
      </c>
      <c r="AB1379">
        <v>2.2999999999999998</v>
      </c>
      <c r="AC1379">
        <v>2.2999999999999998</v>
      </c>
      <c r="AD1379">
        <v>2.2999999999999998</v>
      </c>
      <c r="AE1379">
        <v>2.2999999999999998</v>
      </c>
      <c r="AF1379">
        <v>2.2999999999999998</v>
      </c>
      <c r="AG1379">
        <v>2.2999999999999998</v>
      </c>
      <c r="AH1379">
        <v>2.2999999999999998</v>
      </c>
      <c r="AI1379">
        <v>2.2999999999999998</v>
      </c>
      <c r="AJ1379">
        <v>2.2999999999999998</v>
      </c>
      <c r="AK1379">
        <v>2.2999999999999998</v>
      </c>
    </row>
    <row r="1380" spans="5:37" x14ac:dyDescent="0.25">
      <c r="E1380" s="4" t="s">
        <v>1241</v>
      </c>
      <c r="I1380" s="126" t="s">
        <v>1390</v>
      </c>
    </row>
    <row r="1381" spans="5:37" x14ac:dyDescent="0.25">
      <c r="E1381" s="4"/>
      <c r="F1381" t="s">
        <v>1391</v>
      </c>
    </row>
    <row r="1382" spans="5:37" x14ac:dyDescent="0.25">
      <c r="E1382" s="4"/>
      <c r="G1382" t="s">
        <v>1232</v>
      </c>
      <c r="H1382" t="s">
        <v>274</v>
      </c>
      <c r="Q1382" s="39">
        <f>AVERAGE(Datasheet!Q381:Q384)</f>
        <v>19694.25</v>
      </c>
      <c r="R1382" s="39">
        <f>AVERAGE(Datasheet!R381:R384)</f>
        <v>19808</v>
      </c>
      <c r="S1382" s="39">
        <f>AVERAGE(Datasheet!S381:S384)</f>
        <v>20122</v>
      </c>
      <c r="T1382" s="39">
        <f>AVERAGE(Datasheet!T381:T384)</f>
        <v>21003.25</v>
      </c>
      <c r="U1382" s="39">
        <f>AVERAGE(Datasheet!U381:U384)</f>
        <v>21839.5</v>
      </c>
      <c r="V1382" s="39">
        <f>AVERAGE(Datasheet!V381:V384)</f>
        <v>22471.25</v>
      </c>
      <c r="W1382" s="39">
        <f>AVERAGE(Datasheet!W381:W384)</f>
        <v>23418.25</v>
      </c>
      <c r="X1382" s="39">
        <f>AVERAGE(Datasheet!X381:X384)</f>
        <v>23979.75</v>
      </c>
      <c r="Y1382" s="39">
        <f>AVERAGE(Datasheet!Y381:Y384)</f>
        <v>24084.25</v>
      </c>
      <c r="Z1382" s="39">
        <f>AVERAGE(Datasheet!Z381:Z384)</f>
        <v>24446.5</v>
      </c>
      <c r="AA1382" s="39">
        <f>AVERAGE(Datasheet!AA381:AA384)</f>
        <v>20377</v>
      </c>
      <c r="AB1382" s="39">
        <f>AVERAGE(Datasheet!AB381:AB384)</f>
        <v>23797.25</v>
      </c>
      <c r="AC1382" s="39">
        <f>AVERAGE(Datasheet!AC381:AC384)</f>
        <v>25342.25</v>
      </c>
      <c r="AD1382" s="39" t="e">
        <f>AVERAGE(Datasheet!AD381:AD384)</f>
        <v>#DIV/0!</v>
      </c>
      <c r="AE1382" s="39" t="e">
        <f>AVERAGE(Datasheet!AE381:AE384)</f>
        <v>#DIV/0!</v>
      </c>
      <c r="AF1382" s="39" t="e">
        <f>AVERAGE(Datasheet!AF381:AF384)</f>
        <v>#DIV/0!</v>
      </c>
      <c r="AG1382" s="39" t="e">
        <f>AVERAGE(Datasheet!AG381:AG384)</f>
        <v>#DIV/0!</v>
      </c>
      <c r="AH1382" s="39" t="e">
        <f>AVERAGE(Datasheet!AH381:AH384)</f>
        <v>#DIV/0!</v>
      </c>
      <c r="AI1382" s="39" t="e">
        <f>AVERAGE(Datasheet!AI381:AI384)</f>
        <v>#DIV/0!</v>
      </c>
      <c r="AJ1382" s="39" t="e">
        <f>AVERAGE(Datasheet!AJ381:AJ384)</f>
        <v>#DIV/0!</v>
      </c>
      <c r="AK1382" s="39" t="e">
        <f>AVERAGE(Datasheet!AK381:AK384)</f>
        <v>#DIV/0!</v>
      </c>
    </row>
    <row r="1383" spans="5:37" x14ac:dyDescent="0.25">
      <c r="E1383" s="4"/>
      <c r="G1383" t="s">
        <v>1233</v>
      </c>
      <c r="H1383" t="s">
        <v>274</v>
      </c>
      <c r="Q1383" s="39">
        <f>AVERAGE(Datasheet!Q376:Q378,Datasheet!Q387)</f>
        <v>15960.75</v>
      </c>
      <c r="R1383" s="39">
        <f>AVERAGE(Datasheet!R376:R378,Datasheet!R387)</f>
        <v>15953.75</v>
      </c>
      <c r="S1383" s="39">
        <f>AVERAGE(Datasheet!S376:S378,Datasheet!S387)</f>
        <v>16323.75</v>
      </c>
      <c r="T1383" s="39">
        <f>AVERAGE(Datasheet!T376:T378,Datasheet!T387)</f>
        <v>16890.25</v>
      </c>
      <c r="U1383" s="39">
        <f>AVERAGE(Datasheet!U376:U378,Datasheet!U387)</f>
        <v>17677.5</v>
      </c>
      <c r="V1383" s="39">
        <f>AVERAGE(Datasheet!V376:V378,Datasheet!V387)</f>
        <v>18327.5</v>
      </c>
      <c r="W1383" s="39">
        <f>AVERAGE(Datasheet!W376:W378,Datasheet!W387)</f>
        <v>18979.5</v>
      </c>
      <c r="X1383" s="39">
        <f>AVERAGE(Datasheet!X376:X378,Datasheet!X387)</f>
        <v>19502</v>
      </c>
      <c r="Y1383" s="39">
        <f>AVERAGE(Datasheet!Y376:Y378,Datasheet!Y387)</f>
        <v>19761.5</v>
      </c>
      <c r="Z1383" s="39">
        <f>AVERAGE(Datasheet!Z376:Z378,Datasheet!Z387)</f>
        <v>20419.5</v>
      </c>
      <c r="AA1383" s="39">
        <f>AVERAGE(Datasheet!AA376:AA378,Datasheet!AA387)</f>
        <v>20269.5</v>
      </c>
      <c r="AB1383" s="39">
        <f>AVERAGE(Datasheet!AB376:AB378,Datasheet!AB387)</f>
        <v>20178.75</v>
      </c>
      <c r="AC1383" s="39">
        <f>AVERAGE(Datasheet!AC376:AC378,Datasheet!AC387)</f>
        <v>21694.642628330519</v>
      </c>
      <c r="AD1383" s="39" t="e">
        <f>AVERAGE(Datasheet!AD376:AD378,Datasheet!AD387)</f>
        <v>#DIV/0!</v>
      </c>
      <c r="AE1383" s="39" t="e">
        <f>AVERAGE(Datasheet!AE376:AE378,Datasheet!AE387)</f>
        <v>#DIV/0!</v>
      </c>
      <c r="AF1383" s="39" t="e">
        <f>AVERAGE(Datasheet!AF376:AF378,Datasheet!AF387)</f>
        <v>#DIV/0!</v>
      </c>
      <c r="AG1383" s="39" t="e">
        <f>AVERAGE(Datasheet!AG376:AG378,Datasheet!AG387)</f>
        <v>#DIV/0!</v>
      </c>
      <c r="AH1383" s="39" t="e">
        <f>AVERAGE(Datasheet!AH376:AH378,Datasheet!AH387)</f>
        <v>#DIV/0!</v>
      </c>
      <c r="AI1383" s="39" t="e">
        <f>AVERAGE(Datasheet!AI376:AI378,Datasheet!AI387)</f>
        <v>#DIV/0!</v>
      </c>
      <c r="AJ1383" s="39" t="e">
        <f>AVERAGE(Datasheet!AJ376:AJ378,Datasheet!AJ387)</f>
        <v>#DIV/0!</v>
      </c>
      <c r="AK1383" s="39" t="e">
        <f>AVERAGE(Datasheet!AK376:AK378,Datasheet!AK387)</f>
        <v>#DIV/0!</v>
      </c>
    </row>
    <row r="1384" spans="5:37" x14ac:dyDescent="0.25">
      <c r="E1384" s="4"/>
      <c r="G1384" t="s">
        <v>1234</v>
      </c>
      <c r="H1384" t="s">
        <v>274</v>
      </c>
      <c r="Q1384" s="39">
        <f>AVERAGE(Datasheet!Q379:Q380,Datasheet!Q385:Q386)</f>
        <v>15157.75</v>
      </c>
      <c r="R1384" s="39">
        <f>AVERAGE(Datasheet!R379:R380,Datasheet!R385:R386)</f>
        <v>15074.75</v>
      </c>
      <c r="S1384" s="39">
        <f>AVERAGE(Datasheet!S379:S380,Datasheet!S385:S386)</f>
        <v>15810.25</v>
      </c>
      <c r="T1384" s="39">
        <f>AVERAGE(Datasheet!T379:T380,Datasheet!T385:T386)</f>
        <v>16427</v>
      </c>
      <c r="U1384" s="39">
        <f>AVERAGE(Datasheet!U379:U380,Datasheet!U385:U386)</f>
        <v>16989.75</v>
      </c>
      <c r="V1384" s="39">
        <f>AVERAGE(Datasheet!V379:V380,Datasheet!V385:V386)</f>
        <v>17691</v>
      </c>
      <c r="W1384" s="39">
        <f>AVERAGE(Datasheet!W379:W380,Datasheet!W385:W386)</f>
        <v>18298.25</v>
      </c>
      <c r="X1384" s="39">
        <f>AVERAGE(Datasheet!X379:X380,Datasheet!X385:X386)</f>
        <v>18869</v>
      </c>
      <c r="Y1384" s="39">
        <f>AVERAGE(Datasheet!Y379:Y380,Datasheet!Y385:Y386)</f>
        <v>19032</v>
      </c>
      <c r="Z1384" s="39">
        <f>AVERAGE(Datasheet!Z379:Z380,Datasheet!Z385:Z386)</f>
        <v>19421.25</v>
      </c>
      <c r="AA1384" s="39">
        <f>AVERAGE(Datasheet!AA379:AA380,Datasheet!AA385:AA386)</f>
        <v>16672.5</v>
      </c>
      <c r="AB1384" s="39">
        <f>AVERAGE(Datasheet!AB379:AB380,Datasheet!AB385:AB386)</f>
        <v>19424.75</v>
      </c>
      <c r="AC1384" s="39">
        <f>AVERAGE(Datasheet!AC379:AC380,Datasheet!AC385:AC386)</f>
        <v>20613.111896875642</v>
      </c>
      <c r="AD1384" s="39" t="e">
        <f>AVERAGE(Datasheet!AD379:AD380,Datasheet!AD385:AD386)</f>
        <v>#DIV/0!</v>
      </c>
      <c r="AE1384" s="39" t="e">
        <f>AVERAGE(Datasheet!AE379:AE380,Datasheet!AE385:AE386)</f>
        <v>#DIV/0!</v>
      </c>
      <c r="AF1384" s="39" t="e">
        <f>AVERAGE(Datasheet!AF379:AF380,Datasheet!AF385:AF386)</f>
        <v>#DIV/0!</v>
      </c>
      <c r="AG1384" s="39" t="e">
        <f>AVERAGE(Datasheet!AG379:AG380,Datasheet!AG385:AG386)</f>
        <v>#DIV/0!</v>
      </c>
      <c r="AH1384" s="39" t="e">
        <f>AVERAGE(Datasheet!AH379:AH380,Datasheet!AH385:AH386)</f>
        <v>#DIV/0!</v>
      </c>
      <c r="AI1384" s="39" t="e">
        <f>AVERAGE(Datasheet!AI379:AI380,Datasheet!AI385:AI386)</f>
        <v>#DIV/0!</v>
      </c>
      <c r="AJ1384" s="39" t="e">
        <f>AVERAGE(Datasheet!AJ379:AJ380,Datasheet!AJ385:AJ386)</f>
        <v>#DIV/0!</v>
      </c>
      <c r="AK1384" s="39" t="e">
        <f>AVERAGE(Datasheet!AK379:AK380,Datasheet!AK385:AK386)</f>
        <v>#DIV/0!</v>
      </c>
    </row>
    <row r="1385" spans="5:37" x14ac:dyDescent="0.25">
      <c r="E1385" s="181"/>
      <c r="F1385" t="s">
        <v>1392</v>
      </c>
      <c r="I1385" s="126" t="s">
        <v>1393</v>
      </c>
      <c r="Q1385" s="85">
        <v>0.33</v>
      </c>
      <c r="R1385" s="85">
        <v>0.33</v>
      </c>
      <c r="S1385" s="85">
        <v>0.33</v>
      </c>
      <c r="T1385" s="85">
        <v>0.33</v>
      </c>
      <c r="U1385" s="85">
        <v>0.33</v>
      </c>
      <c r="V1385" s="85">
        <v>0.33</v>
      </c>
      <c r="W1385" s="85">
        <v>0.33</v>
      </c>
      <c r="X1385" s="85">
        <v>0.33</v>
      </c>
      <c r="Y1385" s="85">
        <v>0.33</v>
      </c>
      <c r="Z1385" s="85">
        <v>0.33</v>
      </c>
      <c r="AA1385" s="85">
        <v>0.33</v>
      </c>
      <c r="AB1385" s="85">
        <v>0.33</v>
      </c>
      <c r="AC1385" s="85">
        <v>0.33</v>
      </c>
      <c r="AD1385" s="85">
        <v>0.33</v>
      </c>
      <c r="AE1385" s="85">
        <v>0.33</v>
      </c>
      <c r="AF1385" s="85">
        <v>0.33</v>
      </c>
      <c r="AG1385" s="85">
        <v>0.33</v>
      </c>
      <c r="AH1385" s="85">
        <v>0.33</v>
      </c>
      <c r="AI1385" s="85">
        <v>0.33</v>
      </c>
      <c r="AJ1385" s="85">
        <v>0.33</v>
      </c>
      <c r="AK1385" s="85">
        <v>0.33</v>
      </c>
    </row>
    <row r="1386" spans="5:37" x14ac:dyDescent="0.25">
      <c r="E1386" s="181"/>
      <c r="F1386" t="s">
        <v>1394</v>
      </c>
      <c r="H1386" t="s">
        <v>1074</v>
      </c>
      <c r="I1386" s="126" t="s">
        <v>1395</v>
      </c>
      <c r="Q1386">
        <v>1.2</v>
      </c>
      <c r="R1386">
        <v>1.2</v>
      </c>
      <c r="S1386">
        <v>1.2</v>
      </c>
      <c r="T1386">
        <v>1.2</v>
      </c>
      <c r="U1386">
        <v>1.2</v>
      </c>
      <c r="V1386">
        <v>1.2</v>
      </c>
      <c r="W1386">
        <v>1.2</v>
      </c>
      <c r="X1386">
        <v>1.2</v>
      </c>
      <c r="Y1386">
        <v>1.2</v>
      </c>
      <c r="Z1386">
        <v>1.2</v>
      </c>
      <c r="AA1386">
        <v>1.2</v>
      </c>
      <c r="AB1386">
        <v>1.2</v>
      </c>
      <c r="AC1386">
        <v>1.2</v>
      </c>
      <c r="AD1386">
        <v>1.2</v>
      </c>
      <c r="AE1386">
        <v>1.2</v>
      </c>
      <c r="AF1386">
        <v>1.2</v>
      </c>
      <c r="AG1386">
        <v>1.2</v>
      </c>
      <c r="AH1386">
        <v>1.2</v>
      </c>
      <c r="AI1386">
        <v>1.2</v>
      </c>
      <c r="AJ1386">
        <v>1.2</v>
      </c>
      <c r="AK1386">
        <v>1.2</v>
      </c>
    </row>
    <row r="1387" spans="5:37" x14ac:dyDescent="0.25">
      <c r="E1387" s="4" t="s">
        <v>1246</v>
      </c>
    </row>
    <row r="1388" spans="5:37" x14ac:dyDescent="0.25">
      <c r="F1388" t="s">
        <v>1247</v>
      </c>
      <c r="H1388" t="s">
        <v>30</v>
      </c>
      <c r="Q1388" s="39">
        <f>R1388-Datasheet!R88</f>
        <v>3811</v>
      </c>
      <c r="R1388" s="39">
        <f>S1388-Datasheet!S88</f>
        <v>3812</v>
      </c>
      <c r="S1388" s="39">
        <f>T1388-Datasheet!T88</f>
        <v>3837</v>
      </c>
      <c r="T1388" s="39">
        <v>3837</v>
      </c>
      <c r="U1388" s="39">
        <f>T1388+Datasheet!U88</f>
        <v>3894</v>
      </c>
      <c r="V1388" s="39">
        <f>U1388+Datasheet!V88</f>
        <v>3894</v>
      </c>
      <c r="W1388" s="39">
        <f>V1388+Datasheet!W88</f>
        <v>3894</v>
      </c>
      <c r="X1388" s="39">
        <f>W1388+Datasheet!X88</f>
        <v>4025</v>
      </c>
      <c r="Y1388" s="39">
        <f>X1388+Datasheet!Y88</f>
        <v>4099</v>
      </c>
      <c r="Z1388" s="39">
        <f>Y1388+Datasheet!Z88</f>
        <v>4103</v>
      </c>
      <c r="AA1388" s="39">
        <f>Z1388+Datasheet!AA88</f>
        <v>4119</v>
      </c>
      <c r="AB1388" s="39">
        <f>AA1388+Datasheet!AB88</f>
        <v>4219</v>
      </c>
      <c r="AC1388" s="39">
        <f>AB1388+Datasheet!AC88</f>
        <v>4231</v>
      </c>
      <c r="AD1388" s="39">
        <f>AC1388+Datasheet!AD88</f>
        <v>4231</v>
      </c>
      <c r="AE1388" s="39">
        <f>AD1388+Datasheet!AE88</f>
        <v>4231</v>
      </c>
      <c r="AF1388" s="39">
        <f>AE1388+Datasheet!AF88</f>
        <v>4231</v>
      </c>
      <c r="AG1388" s="39">
        <f>AF1388+Datasheet!AG88</f>
        <v>4231</v>
      </c>
      <c r="AH1388" s="39">
        <f>AG1388+Datasheet!AH88</f>
        <v>4231</v>
      </c>
      <c r="AI1388" s="39">
        <f>AH1388+Datasheet!AI88</f>
        <v>4231</v>
      </c>
      <c r="AJ1388" s="39">
        <f>AI1388+Datasheet!AJ88</f>
        <v>4231</v>
      </c>
      <c r="AK1388" s="39">
        <f>AJ1388+Datasheet!AK88</f>
        <v>4231</v>
      </c>
    </row>
    <row r="1389" spans="5:37" x14ac:dyDescent="0.25">
      <c r="E1389" s="150"/>
      <c r="G1389" t="s">
        <v>1252</v>
      </c>
      <c r="H1389" t="s">
        <v>1396</v>
      </c>
      <c r="Q1389" s="39">
        <v>2</v>
      </c>
      <c r="R1389" s="39">
        <v>2</v>
      </c>
      <c r="S1389" s="39">
        <v>2</v>
      </c>
      <c r="T1389" s="39">
        <v>2</v>
      </c>
      <c r="U1389" s="39">
        <v>2</v>
      </c>
      <c r="V1389" s="39">
        <v>2</v>
      </c>
      <c r="W1389" s="39">
        <v>2</v>
      </c>
      <c r="X1389" s="39">
        <v>2</v>
      </c>
      <c r="Y1389" s="39">
        <v>2</v>
      </c>
      <c r="Z1389" s="39">
        <v>2</v>
      </c>
      <c r="AA1389" s="39">
        <v>2</v>
      </c>
      <c r="AB1389" s="39">
        <v>2</v>
      </c>
      <c r="AC1389" s="39">
        <v>2</v>
      </c>
      <c r="AD1389" s="39">
        <v>2</v>
      </c>
      <c r="AE1389" s="39">
        <v>2</v>
      </c>
      <c r="AF1389" s="39">
        <v>2</v>
      </c>
      <c r="AG1389" s="39">
        <v>2</v>
      </c>
      <c r="AH1389" s="39">
        <v>2</v>
      </c>
      <c r="AI1389" s="39">
        <v>2</v>
      </c>
      <c r="AJ1389" s="39">
        <v>2</v>
      </c>
      <c r="AK1389" s="39">
        <v>2</v>
      </c>
    </row>
    <row r="1390" spans="5:37" x14ac:dyDescent="0.25">
      <c r="F1390" t="s">
        <v>1249</v>
      </c>
      <c r="H1390" t="s">
        <v>30</v>
      </c>
      <c r="I1390" s="126" t="s">
        <v>1250</v>
      </c>
      <c r="Q1390" s="39">
        <f>R1390-7</f>
        <v>1563</v>
      </c>
      <c r="R1390" s="39">
        <f>S1390-8</f>
        <v>1570</v>
      </c>
      <c r="S1390" s="39">
        <f>T1390-29</f>
        <v>1578</v>
      </c>
      <c r="T1390" s="39">
        <v>1607</v>
      </c>
      <c r="U1390" s="39">
        <f>T1390+4</f>
        <v>1611</v>
      </c>
      <c r="V1390" s="39">
        <f>U1390</f>
        <v>1611</v>
      </c>
      <c r="W1390" s="39">
        <f t="shared" ref="W1390:AK1390" si="224">V1390</f>
        <v>1611</v>
      </c>
      <c r="X1390" s="39">
        <f t="shared" si="224"/>
        <v>1611</v>
      </c>
      <c r="Y1390" s="39">
        <f t="shared" si="224"/>
        <v>1611</v>
      </c>
      <c r="Z1390" s="39">
        <f t="shared" si="224"/>
        <v>1611</v>
      </c>
      <c r="AA1390" s="39">
        <f t="shared" si="224"/>
        <v>1611</v>
      </c>
      <c r="AB1390" s="39">
        <f t="shared" si="224"/>
        <v>1611</v>
      </c>
      <c r="AC1390" s="39">
        <f t="shared" si="224"/>
        <v>1611</v>
      </c>
      <c r="AD1390" s="39">
        <f t="shared" si="224"/>
        <v>1611</v>
      </c>
      <c r="AE1390" s="39">
        <f t="shared" si="224"/>
        <v>1611</v>
      </c>
      <c r="AF1390" s="39">
        <f t="shared" si="224"/>
        <v>1611</v>
      </c>
      <c r="AG1390" s="39">
        <f t="shared" si="224"/>
        <v>1611</v>
      </c>
      <c r="AH1390" s="39">
        <f t="shared" si="224"/>
        <v>1611</v>
      </c>
      <c r="AI1390" s="39">
        <f t="shared" si="224"/>
        <v>1611</v>
      </c>
      <c r="AJ1390" s="39">
        <f t="shared" si="224"/>
        <v>1611</v>
      </c>
      <c r="AK1390" s="39">
        <f t="shared" si="224"/>
        <v>1611</v>
      </c>
    </row>
    <row r="1391" spans="5:37" x14ac:dyDescent="0.25">
      <c r="E1391" s="150"/>
      <c r="G1391" t="s">
        <v>1252</v>
      </c>
      <c r="H1391" t="s">
        <v>1396</v>
      </c>
      <c r="I1391" s="126" t="s">
        <v>1397</v>
      </c>
      <c r="Q1391" s="39">
        <v>4</v>
      </c>
      <c r="R1391" s="39">
        <v>4</v>
      </c>
      <c r="S1391" s="39">
        <v>4</v>
      </c>
      <c r="T1391" s="39">
        <v>4</v>
      </c>
      <c r="U1391" s="39">
        <v>4</v>
      </c>
      <c r="V1391" s="39">
        <v>4</v>
      </c>
      <c r="W1391" s="39">
        <v>4</v>
      </c>
      <c r="X1391" s="39">
        <v>4</v>
      </c>
      <c r="Y1391" s="39">
        <v>4</v>
      </c>
      <c r="Z1391" s="39">
        <v>4</v>
      </c>
      <c r="AA1391" s="39">
        <v>4</v>
      </c>
      <c r="AB1391" s="39">
        <v>4</v>
      </c>
      <c r="AC1391" s="39">
        <v>4</v>
      </c>
      <c r="AD1391" s="39">
        <v>4</v>
      </c>
      <c r="AE1391" s="39">
        <v>4</v>
      </c>
      <c r="AF1391" s="39">
        <v>4</v>
      </c>
      <c r="AG1391" s="39">
        <v>4</v>
      </c>
      <c r="AH1391" s="39">
        <v>4</v>
      </c>
      <c r="AI1391" s="39">
        <v>4</v>
      </c>
      <c r="AJ1391" s="39">
        <v>4</v>
      </c>
      <c r="AK1391" s="39">
        <v>4</v>
      </c>
    </row>
    <row r="1392" spans="5:37" x14ac:dyDescent="0.25">
      <c r="F1392" t="s">
        <v>1251</v>
      </c>
      <c r="H1392" t="s">
        <v>30</v>
      </c>
      <c r="I1392" s="126" t="s">
        <v>1250</v>
      </c>
      <c r="Q1392" s="39">
        <f>R1392</f>
        <v>531</v>
      </c>
      <c r="R1392" s="39">
        <f>S1392</f>
        <v>531</v>
      </c>
      <c r="S1392" s="39">
        <f>T1392</f>
        <v>531</v>
      </c>
      <c r="T1392" s="39">
        <v>531</v>
      </c>
      <c r="U1392" s="39">
        <f>T1392</f>
        <v>531</v>
      </c>
      <c r="V1392">
        <f>U1392</f>
        <v>531</v>
      </c>
      <c r="W1392">
        <f t="shared" ref="W1392:AK1392" si="225">V1392</f>
        <v>531</v>
      </c>
      <c r="X1392">
        <f t="shared" si="225"/>
        <v>531</v>
      </c>
      <c r="Y1392">
        <f t="shared" si="225"/>
        <v>531</v>
      </c>
      <c r="Z1392">
        <f t="shared" si="225"/>
        <v>531</v>
      </c>
      <c r="AA1392">
        <f t="shared" si="225"/>
        <v>531</v>
      </c>
      <c r="AB1392">
        <f t="shared" si="225"/>
        <v>531</v>
      </c>
      <c r="AC1392">
        <f t="shared" si="225"/>
        <v>531</v>
      </c>
      <c r="AD1392">
        <f t="shared" si="225"/>
        <v>531</v>
      </c>
      <c r="AE1392">
        <f t="shared" si="225"/>
        <v>531</v>
      </c>
      <c r="AF1392">
        <f t="shared" si="225"/>
        <v>531</v>
      </c>
      <c r="AG1392">
        <f t="shared" si="225"/>
        <v>531</v>
      </c>
      <c r="AH1392">
        <f t="shared" si="225"/>
        <v>531</v>
      </c>
      <c r="AI1392">
        <f t="shared" si="225"/>
        <v>531</v>
      </c>
      <c r="AJ1392">
        <f t="shared" si="225"/>
        <v>531</v>
      </c>
      <c r="AK1392">
        <f t="shared" si="225"/>
        <v>531</v>
      </c>
    </row>
    <row r="1393" spans="5:38" x14ac:dyDescent="0.25">
      <c r="E1393" s="150"/>
      <c r="G1393" t="s">
        <v>1252</v>
      </c>
      <c r="H1393" t="s">
        <v>1396</v>
      </c>
      <c r="I1393" s="126" t="s">
        <v>1398</v>
      </c>
      <c r="Q1393" s="99">
        <v>2.7</v>
      </c>
      <c r="R1393" s="99">
        <v>2.7</v>
      </c>
      <c r="S1393" s="99">
        <v>2.7</v>
      </c>
      <c r="T1393" s="99">
        <v>2.7</v>
      </c>
      <c r="U1393" s="99">
        <v>2.7</v>
      </c>
      <c r="V1393" s="99">
        <v>2.7</v>
      </c>
      <c r="W1393" s="99">
        <v>2.7</v>
      </c>
      <c r="X1393" s="99">
        <v>2.7</v>
      </c>
      <c r="Y1393" s="99">
        <v>2.7</v>
      </c>
      <c r="Z1393" s="99">
        <v>2.7</v>
      </c>
      <c r="AA1393" s="99">
        <v>2.7</v>
      </c>
      <c r="AB1393" s="99">
        <v>2.7</v>
      </c>
      <c r="AC1393" s="99">
        <v>2.7</v>
      </c>
      <c r="AD1393" s="99">
        <v>2.7</v>
      </c>
      <c r="AE1393" s="99">
        <v>2.7</v>
      </c>
      <c r="AF1393" s="99">
        <v>2.7</v>
      </c>
      <c r="AG1393" s="99">
        <v>2.7</v>
      </c>
      <c r="AH1393" s="99">
        <v>2.7</v>
      </c>
      <c r="AI1393" s="99">
        <v>2.7</v>
      </c>
      <c r="AJ1393" s="99">
        <v>2.7</v>
      </c>
      <c r="AK1393" s="99">
        <v>2.7</v>
      </c>
    </row>
    <row r="1394" spans="5:38" x14ac:dyDescent="0.25">
      <c r="F1394" t="s">
        <v>1399</v>
      </c>
    </row>
    <row r="1395" spans="5:38" x14ac:dyDescent="0.25">
      <c r="G1395" t="s">
        <v>1232</v>
      </c>
      <c r="H1395" t="s">
        <v>1400</v>
      </c>
      <c r="Q1395" s="89">
        <f>AVERAGE(Datasheet!Q982:Q985)</f>
        <v>0.84050000000000002</v>
      </c>
      <c r="R1395" s="89">
        <f>AVERAGE(Datasheet!R982:R985)</f>
        <v>0.81625000000000003</v>
      </c>
      <c r="S1395" s="89">
        <f>AVERAGE(Datasheet!S982:S985)</f>
        <v>0.82499999999999996</v>
      </c>
      <c r="T1395" s="89">
        <f>AVERAGE(Datasheet!T982:T985)</f>
        <v>0.78749999999999998</v>
      </c>
      <c r="U1395" s="89">
        <f>AVERAGE(Datasheet!U982:U985)</f>
        <v>0.83250000000000002</v>
      </c>
      <c r="V1395" s="89">
        <f>AVERAGE(Datasheet!V982:V985)</f>
        <v>0.84899999999999998</v>
      </c>
      <c r="W1395" s="89">
        <f>AVERAGE(Datasheet!W982:W985)</f>
        <v>0.877</v>
      </c>
      <c r="X1395" s="89">
        <f>AVERAGE(Datasheet!X982:X985)</f>
        <v>0.85299999999999998</v>
      </c>
      <c r="Y1395" s="89">
        <f>AVERAGE(Datasheet!Y982:Y985)</f>
        <v>0.84375</v>
      </c>
      <c r="Z1395" s="89">
        <f>AVERAGE(Datasheet!Z982:Z985)</f>
        <v>0.84099999999999997</v>
      </c>
      <c r="AA1395" s="89">
        <f>AVERAGE(Datasheet!AA982:AA985)</f>
        <v>0.64599999999999991</v>
      </c>
      <c r="AB1395" s="89">
        <f>AVERAGE(Datasheet!AB982:AB985)</f>
        <v>0.90400000000000014</v>
      </c>
      <c r="AC1395" s="89">
        <f>AVERAGE(Datasheet!AC982:AC985)</f>
        <v>0.78175000000000006</v>
      </c>
      <c r="AD1395" s="89" t="e">
        <f>AVERAGE(Datasheet!AD982:AD985)</f>
        <v>#DIV/0!</v>
      </c>
      <c r="AE1395" s="89" t="e">
        <f>AVERAGE(Datasheet!AE982:AE985)</f>
        <v>#DIV/0!</v>
      </c>
      <c r="AF1395" s="89" t="e">
        <f>AVERAGE(Datasheet!AF982:AF985)</f>
        <v>#DIV/0!</v>
      </c>
      <c r="AG1395" s="89" t="e">
        <f>AVERAGE(Datasheet!AG982:AG985)</f>
        <v>#DIV/0!</v>
      </c>
      <c r="AH1395" s="89" t="e">
        <f>AVERAGE(Datasheet!AH982:AH985)</f>
        <v>#DIV/0!</v>
      </c>
      <c r="AI1395" s="89" t="e">
        <f>AVERAGE(Datasheet!AI982:AI985)</f>
        <v>#DIV/0!</v>
      </c>
      <c r="AJ1395" s="89" t="e">
        <f>AVERAGE(Datasheet!AJ982:AJ985)</f>
        <v>#DIV/0!</v>
      </c>
      <c r="AK1395" s="89" t="e">
        <f>AVERAGE(Datasheet!AK982:AK985)</f>
        <v>#DIV/0!</v>
      </c>
    </row>
    <row r="1396" spans="5:38" x14ac:dyDescent="0.25">
      <c r="G1396" t="s">
        <v>1233</v>
      </c>
      <c r="H1396" t="s">
        <v>1400</v>
      </c>
      <c r="Q1396" s="89">
        <f>AVERAGE(Datasheet!Q977:Q979,Datasheet!Q988)</f>
        <v>0.43</v>
      </c>
      <c r="R1396" s="89">
        <f>AVERAGE(Datasheet!R977:R979,Datasheet!R988)</f>
        <v>0.41799999999999998</v>
      </c>
      <c r="S1396" s="89">
        <f>AVERAGE(Datasheet!S977:S979,Datasheet!S988)</f>
        <v>0.45324999999999999</v>
      </c>
      <c r="T1396" s="89">
        <f>AVERAGE(Datasheet!T977:T979,Datasheet!T988)</f>
        <v>0.48000000000000004</v>
      </c>
      <c r="U1396" s="89">
        <f>AVERAGE(Datasheet!U977:U979,Datasheet!U988)</f>
        <v>0.54250000000000009</v>
      </c>
      <c r="V1396" s="89">
        <f>AVERAGE(Datasheet!V977:V979,Datasheet!V988)</f>
        <v>0.53775000000000006</v>
      </c>
      <c r="W1396" s="89">
        <f>AVERAGE(Datasheet!W977:W979,Datasheet!W988)</f>
        <v>0.5585</v>
      </c>
      <c r="X1396" s="89">
        <f>AVERAGE(Datasheet!X977:X979,Datasheet!X988)</f>
        <v>0.57024999999999992</v>
      </c>
      <c r="Y1396" s="89">
        <f>AVERAGE(Datasheet!Y977:Y979,Datasheet!Y988)</f>
        <v>0.57399999999999995</v>
      </c>
      <c r="Z1396" s="89">
        <f>AVERAGE(Datasheet!Z977:Z979,Datasheet!Z988)</f>
        <v>0.61424999999999996</v>
      </c>
      <c r="AA1396" s="89">
        <f>AVERAGE(Datasheet!AA977:AA979,Datasheet!AA988)</f>
        <v>0.55774999999999997</v>
      </c>
      <c r="AB1396" s="89">
        <f>AVERAGE(Datasheet!AB977:AB979,Datasheet!AB988)</f>
        <v>0.64149999999999996</v>
      </c>
      <c r="AC1396" s="89">
        <f>AVERAGE(Datasheet!AC977:AC979,Datasheet!AC988)</f>
        <v>0.65575000000000006</v>
      </c>
      <c r="AD1396" s="89" t="e">
        <f>AVERAGE(Datasheet!AD977:AD979,Datasheet!AD988)</f>
        <v>#DIV/0!</v>
      </c>
      <c r="AE1396" s="89" t="e">
        <f>AVERAGE(Datasheet!AE977:AE979,Datasheet!AE988)</f>
        <v>#DIV/0!</v>
      </c>
      <c r="AF1396" s="89" t="e">
        <f>AVERAGE(Datasheet!AF977:AF979,Datasheet!AF988)</f>
        <v>#DIV/0!</v>
      </c>
      <c r="AG1396" s="89" t="e">
        <f>AVERAGE(Datasheet!AG977:AG979,Datasheet!AG988)</f>
        <v>#DIV/0!</v>
      </c>
      <c r="AH1396" s="89" t="e">
        <f>AVERAGE(Datasheet!AH977:AH979,Datasheet!AH988)</f>
        <v>#DIV/0!</v>
      </c>
      <c r="AI1396" s="89" t="e">
        <f>AVERAGE(Datasheet!AI977:AI979,Datasheet!AI988)</f>
        <v>#DIV/0!</v>
      </c>
      <c r="AJ1396" s="89" t="e">
        <f>AVERAGE(Datasheet!AJ977:AJ979,Datasheet!AJ988)</f>
        <v>#DIV/0!</v>
      </c>
      <c r="AK1396" s="89" t="e">
        <f>AVERAGE(Datasheet!AK977:AK979,Datasheet!AK988)</f>
        <v>#DIV/0!</v>
      </c>
    </row>
    <row r="1397" spans="5:38" x14ac:dyDescent="0.25">
      <c r="G1397" t="s">
        <v>1234</v>
      </c>
      <c r="H1397" t="s">
        <v>1400</v>
      </c>
      <c r="Q1397" s="89">
        <f>AVERAGE(Datasheet!Q980:Q981,Datasheet!Q986:Q987)</f>
        <v>0.25474999999999998</v>
      </c>
      <c r="R1397" s="89">
        <f>AVERAGE(Datasheet!R980:R981,Datasheet!R986:R987)</f>
        <v>0.23599999999999999</v>
      </c>
      <c r="S1397" s="89">
        <f>AVERAGE(Datasheet!S980:S981,Datasheet!S986:S987)</f>
        <v>0.27</v>
      </c>
      <c r="T1397" s="89">
        <f>AVERAGE(Datasheet!T980:T981,Datasheet!T986:T987)</f>
        <v>0.23250000000000001</v>
      </c>
      <c r="U1397" s="89">
        <f>AVERAGE(Datasheet!U980:U981,Datasheet!U986:U987)</f>
        <v>0.27</v>
      </c>
      <c r="V1397" s="89">
        <f>AVERAGE(Datasheet!V980:V981,Datasheet!V986:V987)</f>
        <v>0.29125000000000001</v>
      </c>
      <c r="W1397" s="89">
        <f>AVERAGE(Datasheet!W980:W981,Datasheet!W986:W987)</f>
        <v>0.3125</v>
      </c>
      <c r="X1397" s="89">
        <f>AVERAGE(Datasheet!X980:X981,Datasheet!X986:X987)</f>
        <v>0.3075</v>
      </c>
      <c r="Y1397" s="89">
        <f>AVERAGE(Datasheet!Y980:Y981,Datasheet!Y986:Y987)</f>
        <v>0.31774999999999998</v>
      </c>
      <c r="Z1397" s="89">
        <f>AVERAGE(Datasheet!Z980:Z981,Datasheet!Z986:Z987)</f>
        <v>0.32050000000000001</v>
      </c>
      <c r="AA1397" s="89">
        <f>AVERAGE(Datasheet!AA980:AA981,Datasheet!AA986:AA987)</f>
        <v>0.26450000000000001</v>
      </c>
      <c r="AB1397" s="89">
        <f>AVERAGE(Datasheet!AB980:AB981,Datasheet!AB986:AB987)</f>
        <v>0.47899999999999998</v>
      </c>
      <c r="AC1397" s="89">
        <f>AVERAGE(Datasheet!AC980:AC981,Datasheet!AC986:AC987)</f>
        <v>0.36849999999999999</v>
      </c>
      <c r="AD1397" s="89" t="e">
        <f>AVERAGE(Datasheet!AD980:AD981,Datasheet!AD986:AD987)</f>
        <v>#DIV/0!</v>
      </c>
      <c r="AE1397" s="89" t="e">
        <f>AVERAGE(Datasheet!AE980:AE981,Datasheet!AE986:AE987)</f>
        <v>#DIV/0!</v>
      </c>
      <c r="AF1397" s="89" t="e">
        <f>AVERAGE(Datasheet!AF980:AF981,Datasheet!AF986:AF987)</f>
        <v>#DIV/0!</v>
      </c>
      <c r="AG1397" s="89" t="e">
        <f>AVERAGE(Datasheet!AG980:AG981,Datasheet!AG986:AG987)</f>
        <v>#DIV/0!</v>
      </c>
      <c r="AH1397" s="89" t="e">
        <f>AVERAGE(Datasheet!AH980:AH981,Datasheet!AH986:AH987)</f>
        <v>#DIV/0!</v>
      </c>
      <c r="AI1397" s="89" t="e">
        <f>AVERAGE(Datasheet!AI980:AI981,Datasheet!AI986:AI987)</f>
        <v>#DIV/0!</v>
      </c>
      <c r="AJ1397" s="89" t="e">
        <f>AVERAGE(Datasheet!AJ980:AJ981,Datasheet!AJ986:AJ987)</f>
        <v>#DIV/0!</v>
      </c>
      <c r="AK1397" s="89" t="e">
        <f>AVERAGE(Datasheet!AK980:AK981,Datasheet!AK986:AK987)</f>
        <v>#DIV/0!</v>
      </c>
    </row>
    <row r="1398" spans="5:38" x14ac:dyDescent="0.25">
      <c r="F1398" t="s">
        <v>1254</v>
      </c>
    </row>
    <row r="1399" spans="5:38" x14ac:dyDescent="0.25">
      <c r="G1399" t="s">
        <v>1232</v>
      </c>
      <c r="H1399" t="s">
        <v>1170</v>
      </c>
      <c r="Q1399" s="39">
        <f>Datasheet!Q999/Q1415</f>
        <v>248.14754098360655</v>
      </c>
      <c r="R1399" s="39">
        <f>Datasheet!R999/R1415</f>
        <v>219.98360655737704</v>
      </c>
      <c r="S1399" s="39">
        <f>Datasheet!S999/S1415</f>
        <v>282.71311475409834</v>
      </c>
      <c r="T1399" s="39">
        <f>Datasheet!T999/T1415</f>
        <v>248.57377049180329</v>
      </c>
      <c r="U1399" s="39">
        <f>Datasheet!U999/U1415</f>
        <v>143.0655737704918</v>
      </c>
      <c r="V1399" s="39">
        <f>Datasheet!V999/V1415</f>
        <v>198.54098360655738</v>
      </c>
      <c r="W1399" s="39">
        <f>Datasheet!W999/W1415</f>
        <v>222.91803278688525</v>
      </c>
      <c r="X1399" s="39">
        <f>Datasheet!X999/X1415</f>
        <v>240.31147540983608</v>
      </c>
      <c r="Y1399" s="39">
        <f>Datasheet!Y999/Y1415</f>
        <v>235.39344262295083</v>
      </c>
      <c r="Z1399" s="39">
        <f>Datasheet!Z999/Z1415</f>
        <v>227.58196721311475</v>
      </c>
      <c r="AA1399" s="39">
        <f>Datasheet!AA999/AA1415</f>
        <v>317.60655737704917</v>
      </c>
      <c r="AB1399" s="39">
        <f>Datasheet!AB999/AB1415</f>
        <v>285.59016393442624</v>
      </c>
      <c r="AC1399" s="39">
        <f>Datasheet!AC999/AC1415</f>
        <v>210.2704918032787</v>
      </c>
      <c r="AD1399" s="39">
        <f>Datasheet!AD999/AD1415</f>
        <v>0</v>
      </c>
      <c r="AE1399" s="39">
        <f>Datasheet!AE999/AE1415</f>
        <v>0</v>
      </c>
      <c r="AF1399" s="39">
        <f>Datasheet!AF999/AF1415</f>
        <v>0</v>
      </c>
      <c r="AG1399" s="39">
        <f>Datasheet!AG999/AG1415</f>
        <v>0</v>
      </c>
      <c r="AH1399" s="39">
        <f>Datasheet!AH999/AH1415</f>
        <v>0</v>
      </c>
      <c r="AI1399" s="39">
        <f>Datasheet!AI999/AI1415</f>
        <v>0</v>
      </c>
      <c r="AJ1399" s="39">
        <f>Datasheet!AJ999/AJ1415</f>
        <v>0</v>
      </c>
      <c r="AK1399" s="39">
        <f>Datasheet!AK999/AK1415</f>
        <v>0</v>
      </c>
      <c r="AL1399" s="39"/>
    </row>
    <row r="1400" spans="5:38" x14ac:dyDescent="0.25">
      <c r="G1400" t="s">
        <v>1233</v>
      </c>
      <c r="H1400" t="s">
        <v>1170</v>
      </c>
      <c r="Q1400">
        <v>0</v>
      </c>
      <c r="R1400">
        <v>0</v>
      </c>
      <c r="S1400">
        <v>0</v>
      </c>
      <c r="T1400">
        <v>0</v>
      </c>
      <c r="U1400">
        <v>0</v>
      </c>
      <c r="V1400">
        <v>0</v>
      </c>
      <c r="W1400">
        <v>0</v>
      </c>
      <c r="X1400">
        <v>0</v>
      </c>
      <c r="Y1400">
        <v>0</v>
      </c>
      <c r="Z1400">
        <v>0</v>
      </c>
      <c r="AA1400">
        <v>0</v>
      </c>
      <c r="AB1400">
        <v>0</v>
      </c>
      <c r="AC1400">
        <v>0</v>
      </c>
      <c r="AD1400">
        <v>0</v>
      </c>
      <c r="AE1400">
        <v>0</v>
      </c>
      <c r="AF1400">
        <v>0</v>
      </c>
      <c r="AG1400">
        <v>0</v>
      </c>
      <c r="AH1400">
        <v>0</v>
      </c>
      <c r="AI1400">
        <v>0</v>
      </c>
      <c r="AJ1400">
        <v>0</v>
      </c>
      <c r="AK1400">
        <v>0</v>
      </c>
    </row>
    <row r="1401" spans="5:38" x14ac:dyDescent="0.25">
      <c r="G1401" t="s">
        <v>1234</v>
      </c>
      <c r="H1401" t="s">
        <v>1170</v>
      </c>
      <c r="Q1401">
        <v>0</v>
      </c>
      <c r="R1401">
        <v>0</v>
      </c>
      <c r="S1401">
        <v>0</v>
      </c>
      <c r="T1401">
        <v>0</v>
      </c>
      <c r="U1401">
        <v>0</v>
      </c>
      <c r="V1401">
        <v>0</v>
      </c>
      <c r="W1401">
        <v>0</v>
      </c>
      <c r="X1401">
        <v>0</v>
      </c>
      <c r="Y1401">
        <v>0</v>
      </c>
      <c r="Z1401">
        <v>0</v>
      </c>
      <c r="AA1401">
        <v>0</v>
      </c>
      <c r="AB1401">
        <v>0</v>
      </c>
      <c r="AC1401">
        <v>0</v>
      </c>
      <c r="AD1401">
        <v>0</v>
      </c>
      <c r="AE1401">
        <v>0</v>
      </c>
      <c r="AF1401">
        <v>0</v>
      </c>
      <c r="AG1401">
        <v>0</v>
      </c>
      <c r="AH1401">
        <v>0</v>
      </c>
      <c r="AI1401">
        <v>0</v>
      </c>
      <c r="AJ1401">
        <v>0</v>
      </c>
      <c r="AK1401">
        <v>0</v>
      </c>
    </row>
    <row r="1402" spans="5:38" x14ac:dyDescent="0.25">
      <c r="F1402" t="s">
        <v>1255</v>
      </c>
    </row>
    <row r="1403" spans="5:38" x14ac:dyDescent="0.25">
      <c r="G1403" t="s">
        <v>1232</v>
      </c>
      <c r="H1403" t="s">
        <v>1170</v>
      </c>
      <c r="Q1403">
        <v>118</v>
      </c>
      <c r="R1403">
        <v>118</v>
      </c>
      <c r="S1403">
        <v>118</v>
      </c>
      <c r="T1403">
        <v>118</v>
      </c>
      <c r="U1403">
        <v>118</v>
      </c>
      <c r="V1403">
        <v>118</v>
      </c>
      <c r="W1403">
        <v>118</v>
      </c>
      <c r="X1403">
        <v>118</v>
      </c>
      <c r="Y1403">
        <v>118</v>
      </c>
      <c r="Z1403">
        <v>118</v>
      </c>
      <c r="AA1403">
        <v>118</v>
      </c>
      <c r="AB1403">
        <v>118</v>
      </c>
      <c r="AC1403">
        <v>118</v>
      </c>
      <c r="AD1403">
        <v>118</v>
      </c>
      <c r="AE1403">
        <v>118</v>
      </c>
      <c r="AF1403">
        <v>118</v>
      </c>
      <c r="AG1403">
        <v>118</v>
      </c>
      <c r="AH1403">
        <v>118</v>
      </c>
      <c r="AI1403">
        <v>118</v>
      </c>
      <c r="AJ1403">
        <v>118</v>
      </c>
      <c r="AK1403">
        <v>118</v>
      </c>
    </row>
    <row r="1404" spans="5:38" x14ac:dyDescent="0.25">
      <c r="G1404" t="s">
        <v>1233</v>
      </c>
      <c r="H1404" t="s">
        <v>1170</v>
      </c>
      <c r="Q1404">
        <v>0</v>
      </c>
      <c r="R1404">
        <v>0</v>
      </c>
      <c r="S1404">
        <v>0</v>
      </c>
      <c r="T1404">
        <v>0</v>
      </c>
      <c r="U1404">
        <v>0</v>
      </c>
      <c r="V1404">
        <v>0</v>
      </c>
      <c r="W1404">
        <v>0</v>
      </c>
      <c r="X1404">
        <v>0</v>
      </c>
      <c r="Y1404">
        <v>0</v>
      </c>
      <c r="Z1404">
        <v>0</v>
      </c>
      <c r="AA1404">
        <v>0</v>
      </c>
      <c r="AB1404">
        <v>0</v>
      </c>
      <c r="AC1404">
        <v>0</v>
      </c>
      <c r="AD1404">
        <v>0</v>
      </c>
      <c r="AE1404">
        <v>0</v>
      </c>
      <c r="AF1404">
        <v>0</v>
      </c>
      <c r="AG1404">
        <v>0</v>
      </c>
      <c r="AH1404">
        <v>0</v>
      </c>
      <c r="AI1404">
        <v>0</v>
      </c>
      <c r="AJ1404">
        <v>0</v>
      </c>
      <c r="AK1404">
        <v>0</v>
      </c>
    </row>
    <row r="1405" spans="5:38" x14ac:dyDescent="0.25">
      <c r="G1405" t="s">
        <v>1234</v>
      </c>
      <c r="H1405" t="s">
        <v>1170</v>
      </c>
      <c r="Q1405">
        <v>0</v>
      </c>
      <c r="R1405">
        <v>0</v>
      </c>
      <c r="S1405">
        <v>0</v>
      </c>
      <c r="T1405">
        <v>0</v>
      </c>
      <c r="U1405">
        <v>0</v>
      </c>
      <c r="V1405">
        <v>0</v>
      </c>
      <c r="W1405">
        <v>0</v>
      </c>
      <c r="X1405">
        <v>0</v>
      </c>
      <c r="Y1405">
        <v>0</v>
      </c>
      <c r="Z1405">
        <v>0</v>
      </c>
      <c r="AA1405">
        <v>0</v>
      </c>
      <c r="AB1405">
        <v>0</v>
      </c>
      <c r="AC1405">
        <v>0</v>
      </c>
      <c r="AD1405">
        <v>0</v>
      </c>
      <c r="AE1405">
        <v>0</v>
      </c>
      <c r="AF1405">
        <v>0</v>
      </c>
      <c r="AG1405">
        <v>0</v>
      </c>
      <c r="AH1405">
        <v>0</v>
      </c>
      <c r="AI1405">
        <v>0</v>
      </c>
      <c r="AJ1405">
        <v>0</v>
      </c>
      <c r="AK1405">
        <v>0</v>
      </c>
    </row>
    <row r="1406" spans="5:38" x14ac:dyDescent="0.25">
      <c r="F1406" t="s">
        <v>1256</v>
      </c>
    </row>
    <row r="1407" spans="5:38" x14ac:dyDescent="0.25">
      <c r="G1407" t="s">
        <v>1232</v>
      </c>
      <c r="H1407" t="s">
        <v>1170</v>
      </c>
      <c r="Q1407" s="39">
        <f>SUM(Datasheet!Q1054:Q1057)/Q1415</f>
        <v>4061.8606557377047</v>
      </c>
      <c r="R1407" s="39">
        <f>SUM(Datasheet!R1054:R1057)/R1415</f>
        <v>3773.1475409836066</v>
      </c>
      <c r="S1407" s="39">
        <f>SUM(Datasheet!S1054:S1057)/S1415</f>
        <v>3848.0737704918033</v>
      </c>
      <c r="T1407" s="39">
        <f>SUM(Datasheet!T1054:T1057)/T1415</f>
        <v>4134.122950819672</v>
      </c>
      <c r="U1407" s="39">
        <f>SUM(Datasheet!U1054:U1057)/U1415</f>
        <v>4122.3606557377052</v>
      </c>
      <c r="V1407" s="39">
        <f>SUM(Datasheet!V1054:V1057)/V1415</f>
        <v>4875.6639344262294</v>
      </c>
      <c r="W1407" s="39">
        <f>SUM(Datasheet!W1054:W1057)/W1415</f>
        <v>3990.2459016393441</v>
      </c>
      <c r="X1407" s="39">
        <f>SUM(Datasheet!X1054:X1057)/X1415</f>
        <v>4925.5409836065573</v>
      </c>
      <c r="Y1407" s="39">
        <f>SUM(Datasheet!Y1054:Y1057)/Y1415</f>
        <v>3316.2704918032787</v>
      </c>
      <c r="Z1407" s="39">
        <f>SUM(Datasheet!Z1054:Z1057)/Z1415</f>
        <v>4267.3524590163934</v>
      </c>
      <c r="AA1407" s="39">
        <f>SUM(Datasheet!AA1054:AA1057)/AA1415</f>
        <v>3215.0983606557379</v>
      </c>
      <c r="AB1407" s="39">
        <f>SUM(Datasheet!AB1054:AB1057)/AB1415</f>
        <v>4678.2459016393441</v>
      </c>
      <c r="AC1407" s="39">
        <f>SUM(Datasheet!AC1054:AC1057)/AC1415</f>
        <v>4424.0409836065573</v>
      </c>
      <c r="AD1407" s="39">
        <f>SUM(Datasheet!AD1054:AD1057)/AD1415</f>
        <v>0</v>
      </c>
      <c r="AE1407" s="39">
        <f>SUM(Datasheet!AE1054:AE1057)/AE1415</f>
        <v>0</v>
      </c>
      <c r="AF1407" s="39">
        <f>SUM(Datasheet!AF1054:AF1057)/AF1415</f>
        <v>0</v>
      </c>
      <c r="AG1407" s="39">
        <f>SUM(Datasheet!AG1054:AG1057)/AG1415</f>
        <v>0</v>
      </c>
      <c r="AH1407" s="39">
        <f>SUM(Datasheet!AH1054:AH1057)/AH1415</f>
        <v>0</v>
      </c>
      <c r="AI1407" s="39">
        <f>SUM(Datasheet!AI1054:AI1057)/AI1415</f>
        <v>0</v>
      </c>
      <c r="AJ1407" s="39">
        <f>SUM(Datasheet!AJ1054:AJ1057)/AJ1415</f>
        <v>0</v>
      </c>
      <c r="AK1407" s="39">
        <f>SUM(Datasheet!AK1054:AK1057)/AK1415</f>
        <v>0</v>
      </c>
    </row>
    <row r="1408" spans="5:38" x14ac:dyDescent="0.25">
      <c r="G1408" t="s">
        <v>1233</v>
      </c>
      <c r="H1408" t="s">
        <v>1170</v>
      </c>
      <c r="Q1408" s="39">
        <f>SUM(Datasheet!Q1049:Q1051,Datasheet!Q1060)/Q1416</f>
        <v>10.429752066115702</v>
      </c>
      <c r="R1408" s="39">
        <f>SUM(Datasheet!R1049:R1051,Datasheet!R1060)/R1416</f>
        <v>6.3966942148760326</v>
      </c>
      <c r="S1408" s="39">
        <f>SUM(Datasheet!S1049:S1051,Datasheet!S1060)/S1416</f>
        <v>8.7024793388429753</v>
      </c>
      <c r="T1408" s="39">
        <f>SUM(Datasheet!T1049:T1051,Datasheet!T1060)/T1416</f>
        <v>11.454545454545455</v>
      </c>
      <c r="U1408" s="39">
        <f>SUM(Datasheet!U1049:U1051,Datasheet!U1060)/U1416</f>
        <v>7.2479338842975203</v>
      </c>
      <c r="V1408" s="39">
        <f>SUM(Datasheet!V1049:V1051,Datasheet!V1060)/V1416</f>
        <v>7.7685950413223139</v>
      </c>
      <c r="W1408" s="39">
        <f>SUM(Datasheet!W1049:W1051,Datasheet!W1060)/W1416</f>
        <v>3.8760330578512399</v>
      </c>
      <c r="X1408" s="39">
        <f>SUM(Datasheet!X1049:X1051,Datasheet!X1060)/X1416</f>
        <v>7.9669421487603307</v>
      </c>
      <c r="Y1408" s="39">
        <f>SUM(Datasheet!Y1049:Y1051,Datasheet!Y1060)/Y1416</f>
        <v>9.776859504132231</v>
      </c>
      <c r="Z1408" s="39">
        <f>SUM(Datasheet!Z1049:Z1051,Datasheet!Z1060)/Z1416</f>
        <v>5.6198347107438016</v>
      </c>
      <c r="AA1408" s="39">
        <f>SUM(Datasheet!AA1049:AA1051,Datasheet!AA1060)/AA1416</f>
        <v>2.165289256198347</v>
      </c>
      <c r="AB1408" s="39">
        <f>SUM(Datasheet!AB1049:AB1051,Datasheet!AB1060)/AB1416</f>
        <v>3.2975206611570247</v>
      </c>
      <c r="AC1408" s="39">
        <f>SUM(Datasheet!AC1049:AC1051,Datasheet!AC1060)/AC1416</f>
        <v>7.1735537190082646</v>
      </c>
      <c r="AD1408" s="39">
        <f>SUM(Datasheet!AD1049:AD1051,Datasheet!AD1060)/AD1416</f>
        <v>0</v>
      </c>
      <c r="AE1408" s="39">
        <f>SUM(Datasheet!AE1049:AE1051,Datasheet!AE1060)/AE1416</f>
        <v>0</v>
      </c>
      <c r="AF1408" s="39">
        <f>SUM(Datasheet!AF1049:AF1051,Datasheet!AF1060)/AF1416</f>
        <v>0</v>
      </c>
      <c r="AG1408" s="39">
        <f>SUM(Datasheet!AG1049:AG1051,Datasheet!AG1060)/AG1416</f>
        <v>0</v>
      </c>
      <c r="AH1408" s="39">
        <f>SUM(Datasheet!AH1049:AH1051,Datasheet!AH1060)/AH1416</f>
        <v>0</v>
      </c>
      <c r="AI1408" s="39">
        <f>SUM(Datasheet!AI1049:AI1051,Datasheet!AI1060)/AI1416</f>
        <v>0</v>
      </c>
      <c r="AJ1408" s="39">
        <f>SUM(Datasheet!AJ1049:AJ1051,Datasheet!AJ1060)/AJ1416</f>
        <v>0</v>
      </c>
      <c r="AK1408" s="39">
        <f>SUM(Datasheet!AK1049:AK1051,Datasheet!AK1060)/AK1416</f>
        <v>0</v>
      </c>
    </row>
    <row r="1409" spans="1:37" x14ac:dyDescent="0.25">
      <c r="G1409" t="s">
        <v>1234</v>
      </c>
      <c r="H1409" t="s">
        <v>1170</v>
      </c>
      <c r="Q1409" s="39">
        <f>SUM(Datasheet!Q1052:Q1053,Datasheet!Q1058:Q1059)/Q1417</f>
        <v>170.99180327868854</v>
      </c>
      <c r="R1409" s="39">
        <f>SUM(Datasheet!R1052:R1053,Datasheet!R1058:R1059)/R1417</f>
        <v>183.35245901639345</v>
      </c>
      <c r="S1409" s="39">
        <f>SUM(Datasheet!S1052:S1053,Datasheet!S1058:S1059)/S1417</f>
        <v>204.72131147540983</v>
      </c>
      <c r="T1409" s="39">
        <f>SUM(Datasheet!T1052:T1053,Datasheet!T1058:T1059)/T1417</f>
        <v>163.54918032786884</v>
      </c>
      <c r="U1409" s="39">
        <f>SUM(Datasheet!U1052:U1053,Datasheet!U1058:U1059)/U1417</f>
        <v>378.1639344262295</v>
      </c>
      <c r="V1409" s="39">
        <f>SUM(Datasheet!V1052:V1053,Datasheet!V1058:V1059)/V1417</f>
        <v>290.72950819672133</v>
      </c>
      <c r="W1409" s="39">
        <f>SUM(Datasheet!W1052:W1053,Datasheet!W1058:W1059)/W1417</f>
        <v>357.10655737704917</v>
      </c>
      <c r="X1409" s="39">
        <f>SUM(Datasheet!X1052:X1053,Datasheet!X1058:X1059)/X1417</f>
        <v>324.80327868852459</v>
      </c>
      <c r="Y1409" s="39">
        <f>SUM(Datasheet!Y1052:Y1053,Datasheet!Y1058:Y1059)/Y1417</f>
        <v>332.22131147540983</v>
      </c>
      <c r="Z1409" s="39">
        <f>SUM(Datasheet!Z1052:Z1053,Datasheet!Z1058:Z1059)/Z1417</f>
        <v>344.9590163934426</v>
      </c>
      <c r="AA1409" s="39">
        <f>SUM(Datasheet!AA1052:AA1053,Datasheet!AA1058:AA1059)/AA1417</f>
        <v>132.0655737704918</v>
      </c>
      <c r="AB1409" s="39">
        <f>SUM(Datasheet!AB1052:AB1053,Datasheet!AB1058:AB1059)/AB1417</f>
        <v>517.04098360655735</v>
      </c>
      <c r="AC1409" s="39">
        <f>SUM(Datasheet!AC1052:AC1053,Datasheet!AC1058:AC1059)/AC1417</f>
        <v>809.22950819672133</v>
      </c>
      <c r="AD1409" s="39">
        <f>SUM(Datasheet!AD1052:AD1053,Datasheet!AD1058:AD1059)/AD1417</f>
        <v>0</v>
      </c>
      <c r="AE1409" s="39">
        <f>SUM(Datasheet!AE1052:AE1053,Datasheet!AE1058:AE1059)/AE1417</f>
        <v>0</v>
      </c>
      <c r="AF1409" s="39">
        <f>SUM(Datasheet!AF1052:AF1053,Datasheet!AF1058:AF1059)/AF1417</f>
        <v>0</v>
      </c>
      <c r="AG1409" s="39">
        <f>SUM(Datasheet!AG1052:AG1053,Datasheet!AG1058:AG1059)/AG1417</f>
        <v>0</v>
      </c>
      <c r="AH1409" s="39">
        <f>SUM(Datasheet!AH1052:AH1053,Datasheet!AH1058:AH1059)/AH1417</f>
        <v>0</v>
      </c>
      <c r="AI1409" s="39">
        <f>SUM(Datasheet!AI1052:AI1053,Datasheet!AI1058:AI1059)/AI1417</f>
        <v>0</v>
      </c>
      <c r="AJ1409" s="39">
        <f>SUM(Datasheet!AJ1052:AJ1053,Datasheet!AJ1058:AJ1059)/AJ1417</f>
        <v>0</v>
      </c>
      <c r="AK1409" s="39">
        <f>SUM(Datasheet!AK1052:AK1053,Datasheet!AK1058:AK1059)/AK1417</f>
        <v>0</v>
      </c>
    </row>
    <row r="1410" spans="1:37" x14ac:dyDescent="0.25">
      <c r="F1410" t="s">
        <v>1257</v>
      </c>
    </row>
    <row r="1411" spans="1:37" x14ac:dyDescent="0.25">
      <c r="G1411" t="s">
        <v>1232</v>
      </c>
      <c r="H1411" t="s">
        <v>1170</v>
      </c>
      <c r="Q1411" s="101">
        <f>484582/Q1415</f>
        <v>3971.9836065573772</v>
      </c>
      <c r="R1411" s="101">
        <f>481349/R1415</f>
        <v>3945.4836065573772</v>
      </c>
      <c r="S1411" s="101">
        <f>494511/S1415</f>
        <v>4053.3688524590166</v>
      </c>
      <c r="T1411" s="101">
        <f>507475/T1415</f>
        <v>4159.6311475409839</v>
      </c>
      <c r="U1411" s="101">
        <f>500904/U1415</f>
        <v>4105.7704918032787</v>
      </c>
      <c r="V1411" s="39">
        <f>SUM(Datasheet!V1076:V1079)/V1415</f>
        <v>4349.2540983606559</v>
      </c>
      <c r="W1411" s="39">
        <f>SUM(Datasheet!W1076:W1079)/W1415</f>
        <v>4501.311475409836</v>
      </c>
      <c r="X1411" s="39">
        <f>SUM(Datasheet!X1076:X1079)/X1415</f>
        <v>4684.0737704918029</v>
      </c>
      <c r="Y1411" s="39">
        <f>SUM(Datasheet!Y1076:Y1079)/Y1415</f>
        <v>4832.0245901639346</v>
      </c>
      <c r="Z1411" s="39">
        <f>SUM(Datasheet!Z1076:Z1079)/Z1415</f>
        <v>3923.9180327868853</v>
      </c>
      <c r="AA1411" s="39">
        <f>SUM(Datasheet!AA1076:AA1079)/AA1415</f>
        <v>1817.9754098360656</v>
      </c>
      <c r="AB1411" s="39">
        <f>SUM(Datasheet!AB1076:AB1079)/AB1415</f>
        <v>3847.311475409836</v>
      </c>
      <c r="AC1411" s="39">
        <f>SUM(Datasheet!AC1076:AC1079)/AC1415</f>
        <v>4442.6967213114758</v>
      </c>
      <c r="AD1411" s="39">
        <f>SUM(Datasheet!AD1076:AD1079)/AD1415</f>
        <v>0</v>
      </c>
      <c r="AE1411" s="39">
        <f>SUM(Datasheet!AE1076:AE1079)/AE1415</f>
        <v>0</v>
      </c>
      <c r="AF1411" s="39">
        <f>SUM(Datasheet!AF1076:AF1079)/AF1415</f>
        <v>0</v>
      </c>
      <c r="AG1411" s="39">
        <f>SUM(Datasheet!AG1076:AG1079)/AG1415</f>
        <v>0</v>
      </c>
      <c r="AH1411" s="39">
        <f>SUM(Datasheet!AH1076:AH1079)/AH1415</f>
        <v>0</v>
      </c>
      <c r="AI1411" s="39">
        <f>SUM(Datasheet!AI1076:AI1079)/AI1415</f>
        <v>0</v>
      </c>
      <c r="AJ1411" s="39">
        <f>SUM(Datasheet!AJ1076:AJ1079)/AJ1415</f>
        <v>0</v>
      </c>
      <c r="AK1411" s="39">
        <f>SUM(Datasheet!AK1076:AK1079)/AK1415</f>
        <v>0</v>
      </c>
    </row>
    <row r="1412" spans="1:37" x14ac:dyDescent="0.25">
      <c r="G1412" t="s">
        <v>1233</v>
      </c>
      <c r="H1412" t="s">
        <v>1170</v>
      </c>
      <c r="Q1412" s="101">
        <f>9326/Q1416</f>
        <v>77.074380165289256</v>
      </c>
      <c r="R1412" s="101">
        <f>8965/R1416</f>
        <v>74.090909090909093</v>
      </c>
      <c r="S1412" s="101">
        <f>15163/S1416</f>
        <v>125.31404958677686</v>
      </c>
      <c r="T1412" s="101">
        <f>15660/T1416</f>
        <v>129.42148760330579</v>
      </c>
      <c r="U1412" s="101">
        <f>17564/U1416</f>
        <v>145.15702479338842</v>
      </c>
      <c r="V1412" s="39">
        <f>SUM(Datasheet!V1071:V1073,Datasheet!V1082)/V1416</f>
        <v>122.09090909090909</v>
      </c>
      <c r="W1412" s="39">
        <f>SUM(Datasheet!W1071:W1073,Datasheet!W1082)/W1416</f>
        <v>123.11570247933884</v>
      </c>
      <c r="X1412" s="39">
        <f>SUM(Datasheet!X1071:X1073,Datasheet!X1082)/X1416</f>
        <v>130</v>
      </c>
      <c r="Y1412" s="39">
        <f>SUM(Datasheet!Y1071:Y1073,Datasheet!Y1082)/Y1416</f>
        <v>134.57851239669421</v>
      </c>
      <c r="Z1412" s="39">
        <f>SUM(Datasheet!Z1071:Z1073,Datasheet!Z1082)/Z1416</f>
        <v>121</v>
      </c>
      <c r="AA1412" s="39">
        <f>SUM(Datasheet!AA1071:AA1073,Datasheet!AA1082)/AA1416</f>
        <v>106.09090909090909</v>
      </c>
      <c r="AB1412" s="39">
        <f>SUM(Datasheet!AB1071:AB1073,Datasheet!AB1082)/AB1416</f>
        <v>44.504132231404959</v>
      </c>
      <c r="AC1412" s="39">
        <f>SUM(Datasheet!AC1071:AC1073,Datasheet!AC1082)/AC1416</f>
        <v>124.90909090909091</v>
      </c>
      <c r="AD1412" s="39">
        <f>SUM(Datasheet!AD1071:AD1073,Datasheet!AD1082)/AD1416</f>
        <v>0</v>
      </c>
      <c r="AE1412" s="39">
        <f>SUM(Datasheet!AE1071:AE1073,Datasheet!AE1082)/AE1416</f>
        <v>0</v>
      </c>
      <c r="AF1412" s="39">
        <f>SUM(Datasheet!AF1071:AF1073,Datasheet!AF1082)/AF1416</f>
        <v>0</v>
      </c>
      <c r="AG1412" s="39">
        <f>SUM(Datasheet!AG1071:AG1073,Datasheet!AG1082)/AG1416</f>
        <v>0</v>
      </c>
      <c r="AH1412" s="39">
        <f>SUM(Datasheet!AH1071:AH1073,Datasheet!AH1082)/AH1416</f>
        <v>0</v>
      </c>
      <c r="AI1412" s="39">
        <f>SUM(Datasheet!AI1071:AI1073,Datasheet!AI1082)/AI1416</f>
        <v>0</v>
      </c>
      <c r="AJ1412" s="39">
        <f>SUM(Datasheet!AJ1071:AJ1073,Datasheet!AJ1082)/AJ1416</f>
        <v>0</v>
      </c>
      <c r="AK1412" s="39">
        <f>SUM(Datasheet!AK1071:AK1073,Datasheet!AK1082)/AK1416</f>
        <v>0</v>
      </c>
    </row>
    <row r="1413" spans="1:37" x14ac:dyDescent="0.25">
      <c r="G1413" t="s">
        <v>1234</v>
      </c>
      <c r="H1413" t="s">
        <v>1170</v>
      </c>
      <c r="Q1413" s="101">
        <f>41677/Q1417</f>
        <v>341.61475409836066</v>
      </c>
      <c r="R1413" s="101">
        <f>35356/R1417</f>
        <v>289.80327868852459</v>
      </c>
      <c r="S1413" s="101">
        <f>36850/S1417</f>
        <v>302.04918032786884</v>
      </c>
      <c r="T1413" s="101">
        <f>28832/T1417</f>
        <v>236.32786885245901</v>
      </c>
      <c r="U1413" s="101">
        <f>43242/U1417</f>
        <v>354.44262295081967</v>
      </c>
      <c r="V1413" s="39">
        <f>SUM(Datasheet!V1074:V1075,Datasheet!V1080:V1081)/V1417</f>
        <v>423.18852459016392</v>
      </c>
      <c r="W1413" s="39">
        <f>SUM(Datasheet!W1074:W1075,Datasheet!W1080:W1081)/W1417</f>
        <v>394.5409836065574</v>
      </c>
      <c r="X1413" s="39">
        <f>SUM(Datasheet!X1074:X1075,Datasheet!X1080:X1081)/X1417</f>
        <v>443.8360655737705</v>
      </c>
      <c r="Y1413" s="39">
        <f>SUM(Datasheet!Y1074:Y1075,Datasheet!Y1080:Y1081)/Y1417</f>
        <v>295.79508196721309</v>
      </c>
      <c r="Z1413" s="39">
        <f>SUM(Datasheet!Z1074:Z1075,Datasheet!Z1080:Z1081)/Z1417</f>
        <v>360.20491803278691</v>
      </c>
      <c r="AA1413" s="39">
        <f>SUM(Datasheet!AA1074:AA1075,Datasheet!AA1080:AA1081)/AA1417</f>
        <v>79.172131147540981</v>
      </c>
      <c r="AB1413" s="39">
        <f>SUM(Datasheet!AB1074:AB1075,Datasheet!AB1080:AB1081)/AB1417</f>
        <v>225.24590163934425</v>
      </c>
      <c r="AC1413" s="39">
        <f>SUM(Datasheet!AC1074:AC1075,Datasheet!AC1080:AC1081)/AC1417</f>
        <v>377.81967213114751</v>
      </c>
      <c r="AD1413" s="39">
        <f>SUM(Datasheet!AD1074:AD1075,Datasheet!AD1080:AD1081)/AD1417</f>
        <v>0</v>
      </c>
      <c r="AE1413" s="39">
        <f>SUM(Datasheet!AE1074:AE1075,Datasheet!AE1080:AE1081)/AE1417</f>
        <v>0</v>
      </c>
      <c r="AF1413" s="39">
        <f>SUM(Datasheet!AF1074:AF1075,Datasheet!AF1080:AF1081)/AF1417</f>
        <v>0</v>
      </c>
      <c r="AG1413" s="39">
        <f>SUM(Datasheet!AG1074:AG1075,Datasheet!AG1080:AG1081)/AG1417</f>
        <v>0</v>
      </c>
      <c r="AH1413" s="39">
        <f>SUM(Datasheet!AH1074:AH1075,Datasheet!AH1080:AH1081)/AH1417</f>
        <v>0</v>
      </c>
      <c r="AI1413" s="39">
        <f>SUM(Datasheet!AI1074:AI1075,Datasheet!AI1080:AI1081)/AI1417</f>
        <v>0</v>
      </c>
      <c r="AJ1413" s="39">
        <f>SUM(Datasheet!AJ1074:AJ1075,Datasheet!AJ1080:AJ1081)/AJ1417</f>
        <v>0</v>
      </c>
      <c r="AK1413" s="39">
        <f>SUM(Datasheet!AK1074:AK1075,Datasheet!AK1080:AK1081)/AK1417</f>
        <v>0</v>
      </c>
    </row>
    <row r="1414" spans="1:37" x14ac:dyDescent="0.25">
      <c r="F1414" t="s">
        <v>1258</v>
      </c>
    </row>
    <row r="1415" spans="1:37" x14ac:dyDescent="0.25">
      <c r="E1415" s="150"/>
      <c r="G1415" t="s">
        <v>1232</v>
      </c>
      <c r="H1415" t="s">
        <v>1259</v>
      </c>
      <c r="Q1415">
        <v>122</v>
      </c>
      <c r="R1415">
        <v>122</v>
      </c>
      <c r="S1415">
        <v>122</v>
      </c>
      <c r="T1415">
        <v>122</v>
      </c>
      <c r="U1415">
        <v>122</v>
      </c>
      <c r="V1415">
        <v>122</v>
      </c>
      <c r="W1415">
        <v>122</v>
      </c>
      <c r="X1415">
        <v>122</v>
      </c>
      <c r="Y1415">
        <v>122</v>
      </c>
      <c r="Z1415">
        <v>122</v>
      </c>
      <c r="AA1415">
        <v>122</v>
      </c>
      <c r="AB1415">
        <v>122</v>
      </c>
      <c r="AC1415">
        <v>122</v>
      </c>
      <c r="AD1415">
        <v>122</v>
      </c>
      <c r="AE1415">
        <v>122</v>
      </c>
      <c r="AF1415">
        <v>122</v>
      </c>
      <c r="AG1415">
        <v>122</v>
      </c>
      <c r="AH1415">
        <v>122</v>
      </c>
      <c r="AI1415">
        <v>122</v>
      </c>
      <c r="AJ1415">
        <v>122</v>
      </c>
      <c r="AK1415">
        <v>122</v>
      </c>
    </row>
    <row r="1416" spans="1:37" x14ac:dyDescent="0.25">
      <c r="E1416" s="150"/>
      <c r="G1416" t="s">
        <v>1233</v>
      </c>
      <c r="H1416" t="s">
        <v>1259</v>
      </c>
      <c r="Q1416">
        <v>121</v>
      </c>
      <c r="R1416">
        <v>121</v>
      </c>
      <c r="S1416">
        <v>121</v>
      </c>
      <c r="T1416">
        <v>121</v>
      </c>
      <c r="U1416">
        <v>121</v>
      </c>
      <c r="V1416">
        <v>121</v>
      </c>
      <c r="W1416">
        <v>121</v>
      </c>
      <c r="X1416">
        <v>121</v>
      </c>
      <c r="Y1416">
        <v>121</v>
      </c>
      <c r="Z1416">
        <v>121</v>
      </c>
      <c r="AA1416">
        <v>121</v>
      </c>
      <c r="AB1416">
        <v>121</v>
      </c>
      <c r="AC1416">
        <v>121</v>
      </c>
      <c r="AD1416">
        <v>121</v>
      </c>
      <c r="AE1416">
        <v>121</v>
      </c>
      <c r="AF1416">
        <v>121</v>
      </c>
      <c r="AG1416">
        <v>121</v>
      </c>
      <c r="AH1416">
        <v>121</v>
      </c>
      <c r="AI1416">
        <v>121</v>
      </c>
      <c r="AJ1416">
        <v>121</v>
      </c>
      <c r="AK1416">
        <v>121</v>
      </c>
    </row>
    <row r="1417" spans="1:37" x14ac:dyDescent="0.25">
      <c r="E1417" s="150"/>
      <c r="G1417" t="s">
        <v>1234</v>
      </c>
      <c r="H1417" t="s">
        <v>1259</v>
      </c>
      <c r="Q1417">
        <v>122</v>
      </c>
      <c r="R1417">
        <v>122</v>
      </c>
      <c r="S1417">
        <v>122</v>
      </c>
      <c r="T1417">
        <v>122</v>
      </c>
      <c r="U1417">
        <v>122</v>
      </c>
      <c r="V1417">
        <v>122</v>
      </c>
      <c r="W1417">
        <v>122</v>
      </c>
      <c r="X1417">
        <v>122</v>
      </c>
      <c r="Y1417">
        <v>122</v>
      </c>
      <c r="Z1417">
        <v>122</v>
      </c>
      <c r="AA1417">
        <v>122</v>
      </c>
      <c r="AB1417">
        <v>122</v>
      </c>
      <c r="AC1417">
        <v>122</v>
      </c>
      <c r="AD1417">
        <v>122</v>
      </c>
      <c r="AE1417">
        <v>122</v>
      </c>
      <c r="AF1417">
        <v>122</v>
      </c>
      <c r="AG1417">
        <v>122</v>
      </c>
      <c r="AH1417">
        <v>122</v>
      </c>
      <c r="AI1417">
        <v>122</v>
      </c>
      <c r="AJ1417">
        <v>122</v>
      </c>
      <c r="AK1417">
        <v>122</v>
      </c>
    </row>
    <row r="1418" spans="1:37" s="183" customFormat="1" x14ac:dyDescent="0.25">
      <c r="B1418" s="184"/>
      <c r="I1418" s="185"/>
      <c r="J1418" s="185"/>
      <c r="K1418" s="185"/>
      <c r="L1418" s="185"/>
      <c r="M1418" s="185"/>
      <c r="N1418" s="185"/>
      <c r="O1418" s="186"/>
      <c r="P1418" s="186"/>
      <c r="Q1418" s="186"/>
      <c r="R1418" s="186"/>
      <c r="S1418" s="186"/>
      <c r="T1418" s="186"/>
      <c r="U1418" s="186"/>
      <c r="V1418" s="186"/>
      <c r="W1418" s="186"/>
      <c r="X1418" s="186"/>
      <c r="Y1418" s="186"/>
      <c r="Z1418" s="186"/>
      <c r="AA1418" s="186"/>
      <c r="AB1418" s="186"/>
      <c r="AC1418" s="186"/>
      <c r="AD1418" s="186"/>
      <c r="AE1418" s="186"/>
      <c r="AF1418" s="186"/>
      <c r="AG1418" s="186"/>
      <c r="AH1418" s="186"/>
      <c r="AI1418" s="186"/>
      <c r="AJ1418" s="186"/>
      <c r="AK1418" s="186"/>
    </row>
    <row r="1419" spans="1:37" s="87" customFormat="1" ht="17.25" x14ac:dyDescent="0.3">
      <c r="A1419" s="86" t="s">
        <v>1401</v>
      </c>
    </row>
    <row r="1420" spans="1:37" x14ac:dyDescent="0.25">
      <c r="B1420" s="29" t="s">
        <v>877</v>
      </c>
      <c r="C1420" t="s">
        <v>1345</v>
      </c>
    </row>
    <row r="1421" spans="1:37" x14ac:dyDescent="0.25">
      <c r="B1421" s="29"/>
      <c r="C1421" t="s">
        <v>1402</v>
      </c>
    </row>
    <row r="1422" spans="1:37" x14ac:dyDescent="0.25">
      <c r="B1422" s="29" t="s">
        <v>881</v>
      </c>
      <c r="C1422" t="s">
        <v>1403</v>
      </c>
    </row>
    <row r="1423" spans="1:37" x14ac:dyDescent="0.25">
      <c r="B1423" s="29" t="s">
        <v>883</v>
      </c>
      <c r="C1423" s="263" t="s">
        <v>100</v>
      </c>
    </row>
    <row r="1424" spans="1:37" x14ac:dyDescent="0.25">
      <c r="B1424" s="29"/>
      <c r="C1424" s="263" t="s">
        <v>256</v>
      </c>
    </row>
    <row r="1425" spans="2:3" x14ac:dyDescent="0.25">
      <c r="B1425" s="29" t="s">
        <v>885</v>
      </c>
      <c r="C1425" t="s">
        <v>1404</v>
      </c>
    </row>
    <row r="1426" spans="2:3" x14ac:dyDescent="0.25">
      <c r="B1426" s="29"/>
      <c r="C1426" t="s">
        <v>1405</v>
      </c>
    </row>
    <row r="1427" spans="2:3" x14ac:dyDescent="0.25">
      <c r="B1427" s="29"/>
      <c r="C1427" t="s">
        <v>1406</v>
      </c>
    </row>
    <row r="1428" spans="2:3" x14ac:dyDescent="0.25">
      <c r="B1428" s="29" t="s">
        <v>886</v>
      </c>
      <c r="C1428" t="s">
        <v>1407</v>
      </c>
    </row>
    <row r="1429" spans="2:3" x14ac:dyDescent="0.25">
      <c r="B1429" s="29"/>
      <c r="C1429" t="s">
        <v>1408</v>
      </c>
    </row>
    <row r="1430" spans="2:3" x14ac:dyDescent="0.25">
      <c r="B1430" s="29"/>
      <c r="C1430" t="s">
        <v>1409</v>
      </c>
    </row>
    <row r="1431" spans="2:3" x14ac:dyDescent="0.25">
      <c r="B1431" s="29" t="s">
        <v>887</v>
      </c>
      <c r="C1431" t="s">
        <v>1410</v>
      </c>
    </row>
    <row r="1432" spans="2:3" x14ac:dyDescent="0.25">
      <c r="B1432" s="29"/>
      <c r="C1432" t="s">
        <v>1411</v>
      </c>
    </row>
    <row r="1433" spans="2:3" x14ac:dyDescent="0.25">
      <c r="B1433" s="29" t="s">
        <v>19</v>
      </c>
      <c r="C1433" t="s">
        <v>1412</v>
      </c>
    </row>
    <row r="1434" spans="2:3" x14ac:dyDescent="0.25">
      <c r="B1434" s="29"/>
      <c r="C1434" t="s">
        <v>1413</v>
      </c>
    </row>
    <row r="1435" spans="2:3" s="88" customFormat="1" ht="15.75" thickBot="1" x14ac:dyDescent="0.3">
      <c r="C1435" s="88" t="s">
        <v>1414</v>
      </c>
    </row>
    <row r="1436" spans="2:3" ht="15.75" thickTop="1" x14ac:dyDescent="0.25"/>
    <row r="1451" spans="2:37" s="4" customFormat="1" x14ac:dyDescent="0.25">
      <c r="B1451" s="44" t="s">
        <v>21</v>
      </c>
      <c r="C1451" s="4" t="s">
        <v>1415</v>
      </c>
      <c r="H1451" s="4" t="s">
        <v>274</v>
      </c>
      <c r="I1451" s="69">
        <f>Datasheet!I244</f>
        <v>23136</v>
      </c>
      <c r="J1451" s="69">
        <f>Datasheet!J244</f>
        <v>23137</v>
      </c>
      <c r="K1451" s="69">
        <f>Datasheet!K244</f>
        <v>23668</v>
      </c>
      <c r="L1451" s="69">
        <f>Datasheet!L244</f>
        <v>24464</v>
      </c>
      <c r="M1451" s="69">
        <f>Datasheet!M244</f>
        <v>25714</v>
      </c>
      <c r="N1451" s="69">
        <f>Datasheet!N244</f>
        <v>27029</v>
      </c>
      <c r="O1451" s="69">
        <f>Datasheet!O244</f>
        <v>28029</v>
      </c>
      <c r="P1451" s="69">
        <f>Datasheet!P244</f>
        <v>26773</v>
      </c>
      <c r="Q1451" s="69">
        <f>Datasheet!Q244</f>
        <v>26308</v>
      </c>
      <c r="R1451" s="69">
        <f>Datasheet!R244</f>
        <v>26607</v>
      </c>
      <c r="S1451" s="69">
        <f>Datasheet!S244</f>
        <v>27348</v>
      </c>
      <c r="T1451" s="69">
        <f>Datasheet!T244</f>
        <v>28653</v>
      </c>
      <c r="U1451" s="69">
        <f>Datasheet!U244</f>
        <v>29898</v>
      </c>
      <c r="V1451" s="69">
        <f>Datasheet!V244</f>
        <v>30711</v>
      </c>
      <c r="W1451" s="69">
        <f>Datasheet!W244</f>
        <v>32068</v>
      </c>
      <c r="X1451" s="69">
        <f>Datasheet!X244</f>
        <v>32744</v>
      </c>
      <c r="Y1451" s="69">
        <f>Datasheet!Y244</f>
        <v>33631</v>
      </c>
      <c r="Z1451" s="69">
        <f>_xlfn.FORECAST.LINEAR(Z2,T1451:Y1451,T2:Y2)</f>
        <v>34762.666666666744</v>
      </c>
      <c r="AA1451" s="69">
        <f>Datasheet!AA244</f>
        <v>33081</v>
      </c>
      <c r="AB1451" s="69">
        <f>Datasheet!AB244</f>
        <v>35628</v>
      </c>
      <c r="AC1451" s="69">
        <f>Datasheet!AC244</f>
        <v>0</v>
      </c>
      <c r="AD1451" s="69">
        <f>Datasheet!AD244</f>
        <v>0</v>
      </c>
      <c r="AE1451" s="69">
        <f>Datasheet!AE244</f>
        <v>0</v>
      </c>
      <c r="AF1451" s="69">
        <f>Datasheet!AF244</f>
        <v>0</v>
      </c>
      <c r="AG1451" s="69">
        <f>Datasheet!AG244</f>
        <v>0</v>
      </c>
      <c r="AH1451" s="69">
        <f>Datasheet!AH244</f>
        <v>0</v>
      </c>
      <c r="AI1451" s="69">
        <f>Datasheet!AI244</f>
        <v>0</v>
      </c>
      <c r="AJ1451" s="69">
        <f>Datasheet!AJ244</f>
        <v>0</v>
      </c>
      <c r="AK1451" s="69">
        <f>Datasheet!AK244</f>
        <v>0</v>
      </c>
    </row>
    <row r="1452" spans="2:37" s="4" customFormat="1" x14ac:dyDescent="0.25">
      <c r="B1452" s="44"/>
      <c r="C1452" s="4" t="s">
        <v>1416</v>
      </c>
      <c r="H1452" s="4" t="s">
        <v>1170</v>
      </c>
      <c r="I1452" s="69">
        <f>Datasheet!I403</f>
        <v>13373.75</v>
      </c>
      <c r="J1452" s="69">
        <f>Datasheet!J403</f>
        <v>13181</v>
      </c>
      <c r="K1452" s="69">
        <f>Datasheet!K403</f>
        <v>13283.583333333334</v>
      </c>
      <c r="L1452" s="69">
        <f>Datasheet!L403</f>
        <v>13471.666666666666</v>
      </c>
      <c r="M1452" s="69">
        <f>Datasheet!M403</f>
        <v>13773.75</v>
      </c>
      <c r="N1452" s="69">
        <f>Datasheet!N403</f>
        <v>14288.333333333334</v>
      </c>
      <c r="O1452" s="69">
        <f>Datasheet!O403</f>
        <v>14214.166666666666</v>
      </c>
      <c r="P1452" s="69">
        <f>Datasheet!P403</f>
        <v>12916.666666666666</v>
      </c>
      <c r="Q1452" s="69">
        <f>Datasheet!Q403</f>
        <v>12445.5</v>
      </c>
      <c r="R1452" s="69">
        <f>Datasheet!R403</f>
        <v>12404.416666666666</v>
      </c>
      <c r="S1452" s="69">
        <f>Datasheet!S403</f>
        <v>12710.333333333334</v>
      </c>
      <c r="T1452" s="69">
        <f>Datasheet!T403</f>
        <v>13119.583333333334</v>
      </c>
      <c r="U1452" s="69">
        <f>Datasheet!U403</f>
        <v>13579.333333333334</v>
      </c>
      <c r="V1452" s="69">
        <f>Datasheet!V403</f>
        <v>14015.5</v>
      </c>
      <c r="W1452" s="69">
        <f>Datasheet!W403</f>
        <v>14714.75</v>
      </c>
      <c r="X1452" s="69">
        <f>Datasheet!X403</f>
        <v>15007.166666666666</v>
      </c>
      <c r="Y1452" s="69">
        <f>Datasheet!Y403</f>
        <v>14992.833333333334</v>
      </c>
      <c r="Z1452" s="69">
        <f>Datasheet!Z403</f>
        <v>15364.916666666666</v>
      </c>
      <c r="AA1452" s="69">
        <f>Datasheet!AA403</f>
        <v>14236.75</v>
      </c>
      <c r="AB1452" s="69">
        <f>Datasheet!AB403</f>
        <v>15374.75</v>
      </c>
      <c r="AC1452" s="69">
        <f>Datasheet!AC403</f>
        <v>16192.583333333334</v>
      </c>
      <c r="AD1452" s="69">
        <f>Datasheet!AD403</f>
        <v>16658.666666666668</v>
      </c>
      <c r="AE1452" s="69" t="e">
        <f>Datasheet!AE403</f>
        <v>#DIV/0!</v>
      </c>
      <c r="AF1452" s="69" t="e">
        <f>Datasheet!AF403</f>
        <v>#DIV/0!</v>
      </c>
      <c r="AG1452" s="69" t="e">
        <f>Datasheet!AG403</f>
        <v>#DIV/0!</v>
      </c>
      <c r="AH1452" s="69" t="e">
        <f>Datasheet!AH403</f>
        <v>#DIV/0!</v>
      </c>
      <c r="AI1452" s="69" t="e">
        <f>Datasheet!AI403</f>
        <v>#DIV/0!</v>
      </c>
      <c r="AJ1452" s="69" t="e">
        <f>Datasheet!AJ403</f>
        <v>#DIV/0!</v>
      </c>
      <c r="AK1452" s="69" t="e">
        <f>Datasheet!AK403</f>
        <v>#DIV/0!</v>
      </c>
    </row>
    <row r="1453" spans="2:37" x14ac:dyDescent="0.25">
      <c r="C1453" t="s">
        <v>1417</v>
      </c>
      <c r="I1453" s="89">
        <f>I1452/I1451*$L1454/($L1452/$L1451)</f>
        <v>0.71380564352313636</v>
      </c>
      <c r="J1453" s="89">
        <f t="shared" ref="J1453:AK1453" si="226">J1452/J1451*$L1454/($L1452/$L1451)</f>
        <v>0.70348746886977098</v>
      </c>
      <c r="K1453" s="89">
        <f t="shared" si="226"/>
        <v>0.69305665215697454</v>
      </c>
      <c r="L1453" s="89">
        <f t="shared" si="226"/>
        <v>0.68</v>
      </c>
      <c r="M1453" s="89">
        <f t="shared" si="226"/>
        <v>0.66145089566248738</v>
      </c>
      <c r="N1453" s="89">
        <f t="shared" si="226"/>
        <v>0.65277971062436346</v>
      </c>
      <c r="O1453" s="89">
        <f t="shared" si="226"/>
        <v>0.62622276612317462</v>
      </c>
      <c r="P1453" s="89">
        <f t="shared" si="226"/>
        <v>0.5957560570168432</v>
      </c>
      <c r="Q1453" s="89">
        <f t="shared" si="226"/>
        <v>0.58417042809857922</v>
      </c>
      <c r="R1453" s="89">
        <f t="shared" si="226"/>
        <v>0.57569901790478273</v>
      </c>
      <c r="S1453" s="89">
        <f t="shared" si="226"/>
        <v>0.57391347452641928</v>
      </c>
      <c r="T1453" s="89">
        <f t="shared" si="226"/>
        <v>0.56541196554010276</v>
      </c>
      <c r="U1453" s="89">
        <f t="shared" si="226"/>
        <v>0.56085599178573819</v>
      </c>
      <c r="V1453" s="89">
        <f t="shared" si="226"/>
        <v>0.56354641334650624</v>
      </c>
      <c r="W1453" s="89">
        <f t="shared" si="226"/>
        <v>0.5666254348690033</v>
      </c>
      <c r="X1453" s="89">
        <f t="shared" si="226"/>
        <v>0.56595516338414087</v>
      </c>
      <c r="Y1453" s="89">
        <f t="shared" si="226"/>
        <v>0.55050210575640202</v>
      </c>
      <c r="Z1453" s="89">
        <f t="shared" si="226"/>
        <v>0.54579829850602135</v>
      </c>
      <c r="AA1453" s="89">
        <f t="shared" si="226"/>
        <v>0.53143148620583003</v>
      </c>
      <c r="AB1453" s="89">
        <f t="shared" si="226"/>
        <v>0.5328827616910059</v>
      </c>
      <c r="AC1453" s="89" t="e">
        <f t="shared" si="226"/>
        <v>#DIV/0!</v>
      </c>
      <c r="AD1453" s="89" t="e">
        <f t="shared" si="226"/>
        <v>#DIV/0!</v>
      </c>
      <c r="AE1453" s="89" t="e">
        <f t="shared" si="226"/>
        <v>#DIV/0!</v>
      </c>
      <c r="AF1453" s="89" t="e">
        <f t="shared" si="226"/>
        <v>#DIV/0!</v>
      </c>
      <c r="AG1453" s="89" t="e">
        <f t="shared" si="226"/>
        <v>#DIV/0!</v>
      </c>
      <c r="AH1453" s="89" t="e">
        <f t="shared" si="226"/>
        <v>#DIV/0!</v>
      </c>
      <c r="AI1453" s="89" t="e">
        <f t="shared" si="226"/>
        <v>#DIV/0!</v>
      </c>
      <c r="AJ1453" s="89" t="e">
        <f t="shared" si="226"/>
        <v>#DIV/0!</v>
      </c>
      <c r="AK1453" s="89" t="e">
        <f t="shared" si="226"/>
        <v>#DIV/0!</v>
      </c>
    </row>
    <row r="1454" spans="2:37" x14ac:dyDescent="0.25">
      <c r="C1454" s="150"/>
      <c r="D1454" t="s">
        <v>1418</v>
      </c>
      <c r="L1454" s="85">
        <v>0.68</v>
      </c>
    </row>
    <row r="1455" spans="2:37" x14ac:dyDescent="0.25">
      <c r="C1455" t="s">
        <v>1419</v>
      </c>
      <c r="I1455" s="89">
        <f>I1452/I1451*$U1456/($U1452/$U1451)</f>
        <v>0.7890786680824371</v>
      </c>
      <c r="J1455" s="89">
        <f t="shared" ref="J1455:AK1455" si="227">J1452/J1451*$U1456/($U1452/$U1451)</f>
        <v>0.7776724098293728</v>
      </c>
      <c r="K1455" s="89">
        <f t="shared" si="227"/>
        <v>0.76614163106147048</v>
      </c>
      <c r="L1455" s="89">
        <f t="shared" si="227"/>
        <v>0.75170811433724039</v>
      </c>
      <c r="M1455" s="89">
        <f t="shared" si="227"/>
        <v>0.73120294927224572</v>
      </c>
      <c r="N1455" s="89">
        <f t="shared" si="227"/>
        <v>0.7216173608103672</v>
      </c>
      <c r="O1455" s="89">
        <f t="shared" si="227"/>
        <v>0.69225990393750347</v>
      </c>
      <c r="P1455" s="89">
        <f t="shared" si="227"/>
        <v>0.65858038562517729</v>
      </c>
      <c r="Q1455" s="89">
        <f t="shared" si="227"/>
        <v>0.6457730161140609</v>
      </c>
      <c r="R1455" s="89">
        <f t="shared" si="227"/>
        <v>0.63640826937500783</v>
      </c>
      <c r="S1455" s="89">
        <f t="shared" si="227"/>
        <v>0.63443443489557116</v>
      </c>
      <c r="T1455" s="89">
        <f t="shared" si="227"/>
        <v>0.62503641535274024</v>
      </c>
      <c r="U1455" s="89">
        <f t="shared" si="227"/>
        <v>0.61999999999999988</v>
      </c>
      <c r="V1455" s="89">
        <f t="shared" si="227"/>
        <v>0.62297413487973108</v>
      </c>
      <c r="W1455" s="89">
        <f t="shared" si="227"/>
        <v>0.62637784879543701</v>
      </c>
      <c r="X1455" s="89">
        <f t="shared" si="227"/>
        <v>0.6256368950984077</v>
      </c>
      <c r="Y1455" s="89">
        <f t="shared" si="227"/>
        <v>0.60855426449533101</v>
      </c>
      <c r="Z1455" s="89">
        <f t="shared" si="227"/>
        <v>0.60335442614475809</v>
      </c>
      <c r="AA1455" s="89">
        <f t="shared" si="227"/>
        <v>0.58747258881650233</v>
      </c>
      <c r="AB1455" s="89">
        <f t="shared" si="227"/>
        <v>0.58907690581406913</v>
      </c>
      <c r="AC1455" s="89" t="e">
        <f t="shared" si="227"/>
        <v>#DIV/0!</v>
      </c>
      <c r="AD1455" s="89" t="e">
        <f t="shared" si="227"/>
        <v>#DIV/0!</v>
      </c>
      <c r="AE1455" s="89" t="e">
        <f t="shared" si="227"/>
        <v>#DIV/0!</v>
      </c>
      <c r="AF1455" s="89" t="e">
        <f t="shared" si="227"/>
        <v>#DIV/0!</v>
      </c>
      <c r="AG1455" s="89" t="e">
        <f t="shared" si="227"/>
        <v>#DIV/0!</v>
      </c>
      <c r="AH1455" s="89" t="e">
        <f t="shared" si="227"/>
        <v>#DIV/0!</v>
      </c>
      <c r="AI1455" s="89" t="e">
        <f t="shared" si="227"/>
        <v>#DIV/0!</v>
      </c>
      <c r="AJ1455" s="89" t="e">
        <f t="shared" si="227"/>
        <v>#DIV/0!</v>
      </c>
      <c r="AK1455" s="89" t="e">
        <f t="shared" si="227"/>
        <v>#DIV/0!</v>
      </c>
    </row>
    <row r="1456" spans="2:37" x14ac:dyDescent="0.25">
      <c r="C1456" s="150"/>
      <c r="D1456" t="s">
        <v>1420</v>
      </c>
      <c r="U1456" s="85">
        <v>0.62</v>
      </c>
    </row>
    <row r="1457" spans="1:4" s="182" customFormat="1" x14ac:dyDescent="0.25"/>
    <row r="1458" spans="1:4" s="87" customFormat="1" ht="17.25" x14ac:dyDescent="0.3">
      <c r="A1458" s="86" t="s">
        <v>390</v>
      </c>
    </row>
    <row r="1459" spans="1:4" x14ac:dyDescent="0.25">
      <c r="B1459" s="29" t="s">
        <v>877</v>
      </c>
      <c r="C1459" t="s">
        <v>1345</v>
      </c>
    </row>
    <row r="1460" spans="1:4" x14ac:dyDescent="0.25">
      <c r="B1460" s="29"/>
      <c r="C1460" t="s">
        <v>1421</v>
      </c>
    </row>
    <row r="1461" spans="1:4" x14ac:dyDescent="0.25">
      <c r="B1461" s="29"/>
      <c r="D1461" t="s">
        <v>1422</v>
      </c>
    </row>
    <row r="1462" spans="1:4" x14ac:dyDescent="0.25">
      <c r="B1462" s="29" t="s">
        <v>881</v>
      </c>
      <c r="C1462" t="s">
        <v>1376</v>
      </c>
    </row>
    <row r="1463" spans="1:4" x14ac:dyDescent="0.25">
      <c r="B1463" s="29" t="s">
        <v>883</v>
      </c>
      <c r="C1463" s="263" t="s">
        <v>388</v>
      </c>
    </row>
    <row r="1464" spans="1:4" x14ac:dyDescent="0.25">
      <c r="B1464" s="29"/>
      <c r="C1464" s="263" t="s">
        <v>1423</v>
      </c>
    </row>
    <row r="1465" spans="1:4" x14ac:dyDescent="0.25">
      <c r="B1465" s="29"/>
      <c r="C1465" s="263" t="s">
        <v>412</v>
      </c>
    </row>
    <row r="1466" spans="1:4" x14ac:dyDescent="0.25">
      <c r="B1466" s="29" t="s">
        <v>885</v>
      </c>
      <c r="C1466" t="s">
        <v>1424</v>
      </c>
    </row>
    <row r="1467" spans="1:4" x14ac:dyDescent="0.25">
      <c r="B1467" s="29"/>
      <c r="D1467" t="s">
        <v>1425</v>
      </c>
    </row>
    <row r="1468" spans="1:4" x14ac:dyDescent="0.25">
      <c r="B1468" s="29" t="s">
        <v>886</v>
      </c>
      <c r="C1468" t="s">
        <v>1426</v>
      </c>
    </row>
    <row r="1469" spans="1:4" x14ac:dyDescent="0.25">
      <c r="B1469" s="29" t="s">
        <v>887</v>
      </c>
      <c r="C1469" t="s">
        <v>1427</v>
      </c>
    </row>
    <row r="1470" spans="1:4" s="88" customFormat="1" ht="15.75" thickBot="1" x14ac:dyDescent="0.3">
      <c r="B1470" s="95" t="s">
        <v>19</v>
      </c>
    </row>
    <row r="1471" spans="1:4" ht="15.75" thickTop="1" x14ac:dyDescent="0.25"/>
    <row r="1486" spans="2:37" s="4" customFormat="1" x14ac:dyDescent="0.25">
      <c r="B1486" s="44" t="s">
        <v>21</v>
      </c>
      <c r="C1486" s="4" t="s">
        <v>1428</v>
      </c>
      <c r="H1486" s="4" t="s">
        <v>1429</v>
      </c>
      <c r="I1486" s="60">
        <f>300%</f>
        <v>3</v>
      </c>
      <c r="J1486" s="60">
        <f>300%</f>
        <v>3</v>
      </c>
      <c r="K1486" s="60">
        <f>300%</f>
        <v>3</v>
      </c>
      <c r="L1486" s="60">
        <f>300%</f>
        <v>3</v>
      </c>
      <c r="M1486" s="60">
        <f>300%</f>
        <v>3</v>
      </c>
      <c r="N1486" s="60">
        <f>300%</f>
        <v>3</v>
      </c>
      <c r="O1486" s="60">
        <f>300%</f>
        <v>3</v>
      </c>
      <c r="P1486" s="60">
        <f>300%</f>
        <v>3</v>
      </c>
      <c r="Q1486" s="60">
        <f>300%</f>
        <v>3</v>
      </c>
      <c r="R1486" s="60">
        <f>300%</f>
        <v>3</v>
      </c>
      <c r="S1486" s="60">
        <f>300%</f>
        <v>3</v>
      </c>
      <c r="T1486" s="60">
        <f>300%</f>
        <v>3</v>
      </c>
      <c r="U1486" s="60">
        <f>300%</f>
        <v>3</v>
      </c>
      <c r="V1486" s="60">
        <f>300%</f>
        <v>3</v>
      </c>
      <c r="W1486" s="60">
        <f>300%</f>
        <v>3</v>
      </c>
      <c r="X1486" s="60">
        <f>300%</f>
        <v>3</v>
      </c>
      <c r="Y1486" s="60">
        <f>300%</f>
        <v>3</v>
      </c>
      <c r="Z1486" s="60">
        <f>300%</f>
        <v>3</v>
      </c>
      <c r="AA1486" s="60">
        <f>300%</f>
        <v>3</v>
      </c>
      <c r="AB1486" s="60">
        <f>300%</f>
        <v>3</v>
      </c>
      <c r="AC1486" s="60">
        <f>300%</f>
        <v>3</v>
      </c>
      <c r="AD1486" s="60">
        <f>300%</f>
        <v>3</v>
      </c>
      <c r="AE1486" s="60">
        <f>300%</f>
        <v>3</v>
      </c>
      <c r="AF1486" s="60">
        <f>300%</f>
        <v>3</v>
      </c>
      <c r="AG1486" s="60">
        <f>300%</f>
        <v>3</v>
      </c>
      <c r="AH1486" s="60">
        <f>300%</f>
        <v>3</v>
      </c>
      <c r="AI1486" s="60">
        <f>300%</f>
        <v>3</v>
      </c>
      <c r="AJ1486" s="60">
        <f>300%</f>
        <v>3</v>
      </c>
      <c r="AK1486" s="60">
        <f>300%</f>
        <v>3</v>
      </c>
    </row>
    <row r="1487" spans="2:37" s="4" customFormat="1" x14ac:dyDescent="0.25">
      <c r="B1487" s="44"/>
      <c r="C1487" s="4" t="s">
        <v>1430</v>
      </c>
      <c r="H1487" s="4" t="s">
        <v>1429</v>
      </c>
      <c r="I1487" s="60"/>
      <c r="J1487" s="60">
        <f>Datasheet!J854/Datasheet!J779</f>
        <v>6.437768240343348</v>
      </c>
      <c r="K1487" s="60">
        <f>Datasheet!K854/Datasheet!K779</f>
        <v>6.0590969455511292</v>
      </c>
      <c r="L1487" s="60">
        <f>Datasheet!L854/Datasheet!L779</f>
        <v>8.053691275167786</v>
      </c>
      <c r="M1487" s="60">
        <f>Datasheet!M854/Datasheet!M779</f>
        <v>9.1946308724832218</v>
      </c>
      <c r="N1487" s="60">
        <f>Datasheet!N854/Datasheet!N779</f>
        <v>10.738255033557047</v>
      </c>
      <c r="O1487" s="60">
        <f>Datasheet!O854/Datasheet!O779</f>
        <v>11.437575030012004</v>
      </c>
      <c r="P1487" s="60">
        <f>Datasheet!P854/Datasheet!P779</f>
        <v>9.0363128491620106</v>
      </c>
      <c r="Q1487" s="60">
        <f>Datasheet!Q854/Datasheet!Q779</f>
        <v>8.8826815642458108</v>
      </c>
      <c r="R1487" s="60">
        <f>Datasheet!R854/Datasheet!R779</f>
        <v>6.8493150684931505</v>
      </c>
      <c r="S1487" s="60">
        <f>Datasheet!S854/Datasheet!S779</f>
        <v>6.252598752598753</v>
      </c>
      <c r="T1487" s="60">
        <f>Datasheet!T854/Datasheet!T779</f>
        <v>6.4763551401869162</v>
      </c>
      <c r="U1487" s="60">
        <f>Datasheet!U854/Datasheet!U779</f>
        <v>7.5929752066115705</v>
      </c>
      <c r="V1487" s="60">
        <f>Datasheet!V854/Datasheet!V779</f>
        <v>9.7023153252480707</v>
      </c>
      <c r="W1487" s="60">
        <f>Datasheet!W854/Datasheet!W779</f>
        <v>9.1491841491841495</v>
      </c>
      <c r="X1487" s="60">
        <f>Datasheet!X854/Datasheet!X779</f>
        <v>8.9715536105032818</v>
      </c>
      <c r="Y1487" s="60">
        <f>Datasheet!Y854/Datasheet!Y779</f>
        <v>9.8984771573604053</v>
      </c>
      <c r="Z1487" s="60">
        <f>Datasheet!Z854/Datasheet!Z779</f>
        <v>10.029354207436398</v>
      </c>
      <c r="AA1487" s="60">
        <f>Datasheet!AA854/Datasheet!AA779</f>
        <v>13.098464317976513</v>
      </c>
      <c r="AB1487" s="60">
        <f>Datasheet!AB854/Datasheet!AB779</f>
        <v>15.916955017301039</v>
      </c>
      <c r="AC1487" s="60">
        <f>Datasheet!AC854/Datasheet!AB779</f>
        <v>22.491349480968857</v>
      </c>
      <c r="AD1487" s="60" t="e">
        <f>Datasheet!AD854/Datasheet!AD779</f>
        <v>#DIV/0!</v>
      </c>
      <c r="AE1487" s="60" t="e">
        <f>Datasheet!AE854/Datasheet!AE779</f>
        <v>#DIV/0!</v>
      </c>
      <c r="AF1487" s="60" t="e">
        <f>Datasheet!AF854/Datasheet!AF779</f>
        <v>#DIV/0!</v>
      </c>
      <c r="AG1487" s="60" t="e">
        <f>Datasheet!AG854/Datasheet!AG779</f>
        <v>#DIV/0!</v>
      </c>
      <c r="AH1487" s="60" t="e">
        <f>Datasheet!AH854/Datasheet!AH779</f>
        <v>#DIV/0!</v>
      </c>
      <c r="AI1487" s="60" t="e">
        <f>Datasheet!AI854/Datasheet!AI779</f>
        <v>#DIV/0!</v>
      </c>
      <c r="AJ1487" s="60" t="e">
        <f>Datasheet!AJ854/Datasheet!AJ779</f>
        <v>#DIV/0!</v>
      </c>
      <c r="AK1487" s="60" t="e">
        <f>Datasheet!AK854/Datasheet!AK779</f>
        <v>#DIV/0!</v>
      </c>
    </row>
    <row r="1488" spans="2:37" x14ac:dyDescent="0.25">
      <c r="C1488" t="s">
        <v>1431</v>
      </c>
      <c r="H1488" s="4" t="s">
        <v>1429</v>
      </c>
      <c r="I1488" s="154">
        <f>Datasheet!I842/Datasheet!I779</f>
        <v>8.3333333333333339</v>
      </c>
      <c r="J1488" s="154">
        <f>Datasheet!J842/Datasheet!J779</f>
        <v>7.8683834048640913</v>
      </c>
      <c r="K1488" s="154">
        <f>Datasheet!K842/Datasheet!K779</f>
        <v>8.1673306772908365</v>
      </c>
      <c r="L1488" s="154">
        <f>Datasheet!L842/Datasheet!L779</f>
        <v>10.067114093959731</v>
      </c>
      <c r="M1488" s="154">
        <f>Datasheet!M842/Datasheet!M779</f>
        <v>13.154362416107382</v>
      </c>
      <c r="N1488" s="154">
        <f>Datasheet!N842/Datasheet!N779</f>
        <v>15.436241610738255</v>
      </c>
      <c r="O1488" s="154">
        <f>Datasheet!O842/Datasheet!O779</f>
        <v>15.006002400960384</v>
      </c>
      <c r="P1488" s="154">
        <f>Datasheet!P842/Datasheet!P779</f>
        <v>11.173184357541899</v>
      </c>
      <c r="Q1488" s="154">
        <f>Datasheet!Q842/Datasheet!Q779</f>
        <v>14.525139664804469</v>
      </c>
      <c r="R1488" s="154">
        <f>Datasheet!R842/Datasheet!R779</f>
        <v>10.010537407797681</v>
      </c>
      <c r="S1488" s="154">
        <f>Datasheet!S842/Datasheet!S779</f>
        <v>9.4594594594594597</v>
      </c>
      <c r="T1488" s="154">
        <f>Datasheet!T842/Datasheet!T779</f>
        <v>8.670820353063343</v>
      </c>
      <c r="U1488" s="154">
        <f>Datasheet!U842/Datasheet!U779</f>
        <v>9.9690082644628095</v>
      </c>
      <c r="V1488" s="154">
        <f>Datasheet!V842/Datasheet!V779</f>
        <v>13.230429988974642</v>
      </c>
      <c r="W1488" s="154">
        <f>Datasheet!W842/Datasheet!W779</f>
        <v>13.170163170163169</v>
      </c>
      <c r="X1488" s="154">
        <f>Datasheet!X842/Datasheet!X779</f>
        <v>14.223194748358862</v>
      </c>
      <c r="Y1488" s="154">
        <f>Datasheet!Y842/Datasheet!Y779</f>
        <v>16.345177664974621</v>
      </c>
      <c r="Z1488" s="154">
        <f>Datasheet!Z842/Datasheet!Z779</f>
        <v>17.025440313111545</v>
      </c>
      <c r="AA1488" s="154">
        <f>Datasheet!AA842/Datasheet!AA779</f>
        <v>22.583559168925024</v>
      </c>
      <c r="AB1488" s="154">
        <f>Datasheet!AB842/Datasheet!AB779</f>
        <v>25.951557093425606</v>
      </c>
      <c r="AC1488" s="154">
        <f>Datasheet!AC842/Datasheet!AB779</f>
        <v>30.27681660899654</v>
      </c>
      <c r="AD1488" s="154" t="e">
        <f>Datasheet!AD842/Datasheet!AD779</f>
        <v>#DIV/0!</v>
      </c>
      <c r="AE1488" s="154" t="e">
        <f>Datasheet!AE842/Datasheet!AE779</f>
        <v>#DIV/0!</v>
      </c>
      <c r="AF1488" s="154" t="e">
        <f>Datasheet!AF842/Datasheet!AF779</f>
        <v>#DIV/0!</v>
      </c>
      <c r="AG1488" s="154" t="e">
        <f>Datasheet!AG842/Datasheet!AG779</f>
        <v>#DIV/0!</v>
      </c>
      <c r="AH1488" s="154" t="e">
        <f>Datasheet!AH842/Datasheet!AH779</f>
        <v>#DIV/0!</v>
      </c>
      <c r="AI1488" s="154" t="e">
        <f>Datasheet!AI842/Datasheet!AI779</f>
        <v>#DIV/0!</v>
      </c>
      <c r="AJ1488" s="154" t="e">
        <f>Datasheet!AJ842/Datasheet!AJ779</f>
        <v>#DIV/0!</v>
      </c>
      <c r="AK1488" s="154" t="e">
        <f>Datasheet!AK842/Datasheet!AK779</f>
        <v>#DIV/0!</v>
      </c>
    </row>
  </sheetData>
  <sheetProtection sheet="1" objects="1" scenarios="1"/>
  <sortState xmlns:xlrd2="http://schemas.microsoft.com/office/spreadsheetml/2017/richdata2" ref="B879:AK899">
    <sortCondition descending="1" ref="B879"/>
  </sortState>
  <phoneticPr fontId="25" type="noConversion"/>
  <hyperlinks>
    <hyperlink ref="C482" location="GrowthUse" display="Growth by Use" xr:uid="{D25E37C4-391C-4A69-BAEA-3C83934323FD}"/>
    <hyperlink ref="C194" location="DaGrowthLoc" display="Growth by Location" xr:uid="{BDEB4C53-5380-4DF6-AE41-29878631201C}"/>
    <hyperlink ref="C224" location="DaGrowthLoc" display="DaGrowthLoc" xr:uid="{D7565135-2AC0-4098-9683-F3D63EDBEBB5}"/>
    <hyperlink ref="C223" location="DaNetBuildout" display="Net Buildout Change" xr:uid="{2C07B727-F838-4C2B-A25C-3DF8B7B20157}"/>
    <hyperlink ref="C257" location="DaNetBuildout" display="Net Buildout Change" xr:uid="{48076D19-791C-4480-B903-40798DEB0B8C}"/>
    <hyperlink ref="C23" location="ConsevationBuildoutTracker!A1" display="Conservation/Buildout/Subdivision Tracker" xr:uid="{470B816C-7F7B-4384-A3DB-4F4C4C9CDBB4}"/>
    <hyperlink ref="C24" location="DaNetBuildout" display="Net Buildout Change" xr:uid="{06716F68-0E10-493D-B8C0-3736F371B5D7}"/>
    <hyperlink ref="C115" location="DaLVE" display="LVE Electricity and Gas Load" xr:uid="{87B18DFF-3290-4186-A766-B39F11255B6F}"/>
    <hyperlink ref="C116" location="DaHwyVMT" display="Daily Vehicle Miles Traveled on State Highways in Teton County" xr:uid="{CDBACF1C-B245-4CA4-ADFC-57D22E37D6CC}"/>
    <hyperlink ref="C117" location="DaATRs" display="Monthly Average Weekday Daily Traffic" xr:uid="{1D47EAFD-975C-4E75-AC2F-4A78BABEB148}"/>
    <hyperlink ref="C118" location="DaEnplane" display="Enplanements" xr:uid="{16740CFA-0BAB-4F77-88CF-E33ED1C121FD}"/>
    <hyperlink ref="C281" location="DaPipeline" display="Workforce Housing Pipeline" xr:uid="{E0A073DF-DF1B-4494-80F5-AE5677556F29}"/>
    <hyperlink ref="C316" location="DaLEHDProfile" display="Work Area Profile (LEHD)" xr:uid="{0FB30E7D-96CE-4DE5-937B-D44730FDC1A1}"/>
    <hyperlink ref="C317" location="DaGrowthLoc" display="Growth by Location" xr:uid="{C6BC6865-699B-4850-B225-7417FCA8FC3C}"/>
    <hyperlink ref="C318" location="DaEdFac" display="Education Facilities" xr:uid="{FCA72A0E-DA97-4949-AA9C-0E0F107ED386}"/>
    <hyperlink ref="C361" location="DaQCEW" display="Jobs (QCEW)" xr:uid="{3AB7098A-F801-424B-84C8-1E9ADDF3276E}"/>
    <hyperlink ref="C362" location="DaLEHDDest" display="Destinations (LEHD) (Residence-Workplace Relationship)" xr:uid="{370A05FB-96E0-46B8-846E-F3292103427C}"/>
    <hyperlink ref="C363" location="DaLAUS" display="Employed Local Workforce (LAUS)" xr:uid="{E7EE3264-5F99-45CC-A793-74ADAD93A5FB}"/>
    <hyperlink ref="C364" location="DaBEAJobs" display="Jobs (BEA) (for reference and legacy)" xr:uid="{99A8B369-6D83-4278-9183-29160BE22997}"/>
    <hyperlink ref="C365" location="DaWorkersbyGeo" display="Workers by Workplace Geography (ACS) (for reference)" xr:uid="{2B92BB18-B068-4C02-A42F-09F53A78962D}"/>
    <hyperlink ref="C366" location="DaActiveMode" display="Active Commute Modeshare (ACS) (for reference)" xr:uid="{D1A8FCAA-FBDD-4392-B670-A414B16D819D}"/>
    <hyperlink ref="C483" location="DaACSHsgChar" display="Select Housing Characteristics (ACS)" xr:uid="{73E373E9-727A-483E-B268-2DF02E35CF28}"/>
    <hyperlink ref="C484" location="DaHHIncome" display="Household Employment and Income Data (ACS)" xr:uid="{767F4FC2-5B9F-4D01-B27C-A2928498AC2C}"/>
    <hyperlink ref="C485" location="DaRestricted" display="Restricted Units" xr:uid="{8BCBA0ED-9884-45BB-9D0D-2D7190D1CD1A}"/>
    <hyperlink ref="C535" location="DaGrowthUse" display="Growth by Use" xr:uid="{7768424D-247A-4837-A5FA-7BCBEAA2058F}"/>
    <hyperlink ref="C537" location="DaQCEW" display="Jobs (QCEW)" xr:uid="{9EE16007-16F0-4F48-9488-3C8638A16C5E}"/>
    <hyperlink ref="C538" location="DaBEAJobs" display="Jobs (BEA)?" xr:uid="{4B3FF9FC-CE91-47E3-9D0B-BC6F18F0B730}"/>
    <hyperlink ref="C539" location="DaGDP" display="GDP (BEA)" xr:uid="{5120F320-E105-47DA-91CC-51BAA438FFEC}"/>
    <hyperlink ref="C540" location="DaBEAIncome" display="Personal Income (BEA)" xr:uid="{EC15C483-3F53-4B0E-9230-E58580F80BBE}"/>
    <hyperlink ref="C541" location="DaHHIncome" display="Household Employment and Income Data (ACS)" xr:uid="{7CE329BE-314A-46A4-BCE2-2283621BE0C1}"/>
    <hyperlink ref="C542" location="DaHUDMFI" display="HUD Median Family Income Limit" xr:uid="{9322DD92-5A84-4910-8D17-7856E17A4CDD}"/>
    <hyperlink ref="C543" location="DaHUDFMR" display="HUD Free Market Rent" xr:uid="{D36B83C3-F2C5-4F6A-BC3C-42B65CD32A66}"/>
    <hyperlink ref="C544" location="DaHomePrice" display="Home Price" xr:uid="{2C6A5D72-A96E-4158-B597-30A0AD053D26}"/>
    <hyperlink ref="C545" location="DaCoL" display="Other Costs of Living" xr:uid="{DCA3C230-AD69-4AA0-A164-5B44A3F3BD86}"/>
    <hyperlink ref="C546" location="DaHwyVMT" display="Daily Vehicle Miles Traveled on State Highways in Teton County" xr:uid="{B6839A0E-22A5-4F3E-9B1E-14A8F5A2559C}"/>
    <hyperlink ref="C547" location="DaATRs" display="Monthly Average Weekday Daily Traffic" xr:uid="{E4823A32-8F34-47D3-8D0D-60183EBBDD01}"/>
    <hyperlink ref="C625" location="DaBEAIncome" display="Personal Income (Mid-Year Population)" xr:uid="{D362EAA4-A2DA-44B7-86C2-727BB3065D45}"/>
    <hyperlink ref="C626" location="InLocalWF" display="Local Workforce Indicator (Commuters, Seasonal Workers)" xr:uid="{21512803-E40C-4EF6-8A20-4B4DE5CB20AA}"/>
    <hyperlink ref="C627" location="DaHHsFams" display="Households and Families (US Average Family Size)" xr:uid="{DC3A7F9F-2FAD-49F0-997B-FEB63B6D3E4C}"/>
    <hyperlink ref="C628" location="DaACSHsgChar" display="Select Housing Characteristics (Second Homes)" xr:uid="{DEA04D30-C706-4F25-A608-0058E1721916}"/>
    <hyperlink ref="C629" location="DaACSVac" display="Vacancy Status (Second Homes)" xr:uid="{72B70A3C-94EC-436A-8B30-E73CFBBEE990}"/>
    <hyperlink ref="C630" location="DaGrowthUse" display="Growth by Use (Lodging Units)" xr:uid="{C91E8495-94E4-43EC-A969-BDFCC2B80F02}"/>
    <hyperlink ref="C631" location="DaLdgOcc" display="Lodging Occupancy" xr:uid="{048091D9-3EA8-4B6B-B5B2-BABB0B37E8A7}"/>
    <hyperlink ref="C632" location="DaBTNFcamp" display="BTNF Campground Occupancy" xr:uid="{5078B32C-DBD0-4394-A4C3-502C626124CB}"/>
    <hyperlink ref="C633" location="DaCTNFcamp" display="CTNF Campground Occupancy" xr:uid="{D8D28044-E69F-4793-8369-6F4659B302BC}"/>
    <hyperlink ref="C634" location="DaGTNPovernight" display="GTNP Overnight Visitors" xr:uid="{4F48E3DF-390F-41B5-91CA-1840ECADA210}"/>
    <hyperlink ref="C635" location="DaYNPovernight" display="YNP Overnight Visitors" xr:uid="{920FDC94-55E0-4C7C-8822-576F29FC0B76}"/>
    <hyperlink ref="C828" location="DaLdgOcc" display="Lodging Occupancy" xr:uid="{B399ED2D-714C-4D37-88FD-809B9930D5AB}"/>
    <hyperlink ref="C857" location="DaBEAJobs" display="Jobs (BEA)" xr:uid="{FC6D3EBA-1CC5-4FB3-B647-EF71554C0064}"/>
    <hyperlink ref="C905" location="DaTravelTime" display="Travel Time by Mode" xr:uid="{51725FE9-5A44-4C18-B4E3-55410E2C15BD}"/>
    <hyperlink ref="C916" location="DaSTART" display="START Ridership" xr:uid="{96388A93-778B-4202-91C4-0165D30FEC6F}"/>
    <hyperlink ref="C917" location="InEffPop" display="Effective Population Indicator" xr:uid="{9C461AC0-B1EE-46A6-87B9-26F0B55E633C}"/>
    <hyperlink ref="C960" location="DaActiveMode" display="Active Commute Modeshare (ACS)" xr:uid="{D5C0B81A-734D-447F-8CF2-7DCE196496BF}"/>
    <hyperlink ref="C991" location="DaATRs" display="Monthly Average Weekday Traffic (MAWT)" xr:uid="{53E9F474-D576-4E07-A995-234A1F613A0F}"/>
    <hyperlink ref="C1073" location="DaWVCs" display="Wildlife Vehicle Collisions" xr:uid="{8CE4C709-60D2-4B40-9817-8A661BA2900F}"/>
    <hyperlink ref="C1113" location="DaCompPlan" display="Comprehensive Plan Implementation" xr:uid="{F6EE2FC2-93FC-4A51-9F48-39F14EC494DE}"/>
    <hyperlink ref="C1124" location="DaLVE" display="LVE Electricity" xr:uid="{45427AFA-79FA-4042-8F06-BEA44D1D16B7}"/>
    <hyperlink ref="C1159" location="DaGrowthUse" display="Growth by Use" xr:uid="{05249E4E-6656-4F1A-9878-8D3D3BA36F7D}"/>
    <hyperlink ref="C1125" location="RtrdEffPop" display="Effective Population (retired)" xr:uid="{D7B69EA3-849E-4C30-8135-CFA3EC03632B}"/>
    <hyperlink ref="C1332" location="DaPermPop" display="Permanent Population (ACS)" xr:uid="{05D5D269-1629-4129-BCF7-F9905BEA35BD}"/>
    <hyperlink ref="C1333" location="DaWorkersbyGeo" display="Workers by Workplace Geography (ACS)" xr:uid="{A9A36FB8-A7F9-4B1F-B6C7-949743DAAB86}"/>
    <hyperlink ref="C1335" location="DaQCEW" display="Jobs (QCEW)" xr:uid="{92A491F2-2BC4-4A0A-87B1-F739100FFDD2}"/>
    <hyperlink ref="C1336" location="DaGrowthUse" display="Growth by Use" xr:uid="{927E7194-943B-4835-905F-39C84632BFC9}"/>
    <hyperlink ref="C1337" location="DaLdgOcc" display="Lodging Occupancy" xr:uid="{5494256B-603A-4A5B-B53C-B118D75706A8}"/>
    <hyperlink ref="C1338" location="DaBTNFcamp" display="BTNF Campground Occupancy" xr:uid="{8EFE1FEE-E4AE-4447-BE7B-867E03A23357}"/>
    <hyperlink ref="C1339" location="DaCTNFcamp" display="CTNF Campground Occupancy" xr:uid="{2B2DDC03-8F4E-497A-BA49-06FA62BC1D98}"/>
    <hyperlink ref="C1340" location="DaGTNPovernight" display="GTNP Overnight Visitors" xr:uid="{A7BDFDEE-92DA-4503-8751-4C8D673A417B}"/>
    <hyperlink ref="C1341" location="DaYNPovernight" display="YNP Overnight Visitors" xr:uid="{C64CE004-B71D-48D7-8760-8F3AFBDCBBB6}"/>
    <hyperlink ref="C1423" location="DaBEAJobs" display="Jobs (BEA)" xr:uid="{EC81FDB9-0173-4AEB-9C84-D29C9FA731DD}"/>
    <hyperlink ref="C1424" location="DaLAUS" display="Employed Local Workforce (LAUS)" xr:uid="{3157A688-B411-4804-819F-74F1C2E1C715}"/>
    <hyperlink ref="C1463" location="DaHUDMFI" display="HUD Median Family Income Limits" xr:uid="{9373EA71-DC2C-4C4F-AE80-E21AC9F943F8}"/>
    <hyperlink ref="C1464" location="DaSUBPrice" display="Single Family Home Price" xr:uid="{1D28A542-D0CA-4A6A-BE96-42FD661EDE04}"/>
    <hyperlink ref="C1465" location="DaHomePrice" display="Home Price" xr:uid="{64721C0E-53FF-499B-BDCC-2D84CB8137F2}"/>
  </hyperlinks>
  <pageMargins left="0.7" right="0.7" top="0.75" bottom="0.75" header="0.3" footer="0.3"/>
  <pageSetup orientation="portrait" horizontalDpi="1200" verticalDpi="12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29506-06E4-406D-A4DD-91BFA3EEFB6D}">
  <dimension ref="A1:AV7526"/>
  <sheetViews>
    <sheetView workbookViewId="0">
      <pane ySplit="2" topLeftCell="A7485" activePane="bottomLeft" state="frozen"/>
      <selection pane="bottomLeft" activeCell="Q7502" sqref="Q7502"/>
    </sheetView>
  </sheetViews>
  <sheetFormatPr defaultRowHeight="15" x14ac:dyDescent="0.25"/>
  <cols>
    <col min="1" max="1" width="13.28515625" customWidth="1"/>
    <col min="4" max="4" width="11.7109375" customWidth="1"/>
    <col min="5" max="5" width="4.42578125" customWidth="1"/>
    <col min="6" max="6" width="5.5703125" customWidth="1"/>
    <col min="7" max="7" width="6.28515625" customWidth="1"/>
    <col min="9" max="9" width="10.7109375" style="21" bestFit="1" customWidth="1"/>
    <col min="11" max="11" width="10.7109375" style="21" bestFit="1" customWidth="1"/>
    <col min="13" max="13" width="10.7109375" style="21" bestFit="1" customWidth="1"/>
    <col min="15" max="16" width="10.7109375" style="21" bestFit="1" customWidth="1"/>
    <col min="17" max="17" width="14.85546875" style="262" bestFit="1" customWidth="1"/>
    <col min="18" max="18" width="13.85546875" style="262" bestFit="1" customWidth="1"/>
  </cols>
  <sheetData>
    <row r="1" spans="1:46" ht="18" thickBot="1" x14ac:dyDescent="0.35">
      <c r="A1" s="247" t="s">
        <v>20180</v>
      </c>
      <c r="E1" s="247"/>
      <c r="F1" s="247"/>
      <c r="I1"/>
      <c r="K1"/>
      <c r="M1"/>
      <c r="O1"/>
      <c r="P1"/>
      <c r="Q1"/>
      <c r="R1"/>
    </row>
    <row r="2" spans="1:46" s="264" customFormat="1" ht="16.5" thickTop="1" thickBot="1" x14ac:dyDescent="0.3">
      <c r="A2" s="264" t="s">
        <v>2265</v>
      </c>
      <c r="B2" s="264" t="s">
        <v>2266</v>
      </c>
      <c r="C2" s="264" t="s">
        <v>1452</v>
      </c>
      <c r="D2" s="264" t="s">
        <v>2267</v>
      </c>
      <c r="E2" s="264" t="s">
        <v>2264</v>
      </c>
      <c r="F2" s="264" t="s">
        <v>2268</v>
      </c>
      <c r="G2" s="264" t="s">
        <v>2269</v>
      </c>
      <c r="H2" s="264" t="s">
        <v>2270</v>
      </c>
      <c r="I2" s="265" t="s">
        <v>2271</v>
      </c>
      <c r="J2" s="264" t="s">
        <v>2272</v>
      </c>
      <c r="K2" s="265" t="s">
        <v>2273</v>
      </c>
      <c r="L2" s="264" t="s">
        <v>2274</v>
      </c>
      <c r="M2" s="265" t="s">
        <v>2275</v>
      </c>
      <c r="N2" s="264" t="s">
        <v>2276</v>
      </c>
      <c r="O2" s="265" t="s">
        <v>2277</v>
      </c>
      <c r="P2" s="265" t="s">
        <v>2278</v>
      </c>
      <c r="Q2" s="266" t="s">
        <v>2279</v>
      </c>
      <c r="R2" s="266" t="s">
        <v>2280</v>
      </c>
      <c r="S2" s="264" t="s">
        <v>2281</v>
      </c>
      <c r="T2" s="264" t="s">
        <v>2282</v>
      </c>
      <c r="U2" s="264" t="s">
        <v>2283</v>
      </c>
      <c r="V2" s="264" t="s">
        <v>2284</v>
      </c>
      <c r="W2" s="264" t="s">
        <v>2285</v>
      </c>
      <c r="X2" s="264" t="s">
        <v>2286</v>
      </c>
      <c r="Y2" s="264" t="s">
        <v>2287</v>
      </c>
      <c r="Z2" s="264" t="s">
        <v>2288</v>
      </c>
      <c r="AA2" s="264" t="s">
        <v>2289</v>
      </c>
      <c r="AB2" s="264" t="s">
        <v>2290</v>
      </c>
      <c r="AC2" s="264" t="s">
        <v>2291</v>
      </c>
      <c r="AD2" s="264" t="s">
        <v>2292</v>
      </c>
      <c r="AE2" s="264" t="s">
        <v>2293</v>
      </c>
      <c r="AF2" s="264" t="s">
        <v>2294</v>
      </c>
      <c r="AG2" s="264" t="s">
        <v>2295</v>
      </c>
      <c r="AH2" s="264" t="s">
        <v>2296</v>
      </c>
      <c r="AI2" s="264" t="s">
        <v>2297</v>
      </c>
      <c r="AJ2" s="264" t="s">
        <v>2298</v>
      </c>
      <c r="AK2" s="264" t="s">
        <v>2299</v>
      </c>
      <c r="AL2" s="264" t="s">
        <v>2300</v>
      </c>
      <c r="AM2" s="264" t="s">
        <v>2301</v>
      </c>
      <c r="AN2" s="264" t="s">
        <v>2302</v>
      </c>
      <c r="AO2" s="264" t="s">
        <v>2303</v>
      </c>
      <c r="AP2" s="264" t="s">
        <v>2304</v>
      </c>
      <c r="AQ2" s="264" t="s">
        <v>2305</v>
      </c>
      <c r="AR2" s="264" t="s">
        <v>2306</v>
      </c>
      <c r="AS2" s="264" t="s">
        <v>2307</v>
      </c>
      <c r="AT2" s="264" t="s">
        <v>2308</v>
      </c>
    </row>
    <row r="3" spans="1:46" s="108" customFormat="1" ht="15.75" thickTop="1" x14ac:dyDescent="0.25">
      <c r="A3" s="29" t="s">
        <v>3</v>
      </c>
      <c r="B3" t="s">
        <v>20183</v>
      </c>
      <c r="I3" s="267"/>
      <c r="K3" s="267"/>
      <c r="M3" s="267"/>
      <c r="O3" s="267"/>
      <c r="P3" s="267"/>
      <c r="Q3" s="268"/>
      <c r="R3" s="268"/>
    </row>
    <row r="4" spans="1:46" s="4" customFormat="1" x14ac:dyDescent="0.25">
      <c r="A4" s="29"/>
      <c r="B4">
        <v>1</v>
      </c>
      <c r="C4" s="4" t="s">
        <v>20190</v>
      </c>
      <c r="I4" s="269"/>
      <c r="K4" s="269"/>
      <c r="M4" s="269"/>
      <c r="O4" s="269"/>
      <c r="P4" s="269"/>
      <c r="Q4" s="270"/>
      <c r="R4" s="270"/>
    </row>
    <row r="5" spans="1:46" s="4" customFormat="1" x14ac:dyDescent="0.25">
      <c r="A5" s="29"/>
      <c r="B5">
        <v>2</v>
      </c>
      <c r="C5" s="4" t="s">
        <v>20188</v>
      </c>
      <c r="I5" s="269"/>
      <c r="K5" s="269"/>
      <c r="M5" s="269"/>
      <c r="O5" s="269"/>
      <c r="P5" s="269"/>
      <c r="Q5" s="270"/>
      <c r="R5" s="270"/>
    </row>
    <row r="6" spans="1:46" s="4" customFormat="1" x14ac:dyDescent="0.25">
      <c r="A6" s="29"/>
      <c r="B6"/>
      <c r="D6" s="4" t="s">
        <v>20184</v>
      </c>
      <c r="I6" s="269"/>
      <c r="K6" s="269"/>
      <c r="M6" s="269"/>
      <c r="O6" s="269"/>
      <c r="P6" s="269"/>
      <c r="Q6" s="270"/>
      <c r="R6" s="270"/>
    </row>
    <row r="7" spans="1:46" s="4" customFormat="1" x14ac:dyDescent="0.25">
      <c r="A7" s="29"/>
      <c r="B7"/>
      <c r="D7" s="4" t="s">
        <v>20185</v>
      </c>
      <c r="I7" s="269"/>
      <c r="K7" s="269"/>
      <c r="M7" s="269"/>
      <c r="O7" s="269"/>
      <c r="P7" s="269"/>
      <c r="Q7" s="270"/>
      <c r="R7" s="270"/>
    </row>
    <row r="8" spans="1:46" s="4" customFormat="1" x14ac:dyDescent="0.25">
      <c r="A8" s="29"/>
      <c r="B8"/>
      <c r="D8" s="4" t="s">
        <v>20186</v>
      </c>
      <c r="I8" s="269"/>
      <c r="K8" s="269"/>
      <c r="M8" s="269"/>
      <c r="O8" s="269"/>
      <c r="P8" s="269"/>
      <c r="Q8" s="270"/>
      <c r="R8" s="270"/>
    </row>
    <row r="9" spans="1:46" s="4" customFormat="1" x14ac:dyDescent="0.25">
      <c r="A9" s="29"/>
      <c r="B9"/>
      <c r="D9" s="4" t="s">
        <v>20187</v>
      </c>
      <c r="I9" s="269"/>
      <c r="K9" s="269"/>
      <c r="M9" s="269"/>
      <c r="O9" s="269"/>
      <c r="P9" s="269"/>
      <c r="Q9" s="270"/>
      <c r="R9" s="270"/>
    </row>
    <row r="10" spans="1:46" s="4" customFormat="1" x14ac:dyDescent="0.25">
      <c r="A10" s="29"/>
      <c r="B10"/>
      <c r="D10" s="4" t="s">
        <v>20189</v>
      </c>
      <c r="I10" s="269"/>
      <c r="K10" s="269"/>
      <c r="M10" s="269"/>
      <c r="O10" s="269"/>
      <c r="P10" s="269"/>
      <c r="Q10" s="270"/>
      <c r="R10" s="270"/>
    </row>
    <row r="11" spans="1:46" s="4" customFormat="1" x14ac:dyDescent="0.25">
      <c r="A11" s="1"/>
      <c r="B11">
        <v>3</v>
      </c>
      <c r="C11" s="4" t="s">
        <v>20191</v>
      </c>
      <c r="I11" s="269"/>
      <c r="K11" s="269"/>
      <c r="M11" s="269"/>
      <c r="O11" s="269"/>
      <c r="P11" s="269"/>
      <c r="Q11" s="270"/>
      <c r="R11" s="270"/>
    </row>
    <row r="12" spans="1:46" s="4" customFormat="1" x14ac:dyDescent="0.25">
      <c r="A12" s="1"/>
      <c r="B12">
        <v>4</v>
      </c>
      <c r="C12" s="4" t="s">
        <v>20192</v>
      </c>
      <c r="I12" s="269"/>
      <c r="K12" s="269"/>
      <c r="M12" s="269"/>
      <c r="O12" s="269"/>
      <c r="P12" s="269"/>
      <c r="Q12" s="270"/>
      <c r="R12" s="270"/>
    </row>
    <row r="13" spans="1:46" s="4" customFormat="1" x14ac:dyDescent="0.25">
      <c r="A13" s="1"/>
      <c r="B13" s="274">
        <v>5</v>
      </c>
      <c r="C13" s="4" t="s">
        <v>20193</v>
      </c>
      <c r="I13" s="269"/>
      <c r="K13" s="269"/>
      <c r="M13" s="269"/>
      <c r="O13" s="269"/>
      <c r="P13" s="269"/>
      <c r="Q13" s="270"/>
      <c r="R13" s="270"/>
    </row>
    <row r="14" spans="1:46" s="4" customFormat="1" x14ac:dyDescent="0.25">
      <c r="A14" s="29" t="s">
        <v>734</v>
      </c>
      <c r="B14" s="263" t="s">
        <v>33</v>
      </c>
      <c r="I14" s="269"/>
      <c r="K14" s="269"/>
      <c r="M14" s="269"/>
      <c r="O14" s="269"/>
      <c r="P14" s="269"/>
      <c r="Q14" s="270"/>
      <c r="R14" s="270"/>
    </row>
    <row r="15" spans="1:46" s="4" customFormat="1" x14ac:dyDescent="0.25">
      <c r="A15" s="1"/>
      <c r="B15" s="263" t="s">
        <v>73</v>
      </c>
      <c r="I15" s="269"/>
      <c r="K15" s="269"/>
      <c r="M15" s="269"/>
      <c r="O15" s="269"/>
      <c r="P15" s="269"/>
      <c r="Q15" s="270"/>
      <c r="R15" s="270"/>
    </row>
    <row r="16" spans="1:46" s="4" customFormat="1" x14ac:dyDescent="0.25">
      <c r="A16" s="29" t="s">
        <v>14</v>
      </c>
      <c r="B16" t="s">
        <v>20177</v>
      </c>
      <c r="I16" s="269"/>
      <c r="J16"/>
      <c r="K16" s="269"/>
      <c r="M16" s="269"/>
      <c r="O16" s="269"/>
      <c r="P16" s="269"/>
      <c r="Q16" s="270"/>
      <c r="R16" s="270"/>
    </row>
    <row r="17" spans="1:48" s="4" customFormat="1" x14ac:dyDescent="0.25">
      <c r="B17" t="s">
        <v>20179</v>
      </c>
      <c r="I17" s="269"/>
      <c r="J17"/>
      <c r="K17" s="269"/>
      <c r="M17" s="269"/>
      <c r="O17" s="269"/>
      <c r="P17" s="269"/>
      <c r="Q17" s="270"/>
      <c r="R17" s="270"/>
    </row>
    <row r="18" spans="1:48" s="4" customFormat="1" x14ac:dyDescent="0.25">
      <c r="B18" t="s">
        <v>20178</v>
      </c>
      <c r="I18" s="269"/>
      <c r="K18" s="269"/>
      <c r="M18" s="269"/>
      <c r="O18" s="269"/>
      <c r="P18" s="269"/>
      <c r="Q18" s="270"/>
      <c r="R18" s="270"/>
    </row>
    <row r="19" spans="1:48" s="4" customFormat="1" x14ac:dyDescent="0.25">
      <c r="A19" s="29"/>
      <c r="B19" t="s">
        <v>40</v>
      </c>
      <c r="I19" s="269"/>
      <c r="K19" s="269"/>
      <c r="M19" s="269"/>
      <c r="O19" s="269"/>
      <c r="P19" s="269"/>
      <c r="Q19" s="270"/>
      <c r="R19" s="270"/>
    </row>
    <row r="20" spans="1:48" s="4" customFormat="1" x14ac:dyDescent="0.25">
      <c r="A20" s="29" t="s">
        <v>17</v>
      </c>
      <c r="B20" t="s">
        <v>18</v>
      </c>
      <c r="I20" s="269"/>
      <c r="K20" s="269"/>
      <c r="M20" s="269"/>
      <c r="O20" s="269"/>
      <c r="P20" s="269"/>
      <c r="Q20" s="270"/>
      <c r="R20" s="270"/>
    </row>
    <row r="21" spans="1:48" s="4" customFormat="1" x14ac:dyDescent="0.25">
      <c r="A21" s="29" t="s">
        <v>19</v>
      </c>
      <c r="B21" t="s">
        <v>43</v>
      </c>
      <c r="I21" s="269"/>
      <c r="K21" s="269"/>
      <c r="M21" s="269"/>
      <c r="O21" s="269"/>
      <c r="P21" s="269"/>
      <c r="Q21" s="270"/>
      <c r="R21" s="270"/>
    </row>
    <row r="22" spans="1:48" s="271" customFormat="1" ht="15.75" thickBot="1" x14ac:dyDescent="0.3">
      <c r="B22" s="25" t="s">
        <v>44</v>
      </c>
      <c r="I22" s="272"/>
      <c r="K22" s="272"/>
      <c r="M22" s="272"/>
      <c r="O22" s="272"/>
      <c r="P22" s="272"/>
      <c r="Q22" s="273"/>
      <c r="R22" s="273"/>
    </row>
    <row r="23" spans="1:48" s="264" customFormat="1" ht="16.5" thickTop="1" thickBot="1" x14ac:dyDescent="0.3">
      <c r="A23" s="264" t="s">
        <v>2265</v>
      </c>
      <c r="B23" s="264" t="s">
        <v>2266</v>
      </c>
      <c r="C23" s="264" t="s">
        <v>1452</v>
      </c>
      <c r="D23" s="264" t="s">
        <v>2267</v>
      </c>
      <c r="E23" s="264" t="s">
        <v>2264</v>
      </c>
      <c r="F23" s="264" t="s">
        <v>2268</v>
      </c>
      <c r="G23" s="264" t="s">
        <v>2269</v>
      </c>
      <c r="H23" s="264" t="s">
        <v>2270</v>
      </c>
      <c r="I23" s="265" t="s">
        <v>2271</v>
      </c>
      <c r="J23" s="264" t="s">
        <v>2272</v>
      </c>
      <c r="K23" s="265" t="s">
        <v>2273</v>
      </c>
      <c r="L23" s="264" t="s">
        <v>2274</v>
      </c>
      <c r="M23" s="265" t="s">
        <v>2275</v>
      </c>
      <c r="N23" s="264" t="s">
        <v>2276</v>
      </c>
      <c r="O23" s="265" t="s">
        <v>2277</v>
      </c>
      <c r="P23" s="265" t="s">
        <v>2278</v>
      </c>
      <c r="Q23" s="266" t="s">
        <v>2279</v>
      </c>
      <c r="R23" s="266" t="s">
        <v>2280</v>
      </c>
      <c r="S23" s="264" t="s">
        <v>2281</v>
      </c>
      <c r="T23" s="264" t="s">
        <v>2282</v>
      </c>
      <c r="U23" s="264" t="s">
        <v>2283</v>
      </c>
      <c r="V23" s="264" t="s">
        <v>2284</v>
      </c>
      <c r="W23" s="264" t="s">
        <v>2285</v>
      </c>
      <c r="X23" s="264" t="s">
        <v>2286</v>
      </c>
      <c r="Y23" s="264" t="s">
        <v>2287</v>
      </c>
      <c r="Z23" s="264" t="s">
        <v>2288</v>
      </c>
      <c r="AA23" s="264" t="s">
        <v>2289</v>
      </c>
      <c r="AB23" s="264" t="s">
        <v>2290</v>
      </c>
      <c r="AC23" s="264" t="s">
        <v>2291</v>
      </c>
      <c r="AD23" s="264" t="s">
        <v>2292</v>
      </c>
      <c r="AE23" s="264" t="s">
        <v>2293</v>
      </c>
      <c r="AF23" s="264" t="s">
        <v>2294</v>
      </c>
      <c r="AG23" s="264" t="s">
        <v>2295</v>
      </c>
      <c r="AH23" s="264" t="s">
        <v>2296</v>
      </c>
      <c r="AI23" s="264" t="s">
        <v>2297</v>
      </c>
      <c r="AJ23" s="264" t="s">
        <v>2298</v>
      </c>
      <c r="AK23" s="264" t="s">
        <v>2299</v>
      </c>
      <c r="AL23" s="264" t="s">
        <v>2300</v>
      </c>
      <c r="AM23" s="264" t="s">
        <v>2301</v>
      </c>
      <c r="AN23" s="264" t="s">
        <v>2302</v>
      </c>
      <c r="AO23" s="264" t="s">
        <v>2303</v>
      </c>
      <c r="AP23" s="264" t="s">
        <v>2304</v>
      </c>
      <c r="AQ23" s="264" t="s">
        <v>2305</v>
      </c>
      <c r="AR23" s="264" t="s">
        <v>2306</v>
      </c>
      <c r="AS23" s="264" t="s">
        <v>2307</v>
      </c>
      <c r="AT23" s="264" t="s">
        <v>2308</v>
      </c>
      <c r="AU23" s="264" t="s">
        <v>20181</v>
      </c>
      <c r="AV23" s="264" t="s">
        <v>2309</v>
      </c>
    </row>
    <row r="24" spans="1:48" ht="15.75" thickTop="1" x14ac:dyDescent="0.25">
      <c r="A24" t="s">
        <v>2311</v>
      </c>
      <c r="C24" t="s">
        <v>2312</v>
      </c>
      <c r="D24" t="s">
        <v>2313</v>
      </c>
      <c r="E24" t="s">
        <v>2310</v>
      </c>
      <c r="F24">
        <v>7</v>
      </c>
      <c r="G24">
        <v>7.2</v>
      </c>
      <c r="H24" t="s">
        <v>2017</v>
      </c>
      <c r="I24" s="21">
        <v>36686</v>
      </c>
      <c r="J24">
        <v>2000</v>
      </c>
      <c r="M24" s="21">
        <v>36927</v>
      </c>
      <c r="N24">
        <v>2001</v>
      </c>
      <c r="R24" s="262">
        <v>217000</v>
      </c>
      <c r="S24" t="s">
        <v>114</v>
      </c>
      <c r="T24" t="s">
        <v>114</v>
      </c>
      <c r="U24">
        <v>5</v>
      </c>
      <c r="W24">
        <v>2280</v>
      </c>
      <c r="X24">
        <v>1</v>
      </c>
      <c r="Y24">
        <v>0</v>
      </c>
      <c r="Z24">
        <v>0</v>
      </c>
      <c r="AA24">
        <v>0</v>
      </c>
      <c r="AB24">
        <v>0</v>
      </c>
      <c r="AC24">
        <v>2280</v>
      </c>
      <c r="AD24">
        <v>0</v>
      </c>
      <c r="AE24">
        <v>0</v>
      </c>
      <c r="AF24">
        <v>0</v>
      </c>
      <c r="AG24">
        <v>0</v>
      </c>
      <c r="AH24">
        <v>0</v>
      </c>
      <c r="AI24">
        <v>0</v>
      </c>
      <c r="AJ24">
        <v>0</v>
      </c>
      <c r="AK24">
        <v>0</v>
      </c>
      <c r="AL24">
        <v>0</v>
      </c>
      <c r="AM24">
        <v>0</v>
      </c>
      <c r="AN24">
        <v>0</v>
      </c>
      <c r="AO24">
        <v>1</v>
      </c>
      <c r="AP24">
        <v>0</v>
      </c>
      <c r="AQ24">
        <v>0</v>
      </c>
      <c r="AR24">
        <v>0</v>
      </c>
      <c r="AS24">
        <v>0</v>
      </c>
      <c r="AT24">
        <v>0</v>
      </c>
      <c r="AU24">
        <f>SUM(AN24:AQ24,AS24)</f>
        <v>1</v>
      </c>
      <c r="AV24">
        <f>SUM(Y24:AB24,AH24:AM24)</f>
        <v>0</v>
      </c>
    </row>
    <row r="25" spans="1:48" x14ac:dyDescent="0.25">
      <c r="A25" t="s">
        <v>2314</v>
      </c>
      <c r="C25" t="s">
        <v>2315</v>
      </c>
      <c r="D25" t="s">
        <v>2316</v>
      </c>
      <c r="E25" t="s">
        <v>2310</v>
      </c>
      <c r="F25">
        <v>8</v>
      </c>
      <c r="G25">
        <v>8.1999999999999993</v>
      </c>
      <c r="H25" t="s">
        <v>2022</v>
      </c>
      <c r="I25" s="21">
        <v>37264</v>
      </c>
      <c r="J25">
        <v>2002</v>
      </c>
      <c r="K25" s="21">
        <v>37343</v>
      </c>
      <c r="L25">
        <v>2002</v>
      </c>
      <c r="M25" s="21">
        <v>37343</v>
      </c>
      <c r="N25">
        <v>2002</v>
      </c>
      <c r="R25" s="262">
        <v>50000</v>
      </c>
      <c r="S25" t="s">
        <v>114</v>
      </c>
      <c r="T25" t="s">
        <v>114</v>
      </c>
      <c r="U25">
        <v>5</v>
      </c>
      <c r="W25">
        <v>396</v>
      </c>
      <c r="X25">
        <v>0</v>
      </c>
      <c r="Y25">
        <v>0</v>
      </c>
      <c r="Z25">
        <v>0</v>
      </c>
      <c r="AA25">
        <v>0</v>
      </c>
      <c r="AB25">
        <v>0</v>
      </c>
      <c r="AC25">
        <v>396</v>
      </c>
      <c r="AD25">
        <v>0</v>
      </c>
      <c r="AE25">
        <v>0</v>
      </c>
      <c r="AF25">
        <v>0</v>
      </c>
      <c r="AG25">
        <v>0</v>
      </c>
      <c r="AH25">
        <v>0</v>
      </c>
      <c r="AI25">
        <v>0</v>
      </c>
      <c r="AJ25">
        <v>0</v>
      </c>
      <c r="AK25">
        <v>0</v>
      </c>
      <c r="AL25">
        <v>0</v>
      </c>
      <c r="AM25">
        <v>0</v>
      </c>
      <c r="AN25">
        <v>0</v>
      </c>
      <c r="AO25">
        <v>0</v>
      </c>
      <c r="AP25">
        <v>0</v>
      </c>
      <c r="AQ25">
        <v>0</v>
      </c>
      <c r="AR25">
        <v>0</v>
      </c>
      <c r="AS25">
        <v>0</v>
      </c>
      <c r="AT25">
        <v>0</v>
      </c>
      <c r="AU25">
        <f t="shared" ref="AU25:AU88" si="0">SUM(AN25:AQ25,AS25)</f>
        <v>0</v>
      </c>
      <c r="AV25">
        <f t="shared" ref="AV25:AV88" si="1">SUM(Y25:AB25,AH25:AM25)</f>
        <v>0</v>
      </c>
    </row>
    <row r="26" spans="1:48" x14ac:dyDescent="0.25">
      <c r="A26" t="s">
        <v>2317</v>
      </c>
      <c r="C26" t="s">
        <v>2318</v>
      </c>
      <c r="D26" t="s">
        <v>2319</v>
      </c>
      <c r="E26" t="s">
        <v>2310</v>
      </c>
      <c r="F26">
        <v>8</v>
      </c>
      <c r="G26">
        <v>8.1999999999999993</v>
      </c>
      <c r="H26" t="s">
        <v>2022</v>
      </c>
      <c r="I26" s="21">
        <v>37265</v>
      </c>
      <c r="J26">
        <v>2002</v>
      </c>
      <c r="K26" s="21">
        <v>37299</v>
      </c>
      <c r="L26">
        <v>2002</v>
      </c>
      <c r="M26" s="21">
        <v>37299</v>
      </c>
      <c r="N26">
        <v>2002</v>
      </c>
      <c r="R26" s="262">
        <v>7000</v>
      </c>
      <c r="S26" t="s">
        <v>114</v>
      </c>
      <c r="T26" t="s">
        <v>114</v>
      </c>
      <c r="U26">
        <v>5</v>
      </c>
      <c r="W26">
        <v>80</v>
      </c>
      <c r="X26">
        <v>0</v>
      </c>
      <c r="Y26">
        <v>0</v>
      </c>
      <c r="Z26">
        <v>0</v>
      </c>
      <c r="AA26">
        <v>0</v>
      </c>
      <c r="AB26">
        <v>0</v>
      </c>
      <c r="AC26">
        <v>80</v>
      </c>
      <c r="AD26">
        <v>0</v>
      </c>
      <c r="AE26">
        <v>0</v>
      </c>
      <c r="AF26">
        <v>0</v>
      </c>
      <c r="AG26">
        <v>0</v>
      </c>
      <c r="AH26">
        <v>0</v>
      </c>
      <c r="AI26">
        <v>0</v>
      </c>
      <c r="AJ26">
        <v>0</v>
      </c>
      <c r="AK26">
        <v>0</v>
      </c>
      <c r="AL26">
        <v>0</v>
      </c>
      <c r="AM26">
        <v>0</v>
      </c>
      <c r="AN26">
        <v>0</v>
      </c>
      <c r="AO26">
        <v>0</v>
      </c>
      <c r="AP26">
        <v>0</v>
      </c>
      <c r="AQ26">
        <v>0</v>
      </c>
      <c r="AR26">
        <v>0</v>
      </c>
      <c r="AS26">
        <v>0</v>
      </c>
      <c r="AT26">
        <v>0</v>
      </c>
      <c r="AU26">
        <f t="shared" si="0"/>
        <v>0</v>
      </c>
      <c r="AV26">
        <f t="shared" si="1"/>
        <v>0</v>
      </c>
    </row>
    <row r="27" spans="1:48" x14ac:dyDescent="0.25">
      <c r="A27" t="s">
        <v>2320</v>
      </c>
      <c r="C27" t="s">
        <v>2321</v>
      </c>
      <c r="D27" t="s">
        <v>2322</v>
      </c>
      <c r="E27" t="s">
        <v>2310</v>
      </c>
      <c r="F27">
        <v>8</v>
      </c>
      <c r="G27">
        <v>8.3000000000000007</v>
      </c>
      <c r="H27" t="s">
        <v>2323</v>
      </c>
      <c r="I27" s="21">
        <v>37267</v>
      </c>
      <c r="J27">
        <v>2002</v>
      </c>
      <c r="K27" s="21">
        <v>37295</v>
      </c>
      <c r="L27">
        <v>2002</v>
      </c>
      <c r="M27" s="21">
        <v>37406</v>
      </c>
      <c r="N27">
        <v>2002</v>
      </c>
      <c r="R27" s="262">
        <v>3000</v>
      </c>
      <c r="S27" t="s">
        <v>114</v>
      </c>
      <c r="T27" t="s">
        <v>114</v>
      </c>
      <c r="U27">
        <v>5</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f t="shared" si="0"/>
        <v>0</v>
      </c>
      <c r="AV27">
        <f t="shared" si="1"/>
        <v>0</v>
      </c>
    </row>
    <row r="28" spans="1:48" x14ac:dyDescent="0.25">
      <c r="A28" t="s">
        <v>2324</v>
      </c>
      <c r="C28" t="s">
        <v>2325</v>
      </c>
      <c r="D28" t="s">
        <v>2326</v>
      </c>
      <c r="E28" t="s">
        <v>2310</v>
      </c>
      <c r="F28">
        <v>12</v>
      </c>
      <c r="G28">
        <v>12.1</v>
      </c>
      <c r="H28" t="s">
        <v>2327</v>
      </c>
      <c r="I28" s="21">
        <v>37273</v>
      </c>
      <c r="J28">
        <v>2002</v>
      </c>
      <c r="K28" s="21">
        <v>37312</v>
      </c>
      <c r="L28">
        <v>2002</v>
      </c>
      <c r="M28" s="21">
        <v>37453</v>
      </c>
      <c r="N28">
        <v>2002</v>
      </c>
      <c r="R28" s="262">
        <v>50000</v>
      </c>
      <c r="S28" t="s">
        <v>114</v>
      </c>
      <c r="T28" t="s">
        <v>114</v>
      </c>
      <c r="U28">
        <v>10</v>
      </c>
      <c r="W28">
        <v>0</v>
      </c>
      <c r="X28">
        <v>0</v>
      </c>
      <c r="Y28">
        <v>0</v>
      </c>
      <c r="Z28">
        <v>0</v>
      </c>
      <c r="AA28">
        <v>0</v>
      </c>
      <c r="AB28">
        <v>0</v>
      </c>
      <c r="AC28">
        <v>0</v>
      </c>
      <c r="AD28">
        <v>0</v>
      </c>
      <c r="AE28">
        <v>0</v>
      </c>
      <c r="AF28">
        <v>0</v>
      </c>
      <c r="AG28">
        <v>0</v>
      </c>
      <c r="AH28">
        <v>1258</v>
      </c>
      <c r="AI28">
        <v>0</v>
      </c>
      <c r="AJ28">
        <v>-1258</v>
      </c>
      <c r="AK28">
        <v>0</v>
      </c>
      <c r="AL28">
        <v>0</v>
      </c>
      <c r="AM28">
        <v>0</v>
      </c>
      <c r="AN28">
        <v>0</v>
      </c>
      <c r="AO28">
        <v>0</v>
      </c>
      <c r="AP28">
        <v>0</v>
      </c>
      <c r="AQ28">
        <v>0</v>
      </c>
      <c r="AR28">
        <v>0</v>
      </c>
      <c r="AS28">
        <v>0</v>
      </c>
      <c r="AT28">
        <v>0</v>
      </c>
      <c r="AU28">
        <f t="shared" si="0"/>
        <v>0</v>
      </c>
      <c r="AV28">
        <f t="shared" si="1"/>
        <v>0</v>
      </c>
    </row>
    <row r="29" spans="1:48" x14ac:dyDescent="0.25">
      <c r="A29" t="s">
        <v>2331</v>
      </c>
      <c r="C29" t="s">
        <v>2332</v>
      </c>
      <c r="D29" t="s">
        <v>2333</v>
      </c>
      <c r="E29" t="s">
        <v>2310</v>
      </c>
      <c r="F29">
        <v>13</v>
      </c>
      <c r="G29">
        <v>13.3</v>
      </c>
      <c r="H29" t="s">
        <v>2017</v>
      </c>
      <c r="I29" s="21">
        <v>37279</v>
      </c>
      <c r="J29">
        <v>2002</v>
      </c>
      <c r="K29" s="21">
        <v>37313</v>
      </c>
      <c r="L29">
        <v>2002</v>
      </c>
      <c r="M29" s="21">
        <v>38131</v>
      </c>
      <c r="N29">
        <v>2004</v>
      </c>
      <c r="R29" s="262">
        <v>875000</v>
      </c>
      <c r="S29" t="s">
        <v>114</v>
      </c>
      <c r="T29" t="s">
        <v>114</v>
      </c>
      <c r="U29">
        <v>5</v>
      </c>
      <c r="W29">
        <v>5787</v>
      </c>
      <c r="X29">
        <v>1</v>
      </c>
      <c r="Y29">
        <v>0</v>
      </c>
      <c r="Z29">
        <v>0</v>
      </c>
      <c r="AA29">
        <v>0</v>
      </c>
      <c r="AB29">
        <v>0</v>
      </c>
      <c r="AC29">
        <v>5787</v>
      </c>
      <c r="AD29">
        <v>0</v>
      </c>
      <c r="AE29">
        <v>0</v>
      </c>
      <c r="AF29">
        <v>0</v>
      </c>
      <c r="AG29">
        <v>0</v>
      </c>
      <c r="AH29">
        <v>0</v>
      </c>
      <c r="AI29">
        <v>0</v>
      </c>
      <c r="AJ29">
        <v>0</v>
      </c>
      <c r="AK29">
        <v>0</v>
      </c>
      <c r="AL29">
        <v>0</v>
      </c>
      <c r="AM29">
        <v>0</v>
      </c>
      <c r="AN29">
        <v>0</v>
      </c>
      <c r="AO29">
        <v>1</v>
      </c>
      <c r="AP29">
        <v>0</v>
      </c>
      <c r="AQ29">
        <v>0</v>
      </c>
      <c r="AR29">
        <v>0</v>
      </c>
      <c r="AS29">
        <v>0</v>
      </c>
      <c r="AT29">
        <v>0</v>
      </c>
      <c r="AU29">
        <f t="shared" si="0"/>
        <v>1</v>
      </c>
      <c r="AV29">
        <f t="shared" si="1"/>
        <v>0</v>
      </c>
    </row>
    <row r="30" spans="1:48" x14ac:dyDescent="0.25">
      <c r="A30" t="s">
        <v>2328</v>
      </c>
      <c r="C30" t="s">
        <v>2329</v>
      </c>
      <c r="D30" t="s">
        <v>2330</v>
      </c>
      <c r="E30" t="s">
        <v>1663</v>
      </c>
      <c r="F30">
        <v>6</v>
      </c>
      <c r="G30">
        <v>6.1</v>
      </c>
      <c r="H30" t="s">
        <v>2017</v>
      </c>
      <c r="I30" s="21">
        <v>37279</v>
      </c>
      <c r="J30">
        <v>2002</v>
      </c>
      <c r="K30" s="21">
        <v>37310</v>
      </c>
      <c r="L30">
        <v>2002</v>
      </c>
      <c r="M30" s="21">
        <v>37460</v>
      </c>
      <c r="N30">
        <v>2002</v>
      </c>
      <c r="Q30" s="262">
        <v>336000</v>
      </c>
      <c r="S30" t="s">
        <v>114</v>
      </c>
      <c r="T30" t="s">
        <v>114</v>
      </c>
      <c r="W30">
        <v>4467</v>
      </c>
      <c r="X30">
        <v>1</v>
      </c>
      <c r="Y30">
        <v>0</v>
      </c>
      <c r="Z30">
        <v>0</v>
      </c>
      <c r="AA30">
        <v>0</v>
      </c>
      <c r="AB30">
        <v>0</v>
      </c>
      <c r="AC30">
        <v>4467</v>
      </c>
      <c r="AD30">
        <v>0</v>
      </c>
      <c r="AE30">
        <v>0</v>
      </c>
      <c r="AF30">
        <v>0</v>
      </c>
      <c r="AG30">
        <v>0</v>
      </c>
      <c r="AH30">
        <v>0</v>
      </c>
      <c r="AI30">
        <v>0</v>
      </c>
      <c r="AJ30">
        <v>0</v>
      </c>
      <c r="AK30">
        <v>0</v>
      </c>
      <c r="AL30">
        <v>0</v>
      </c>
      <c r="AM30">
        <v>0</v>
      </c>
      <c r="AN30">
        <v>0</v>
      </c>
      <c r="AO30">
        <v>1</v>
      </c>
      <c r="AP30">
        <v>0</v>
      </c>
      <c r="AQ30">
        <v>0</v>
      </c>
      <c r="AR30">
        <v>0</v>
      </c>
      <c r="AS30">
        <v>0</v>
      </c>
      <c r="AT30">
        <v>0</v>
      </c>
      <c r="AU30">
        <f t="shared" si="0"/>
        <v>1</v>
      </c>
      <c r="AV30">
        <f t="shared" si="1"/>
        <v>0</v>
      </c>
    </row>
    <row r="31" spans="1:48" x14ac:dyDescent="0.25">
      <c r="A31" t="s">
        <v>2334</v>
      </c>
      <c r="C31" t="s">
        <v>2335</v>
      </c>
      <c r="D31" t="s">
        <v>2336</v>
      </c>
      <c r="E31" t="s">
        <v>1663</v>
      </c>
      <c r="F31">
        <v>5</v>
      </c>
      <c r="G31">
        <v>5.4</v>
      </c>
      <c r="H31" t="s">
        <v>2017</v>
      </c>
      <c r="I31" s="21">
        <v>37285</v>
      </c>
      <c r="J31">
        <v>2002</v>
      </c>
      <c r="K31" s="21">
        <v>37315</v>
      </c>
      <c r="L31">
        <v>2002</v>
      </c>
      <c r="M31" s="21">
        <v>37466</v>
      </c>
      <c r="N31">
        <v>2002</v>
      </c>
      <c r="Q31" s="262">
        <v>0</v>
      </c>
      <c r="S31" t="s">
        <v>114</v>
      </c>
      <c r="T31" t="s">
        <v>114</v>
      </c>
      <c r="W31">
        <v>95000</v>
      </c>
      <c r="X31">
        <v>0</v>
      </c>
      <c r="Y31">
        <v>0</v>
      </c>
      <c r="Z31">
        <v>0</v>
      </c>
      <c r="AA31">
        <v>0</v>
      </c>
      <c r="AB31">
        <v>0</v>
      </c>
      <c r="AC31">
        <v>0</v>
      </c>
      <c r="AD31">
        <v>0</v>
      </c>
      <c r="AE31">
        <v>0</v>
      </c>
      <c r="AF31">
        <v>0</v>
      </c>
      <c r="AG31">
        <v>0</v>
      </c>
      <c r="AH31">
        <v>0</v>
      </c>
      <c r="AI31">
        <v>0</v>
      </c>
      <c r="AJ31">
        <v>0</v>
      </c>
      <c r="AK31">
        <v>0</v>
      </c>
      <c r="AL31">
        <v>0</v>
      </c>
      <c r="AM31">
        <v>95000</v>
      </c>
      <c r="AN31">
        <v>0</v>
      </c>
      <c r="AO31">
        <v>0</v>
      </c>
      <c r="AP31">
        <v>0</v>
      </c>
      <c r="AQ31">
        <v>0</v>
      </c>
      <c r="AR31">
        <v>0</v>
      </c>
      <c r="AS31">
        <v>0</v>
      </c>
      <c r="AT31">
        <v>0</v>
      </c>
      <c r="AU31">
        <f t="shared" si="0"/>
        <v>0</v>
      </c>
      <c r="AV31">
        <f t="shared" si="1"/>
        <v>95000</v>
      </c>
    </row>
    <row r="32" spans="1:48" x14ac:dyDescent="0.25">
      <c r="A32" t="s">
        <v>2337</v>
      </c>
      <c r="C32" t="s">
        <v>2338</v>
      </c>
      <c r="D32" t="s">
        <v>2339</v>
      </c>
      <c r="E32" t="s">
        <v>2310</v>
      </c>
      <c r="F32">
        <v>9</v>
      </c>
      <c r="G32">
        <v>9.1999999999999993</v>
      </c>
      <c r="H32" t="s">
        <v>2022</v>
      </c>
      <c r="I32" s="21">
        <v>37287</v>
      </c>
      <c r="J32">
        <v>2002</v>
      </c>
      <c r="K32" s="21">
        <v>37305</v>
      </c>
      <c r="L32">
        <v>2002</v>
      </c>
      <c r="M32" s="21">
        <v>37305</v>
      </c>
      <c r="N32">
        <v>2002</v>
      </c>
      <c r="R32" s="262">
        <v>41000</v>
      </c>
      <c r="S32" t="s">
        <v>114</v>
      </c>
      <c r="T32" t="s">
        <v>114</v>
      </c>
      <c r="U32">
        <v>5</v>
      </c>
      <c r="W32">
        <v>220</v>
      </c>
      <c r="X32">
        <v>0</v>
      </c>
      <c r="Y32">
        <v>0</v>
      </c>
      <c r="Z32">
        <v>0</v>
      </c>
      <c r="AA32">
        <v>0</v>
      </c>
      <c r="AB32">
        <v>0</v>
      </c>
      <c r="AC32">
        <v>220</v>
      </c>
      <c r="AD32">
        <v>0</v>
      </c>
      <c r="AE32">
        <v>0</v>
      </c>
      <c r="AF32">
        <v>0</v>
      </c>
      <c r="AG32">
        <v>0</v>
      </c>
      <c r="AH32">
        <v>0</v>
      </c>
      <c r="AI32">
        <v>0</v>
      </c>
      <c r="AJ32">
        <v>0</v>
      </c>
      <c r="AK32">
        <v>0</v>
      </c>
      <c r="AL32">
        <v>0</v>
      </c>
      <c r="AM32">
        <v>0</v>
      </c>
      <c r="AN32">
        <v>0</v>
      </c>
      <c r="AO32">
        <v>0</v>
      </c>
      <c r="AP32">
        <v>0</v>
      </c>
      <c r="AQ32">
        <v>0</v>
      </c>
      <c r="AR32">
        <v>0</v>
      </c>
      <c r="AS32">
        <v>0</v>
      </c>
      <c r="AT32">
        <v>0</v>
      </c>
      <c r="AU32">
        <f t="shared" si="0"/>
        <v>0</v>
      </c>
      <c r="AV32">
        <f t="shared" si="1"/>
        <v>0</v>
      </c>
    </row>
    <row r="33" spans="1:48" x14ac:dyDescent="0.25">
      <c r="A33" t="s">
        <v>2340</v>
      </c>
      <c r="C33" t="s">
        <v>2341</v>
      </c>
      <c r="D33" t="s">
        <v>2342</v>
      </c>
      <c r="E33" t="s">
        <v>2310</v>
      </c>
      <c r="F33">
        <v>13</v>
      </c>
      <c r="G33">
        <v>13.1</v>
      </c>
      <c r="H33" t="s">
        <v>2327</v>
      </c>
      <c r="I33" s="21">
        <v>37288</v>
      </c>
      <c r="J33">
        <v>2002</v>
      </c>
      <c r="K33" s="21">
        <v>37305</v>
      </c>
      <c r="L33">
        <v>2002</v>
      </c>
      <c r="M33" s="21">
        <v>37490</v>
      </c>
      <c r="N33">
        <v>2002</v>
      </c>
      <c r="R33" s="262">
        <v>32000</v>
      </c>
      <c r="S33" t="s">
        <v>114</v>
      </c>
      <c r="T33" t="s">
        <v>114</v>
      </c>
      <c r="U33">
        <v>11</v>
      </c>
      <c r="W33">
        <v>0</v>
      </c>
      <c r="X33">
        <v>0</v>
      </c>
      <c r="Y33">
        <v>0</v>
      </c>
      <c r="Z33">
        <v>0</v>
      </c>
      <c r="AA33">
        <v>0</v>
      </c>
      <c r="AB33">
        <v>0</v>
      </c>
      <c r="AC33">
        <v>0</v>
      </c>
      <c r="AD33">
        <v>0</v>
      </c>
      <c r="AE33">
        <v>0</v>
      </c>
      <c r="AF33">
        <v>0</v>
      </c>
      <c r="AG33">
        <v>0</v>
      </c>
      <c r="AH33">
        <v>0</v>
      </c>
      <c r="AI33">
        <v>800</v>
      </c>
      <c r="AJ33">
        <v>0</v>
      </c>
      <c r="AK33">
        <v>-800</v>
      </c>
      <c r="AL33">
        <v>0</v>
      </c>
      <c r="AM33">
        <v>0</v>
      </c>
      <c r="AN33">
        <v>0</v>
      </c>
      <c r="AO33">
        <v>0</v>
      </c>
      <c r="AP33">
        <v>0</v>
      </c>
      <c r="AQ33">
        <v>0</v>
      </c>
      <c r="AR33">
        <v>0</v>
      </c>
      <c r="AS33">
        <v>0</v>
      </c>
      <c r="AT33">
        <v>0</v>
      </c>
      <c r="AU33">
        <f t="shared" si="0"/>
        <v>0</v>
      </c>
      <c r="AV33">
        <f t="shared" si="1"/>
        <v>0</v>
      </c>
    </row>
    <row r="34" spans="1:48" x14ac:dyDescent="0.25">
      <c r="A34" t="s">
        <v>2346</v>
      </c>
      <c r="C34" t="s">
        <v>2347</v>
      </c>
      <c r="D34" t="s">
        <v>2348</v>
      </c>
      <c r="E34" t="s">
        <v>2310</v>
      </c>
      <c r="F34">
        <v>9</v>
      </c>
      <c r="G34">
        <v>9.1</v>
      </c>
      <c r="H34" t="s">
        <v>2323</v>
      </c>
      <c r="I34" s="21">
        <v>37292</v>
      </c>
      <c r="J34">
        <v>2002</v>
      </c>
      <c r="K34" s="21">
        <v>37312</v>
      </c>
      <c r="L34">
        <v>2002</v>
      </c>
      <c r="M34" s="21">
        <v>37312</v>
      </c>
      <c r="N34">
        <v>2002</v>
      </c>
      <c r="R34" s="262">
        <v>1950000</v>
      </c>
      <c r="S34" t="s">
        <v>114</v>
      </c>
      <c r="T34" t="s">
        <v>114</v>
      </c>
      <c r="U34">
        <v>5</v>
      </c>
      <c r="W34">
        <v>8536</v>
      </c>
      <c r="X34">
        <v>1</v>
      </c>
      <c r="Y34">
        <v>0</v>
      </c>
      <c r="Z34">
        <v>0</v>
      </c>
      <c r="AA34">
        <v>0</v>
      </c>
      <c r="AB34">
        <v>0</v>
      </c>
      <c r="AC34">
        <v>8536</v>
      </c>
      <c r="AD34">
        <v>0</v>
      </c>
      <c r="AE34">
        <v>0</v>
      </c>
      <c r="AF34">
        <v>0</v>
      </c>
      <c r="AG34">
        <v>0</v>
      </c>
      <c r="AH34">
        <v>0</v>
      </c>
      <c r="AI34">
        <v>0</v>
      </c>
      <c r="AJ34">
        <v>0</v>
      </c>
      <c r="AK34">
        <v>0</v>
      </c>
      <c r="AL34">
        <v>0</v>
      </c>
      <c r="AM34">
        <v>0</v>
      </c>
      <c r="AN34">
        <v>0</v>
      </c>
      <c r="AO34">
        <v>1</v>
      </c>
      <c r="AP34">
        <v>0</v>
      </c>
      <c r="AQ34">
        <v>0</v>
      </c>
      <c r="AR34">
        <v>0</v>
      </c>
      <c r="AS34">
        <v>0</v>
      </c>
      <c r="AT34">
        <v>0</v>
      </c>
      <c r="AU34">
        <f t="shared" si="0"/>
        <v>1</v>
      </c>
      <c r="AV34">
        <f t="shared" si="1"/>
        <v>0</v>
      </c>
    </row>
    <row r="35" spans="1:48" x14ac:dyDescent="0.25">
      <c r="A35" t="s">
        <v>2343</v>
      </c>
      <c r="C35" t="s">
        <v>2344</v>
      </c>
      <c r="D35" t="s">
        <v>2345</v>
      </c>
      <c r="E35" t="s">
        <v>1663</v>
      </c>
      <c r="F35">
        <v>3</v>
      </c>
      <c r="G35">
        <v>3.2</v>
      </c>
      <c r="H35" t="s">
        <v>2327</v>
      </c>
      <c r="I35" s="21">
        <v>37292</v>
      </c>
      <c r="J35">
        <v>2002</v>
      </c>
      <c r="K35" s="21">
        <v>37320</v>
      </c>
      <c r="L35">
        <v>2002</v>
      </c>
      <c r="M35" s="21">
        <v>37473</v>
      </c>
      <c r="N35">
        <v>2002</v>
      </c>
      <c r="Q35" s="262">
        <v>111766</v>
      </c>
      <c r="S35" t="s">
        <v>114</v>
      </c>
      <c r="T35" t="s">
        <v>114</v>
      </c>
      <c r="W35">
        <v>1386</v>
      </c>
      <c r="X35">
        <v>1</v>
      </c>
      <c r="Y35">
        <v>0</v>
      </c>
      <c r="Z35">
        <v>0</v>
      </c>
      <c r="AA35">
        <v>0</v>
      </c>
      <c r="AB35">
        <v>0</v>
      </c>
      <c r="AC35">
        <v>1386</v>
      </c>
      <c r="AD35">
        <v>0</v>
      </c>
      <c r="AE35">
        <v>0</v>
      </c>
      <c r="AF35">
        <v>0</v>
      </c>
      <c r="AG35">
        <v>0</v>
      </c>
      <c r="AH35">
        <v>0</v>
      </c>
      <c r="AI35">
        <v>0</v>
      </c>
      <c r="AJ35">
        <v>0</v>
      </c>
      <c r="AK35">
        <v>0</v>
      </c>
      <c r="AL35">
        <v>0</v>
      </c>
      <c r="AM35">
        <v>0</v>
      </c>
      <c r="AN35">
        <v>0</v>
      </c>
      <c r="AO35">
        <v>1</v>
      </c>
      <c r="AP35">
        <v>0</v>
      </c>
      <c r="AQ35">
        <v>0</v>
      </c>
      <c r="AR35">
        <v>0</v>
      </c>
      <c r="AS35">
        <v>0</v>
      </c>
      <c r="AT35">
        <v>0</v>
      </c>
      <c r="AU35">
        <f t="shared" si="0"/>
        <v>1</v>
      </c>
      <c r="AV35">
        <f t="shared" si="1"/>
        <v>0</v>
      </c>
    </row>
    <row r="36" spans="1:48" x14ac:dyDescent="0.25">
      <c r="A36" t="s">
        <v>2349</v>
      </c>
      <c r="C36" t="s">
        <v>2350</v>
      </c>
      <c r="D36" t="s">
        <v>2351</v>
      </c>
      <c r="E36" t="s">
        <v>2310</v>
      </c>
      <c r="F36">
        <v>8</v>
      </c>
      <c r="G36">
        <v>8.1</v>
      </c>
      <c r="H36" t="s">
        <v>2323</v>
      </c>
      <c r="I36" s="21">
        <v>37293</v>
      </c>
      <c r="J36">
        <v>2002</v>
      </c>
      <c r="K36" s="21">
        <v>37347</v>
      </c>
      <c r="L36">
        <v>2002</v>
      </c>
      <c r="M36" s="21">
        <v>37347</v>
      </c>
      <c r="N36">
        <v>2002</v>
      </c>
      <c r="R36" s="262">
        <v>200000</v>
      </c>
      <c r="S36" t="s">
        <v>114</v>
      </c>
      <c r="T36" t="s">
        <v>114</v>
      </c>
      <c r="U36">
        <v>5</v>
      </c>
      <c r="W36">
        <v>1402</v>
      </c>
      <c r="X36">
        <v>0</v>
      </c>
      <c r="Y36">
        <v>0</v>
      </c>
      <c r="Z36">
        <v>0</v>
      </c>
      <c r="AA36">
        <v>0</v>
      </c>
      <c r="AB36">
        <v>0</v>
      </c>
      <c r="AC36">
        <v>1402</v>
      </c>
      <c r="AD36">
        <v>0</v>
      </c>
      <c r="AE36">
        <v>0</v>
      </c>
      <c r="AF36">
        <v>0</v>
      </c>
      <c r="AG36">
        <v>0</v>
      </c>
      <c r="AH36">
        <v>0</v>
      </c>
      <c r="AI36">
        <v>0</v>
      </c>
      <c r="AJ36">
        <v>0</v>
      </c>
      <c r="AK36">
        <v>0</v>
      </c>
      <c r="AL36">
        <v>0</v>
      </c>
      <c r="AM36">
        <v>0</v>
      </c>
      <c r="AN36">
        <v>0</v>
      </c>
      <c r="AO36">
        <v>0</v>
      </c>
      <c r="AP36">
        <v>0</v>
      </c>
      <c r="AQ36">
        <v>0</v>
      </c>
      <c r="AR36">
        <v>0</v>
      </c>
      <c r="AS36">
        <v>0</v>
      </c>
      <c r="AT36">
        <v>0</v>
      </c>
      <c r="AU36">
        <f t="shared" si="0"/>
        <v>0</v>
      </c>
      <c r="AV36">
        <f t="shared" si="1"/>
        <v>0</v>
      </c>
    </row>
    <row r="37" spans="1:48" x14ac:dyDescent="0.25">
      <c r="A37" t="s">
        <v>2352</v>
      </c>
      <c r="C37" t="s">
        <v>2353</v>
      </c>
      <c r="D37" t="s">
        <v>2354</v>
      </c>
      <c r="E37" t="s">
        <v>2310</v>
      </c>
      <c r="F37">
        <v>8</v>
      </c>
      <c r="G37">
        <v>8.1</v>
      </c>
      <c r="H37" t="s">
        <v>2323</v>
      </c>
      <c r="I37" s="21">
        <v>37300</v>
      </c>
      <c r="J37">
        <v>2002</v>
      </c>
      <c r="K37" s="21">
        <v>37343</v>
      </c>
      <c r="L37">
        <v>2002</v>
      </c>
      <c r="M37" s="21">
        <v>37888</v>
      </c>
      <c r="N37">
        <v>2003</v>
      </c>
      <c r="R37" s="262">
        <v>7500</v>
      </c>
      <c r="S37" t="s">
        <v>114</v>
      </c>
      <c r="T37" t="s">
        <v>114</v>
      </c>
      <c r="U37">
        <v>15</v>
      </c>
      <c r="W37">
        <v>1500</v>
      </c>
      <c r="X37">
        <v>0</v>
      </c>
      <c r="Y37">
        <v>0</v>
      </c>
      <c r="Z37">
        <v>0</v>
      </c>
      <c r="AA37">
        <v>0</v>
      </c>
      <c r="AB37">
        <v>0</v>
      </c>
      <c r="AC37">
        <v>0</v>
      </c>
      <c r="AD37">
        <v>0</v>
      </c>
      <c r="AE37">
        <v>0</v>
      </c>
      <c r="AF37">
        <v>0</v>
      </c>
      <c r="AG37">
        <v>0</v>
      </c>
      <c r="AH37">
        <v>0</v>
      </c>
      <c r="AI37">
        <v>0</v>
      </c>
      <c r="AJ37">
        <v>0</v>
      </c>
      <c r="AK37">
        <v>0</v>
      </c>
      <c r="AL37">
        <v>0</v>
      </c>
      <c r="AM37">
        <v>1500</v>
      </c>
      <c r="AN37">
        <v>0</v>
      </c>
      <c r="AO37">
        <v>0</v>
      </c>
      <c r="AP37">
        <v>0</v>
      </c>
      <c r="AQ37">
        <v>0</v>
      </c>
      <c r="AR37">
        <v>0</v>
      </c>
      <c r="AS37">
        <v>0</v>
      </c>
      <c r="AT37">
        <v>0</v>
      </c>
      <c r="AU37">
        <f t="shared" si="0"/>
        <v>0</v>
      </c>
      <c r="AV37">
        <f t="shared" si="1"/>
        <v>1500</v>
      </c>
    </row>
    <row r="38" spans="1:48" x14ac:dyDescent="0.25">
      <c r="A38" t="s">
        <v>2355</v>
      </c>
      <c r="C38" t="s">
        <v>2356</v>
      </c>
      <c r="D38" t="s">
        <v>2342</v>
      </c>
      <c r="E38" t="s">
        <v>2310</v>
      </c>
      <c r="F38">
        <v>13</v>
      </c>
      <c r="G38">
        <v>13.1</v>
      </c>
      <c r="H38" t="s">
        <v>2327</v>
      </c>
      <c r="I38" s="21">
        <v>37301</v>
      </c>
      <c r="J38">
        <v>2002</v>
      </c>
      <c r="K38" s="21">
        <v>37306</v>
      </c>
      <c r="L38">
        <v>2002</v>
      </c>
      <c r="M38" s="21">
        <v>37354</v>
      </c>
      <c r="N38">
        <v>2002</v>
      </c>
      <c r="R38" s="262">
        <v>100000</v>
      </c>
      <c r="S38" t="s">
        <v>114</v>
      </c>
      <c r="T38" t="s">
        <v>114</v>
      </c>
      <c r="U38">
        <v>12</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f t="shared" si="0"/>
        <v>0</v>
      </c>
      <c r="AV38">
        <f t="shared" si="1"/>
        <v>0</v>
      </c>
    </row>
    <row r="39" spans="1:48" x14ac:dyDescent="0.25">
      <c r="A39" t="s">
        <v>2357</v>
      </c>
      <c r="C39" t="s">
        <v>2358</v>
      </c>
      <c r="D39" t="s">
        <v>2359</v>
      </c>
      <c r="E39" t="s">
        <v>2310</v>
      </c>
      <c r="F39">
        <v>8</v>
      </c>
      <c r="G39">
        <v>8.1999999999999993</v>
      </c>
      <c r="H39" t="s">
        <v>2022</v>
      </c>
      <c r="I39" s="21">
        <v>37301</v>
      </c>
      <c r="J39">
        <v>2002</v>
      </c>
      <c r="K39" s="21">
        <v>37340</v>
      </c>
      <c r="L39">
        <v>2002</v>
      </c>
      <c r="M39" s="21">
        <v>38622</v>
      </c>
      <c r="N39">
        <v>2005</v>
      </c>
      <c r="R39" s="262">
        <v>1710000</v>
      </c>
      <c r="S39" t="s">
        <v>114</v>
      </c>
      <c r="T39" t="s">
        <v>114</v>
      </c>
      <c r="U39">
        <v>5</v>
      </c>
      <c r="W39">
        <v>7637</v>
      </c>
      <c r="X39">
        <v>1</v>
      </c>
      <c r="Y39">
        <v>0</v>
      </c>
      <c r="Z39">
        <v>0</v>
      </c>
      <c r="AA39">
        <v>0</v>
      </c>
      <c r="AB39">
        <v>0</v>
      </c>
      <c r="AC39">
        <v>7637</v>
      </c>
      <c r="AD39">
        <v>0</v>
      </c>
      <c r="AE39">
        <v>0</v>
      </c>
      <c r="AF39">
        <v>0</v>
      </c>
      <c r="AG39">
        <v>0</v>
      </c>
      <c r="AH39">
        <v>0</v>
      </c>
      <c r="AI39">
        <v>0</v>
      </c>
      <c r="AJ39">
        <v>0</v>
      </c>
      <c r="AK39">
        <v>0</v>
      </c>
      <c r="AL39">
        <v>0</v>
      </c>
      <c r="AM39">
        <v>0</v>
      </c>
      <c r="AN39">
        <v>0</v>
      </c>
      <c r="AO39">
        <v>1</v>
      </c>
      <c r="AP39">
        <v>0</v>
      </c>
      <c r="AQ39">
        <v>0</v>
      </c>
      <c r="AR39">
        <v>0</v>
      </c>
      <c r="AS39">
        <v>0</v>
      </c>
      <c r="AT39">
        <v>0</v>
      </c>
      <c r="AU39">
        <f t="shared" si="0"/>
        <v>1</v>
      </c>
      <c r="AV39">
        <f t="shared" si="1"/>
        <v>0</v>
      </c>
    </row>
    <row r="40" spans="1:48" x14ac:dyDescent="0.25">
      <c r="A40" t="s">
        <v>2360</v>
      </c>
      <c r="C40" t="s">
        <v>2358</v>
      </c>
      <c r="D40" t="s">
        <v>2361</v>
      </c>
      <c r="E40" t="s">
        <v>2310</v>
      </c>
      <c r="F40">
        <v>9</v>
      </c>
      <c r="G40">
        <v>9.3000000000000007</v>
      </c>
      <c r="H40" t="s">
        <v>2323</v>
      </c>
      <c r="I40" s="21">
        <v>37301</v>
      </c>
      <c r="J40">
        <v>2002</v>
      </c>
      <c r="K40" s="21">
        <v>37313</v>
      </c>
      <c r="L40">
        <v>2002</v>
      </c>
      <c r="M40" s="21">
        <v>40280.481435185196</v>
      </c>
      <c r="N40">
        <v>2010</v>
      </c>
      <c r="R40" s="262">
        <v>767000</v>
      </c>
      <c r="S40" t="s">
        <v>114</v>
      </c>
      <c r="T40" t="s">
        <v>114</v>
      </c>
      <c r="U40">
        <v>5</v>
      </c>
      <c r="W40">
        <v>3353</v>
      </c>
      <c r="X40">
        <v>1</v>
      </c>
      <c r="Y40">
        <v>0</v>
      </c>
      <c r="Z40">
        <v>0</v>
      </c>
      <c r="AA40">
        <v>0</v>
      </c>
      <c r="AB40">
        <v>0</v>
      </c>
      <c r="AC40">
        <v>3353</v>
      </c>
      <c r="AD40">
        <v>0</v>
      </c>
      <c r="AE40">
        <v>0</v>
      </c>
      <c r="AF40">
        <v>0</v>
      </c>
      <c r="AG40">
        <v>0</v>
      </c>
      <c r="AH40">
        <v>0</v>
      </c>
      <c r="AI40">
        <v>0</v>
      </c>
      <c r="AJ40">
        <v>0</v>
      </c>
      <c r="AK40">
        <v>0</v>
      </c>
      <c r="AL40">
        <v>0</v>
      </c>
      <c r="AM40">
        <v>0</v>
      </c>
      <c r="AN40">
        <v>0</v>
      </c>
      <c r="AO40">
        <v>1</v>
      </c>
      <c r="AP40">
        <v>0</v>
      </c>
      <c r="AQ40">
        <v>0</v>
      </c>
      <c r="AR40">
        <v>0</v>
      </c>
      <c r="AS40">
        <v>0</v>
      </c>
      <c r="AT40">
        <v>0</v>
      </c>
      <c r="AU40">
        <f t="shared" si="0"/>
        <v>1</v>
      </c>
      <c r="AV40">
        <f t="shared" si="1"/>
        <v>0</v>
      </c>
    </row>
    <row r="41" spans="1:48" x14ac:dyDescent="0.25">
      <c r="A41" t="s">
        <v>2362</v>
      </c>
      <c r="C41" t="s">
        <v>2363</v>
      </c>
      <c r="D41" t="s">
        <v>2364</v>
      </c>
      <c r="E41" t="s">
        <v>2310</v>
      </c>
      <c r="F41">
        <v>15</v>
      </c>
      <c r="G41">
        <v>15.1</v>
      </c>
      <c r="H41" t="s">
        <v>2022</v>
      </c>
      <c r="I41" s="21">
        <v>37307</v>
      </c>
      <c r="J41">
        <v>2002</v>
      </c>
      <c r="K41" s="21">
        <v>37362</v>
      </c>
      <c r="L41">
        <v>2002</v>
      </c>
      <c r="M41" s="21">
        <v>37362</v>
      </c>
      <c r="N41">
        <v>2002</v>
      </c>
      <c r="R41" s="262">
        <v>325000</v>
      </c>
      <c r="S41" t="s">
        <v>114</v>
      </c>
      <c r="T41" t="s">
        <v>114</v>
      </c>
      <c r="U41">
        <v>5</v>
      </c>
      <c r="W41">
        <v>3608</v>
      </c>
      <c r="X41">
        <v>1</v>
      </c>
      <c r="Y41">
        <v>0</v>
      </c>
      <c r="Z41">
        <v>0</v>
      </c>
      <c r="AA41">
        <v>0</v>
      </c>
      <c r="AB41">
        <v>0</v>
      </c>
      <c r="AC41">
        <v>3608</v>
      </c>
      <c r="AD41">
        <v>0</v>
      </c>
      <c r="AE41">
        <v>0</v>
      </c>
      <c r="AF41">
        <v>0</v>
      </c>
      <c r="AG41">
        <v>0</v>
      </c>
      <c r="AH41">
        <v>0</v>
      </c>
      <c r="AI41">
        <v>0</v>
      </c>
      <c r="AJ41">
        <v>0</v>
      </c>
      <c r="AK41">
        <v>0</v>
      </c>
      <c r="AL41">
        <v>0</v>
      </c>
      <c r="AM41">
        <v>0</v>
      </c>
      <c r="AN41">
        <v>0</v>
      </c>
      <c r="AO41">
        <v>1</v>
      </c>
      <c r="AP41">
        <v>0</v>
      </c>
      <c r="AQ41">
        <v>0</v>
      </c>
      <c r="AR41">
        <v>0</v>
      </c>
      <c r="AS41">
        <v>0</v>
      </c>
      <c r="AT41">
        <v>0</v>
      </c>
      <c r="AU41">
        <f t="shared" si="0"/>
        <v>1</v>
      </c>
      <c r="AV41">
        <f t="shared" si="1"/>
        <v>0</v>
      </c>
    </row>
    <row r="42" spans="1:48" x14ac:dyDescent="0.25">
      <c r="A42" t="s">
        <v>2374</v>
      </c>
      <c r="C42" t="s">
        <v>2375</v>
      </c>
      <c r="D42" t="s">
        <v>2376</v>
      </c>
      <c r="E42" t="s">
        <v>2310</v>
      </c>
      <c r="F42">
        <v>9</v>
      </c>
      <c r="G42">
        <v>9.4</v>
      </c>
      <c r="H42" t="s">
        <v>2323</v>
      </c>
      <c r="I42" s="21">
        <v>37308</v>
      </c>
      <c r="J42">
        <v>2002</v>
      </c>
      <c r="K42" s="21">
        <v>37364</v>
      </c>
      <c r="L42">
        <v>2002</v>
      </c>
      <c r="M42" s="21">
        <v>37364</v>
      </c>
      <c r="N42">
        <v>2002</v>
      </c>
      <c r="R42" s="262">
        <v>200000</v>
      </c>
      <c r="S42" t="s">
        <v>114</v>
      </c>
      <c r="T42" t="s">
        <v>114</v>
      </c>
      <c r="U42">
        <v>5</v>
      </c>
      <c r="W42">
        <v>1081</v>
      </c>
      <c r="X42">
        <v>0</v>
      </c>
      <c r="Y42">
        <v>0</v>
      </c>
      <c r="Z42">
        <v>0</v>
      </c>
      <c r="AA42">
        <v>0</v>
      </c>
      <c r="AB42">
        <v>0</v>
      </c>
      <c r="AC42">
        <v>1081</v>
      </c>
      <c r="AD42">
        <v>0</v>
      </c>
      <c r="AE42">
        <v>0</v>
      </c>
      <c r="AF42">
        <v>0</v>
      </c>
      <c r="AG42">
        <v>0</v>
      </c>
      <c r="AH42">
        <v>0</v>
      </c>
      <c r="AI42">
        <v>0</v>
      </c>
      <c r="AJ42">
        <v>0</v>
      </c>
      <c r="AK42">
        <v>0</v>
      </c>
      <c r="AL42">
        <v>0</v>
      </c>
      <c r="AM42">
        <v>0</v>
      </c>
      <c r="AN42">
        <v>0</v>
      </c>
      <c r="AO42">
        <v>0</v>
      </c>
      <c r="AP42">
        <v>0</v>
      </c>
      <c r="AQ42">
        <v>0</v>
      </c>
      <c r="AR42">
        <v>0</v>
      </c>
      <c r="AS42">
        <v>0</v>
      </c>
      <c r="AT42">
        <v>0</v>
      </c>
      <c r="AU42">
        <f t="shared" si="0"/>
        <v>0</v>
      </c>
      <c r="AV42">
        <f t="shared" si="1"/>
        <v>0</v>
      </c>
    </row>
    <row r="43" spans="1:48" x14ac:dyDescent="0.25">
      <c r="A43" t="s">
        <v>2377</v>
      </c>
      <c r="C43" t="s">
        <v>2312</v>
      </c>
      <c r="D43" t="s">
        <v>2378</v>
      </c>
      <c r="E43" t="s">
        <v>2310</v>
      </c>
      <c r="F43">
        <v>10</v>
      </c>
      <c r="G43">
        <v>10.1</v>
      </c>
      <c r="H43" t="s">
        <v>2323</v>
      </c>
      <c r="I43" s="21">
        <v>37308</v>
      </c>
      <c r="J43">
        <v>2002</v>
      </c>
      <c r="K43" s="21">
        <v>37361</v>
      </c>
      <c r="L43">
        <v>2002</v>
      </c>
      <c r="M43" s="21">
        <v>37361</v>
      </c>
      <c r="N43">
        <v>2002</v>
      </c>
      <c r="R43" s="262">
        <v>330000</v>
      </c>
      <c r="S43" t="s">
        <v>114</v>
      </c>
      <c r="T43" t="s">
        <v>114</v>
      </c>
      <c r="U43">
        <v>5</v>
      </c>
      <c r="W43">
        <v>3970</v>
      </c>
      <c r="X43">
        <v>1</v>
      </c>
      <c r="Y43">
        <v>0</v>
      </c>
      <c r="Z43">
        <v>0</v>
      </c>
      <c r="AA43">
        <v>0</v>
      </c>
      <c r="AB43">
        <v>0</v>
      </c>
      <c r="AC43">
        <v>3970</v>
      </c>
      <c r="AD43">
        <v>0</v>
      </c>
      <c r="AE43">
        <v>0</v>
      </c>
      <c r="AF43">
        <v>0</v>
      </c>
      <c r="AG43">
        <v>0</v>
      </c>
      <c r="AH43">
        <v>0</v>
      </c>
      <c r="AI43">
        <v>0</v>
      </c>
      <c r="AJ43">
        <v>0</v>
      </c>
      <c r="AK43">
        <v>0</v>
      </c>
      <c r="AL43">
        <v>0</v>
      </c>
      <c r="AM43">
        <v>0</v>
      </c>
      <c r="AN43">
        <v>0</v>
      </c>
      <c r="AO43">
        <v>1</v>
      </c>
      <c r="AP43">
        <v>0</v>
      </c>
      <c r="AQ43">
        <v>0</v>
      </c>
      <c r="AR43">
        <v>0</v>
      </c>
      <c r="AS43">
        <v>0</v>
      </c>
      <c r="AT43">
        <v>0</v>
      </c>
      <c r="AU43">
        <f t="shared" si="0"/>
        <v>1</v>
      </c>
      <c r="AV43">
        <f t="shared" si="1"/>
        <v>0</v>
      </c>
    </row>
    <row r="44" spans="1:48" x14ac:dyDescent="0.25">
      <c r="A44" t="s">
        <v>2365</v>
      </c>
      <c r="C44" t="s">
        <v>2366</v>
      </c>
      <c r="D44" t="s">
        <v>2367</v>
      </c>
      <c r="E44" t="s">
        <v>1663</v>
      </c>
      <c r="F44">
        <v>4</v>
      </c>
      <c r="G44">
        <v>4.0999999999999996</v>
      </c>
      <c r="H44" t="s">
        <v>2327</v>
      </c>
      <c r="I44" s="21">
        <v>37308</v>
      </c>
      <c r="J44">
        <v>2002</v>
      </c>
      <c r="K44" s="21">
        <v>37336</v>
      </c>
      <c r="L44">
        <v>2002</v>
      </c>
      <c r="M44" s="21">
        <v>37489</v>
      </c>
      <c r="N44">
        <v>2002</v>
      </c>
      <c r="Q44" s="262">
        <v>22500</v>
      </c>
      <c r="S44" t="s">
        <v>114</v>
      </c>
      <c r="T44" t="s">
        <v>114</v>
      </c>
      <c r="W44">
        <v>54</v>
      </c>
      <c r="X44">
        <v>0</v>
      </c>
      <c r="Y44">
        <v>0</v>
      </c>
      <c r="Z44">
        <v>0</v>
      </c>
      <c r="AA44">
        <v>0</v>
      </c>
      <c r="AB44">
        <v>0</v>
      </c>
      <c r="AC44">
        <v>0</v>
      </c>
      <c r="AD44">
        <v>0</v>
      </c>
      <c r="AE44">
        <v>0</v>
      </c>
      <c r="AF44">
        <v>0</v>
      </c>
      <c r="AG44">
        <v>0</v>
      </c>
      <c r="AH44">
        <v>54</v>
      </c>
      <c r="AI44">
        <v>0</v>
      </c>
      <c r="AJ44">
        <v>0</v>
      </c>
      <c r="AK44">
        <v>0</v>
      </c>
      <c r="AL44">
        <v>0</v>
      </c>
      <c r="AM44">
        <v>0</v>
      </c>
      <c r="AN44">
        <v>0</v>
      </c>
      <c r="AO44">
        <v>0</v>
      </c>
      <c r="AP44">
        <v>0</v>
      </c>
      <c r="AQ44">
        <v>0</v>
      </c>
      <c r="AR44">
        <v>0</v>
      </c>
      <c r="AS44">
        <v>0</v>
      </c>
      <c r="AT44">
        <v>0</v>
      </c>
      <c r="AU44">
        <f t="shared" si="0"/>
        <v>0</v>
      </c>
      <c r="AV44">
        <f t="shared" si="1"/>
        <v>54</v>
      </c>
    </row>
    <row r="45" spans="1:48" x14ac:dyDescent="0.25">
      <c r="A45" t="s">
        <v>2368</v>
      </c>
      <c r="C45" t="s">
        <v>2369</v>
      </c>
      <c r="D45" t="s">
        <v>2370</v>
      </c>
      <c r="E45" t="s">
        <v>1663</v>
      </c>
      <c r="F45">
        <v>4</v>
      </c>
      <c r="G45">
        <v>4.0999999999999996</v>
      </c>
      <c r="H45" t="s">
        <v>2327</v>
      </c>
      <c r="I45" s="21">
        <v>37308</v>
      </c>
      <c r="J45">
        <v>2002</v>
      </c>
      <c r="K45" s="21">
        <v>37336</v>
      </c>
      <c r="L45">
        <v>2002</v>
      </c>
      <c r="M45" s="21">
        <v>37489</v>
      </c>
      <c r="N45">
        <v>2002</v>
      </c>
      <c r="Q45" s="262">
        <v>2100000</v>
      </c>
      <c r="S45" t="s">
        <v>114</v>
      </c>
      <c r="T45" t="s">
        <v>114</v>
      </c>
      <c r="W45">
        <v>10185</v>
      </c>
      <c r="X45">
        <v>0</v>
      </c>
      <c r="Y45">
        <v>0</v>
      </c>
      <c r="Z45">
        <v>0</v>
      </c>
      <c r="AA45">
        <v>0</v>
      </c>
      <c r="AB45">
        <v>0</v>
      </c>
      <c r="AC45">
        <v>0</v>
      </c>
      <c r="AD45">
        <v>0</v>
      </c>
      <c r="AE45">
        <v>0</v>
      </c>
      <c r="AF45">
        <v>0</v>
      </c>
      <c r="AG45">
        <v>0</v>
      </c>
      <c r="AH45">
        <v>0</v>
      </c>
      <c r="AI45">
        <v>0</v>
      </c>
      <c r="AJ45">
        <v>10185</v>
      </c>
      <c r="AK45">
        <v>0</v>
      </c>
      <c r="AL45">
        <v>0</v>
      </c>
      <c r="AM45">
        <v>0</v>
      </c>
      <c r="AN45">
        <v>0</v>
      </c>
      <c r="AO45">
        <v>0</v>
      </c>
      <c r="AP45">
        <v>0</v>
      </c>
      <c r="AQ45">
        <v>0</v>
      </c>
      <c r="AR45">
        <v>0</v>
      </c>
      <c r="AS45">
        <v>0</v>
      </c>
      <c r="AT45">
        <v>0</v>
      </c>
      <c r="AU45">
        <f t="shared" si="0"/>
        <v>0</v>
      </c>
      <c r="AV45">
        <f t="shared" si="1"/>
        <v>10185</v>
      </c>
    </row>
    <row r="46" spans="1:48" x14ac:dyDescent="0.25">
      <c r="A46" t="s">
        <v>2371</v>
      </c>
      <c r="C46" t="s">
        <v>2372</v>
      </c>
      <c r="D46" t="s">
        <v>2373</v>
      </c>
      <c r="E46" t="s">
        <v>1663</v>
      </c>
      <c r="F46">
        <v>2</v>
      </c>
      <c r="G46">
        <v>2.2999999999999998</v>
      </c>
      <c r="H46" t="s">
        <v>2327</v>
      </c>
      <c r="I46" s="21">
        <v>37308</v>
      </c>
      <c r="J46">
        <v>2002</v>
      </c>
      <c r="K46" s="21">
        <v>37336</v>
      </c>
      <c r="L46">
        <v>2002</v>
      </c>
      <c r="M46" s="21">
        <v>37489</v>
      </c>
      <c r="N46">
        <v>2002</v>
      </c>
      <c r="Q46" s="262">
        <v>4000000</v>
      </c>
      <c r="S46" t="s">
        <v>114</v>
      </c>
      <c r="T46" t="s">
        <v>114</v>
      </c>
      <c r="W46">
        <v>18372</v>
      </c>
      <c r="X46">
        <v>9</v>
      </c>
      <c r="Y46">
        <v>0</v>
      </c>
      <c r="Z46">
        <v>0</v>
      </c>
      <c r="AA46">
        <v>0</v>
      </c>
      <c r="AB46">
        <v>0</v>
      </c>
      <c r="AC46">
        <v>0</v>
      </c>
      <c r="AD46">
        <v>11887</v>
      </c>
      <c r="AE46">
        <v>0</v>
      </c>
      <c r="AF46">
        <v>0</v>
      </c>
      <c r="AG46">
        <v>0</v>
      </c>
      <c r="AH46">
        <v>0</v>
      </c>
      <c r="AI46">
        <v>0</v>
      </c>
      <c r="AJ46">
        <v>6485</v>
      </c>
      <c r="AK46">
        <v>0</v>
      </c>
      <c r="AL46">
        <v>0</v>
      </c>
      <c r="AM46">
        <v>0</v>
      </c>
      <c r="AN46">
        <v>0</v>
      </c>
      <c r="AO46">
        <v>0</v>
      </c>
      <c r="AP46">
        <v>9</v>
      </c>
      <c r="AQ46">
        <v>0</v>
      </c>
      <c r="AR46">
        <v>0</v>
      </c>
      <c r="AS46">
        <v>0</v>
      </c>
      <c r="AT46">
        <v>0</v>
      </c>
      <c r="AU46">
        <f t="shared" si="0"/>
        <v>9</v>
      </c>
      <c r="AV46">
        <f t="shared" si="1"/>
        <v>6485</v>
      </c>
    </row>
    <row r="47" spans="1:48" x14ac:dyDescent="0.25">
      <c r="A47" t="s">
        <v>2379</v>
      </c>
      <c r="C47" t="s">
        <v>2380</v>
      </c>
      <c r="D47" t="s">
        <v>2381</v>
      </c>
      <c r="E47" t="s">
        <v>2310</v>
      </c>
      <c r="F47">
        <v>15</v>
      </c>
      <c r="G47">
        <v>15.2</v>
      </c>
      <c r="H47" t="s">
        <v>2323</v>
      </c>
      <c r="I47" s="21">
        <v>37309</v>
      </c>
      <c r="J47">
        <v>2002</v>
      </c>
      <c r="K47" s="21">
        <v>37368</v>
      </c>
      <c r="L47">
        <v>2002</v>
      </c>
      <c r="M47" s="21">
        <v>37368</v>
      </c>
      <c r="N47">
        <v>2002</v>
      </c>
      <c r="R47" s="262">
        <v>12000</v>
      </c>
      <c r="S47" t="s">
        <v>114</v>
      </c>
      <c r="T47" t="s">
        <v>114</v>
      </c>
      <c r="U47">
        <v>5</v>
      </c>
      <c r="W47">
        <v>1234</v>
      </c>
      <c r="X47">
        <v>0</v>
      </c>
      <c r="Y47">
        <v>0</v>
      </c>
      <c r="Z47">
        <v>0</v>
      </c>
      <c r="AA47">
        <v>0</v>
      </c>
      <c r="AB47">
        <v>0</v>
      </c>
      <c r="AC47">
        <v>1234</v>
      </c>
      <c r="AD47">
        <v>0</v>
      </c>
      <c r="AE47">
        <v>0</v>
      </c>
      <c r="AF47">
        <v>0</v>
      </c>
      <c r="AG47">
        <v>0</v>
      </c>
      <c r="AH47">
        <v>0</v>
      </c>
      <c r="AI47">
        <v>0</v>
      </c>
      <c r="AJ47">
        <v>0</v>
      </c>
      <c r="AK47">
        <v>0</v>
      </c>
      <c r="AL47">
        <v>0</v>
      </c>
      <c r="AM47">
        <v>0</v>
      </c>
      <c r="AN47">
        <v>0</v>
      </c>
      <c r="AO47">
        <v>0</v>
      </c>
      <c r="AP47">
        <v>0</v>
      </c>
      <c r="AQ47">
        <v>0</v>
      </c>
      <c r="AR47">
        <v>0</v>
      </c>
      <c r="AS47">
        <v>0</v>
      </c>
      <c r="AT47">
        <v>0</v>
      </c>
      <c r="AU47">
        <f t="shared" si="0"/>
        <v>0</v>
      </c>
      <c r="AV47">
        <f t="shared" si="1"/>
        <v>0</v>
      </c>
    </row>
    <row r="48" spans="1:48" x14ac:dyDescent="0.25">
      <c r="A48" t="s">
        <v>2382</v>
      </c>
      <c r="C48" t="s">
        <v>2383</v>
      </c>
      <c r="D48" t="s">
        <v>2384</v>
      </c>
      <c r="E48" t="s">
        <v>2310</v>
      </c>
      <c r="F48">
        <v>15</v>
      </c>
      <c r="G48">
        <v>15.2</v>
      </c>
      <c r="H48" t="s">
        <v>2323</v>
      </c>
      <c r="I48" s="21">
        <v>37309</v>
      </c>
      <c r="J48">
        <v>2002</v>
      </c>
      <c r="K48" s="21">
        <v>37347</v>
      </c>
      <c r="L48">
        <v>2002</v>
      </c>
      <c r="M48" s="21">
        <v>37347</v>
      </c>
      <c r="N48">
        <v>2002</v>
      </c>
      <c r="R48" s="262">
        <v>350000</v>
      </c>
      <c r="S48" t="s">
        <v>114</v>
      </c>
      <c r="T48" t="s">
        <v>114</v>
      </c>
      <c r="U48">
        <v>5</v>
      </c>
      <c r="W48">
        <v>3724</v>
      </c>
      <c r="X48">
        <v>1</v>
      </c>
      <c r="Y48">
        <v>0</v>
      </c>
      <c r="Z48">
        <v>0</v>
      </c>
      <c r="AA48">
        <v>0</v>
      </c>
      <c r="AB48">
        <v>0</v>
      </c>
      <c r="AC48">
        <v>3724</v>
      </c>
      <c r="AD48">
        <v>0</v>
      </c>
      <c r="AE48">
        <v>0</v>
      </c>
      <c r="AF48">
        <v>0</v>
      </c>
      <c r="AG48">
        <v>0</v>
      </c>
      <c r="AH48">
        <v>0</v>
      </c>
      <c r="AI48">
        <v>0</v>
      </c>
      <c r="AJ48">
        <v>0</v>
      </c>
      <c r="AK48">
        <v>0</v>
      </c>
      <c r="AL48">
        <v>0</v>
      </c>
      <c r="AM48">
        <v>0</v>
      </c>
      <c r="AN48">
        <v>0</v>
      </c>
      <c r="AO48">
        <v>1</v>
      </c>
      <c r="AP48">
        <v>0</v>
      </c>
      <c r="AQ48">
        <v>0</v>
      </c>
      <c r="AR48">
        <v>0</v>
      </c>
      <c r="AS48">
        <v>0</v>
      </c>
      <c r="AT48">
        <v>0</v>
      </c>
      <c r="AU48">
        <f t="shared" si="0"/>
        <v>1</v>
      </c>
      <c r="AV48">
        <f t="shared" si="1"/>
        <v>0</v>
      </c>
    </row>
    <row r="49" spans="1:48" x14ac:dyDescent="0.25">
      <c r="A49" t="s">
        <v>2385</v>
      </c>
      <c r="C49" t="s">
        <v>2386</v>
      </c>
      <c r="D49" t="s">
        <v>2387</v>
      </c>
      <c r="E49" t="s">
        <v>2310</v>
      </c>
      <c r="F49">
        <v>8</v>
      </c>
      <c r="G49">
        <v>8.1999999999999993</v>
      </c>
      <c r="H49" t="s">
        <v>2022</v>
      </c>
      <c r="I49" s="21">
        <v>37309</v>
      </c>
      <c r="J49">
        <v>2002</v>
      </c>
      <c r="K49" s="21">
        <v>37361</v>
      </c>
      <c r="L49">
        <v>2002</v>
      </c>
      <c r="M49" s="21">
        <v>37361</v>
      </c>
      <c r="N49">
        <v>2002</v>
      </c>
      <c r="R49" s="262">
        <v>100000</v>
      </c>
      <c r="S49" t="s">
        <v>114</v>
      </c>
      <c r="T49" t="s">
        <v>114</v>
      </c>
      <c r="U49">
        <v>5</v>
      </c>
      <c r="W49">
        <v>2592</v>
      </c>
      <c r="X49">
        <v>0</v>
      </c>
      <c r="Y49">
        <v>0</v>
      </c>
      <c r="Z49">
        <v>0</v>
      </c>
      <c r="AA49">
        <v>0</v>
      </c>
      <c r="AB49">
        <v>0</v>
      </c>
      <c r="AC49">
        <v>2592</v>
      </c>
      <c r="AD49">
        <v>0</v>
      </c>
      <c r="AE49">
        <v>0</v>
      </c>
      <c r="AF49">
        <v>0</v>
      </c>
      <c r="AG49">
        <v>0</v>
      </c>
      <c r="AH49">
        <v>0</v>
      </c>
      <c r="AI49">
        <v>0</v>
      </c>
      <c r="AJ49">
        <v>0</v>
      </c>
      <c r="AK49">
        <v>0</v>
      </c>
      <c r="AL49">
        <v>0</v>
      </c>
      <c r="AM49">
        <v>0</v>
      </c>
      <c r="AN49">
        <v>0</v>
      </c>
      <c r="AO49">
        <v>0</v>
      </c>
      <c r="AP49">
        <v>0</v>
      </c>
      <c r="AQ49">
        <v>0</v>
      </c>
      <c r="AR49">
        <v>0</v>
      </c>
      <c r="AS49">
        <v>0</v>
      </c>
      <c r="AT49">
        <v>0</v>
      </c>
      <c r="AU49">
        <f t="shared" si="0"/>
        <v>0</v>
      </c>
      <c r="AV49">
        <f t="shared" si="1"/>
        <v>0</v>
      </c>
    </row>
    <row r="50" spans="1:48" x14ac:dyDescent="0.25">
      <c r="A50" t="s">
        <v>2388</v>
      </c>
      <c r="C50" t="s">
        <v>2389</v>
      </c>
      <c r="D50" t="s">
        <v>2319</v>
      </c>
      <c r="E50" t="s">
        <v>2310</v>
      </c>
      <c r="F50">
        <v>8</v>
      </c>
      <c r="G50">
        <v>8.1999999999999993</v>
      </c>
      <c r="H50" t="s">
        <v>2022</v>
      </c>
      <c r="I50" s="21">
        <v>37309</v>
      </c>
      <c r="J50">
        <v>2002</v>
      </c>
      <c r="K50" s="21">
        <v>37361</v>
      </c>
      <c r="L50">
        <v>2002</v>
      </c>
      <c r="M50" s="21">
        <v>37361</v>
      </c>
      <c r="N50">
        <v>2002</v>
      </c>
      <c r="R50" s="262">
        <v>100000</v>
      </c>
      <c r="S50" t="s">
        <v>114</v>
      </c>
      <c r="T50" t="s">
        <v>114</v>
      </c>
      <c r="U50">
        <v>5</v>
      </c>
      <c r="W50">
        <v>3888</v>
      </c>
      <c r="X50">
        <v>0</v>
      </c>
      <c r="Y50">
        <v>0</v>
      </c>
      <c r="Z50">
        <v>0</v>
      </c>
      <c r="AA50">
        <v>0</v>
      </c>
      <c r="AB50">
        <v>0</v>
      </c>
      <c r="AC50">
        <v>3888</v>
      </c>
      <c r="AD50">
        <v>0</v>
      </c>
      <c r="AE50">
        <v>0</v>
      </c>
      <c r="AF50">
        <v>0</v>
      </c>
      <c r="AG50">
        <v>0</v>
      </c>
      <c r="AH50">
        <v>0</v>
      </c>
      <c r="AI50">
        <v>0</v>
      </c>
      <c r="AJ50">
        <v>0</v>
      </c>
      <c r="AK50">
        <v>0</v>
      </c>
      <c r="AL50">
        <v>0</v>
      </c>
      <c r="AM50">
        <v>0</v>
      </c>
      <c r="AN50">
        <v>0</v>
      </c>
      <c r="AO50">
        <v>0</v>
      </c>
      <c r="AP50">
        <v>0</v>
      </c>
      <c r="AQ50">
        <v>0</v>
      </c>
      <c r="AR50">
        <v>0</v>
      </c>
      <c r="AS50">
        <v>0</v>
      </c>
      <c r="AT50">
        <v>0</v>
      </c>
      <c r="AU50">
        <f t="shared" si="0"/>
        <v>0</v>
      </c>
      <c r="AV50">
        <f t="shared" si="1"/>
        <v>0</v>
      </c>
    </row>
    <row r="51" spans="1:48" x14ac:dyDescent="0.25">
      <c r="A51" t="s">
        <v>2390</v>
      </c>
      <c r="C51" t="s">
        <v>2391</v>
      </c>
      <c r="D51" t="s">
        <v>2319</v>
      </c>
      <c r="E51" t="s">
        <v>2310</v>
      </c>
      <c r="F51">
        <v>8</v>
      </c>
      <c r="G51">
        <v>8.1999999999999993</v>
      </c>
      <c r="H51" t="s">
        <v>2022</v>
      </c>
      <c r="I51" s="21">
        <v>37309</v>
      </c>
      <c r="J51">
        <v>2002</v>
      </c>
      <c r="K51" s="21">
        <v>37361</v>
      </c>
      <c r="L51">
        <v>2002</v>
      </c>
      <c r="M51" s="21">
        <v>37361</v>
      </c>
      <c r="N51">
        <v>2002</v>
      </c>
      <c r="R51" s="262">
        <v>100000</v>
      </c>
      <c r="S51" t="s">
        <v>114</v>
      </c>
      <c r="T51" t="s">
        <v>114</v>
      </c>
      <c r="U51">
        <v>5</v>
      </c>
      <c r="W51">
        <v>1872</v>
      </c>
      <c r="X51">
        <v>0</v>
      </c>
      <c r="Y51">
        <v>0</v>
      </c>
      <c r="Z51">
        <v>0</v>
      </c>
      <c r="AA51">
        <v>0</v>
      </c>
      <c r="AB51">
        <v>0</v>
      </c>
      <c r="AC51">
        <v>1872</v>
      </c>
      <c r="AD51">
        <v>0</v>
      </c>
      <c r="AE51">
        <v>0</v>
      </c>
      <c r="AF51">
        <v>0</v>
      </c>
      <c r="AG51">
        <v>0</v>
      </c>
      <c r="AH51">
        <v>0</v>
      </c>
      <c r="AI51">
        <v>0</v>
      </c>
      <c r="AJ51">
        <v>0</v>
      </c>
      <c r="AK51">
        <v>0</v>
      </c>
      <c r="AL51">
        <v>0</v>
      </c>
      <c r="AM51">
        <v>0</v>
      </c>
      <c r="AN51">
        <v>0</v>
      </c>
      <c r="AO51">
        <v>0</v>
      </c>
      <c r="AP51">
        <v>0</v>
      </c>
      <c r="AQ51">
        <v>0</v>
      </c>
      <c r="AR51">
        <v>0</v>
      </c>
      <c r="AS51">
        <v>0</v>
      </c>
      <c r="AT51">
        <v>0</v>
      </c>
      <c r="AU51">
        <f t="shared" si="0"/>
        <v>0</v>
      </c>
      <c r="AV51">
        <f t="shared" si="1"/>
        <v>0</v>
      </c>
    </row>
    <row r="52" spans="1:48" x14ac:dyDescent="0.25">
      <c r="A52" t="s">
        <v>2392</v>
      </c>
      <c r="C52" t="s">
        <v>2393</v>
      </c>
      <c r="D52" t="s">
        <v>2394</v>
      </c>
      <c r="E52" t="s">
        <v>2310</v>
      </c>
      <c r="F52">
        <v>7</v>
      </c>
      <c r="G52">
        <v>7.2</v>
      </c>
      <c r="H52" t="s">
        <v>2017</v>
      </c>
      <c r="I52" s="21">
        <v>37312</v>
      </c>
      <c r="J52">
        <v>2002</v>
      </c>
      <c r="K52" s="21">
        <v>37375</v>
      </c>
      <c r="L52">
        <v>2002</v>
      </c>
      <c r="M52" s="21">
        <v>39412</v>
      </c>
      <c r="N52">
        <v>2007</v>
      </c>
      <c r="R52" s="262">
        <v>12000</v>
      </c>
      <c r="S52" t="s">
        <v>114</v>
      </c>
      <c r="T52" t="s">
        <v>114</v>
      </c>
      <c r="U52">
        <v>5</v>
      </c>
      <c r="W52">
        <v>1400</v>
      </c>
      <c r="X52">
        <v>0</v>
      </c>
      <c r="Y52">
        <v>0</v>
      </c>
      <c r="Z52">
        <v>0</v>
      </c>
      <c r="AA52">
        <v>0</v>
      </c>
      <c r="AB52">
        <v>0</v>
      </c>
      <c r="AC52">
        <v>1400</v>
      </c>
      <c r="AD52">
        <v>0</v>
      </c>
      <c r="AE52">
        <v>0</v>
      </c>
      <c r="AF52">
        <v>0</v>
      </c>
      <c r="AG52">
        <v>0</v>
      </c>
      <c r="AH52">
        <v>0</v>
      </c>
      <c r="AI52">
        <v>0</v>
      </c>
      <c r="AJ52">
        <v>0</v>
      </c>
      <c r="AK52">
        <v>0</v>
      </c>
      <c r="AL52">
        <v>0</v>
      </c>
      <c r="AM52">
        <v>0</v>
      </c>
      <c r="AN52">
        <v>0</v>
      </c>
      <c r="AO52">
        <v>0</v>
      </c>
      <c r="AP52">
        <v>0</v>
      </c>
      <c r="AQ52">
        <v>0</v>
      </c>
      <c r="AR52">
        <v>0</v>
      </c>
      <c r="AS52">
        <v>0</v>
      </c>
      <c r="AT52">
        <v>0</v>
      </c>
      <c r="AU52">
        <f t="shared" si="0"/>
        <v>0</v>
      </c>
      <c r="AV52">
        <f t="shared" si="1"/>
        <v>0</v>
      </c>
    </row>
    <row r="53" spans="1:48" x14ac:dyDescent="0.25">
      <c r="A53" t="s">
        <v>2395</v>
      </c>
      <c r="C53" t="s">
        <v>2396</v>
      </c>
      <c r="D53" t="s">
        <v>2397</v>
      </c>
      <c r="E53" t="s">
        <v>2310</v>
      </c>
      <c r="F53">
        <v>9</v>
      </c>
      <c r="G53">
        <v>9.3000000000000007</v>
      </c>
      <c r="H53" t="s">
        <v>2323</v>
      </c>
      <c r="I53" s="21">
        <v>37312</v>
      </c>
      <c r="J53">
        <v>2002</v>
      </c>
      <c r="K53" s="21">
        <v>37335</v>
      </c>
      <c r="L53">
        <v>2002</v>
      </c>
      <c r="M53" s="21">
        <v>37335</v>
      </c>
      <c r="N53">
        <v>2002</v>
      </c>
      <c r="R53" s="262">
        <v>99000</v>
      </c>
      <c r="S53" t="s">
        <v>114</v>
      </c>
      <c r="T53" t="s">
        <v>114</v>
      </c>
      <c r="U53">
        <v>5</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f t="shared" si="0"/>
        <v>0</v>
      </c>
      <c r="AV53">
        <f t="shared" si="1"/>
        <v>0</v>
      </c>
    </row>
    <row r="54" spans="1:48" x14ac:dyDescent="0.25">
      <c r="A54" t="s">
        <v>2398</v>
      </c>
      <c r="C54" t="s">
        <v>2399</v>
      </c>
      <c r="D54" t="s">
        <v>2400</v>
      </c>
      <c r="E54" t="s">
        <v>2310</v>
      </c>
      <c r="F54">
        <v>8</v>
      </c>
      <c r="G54">
        <v>8.1999999999999993</v>
      </c>
      <c r="H54" t="s">
        <v>2022</v>
      </c>
      <c r="I54" s="21">
        <v>37312</v>
      </c>
      <c r="J54">
        <v>2002</v>
      </c>
      <c r="K54" s="21">
        <v>37398</v>
      </c>
      <c r="L54">
        <v>2002</v>
      </c>
      <c r="M54" s="21">
        <v>37398</v>
      </c>
      <c r="N54">
        <v>2002</v>
      </c>
      <c r="R54" s="262">
        <v>442000</v>
      </c>
      <c r="S54" t="s">
        <v>114</v>
      </c>
      <c r="T54" t="s">
        <v>114</v>
      </c>
      <c r="U54">
        <v>5</v>
      </c>
      <c r="W54">
        <v>2210</v>
      </c>
      <c r="X54">
        <v>0</v>
      </c>
      <c r="Y54">
        <v>0</v>
      </c>
      <c r="Z54">
        <v>0</v>
      </c>
      <c r="AA54">
        <v>0</v>
      </c>
      <c r="AB54">
        <v>0</v>
      </c>
      <c r="AC54">
        <v>2210</v>
      </c>
      <c r="AD54">
        <v>0</v>
      </c>
      <c r="AE54">
        <v>0</v>
      </c>
      <c r="AF54">
        <v>0</v>
      </c>
      <c r="AG54">
        <v>0</v>
      </c>
      <c r="AH54">
        <v>0</v>
      </c>
      <c r="AI54">
        <v>0</v>
      </c>
      <c r="AJ54">
        <v>0</v>
      </c>
      <c r="AK54">
        <v>0</v>
      </c>
      <c r="AL54">
        <v>0</v>
      </c>
      <c r="AM54">
        <v>0</v>
      </c>
      <c r="AN54">
        <v>0</v>
      </c>
      <c r="AO54">
        <v>0</v>
      </c>
      <c r="AP54">
        <v>0</v>
      </c>
      <c r="AQ54">
        <v>0</v>
      </c>
      <c r="AR54">
        <v>0</v>
      </c>
      <c r="AS54">
        <v>0</v>
      </c>
      <c r="AT54">
        <v>0</v>
      </c>
      <c r="AU54">
        <f t="shared" si="0"/>
        <v>0</v>
      </c>
      <c r="AV54">
        <f t="shared" si="1"/>
        <v>0</v>
      </c>
    </row>
    <row r="55" spans="1:48" x14ac:dyDescent="0.25">
      <c r="A55" t="s">
        <v>2401</v>
      </c>
      <c r="C55" t="s">
        <v>2402</v>
      </c>
      <c r="D55" t="s">
        <v>2403</v>
      </c>
      <c r="E55" t="s">
        <v>2310</v>
      </c>
      <c r="F55">
        <v>8</v>
      </c>
      <c r="G55">
        <v>8.1</v>
      </c>
      <c r="H55" t="s">
        <v>2323</v>
      </c>
      <c r="I55" s="21">
        <v>37313</v>
      </c>
      <c r="J55">
        <v>2002</v>
      </c>
      <c r="K55" s="21">
        <v>37462</v>
      </c>
      <c r="L55">
        <v>2002</v>
      </c>
      <c r="M55" s="21">
        <v>38021</v>
      </c>
      <c r="N55">
        <v>2004</v>
      </c>
      <c r="R55" s="262">
        <v>40000</v>
      </c>
      <c r="S55" t="s">
        <v>114</v>
      </c>
      <c r="T55" t="s">
        <v>114</v>
      </c>
      <c r="U55">
        <v>5</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f t="shared" si="0"/>
        <v>0</v>
      </c>
      <c r="AV55">
        <f t="shared" si="1"/>
        <v>0</v>
      </c>
    </row>
    <row r="56" spans="1:48" x14ac:dyDescent="0.25">
      <c r="A56" t="s">
        <v>2404</v>
      </c>
      <c r="C56" t="s">
        <v>2405</v>
      </c>
      <c r="D56" t="s">
        <v>2406</v>
      </c>
      <c r="E56" t="s">
        <v>2310</v>
      </c>
      <c r="F56">
        <v>12</v>
      </c>
      <c r="G56">
        <v>12.3</v>
      </c>
      <c r="H56" t="s">
        <v>2017</v>
      </c>
      <c r="I56" s="21">
        <v>37313</v>
      </c>
      <c r="J56">
        <v>2002</v>
      </c>
      <c r="K56" s="21">
        <v>37343</v>
      </c>
      <c r="L56">
        <v>2002</v>
      </c>
      <c r="M56" s="21">
        <v>37343</v>
      </c>
      <c r="N56">
        <v>2002</v>
      </c>
      <c r="R56" s="262">
        <v>100000</v>
      </c>
      <c r="S56" t="s">
        <v>114</v>
      </c>
      <c r="T56" t="s">
        <v>114</v>
      </c>
      <c r="U56">
        <v>5</v>
      </c>
      <c r="W56">
        <v>817</v>
      </c>
      <c r="X56">
        <v>0</v>
      </c>
      <c r="Y56">
        <v>0</v>
      </c>
      <c r="Z56">
        <v>0</v>
      </c>
      <c r="AA56">
        <v>0</v>
      </c>
      <c r="AB56">
        <v>0</v>
      </c>
      <c r="AC56">
        <v>817</v>
      </c>
      <c r="AD56">
        <v>0</v>
      </c>
      <c r="AE56">
        <v>0</v>
      </c>
      <c r="AF56">
        <v>0</v>
      </c>
      <c r="AG56">
        <v>0</v>
      </c>
      <c r="AH56">
        <v>0</v>
      </c>
      <c r="AI56">
        <v>0</v>
      </c>
      <c r="AJ56">
        <v>0</v>
      </c>
      <c r="AK56">
        <v>0</v>
      </c>
      <c r="AL56">
        <v>0</v>
      </c>
      <c r="AM56">
        <v>0</v>
      </c>
      <c r="AN56">
        <v>0</v>
      </c>
      <c r="AO56">
        <v>0</v>
      </c>
      <c r="AP56">
        <v>0</v>
      </c>
      <c r="AQ56">
        <v>0</v>
      </c>
      <c r="AR56">
        <v>0</v>
      </c>
      <c r="AS56">
        <v>0</v>
      </c>
      <c r="AT56">
        <v>0</v>
      </c>
      <c r="AU56">
        <f t="shared" si="0"/>
        <v>0</v>
      </c>
      <c r="AV56">
        <f t="shared" si="1"/>
        <v>0</v>
      </c>
    </row>
    <row r="57" spans="1:48" x14ac:dyDescent="0.25">
      <c r="A57" t="s">
        <v>2407</v>
      </c>
      <c r="C57" t="s">
        <v>2408</v>
      </c>
      <c r="D57" t="s">
        <v>2409</v>
      </c>
      <c r="E57" t="s">
        <v>1663</v>
      </c>
      <c r="F57">
        <v>6</v>
      </c>
      <c r="G57">
        <v>6.1</v>
      </c>
      <c r="H57" t="s">
        <v>2017</v>
      </c>
      <c r="I57" s="21">
        <v>37316</v>
      </c>
      <c r="J57">
        <v>2002</v>
      </c>
      <c r="K57" s="21">
        <v>37347</v>
      </c>
      <c r="L57">
        <v>2002</v>
      </c>
      <c r="M57" s="21">
        <v>37500</v>
      </c>
      <c r="N57">
        <v>2002</v>
      </c>
      <c r="Q57" s="262">
        <v>20000</v>
      </c>
      <c r="S57" t="s">
        <v>114</v>
      </c>
      <c r="T57" t="s">
        <v>114</v>
      </c>
      <c r="W57">
        <v>154</v>
      </c>
      <c r="X57">
        <v>0</v>
      </c>
      <c r="Y57">
        <v>0</v>
      </c>
      <c r="Z57">
        <v>0</v>
      </c>
      <c r="AA57">
        <v>0</v>
      </c>
      <c r="AB57">
        <v>0</v>
      </c>
      <c r="AC57">
        <v>154</v>
      </c>
      <c r="AD57">
        <v>0</v>
      </c>
      <c r="AE57">
        <v>0</v>
      </c>
      <c r="AF57">
        <v>0</v>
      </c>
      <c r="AG57">
        <v>0</v>
      </c>
      <c r="AH57">
        <v>0</v>
      </c>
      <c r="AI57">
        <v>0</v>
      </c>
      <c r="AJ57">
        <v>0</v>
      </c>
      <c r="AK57">
        <v>0</v>
      </c>
      <c r="AL57">
        <v>0</v>
      </c>
      <c r="AM57">
        <v>0</v>
      </c>
      <c r="AN57">
        <v>0</v>
      </c>
      <c r="AO57">
        <v>0</v>
      </c>
      <c r="AP57">
        <v>0</v>
      </c>
      <c r="AQ57">
        <v>0</v>
      </c>
      <c r="AR57">
        <v>0</v>
      </c>
      <c r="AS57">
        <v>0</v>
      </c>
      <c r="AT57">
        <v>0</v>
      </c>
      <c r="AU57">
        <f t="shared" si="0"/>
        <v>0</v>
      </c>
      <c r="AV57">
        <f t="shared" si="1"/>
        <v>0</v>
      </c>
    </row>
    <row r="58" spans="1:48" x14ac:dyDescent="0.25">
      <c r="A58" t="s">
        <v>2410</v>
      </c>
      <c r="C58" t="s">
        <v>2411</v>
      </c>
      <c r="D58" t="s">
        <v>2412</v>
      </c>
      <c r="E58" t="s">
        <v>2310</v>
      </c>
      <c r="F58">
        <v>15</v>
      </c>
      <c r="G58">
        <v>15.2</v>
      </c>
      <c r="H58" t="s">
        <v>2323</v>
      </c>
      <c r="I58" s="21">
        <v>37319</v>
      </c>
      <c r="J58">
        <v>2002</v>
      </c>
      <c r="K58" s="21">
        <v>37319</v>
      </c>
      <c r="L58">
        <v>2002</v>
      </c>
      <c r="M58" s="21">
        <v>38385</v>
      </c>
      <c r="N58">
        <v>2005</v>
      </c>
      <c r="R58" s="262">
        <v>12460</v>
      </c>
      <c r="S58" t="s">
        <v>114</v>
      </c>
      <c r="T58" t="s">
        <v>114</v>
      </c>
      <c r="U58">
        <v>5</v>
      </c>
      <c r="W58">
        <v>2752</v>
      </c>
      <c r="X58">
        <v>0</v>
      </c>
      <c r="Y58">
        <v>0</v>
      </c>
      <c r="Z58">
        <v>0</v>
      </c>
      <c r="AA58">
        <v>0</v>
      </c>
      <c r="AB58">
        <v>0</v>
      </c>
      <c r="AC58">
        <v>2752</v>
      </c>
      <c r="AD58">
        <v>0</v>
      </c>
      <c r="AE58">
        <v>0</v>
      </c>
      <c r="AF58">
        <v>0</v>
      </c>
      <c r="AG58">
        <v>0</v>
      </c>
      <c r="AH58">
        <v>0</v>
      </c>
      <c r="AI58">
        <v>0</v>
      </c>
      <c r="AJ58">
        <v>0</v>
      </c>
      <c r="AK58">
        <v>0</v>
      </c>
      <c r="AL58">
        <v>0</v>
      </c>
      <c r="AM58">
        <v>0</v>
      </c>
      <c r="AN58">
        <v>0</v>
      </c>
      <c r="AO58">
        <v>0</v>
      </c>
      <c r="AP58">
        <v>0</v>
      </c>
      <c r="AQ58">
        <v>0</v>
      </c>
      <c r="AR58">
        <v>0</v>
      </c>
      <c r="AS58">
        <v>0</v>
      </c>
      <c r="AT58">
        <v>0</v>
      </c>
      <c r="AU58">
        <f t="shared" si="0"/>
        <v>0</v>
      </c>
      <c r="AV58">
        <f t="shared" si="1"/>
        <v>0</v>
      </c>
    </row>
    <row r="59" spans="1:48" x14ac:dyDescent="0.25">
      <c r="A59" t="s">
        <v>2413</v>
      </c>
      <c r="C59" t="s">
        <v>2414</v>
      </c>
      <c r="D59" t="s">
        <v>2415</v>
      </c>
      <c r="E59" t="s">
        <v>2310</v>
      </c>
      <c r="F59">
        <v>12</v>
      </c>
      <c r="G59">
        <v>12.3</v>
      </c>
      <c r="H59" t="s">
        <v>2017</v>
      </c>
      <c r="I59" s="21">
        <v>37321</v>
      </c>
      <c r="J59">
        <v>2002</v>
      </c>
      <c r="K59" s="21">
        <v>37351</v>
      </c>
      <c r="L59">
        <v>2002</v>
      </c>
      <c r="M59" s="21">
        <v>37445</v>
      </c>
      <c r="N59">
        <v>2002</v>
      </c>
      <c r="R59" s="262">
        <v>65000</v>
      </c>
      <c r="S59" t="s">
        <v>114</v>
      </c>
      <c r="T59" t="s">
        <v>114</v>
      </c>
      <c r="U59">
        <v>11</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f t="shared" si="0"/>
        <v>0</v>
      </c>
      <c r="AV59">
        <f t="shared" si="1"/>
        <v>0</v>
      </c>
    </row>
    <row r="60" spans="1:48" x14ac:dyDescent="0.25">
      <c r="A60" t="s">
        <v>2416</v>
      </c>
      <c r="C60" t="s">
        <v>2417</v>
      </c>
      <c r="D60" t="s">
        <v>2418</v>
      </c>
      <c r="E60" t="s">
        <v>1663</v>
      </c>
      <c r="F60">
        <v>6</v>
      </c>
      <c r="G60">
        <v>6.1</v>
      </c>
      <c r="H60" t="s">
        <v>2017</v>
      </c>
      <c r="I60" s="21">
        <v>37322</v>
      </c>
      <c r="J60">
        <v>2002</v>
      </c>
      <c r="K60" s="21">
        <v>37353</v>
      </c>
      <c r="L60">
        <v>2002</v>
      </c>
      <c r="M60" s="21">
        <v>37506</v>
      </c>
      <c r="N60">
        <v>2002</v>
      </c>
      <c r="Q60" s="262">
        <v>100000</v>
      </c>
      <c r="S60" t="s">
        <v>114</v>
      </c>
      <c r="T60" t="s">
        <v>114</v>
      </c>
      <c r="W60">
        <v>1490</v>
      </c>
      <c r="X60">
        <v>1</v>
      </c>
      <c r="Y60">
        <v>0</v>
      </c>
      <c r="Z60">
        <v>0</v>
      </c>
      <c r="AA60">
        <v>0</v>
      </c>
      <c r="AB60">
        <v>0</v>
      </c>
      <c r="AC60">
        <v>1490</v>
      </c>
      <c r="AD60">
        <v>0</v>
      </c>
      <c r="AE60">
        <v>0</v>
      </c>
      <c r="AF60">
        <v>0</v>
      </c>
      <c r="AG60">
        <v>0</v>
      </c>
      <c r="AH60">
        <v>0</v>
      </c>
      <c r="AI60">
        <v>0</v>
      </c>
      <c r="AJ60">
        <v>0</v>
      </c>
      <c r="AK60">
        <v>0</v>
      </c>
      <c r="AL60">
        <v>0</v>
      </c>
      <c r="AM60">
        <v>0</v>
      </c>
      <c r="AN60">
        <v>0</v>
      </c>
      <c r="AO60">
        <v>1</v>
      </c>
      <c r="AP60">
        <v>0</v>
      </c>
      <c r="AQ60">
        <v>0</v>
      </c>
      <c r="AR60">
        <v>0</v>
      </c>
      <c r="AS60">
        <v>0</v>
      </c>
      <c r="AT60">
        <v>0</v>
      </c>
      <c r="AU60">
        <f t="shared" si="0"/>
        <v>1</v>
      </c>
      <c r="AV60">
        <f t="shared" si="1"/>
        <v>0</v>
      </c>
    </row>
    <row r="61" spans="1:48" x14ac:dyDescent="0.25">
      <c r="A61" t="s">
        <v>2419</v>
      </c>
      <c r="C61" t="s">
        <v>2420</v>
      </c>
      <c r="D61" t="s">
        <v>2421</v>
      </c>
      <c r="E61" t="s">
        <v>1663</v>
      </c>
      <c r="F61">
        <v>3</v>
      </c>
      <c r="G61">
        <v>3.2</v>
      </c>
      <c r="H61" t="s">
        <v>2327</v>
      </c>
      <c r="I61" s="21">
        <v>37322</v>
      </c>
      <c r="J61">
        <v>2002</v>
      </c>
      <c r="K61" s="21">
        <v>37353</v>
      </c>
      <c r="L61">
        <v>2002</v>
      </c>
      <c r="M61" s="21">
        <v>37506</v>
      </c>
      <c r="N61">
        <v>2002</v>
      </c>
      <c r="Q61" s="262">
        <v>163000</v>
      </c>
      <c r="S61" t="s">
        <v>114</v>
      </c>
      <c r="T61" t="s">
        <v>114</v>
      </c>
      <c r="W61">
        <v>2400</v>
      </c>
      <c r="X61">
        <v>1</v>
      </c>
      <c r="Y61">
        <v>0</v>
      </c>
      <c r="Z61">
        <v>0</v>
      </c>
      <c r="AA61">
        <v>0</v>
      </c>
      <c r="AB61">
        <v>0</v>
      </c>
      <c r="AC61">
        <v>2400</v>
      </c>
      <c r="AD61">
        <v>0</v>
      </c>
      <c r="AE61">
        <v>0</v>
      </c>
      <c r="AF61">
        <v>0</v>
      </c>
      <c r="AG61">
        <v>0</v>
      </c>
      <c r="AH61">
        <v>0</v>
      </c>
      <c r="AI61">
        <v>0</v>
      </c>
      <c r="AJ61">
        <v>0</v>
      </c>
      <c r="AK61">
        <v>0</v>
      </c>
      <c r="AL61">
        <v>0</v>
      </c>
      <c r="AM61">
        <v>0</v>
      </c>
      <c r="AN61">
        <v>0</v>
      </c>
      <c r="AO61">
        <v>1</v>
      </c>
      <c r="AP61">
        <v>0</v>
      </c>
      <c r="AQ61">
        <v>0</v>
      </c>
      <c r="AR61">
        <v>0</v>
      </c>
      <c r="AS61">
        <v>0</v>
      </c>
      <c r="AT61">
        <v>0</v>
      </c>
      <c r="AU61">
        <f t="shared" si="0"/>
        <v>1</v>
      </c>
      <c r="AV61">
        <f t="shared" si="1"/>
        <v>0</v>
      </c>
    </row>
    <row r="62" spans="1:48" x14ac:dyDescent="0.25">
      <c r="A62" t="s">
        <v>2422</v>
      </c>
      <c r="C62" t="s">
        <v>2423</v>
      </c>
      <c r="D62" t="s">
        <v>2424</v>
      </c>
      <c r="E62" t="s">
        <v>2310</v>
      </c>
      <c r="F62">
        <v>10</v>
      </c>
      <c r="G62">
        <v>10.1</v>
      </c>
      <c r="H62" t="s">
        <v>2323</v>
      </c>
      <c r="I62" s="21">
        <v>37326</v>
      </c>
      <c r="J62">
        <v>2002</v>
      </c>
      <c r="K62" s="21">
        <v>37343</v>
      </c>
      <c r="L62">
        <v>2002</v>
      </c>
      <c r="M62" s="21">
        <v>37343</v>
      </c>
      <c r="N62">
        <v>2002</v>
      </c>
      <c r="R62" s="262">
        <v>39000</v>
      </c>
      <c r="S62" t="s">
        <v>114</v>
      </c>
      <c r="T62" t="s">
        <v>114</v>
      </c>
      <c r="U62">
        <v>5</v>
      </c>
      <c r="W62">
        <v>480</v>
      </c>
      <c r="X62">
        <v>0</v>
      </c>
      <c r="Y62">
        <v>0</v>
      </c>
      <c r="Z62">
        <v>0</v>
      </c>
      <c r="AA62">
        <v>0</v>
      </c>
      <c r="AB62">
        <v>0</v>
      </c>
      <c r="AC62">
        <v>480</v>
      </c>
      <c r="AD62">
        <v>0</v>
      </c>
      <c r="AE62">
        <v>0</v>
      </c>
      <c r="AF62">
        <v>0</v>
      </c>
      <c r="AG62">
        <v>0</v>
      </c>
      <c r="AH62">
        <v>0</v>
      </c>
      <c r="AI62">
        <v>0</v>
      </c>
      <c r="AJ62">
        <v>0</v>
      </c>
      <c r="AK62">
        <v>0</v>
      </c>
      <c r="AL62">
        <v>0</v>
      </c>
      <c r="AM62">
        <v>0</v>
      </c>
      <c r="AN62">
        <v>0</v>
      </c>
      <c r="AO62">
        <v>0</v>
      </c>
      <c r="AP62">
        <v>0</v>
      </c>
      <c r="AQ62">
        <v>0</v>
      </c>
      <c r="AR62">
        <v>0</v>
      </c>
      <c r="AS62">
        <v>0</v>
      </c>
      <c r="AT62">
        <v>0</v>
      </c>
      <c r="AU62">
        <f t="shared" si="0"/>
        <v>0</v>
      </c>
      <c r="AV62">
        <f t="shared" si="1"/>
        <v>0</v>
      </c>
    </row>
    <row r="63" spans="1:48" x14ac:dyDescent="0.25">
      <c r="A63" t="s">
        <v>2425</v>
      </c>
      <c r="C63" t="s">
        <v>2426</v>
      </c>
      <c r="D63" t="s">
        <v>2427</v>
      </c>
      <c r="E63" t="s">
        <v>2310</v>
      </c>
      <c r="F63">
        <v>12</v>
      </c>
      <c r="G63">
        <v>12.1</v>
      </c>
      <c r="H63" t="s">
        <v>2327</v>
      </c>
      <c r="I63" s="21">
        <v>37329</v>
      </c>
      <c r="J63">
        <v>2002</v>
      </c>
      <c r="M63" s="21">
        <v>37659</v>
      </c>
      <c r="N63">
        <v>2003</v>
      </c>
      <c r="R63" s="262">
        <v>35000</v>
      </c>
      <c r="S63" t="s">
        <v>114</v>
      </c>
      <c r="T63" t="s">
        <v>114</v>
      </c>
      <c r="U63">
        <v>12</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f t="shared" si="0"/>
        <v>0</v>
      </c>
      <c r="AV63">
        <f t="shared" si="1"/>
        <v>0</v>
      </c>
    </row>
    <row r="64" spans="1:48" x14ac:dyDescent="0.25">
      <c r="A64" t="s">
        <v>2428</v>
      </c>
      <c r="C64" t="s">
        <v>2408</v>
      </c>
      <c r="D64" t="s">
        <v>2429</v>
      </c>
      <c r="E64" t="s">
        <v>1663</v>
      </c>
      <c r="F64">
        <v>6</v>
      </c>
      <c r="G64">
        <v>6.1</v>
      </c>
      <c r="H64" t="s">
        <v>2017</v>
      </c>
      <c r="I64" s="21">
        <v>37330</v>
      </c>
      <c r="J64">
        <v>2002</v>
      </c>
      <c r="K64" s="21">
        <v>37361</v>
      </c>
      <c r="L64">
        <v>2002</v>
      </c>
      <c r="M64" s="21">
        <v>37514</v>
      </c>
      <c r="N64">
        <v>2002</v>
      </c>
      <c r="Q64" s="262">
        <v>78720</v>
      </c>
      <c r="S64" t="s">
        <v>114</v>
      </c>
      <c r="T64" t="s">
        <v>114</v>
      </c>
      <c r="W64">
        <v>960</v>
      </c>
      <c r="X64">
        <v>0</v>
      </c>
      <c r="Y64">
        <v>0</v>
      </c>
      <c r="Z64">
        <v>0</v>
      </c>
      <c r="AA64">
        <v>0</v>
      </c>
      <c r="AB64">
        <v>0</v>
      </c>
      <c r="AC64">
        <v>960</v>
      </c>
      <c r="AD64">
        <v>0</v>
      </c>
      <c r="AE64">
        <v>0</v>
      </c>
      <c r="AF64">
        <v>0</v>
      </c>
      <c r="AG64">
        <v>0</v>
      </c>
      <c r="AH64">
        <v>0</v>
      </c>
      <c r="AI64">
        <v>0</v>
      </c>
      <c r="AJ64">
        <v>0</v>
      </c>
      <c r="AK64">
        <v>0</v>
      </c>
      <c r="AL64">
        <v>0</v>
      </c>
      <c r="AM64">
        <v>0</v>
      </c>
      <c r="AN64">
        <v>0</v>
      </c>
      <c r="AO64">
        <v>0</v>
      </c>
      <c r="AP64">
        <v>0</v>
      </c>
      <c r="AQ64">
        <v>0</v>
      </c>
      <c r="AR64">
        <v>0</v>
      </c>
      <c r="AS64">
        <v>0</v>
      </c>
      <c r="AT64">
        <v>0</v>
      </c>
      <c r="AU64">
        <f t="shared" si="0"/>
        <v>0</v>
      </c>
      <c r="AV64">
        <f t="shared" si="1"/>
        <v>0</v>
      </c>
    </row>
    <row r="65" spans="1:48" x14ac:dyDescent="0.25">
      <c r="A65" t="s">
        <v>2430</v>
      </c>
      <c r="C65" t="s">
        <v>2431</v>
      </c>
      <c r="D65" t="s">
        <v>2432</v>
      </c>
      <c r="E65" t="s">
        <v>2310</v>
      </c>
      <c r="F65">
        <v>13</v>
      </c>
      <c r="G65">
        <v>13.1</v>
      </c>
      <c r="H65" t="s">
        <v>2327</v>
      </c>
      <c r="I65" s="21">
        <v>37333</v>
      </c>
      <c r="J65">
        <v>2002</v>
      </c>
      <c r="K65" s="21">
        <v>37419</v>
      </c>
      <c r="L65">
        <v>2002</v>
      </c>
      <c r="M65" s="21">
        <v>37419</v>
      </c>
      <c r="N65">
        <v>2002</v>
      </c>
      <c r="R65" s="262">
        <v>25000</v>
      </c>
      <c r="S65" t="s">
        <v>114</v>
      </c>
      <c r="T65" t="s">
        <v>114</v>
      </c>
      <c r="U65">
        <v>11</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f t="shared" si="0"/>
        <v>0</v>
      </c>
      <c r="AV65">
        <f t="shared" si="1"/>
        <v>0</v>
      </c>
    </row>
    <row r="66" spans="1:48" x14ac:dyDescent="0.25">
      <c r="A66" t="s">
        <v>2433</v>
      </c>
      <c r="C66" t="s">
        <v>2434</v>
      </c>
      <c r="D66" t="s">
        <v>2435</v>
      </c>
      <c r="E66" t="s">
        <v>2310</v>
      </c>
      <c r="F66">
        <v>8</v>
      </c>
      <c r="G66">
        <v>8.1999999999999993</v>
      </c>
      <c r="H66" t="s">
        <v>2022</v>
      </c>
      <c r="I66" s="21">
        <v>37333</v>
      </c>
      <c r="J66">
        <v>2002</v>
      </c>
      <c r="K66" s="21">
        <v>37364</v>
      </c>
      <c r="L66">
        <v>2002</v>
      </c>
      <c r="M66" s="21">
        <v>37364</v>
      </c>
      <c r="N66">
        <v>2002</v>
      </c>
      <c r="R66" s="262">
        <v>120000</v>
      </c>
      <c r="S66" t="s">
        <v>114</v>
      </c>
      <c r="T66" t="s">
        <v>114</v>
      </c>
      <c r="U66">
        <v>5</v>
      </c>
      <c r="W66">
        <v>1200</v>
      </c>
      <c r="X66">
        <v>0</v>
      </c>
      <c r="Y66">
        <v>0</v>
      </c>
      <c r="Z66">
        <v>0</v>
      </c>
      <c r="AA66">
        <v>0</v>
      </c>
      <c r="AB66">
        <v>0</v>
      </c>
      <c r="AC66">
        <v>1200</v>
      </c>
      <c r="AD66">
        <v>0</v>
      </c>
      <c r="AE66">
        <v>0</v>
      </c>
      <c r="AF66">
        <v>0</v>
      </c>
      <c r="AG66">
        <v>0</v>
      </c>
      <c r="AH66">
        <v>0</v>
      </c>
      <c r="AI66">
        <v>0</v>
      </c>
      <c r="AJ66">
        <v>0</v>
      </c>
      <c r="AK66">
        <v>0</v>
      </c>
      <c r="AL66">
        <v>0</v>
      </c>
      <c r="AM66">
        <v>0</v>
      </c>
      <c r="AN66">
        <v>0</v>
      </c>
      <c r="AO66">
        <v>0</v>
      </c>
      <c r="AP66">
        <v>0</v>
      </c>
      <c r="AQ66">
        <v>0</v>
      </c>
      <c r="AR66">
        <v>0</v>
      </c>
      <c r="AS66">
        <v>0</v>
      </c>
      <c r="AT66">
        <v>0</v>
      </c>
      <c r="AU66">
        <f t="shared" si="0"/>
        <v>0</v>
      </c>
      <c r="AV66">
        <f t="shared" si="1"/>
        <v>0</v>
      </c>
    </row>
    <row r="67" spans="1:48" x14ac:dyDescent="0.25">
      <c r="A67" t="s">
        <v>2436</v>
      </c>
      <c r="C67" t="s">
        <v>2437</v>
      </c>
      <c r="D67" t="s">
        <v>2438</v>
      </c>
      <c r="E67" t="s">
        <v>2310</v>
      </c>
      <c r="F67">
        <v>15</v>
      </c>
      <c r="G67">
        <v>15.2</v>
      </c>
      <c r="H67" t="s">
        <v>2323</v>
      </c>
      <c r="I67" s="21">
        <v>37333</v>
      </c>
      <c r="J67">
        <v>2002</v>
      </c>
      <c r="K67" s="21">
        <v>37398</v>
      </c>
      <c r="L67">
        <v>2002</v>
      </c>
      <c r="M67" s="21">
        <v>37398</v>
      </c>
      <c r="N67">
        <v>2002</v>
      </c>
      <c r="R67" s="262">
        <v>15000</v>
      </c>
      <c r="S67" t="s">
        <v>114</v>
      </c>
      <c r="T67" t="s">
        <v>114</v>
      </c>
      <c r="U67">
        <v>5</v>
      </c>
      <c r="W67">
        <v>1406</v>
      </c>
      <c r="X67">
        <v>0</v>
      </c>
      <c r="Y67">
        <v>0</v>
      </c>
      <c r="Z67">
        <v>0</v>
      </c>
      <c r="AA67">
        <v>0</v>
      </c>
      <c r="AB67">
        <v>0</v>
      </c>
      <c r="AC67">
        <v>1406</v>
      </c>
      <c r="AD67">
        <v>0</v>
      </c>
      <c r="AE67">
        <v>0</v>
      </c>
      <c r="AF67">
        <v>0</v>
      </c>
      <c r="AG67">
        <v>0</v>
      </c>
      <c r="AH67">
        <v>0</v>
      </c>
      <c r="AI67">
        <v>0</v>
      </c>
      <c r="AJ67">
        <v>0</v>
      </c>
      <c r="AK67">
        <v>0</v>
      </c>
      <c r="AL67">
        <v>0</v>
      </c>
      <c r="AM67">
        <v>0</v>
      </c>
      <c r="AN67">
        <v>0</v>
      </c>
      <c r="AO67">
        <v>0</v>
      </c>
      <c r="AP67">
        <v>0</v>
      </c>
      <c r="AQ67">
        <v>0</v>
      </c>
      <c r="AR67">
        <v>0</v>
      </c>
      <c r="AS67">
        <v>0</v>
      </c>
      <c r="AT67">
        <v>0</v>
      </c>
      <c r="AU67">
        <f t="shared" si="0"/>
        <v>0</v>
      </c>
      <c r="AV67">
        <f t="shared" si="1"/>
        <v>0</v>
      </c>
    </row>
    <row r="68" spans="1:48" x14ac:dyDescent="0.25">
      <c r="A68" t="s">
        <v>2439</v>
      </c>
      <c r="C68" t="s">
        <v>2440</v>
      </c>
      <c r="D68" t="s">
        <v>2441</v>
      </c>
      <c r="E68" t="s">
        <v>2310</v>
      </c>
      <c r="F68">
        <v>13</v>
      </c>
      <c r="G68">
        <v>13.2</v>
      </c>
      <c r="H68" t="s">
        <v>2327</v>
      </c>
      <c r="I68" s="21">
        <v>37335</v>
      </c>
      <c r="J68">
        <v>2002</v>
      </c>
      <c r="K68" s="21">
        <v>37362</v>
      </c>
      <c r="L68">
        <v>2002</v>
      </c>
      <c r="M68" s="21">
        <v>37362</v>
      </c>
      <c r="N68">
        <v>2002</v>
      </c>
      <c r="R68" s="262">
        <v>50000</v>
      </c>
      <c r="S68" t="s">
        <v>114</v>
      </c>
      <c r="T68" t="s">
        <v>114</v>
      </c>
      <c r="U68">
        <v>5</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f t="shared" si="0"/>
        <v>0</v>
      </c>
      <c r="AV68">
        <f t="shared" si="1"/>
        <v>0</v>
      </c>
    </row>
    <row r="69" spans="1:48" x14ac:dyDescent="0.25">
      <c r="A69" t="s">
        <v>2442</v>
      </c>
      <c r="C69" t="s">
        <v>2443</v>
      </c>
      <c r="D69" t="s">
        <v>2444</v>
      </c>
      <c r="E69" t="s">
        <v>2310</v>
      </c>
      <c r="F69">
        <v>13</v>
      </c>
      <c r="G69">
        <v>13.1</v>
      </c>
      <c r="H69" t="s">
        <v>2327</v>
      </c>
      <c r="I69" s="21">
        <v>37335</v>
      </c>
      <c r="J69">
        <v>2002</v>
      </c>
      <c r="K69" s="21">
        <v>37378</v>
      </c>
      <c r="L69">
        <v>2002</v>
      </c>
      <c r="M69" s="21">
        <v>37406</v>
      </c>
      <c r="N69">
        <v>2002</v>
      </c>
      <c r="R69" s="262">
        <v>100000</v>
      </c>
      <c r="S69" t="s">
        <v>114</v>
      </c>
      <c r="T69" t="s">
        <v>114</v>
      </c>
      <c r="U69">
        <v>10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f t="shared" si="0"/>
        <v>0</v>
      </c>
      <c r="AV69">
        <f t="shared" si="1"/>
        <v>0</v>
      </c>
    </row>
    <row r="70" spans="1:48" x14ac:dyDescent="0.25">
      <c r="A70" t="s">
        <v>2445</v>
      </c>
      <c r="C70" t="s">
        <v>2446</v>
      </c>
      <c r="D70" t="s">
        <v>2447</v>
      </c>
      <c r="E70" t="s">
        <v>1663</v>
      </c>
      <c r="F70">
        <v>6</v>
      </c>
      <c r="G70">
        <v>6.2</v>
      </c>
      <c r="H70" t="s">
        <v>2017</v>
      </c>
      <c r="I70" s="21">
        <v>37336</v>
      </c>
      <c r="J70">
        <v>2002</v>
      </c>
      <c r="K70" s="21">
        <v>37367</v>
      </c>
      <c r="L70">
        <v>2002</v>
      </c>
      <c r="M70" s="21">
        <v>37520</v>
      </c>
      <c r="N70">
        <v>2002</v>
      </c>
      <c r="Q70" s="262">
        <v>400000</v>
      </c>
      <c r="S70" t="s">
        <v>114</v>
      </c>
      <c r="T70" t="s">
        <v>114</v>
      </c>
      <c r="W70">
        <v>3853</v>
      </c>
      <c r="X70">
        <v>1</v>
      </c>
      <c r="Y70">
        <v>0</v>
      </c>
      <c r="Z70">
        <v>0</v>
      </c>
      <c r="AA70">
        <v>0</v>
      </c>
      <c r="AB70">
        <v>0</v>
      </c>
      <c r="AC70">
        <v>3853</v>
      </c>
      <c r="AD70">
        <v>0</v>
      </c>
      <c r="AE70">
        <v>0</v>
      </c>
      <c r="AF70">
        <v>0</v>
      </c>
      <c r="AG70">
        <v>0</v>
      </c>
      <c r="AH70">
        <v>0</v>
      </c>
      <c r="AI70">
        <v>0</v>
      </c>
      <c r="AJ70">
        <v>0</v>
      </c>
      <c r="AK70">
        <v>0</v>
      </c>
      <c r="AL70">
        <v>0</v>
      </c>
      <c r="AM70">
        <v>0</v>
      </c>
      <c r="AN70">
        <v>0</v>
      </c>
      <c r="AO70">
        <v>1</v>
      </c>
      <c r="AP70">
        <v>0</v>
      </c>
      <c r="AQ70">
        <v>0</v>
      </c>
      <c r="AR70">
        <v>0</v>
      </c>
      <c r="AS70">
        <v>0</v>
      </c>
      <c r="AT70">
        <v>0</v>
      </c>
      <c r="AU70">
        <f t="shared" si="0"/>
        <v>1</v>
      </c>
      <c r="AV70">
        <f t="shared" si="1"/>
        <v>0</v>
      </c>
    </row>
    <row r="71" spans="1:48" x14ac:dyDescent="0.25">
      <c r="A71" t="s">
        <v>2451</v>
      </c>
      <c r="C71" t="s">
        <v>2452</v>
      </c>
      <c r="D71" t="s">
        <v>2453</v>
      </c>
      <c r="E71" t="s">
        <v>2310</v>
      </c>
      <c r="F71">
        <v>13</v>
      </c>
      <c r="G71">
        <v>13.1</v>
      </c>
      <c r="H71" t="s">
        <v>2327</v>
      </c>
      <c r="I71" s="21">
        <v>37337</v>
      </c>
      <c r="J71">
        <v>2002</v>
      </c>
      <c r="K71" s="21">
        <v>37393</v>
      </c>
      <c r="L71">
        <v>2002</v>
      </c>
      <c r="M71" s="21">
        <v>37623</v>
      </c>
      <c r="N71">
        <v>2003</v>
      </c>
      <c r="R71" s="262">
        <v>1900000</v>
      </c>
      <c r="S71" t="s">
        <v>114</v>
      </c>
      <c r="T71" t="s">
        <v>114</v>
      </c>
      <c r="U71">
        <v>13</v>
      </c>
      <c r="W71">
        <v>12127</v>
      </c>
      <c r="X71">
        <v>0</v>
      </c>
      <c r="Y71">
        <v>0</v>
      </c>
      <c r="Z71">
        <v>0</v>
      </c>
      <c r="AA71">
        <v>0</v>
      </c>
      <c r="AB71">
        <v>0</v>
      </c>
      <c r="AC71">
        <v>0</v>
      </c>
      <c r="AD71">
        <v>0</v>
      </c>
      <c r="AE71">
        <v>0</v>
      </c>
      <c r="AF71">
        <v>0</v>
      </c>
      <c r="AG71">
        <v>0</v>
      </c>
      <c r="AH71">
        <v>0</v>
      </c>
      <c r="AI71">
        <v>0</v>
      </c>
      <c r="AJ71">
        <v>0</v>
      </c>
      <c r="AK71">
        <v>12127</v>
      </c>
      <c r="AL71">
        <v>0</v>
      </c>
      <c r="AM71">
        <v>0</v>
      </c>
      <c r="AN71">
        <v>0</v>
      </c>
      <c r="AO71">
        <v>0</v>
      </c>
      <c r="AP71">
        <v>0</v>
      </c>
      <c r="AQ71">
        <v>0</v>
      </c>
      <c r="AR71">
        <v>0</v>
      </c>
      <c r="AS71">
        <v>0</v>
      </c>
      <c r="AT71">
        <v>0</v>
      </c>
      <c r="AU71">
        <f t="shared" si="0"/>
        <v>0</v>
      </c>
      <c r="AV71">
        <f t="shared" si="1"/>
        <v>12127</v>
      </c>
    </row>
    <row r="72" spans="1:48" x14ac:dyDescent="0.25">
      <c r="A72" t="s">
        <v>2454</v>
      </c>
      <c r="C72" t="s">
        <v>2455</v>
      </c>
      <c r="D72" t="s">
        <v>2456</v>
      </c>
      <c r="E72" t="s">
        <v>2310</v>
      </c>
      <c r="F72">
        <v>10</v>
      </c>
      <c r="G72">
        <v>10.1</v>
      </c>
      <c r="H72" t="s">
        <v>2323</v>
      </c>
      <c r="I72" s="21">
        <v>37337</v>
      </c>
      <c r="J72">
        <v>2002</v>
      </c>
      <c r="K72" s="21">
        <v>37370</v>
      </c>
      <c r="L72">
        <v>2002</v>
      </c>
      <c r="M72" s="21">
        <v>37630</v>
      </c>
      <c r="N72">
        <v>2003</v>
      </c>
      <c r="R72" s="262">
        <v>10000</v>
      </c>
      <c r="S72" t="s">
        <v>114</v>
      </c>
      <c r="T72" t="s">
        <v>114</v>
      </c>
      <c r="U72">
        <v>15</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f t="shared" si="0"/>
        <v>0</v>
      </c>
      <c r="AV72">
        <f t="shared" si="1"/>
        <v>0</v>
      </c>
    </row>
    <row r="73" spans="1:48" x14ac:dyDescent="0.25">
      <c r="A73" t="s">
        <v>2448</v>
      </c>
      <c r="C73" t="s">
        <v>2449</v>
      </c>
      <c r="D73" t="s">
        <v>2450</v>
      </c>
      <c r="E73" t="s">
        <v>1663</v>
      </c>
      <c r="F73">
        <v>6</v>
      </c>
      <c r="G73">
        <v>6.1</v>
      </c>
      <c r="H73" t="s">
        <v>2017</v>
      </c>
      <c r="I73" s="21">
        <v>37337</v>
      </c>
      <c r="J73">
        <v>2002</v>
      </c>
      <c r="K73" s="21">
        <v>37368</v>
      </c>
      <c r="L73">
        <v>2002</v>
      </c>
      <c r="M73" s="21">
        <v>37521</v>
      </c>
      <c r="N73">
        <v>2002</v>
      </c>
      <c r="Q73" s="262">
        <v>326756</v>
      </c>
      <c r="S73" t="s">
        <v>114</v>
      </c>
      <c r="T73" t="s">
        <v>114</v>
      </c>
      <c r="W73">
        <v>4834</v>
      </c>
      <c r="X73">
        <v>1</v>
      </c>
      <c r="Y73">
        <v>0</v>
      </c>
      <c r="Z73">
        <v>0</v>
      </c>
      <c r="AA73">
        <v>0</v>
      </c>
      <c r="AB73">
        <v>0</v>
      </c>
      <c r="AC73">
        <v>4834</v>
      </c>
      <c r="AD73">
        <v>0</v>
      </c>
      <c r="AE73">
        <v>0</v>
      </c>
      <c r="AF73">
        <v>0</v>
      </c>
      <c r="AG73">
        <v>0</v>
      </c>
      <c r="AH73">
        <v>0</v>
      </c>
      <c r="AI73">
        <v>0</v>
      </c>
      <c r="AJ73">
        <v>0</v>
      </c>
      <c r="AK73">
        <v>0</v>
      </c>
      <c r="AL73">
        <v>0</v>
      </c>
      <c r="AM73">
        <v>0</v>
      </c>
      <c r="AN73">
        <v>0</v>
      </c>
      <c r="AO73">
        <v>1</v>
      </c>
      <c r="AP73">
        <v>0</v>
      </c>
      <c r="AQ73">
        <v>0</v>
      </c>
      <c r="AR73">
        <v>0</v>
      </c>
      <c r="AS73">
        <v>0</v>
      </c>
      <c r="AT73">
        <v>0</v>
      </c>
      <c r="AU73">
        <f t="shared" si="0"/>
        <v>1</v>
      </c>
      <c r="AV73">
        <f t="shared" si="1"/>
        <v>0</v>
      </c>
    </row>
    <row r="74" spans="1:48" x14ac:dyDescent="0.25">
      <c r="A74" t="s">
        <v>2460</v>
      </c>
      <c r="C74" t="s">
        <v>2461</v>
      </c>
      <c r="D74" t="s">
        <v>2462</v>
      </c>
      <c r="E74" t="s">
        <v>2310</v>
      </c>
      <c r="F74">
        <v>13</v>
      </c>
      <c r="G74">
        <v>13.3</v>
      </c>
      <c r="H74" t="s">
        <v>2017</v>
      </c>
      <c r="I74" s="21">
        <v>37341</v>
      </c>
      <c r="J74">
        <v>2002</v>
      </c>
      <c r="K74" s="21">
        <v>37371</v>
      </c>
      <c r="L74">
        <v>2002</v>
      </c>
      <c r="M74" s="21">
        <v>38616</v>
      </c>
      <c r="N74">
        <v>2005</v>
      </c>
      <c r="R74" s="262">
        <v>300000</v>
      </c>
      <c r="S74" t="s">
        <v>114</v>
      </c>
      <c r="T74" t="s">
        <v>114</v>
      </c>
      <c r="U74">
        <v>5</v>
      </c>
      <c r="W74">
        <v>1533</v>
      </c>
      <c r="X74">
        <v>0</v>
      </c>
      <c r="Y74">
        <v>0</v>
      </c>
      <c r="Z74">
        <v>0</v>
      </c>
      <c r="AA74">
        <v>0</v>
      </c>
      <c r="AB74">
        <v>0</v>
      </c>
      <c r="AC74">
        <v>1533</v>
      </c>
      <c r="AD74">
        <v>0</v>
      </c>
      <c r="AE74">
        <v>0</v>
      </c>
      <c r="AF74">
        <v>0</v>
      </c>
      <c r="AG74">
        <v>0</v>
      </c>
      <c r="AH74">
        <v>0</v>
      </c>
      <c r="AI74">
        <v>0</v>
      </c>
      <c r="AJ74">
        <v>0</v>
      </c>
      <c r="AK74">
        <v>0</v>
      </c>
      <c r="AL74">
        <v>0</v>
      </c>
      <c r="AM74">
        <v>0</v>
      </c>
      <c r="AN74">
        <v>0</v>
      </c>
      <c r="AO74">
        <v>0</v>
      </c>
      <c r="AP74">
        <v>0</v>
      </c>
      <c r="AQ74">
        <v>0</v>
      </c>
      <c r="AR74">
        <v>0</v>
      </c>
      <c r="AS74">
        <v>0</v>
      </c>
      <c r="AT74">
        <v>0</v>
      </c>
      <c r="AU74">
        <f t="shared" si="0"/>
        <v>0</v>
      </c>
      <c r="AV74">
        <f t="shared" si="1"/>
        <v>0</v>
      </c>
    </row>
    <row r="75" spans="1:48" x14ac:dyDescent="0.25">
      <c r="A75" t="s">
        <v>2457</v>
      </c>
      <c r="C75" t="s">
        <v>2458</v>
      </c>
      <c r="D75" t="s">
        <v>2459</v>
      </c>
      <c r="E75" t="s">
        <v>1663</v>
      </c>
      <c r="F75">
        <v>3</v>
      </c>
      <c r="G75">
        <v>3.2</v>
      </c>
      <c r="H75" t="s">
        <v>2327</v>
      </c>
      <c r="I75" s="21">
        <v>37341</v>
      </c>
      <c r="J75">
        <v>2002</v>
      </c>
      <c r="K75" s="21">
        <v>37372</v>
      </c>
      <c r="L75">
        <v>2002</v>
      </c>
      <c r="M75" s="21">
        <v>37525</v>
      </c>
      <c r="N75">
        <v>2002</v>
      </c>
      <c r="Q75" s="262">
        <v>11766</v>
      </c>
      <c r="S75" t="s">
        <v>114</v>
      </c>
      <c r="T75" t="s">
        <v>114</v>
      </c>
      <c r="W75">
        <v>1271</v>
      </c>
      <c r="X75">
        <v>1</v>
      </c>
      <c r="Y75">
        <v>0</v>
      </c>
      <c r="Z75">
        <v>0</v>
      </c>
      <c r="AA75">
        <v>0</v>
      </c>
      <c r="AB75">
        <v>0</v>
      </c>
      <c r="AC75">
        <v>1271</v>
      </c>
      <c r="AD75">
        <v>0</v>
      </c>
      <c r="AE75">
        <v>0</v>
      </c>
      <c r="AF75">
        <v>0</v>
      </c>
      <c r="AG75">
        <v>0</v>
      </c>
      <c r="AH75">
        <v>0</v>
      </c>
      <c r="AI75">
        <v>0</v>
      </c>
      <c r="AJ75">
        <v>0</v>
      </c>
      <c r="AK75">
        <v>0</v>
      </c>
      <c r="AL75">
        <v>0</v>
      </c>
      <c r="AM75">
        <v>0</v>
      </c>
      <c r="AN75">
        <v>0</v>
      </c>
      <c r="AO75">
        <v>1</v>
      </c>
      <c r="AP75">
        <v>0</v>
      </c>
      <c r="AQ75">
        <v>0</v>
      </c>
      <c r="AR75">
        <v>0</v>
      </c>
      <c r="AS75">
        <v>0</v>
      </c>
      <c r="AT75">
        <v>0</v>
      </c>
      <c r="AU75">
        <f t="shared" si="0"/>
        <v>1</v>
      </c>
      <c r="AV75">
        <f t="shared" si="1"/>
        <v>0</v>
      </c>
    </row>
    <row r="76" spans="1:48" x14ac:dyDescent="0.25">
      <c r="A76" t="s">
        <v>2463</v>
      </c>
      <c r="C76" t="s">
        <v>2464</v>
      </c>
      <c r="D76" t="s">
        <v>2465</v>
      </c>
      <c r="E76" t="s">
        <v>2310</v>
      </c>
      <c r="F76">
        <v>11</v>
      </c>
      <c r="G76">
        <v>11.2</v>
      </c>
      <c r="H76" t="s">
        <v>2017</v>
      </c>
      <c r="I76" s="21">
        <v>37343</v>
      </c>
      <c r="J76">
        <v>2002</v>
      </c>
      <c r="K76" s="21">
        <v>37364</v>
      </c>
      <c r="L76">
        <v>2002</v>
      </c>
      <c r="M76" s="21">
        <v>37456</v>
      </c>
      <c r="N76">
        <v>2002</v>
      </c>
      <c r="R76" s="262">
        <v>45000</v>
      </c>
      <c r="S76" t="s">
        <v>114</v>
      </c>
      <c r="T76" t="s">
        <v>114</v>
      </c>
      <c r="U76">
        <v>5</v>
      </c>
      <c r="W76">
        <v>1660</v>
      </c>
      <c r="X76">
        <v>1</v>
      </c>
      <c r="Y76">
        <v>0</v>
      </c>
      <c r="Z76">
        <v>0</v>
      </c>
      <c r="AA76">
        <v>0</v>
      </c>
      <c r="AB76">
        <v>0</v>
      </c>
      <c r="AC76">
        <v>1660</v>
      </c>
      <c r="AD76">
        <v>0</v>
      </c>
      <c r="AE76">
        <v>0</v>
      </c>
      <c r="AF76">
        <v>0</v>
      </c>
      <c r="AG76">
        <v>0</v>
      </c>
      <c r="AH76">
        <v>0</v>
      </c>
      <c r="AI76">
        <v>0</v>
      </c>
      <c r="AJ76">
        <v>0</v>
      </c>
      <c r="AK76">
        <v>0</v>
      </c>
      <c r="AL76">
        <v>0</v>
      </c>
      <c r="AM76">
        <v>0</v>
      </c>
      <c r="AN76">
        <v>0</v>
      </c>
      <c r="AO76">
        <v>1</v>
      </c>
      <c r="AP76">
        <v>0</v>
      </c>
      <c r="AQ76">
        <v>0</v>
      </c>
      <c r="AR76">
        <v>0</v>
      </c>
      <c r="AS76">
        <v>0</v>
      </c>
      <c r="AT76">
        <v>0</v>
      </c>
      <c r="AU76">
        <f t="shared" si="0"/>
        <v>1</v>
      </c>
      <c r="AV76">
        <f t="shared" si="1"/>
        <v>0</v>
      </c>
    </row>
    <row r="77" spans="1:48" x14ac:dyDescent="0.25">
      <c r="A77" t="s">
        <v>2466</v>
      </c>
      <c r="C77" t="s">
        <v>2467</v>
      </c>
      <c r="D77" t="s">
        <v>2468</v>
      </c>
      <c r="E77" t="s">
        <v>2310</v>
      </c>
      <c r="F77">
        <v>14</v>
      </c>
      <c r="G77">
        <v>14.2</v>
      </c>
      <c r="H77" t="s">
        <v>2017</v>
      </c>
      <c r="I77" s="21">
        <v>37344</v>
      </c>
      <c r="J77">
        <v>2002</v>
      </c>
      <c r="K77" s="21">
        <v>37375</v>
      </c>
      <c r="L77">
        <v>2002</v>
      </c>
      <c r="M77" s="21">
        <v>37888</v>
      </c>
      <c r="N77">
        <v>2003</v>
      </c>
      <c r="R77" s="262">
        <v>300000</v>
      </c>
      <c r="S77" t="s">
        <v>114</v>
      </c>
      <c r="T77" t="s">
        <v>114</v>
      </c>
      <c r="U77">
        <v>5</v>
      </c>
      <c r="W77">
        <v>5817</v>
      </c>
      <c r="X77">
        <v>1</v>
      </c>
      <c r="Y77">
        <v>0</v>
      </c>
      <c r="Z77">
        <v>0</v>
      </c>
      <c r="AA77">
        <v>0</v>
      </c>
      <c r="AB77">
        <v>0</v>
      </c>
      <c r="AC77">
        <v>5817</v>
      </c>
      <c r="AD77">
        <v>0</v>
      </c>
      <c r="AE77">
        <v>0</v>
      </c>
      <c r="AF77">
        <v>0</v>
      </c>
      <c r="AG77">
        <v>0</v>
      </c>
      <c r="AH77">
        <v>0</v>
      </c>
      <c r="AI77">
        <v>0</v>
      </c>
      <c r="AJ77">
        <v>0</v>
      </c>
      <c r="AK77">
        <v>0</v>
      </c>
      <c r="AL77">
        <v>0</v>
      </c>
      <c r="AM77">
        <v>0</v>
      </c>
      <c r="AN77">
        <v>0</v>
      </c>
      <c r="AO77">
        <v>1</v>
      </c>
      <c r="AP77">
        <v>0</v>
      </c>
      <c r="AQ77">
        <v>0</v>
      </c>
      <c r="AR77">
        <v>0</v>
      </c>
      <c r="AS77">
        <v>0</v>
      </c>
      <c r="AT77">
        <v>0</v>
      </c>
      <c r="AU77">
        <f t="shared" si="0"/>
        <v>1</v>
      </c>
      <c r="AV77">
        <f t="shared" si="1"/>
        <v>0</v>
      </c>
    </row>
    <row r="78" spans="1:48" x14ac:dyDescent="0.25">
      <c r="A78" t="s">
        <v>2469</v>
      </c>
      <c r="C78" t="s">
        <v>2380</v>
      </c>
      <c r="D78" t="s">
        <v>2470</v>
      </c>
      <c r="E78" t="s">
        <v>2310</v>
      </c>
      <c r="F78">
        <v>9</v>
      </c>
      <c r="G78">
        <v>9.1</v>
      </c>
      <c r="H78" t="s">
        <v>2323</v>
      </c>
      <c r="I78" s="21">
        <v>37344</v>
      </c>
      <c r="J78">
        <v>2002</v>
      </c>
      <c r="K78" s="21">
        <v>37375</v>
      </c>
      <c r="L78">
        <v>2002</v>
      </c>
      <c r="M78" s="21">
        <v>37375</v>
      </c>
      <c r="N78">
        <v>2002</v>
      </c>
      <c r="R78" s="262">
        <v>31000</v>
      </c>
      <c r="S78" t="s">
        <v>114</v>
      </c>
      <c r="T78" t="s">
        <v>114</v>
      </c>
      <c r="U78">
        <v>5</v>
      </c>
      <c r="W78">
        <v>1200</v>
      </c>
      <c r="X78">
        <v>0</v>
      </c>
      <c r="Y78">
        <v>0</v>
      </c>
      <c r="Z78">
        <v>0</v>
      </c>
      <c r="AA78">
        <v>0</v>
      </c>
      <c r="AB78">
        <v>0</v>
      </c>
      <c r="AC78">
        <v>1200</v>
      </c>
      <c r="AD78">
        <v>0</v>
      </c>
      <c r="AE78">
        <v>0</v>
      </c>
      <c r="AF78">
        <v>0</v>
      </c>
      <c r="AG78">
        <v>0</v>
      </c>
      <c r="AH78">
        <v>0</v>
      </c>
      <c r="AI78">
        <v>0</v>
      </c>
      <c r="AJ78">
        <v>0</v>
      </c>
      <c r="AK78">
        <v>0</v>
      </c>
      <c r="AL78">
        <v>0</v>
      </c>
      <c r="AM78">
        <v>0</v>
      </c>
      <c r="AN78">
        <v>0</v>
      </c>
      <c r="AO78">
        <v>0</v>
      </c>
      <c r="AP78">
        <v>0</v>
      </c>
      <c r="AQ78">
        <v>0</v>
      </c>
      <c r="AR78">
        <v>0</v>
      </c>
      <c r="AS78">
        <v>0</v>
      </c>
      <c r="AT78">
        <v>0</v>
      </c>
      <c r="AU78">
        <f t="shared" si="0"/>
        <v>0</v>
      </c>
      <c r="AV78">
        <f t="shared" si="1"/>
        <v>0</v>
      </c>
    </row>
    <row r="79" spans="1:48" x14ac:dyDescent="0.25">
      <c r="A79" t="s">
        <v>2471</v>
      </c>
      <c r="C79" t="s">
        <v>2472</v>
      </c>
      <c r="D79" t="s">
        <v>2473</v>
      </c>
      <c r="E79" t="s">
        <v>2310</v>
      </c>
      <c r="F79">
        <v>7</v>
      </c>
      <c r="G79">
        <v>7.1</v>
      </c>
      <c r="H79" t="s">
        <v>2017</v>
      </c>
      <c r="I79" s="21">
        <v>37344</v>
      </c>
      <c r="J79">
        <v>2002</v>
      </c>
      <c r="K79" s="21">
        <v>37362</v>
      </c>
      <c r="L79">
        <v>2002</v>
      </c>
      <c r="M79" s="21">
        <v>37389</v>
      </c>
      <c r="N79">
        <v>2002</v>
      </c>
      <c r="R79" s="262">
        <v>8000</v>
      </c>
      <c r="S79" t="s">
        <v>114</v>
      </c>
      <c r="T79" t="s">
        <v>114</v>
      </c>
      <c r="U79">
        <v>14</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f t="shared" si="0"/>
        <v>0</v>
      </c>
      <c r="AV79">
        <f t="shared" si="1"/>
        <v>0</v>
      </c>
    </row>
    <row r="80" spans="1:48" x14ac:dyDescent="0.25">
      <c r="A80" t="s">
        <v>2474</v>
      </c>
      <c r="C80" t="s">
        <v>2475</v>
      </c>
      <c r="D80" t="s">
        <v>2476</v>
      </c>
      <c r="E80" t="s">
        <v>2310</v>
      </c>
      <c r="F80">
        <v>15</v>
      </c>
      <c r="G80">
        <v>15.3</v>
      </c>
      <c r="H80" t="s">
        <v>2022</v>
      </c>
      <c r="I80" s="21">
        <v>37344</v>
      </c>
      <c r="J80">
        <v>2002</v>
      </c>
      <c r="K80" s="21">
        <v>37386</v>
      </c>
      <c r="L80">
        <v>2002</v>
      </c>
      <c r="M80" s="21">
        <v>37386</v>
      </c>
      <c r="N80">
        <v>2002</v>
      </c>
      <c r="R80" s="262">
        <v>75000</v>
      </c>
      <c r="S80" t="s">
        <v>114</v>
      </c>
      <c r="T80" t="s">
        <v>114</v>
      </c>
      <c r="U80">
        <v>8</v>
      </c>
      <c r="W80">
        <v>0</v>
      </c>
      <c r="X80">
        <v>1</v>
      </c>
      <c r="Y80">
        <v>0</v>
      </c>
      <c r="Z80">
        <v>0</v>
      </c>
      <c r="AA80">
        <v>0</v>
      </c>
      <c r="AB80">
        <v>0</v>
      </c>
      <c r="AC80">
        <v>-662</v>
      </c>
      <c r="AD80">
        <v>0</v>
      </c>
      <c r="AE80">
        <v>0</v>
      </c>
      <c r="AF80">
        <v>662</v>
      </c>
      <c r="AG80">
        <v>0</v>
      </c>
      <c r="AH80">
        <v>0</v>
      </c>
      <c r="AI80">
        <v>0</v>
      </c>
      <c r="AJ80">
        <v>0</v>
      </c>
      <c r="AK80">
        <v>0</v>
      </c>
      <c r="AL80">
        <v>0</v>
      </c>
      <c r="AM80">
        <v>0</v>
      </c>
      <c r="AN80">
        <v>0</v>
      </c>
      <c r="AO80">
        <v>0</v>
      </c>
      <c r="AP80">
        <v>0</v>
      </c>
      <c r="AQ80">
        <v>0</v>
      </c>
      <c r="AR80">
        <v>1</v>
      </c>
      <c r="AS80">
        <v>0</v>
      </c>
      <c r="AT80">
        <v>0</v>
      </c>
      <c r="AU80">
        <f t="shared" si="0"/>
        <v>0</v>
      </c>
      <c r="AV80">
        <f t="shared" si="1"/>
        <v>0</v>
      </c>
    </row>
    <row r="81" spans="1:48" x14ac:dyDescent="0.25">
      <c r="A81" t="s">
        <v>2477</v>
      </c>
      <c r="C81" t="s">
        <v>2478</v>
      </c>
      <c r="D81" t="s">
        <v>2479</v>
      </c>
      <c r="E81" t="s">
        <v>2310</v>
      </c>
      <c r="F81">
        <v>14</v>
      </c>
      <c r="G81">
        <v>14.1</v>
      </c>
      <c r="H81" t="s">
        <v>2022</v>
      </c>
      <c r="I81" s="21">
        <v>37348</v>
      </c>
      <c r="J81">
        <v>2002</v>
      </c>
      <c r="K81" s="21">
        <v>37377</v>
      </c>
      <c r="L81">
        <v>2002</v>
      </c>
      <c r="M81" s="21">
        <v>40280.522453703699</v>
      </c>
      <c r="N81">
        <v>2010</v>
      </c>
      <c r="R81" s="262">
        <v>31000</v>
      </c>
      <c r="S81" t="s">
        <v>114</v>
      </c>
      <c r="T81" t="s">
        <v>114</v>
      </c>
      <c r="U81">
        <v>5</v>
      </c>
      <c r="W81">
        <v>445</v>
      </c>
      <c r="X81">
        <v>0</v>
      </c>
      <c r="Y81">
        <v>0</v>
      </c>
      <c r="Z81">
        <v>0</v>
      </c>
      <c r="AA81">
        <v>0</v>
      </c>
      <c r="AB81">
        <v>0</v>
      </c>
      <c r="AC81">
        <v>445</v>
      </c>
      <c r="AD81">
        <v>0</v>
      </c>
      <c r="AE81">
        <v>0</v>
      </c>
      <c r="AF81">
        <v>0</v>
      </c>
      <c r="AG81">
        <v>0</v>
      </c>
      <c r="AH81">
        <v>0</v>
      </c>
      <c r="AI81">
        <v>0</v>
      </c>
      <c r="AJ81">
        <v>0</v>
      </c>
      <c r="AK81">
        <v>0</v>
      </c>
      <c r="AL81">
        <v>0</v>
      </c>
      <c r="AM81">
        <v>0</v>
      </c>
      <c r="AN81">
        <v>0</v>
      </c>
      <c r="AO81">
        <v>0</v>
      </c>
      <c r="AP81">
        <v>0</v>
      </c>
      <c r="AQ81">
        <v>0</v>
      </c>
      <c r="AR81">
        <v>0</v>
      </c>
      <c r="AS81">
        <v>0</v>
      </c>
      <c r="AT81">
        <v>0</v>
      </c>
      <c r="AU81">
        <f t="shared" si="0"/>
        <v>0</v>
      </c>
      <c r="AV81">
        <f t="shared" si="1"/>
        <v>0</v>
      </c>
    </row>
    <row r="82" spans="1:48" x14ac:dyDescent="0.25">
      <c r="A82" t="s">
        <v>2480</v>
      </c>
      <c r="C82" t="s">
        <v>2481</v>
      </c>
      <c r="D82" t="s">
        <v>2342</v>
      </c>
      <c r="E82" t="s">
        <v>2310</v>
      </c>
      <c r="F82">
        <v>13</v>
      </c>
      <c r="G82">
        <v>13.1</v>
      </c>
      <c r="H82" t="s">
        <v>2327</v>
      </c>
      <c r="I82" s="21">
        <v>37348</v>
      </c>
      <c r="J82">
        <v>2002</v>
      </c>
      <c r="K82" s="21">
        <v>37362</v>
      </c>
      <c r="L82">
        <v>2002</v>
      </c>
      <c r="M82" s="21">
        <v>37376</v>
      </c>
      <c r="N82">
        <v>2002</v>
      </c>
      <c r="R82" s="262">
        <v>200000</v>
      </c>
      <c r="S82" t="s">
        <v>114</v>
      </c>
      <c r="T82" t="s">
        <v>114</v>
      </c>
      <c r="U82">
        <v>11</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f t="shared" si="0"/>
        <v>0</v>
      </c>
      <c r="AV82">
        <f t="shared" si="1"/>
        <v>0</v>
      </c>
    </row>
    <row r="83" spans="1:48" x14ac:dyDescent="0.25">
      <c r="A83" t="s">
        <v>2482</v>
      </c>
      <c r="C83" t="s">
        <v>2483</v>
      </c>
      <c r="D83" t="s">
        <v>2484</v>
      </c>
      <c r="E83" t="s">
        <v>2310</v>
      </c>
      <c r="F83">
        <v>13</v>
      </c>
      <c r="G83">
        <v>13.1</v>
      </c>
      <c r="H83" t="s">
        <v>2327</v>
      </c>
      <c r="I83" s="21">
        <v>37349</v>
      </c>
      <c r="J83">
        <v>2002</v>
      </c>
      <c r="K83" s="21">
        <v>37370</v>
      </c>
      <c r="L83">
        <v>2002</v>
      </c>
      <c r="M83" s="21">
        <v>37433</v>
      </c>
      <c r="N83">
        <v>2002</v>
      </c>
      <c r="R83" s="262">
        <v>30000</v>
      </c>
      <c r="S83" t="s">
        <v>114</v>
      </c>
      <c r="T83" t="s">
        <v>114</v>
      </c>
      <c r="U83">
        <v>13</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f t="shared" si="0"/>
        <v>0</v>
      </c>
      <c r="AV83">
        <f t="shared" si="1"/>
        <v>0</v>
      </c>
    </row>
    <row r="84" spans="1:48" x14ac:dyDescent="0.25">
      <c r="A84" t="s">
        <v>2485</v>
      </c>
      <c r="C84" t="s">
        <v>2486</v>
      </c>
      <c r="D84" t="s">
        <v>2487</v>
      </c>
      <c r="E84" t="s">
        <v>2310</v>
      </c>
      <c r="F84">
        <v>9</v>
      </c>
      <c r="G84">
        <v>9.1</v>
      </c>
      <c r="H84" t="s">
        <v>2323</v>
      </c>
      <c r="I84" s="21">
        <v>37349</v>
      </c>
      <c r="J84">
        <v>2002</v>
      </c>
      <c r="K84" s="21">
        <v>37377</v>
      </c>
      <c r="L84">
        <v>2002</v>
      </c>
      <c r="M84" s="21">
        <v>38825</v>
      </c>
      <c r="N84">
        <v>2006</v>
      </c>
      <c r="R84" s="262">
        <v>682000</v>
      </c>
      <c r="S84" t="s">
        <v>114</v>
      </c>
      <c r="T84" t="s">
        <v>114</v>
      </c>
      <c r="U84">
        <v>5</v>
      </c>
      <c r="W84">
        <v>4996</v>
      </c>
      <c r="X84">
        <v>1</v>
      </c>
      <c r="Y84">
        <v>0</v>
      </c>
      <c r="Z84">
        <v>0</v>
      </c>
      <c r="AA84">
        <v>0</v>
      </c>
      <c r="AB84">
        <v>0</v>
      </c>
      <c r="AC84">
        <v>4996</v>
      </c>
      <c r="AD84">
        <v>0</v>
      </c>
      <c r="AE84">
        <v>0</v>
      </c>
      <c r="AF84">
        <v>0</v>
      </c>
      <c r="AG84">
        <v>0</v>
      </c>
      <c r="AH84">
        <v>0</v>
      </c>
      <c r="AI84">
        <v>0</v>
      </c>
      <c r="AJ84">
        <v>0</v>
      </c>
      <c r="AK84">
        <v>0</v>
      </c>
      <c r="AL84">
        <v>0</v>
      </c>
      <c r="AM84">
        <v>0</v>
      </c>
      <c r="AN84">
        <v>0</v>
      </c>
      <c r="AO84">
        <v>1</v>
      </c>
      <c r="AP84">
        <v>0</v>
      </c>
      <c r="AQ84">
        <v>0</v>
      </c>
      <c r="AR84">
        <v>0</v>
      </c>
      <c r="AS84">
        <v>0</v>
      </c>
      <c r="AT84">
        <v>0</v>
      </c>
      <c r="AU84">
        <f t="shared" si="0"/>
        <v>1</v>
      </c>
      <c r="AV84">
        <f t="shared" si="1"/>
        <v>0</v>
      </c>
    </row>
    <row r="85" spans="1:48" x14ac:dyDescent="0.25">
      <c r="A85" t="s">
        <v>2488</v>
      </c>
      <c r="C85" t="s">
        <v>2489</v>
      </c>
      <c r="D85" t="s">
        <v>2490</v>
      </c>
      <c r="E85" t="s">
        <v>2310</v>
      </c>
      <c r="F85">
        <v>9</v>
      </c>
      <c r="G85">
        <v>9.1</v>
      </c>
      <c r="H85" t="s">
        <v>2323</v>
      </c>
      <c r="I85" s="21">
        <v>37349</v>
      </c>
      <c r="J85">
        <v>2002</v>
      </c>
      <c r="K85" s="21">
        <v>37377</v>
      </c>
      <c r="L85">
        <v>2002</v>
      </c>
      <c r="M85" s="21">
        <v>37377</v>
      </c>
      <c r="N85">
        <v>2002</v>
      </c>
      <c r="R85" s="262">
        <v>676000</v>
      </c>
      <c r="S85" t="s">
        <v>114</v>
      </c>
      <c r="T85" t="s">
        <v>114</v>
      </c>
      <c r="U85">
        <v>5</v>
      </c>
      <c r="W85">
        <v>4470</v>
      </c>
      <c r="X85">
        <v>1</v>
      </c>
      <c r="Y85">
        <v>0</v>
      </c>
      <c r="Z85">
        <v>0</v>
      </c>
      <c r="AA85">
        <v>0</v>
      </c>
      <c r="AB85">
        <v>0</v>
      </c>
      <c r="AC85">
        <v>4470</v>
      </c>
      <c r="AD85">
        <v>0</v>
      </c>
      <c r="AE85">
        <v>0</v>
      </c>
      <c r="AF85">
        <v>0</v>
      </c>
      <c r="AG85">
        <v>0</v>
      </c>
      <c r="AH85">
        <v>0</v>
      </c>
      <c r="AI85">
        <v>0</v>
      </c>
      <c r="AJ85">
        <v>0</v>
      </c>
      <c r="AK85">
        <v>0</v>
      </c>
      <c r="AL85">
        <v>0</v>
      </c>
      <c r="AM85">
        <v>0</v>
      </c>
      <c r="AN85">
        <v>0</v>
      </c>
      <c r="AO85">
        <v>1</v>
      </c>
      <c r="AP85">
        <v>0</v>
      </c>
      <c r="AQ85">
        <v>0</v>
      </c>
      <c r="AR85">
        <v>0</v>
      </c>
      <c r="AS85">
        <v>0</v>
      </c>
      <c r="AT85">
        <v>0</v>
      </c>
      <c r="AU85">
        <f t="shared" si="0"/>
        <v>1</v>
      </c>
      <c r="AV85">
        <f t="shared" si="1"/>
        <v>0</v>
      </c>
    </row>
    <row r="86" spans="1:48" x14ac:dyDescent="0.25">
      <c r="A86" t="s">
        <v>2491</v>
      </c>
      <c r="C86" t="s">
        <v>2492</v>
      </c>
      <c r="D86" t="s">
        <v>2493</v>
      </c>
      <c r="E86" t="s">
        <v>1663</v>
      </c>
      <c r="F86">
        <v>4</v>
      </c>
      <c r="G86">
        <v>4.4000000000000004</v>
      </c>
      <c r="H86" t="s">
        <v>2017</v>
      </c>
      <c r="I86" s="21">
        <v>37351</v>
      </c>
      <c r="J86">
        <v>2002</v>
      </c>
      <c r="K86" s="21">
        <v>37381</v>
      </c>
      <c r="L86">
        <v>2002</v>
      </c>
      <c r="M86" s="21">
        <v>37534</v>
      </c>
      <c r="N86">
        <v>2002</v>
      </c>
      <c r="Q86" s="262">
        <v>72800</v>
      </c>
      <c r="S86" t="s">
        <v>114</v>
      </c>
      <c r="T86" t="s">
        <v>114</v>
      </c>
      <c r="W86">
        <v>1200</v>
      </c>
      <c r="X86">
        <v>1</v>
      </c>
      <c r="Y86">
        <v>0</v>
      </c>
      <c r="Z86">
        <v>0</v>
      </c>
      <c r="AA86">
        <v>0</v>
      </c>
      <c r="AB86">
        <v>0</v>
      </c>
      <c r="AC86">
        <v>0</v>
      </c>
      <c r="AD86">
        <v>0</v>
      </c>
      <c r="AE86">
        <v>1200</v>
      </c>
      <c r="AF86">
        <v>0</v>
      </c>
      <c r="AG86">
        <v>0</v>
      </c>
      <c r="AH86">
        <v>0</v>
      </c>
      <c r="AI86">
        <v>0</v>
      </c>
      <c r="AJ86">
        <v>0</v>
      </c>
      <c r="AK86">
        <v>0</v>
      </c>
      <c r="AL86">
        <v>0</v>
      </c>
      <c r="AM86">
        <v>0</v>
      </c>
      <c r="AN86">
        <v>0</v>
      </c>
      <c r="AO86">
        <v>0</v>
      </c>
      <c r="AP86">
        <v>0</v>
      </c>
      <c r="AQ86">
        <v>1</v>
      </c>
      <c r="AR86">
        <v>0</v>
      </c>
      <c r="AS86">
        <v>0</v>
      </c>
      <c r="AT86">
        <v>0</v>
      </c>
      <c r="AU86">
        <f t="shared" si="0"/>
        <v>1</v>
      </c>
      <c r="AV86">
        <f t="shared" si="1"/>
        <v>0</v>
      </c>
    </row>
    <row r="87" spans="1:48" x14ac:dyDescent="0.25">
      <c r="A87" t="s">
        <v>2494</v>
      </c>
      <c r="C87" t="s">
        <v>2495</v>
      </c>
      <c r="D87" t="s">
        <v>2496</v>
      </c>
      <c r="E87" t="s">
        <v>2310</v>
      </c>
      <c r="F87">
        <v>10</v>
      </c>
      <c r="G87">
        <v>10.1</v>
      </c>
      <c r="H87" t="s">
        <v>2323</v>
      </c>
      <c r="I87" s="21">
        <v>37354</v>
      </c>
      <c r="J87">
        <v>2002</v>
      </c>
      <c r="K87" s="21">
        <v>37398</v>
      </c>
      <c r="L87">
        <v>2002</v>
      </c>
      <c r="M87" s="21">
        <v>37617</v>
      </c>
      <c r="N87">
        <v>2002</v>
      </c>
      <c r="R87" s="262">
        <v>175000</v>
      </c>
      <c r="S87" t="s">
        <v>114</v>
      </c>
      <c r="T87" t="s">
        <v>114</v>
      </c>
      <c r="U87">
        <v>12</v>
      </c>
      <c r="W87">
        <v>1116</v>
      </c>
      <c r="X87">
        <v>0</v>
      </c>
      <c r="Y87">
        <v>0</v>
      </c>
      <c r="Z87">
        <v>0</v>
      </c>
      <c r="AA87">
        <v>0</v>
      </c>
      <c r="AB87">
        <v>0</v>
      </c>
      <c r="AC87">
        <v>0</v>
      </c>
      <c r="AD87">
        <v>0</v>
      </c>
      <c r="AE87">
        <v>0</v>
      </c>
      <c r="AF87">
        <v>0</v>
      </c>
      <c r="AG87">
        <v>0</v>
      </c>
      <c r="AH87">
        <v>0</v>
      </c>
      <c r="AI87">
        <v>0</v>
      </c>
      <c r="AJ87">
        <v>1116</v>
      </c>
      <c r="AK87">
        <v>0</v>
      </c>
      <c r="AL87">
        <v>0</v>
      </c>
      <c r="AM87">
        <v>0</v>
      </c>
      <c r="AN87">
        <v>0</v>
      </c>
      <c r="AO87">
        <v>0</v>
      </c>
      <c r="AP87">
        <v>0</v>
      </c>
      <c r="AQ87">
        <v>0</v>
      </c>
      <c r="AR87">
        <v>0</v>
      </c>
      <c r="AS87">
        <v>0</v>
      </c>
      <c r="AT87">
        <v>0</v>
      </c>
      <c r="AU87">
        <f t="shared" si="0"/>
        <v>0</v>
      </c>
      <c r="AV87">
        <f t="shared" si="1"/>
        <v>1116</v>
      </c>
    </row>
    <row r="88" spans="1:48" x14ac:dyDescent="0.25">
      <c r="A88" t="s">
        <v>2497</v>
      </c>
      <c r="C88" t="s">
        <v>2498</v>
      </c>
      <c r="D88" t="s">
        <v>2499</v>
      </c>
      <c r="E88" t="s">
        <v>2310</v>
      </c>
      <c r="F88">
        <v>9</v>
      </c>
      <c r="G88">
        <v>9.3000000000000007</v>
      </c>
      <c r="H88" t="s">
        <v>2323</v>
      </c>
      <c r="I88" s="21">
        <v>37354</v>
      </c>
      <c r="J88">
        <v>2002</v>
      </c>
      <c r="K88" s="21">
        <v>37378</v>
      </c>
      <c r="L88">
        <v>2002</v>
      </c>
      <c r="M88" s="21">
        <v>37378</v>
      </c>
      <c r="N88">
        <v>2002</v>
      </c>
      <c r="R88" s="262">
        <v>250000</v>
      </c>
      <c r="S88" t="s">
        <v>114</v>
      </c>
      <c r="T88" t="s">
        <v>114</v>
      </c>
      <c r="U88">
        <v>5</v>
      </c>
      <c r="W88">
        <v>1428</v>
      </c>
      <c r="X88">
        <v>0</v>
      </c>
      <c r="Y88">
        <v>0</v>
      </c>
      <c r="Z88">
        <v>0</v>
      </c>
      <c r="AA88">
        <v>0</v>
      </c>
      <c r="AB88">
        <v>0</v>
      </c>
      <c r="AC88">
        <v>1428</v>
      </c>
      <c r="AD88">
        <v>0</v>
      </c>
      <c r="AE88">
        <v>0</v>
      </c>
      <c r="AF88">
        <v>0</v>
      </c>
      <c r="AG88">
        <v>0</v>
      </c>
      <c r="AH88">
        <v>0</v>
      </c>
      <c r="AI88">
        <v>0</v>
      </c>
      <c r="AJ88">
        <v>0</v>
      </c>
      <c r="AK88">
        <v>0</v>
      </c>
      <c r="AL88">
        <v>0</v>
      </c>
      <c r="AM88">
        <v>0</v>
      </c>
      <c r="AN88">
        <v>0</v>
      </c>
      <c r="AO88">
        <v>0</v>
      </c>
      <c r="AP88">
        <v>0</v>
      </c>
      <c r="AQ88">
        <v>0</v>
      </c>
      <c r="AR88">
        <v>0</v>
      </c>
      <c r="AS88">
        <v>0</v>
      </c>
      <c r="AT88">
        <v>0</v>
      </c>
      <c r="AU88">
        <f t="shared" si="0"/>
        <v>0</v>
      </c>
      <c r="AV88">
        <f t="shared" si="1"/>
        <v>0</v>
      </c>
    </row>
    <row r="89" spans="1:48" x14ac:dyDescent="0.25">
      <c r="A89" t="s">
        <v>2500</v>
      </c>
      <c r="C89" t="s">
        <v>2358</v>
      </c>
      <c r="D89" t="s">
        <v>2501</v>
      </c>
      <c r="E89" t="s">
        <v>2310</v>
      </c>
      <c r="F89">
        <v>9</v>
      </c>
      <c r="G89">
        <v>9.4</v>
      </c>
      <c r="H89" t="s">
        <v>2323</v>
      </c>
      <c r="I89" s="21">
        <v>37354</v>
      </c>
      <c r="J89">
        <v>2002</v>
      </c>
      <c r="K89" s="21">
        <v>37386</v>
      </c>
      <c r="L89">
        <v>2002</v>
      </c>
      <c r="M89" s="21">
        <v>37824</v>
      </c>
      <c r="N89">
        <v>2003</v>
      </c>
      <c r="R89" s="262">
        <v>1100000</v>
      </c>
      <c r="S89" t="s">
        <v>114</v>
      </c>
      <c r="T89" t="s">
        <v>114</v>
      </c>
      <c r="U89">
        <v>5</v>
      </c>
      <c r="W89">
        <v>4867</v>
      </c>
      <c r="X89">
        <v>1</v>
      </c>
      <c r="Y89">
        <v>0</v>
      </c>
      <c r="Z89">
        <v>0</v>
      </c>
      <c r="AA89">
        <v>0</v>
      </c>
      <c r="AB89">
        <v>0</v>
      </c>
      <c r="AC89">
        <v>4867</v>
      </c>
      <c r="AD89">
        <v>0</v>
      </c>
      <c r="AE89">
        <v>0</v>
      </c>
      <c r="AF89">
        <v>0</v>
      </c>
      <c r="AG89">
        <v>0</v>
      </c>
      <c r="AH89">
        <v>0</v>
      </c>
      <c r="AI89">
        <v>0</v>
      </c>
      <c r="AJ89">
        <v>0</v>
      </c>
      <c r="AK89">
        <v>0</v>
      </c>
      <c r="AL89">
        <v>0</v>
      </c>
      <c r="AM89">
        <v>0</v>
      </c>
      <c r="AN89">
        <v>0</v>
      </c>
      <c r="AO89">
        <v>1</v>
      </c>
      <c r="AP89">
        <v>0</v>
      </c>
      <c r="AQ89">
        <v>0</v>
      </c>
      <c r="AR89">
        <v>0</v>
      </c>
      <c r="AS89">
        <v>0</v>
      </c>
      <c r="AT89">
        <v>0</v>
      </c>
      <c r="AU89">
        <f t="shared" ref="AU89:AU152" si="2">SUM(AN89:AQ89,AS89)</f>
        <v>1</v>
      </c>
      <c r="AV89">
        <f t="shared" ref="AV89:AV152" si="3">SUM(Y89:AB89,AH89:AM89)</f>
        <v>0</v>
      </c>
    </row>
    <row r="90" spans="1:48" x14ac:dyDescent="0.25">
      <c r="A90" t="s">
        <v>2502</v>
      </c>
      <c r="C90" t="s">
        <v>2503</v>
      </c>
      <c r="D90" t="s">
        <v>2504</v>
      </c>
      <c r="E90" t="s">
        <v>2310</v>
      </c>
      <c r="F90">
        <v>14</v>
      </c>
      <c r="G90">
        <v>14.1</v>
      </c>
      <c r="H90" t="s">
        <v>2022</v>
      </c>
      <c r="I90" s="21">
        <v>37354</v>
      </c>
      <c r="J90">
        <v>2002</v>
      </c>
      <c r="K90" s="21">
        <v>37407</v>
      </c>
      <c r="L90">
        <v>2002</v>
      </c>
      <c r="M90" s="21">
        <v>40157.643796296303</v>
      </c>
      <c r="N90">
        <v>2009</v>
      </c>
      <c r="R90" s="262">
        <v>40000</v>
      </c>
      <c r="S90" t="s">
        <v>114</v>
      </c>
      <c r="T90" t="s">
        <v>114</v>
      </c>
      <c r="U90">
        <v>5</v>
      </c>
      <c r="W90">
        <v>1512</v>
      </c>
      <c r="X90">
        <v>0</v>
      </c>
      <c r="Y90">
        <v>0</v>
      </c>
      <c r="Z90">
        <v>0</v>
      </c>
      <c r="AA90">
        <v>0</v>
      </c>
      <c r="AB90">
        <v>0</v>
      </c>
      <c r="AC90">
        <v>1512</v>
      </c>
      <c r="AD90">
        <v>0</v>
      </c>
      <c r="AE90">
        <v>0</v>
      </c>
      <c r="AF90">
        <v>0</v>
      </c>
      <c r="AG90">
        <v>0</v>
      </c>
      <c r="AH90">
        <v>0</v>
      </c>
      <c r="AI90">
        <v>0</v>
      </c>
      <c r="AJ90">
        <v>0</v>
      </c>
      <c r="AK90">
        <v>0</v>
      </c>
      <c r="AL90">
        <v>0</v>
      </c>
      <c r="AM90">
        <v>0</v>
      </c>
      <c r="AN90">
        <v>0</v>
      </c>
      <c r="AO90">
        <v>0</v>
      </c>
      <c r="AP90">
        <v>0</v>
      </c>
      <c r="AQ90">
        <v>0</v>
      </c>
      <c r="AR90">
        <v>0</v>
      </c>
      <c r="AS90">
        <v>0</v>
      </c>
      <c r="AT90">
        <v>0</v>
      </c>
      <c r="AU90">
        <f t="shared" si="2"/>
        <v>0</v>
      </c>
      <c r="AV90">
        <f t="shared" si="3"/>
        <v>0</v>
      </c>
    </row>
    <row r="91" spans="1:48" x14ac:dyDescent="0.25">
      <c r="A91" t="s">
        <v>2505</v>
      </c>
      <c r="C91" t="s">
        <v>2506</v>
      </c>
      <c r="D91" t="s">
        <v>2507</v>
      </c>
      <c r="E91" t="s">
        <v>2310</v>
      </c>
      <c r="F91">
        <v>10</v>
      </c>
      <c r="G91">
        <v>10.1</v>
      </c>
      <c r="H91" t="s">
        <v>2323</v>
      </c>
      <c r="I91" s="21">
        <v>37356</v>
      </c>
      <c r="J91">
        <v>2002</v>
      </c>
      <c r="K91" s="21">
        <v>37384</v>
      </c>
      <c r="L91">
        <v>2002</v>
      </c>
      <c r="M91" s="21">
        <v>37631</v>
      </c>
      <c r="N91">
        <v>2003</v>
      </c>
      <c r="R91" s="262">
        <v>85000</v>
      </c>
      <c r="S91" t="s">
        <v>114</v>
      </c>
      <c r="T91" t="s">
        <v>114</v>
      </c>
      <c r="U91">
        <v>8</v>
      </c>
      <c r="W91">
        <v>1804</v>
      </c>
      <c r="X91">
        <v>1</v>
      </c>
      <c r="Y91">
        <v>0</v>
      </c>
      <c r="Z91">
        <v>0</v>
      </c>
      <c r="AA91">
        <v>0</v>
      </c>
      <c r="AB91">
        <v>0</v>
      </c>
      <c r="AC91">
        <v>1144</v>
      </c>
      <c r="AD91">
        <v>0</v>
      </c>
      <c r="AE91">
        <v>0</v>
      </c>
      <c r="AF91">
        <v>660</v>
      </c>
      <c r="AG91">
        <v>0</v>
      </c>
      <c r="AH91">
        <v>0</v>
      </c>
      <c r="AI91">
        <v>0</v>
      </c>
      <c r="AJ91">
        <v>0</v>
      </c>
      <c r="AK91">
        <v>0</v>
      </c>
      <c r="AL91">
        <v>0</v>
      </c>
      <c r="AM91">
        <v>0</v>
      </c>
      <c r="AN91">
        <v>0</v>
      </c>
      <c r="AO91">
        <v>0</v>
      </c>
      <c r="AP91">
        <v>0</v>
      </c>
      <c r="AQ91">
        <v>0</v>
      </c>
      <c r="AR91">
        <v>1</v>
      </c>
      <c r="AS91">
        <v>0</v>
      </c>
      <c r="AT91">
        <v>0</v>
      </c>
      <c r="AU91">
        <f t="shared" si="2"/>
        <v>0</v>
      </c>
      <c r="AV91">
        <f t="shared" si="3"/>
        <v>0</v>
      </c>
    </row>
    <row r="92" spans="1:48" x14ac:dyDescent="0.25">
      <c r="A92" t="s">
        <v>2508</v>
      </c>
      <c r="C92" t="s">
        <v>2509</v>
      </c>
      <c r="D92" t="s">
        <v>2510</v>
      </c>
      <c r="E92" t="s">
        <v>2310</v>
      </c>
      <c r="F92">
        <v>10</v>
      </c>
      <c r="G92">
        <v>10.1</v>
      </c>
      <c r="H92" t="s">
        <v>2323</v>
      </c>
      <c r="I92" s="21">
        <v>37357</v>
      </c>
      <c r="J92">
        <v>2002</v>
      </c>
      <c r="K92" s="21">
        <v>37382</v>
      </c>
      <c r="L92">
        <v>2002</v>
      </c>
      <c r="M92" s="21">
        <v>37382</v>
      </c>
      <c r="N92">
        <v>2002</v>
      </c>
      <c r="R92" s="262">
        <v>15000</v>
      </c>
      <c r="S92" t="s">
        <v>114</v>
      </c>
      <c r="T92" t="s">
        <v>114</v>
      </c>
      <c r="U92">
        <v>5</v>
      </c>
      <c r="W92">
        <v>192</v>
      </c>
      <c r="X92">
        <v>0</v>
      </c>
      <c r="Y92">
        <v>0</v>
      </c>
      <c r="Z92">
        <v>0</v>
      </c>
      <c r="AA92">
        <v>0</v>
      </c>
      <c r="AB92">
        <v>0</v>
      </c>
      <c r="AC92">
        <v>192</v>
      </c>
      <c r="AD92">
        <v>0</v>
      </c>
      <c r="AE92">
        <v>0</v>
      </c>
      <c r="AF92">
        <v>0</v>
      </c>
      <c r="AG92">
        <v>0</v>
      </c>
      <c r="AH92">
        <v>0</v>
      </c>
      <c r="AI92">
        <v>0</v>
      </c>
      <c r="AJ92">
        <v>0</v>
      </c>
      <c r="AK92">
        <v>0</v>
      </c>
      <c r="AL92">
        <v>0</v>
      </c>
      <c r="AM92">
        <v>0</v>
      </c>
      <c r="AN92">
        <v>0</v>
      </c>
      <c r="AO92">
        <v>0</v>
      </c>
      <c r="AP92">
        <v>0</v>
      </c>
      <c r="AQ92">
        <v>0</v>
      </c>
      <c r="AR92">
        <v>0</v>
      </c>
      <c r="AS92">
        <v>0</v>
      </c>
      <c r="AT92">
        <v>0</v>
      </c>
      <c r="AU92">
        <f t="shared" si="2"/>
        <v>0</v>
      </c>
      <c r="AV92">
        <f t="shared" si="3"/>
        <v>0</v>
      </c>
    </row>
    <row r="93" spans="1:48" x14ac:dyDescent="0.25">
      <c r="A93" t="s">
        <v>2511</v>
      </c>
      <c r="C93" t="s">
        <v>2512</v>
      </c>
      <c r="D93" t="s">
        <v>2354</v>
      </c>
      <c r="E93" t="s">
        <v>2310</v>
      </c>
      <c r="F93">
        <v>8</v>
      </c>
      <c r="G93">
        <v>8.1</v>
      </c>
      <c r="H93" t="s">
        <v>2323</v>
      </c>
      <c r="I93" s="21">
        <v>37357</v>
      </c>
      <c r="J93">
        <v>2002</v>
      </c>
      <c r="K93" s="21">
        <v>37397</v>
      </c>
      <c r="L93">
        <v>2002</v>
      </c>
      <c r="M93" s="21">
        <v>37397</v>
      </c>
      <c r="N93">
        <v>2002</v>
      </c>
      <c r="R93" s="262">
        <v>697000</v>
      </c>
      <c r="S93" t="s">
        <v>114</v>
      </c>
      <c r="T93" t="s">
        <v>114</v>
      </c>
      <c r="U93">
        <v>15</v>
      </c>
      <c r="W93">
        <v>22877</v>
      </c>
      <c r="X93">
        <v>0</v>
      </c>
      <c r="Y93">
        <v>0</v>
      </c>
      <c r="Z93">
        <v>0</v>
      </c>
      <c r="AA93">
        <v>0</v>
      </c>
      <c r="AB93">
        <v>0</v>
      </c>
      <c r="AC93">
        <v>0</v>
      </c>
      <c r="AD93">
        <v>0</v>
      </c>
      <c r="AE93">
        <v>0</v>
      </c>
      <c r="AF93">
        <v>0</v>
      </c>
      <c r="AG93">
        <v>0</v>
      </c>
      <c r="AH93">
        <v>0</v>
      </c>
      <c r="AI93">
        <v>0</v>
      </c>
      <c r="AJ93">
        <v>0</v>
      </c>
      <c r="AK93">
        <v>0</v>
      </c>
      <c r="AL93">
        <v>0</v>
      </c>
      <c r="AM93">
        <v>22877</v>
      </c>
      <c r="AN93">
        <v>0</v>
      </c>
      <c r="AO93">
        <v>0</v>
      </c>
      <c r="AP93">
        <v>0</v>
      </c>
      <c r="AQ93">
        <v>0</v>
      </c>
      <c r="AR93">
        <v>0</v>
      </c>
      <c r="AS93">
        <v>0</v>
      </c>
      <c r="AT93">
        <v>0</v>
      </c>
      <c r="AU93">
        <f t="shared" si="2"/>
        <v>0</v>
      </c>
      <c r="AV93">
        <f t="shared" si="3"/>
        <v>22877</v>
      </c>
    </row>
    <row r="94" spans="1:48" x14ac:dyDescent="0.25">
      <c r="A94" t="s">
        <v>2513</v>
      </c>
      <c r="C94" t="s">
        <v>2514</v>
      </c>
      <c r="D94" t="s">
        <v>2354</v>
      </c>
      <c r="E94" t="s">
        <v>2310</v>
      </c>
      <c r="F94">
        <v>8</v>
      </c>
      <c r="G94">
        <v>8.1</v>
      </c>
      <c r="H94" t="s">
        <v>2323</v>
      </c>
      <c r="I94" s="21">
        <v>37357</v>
      </c>
      <c r="J94">
        <v>2002</v>
      </c>
      <c r="K94" s="21">
        <v>37397</v>
      </c>
      <c r="L94">
        <v>2002</v>
      </c>
      <c r="M94" s="21">
        <v>37531</v>
      </c>
      <c r="N94">
        <v>2002</v>
      </c>
      <c r="R94" s="262">
        <v>125000</v>
      </c>
      <c r="S94" t="s">
        <v>114</v>
      </c>
      <c r="T94" t="s">
        <v>114</v>
      </c>
      <c r="U94">
        <v>7</v>
      </c>
      <c r="W94">
        <v>1677</v>
      </c>
      <c r="X94">
        <v>1</v>
      </c>
      <c r="Y94">
        <v>0</v>
      </c>
      <c r="Z94">
        <v>0</v>
      </c>
      <c r="AA94">
        <v>0</v>
      </c>
      <c r="AB94">
        <v>0</v>
      </c>
      <c r="AC94">
        <v>0</v>
      </c>
      <c r="AD94">
        <v>0</v>
      </c>
      <c r="AE94">
        <v>1677</v>
      </c>
      <c r="AF94">
        <v>0</v>
      </c>
      <c r="AG94">
        <v>0</v>
      </c>
      <c r="AH94">
        <v>0</v>
      </c>
      <c r="AI94">
        <v>0</v>
      </c>
      <c r="AJ94">
        <v>0</v>
      </c>
      <c r="AK94">
        <v>0</v>
      </c>
      <c r="AL94">
        <v>0</v>
      </c>
      <c r="AM94">
        <v>0</v>
      </c>
      <c r="AN94">
        <v>0</v>
      </c>
      <c r="AO94">
        <v>0</v>
      </c>
      <c r="AP94">
        <v>0</v>
      </c>
      <c r="AQ94">
        <v>1</v>
      </c>
      <c r="AR94">
        <v>0</v>
      </c>
      <c r="AS94">
        <v>0</v>
      </c>
      <c r="AT94">
        <v>0</v>
      </c>
      <c r="AU94">
        <f t="shared" si="2"/>
        <v>1</v>
      </c>
      <c r="AV94">
        <f t="shared" si="3"/>
        <v>0</v>
      </c>
    </row>
    <row r="95" spans="1:48" x14ac:dyDescent="0.25">
      <c r="A95" t="s">
        <v>2515</v>
      </c>
      <c r="C95" t="s">
        <v>2516</v>
      </c>
      <c r="D95" t="s">
        <v>2354</v>
      </c>
      <c r="E95" t="s">
        <v>2310</v>
      </c>
      <c r="F95">
        <v>8</v>
      </c>
      <c r="G95">
        <v>8.1</v>
      </c>
      <c r="H95" t="s">
        <v>2323</v>
      </c>
      <c r="I95" s="21">
        <v>37357</v>
      </c>
      <c r="J95">
        <v>2002</v>
      </c>
      <c r="K95" s="21">
        <v>37397</v>
      </c>
      <c r="L95">
        <v>2002</v>
      </c>
      <c r="M95" s="21">
        <v>37397</v>
      </c>
      <c r="N95">
        <v>2002</v>
      </c>
      <c r="R95" s="262">
        <v>200000</v>
      </c>
      <c r="S95" t="s">
        <v>114</v>
      </c>
      <c r="T95" t="s">
        <v>114</v>
      </c>
      <c r="U95">
        <v>7</v>
      </c>
      <c r="W95">
        <v>2740</v>
      </c>
      <c r="X95">
        <v>1</v>
      </c>
      <c r="Y95">
        <v>0</v>
      </c>
      <c r="Z95">
        <v>0</v>
      </c>
      <c r="AA95">
        <v>0</v>
      </c>
      <c r="AB95">
        <v>0</v>
      </c>
      <c r="AC95">
        <v>0</v>
      </c>
      <c r="AD95">
        <v>0</v>
      </c>
      <c r="AE95">
        <v>2740</v>
      </c>
      <c r="AF95">
        <v>0</v>
      </c>
      <c r="AG95">
        <v>0</v>
      </c>
      <c r="AH95">
        <v>0</v>
      </c>
      <c r="AI95">
        <v>0</v>
      </c>
      <c r="AJ95">
        <v>0</v>
      </c>
      <c r="AK95">
        <v>0</v>
      </c>
      <c r="AL95">
        <v>0</v>
      </c>
      <c r="AM95">
        <v>0</v>
      </c>
      <c r="AN95">
        <v>0</v>
      </c>
      <c r="AO95">
        <v>0</v>
      </c>
      <c r="AP95">
        <v>0</v>
      </c>
      <c r="AQ95">
        <v>1</v>
      </c>
      <c r="AR95">
        <v>0</v>
      </c>
      <c r="AS95">
        <v>0</v>
      </c>
      <c r="AT95">
        <v>0</v>
      </c>
      <c r="AU95">
        <f t="shared" si="2"/>
        <v>1</v>
      </c>
      <c r="AV95">
        <f t="shared" si="3"/>
        <v>0</v>
      </c>
    </row>
    <row r="96" spans="1:48" x14ac:dyDescent="0.25">
      <c r="A96" t="s">
        <v>2517</v>
      </c>
      <c r="C96" t="s">
        <v>2518</v>
      </c>
      <c r="D96" t="s">
        <v>2403</v>
      </c>
      <c r="E96" t="s">
        <v>2310</v>
      </c>
      <c r="F96">
        <v>8</v>
      </c>
      <c r="G96">
        <v>8.1</v>
      </c>
      <c r="H96" t="s">
        <v>2323</v>
      </c>
      <c r="I96" s="21">
        <v>37357</v>
      </c>
      <c r="J96">
        <v>2002</v>
      </c>
      <c r="K96" s="21">
        <v>37369</v>
      </c>
      <c r="L96">
        <v>2002</v>
      </c>
      <c r="M96" s="21">
        <v>37369</v>
      </c>
      <c r="N96">
        <v>2002</v>
      </c>
      <c r="R96" s="262">
        <v>8000</v>
      </c>
      <c r="S96" t="s">
        <v>114</v>
      </c>
      <c r="T96" t="s">
        <v>114</v>
      </c>
      <c r="U96">
        <v>5</v>
      </c>
      <c r="W96">
        <v>162</v>
      </c>
      <c r="X96">
        <v>0</v>
      </c>
      <c r="Y96">
        <v>0</v>
      </c>
      <c r="Z96">
        <v>0</v>
      </c>
      <c r="AA96">
        <v>0</v>
      </c>
      <c r="AB96">
        <v>0</v>
      </c>
      <c r="AC96">
        <v>162</v>
      </c>
      <c r="AD96">
        <v>0</v>
      </c>
      <c r="AE96">
        <v>0</v>
      </c>
      <c r="AF96">
        <v>0</v>
      </c>
      <c r="AG96">
        <v>0</v>
      </c>
      <c r="AH96">
        <v>0</v>
      </c>
      <c r="AI96">
        <v>0</v>
      </c>
      <c r="AJ96">
        <v>0</v>
      </c>
      <c r="AK96">
        <v>0</v>
      </c>
      <c r="AL96">
        <v>0</v>
      </c>
      <c r="AM96">
        <v>0</v>
      </c>
      <c r="AN96">
        <v>0</v>
      </c>
      <c r="AO96">
        <v>0</v>
      </c>
      <c r="AP96">
        <v>0</v>
      </c>
      <c r="AQ96">
        <v>0</v>
      </c>
      <c r="AR96">
        <v>0</v>
      </c>
      <c r="AS96">
        <v>0</v>
      </c>
      <c r="AT96">
        <v>0</v>
      </c>
      <c r="AU96">
        <f t="shared" si="2"/>
        <v>0</v>
      </c>
      <c r="AV96">
        <f t="shared" si="3"/>
        <v>0</v>
      </c>
    </row>
    <row r="97" spans="1:48" x14ac:dyDescent="0.25">
      <c r="A97" t="s">
        <v>2525</v>
      </c>
      <c r="C97" t="s">
        <v>2437</v>
      </c>
      <c r="D97" t="s">
        <v>2526</v>
      </c>
      <c r="E97" t="s">
        <v>2310</v>
      </c>
      <c r="F97">
        <v>10</v>
      </c>
      <c r="G97">
        <v>10.1</v>
      </c>
      <c r="H97" t="s">
        <v>2323</v>
      </c>
      <c r="I97" s="21">
        <v>37358</v>
      </c>
      <c r="J97">
        <v>2002</v>
      </c>
      <c r="K97" s="21">
        <v>37378</v>
      </c>
      <c r="L97">
        <v>2002</v>
      </c>
      <c r="M97" s="21">
        <v>37378</v>
      </c>
      <c r="N97">
        <v>2002</v>
      </c>
      <c r="R97" s="262">
        <v>38000</v>
      </c>
      <c r="S97" t="s">
        <v>114</v>
      </c>
      <c r="T97" t="s">
        <v>114</v>
      </c>
      <c r="U97">
        <v>5</v>
      </c>
      <c r="W97">
        <v>864</v>
      </c>
      <c r="X97">
        <v>0</v>
      </c>
      <c r="Y97">
        <v>0</v>
      </c>
      <c r="Z97">
        <v>0</v>
      </c>
      <c r="AA97">
        <v>0</v>
      </c>
      <c r="AB97">
        <v>0</v>
      </c>
      <c r="AC97">
        <v>864</v>
      </c>
      <c r="AD97">
        <v>0</v>
      </c>
      <c r="AE97">
        <v>0</v>
      </c>
      <c r="AF97">
        <v>0</v>
      </c>
      <c r="AG97">
        <v>0</v>
      </c>
      <c r="AH97">
        <v>0</v>
      </c>
      <c r="AI97">
        <v>0</v>
      </c>
      <c r="AJ97">
        <v>0</v>
      </c>
      <c r="AK97">
        <v>0</v>
      </c>
      <c r="AL97">
        <v>0</v>
      </c>
      <c r="AM97">
        <v>0</v>
      </c>
      <c r="AN97">
        <v>0</v>
      </c>
      <c r="AO97">
        <v>0</v>
      </c>
      <c r="AP97">
        <v>0</v>
      </c>
      <c r="AQ97">
        <v>0</v>
      </c>
      <c r="AR97">
        <v>0</v>
      </c>
      <c r="AS97">
        <v>0</v>
      </c>
      <c r="AT97">
        <v>0</v>
      </c>
      <c r="AU97">
        <f t="shared" si="2"/>
        <v>0</v>
      </c>
      <c r="AV97">
        <f t="shared" si="3"/>
        <v>0</v>
      </c>
    </row>
    <row r="98" spans="1:48" x14ac:dyDescent="0.25">
      <c r="A98" t="s">
        <v>2527</v>
      </c>
      <c r="C98" t="s">
        <v>2528</v>
      </c>
      <c r="D98" t="s">
        <v>2529</v>
      </c>
      <c r="E98" t="s">
        <v>2310</v>
      </c>
      <c r="F98">
        <v>8</v>
      </c>
      <c r="G98">
        <v>8.1999999999999993</v>
      </c>
      <c r="H98" t="s">
        <v>2022</v>
      </c>
      <c r="I98" s="21">
        <v>37358</v>
      </c>
      <c r="J98">
        <v>2002</v>
      </c>
      <c r="K98" s="21">
        <v>37405</v>
      </c>
      <c r="L98">
        <v>2002</v>
      </c>
      <c r="M98" s="21">
        <v>37405</v>
      </c>
      <c r="N98">
        <v>2002</v>
      </c>
      <c r="R98" s="262">
        <v>18000</v>
      </c>
      <c r="S98" t="s">
        <v>114</v>
      </c>
      <c r="T98" t="s">
        <v>114</v>
      </c>
      <c r="U98">
        <v>5</v>
      </c>
      <c r="W98">
        <v>288</v>
      </c>
      <c r="X98">
        <v>0</v>
      </c>
      <c r="Y98">
        <v>0</v>
      </c>
      <c r="Z98">
        <v>0</v>
      </c>
      <c r="AA98">
        <v>0</v>
      </c>
      <c r="AB98">
        <v>0</v>
      </c>
      <c r="AC98">
        <v>288</v>
      </c>
      <c r="AD98">
        <v>0</v>
      </c>
      <c r="AE98">
        <v>0</v>
      </c>
      <c r="AF98">
        <v>0</v>
      </c>
      <c r="AG98">
        <v>0</v>
      </c>
      <c r="AH98">
        <v>0</v>
      </c>
      <c r="AI98">
        <v>0</v>
      </c>
      <c r="AJ98">
        <v>0</v>
      </c>
      <c r="AK98">
        <v>0</v>
      </c>
      <c r="AL98">
        <v>0</v>
      </c>
      <c r="AM98">
        <v>0</v>
      </c>
      <c r="AN98">
        <v>0</v>
      </c>
      <c r="AO98">
        <v>0</v>
      </c>
      <c r="AP98">
        <v>0</v>
      </c>
      <c r="AQ98">
        <v>0</v>
      </c>
      <c r="AR98">
        <v>0</v>
      </c>
      <c r="AS98">
        <v>0</v>
      </c>
      <c r="AT98">
        <v>0</v>
      </c>
      <c r="AU98">
        <f t="shared" si="2"/>
        <v>0</v>
      </c>
      <c r="AV98">
        <f t="shared" si="3"/>
        <v>0</v>
      </c>
    </row>
    <row r="99" spans="1:48" x14ac:dyDescent="0.25">
      <c r="A99" t="s">
        <v>2522</v>
      </c>
      <c r="C99" t="s">
        <v>2523</v>
      </c>
      <c r="D99" t="s">
        <v>2524</v>
      </c>
      <c r="E99" t="s">
        <v>1663</v>
      </c>
      <c r="F99">
        <v>5</v>
      </c>
      <c r="G99">
        <v>5.4</v>
      </c>
      <c r="H99" t="s">
        <v>2017</v>
      </c>
      <c r="I99" s="21">
        <v>37358</v>
      </c>
      <c r="J99">
        <v>2002</v>
      </c>
      <c r="K99" s="21">
        <v>37388</v>
      </c>
      <c r="L99">
        <v>2002</v>
      </c>
      <c r="M99" s="21">
        <v>37541</v>
      </c>
      <c r="N99">
        <v>2002</v>
      </c>
      <c r="Q99" s="262">
        <v>0</v>
      </c>
      <c r="S99" t="s">
        <v>114</v>
      </c>
      <c r="T99" t="s">
        <v>114</v>
      </c>
      <c r="W99">
        <v>5000</v>
      </c>
      <c r="X99">
        <v>0</v>
      </c>
      <c r="Y99">
        <v>0</v>
      </c>
      <c r="Z99">
        <v>0</v>
      </c>
      <c r="AA99">
        <v>0</v>
      </c>
      <c r="AB99">
        <v>0</v>
      </c>
      <c r="AC99">
        <v>0</v>
      </c>
      <c r="AD99">
        <v>0</v>
      </c>
      <c r="AE99">
        <v>0</v>
      </c>
      <c r="AF99">
        <v>0</v>
      </c>
      <c r="AG99">
        <v>0</v>
      </c>
      <c r="AH99">
        <v>0</v>
      </c>
      <c r="AI99">
        <v>0</v>
      </c>
      <c r="AJ99">
        <v>0</v>
      </c>
      <c r="AK99">
        <v>0</v>
      </c>
      <c r="AL99">
        <v>0</v>
      </c>
      <c r="AM99">
        <v>5000</v>
      </c>
      <c r="AN99">
        <v>0</v>
      </c>
      <c r="AO99">
        <v>0</v>
      </c>
      <c r="AP99">
        <v>0</v>
      </c>
      <c r="AQ99">
        <v>0</v>
      </c>
      <c r="AR99">
        <v>0</v>
      </c>
      <c r="AS99">
        <v>0</v>
      </c>
      <c r="AT99">
        <v>0</v>
      </c>
      <c r="AU99">
        <f t="shared" si="2"/>
        <v>0</v>
      </c>
      <c r="AV99">
        <f t="shared" si="3"/>
        <v>5000</v>
      </c>
    </row>
    <row r="100" spans="1:48" x14ac:dyDescent="0.25">
      <c r="A100" t="s">
        <v>2519</v>
      </c>
      <c r="C100" t="s">
        <v>2520</v>
      </c>
      <c r="D100" t="s">
        <v>2521</v>
      </c>
      <c r="E100" t="s">
        <v>1663</v>
      </c>
      <c r="F100">
        <v>4</v>
      </c>
      <c r="G100">
        <v>4.4000000000000004</v>
      </c>
      <c r="H100" t="s">
        <v>2017</v>
      </c>
      <c r="I100" s="21">
        <v>37358</v>
      </c>
      <c r="J100">
        <v>2002</v>
      </c>
      <c r="K100" s="21">
        <v>37388</v>
      </c>
      <c r="L100">
        <v>2002</v>
      </c>
      <c r="M100" s="21">
        <v>37541</v>
      </c>
      <c r="N100">
        <v>2002</v>
      </c>
      <c r="Q100" s="262">
        <v>10000</v>
      </c>
      <c r="S100" t="s">
        <v>114</v>
      </c>
      <c r="T100" t="s">
        <v>114</v>
      </c>
      <c r="W100">
        <v>428</v>
      </c>
      <c r="X100">
        <v>0</v>
      </c>
      <c r="Y100">
        <v>0</v>
      </c>
      <c r="Z100">
        <v>0</v>
      </c>
      <c r="AA100">
        <v>0</v>
      </c>
      <c r="AB100">
        <v>0</v>
      </c>
      <c r="AC100">
        <v>428</v>
      </c>
      <c r="AD100">
        <v>0</v>
      </c>
      <c r="AE100">
        <v>0</v>
      </c>
      <c r="AF100">
        <v>0</v>
      </c>
      <c r="AG100">
        <v>0</v>
      </c>
      <c r="AH100">
        <v>0</v>
      </c>
      <c r="AI100">
        <v>0</v>
      </c>
      <c r="AJ100">
        <v>0</v>
      </c>
      <c r="AK100">
        <v>0</v>
      </c>
      <c r="AL100">
        <v>0</v>
      </c>
      <c r="AM100">
        <v>0</v>
      </c>
      <c r="AN100">
        <v>0</v>
      </c>
      <c r="AO100">
        <v>0</v>
      </c>
      <c r="AP100">
        <v>0</v>
      </c>
      <c r="AQ100">
        <v>0</v>
      </c>
      <c r="AR100">
        <v>0</v>
      </c>
      <c r="AS100">
        <v>0</v>
      </c>
      <c r="AT100">
        <v>0</v>
      </c>
      <c r="AU100">
        <f t="shared" si="2"/>
        <v>0</v>
      </c>
      <c r="AV100">
        <f t="shared" si="3"/>
        <v>0</v>
      </c>
    </row>
    <row r="101" spans="1:48" x14ac:dyDescent="0.25">
      <c r="A101" t="s">
        <v>2530</v>
      </c>
      <c r="C101" t="s">
        <v>2358</v>
      </c>
      <c r="D101" t="s">
        <v>2531</v>
      </c>
      <c r="E101" t="s">
        <v>2310</v>
      </c>
      <c r="F101">
        <v>10</v>
      </c>
      <c r="G101">
        <v>10.1</v>
      </c>
      <c r="H101" t="s">
        <v>2323</v>
      </c>
      <c r="I101" s="21">
        <v>37361</v>
      </c>
      <c r="J101">
        <v>2002</v>
      </c>
      <c r="K101" s="21">
        <v>37383</v>
      </c>
      <c r="L101">
        <v>2002</v>
      </c>
      <c r="M101" s="21">
        <v>37383</v>
      </c>
      <c r="N101">
        <v>2002</v>
      </c>
      <c r="R101" s="262">
        <v>270000</v>
      </c>
      <c r="S101" t="s">
        <v>114</v>
      </c>
      <c r="T101" t="s">
        <v>114</v>
      </c>
      <c r="U101">
        <v>5</v>
      </c>
      <c r="W101">
        <v>2772</v>
      </c>
      <c r="X101">
        <v>1</v>
      </c>
      <c r="Y101">
        <v>0</v>
      </c>
      <c r="Z101">
        <v>0</v>
      </c>
      <c r="AA101">
        <v>0</v>
      </c>
      <c r="AB101">
        <v>0</v>
      </c>
      <c r="AC101">
        <v>2772</v>
      </c>
      <c r="AD101">
        <v>0</v>
      </c>
      <c r="AE101">
        <v>0</v>
      </c>
      <c r="AF101">
        <v>0</v>
      </c>
      <c r="AG101">
        <v>0</v>
      </c>
      <c r="AH101">
        <v>0</v>
      </c>
      <c r="AI101">
        <v>0</v>
      </c>
      <c r="AJ101">
        <v>0</v>
      </c>
      <c r="AK101">
        <v>0</v>
      </c>
      <c r="AL101">
        <v>0</v>
      </c>
      <c r="AM101">
        <v>0</v>
      </c>
      <c r="AN101">
        <v>0</v>
      </c>
      <c r="AO101">
        <v>1</v>
      </c>
      <c r="AP101">
        <v>0</v>
      </c>
      <c r="AQ101">
        <v>0</v>
      </c>
      <c r="AR101">
        <v>0</v>
      </c>
      <c r="AS101">
        <v>0</v>
      </c>
      <c r="AT101">
        <v>0</v>
      </c>
      <c r="AU101">
        <f t="shared" si="2"/>
        <v>1</v>
      </c>
      <c r="AV101">
        <f t="shared" si="3"/>
        <v>0</v>
      </c>
    </row>
    <row r="102" spans="1:48" x14ac:dyDescent="0.25">
      <c r="A102" t="s">
        <v>2532</v>
      </c>
      <c r="C102" t="s">
        <v>2408</v>
      </c>
      <c r="D102" t="s">
        <v>2533</v>
      </c>
      <c r="E102" t="s">
        <v>1663</v>
      </c>
      <c r="F102">
        <v>6</v>
      </c>
      <c r="G102">
        <v>6.2</v>
      </c>
      <c r="H102" t="s">
        <v>2017</v>
      </c>
      <c r="I102" s="21">
        <v>37363</v>
      </c>
      <c r="J102">
        <v>2002</v>
      </c>
      <c r="K102" s="21">
        <v>37393</v>
      </c>
      <c r="L102">
        <v>2002</v>
      </c>
      <c r="M102" s="21">
        <v>37546</v>
      </c>
      <c r="N102">
        <v>2002</v>
      </c>
      <c r="Q102" s="262">
        <v>114472</v>
      </c>
      <c r="S102" t="s">
        <v>114</v>
      </c>
      <c r="T102" t="s">
        <v>114</v>
      </c>
      <c r="W102">
        <v>1396</v>
      </c>
      <c r="X102">
        <v>0</v>
      </c>
      <c r="Y102">
        <v>0</v>
      </c>
      <c r="Z102">
        <v>0</v>
      </c>
      <c r="AA102">
        <v>0</v>
      </c>
      <c r="AB102">
        <v>0</v>
      </c>
      <c r="AC102">
        <v>1396</v>
      </c>
      <c r="AD102">
        <v>0</v>
      </c>
      <c r="AE102">
        <v>0</v>
      </c>
      <c r="AF102">
        <v>0</v>
      </c>
      <c r="AG102">
        <v>0</v>
      </c>
      <c r="AH102">
        <v>0</v>
      </c>
      <c r="AI102">
        <v>0</v>
      </c>
      <c r="AJ102">
        <v>0</v>
      </c>
      <c r="AK102">
        <v>0</v>
      </c>
      <c r="AL102">
        <v>0</v>
      </c>
      <c r="AM102">
        <v>0</v>
      </c>
      <c r="AN102">
        <v>0</v>
      </c>
      <c r="AO102">
        <v>0</v>
      </c>
      <c r="AP102">
        <v>0</v>
      </c>
      <c r="AQ102">
        <v>0</v>
      </c>
      <c r="AR102">
        <v>0</v>
      </c>
      <c r="AS102">
        <v>0</v>
      </c>
      <c r="AT102">
        <v>0</v>
      </c>
      <c r="AU102">
        <f t="shared" si="2"/>
        <v>0</v>
      </c>
      <c r="AV102">
        <f t="shared" si="3"/>
        <v>0</v>
      </c>
    </row>
    <row r="103" spans="1:48" x14ac:dyDescent="0.25">
      <c r="A103" t="s">
        <v>2534</v>
      </c>
      <c r="C103" t="s">
        <v>2535</v>
      </c>
      <c r="D103" t="s">
        <v>2536</v>
      </c>
      <c r="E103" t="s">
        <v>2310</v>
      </c>
      <c r="F103">
        <v>9</v>
      </c>
      <c r="G103">
        <v>9.3000000000000007</v>
      </c>
      <c r="H103" t="s">
        <v>2323</v>
      </c>
      <c r="I103" s="21">
        <v>37363</v>
      </c>
      <c r="J103">
        <v>2002</v>
      </c>
      <c r="K103" s="21">
        <v>37384</v>
      </c>
      <c r="L103">
        <v>2002</v>
      </c>
      <c r="M103" s="21">
        <v>37384</v>
      </c>
      <c r="N103">
        <v>2002</v>
      </c>
      <c r="R103" s="262">
        <v>7000</v>
      </c>
      <c r="S103" t="s">
        <v>114</v>
      </c>
      <c r="T103" t="s">
        <v>114</v>
      </c>
      <c r="U103">
        <v>5</v>
      </c>
      <c r="W103">
        <v>256</v>
      </c>
      <c r="X103">
        <v>0</v>
      </c>
      <c r="Y103">
        <v>0</v>
      </c>
      <c r="Z103">
        <v>0</v>
      </c>
      <c r="AA103">
        <v>0</v>
      </c>
      <c r="AB103">
        <v>0</v>
      </c>
      <c r="AC103">
        <v>256</v>
      </c>
      <c r="AD103">
        <v>0</v>
      </c>
      <c r="AE103">
        <v>0</v>
      </c>
      <c r="AF103">
        <v>0</v>
      </c>
      <c r="AG103">
        <v>0</v>
      </c>
      <c r="AH103">
        <v>0</v>
      </c>
      <c r="AI103">
        <v>0</v>
      </c>
      <c r="AJ103">
        <v>0</v>
      </c>
      <c r="AK103">
        <v>0</v>
      </c>
      <c r="AL103">
        <v>0</v>
      </c>
      <c r="AM103">
        <v>0</v>
      </c>
      <c r="AN103">
        <v>0</v>
      </c>
      <c r="AO103">
        <v>0</v>
      </c>
      <c r="AP103">
        <v>0</v>
      </c>
      <c r="AQ103">
        <v>0</v>
      </c>
      <c r="AR103">
        <v>0</v>
      </c>
      <c r="AS103">
        <v>0</v>
      </c>
      <c r="AT103">
        <v>0</v>
      </c>
      <c r="AU103">
        <f t="shared" si="2"/>
        <v>0</v>
      </c>
      <c r="AV103">
        <f t="shared" si="3"/>
        <v>0</v>
      </c>
    </row>
    <row r="104" spans="1:48" x14ac:dyDescent="0.25">
      <c r="A104" t="s">
        <v>2537</v>
      </c>
      <c r="C104" t="s">
        <v>2538</v>
      </c>
      <c r="D104" t="s">
        <v>2539</v>
      </c>
      <c r="E104" t="s">
        <v>2310</v>
      </c>
      <c r="F104">
        <v>9</v>
      </c>
      <c r="G104">
        <v>9.1999999999999993</v>
      </c>
      <c r="H104" t="s">
        <v>2022</v>
      </c>
      <c r="I104" s="21">
        <v>37363</v>
      </c>
      <c r="J104">
        <v>2002</v>
      </c>
      <c r="K104" s="21">
        <v>37399</v>
      </c>
      <c r="L104">
        <v>2002</v>
      </c>
      <c r="M104" s="21">
        <v>37399</v>
      </c>
      <c r="N104">
        <v>2002</v>
      </c>
      <c r="R104" s="262">
        <v>271000</v>
      </c>
      <c r="S104" t="s">
        <v>114</v>
      </c>
      <c r="T104" t="s">
        <v>114</v>
      </c>
      <c r="U104">
        <v>5</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f t="shared" si="2"/>
        <v>0</v>
      </c>
      <c r="AV104">
        <f t="shared" si="3"/>
        <v>0</v>
      </c>
    </row>
    <row r="105" spans="1:48" x14ac:dyDescent="0.25">
      <c r="A105" t="s">
        <v>2540</v>
      </c>
      <c r="C105" t="s">
        <v>2541</v>
      </c>
      <c r="D105" t="s">
        <v>2542</v>
      </c>
      <c r="E105" t="s">
        <v>2310</v>
      </c>
      <c r="F105">
        <v>9</v>
      </c>
      <c r="G105">
        <v>9.1999999999999993</v>
      </c>
      <c r="H105" t="s">
        <v>2022</v>
      </c>
      <c r="I105" s="21">
        <v>37364</v>
      </c>
      <c r="J105">
        <v>2002</v>
      </c>
      <c r="K105" s="21">
        <v>37399</v>
      </c>
      <c r="L105">
        <v>2002</v>
      </c>
      <c r="M105" s="21">
        <v>37399</v>
      </c>
      <c r="N105">
        <v>2002</v>
      </c>
      <c r="R105" s="262">
        <v>135000</v>
      </c>
      <c r="S105" t="s">
        <v>114</v>
      </c>
      <c r="T105" t="s">
        <v>114</v>
      </c>
      <c r="U105">
        <v>5</v>
      </c>
      <c r="W105">
        <v>1271</v>
      </c>
      <c r="X105">
        <v>0</v>
      </c>
      <c r="Y105">
        <v>0</v>
      </c>
      <c r="Z105">
        <v>0</v>
      </c>
      <c r="AA105">
        <v>0</v>
      </c>
      <c r="AB105">
        <v>0</v>
      </c>
      <c r="AC105">
        <v>1271</v>
      </c>
      <c r="AD105">
        <v>0</v>
      </c>
      <c r="AE105">
        <v>0</v>
      </c>
      <c r="AF105">
        <v>0</v>
      </c>
      <c r="AG105">
        <v>0</v>
      </c>
      <c r="AH105">
        <v>0</v>
      </c>
      <c r="AI105">
        <v>0</v>
      </c>
      <c r="AJ105">
        <v>0</v>
      </c>
      <c r="AK105">
        <v>0</v>
      </c>
      <c r="AL105">
        <v>0</v>
      </c>
      <c r="AM105">
        <v>0</v>
      </c>
      <c r="AN105">
        <v>0</v>
      </c>
      <c r="AO105">
        <v>0</v>
      </c>
      <c r="AP105">
        <v>0</v>
      </c>
      <c r="AQ105">
        <v>0</v>
      </c>
      <c r="AR105">
        <v>0</v>
      </c>
      <c r="AS105">
        <v>0</v>
      </c>
      <c r="AT105">
        <v>0</v>
      </c>
      <c r="AU105">
        <f t="shared" si="2"/>
        <v>0</v>
      </c>
      <c r="AV105">
        <f t="shared" si="3"/>
        <v>0</v>
      </c>
    </row>
    <row r="106" spans="1:48" x14ac:dyDescent="0.25">
      <c r="A106" t="s">
        <v>2543</v>
      </c>
      <c r="C106" t="s">
        <v>2544</v>
      </c>
      <c r="D106" t="s">
        <v>2545</v>
      </c>
      <c r="E106" t="s">
        <v>2310</v>
      </c>
      <c r="F106">
        <v>9</v>
      </c>
      <c r="G106">
        <v>9.3000000000000007</v>
      </c>
      <c r="H106" t="s">
        <v>2323</v>
      </c>
      <c r="I106" s="21">
        <v>37364</v>
      </c>
      <c r="J106">
        <v>2002</v>
      </c>
      <c r="K106" s="21">
        <v>37385</v>
      </c>
      <c r="L106">
        <v>2002</v>
      </c>
      <c r="M106" s="21">
        <v>37385</v>
      </c>
      <c r="N106">
        <v>2002</v>
      </c>
      <c r="R106" s="262">
        <v>25000</v>
      </c>
      <c r="S106" t="s">
        <v>114</v>
      </c>
      <c r="T106" t="s">
        <v>114</v>
      </c>
      <c r="U106">
        <v>5</v>
      </c>
      <c r="W106">
        <v>1100</v>
      </c>
      <c r="X106">
        <v>0</v>
      </c>
      <c r="Y106">
        <v>0</v>
      </c>
      <c r="Z106">
        <v>0</v>
      </c>
      <c r="AA106">
        <v>0</v>
      </c>
      <c r="AB106">
        <v>0</v>
      </c>
      <c r="AC106">
        <v>1100</v>
      </c>
      <c r="AD106">
        <v>0</v>
      </c>
      <c r="AE106">
        <v>0</v>
      </c>
      <c r="AF106">
        <v>0</v>
      </c>
      <c r="AG106">
        <v>0</v>
      </c>
      <c r="AH106">
        <v>0</v>
      </c>
      <c r="AI106">
        <v>0</v>
      </c>
      <c r="AJ106">
        <v>0</v>
      </c>
      <c r="AK106">
        <v>0</v>
      </c>
      <c r="AL106">
        <v>0</v>
      </c>
      <c r="AM106">
        <v>0</v>
      </c>
      <c r="AN106">
        <v>0</v>
      </c>
      <c r="AO106">
        <v>0</v>
      </c>
      <c r="AP106">
        <v>0</v>
      </c>
      <c r="AQ106">
        <v>0</v>
      </c>
      <c r="AR106">
        <v>0</v>
      </c>
      <c r="AS106">
        <v>0</v>
      </c>
      <c r="AT106">
        <v>0</v>
      </c>
      <c r="AU106">
        <f t="shared" si="2"/>
        <v>0</v>
      </c>
      <c r="AV106">
        <f t="shared" si="3"/>
        <v>0</v>
      </c>
    </row>
    <row r="107" spans="1:48" x14ac:dyDescent="0.25">
      <c r="A107" t="s">
        <v>2546</v>
      </c>
      <c r="C107" t="s">
        <v>2312</v>
      </c>
      <c r="D107" t="s">
        <v>2547</v>
      </c>
      <c r="E107" t="s">
        <v>2310</v>
      </c>
      <c r="F107">
        <v>10</v>
      </c>
      <c r="G107">
        <v>10.1</v>
      </c>
      <c r="H107" t="s">
        <v>2323</v>
      </c>
      <c r="I107" s="21">
        <v>37364</v>
      </c>
      <c r="J107">
        <v>2002</v>
      </c>
      <c r="K107" s="21">
        <v>37399</v>
      </c>
      <c r="L107">
        <v>2002</v>
      </c>
      <c r="M107" s="21">
        <v>37785</v>
      </c>
      <c r="N107">
        <v>2003</v>
      </c>
      <c r="R107" s="262">
        <v>240000</v>
      </c>
      <c r="S107" t="s">
        <v>114</v>
      </c>
      <c r="T107" t="s">
        <v>114</v>
      </c>
      <c r="U107">
        <v>5</v>
      </c>
      <c r="W107">
        <v>3384</v>
      </c>
      <c r="X107">
        <v>1</v>
      </c>
      <c r="Y107">
        <v>0</v>
      </c>
      <c r="Z107">
        <v>0</v>
      </c>
      <c r="AA107">
        <v>0</v>
      </c>
      <c r="AB107">
        <v>0</v>
      </c>
      <c r="AC107">
        <v>3384</v>
      </c>
      <c r="AD107">
        <v>0</v>
      </c>
      <c r="AE107">
        <v>0</v>
      </c>
      <c r="AF107">
        <v>0</v>
      </c>
      <c r="AG107">
        <v>0</v>
      </c>
      <c r="AH107">
        <v>0</v>
      </c>
      <c r="AI107">
        <v>0</v>
      </c>
      <c r="AJ107">
        <v>0</v>
      </c>
      <c r="AK107">
        <v>0</v>
      </c>
      <c r="AL107">
        <v>0</v>
      </c>
      <c r="AM107">
        <v>0</v>
      </c>
      <c r="AN107">
        <v>0</v>
      </c>
      <c r="AO107">
        <v>1</v>
      </c>
      <c r="AP107">
        <v>0</v>
      </c>
      <c r="AQ107">
        <v>0</v>
      </c>
      <c r="AR107">
        <v>0</v>
      </c>
      <c r="AS107">
        <v>0</v>
      </c>
      <c r="AT107">
        <v>0</v>
      </c>
      <c r="AU107">
        <f t="shared" si="2"/>
        <v>1</v>
      </c>
      <c r="AV107">
        <f t="shared" si="3"/>
        <v>0</v>
      </c>
    </row>
    <row r="108" spans="1:48" x14ac:dyDescent="0.25">
      <c r="A108" t="s">
        <v>2553</v>
      </c>
      <c r="C108" t="s">
        <v>2554</v>
      </c>
      <c r="D108" t="s">
        <v>2555</v>
      </c>
      <c r="E108" t="s">
        <v>2310</v>
      </c>
      <c r="F108">
        <v>14</v>
      </c>
      <c r="G108">
        <v>14.1</v>
      </c>
      <c r="H108" t="s">
        <v>2022</v>
      </c>
      <c r="I108" s="21">
        <v>37365</v>
      </c>
      <c r="J108">
        <v>2002</v>
      </c>
      <c r="K108" s="21">
        <v>37389</v>
      </c>
      <c r="L108">
        <v>2002</v>
      </c>
      <c r="M108" s="21">
        <v>37389</v>
      </c>
      <c r="N108">
        <v>2002</v>
      </c>
      <c r="R108" s="262">
        <v>20000</v>
      </c>
      <c r="S108" t="s">
        <v>114</v>
      </c>
      <c r="T108" t="s">
        <v>114</v>
      </c>
      <c r="U108">
        <v>5</v>
      </c>
      <c r="W108">
        <v>242</v>
      </c>
      <c r="X108">
        <v>0</v>
      </c>
      <c r="Y108">
        <v>0</v>
      </c>
      <c r="Z108">
        <v>0</v>
      </c>
      <c r="AA108">
        <v>0</v>
      </c>
      <c r="AB108">
        <v>0</v>
      </c>
      <c r="AC108">
        <v>242</v>
      </c>
      <c r="AD108">
        <v>0</v>
      </c>
      <c r="AE108">
        <v>0</v>
      </c>
      <c r="AF108">
        <v>0</v>
      </c>
      <c r="AG108">
        <v>0</v>
      </c>
      <c r="AH108">
        <v>0</v>
      </c>
      <c r="AI108">
        <v>0</v>
      </c>
      <c r="AJ108">
        <v>0</v>
      </c>
      <c r="AK108">
        <v>0</v>
      </c>
      <c r="AL108">
        <v>0</v>
      </c>
      <c r="AM108">
        <v>0</v>
      </c>
      <c r="AN108">
        <v>0</v>
      </c>
      <c r="AO108">
        <v>0</v>
      </c>
      <c r="AP108">
        <v>0</v>
      </c>
      <c r="AQ108">
        <v>0</v>
      </c>
      <c r="AR108">
        <v>0</v>
      </c>
      <c r="AS108">
        <v>0</v>
      </c>
      <c r="AT108">
        <v>0</v>
      </c>
      <c r="AU108">
        <f t="shared" si="2"/>
        <v>0</v>
      </c>
      <c r="AV108">
        <f t="shared" si="3"/>
        <v>0</v>
      </c>
    </row>
    <row r="109" spans="1:48" x14ac:dyDescent="0.25">
      <c r="A109" t="s">
        <v>2556</v>
      </c>
      <c r="C109" t="s">
        <v>2557</v>
      </c>
      <c r="D109" t="s">
        <v>2555</v>
      </c>
      <c r="E109" t="s">
        <v>2310</v>
      </c>
      <c r="F109">
        <v>14</v>
      </c>
      <c r="G109">
        <v>14.1</v>
      </c>
      <c r="H109" t="s">
        <v>2022</v>
      </c>
      <c r="I109" s="21">
        <v>37365</v>
      </c>
      <c r="J109">
        <v>2002</v>
      </c>
      <c r="K109" s="21">
        <v>37389</v>
      </c>
      <c r="L109">
        <v>2002</v>
      </c>
      <c r="M109" s="21">
        <v>37601</v>
      </c>
      <c r="N109">
        <v>2002</v>
      </c>
      <c r="R109" s="262">
        <v>40000</v>
      </c>
      <c r="S109" t="s">
        <v>114</v>
      </c>
      <c r="T109" t="s">
        <v>114</v>
      </c>
      <c r="U109">
        <v>5</v>
      </c>
      <c r="W109">
        <v>1146</v>
      </c>
      <c r="X109">
        <v>0</v>
      </c>
      <c r="Y109">
        <v>0</v>
      </c>
      <c r="Z109">
        <v>0</v>
      </c>
      <c r="AA109">
        <v>0</v>
      </c>
      <c r="AB109">
        <v>0</v>
      </c>
      <c r="AC109">
        <v>1146</v>
      </c>
      <c r="AD109">
        <v>0</v>
      </c>
      <c r="AE109">
        <v>0</v>
      </c>
      <c r="AF109">
        <v>0</v>
      </c>
      <c r="AG109">
        <v>0</v>
      </c>
      <c r="AH109">
        <v>0</v>
      </c>
      <c r="AI109">
        <v>0</v>
      </c>
      <c r="AJ109">
        <v>0</v>
      </c>
      <c r="AK109">
        <v>0</v>
      </c>
      <c r="AL109">
        <v>0</v>
      </c>
      <c r="AM109">
        <v>0</v>
      </c>
      <c r="AN109">
        <v>0</v>
      </c>
      <c r="AO109">
        <v>0</v>
      </c>
      <c r="AP109">
        <v>0</v>
      </c>
      <c r="AQ109">
        <v>0</v>
      </c>
      <c r="AR109">
        <v>0</v>
      </c>
      <c r="AS109">
        <v>0</v>
      </c>
      <c r="AT109">
        <v>0</v>
      </c>
      <c r="AU109">
        <f t="shared" si="2"/>
        <v>0</v>
      </c>
      <c r="AV109">
        <f t="shared" si="3"/>
        <v>0</v>
      </c>
    </row>
    <row r="110" spans="1:48" x14ac:dyDescent="0.25">
      <c r="A110" t="s">
        <v>2558</v>
      </c>
      <c r="C110" t="s">
        <v>2312</v>
      </c>
      <c r="D110" t="s">
        <v>2559</v>
      </c>
      <c r="E110" t="s">
        <v>2310</v>
      </c>
      <c r="F110">
        <v>9</v>
      </c>
      <c r="G110">
        <v>9.3000000000000007</v>
      </c>
      <c r="H110" t="s">
        <v>2323</v>
      </c>
      <c r="I110" s="21">
        <v>37365</v>
      </c>
      <c r="J110">
        <v>2002</v>
      </c>
      <c r="K110" s="21">
        <v>37382</v>
      </c>
      <c r="L110">
        <v>2002</v>
      </c>
      <c r="M110" s="21">
        <v>37382</v>
      </c>
      <c r="N110">
        <v>2002</v>
      </c>
      <c r="R110" s="262">
        <v>450000</v>
      </c>
      <c r="S110" t="s">
        <v>114</v>
      </c>
      <c r="T110" t="s">
        <v>114</v>
      </c>
      <c r="U110">
        <v>5</v>
      </c>
      <c r="W110">
        <v>4734</v>
      </c>
      <c r="X110">
        <v>1</v>
      </c>
      <c r="Y110">
        <v>0</v>
      </c>
      <c r="Z110">
        <v>0</v>
      </c>
      <c r="AA110">
        <v>0</v>
      </c>
      <c r="AB110">
        <v>0</v>
      </c>
      <c r="AC110">
        <v>4734</v>
      </c>
      <c r="AD110">
        <v>0</v>
      </c>
      <c r="AE110">
        <v>0</v>
      </c>
      <c r="AF110">
        <v>0</v>
      </c>
      <c r="AG110">
        <v>0</v>
      </c>
      <c r="AH110">
        <v>0</v>
      </c>
      <c r="AI110">
        <v>0</v>
      </c>
      <c r="AJ110">
        <v>0</v>
      </c>
      <c r="AK110">
        <v>0</v>
      </c>
      <c r="AL110">
        <v>0</v>
      </c>
      <c r="AM110">
        <v>0</v>
      </c>
      <c r="AN110">
        <v>0</v>
      </c>
      <c r="AO110">
        <v>1</v>
      </c>
      <c r="AP110">
        <v>0</v>
      </c>
      <c r="AQ110">
        <v>0</v>
      </c>
      <c r="AR110">
        <v>0</v>
      </c>
      <c r="AS110">
        <v>0</v>
      </c>
      <c r="AT110">
        <v>0</v>
      </c>
      <c r="AU110">
        <f t="shared" si="2"/>
        <v>1</v>
      </c>
      <c r="AV110">
        <f t="shared" si="3"/>
        <v>0</v>
      </c>
    </row>
    <row r="111" spans="1:48" x14ac:dyDescent="0.25">
      <c r="A111" t="s">
        <v>2548</v>
      </c>
      <c r="C111" t="s">
        <v>2549</v>
      </c>
      <c r="D111" t="s">
        <v>2550</v>
      </c>
      <c r="E111" t="s">
        <v>1663</v>
      </c>
      <c r="F111">
        <v>3</v>
      </c>
      <c r="G111">
        <v>3.2</v>
      </c>
      <c r="H111" t="s">
        <v>2327</v>
      </c>
      <c r="I111" s="21">
        <v>37365</v>
      </c>
      <c r="J111">
        <v>2002</v>
      </c>
      <c r="K111" s="21">
        <v>37395</v>
      </c>
      <c r="L111">
        <v>2002</v>
      </c>
      <c r="M111" s="21">
        <v>37548</v>
      </c>
      <c r="N111">
        <v>2002</v>
      </c>
      <c r="Q111" s="262">
        <v>128576</v>
      </c>
      <c r="S111" t="s">
        <v>114</v>
      </c>
      <c r="T111" t="s">
        <v>114</v>
      </c>
      <c r="W111">
        <v>1568</v>
      </c>
      <c r="X111">
        <v>1</v>
      </c>
      <c r="Y111">
        <v>0</v>
      </c>
      <c r="Z111">
        <v>0</v>
      </c>
      <c r="AA111">
        <v>0</v>
      </c>
      <c r="AB111">
        <v>0</v>
      </c>
      <c r="AC111">
        <v>1568</v>
      </c>
      <c r="AD111">
        <v>0</v>
      </c>
      <c r="AE111">
        <v>0</v>
      </c>
      <c r="AF111">
        <v>0</v>
      </c>
      <c r="AG111">
        <v>0</v>
      </c>
      <c r="AH111">
        <v>0</v>
      </c>
      <c r="AI111">
        <v>0</v>
      </c>
      <c r="AJ111">
        <v>0</v>
      </c>
      <c r="AK111">
        <v>0</v>
      </c>
      <c r="AL111">
        <v>0</v>
      </c>
      <c r="AM111">
        <v>0</v>
      </c>
      <c r="AN111">
        <v>0</v>
      </c>
      <c r="AO111">
        <v>1</v>
      </c>
      <c r="AP111">
        <v>0</v>
      </c>
      <c r="AQ111">
        <v>0</v>
      </c>
      <c r="AR111">
        <v>0</v>
      </c>
      <c r="AS111">
        <v>0</v>
      </c>
      <c r="AT111">
        <v>0</v>
      </c>
      <c r="AU111">
        <f t="shared" si="2"/>
        <v>1</v>
      </c>
      <c r="AV111">
        <f t="shared" si="3"/>
        <v>0</v>
      </c>
    </row>
    <row r="112" spans="1:48" x14ac:dyDescent="0.25">
      <c r="A112" t="s">
        <v>2551</v>
      </c>
      <c r="C112" t="s">
        <v>2552</v>
      </c>
      <c r="D112" t="s">
        <v>2550</v>
      </c>
      <c r="E112" t="s">
        <v>1663</v>
      </c>
      <c r="F112">
        <v>3</v>
      </c>
      <c r="G112">
        <v>3.2</v>
      </c>
      <c r="H112" t="s">
        <v>2327</v>
      </c>
      <c r="I112" s="21">
        <v>37365</v>
      </c>
      <c r="J112">
        <v>2002</v>
      </c>
      <c r="K112" s="21">
        <v>37395</v>
      </c>
      <c r="L112">
        <v>2002</v>
      </c>
      <c r="M112" s="21">
        <v>37548</v>
      </c>
      <c r="N112">
        <v>2002</v>
      </c>
      <c r="Q112" s="262">
        <v>64288</v>
      </c>
      <c r="S112" t="s">
        <v>114</v>
      </c>
      <c r="T112" t="s">
        <v>114</v>
      </c>
      <c r="W112">
        <v>784</v>
      </c>
      <c r="X112">
        <v>1</v>
      </c>
      <c r="Y112">
        <v>0</v>
      </c>
      <c r="Z112">
        <v>0</v>
      </c>
      <c r="AA112">
        <v>0</v>
      </c>
      <c r="AB112">
        <v>0</v>
      </c>
      <c r="AC112">
        <v>0</v>
      </c>
      <c r="AD112">
        <v>0</v>
      </c>
      <c r="AE112">
        <v>784</v>
      </c>
      <c r="AF112">
        <v>0</v>
      </c>
      <c r="AG112">
        <v>0</v>
      </c>
      <c r="AH112">
        <v>0</v>
      </c>
      <c r="AI112">
        <v>0</v>
      </c>
      <c r="AJ112">
        <v>0</v>
      </c>
      <c r="AK112">
        <v>0</v>
      </c>
      <c r="AL112">
        <v>0</v>
      </c>
      <c r="AM112">
        <v>0</v>
      </c>
      <c r="AN112">
        <v>0</v>
      </c>
      <c r="AO112">
        <v>0</v>
      </c>
      <c r="AP112">
        <v>0</v>
      </c>
      <c r="AQ112">
        <v>1</v>
      </c>
      <c r="AR112">
        <v>0</v>
      </c>
      <c r="AS112">
        <v>0</v>
      </c>
      <c r="AT112">
        <v>0</v>
      </c>
      <c r="AU112">
        <f t="shared" si="2"/>
        <v>1</v>
      </c>
      <c r="AV112">
        <f t="shared" si="3"/>
        <v>0</v>
      </c>
    </row>
    <row r="113" spans="1:48" x14ac:dyDescent="0.25">
      <c r="A113" t="s">
        <v>2563</v>
      </c>
      <c r="C113" t="s">
        <v>2564</v>
      </c>
      <c r="D113" t="s">
        <v>2565</v>
      </c>
      <c r="E113" t="s">
        <v>2310</v>
      </c>
      <c r="F113">
        <v>15</v>
      </c>
      <c r="G113">
        <v>15.3</v>
      </c>
      <c r="H113" t="s">
        <v>2022</v>
      </c>
      <c r="I113" s="21">
        <v>37368</v>
      </c>
      <c r="J113">
        <v>2002</v>
      </c>
      <c r="K113" s="21">
        <v>37417</v>
      </c>
      <c r="L113">
        <v>2002</v>
      </c>
      <c r="M113" s="21">
        <v>37823</v>
      </c>
      <c r="N113">
        <v>2003</v>
      </c>
      <c r="R113" s="262">
        <v>2000000</v>
      </c>
      <c r="S113" t="s">
        <v>114</v>
      </c>
      <c r="T113" t="s">
        <v>114</v>
      </c>
      <c r="U113">
        <v>5</v>
      </c>
      <c r="W113">
        <v>9098</v>
      </c>
      <c r="X113">
        <v>1</v>
      </c>
      <c r="Y113">
        <v>0</v>
      </c>
      <c r="Z113">
        <v>0</v>
      </c>
      <c r="AA113">
        <v>0</v>
      </c>
      <c r="AB113">
        <v>0</v>
      </c>
      <c r="AC113">
        <v>9098</v>
      </c>
      <c r="AD113">
        <v>0</v>
      </c>
      <c r="AE113">
        <v>0</v>
      </c>
      <c r="AF113">
        <v>0</v>
      </c>
      <c r="AG113">
        <v>0</v>
      </c>
      <c r="AH113">
        <v>0</v>
      </c>
      <c r="AI113">
        <v>0</v>
      </c>
      <c r="AJ113">
        <v>0</v>
      </c>
      <c r="AK113">
        <v>0</v>
      </c>
      <c r="AL113">
        <v>0</v>
      </c>
      <c r="AM113">
        <v>0</v>
      </c>
      <c r="AN113">
        <v>0</v>
      </c>
      <c r="AO113">
        <v>1</v>
      </c>
      <c r="AP113">
        <v>0</v>
      </c>
      <c r="AQ113">
        <v>0</v>
      </c>
      <c r="AR113">
        <v>0</v>
      </c>
      <c r="AS113">
        <v>0</v>
      </c>
      <c r="AT113">
        <v>0</v>
      </c>
      <c r="AU113">
        <f t="shared" si="2"/>
        <v>1</v>
      </c>
      <c r="AV113">
        <f t="shared" si="3"/>
        <v>0</v>
      </c>
    </row>
    <row r="114" spans="1:48" x14ac:dyDescent="0.25">
      <c r="A114" t="s">
        <v>2566</v>
      </c>
      <c r="C114" t="s">
        <v>2567</v>
      </c>
      <c r="D114" t="s">
        <v>2568</v>
      </c>
      <c r="E114" t="s">
        <v>2310</v>
      </c>
      <c r="F114">
        <v>9</v>
      </c>
      <c r="G114">
        <v>9.4</v>
      </c>
      <c r="H114" t="s">
        <v>2323</v>
      </c>
      <c r="I114" s="21">
        <v>37368</v>
      </c>
      <c r="J114">
        <v>2002</v>
      </c>
      <c r="K114" s="21">
        <v>37417</v>
      </c>
      <c r="L114">
        <v>2002</v>
      </c>
      <c r="M114" s="21">
        <v>40280.523125</v>
      </c>
      <c r="N114">
        <v>2010</v>
      </c>
      <c r="R114" s="262">
        <v>25000</v>
      </c>
      <c r="S114" t="s">
        <v>114</v>
      </c>
      <c r="T114" t="s">
        <v>114</v>
      </c>
      <c r="U114">
        <v>5</v>
      </c>
      <c r="W114">
        <v>576</v>
      </c>
      <c r="X114">
        <v>0</v>
      </c>
      <c r="Y114">
        <v>0</v>
      </c>
      <c r="Z114">
        <v>0</v>
      </c>
      <c r="AA114">
        <v>0</v>
      </c>
      <c r="AB114">
        <v>0</v>
      </c>
      <c r="AC114">
        <v>576</v>
      </c>
      <c r="AD114">
        <v>0</v>
      </c>
      <c r="AE114">
        <v>0</v>
      </c>
      <c r="AF114">
        <v>0</v>
      </c>
      <c r="AG114">
        <v>0</v>
      </c>
      <c r="AH114">
        <v>0</v>
      </c>
      <c r="AI114">
        <v>0</v>
      </c>
      <c r="AJ114">
        <v>0</v>
      </c>
      <c r="AK114">
        <v>0</v>
      </c>
      <c r="AL114">
        <v>0</v>
      </c>
      <c r="AM114">
        <v>0</v>
      </c>
      <c r="AN114">
        <v>0</v>
      </c>
      <c r="AO114">
        <v>0</v>
      </c>
      <c r="AP114">
        <v>0</v>
      </c>
      <c r="AQ114">
        <v>0</v>
      </c>
      <c r="AR114">
        <v>0</v>
      </c>
      <c r="AS114">
        <v>0</v>
      </c>
      <c r="AT114">
        <v>0</v>
      </c>
      <c r="AU114">
        <f t="shared" si="2"/>
        <v>0</v>
      </c>
      <c r="AV114">
        <f t="shared" si="3"/>
        <v>0</v>
      </c>
    </row>
    <row r="115" spans="1:48" x14ac:dyDescent="0.25">
      <c r="A115" t="s">
        <v>2569</v>
      </c>
      <c r="C115" t="s">
        <v>2544</v>
      </c>
      <c r="D115" t="s">
        <v>2568</v>
      </c>
      <c r="E115" t="s">
        <v>2310</v>
      </c>
      <c r="F115">
        <v>9</v>
      </c>
      <c r="G115">
        <v>9.4</v>
      </c>
      <c r="H115" t="s">
        <v>2323</v>
      </c>
      <c r="I115" s="21">
        <v>37368</v>
      </c>
      <c r="J115">
        <v>2002</v>
      </c>
      <c r="K115" s="21">
        <v>37417</v>
      </c>
      <c r="L115">
        <v>2002</v>
      </c>
      <c r="M115" s="21">
        <v>37417</v>
      </c>
      <c r="N115">
        <v>2002</v>
      </c>
      <c r="R115" s="262">
        <v>50000</v>
      </c>
      <c r="S115" t="s">
        <v>114</v>
      </c>
      <c r="T115" t="s">
        <v>114</v>
      </c>
      <c r="U115">
        <v>5</v>
      </c>
      <c r="W115">
        <v>1325</v>
      </c>
      <c r="X115">
        <v>0</v>
      </c>
      <c r="Y115">
        <v>0</v>
      </c>
      <c r="Z115">
        <v>0</v>
      </c>
      <c r="AA115">
        <v>0</v>
      </c>
      <c r="AB115">
        <v>0</v>
      </c>
      <c r="AC115">
        <v>1325</v>
      </c>
      <c r="AD115">
        <v>0</v>
      </c>
      <c r="AE115">
        <v>0</v>
      </c>
      <c r="AF115">
        <v>0</v>
      </c>
      <c r="AG115">
        <v>0</v>
      </c>
      <c r="AH115">
        <v>0</v>
      </c>
      <c r="AI115">
        <v>0</v>
      </c>
      <c r="AJ115">
        <v>0</v>
      </c>
      <c r="AK115">
        <v>0</v>
      </c>
      <c r="AL115">
        <v>0</v>
      </c>
      <c r="AM115">
        <v>0</v>
      </c>
      <c r="AN115">
        <v>0</v>
      </c>
      <c r="AO115">
        <v>0</v>
      </c>
      <c r="AP115">
        <v>0</v>
      </c>
      <c r="AQ115">
        <v>0</v>
      </c>
      <c r="AR115">
        <v>0</v>
      </c>
      <c r="AS115">
        <v>0</v>
      </c>
      <c r="AT115">
        <v>0</v>
      </c>
      <c r="AU115">
        <f t="shared" si="2"/>
        <v>0</v>
      </c>
      <c r="AV115">
        <f t="shared" si="3"/>
        <v>0</v>
      </c>
    </row>
    <row r="116" spans="1:48" x14ac:dyDescent="0.25">
      <c r="A116" t="s">
        <v>2560</v>
      </c>
      <c r="C116" t="s">
        <v>2561</v>
      </c>
      <c r="D116" t="s">
        <v>2562</v>
      </c>
      <c r="E116" t="s">
        <v>1663</v>
      </c>
      <c r="F116">
        <v>3</v>
      </c>
      <c r="G116">
        <v>3.1</v>
      </c>
      <c r="H116" t="s">
        <v>2017</v>
      </c>
      <c r="I116" s="21">
        <v>37368</v>
      </c>
      <c r="J116">
        <v>2002</v>
      </c>
      <c r="K116" s="21">
        <v>37398</v>
      </c>
      <c r="L116">
        <v>2002</v>
      </c>
      <c r="M116" s="21">
        <v>37551</v>
      </c>
      <c r="N116">
        <v>2002</v>
      </c>
      <c r="Q116" s="262">
        <v>81424</v>
      </c>
      <c r="S116" t="s">
        <v>114</v>
      </c>
      <c r="T116" t="s">
        <v>114</v>
      </c>
      <c r="W116">
        <v>1572</v>
      </c>
      <c r="X116">
        <v>1</v>
      </c>
      <c r="Y116">
        <v>0</v>
      </c>
      <c r="Z116">
        <v>0</v>
      </c>
      <c r="AA116">
        <v>0</v>
      </c>
      <c r="AB116">
        <v>0</v>
      </c>
      <c r="AC116">
        <v>0</v>
      </c>
      <c r="AD116">
        <v>0</v>
      </c>
      <c r="AE116">
        <v>1572</v>
      </c>
      <c r="AF116">
        <v>0</v>
      </c>
      <c r="AG116">
        <v>0</v>
      </c>
      <c r="AH116">
        <v>0</v>
      </c>
      <c r="AI116">
        <v>0</v>
      </c>
      <c r="AJ116">
        <v>0</v>
      </c>
      <c r="AK116">
        <v>0</v>
      </c>
      <c r="AL116">
        <v>0</v>
      </c>
      <c r="AM116">
        <v>0</v>
      </c>
      <c r="AN116">
        <v>0</v>
      </c>
      <c r="AO116">
        <v>0</v>
      </c>
      <c r="AP116">
        <v>0</v>
      </c>
      <c r="AQ116">
        <v>1</v>
      </c>
      <c r="AR116">
        <v>0</v>
      </c>
      <c r="AS116">
        <v>0</v>
      </c>
      <c r="AT116">
        <v>0</v>
      </c>
      <c r="AU116">
        <f t="shared" si="2"/>
        <v>1</v>
      </c>
      <c r="AV116">
        <f t="shared" si="3"/>
        <v>0</v>
      </c>
    </row>
    <row r="117" spans="1:48" x14ac:dyDescent="0.25">
      <c r="A117" t="s">
        <v>2582</v>
      </c>
      <c r="C117" t="s">
        <v>2583</v>
      </c>
      <c r="D117" t="s">
        <v>2584</v>
      </c>
      <c r="E117" t="s">
        <v>2310</v>
      </c>
      <c r="F117">
        <v>10</v>
      </c>
      <c r="G117">
        <v>10.1</v>
      </c>
      <c r="H117" t="s">
        <v>2323</v>
      </c>
      <c r="I117" s="21">
        <v>37369</v>
      </c>
      <c r="J117">
        <v>2002</v>
      </c>
      <c r="K117" s="21">
        <v>37390</v>
      </c>
      <c r="L117">
        <v>2002</v>
      </c>
      <c r="M117" s="21">
        <v>37390</v>
      </c>
      <c r="N117">
        <v>2002</v>
      </c>
      <c r="R117" s="262">
        <v>10000</v>
      </c>
      <c r="S117" t="s">
        <v>114</v>
      </c>
      <c r="T117" t="s">
        <v>114</v>
      </c>
      <c r="U117">
        <v>5</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f t="shared" si="2"/>
        <v>0</v>
      </c>
      <c r="AV117">
        <f t="shared" si="3"/>
        <v>0</v>
      </c>
    </row>
    <row r="118" spans="1:48" x14ac:dyDescent="0.25">
      <c r="A118" t="s">
        <v>2585</v>
      </c>
      <c r="C118" t="s">
        <v>2586</v>
      </c>
      <c r="D118" t="s">
        <v>2587</v>
      </c>
      <c r="E118" t="s">
        <v>2310</v>
      </c>
      <c r="F118">
        <v>15</v>
      </c>
      <c r="G118">
        <v>15.3</v>
      </c>
      <c r="H118" t="s">
        <v>2022</v>
      </c>
      <c r="I118" s="21">
        <v>37369</v>
      </c>
      <c r="J118">
        <v>2002</v>
      </c>
      <c r="K118" s="21">
        <v>37391</v>
      </c>
      <c r="L118">
        <v>2002</v>
      </c>
      <c r="M118" s="21">
        <v>37581</v>
      </c>
      <c r="N118">
        <v>2002</v>
      </c>
      <c r="R118" s="262">
        <v>82000</v>
      </c>
      <c r="S118" t="s">
        <v>114</v>
      </c>
      <c r="T118" t="s">
        <v>114</v>
      </c>
      <c r="U118">
        <v>5</v>
      </c>
      <c r="W118">
        <v>2591</v>
      </c>
      <c r="X118">
        <v>1</v>
      </c>
      <c r="Y118">
        <v>0</v>
      </c>
      <c r="Z118">
        <v>0</v>
      </c>
      <c r="AA118">
        <v>0</v>
      </c>
      <c r="AB118">
        <v>0</v>
      </c>
      <c r="AC118">
        <v>2591</v>
      </c>
      <c r="AD118">
        <v>0</v>
      </c>
      <c r="AE118">
        <v>0</v>
      </c>
      <c r="AF118">
        <v>0</v>
      </c>
      <c r="AG118">
        <v>0</v>
      </c>
      <c r="AH118">
        <v>0</v>
      </c>
      <c r="AI118">
        <v>0</v>
      </c>
      <c r="AJ118">
        <v>0</v>
      </c>
      <c r="AK118">
        <v>0</v>
      </c>
      <c r="AL118">
        <v>0</v>
      </c>
      <c r="AM118">
        <v>0</v>
      </c>
      <c r="AN118">
        <v>0</v>
      </c>
      <c r="AO118">
        <v>1</v>
      </c>
      <c r="AP118">
        <v>0</v>
      </c>
      <c r="AQ118">
        <v>0</v>
      </c>
      <c r="AR118">
        <v>0</v>
      </c>
      <c r="AS118">
        <v>0</v>
      </c>
      <c r="AT118">
        <v>0</v>
      </c>
      <c r="AU118">
        <f t="shared" si="2"/>
        <v>1</v>
      </c>
      <c r="AV118">
        <f t="shared" si="3"/>
        <v>0</v>
      </c>
    </row>
    <row r="119" spans="1:48" x14ac:dyDescent="0.25">
      <c r="A119" t="s">
        <v>2570</v>
      </c>
      <c r="C119" t="s">
        <v>2571</v>
      </c>
      <c r="D119" t="s">
        <v>2572</v>
      </c>
      <c r="E119" t="s">
        <v>1663</v>
      </c>
      <c r="F119">
        <v>3</v>
      </c>
      <c r="G119">
        <v>3.1</v>
      </c>
      <c r="H119" t="s">
        <v>2017</v>
      </c>
      <c r="I119" s="21">
        <v>37369</v>
      </c>
      <c r="J119">
        <v>2002</v>
      </c>
      <c r="K119" s="21">
        <v>37399</v>
      </c>
      <c r="L119">
        <v>2002</v>
      </c>
      <c r="M119" s="21">
        <v>37552</v>
      </c>
      <c r="N119">
        <v>2002</v>
      </c>
      <c r="Q119" s="262">
        <v>0</v>
      </c>
      <c r="S119" t="s">
        <v>114</v>
      </c>
      <c r="T119" t="s">
        <v>114</v>
      </c>
      <c r="W119">
        <v>2352</v>
      </c>
      <c r="X119">
        <v>1</v>
      </c>
      <c r="Y119">
        <v>0</v>
      </c>
      <c r="Z119">
        <v>0</v>
      </c>
      <c r="AA119">
        <v>0</v>
      </c>
      <c r="AB119">
        <v>0</v>
      </c>
      <c r="AC119">
        <v>0</v>
      </c>
      <c r="AD119">
        <v>2352</v>
      </c>
      <c r="AE119">
        <v>0</v>
      </c>
      <c r="AF119">
        <v>0</v>
      </c>
      <c r="AG119">
        <v>0</v>
      </c>
      <c r="AH119">
        <v>0</v>
      </c>
      <c r="AI119">
        <v>0</v>
      </c>
      <c r="AJ119">
        <v>0</v>
      </c>
      <c r="AK119">
        <v>0</v>
      </c>
      <c r="AL119">
        <v>0</v>
      </c>
      <c r="AM119">
        <v>0</v>
      </c>
      <c r="AN119">
        <v>0</v>
      </c>
      <c r="AO119">
        <v>0</v>
      </c>
      <c r="AP119">
        <v>1</v>
      </c>
      <c r="AQ119">
        <v>0</v>
      </c>
      <c r="AR119">
        <v>0</v>
      </c>
      <c r="AS119">
        <v>0</v>
      </c>
      <c r="AT119">
        <v>0</v>
      </c>
      <c r="AU119">
        <f t="shared" si="2"/>
        <v>1</v>
      </c>
      <c r="AV119">
        <f t="shared" si="3"/>
        <v>0</v>
      </c>
    </row>
    <row r="120" spans="1:48" x14ac:dyDescent="0.25">
      <c r="A120" t="s">
        <v>2573</v>
      </c>
      <c r="C120" t="s">
        <v>2574</v>
      </c>
      <c r="D120" t="s">
        <v>2575</v>
      </c>
      <c r="E120" t="s">
        <v>1663</v>
      </c>
      <c r="F120">
        <v>3</v>
      </c>
      <c r="G120">
        <v>3.1</v>
      </c>
      <c r="H120" t="s">
        <v>2017</v>
      </c>
      <c r="I120" s="21">
        <v>37369</v>
      </c>
      <c r="J120">
        <v>2002</v>
      </c>
      <c r="K120" s="21">
        <v>37399</v>
      </c>
      <c r="L120">
        <v>2002</v>
      </c>
      <c r="M120" s="21">
        <v>37552</v>
      </c>
      <c r="N120">
        <v>2002</v>
      </c>
      <c r="Q120" s="262">
        <v>0</v>
      </c>
      <c r="S120" t="s">
        <v>114</v>
      </c>
      <c r="T120" t="s">
        <v>114</v>
      </c>
      <c r="W120">
        <v>2352</v>
      </c>
      <c r="X120">
        <v>1</v>
      </c>
      <c r="Y120">
        <v>0</v>
      </c>
      <c r="Z120">
        <v>0</v>
      </c>
      <c r="AA120">
        <v>0</v>
      </c>
      <c r="AB120">
        <v>0</v>
      </c>
      <c r="AC120">
        <v>0</v>
      </c>
      <c r="AD120">
        <v>2352</v>
      </c>
      <c r="AE120">
        <v>0</v>
      </c>
      <c r="AF120">
        <v>0</v>
      </c>
      <c r="AG120">
        <v>0</v>
      </c>
      <c r="AH120">
        <v>0</v>
      </c>
      <c r="AI120">
        <v>0</v>
      </c>
      <c r="AJ120">
        <v>0</v>
      </c>
      <c r="AK120">
        <v>0</v>
      </c>
      <c r="AL120">
        <v>0</v>
      </c>
      <c r="AM120">
        <v>0</v>
      </c>
      <c r="AN120">
        <v>0</v>
      </c>
      <c r="AO120">
        <v>0</v>
      </c>
      <c r="AP120">
        <v>1</v>
      </c>
      <c r="AQ120">
        <v>0</v>
      </c>
      <c r="AR120">
        <v>0</v>
      </c>
      <c r="AS120">
        <v>0</v>
      </c>
      <c r="AT120">
        <v>0</v>
      </c>
      <c r="AU120">
        <f t="shared" si="2"/>
        <v>1</v>
      </c>
      <c r="AV120">
        <f t="shared" si="3"/>
        <v>0</v>
      </c>
    </row>
    <row r="121" spans="1:48" x14ac:dyDescent="0.25">
      <c r="A121" t="s">
        <v>2576</v>
      </c>
      <c r="C121" t="s">
        <v>2577</v>
      </c>
      <c r="D121" t="s">
        <v>2578</v>
      </c>
      <c r="E121" t="s">
        <v>1663</v>
      </c>
      <c r="F121">
        <v>3</v>
      </c>
      <c r="G121">
        <v>3.1</v>
      </c>
      <c r="H121" t="s">
        <v>2017</v>
      </c>
      <c r="I121" s="21">
        <v>37369</v>
      </c>
      <c r="J121">
        <v>2002</v>
      </c>
      <c r="K121" s="21">
        <v>37399</v>
      </c>
      <c r="L121">
        <v>2002</v>
      </c>
      <c r="M121" s="21">
        <v>37552</v>
      </c>
      <c r="N121">
        <v>2002</v>
      </c>
      <c r="Q121" s="262">
        <v>199334</v>
      </c>
      <c r="S121" t="s">
        <v>114</v>
      </c>
      <c r="T121" t="s">
        <v>114</v>
      </c>
      <c r="W121">
        <v>2352</v>
      </c>
      <c r="X121">
        <v>1</v>
      </c>
      <c r="Y121">
        <v>0</v>
      </c>
      <c r="Z121">
        <v>0</v>
      </c>
      <c r="AA121">
        <v>0</v>
      </c>
      <c r="AB121">
        <v>0</v>
      </c>
      <c r="AC121">
        <v>0</v>
      </c>
      <c r="AD121">
        <v>2352</v>
      </c>
      <c r="AE121">
        <v>0</v>
      </c>
      <c r="AF121">
        <v>0</v>
      </c>
      <c r="AG121">
        <v>0</v>
      </c>
      <c r="AH121">
        <v>0</v>
      </c>
      <c r="AI121">
        <v>0</v>
      </c>
      <c r="AJ121">
        <v>0</v>
      </c>
      <c r="AK121">
        <v>0</v>
      </c>
      <c r="AL121">
        <v>0</v>
      </c>
      <c r="AM121">
        <v>0</v>
      </c>
      <c r="AN121">
        <v>0</v>
      </c>
      <c r="AO121">
        <v>0</v>
      </c>
      <c r="AP121">
        <v>1</v>
      </c>
      <c r="AQ121">
        <v>0</v>
      </c>
      <c r="AR121">
        <v>0</v>
      </c>
      <c r="AS121">
        <v>0</v>
      </c>
      <c r="AT121">
        <v>0</v>
      </c>
      <c r="AU121">
        <f t="shared" si="2"/>
        <v>1</v>
      </c>
      <c r="AV121">
        <f t="shared" si="3"/>
        <v>0</v>
      </c>
    </row>
    <row r="122" spans="1:48" x14ac:dyDescent="0.25">
      <c r="A122" t="s">
        <v>2579</v>
      </c>
      <c r="C122" t="s">
        <v>2580</v>
      </c>
      <c r="D122" t="s">
        <v>2581</v>
      </c>
      <c r="E122" t="s">
        <v>1663</v>
      </c>
      <c r="F122">
        <v>3</v>
      </c>
      <c r="G122">
        <v>3.1</v>
      </c>
      <c r="H122" t="s">
        <v>2017</v>
      </c>
      <c r="I122" s="21">
        <v>37369</v>
      </c>
      <c r="J122">
        <v>2002</v>
      </c>
      <c r="K122" s="21">
        <v>37399</v>
      </c>
      <c r="L122">
        <v>2002</v>
      </c>
      <c r="M122" s="21">
        <v>37552</v>
      </c>
      <c r="N122">
        <v>2002</v>
      </c>
      <c r="Q122" s="262">
        <v>0</v>
      </c>
      <c r="S122" t="s">
        <v>114</v>
      </c>
      <c r="T122" t="s">
        <v>114</v>
      </c>
      <c r="W122">
        <v>2352</v>
      </c>
      <c r="X122">
        <v>1</v>
      </c>
      <c r="Y122">
        <v>0</v>
      </c>
      <c r="Z122">
        <v>0</v>
      </c>
      <c r="AA122">
        <v>0</v>
      </c>
      <c r="AB122">
        <v>0</v>
      </c>
      <c r="AC122">
        <v>0</v>
      </c>
      <c r="AD122">
        <v>2352</v>
      </c>
      <c r="AE122">
        <v>0</v>
      </c>
      <c r="AF122">
        <v>0</v>
      </c>
      <c r="AG122">
        <v>0</v>
      </c>
      <c r="AH122">
        <v>0</v>
      </c>
      <c r="AI122">
        <v>0</v>
      </c>
      <c r="AJ122">
        <v>0</v>
      </c>
      <c r="AK122">
        <v>0</v>
      </c>
      <c r="AL122">
        <v>0</v>
      </c>
      <c r="AM122">
        <v>0</v>
      </c>
      <c r="AN122">
        <v>0</v>
      </c>
      <c r="AO122">
        <v>0</v>
      </c>
      <c r="AP122">
        <v>1</v>
      </c>
      <c r="AQ122">
        <v>0</v>
      </c>
      <c r="AR122">
        <v>0</v>
      </c>
      <c r="AS122">
        <v>0</v>
      </c>
      <c r="AT122">
        <v>0</v>
      </c>
      <c r="AU122">
        <f t="shared" si="2"/>
        <v>1</v>
      </c>
      <c r="AV122">
        <f t="shared" si="3"/>
        <v>0</v>
      </c>
    </row>
    <row r="123" spans="1:48" x14ac:dyDescent="0.25">
      <c r="A123" t="s">
        <v>2588</v>
      </c>
      <c r="C123" t="s">
        <v>2589</v>
      </c>
      <c r="D123" t="s">
        <v>2590</v>
      </c>
      <c r="E123" t="s">
        <v>2310</v>
      </c>
      <c r="F123">
        <v>10</v>
      </c>
      <c r="G123">
        <v>10.1</v>
      </c>
      <c r="H123" t="s">
        <v>2323</v>
      </c>
      <c r="I123" s="21">
        <v>37371</v>
      </c>
      <c r="J123">
        <v>2002</v>
      </c>
      <c r="K123" s="21">
        <v>37506</v>
      </c>
      <c r="L123">
        <v>2002</v>
      </c>
      <c r="M123" s="21">
        <v>38261</v>
      </c>
      <c r="N123">
        <v>2004</v>
      </c>
      <c r="R123" s="262">
        <v>540000</v>
      </c>
      <c r="S123" t="s">
        <v>114</v>
      </c>
      <c r="T123" t="s">
        <v>114</v>
      </c>
      <c r="U123">
        <v>5</v>
      </c>
      <c r="W123">
        <v>4067</v>
      </c>
      <c r="X123">
        <v>1</v>
      </c>
      <c r="Y123">
        <v>0</v>
      </c>
      <c r="Z123">
        <v>0</v>
      </c>
      <c r="AA123">
        <v>0</v>
      </c>
      <c r="AB123">
        <v>0</v>
      </c>
      <c r="AC123">
        <v>4067</v>
      </c>
      <c r="AD123">
        <v>0</v>
      </c>
      <c r="AE123">
        <v>0</v>
      </c>
      <c r="AF123">
        <v>0</v>
      </c>
      <c r="AG123">
        <v>0</v>
      </c>
      <c r="AH123">
        <v>0</v>
      </c>
      <c r="AI123">
        <v>0</v>
      </c>
      <c r="AJ123">
        <v>0</v>
      </c>
      <c r="AK123">
        <v>0</v>
      </c>
      <c r="AL123">
        <v>0</v>
      </c>
      <c r="AM123">
        <v>0</v>
      </c>
      <c r="AN123">
        <v>0</v>
      </c>
      <c r="AO123">
        <v>1</v>
      </c>
      <c r="AP123">
        <v>0</v>
      </c>
      <c r="AQ123">
        <v>0</v>
      </c>
      <c r="AR123">
        <v>0</v>
      </c>
      <c r="AS123">
        <v>0</v>
      </c>
      <c r="AT123">
        <v>0</v>
      </c>
      <c r="AU123">
        <f t="shared" si="2"/>
        <v>1</v>
      </c>
      <c r="AV123">
        <f t="shared" si="3"/>
        <v>0</v>
      </c>
    </row>
    <row r="124" spans="1:48" x14ac:dyDescent="0.25">
      <c r="A124" t="s">
        <v>2591</v>
      </c>
      <c r="C124" t="s">
        <v>2592</v>
      </c>
      <c r="D124" t="s">
        <v>2593</v>
      </c>
      <c r="E124" t="s">
        <v>2310</v>
      </c>
      <c r="F124">
        <v>9</v>
      </c>
      <c r="G124">
        <v>9.1</v>
      </c>
      <c r="H124" t="s">
        <v>2323</v>
      </c>
      <c r="I124" s="21">
        <v>37372</v>
      </c>
      <c r="J124">
        <v>2002</v>
      </c>
      <c r="K124" s="21">
        <v>37414</v>
      </c>
      <c r="L124">
        <v>2002</v>
      </c>
      <c r="M124" s="21">
        <v>37651</v>
      </c>
      <c r="N124">
        <v>2003</v>
      </c>
      <c r="R124" s="262">
        <v>11000</v>
      </c>
      <c r="S124" t="s">
        <v>114</v>
      </c>
      <c r="T124" t="s">
        <v>114</v>
      </c>
      <c r="U124">
        <v>8</v>
      </c>
      <c r="W124">
        <v>0</v>
      </c>
      <c r="X124">
        <v>1</v>
      </c>
      <c r="Y124">
        <v>0</v>
      </c>
      <c r="Z124">
        <v>0</v>
      </c>
      <c r="AA124">
        <v>0</v>
      </c>
      <c r="AB124">
        <v>0</v>
      </c>
      <c r="AC124">
        <v>-650</v>
      </c>
      <c r="AD124">
        <v>0</v>
      </c>
      <c r="AE124">
        <v>0</v>
      </c>
      <c r="AF124">
        <v>650</v>
      </c>
      <c r="AG124">
        <v>0</v>
      </c>
      <c r="AH124">
        <v>0</v>
      </c>
      <c r="AI124">
        <v>0</v>
      </c>
      <c r="AJ124">
        <v>0</v>
      </c>
      <c r="AK124">
        <v>0</v>
      </c>
      <c r="AL124">
        <v>0</v>
      </c>
      <c r="AM124">
        <v>0</v>
      </c>
      <c r="AN124">
        <v>0</v>
      </c>
      <c r="AO124">
        <v>0</v>
      </c>
      <c r="AP124">
        <v>0</v>
      </c>
      <c r="AQ124">
        <v>0</v>
      </c>
      <c r="AR124">
        <v>1</v>
      </c>
      <c r="AS124">
        <v>0</v>
      </c>
      <c r="AT124">
        <v>0</v>
      </c>
      <c r="AU124">
        <f t="shared" si="2"/>
        <v>0</v>
      </c>
      <c r="AV124">
        <f t="shared" si="3"/>
        <v>0</v>
      </c>
    </row>
    <row r="125" spans="1:48" x14ac:dyDescent="0.25">
      <c r="A125" t="s">
        <v>2594</v>
      </c>
      <c r="C125" t="s">
        <v>2595</v>
      </c>
      <c r="D125" t="s">
        <v>2596</v>
      </c>
      <c r="E125" t="s">
        <v>2310</v>
      </c>
      <c r="F125">
        <v>12</v>
      </c>
      <c r="G125">
        <v>12.2</v>
      </c>
      <c r="H125" t="s">
        <v>2017</v>
      </c>
      <c r="I125" s="21">
        <v>37372</v>
      </c>
      <c r="J125">
        <v>2002</v>
      </c>
      <c r="K125" s="21">
        <v>37809</v>
      </c>
      <c r="L125">
        <v>2003</v>
      </c>
      <c r="M125" s="21">
        <v>37957</v>
      </c>
      <c r="N125">
        <v>2003</v>
      </c>
      <c r="R125" s="262">
        <v>60000</v>
      </c>
      <c r="S125" t="s">
        <v>114</v>
      </c>
      <c r="T125" t="s">
        <v>114</v>
      </c>
      <c r="U125">
        <v>5</v>
      </c>
      <c r="W125">
        <v>1320</v>
      </c>
      <c r="X125">
        <v>0</v>
      </c>
      <c r="Y125">
        <v>0</v>
      </c>
      <c r="Z125">
        <v>0</v>
      </c>
      <c r="AA125">
        <v>0</v>
      </c>
      <c r="AB125">
        <v>0</v>
      </c>
      <c r="AC125">
        <v>1320</v>
      </c>
      <c r="AD125">
        <v>0</v>
      </c>
      <c r="AE125">
        <v>0</v>
      </c>
      <c r="AF125">
        <v>0</v>
      </c>
      <c r="AG125">
        <v>0</v>
      </c>
      <c r="AH125">
        <v>0</v>
      </c>
      <c r="AI125">
        <v>0</v>
      </c>
      <c r="AJ125">
        <v>0</v>
      </c>
      <c r="AK125">
        <v>0</v>
      </c>
      <c r="AL125">
        <v>0</v>
      </c>
      <c r="AM125">
        <v>0</v>
      </c>
      <c r="AN125">
        <v>0</v>
      </c>
      <c r="AO125">
        <v>0</v>
      </c>
      <c r="AP125">
        <v>0</v>
      </c>
      <c r="AQ125">
        <v>0</v>
      </c>
      <c r="AR125">
        <v>0</v>
      </c>
      <c r="AS125">
        <v>0</v>
      </c>
      <c r="AT125">
        <v>0</v>
      </c>
      <c r="AU125">
        <f t="shared" si="2"/>
        <v>0</v>
      </c>
      <c r="AV125">
        <f t="shared" si="3"/>
        <v>0</v>
      </c>
    </row>
    <row r="126" spans="1:48" x14ac:dyDescent="0.25">
      <c r="A126" t="s">
        <v>2597</v>
      </c>
      <c r="C126" t="s">
        <v>2598</v>
      </c>
      <c r="D126" t="s">
        <v>2599</v>
      </c>
      <c r="E126" t="s">
        <v>2310</v>
      </c>
      <c r="F126">
        <v>13</v>
      </c>
      <c r="G126">
        <v>13.1</v>
      </c>
      <c r="H126" t="s">
        <v>2327</v>
      </c>
      <c r="I126" s="21">
        <v>37372</v>
      </c>
      <c r="J126">
        <v>2002</v>
      </c>
      <c r="K126" s="21">
        <v>37399</v>
      </c>
      <c r="L126">
        <v>2002</v>
      </c>
      <c r="M126" s="21">
        <v>37645</v>
      </c>
      <c r="N126">
        <v>2003</v>
      </c>
      <c r="R126" s="262">
        <v>102000</v>
      </c>
      <c r="S126" t="s">
        <v>114</v>
      </c>
      <c r="T126" t="s">
        <v>114</v>
      </c>
      <c r="U126">
        <v>12</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f t="shared" si="2"/>
        <v>0</v>
      </c>
      <c r="AV126">
        <f t="shared" si="3"/>
        <v>0</v>
      </c>
    </row>
    <row r="127" spans="1:48" x14ac:dyDescent="0.25">
      <c r="A127" t="s">
        <v>2600</v>
      </c>
      <c r="C127" t="s">
        <v>2601</v>
      </c>
      <c r="D127" t="s">
        <v>2602</v>
      </c>
      <c r="E127" t="s">
        <v>2310</v>
      </c>
      <c r="F127">
        <v>8</v>
      </c>
      <c r="G127">
        <v>8.1</v>
      </c>
      <c r="H127" t="s">
        <v>2323</v>
      </c>
      <c r="I127" s="21">
        <v>37372</v>
      </c>
      <c r="J127">
        <v>2002</v>
      </c>
      <c r="K127" s="21">
        <v>37403</v>
      </c>
      <c r="L127">
        <v>2002</v>
      </c>
      <c r="M127" s="21">
        <v>37403</v>
      </c>
      <c r="N127">
        <v>2002</v>
      </c>
      <c r="R127" s="262">
        <v>10000</v>
      </c>
      <c r="S127" t="s">
        <v>114</v>
      </c>
      <c r="T127" t="s">
        <v>114</v>
      </c>
      <c r="U127">
        <v>5</v>
      </c>
      <c r="W127">
        <v>468</v>
      </c>
      <c r="X127">
        <v>0</v>
      </c>
      <c r="Y127">
        <v>0</v>
      </c>
      <c r="Z127">
        <v>0</v>
      </c>
      <c r="AA127">
        <v>0</v>
      </c>
      <c r="AB127">
        <v>0</v>
      </c>
      <c r="AC127">
        <v>468</v>
      </c>
      <c r="AD127">
        <v>0</v>
      </c>
      <c r="AE127">
        <v>0</v>
      </c>
      <c r="AF127">
        <v>0</v>
      </c>
      <c r="AG127">
        <v>0</v>
      </c>
      <c r="AH127">
        <v>0</v>
      </c>
      <c r="AI127">
        <v>0</v>
      </c>
      <c r="AJ127">
        <v>0</v>
      </c>
      <c r="AK127">
        <v>0</v>
      </c>
      <c r="AL127">
        <v>0</v>
      </c>
      <c r="AM127">
        <v>0</v>
      </c>
      <c r="AN127">
        <v>0</v>
      </c>
      <c r="AO127">
        <v>0</v>
      </c>
      <c r="AP127">
        <v>0</v>
      </c>
      <c r="AQ127">
        <v>0</v>
      </c>
      <c r="AR127">
        <v>0</v>
      </c>
      <c r="AS127">
        <v>0</v>
      </c>
      <c r="AT127">
        <v>0</v>
      </c>
      <c r="AU127">
        <f t="shared" si="2"/>
        <v>0</v>
      </c>
      <c r="AV127">
        <f t="shared" si="3"/>
        <v>0</v>
      </c>
    </row>
    <row r="128" spans="1:48" x14ac:dyDescent="0.25">
      <c r="A128" t="s">
        <v>2603</v>
      </c>
      <c r="C128" t="s">
        <v>2604</v>
      </c>
      <c r="D128" t="s">
        <v>2605</v>
      </c>
      <c r="E128" t="s">
        <v>2310</v>
      </c>
      <c r="F128">
        <v>8</v>
      </c>
      <c r="G128">
        <v>8.1</v>
      </c>
      <c r="H128" t="s">
        <v>2323</v>
      </c>
      <c r="I128" s="21">
        <v>37375</v>
      </c>
      <c r="J128">
        <v>2002</v>
      </c>
      <c r="K128" s="21">
        <v>37403</v>
      </c>
      <c r="L128">
        <v>2002</v>
      </c>
      <c r="M128" s="21">
        <v>37403</v>
      </c>
      <c r="N128">
        <v>2002</v>
      </c>
      <c r="R128" s="262">
        <v>75000</v>
      </c>
      <c r="S128" t="s">
        <v>114</v>
      </c>
      <c r="T128" t="s">
        <v>114</v>
      </c>
      <c r="U128">
        <v>5</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f t="shared" si="2"/>
        <v>0</v>
      </c>
      <c r="AV128">
        <f t="shared" si="3"/>
        <v>0</v>
      </c>
    </row>
    <row r="129" spans="1:48" x14ac:dyDescent="0.25">
      <c r="A129" t="s">
        <v>2606</v>
      </c>
      <c r="C129" t="s">
        <v>2607</v>
      </c>
      <c r="D129" t="s">
        <v>2608</v>
      </c>
      <c r="E129" t="s">
        <v>2310</v>
      </c>
      <c r="F129">
        <v>13</v>
      </c>
      <c r="G129">
        <v>13.2</v>
      </c>
      <c r="H129" t="s">
        <v>2327</v>
      </c>
      <c r="I129" s="21">
        <v>37375</v>
      </c>
      <c r="J129">
        <v>2002</v>
      </c>
      <c r="K129" s="21">
        <v>37400</v>
      </c>
      <c r="L129">
        <v>2002</v>
      </c>
      <c r="M129" s="21">
        <v>37400</v>
      </c>
      <c r="N129">
        <v>2002</v>
      </c>
      <c r="R129" s="262">
        <v>24000</v>
      </c>
      <c r="S129" t="s">
        <v>114</v>
      </c>
      <c r="T129" t="s">
        <v>114</v>
      </c>
      <c r="U129">
        <v>5</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f t="shared" si="2"/>
        <v>0</v>
      </c>
      <c r="AV129">
        <f t="shared" si="3"/>
        <v>0</v>
      </c>
    </row>
    <row r="130" spans="1:48" x14ac:dyDescent="0.25">
      <c r="A130" t="s">
        <v>2612</v>
      </c>
      <c r="C130" t="s">
        <v>2613</v>
      </c>
      <c r="D130" t="s">
        <v>2614</v>
      </c>
      <c r="E130" t="s">
        <v>2310</v>
      </c>
      <c r="F130">
        <v>8</v>
      </c>
      <c r="G130">
        <v>8.1</v>
      </c>
      <c r="H130" t="s">
        <v>2323</v>
      </c>
      <c r="I130" s="21">
        <v>37376</v>
      </c>
      <c r="J130">
        <v>2002</v>
      </c>
      <c r="K130" s="21">
        <v>37403</v>
      </c>
      <c r="L130">
        <v>2002</v>
      </c>
      <c r="M130" s="21">
        <v>37928</v>
      </c>
      <c r="N130">
        <v>2003</v>
      </c>
      <c r="R130" s="262">
        <v>400000</v>
      </c>
      <c r="S130" t="s">
        <v>114</v>
      </c>
      <c r="T130" t="s">
        <v>114</v>
      </c>
      <c r="U130">
        <v>5</v>
      </c>
      <c r="W130">
        <v>2753</v>
      </c>
      <c r="X130">
        <v>1</v>
      </c>
      <c r="Y130">
        <v>0</v>
      </c>
      <c r="Z130">
        <v>0</v>
      </c>
      <c r="AA130">
        <v>0</v>
      </c>
      <c r="AB130">
        <v>0</v>
      </c>
      <c r="AC130">
        <v>2753</v>
      </c>
      <c r="AD130">
        <v>0</v>
      </c>
      <c r="AE130">
        <v>0</v>
      </c>
      <c r="AF130">
        <v>0</v>
      </c>
      <c r="AG130">
        <v>0</v>
      </c>
      <c r="AH130">
        <v>0</v>
      </c>
      <c r="AI130">
        <v>0</v>
      </c>
      <c r="AJ130">
        <v>0</v>
      </c>
      <c r="AK130">
        <v>0</v>
      </c>
      <c r="AL130">
        <v>0</v>
      </c>
      <c r="AM130">
        <v>0</v>
      </c>
      <c r="AN130">
        <v>0</v>
      </c>
      <c r="AO130">
        <v>1</v>
      </c>
      <c r="AP130">
        <v>0</v>
      </c>
      <c r="AQ130">
        <v>0</v>
      </c>
      <c r="AR130">
        <v>0</v>
      </c>
      <c r="AS130">
        <v>0</v>
      </c>
      <c r="AT130">
        <v>0</v>
      </c>
      <c r="AU130">
        <f t="shared" si="2"/>
        <v>1</v>
      </c>
      <c r="AV130">
        <f t="shared" si="3"/>
        <v>0</v>
      </c>
    </row>
    <row r="131" spans="1:48" x14ac:dyDescent="0.25">
      <c r="A131" t="s">
        <v>2615</v>
      </c>
      <c r="C131" t="s">
        <v>2616</v>
      </c>
      <c r="D131" t="s">
        <v>2617</v>
      </c>
      <c r="E131" t="s">
        <v>2310</v>
      </c>
      <c r="F131">
        <v>5</v>
      </c>
      <c r="G131">
        <v>5.5</v>
      </c>
      <c r="H131" t="s">
        <v>2017</v>
      </c>
      <c r="I131" s="21">
        <v>37376</v>
      </c>
      <c r="J131">
        <v>2002</v>
      </c>
      <c r="K131" s="21">
        <v>37403</v>
      </c>
      <c r="L131">
        <v>2002</v>
      </c>
      <c r="M131" s="21">
        <v>37403</v>
      </c>
      <c r="N131">
        <v>2002</v>
      </c>
      <c r="R131" s="262">
        <v>16000</v>
      </c>
      <c r="S131" t="s">
        <v>114</v>
      </c>
      <c r="T131" t="s">
        <v>114</v>
      </c>
      <c r="U131">
        <v>5</v>
      </c>
      <c r="W131">
        <v>100</v>
      </c>
      <c r="X131">
        <v>0</v>
      </c>
      <c r="Y131">
        <v>0</v>
      </c>
      <c r="Z131">
        <v>0</v>
      </c>
      <c r="AA131">
        <v>0</v>
      </c>
      <c r="AB131">
        <v>0</v>
      </c>
      <c r="AC131">
        <v>100</v>
      </c>
      <c r="AD131">
        <v>0</v>
      </c>
      <c r="AE131">
        <v>0</v>
      </c>
      <c r="AF131">
        <v>0</v>
      </c>
      <c r="AG131">
        <v>0</v>
      </c>
      <c r="AH131">
        <v>0</v>
      </c>
      <c r="AI131">
        <v>0</v>
      </c>
      <c r="AJ131">
        <v>0</v>
      </c>
      <c r="AK131">
        <v>0</v>
      </c>
      <c r="AL131">
        <v>0</v>
      </c>
      <c r="AM131">
        <v>0</v>
      </c>
      <c r="AN131">
        <v>0</v>
      </c>
      <c r="AO131">
        <v>0</v>
      </c>
      <c r="AP131">
        <v>0</v>
      </c>
      <c r="AQ131">
        <v>0</v>
      </c>
      <c r="AR131">
        <v>0</v>
      </c>
      <c r="AS131">
        <v>0</v>
      </c>
      <c r="AT131">
        <v>0</v>
      </c>
      <c r="AU131">
        <f t="shared" si="2"/>
        <v>0</v>
      </c>
      <c r="AV131">
        <f t="shared" si="3"/>
        <v>0</v>
      </c>
    </row>
    <row r="132" spans="1:48" x14ac:dyDescent="0.25">
      <c r="A132" t="s">
        <v>2609</v>
      </c>
      <c r="C132" t="s">
        <v>2610</v>
      </c>
      <c r="D132" t="s">
        <v>2611</v>
      </c>
      <c r="E132" t="s">
        <v>1663</v>
      </c>
      <c r="F132">
        <v>5</v>
      </c>
      <c r="G132">
        <v>5.5</v>
      </c>
      <c r="H132" t="s">
        <v>2017</v>
      </c>
      <c r="I132" s="21">
        <v>37376</v>
      </c>
      <c r="J132">
        <v>2002</v>
      </c>
      <c r="K132" s="21">
        <v>37406</v>
      </c>
      <c r="L132">
        <v>2002</v>
      </c>
      <c r="M132" s="21">
        <v>37559</v>
      </c>
      <c r="N132">
        <v>2002</v>
      </c>
      <c r="Q132" s="262">
        <v>166496</v>
      </c>
      <c r="S132" t="s">
        <v>114</v>
      </c>
      <c r="T132" t="s">
        <v>114</v>
      </c>
      <c r="W132">
        <v>2480</v>
      </c>
      <c r="X132">
        <v>1</v>
      </c>
      <c r="Y132">
        <v>0</v>
      </c>
      <c r="Z132">
        <v>0</v>
      </c>
      <c r="AA132">
        <v>0</v>
      </c>
      <c r="AB132">
        <v>0</v>
      </c>
      <c r="AC132">
        <v>2480</v>
      </c>
      <c r="AD132">
        <v>0</v>
      </c>
      <c r="AE132">
        <v>0</v>
      </c>
      <c r="AF132">
        <v>0</v>
      </c>
      <c r="AG132">
        <v>0</v>
      </c>
      <c r="AH132">
        <v>0</v>
      </c>
      <c r="AI132">
        <v>0</v>
      </c>
      <c r="AJ132">
        <v>0</v>
      </c>
      <c r="AK132">
        <v>0</v>
      </c>
      <c r="AL132">
        <v>0</v>
      </c>
      <c r="AM132">
        <v>0</v>
      </c>
      <c r="AN132">
        <v>0</v>
      </c>
      <c r="AO132">
        <v>1</v>
      </c>
      <c r="AP132">
        <v>0</v>
      </c>
      <c r="AQ132">
        <v>0</v>
      </c>
      <c r="AR132">
        <v>0</v>
      </c>
      <c r="AS132">
        <v>0</v>
      </c>
      <c r="AT132">
        <v>0</v>
      </c>
      <c r="AU132">
        <f t="shared" si="2"/>
        <v>1</v>
      </c>
      <c r="AV132">
        <f t="shared" si="3"/>
        <v>0</v>
      </c>
    </row>
    <row r="133" spans="1:48" x14ac:dyDescent="0.25">
      <c r="A133" t="s">
        <v>2624</v>
      </c>
      <c r="C133" t="s">
        <v>2625</v>
      </c>
      <c r="D133" t="s">
        <v>2626</v>
      </c>
      <c r="E133" t="s">
        <v>2310</v>
      </c>
      <c r="F133">
        <v>15</v>
      </c>
      <c r="G133">
        <v>15.2</v>
      </c>
      <c r="H133" t="s">
        <v>2323</v>
      </c>
      <c r="I133" s="21">
        <v>37377</v>
      </c>
      <c r="J133">
        <v>2002</v>
      </c>
      <c r="K133" s="21">
        <v>37403</v>
      </c>
      <c r="L133">
        <v>2002</v>
      </c>
      <c r="M133" s="21">
        <v>37403</v>
      </c>
      <c r="N133">
        <v>2002</v>
      </c>
      <c r="R133" s="262">
        <v>255000</v>
      </c>
      <c r="S133" t="s">
        <v>114</v>
      </c>
      <c r="T133" t="s">
        <v>114</v>
      </c>
      <c r="U133">
        <v>5</v>
      </c>
      <c r="W133">
        <v>1750</v>
      </c>
      <c r="X133">
        <v>1</v>
      </c>
      <c r="Y133">
        <v>0</v>
      </c>
      <c r="Z133">
        <v>0</v>
      </c>
      <c r="AA133">
        <v>0</v>
      </c>
      <c r="AB133">
        <v>0</v>
      </c>
      <c r="AC133">
        <v>1750</v>
      </c>
      <c r="AD133">
        <v>0</v>
      </c>
      <c r="AE133">
        <v>0</v>
      </c>
      <c r="AF133">
        <v>0</v>
      </c>
      <c r="AG133">
        <v>0</v>
      </c>
      <c r="AH133">
        <v>0</v>
      </c>
      <c r="AI133">
        <v>0</v>
      </c>
      <c r="AJ133">
        <v>0</v>
      </c>
      <c r="AK133">
        <v>0</v>
      </c>
      <c r="AL133">
        <v>0</v>
      </c>
      <c r="AM133">
        <v>0</v>
      </c>
      <c r="AN133">
        <v>0</v>
      </c>
      <c r="AO133">
        <v>1</v>
      </c>
      <c r="AP133">
        <v>0</v>
      </c>
      <c r="AQ133">
        <v>0</v>
      </c>
      <c r="AR133">
        <v>0</v>
      </c>
      <c r="AS133">
        <v>0</v>
      </c>
      <c r="AT133">
        <v>0</v>
      </c>
      <c r="AU133">
        <f t="shared" si="2"/>
        <v>1</v>
      </c>
      <c r="AV133">
        <f t="shared" si="3"/>
        <v>0</v>
      </c>
    </row>
    <row r="134" spans="1:48" x14ac:dyDescent="0.25">
      <c r="A134" t="s">
        <v>2627</v>
      </c>
      <c r="C134" t="s">
        <v>2509</v>
      </c>
      <c r="D134" t="s">
        <v>2628</v>
      </c>
      <c r="E134" t="s">
        <v>2310</v>
      </c>
      <c r="F134">
        <v>8</v>
      </c>
      <c r="G134">
        <v>8.1</v>
      </c>
      <c r="H134" t="s">
        <v>2323</v>
      </c>
      <c r="I134" s="21">
        <v>37377</v>
      </c>
      <c r="J134">
        <v>2002</v>
      </c>
      <c r="K134" s="21">
        <v>37404</v>
      </c>
      <c r="L134">
        <v>2002</v>
      </c>
      <c r="M134" s="21">
        <v>37404</v>
      </c>
      <c r="N134">
        <v>2002</v>
      </c>
      <c r="R134" s="262">
        <v>40000</v>
      </c>
      <c r="S134" t="s">
        <v>114</v>
      </c>
      <c r="T134" t="s">
        <v>114</v>
      </c>
      <c r="U134">
        <v>5</v>
      </c>
      <c r="W134">
        <v>353</v>
      </c>
      <c r="X134">
        <v>0</v>
      </c>
      <c r="Y134">
        <v>0</v>
      </c>
      <c r="Z134">
        <v>0</v>
      </c>
      <c r="AA134">
        <v>0</v>
      </c>
      <c r="AB134">
        <v>0</v>
      </c>
      <c r="AC134">
        <v>353</v>
      </c>
      <c r="AD134">
        <v>0</v>
      </c>
      <c r="AE134">
        <v>0</v>
      </c>
      <c r="AF134">
        <v>0</v>
      </c>
      <c r="AG134">
        <v>0</v>
      </c>
      <c r="AH134">
        <v>0</v>
      </c>
      <c r="AI134">
        <v>0</v>
      </c>
      <c r="AJ134">
        <v>0</v>
      </c>
      <c r="AK134">
        <v>0</v>
      </c>
      <c r="AL134">
        <v>0</v>
      </c>
      <c r="AM134">
        <v>0</v>
      </c>
      <c r="AN134">
        <v>0</v>
      </c>
      <c r="AO134">
        <v>0</v>
      </c>
      <c r="AP134">
        <v>0</v>
      </c>
      <c r="AQ134">
        <v>0</v>
      </c>
      <c r="AR134">
        <v>0</v>
      </c>
      <c r="AS134">
        <v>0</v>
      </c>
      <c r="AT134">
        <v>0</v>
      </c>
      <c r="AU134">
        <f t="shared" si="2"/>
        <v>0</v>
      </c>
      <c r="AV134">
        <f t="shared" si="3"/>
        <v>0</v>
      </c>
    </row>
    <row r="135" spans="1:48" x14ac:dyDescent="0.25">
      <c r="A135" t="s">
        <v>2618</v>
      </c>
      <c r="C135" t="s">
        <v>2619</v>
      </c>
      <c r="D135" t="s">
        <v>2620</v>
      </c>
      <c r="E135" t="s">
        <v>1663</v>
      </c>
      <c r="F135">
        <v>4</v>
      </c>
      <c r="G135">
        <v>4.0999999999999996</v>
      </c>
      <c r="H135" t="s">
        <v>2327</v>
      </c>
      <c r="I135" s="21">
        <v>37377</v>
      </c>
      <c r="J135">
        <v>2002</v>
      </c>
      <c r="K135" s="21">
        <v>37408</v>
      </c>
      <c r="L135">
        <v>2002</v>
      </c>
      <c r="M135" s="21">
        <v>37561</v>
      </c>
      <c r="N135">
        <v>2002</v>
      </c>
      <c r="Q135" s="262">
        <v>45000</v>
      </c>
      <c r="S135" t="s">
        <v>114</v>
      </c>
      <c r="T135" t="s">
        <v>114</v>
      </c>
      <c r="W135">
        <v>432</v>
      </c>
      <c r="X135">
        <v>0</v>
      </c>
      <c r="Y135">
        <v>0</v>
      </c>
      <c r="Z135">
        <v>0</v>
      </c>
      <c r="AA135">
        <v>0</v>
      </c>
      <c r="AB135">
        <v>0</v>
      </c>
      <c r="AC135">
        <v>0</v>
      </c>
      <c r="AD135">
        <v>0</v>
      </c>
      <c r="AE135">
        <v>0</v>
      </c>
      <c r="AF135">
        <v>0</v>
      </c>
      <c r="AG135">
        <v>0</v>
      </c>
      <c r="AH135">
        <v>0</v>
      </c>
      <c r="AI135">
        <v>0</v>
      </c>
      <c r="AJ135">
        <v>0</v>
      </c>
      <c r="AK135">
        <v>432</v>
      </c>
      <c r="AL135">
        <v>0</v>
      </c>
      <c r="AM135">
        <v>0</v>
      </c>
      <c r="AN135">
        <v>0</v>
      </c>
      <c r="AO135">
        <v>0</v>
      </c>
      <c r="AP135">
        <v>0</v>
      </c>
      <c r="AQ135">
        <v>0</v>
      </c>
      <c r="AR135">
        <v>0</v>
      </c>
      <c r="AS135">
        <v>0</v>
      </c>
      <c r="AT135">
        <v>0</v>
      </c>
      <c r="AU135">
        <f t="shared" si="2"/>
        <v>0</v>
      </c>
      <c r="AV135">
        <f t="shared" si="3"/>
        <v>432</v>
      </c>
    </row>
    <row r="136" spans="1:48" x14ac:dyDescent="0.25">
      <c r="A136" t="s">
        <v>2621</v>
      </c>
      <c r="C136" t="s">
        <v>2622</v>
      </c>
      <c r="D136" t="s">
        <v>2623</v>
      </c>
      <c r="E136" t="s">
        <v>1663</v>
      </c>
      <c r="F136">
        <v>3</v>
      </c>
      <c r="G136">
        <v>3.2</v>
      </c>
      <c r="H136" t="s">
        <v>2327</v>
      </c>
      <c r="I136" s="21">
        <v>37377</v>
      </c>
      <c r="J136">
        <v>2002</v>
      </c>
      <c r="K136" s="21">
        <v>37408</v>
      </c>
      <c r="L136">
        <v>2002</v>
      </c>
      <c r="M136" s="21">
        <v>37561</v>
      </c>
      <c r="N136">
        <v>2002</v>
      </c>
      <c r="Q136" s="262">
        <v>93070</v>
      </c>
      <c r="S136" t="s">
        <v>114</v>
      </c>
      <c r="T136" t="s">
        <v>114</v>
      </c>
      <c r="W136">
        <v>1135</v>
      </c>
      <c r="X136">
        <v>0</v>
      </c>
      <c r="Y136">
        <v>0</v>
      </c>
      <c r="Z136">
        <v>0</v>
      </c>
      <c r="AA136">
        <v>0</v>
      </c>
      <c r="AB136">
        <v>0</v>
      </c>
      <c r="AC136">
        <v>1135</v>
      </c>
      <c r="AD136">
        <v>0</v>
      </c>
      <c r="AE136">
        <v>0</v>
      </c>
      <c r="AF136">
        <v>0</v>
      </c>
      <c r="AG136">
        <v>0</v>
      </c>
      <c r="AH136">
        <v>0</v>
      </c>
      <c r="AI136">
        <v>0</v>
      </c>
      <c r="AJ136">
        <v>0</v>
      </c>
      <c r="AK136">
        <v>0</v>
      </c>
      <c r="AL136">
        <v>0</v>
      </c>
      <c r="AM136">
        <v>0</v>
      </c>
      <c r="AN136">
        <v>0</v>
      </c>
      <c r="AO136">
        <v>0</v>
      </c>
      <c r="AP136">
        <v>0</v>
      </c>
      <c r="AQ136">
        <v>0</v>
      </c>
      <c r="AR136">
        <v>0</v>
      </c>
      <c r="AS136">
        <v>0</v>
      </c>
      <c r="AT136">
        <v>0</v>
      </c>
      <c r="AU136">
        <f t="shared" si="2"/>
        <v>0</v>
      </c>
      <c r="AV136">
        <f t="shared" si="3"/>
        <v>0</v>
      </c>
    </row>
    <row r="137" spans="1:48" x14ac:dyDescent="0.25">
      <c r="A137" t="s">
        <v>2629</v>
      </c>
      <c r="C137" t="s">
        <v>2630</v>
      </c>
      <c r="D137" t="s">
        <v>2631</v>
      </c>
      <c r="E137" t="s">
        <v>2310</v>
      </c>
      <c r="F137">
        <v>15</v>
      </c>
      <c r="G137">
        <v>15.3</v>
      </c>
      <c r="H137" t="s">
        <v>2022</v>
      </c>
      <c r="I137" s="21">
        <v>37378</v>
      </c>
      <c r="J137">
        <v>2002</v>
      </c>
      <c r="K137" s="21">
        <v>37421</v>
      </c>
      <c r="L137">
        <v>2002</v>
      </c>
      <c r="M137" s="21">
        <v>37421</v>
      </c>
      <c r="N137">
        <v>2002</v>
      </c>
      <c r="R137" s="262">
        <v>85000</v>
      </c>
      <c r="S137" t="s">
        <v>114</v>
      </c>
      <c r="T137" t="s">
        <v>114</v>
      </c>
      <c r="U137">
        <v>5</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f t="shared" si="2"/>
        <v>0</v>
      </c>
      <c r="AV137">
        <f t="shared" si="3"/>
        <v>0</v>
      </c>
    </row>
    <row r="138" spans="1:48" x14ac:dyDescent="0.25">
      <c r="A138" t="s">
        <v>2632</v>
      </c>
      <c r="C138" t="s">
        <v>2437</v>
      </c>
      <c r="D138" t="s">
        <v>2633</v>
      </c>
      <c r="E138" t="s">
        <v>2310</v>
      </c>
      <c r="F138">
        <v>8</v>
      </c>
      <c r="G138">
        <v>8.1</v>
      </c>
      <c r="H138" t="s">
        <v>2323</v>
      </c>
      <c r="I138" s="21">
        <v>37379</v>
      </c>
      <c r="J138">
        <v>2002</v>
      </c>
      <c r="K138" s="21">
        <v>37404</v>
      </c>
      <c r="L138">
        <v>2002</v>
      </c>
      <c r="M138" s="21">
        <v>38001</v>
      </c>
      <c r="N138">
        <v>2004</v>
      </c>
      <c r="R138" s="262">
        <v>80000</v>
      </c>
      <c r="S138" t="s">
        <v>114</v>
      </c>
      <c r="T138" t="s">
        <v>114</v>
      </c>
      <c r="U138">
        <v>5</v>
      </c>
      <c r="W138">
        <v>1728</v>
      </c>
      <c r="X138">
        <v>0</v>
      </c>
      <c r="Y138">
        <v>0</v>
      </c>
      <c r="Z138">
        <v>0</v>
      </c>
      <c r="AA138">
        <v>0</v>
      </c>
      <c r="AB138">
        <v>0</v>
      </c>
      <c r="AC138">
        <v>1728</v>
      </c>
      <c r="AD138">
        <v>0</v>
      </c>
      <c r="AE138">
        <v>0</v>
      </c>
      <c r="AF138">
        <v>0</v>
      </c>
      <c r="AG138">
        <v>0</v>
      </c>
      <c r="AH138">
        <v>0</v>
      </c>
      <c r="AI138">
        <v>0</v>
      </c>
      <c r="AJ138">
        <v>0</v>
      </c>
      <c r="AK138">
        <v>0</v>
      </c>
      <c r="AL138">
        <v>0</v>
      </c>
      <c r="AM138">
        <v>0</v>
      </c>
      <c r="AN138">
        <v>0</v>
      </c>
      <c r="AO138">
        <v>0</v>
      </c>
      <c r="AP138">
        <v>0</v>
      </c>
      <c r="AQ138">
        <v>0</v>
      </c>
      <c r="AR138">
        <v>0</v>
      </c>
      <c r="AS138">
        <v>0</v>
      </c>
      <c r="AT138">
        <v>0</v>
      </c>
      <c r="AU138">
        <f t="shared" si="2"/>
        <v>0</v>
      </c>
      <c r="AV138">
        <f t="shared" si="3"/>
        <v>0</v>
      </c>
    </row>
    <row r="139" spans="1:48" x14ac:dyDescent="0.25">
      <c r="A139" t="s">
        <v>2634</v>
      </c>
      <c r="C139" t="s">
        <v>2635</v>
      </c>
      <c r="D139" t="s">
        <v>2636</v>
      </c>
      <c r="E139" t="s">
        <v>2310</v>
      </c>
      <c r="F139">
        <v>9</v>
      </c>
      <c r="G139">
        <v>9.1999999999999993</v>
      </c>
      <c r="H139" t="s">
        <v>2022</v>
      </c>
      <c r="I139" s="21">
        <v>37379</v>
      </c>
      <c r="J139">
        <v>2002</v>
      </c>
      <c r="K139" s="21">
        <v>37469</v>
      </c>
      <c r="L139">
        <v>2002</v>
      </c>
      <c r="M139" s="21">
        <v>38230</v>
      </c>
      <c r="N139">
        <v>2004</v>
      </c>
      <c r="R139" s="262">
        <v>600000</v>
      </c>
      <c r="S139" t="s">
        <v>114</v>
      </c>
      <c r="T139" t="s">
        <v>114</v>
      </c>
      <c r="U139">
        <v>5</v>
      </c>
      <c r="W139">
        <v>4774</v>
      </c>
      <c r="X139">
        <v>1</v>
      </c>
      <c r="Y139">
        <v>0</v>
      </c>
      <c r="Z139">
        <v>0</v>
      </c>
      <c r="AA139">
        <v>0</v>
      </c>
      <c r="AB139">
        <v>0</v>
      </c>
      <c r="AC139">
        <v>4774</v>
      </c>
      <c r="AD139">
        <v>0</v>
      </c>
      <c r="AE139">
        <v>0</v>
      </c>
      <c r="AF139">
        <v>0</v>
      </c>
      <c r="AG139">
        <v>0</v>
      </c>
      <c r="AH139">
        <v>0</v>
      </c>
      <c r="AI139">
        <v>0</v>
      </c>
      <c r="AJ139">
        <v>0</v>
      </c>
      <c r="AK139">
        <v>0</v>
      </c>
      <c r="AL139">
        <v>0</v>
      </c>
      <c r="AM139">
        <v>0</v>
      </c>
      <c r="AN139">
        <v>0</v>
      </c>
      <c r="AO139">
        <v>1</v>
      </c>
      <c r="AP139">
        <v>0</v>
      </c>
      <c r="AQ139">
        <v>0</v>
      </c>
      <c r="AR139">
        <v>0</v>
      </c>
      <c r="AS139">
        <v>0</v>
      </c>
      <c r="AT139">
        <v>0</v>
      </c>
      <c r="AU139">
        <f t="shared" si="2"/>
        <v>1</v>
      </c>
      <c r="AV139">
        <f t="shared" si="3"/>
        <v>0</v>
      </c>
    </row>
    <row r="140" spans="1:48" x14ac:dyDescent="0.25">
      <c r="A140" t="s">
        <v>2637</v>
      </c>
      <c r="C140" t="s">
        <v>2638</v>
      </c>
      <c r="D140" t="s">
        <v>2639</v>
      </c>
      <c r="E140" t="s">
        <v>2310</v>
      </c>
      <c r="F140">
        <v>8</v>
      </c>
      <c r="G140">
        <v>8.1999999999999993</v>
      </c>
      <c r="H140" t="s">
        <v>2022</v>
      </c>
      <c r="I140" s="21">
        <v>37379</v>
      </c>
      <c r="J140">
        <v>2002</v>
      </c>
      <c r="K140" s="21">
        <v>37431</v>
      </c>
      <c r="L140">
        <v>2002</v>
      </c>
      <c r="M140" s="21">
        <v>38405</v>
      </c>
      <c r="N140">
        <v>2005</v>
      </c>
      <c r="R140" s="262">
        <v>3300000</v>
      </c>
      <c r="S140" t="s">
        <v>114</v>
      </c>
      <c r="T140" t="s">
        <v>114</v>
      </c>
      <c r="U140">
        <v>5</v>
      </c>
      <c r="W140">
        <v>7526</v>
      </c>
      <c r="X140">
        <v>1</v>
      </c>
      <c r="Y140">
        <v>0</v>
      </c>
      <c r="Z140">
        <v>0</v>
      </c>
      <c r="AA140">
        <v>0</v>
      </c>
      <c r="AB140">
        <v>0</v>
      </c>
      <c r="AC140">
        <v>7526</v>
      </c>
      <c r="AD140">
        <v>0</v>
      </c>
      <c r="AE140">
        <v>0</v>
      </c>
      <c r="AF140">
        <v>0</v>
      </c>
      <c r="AG140">
        <v>0</v>
      </c>
      <c r="AH140">
        <v>0</v>
      </c>
      <c r="AI140">
        <v>0</v>
      </c>
      <c r="AJ140">
        <v>0</v>
      </c>
      <c r="AK140">
        <v>0</v>
      </c>
      <c r="AL140">
        <v>0</v>
      </c>
      <c r="AM140">
        <v>0</v>
      </c>
      <c r="AN140">
        <v>0</v>
      </c>
      <c r="AO140">
        <v>1</v>
      </c>
      <c r="AP140">
        <v>0</v>
      </c>
      <c r="AQ140">
        <v>0</v>
      </c>
      <c r="AR140">
        <v>0</v>
      </c>
      <c r="AS140">
        <v>0</v>
      </c>
      <c r="AT140">
        <v>0</v>
      </c>
      <c r="AU140">
        <f t="shared" si="2"/>
        <v>1</v>
      </c>
      <c r="AV140">
        <f t="shared" si="3"/>
        <v>0</v>
      </c>
    </row>
    <row r="141" spans="1:48" x14ac:dyDescent="0.25">
      <c r="A141" t="s">
        <v>2646</v>
      </c>
      <c r="C141" t="s">
        <v>2486</v>
      </c>
      <c r="D141" t="s">
        <v>2647</v>
      </c>
      <c r="E141" t="s">
        <v>2310</v>
      </c>
      <c r="F141">
        <v>9</v>
      </c>
      <c r="G141">
        <v>9.1</v>
      </c>
      <c r="H141" t="s">
        <v>2323</v>
      </c>
      <c r="I141" s="21">
        <v>37382</v>
      </c>
      <c r="J141">
        <v>2002</v>
      </c>
      <c r="K141" s="21">
        <v>37407</v>
      </c>
      <c r="L141">
        <v>2002</v>
      </c>
      <c r="M141" s="21">
        <v>37407</v>
      </c>
      <c r="N141">
        <v>2002</v>
      </c>
      <c r="R141" s="262">
        <v>350000</v>
      </c>
      <c r="S141" t="s">
        <v>114</v>
      </c>
      <c r="T141" t="s">
        <v>114</v>
      </c>
      <c r="U141">
        <v>5</v>
      </c>
      <c r="W141">
        <v>4233</v>
      </c>
      <c r="X141">
        <v>1</v>
      </c>
      <c r="Y141">
        <v>0</v>
      </c>
      <c r="Z141">
        <v>0</v>
      </c>
      <c r="AA141">
        <v>0</v>
      </c>
      <c r="AB141">
        <v>0</v>
      </c>
      <c r="AC141">
        <v>4233</v>
      </c>
      <c r="AD141">
        <v>0</v>
      </c>
      <c r="AE141">
        <v>0</v>
      </c>
      <c r="AF141">
        <v>0</v>
      </c>
      <c r="AG141">
        <v>0</v>
      </c>
      <c r="AH141">
        <v>0</v>
      </c>
      <c r="AI141">
        <v>0</v>
      </c>
      <c r="AJ141">
        <v>0</v>
      </c>
      <c r="AK141">
        <v>0</v>
      </c>
      <c r="AL141">
        <v>0</v>
      </c>
      <c r="AM141">
        <v>0</v>
      </c>
      <c r="AN141">
        <v>0</v>
      </c>
      <c r="AO141">
        <v>1</v>
      </c>
      <c r="AP141">
        <v>0</v>
      </c>
      <c r="AQ141">
        <v>0</v>
      </c>
      <c r="AR141">
        <v>0</v>
      </c>
      <c r="AS141">
        <v>0</v>
      </c>
      <c r="AT141">
        <v>0</v>
      </c>
      <c r="AU141">
        <f t="shared" si="2"/>
        <v>1</v>
      </c>
      <c r="AV141">
        <f t="shared" si="3"/>
        <v>0</v>
      </c>
    </row>
    <row r="142" spans="1:48" x14ac:dyDescent="0.25">
      <c r="A142" t="s">
        <v>2648</v>
      </c>
      <c r="C142" t="s">
        <v>2486</v>
      </c>
      <c r="D142" t="s">
        <v>2649</v>
      </c>
      <c r="E142" t="s">
        <v>2310</v>
      </c>
      <c r="F142">
        <v>11</v>
      </c>
      <c r="G142">
        <v>11.3</v>
      </c>
      <c r="H142" t="s">
        <v>2017</v>
      </c>
      <c r="I142" s="21">
        <v>37382</v>
      </c>
      <c r="J142">
        <v>2002</v>
      </c>
      <c r="K142" s="21">
        <v>37411</v>
      </c>
      <c r="L142">
        <v>2002</v>
      </c>
      <c r="M142" s="21">
        <v>37411</v>
      </c>
      <c r="N142">
        <v>2002</v>
      </c>
      <c r="R142" s="262">
        <v>276000</v>
      </c>
      <c r="S142" t="s">
        <v>114</v>
      </c>
      <c r="T142" t="s">
        <v>114</v>
      </c>
      <c r="U142">
        <v>5</v>
      </c>
      <c r="W142">
        <v>2981</v>
      </c>
      <c r="X142">
        <v>1</v>
      </c>
      <c r="Y142">
        <v>0</v>
      </c>
      <c r="Z142">
        <v>0</v>
      </c>
      <c r="AA142">
        <v>0</v>
      </c>
      <c r="AB142">
        <v>0</v>
      </c>
      <c r="AC142">
        <v>2981</v>
      </c>
      <c r="AD142">
        <v>0</v>
      </c>
      <c r="AE142">
        <v>0</v>
      </c>
      <c r="AF142">
        <v>0</v>
      </c>
      <c r="AG142">
        <v>0</v>
      </c>
      <c r="AH142">
        <v>0</v>
      </c>
      <c r="AI142">
        <v>0</v>
      </c>
      <c r="AJ142">
        <v>0</v>
      </c>
      <c r="AK142">
        <v>0</v>
      </c>
      <c r="AL142">
        <v>0</v>
      </c>
      <c r="AM142">
        <v>0</v>
      </c>
      <c r="AN142">
        <v>0</v>
      </c>
      <c r="AO142">
        <v>1</v>
      </c>
      <c r="AP142">
        <v>0</v>
      </c>
      <c r="AQ142">
        <v>0</v>
      </c>
      <c r="AR142">
        <v>0</v>
      </c>
      <c r="AS142">
        <v>0</v>
      </c>
      <c r="AT142">
        <v>0</v>
      </c>
      <c r="AU142">
        <f t="shared" si="2"/>
        <v>1</v>
      </c>
      <c r="AV142">
        <f t="shared" si="3"/>
        <v>0</v>
      </c>
    </row>
    <row r="143" spans="1:48" x14ac:dyDescent="0.25">
      <c r="A143" t="s">
        <v>2650</v>
      </c>
      <c r="C143" t="s">
        <v>2651</v>
      </c>
      <c r="D143" t="s">
        <v>2652</v>
      </c>
      <c r="E143" t="s">
        <v>2310</v>
      </c>
      <c r="F143">
        <v>15</v>
      </c>
      <c r="G143">
        <v>15.2</v>
      </c>
      <c r="H143" t="s">
        <v>2323</v>
      </c>
      <c r="I143" s="21">
        <v>37382</v>
      </c>
      <c r="J143">
        <v>2002</v>
      </c>
      <c r="K143" s="21">
        <v>37545</v>
      </c>
      <c r="L143">
        <v>2002</v>
      </c>
      <c r="M143" s="21">
        <v>37545</v>
      </c>
      <c r="N143">
        <v>2002</v>
      </c>
      <c r="R143" s="262">
        <v>70000</v>
      </c>
      <c r="S143" t="s">
        <v>114</v>
      </c>
      <c r="T143" t="s">
        <v>114</v>
      </c>
      <c r="U143">
        <v>5</v>
      </c>
      <c r="W143">
        <v>1110</v>
      </c>
      <c r="X143">
        <v>0</v>
      </c>
      <c r="Y143">
        <v>0</v>
      </c>
      <c r="Z143">
        <v>0</v>
      </c>
      <c r="AA143">
        <v>0</v>
      </c>
      <c r="AB143">
        <v>0</v>
      </c>
      <c r="AC143">
        <v>1110</v>
      </c>
      <c r="AD143">
        <v>0</v>
      </c>
      <c r="AE143">
        <v>0</v>
      </c>
      <c r="AF143">
        <v>0</v>
      </c>
      <c r="AG143">
        <v>0</v>
      </c>
      <c r="AH143">
        <v>0</v>
      </c>
      <c r="AI143">
        <v>0</v>
      </c>
      <c r="AJ143">
        <v>0</v>
      </c>
      <c r="AK143">
        <v>0</v>
      </c>
      <c r="AL143">
        <v>0</v>
      </c>
      <c r="AM143">
        <v>0</v>
      </c>
      <c r="AN143">
        <v>0</v>
      </c>
      <c r="AO143">
        <v>0</v>
      </c>
      <c r="AP143">
        <v>0</v>
      </c>
      <c r="AQ143">
        <v>0</v>
      </c>
      <c r="AR143">
        <v>0</v>
      </c>
      <c r="AS143">
        <v>0</v>
      </c>
      <c r="AT143">
        <v>0</v>
      </c>
      <c r="AU143">
        <f t="shared" si="2"/>
        <v>0</v>
      </c>
      <c r="AV143">
        <f t="shared" si="3"/>
        <v>0</v>
      </c>
    </row>
    <row r="144" spans="1:48" x14ac:dyDescent="0.25">
      <c r="A144" t="s">
        <v>2643</v>
      </c>
      <c r="C144" t="s">
        <v>2644</v>
      </c>
      <c r="D144" t="s">
        <v>2645</v>
      </c>
      <c r="E144" t="s">
        <v>1663</v>
      </c>
      <c r="F144">
        <v>6</v>
      </c>
      <c r="G144">
        <v>6.1</v>
      </c>
      <c r="H144" t="s">
        <v>2017</v>
      </c>
      <c r="I144" s="21">
        <v>37382</v>
      </c>
      <c r="J144">
        <v>2002</v>
      </c>
      <c r="K144" s="21">
        <v>37413</v>
      </c>
      <c r="L144">
        <v>2002</v>
      </c>
      <c r="M144" s="21">
        <v>37566</v>
      </c>
      <c r="N144">
        <v>2002</v>
      </c>
      <c r="Q144" s="262">
        <v>59328</v>
      </c>
      <c r="S144" t="s">
        <v>114</v>
      </c>
      <c r="T144" t="s">
        <v>114</v>
      </c>
      <c r="W144">
        <v>1248</v>
      </c>
      <c r="X144">
        <v>0</v>
      </c>
      <c r="Y144">
        <v>0</v>
      </c>
      <c r="Z144">
        <v>0</v>
      </c>
      <c r="AA144">
        <v>0</v>
      </c>
      <c r="AB144">
        <v>0</v>
      </c>
      <c r="AC144">
        <v>1248</v>
      </c>
      <c r="AD144">
        <v>0</v>
      </c>
      <c r="AE144">
        <v>0</v>
      </c>
      <c r="AF144">
        <v>0</v>
      </c>
      <c r="AG144">
        <v>0</v>
      </c>
      <c r="AH144">
        <v>0</v>
      </c>
      <c r="AI144">
        <v>0</v>
      </c>
      <c r="AJ144">
        <v>0</v>
      </c>
      <c r="AK144">
        <v>0</v>
      </c>
      <c r="AL144">
        <v>0</v>
      </c>
      <c r="AM144">
        <v>0</v>
      </c>
      <c r="AN144">
        <v>0</v>
      </c>
      <c r="AO144">
        <v>0</v>
      </c>
      <c r="AP144">
        <v>0</v>
      </c>
      <c r="AQ144">
        <v>0</v>
      </c>
      <c r="AR144">
        <v>0</v>
      </c>
      <c r="AS144">
        <v>0</v>
      </c>
      <c r="AT144">
        <v>0</v>
      </c>
      <c r="AU144">
        <f t="shared" si="2"/>
        <v>0</v>
      </c>
      <c r="AV144">
        <f t="shared" si="3"/>
        <v>0</v>
      </c>
    </row>
    <row r="145" spans="1:48" x14ac:dyDescent="0.25">
      <c r="A145" t="s">
        <v>2640</v>
      </c>
      <c r="C145" t="s">
        <v>2641</v>
      </c>
      <c r="D145" t="s">
        <v>2642</v>
      </c>
      <c r="E145" t="s">
        <v>1663</v>
      </c>
      <c r="F145">
        <v>5</v>
      </c>
      <c r="G145">
        <v>5.5</v>
      </c>
      <c r="H145" t="s">
        <v>2017</v>
      </c>
      <c r="I145" s="21">
        <v>37382</v>
      </c>
      <c r="J145">
        <v>2002</v>
      </c>
      <c r="K145" s="21">
        <v>37413</v>
      </c>
      <c r="L145">
        <v>2002</v>
      </c>
      <c r="M145" s="21">
        <v>37566</v>
      </c>
      <c r="N145">
        <v>2002</v>
      </c>
      <c r="Q145" s="262">
        <v>2520</v>
      </c>
      <c r="S145" t="s">
        <v>114</v>
      </c>
      <c r="T145" t="s">
        <v>114</v>
      </c>
      <c r="W145">
        <v>140</v>
      </c>
      <c r="X145">
        <v>0</v>
      </c>
      <c r="Y145">
        <v>0</v>
      </c>
      <c r="Z145">
        <v>0</v>
      </c>
      <c r="AA145">
        <v>0</v>
      </c>
      <c r="AB145">
        <v>0</v>
      </c>
      <c r="AC145">
        <v>140</v>
      </c>
      <c r="AD145">
        <v>0</v>
      </c>
      <c r="AE145">
        <v>0</v>
      </c>
      <c r="AF145">
        <v>0</v>
      </c>
      <c r="AG145">
        <v>0</v>
      </c>
      <c r="AH145">
        <v>0</v>
      </c>
      <c r="AI145">
        <v>0</v>
      </c>
      <c r="AJ145">
        <v>0</v>
      </c>
      <c r="AK145">
        <v>0</v>
      </c>
      <c r="AL145">
        <v>0</v>
      </c>
      <c r="AM145">
        <v>0</v>
      </c>
      <c r="AN145">
        <v>0</v>
      </c>
      <c r="AO145">
        <v>0</v>
      </c>
      <c r="AP145">
        <v>0</v>
      </c>
      <c r="AQ145">
        <v>0</v>
      </c>
      <c r="AR145">
        <v>0</v>
      </c>
      <c r="AS145">
        <v>0</v>
      </c>
      <c r="AT145">
        <v>0</v>
      </c>
      <c r="AU145">
        <f t="shared" si="2"/>
        <v>0</v>
      </c>
      <c r="AV145">
        <f t="shared" si="3"/>
        <v>0</v>
      </c>
    </row>
    <row r="146" spans="1:48" x14ac:dyDescent="0.25">
      <c r="A146" t="s">
        <v>2653</v>
      </c>
      <c r="C146" t="s">
        <v>2654</v>
      </c>
      <c r="D146" t="s">
        <v>2655</v>
      </c>
      <c r="E146" t="s">
        <v>2310</v>
      </c>
      <c r="F146">
        <v>9</v>
      </c>
      <c r="G146">
        <v>9.1</v>
      </c>
      <c r="H146" t="s">
        <v>2323</v>
      </c>
      <c r="I146" s="21">
        <v>37383</v>
      </c>
      <c r="J146">
        <v>2002</v>
      </c>
      <c r="K146" s="21">
        <v>37413</v>
      </c>
      <c r="L146">
        <v>2002</v>
      </c>
      <c r="M146" s="21">
        <v>38821</v>
      </c>
      <c r="N146">
        <v>2006</v>
      </c>
      <c r="R146" s="262">
        <v>600000</v>
      </c>
      <c r="S146" t="s">
        <v>114</v>
      </c>
      <c r="T146" t="s">
        <v>114</v>
      </c>
      <c r="U146">
        <v>5</v>
      </c>
      <c r="W146">
        <v>11125</v>
      </c>
      <c r="X146">
        <v>1</v>
      </c>
      <c r="Y146">
        <v>0</v>
      </c>
      <c r="Z146">
        <v>0</v>
      </c>
      <c r="AA146">
        <v>0</v>
      </c>
      <c r="AB146">
        <v>0</v>
      </c>
      <c r="AC146">
        <v>11125</v>
      </c>
      <c r="AD146">
        <v>0</v>
      </c>
      <c r="AE146">
        <v>0</v>
      </c>
      <c r="AF146">
        <v>0</v>
      </c>
      <c r="AG146">
        <v>0</v>
      </c>
      <c r="AH146">
        <v>0</v>
      </c>
      <c r="AI146">
        <v>0</v>
      </c>
      <c r="AJ146">
        <v>0</v>
      </c>
      <c r="AK146">
        <v>0</v>
      </c>
      <c r="AL146">
        <v>0</v>
      </c>
      <c r="AM146">
        <v>0</v>
      </c>
      <c r="AN146">
        <v>0</v>
      </c>
      <c r="AO146">
        <v>1</v>
      </c>
      <c r="AP146">
        <v>0</v>
      </c>
      <c r="AQ146">
        <v>0</v>
      </c>
      <c r="AR146">
        <v>0</v>
      </c>
      <c r="AS146">
        <v>0</v>
      </c>
      <c r="AT146">
        <v>0</v>
      </c>
      <c r="AU146">
        <f t="shared" si="2"/>
        <v>1</v>
      </c>
      <c r="AV146">
        <f t="shared" si="3"/>
        <v>0</v>
      </c>
    </row>
    <row r="147" spans="1:48" x14ac:dyDescent="0.25">
      <c r="A147" t="s">
        <v>2656</v>
      </c>
      <c r="C147" t="s">
        <v>2657</v>
      </c>
      <c r="D147" t="s">
        <v>2658</v>
      </c>
      <c r="E147" t="s">
        <v>2310</v>
      </c>
      <c r="F147">
        <v>9</v>
      </c>
      <c r="G147">
        <v>9.1999999999999993</v>
      </c>
      <c r="H147" t="s">
        <v>2022</v>
      </c>
      <c r="I147" s="21">
        <v>37383</v>
      </c>
      <c r="J147">
        <v>2002</v>
      </c>
      <c r="K147" s="21">
        <v>37406</v>
      </c>
      <c r="L147">
        <v>2002</v>
      </c>
      <c r="M147" s="21">
        <v>37406</v>
      </c>
      <c r="N147">
        <v>2002</v>
      </c>
      <c r="R147" s="262">
        <v>25000</v>
      </c>
      <c r="S147" t="s">
        <v>114</v>
      </c>
      <c r="T147" t="s">
        <v>114</v>
      </c>
      <c r="U147">
        <v>5</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f t="shared" si="2"/>
        <v>0</v>
      </c>
      <c r="AV147">
        <f t="shared" si="3"/>
        <v>0</v>
      </c>
    </row>
    <row r="148" spans="1:48" x14ac:dyDescent="0.25">
      <c r="A148" t="s">
        <v>2659</v>
      </c>
      <c r="C148" t="s">
        <v>2660</v>
      </c>
      <c r="D148" t="s">
        <v>2661</v>
      </c>
      <c r="E148" t="s">
        <v>2310</v>
      </c>
      <c r="F148">
        <v>9</v>
      </c>
      <c r="G148">
        <v>9.3000000000000007</v>
      </c>
      <c r="H148" t="s">
        <v>2323</v>
      </c>
      <c r="I148" s="21">
        <v>37383</v>
      </c>
      <c r="J148">
        <v>2002</v>
      </c>
      <c r="K148" s="21">
        <v>37406</v>
      </c>
      <c r="L148">
        <v>2002</v>
      </c>
      <c r="M148" s="21">
        <v>37406</v>
      </c>
      <c r="N148">
        <v>2002</v>
      </c>
      <c r="R148" s="262">
        <v>30000</v>
      </c>
      <c r="S148" t="s">
        <v>114</v>
      </c>
      <c r="T148" t="s">
        <v>114</v>
      </c>
      <c r="U148">
        <v>5</v>
      </c>
      <c r="W148">
        <v>616</v>
      </c>
      <c r="X148">
        <v>0</v>
      </c>
      <c r="Y148">
        <v>0</v>
      </c>
      <c r="Z148">
        <v>0</v>
      </c>
      <c r="AA148">
        <v>0</v>
      </c>
      <c r="AB148">
        <v>0</v>
      </c>
      <c r="AC148">
        <v>616</v>
      </c>
      <c r="AD148">
        <v>0</v>
      </c>
      <c r="AE148">
        <v>0</v>
      </c>
      <c r="AF148">
        <v>0</v>
      </c>
      <c r="AG148">
        <v>0</v>
      </c>
      <c r="AH148">
        <v>0</v>
      </c>
      <c r="AI148">
        <v>0</v>
      </c>
      <c r="AJ148">
        <v>0</v>
      </c>
      <c r="AK148">
        <v>0</v>
      </c>
      <c r="AL148">
        <v>0</v>
      </c>
      <c r="AM148">
        <v>0</v>
      </c>
      <c r="AN148">
        <v>0</v>
      </c>
      <c r="AO148">
        <v>0</v>
      </c>
      <c r="AP148">
        <v>0</v>
      </c>
      <c r="AQ148">
        <v>0</v>
      </c>
      <c r="AR148">
        <v>0</v>
      </c>
      <c r="AS148">
        <v>0</v>
      </c>
      <c r="AT148">
        <v>0</v>
      </c>
      <c r="AU148">
        <f t="shared" si="2"/>
        <v>0</v>
      </c>
      <c r="AV148">
        <f t="shared" si="3"/>
        <v>0</v>
      </c>
    </row>
    <row r="149" spans="1:48" x14ac:dyDescent="0.25">
      <c r="A149" t="s">
        <v>2662</v>
      </c>
      <c r="C149" t="s">
        <v>2663</v>
      </c>
      <c r="D149" t="s">
        <v>2664</v>
      </c>
      <c r="E149" t="s">
        <v>2310</v>
      </c>
      <c r="F149">
        <v>12</v>
      </c>
      <c r="G149">
        <v>12.2</v>
      </c>
      <c r="H149" t="s">
        <v>2017</v>
      </c>
      <c r="I149" s="21">
        <v>37383</v>
      </c>
      <c r="J149">
        <v>2002</v>
      </c>
      <c r="R149" s="262">
        <v>195000</v>
      </c>
      <c r="S149" t="s">
        <v>114</v>
      </c>
      <c r="T149" t="s">
        <v>114</v>
      </c>
      <c r="U149">
        <v>5</v>
      </c>
      <c r="W149">
        <v>1303</v>
      </c>
      <c r="X149">
        <v>0</v>
      </c>
      <c r="Y149">
        <v>0</v>
      </c>
      <c r="Z149">
        <v>0</v>
      </c>
      <c r="AA149">
        <v>0</v>
      </c>
      <c r="AB149">
        <v>0</v>
      </c>
      <c r="AC149">
        <v>1303</v>
      </c>
      <c r="AD149">
        <v>0</v>
      </c>
      <c r="AE149">
        <v>0</v>
      </c>
      <c r="AF149">
        <v>0</v>
      </c>
      <c r="AG149">
        <v>0</v>
      </c>
      <c r="AH149">
        <v>0</v>
      </c>
      <c r="AI149">
        <v>0</v>
      </c>
      <c r="AJ149">
        <v>0</v>
      </c>
      <c r="AK149">
        <v>0</v>
      </c>
      <c r="AL149">
        <v>0</v>
      </c>
      <c r="AM149">
        <v>0</v>
      </c>
      <c r="AN149">
        <v>0</v>
      </c>
      <c r="AO149">
        <v>0</v>
      </c>
      <c r="AP149">
        <v>0</v>
      </c>
      <c r="AQ149">
        <v>0</v>
      </c>
      <c r="AR149">
        <v>0</v>
      </c>
      <c r="AS149">
        <v>0</v>
      </c>
      <c r="AT149">
        <v>0</v>
      </c>
      <c r="AU149">
        <f t="shared" si="2"/>
        <v>0</v>
      </c>
      <c r="AV149">
        <f t="shared" si="3"/>
        <v>0</v>
      </c>
    </row>
    <row r="150" spans="1:48" x14ac:dyDescent="0.25">
      <c r="A150" t="s">
        <v>2668</v>
      </c>
      <c r="C150" t="s">
        <v>2669</v>
      </c>
      <c r="D150" t="s">
        <v>2670</v>
      </c>
      <c r="E150" t="s">
        <v>2310</v>
      </c>
      <c r="F150">
        <v>13</v>
      </c>
      <c r="G150">
        <v>13.1</v>
      </c>
      <c r="H150" t="s">
        <v>2327</v>
      </c>
      <c r="I150" s="21">
        <v>37384</v>
      </c>
      <c r="J150">
        <v>2002</v>
      </c>
      <c r="K150" s="21">
        <v>37406</v>
      </c>
      <c r="L150">
        <v>2002</v>
      </c>
      <c r="M150" s="21">
        <v>37497</v>
      </c>
      <c r="N150">
        <v>2002</v>
      </c>
      <c r="R150" s="262">
        <v>200000</v>
      </c>
      <c r="S150" t="s">
        <v>114</v>
      </c>
      <c r="T150" t="s">
        <v>114</v>
      </c>
      <c r="U150">
        <v>12</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f t="shared" si="2"/>
        <v>0</v>
      </c>
      <c r="AV150">
        <f t="shared" si="3"/>
        <v>0</v>
      </c>
    </row>
    <row r="151" spans="1:48" x14ac:dyDescent="0.25">
      <c r="A151" t="s">
        <v>2671</v>
      </c>
      <c r="C151" t="s">
        <v>2672</v>
      </c>
      <c r="D151" t="s">
        <v>2673</v>
      </c>
      <c r="E151" t="s">
        <v>2310</v>
      </c>
      <c r="F151">
        <v>13</v>
      </c>
      <c r="G151">
        <v>13.3</v>
      </c>
      <c r="H151" t="s">
        <v>2017</v>
      </c>
      <c r="I151" s="21">
        <v>37384</v>
      </c>
      <c r="J151">
        <v>2002</v>
      </c>
      <c r="K151" s="21">
        <v>37405</v>
      </c>
      <c r="L151">
        <v>2002</v>
      </c>
      <c r="M151" s="21">
        <v>37405</v>
      </c>
      <c r="N151">
        <v>2002</v>
      </c>
      <c r="R151" s="262">
        <v>20000</v>
      </c>
      <c r="S151" t="s">
        <v>114</v>
      </c>
      <c r="T151" t="s">
        <v>114</v>
      </c>
      <c r="U151">
        <v>5</v>
      </c>
      <c r="W151">
        <v>333</v>
      </c>
      <c r="X151">
        <v>0</v>
      </c>
      <c r="Y151">
        <v>0</v>
      </c>
      <c r="Z151">
        <v>0</v>
      </c>
      <c r="AA151">
        <v>0</v>
      </c>
      <c r="AB151">
        <v>0</v>
      </c>
      <c r="AC151">
        <v>333</v>
      </c>
      <c r="AD151">
        <v>0</v>
      </c>
      <c r="AE151">
        <v>0</v>
      </c>
      <c r="AF151">
        <v>0</v>
      </c>
      <c r="AG151">
        <v>0</v>
      </c>
      <c r="AH151">
        <v>0</v>
      </c>
      <c r="AI151">
        <v>0</v>
      </c>
      <c r="AJ151">
        <v>0</v>
      </c>
      <c r="AK151">
        <v>0</v>
      </c>
      <c r="AL151">
        <v>0</v>
      </c>
      <c r="AM151">
        <v>0</v>
      </c>
      <c r="AN151">
        <v>0</v>
      </c>
      <c r="AO151">
        <v>0</v>
      </c>
      <c r="AP151">
        <v>0</v>
      </c>
      <c r="AQ151">
        <v>0</v>
      </c>
      <c r="AR151">
        <v>0</v>
      </c>
      <c r="AS151">
        <v>0</v>
      </c>
      <c r="AT151">
        <v>0</v>
      </c>
      <c r="AU151">
        <f t="shared" si="2"/>
        <v>0</v>
      </c>
      <c r="AV151">
        <f t="shared" si="3"/>
        <v>0</v>
      </c>
    </row>
    <row r="152" spans="1:48" x14ac:dyDescent="0.25">
      <c r="A152" t="s">
        <v>2674</v>
      </c>
      <c r="C152" t="s">
        <v>2675</v>
      </c>
      <c r="D152" t="s">
        <v>2676</v>
      </c>
      <c r="E152" t="s">
        <v>2310</v>
      </c>
      <c r="F152">
        <v>15</v>
      </c>
      <c r="G152">
        <v>15.4</v>
      </c>
      <c r="H152" t="s">
        <v>2323</v>
      </c>
      <c r="I152" s="21">
        <v>37384</v>
      </c>
      <c r="J152">
        <v>2002</v>
      </c>
      <c r="K152" s="21">
        <v>37448</v>
      </c>
      <c r="L152">
        <v>2002</v>
      </c>
      <c r="M152" s="21">
        <v>37448</v>
      </c>
      <c r="N152">
        <v>2002</v>
      </c>
      <c r="R152" s="262">
        <v>95000</v>
      </c>
      <c r="S152" t="s">
        <v>114</v>
      </c>
      <c r="T152" t="s">
        <v>114</v>
      </c>
      <c r="U152">
        <v>5</v>
      </c>
      <c r="W152">
        <v>324</v>
      </c>
      <c r="X152">
        <v>0</v>
      </c>
      <c r="Y152">
        <v>0</v>
      </c>
      <c r="Z152">
        <v>0</v>
      </c>
      <c r="AA152">
        <v>0</v>
      </c>
      <c r="AB152">
        <v>0</v>
      </c>
      <c r="AC152">
        <v>324</v>
      </c>
      <c r="AD152">
        <v>0</v>
      </c>
      <c r="AE152">
        <v>0</v>
      </c>
      <c r="AF152">
        <v>0</v>
      </c>
      <c r="AG152">
        <v>0</v>
      </c>
      <c r="AH152">
        <v>0</v>
      </c>
      <c r="AI152">
        <v>0</v>
      </c>
      <c r="AJ152">
        <v>0</v>
      </c>
      <c r="AK152">
        <v>0</v>
      </c>
      <c r="AL152">
        <v>0</v>
      </c>
      <c r="AM152">
        <v>0</v>
      </c>
      <c r="AN152">
        <v>0</v>
      </c>
      <c r="AO152">
        <v>0</v>
      </c>
      <c r="AP152">
        <v>0</v>
      </c>
      <c r="AQ152">
        <v>0</v>
      </c>
      <c r="AR152">
        <v>0</v>
      </c>
      <c r="AS152">
        <v>0</v>
      </c>
      <c r="AT152">
        <v>0</v>
      </c>
      <c r="AU152">
        <f t="shared" si="2"/>
        <v>0</v>
      </c>
      <c r="AV152">
        <f t="shared" si="3"/>
        <v>0</v>
      </c>
    </row>
    <row r="153" spans="1:48" x14ac:dyDescent="0.25">
      <c r="A153" t="s">
        <v>2665</v>
      </c>
      <c r="C153" t="s">
        <v>2666</v>
      </c>
      <c r="D153" t="s">
        <v>2667</v>
      </c>
      <c r="E153" t="s">
        <v>1663</v>
      </c>
      <c r="F153">
        <v>6</v>
      </c>
      <c r="G153">
        <v>6.1</v>
      </c>
      <c r="H153" t="s">
        <v>2017</v>
      </c>
      <c r="I153" s="21">
        <v>37384</v>
      </c>
      <c r="J153">
        <v>2002</v>
      </c>
      <c r="K153" s="21">
        <v>37415</v>
      </c>
      <c r="L153">
        <v>2002</v>
      </c>
      <c r="M153" s="21">
        <v>37568</v>
      </c>
      <c r="N153">
        <v>2002</v>
      </c>
      <c r="Q153" s="262">
        <v>26240</v>
      </c>
      <c r="S153" t="s">
        <v>114</v>
      </c>
      <c r="T153" t="s">
        <v>114</v>
      </c>
      <c r="W153">
        <v>320</v>
      </c>
      <c r="X153">
        <v>0</v>
      </c>
      <c r="Y153">
        <v>0</v>
      </c>
      <c r="Z153">
        <v>0</v>
      </c>
      <c r="AA153">
        <v>0</v>
      </c>
      <c r="AB153">
        <v>0</v>
      </c>
      <c r="AC153">
        <v>320</v>
      </c>
      <c r="AD153">
        <v>0</v>
      </c>
      <c r="AE153">
        <v>0</v>
      </c>
      <c r="AF153">
        <v>0</v>
      </c>
      <c r="AG153">
        <v>0</v>
      </c>
      <c r="AH153">
        <v>0</v>
      </c>
      <c r="AI153">
        <v>0</v>
      </c>
      <c r="AJ153">
        <v>0</v>
      </c>
      <c r="AK153">
        <v>0</v>
      </c>
      <c r="AL153">
        <v>0</v>
      </c>
      <c r="AM153">
        <v>0</v>
      </c>
      <c r="AN153">
        <v>0</v>
      </c>
      <c r="AO153">
        <v>0</v>
      </c>
      <c r="AP153">
        <v>0</v>
      </c>
      <c r="AQ153">
        <v>0</v>
      </c>
      <c r="AR153">
        <v>0</v>
      </c>
      <c r="AS153">
        <v>0</v>
      </c>
      <c r="AT153">
        <v>0</v>
      </c>
      <c r="AU153">
        <f t="shared" ref="AU153:AU216" si="4">SUM(AN153:AQ153,AS153)</f>
        <v>0</v>
      </c>
      <c r="AV153">
        <f t="shared" ref="AV153:AV216" si="5">SUM(Y153:AB153,AH153:AM153)</f>
        <v>0</v>
      </c>
    </row>
    <row r="154" spans="1:48" x14ac:dyDescent="0.25">
      <c r="A154" t="s">
        <v>2677</v>
      </c>
      <c r="C154" t="s">
        <v>2312</v>
      </c>
      <c r="D154" t="s">
        <v>2678</v>
      </c>
      <c r="E154" t="s">
        <v>2310</v>
      </c>
      <c r="F154">
        <v>10</v>
      </c>
      <c r="G154">
        <v>10.1</v>
      </c>
      <c r="H154" t="s">
        <v>2323</v>
      </c>
      <c r="I154" s="21">
        <v>37385</v>
      </c>
      <c r="J154">
        <v>2002</v>
      </c>
      <c r="K154" s="21">
        <v>37406</v>
      </c>
      <c r="L154">
        <v>2002</v>
      </c>
      <c r="M154" s="21">
        <v>37406</v>
      </c>
      <c r="N154">
        <v>2002</v>
      </c>
      <c r="R154" s="262">
        <v>345000</v>
      </c>
      <c r="S154" t="s">
        <v>114</v>
      </c>
      <c r="T154" t="s">
        <v>114</v>
      </c>
      <c r="U154">
        <v>5</v>
      </c>
      <c r="W154">
        <v>3837</v>
      </c>
      <c r="X154">
        <v>1</v>
      </c>
      <c r="Y154">
        <v>0</v>
      </c>
      <c r="Z154">
        <v>0</v>
      </c>
      <c r="AA154">
        <v>0</v>
      </c>
      <c r="AB154">
        <v>0</v>
      </c>
      <c r="AC154">
        <v>3837</v>
      </c>
      <c r="AD154">
        <v>0</v>
      </c>
      <c r="AE154">
        <v>0</v>
      </c>
      <c r="AF154">
        <v>0</v>
      </c>
      <c r="AG154">
        <v>0</v>
      </c>
      <c r="AH154">
        <v>0</v>
      </c>
      <c r="AI154">
        <v>0</v>
      </c>
      <c r="AJ154">
        <v>0</v>
      </c>
      <c r="AK154">
        <v>0</v>
      </c>
      <c r="AL154">
        <v>0</v>
      </c>
      <c r="AM154">
        <v>0</v>
      </c>
      <c r="AN154">
        <v>0</v>
      </c>
      <c r="AO154">
        <v>1</v>
      </c>
      <c r="AP154">
        <v>0</v>
      </c>
      <c r="AQ154">
        <v>0</v>
      </c>
      <c r="AR154">
        <v>0</v>
      </c>
      <c r="AS154">
        <v>0</v>
      </c>
      <c r="AT154">
        <v>0</v>
      </c>
      <c r="AU154">
        <f t="shared" si="4"/>
        <v>1</v>
      </c>
      <c r="AV154">
        <f t="shared" si="5"/>
        <v>0</v>
      </c>
    </row>
    <row r="155" spans="1:48" x14ac:dyDescent="0.25">
      <c r="A155" t="s">
        <v>2690</v>
      </c>
      <c r="C155" t="s">
        <v>2691</v>
      </c>
      <c r="D155" t="s">
        <v>2692</v>
      </c>
      <c r="E155" t="s">
        <v>2310</v>
      </c>
      <c r="F155">
        <v>14</v>
      </c>
      <c r="G155">
        <v>14.1</v>
      </c>
      <c r="H155" t="s">
        <v>2022</v>
      </c>
      <c r="I155" s="21">
        <v>37386</v>
      </c>
      <c r="J155">
        <v>2002</v>
      </c>
      <c r="K155" s="21">
        <v>37405</v>
      </c>
      <c r="L155">
        <v>2002</v>
      </c>
      <c r="M155" s="21">
        <v>37964</v>
      </c>
      <c r="N155">
        <v>2003</v>
      </c>
      <c r="R155" s="262">
        <v>87000</v>
      </c>
      <c r="S155" t="s">
        <v>114</v>
      </c>
      <c r="T155" t="s">
        <v>114</v>
      </c>
      <c r="U155">
        <v>5</v>
      </c>
      <c r="W155">
        <v>654</v>
      </c>
      <c r="X155">
        <v>0</v>
      </c>
      <c r="Y155">
        <v>0</v>
      </c>
      <c r="Z155">
        <v>0</v>
      </c>
      <c r="AA155">
        <v>0</v>
      </c>
      <c r="AB155">
        <v>0</v>
      </c>
      <c r="AC155">
        <v>654</v>
      </c>
      <c r="AD155">
        <v>0</v>
      </c>
      <c r="AE155">
        <v>0</v>
      </c>
      <c r="AF155">
        <v>0</v>
      </c>
      <c r="AG155">
        <v>0</v>
      </c>
      <c r="AH155">
        <v>0</v>
      </c>
      <c r="AI155">
        <v>0</v>
      </c>
      <c r="AJ155">
        <v>0</v>
      </c>
      <c r="AK155">
        <v>0</v>
      </c>
      <c r="AL155">
        <v>0</v>
      </c>
      <c r="AM155">
        <v>0</v>
      </c>
      <c r="AN155">
        <v>0</v>
      </c>
      <c r="AO155">
        <v>0</v>
      </c>
      <c r="AP155">
        <v>0</v>
      </c>
      <c r="AQ155">
        <v>0</v>
      </c>
      <c r="AR155">
        <v>0</v>
      </c>
      <c r="AS155">
        <v>0</v>
      </c>
      <c r="AT155">
        <v>0</v>
      </c>
      <c r="AU155">
        <f t="shared" si="4"/>
        <v>0</v>
      </c>
      <c r="AV155">
        <f t="shared" si="5"/>
        <v>0</v>
      </c>
    </row>
    <row r="156" spans="1:48" x14ac:dyDescent="0.25">
      <c r="A156" t="s">
        <v>2682</v>
      </c>
      <c r="C156" t="s">
        <v>2683</v>
      </c>
      <c r="D156" t="s">
        <v>2684</v>
      </c>
      <c r="E156" t="s">
        <v>1663</v>
      </c>
      <c r="F156">
        <v>3</v>
      </c>
      <c r="G156">
        <v>3.2</v>
      </c>
      <c r="H156" t="s">
        <v>2327</v>
      </c>
      <c r="I156" s="21">
        <v>37386</v>
      </c>
      <c r="J156">
        <v>2002</v>
      </c>
      <c r="K156" s="21">
        <v>37417</v>
      </c>
      <c r="L156">
        <v>2002</v>
      </c>
      <c r="M156" s="21">
        <v>37570</v>
      </c>
      <c r="N156">
        <v>2002</v>
      </c>
      <c r="Q156" s="262">
        <v>158859</v>
      </c>
      <c r="S156" t="s">
        <v>114</v>
      </c>
      <c r="T156" t="s">
        <v>114</v>
      </c>
      <c r="W156">
        <v>2423</v>
      </c>
      <c r="X156">
        <v>1</v>
      </c>
      <c r="Y156">
        <v>0</v>
      </c>
      <c r="Z156">
        <v>0</v>
      </c>
      <c r="AA156">
        <v>0</v>
      </c>
      <c r="AB156">
        <v>0</v>
      </c>
      <c r="AC156">
        <v>2423</v>
      </c>
      <c r="AD156">
        <v>0</v>
      </c>
      <c r="AE156">
        <v>0</v>
      </c>
      <c r="AF156">
        <v>0</v>
      </c>
      <c r="AG156">
        <v>0</v>
      </c>
      <c r="AH156">
        <v>0</v>
      </c>
      <c r="AI156">
        <v>0</v>
      </c>
      <c r="AJ156">
        <v>0</v>
      </c>
      <c r="AK156">
        <v>0</v>
      </c>
      <c r="AL156">
        <v>0</v>
      </c>
      <c r="AM156">
        <v>0</v>
      </c>
      <c r="AN156">
        <v>0</v>
      </c>
      <c r="AO156">
        <v>1</v>
      </c>
      <c r="AP156">
        <v>0</v>
      </c>
      <c r="AQ156">
        <v>0</v>
      </c>
      <c r="AR156">
        <v>0</v>
      </c>
      <c r="AS156">
        <v>0</v>
      </c>
      <c r="AT156">
        <v>0</v>
      </c>
      <c r="AU156">
        <f t="shared" si="4"/>
        <v>1</v>
      </c>
      <c r="AV156">
        <f t="shared" si="5"/>
        <v>0</v>
      </c>
    </row>
    <row r="157" spans="1:48" x14ac:dyDescent="0.25">
      <c r="A157" t="s">
        <v>2685</v>
      </c>
      <c r="C157" t="s">
        <v>2686</v>
      </c>
      <c r="D157" t="s">
        <v>2684</v>
      </c>
      <c r="E157" t="s">
        <v>1663</v>
      </c>
      <c r="F157">
        <v>3</v>
      </c>
      <c r="G157">
        <v>3.2</v>
      </c>
      <c r="H157" t="s">
        <v>2327</v>
      </c>
      <c r="I157" s="21">
        <v>37386</v>
      </c>
      <c r="J157">
        <v>2002</v>
      </c>
      <c r="K157" s="21">
        <v>37417</v>
      </c>
      <c r="L157">
        <v>2002</v>
      </c>
      <c r="M157" s="21">
        <v>37570</v>
      </c>
      <c r="N157">
        <v>2002</v>
      </c>
      <c r="Q157" s="262">
        <v>0</v>
      </c>
      <c r="S157" t="s">
        <v>114</v>
      </c>
      <c r="T157" t="s">
        <v>114</v>
      </c>
      <c r="W157">
        <v>2282</v>
      </c>
      <c r="X157">
        <v>1</v>
      </c>
      <c r="Y157">
        <v>0</v>
      </c>
      <c r="Z157">
        <v>0</v>
      </c>
      <c r="AA157">
        <v>0</v>
      </c>
      <c r="AB157">
        <v>0</v>
      </c>
      <c r="AC157">
        <v>2282</v>
      </c>
      <c r="AD157">
        <v>0</v>
      </c>
      <c r="AE157">
        <v>0</v>
      </c>
      <c r="AF157">
        <v>0</v>
      </c>
      <c r="AG157">
        <v>0</v>
      </c>
      <c r="AH157">
        <v>0</v>
      </c>
      <c r="AI157">
        <v>0</v>
      </c>
      <c r="AJ157">
        <v>0</v>
      </c>
      <c r="AK157">
        <v>0</v>
      </c>
      <c r="AL157">
        <v>0</v>
      </c>
      <c r="AM157">
        <v>0</v>
      </c>
      <c r="AN157">
        <v>0</v>
      </c>
      <c r="AO157">
        <v>1</v>
      </c>
      <c r="AP157">
        <v>0</v>
      </c>
      <c r="AQ157">
        <v>0</v>
      </c>
      <c r="AR157">
        <v>0</v>
      </c>
      <c r="AS157">
        <v>0</v>
      </c>
      <c r="AT157">
        <v>0</v>
      </c>
      <c r="AU157">
        <f t="shared" si="4"/>
        <v>1</v>
      </c>
      <c r="AV157">
        <f t="shared" si="5"/>
        <v>0</v>
      </c>
    </row>
    <row r="158" spans="1:48" x14ac:dyDescent="0.25">
      <c r="A158" t="s">
        <v>2687</v>
      </c>
      <c r="C158" t="s">
        <v>2688</v>
      </c>
      <c r="D158" t="s">
        <v>2689</v>
      </c>
      <c r="E158" t="s">
        <v>1663</v>
      </c>
      <c r="F158">
        <v>2</v>
      </c>
      <c r="G158">
        <v>2.2999999999999998</v>
      </c>
      <c r="H158" t="s">
        <v>2327</v>
      </c>
      <c r="I158" s="21">
        <v>37386</v>
      </c>
      <c r="J158">
        <v>2002</v>
      </c>
      <c r="K158" s="21">
        <v>37417</v>
      </c>
      <c r="L158">
        <v>2002</v>
      </c>
      <c r="M158" s="21">
        <v>37570</v>
      </c>
      <c r="N158">
        <v>2002</v>
      </c>
      <c r="Q158" s="262">
        <v>1700000</v>
      </c>
      <c r="S158" t="s">
        <v>114</v>
      </c>
      <c r="T158" t="s">
        <v>114</v>
      </c>
      <c r="W158">
        <v>5690</v>
      </c>
      <c r="X158">
        <v>0</v>
      </c>
      <c r="Y158">
        <v>0</v>
      </c>
      <c r="Z158">
        <v>0</v>
      </c>
      <c r="AA158">
        <v>0</v>
      </c>
      <c r="AB158">
        <v>0</v>
      </c>
      <c r="AC158">
        <v>0</v>
      </c>
      <c r="AD158">
        <v>0</v>
      </c>
      <c r="AE158">
        <v>0</v>
      </c>
      <c r="AF158">
        <v>0</v>
      </c>
      <c r="AG158">
        <v>0</v>
      </c>
      <c r="AH158">
        <v>0</v>
      </c>
      <c r="AI158">
        <v>0</v>
      </c>
      <c r="AJ158">
        <v>0</v>
      </c>
      <c r="AK158">
        <v>5690</v>
      </c>
      <c r="AL158">
        <v>0</v>
      </c>
      <c r="AM158">
        <v>0</v>
      </c>
      <c r="AN158">
        <v>0</v>
      </c>
      <c r="AO158">
        <v>0</v>
      </c>
      <c r="AP158">
        <v>0</v>
      </c>
      <c r="AQ158">
        <v>0</v>
      </c>
      <c r="AR158">
        <v>0</v>
      </c>
      <c r="AS158">
        <v>0</v>
      </c>
      <c r="AT158">
        <v>0</v>
      </c>
      <c r="AU158">
        <f t="shared" si="4"/>
        <v>0</v>
      </c>
      <c r="AV158">
        <f t="shared" si="5"/>
        <v>5690</v>
      </c>
    </row>
    <row r="159" spans="1:48" x14ac:dyDescent="0.25">
      <c r="A159" t="s">
        <v>2679</v>
      </c>
      <c r="C159" t="s">
        <v>2680</v>
      </c>
      <c r="D159" t="s">
        <v>2681</v>
      </c>
      <c r="E159" t="s">
        <v>1663</v>
      </c>
      <c r="F159">
        <v>2</v>
      </c>
      <c r="G159">
        <v>2.2000000000000002</v>
      </c>
      <c r="H159" t="s">
        <v>2327</v>
      </c>
      <c r="I159" s="21">
        <v>37386</v>
      </c>
      <c r="J159">
        <v>2002</v>
      </c>
      <c r="K159" s="21">
        <v>37417</v>
      </c>
      <c r="L159">
        <v>2002</v>
      </c>
      <c r="M159" s="21">
        <v>37570</v>
      </c>
      <c r="N159">
        <v>2002</v>
      </c>
      <c r="Q159" s="262">
        <v>45000</v>
      </c>
      <c r="S159" t="s">
        <v>114</v>
      </c>
      <c r="T159" t="s">
        <v>114</v>
      </c>
      <c r="W159">
        <v>256</v>
      </c>
      <c r="X159">
        <v>0</v>
      </c>
      <c r="Y159">
        <v>0</v>
      </c>
      <c r="Z159">
        <v>0</v>
      </c>
      <c r="AA159">
        <v>0</v>
      </c>
      <c r="AB159">
        <v>256</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f t="shared" si="4"/>
        <v>0</v>
      </c>
      <c r="AV159">
        <f t="shared" si="5"/>
        <v>256</v>
      </c>
    </row>
    <row r="160" spans="1:48" x14ac:dyDescent="0.25">
      <c r="A160" t="s">
        <v>2693</v>
      </c>
      <c r="C160" t="s">
        <v>2694</v>
      </c>
      <c r="D160" t="s">
        <v>2695</v>
      </c>
      <c r="E160" t="s">
        <v>2310</v>
      </c>
      <c r="F160">
        <v>12</v>
      </c>
      <c r="G160">
        <v>12.3</v>
      </c>
      <c r="H160" t="s">
        <v>2017</v>
      </c>
      <c r="I160" s="21">
        <v>37389</v>
      </c>
      <c r="J160">
        <v>2002</v>
      </c>
      <c r="K160" s="21">
        <v>37407</v>
      </c>
      <c r="L160">
        <v>2002</v>
      </c>
      <c r="M160" s="21">
        <v>37407</v>
      </c>
      <c r="N160">
        <v>2002</v>
      </c>
      <c r="R160" s="262">
        <v>8000</v>
      </c>
      <c r="S160" t="s">
        <v>114</v>
      </c>
      <c r="T160" t="s">
        <v>114</v>
      </c>
      <c r="U160">
        <v>5</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f t="shared" si="4"/>
        <v>0</v>
      </c>
      <c r="AV160">
        <f t="shared" si="5"/>
        <v>0</v>
      </c>
    </row>
    <row r="161" spans="1:48" x14ac:dyDescent="0.25">
      <c r="A161" t="s">
        <v>2699</v>
      </c>
      <c r="C161" t="s">
        <v>2396</v>
      </c>
      <c r="D161" t="s">
        <v>2700</v>
      </c>
      <c r="E161" t="s">
        <v>2310</v>
      </c>
      <c r="F161">
        <v>12</v>
      </c>
      <c r="G161">
        <v>12.2</v>
      </c>
      <c r="H161" t="s">
        <v>2017</v>
      </c>
      <c r="I161" s="21">
        <v>37390</v>
      </c>
      <c r="J161">
        <v>2002</v>
      </c>
      <c r="K161" s="21">
        <v>37399</v>
      </c>
      <c r="L161">
        <v>2002</v>
      </c>
      <c r="M161" s="21">
        <v>37790</v>
      </c>
      <c r="N161">
        <v>2003</v>
      </c>
      <c r="R161" s="262">
        <v>15000</v>
      </c>
      <c r="S161" t="s">
        <v>114</v>
      </c>
      <c r="T161" t="s">
        <v>114</v>
      </c>
      <c r="U161">
        <v>5</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f t="shared" si="4"/>
        <v>0</v>
      </c>
      <c r="AV161">
        <f t="shared" si="5"/>
        <v>0</v>
      </c>
    </row>
    <row r="162" spans="1:48" x14ac:dyDescent="0.25">
      <c r="A162" t="s">
        <v>2696</v>
      </c>
      <c r="C162" t="s">
        <v>2697</v>
      </c>
      <c r="D162" t="s">
        <v>2698</v>
      </c>
      <c r="E162" t="s">
        <v>1663</v>
      </c>
      <c r="F162">
        <v>3</v>
      </c>
      <c r="G162">
        <v>3.1</v>
      </c>
      <c r="H162" t="s">
        <v>2017</v>
      </c>
      <c r="I162" s="21">
        <v>37390</v>
      </c>
      <c r="J162">
        <v>2002</v>
      </c>
      <c r="K162" s="21">
        <v>37421</v>
      </c>
      <c r="L162">
        <v>2002</v>
      </c>
      <c r="M162" s="21">
        <v>37574</v>
      </c>
      <c r="N162">
        <v>2002</v>
      </c>
      <c r="Q162" s="262">
        <v>232224</v>
      </c>
      <c r="S162" t="s">
        <v>114</v>
      </c>
      <c r="T162" t="s">
        <v>114</v>
      </c>
      <c r="W162">
        <v>2832</v>
      </c>
      <c r="X162">
        <v>1</v>
      </c>
      <c r="Y162">
        <v>0</v>
      </c>
      <c r="Z162">
        <v>0</v>
      </c>
      <c r="AA162">
        <v>0</v>
      </c>
      <c r="AB162">
        <v>0</v>
      </c>
      <c r="AC162">
        <v>2832</v>
      </c>
      <c r="AD162">
        <v>0</v>
      </c>
      <c r="AE162">
        <v>0</v>
      </c>
      <c r="AF162">
        <v>0</v>
      </c>
      <c r="AG162">
        <v>0</v>
      </c>
      <c r="AH162">
        <v>0</v>
      </c>
      <c r="AI162">
        <v>0</v>
      </c>
      <c r="AJ162">
        <v>0</v>
      </c>
      <c r="AK162">
        <v>0</v>
      </c>
      <c r="AL162">
        <v>0</v>
      </c>
      <c r="AM162">
        <v>0</v>
      </c>
      <c r="AN162">
        <v>0</v>
      </c>
      <c r="AO162">
        <v>1</v>
      </c>
      <c r="AP162">
        <v>0</v>
      </c>
      <c r="AQ162">
        <v>0</v>
      </c>
      <c r="AR162">
        <v>0</v>
      </c>
      <c r="AS162">
        <v>0</v>
      </c>
      <c r="AT162">
        <v>0</v>
      </c>
      <c r="AU162">
        <f t="shared" si="4"/>
        <v>1</v>
      </c>
      <c r="AV162">
        <f t="shared" si="5"/>
        <v>0</v>
      </c>
    </row>
    <row r="163" spans="1:48" x14ac:dyDescent="0.25">
      <c r="A163" t="s">
        <v>2701</v>
      </c>
      <c r="C163" t="s">
        <v>2486</v>
      </c>
      <c r="D163" t="s">
        <v>2702</v>
      </c>
      <c r="E163" t="s">
        <v>2310</v>
      </c>
      <c r="F163">
        <v>10</v>
      </c>
      <c r="G163">
        <v>10.1</v>
      </c>
      <c r="H163" t="s">
        <v>2323</v>
      </c>
      <c r="I163" s="21">
        <v>37391</v>
      </c>
      <c r="J163">
        <v>2002</v>
      </c>
      <c r="K163" s="21">
        <v>37412</v>
      </c>
      <c r="L163">
        <v>2002</v>
      </c>
      <c r="M163" s="21">
        <v>37798</v>
      </c>
      <c r="N163">
        <v>2003</v>
      </c>
      <c r="R163" s="262">
        <v>200000</v>
      </c>
      <c r="S163" t="s">
        <v>114</v>
      </c>
      <c r="T163" t="s">
        <v>114</v>
      </c>
      <c r="U163">
        <v>5</v>
      </c>
      <c r="W163">
        <v>2416</v>
      </c>
      <c r="X163">
        <v>1</v>
      </c>
      <c r="Y163">
        <v>0</v>
      </c>
      <c r="Z163">
        <v>0</v>
      </c>
      <c r="AA163">
        <v>0</v>
      </c>
      <c r="AB163">
        <v>0</v>
      </c>
      <c r="AC163">
        <v>2416</v>
      </c>
      <c r="AD163">
        <v>0</v>
      </c>
      <c r="AE163">
        <v>0</v>
      </c>
      <c r="AF163">
        <v>0</v>
      </c>
      <c r="AG163">
        <v>0</v>
      </c>
      <c r="AH163">
        <v>0</v>
      </c>
      <c r="AI163">
        <v>0</v>
      </c>
      <c r="AJ163">
        <v>0</v>
      </c>
      <c r="AK163">
        <v>0</v>
      </c>
      <c r="AL163">
        <v>0</v>
      </c>
      <c r="AM163">
        <v>0</v>
      </c>
      <c r="AN163">
        <v>0</v>
      </c>
      <c r="AO163">
        <v>1</v>
      </c>
      <c r="AP163">
        <v>0</v>
      </c>
      <c r="AQ163">
        <v>0</v>
      </c>
      <c r="AR163">
        <v>0</v>
      </c>
      <c r="AS163">
        <v>0</v>
      </c>
      <c r="AT163">
        <v>0</v>
      </c>
      <c r="AU163">
        <f t="shared" si="4"/>
        <v>1</v>
      </c>
      <c r="AV163">
        <f t="shared" si="5"/>
        <v>0</v>
      </c>
    </row>
    <row r="164" spans="1:48" x14ac:dyDescent="0.25">
      <c r="A164" t="s">
        <v>2703</v>
      </c>
      <c r="C164" t="s">
        <v>2486</v>
      </c>
      <c r="D164" t="s">
        <v>2704</v>
      </c>
      <c r="E164" t="s">
        <v>2310</v>
      </c>
      <c r="F164">
        <v>10</v>
      </c>
      <c r="G164">
        <v>10.1</v>
      </c>
      <c r="H164" t="s">
        <v>2323</v>
      </c>
      <c r="I164" s="21">
        <v>37391</v>
      </c>
      <c r="J164">
        <v>2002</v>
      </c>
      <c r="K164" s="21">
        <v>37412</v>
      </c>
      <c r="L164">
        <v>2002</v>
      </c>
      <c r="M164" s="21">
        <v>37412</v>
      </c>
      <c r="N164">
        <v>2002</v>
      </c>
      <c r="R164" s="262">
        <v>238000</v>
      </c>
      <c r="S164" t="s">
        <v>114</v>
      </c>
      <c r="T164" t="s">
        <v>114</v>
      </c>
      <c r="U164">
        <v>5</v>
      </c>
      <c r="W164">
        <v>2812</v>
      </c>
      <c r="X164">
        <v>1</v>
      </c>
      <c r="Y164">
        <v>0</v>
      </c>
      <c r="Z164">
        <v>0</v>
      </c>
      <c r="AA164">
        <v>0</v>
      </c>
      <c r="AB164">
        <v>0</v>
      </c>
      <c r="AC164">
        <v>2812</v>
      </c>
      <c r="AD164">
        <v>0</v>
      </c>
      <c r="AE164">
        <v>0</v>
      </c>
      <c r="AF164">
        <v>0</v>
      </c>
      <c r="AG164">
        <v>0</v>
      </c>
      <c r="AH164">
        <v>0</v>
      </c>
      <c r="AI164">
        <v>0</v>
      </c>
      <c r="AJ164">
        <v>0</v>
      </c>
      <c r="AK164">
        <v>0</v>
      </c>
      <c r="AL164">
        <v>0</v>
      </c>
      <c r="AM164">
        <v>0</v>
      </c>
      <c r="AN164">
        <v>0</v>
      </c>
      <c r="AO164">
        <v>1</v>
      </c>
      <c r="AP164">
        <v>0</v>
      </c>
      <c r="AQ164">
        <v>0</v>
      </c>
      <c r="AR164">
        <v>0</v>
      </c>
      <c r="AS164">
        <v>0</v>
      </c>
      <c r="AT164">
        <v>0</v>
      </c>
      <c r="AU164">
        <f t="shared" si="4"/>
        <v>1</v>
      </c>
      <c r="AV164">
        <f t="shared" si="5"/>
        <v>0</v>
      </c>
    </row>
    <row r="165" spans="1:48" x14ac:dyDescent="0.25">
      <c r="A165" t="s">
        <v>2705</v>
      </c>
      <c r="C165" t="s">
        <v>2706</v>
      </c>
      <c r="D165" t="s">
        <v>2707</v>
      </c>
      <c r="E165" t="s">
        <v>2310</v>
      </c>
      <c r="F165">
        <v>8</v>
      </c>
      <c r="G165">
        <v>8.1</v>
      </c>
      <c r="H165" t="s">
        <v>2323</v>
      </c>
      <c r="I165" s="21">
        <v>37392</v>
      </c>
      <c r="J165">
        <v>2002</v>
      </c>
      <c r="K165" s="21">
        <v>37414</v>
      </c>
      <c r="L165">
        <v>2002</v>
      </c>
      <c r="M165" s="21">
        <v>37944</v>
      </c>
      <c r="N165">
        <v>2003</v>
      </c>
      <c r="R165" s="262">
        <v>200000</v>
      </c>
      <c r="S165" t="s">
        <v>114</v>
      </c>
      <c r="T165" t="s">
        <v>114</v>
      </c>
      <c r="U165">
        <v>8</v>
      </c>
      <c r="W165">
        <v>980</v>
      </c>
      <c r="X165">
        <v>1</v>
      </c>
      <c r="Y165">
        <v>0</v>
      </c>
      <c r="Z165">
        <v>0</v>
      </c>
      <c r="AA165">
        <v>0</v>
      </c>
      <c r="AB165">
        <v>0</v>
      </c>
      <c r="AC165">
        <v>0</v>
      </c>
      <c r="AD165">
        <v>0</v>
      </c>
      <c r="AE165">
        <v>0</v>
      </c>
      <c r="AF165">
        <v>980</v>
      </c>
      <c r="AG165">
        <v>0</v>
      </c>
      <c r="AH165">
        <v>0</v>
      </c>
      <c r="AI165">
        <v>0</v>
      </c>
      <c r="AJ165">
        <v>0</v>
      </c>
      <c r="AK165">
        <v>0</v>
      </c>
      <c r="AL165">
        <v>0</v>
      </c>
      <c r="AM165">
        <v>0</v>
      </c>
      <c r="AN165">
        <v>0</v>
      </c>
      <c r="AO165">
        <v>0</v>
      </c>
      <c r="AP165">
        <v>0</v>
      </c>
      <c r="AQ165">
        <v>0</v>
      </c>
      <c r="AR165">
        <v>1</v>
      </c>
      <c r="AS165">
        <v>0</v>
      </c>
      <c r="AT165">
        <v>0</v>
      </c>
      <c r="AU165">
        <f t="shared" si="4"/>
        <v>0</v>
      </c>
      <c r="AV165">
        <f t="shared" si="5"/>
        <v>0</v>
      </c>
    </row>
    <row r="166" spans="1:48" x14ac:dyDescent="0.25">
      <c r="A166" t="s">
        <v>2708</v>
      </c>
      <c r="C166" t="s">
        <v>2709</v>
      </c>
      <c r="D166" t="s">
        <v>2710</v>
      </c>
      <c r="E166" t="s">
        <v>2310</v>
      </c>
      <c r="F166">
        <v>15</v>
      </c>
      <c r="G166">
        <v>15.2</v>
      </c>
      <c r="H166" t="s">
        <v>2323</v>
      </c>
      <c r="I166" s="21">
        <v>37396</v>
      </c>
      <c r="J166">
        <v>2002</v>
      </c>
      <c r="K166" s="21">
        <v>37412</v>
      </c>
      <c r="L166">
        <v>2002</v>
      </c>
      <c r="M166" s="21">
        <v>37412</v>
      </c>
      <c r="N166">
        <v>2002</v>
      </c>
      <c r="R166" s="262">
        <v>20000</v>
      </c>
      <c r="S166" t="s">
        <v>114</v>
      </c>
      <c r="T166" t="s">
        <v>114</v>
      </c>
      <c r="U166">
        <v>5</v>
      </c>
      <c r="W166">
        <v>152</v>
      </c>
      <c r="X166">
        <v>0</v>
      </c>
      <c r="Y166">
        <v>0</v>
      </c>
      <c r="Z166">
        <v>0</v>
      </c>
      <c r="AA166">
        <v>0</v>
      </c>
      <c r="AB166">
        <v>0</v>
      </c>
      <c r="AC166">
        <v>152</v>
      </c>
      <c r="AD166">
        <v>0</v>
      </c>
      <c r="AE166">
        <v>0</v>
      </c>
      <c r="AF166">
        <v>0</v>
      </c>
      <c r="AG166">
        <v>0</v>
      </c>
      <c r="AH166">
        <v>0</v>
      </c>
      <c r="AI166">
        <v>0</v>
      </c>
      <c r="AJ166">
        <v>0</v>
      </c>
      <c r="AK166">
        <v>0</v>
      </c>
      <c r="AL166">
        <v>0</v>
      </c>
      <c r="AM166">
        <v>0</v>
      </c>
      <c r="AN166">
        <v>0</v>
      </c>
      <c r="AO166">
        <v>0</v>
      </c>
      <c r="AP166">
        <v>0</v>
      </c>
      <c r="AQ166">
        <v>0</v>
      </c>
      <c r="AR166">
        <v>0</v>
      </c>
      <c r="AS166">
        <v>0</v>
      </c>
      <c r="AT166">
        <v>0</v>
      </c>
      <c r="AU166">
        <f t="shared" si="4"/>
        <v>0</v>
      </c>
      <c r="AV166">
        <f t="shared" si="5"/>
        <v>0</v>
      </c>
    </row>
    <row r="167" spans="1:48" x14ac:dyDescent="0.25">
      <c r="A167" t="s">
        <v>2711</v>
      </c>
      <c r="C167" t="s">
        <v>2712</v>
      </c>
      <c r="D167" t="s">
        <v>2713</v>
      </c>
      <c r="E167" t="s">
        <v>2310</v>
      </c>
      <c r="F167">
        <v>8</v>
      </c>
      <c r="G167">
        <v>8.1</v>
      </c>
      <c r="H167" t="s">
        <v>2323</v>
      </c>
      <c r="I167" s="21">
        <v>37396</v>
      </c>
      <c r="J167">
        <v>2002</v>
      </c>
      <c r="K167" s="21">
        <v>37417</v>
      </c>
      <c r="L167">
        <v>2002</v>
      </c>
      <c r="M167" s="21">
        <v>37417</v>
      </c>
      <c r="N167">
        <v>2002</v>
      </c>
      <c r="R167" s="262">
        <v>24000</v>
      </c>
      <c r="S167" t="s">
        <v>114</v>
      </c>
      <c r="T167" t="s">
        <v>114</v>
      </c>
      <c r="U167">
        <v>5</v>
      </c>
      <c r="W167">
        <v>342</v>
      </c>
      <c r="X167">
        <v>0</v>
      </c>
      <c r="Y167">
        <v>0</v>
      </c>
      <c r="Z167">
        <v>0</v>
      </c>
      <c r="AA167">
        <v>0</v>
      </c>
      <c r="AB167">
        <v>0</v>
      </c>
      <c r="AC167">
        <v>342</v>
      </c>
      <c r="AD167">
        <v>0</v>
      </c>
      <c r="AE167">
        <v>0</v>
      </c>
      <c r="AF167">
        <v>0</v>
      </c>
      <c r="AG167">
        <v>0</v>
      </c>
      <c r="AH167">
        <v>0</v>
      </c>
      <c r="AI167">
        <v>0</v>
      </c>
      <c r="AJ167">
        <v>0</v>
      </c>
      <c r="AK167">
        <v>0</v>
      </c>
      <c r="AL167">
        <v>0</v>
      </c>
      <c r="AM167">
        <v>0</v>
      </c>
      <c r="AN167">
        <v>0</v>
      </c>
      <c r="AO167">
        <v>0</v>
      </c>
      <c r="AP167">
        <v>0</v>
      </c>
      <c r="AQ167">
        <v>0</v>
      </c>
      <c r="AR167">
        <v>0</v>
      </c>
      <c r="AS167">
        <v>0</v>
      </c>
      <c r="AT167">
        <v>0</v>
      </c>
      <c r="AU167">
        <f t="shared" si="4"/>
        <v>0</v>
      </c>
      <c r="AV167">
        <f t="shared" si="5"/>
        <v>0</v>
      </c>
    </row>
    <row r="168" spans="1:48" x14ac:dyDescent="0.25">
      <c r="A168" t="s">
        <v>2714</v>
      </c>
      <c r="C168" t="s">
        <v>2715</v>
      </c>
      <c r="D168" t="s">
        <v>2716</v>
      </c>
      <c r="E168" t="s">
        <v>2310</v>
      </c>
      <c r="F168">
        <v>11</v>
      </c>
      <c r="G168">
        <v>11.1</v>
      </c>
      <c r="H168" t="s">
        <v>2327</v>
      </c>
      <c r="I168" s="21">
        <v>37396</v>
      </c>
      <c r="J168">
        <v>2002</v>
      </c>
      <c r="K168" s="21">
        <v>37495</v>
      </c>
      <c r="L168">
        <v>2002</v>
      </c>
      <c r="M168" s="21">
        <v>37607</v>
      </c>
      <c r="N168">
        <v>2002</v>
      </c>
      <c r="R168" s="262">
        <v>300000</v>
      </c>
      <c r="S168" t="s">
        <v>114</v>
      </c>
      <c r="T168" t="s">
        <v>114</v>
      </c>
      <c r="U168">
        <v>13</v>
      </c>
      <c r="W168">
        <v>3000</v>
      </c>
      <c r="X168">
        <v>0</v>
      </c>
      <c r="Y168">
        <v>0</v>
      </c>
      <c r="Z168">
        <v>0</v>
      </c>
      <c r="AA168">
        <v>0</v>
      </c>
      <c r="AB168">
        <v>0</v>
      </c>
      <c r="AC168">
        <v>0</v>
      </c>
      <c r="AD168">
        <v>0</v>
      </c>
      <c r="AE168">
        <v>0</v>
      </c>
      <c r="AF168">
        <v>0</v>
      </c>
      <c r="AG168">
        <v>0</v>
      </c>
      <c r="AH168">
        <v>0</v>
      </c>
      <c r="AI168">
        <v>0</v>
      </c>
      <c r="AJ168">
        <v>0</v>
      </c>
      <c r="AK168">
        <v>3000</v>
      </c>
      <c r="AL168">
        <v>0</v>
      </c>
      <c r="AM168">
        <v>0</v>
      </c>
      <c r="AN168">
        <v>0</v>
      </c>
      <c r="AO168">
        <v>0</v>
      </c>
      <c r="AP168">
        <v>0</v>
      </c>
      <c r="AQ168">
        <v>0</v>
      </c>
      <c r="AR168">
        <v>0</v>
      </c>
      <c r="AS168">
        <v>0</v>
      </c>
      <c r="AT168">
        <v>0</v>
      </c>
      <c r="AU168">
        <f t="shared" si="4"/>
        <v>0</v>
      </c>
      <c r="AV168">
        <f t="shared" si="5"/>
        <v>3000</v>
      </c>
    </row>
    <row r="169" spans="1:48" x14ac:dyDescent="0.25">
      <c r="A169" t="s">
        <v>2717</v>
      </c>
      <c r="C169" t="s">
        <v>2718</v>
      </c>
      <c r="D169" t="s">
        <v>2719</v>
      </c>
      <c r="E169" t="s">
        <v>2310</v>
      </c>
      <c r="F169">
        <v>8</v>
      </c>
      <c r="G169">
        <v>8.1999999999999993</v>
      </c>
      <c r="H169" t="s">
        <v>2022</v>
      </c>
      <c r="I169" s="21">
        <v>37399</v>
      </c>
      <c r="J169">
        <v>2002</v>
      </c>
      <c r="K169" s="21">
        <v>37417</v>
      </c>
      <c r="L169">
        <v>2002</v>
      </c>
      <c r="M169" s="21">
        <v>37417</v>
      </c>
      <c r="N169">
        <v>2002</v>
      </c>
      <c r="R169" s="262">
        <v>1000</v>
      </c>
      <c r="S169" t="s">
        <v>114</v>
      </c>
      <c r="T169" t="s">
        <v>114</v>
      </c>
      <c r="U169">
        <v>5</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f t="shared" si="4"/>
        <v>0</v>
      </c>
      <c r="AV169">
        <f t="shared" si="5"/>
        <v>0</v>
      </c>
    </row>
    <row r="170" spans="1:48" x14ac:dyDescent="0.25">
      <c r="A170" t="s">
        <v>2720</v>
      </c>
      <c r="C170" t="s">
        <v>2721</v>
      </c>
      <c r="D170" t="s">
        <v>2722</v>
      </c>
      <c r="E170" t="s">
        <v>2310</v>
      </c>
      <c r="F170">
        <v>9</v>
      </c>
      <c r="G170">
        <v>9.3000000000000007</v>
      </c>
      <c r="H170" t="s">
        <v>2323</v>
      </c>
      <c r="I170" s="21">
        <v>37399</v>
      </c>
      <c r="J170">
        <v>2002</v>
      </c>
      <c r="K170" s="21">
        <v>37426</v>
      </c>
      <c r="L170">
        <v>2002</v>
      </c>
      <c r="M170" s="21">
        <v>37426</v>
      </c>
      <c r="N170">
        <v>2002</v>
      </c>
      <c r="R170" s="262">
        <v>37000</v>
      </c>
      <c r="S170" t="s">
        <v>114</v>
      </c>
      <c r="T170" t="s">
        <v>114</v>
      </c>
      <c r="U170">
        <v>5</v>
      </c>
      <c r="W170">
        <v>541</v>
      </c>
      <c r="X170">
        <v>0</v>
      </c>
      <c r="Y170">
        <v>0</v>
      </c>
      <c r="Z170">
        <v>0</v>
      </c>
      <c r="AA170">
        <v>0</v>
      </c>
      <c r="AB170">
        <v>0</v>
      </c>
      <c r="AC170">
        <v>541</v>
      </c>
      <c r="AD170">
        <v>0</v>
      </c>
      <c r="AE170">
        <v>0</v>
      </c>
      <c r="AF170">
        <v>0</v>
      </c>
      <c r="AG170">
        <v>0</v>
      </c>
      <c r="AH170">
        <v>0</v>
      </c>
      <c r="AI170">
        <v>0</v>
      </c>
      <c r="AJ170">
        <v>0</v>
      </c>
      <c r="AK170">
        <v>0</v>
      </c>
      <c r="AL170">
        <v>0</v>
      </c>
      <c r="AM170">
        <v>0</v>
      </c>
      <c r="AN170">
        <v>0</v>
      </c>
      <c r="AO170">
        <v>0</v>
      </c>
      <c r="AP170">
        <v>0</v>
      </c>
      <c r="AQ170">
        <v>0</v>
      </c>
      <c r="AR170">
        <v>0</v>
      </c>
      <c r="AS170">
        <v>0</v>
      </c>
      <c r="AT170">
        <v>0</v>
      </c>
      <c r="AU170">
        <f t="shared" si="4"/>
        <v>0</v>
      </c>
      <c r="AV170">
        <f t="shared" si="5"/>
        <v>0</v>
      </c>
    </row>
    <row r="171" spans="1:48" x14ac:dyDescent="0.25">
      <c r="A171" t="s">
        <v>2723</v>
      </c>
      <c r="C171" t="s">
        <v>2724</v>
      </c>
      <c r="D171" t="s">
        <v>2725</v>
      </c>
      <c r="E171" t="s">
        <v>1663</v>
      </c>
      <c r="F171">
        <v>6</v>
      </c>
      <c r="G171">
        <v>6.2</v>
      </c>
      <c r="H171" t="s">
        <v>2017</v>
      </c>
      <c r="I171" s="21">
        <v>37400</v>
      </c>
      <c r="J171">
        <v>2002</v>
      </c>
      <c r="K171" s="21">
        <v>37431</v>
      </c>
      <c r="L171">
        <v>2002</v>
      </c>
      <c r="M171" s="21">
        <v>37584</v>
      </c>
      <c r="N171">
        <v>2002</v>
      </c>
      <c r="Q171" s="262">
        <v>243500</v>
      </c>
      <c r="S171" t="s">
        <v>114</v>
      </c>
      <c r="T171" t="s">
        <v>114</v>
      </c>
      <c r="W171">
        <v>3460</v>
      </c>
      <c r="X171">
        <v>1</v>
      </c>
      <c r="Y171">
        <v>0</v>
      </c>
      <c r="Z171">
        <v>0</v>
      </c>
      <c r="AA171">
        <v>0</v>
      </c>
      <c r="AB171">
        <v>0</v>
      </c>
      <c r="AC171">
        <v>3460</v>
      </c>
      <c r="AD171">
        <v>0</v>
      </c>
      <c r="AE171">
        <v>0</v>
      </c>
      <c r="AF171">
        <v>0</v>
      </c>
      <c r="AG171">
        <v>0</v>
      </c>
      <c r="AH171">
        <v>0</v>
      </c>
      <c r="AI171">
        <v>0</v>
      </c>
      <c r="AJ171">
        <v>0</v>
      </c>
      <c r="AK171">
        <v>0</v>
      </c>
      <c r="AL171">
        <v>0</v>
      </c>
      <c r="AM171">
        <v>0</v>
      </c>
      <c r="AN171">
        <v>0</v>
      </c>
      <c r="AO171">
        <v>1</v>
      </c>
      <c r="AP171">
        <v>0</v>
      </c>
      <c r="AQ171">
        <v>0</v>
      </c>
      <c r="AR171">
        <v>0</v>
      </c>
      <c r="AS171">
        <v>0</v>
      </c>
      <c r="AT171">
        <v>0</v>
      </c>
      <c r="AU171">
        <f t="shared" si="4"/>
        <v>1</v>
      </c>
      <c r="AV171">
        <f t="shared" si="5"/>
        <v>0</v>
      </c>
    </row>
    <row r="172" spans="1:48" x14ac:dyDescent="0.25">
      <c r="A172" t="s">
        <v>2726</v>
      </c>
      <c r="C172" t="s">
        <v>2727</v>
      </c>
      <c r="D172" t="s">
        <v>2728</v>
      </c>
      <c r="E172" t="s">
        <v>2310</v>
      </c>
      <c r="F172">
        <v>8</v>
      </c>
      <c r="G172">
        <v>8.1</v>
      </c>
      <c r="H172" t="s">
        <v>2323</v>
      </c>
      <c r="I172" s="21">
        <v>37400</v>
      </c>
      <c r="J172">
        <v>2002</v>
      </c>
      <c r="K172" s="21">
        <v>37417</v>
      </c>
      <c r="L172">
        <v>2002</v>
      </c>
      <c r="M172" s="21">
        <v>37417</v>
      </c>
      <c r="N172">
        <v>2002</v>
      </c>
      <c r="R172" s="262">
        <v>90000</v>
      </c>
      <c r="S172" t="s">
        <v>114</v>
      </c>
      <c r="T172" t="s">
        <v>114</v>
      </c>
      <c r="U172">
        <v>5</v>
      </c>
      <c r="W172">
        <v>751</v>
      </c>
      <c r="X172">
        <v>0</v>
      </c>
      <c r="Y172">
        <v>0</v>
      </c>
      <c r="Z172">
        <v>0</v>
      </c>
      <c r="AA172">
        <v>0</v>
      </c>
      <c r="AB172">
        <v>0</v>
      </c>
      <c r="AC172">
        <v>751</v>
      </c>
      <c r="AD172">
        <v>0</v>
      </c>
      <c r="AE172">
        <v>0</v>
      </c>
      <c r="AF172">
        <v>0</v>
      </c>
      <c r="AG172">
        <v>0</v>
      </c>
      <c r="AH172">
        <v>0</v>
      </c>
      <c r="AI172">
        <v>0</v>
      </c>
      <c r="AJ172">
        <v>0</v>
      </c>
      <c r="AK172">
        <v>0</v>
      </c>
      <c r="AL172">
        <v>0</v>
      </c>
      <c r="AM172">
        <v>0</v>
      </c>
      <c r="AN172">
        <v>0</v>
      </c>
      <c r="AO172">
        <v>0</v>
      </c>
      <c r="AP172">
        <v>0</v>
      </c>
      <c r="AQ172">
        <v>0</v>
      </c>
      <c r="AR172">
        <v>0</v>
      </c>
      <c r="AS172">
        <v>0</v>
      </c>
      <c r="AT172">
        <v>0</v>
      </c>
      <c r="AU172">
        <f t="shared" si="4"/>
        <v>0</v>
      </c>
      <c r="AV172">
        <f t="shared" si="5"/>
        <v>0</v>
      </c>
    </row>
    <row r="173" spans="1:48" x14ac:dyDescent="0.25">
      <c r="A173" t="s">
        <v>2729</v>
      </c>
      <c r="C173" t="s">
        <v>2358</v>
      </c>
      <c r="D173" t="s">
        <v>2730</v>
      </c>
      <c r="E173" t="s">
        <v>2310</v>
      </c>
      <c r="F173">
        <v>9</v>
      </c>
      <c r="G173">
        <v>9.4</v>
      </c>
      <c r="H173" t="s">
        <v>2323</v>
      </c>
      <c r="I173" s="21">
        <v>37400</v>
      </c>
      <c r="J173">
        <v>2002</v>
      </c>
      <c r="K173" s="21">
        <v>37440</v>
      </c>
      <c r="L173">
        <v>2002</v>
      </c>
      <c r="M173" s="21">
        <v>38000</v>
      </c>
      <c r="N173">
        <v>2004</v>
      </c>
      <c r="R173" s="262">
        <v>2400000</v>
      </c>
      <c r="S173" t="s">
        <v>114</v>
      </c>
      <c r="T173" t="s">
        <v>114</v>
      </c>
      <c r="U173">
        <v>5</v>
      </c>
      <c r="W173">
        <v>6177</v>
      </c>
      <c r="X173">
        <v>1</v>
      </c>
      <c r="Y173">
        <v>0</v>
      </c>
      <c r="Z173">
        <v>0</v>
      </c>
      <c r="AA173">
        <v>0</v>
      </c>
      <c r="AB173">
        <v>0</v>
      </c>
      <c r="AC173">
        <v>6177</v>
      </c>
      <c r="AD173">
        <v>0</v>
      </c>
      <c r="AE173">
        <v>0</v>
      </c>
      <c r="AF173">
        <v>0</v>
      </c>
      <c r="AG173">
        <v>0</v>
      </c>
      <c r="AH173">
        <v>0</v>
      </c>
      <c r="AI173">
        <v>0</v>
      </c>
      <c r="AJ173">
        <v>0</v>
      </c>
      <c r="AK173">
        <v>0</v>
      </c>
      <c r="AL173">
        <v>0</v>
      </c>
      <c r="AM173">
        <v>0</v>
      </c>
      <c r="AN173">
        <v>0</v>
      </c>
      <c r="AO173">
        <v>1</v>
      </c>
      <c r="AP173">
        <v>0</v>
      </c>
      <c r="AQ173">
        <v>0</v>
      </c>
      <c r="AR173">
        <v>0</v>
      </c>
      <c r="AS173">
        <v>0</v>
      </c>
      <c r="AT173">
        <v>0</v>
      </c>
      <c r="AU173">
        <f t="shared" si="4"/>
        <v>1</v>
      </c>
      <c r="AV173">
        <f t="shared" si="5"/>
        <v>0</v>
      </c>
    </row>
    <row r="174" spans="1:48" x14ac:dyDescent="0.25">
      <c r="A174" t="s">
        <v>2731</v>
      </c>
      <c r="C174" t="s">
        <v>2732</v>
      </c>
      <c r="D174" t="s">
        <v>2326</v>
      </c>
      <c r="E174" t="s">
        <v>2310</v>
      </c>
      <c r="F174">
        <v>12</v>
      </c>
      <c r="G174">
        <v>12.1</v>
      </c>
      <c r="H174" t="s">
        <v>2327</v>
      </c>
      <c r="I174" s="21">
        <v>37400</v>
      </c>
      <c r="J174">
        <v>2002</v>
      </c>
      <c r="K174" s="21">
        <v>37432</v>
      </c>
      <c r="L174">
        <v>2002</v>
      </c>
      <c r="M174" s="21">
        <v>37510</v>
      </c>
      <c r="N174">
        <v>2002</v>
      </c>
      <c r="R174" s="262">
        <v>30000</v>
      </c>
      <c r="S174" t="s">
        <v>114</v>
      </c>
      <c r="T174" t="s">
        <v>114</v>
      </c>
      <c r="U174">
        <v>12</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f t="shared" si="4"/>
        <v>0</v>
      </c>
      <c r="AV174">
        <f t="shared" si="5"/>
        <v>0</v>
      </c>
    </row>
    <row r="175" spans="1:48" x14ac:dyDescent="0.25">
      <c r="A175" t="s">
        <v>2733</v>
      </c>
      <c r="C175" t="s">
        <v>2734</v>
      </c>
      <c r="D175" t="s">
        <v>2735</v>
      </c>
      <c r="E175" t="s">
        <v>2310</v>
      </c>
      <c r="F175">
        <v>15</v>
      </c>
      <c r="G175">
        <v>15.1</v>
      </c>
      <c r="H175" t="s">
        <v>2022</v>
      </c>
      <c r="I175" s="21">
        <v>37400</v>
      </c>
      <c r="J175">
        <v>2002</v>
      </c>
      <c r="K175" s="21">
        <v>37427</v>
      </c>
      <c r="L175">
        <v>2002</v>
      </c>
      <c r="M175" s="21">
        <v>38567</v>
      </c>
      <c r="N175">
        <v>2005</v>
      </c>
      <c r="R175" s="262">
        <v>52000</v>
      </c>
      <c r="S175" t="s">
        <v>114</v>
      </c>
      <c r="T175" t="s">
        <v>114</v>
      </c>
      <c r="U175">
        <v>5</v>
      </c>
      <c r="W175">
        <v>4400</v>
      </c>
      <c r="X175">
        <v>1</v>
      </c>
      <c r="Y175">
        <v>0</v>
      </c>
      <c r="Z175">
        <v>0</v>
      </c>
      <c r="AA175">
        <v>0</v>
      </c>
      <c r="AB175">
        <v>0</v>
      </c>
      <c r="AC175">
        <v>4400</v>
      </c>
      <c r="AD175">
        <v>0</v>
      </c>
      <c r="AE175">
        <v>0</v>
      </c>
      <c r="AF175">
        <v>0</v>
      </c>
      <c r="AG175">
        <v>0</v>
      </c>
      <c r="AH175">
        <v>0</v>
      </c>
      <c r="AI175">
        <v>0</v>
      </c>
      <c r="AJ175">
        <v>0</v>
      </c>
      <c r="AK175">
        <v>0</v>
      </c>
      <c r="AL175">
        <v>0</v>
      </c>
      <c r="AM175">
        <v>0</v>
      </c>
      <c r="AN175">
        <v>0</v>
      </c>
      <c r="AO175">
        <v>1</v>
      </c>
      <c r="AP175">
        <v>0</v>
      </c>
      <c r="AQ175">
        <v>0</v>
      </c>
      <c r="AR175">
        <v>0</v>
      </c>
      <c r="AS175">
        <v>0</v>
      </c>
      <c r="AT175">
        <v>0</v>
      </c>
      <c r="AU175">
        <f t="shared" si="4"/>
        <v>1</v>
      </c>
      <c r="AV175">
        <f t="shared" si="5"/>
        <v>0</v>
      </c>
    </row>
    <row r="176" spans="1:48" x14ac:dyDescent="0.25">
      <c r="A176" t="s">
        <v>2736</v>
      </c>
      <c r="C176" t="s">
        <v>2737</v>
      </c>
      <c r="D176" t="s">
        <v>2738</v>
      </c>
      <c r="E176" t="s">
        <v>1663</v>
      </c>
      <c r="F176">
        <v>6</v>
      </c>
      <c r="G176">
        <v>6.2</v>
      </c>
      <c r="H176" t="s">
        <v>2017</v>
      </c>
      <c r="I176" s="21">
        <v>37404</v>
      </c>
      <c r="J176">
        <v>2002</v>
      </c>
      <c r="K176" s="21">
        <v>37435</v>
      </c>
      <c r="L176">
        <v>2002</v>
      </c>
      <c r="M176" s="21">
        <v>37588</v>
      </c>
      <c r="N176">
        <v>2002</v>
      </c>
      <c r="Q176" s="262">
        <v>222138</v>
      </c>
      <c r="S176" t="s">
        <v>114</v>
      </c>
      <c r="T176" t="s">
        <v>114</v>
      </c>
      <c r="W176">
        <v>2709</v>
      </c>
      <c r="X176">
        <v>1</v>
      </c>
      <c r="Y176">
        <v>0</v>
      </c>
      <c r="Z176">
        <v>0</v>
      </c>
      <c r="AA176">
        <v>0</v>
      </c>
      <c r="AB176">
        <v>0</v>
      </c>
      <c r="AC176">
        <v>2709</v>
      </c>
      <c r="AD176">
        <v>0</v>
      </c>
      <c r="AE176">
        <v>0</v>
      </c>
      <c r="AF176">
        <v>0</v>
      </c>
      <c r="AG176">
        <v>0</v>
      </c>
      <c r="AH176">
        <v>0</v>
      </c>
      <c r="AI176">
        <v>0</v>
      </c>
      <c r="AJ176">
        <v>0</v>
      </c>
      <c r="AK176">
        <v>0</v>
      </c>
      <c r="AL176">
        <v>0</v>
      </c>
      <c r="AM176">
        <v>0</v>
      </c>
      <c r="AN176">
        <v>0</v>
      </c>
      <c r="AO176">
        <v>1</v>
      </c>
      <c r="AP176">
        <v>0</v>
      </c>
      <c r="AQ176">
        <v>0</v>
      </c>
      <c r="AR176">
        <v>0</v>
      </c>
      <c r="AS176">
        <v>0</v>
      </c>
      <c r="AT176">
        <v>0</v>
      </c>
      <c r="AU176">
        <f t="shared" si="4"/>
        <v>1</v>
      </c>
      <c r="AV176">
        <f t="shared" si="5"/>
        <v>0</v>
      </c>
    </row>
    <row r="177" spans="1:48" x14ac:dyDescent="0.25">
      <c r="A177" t="s">
        <v>2739</v>
      </c>
      <c r="C177" t="s">
        <v>2740</v>
      </c>
      <c r="D177" t="s">
        <v>2741</v>
      </c>
      <c r="E177" t="s">
        <v>2310</v>
      </c>
      <c r="F177">
        <v>8</v>
      </c>
      <c r="G177">
        <v>8.1</v>
      </c>
      <c r="H177" t="s">
        <v>2323</v>
      </c>
      <c r="I177" s="21">
        <v>37404</v>
      </c>
      <c r="J177">
        <v>2002</v>
      </c>
      <c r="K177" s="21">
        <v>37418</v>
      </c>
      <c r="L177">
        <v>2002</v>
      </c>
      <c r="M177" s="21">
        <v>37418</v>
      </c>
      <c r="N177">
        <v>2002</v>
      </c>
      <c r="R177" s="262">
        <v>40000</v>
      </c>
      <c r="S177" t="s">
        <v>114</v>
      </c>
      <c r="T177" t="s">
        <v>114</v>
      </c>
      <c r="U177">
        <v>5</v>
      </c>
      <c r="W177">
        <v>330</v>
      </c>
      <c r="X177">
        <v>0</v>
      </c>
      <c r="Y177">
        <v>0</v>
      </c>
      <c r="Z177">
        <v>0</v>
      </c>
      <c r="AA177">
        <v>0</v>
      </c>
      <c r="AB177">
        <v>0</v>
      </c>
      <c r="AC177">
        <v>330</v>
      </c>
      <c r="AD177">
        <v>0</v>
      </c>
      <c r="AE177">
        <v>0</v>
      </c>
      <c r="AF177">
        <v>0</v>
      </c>
      <c r="AG177">
        <v>0</v>
      </c>
      <c r="AH177">
        <v>0</v>
      </c>
      <c r="AI177">
        <v>0</v>
      </c>
      <c r="AJ177">
        <v>0</v>
      </c>
      <c r="AK177">
        <v>0</v>
      </c>
      <c r="AL177">
        <v>0</v>
      </c>
      <c r="AM177">
        <v>0</v>
      </c>
      <c r="AN177">
        <v>0</v>
      </c>
      <c r="AO177">
        <v>0</v>
      </c>
      <c r="AP177">
        <v>0</v>
      </c>
      <c r="AQ177">
        <v>0</v>
      </c>
      <c r="AR177">
        <v>0</v>
      </c>
      <c r="AS177">
        <v>0</v>
      </c>
      <c r="AT177">
        <v>0</v>
      </c>
      <c r="AU177">
        <f t="shared" si="4"/>
        <v>0</v>
      </c>
      <c r="AV177">
        <f t="shared" si="5"/>
        <v>0</v>
      </c>
    </row>
    <row r="178" spans="1:48" x14ac:dyDescent="0.25">
      <c r="A178" t="s">
        <v>2742</v>
      </c>
      <c r="C178" t="s">
        <v>2743</v>
      </c>
      <c r="D178" t="s">
        <v>2744</v>
      </c>
      <c r="E178" t="s">
        <v>2310</v>
      </c>
      <c r="F178">
        <v>7</v>
      </c>
      <c r="G178">
        <v>7.2</v>
      </c>
      <c r="H178" t="s">
        <v>2017</v>
      </c>
      <c r="I178" s="21">
        <v>37404</v>
      </c>
      <c r="J178">
        <v>2002</v>
      </c>
      <c r="K178" s="21">
        <v>37418</v>
      </c>
      <c r="L178">
        <v>2002</v>
      </c>
      <c r="M178" s="21">
        <v>37418</v>
      </c>
      <c r="N178">
        <v>2002</v>
      </c>
      <c r="R178" s="262">
        <v>100000</v>
      </c>
      <c r="S178" t="s">
        <v>114</v>
      </c>
      <c r="T178" t="s">
        <v>114</v>
      </c>
      <c r="U178">
        <v>5</v>
      </c>
      <c r="W178">
        <v>936</v>
      </c>
      <c r="X178">
        <v>1</v>
      </c>
      <c r="Y178">
        <v>0</v>
      </c>
      <c r="Z178">
        <v>0</v>
      </c>
      <c r="AA178">
        <v>0</v>
      </c>
      <c r="AB178">
        <v>0</v>
      </c>
      <c r="AC178">
        <v>936</v>
      </c>
      <c r="AD178">
        <v>0</v>
      </c>
      <c r="AE178">
        <v>0</v>
      </c>
      <c r="AF178">
        <v>0</v>
      </c>
      <c r="AG178">
        <v>0</v>
      </c>
      <c r="AH178">
        <v>0</v>
      </c>
      <c r="AI178">
        <v>0</v>
      </c>
      <c r="AJ178">
        <v>0</v>
      </c>
      <c r="AK178">
        <v>0</v>
      </c>
      <c r="AL178">
        <v>0</v>
      </c>
      <c r="AM178">
        <v>0</v>
      </c>
      <c r="AN178">
        <v>0</v>
      </c>
      <c r="AO178">
        <v>1</v>
      </c>
      <c r="AP178">
        <v>0</v>
      </c>
      <c r="AQ178">
        <v>0</v>
      </c>
      <c r="AR178">
        <v>0</v>
      </c>
      <c r="AS178">
        <v>0</v>
      </c>
      <c r="AT178">
        <v>0</v>
      </c>
      <c r="AU178">
        <f t="shared" si="4"/>
        <v>1</v>
      </c>
      <c r="AV178">
        <f t="shared" si="5"/>
        <v>0</v>
      </c>
    </row>
    <row r="179" spans="1:48" x14ac:dyDescent="0.25">
      <c r="A179" t="s">
        <v>2745</v>
      </c>
      <c r="C179" t="s">
        <v>2746</v>
      </c>
      <c r="D179" t="s">
        <v>2747</v>
      </c>
      <c r="E179" t="s">
        <v>2310</v>
      </c>
      <c r="F179">
        <v>15</v>
      </c>
      <c r="G179">
        <v>15.2</v>
      </c>
      <c r="H179" t="s">
        <v>2323</v>
      </c>
      <c r="I179" s="21">
        <v>37404</v>
      </c>
      <c r="J179">
        <v>2002</v>
      </c>
      <c r="K179" s="21">
        <v>37418</v>
      </c>
      <c r="L179">
        <v>2002</v>
      </c>
      <c r="M179" s="21">
        <v>37418</v>
      </c>
      <c r="N179">
        <v>2002</v>
      </c>
      <c r="R179" s="262">
        <v>80000</v>
      </c>
      <c r="S179" t="s">
        <v>114</v>
      </c>
      <c r="T179" t="s">
        <v>114</v>
      </c>
      <c r="U179">
        <v>5</v>
      </c>
      <c r="W179">
        <v>2160</v>
      </c>
      <c r="X179">
        <v>0</v>
      </c>
      <c r="Y179">
        <v>0</v>
      </c>
      <c r="Z179">
        <v>0</v>
      </c>
      <c r="AA179">
        <v>0</v>
      </c>
      <c r="AB179">
        <v>0</v>
      </c>
      <c r="AC179">
        <v>2160</v>
      </c>
      <c r="AD179">
        <v>0</v>
      </c>
      <c r="AE179">
        <v>0</v>
      </c>
      <c r="AF179">
        <v>0</v>
      </c>
      <c r="AG179">
        <v>0</v>
      </c>
      <c r="AH179">
        <v>0</v>
      </c>
      <c r="AI179">
        <v>0</v>
      </c>
      <c r="AJ179">
        <v>0</v>
      </c>
      <c r="AK179">
        <v>0</v>
      </c>
      <c r="AL179">
        <v>0</v>
      </c>
      <c r="AM179">
        <v>0</v>
      </c>
      <c r="AN179">
        <v>0</v>
      </c>
      <c r="AO179">
        <v>0</v>
      </c>
      <c r="AP179">
        <v>0</v>
      </c>
      <c r="AQ179">
        <v>0</v>
      </c>
      <c r="AR179">
        <v>0</v>
      </c>
      <c r="AS179">
        <v>0</v>
      </c>
      <c r="AT179">
        <v>0</v>
      </c>
      <c r="AU179">
        <f t="shared" si="4"/>
        <v>0</v>
      </c>
      <c r="AV179">
        <f t="shared" si="5"/>
        <v>0</v>
      </c>
    </row>
    <row r="180" spans="1:48" x14ac:dyDescent="0.25">
      <c r="A180" t="s">
        <v>2748</v>
      </c>
      <c r="C180" t="s">
        <v>2749</v>
      </c>
      <c r="D180" t="s">
        <v>2750</v>
      </c>
      <c r="E180" t="s">
        <v>2310</v>
      </c>
      <c r="F180">
        <v>9</v>
      </c>
      <c r="G180">
        <v>9.1999999999999993</v>
      </c>
      <c r="H180" t="s">
        <v>2022</v>
      </c>
      <c r="I180" s="21">
        <v>37404</v>
      </c>
      <c r="J180">
        <v>2002</v>
      </c>
      <c r="K180" s="21">
        <v>37419</v>
      </c>
      <c r="L180">
        <v>2002</v>
      </c>
      <c r="M180" s="21">
        <v>37419</v>
      </c>
      <c r="N180">
        <v>2002</v>
      </c>
      <c r="R180" s="262">
        <v>21000</v>
      </c>
      <c r="S180" t="s">
        <v>114</v>
      </c>
      <c r="T180" t="s">
        <v>114</v>
      </c>
      <c r="U180">
        <v>5</v>
      </c>
      <c r="W180">
        <v>448</v>
      </c>
      <c r="X180">
        <v>0</v>
      </c>
      <c r="Y180">
        <v>0</v>
      </c>
      <c r="Z180">
        <v>0</v>
      </c>
      <c r="AA180">
        <v>0</v>
      </c>
      <c r="AB180">
        <v>0</v>
      </c>
      <c r="AC180">
        <v>448</v>
      </c>
      <c r="AD180">
        <v>0</v>
      </c>
      <c r="AE180">
        <v>0</v>
      </c>
      <c r="AF180">
        <v>0</v>
      </c>
      <c r="AG180">
        <v>0</v>
      </c>
      <c r="AH180">
        <v>0</v>
      </c>
      <c r="AI180">
        <v>0</v>
      </c>
      <c r="AJ180">
        <v>0</v>
      </c>
      <c r="AK180">
        <v>0</v>
      </c>
      <c r="AL180">
        <v>0</v>
      </c>
      <c r="AM180">
        <v>0</v>
      </c>
      <c r="AN180">
        <v>0</v>
      </c>
      <c r="AO180">
        <v>0</v>
      </c>
      <c r="AP180">
        <v>0</v>
      </c>
      <c r="AQ180">
        <v>0</v>
      </c>
      <c r="AR180">
        <v>0</v>
      </c>
      <c r="AS180">
        <v>0</v>
      </c>
      <c r="AT180">
        <v>0</v>
      </c>
      <c r="AU180">
        <f t="shared" si="4"/>
        <v>0</v>
      </c>
      <c r="AV180">
        <f t="shared" si="5"/>
        <v>0</v>
      </c>
    </row>
    <row r="181" spans="1:48" x14ac:dyDescent="0.25">
      <c r="A181" t="s">
        <v>2751</v>
      </c>
      <c r="C181" t="s">
        <v>2752</v>
      </c>
      <c r="D181" t="s">
        <v>2753</v>
      </c>
      <c r="E181" t="s">
        <v>2310</v>
      </c>
      <c r="F181">
        <v>13</v>
      </c>
      <c r="G181">
        <v>13.3</v>
      </c>
      <c r="H181" t="s">
        <v>2017</v>
      </c>
      <c r="I181" s="21">
        <v>37404</v>
      </c>
      <c r="J181">
        <v>2002</v>
      </c>
      <c r="K181" s="21">
        <v>37428</v>
      </c>
      <c r="L181">
        <v>2002</v>
      </c>
      <c r="M181" s="21">
        <v>37883</v>
      </c>
      <c r="N181">
        <v>2003</v>
      </c>
      <c r="R181" s="262">
        <v>1575000</v>
      </c>
      <c r="S181" t="s">
        <v>114</v>
      </c>
      <c r="T181" t="s">
        <v>114</v>
      </c>
      <c r="U181">
        <v>5</v>
      </c>
      <c r="W181">
        <v>7626</v>
      </c>
      <c r="X181">
        <v>1</v>
      </c>
      <c r="Y181">
        <v>0</v>
      </c>
      <c r="Z181">
        <v>0</v>
      </c>
      <c r="AA181">
        <v>0</v>
      </c>
      <c r="AB181">
        <v>0</v>
      </c>
      <c r="AC181">
        <v>7626</v>
      </c>
      <c r="AD181">
        <v>0</v>
      </c>
      <c r="AE181">
        <v>0</v>
      </c>
      <c r="AF181">
        <v>0</v>
      </c>
      <c r="AG181">
        <v>0</v>
      </c>
      <c r="AH181">
        <v>0</v>
      </c>
      <c r="AI181">
        <v>0</v>
      </c>
      <c r="AJ181">
        <v>0</v>
      </c>
      <c r="AK181">
        <v>0</v>
      </c>
      <c r="AL181">
        <v>0</v>
      </c>
      <c r="AM181">
        <v>0</v>
      </c>
      <c r="AN181">
        <v>0</v>
      </c>
      <c r="AO181">
        <v>1</v>
      </c>
      <c r="AP181">
        <v>0</v>
      </c>
      <c r="AQ181">
        <v>0</v>
      </c>
      <c r="AR181">
        <v>0</v>
      </c>
      <c r="AS181">
        <v>0</v>
      </c>
      <c r="AT181">
        <v>0</v>
      </c>
      <c r="AU181">
        <f t="shared" si="4"/>
        <v>1</v>
      </c>
      <c r="AV181">
        <f t="shared" si="5"/>
        <v>0</v>
      </c>
    </row>
    <row r="182" spans="1:48" x14ac:dyDescent="0.25">
      <c r="A182" t="s">
        <v>2754</v>
      </c>
      <c r="C182" t="s">
        <v>2541</v>
      </c>
      <c r="D182" t="s">
        <v>2755</v>
      </c>
      <c r="E182" t="s">
        <v>2310</v>
      </c>
      <c r="F182">
        <v>15</v>
      </c>
      <c r="G182">
        <v>15.1</v>
      </c>
      <c r="H182" t="s">
        <v>2022</v>
      </c>
      <c r="I182" s="21">
        <v>37405</v>
      </c>
      <c r="J182">
        <v>2002</v>
      </c>
      <c r="K182" s="21">
        <v>37420</v>
      </c>
      <c r="L182">
        <v>2002</v>
      </c>
      <c r="M182" s="21">
        <v>38685</v>
      </c>
      <c r="N182">
        <v>2005</v>
      </c>
      <c r="R182" s="262">
        <v>785000</v>
      </c>
      <c r="S182" t="s">
        <v>114</v>
      </c>
      <c r="T182" t="s">
        <v>114</v>
      </c>
      <c r="U182">
        <v>5</v>
      </c>
      <c r="W182">
        <v>3139</v>
      </c>
      <c r="X182">
        <v>0</v>
      </c>
      <c r="Y182">
        <v>0</v>
      </c>
      <c r="Z182">
        <v>0</v>
      </c>
      <c r="AA182">
        <v>0</v>
      </c>
      <c r="AB182">
        <v>0</v>
      </c>
      <c r="AC182">
        <v>3139</v>
      </c>
      <c r="AD182">
        <v>0</v>
      </c>
      <c r="AE182">
        <v>0</v>
      </c>
      <c r="AF182">
        <v>0</v>
      </c>
      <c r="AG182">
        <v>0</v>
      </c>
      <c r="AH182">
        <v>0</v>
      </c>
      <c r="AI182">
        <v>0</v>
      </c>
      <c r="AJ182">
        <v>0</v>
      </c>
      <c r="AK182">
        <v>0</v>
      </c>
      <c r="AL182">
        <v>0</v>
      </c>
      <c r="AM182">
        <v>0</v>
      </c>
      <c r="AN182">
        <v>0</v>
      </c>
      <c r="AO182">
        <v>0</v>
      </c>
      <c r="AP182">
        <v>0</v>
      </c>
      <c r="AQ182">
        <v>0</v>
      </c>
      <c r="AR182">
        <v>0</v>
      </c>
      <c r="AS182">
        <v>0</v>
      </c>
      <c r="AT182">
        <v>0</v>
      </c>
      <c r="AU182">
        <f t="shared" si="4"/>
        <v>0</v>
      </c>
      <c r="AV182">
        <f t="shared" si="5"/>
        <v>0</v>
      </c>
    </row>
    <row r="183" spans="1:48" x14ac:dyDescent="0.25">
      <c r="A183" t="s">
        <v>2756</v>
      </c>
      <c r="C183" t="s">
        <v>2757</v>
      </c>
      <c r="D183" t="s">
        <v>2758</v>
      </c>
      <c r="E183" t="s">
        <v>2310</v>
      </c>
      <c r="F183">
        <v>15</v>
      </c>
      <c r="G183">
        <v>15.2</v>
      </c>
      <c r="H183" t="s">
        <v>2323</v>
      </c>
      <c r="I183" s="21">
        <v>37405</v>
      </c>
      <c r="J183">
        <v>2002</v>
      </c>
      <c r="K183" s="21">
        <v>37421</v>
      </c>
      <c r="L183">
        <v>2002</v>
      </c>
      <c r="M183" s="21">
        <v>37939</v>
      </c>
      <c r="N183">
        <v>2003</v>
      </c>
      <c r="R183" s="262">
        <v>190000</v>
      </c>
      <c r="S183" t="s">
        <v>114</v>
      </c>
      <c r="T183" t="s">
        <v>114</v>
      </c>
      <c r="U183">
        <v>5</v>
      </c>
      <c r="W183">
        <v>1289</v>
      </c>
      <c r="X183">
        <v>0</v>
      </c>
      <c r="Y183">
        <v>0</v>
      </c>
      <c r="Z183">
        <v>0</v>
      </c>
      <c r="AA183">
        <v>0</v>
      </c>
      <c r="AB183">
        <v>0</v>
      </c>
      <c r="AC183">
        <v>1289</v>
      </c>
      <c r="AD183">
        <v>0</v>
      </c>
      <c r="AE183">
        <v>0</v>
      </c>
      <c r="AF183">
        <v>0</v>
      </c>
      <c r="AG183">
        <v>0</v>
      </c>
      <c r="AH183">
        <v>0</v>
      </c>
      <c r="AI183">
        <v>0</v>
      </c>
      <c r="AJ183">
        <v>0</v>
      </c>
      <c r="AK183">
        <v>0</v>
      </c>
      <c r="AL183">
        <v>0</v>
      </c>
      <c r="AM183">
        <v>0</v>
      </c>
      <c r="AN183">
        <v>0</v>
      </c>
      <c r="AO183">
        <v>0</v>
      </c>
      <c r="AP183">
        <v>0</v>
      </c>
      <c r="AQ183">
        <v>0</v>
      </c>
      <c r="AR183">
        <v>0</v>
      </c>
      <c r="AS183">
        <v>0</v>
      </c>
      <c r="AT183">
        <v>0</v>
      </c>
      <c r="AU183">
        <f t="shared" si="4"/>
        <v>0</v>
      </c>
      <c r="AV183">
        <f t="shared" si="5"/>
        <v>0</v>
      </c>
    </row>
    <row r="184" spans="1:48" x14ac:dyDescent="0.25">
      <c r="A184" t="s">
        <v>2759</v>
      </c>
      <c r="C184" t="s">
        <v>2544</v>
      </c>
      <c r="D184" t="s">
        <v>2758</v>
      </c>
      <c r="E184" t="s">
        <v>2310</v>
      </c>
      <c r="F184">
        <v>15</v>
      </c>
      <c r="G184">
        <v>15.2</v>
      </c>
      <c r="H184" t="s">
        <v>2323</v>
      </c>
      <c r="I184" s="21">
        <v>37405</v>
      </c>
      <c r="J184">
        <v>2002</v>
      </c>
      <c r="K184" s="21">
        <v>37421</v>
      </c>
      <c r="L184">
        <v>2002</v>
      </c>
      <c r="M184" s="21">
        <v>38569</v>
      </c>
      <c r="N184">
        <v>2005</v>
      </c>
      <c r="R184" s="262">
        <v>60000</v>
      </c>
      <c r="S184" t="s">
        <v>114</v>
      </c>
      <c r="T184" t="s">
        <v>114</v>
      </c>
      <c r="U184">
        <v>5</v>
      </c>
      <c r="W184">
        <v>793</v>
      </c>
      <c r="X184">
        <v>0</v>
      </c>
      <c r="Y184">
        <v>0</v>
      </c>
      <c r="Z184">
        <v>0</v>
      </c>
      <c r="AA184">
        <v>0</v>
      </c>
      <c r="AB184">
        <v>0</v>
      </c>
      <c r="AC184">
        <v>793</v>
      </c>
      <c r="AD184">
        <v>0</v>
      </c>
      <c r="AE184">
        <v>0</v>
      </c>
      <c r="AF184">
        <v>0</v>
      </c>
      <c r="AG184">
        <v>0</v>
      </c>
      <c r="AH184">
        <v>0</v>
      </c>
      <c r="AI184">
        <v>0</v>
      </c>
      <c r="AJ184">
        <v>0</v>
      </c>
      <c r="AK184">
        <v>0</v>
      </c>
      <c r="AL184">
        <v>0</v>
      </c>
      <c r="AM184">
        <v>0</v>
      </c>
      <c r="AN184">
        <v>0</v>
      </c>
      <c r="AO184">
        <v>0</v>
      </c>
      <c r="AP184">
        <v>0</v>
      </c>
      <c r="AQ184">
        <v>0</v>
      </c>
      <c r="AR184">
        <v>0</v>
      </c>
      <c r="AS184">
        <v>0</v>
      </c>
      <c r="AT184">
        <v>0</v>
      </c>
      <c r="AU184">
        <f t="shared" si="4"/>
        <v>0</v>
      </c>
      <c r="AV184">
        <f t="shared" si="5"/>
        <v>0</v>
      </c>
    </row>
    <row r="185" spans="1:48" x14ac:dyDescent="0.25">
      <c r="A185" t="s">
        <v>2760</v>
      </c>
      <c r="C185" t="s">
        <v>2761</v>
      </c>
      <c r="D185" t="s">
        <v>2762</v>
      </c>
      <c r="E185" t="s">
        <v>2310</v>
      </c>
      <c r="F185">
        <v>8</v>
      </c>
      <c r="G185">
        <v>8.1</v>
      </c>
      <c r="H185" t="s">
        <v>2323</v>
      </c>
      <c r="I185" s="21">
        <v>37405</v>
      </c>
      <c r="J185">
        <v>2002</v>
      </c>
      <c r="K185" s="21">
        <v>37421</v>
      </c>
      <c r="L185">
        <v>2002</v>
      </c>
      <c r="M185" s="21">
        <v>37421</v>
      </c>
      <c r="N185">
        <v>2002</v>
      </c>
      <c r="R185" s="262">
        <v>17000</v>
      </c>
      <c r="S185" t="s">
        <v>114</v>
      </c>
      <c r="T185" t="s">
        <v>114</v>
      </c>
      <c r="U185">
        <v>5</v>
      </c>
      <c r="W185">
        <v>140</v>
      </c>
      <c r="X185">
        <v>0</v>
      </c>
      <c r="Y185">
        <v>0</v>
      </c>
      <c r="Z185">
        <v>0</v>
      </c>
      <c r="AA185">
        <v>0</v>
      </c>
      <c r="AB185">
        <v>0</v>
      </c>
      <c r="AC185">
        <v>140</v>
      </c>
      <c r="AD185">
        <v>0</v>
      </c>
      <c r="AE185">
        <v>0</v>
      </c>
      <c r="AF185">
        <v>0</v>
      </c>
      <c r="AG185">
        <v>0</v>
      </c>
      <c r="AH185">
        <v>0</v>
      </c>
      <c r="AI185">
        <v>0</v>
      </c>
      <c r="AJ185">
        <v>0</v>
      </c>
      <c r="AK185">
        <v>0</v>
      </c>
      <c r="AL185">
        <v>0</v>
      </c>
      <c r="AM185">
        <v>0</v>
      </c>
      <c r="AN185">
        <v>0</v>
      </c>
      <c r="AO185">
        <v>0</v>
      </c>
      <c r="AP185">
        <v>0</v>
      </c>
      <c r="AQ185">
        <v>0</v>
      </c>
      <c r="AR185">
        <v>0</v>
      </c>
      <c r="AS185">
        <v>0</v>
      </c>
      <c r="AT185">
        <v>0</v>
      </c>
      <c r="AU185">
        <f t="shared" si="4"/>
        <v>0</v>
      </c>
      <c r="AV185">
        <f t="shared" si="5"/>
        <v>0</v>
      </c>
    </row>
    <row r="186" spans="1:48" x14ac:dyDescent="0.25">
      <c r="A186" t="s">
        <v>2763</v>
      </c>
      <c r="C186" t="s">
        <v>2764</v>
      </c>
      <c r="D186" t="s">
        <v>2765</v>
      </c>
      <c r="E186" t="s">
        <v>2310</v>
      </c>
      <c r="F186">
        <v>9</v>
      </c>
      <c r="G186">
        <v>9.1999999999999993</v>
      </c>
      <c r="H186" t="s">
        <v>2022</v>
      </c>
      <c r="I186" s="21">
        <v>37406</v>
      </c>
      <c r="J186">
        <v>2002</v>
      </c>
      <c r="K186" s="21">
        <v>37421</v>
      </c>
      <c r="L186">
        <v>2002</v>
      </c>
      <c r="M186" s="21">
        <v>37421</v>
      </c>
      <c r="N186">
        <v>2002</v>
      </c>
      <c r="R186" s="262">
        <v>20000</v>
      </c>
      <c r="S186" t="s">
        <v>114</v>
      </c>
      <c r="T186" t="s">
        <v>114</v>
      </c>
      <c r="U186">
        <v>5</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f t="shared" si="4"/>
        <v>0</v>
      </c>
      <c r="AV186">
        <f t="shared" si="5"/>
        <v>0</v>
      </c>
    </row>
    <row r="187" spans="1:48" x14ac:dyDescent="0.25">
      <c r="A187" t="s">
        <v>2766</v>
      </c>
      <c r="C187" t="s">
        <v>2767</v>
      </c>
      <c r="D187" t="s">
        <v>2768</v>
      </c>
      <c r="E187" t="s">
        <v>2310</v>
      </c>
      <c r="F187">
        <v>15</v>
      </c>
      <c r="G187">
        <v>15.1</v>
      </c>
      <c r="H187" t="s">
        <v>2022</v>
      </c>
      <c r="I187" s="21">
        <v>37406</v>
      </c>
      <c r="J187">
        <v>2002</v>
      </c>
      <c r="K187" s="21">
        <v>37448</v>
      </c>
      <c r="L187">
        <v>2002</v>
      </c>
      <c r="M187" s="21">
        <v>37448</v>
      </c>
      <c r="N187">
        <v>2002</v>
      </c>
      <c r="R187" s="262">
        <v>35000</v>
      </c>
      <c r="S187" t="s">
        <v>114</v>
      </c>
      <c r="T187" t="s">
        <v>114</v>
      </c>
      <c r="U187">
        <v>1</v>
      </c>
      <c r="W187">
        <v>104</v>
      </c>
      <c r="X187">
        <v>0</v>
      </c>
      <c r="Y187">
        <v>104</v>
      </c>
      <c r="Z187">
        <v>0</v>
      </c>
      <c r="AA187">
        <v>0</v>
      </c>
      <c r="AB187">
        <v>0</v>
      </c>
      <c r="AC187">
        <v>0</v>
      </c>
      <c r="AD187">
        <v>0</v>
      </c>
      <c r="AE187">
        <v>0</v>
      </c>
      <c r="AF187">
        <v>0</v>
      </c>
      <c r="AG187">
        <v>0</v>
      </c>
      <c r="AH187">
        <v>0</v>
      </c>
      <c r="AI187">
        <v>0</v>
      </c>
      <c r="AJ187">
        <v>0</v>
      </c>
      <c r="AK187">
        <v>0</v>
      </c>
      <c r="AL187">
        <v>0</v>
      </c>
      <c r="AM187">
        <v>0</v>
      </c>
      <c r="AN187">
        <v>0</v>
      </c>
      <c r="AO187">
        <v>0</v>
      </c>
      <c r="AP187">
        <v>0</v>
      </c>
      <c r="AQ187">
        <v>0</v>
      </c>
      <c r="AR187">
        <v>0</v>
      </c>
      <c r="AS187">
        <v>0</v>
      </c>
      <c r="AT187">
        <v>0</v>
      </c>
      <c r="AU187">
        <f t="shared" si="4"/>
        <v>0</v>
      </c>
      <c r="AV187">
        <f t="shared" si="5"/>
        <v>104</v>
      </c>
    </row>
    <row r="188" spans="1:48" x14ac:dyDescent="0.25">
      <c r="A188" t="s">
        <v>2769</v>
      </c>
      <c r="C188" t="s">
        <v>2486</v>
      </c>
      <c r="D188" t="s">
        <v>2770</v>
      </c>
      <c r="E188" t="s">
        <v>2310</v>
      </c>
      <c r="F188">
        <v>10</v>
      </c>
      <c r="G188">
        <v>10.1</v>
      </c>
      <c r="H188" t="s">
        <v>2323</v>
      </c>
      <c r="I188" s="21">
        <v>37406</v>
      </c>
      <c r="J188">
        <v>2002</v>
      </c>
      <c r="K188" s="21">
        <v>37418</v>
      </c>
      <c r="L188">
        <v>2002</v>
      </c>
      <c r="M188" s="21">
        <v>37565</v>
      </c>
      <c r="N188">
        <v>2002</v>
      </c>
      <c r="R188" s="262">
        <v>250000</v>
      </c>
      <c r="S188" t="s">
        <v>114</v>
      </c>
      <c r="T188" t="s">
        <v>114</v>
      </c>
      <c r="U188">
        <v>5</v>
      </c>
      <c r="W188">
        <v>2915</v>
      </c>
      <c r="X188">
        <v>1</v>
      </c>
      <c r="Y188">
        <v>0</v>
      </c>
      <c r="Z188">
        <v>0</v>
      </c>
      <c r="AA188">
        <v>0</v>
      </c>
      <c r="AB188">
        <v>0</v>
      </c>
      <c r="AC188">
        <v>2915</v>
      </c>
      <c r="AD188">
        <v>0</v>
      </c>
      <c r="AE188">
        <v>0</v>
      </c>
      <c r="AF188">
        <v>0</v>
      </c>
      <c r="AG188">
        <v>0</v>
      </c>
      <c r="AH188">
        <v>0</v>
      </c>
      <c r="AI188">
        <v>0</v>
      </c>
      <c r="AJ188">
        <v>0</v>
      </c>
      <c r="AK188">
        <v>0</v>
      </c>
      <c r="AL188">
        <v>0</v>
      </c>
      <c r="AM188">
        <v>0</v>
      </c>
      <c r="AN188">
        <v>0</v>
      </c>
      <c r="AO188">
        <v>1</v>
      </c>
      <c r="AP188">
        <v>0</v>
      </c>
      <c r="AQ188">
        <v>0</v>
      </c>
      <c r="AR188">
        <v>0</v>
      </c>
      <c r="AS188">
        <v>0</v>
      </c>
      <c r="AT188">
        <v>0</v>
      </c>
      <c r="AU188">
        <f t="shared" si="4"/>
        <v>1</v>
      </c>
      <c r="AV188">
        <f t="shared" si="5"/>
        <v>0</v>
      </c>
    </row>
    <row r="189" spans="1:48" x14ac:dyDescent="0.25">
      <c r="A189" t="s">
        <v>2771</v>
      </c>
      <c r="C189" t="s">
        <v>2772</v>
      </c>
      <c r="D189" t="s">
        <v>2773</v>
      </c>
      <c r="E189" t="s">
        <v>2310</v>
      </c>
      <c r="F189">
        <v>14</v>
      </c>
      <c r="G189">
        <v>14.1</v>
      </c>
      <c r="H189" t="s">
        <v>2022</v>
      </c>
      <c r="I189" s="21">
        <v>37407</v>
      </c>
      <c r="J189">
        <v>2002</v>
      </c>
      <c r="K189" s="21">
        <v>37452</v>
      </c>
      <c r="L189">
        <v>2002</v>
      </c>
      <c r="M189" s="21">
        <v>37452</v>
      </c>
      <c r="N189">
        <v>2002</v>
      </c>
      <c r="R189" s="262">
        <v>290000</v>
      </c>
      <c r="S189" t="s">
        <v>114</v>
      </c>
      <c r="T189" t="s">
        <v>114</v>
      </c>
      <c r="U189">
        <v>5</v>
      </c>
      <c r="W189">
        <v>3496</v>
      </c>
      <c r="X189">
        <v>1</v>
      </c>
      <c r="Y189">
        <v>0</v>
      </c>
      <c r="Z189">
        <v>0</v>
      </c>
      <c r="AA189">
        <v>0</v>
      </c>
      <c r="AB189">
        <v>0</v>
      </c>
      <c r="AC189">
        <v>3496</v>
      </c>
      <c r="AD189">
        <v>0</v>
      </c>
      <c r="AE189">
        <v>0</v>
      </c>
      <c r="AF189">
        <v>0</v>
      </c>
      <c r="AG189">
        <v>0</v>
      </c>
      <c r="AH189">
        <v>0</v>
      </c>
      <c r="AI189">
        <v>0</v>
      </c>
      <c r="AJ189">
        <v>0</v>
      </c>
      <c r="AK189">
        <v>0</v>
      </c>
      <c r="AL189">
        <v>0</v>
      </c>
      <c r="AM189">
        <v>0</v>
      </c>
      <c r="AN189">
        <v>0</v>
      </c>
      <c r="AO189">
        <v>1</v>
      </c>
      <c r="AP189">
        <v>0</v>
      </c>
      <c r="AQ189">
        <v>0</v>
      </c>
      <c r="AR189">
        <v>0</v>
      </c>
      <c r="AS189">
        <v>0</v>
      </c>
      <c r="AT189">
        <v>0</v>
      </c>
      <c r="AU189">
        <f t="shared" si="4"/>
        <v>1</v>
      </c>
      <c r="AV189">
        <f t="shared" si="5"/>
        <v>0</v>
      </c>
    </row>
    <row r="190" spans="1:48" x14ac:dyDescent="0.25">
      <c r="A190" t="s">
        <v>2774</v>
      </c>
      <c r="C190" t="s">
        <v>2775</v>
      </c>
      <c r="D190" t="s">
        <v>2776</v>
      </c>
      <c r="E190" t="s">
        <v>2310</v>
      </c>
      <c r="F190">
        <v>13</v>
      </c>
      <c r="G190">
        <v>13.1</v>
      </c>
      <c r="H190" t="s">
        <v>2327</v>
      </c>
      <c r="I190" s="21">
        <v>37407</v>
      </c>
      <c r="J190">
        <v>2002</v>
      </c>
      <c r="K190" s="21">
        <v>37427</v>
      </c>
      <c r="L190">
        <v>2002</v>
      </c>
      <c r="M190" s="21">
        <v>37494</v>
      </c>
      <c r="N190">
        <v>2002</v>
      </c>
      <c r="R190" s="262">
        <v>109000</v>
      </c>
      <c r="S190" t="s">
        <v>114</v>
      </c>
      <c r="T190" t="s">
        <v>114</v>
      </c>
      <c r="U190">
        <v>13</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f t="shared" si="4"/>
        <v>0</v>
      </c>
      <c r="AV190">
        <f t="shared" si="5"/>
        <v>0</v>
      </c>
    </row>
    <row r="191" spans="1:48" x14ac:dyDescent="0.25">
      <c r="A191" t="s">
        <v>2777</v>
      </c>
      <c r="C191" t="s">
        <v>2778</v>
      </c>
      <c r="D191" t="s">
        <v>2779</v>
      </c>
      <c r="E191" t="s">
        <v>2310</v>
      </c>
      <c r="F191">
        <v>13</v>
      </c>
      <c r="G191">
        <v>13.3</v>
      </c>
      <c r="H191" t="s">
        <v>2017</v>
      </c>
      <c r="I191" s="21">
        <v>37407</v>
      </c>
      <c r="J191">
        <v>2002</v>
      </c>
      <c r="K191" s="21">
        <v>37421</v>
      </c>
      <c r="L191">
        <v>2002</v>
      </c>
      <c r="M191" s="21">
        <v>37820</v>
      </c>
      <c r="N191">
        <v>2003</v>
      </c>
      <c r="R191" s="262">
        <v>100000</v>
      </c>
      <c r="S191" t="s">
        <v>114</v>
      </c>
      <c r="T191" t="s">
        <v>114</v>
      </c>
      <c r="U191">
        <v>8</v>
      </c>
      <c r="W191">
        <v>826</v>
      </c>
      <c r="X191">
        <v>1</v>
      </c>
      <c r="Y191">
        <v>0</v>
      </c>
      <c r="Z191">
        <v>0</v>
      </c>
      <c r="AA191">
        <v>0</v>
      </c>
      <c r="AB191">
        <v>0</v>
      </c>
      <c r="AC191">
        <v>106</v>
      </c>
      <c r="AD191">
        <v>0</v>
      </c>
      <c r="AE191">
        <v>0</v>
      </c>
      <c r="AF191">
        <v>720</v>
      </c>
      <c r="AG191">
        <v>0</v>
      </c>
      <c r="AH191">
        <v>0</v>
      </c>
      <c r="AI191">
        <v>0</v>
      </c>
      <c r="AJ191">
        <v>0</v>
      </c>
      <c r="AK191">
        <v>0</v>
      </c>
      <c r="AL191">
        <v>0</v>
      </c>
      <c r="AM191">
        <v>0</v>
      </c>
      <c r="AN191">
        <v>0</v>
      </c>
      <c r="AO191">
        <v>0</v>
      </c>
      <c r="AP191">
        <v>0</v>
      </c>
      <c r="AQ191">
        <v>0</v>
      </c>
      <c r="AR191">
        <v>1</v>
      </c>
      <c r="AS191">
        <v>0</v>
      </c>
      <c r="AT191">
        <v>0</v>
      </c>
      <c r="AU191">
        <f t="shared" si="4"/>
        <v>0</v>
      </c>
      <c r="AV191">
        <f t="shared" si="5"/>
        <v>0</v>
      </c>
    </row>
    <row r="192" spans="1:48" x14ac:dyDescent="0.25">
      <c r="A192" t="s">
        <v>2780</v>
      </c>
      <c r="C192" t="s">
        <v>2781</v>
      </c>
      <c r="D192" t="s">
        <v>2782</v>
      </c>
      <c r="E192" t="s">
        <v>2310</v>
      </c>
      <c r="F192">
        <v>9</v>
      </c>
      <c r="G192">
        <v>9.3000000000000007</v>
      </c>
      <c r="H192" t="s">
        <v>2323</v>
      </c>
      <c r="I192" s="21">
        <v>37410</v>
      </c>
      <c r="J192">
        <v>2002</v>
      </c>
      <c r="K192" s="21">
        <v>37446</v>
      </c>
      <c r="L192">
        <v>2002</v>
      </c>
      <c r="M192" s="21">
        <v>38159</v>
      </c>
      <c r="N192">
        <v>2004</v>
      </c>
      <c r="R192" s="262">
        <v>90000</v>
      </c>
      <c r="S192" t="s">
        <v>114</v>
      </c>
      <c r="T192" t="s">
        <v>114</v>
      </c>
      <c r="U192">
        <v>5</v>
      </c>
      <c r="W192">
        <v>1440</v>
      </c>
      <c r="X192">
        <v>0</v>
      </c>
      <c r="Y192">
        <v>0</v>
      </c>
      <c r="Z192">
        <v>0</v>
      </c>
      <c r="AA192">
        <v>0</v>
      </c>
      <c r="AB192">
        <v>0</v>
      </c>
      <c r="AC192">
        <v>1440</v>
      </c>
      <c r="AD192">
        <v>0</v>
      </c>
      <c r="AE192">
        <v>0</v>
      </c>
      <c r="AF192">
        <v>0</v>
      </c>
      <c r="AG192">
        <v>0</v>
      </c>
      <c r="AH192">
        <v>0</v>
      </c>
      <c r="AI192">
        <v>0</v>
      </c>
      <c r="AJ192">
        <v>0</v>
      </c>
      <c r="AK192">
        <v>0</v>
      </c>
      <c r="AL192">
        <v>0</v>
      </c>
      <c r="AM192">
        <v>0</v>
      </c>
      <c r="AN192">
        <v>0</v>
      </c>
      <c r="AO192">
        <v>0</v>
      </c>
      <c r="AP192">
        <v>0</v>
      </c>
      <c r="AQ192">
        <v>0</v>
      </c>
      <c r="AR192">
        <v>0</v>
      </c>
      <c r="AS192">
        <v>0</v>
      </c>
      <c r="AT192">
        <v>0</v>
      </c>
      <c r="AU192">
        <f t="shared" si="4"/>
        <v>0</v>
      </c>
      <c r="AV192">
        <f t="shared" si="5"/>
        <v>0</v>
      </c>
    </row>
    <row r="193" spans="1:48" x14ac:dyDescent="0.25">
      <c r="A193" t="s">
        <v>2783</v>
      </c>
      <c r="C193" t="s">
        <v>2784</v>
      </c>
      <c r="D193" t="s">
        <v>2785</v>
      </c>
      <c r="E193" t="s">
        <v>2310</v>
      </c>
      <c r="F193">
        <v>9</v>
      </c>
      <c r="G193">
        <v>9.4</v>
      </c>
      <c r="H193" t="s">
        <v>2323</v>
      </c>
      <c r="I193" s="21">
        <v>37410</v>
      </c>
      <c r="J193">
        <v>2002</v>
      </c>
      <c r="K193" s="21">
        <v>37452</v>
      </c>
      <c r="L193">
        <v>2002</v>
      </c>
      <c r="M193" s="21">
        <v>38040</v>
      </c>
      <c r="N193">
        <v>2004</v>
      </c>
      <c r="R193" s="262">
        <v>1700000</v>
      </c>
      <c r="S193" t="s">
        <v>114</v>
      </c>
      <c r="T193" t="s">
        <v>114</v>
      </c>
      <c r="U193">
        <v>5</v>
      </c>
      <c r="W193">
        <v>7913</v>
      </c>
      <c r="X193">
        <v>1</v>
      </c>
      <c r="Y193">
        <v>0</v>
      </c>
      <c r="Z193">
        <v>0</v>
      </c>
      <c r="AA193">
        <v>0</v>
      </c>
      <c r="AB193">
        <v>0</v>
      </c>
      <c r="AC193">
        <v>7913</v>
      </c>
      <c r="AD193">
        <v>0</v>
      </c>
      <c r="AE193">
        <v>0</v>
      </c>
      <c r="AF193">
        <v>0</v>
      </c>
      <c r="AG193">
        <v>0</v>
      </c>
      <c r="AH193">
        <v>0</v>
      </c>
      <c r="AI193">
        <v>0</v>
      </c>
      <c r="AJ193">
        <v>0</v>
      </c>
      <c r="AK193">
        <v>0</v>
      </c>
      <c r="AL193">
        <v>0</v>
      </c>
      <c r="AM193">
        <v>0</v>
      </c>
      <c r="AN193">
        <v>0</v>
      </c>
      <c r="AO193">
        <v>1</v>
      </c>
      <c r="AP193">
        <v>0</v>
      </c>
      <c r="AQ193">
        <v>0</v>
      </c>
      <c r="AR193">
        <v>0</v>
      </c>
      <c r="AS193">
        <v>0</v>
      </c>
      <c r="AT193">
        <v>0</v>
      </c>
      <c r="AU193">
        <f t="shared" si="4"/>
        <v>1</v>
      </c>
      <c r="AV193">
        <f t="shared" si="5"/>
        <v>0</v>
      </c>
    </row>
    <row r="194" spans="1:48" x14ac:dyDescent="0.25">
      <c r="A194" t="s">
        <v>2786</v>
      </c>
      <c r="C194" t="s">
        <v>2486</v>
      </c>
      <c r="D194" t="s">
        <v>2787</v>
      </c>
      <c r="E194" t="s">
        <v>2310</v>
      </c>
      <c r="F194">
        <v>10</v>
      </c>
      <c r="G194">
        <v>10.1</v>
      </c>
      <c r="H194" t="s">
        <v>2323</v>
      </c>
      <c r="I194" s="21">
        <v>37410</v>
      </c>
      <c r="J194">
        <v>2002</v>
      </c>
      <c r="K194" s="21">
        <v>37426</v>
      </c>
      <c r="L194">
        <v>2002</v>
      </c>
      <c r="M194" s="21">
        <v>37595</v>
      </c>
      <c r="N194">
        <v>2002</v>
      </c>
      <c r="R194" s="262">
        <v>261000</v>
      </c>
      <c r="S194" t="s">
        <v>114</v>
      </c>
      <c r="T194" t="s">
        <v>114</v>
      </c>
      <c r="U194">
        <v>5</v>
      </c>
      <c r="W194">
        <v>3078</v>
      </c>
      <c r="X194">
        <v>1</v>
      </c>
      <c r="Y194">
        <v>0</v>
      </c>
      <c r="Z194">
        <v>0</v>
      </c>
      <c r="AA194">
        <v>0</v>
      </c>
      <c r="AB194">
        <v>0</v>
      </c>
      <c r="AC194">
        <v>3078</v>
      </c>
      <c r="AD194">
        <v>0</v>
      </c>
      <c r="AE194">
        <v>0</v>
      </c>
      <c r="AF194">
        <v>0</v>
      </c>
      <c r="AG194">
        <v>0</v>
      </c>
      <c r="AH194">
        <v>0</v>
      </c>
      <c r="AI194">
        <v>0</v>
      </c>
      <c r="AJ194">
        <v>0</v>
      </c>
      <c r="AK194">
        <v>0</v>
      </c>
      <c r="AL194">
        <v>0</v>
      </c>
      <c r="AM194">
        <v>0</v>
      </c>
      <c r="AN194">
        <v>0</v>
      </c>
      <c r="AO194">
        <v>1</v>
      </c>
      <c r="AP194">
        <v>0</v>
      </c>
      <c r="AQ194">
        <v>0</v>
      </c>
      <c r="AR194">
        <v>0</v>
      </c>
      <c r="AS194">
        <v>0</v>
      </c>
      <c r="AT194">
        <v>0</v>
      </c>
      <c r="AU194">
        <f t="shared" si="4"/>
        <v>1</v>
      </c>
      <c r="AV194">
        <f t="shared" si="5"/>
        <v>0</v>
      </c>
    </row>
    <row r="195" spans="1:48" x14ac:dyDescent="0.25">
      <c r="A195" t="s">
        <v>2788</v>
      </c>
      <c r="C195" t="s">
        <v>2789</v>
      </c>
      <c r="D195" t="s">
        <v>2790</v>
      </c>
      <c r="E195" t="s">
        <v>2310</v>
      </c>
      <c r="F195">
        <v>9</v>
      </c>
      <c r="G195">
        <v>9.1999999999999993</v>
      </c>
      <c r="H195" t="s">
        <v>2022</v>
      </c>
      <c r="I195" s="21">
        <v>37410</v>
      </c>
      <c r="J195">
        <v>2002</v>
      </c>
      <c r="K195" s="21">
        <v>37427</v>
      </c>
      <c r="L195">
        <v>2002</v>
      </c>
      <c r="M195" s="21">
        <v>37518</v>
      </c>
      <c r="N195">
        <v>2002</v>
      </c>
      <c r="R195" s="262">
        <v>50000</v>
      </c>
      <c r="S195" t="s">
        <v>114</v>
      </c>
      <c r="T195" t="s">
        <v>114</v>
      </c>
      <c r="U195">
        <v>3</v>
      </c>
      <c r="W195">
        <v>600</v>
      </c>
      <c r="X195">
        <v>0</v>
      </c>
      <c r="Y195">
        <v>0</v>
      </c>
      <c r="Z195">
        <v>0</v>
      </c>
      <c r="AA195">
        <v>600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f t="shared" si="4"/>
        <v>0</v>
      </c>
      <c r="AV195">
        <f t="shared" si="5"/>
        <v>600</v>
      </c>
    </row>
    <row r="196" spans="1:48" x14ac:dyDescent="0.25">
      <c r="A196" t="s">
        <v>2791</v>
      </c>
      <c r="C196" t="s">
        <v>2792</v>
      </c>
      <c r="D196" t="s">
        <v>2793</v>
      </c>
      <c r="E196" t="s">
        <v>2310</v>
      </c>
      <c r="F196">
        <v>10</v>
      </c>
      <c r="G196">
        <v>10.1</v>
      </c>
      <c r="H196" t="s">
        <v>2323</v>
      </c>
      <c r="I196" s="21">
        <v>37411</v>
      </c>
      <c r="J196">
        <v>2002</v>
      </c>
      <c r="K196" s="21">
        <v>37431</v>
      </c>
      <c r="L196">
        <v>2002</v>
      </c>
      <c r="M196" s="21">
        <v>38582</v>
      </c>
      <c r="N196">
        <v>2005</v>
      </c>
      <c r="R196" s="262">
        <v>30000</v>
      </c>
      <c r="S196" t="s">
        <v>114</v>
      </c>
      <c r="T196" t="s">
        <v>114</v>
      </c>
      <c r="U196">
        <v>5</v>
      </c>
      <c r="W196">
        <v>700</v>
      </c>
      <c r="X196">
        <v>0</v>
      </c>
      <c r="Y196">
        <v>0</v>
      </c>
      <c r="Z196">
        <v>0</v>
      </c>
      <c r="AA196">
        <v>0</v>
      </c>
      <c r="AB196">
        <v>0</v>
      </c>
      <c r="AC196">
        <v>700</v>
      </c>
      <c r="AD196">
        <v>0</v>
      </c>
      <c r="AE196">
        <v>0</v>
      </c>
      <c r="AF196">
        <v>0</v>
      </c>
      <c r="AG196">
        <v>0</v>
      </c>
      <c r="AH196">
        <v>0</v>
      </c>
      <c r="AI196">
        <v>0</v>
      </c>
      <c r="AJ196">
        <v>0</v>
      </c>
      <c r="AK196">
        <v>0</v>
      </c>
      <c r="AL196">
        <v>0</v>
      </c>
      <c r="AM196">
        <v>0</v>
      </c>
      <c r="AN196">
        <v>0</v>
      </c>
      <c r="AO196">
        <v>0</v>
      </c>
      <c r="AP196">
        <v>0</v>
      </c>
      <c r="AQ196">
        <v>0</v>
      </c>
      <c r="AR196">
        <v>0</v>
      </c>
      <c r="AS196">
        <v>0</v>
      </c>
      <c r="AT196">
        <v>0</v>
      </c>
      <c r="AU196">
        <f t="shared" si="4"/>
        <v>0</v>
      </c>
      <c r="AV196">
        <f t="shared" si="5"/>
        <v>0</v>
      </c>
    </row>
    <row r="197" spans="1:48" x14ac:dyDescent="0.25">
      <c r="A197" t="s">
        <v>2794</v>
      </c>
      <c r="C197" t="s">
        <v>2795</v>
      </c>
      <c r="D197" t="s">
        <v>2796</v>
      </c>
      <c r="E197" t="s">
        <v>2310</v>
      </c>
      <c r="F197">
        <v>15</v>
      </c>
      <c r="G197">
        <v>15.2</v>
      </c>
      <c r="H197" t="s">
        <v>2323</v>
      </c>
      <c r="I197" s="21">
        <v>37411</v>
      </c>
      <c r="J197">
        <v>2002</v>
      </c>
      <c r="K197" s="21">
        <v>37426</v>
      </c>
      <c r="L197">
        <v>2002</v>
      </c>
      <c r="M197" s="21">
        <v>37426</v>
      </c>
      <c r="N197">
        <v>2002</v>
      </c>
      <c r="R197" s="262">
        <v>20000</v>
      </c>
      <c r="S197" t="s">
        <v>114</v>
      </c>
      <c r="T197" t="s">
        <v>114</v>
      </c>
      <c r="U197">
        <v>5</v>
      </c>
      <c r="W197">
        <v>1400</v>
      </c>
      <c r="X197">
        <v>0</v>
      </c>
      <c r="Y197">
        <v>0</v>
      </c>
      <c r="Z197">
        <v>0</v>
      </c>
      <c r="AA197">
        <v>0</v>
      </c>
      <c r="AB197">
        <v>0</v>
      </c>
      <c r="AC197">
        <v>1400</v>
      </c>
      <c r="AD197">
        <v>0</v>
      </c>
      <c r="AE197">
        <v>0</v>
      </c>
      <c r="AF197">
        <v>0</v>
      </c>
      <c r="AG197">
        <v>0</v>
      </c>
      <c r="AH197">
        <v>0</v>
      </c>
      <c r="AI197">
        <v>0</v>
      </c>
      <c r="AJ197">
        <v>0</v>
      </c>
      <c r="AK197">
        <v>0</v>
      </c>
      <c r="AL197">
        <v>0</v>
      </c>
      <c r="AM197">
        <v>0</v>
      </c>
      <c r="AN197">
        <v>0</v>
      </c>
      <c r="AO197">
        <v>0</v>
      </c>
      <c r="AP197">
        <v>0</v>
      </c>
      <c r="AQ197">
        <v>0</v>
      </c>
      <c r="AR197">
        <v>0</v>
      </c>
      <c r="AS197">
        <v>0</v>
      </c>
      <c r="AT197">
        <v>0</v>
      </c>
      <c r="AU197">
        <f t="shared" si="4"/>
        <v>0</v>
      </c>
      <c r="AV197">
        <f t="shared" si="5"/>
        <v>0</v>
      </c>
    </row>
    <row r="198" spans="1:48" x14ac:dyDescent="0.25">
      <c r="A198" t="s">
        <v>2797</v>
      </c>
      <c r="C198" t="s">
        <v>2798</v>
      </c>
      <c r="D198" t="s">
        <v>2799</v>
      </c>
      <c r="E198" t="s">
        <v>2310</v>
      </c>
      <c r="F198">
        <v>15</v>
      </c>
      <c r="G198">
        <v>15.3</v>
      </c>
      <c r="H198" t="s">
        <v>2022</v>
      </c>
      <c r="I198" s="21">
        <v>37411</v>
      </c>
      <c r="J198">
        <v>2002</v>
      </c>
      <c r="K198" s="21">
        <v>37438</v>
      </c>
      <c r="L198">
        <v>2002</v>
      </c>
      <c r="M198" s="21">
        <v>37438</v>
      </c>
      <c r="N198">
        <v>2002</v>
      </c>
      <c r="R198" s="262">
        <v>288000</v>
      </c>
      <c r="S198" t="s">
        <v>114</v>
      </c>
      <c r="T198" t="s">
        <v>114</v>
      </c>
      <c r="U198">
        <v>5</v>
      </c>
      <c r="W198">
        <v>1600</v>
      </c>
      <c r="X198">
        <v>1</v>
      </c>
      <c r="Y198">
        <v>0</v>
      </c>
      <c r="Z198">
        <v>0</v>
      </c>
      <c r="AA198">
        <v>0</v>
      </c>
      <c r="AB198">
        <v>0</v>
      </c>
      <c r="AC198">
        <v>1600</v>
      </c>
      <c r="AD198">
        <v>0</v>
      </c>
      <c r="AE198">
        <v>0</v>
      </c>
      <c r="AF198">
        <v>0</v>
      </c>
      <c r="AG198">
        <v>0</v>
      </c>
      <c r="AH198">
        <v>0</v>
      </c>
      <c r="AI198">
        <v>0</v>
      </c>
      <c r="AJ198">
        <v>0</v>
      </c>
      <c r="AK198">
        <v>0</v>
      </c>
      <c r="AL198">
        <v>0</v>
      </c>
      <c r="AM198">
        <v>0</v>
      </c>
      <c r="AN198">
        <v>0</v>
      </c>
      <c r="AO198">
        <v>1</v>
      </c>
      <c r="AP198">
        <v>0</v>
      </c>
      <c r="AQ198">
        <v>0</v>
      </c>
      <c r="AR198">
        <v>0</v>
      </c>
      <c r="AS198">
        <v>0</v>
      </c>
      <c r="AT198">
        <v>0</v>
      </c>
      <c r="AU198">
        <f t="shared" si="4"/>
        <v>1</v>
      </c>
      <c r="AV198">
        <f t="shared" si="5"/>
        <v>0</v>
      </c>
    </row>
    <row r="199" spans="1:48" x14ac:dyDescent="0.25">
      <c r="A199" t="s">
        <v>2800</v>
      </c>
      <c r="C199" t="s">
        <v>2801</v>
      </c>
      <c r="D199" t="s">
        <v>2802</v>
      </c>
      <c r="E199" t="s">
        <v>2310</v>
      </c>
      <c r="F199">
        <v>7</v>
      </c>
      <c r="G199">
        <v>7.1</v>
      </c>
      <c r="H199" t="s">
        <v>2017</v>
      </c>
      <c r="I199" s="21">
        <v>37411</v>
      </c>
      <c r="J199">
        <v>2002</v>
      </c>
      <c r="K199" s="21">
        <v>37466</v>
      </c>
      <c r="L199">
        <v>2002</v>
      </c>
      <c r="M199" s="21">
        <v>37466</v>
      </c>
      <c r="N199">
        <v>2002</v>
      </c>
      <c r="R199" s="262">
        <v>2000</v>
      </c>
      <c r="S199" t="s">
        <v>114</v>
      </c>
      <c r="T199" t="s">
        <v>114</v>
      </c>
      <c r="U199">
        <v>14</v>
      </c>
      <c r="W199">
        <v>744</v>
      </c>
      <c r="X199">
        <v>0</v>
      </c>
      <c r="Y199">
        <v>0</v>
      </c>
      <c r="Z199">
        <v>0</v>
      </c>
      <c r="AA199">
        <v>0</v>
      </c>
      <c r="AB199">
        <v>0</v>
      </c>
      <c r="AC199">
        <v>0</v>
      </c>
      <c r="AD199">
        <v>0</v>
      </c>
      <c r="AE199">
        <v>0</v>
      </c>
      <c r="AF199">
        <v>0</v>
      </c>
      <c r="AG199">
        <v>0</v>
      </c>
      <c r="AH199">
        <v>0</v>
      </c>
      <c r="AI199">
        <v>0</v>
      </c>
      <c r="AJ199">
        <v>0</v>
      </c>
      <c r="AK199">
        <v>0</v>
      </c>
      <c r="AL199">
        <v>744</v>
      </c>
      <c r="AM199">
        <v>0</v>
      </c>
      <c r="AN199">
        <v>0</v>
      </c>
      <c r="AO199">
        <v>0</v>
      </c>
      <c r="AP199">
        <v>0</v>
      </c>
      <c r="AQ199">
        <v>0</v>
      </c>
      <c r="AR199">
        <v>0</v>
      </c>
      <c r="AS199">
        <v>0</v>
      </c>
      <c r="AT199">
        <v>0</v>
      </c>
      <c r="AU199">
        <f t="shared" si="4"/>
        <v>0</v>
      </c>
      <c r="AV199">
        <f t="shared" si="5"/>
        <v>744</v>
      </c>
    </row>
    <row r="200" spans="1:48" x14ac:dyDescent="0.25">
      <c r="A200" t="s">
        <v>2803</v>
      </c>
      <c r="C200" t="s">
        <v>2804</v>
      </c>
      <c r="D200" t="s">
        <v>2805</v>
      </c>
      <c r="E200" t="s">
        <v>2310</v>
      </c>
      <c r="F200">
        <v>8</v>
      </c>
      <c r="G200">
        <v>8.3000000000000007</v>
      </c>
      <c r="H200" t="s">
        <v>2323</v>
      </c>
      <c r="I200" s="21">
        <v>37412</v>
      </c>
      <c r="J200">
        <v>2002</v>
      </c>
      <c r="K200" s="21">
        <v>37419</v>
      </c>
      <c r="L200">
        <v>2002</v>
      </c>
      <c r="M200" s="21">
        <v>37642</v>
      </c>
      <c r="N200">
        <v>2003</v>
      </c>
      <c r="R200" s="262">
        <v>84000</v>
      </c>
      <c r="S200" t="s">
        <v>114</v>
      </c>
      <c r="T200" t="s">
        <v>114</v>
      </c>
      <c r="U200">
        <v>8</v>
      </c>
      <c r="W200">
        <v>1800</v>
      </c>
      <c r="X200">
        <v>1</v>
      </c>
      <c r="Y200">
        <v>0</v>
      </c>
      <c r="Z200">
        <v>0</v>
      </c>
      <c r="AA200">
        <v>0</v>
      </c>
      <c r="AB200">
        <v>0</v>
      </c>
      <c r="AC200">
        <v>900</v>
      </c>
      <c r="AD200">
        <v>0</v>
      </c>
      <c r="AE200">
        <v>0</v>
      </c>
      <c r="AF200">
        <v>900</v>
      </c>
      <c r="AG200">
        <v>0</v>
      </c>
      <c r="AH200">
        <v>0</v>
      </c>
      <c r="AI200">
        <v>0</v>
      </c>
      <c r="AJ200">
        <v>0</v>
      </c>
      <c r="AK200">
        <v>0</v>
      </c>
      <c r="AL200">
        <v>0</v>
      </c>
      <c r="AM200">
        <v>0</v>
      </c>
      <c r="AN200">
        <v>0</v>
      </c>
      <c r="AO200">
        <v>0</v>
      </c>
      <c r="AP200">
        <v>0</v>
      </c>
      <c r="AQ200">
        <v>0</v>
      </c>
      <c r="AR200">
        <v>1</v>
      </c>
      <c r="AS200">
        <v>0</v>
      </c>
      <c r="AT200">
        <v>0</v>
      </c>
      <c r="AU200">
        <f t="shared" si="4"/>
        <v>0</v>
      </c>
      <c r="AV200">
        <f t="shared" si="5"/>
        <v>0</v>
      </c>
    </row>
    <row r="201" spans="1:48" x14ac:dyDescent="0.25">
      <c r="A201" t="s">
        <v>2806</v>
      </c>
      <c r="C201" t="s">
        <v>2807</v>
      </c>
      <c r="D201" t="s">
        <v>2808</v>
      </c>
      <c r="E201" t="s">
        <v>2310</v>
      </c>
      <c r="F201">
        <v>8</v>
      </c>
      <c r="G201">
        <v>8.1</v>
      </c>
      <c r="H201" t="s">
        <v>2323</v>
      </c>
      <c r="I201" s="21">
        <v>37412</v>
      </c>
      <c r="J201">
        <v>2002</v>
      </c>
      <c r="K201" s="21">
        <v>37449</v>
      </c>
      <c r="L201">
        <v>2002</v>
      </c>
      <c r="M201" s="21">
        <v>37839</v>
      </c>
      <c r="N201">
        <v>2003</v>
      </c>
      <c r="R201" s="262">
        <v>494000</v>
      </c>
      <c r="S201" t="s">
        <v>114</v>
      </c>
      <c r="T201" t="s">
        <v>114</v>
      </c>
      <c r="U201">
        <v>5</v>
      </c>
      <c r="W201">
        <v>3297</v>
      </c>
      <c r="X201">
        <v>0</v>
      </c>
      <c r="Y201">
        <v>0</v>
      </c>
      <c r="Z201">
        <v>0</v>
      </c>
      <c r="AA201">
        <v>0</v>
      </c>
      <c r="AB201">
        <v>0</v>
      </c>
      <c r="AC201">
        <v>3297</v>
      </c>
      <c r="AD201">
        <v>0</v>
      </c>
      <c r="AE201">
        <v>0</v>
      </c>
      <c r="AF201">
        <v>0</v>
      </c>
      <c r="AG201">
        <v>0</v>
      </c>
      <c r="AH201">
        <v>0</v>
      </c>
      <c r="AI201">
        <v>0</v>
      </c>
      <c r="AJ201">
        <v>0</v>
      </c>
      <c r="AK201">
        <v>0</v>
      </c>
      <c r="AL201">
        <v>0</v>
      </c>
      <c r="AM201">
        <v>0</v>
      </c>
      <c r="AN201">
        <v>0</v>
      </c>
      <c r="AO201">
        <v>0</v>
      </c>
      <c r="AP201">
        <v>0</v>
      </c>
      <c r="AQ201">
        <v>0</v>
      </c>
      <c r="AR201">
        <v>0</v>
      </c>
      <c r="AS201">
        <v>0</v>
      </c>
      <c r="AT201">
        <v>0</v>
      </c>
      <c r="AU201">
        <f t="shared" si="4"/>
        <v>0</v>
      </c>
      <c r="AV201">
        <f t="shared" si="5"/>
        <v>0</v>
      </c>
    </row>
    <row r="202" spans="1:48" x14ac:dyDescent="0.25">
      <c r="A202" t="s">
        <v>2809</v>
      </c>
      <c r="C202" t="s">
        <v>2486</v>
      </c>
      <c r="D202" t="s">
        <v>2810</v>
      </c>
      <c r="E202" t="s">
        <v>2310</v>
      </c>
      <c r="F202">
        <v>9</v>
      </c>
      <c r="G202">
        <v>9.1999999999999993</v>
      </c>
      <c r="H202" t="s">
        <v>2022</v>
      </c>
      <c r="I202" s="21">
        <v>37412</v>
      </c>
      <c r="J202">
        <v>2002</v>
      </c>
      <c r="K202" s="21">
        <v>37453</v>
      </c>
      <c r="L202">
        <v>2002</v>
      </c>
      <c r="M202" s="21">
        <v>37805</v>
      </c>
      <c r="N202">
        <v>2003</v>
      </c>
      <c r="R202" s="262">
        <v>278000</v>
      </c>
      <c r="S202" t="s">
        <v>114</v>
      </c>
      <c r="T202" t="s">
        <v>114</v>
      </c>
      <c r="U202">
        <v>5</v>
      </c>
      <c r="W202">
        <v>3102</v>
      </c>
      <c r="X202">
        <v>1</v>
      </c>
      <c r="Y202">
        <v>0</v>
      </c>
      <c r="Z202">
        <v>0</v>
      </c>
      <c r="AA202">
        <v>0</v>
      </c>
      <c r="AB202">
        <v>0</v>
      </c>
      <c r="AC202">
        <v>3102</v>
      </c>
      <c r="AD202">
        <v>0</v>
      </c>
      <c r="AE202">
        <v>0</v>
      </c>
      <c r="AF202">
        <v>0</v>
      </c>
      <c r="AG202">
        <v>0</v>
      </c>
      <c r="AH202">
        <v>0</v>
      </c>
      <c r="AI202">
        <v>0</v>
      </c>
      <c r="AJ202">
        <v>0</v>
      </c>
      <c r="AK202">
        <v>0</v>
      </c>
      <c r="AL202">
        <v>0</v>
      </c>
      <c r="AM202">
        <v>0</v>
      </c>
      <c r="AN202">
        <v>0</v>
      </c>
      <c r="AO202">
        <v>1</v>
      </c>
      <c r="AP202">
        <v>0</v>
      </c>
      <c r="AQ202">
        <v>0</v>
      </c>
      <c r="AR202">
        <v>0</v>
      </c>
      <c r="AS202">
        <v>0</v>
      </c>
      <c r="AT202">
        <v>0</v>
      </c>
      <c r="AU202">
        <f t="shared" si="4"/>
        <v>1</v>
      </c>
      <c r="AV202">
        <f t="shared" si="5"/>
        <v>0</v>
      </c>
    </row>
    <row r="203" spans="1:48" x14ac:dyDescent="0.25">
      <c r="A203" t="s">
        <v>2811</v>
      </c>
      <c r="C203" t="s">
        <v>2812</v>
      </c>
      <c r="D203" t="s">
        <v>2813</v>
      </c>
      <c r="E203" t="s">
        <v>2310</v>
      </c>
      <c r="F203">
        <v>10</v>
      </c>
      <c r="G203">
        <v>10.1</v>
      </c>
      <c r="H203" t="s">
        <v>2323</v>
      </c>
      <c r="I203" s="21">
        <v>37412</v>
      </c>
      <c r="J203">
        <v>2002</v>
      </c>
      <c r="M203" s="21">
        <v>37568</v>
      </c>
      <c r="N203">
        <v>2002</v>
      </c>
      <c r="R203" s="262">
        <v>170000</v>
      </c>
      <c r="S203" t="s">
        <v>114</v>
      </c>
      <c r="T203" t="s">
        <v>114</v>
      </c>
      <c r="U203">
        <v>5</v>
      </c>
      <c r="W203">
        <v>2040</v>
      </c>
      <c r="X203">
        <v>1</v>
      </c>
      <c r="Y203">
        <v>0</v>
      </c>
      <c r="Z203">
        <v>0</v>
      </c>
      <c r="AA203">
        <v>0</v>
      </c>
      <c r="AB203">
        <v>0</v>
      </c>
      <c r="AC203">
        <v>2040</v>
      </c>
      <c r="AD203">
        <v>0</v>
      </c>
      <c r="AE203">
        <v>0</v>
      </c>
      <c r="AF203">
        <v>0</v>
      </c>
      <c r="AG203">
        <v>0</v>
      </c>
      <c r="AH203">
        <v>0</v>
      </c>
      <c r="AI203">
        <v>0</v>
      </c>
      <c r="AJ203">
        <v>0</v>
      </c>
      <c r="AK203">
        <v>0</v>
      </c>
      <c r="AL203">
        <v>0</v>
      </c>
      <c r="AM203">
        <v>0</v>
      </c>
      <c r="AN203">
        <v>0</v>
      </c>
      <c r="AO203">
        <v>1</v>
      </c>
      <c r="AP203">
        <v>0</v>
      </c>
      <c r="AQ203">
        <v>0</v>
      </c>
      <c r="AR203">
        <v>0</v>
      </c>
      <c r="AS203">
        <v>0</v>
      </c>
      <c r="AT203">
        <v>0</v>
      </c>
      <c r="AU203">
        <f t="shared" si="4"/>
        <v>1</v>
      </c>
      <c r="AV203">
        <f t="shared" si="5"/>
        <v>0</v>
      </c>
    </row>
    <row r="204" spans="1:48" x14ac:dyDescent="0.25">
      <c r="A204" t="s">
        <v>2817</v>
      </c>
      <c r="C204" t="s">
        <v>2818</v>
      </c>
      <c r="D204" t="s">
        <v>2819</v>
      </c>
      <c r="E204" t="s">
        <v>1663</v>
      </c>
      <c r="F204">
        <v>6</v>
      </c>
      <c r="G204">
        <v>6.2</v>
      </c>
      <c r="H204" t="s">
        <v>2017</v>
      </c>
      <c r="I204" s="21">
        <v>37413</v>
      </c>
      <c r="J204">
        <v>2002</v>
      </c>
      <c r="K204" s="21">
        <v>37443</v>
      </c>
      <c r="L204">
        <v>2002</v>
      </c>
      <c r="M204" s="21">
        <v>37596</v>
      </c>
      <c r="N204">
        <v>2002</v>
      </c>
      <c r="Q204" s="262">
        <v>150000</v>
      </c>
      <c r="S204" t="s">
        <v>114</v>
      </c>
      <c r="T204" t="s">
        <v>114</v>
      </c>
      <c r="W204">
        <v>1093</v>
      </c>
      <c r="X204">
        <v>0</v>
      </c>
      <c r="Y204">
        <v>0</v>
      </c>
      <c r="Z204">
        <v>0</v>
      </c>
      <c r="AA204">
        <v>0</v>
      </c>
      <c r="AB204">
        <v>0</v>
      </c>
      <c r="AC204">
        <v>1093</v>
      </c>
      <c r="AD204">
        <v>0</v>
      </c>
      <c r="AE204">
        <v>0</v>
      </c>
      <c r="AF204">
        <v>0</v>
      </c>
      <c r="AG204">
        <v>0</v>
      </c>
      <c r="AH204">
        <v>0</v>
      </c>
      <c r="AI204">
        <v>0</v>
      </c>
      <c r="AJ204">
        <v>0</v>
      </c>
      <c r="AK204">
        <v>0</v>
      </c>
      <c r="AL204">
        <v>0</v>
      </c>
      <c r="AM204">
        <v>0</v>
      </c>
      <c r="AN204">
        <v>0</v>
      </c>
      <c r="AO204">
        <v>0</v>
      </c>
      <c r="AP204">
        <v>0</v>
      </c>
      <c r="AQ204">
        <v>0</v>
      </c>
      <c r="AR204">
        <v>0</v>
      </c>
      <c r="AS204">
        <v>0</v>
      </c>
      <c r="AT204">
        <v>0</v>
      </c>
      <c r="AU204">
        <f t="shared" si="4"/>
        <v>0</v>
      </c>
      <c r="AV204">
        <f t="shared" si="5"/>
        <v>0</v>
      </c>
    </row>
    <row r="205" spans="1:48" x14ac:dyDescent="0.25">
      <c r="A205" t="s">
        <v>2820</v>
      </c>
      <c r="C205" t="s">
        <v>2821</v>
      </c>
      <c r="D205" t="s">
        <v>2822</v>
      </c>
      <c r="E205" t="s">
        <v>2310</v>
      </c>
      <c r="F205">
        <v>14</v>
      </c>
      <c r="G205">
        <v>14.2</v>
      </c>
      <c r="H205" t="s">
        <v>2017</v>
      </c>
      <c r="I205" s="21">
        <v>37413</v>
      </c>
      <c r="J205">
        <v>2002</v>
      </c>
      <c r="K205" s="21">
        <v>37453</v>
      </c>
      <c r="L205">
        <v>2002</v>
      </c>
      <c r="M205" s="21">
        <v>37453</v>
      </c>
      <c r="N205">
        <v>2002</v>
      </c>
      <c r="R205" s="262">
        <v>80000</v>
      </c>
      <c r="S205" t="s">
        <v>114</v>
      </c>
      <c r="T205" t="s">
        <v>114</v>
      </c>
      <c r="U205">
        <v>5</v>
      </c>
      <c r="W205">
        <v>1488</v>
      </c>
      <c r="X205">
        <v>0</v>
      </c>
      <c r="Y205">
        <v>0</v>
      </c>
      <c r="Z205">
        <v>0</v>
      </c>
      <c r="AA205">
        <v>0</v>
      </c>
      <c r="AB205">
        <v>0</v>
      </c>
      <c r="AC205">
        <v>1488</v>
      </c>
      <c r="AD205">
        <v>0</v>
      </c>
      <c r="AE205">
        <v>0</v>
      </c>
      <c r="AF205">
        <v>0</v>
      </c>
      <c r="AG205">
        <v>0</v>
      </c>
      <c r="AH205">
        <v>0</v>
      </c>
      <c r="AI205">
        <v>0</v>
      </c>
      <c r="AJ205">
        <v>0</v>
      </c>
      <c r="AK205">
        <v>0</v>
      </c>
      <c r="AL205">
        <v>0</v>
      </c>
      <c r="AM205">
        <v>0</v>
      </c>
      <c r="AN205">
        <v>0</v>
      </c>
      <c r="AO205">
        <v>0</v>
      </c>
      <c r="AP205">
        <v>0</v>
      </c>
      <c r="AQ205">
        <v>0</v>
      </c>
      <c r="AR205">
        <v>0</v>
      </c>
      <c r="AS205">
        <v>0</v>
      </c>
      <c r="AT205">
        <v>0</v>
      </c>
      <c r="AU205">
        <f t="shared" si="4"/>
        <v>0</v>
      </c>
      <c r="AV205">
        <f t="shared" si="5"/>
        <v>0</v>
      </c>
    </row>
    <row r="206" spans="1:48" x14ac:dyDescent="0.25">
      <c r="A206" t="s">
        <v>2823</v>
      </c>
      <c r="C206" t="s">
        <v>2486</v>
      </c>
      <c r="D206" t="s">
        <v>2824</v>
      </c>
      <c r="E206" t="s">
        <v>2310</v>
      </c>
      <c r="F206">
        <v>10</v>
      </c>
      <c r="G206">
        <v>10.1</v>
      </c>
      <c r="H206" t="s">
        <v>2323</v>
      </c>
      <c r="I206" s="21">
        <v>37413</v>
      </c>
      <c r="J206">
        <v>2002</v>
      </c>
      <c r="K206" s="21">
        <v>37447</v>
      </c>
      <c r="L206">
        <v>2002</v>
      </c>
      <c r="M206" s="21">
        <v>37798</v>
      </c>
      <c r="N206">
        <v>2003</v>
      </c>
      <c r="R206" s="262">
        <v>330000</v>
      </c>
      <c r="S206" t="s">
        <v>114</v>
      </c>
      <c r="T206" t="s">
        <v>114</v>
      </c>
      <c r="U206">
        <v>5</v>
      </c>
      <c r="W206">
        <v>4240</v>
      </c>
      <c r="X206">
        <v>1</v>
      </c>
      <c r="Y206">
        <v>0</v>
      </c>
      <c r="Z206">
        <v>0</v>
      </c>
      <c r="AA206">
        <v>0</v>
      </c>
      <c r="AB206">
        <v>0</v>
      </c>
      <c r="AC206">
        <v>4240</v>
      </c>
      <c r="AD206">
        <v>0</v>
      </c>
      <c r="AE206">
        <v>0</v>
      </c>
      <c r="AF206">
        <v>0</v>
      </c>
      <c r="AG206">
        <v>0</v>
      </c>
      <c r="AH206">
        <v>0</v>
      </c>
      <c r="AI206">
        <v>0</v>
      </c>
      <c r="AJ206">
        <v>0</v>
      </c>
      <c r="AK206">
        <v>0</v>
      </c>
      <c r="AL206">
        <v>0</v>
      </c>
      <c r="AM206">
        <v>0</v>
      </c>
      <c r="AN206">
        <v>0</v>
      </c>
      <c r="AO206">
        <v>1</v>
      </c>
      <c r="AP206">
        <v>0</v>
      </c>
      <c r="AQ206">
        <v>0</v>
      </c>
      <c r="AR206">
        <v>0</v>
      </c>
      <c r="AS206">
        <v>0</v>
      </c>
      <c r="AT206">
        <v>0</v>
      </c>
      <c r="AU206">
        <f t="shared" si="4"/>
        <v>1</v>
      </c>
      <c r="AV206">
        <f t="shared" si="5"/>
        <v>0</v>
      </c>
    </row>
    <row r="207" spans="1:48" x14ac:dyDescent="0.25">
      <c r="A207" t="s">
        <v>2814</v>
      </c>
      <c r="C207" t="s">
        <v>2815</v>
      </c>
      <c r="D207" t="s">
        <v>2816</v>
      </c>
      <c r="E207" t="s">
        <v>1663</v>
      </c>
      <c r="F207">
        <v>5</v>
      </c>
      <c r="G207">
        <v>5.5</v>
      </c>
      <c r="H207" t="s">
        <v>2017</v>
      </c>
      <c r="I207" s="21">
        <v>37413</v>
      </c>
      <c r="J207">
        <v>2002</v>
      </c>
      <c r="K207" s="21">
        <v>37443</v>
      </c>
      <c r="L207">
        <v>2002</v>
      </c>
      <c r="M207" s="21">
        <v>37596</v>
      </c>
      <c r="N207">
        <v>2002</v>
      </c>
      <c r="Q207" s="262">
        <v>82656</v>
      </c>
      <c r="S207" t="s">
        <v>114</v>
      </c>
      <c r="T207" t="s">
        <v>114</v>
      </c>
      <c r="W207">
        <v>1008</v>
      </c>
      <c r="X207">
        <v>0</v>
      </c>
      <c r="Y207">
        <v>0</v>
      </c>
      <c r="Z207">
        <v>0</v>
      </c>
      <c r="AA207">
        <v>0</v>
      </c>
      <c r="AB207">
        <v>0</v>
      </c>
      <c r="AC207">
        <v>1008</v>
      </c>
      <c r="AD207">
        <v>0</v>
      </c>
      <c r="AE207">
        <v>0</v>
      </c>
      <c r="AF207">
        <v>0</v>
      </c>
      <c r="AG207">
        <v>0</v>
      </c>
      <c r="AH207">
        <v>0</v>
      </c>
      <c r="AI207">
        <v>0</v>
      </c>
      <c r="AJ207">
        <v>0</v>
      </c>
      <c r="AK207">
        <v>0</v>
      </c>
      <c r="AL207">
        <v>0</v>
      </c>
      <c r="AM207">
        <v>0</v>
      </c>
      <c r="AN207">
        <v>0</v>
      </c>
      <c r="AO207">
        <v>0</v>
      </c>
      <c r="AP207">
        <v>0</v>
      </c>
      <c r="AQ207">
        <v>0</v>
      </c>
      <c r="AR207">
        <v>0</v>
      </c>
      <c r="AS207">
        <v>0</v>
      </c>
      <c r="AT207">
        <v>0</v>
      </c>
      <c r="AU207">
        <f t="shared" si="4"/>
        <v>0</v>
      </c>
      <c r="AV207">
        <f t="shared" si="5"/>
        <v>0</v>
      </c>
    </row>
    <row r="208" spans="1:48" x14ac:dyDescent="0.25">
      <c r="A208" t="s">
        <v>2825</v>
      </c>
      <c r="C208" t="s">
        <v>2826</v>
      </c>
      <c r="D208" t="s">
        <v>2827</v>
      </c>
      <c r="E208" t="s">
        <v>2310</v>
      </c>
      <c r="F208">
        <v>7</v>
      </c>
      <c r="G208">
        <v>7.1</v>
      </c>
      <c r="H208" t="s">
        <v>2017</v>
      </c>
      <c r="I208" s="21">
        <v>37414</v>
      </c>
      <c r="J208">
        <v>2002</v>
      </c>
      <c r="K208" s="21">
        <v>37434</v>
      </c>
      <c r="L208">
        <v>2002</v>
      </c>
      <c r="M208" s="21">
        <v>37502</v>
      </c>
      <c r="N208">
        <v>2002</v>
      </c>
      <c r="R208" s="262">
        <v>10000</v>
      </c>
      <c r="S208" t="s">
        <v>114</v>
      </c>
      <c r="T208" t="s">
        <v>114</v>
      </c>
      <c r="U208">
        <v>14</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f t="shared" si="4"/>
        <v>0</v>
      </c>
      <c r="AV208">
        <f t="shared" si="5"/>
        <v>0</v>
      </c>
    </row>
    <row r="209" spans="1:48" x14ac:dyDescent="0.25">
      <c r="A209" t="s">
        <v>2828</v>
      </c>
      <c r="C209" t="s">
        <v>2829</v>
      </c>
      <c r="D209" t="s">
        <v>2830</v>
      </c>
      <c r="E209" t="s">
        <v>2310</v>
      </c>
      <c r="F209">
        <v>15</v>
      </c>
      <c r="G209">
        <v>15.1</v>
      </c>
      <c r="H209" t="s">
        <v>2022</v>
      </c>
      <c r="I209" s="21">
        <v>37418</v>
      </c>
      <c r="J209">
        <v>2002</v>
      </c>
      <c r="K209" s="21">
        <v>37439</v>
      </c>
      <c r="L209">
        <v>2002</v>
      </c>
      <c r="M209" s="21">
        <v>37439</v>
      </c>
      <c r="N209">
        <v>2002</v>
      </c>
      <c r="R209" s="262">
        <v>40000</v>
      </c>
      <c r="S209" t="s">
        <v>114</v>
      </c>
      <c r="T209" t="s">
        <v>114</v>
      </c>
      <c r="U209">
        <v>5</v>
      </c>
      <c r="W209">
        <v>192</v>
      </c>
      <c r="X209">
        <v>0</v>
      </c>
      <c r="Y209">
        <v>0</v>
      </c>
      <c r="Z209">
        <v>0</v>
      </c>
      <c r="AA209">
        <v>0</v>
      </c>
      <c r="AB209">
        <v>0</v>
      </c>
      <c r="AC209">
        <v>192</v>
      </c>
      <c r="AD209">
        <v>0</v>
      </c>
      <c r="AE209">
        <v>0</v>
      </c>
      <c r="AF209">
        <v>0</v>
      </c>
      <c r="AG209">
        <v>0</v>
      </c>
      <c r="AH209">
        <v>0</v>
      </c>
      <c r="AI209">
        <v>0</v>
      </c>
      <c r="AJ209">
        <v>0</v>
      </c>
      <c r="AK209">
        <v>0</v>
      </c>
      <c r="AL209">
        <v>0</v>
      </c>
      <c r="AM209">
        <v>0</v>
      </c>
      <c r="AN209">
        <v>0</v>
      </c>
      <c r="AO209">
        <v>0</v>
      </c>
      <c r="AP209">
        <v>0</v>
      </c>
      <c r="AQ209">
        <v>0</v>
      </c>
      <c r="AR209">
        <v>0</v>
      </c>
      <c r="AS209">
        <v>0</v>
      </c>
      <c r="AT209">
        <v>0</v>
      </c>
      <c r="AU209">
        <f t="shared" si="4"/>
        <v>0</v>
      </c>
      <c r="AV209">
        <f t="shared" si="5"/>
        <v>0</v>
      </c>
    </row>
    <row r="210" spans="1:48" x14ac:dyDescent="0.25">
      <c r="A210" t="s">
        <v>2831</v>
      </c>
      <c r="C210" t="s">
        <v>2832</v>
      </c>
      <c r="D210" t="s">
        <v>2833</v>
      </c>
      <c r="E210" t="s">
        <v>2310</v>
      </c>
      <c r="F210">
        <v>10</v>
      </c>
      <c r="G210">
        <v>10.1</v>
      </c>
      <c r="H210" t="s">
        <v>2323</v>
      </c>
      <c r="I210" s="21">
        <v>37418</v>
      </c>
      <c r="J210">
        <v>2002</v>
      </c>
      <c r="K210" s="21">
        <v>37446</v>
      </c>
      <c r="L210">
        <v>2002</v>
      </c>
      <c r="M210" s="21">
        <v>37623</v>
      </c>
      <c r="N210">
        <v>2003</v>
      </c>
      <c r="R210" s="262">
        <v>70000</v>
      </c>
      <c r="S210" t="s">
        <v>114</v>
      </c>
      <c r="T210" t="s">
        <v>114</v>
      </c>
      <c r="U210">
        <v>8</v>
      </c>
      <c r="W210">
        <v>992</v>
      </c>
      <c r="X210">
        <v>1</v>
      </c>
      <c r="Y210">
        <v>0</v>
      </c>
      <c r="Z210">
        <v>0</v>
      </c>
      <c r="AA210">
        <v>0</v>
      </c>
      <c r="AB210">
        <v>0</v>
      </c>
      <c r="AC210">
        <v>0</v>
      </c>
      <c r="AD210">
        <v>0</v>
      </c>
      <c r="AE210">
        <v>0</v>
      </c>
      <c r="AF210">
        <v>992</v>
      </c>
      <c r="AG210">
        <v>0</v>
      </c>
      <c r="AH210">
        <v>0</v>
      </c>
      <c r="AI210">
        <v>0</v>
      </c>
      <c r="AJ210">
        <v>0</v>
      </c>
      <c r="AK210">
        <v>0</v>
      </c>
      <c r="AL210">
        <v>0</v>
      </c>
      <c r="AM210">
        <v>0</v>
      </c>
      <c r="AN210">
        <v>0</v>
      </c>
      <c r="AO210">
        <v>0</v>
      </c>
      <c r="AP210">
        <v>0</v>
      </c>
      <c r="AQ210">
        <v>0</v>
      </c>
      <c r="AR210">
        <v>1</v>
      </c>
      <c r="AS210">
        <v>0</v>
      </c>
      <c r="AT210">
        <v>0</v>
      </c>
      <c r="AU210">
        <f t="shared" si="4"/>
        <v>0</v>
      </c>
      <c r="AV210">
        <f t="shared" si="5"/>
        <v>0</v>
      </c>
    </row>
    <row r="211" spans="1:48" x14ac:dyDescent="0.25">
      <c r="A211" t="s">
        <v>2834</v>
      </c>
      <c r="C211" t="s">
        <v>2835</v>
      </c>
      <c r="D211" t="s">
        <v>2836</v>
      </c>
      <c r="E211" t="s">
        <v>2310</v>
      </c>
      <c r="F211">
        <v>9</v>
      </c>
      <c r="G211">
        <v>9.1999999999999993</v>
      </c>
      <c r="H211" t="s">
        <v>2022</v>
      </c>
      <c r="I211" s="21">
        <v>37419</v>
      </c>
      <c r="J211">
        <v>2002</v>
      </c>
      <c r="K211" s="21">
        <v>37454</v>
      </c>
      <c r="L211">
        <v>2002</v>
      </c>
      <c r="M211" s="21">
        <v>38952</v>
      </c>
      <c r="N211">
        <v>2006</v>
      </c>
      <c r="R211" s="262">
        <v>12000</v>
      </c>
      <c r="S211" t="s">
        <v>114</v>
      </c>
      <c r="T211" t="s">
        <v>114</v>
      </c>
      <c r="U211">
        <v>5</v>
      </c>
      <c r="W211">
        <v>336</v>
      </c>
      <c r="X211">
        <v>0</v>
      </c>
      <c r="Y211">
        <v>0</v>
      </c>
      <c r="Z211">
        <v>0</v>
      </c>
      <c r="AA211">
        <v>0</v>
      </c>
      <c r="AB211">
        <v>0</v>
      </c>
      <c r="AC211">
        <v>336</v>
      </c>
      <c r="AD211">
        <v>0</v>
      </c>
      <c r="AE211">
        <v>0</v>
      </c>
      <c r="AF211">
        <v>0</v>
      </c>
      <c r="AG211">
        <v>0</v>
      </c>
      <c r="AH211">
        <v>0</v>
      </c>
      <c r="AI211">
        <v>0</v>
      </c>
      <c r="AJ211">
        <v>0</v>
      </c>
      <c r="AK211">
        <v>0</v>
      </c>
      <c r="AL211">
        <v>0</v>
      </c>
      <c r="AM211">
        <v>0</v>
      </c>
      <c r="AN211">
        <v>0</v>
      </c>
      <c r="AO211">
        <v>0</v>
      </c>
      <c r="AP211">
        <v>0</v>
      </c>
      <c r="AQ211">
        <v>0</v>
      </c>
      <c r="AR211">
        <v>0</v>
      </c>
      <c r="AS211">
        <v>0</v>
      </c>
      <c r="AT211">
        <v>0</v>
      </c>
      <c r="AU211">
        <f t="shared" si="4"/>
        <v>0</v>
      </c>
      <c r="AV211">
        <f t="shared" si="5"/>
        <v>0</v>
      </c>
    </row>
    <row r="212" spans="1:48" x14ac:dyDescent="0.25">
      <c r="A212" t="s">
        <v>2837</v>
      </c>
      <c r="C212" t="s">
        <v>2838</v>
      </c>
      <c r="D212" t="s">
        <v>2839</v>
      </c>
      <c r="E212" t="s">
        <v>2310</v>
      </c>
      <c r="F212">
        <v>10</v>
      </c>
      <c r="G212">
        <v>10.1</v>
      </c>
      <c r="H212" t="s">
        <v>2323</v>
      </c>
      <c r="I212" s="21">
        <v>37419</v>
      </c>
      <c r="J212">
        <v>2002</v>
      </c>
      <c r="K212" s="21">
        <v>37447</v>
      </c>
      <c r="L212">
        <v>2002</v>
      </c>
      <c r="M212" s="21">
        <v>37803</v>
      </c>
      <c r="N212">
        <v>2003</v>
      </c>
      <c r="R212" s="262">
        <v>305000</v>
      </c>
      <c r="S212" t="s">
        <v>114</v>
      </c>
      <c r="T212" t="s">
        <v>114</v>
      </c>
      <c r="U212">
        <v>5</v>
      </c>
      <c r="W212">
        <v>3907</v>
      </c>
      <c r="X212">
        <v>1</v>
      </c>
      <c r="Y212">
        <v>0</v>
      </c>
      <c r="Z212">
        <v>0</v>
      </c>
      <c r="AA212">
        <v>0</v>
      </c>
      <c r="AB212">
        <v>0</v>
      </c>
      <c r="AC212">
        <v>3907</v>
      </c>
      <c r="AD212">
        <v>0</v>
      </c>
      <c r="AE212">
        <v>0</v>
      </c>
      <c r="AF212">
        <v>0</v>
      </c>
      <c r="AG212">
        <v>0</v>
      </c>
      <c r="AH212">
        <v>0</v>
      </c>
      <c r="AI212">
        <v>0</v>
      </c>
      <c r="AJ212">
        <v>0</v>
      </c>
      <c r="AK212">
        <v>0</v>
      </c>
      <c r="AL212">
        <v>0</v>
      </c>
      <c r="AM212">
        <v>0</v>
      </c>
      <c r="AN212">
        <v>0</v>
      </c>
      <c r="AO212">
        <v>1</v>
      </c>
      <c r="AP212">
        <v>0</v>
      </c>
      <c r="AQ212">
        <v>0</v>
      </c>
      <c r="AR212">
        <v>0</v>
      </c>
      <c r="AS212">
        <v>0</v>
      </c>
      <c r="AT212">
        <v>0</v>
      </c>
      <c r="AU212">
        <f t="shared" si="4"/>
        <v>1</v>
      </c>
      <c r="AV212">
        <f t="shared" si="5"/>
        <v>0</v>
      </c>
    </row>
    <row r="213" spans="1:48" x14ac:dyDescent="0.25">
      <c r="A213" t="s">
        <v>2840</v>
      </c>
      <c r="C213" t="s">
        <v>2841</v>
      </c>
      <c r="D213" t="s">
        <v>2842</v>
      </c>
      <c r="E213" t="s">
        <v>2310</v>
      </c>
      <c r="F213">
        <v>9</v>
      </c>
      <c r="G213">
        <v>9.3000000000000007</v>
      </c>
      <c r="H213" t="s">
        <v>2323</v>
      </c>
      <c r="I213" s="21">
        <v>37419</v>
      </c>
      <c r="J213">
        <v>2002</v>
      </c>
      <c r="K213" s="21">
        <v>37455</v>
      </c>
      <c r="L213">
        <v>2002</v>
      </c>
      <c r="M213" s="21">
        <v>37923</v>
      </c>
      <c r="N213">
        <v>2003</v>
      </c>
      <c r="R213" s="262">
        <v>225000</v>
      </c>
      <c r="S213" t="s">
        <v>114</v>
      </c>
      <c r="T213" t="s">
        <v>114</v>
      </c>
      <c r="U213">
        <v>8</v>
      </c>
      <c r="W213">
        <v>1000</v>
      </c>
      <c r="X213">
        <v>1</v>
      </c>
      <c r="Y213">
        <v>0</v>
      </c>
      <c r="Z213">
        <v>0</v>
      </c>
      <c r="AA213">
        <v>0</v>
      </c>
      <c r="AB213">
        <v>0</v>
      </c>
      <c r="AC213">
        <v>0</v>
      </c>
      <c r="AD213">
        <v>0</v>
      </c>
      <c r="AE213">
        <v>0</v>
      </c>
      <c r="AF213">
        <v>1000</v>
      </c>
      <c r="AG213">
        <v>0</v>
      </c>
      <c r="AH213">
        <v>0</v>
      </c>
      <c r="AI213">
        <v>0</v>
      </c>
      <c r="AJ213">
        <v>0</v>
      </c>
      <c r="AK213">
        <v>0</v>
      </c>
      <c r="AL213">
        <v>0</v>
      </c>
      <c r="AM213">
        <v>0</v>
      </c>
      <c r="AN213">
        <v>0</v>
      </c>
      <c r="AO213">
        <v>0</v>
      </c>
      <c r="AP213">
        <v>0</v>
      </c>
      <c r="AQ213">
        <v>0</v>
      </c>
      <c r="AR213">
        <v>1</v>
      </c>
      <c r="AS213">
        <v>0</v>
      </c>
      <c r="AT213">
        <v>0</v>
      </c>
      <c r="AU213">
        <f t="shared" si="4"/>
        <v>0</v>
      </c>
      <c r="AV213">
        <f t="shared" si="5"/>
        <v>0</v>
      </c>
    </row>
    <row r="214" spans="1:48" x14ac:dyDescent="0.25">
      <c r="A214" t="s">
        <v>2843</v>
      </c>
      <c r="C214" t="s">
        <v>2844</v>
      </c>
      <c r="D214" t="s">
        <v>2845</v>
      </c>
      <c r="E214" t="s">
        <v>2310</v>
      </c>
      <c r="F214">
        <v>14</v>
      </c>
      <c r="G214">
        <v>14.1</v>
      </c>
      <c r="H214" t="s">
        <v>2022</v>
      </c>
      <c r="I214" s="21">
        <v>37420</v>
      </c>
      <c r="J214">
        <v>2002</v>
      </c>
      <c r="K214" s="21">
        <v>37449</v>
      </c>
      <c r="L214">
        <v>2002</v>
      </c>
      <c r="M214" s="21">
        <v>38000</v>
      </c>
      <c r="N214">
        <v>2004</v>
      </c>
      <c r="R214" s="262">
        <v>360000</v>
      </c>
      <c r="S214" t="s">
        <v>114</v>
      </c>
      <c r="T214" t="s">
        <v>114</v>
      </c>
      <c r="U214">
        <v>5</v>
      </c>
      <c r="W214">
        <v>5151</v>
      </c>
      <c r="X214">
        <v>1</v>
      </c>
      <c r="Y214">
        <v>0</v>
      </c>
      <c r="Z214">
        <v>0</v>
      </c>
      <c r="AA214">
        <v>0</v>
      </c>
      <c r="AB214">
        <v>0</v>
      </c>
      <c r="AC214">
        <v>5151</v>
      </c>
      <c r="AD214">
        <v>0</v>
      </c>
      <c r="AE214">
        <v>0</v>
      </c>
      <c r="AF214">
        <v>0</v>
      </c>
      <c r="AG214">
        <v>0</v>
      </c>
      <c r="AH214">
        <v>0</v>
      </c>
      <c r="AI214">
        <v>0</v>
      </c>
      <c r="AJ214">
        <v>0</v>
      </c>
      <c r="AK214">
        <v>0</v>
      </c>
      <c r="AL214">
        <v>0</v>
      </c>
      <c r="AM214">
        <v>0</v>
      </c>
      <c r="AN214">
        <v>0</v>
      </c>
      <c r="AO214">
        <v>1</v>
      </c>
      <c r="AP214">
        <v>0</v>
      </c>
      <c r="AQ214">
        <v>0</v>
      </c>
      <c r="AR214">
        <v>0</v>
      </c>
      <c r="AS214">
        <v>0</v>
      </c>
      <c r="AT214">
        <v>0</v>
      </c>
      <c r="AU214">
        <f t="shared" si="4"/>
        <v>1</v>
      </c>
      <c r="AV214">
        <f t="shared" si="5"/>
        <v>0</v>
      </c>
    </row>
    <row r="215" spans="1:48" x14ac:dyDescent="0.25">
      <c r="A215" t="s">
        <v>2846</v>
      </c>
      <c r="C215" t="s">
        <v>2847</v>
      </c>
      <c r="D215" t="s">
        <v>2526</v>
      </c>
      <c r="E215" t="s">
        <v>2310</v>
      </c>
      <c r="F215">
        <v>10</v>
      </c>
      <c r="G215">
        <v>10.1</v>
      </c>
      <c r="H215" t="s">
        <v>2323</v>
      </c>
      <c r="I215" s="21">
        <v>37425</v>
      </c>
      <c r="J215">
        <v>2002</v>
      </c>
      <c r="K215" s="21">
        <v>37554</v>
      </c>
      <c r="L215">
        <v>2002</v>
      </c>
      <c r="M215" s="21">
        <v>37790</v>
      </c>
      <c r="N215">
        <v>2003</v>
      </c>
      <c r="R215" s="262">
        <v>492000</v>
      </c>
      <c r="S215" t="s">
        <v>114</v>
      </c>
      <c r="T215" t="s">
        <v>114</v>
      </c>
      <c r="U215">
        <v>5</v>
      </c>
      <c r="W215">
        <v>3780</v>
      </c>
      <c r="X215">
        <v>1</v>
      </c>
      <c r="Y215">
        <v>0</v>
      </c>
      <c r="Z215">
        <v>0</v>
      </c>
      <c r="AA215">
        <v>0</v>
      </c>
      <c r="AB215">
        <v>0</v>
      </c>
      <c r="AC215">
        <v>3780</v>
      </c>
      <c r="AD215">
        <v>0</v>
      </c>
      <c r="AE215">
        <v>0</v>
      </c>
      <c r="AF215">
        <v>0</v>
      </c>
      <c r="AG215">
        <v>0</v>
      </c>
      <c r="AH215">
        <v>0</v>
      </c>
      <c r="AI215">
        <v>0</v>
      </c>
      <c r="AJ215">
        <v>0</v>
      </c>
      <c r="AK215">
        <v>0</v>
      </c>
      <c r="AL215">
        <v>0</v>
      </c>
      <c r="AM215">
        <v>0</v>
      </c>
      <c r="AN215">
        <v>0</v>
      </c>
      <c r="AO215">
        <v>1</v>
      </c>
      <c r="AP215">
        <v>0</v>
      </c>
      <c r="AQ215">
        <v>0</v>
      </c>
      <c r="AR215">
        <v>0</v>
      </c>
      <c r="AS215">
        <v>0</v>
      </c>
      <c r="AT215">
        <v>0</v>
      </c>
      <c r="AU215">
        <f t="shared" si="4"/>
        <v>1</v>
      </c>
      <c r="AV215">
        <f t="shared" si="5"/>
        <v>0</v>
      </c>
    </row>
    <row r="216" spans="1:48" x14ac:dyDescent="0.25">
      <c r="A216" t="s">
        <v>2848</v>
      </c>
      <c r="C216" t="s">
        <v>2849</v>
      </c>
      <c r="D216" t="s">
        <v>2850</v>
      </c>
      <c r="E216" t="s">
        <v>2310</v>
      </c>
      <c r="F216">
        <v>11</v>
      </c>
      <c r="G216">
        <v>11.2</v>
      </c>
      <c r="H216" t="s">
        <v>2017</v>
      </c>
      <c r="I216" s="21">
        <v>37426</v>
      </c>
      <c r="J216">
        <v>2002</v>
      </c>
      <c r="K216" s="21">
        <v>37508</v>
      </c>
      <c r="L216">
        <v>2002</v>
      </c>
      <c r="M216" s="21">
        <v>38014</v>
      </c>
      <c r="N216">
        <v>2004</v>
      </c>
      <c r="R216" s="262">
        <v>175000</v>
      </c>
      <c r="S216" t="s">
        <v>114</v>
      </c>
      <c r="T216" t="s">
        <v>114</v>
      </c>
      <c r="U216">
        <v>5</v>
      </c>
      <c r="W216">
        <v>2480</v>
      </c>
      <c r="X216">
        <v>1</v>
      </c>
      <c r="Y216">
        <v>0</v>
      </c>
      <c r="Z216">
        <v>0</v>
      </c>
      <c r="AA216">
        <v>0</v>
      </c>
      <c r="AB216">
        <v>0</v>
      </c>
      <c r="AC216">
        <v>2480</v>
      </c>
      <c r="AD216">
        <v>0</v>
      </c>
      <c r="AE216">
        <v>0</v>
      </c>
      <c r="AF216">
        <v>0</v>
      </c>
      <c r="AG216">
        <v>0</v>
      </c>
      <c r="AH216">
        <v>0</v>
      </c>
      <c r="AI216">
        <v>0</v>
      </c>
      <c r="AJ216">
        <v>0</v>
      </c>
      <c r="AK216">
        <v>0</v>
      </c>
      <c r="AL216">
        <v>0</v>
      </c>
      <c r="AM216">
        <v>0</v>
      </c>
      <c r="AN216">
        <v>0</v>
      </c>
      <c r="AO216">
        <v>1</v>
      </c>
      <c r="AP216">
        <v>0</v>
      </c>
      <c r="AQ216">
        <v>0</v>
      </c>
      <c r="AR216">
        <v>0</v>
      </c>
      <c r="AS216">
        <v>0</v>
      </c>
      <c r="AT216">
        <v>0</v>
      </c>
      <c r="AU216">
        <f t="shared" si="4"/>
        <v>1</v>
      </c>
      <c r="AV216">
        <f t="shared" si="5"/>
        <v>0</v>
      </c>
    </row>
    <row r="217" spans="1:48" x14ac:dyDescent="0.25">
      <c r="A217" t="s">
        <v>2851</v>
      </c>
      <c r="C217" t="s">
        <v>2852</v>
      </c>
      <c r="D217" t="s">
        <v>2853</v>
      </c>
      <c r="E217" t="s">
        <v>2310</v>
      </c>
      <c r="F217">
        <v>9</v>
      </c>
      <c r="G217">
        <v>9.3000000000000007</v>
      </c>
      <c r="H217" t="s">
        <v>2323</v>
      </c>
      <c r="I217" s="21">
        <v>37426</v>
      </c>
      <c r="J217">
        <v>2002</v>
      </c>
      <c r="K217" s="21">
        <v>37474</v>
      </c>
      <c r="L217">
        <v>2002</v>
      </c>
      <c r="M217" s="21">
        <v>37474</v>
      </c>
      <c r="N217">
        <v>2002</v>
      </c>
      <c r="R217" s="262">
        <v>15000</v>
      </c>
      <c r="S217" t="s">
        <v>114</v>
      </c>
      <c r="T217" t="s">
        <v>114</v>
      </c>
      <c r="U217">
        <v>5</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f t="shared" ref="AU217:AU280" si="6">SUM(AN217:AQ217,AS217)</f>
        <v>0</v>
      </c>
      <c r="AV217">
        <f t="shared" ref="AV217:AV280" si="7">SUM(Y217:AB217,AH217:AM217)</f>
        <v>0</v>
      </c>
    </row>
    <row r="218" spans="1:48" x14ac:dyDescent="0.25">
      <c r="A218" t="s">
        <v>2857</v>
      </c>
      <c r="C218" t="s">
        <v>2858</v>
      </c>
      <c r="D218" t="s">
        <v>2707</v>
      </c>
      <c r="E218" t="s">
        <v>2310</v>
      </c>
      <c r="F218">
        <v>8</v>
      </c>
      <c r="G218">
        <v>8.1</v>
      </c>
      <c r="H218" t="s">
        <v>2323</v>
      </c>
      <c r="I218" s="21">
        <v>37428</v>
      </c>
      <c r="J218">
        <v>2002</v>
      </c>
      <c r="K218" s="21">
        <v>37448</v>
      </c>
      <c r="L218">
        <v>2002</v>
      </c>
      <c r="M218" s="21">
        <v>37938</v>
      </c>
      <c r="N218">
        <v>2003</v>
      </c>
      <c r="R218" s="262">
        <v>2000</v>
      </c>
      <c r="S218" t="s">
        <v>114</v>
      </c>
      <c r="T218" t="s">
        <v>114</v>
      </c>
      <c r="U218">
        <v>5</v>
      </c>
      <c r="W218">
        <v>221</v>
      </c>
      <c r="X218">
        <v>0</v>
      </c>
      <c r="Y218">
        <v>0</v>
      </c>
      <c r="Z218">
        <v>0</v>
      </c>
      <c r="AA218">
        <v>0</v>
      </c>
      <c r="AB218">
        <v>0</v>
      </c>
      <c r="AC218">
        <v>221</v>
      </c>
      <c r="AD218">
        <v>0</v>
      </c>
      <c r="AE218">
        <v>0</v>
      </c>
      <c r="AF218">
        <v>0</v>
      </c>
      <c r="AG218">
        <v>0</v>
      </c>
      <c r="AH218">
        <v>0</v>
      </c>
      <c r="AI218">
        <v>0</v>
      </c>
      <c r="AJ218">
        <v>0</v>
      </c>
      <c r="AK218">
        <v>0</v>
      </c>
      <c r="AL218">
        <v>0</v>
      </c>
      <c r="AM218">
        <v>0</v>
      </c>
      <c r="AN218">
        <v>0</v>
      </c>
      <c r="AO218">
        <v>0</v>
      </c>
      <c r="AP218">
        <v>0</v>
      </c>
      <c r="AQ218">
        <v>0</v>
      </c>
      <c r="AR218">
        <v>0</v>
      </c>
      <c r="AS218">
        <v>0</v>
      </c>
      <c r="AT218">
        <v>0</v>
      </c>
      <c r="AU218">
        <f t="shared" si="6"/>
        <v>0</v>
      </c>
      <c r="AV218">
        <f t="shared" si="7"/>
        <v>0</v>
      </c>
    </row>
    <row r="219" spans="1:48" x14ac:dyDescent="0.25">
      <c r="A219" t="s">
        <v>2859</v>
      </c>
      <c r="C219" t="s">
        <v>2860</v>
      </c>
      <c r="D219" t="s">
        <v>2861</v>
      </c>
      <c r="E219" t="s">
        <v>2310</v>
      </c>
      <c r="F219">
        <v>9</v>
      </c>
      <c r="G219">
        <v>9.1999999999999993</v>
      </c>
      <c r="H219" t="s">
        <v>2022</v>
      </c>
      <c r="I219" s="21">
        <v>37428</v>
      </c>
      <c r="J219">
        <v>2002</v>
      </c>
      <c r="K219" s="21">
        <v>37505</v>
      </c>
      <c r="L219">
        <v>2002</v>
      </c>
      <c r="M219" s="21">
        <v>37505</v>
      </c>
      <c r="N219">
        <v>2002</v>
      </c>
      <c r="R219" s="262">
        <v>700000</v>
      </c>
      <c r="S219" t="s">
        <v>114</v>
      </c>
      <c r="T219" t="s">
        <v>114</v>
      </c>
      <c r="U219">
        <v>5</v>
      </c>
      <c r="W219">
        <v>2721</v>
      </c>
      <c r="X219">
        <v>1</v>
      </c>
      <c r="Y219">
        <v>0</v>
      </c>
      <c r="Z219">
        <v>0</v>
      </c>
      <c r="AA219">
        <v>0</v>
      </c>
      <c r="AB219">
        <v>0</v>
      </c>
      <c r="AC219">
        <v>2721</v>
      </c>
      <c r="AD219">
        <v>0</v>
      </c>
      <c r="AE219">
        <v>0</v>
      </c>
      <c r="AF219">
        <v>0</v>
      </c>
      <c r="AG219">
        <v>0</v>
      </c>
      <c r="AH219">
        <v>0</v>
      </c>
      <c r="AI219">
        <v>0</v>
      </c>
      <c r="AJ219">
        <v>0</v>
      </c>
      <c r="AK219">
        <v>0</v>
      </c>
      <c r="AL219">
        <v>0</v>
      </c>
      <c r="AM219">
        <v>0</v>
      </c>
      <c r="AN219">
        <v>0</v>
      </c>
      <c r="AO219">
        <v>1</v>
      </c>
      <c r="AP219">
        <v>0</v>
      </c>
      <c r="AQ219">
        <v>0</v>
      </c>
      <c r="AR219">
        <v>0</v>
      </c>
      <c r="AS219">
        <v>0</v>
      </c>
      <c r="AT219">
        <v>0</v>
      </c>
      <c r="AU219">
        <f t="shared" si="6"/>
        <v>1</v>
      </c>
      <c r="AV219">
        <f t="shared" si="7"/>
        <v>0</v>
      </c>
    </row>
    <row r="220" spans="1:48" x14ac:dyDescent="0.25">
      <c r="A220" t="s">
        <v>2854</v>
      </c>
      <c r="C220" t="s">
        <v>2855</v>
      </c>
      <c r="D220" t="s">
        <v>2856</v>
      </c>
      <c r="E220" t="s">
        <v>1663</v>
      </c>
      <c r="F220">
        <v>6</v>
      </c>
      <c r="G220">
        <v>6.1</v>
      </c>
      <c r="H220" t="s">
        <v>2017</v>
      </c>
      <c r="I220" s="21">
        <v>37428</v>
      </c>
      <c r="J220">
        <v>2002</v>
      </c>
      <c r="K220" s="21">
        <v>37458</v>
      </c>
      <c r="L220">
        <v>2002</v>
      </c>
      <c r="M220" s="21">
        <v>37611</v>
      </c>
      <c r="N220">
        <v>2002</v>
      </c>
      <c r="Q220" s="262">
        <v>348714</v>
      </c>
      <c r="S220" t="s">
        <v>114</v>
      </c>
      <c r="T220" t="s">
        <v>114</v>
      </c>
      <c r="W220">
        <v>4845</v>
      </c>
      <c r="X220">
        <v>1</v>
      </c>
      <c r="Y220">
        <v>0</v>
      </c>
      <c r="Z220">
        <v>0</v>
      </c>
      <c r="AA220">
        <v>0</v>
      </c>
      <c r="AB220">
        <v>0</v>
      </c>
      <c r="AC220">
        <v>4845</v>
      </c>
      <c r="AD220">
        <v>0</v>
      </c>
      <c r="AE220">
        <v>0</v>
      </c>
      <c r="AF220">
        <v>0</v>
      </c>
      <c r="AG220">
        <v>0</v>
      </c>
      <c r="AH220">
        <v>0</v>
      </c>
      <c r="AI220">
        <v>0</v>
      </c>
      <c r="AJ220">
        <v>0</v>
      </c>
      <c r="AK220">
        <v>0</v>
      </c>
      <c r="AL220">
        <v>0</v>
      </c>
      <c r="AM220">
        <v>0</v>
      </c>
      <c r="AN220">
        <v>0</v>
      </c>
      <c r="AO220">
        <v>1</v>
      </c>
      <c r="AP220">
        <v>0</v>
      </c>
      <c r="AQ220">
        <v>0</v>
      </c>
      <c r="AR220">
        <v>0</v>
      </c>
      <c r="AS220">
        <v>0</v>
      </c>
      <c r="AT220">
        <v>0</v>
      </c>
      <c r="AU220">
        <f t="shared" si="6"/>
        <v>1</v>
      </c>
      <c r="AV220">
        <f t="shared" si="7"/>
        <v>0</v>
      </c>
    </row>
    <row r="221" spans="1:48" x14ac:dyDescent="0.25">
      <c r="A221" t="s">
        <v>2862</v>
      </c>
      <c r="C221" t="s">
        <v>2863</v>
      </c>
      <c r="D221" t="s">
        <v>2864</v>
      </c>
      <c r="E221" t="s">
        <v>2310</v>
      </c>
      <c r="F221">
        <v>9</v>
      </c>
      <c r="G221">
        <v>9.3000000000000007</v>
      </c>
      <c r="H221" t="s">
        <v>2323</v>
      </c>
      <c r="I221" s="21">
        <v>37431</v>
      </c>
      <c r="J221">
        <v>2002</v>
      </c>
      <c r="K221" s="21">
        <v>37474</v>
      </c>
      <c r="L221">
        <v>2002</v>
      </c>
      <c r="M221" s="21">
        <v>37474</v>
      </c>
      <c r="N221">
        <v>2002</v>
      </c>
      <c r="R221" s="262">
        <v>800000</v>
      </c>
      <c r="S221" t="s">
        <v>114</v>
      </c>
      <c r="T221" t="s">
        <v>114</v>
      </c>
      <c r="U221">
        <v>5</v>
      </c>
      <c r="W221">
        <v>4996</v>
      </c>
      <c r="X221">
        <v>1</v>
      </c>
      <c r="Y221">
        <v>0</v>
      </c>
      <c r="Z221">
        <v>0</v>
      </c>
      <c r="AA221">
        <v>0</v>
      </c>
      <c r="AB221">
        <v>0</v>
      </c>
      <c r="AC221">
        <v>4996</v>
      </c>
      <c r="AD221">
        <v>0</v>
      </c>
      <c r="AE221">
        <v>0</v>
      </c>
      <c r="AF221">
        <v>0</v>
      </c>
      <c r="AG221">
        <v>0</v>
      </c>
      <c r="AH221">
        <v>0</v>
      </c>
      <c r="AI221">
        <v>0</v>
      </c>
      <c r="AJ221">
        <v>0</v>
      </c>
      <c r="AK221">
        <v>0</v>
      </c>
      <c r="AL221">
        <v>0</v>
      </c>
      <c r="AM221">
        <v>0</v>
      </c>
      <c r="AN221">
        <v>0</v>
      </c>
      <c r="AO221">
        <v>1</v>
      </c>
      <c r="AP221">
        <v>0</v>
      </c>
      <c r="AQ221">
        <v>0</v>
      </c>
      <c r="AR221">
        <v>0</v>
      </c>
      <c r="AS221">
        <v>0</v>
      </c>
      <c r="AT221">
        <v>0</v>
      </c>
      <c r="AU221">
        <f t="shared" si="6"/>
        <v>1</v>
      </c>
      <c r="AV221">
        <f t="shared" si="7"/>
        <v>0</v>
      </c>
    </row>
    <row r="222" spans="1:48" x14ac:dyDescent="0.25">
      <c r="A222" t="s">
        <v>2865</v>
      </c>
      <c r="C222" t="s">
        <v>2866</v>
      </c>
      <c r="D222" t="s">
        <v>2867</v>
      </c>
      <c r="E222" t="s">
        <v>2310</v>
      </c>
      <c r="F222">
        <v>9</v>
      </c>
      <c r="G222">
        <v>9.1999999999999993</v>
      </c>
      <c r="H222" t="s">
        <v>2022</v>
      </c>
      <c r="I222" s="21">
        <v>37432</v>
      </c>
      <c r="J222">
        <v>2002</v>
      </c>
      <c r="K222" s="21">
        <v>37455</v>
      </c>
      <c r="L222">
        <v>2002</v>
      </c>
      <c r="M222" s="21">
        <v>37455</v>
      </c>
      <c r="N222">
        <v>2002</v>
      </c>
      <c r="R222" s="262">
        <v>500000</v>
      </c>
      <c r="S222" t="s">
        <v>114</v>
      </c>
      <c r="T222" t="s">
        <v>114</v>
      </c>
      <c r="U222">
        <v>5</v>
      </c>
      <c r="W222">
        <v>3824</v>
      </c>
      <c r="X222">
        <v>1</v>
      </c>
      <c r="Y222">
        <v>0</v>
      </c>
      <c r="Z222">
        <v>0</v>
      </c>
      <c r="AA222">
        <v>0</v>
      </c>
      <c r="AB222">
        <v>0</v>
      </c>
      <c r="AC222">
        <v>3824</v>
      </c>
      <c r="AD222">
        <v>0</v>
      </c>
      <c r="AE222">
        <v>0</v>
      </c>
      <c r="AF222">
        <v>0</v>
      </c>
      <c r="AG222">
        <v>0</v>
      </c>
      <c r="AH222">
        <v>0</v>
      </c>
      <c r="AI222">
        <v>0</v>
      </c>
      <c r="AJ222">
        <v>0</v>
      </c>
      <c r="AK222">
        <v>0</v>
      </c>
      <c r="AL222">
        <v>0</v>
      </c>
      <c r="AM222">
        <v>0</v>
      </c>
      <c r="AN222">
        <v>0</v>
      </c>
      <c r="AO222">
        <v>1</v>
      </c>
      <c r="AP222">
        <v>0</v>
      </c>
      <c r="AQ222">
        <v>0</v>
      </c>
      <c r="AR222">
        <v>0</v>
      </c>
      <c r="AS222">
        <v>0</v>
      </c>
      <c r="AT222">
        <v>0</v>
      </c>
      <c r="AU222">
        <f t="shared" si="6"/>
        <v>1</v>
      </c>
      <c r="AV222">
        <f t="shared" si="7"/>
        <v>0</v>
      </c>
    </row>
    <row r="223" spans="1:48" x14ac:dyDescent="0.25">
      <c r="A223" t="s">
        <v>2868</v>
      </c>
      <c r="C223" t="s">
        <v>2312</v>
      </c>
      <c r="D223" t="s">
        <v>2869</v>
      </c>
      <c r="E223" t="s">
        <v>2310</v>
      </c>
      <c r="F223">
        <v>10</v>
      </c>
      <c r="G223">
        <v>10.1</v>
      </c>
      <c r="H223" t="s">
        <v>2323</v>
      </c>
      <c r="I223" s="21">
        <v>37432</v>
      </c>
      <c r="J223">
        <v>2002</v>
      </c>
      <c r="K223" s="21">
        <v>37455</v>
      </c>
      <c r="L223">
        <v>2002</v>
      </c>
      <c r="M223" s="21">
        <v>37616</v>
      </c>
      <c r="N223">
        <v>2002</v>
      </c>
      <c r="R223" s="262">
        <v>317000</v>
      </c>
      <c r="S223" t="s">
        <v>114</v>
      </c>
      <c r="T223" t="s">
        <v>114</v>
      </c>
      <c r="U223">
        <v>5</v>
      </c>
      <c r="W223">
        <v>3336</v>
      </c>
      <c r="X223">
        <v>1</v>
      </c>
      <c r="Y223">
        <v>0</v>
      </c>
      <c r="Z223">
        <v>0</v>
      </c>
      <c r="AA223">
        <v>0</v>
      </c>
      <c r="AB223">
        <v>0</v>
      </c>
      <c r="AC223">
        <v>3336</v>
      </c>
      <c r="AD223">
        <v>0</v>
      </c>
      <c r="AE223">
        <v>0</v>
      </c>
      <c r="AF223">
        <v>0</v>
      </c>
      <c r="AG223">
        <v>0</v>
      </c>
      <c r="AH223">
        <v>0</v>
      </c>
      <c r="AI223">
        <v>0</v>
      </c>
      <c r="AJ223">
        <v>0</v>
      </c>
      <c r="AK223">
        <v>0</v>
      </c>
      <c r="AL223">
        <v>0</v>
      </c>
      <c r="AM223">
        <v>0</v>
      </c>
      <c r="AN223">
        <v>0</v>
      </c>
      <c r="AO223">
        <v>1</v>
      </c>
      <c r="AP223">
        <v>0</v>
      </c>
      <c r="AQ223">
        <v>0</v>
      </c>
      <c r="AR223">
        <v>0</v>
      </c>
      <c r="AS223">
        <v>0</v>
      </c>
      <c r="AT223">
        <v>0</v>
      </c>
      <c r="AU223">
        <f t="shared" si="6"/>
        <v>1</v>
      </c>
      <c r="AV223">
        <f t="shared" si="7"/>
        <v>0</v>
      </c>
    </row>
    <row r="224" spans="1:48" x14ac:dyDescent="0.25">
      <c r="A224" t="s">
        <v>2870</v>
      </c>
      <c r="C224" t="s">
        <v>2486</v>
      </c>
      <c r="D224" t="s">
        <v>2871</v>
      </c>
      <c r="E224" t="s">
        <v>2310</v>
      </c>
      <c r="F224">
        <v>9</v>
      </c>
      <c r="G224">
        <v>9.3000000000000007</v>
      </c>
      <c r="H224" t="s">
        <v>2323</v>
      </c>
      <c r="I224" s="21">
        <v>37433</v>
      </c>
      <c r="J224">
        <v>2002</v>
      </c>
      <c r="K224" s="21">
        <v>37460</v>
      </c>
      <c r="L224">
        <v>2002</v>
      </c>
      <c r="M224" s="21">
        <v>37830</v>
      </c>
      <c r="N224">
        <v>2003</v>
      </c>
      <c r="R224" s="262">
        <v>508000</v>
      </c>
      <c r="S224" t="s">
        <v>114</v>
      </c>
      <c r="T224" t="s">
        <v>114</v>
      </c>
      <c r="U224">
        <v>5</v>
      </c>
      <c r="W224">
        <v>4732</v>
      </c>
      <c r="X224">
        <v>1</v>
      </c>
      <c r="Y224">
        <v>0</v>
      </c>
      <c r="Z224">
        <v>0</v>
      </c>
      <c r="AA224">
        <v>0</v>
      </c>
      <c r="AB224">
        <v>0</v>
      </c>
      <c r="AC224">
        <v>4732</v>
      </c>
      <c r="AD224">
        <v>0</v>
      </c>
      <c r="AE224">
        <v>0</v>
      </c>
      <c r="AF224">
        <v>0</v>
      </c>
      <c r="AG224">
        <v>0</v>
      </c>
      <c r="AH224">
        <v>0</v>
      </c>
      <c r="AI224">
        <v>0</v>
      </c>
      <c r="AJ224">
        <v>0</v>
      </c>
      <c r="AK224">
        <v>0</v>
      </c>
      <c r="AL224">
        <v>0</v>
      </c>
      <c r="AM224">
        <v>0</v>
      </c>
      <c r="AN224">
        <v>0</v>
      </c>
      <c r="AO224">
        <v>1</v>
      </c>
      <c r="AP224">
        <v>0</v>
      </c>
      <c r="AQ224">
        <v>0</v>
      </c>
      <c r="AR224">
        <v>0</v>
      </c>
      <c r="AS224">
        <v>0</v>
      </c>
      <c r="AT224">
        <v>0</v>
      </c>
      <c r="AU224">
        <f t="shared" si="6"/>
        <v>1</v>
      </c>
      <c r="AV224">
        <f t="shared" si="7"/>
        <v>0</v>
      </c>
    </row>
    <row r="225" spans="1:48" x14ac:dyDescent="0.25">
      <c r="A225" t="s">
        <v>2874</v>
      </c>
      <c r="C225" t="s">
        <v>2875</v>
      </c>
      <c r="D225" t="s">
        <v>2876</v>
      </c>
      <c r="E225" t="s">
        <v>2310</v>
      </c>
      <c r="F225">
        <v>10</v>
      </c>
      <c r="G225">
        <v>10.1</v>
      </c>
      <c r="H225" t="s">
        <v>2323</v>
      </c>
      <c r="I225" s="21">
        <v>37435</v>
      </c>
      <c r="J225">
        <v>2002</v>
      </c>
      <c r="K225" s="21">
        <v>37456</v>
      </c>
      <c r="L225">
        <v>2002</v>
      </c>
      <c r="M225" s="21">
        <v>37456</v>
      </c>
      <c r="N225">
        <v>2002</v>
      </c>
      <c r="R225" s="262">
        <v>50000</v>
      </c>
      <c r="S225" t="s">
        <v>114</v>
      </c>
      <c r="T225" t="s">
        <v>114</v>
      </c>
      <c r="U225">
        <v>5</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f t="shared" si="6"/>
        <v>0</v>
      </c>
      <c r="AV225">
        <f t="shared" si="7"/>
        <v>0</v>
      </c>
    </row>
    <row r="226" spans="1:48" x14ac:dyDescent="0.25">
      <c r="A226" t="s">
        <v>2872</v>
      </c>
      <c r="C226" t="s">
        <v>2408</v>
      </c>
      <c r="D226" t="s">
        <v>2873</v>
      </c>
      <c r="E226" t="s">
        <v>1663</v>
      </c>
      <c r="F226">
        <v>6</v>
      </c>
      <c r="G226">
        <v>6.1</v>
      </c>
      <c r="H226" t="s">
        <v>2017</v>
      </c>
      <c r="I226" s="21">
        <v>37435</v>
      </c>
      <c r="J226">
        <v>2002</v>
      </c>
      <c r="K226" s="21">
        <v>37465</v>
      </c>
      <c r="L226">
        <v>2002</v>
      </c>
      <c r="M226" s="21">
        <v>37618</v>
      </c>
      <c r="N226">
        <v>2002</v>
      </c>
      <c r="Q226" s="262">
        <v>40000</v>
      </c>
      <c r="S226" t="s">
        <v>114</v>
      </c>
      <c r="T226" t="s">
        <v>114</v>
      </c>
      <c r="W226">
        <v>560</v>
      </c>
      <c r="X226">
        <v>0</v>
      </c>
      <c r="Y226">
        <v>0</v>
      </c>
      <c r="Z226">
        <v>0</v>
      </c>
      <c r="AA226">
        <v>0</v>
      </c>
      <c r="AB226">
        <v>0</v>
      </c>
      <c r="AC226">
        <v>560</v>
      </c>
      <c r="AD226">
        <v>0</v>
      </c>
      <c r="AE226">
        <v>0</v>
      </c>
      <c r="AF226">
        <v>0</v>
      </c>
      <c r="AG226">
        <v>0</v>
      </c>
      <c r="AH226">
        <v>0</v>
      </c>
      <c r="AI226">
        <v>0</v>
      </c>
      <c r="AJ226">
        <v>0</v>
      </c>
      <c r="AK226">
        <v>0</v>
      </c>
      <c r="AL226">
        <v>0</v>
      </c>
      <c r="AM226">
        <v>0</v>
      </c>
      <c r="AN226">
        <v>0</v>
      </c>
      <c r="AO226">
        <v>0</v>
      </c>
      <c r="AP226">
        <v>0</v>
      </c>
      <c r="AQ226">
        <v>0</v>
      </c>
      <c r="AR226">
        <v>0</v>
      </c>
      <c r="AS226">
        <v>0</v>
      </c>
      <c r="AT226">
        <v>0</v>
      </c>
      <c r="AU226">
        <f t="shared" si="6"/>
        <v>0</v>
      </c>
      <c r="AV226">
        <f t="shared" si="7"/>
        <v>0</v>
      </c>
    </row>
    <row r="227" spans="1:48" x14ac:dyDescent="0.25">
      <c r="A227" t="s">
        <v>2880</v>
      </c>
      <c r="C227" t="s">
        <v>2358</v>
      </c>
      <c r="D227" t="s">
        <v>2881</v>
      </c>
      <c r="E227" t="s">
        <v>2310</v>
      </c>
      <c r="F227">
        <v>10</v>
      </c>
      <c r="G227">
        <v>10.1</v>
      </c>
      <c r="H227" t="s">
        <v>2323</v>
      </c>
      <c r="I227" s="21">
        <v>37438</v>
      </c>
      <c r="J227">
        <v>2002</v>
      </c>
      <c r="K227" s="21">
        <v>37462</v>
      </c>
      <c r="L227">
        <v>2002</v>
      </c>
      <c r="M227" s="21">
        <v>37790</v>
      </c>
      <c r="N227">
        <v>2003</v>
      </c>
      <c r="R227" s="262">
        <v>325000</v>
      </c>
      <c r="S227" t="s">
        <v>114</v>
      </c>
      <c r="T227" t="s">
        <v>114</v>
      </c>
      <c r="U227">
        <v>5</v>
      </c>
      <c r="W227">
        <v>3969</v>
      </c>
      <c r="X227">
        <v>1</v>
      </c>
      <c r="Y227">
        <v>0</v>
      </c>
      <c r="Z227">
        <v>0</v>
      </c>
      <c r="AA227">
        <v>0</v>
      </c>
      <c r="AB227">
        <v>0</v>
      </c>
      <c r="AC227">
        <v>3969</v>
      </c>
      <c r="AD227">
        <v>0</v>
      </c>
      <c r="AE227">
        <v>0</v>
      </c>
      <c r="AF227">
        <v>0</v>
      </c>
      <c r="AG227">
        <v>0</v>
      </c>
      <c r="AH227">
        <v>0</v>
      </c>
      <c r="AI227">
        <v>0</v>
      </c>
      <c r="AJ227">
        <v>0</v>
      </c>
      <c r="AK227">
        <v>0</v>
      </c>
      <c r="AL227">
        <v>0</v>
      </c>
      <c r="AM227">
        <v>0</v>
      </c>
      <c r="AN227">
        <v>0</v>
      </c>
      <c r="AO227">
        <v>1</v>
      </c>
      <c r="AP227">
        <v>0</v>
      </c>
      <c r="AQ227">
        <v>0</v>
      </c>
      <c r="AR227">
        <v>0</v>
      </c>
      <c r="AS227">
        <v>0</v>
      </c>
      <c r="AT227">
        <v>0</v>
      </c>
      <c r="AU227">
        <f t="shared" si="6"/>
        <v>1</v>
      </c>
      <c r="AV227">
        <f t="shared" si="7"/>
        <v>0</v>
      </c>
    </row>
    <row r="228" spans="1:48" x14ac:dyDescent="0.25">
      <c r="A228" t="s">
        <v>2882</v>
      </c>
      <c r="C228" t="s">
        <v>2883</v>
      </c>
      <c r="D228" t="s">
        <v>2884</v>
      </c>
      <c r="E228" t="s">
        <v>2310</v>
      </c>
      <c r="F228">
        <v>10</v>
      </c>
      <c r="G228">
        <v>10.1</v>
      </c>
      <c r="H228" t="s">
        <v>2323</v>
      </c>
      <c r="I228" s="21">
        <v>37438</v>
      </c>
      <c r="J228">
        <v>2002</v>
      </c>
      <c r="K228" s="21">
        <v>37648</v>
      </c>
      <c r="L228">
        <v>2003</v>
      </c>
      <c r="M228" s="21">
        <v>38271</v>
      </c>
      <c r="N228">
        <v>2004</v>
      </c>
      <c r="R228" s="262">
        <v>6607000</v>
      </c>
      <c r="S228" t="s">
        <v>114</v>
      </c>
      <c r="T228" t="s">
        <v>114</v>
      </c>
      <c r="U228">
        <v>7</v>
      </c>
      <c r="W228">
        <v>56786</v>
      </c>
      <c r="X228">
        <v>70</v>
      </c>
      <c r="Y228">
        <v>0</v>
      </c>
      <c r="Z228">
        <v>0</v>
      </c>
      <c r="AA228">
        <v>0</v>
      </c>
      <c r="AB228">
        <v>0</v>
      </c>
      <c r="AC228">
        <v>0</v>
      </c>
      <c r="AD228">
        <v>0</v>
      </c>
      <c r="AE228">
        <v>56786</v>
      </c>
      <c r="AF228">
        <v>0</v>
      </c>
      <c r="AG228">
        <v>0</v>
      </c>
      <c r="AH228">
        <v>0</v>
      </c>
      <c r="AI228">
        <v>0</v>
      </c>
      <c r="AJ228">
        <v>0</v>
      </c>
      <c r="AK228">
        <v>0</v>
      </c>
      <c r="AL228">
        <v>0</v>
      </c>
      <c r="AM228">
        <v>0</v>
      </c>
      <c r="AN228">
        <v>0</v>
      </c>
      <c r="AO228">
        <v>0</v>
      </c>
      <c r="AP228">
        <v>0</v>
      </c>
      <c r="AQ228">
        <v>70</v>
      </c>
      <c r="AR228">
        <v>0</v>
      </c>
      <c r="AS228">
        <v>0</v>
      </c>
      <c r="AT228">
        <v>0</v>
      </c>
      <c r="AU228">
        <f t="shared" si="6"/>
        <v>70</v>
      </c>
      <c r="AV228">
        <f t="shared" si="7"/>
        <v>0</v>
      </c>
    </row>
    <row r="229" spans="1:48" x14ac:dyDescent="0.25">
      <c r="A229" t="s">
        <v>2877</v>
      </c>
      <c r="C229" t="s">
        <v>2878</v>
      </c>
      <c r="D229" t="s">
        <v>2879</v>
      </c>
      <c r="E229" t="s">
        <v>1663</v>
      </c>
      <c r="F229">
        <v>5</v>
      </c>
      <c r="G229">
        <v>5.5</v>
      </c>
      <c r="H229" t="s">
        <v>2017</v>
      </c>
      <c r="I229" s="21">
        <v>37438</v>
      </c>
      <c r="J229">
        <v>2002</v>
      </c>
      <c r="K229" s="21">
        <v>37469</v>
      </c>
      <c r="L229">
        <v>2002</v>
      </c>
      <c r="M229" s="21">
        <v>37622</v>
      </c>
      <c r="N229">
        <v>2003</v>
      </c>
      <c r="Q229" s="262">
        <v>24600</v>
      </c>
      <c r="S229" t="s">
        <v>114</v>
      </c>
      <c r="T229" t="s">
        <v>114</v>
      </c>
      <c r="W229">
        <v>300</v>
      </c>
      <c r="X229">
        <v>0</v>
      </c>
      <c r="Y229">
        <v>0</v>
      </c>
      <c r="Z229">
        <v>0</v>
      </c>
      <c r="AA229">
        <v>0</v>
      </c>
      <c r="AB229">
        <v>0</v>
      </c>
      <c r="AC229">
        <v>300</v>
      </c>
      <c r="AD229">
        <v>0</v>
      </c>
      <c r="AE229">
        <v>0</v>
      </c>
      <c r="AF229">
        <v>0</v>
      </c>
      <c r="AG229">
        <v>0</v>
      </c>
      <c r="AH229">
        <v>0</v>
      </c>
      <c r="AI229">
        <v>0</v>
      </c>
      <c r="AJ229">
        <v>0</v>
      </c>
      <c r="AK229">
        <v>0</v>
      </c>
      <c r="AL229">
        <v>0</v>
      </c>
      <c r="AM229">
        <v>0</v>
      </c>
      <c r="AN229">
        <v>0</v>
      </c>
      <c r="AO229">
        <v>0</v>
      </c>
      <c r="AP229">
        <v>0</v>
      </c>
      <c r="AQ229">
        <v>0</v>
      </c>
      <c r="AR229">
        <v>0</v>
      </c>
      <c r="AS229">
        <v>0</v>
      </c>
      <c r="AT229">
        <v>0</v>
      </c>
      <c r="AU229">
        <f t="shared" si="6"/>
        <v>0</v>
      </c>
      <c r="AV229">
        <f t="shared" si="7"/>
        <v>0</v>
      </c>
    </row>
    <row r="230" spans="1:48" x14ac:dyDescent="0.25">
      <c r="A230" t="s">
        <v>2885</v>
      </c>
      <c r="C230" t="s">
        <v>2886</v>
      </c>
      <c r="D230" t="s">
        <v>2887</v>
      </c>
      <c r="E230" t="s">
        <v>2310</v>
      </c>
      <c r="F230">
        <v>8</v>
      </c>
      <c r="G230">
        <v>8.1999999999999993</v>
      </c>
      <c r="H230" t="s">
        <v>2022</v>
      </c>
      <c r="I230" s="21">
        <v>37439</v>
      </c>
      <c r="J230">
        <v>2002</v>
      </c>
      <c r="K230" s="21">
        <v>37467</v>
      </c>
      <c r="L230">
        <v>2002</v>
      </c>
      <c r="M230" s="21">
        <v>38197</v>
      </c>
      <c r="N230">
        <v>2004</v>
      </c>
      <c r="R230" s="262">
        <v>150000</v>
      </c>
      <c r="S230" t="s">
        <v>114</v>
      </c>
      <c r="T230" t="s">
        <v>114</v>
      </c>
      <c r="U230">
        <v>5</v>
      </c>
      <c r="W230">
        <v>2269</v>
      </c>
      <c r="X230">
        <v>0</v>
      </c>
      <c r="Y230">
        <v>0</v>
      </c>
      <c r="Z230">
        <v>0</v>
      </c>
      <c r="AA230">
        <v>0</v>
      </c>
      <c r="AB230">
        <v>0</v>
      </c>
      <c r="AC230">
        <v>2269</v>
      </c>
      <c r="AD230">
        <v>0</v>
      </c>
      <c r="AE230">
        <v>0</v>
      </c>
      <c r="AF230">
        <v>0</v>
      </c>
      <c r="AG230">
        <v>0</v>
      </c>
      <c r="AH230">
        <v>0</v>
      </c>
      <c r="AI230">
        <v>0</v>
      </c>
      <c r="AJ230">
        <v>0</v>
      </c>
      <c r="AK230">
        <v>0</v>
      </c>
      <c r="AL230">
        <v>0</v>
      </c>
      <c r="AM230">
        <v>0</v>
      </c>
      <c r="AN230">
        <v>0</v>
      </c>
      <c r="AO230">
        <v>0</v>
      </c>
      <c r="AP230">
        <v>0</v>
      </c>
      <c r="AQ230">
        <v>0</v>
      </c>
      <c r="AR230">
        <v>0</v>
      </c>
      <c r="AS230">
        <v>0</v>
      </c>
      <c r="AT230">
        <v>0</v>
      </c>
      <c r="AU230">
        <f t="shared" si="6"/>
        <v>0</v>
      </c>
      <c r="AV230">
        <f t="shared" si="7"/>
        <v>0</v>
      </c>
    </row>
    <row r="231" spans="1:48" x14ac:dyDescent="0.25">
      <c r="A231" t="s">
        <v>2888</v>
      </c>
      <c r="C231" t="s">
        <v>2396</v>
      </c>
      <c r="D231" t="s">
        <v>2889</v>
      </c>
      <c r="E231" t="s">
        <v>2310</v>
      </c>
      <c r="F231">
        <v>13</v>
      </c>
      <c r="G231">
        <v>13.3</v>
      </c>
      <c r="H231" t="s">
        <v>2017</v>
      </c>
      <c r="I231" s="21">
        <v>37442</v>
      </c>
      <c r="J231">
        <v>2002</v>
      </c>
      <c r="K231" s="21">
        <v>37462</v>
      </c>
      <c r="L231">
        <v>2002</v>
      </c>
      <c r="M231" s="21">
        <v>37462</v>
      </c>
      <c r="N231">
        <v>2002</v>
      </c>
      <c r="R231" s="262">
        <v>20000</v>
      </c>
      <c r="S231" t="s">
        <v>114</v>
      </c>
      <c r="T231" t="s">
        <v>114</v>
      </c>
      <c r="U231">
        <v>5</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f t="shared" si="6"/>
        <v>0</v>
      </c>
      <c r="AV231">
        <f t="shared" si="7"/>
        <v>0</v>
      </c>
    </row>
    <row r="232" spans="1:48" x14ac:dyDescent="0.25">
      <c r="A232" t="s">
        <v>2893</v>
      </c>
      <c r="C232" t="s">
        <v>2894</v>
      </c>
      <c r="D232" t="s">
        <v>2895</v>
      </c>
      <c r="E232" t="s">
        <v>2310</v>
      </c>
      <c r="F232">
        <v>15</v>
      </c>
      <c r="G232">
        <v>15.4</v>
      </c>
      <c r="H232" t="s">
        <v>2323</v>
      </c>
      <c r="I232" s="21">
        <v>37445</v>
      </c>
      <c r="J232">
        <v>2002</v>
      </c>
      <c r="K232" s="21">
        <v>37463</v>
      </c>
      <c r="L232">
        <v>2002</v>
      </c>
      <c r="M232" s="21">
        <v>37463</v>
      </c>
      <c r="N232">
        <v>2002</v>
      </c>
      <c r="R232" s="262">
        <v>90000</v>
      </c>
      <c r="S232" t="s">
        <v>114</v>
      </c>
      <c r="T232" t="s">
        <v>114</v>
      </c>
      <c r="U232">
        <v>5</v>
      </c>
      <c r="W232">
        <v>800</v>
      </c>
      <c r="X232">
        <v>0</v>
      </c>
      <c r="Y232">
        <v>0</v>
      </c>
      <c r="Z232">
        <v>0</v>
      </c>
      <c r="AA232">
        <v>0</v>
      </c>
      <c r="AB232">
        <v>0</v>
      </c>
      <c r="AC232">
        <v>800</v>
      </c>
      <c r="AD232">
        <v>0</v>
      </c>
      <c r="AE232">
        <v>0</v>
      </c>
      <c r="AF232">
        <v>0</v>
      </c>
      <c r="AG232">
        <v>0</v>
      </c>
      <c r="AH232">
        <v>0</v>
      </c>
      <c r="AI232">
        <v>0</v>
      </c>
      <c r="AJ232">
        <v>0</v>
      </c>
      <c r="AK232">
        <v>0</v>
      </c>
      <c r="AL232">
        <v>0</v>
      </c>
      <c r="AM232">
        <v>0</v>
      </c>
      <c r="AN232">
        <v>0</v>
      </c>
      <c r="AO232">
        <v>0</v>
      </c>
      <c r="AP232">
        <v>0</v>
      </c>
      <c r="AQ232">
        <v>0</v>
      </c>
      <c r="AR232">
        <v>0</v>
      </c>
      <c r="AS232">
        <v>0</v>
      </c>
      <c r="AT232">
        <v>0</v>
      </c>
      <c r="AU232">
        <f t="shared" si="6"/>
        <v>0</v>
      </c>
      <c r="AV232">
        <f t="shared" si="7"/>
        <v>0</v>
      </c>
    </row>
    <row r="233" spans="1:48" x14ac:dyDescent="0.25">
      <c r="A233" t="s">
        <v>2890</v>
      </c>
      <c r="C233" t="s">
        <v>2891</v>
      </c>
      <c r="D233" t="s">
        <v>2892</v>
      </c>
      <c r="E233" t="s">
        <v>1663</v>
      </c>
      <c r="F233">
        <v>5</v>
      </c>
      <c r="G233">
        <v>5.5</v>
      </c>
      <c r="H233" t="s">
        <v>2017</v>
      </c>
      <c r="I233" s="21">
        <v>37445</v>
      </c>
      <c r="J233">
        <v>2002</v>
      </c>
      <c r="K233" s="21">
        <v>37476</v>
      </c>
      <c r="L233">
        <v>2002</v>
      </c>
      <c r="M233" s="21">
        <v>37629</v>
      </c>
      <c r="N233">
        <v>2003</v>
      </c>
      <c r="Q233" s="262">
        <v>0</v>
      </c>
      <c r="S233" t="s">
        <v>114</v>
      </c>
      <c r="T233" t="s">
        <v>114</v>
      </c>
      <c r="W233">
        <v>2206</v>
      </c>
      <c r="X233">
        <v>2</v>
      </c>
      <c r="Y233">
        <v>0</v>
      </c>
      <c r="Z233">
        <v>0</v>
      </c>
      <c r="AA233">
        <v>0</v>
      </c>
      <c r="AB233">
        <v>0</v>
      </c>
      <c r="AC233">
        <v>0</v>
      </c>
      <c r="AD233">
        <v>0</v>
      </c>
      <c r="AE233">
        <v>2206</v>
      </c>
      <c r="AF233">
        <v>0</v>
      </c>
      <c r="AG233">
        <v>0</v>
      </c>
      <c r="AH233">
        <v>0</v>
      </c>
      <c r="AI233">
        <v>0</v>
      </c>
      <c r="AJ233">
        <v>0</v>
      </c>
      <c r="AK233">
        <v>0</v>
      </c>
      <c r="AL233">
        <v>0</v>
      </c>
      <c r="AM233">
        <v>0</v>
      </c>
      <c r="AN233">
        <v>0</v>
      </c>
      <c r="AO233">
        <v>0</v>
      </c>
      <c r="AP233">
        <v>0</v>
      </c>
      <c r="AQ233">
        <v>2</v>
      </c>
      <c r="AR233">
        <v>0</v>
      </c>
      <c r="AS233">
        <v>0</v>
      </c>
      <c r="AT233">
        <v>0</v>
      </c>
      <c r="AU233">
        <f t="shared" si="6"/>
        <v>2</v>
      </c>
      <c r="AV233">
        <f t="shared" si="7"/>
        <v>0</v>
      </c>
    </row>
    <row r="234" spans="1:48" x14ac:dyDescent="0.25">
      <c r="A234" t="s">
        <v>2896</v>
      </c>
      <c r="C234" t="s">
        <v>2897</v>
      </c>
      <c r="D234" t="s">
        <v>2898</v>
      </c>
      <c r="E234" t="s">
        <v>2310</v>
      </c>
      <c r="F234">
        <v>9</v>
      </c>
      <c r="G234">
        <v>9.3000000000000007</v>
      </c>
      <c r="H234" t="s">
        <v>2323</v>
      </c>
      <c r="I234" s="21">
        <v>37447</v>
      </c>
      <c r="J234">
        <v>2002</v>
      </c>
      <c r="K234" s="21">
        <v>37462</v>
      </c>
      <c r="L234">
        <v>2002</v>
      </c>
      <c r="M234" s="21">
        <v>37462</v>
      </c>
      <c r="N234">
        <v>2002</v>
      </c>
      <c r="R234" s="262">
        <v>279000</v>
      </c>
      <c r="S234" t="s">
        <v>114</v>
      </c>
      <c r="T234" t="s">
        <v>114</v>
      </c>
      <c r="U234">
        <v>5</v>
      </c>
      <c r="W234">
        <v>215</v>
      </c>
      <c r="X234">
        <v>0</v>
      </c>
      <c r="Y234">
        <v>0</v>
      </c>
      <c r="Z234">
        <v>0</v>
      </c>
      <c r="AA234">
        <v>0</v>
      </c>
      <c r="AB234">
        <v>0</v>
      </c>
      <c r="AC234">
        <v>215</v>
      </c>
      <c r="AD234">
        <v>0</v>
      </c>
      <c r="AE234">
        <v>0</v>
      </c>
      <c r="AF234">
        <v>0</v>
      </c>
      <c r="AG234">
        <v>0</v>
      </c>
      <c r="AH234">
        <v>0</v>
      </c>
      <c r="AI234">
        <v>0</v>
      </c>
      <c r="AJ234">
        <v>0</v>
      </c>
      <c r="AK234">
        <v>0</v>
      </c>
      <c r="AL234">
        <v>0</v>
      </c>
      <c r="AM234">
        <v>0</v>
      </c>
      <c r="AN234">
        <v>0</v>
      </c>
      <c r="AO234">
        <v>0</v>
      </c>
      <c r="AP234">
        <v>0</v>
      </c>
      <c r="AQ234">
        <v>0</v>
      </c>
      <c r="AR234">
        <v>0</v>
      </c>
      <c r="AS234">
        <v>0</v>
      </c>
      <c r="AT234">
        <v>0</v>
      </c>
      <c r="AU234">
        <f t="shared" si="6"/>
        <v>0</v>
      </c>
      <c r="AV234">
        <f t="shared" si="7"/>
        <v>0</v>
      </c>
    </row>
    <row r="235" spans="1:48" x14ac:dyDescent="0.25">
      <c r="A235" t="s">
        <v>2899</v>
      </c>
      <c r="C235" t="s">
        <v>2900</v>
      </c>
      <c r="D235" t="s">
        <v>2901</v>
      </c>
      <c r="E235" t="s">
        <v>2310</v>
      </c>
      <c r="F235">
        <v>12</v>
      </c>
      <c r="G235">
        <v>12.2</v>
      </c>
      <c r="H235" t="s">
        <v>2017</v>
      </c>
      <c r="I235" s="21">
        <v>37447</v>
      </c>
      <c r="J235">
        <v>2002</v>
      </c>
      <c r="K235" s="21">
        <v>37474</v>
      </c>
      <c r="L235">
        <v>2002</v>
      </c>
      <c r="M235" s="21">
        <v>40280.5233912037</v>
      </c>
      <c r="N235">
        <v>2010</v>
      </c>
      <c r="R235" s="262">
        <v>210000</v>
      </c>
      <c r="S235" t="s">
        <v>114</v>
      </c>
      <c r="T235" t="s">
        <v>114</v>
      </c>
      <c r="U235">
        <v>5</v>
      </c>
      <c r="W235">
        <v>2059</v>
      </c>
      <c r="X235">
        <v>0</v>
      </c>
      <c r="Y235">
        <v>0</v>
      </c>
      <c r="Z235">
        <v>0</v>
      </c>
      <c r="AA235">
        <v>0</v>
      </c>
      <c r="AB235">
        <v>0</v>
      </c>
      <c r="AC235">
        <v>2059</v>
      </c>
      <c r="AD235">
        <v>0</v>
      </c>
      <c r="AE235">
        <v>0</v>
      </c>
      <c r="AF235">
        <v>0</v>
      </c>
      <c r="AG235">
        <v>0</v>
      </c>
      <c r="AH235">
        <v>0</v>
      </c>
      <c r="AI235">
        <v>0</v>
      </c>
      <c r="AJ235">
        <v>0</v>
      </c>
      <c r="AK235">
        <v>0</v>
      </c>
      <c r="AL235">
        <v>0</v>
      </c>
      <c r="AM235">
        <v>0</v>
      </c>
      <c r="AN235">
        <v>0</v>
      </c>
      <c r="AO235">
        <v>0</v>
      </c>
      <c r="AP235">
        <v>0</v>
      </c>
      <c r="AQ235">
        <v>0</v>
      </c>
      <c r="AR235">
        <v>0</v>
      </c>
      <c r="AS235">
        <v>0</v>
      </c>
      <c r="AT235">
        <v>0</v>
      </c>
      <c r="AU235">
        <f t="shared" si="6"/>
        <v>0</v>
      </c>
      <c r="AV235">
        <f t="shared" si="7"/>
        <v>0</v>
      </c>
    </row>
    <row r="236" spans="1:48" x14ac:dyDescent="0.25">
      <c r="A236" t="s">
        <v>2902</v>
      </c>
      <c r="C236" t="s">
        <v>2358</v>
      </c>
      <c r="D236" t="s">
        <v>2903</v>
      </c>
      <c r="E236" t="s">
        <v>2310</v>
      </c>
      <c r="F236">
        <v>10</v>
      </c>
      <c r="G236">
        <v>10.1</v>
      </c>
      <c r="H236" t="s">
        <v>2323</v>
      </c>
      <c r="I236" s="21">
        <v>37448</v>
      </c>
      <c r="J236">
        <v>2002</v>
      </c>
      <c r="K236" s="21">
        <v>37490</v>
      </c>
      <c r="L236">
        <v>2002</v>
      </c>
      <c r="M236" s="21">
        <v>37869</v>
      </c>
      <c r="N236">
        <v>2003</v>
      </c>
      <c r="R236" s="262">
        <v>268000</v>
      </c>
      <c r="S236" t="s">
        <v>114</v>
      </c>
      <c r="T236" t="s">
        <v>114</v>
      </c>
      <c r="U236">
        <v>5</v>
      </c>
      <c r="W236">
        <v>3225</v>
      </c>
      <c r="X236">
        <v>1</v>
      </c>
      <c r="Y236">
        <v>0</v>
      </c>
      <c r="Z236">
        <v>0</v>
      </c>
      <c r="AA236">
        <v>0</v>
      </c>
      <c r="AB236">
        <v>0</v>
      </c>
      <c r="AC236">
        <v>3225</v>
      </c>
      <c r="AD236">
        <v>0</v>
      </c>
      <c r="AE236">
        <v>0</v>
      </c>
      <c r="AF236">
        <v>0</v>
      </c>
      <c r="AG236">
        <v>0</v>
      </c>
      <c r="AH236">
        <v>0</v>
      </c>
      <c r="AI236">
        <v>0</v>
      </c>
      <c r="AJ236">
        <v>0</v>
      </c>
      <c r="AK236">
        <v>0</v>
      </c>
      <c r="AL236">
        <v>0</v>
      </c>
      <c r="AM236">
        <v>0</v>
      </c>
      <c r="AN236">
        <v>0</v>
      </c>
      <c r="AO236">
        <v>1</v>
      </c>
      <c r="AP236">
        <v>0</v>
      </c>
      <c r="AQ236">
        <v>0</v>
      </c>
      <c r="AR236">
        <v>0</v>
      </c>
      <c r="AS236">
        <v>0</v>
      </c>
      <c r="AT236">
        <v>0</v>
      </c>
      <c r="AU236">
        <f t="shared" si="6"/>
        <v>1</v>
      </c>
      <c r="AV236">
        <f t="shared" si="7"/>
        <v>0</v>
      </c>
    </row>
    <row r="237" spans="1:48" x14ac:dyDescent="0.25">
      <c r="A237" t="s">
        <v>2904</v>
      </c>
      <c r="C237" t="s">
        <v>2905</v>
      </c>
      <c r="D237" t="s">
        <v>2906</v>
      </c>
      <c r="E237" t="s">
        <v>2310</v>
      </c>
      <c r="F237">
        <v>10</v>
      </c>
      <c r="G237">
        <v>10.1</v>
      </c>
      <c r="H237" t="s">
        <v>2323</v>
      </c>
      <c r="I237" s="21">
        <v>37449</v>
      </c>
      <c r="J237">
        <v>2002</v>
      </c>
      <c r="K237" s="21">
        <v>37467</v>
      </c>
      <c r="L237">
        <v>2002</v>
      </c>
      <c r="M237" s="21">
        <v>37467</v>
      </c>
      <c r="N237">
        <v>2002</v>
      </c>
      <c r="R237" s="262">
        <v>42000</v>
      </c>
      <c r="S237" t="s">
        <v>114</v>
      </c>
      <c r="T237" t="s">
        <v>114</v>
      </c>
      <c r="U237">
        <v>5</v>
      </c>
      <c r="W237">
        <v>932</v>
      </c>
      <c r="X237">
        <v>0</v>
      </c>
      <c r="Y237">
        <v>0</v>
      </c>
      <c r="Z237">
        <v>0</v>
      </c>
      <c r="AA237">
        <v>0</v>
      </c>
      <c r="AB237">
        <v>0</v>
      </c>
      <c r="AC237">
        <v>932</v>
      </c>
      <c r="AD237">
        <v>0</v>
      </c>
      <c r="AE237">
        <v>0</v>
      </c>
      <c r="AF237">
        <v>0</v>
      </c>
      <c r="AG237">
        <v>0</v>
      </c>
      <c r="AH237">
        <v>0</v>
      </c>
      <c r="AI237">
        <v>0</v>
      </c>
      <c r="AJ237">
        <v>0</v>
      </c>
      <c r="AK237">
        <v>0</v>
      </c>
      <c r="AL237">
        <v>0</v>
      </c>
      <c r="AM237">
        <v>0</v>
      </c>
      <c r="AN237">
        <v>0</v>
      </c>
      <c r="AO237">
        <v>0</v>
      </c>
      <c r="AP237">
        <v>0</v>
      </c>
      <c r="AQ237">
        <v>0</v>
      </c>
      <c r="AR237">
        <v>0</v>
      </c>
      <c r="AS237">
        <v>0</v>
      </c>
      <c r="AT237">
        <v>0</v>
      </c>
      <c r="AU237">
        <f t="shared" si="6"/>
        <v>0</v>
      </c>
      <c r="AV237">
        <f t="shared" si="7"/>
        <v>0</v>
      </c>
    </row>
    <row r="238" spans="1:48" x14ac:dyDescent="0.25">
      <c r="A238" t="s">
        <v>2907</v>
      </c>
      <c r="C238" t="s">
        <v>2908</v>
      </c>
      <c r="D238" t="s">
        <v>2909</v>
      </c>
      <c r="E238" t="s">
        <v>2310</v>
      </c>
      <c r="F238">
        <v>9</v>
      </c>
      <c r="G238">
        <v>9.1999999999999993</v>
      </c>
      <c r="H238" t="s">
        <v>2022</v>
      </c>
      <c r="I238" s="21">
        <v>37449</v>
      </c>
      <c r="J238">
        <v>2002</v>
      </c>
      <c r="K238" s="21">
        <v>37522</v>
      </c>
      <c r="L238">
        <v>2002</v>
      </c>
      <c r="M238" s="21">
        <v>37522</v>
      </c>
      <c r="N238">
        <v>2002</v>
      </c>
      <c r="R238" s="262">
        <v>6300</v>
      </c>
      <c r="S238" t="s">
        <v>114</v>
      </c>
      <c r="T238" t="s">
        <v>114</v>
      </c>
      <c r="U238">
        <v>5</v>
      </c>
      <c r="W238">
        <v>630</v>
      </c>
      <c r="X238">
        <v>0</v>
      </c>
      <c r="Y238">
        <v>0</v>
      </c>
      <c r="Z238">
        <v>0</v>
      </c>
      <c r="AA238">
        <v>0</v>
      </c>
      <c r="AB238">
        <v>0</v>
      </c>
      <c r="AC238">
        <v>630</v>
      </c>
      <c r="AD238">
        <v>0</v>
      </c>
      <c r="AE238">
        <v>0</v>
      </c>
      <c r="AF238">
        <v>0</v>
      </c>
      <c r="AG238">
        <v>0</v>
      </c>
      <c r="AH238">
        <v>0</v>
      </c>
      <c r="AI238">
        <v>0</v>
      </c>
      <c r="AJ238">
        <v>0</v>
      </c>
      <c r="AK238">
        <v>0</v>
      </c>
      <c r="AL238">
        <v>0</v>
      </c>
      <c r="AM238">
        <v>0</v>
      </c>
      <c r="AN238">
        <v>0</v>
      </c>
      <c r="AO238">
        <v>0</v>
      </c>
      <c r="AP238">
        <v>0</v>
      </c>
      <c r="AQ238">
        <v>0</v>
      </c>
      <c r="AR238">
        <v>0</v>
      </c>
      <c r="AS238">
        <v>0</v>
      </c>
      <c r="AT238">
        <v>0</v>
      </c>
      <c r="AU238">
        <f t="shared" si="6"/>
        <v>0</v>
      </c>
      <c r="AV238">
        <f t="shared" si="7"/>
        <v>0</v>
      </c>
    </row>
    <row r="239" spans="1:48" x14ac:dyDescent="0.25">
      <c r="A239" t="s">
        <v>2910</v>
      </c>
      <c r="C239" t="s">
        <v>2911</v>
      </c>
      <c r="D239" t="s">
        <v>2912</v>
      </c>
      <c r="E239" t="s">
        <v>1663</v>
      </c>
      <c r="F239">
        <v>5</v>
      </c>
      <c r="G239">
        <v>5.2</v>
      </c>
      <c r="H239" t="s">
        <v>2327</v>
      </c>
      <c r="I239" s="21">
        <v>37452</v>
      </c>
      <c r="J239">
        <v>2002</v>
      </c>
      <c r="K239" s="21">
        <v>37483</v>
      </c>
      <c r="L239">
        <v>2002</v>
      </c>
      <c r="M239" s="21">
        <v>37636</v>
      </c>
      <c r="N239">
        <v>2003</v>
      </c>
      <c r="Q239" s="262">
        <v>1213595</v>
      </c>
      <c r="S239" t="s">
        <v>114</v>
      </c>
      <c r="T239" t="s">
        <v>114</v>
      </c>
      <c r="W239">
        <v>19895</v>
      </c>
      <c r="X239">
        <v>0</v>
      </c>
      <c r="Y239">
        <v>0</v>
      </c>
      <c r="Z239">
        <v>0</v>
      </c>
      <c r="AA239">
        <v>0</v>
      </c>
      <c r="AB239">
        <v>0</v>
      </c>
      <c r="AC239">
        <v>0</v>
      </c>
      <c r="AD239">
        <v>0</v>
      </c>
      <c r="AE239">
        <v>0</v>
      </c>
      <c r="AF239">
        <v>0</v>
      </c>
      <c r="AG239">
        <v>0</v>
      </c>
      <c r="AH239">
        <v>0</v>
      </c>
      <c r="AI239">
        <v>0</v>
      </c>
      <c r="AJ239">
        <v>0</v>
      </c>
      <c r="AK239">
        <v>0</v>
      </c>
      <c r="AL239">
        <v>19895</v>
      </c>
      <c r="AM239">
        <v>0</v>
      </c>
      <c r="AN239">
        <v>0</v>
      </c>
      <c r="AO239">
        <v>0</v>
      </c>
      <c r="AP239">
        <v>0</v>
      </c>
      <c r="AQ239">
        <v>0</v>
      </c>
      <c r="AR239">
        <v>0</v>
      </c>
      <c r="AS239">
        <v>0</v>
      </c>
      <c r="AT239">
        <v>0</v>
      </c>
      <c r="AU239">
        <f t="shared" si="6"/>
        <v>0</v>
      </c>
      <c r="AV239">
        <f t="shared" si="7"/>
        <v>19895</v>
      </c>
    </row>
    <row r="240" spans="1:48" x14ac:dyDescent="0.25">
      <c r="A240" t="s">
        <v>2913</v>
      </c>
      <c r="C240" t="s">
        <v>2408</v>
      </c>
      <c r="D240" t="s">
        <v>2914</v>
      </c>
      <c r="E240" t="s">
        <v>1663</v>
      </c>
      <c r="F240">
        <v>6</v>
      </c>
      <c r="G240">
        <v>6.2</v>
      </c>
      <c r="H240" t="s">
        <v>2017</v>
      </c>
      <c r="I240" s="21">
        <v>37453</v>
      </c>
      <c r="J240">
        <v>2002</v>
      </c>
      <c r="K240" s="21">
        <v>37484</v>
      </c>
      <c r="L240">
        <v>2002</v>
      </c>
      <c r="M240" s="21">
        <v>37637</v>
      </c>
      <c r="N240">
        <v>2003</v>
      </c>
      <c r="Q240" s="262">
        <v>40000</v>
      </c>
      <c r="S240" t="s">
        <v>114</v>
      </c>
      <c r="T240" t="s">
        <v>114</v>
      </c>
      <c r="W240">
        <v>253</v>
      </c>
      <c r="X240">
        <v>0</v>
      </c>
      <c r="Y240">
        <v>0</v>
      </c>
      <c r="Z240">
        <v>0</v>
      </c>
      <c r="AA240">
        <v>0</v>
      </c>
      <c r="AB240">
        <v>0</v>
      </c>
      <c r="AC240">
        <v>253</v>
      </c>
      <c r="AD240">
        <v>0</v>
      </c>
      <c r="AE240">
        <v>0</v>
      </c>
      <c r="AF240">
        <v>0</v>
      </c>
      <c r="AG240">
        <v>0</v>
      </c>
      <c r="AH240">
        <v>0</v>
      </c>
      <c r="AI240">
        <v>0</v>
      </c>
      <c r="AJ240">
        <v>0</v>
      </c>
      <c r="AK240">
        <v>0</v>
      </c>
      <c r="AL240">
        <v>0</v>
      </c>
      <c r="AM240">
        <v>0</v>
      </c>
      <c r="AN240">
        <v>0</v>
      </c>
      <c r="AO240">
        <v>0</v>
      </c>
      <c r="AP240">
        <v>0</v>
      </c>
      <c r="AQ240">
        <v>0</v>
      </c>
      <c r="AR240">
        <v>0</v>
      </c>
      <c r="AS240">
        <v>0</v>
      </c>
      <c r="AT240">
        <v>0</v>
      </c>
      <c r="AU240">
        <f t="shared" si="6"/>
        <v>0</v>
      </c>
      <c r="AV240">
        <f t="shared" si="7"/>
        <v>0</v>
      </c>
    </row>
    <row r="241" spans="1:48" x14ac:dyDescent="0.25">
      <c r="A241" t="s">
        <v>2915</v>
      </c>
      <c r="C241" t="s">
        <v>2916</v>
      </c>
      <c r="D241" t="s">
        <v>2917</v>
      </c>
      <c r="E241" t="s">
        <v>2310</v>
      </c>
      <c r="F241">
        <v>14</v>
      </c>
      <c r="G241">
        <v>14.1</v>
      </c>
      <c r="H241" t="s">
        <v>2022</v>
      </c>
      <c r="I241" s="21">
        <v>37453</v>
      </c>
      <c r="J241">
        <v>2002</v>
      </c>
      <c r="K241" s="21">
        <v>37475</v>
      </c>
      <c r="L241">
        <v>2002</v>
      </c>
      <c r="M241" s="21">
        <v>37475</v>
      </c>
      <c r="N241">
        <v>2002</v>
      </c>
      <c r="R241" s="262">
        <v>25000</v>
      </c>
      <c r="S241" t="s">
        <v>114</v>
      </c>
      <c r="T241" t="s">
        <v>114</v>
      </c>
      <c r="U241">
        <v>5</v>
      </c>
      <c r="W241">
        <v>360</v>
      </c>
      <c r="X241">
        <v>0</v>
      </c>
      <c r="Y241">
        <v>0</v>
      </c>
      <c r="Z241">
        <v>0</v>
      </c>
      <c r="AA241">
        <v>0</v>
      </c>
      <c r="AB241">
        <v>0</v>
      </c>
      <c r="AC241">
        <v>360</v>
      </c>
      <c r="AD241">
        <v>0</v>
      </c>
      <c r="AE241">
        <v>0</v>
      </c>
      <c r="AF241">
        <v>0</v>
      </c>
      <c r="AG241">
        <v>0</v>
      </c>
      <c r="AH241">
        <v>0</v>
      </c>
      <c r="AI241">
        <v>0</v>
      </c>
      <c r="AJ241">
        <v>0</v>
      </c>
      <c r="AK241">
        <v>0</v>
      </c>
      <c r="AL241">
        <v>0</v>
      </c>
      <c r="AM241">
        <v>0</v>
      </c>
      <c r="AN241">
        <v>0</v>
      </c>
      <c r="AO241">
        <v>0</v>
      </c>
      <c r="AP241">
        <v>0</v>
      </c>
      <c r="AQ241">
        <v>0</v>
      </c>
      <c r="AR241">
        <v>0</v>
      </c>
      <c r="AS241">
        <v>0</v>
      </c>
      <c r="AT241">
        <v>0</v>
      </c>
      <c r="AU241">
        <f t="shared" si="6"/>
        <v>0</v>
      </c>
      <c r="AV241">
        <f t="shared" si="7"/>
        <v>0</v>
      </c>
    </row>
    <row r="242" spans="1:48" x14ac:dyDescent="0.25">
      <c r="A242" t="s">
        <v>2918</v>
      </c>
      <c r="C242" t="s">
        <v>2919</v>
      </c>
      <c r="D242" t="s">
        <v>2920</v>
      </c>
      <c r="E242" t="s">
        <v>2310</v>
      </c>
      <c r="F242">
        <v>15</v>
      </c>
      <c r="G242">
        <v>15.2</v>
      </c>
      <c r="H242" t="s">
        <v>2323</v>
      </c>
      <c r="I242" s="21">
        <v>37455</v>
      </c>
      <c r="J242">
        <v>2002</v>
      </c>
      <c r="K242" s="21">
        <v>37490</v>
      </c>
      <c r="L242">
        <v>2002</v>
      </c>
      <c r="M242" s="21">
        <v>38119</v>
      </c>
      <c r="N242">
        <v>2004</v>
      </c>
      <c r="R242" s="262">
        <v>65000</v>
      </c>
      <c r="S242" t="s">
        <v>114</v>
      </c>
      <c r="T242" t="s">
        <v>114</v>
      </c>
      <c r="U242">
        <v>8</v>
      </c>
      <c r="W242">
        <v>1560</v>
      </c>
      <c r="X242">
        <v>1</v>
      </c>
      <c r="Y242">
        <v>0</v>
      </c>
      <c r="Z242">
        <v>0</v>
      </c>
      <c r="AA242">
        <v>0</v>
      </c>
      <c r="AB242">
        <v>0</v>
      </c>
      <c r="AC242">
        <v>936</v>
      </c>
      <c r="AD242">
        <v>0</v>
      </c>
      <c r="AE242">
        <v>0</v>
      </c>
      <c r="AF242">
        <v>624</v>
      </c>
      <c r="AG242">
        <v>0</v>
      </c>
      <c r="AH242">
        <v>0</v>
      </c>
      <c r="AI242">
        <v>0</v>
      </c>
      <c r="AJ242">
        <v>0</v>
      </c>
      <c r="AK242">
        <v>0</v>
      </c>
      <c r="AL242">
        <v>0</v>
      </c>
      <c r="AM242">
        <v>0</v>
      </c>
      <c r="AN242">
        <v>0</v>
      </c>
      <c r="AO242">
        <v>0</v>
      </c>
      <c r="AP242">
        <v>0</v>
      </c>
      <c r="AQ242">
        <v>0</v>
      </c>
      <c r="AR242">
        <v>1</v>
      </c>
      <c r="AS242">
        <v>0</v>
      </c>
      <c r="AT242">
        <v>0</v>
      </c>
      <c r="AU242">
        <f t="shared" si="6"/>
        <v>0</v>
      </c>
      <c r="AV242">
        <f t="shared" si="7"/>
        <v>0</v>
      </c>
    </row>
    <row r="243" spans="1:48" x14ac:dyDescent="0.25">
      <c r="A243" t="s">
        <v>2923</v>
      </c>
      <c r="C243" t="s">
        <v>2924</v>
      </c>
      <c r="D243" t="s">
        <v>2925</v>
      </c>
      <c r="E243" t="s">
        <v>2310</v>
      </c>
      <c r="F243">
        <v>14</v>
      </c>
      <c r="G243">
        <v>14.2</v>
      </c>
      <c r="H243" t="s">
        <v>2017</v>
      </c>
      <c r="I243" s="21">
        <v>37456</v>
      </c>
      <c r="J243">
        <v>2002</v>
      </c>
      <c r="K243" s="21">
        <v>37494</v>
      </c>
      <c r="L243">
        <v>2002</v>
      </c>
      <c r="M243" s="21">
        <v>37494</v>
      </c>
      <c r="N243">
        <v>2002</v>
      </c>
      <c r="R243" s="262">
        <v>20000</v>
      </c>
      <c r="S243" t="s">
        <v>114</v>
      </c>
      <c r="T243" t="s">
        <v>114</v>
      </c>
      <c r="U243">
        <v>5</v>
      </c>
      <c r="W243">
        <v>780</v>
      </c>
      <c r="X243">
        <v>0</v>
      </c>
      <c r="Y243">
        <v>0</v>
      </c>
      <c r="Z243">
        <v>0</v>
      </c>
      <c r="AA243">
        <v>0</v>
      </c>
      <c r="AB243">
        <v>0</v>
      </c>
      <c r="AC243">
        <v>780</v>
      </c>
      <c r="AD243">
        <v>0</v>
      </c>
      <c r="AE243">
        <v>0</v>
      </c>
      <c r="AF243">
        <v>0</v>
      </c>
      <c r="AG243">
        <v>0</v>
      </c>
      <c r="AH243">
        <v>0</v>
      </c>
      <c r="AI243">
        <v>0</v>
      </c>
      <c r="AJ243">
        <v>0</v>
      </c>
      <c r="AK243">
        <v>0</v>
      </c>
      <c r="AL243">
        <v>0</v>
      </c>
      <c r="AM243">
        <v>0</v>
      </c>
      <c r="AN243">
        <v>0</v>
      </c>
      <c r="AO243">
        <v>0</v>
      </c>
      <c r="AP243">
        <v>0</v>
      </c>
      <c r="AQ243">
        <v>0</v>
      </c>
      <c r="AR243">
        <v>0</v>
      </c>
      <c r="AS243">
        <v>0</v>
      </c>
      <c r="AT243">
        <v>0</v>
      </c>
      <c r="AU243">
        <f t="shared" si="6"/>
        <v>0</v>
      </c>
      <c r="AV243">
        <f t="shared" si="7"/>
        <v>0</v>
      </c>
    </row>
    <row r="244" spans="1:48" x14ac:dyDescent="0.25">
      <c r="A244" t="s">
        <v>2926</v>
      </c>
      <c r="C244" t="s">
        <v>2927</v>
      </c>
      <c r="D244" t="s">
        <v>2928</v>
      </c>
      <c r="E244" t="s">
        <v>2310</v>
      </c>
      <c r="F244">
        <v>9</v>
      </c>
      <c r="G244">
        <v>9.1</v>
      </c>
      <c r="H244" t="s">
        <v>2323</v>
      </c>
      <c r="I244" s="21">
        <v>37456</v>
      </c>
      <c r="J244">
        <v>2002</v>
      </c>
      <c r="K244" s="21">
        <v>37494</v>
      </c>
      <c r="L244">
        <v>2002</v>
      </c>
      <c r="M244" s="21">
        <v>37894</v>
      </c>
      <c r="N244">
        <v>2003</v>
      </c>
      <c r="R244" s="262">
        <v>40000</v>
      </c>
      <c r="S244" t="s">
        <v>114</v>
      </c>
      <c r="T244" t="s">
        <v>114</v>
      </c>
      <c r="U244">
        <v>12</v>
      </c>
      <c r="W244">
        <v>256</v>
      </c>
      <c r="X244">
        <v>0</v>
      </c>
      <c r="Y244">
        <v>0</v>
      </c>
      <c r="Z244">
        <v>0</v>
      </c>
      <c r="AA244">
        <v>0</v>
      </c>
      <c r="AB244">
        <v>0</v>
      </c>
      <c r="AC244">
        <v>0</v>
      </c>
      <c r="AD244">
        <v>0</v>
      </c>
      <c r="AE244">
        <v>0</v>
      </c>
      <c r="AF244">
        <v>0</v>
      </c>
      <c r="AG244">
        <v>0</v>
      </c>
      <c r="AH244">
        <v>0</v>
      </c>
      <c r="AI244">
        <v>0</v>
      </c>
      <c r="AJ244">
        <v>256</v>
      </c>
      <c r="AK244">
        <v>0</v>
      </c>
      <c r="AL244">
        <v>0</v>
      </c>
      <c r="AM244">
        <v>0</v>
      </c>
      <c r="AN244">
        <v>0</v>
      </c>
      <c r="AO244">
        <v>0</v>
      </c>
      <c r="AP244">
        <v>0</v>
      </c>
      <c r="AQ244">
        <v>0</v>
      </c>
      <c r="AR244">
        <v>0</v>
      </c>
      <c r="AS244">
        <v>0</v>
      </c>
      <c r="AT244">
        <v>0</v>
      </c>
      <c r="AU244">
        <f t="shared" si="6"/>
        <v>0</v>
      </c>
      <c r="AV244">
        <f t="shared" si="7"/>
        <v>256</v>
      </c>
    </row>
    <row r="245" spans="1:48" x14ac:dyDescent="0.25">
      <c r="A245" t="s">
        <v>2929</v>
      </c>
      <c r="C245" t="s">
        <v>2930</v>
      </c>
      <c r="D245" t="s">
        <v>2931</v>
      </c>
      <c r="E245" t="s">
        <v>2310</v>
      </c>
      <c r="F245">
        <v>14</v>
      </c>
      <c r="G245">
        <v>14.1</v>
      </c>
      <c r="H245" t="s">
        <v>2022</v>
      </c>
      <c r="I245" s="21">
        <v>37456</v>
      </c>
      <c r="J245">
        <v>2002</v>
      </c>
      <c r="K245" s="21">
        <v>37489</v>
      </c>
      <c r="L245">
        <v>2002</v>
      </c>
      <c r="M245" s="21">
        <v>38482</v>
      </c>
      <c r="N245">
        <v>2005</v>
      </c>
      <c r="R245" s="262">
        <v>200000</v>
      </c>
      <c r="S245" t="s">
        <v>114</v>
      </c>
      <c r="T245" t="s">
        <v>114</v>
      </c>
      <c r="U245">
        <v>5</v>
      </c>
      <c r="W245">
        <v>3800</v>
      </c>
      <c r="X245">
        <v>1</v>
      </c>
      <c r="Y245">
        <v>0</v>
      </c>
      <c r="Z245">
        <v>0</v>
      </c>
      <c r="AA245">
        <v>0</v>
      </c>
      <c r="AB245">
        <v>0</v>
      </c>
      <c r="AC245">
        <v>3800</v>
      </c>
      <c r="AD245">
        <v>0</v>
      </c>
      <c r="AE245">
        <v>0</v>
      </c>
      <c r="AF245">
        <v>0</v>
      </c>
      <c r="AG245">
        <v>0</v>
      </c>
      <c r="AH245">
        <v>0</v>
      </c>
      <c r="AI245">
        <v>0</v>
      </c>
      <c r="AJ245">
        <v>0</v>
      </c>
      <c r="AK245">
        <v>0</v>
      </c>
      <c r="AL245">
        <v>0</v>
      </c>
      <c r="AM245">
        <v>0</v>
      </c>
      <c r="AN245">
        <v>0</v>
      </c>
      <c r="AO245">
        <v>1</v>
      </c>
      <c r="AP245">
        <v>0</v>
      </c>
      <c r="AQ245">
        <v>0</v>
      </c>
      <c r="AR245">
        <v>0</v>
      </c>
      <c r="AS245">
        <v>0</v>
      </c>
      <c r="AT245">
        <v>0</v>
      </c>
      <c r="AU245">
        <f t="shared" si="6"/>
        <v>1</v>
      </c>
      <c r="AV245">
        <f t="shared" si="7"/>
        <v>0</v>
      </c>
    </row>
    <row r="246" spans="1:48" x14ac:dyDescent="0.25">
      <c r="A246" t="s">
        <v>2932</v>
      </c>
      <c r="C246" t="s">
        <v>2933</v>
      </c>
      <c r="D246" t="s">
        <v>2934</v>
      </c>
      <c r="E246" t="s">
        <v>2310</v>
      </c>
      <c r="F246">
        <v>15</v>
      </c>
      <c r="G246">
        <v>15.2</v>
      </c>
      <c r="H246" t="s">
        <v>2323</v>
      </c>
      <c r="I246" s="21">
        <v>37456</v>
      </c>
      <c r="J246">
        <v>2002</v>
      </c>
      <c r="K246" s="21">
        <v>37550</v>
      </c>
      <c r="L246">
        <v>2002</v>
      </c>
      <c r="M246" s="21">
        <v>39526</v>
      </c>
      <c r="N246">
        <v>2008</v>
      </c>
      <c r="R246" s="262">
        <v>300000</v>
      </c>
      <c r="S246" t="s">
        <v>114</v>
      </c>
      <c r="T246" t="s">
        <v>114</v>
      </c>
      <c r="U246">
        <v>5</v>
      </c>
      <c r="W246">
        <v>2577</v>
      </c>
      <c r="X246">
        <v>1</v>
      </c>
      <c r="Y246">
        <v>0</v>
      </c>
      <c r="Z246">
        <v>0</v>
      </c>
      <c r="AA246">
        <v>0</v>
      </c>
      <c r="AB246">
        <v>0</v>
      </c>
      <c r="AC246">
        <v>2577</v>
      </c>
      <c r="AD246">
        <v>0</v>
      </c>
      <c r="AE246">
        <v>0</v>
      </c>
      <c r="AF246">
        <v>0</v>
      </c>
      <c r="AG246">
        <v>0</v>
      </c>
      <c r="AH246">
        <v>0</v>
      </c>
      <c r="AI246">
        <v>0</v>
      </c>
      <c r="AJ246">
        <v>0</v>
      </c>
      <c r="AK246">
        <v>0</v>
      </c>
      <c r="AL246">
        <v>0</v>
      </c>
      <c r="AM246">
        <v>0</v>
      </c>
      <c r="AN246">
        <v>0</v>
      </c>
      <c r="AO246">
        <v>1</v>
      </c>
      <c r="AP246">
        <v>0</v>
      </c>
      <c r="AQ246">
        <v>0</v>
      </c>
      <c r="AR246">
        <v>0</v>
      </c>
      <c r="AS246">
        <v>0</v>
      </c>
      <c r="AT246">
        <v>0</v>
      </c>
      <c r="AU246">
        <f t="shared" si="6"/>
        <v>1</v>
      </c>
      <c r="AV246">
        <f t="shared" si="7"/>
        <v>0</v>
      </c>
    </row>
    <row r="247" spans="1:48" x14ac:dyDescent="0.25">
      <c r="A247" t="s">
        <v>2935</v>
      </c>
      <c r="C247" t="s">
        <v>2936</v>
      </c>
      <c r="D247" t="s">
        <v>2937</v>
      </c>
      <c r="E247" t="s">
        <v>2310</v>
      </c>
      <c r="F247">
        <v>10</v>
      </c>
      <c r="G247">
        <v>10.1</v>
      </c>
      <c r="H247" t="s">
        <v>2323</v>
      </c>
      <c r="I247" s="21">
        <v>37456</v>
      </c>
      <c r="J247">
        <v>2002</v>
      </c>
      <c r="K247" s="21">
        <v>37497</v>
      </c>
      <c r="L247">
        <v>2002</v>
      </c>
      <c r="M247" s="21">
        <v>37816</v>
      </c>
      <c r="N247">
        <v>2003</v>
      </c>
      <c r="R247" s="262">
        <v>200000</v>
      </c>
      <c r="S247" t="s">
        <v>114</v>
      </c>
      <c r="T247" t="s">
        <v>114</v>
      </c>
      <c r="U247">
        <v>8</v>
      </c>
      <c r="W247">
        <v>2203</v>
      </c>
      <c r="X247">
        <v>1</v>
      </c>
      <c r="Y247">
        <v>0</v>
      </c>
      <c r="Z247">
        <v>0</v>
      </c>
      <c r="AA247">
        <v>0</v>
      </c>
      <c r="AB247">
        <v>0</v>
      </c>
      <c r="AC247">
        <v>1443</v>
      </c>
      <c r="AD247">
        <v>0</v>
      </c>
      <c r="AE247">
        <v>0</v>
      </c>
      <c r="AF247">
        <v>760</v>
      </c>
      <c r="AG247">
        <v>0</v>
      </c>
      <c r="AH247">
        <v>0</v>
      </c>
      <c r="AI247">
        <v>0</v>
      </c>
      <c r="AJ247">
        <v>0</v>
      </c>
      <c r="AK247">
        <v>0</v>
      </c>
      <c r="AL247">
        <v>0</v>
      </c>
      <c r="AM247">
        <v>0</v>
      </c>
      <c r="AN247">
        <v>0</v>
      </c>
      <c r="AO247">
        <v>0</v>
      </c>
      <c r="AP247">
        <v>0</v>
      </c>
      <c r="AQ247">
        <v>0</v>
      </c>
      <c r="AR247">
        <v>1</v>
      </c>
      <c r="AS247">
        <v>0</v>
      </c>
      <c r="AT247">
        <v>0</v>
      </c>
      <c r="AU247">
        <f t="shared" si="6"/>
        <v>0</v>
      </c>
      <c r="AV247">
        <f t="shared" si="7"/>
        <v>0</v>
      </c>
    </row>
    <row r="248" spans="1:48" x14ac:dyDescent="0.25">
      <c r="A248" t="s">
        <v>2921</v>
      </c>
      <c r="C248" t="s">
        <v>2408</v>
      </c>
      <c r="D248" t="s">
        <v>2922</v>
      </c>
      <c r="E248" t="s">
        <v>1663</v>
      </c>
      <c r="F248">
        <v>5</v>
      </c>
      <c r="G248">
        <v>5.5</v>
      </c>
      <c r="H248" t="s">
        <v>2017</v>
      </c>
      <c r="I248" s="21">
        <v>37456</v>
      </c>
      <c r="J248">
        <v>2002</v>
      </c>
      <c r="K248" s="21">
        <v>37487</v>
      </c>
      <c r="L248">
        <v>2002</v>
      </c>
      <c r="M248" s="21">
        <v>37640</v>
      </c>
      <c r="N248">
        <v>2003</v>
      </c>
      <c r="Q248" s="262">
        <v>40000</v>
      </c>
      <c r="S248" t="s">
        <v>114</v>
      </c>
      <c r="T248" t="s">
        <v>114</v>
      </c>
      <c r="W248">
        <v>336</v>
      </c>
      <c r="X248">
        <v>0</v>
      </c>
      <c r="Y248">
        <v>0</v>
      </c>
      <c r="Z248">
        <v>0</v>
      </c>
      <c r="AA248">
        <v>0</v>
      </c>
      <c r="AB248">
        <v>0</v>
      </c>
      <c r="AC248">
        <v>336</v>
      </c>
      <c r="AD248">
        <v>0</v>
      </c>
      <c r="AE248">
        <v>0</v>
      </c>
      <c r="AF248">
        <v>0</v>
      </c>
      <c r="AG248">
        <v>0</v>
      </c>
      <c r="AH248">
        <v>0</v>
      </c>
      <c r="AI248">
        <v>0</v>
      </c>
      <c r="AJ248">
        <v>0</v>
      </c>
      <c r="AK248">
        <v>0</v>
      </c>
      <c r="AL248">
        <v>0</v>
      </c>
      <c r="AM248">
        <v>0</v>
      </c>
      <c r="AN248">
        <v>0</v>
      </c>
      <c r="AO248">
        <v>0</v>
      </c>
      <c r="AP248">
        <v>0</v>
      </c>
      <c r="AQ248">
        <v>0</v>
      </c>
      <c r="AR248">
        <v>0</v>
      </c>
      <c r="AS248">
        <v>0</v>
      </c>
      <c r="AT248">
        <v>0</v>
      </c>
      <c r="AU248">
        <f t="shared" si="6"/>
        <v>0</v>
      </c>
      <c r="AV248">
        <f t="shared" si="7"/>
        <v>0</v>
      </c>
    </row>
    <row r="249" spans="1:48" x14ac:dyDescent="0.25">
      <c r="A249" t="s">
        <v>2938</v>
      </c>
      <c r="C249" t="s">
        <v>2437</v>
      </c>
      <c r="D249" t="s">
        <v>2939</v>
      </c>
      <c r="E249" t="s">
        <v>2310</v>
      </c>
      <c r="F249">
        <v>9</v>
      </c>
      <c r="G249">
        <v>9.3000000000000007</v>
      </c>
      <c r="H249" t="s">
        <v>2323</v>
      </c>
      <c r="I249" s="21">
        <v>37459</v>
      </c>
      <c r="J249">
        <v>2002</v>
      </c>
      <c r="K249" s="21">
        <v>37490</v>
      </c>
      <c r="L249">
        <v>2002</v>
      </c>
      <c r="M249" s="21">
        <v>37490</v>
      </c>
      <c r="N249">
        <v>2002</v>
      </c>
      <c r="R249" s="262">
        <v>30000</v>
      </c>
      <c r="S249" t="s">
        <v>114</v>
      </c>
      <c r="T249" t="s">
        <v>114</v>
      </c>
      <c r="U249">
        <v>5</v>
      </c>
      <c r="W249">
        <v>1500</v>
      </c>
      <c r="X249">
        <v>0</v>
      </c>
      <c r="Y249">
        <v>0</v>
      </c>
      <c r="Z249">
        <v>0</v>
      </c>
      <c r="AA249">
        <v>0</v>
      </c>
      <c r="AB249">
        <v>0</v>
      </c>
      <c r="AC249">
        <v>1500</v>
      </c>
      <c r="AD249">
        <v>0</v>
      </c>
      <c r="AE249">
        <v>0</v>
      </c>
      <c r="AF249">
        <v>0</v>
      </c>
      <c r="AG249">
        <v>0</v>
      </c>
      <c r="AH249">
        <v>0</v>
      </c>
      <c r="AI249">
        <v>0</v>
      </c>
      <c r="AJ249">
        <v>0</v>
      </c>
      <c r="AK249">
        <v>0</v>
      </c>
      <c r="AL249">
        <v>0</v>
      </c>
      <c r="AM249">
        <v>0</v>
      </c>
      <c r="AN249">
        <v>0</v>
      </c>
      <c r="AO249">
        <v>0</v>
      </c>
      <c r="AP249">
        <v>0</v>
      </c>
      <c r="AQ249">
        <v>0</v>
      </c>
      <c r="AR249">
        <v>0</v>
      </c>
      <c r="AS249">
        <v>0</v>
      </c>
      <c r="AT249">
        <v>0</v>
      </c>
      <c r="AU249">
        <f t="shared" si="6"/>
        <v>0</v>
      </c>
      <c r="AV249">
        <f t="shared" si="7"/>
        <v>0</v>
      </c>
    </row>
    <row r="250" spans="1:48" x14ac:dyDescent="0.25">
      <c r="A250" t="s">
        <v>2940</v>
      </c>
      <c r="C250" t="s">
        <v>2941</v>
      </c>
      <c r="D250" t="s">
        <v>2942</v>
      </c>
      <c r="E250" t="s">
        <v>2310</v>
      </c>
      <c r="F250">
        <v>13</v>
      </c>
      <c r="G250">
        <v>13.3</v>
      </c>
      <c r="H250" t="s">
        <v>2017</v>
      </c>
      <c r="I250" s="21">
        <v>37459</v>
      </c>
      <c r="J250">
        <v>2002</v>
      </c>
      <c r="K250" s="21">
        <v>37477</v>
      </c>
      <c r="L250">
        <v>2002</v>
      </c>
      <c r="M250" s="21">
        <v>37830</v>
      </c>
      <c r="N250">
        <v>2003</v>
      </c>
      <c r="R250" s="262">
        <v>1000000</v>
      </c>
      <c r="S250" t="s">
        <v>114</v>
      </c>
      <c r="T250" t="s">
        <v>114</v>
      </c>
      <c r="U250">
        <v>5</v>
      </c>
      <c r="W250">
        <v>4551</v>
      </c>
      <c r="X250">
        <v>1</v>
      </c>
      <c r="Y250">
        <v>0</v>
      </c>
      <c r="Z250">
        <v>0</v>
      </c>
      <c r="AA250">
        <v>0</v>
      </c>
      <c r="AB250">
        <v>0</v>
      </c>
      <c r="AC250">
        <v>4551</v>
      </c>
      <c r="AD250">
        <v>0</v>
      </c>
      <c r="AE250">
        <v>0</v>
      </c>
      <c r="AF250">
        <v>0</v>
      </c>
      <c r="AG250">
        <v>0</v>
      </c>
      <c r="AH250">
        <v>0</v>
      </c>
      <c r="AI250">
        <v>0</v>
      </c>
      <c r="AJ250">
        <v>0</v>
      </c>
      <c r="AK250">
        <v>0</v>
      </c>
      <c r="AL250">
        <v>0</v>
      </c>
      <c r="AM250">
        <v>0</v>
      </c>
      <c r="AN250">
        <v>0</v>
      </c>
      <c r="AO250">
        <v>1</v>
      </c>
      <c r="AP250">
        <v>0</v>
      </c>
      <c r="AQ250">
        <v>0</v>
      </c>
      <c r="AR250">
        <v>0</v>
      </c>
      <c r="AS250">
        <v>0</v>
      </c>
      <c r="AT250">
        <v>0</v>
      </c>
      <c r="AU250">
        <f t="shared" si="6"/>
        <v>1</v>
      </c>
      <c r="AV250">
        <f t="shared" si="7"/>
        <v>0</v>
      </c>
    </row>
    <row r="251" spans="1:48" x14ac:dyDescent="0.25">
      <c r="A251" t="s">
        <v>2943</v>
      </c>
      <c r="C251" t="s">
        <v>2944</v>
      </c>
      <c r="D251" t="s">
        <v>2400</v>
      </c>
      <c r="E251" t="s">
        <v>2310</v>
      </c>
      <c r="F251">
        <v>8</v>
      </c>
      <c r="G251">
        <v>8.1999999999999993</v>
      </c>
      <c r="H251" t="s">
        <v>2022</v>
      </c>
      <c r="I251" s="21">
        <v>37461</v>
      </c>
      <c r="J251">
        <v>2002</v>
      </c>
      <c r="K251" s="21">
        <v>37554</v>
      </c>
      <c r="L251">
        <v>2002</v>
      </c>
      <c r="M251" s="21">
        <v>37554</v>
      </c>
      <c r="N251">
        <v>2002</v>
      </c>
      <c r="R251" s="262">
        <v>75000</v>
      </c>
      <c r="S251" t="s">
        <v>114</v>
      </c>
      <c r="T251" t="s">
        <v>114</v>
      </c>
      <c r="U251">
        <v>5</v>
      </c>
      <c r="W251">
        <v>873</v>
      </c>
      <c r="X251">
        <v>0</v>
      </c>
      <c r="Y251">
        <v>0</v>
      </c>
      <c r="Z251">
        <v>0</v>
      </c>
      <c r="AA251">
        <v>0</v>
      </c>
      <c r="AB251">
        <v>0</v>
      </c>
      <c r="AC251">
        <v>873</v>
      </c>
      <c r="AD251">
        <v>0</v>
      </c>
      <c r="AE251">
        <v>0</v>
      </c>
      <c r="AF251">
        <v>0</v>
      </c>
      <c r="AG251">
        <v>0</v>
      </c>
      <c r="AH251">
        <v>0</v>
      </c>
      <c r="AI251">
        <v>0</v>
      </c>
      <c r="AJ251">
        <v>0</v>
      </c>
      <c r="AK251">
        <v>0</v>
      </c>
      <c r="AL251">
        <v>0</v>
      </c>
      <c r="AM251">
        <v>0</v>
      </c>
      <c r="AN251">
        <v>0</v>
      </c>
      <c r="AO251">
        <v>0</v>
      </c>
      <c r="AP251">
        <v>0</v>
      </c>
      <c r="AQ251">
        <v>0</v>
      </c>
      <c r="AR251">
        <v>0</v>
      </c>
      <c r="AS251">
        <v>0</v>
      </c>
      <c r="AT251">
        <v>0</v>
      </c>
      <c r="AU251">
        <f t="shared" si="6"/>
        <v>0</v>
      </c>
      <c r="AV251">
        <f t="shared" si="7"/>
        <v>0</v>
      </c>
    </row>
    <row r="252" spans="1:48" x14ac:dyDescent="0.25">
      <c r="A252" t="s">
        <v>2945</v>
      </c>
      <c r="C252" t="s">
        <v>2946</v>
      </c>
      <c r="D252" t="s">
        <v>2400</v>
      </c>
      <c r="E252" t="s">
        <v>2310</v>
      </c>
      <c r="F252">
        <v>8</v>
      </c>
      <c r="G252">
        <v>8.1999999999999993</v>
      </c>
      <c r="H252" t="s">
        <v>2022</v>
      </c>
      <c r="I252" s="21">
        <v>37461</v>
      </c>
      <c r="J252">
        <v>2002</v>
      </c>
      <c r="K252" s="21">
        <v>37554</v>
      </c>
      <c r="L252">
        <v>2002</v>
      </c>
      <c r="M252" s="21">
        <v>37554</v>
      </c>
      <c r="N252">
        <v>2002</v>
      </c>
      <c r="R252" s="262">
        <v>25000</v>
      </c>
      <c r="S252" t="s">
        <v>114</v>
      </c>
      <c r="T252" t="s">
        <v>114</v>
      </c>
      <c r="U252">
        <v>5</v>
      </c>
      <c r="W252">
        <v>350</v>
      </c>
      <c r="X252">
        <v>0</v>
      </c>
      <c r="Y252">
        <v>0</v>
      </c>
      <c r="Z252">
        <v>0</v>
      </c>
      <c r="AA252">
        <v>0</v>
      </c>
      <c r="AB252">
        <v>0</v>
      </c>
      <c r="AC252">
        <v>350</v>
      </c>
      <c r="AD252">
        <v>0</v>
      </c>
      <c r="AE252">
        <v>0</v>
      </c>
      <c r="AF252">
        <v>0</v>
      </c>
      <c r="AG252">
        <v>0</v>
      </c>
      <c r="AH252">
        <v>0</v>
      </c>
      <c r="AI252">
        <v>0</v>
      </c>
      <c r="AJ252">
        <v>0</v>
      </c>
      <c r="AK252">
        <v>0</v>
      </c>
      <c r="AL252">
        <v>0</v>
      </c>
      <c r="AM252">
        <v>0</v>
      </c>
      <c r="AN252">
        <v>0</v>
      </c>
      <c r="AO252">
        <v>0</v>
      </c>
      <c r="AP252">
        <v>0</v>
      </c>
      <c r="AQ252">
        <v>0</v>
      </c>
      <c r="AR252">
        <v>0</v>
      </c>
      <c r="AS252">
        <v>0</v>
      </c>
      <c r="AT252">
        <v>0</v>
      </c>
      <c r="AU252">
        <f t="shared" si="6"/>
        <v>0</v>
      </c>
      <c r="AV252">
        <f t="shared" si="7"/>
        <v>0</v>
      </c>
    </row>
    <row r="253" spans="1:48" x14ac:dyDescent="0.25">
      <c r="A253" t="s">
        <v>2947</v>
      </c>
      <c r="C253" t="s">
        <v>2948</v>
      </c>
      <c r="D253" t="s">
        <v>2949</v>
      </c>
      <c r="E253" t="s">
        <v>2310</v>
      </c>
      <c r="F253">
        <v>13</v>
      </c>
      <c r="G253">
        <v>13.1</v>
      </c>
      <c r="H253" t="s">
        <v>2327</v>
      </c>
      <c r="I253" s="21">
        <v>37462</v>
      </c>
      <c r="J253">
        <v>2002</v>
      </c>
      <c r="K253" s="21">
        <v>37495</v>
      </c>
      <c r="L253">
        <v>2002</v>
      </c>
      <c r="M253" s="21">
        <v>37617</v>
      </c>
      <c r="N253">
        <v>2002</v>
      </c>
      <c r="R253" s="262">
        <v>125000</v>
      </c>
      <c r="S253" t="s">
        <v>114</v>
      </c>
      <c r="T253" t="s">
        <v>114</v>
      </c>
      <c r="U253">
        <v>11</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f t="shared" si="6"/>
        <v>0</v>
      </c>
      <c r="AV253">
        <f t="shared" si="7"/>
        <v>0</v>
      </c>
    </row>
    <row r="254" spans="1:48" x14ac:dyDescent="0.25">
      <c r="A254" t="s">
        <v>2950</v>
      </c>
      <c r="C254" t="s">
        <v>2951</v>
      </c>
      <c r="D254" t="s">
        <v>2952</v>
      </c>
      <c r="E254" t="s">
        <v>1663</v>
      </c>
      <c r="F254">
        <v>6</v>
      </c>
      <c r="G254">
        <v>6.2</v>
      </c>
      <c r="H254" t="s">
        <v>2017</v>
      </c>
      <c r="I254" s="21">
        <v>37466</v>
      </c>
      <c r="J254">
        <v>2002</v>
      </c>
      <c r="K254" s="21">
        <v>37497</v>
      </c>
      <c r="L254">
        <v>2002</v>
      </c>
      <c r="M254" s="21">
        <v>37650</v>
      </c>
      <c r="N254">
        <v>2003</v>
      </c>
      <c r="Q254" s="262">
        <v>300000</v>
      </c>
      <c r="S254" t="s">
        <v>114</v>
      </c>
      <c r="T254" t="s">
        <v>114</v>
      </c>
      <c r="W254">
        <v>3188</v>
      </c>
      <c r="X254">
        <v>1</v>
      </c>
      <c r="Y254">
        <v>0</v>
      </c>
      <c r="Z254">
        <v>0</v>
      </c>
      <c r="AA254">
        <v>0</v>
      </c>
      <c r="AB254">
        <v>0</v>
      </c>
      <c r="AC254">
        <v>3188</v>
      </c>
      <c r="AD254">
        <v>0</v>
      </c>
      <c r="AE254">
        <v>0</v>
      </c>
      <c r="AF254">
        <v>0</v>
      </c>
      <c r="AG254">
        <v>0</v>
      </c>
      <c r="AH254">
        <v>0</v>
      </c>
      <c r="AI254">
        <v>0</v>
      </c>
      <c r="AJ254">
        <v>0</v>
      </c>
      <c r="AK254">
        <v>0</v>
      </c>
      <c r="AL254">
        <v>0</v>
      </c>
      <c r="AM254">
        <v>0</v>
      </c>
      <c r="AN254">
        <v>0</v>
      </c>
      <c r="AO254">
        <v>1</v>
      </c>
      <c r="AP254">
        <v>0</v>
      </c>
      <c r="AQ254">
        <v>0</v>
      </c>
      <c r="AR254">
        <v>0</v>
      </c>
      <c r="AS254">
        <v>0</v>
      </c>
      <c r="AT254">
        <v>0</v>
      </c>
      <c r="AU254">
        <f t="shared" si="6"/>
        <v>1</v>
      </c>
      <c r="AV254">
        <f t="shared" si="7"/>
        <v>0</v>
      </c>
    </row>
    <row r="255" spans="1:48" x14ac:dyDescent="0.25">
      <c r="A255" t="s">
        <v>2953</v>
      </c>
      <c r="C255" t="s">
        <v>2954</v>
      </c>
      <c r="D255" t="s">
        <v>2955</v>
      </c>
      <c r="E255" t="s">
        <v>2310</v>
      </c>
      <c r="F255">
        <v>8</v>
      </c>
      <c r="G255">
        <v>8.1</v>
      </c>
      <c r="H255" t="s">
        <v>2323</v>
      </c>
      <c r="I255" s="21">
        <v>37466</v>
      </c>
      <c r="J255">
        <v>2002</v>
      </c>
      <c r="K255" s="21">
        <v>37508</v>
      </c>
      <c r="L255">
        <v>2002</v>
      </c>
      <c r="M255" s="21">
        <v>40280.5242013889</v>
      </c>
      <c r="N255">
        <v>2010</v>
      </c>
      <c r="R255" s="262">
        <v>13000</v>
      </c>
      <c r="S255" t="s">
        <v>114</v>
      </c>
      <c r="T255" t="s">
        <v>114</v>
      </c>
      <c r="U255">
        <v>5</v>
      </c>
      <c r="W255">
        <v>450</v>
      </c>
      <c r="X255">
        <v>0</v>
      </c>
      <c r="Y255">
        <v>0</v>
      </c>
      <c r="Z255">
        <v>0</v>
      </c>
      <c r="AA255">
        <v>0</v>
      </c>
      <c r="AB255">
        <v>0</v>
      </c>
      <c r="AC255">
        <v>450</v>
      </c>
      <c r="AD255">
        <v>0</v>
      </c>
      <c r="AE255">
        <v>0</v>
      </c>
      <c r="AF255">
        <v>0</v>
      </c>
      <c r="AG255">
        <v>0</v>
      </c>
      <c r="AH255">
        <v>0</v>
      </c>
      <c r="AI255">
        <v>0</v>
      </c>
      <c r="AJ255">
        <v>0</v>
      </c>
      <c r="AK255">
        <v>0</v>
      </c>
      <c r="AL255">
        <v>0</v>
      </c>
      <c r="AM255">
        <v>0</v>
      </c>
      <c r="AN255">
        <v>0</v>
      </c>
      <c r="AO255">
        <v>0</v>
      </c>
      <c r="AP255">
        <v>0</v>
      </c>
      <c r="AQ255">
        <v>0</v>
      </c>
      <c r="AR255">
        <v>0</v>
      </c>
      <c r="AS255">
        <v>0</v>
      </c>
      <c r="AT255">
        <v>0</v>
      </c>
      <c r="AU255">
        <f t="shared" si="6"/>
        <v>0</v>
      </c>
      <c r="AV255">
        <f t="shared" si="7"/>
        <v>0</v>
      </c>
    </row>
    <row r="256" spans="1:48" x14ac:dyDescent="0.25">
      <c r="A256" t="s">
        <v>2956</v>
      </c>
      <c r="C256" t="s">
        <v>2957</v>
      </c>
      <c r="D256" t="s">
        <v>2958</v>
      </c>
      <c r="E256" t="s">
        <v>2310</v>
      </c>
      <c r="F256">
        <v>15</v>
      </c>
      <c r="G256">
        <v>15.1</v>
      </c>
      <c r="H256" t="s">
        <v>2022</v>
      </c>
      <c r="I256" s="21">
        <v>37466</v>
      </c>
      <c r="J256">
        <v>2002</v>
      </c>
      <c r="K256" s="21">
        <v>37494</v>
      </c>
      <c r="L256">
        <v>2002</v>
      </c>
      <c r="M256" s="21">
        <v>38912</v>
      </c>
      <c r="N256">
        <v>2006</v>
      </c>
      <c r="R256" s="262">
        <v>124000</v>
      </c>
      <c r="S256" t="s">
        <v>114</v>
      </c>
      <c r="T256" t="s">
        <v>114</v>
      </c>
      <c r="U256">
        <v>8</v>
      </c>
      <c r="W256">
        <v>2670</v>
      </c>
      <c r="X256">
        <v>1</v>
      </c>
      <c r="Y256">
        <v>0</v>
      </c>
      <c r="Z256">
        <v>0</v>
      </c>
      <c r="AA256">
        <v>0</v>
      </c>
      <c r="AB256">
        <v>0</v>
      </c>
      <c r="AC256">
        <v>1920</v>
      </c>
      <c r="AD256">
        <v>0</v>
      </c>
      <c r="AE256">
        <v>0</v>
      </c>
      <c r="AF256">
        <v>750</v>
      </c>
      <c r="AG256">
        <v>0</v>
      </c>
      <c r="AH256">
        <v>0</v>
      </c>
      <c r="AI256">
        <v>0</v>
      </c>
      <c r="AJ256">
        <v>0</v>
      </c>
      <c r="AK256">
        <v>0</v>
      </c>
      <c r="AL256">
        <v>0</v>
      </c>
      <c r="AM256">
        <v>0</v>
      </c>
      <c r="AN256">
        <v>0</v>
      </c>
      <c r="AO256">
        <v>0</v>
      </c>
      <c r="AP256">
        <v>0</v>
      </c>
      <c r="AQ256">
        <v>0</v>
      </c>
      <c r="AR256">
        <v>1</v>
      </c>
      <c r="AS256">
        <v>0</v>
      </c>
      <c r="AT256">
        <v>0</v>
      </c>
      <c r="AU256">
        <f t="shared" si="6"/>
        <v>0</v>
      </c>
      <c r="AV256">
        <f t="shared" si="7"/>
        <v>0</v>
      </c>
    </row>
    <row r="257" spans="1:48" x14ac:dyDescent="0.25">
      <c r="A257" t="s">
        <v>2959</v>
      </c>
      <c r="C257" t="s">
        <v>2960</v>
      </c>
      <c r="D257" t="s">
        <v>2961</v>
      </c>
      <c r="E257" t="s">
        <v>2310</v>
      </c>
      <c r="F257">
        <v>9</v>
      </c>
      <c r="G257">
        <v>9.4</v>
      </c>
      <c r="H257" t="s">
        <v>2323</v>
      </c>
      <c r="I257" s="21">
        <v>37466</v>
      </c>
      <c r="J257">
        <v>2002</v>
      </c>
      <c r="K257" s="21">
        <v>37476</v>
      </c>
      <c r="L257">
        <v>2002</v>
      </c>
      <c r="M257" s="21">
        <v>37476</v>
      </c>
      <c r="N257">
        <v>2002</v>
      </c>
      <c r="R257" s="262">
        <v>40000</v>
      </c>
      <c r="S257" t="s">
        <v>114</v>
      </c>
      <c r="T257" t="s">
        <v>114</v>
      </c>
      <c r="U257">
        <v>5</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f t="shared" si="6"/>
        <v>0</v>
      </c>
      <c r="AV257">
        <f t="shared" si="7"/>
        <v>0</v>
      </c>
    </row>
    <row r="258" spans="1:48" x14ac:dyDescent="0.25">
      <c r="A258" t="s">
        <v>2962</v>
      </c>
      <c r="C258" t="s">
        <v>2963</v>
      </c>
      <c r="D258" t="s">
        <v>2964</v>
      </c>
      <c r="E258" t="s">
        <v>2310</v>
      </c>
      <c r="F258">
        <v>8</v>
      </c>
      <c r="G258">
        <v>8.4</v>
      </c>
      <c r="H258" t="s">
        <v>2017</v>
      </c>
      <c r="I258" s="21">
        <v>37467</v>
      </c>
      <c r="J258">
        <v>2002</v>
      </c>
      <c r="K258" s="21">
        <v>37523</v>
      </c>
      <c r="L258">
        <v>2002</v>
      </c>
      <c r="M258" s="21">
        <v>37788</v>
      </c>
      <c r="N258">
        <v>2003</v>
      </c>
      <c r="R258" s="262">
        <v>880000</v>
      </c>
      <c r="S258" t="s">
        <v>114</v>
      </c>
      <c r="T258" t="s">
        <v>114</v>
      </c>
      <c r="U258">
        <v>21</v>
      </c>
      <c r="W258">
        <v>8130</v>
      </c>
      <c r="X258">
        <v>2</v>
      </c>
      <c r="Y258">
        <v>0</v>
      </c>
      <c r="Z258">
        <v>0</v>
      </c>
      <c r="AA258">
        <v>0</v>
      </c>
      <c r="AB258">
        <v>0</v>
      </c>
      <c r="AC258">
        <v>0</v>
      </c>
      <c r="AD258">
        <v>0</v>
      </c>
      <c r="AE258">
        <v>975</v>
      </c>
      <c r="AF258">
        <v>0</v>
      </c>
      <c r="AG258">
        <v>0</v>
      </c>
      <c r="AH258">
        <v>0</v>
      </c>
      <c r="AI258">
        <v>0</v>
      </c>
      <c r="AJ258">
        <v>0</v>
      </c>
      <c r="AK258">
        <v>7155</v>
      </c>
      <c r="AL258">
        <v>0</v>
      </c>
      <c r="AM258">
        <v>0</v>
      </c>
      <c r="AN258">
        <v>0</v>
      </c>
      <c r="AO258">
        <v>0</v>
      </c>
      <c r="AP258">
        <v>0</v>
      </c>
      <c r="AQ258">
        <v>2</v>
      </c>
      <c r="AR258">
        <v>0</v>
      </c>
      <c r="AS258">
        <v>0</v>
      </c>
      <c r="AT258">
        <v>0</v>
      </c>
      <c r="AU258">
        <f t="shared" si="6"/>
        <v>2</v>
      </c>
      <c r="AV258">
        <f t="shared" si="7"/>
        <v>7155</v>
      </c>
    </row>
    <row r="259" spans="1:48" x14ac:dyDescent="0.25">
      <c r="A259" t="s">
        <v>2965</v>
      </c>
      <c r="C259" t="s">
        <v>2966</v>
      </c>
      <c r="D259" t="s">
        <v>2587</v>
      </c>
      <c r="E259" t="s">
        <v>2310</v>
      </c>
      <c r="F259">
        <v>15</v>
      </c>
      <c r="G259">
        <v>15.3</v>
      </c>
      <c r="H259" t="s">
        <v>2022</v>
      </c>
      <c r="I259" s="21">
        <v>37467</v>
      </c>
      <c r="J259">
        <v>2002</v>
      </c>
      <c r="K259" s="21">
        <v>37545</v>
      </c>
      <c r="L259">
        <v>2002</v>
      </c>
      <c r="M259" s="21">
        <v>37545</v>
      </c>
      <c r="N259">
        <v>2002</v>
      </c>
      <c r="R259" s="262">
        <v>66000</v>
      </c>
      <c r="S259" t="s">
        <v>114</v>
      </c>
      <c r="T259" t="s">
        <v>114</v>
      </c>
      <c r="U259">
        <v>8</v>
      </c>
      <c r="W259">
        <v>2400</v>
      </c>
      <c r="X259">
        <v>1</v>
      </c>
      <c r="Y259">
        <v>0</v>
      </c>
      <c r="Z259">
        <v>0</v>
      </c>
      <c r="AA259">
        <v>0</v>
      </c>
      <c r="AB259">
        <v>0</v>
      </c>
      <c r="AC259">
        <v>1400</v>
      </c>
      <c r="AD259">
        <v>0</v>
      </c>
      <c r="AE259">
        <v>0</v>
      </c>
      <c r="AF259">
        <v>1000</v>
      </c>
      <c r="AG259">
        <v>0</v>
      </c>
      <c r="AH259">
        <v>0</v>
      </c>
      <c r="AI259">
        <v>0</v>
      </c>
      <c r="AJ259">
        <v>0</v>
      </c>
      <c r="AK259">
        <v>0</v>
      </c>
      <c r="AL259">
        <v>0</v>
      </c>
      <c r="AM259">
        <v>0</v>
      </c>
      <c r="AN259">
        <v>0</v>
      </c>
      <c r="AO259">
        <v>0</v>
      </c>
      <c r="AP259">
        <v>0</v>
      </c>
      <c r="AQ259">
        <v>0</v>
      </c>
      <c r="AR259">
        <v>1</v>
      </c>
      <c r="AS259">
        <v>0</v>
      </c>
      <c r="AT259">
        <v>0</v>
      </c>
      <c r="AU259">
        <f t="shared" si="6"/>
        <v>0</v>
      </c>
      <c r="AV259">
        <f t="shared" si="7"/>
        <v>0</v>
      </c>
    </row>
    <row r="260" spans="1:48" x14ac:dyDescent="0.25">
      <c r="A260" t="s">
        <v>2969</v>
      </c>
      <c r="C260" t="s">
        <v>2312</v>
      </c>
      <c r="D260" t="s">
        <v>2970</v>
      </c>
      <c r="E260" t="s">
        <v>2310</v>
      </c>
      <c r="F260">
        <v>8</v>
      </c>
      <c r="G260">
        <v>8.1</v>
      </c>
      <c r="H260" t="s">
        <v>2323</v>
      </c>
      <c r="I260" s="21">
        <v>37469</v>
      </c>
      <c r="J260">
        <v>2002</v>
      </c>
      <c r="K260" s="21">
        <v>37491</v>
      </c>
      <c r="L260">
        <v>2002</v>
      </c>
      <c r="M260" s="21">
        <v>39001</v>
      </c>
      <c r="N260">
        <v>2006</v>
      </c>
      <c r="R260" s="262">
        <v>1500000</v>
      </c>
      <c r="S260" t="s">
        <v>114</v>
      </c>
      <c r="T260" t="s">
        <v>114</v>
      </c>
      <c r="U260">
        <v>5</v>
      </c>
      <c r="W260">
        <v>6817</v>
      </c>
      <c r="X260">
        <v>1</v>
      </c>
      <c r="Y260">
        <v>0</v>
      </c>
      <c r="Z260">
        <v>0</v>
      </c>
      <c r="AA260">
        <v>0</v>
      </c>
      <c r="AB260">
        <v>0</v>
      </c>
      <c r="AC260">
        <v>6817</v>
      </c>
      <c r="AD260">
        <v>0</v>
      </c>
      <c r="AE260">
        <v>0</v>
      </c>
      <c r="AF260">
        <v>0</v>
      </c>
      <c r="AG260">
        <v>0</v>
      </c>
      <c r="AH260">
        <v>0</v>
      </c>
      <c r="AI260">
        <v>0</v>
      </c>
      <c r="AJ260">
        <v>0</v>
      </c>
      <c r="AK260">
        <v>0</v>
      </c>
      <c r="AL260">
        <v>0</v>
      </c>
      <c r="AM260">
        <v>0</v>
      </c>
      <c r="AN260">
        <v>0</v>
      </c>
      <c r="AO260">
        <v>1</v>
      </c>
      <c r="AP260">
        <v>0</v>
      </c>
      <c r="AQ260">
        <v>0</v>
      </c>
      <c r="AR260">
        <v>0</v>
      </c>
      <c r="AS260">
        <v>0</v>
      </c>
      <c r="AT260">
        <v>0</v>
      </c>
      <c r="AU260">
        <f t="shared" si="6"/>
        <v>1</v>
      </c>
      <c r="AV260">
        <f t="shared" si="7"/>
        <v>0</v>
      </c>
    </row>
    <row r="261" spans="1:48" x14ac:dyDescent="0.25">
      <c r="A261" t="s">
        <v>2967</v>
      </c>
      <c r="C261" t="s">
        <v>2329</v>
      </c>
      <c r="D261" t="s">
        <v>2968</v>
      </c>
      <c r="E261" t="s">
        <v>1663</v>
      </c>
      <c r="F261">
        <v>6</v>
      </c>
      <c r="G261">
        <v>6.1</v>
      </c>
      <c r="H261" t="s">
        <v>2017</v>
      </c>
      <c r="I261" s="21">
        <v>37469</v>
      </c>
      <c r="J261">
        <v>2002</v>
      </c>
      <c r="K261" s="21">
        <v>37500</v>
      </c>
      <c r="L261">
        <v>2002</v>
      </c>
      <c r="M261" s="21">
        <v>37653</v>
      </c>
      <c r="N261">
        <v>2003</v>
      </c>
      <c r="Q261" s="262">
        <v>320000</v>
      </c>
      <c r="S261" t="s">
        <v>114</v>
      </c>
      <c r="T261" t="s">
        <v>114</v>
      </c>
      <c r="W261">
        <v>3752</v>
      </c>
      <c r="X261">
        <v>1</v>
      </c>
      <c r="Y261">
        <v>0</v>
      </c>
      <c r="Z261">
        <v>0</v>
      </c>
      <c r="AA261">
        <v>0</v>
      </c>
      <c r="AB261">
        <v>0</v>
      </c>
      <c r="AC261">
        <v>3752</v>
      </c>
      <c r="AD261">
        <v>0</v>
      </c>
      <c r="AE261">
        <v>0</v>
      </c>
      <c r="AF261">
        <v>0</v>
      </c>
      <c r="AG261">
        <v>0</v>
      </c>
      <c r="AH261">
        <v>0</v>
      </c>
      <c r="AI261">
        <v>0</v>
      </c>
      <c r="AJ261">
        <v>0</v>
      </c>
      <c r="AK261">
        <v>0</v>
      </c>
      <c r="AL261">
        <v>0</v>
      </c>
      <c r="AM261">
        <v>0</v>
      </c>
      <c r="AN261">
        <v>0</v>
      </c>
      <c r="AO261">
        <v>1</v>
      </c>
      <c r="AP261">
        <v>0</v>
      </c>
      <c r="AQ261">
        <v>0</v>
      </c>
      <c r="AR261">
        <v>0</v>
      </c>
      <c r="AS261">
        <v>0</v>
      </c>
      <c r="AT261">
        <v>0</v>
      </c>
      <c r="AU261">
        <f t="shared" si="6"/>
        <v>1</v>
      </c>
      <c r="AV261">
        <f t="shared" si="7"/>
        <v>0</v>
      </c>
    </row>
    <row r="262" spans="1:48" x14ac:dyDescent="0.25">
      <c r="A262" t="s">
        <v>2971</v>
      </c>
      <c r="C262" t="s">
        <v>2312</v>
      </c>
      <c r="D262" t="s">
        <v>2972</v>
      </c>
      <c r="E262" t="s">
        <v>2310</v>
      </c>
      <c r="F262">
        <v>10</v>
      </c>
      <c r="G262">
        <v>10.1</v>
      </c>
      <c r="H262" t="s">
        <v>2323</v>
      </c>
      <c r="I262" s="21">
        <v>37470</v>
      </c>
      <c r="J262">
        <v>2002</v>
      </c>
      <c r="K262" s="21">
        <v>37497</v>
      </c>
      <c r="L262">
        <v>2002</v>
      </c>
      <c r="M262" s="21">
        <v>37497</v>
      </c>
      <c r="N262">
        <v>2002</v>
      </c>
      <c r="R262" s="262">
        <v>260000</v>
      </c>
      <c r="S262" t="s">
        <v>114</v>
      </c>
      <c r="T262" t="s">
        <v>114</v>
      </c>
      <c r="U262">
        <v>5</v>
      </c>
      <c r="W262">
        <v>2400</v>
      </c>
      <c r="X262">
        <v>1</v>
      </c>
      <c r="Y262">
        <v>0</v>
      </c>
      <c r="Z262">
        <v>0</v>
      </c>
      <c r="AA262">
        <v>0</v>
      </c>
      <c r="AB262">
        <v>0</v>
      </c>
      <c r="AC262">
        <v>2400</v>
      </c>
      <c r="AD262">
        <v>0</v>
      </c>
      <c r="AE262">
        <v>0</v>
      </c>
      <c r="AF262">
        <v>0</v>
      </c>
      <c r="AG262">
        <v>0</v>
      </c>
      <c r="AH262">
        <v>0</v>
      </c>
      <c r="AI262">
        <v>0</v>
      </c>
      <c r="AJ262">
        <v>0</v>
      </c>
      <c r="AK262">
        <v>0</v>
      </c>
      <c r="AL262">
        <v>0</v>
      </c>
      <c r="AM262">
        <v>0</v>
      </c>
      <c r="AN262">
        <v>0</v>
      </c>
      <c r="AO262">
        <v>1</v>
      </c>
      <c r="AP262">
        <v>0</v>
      </c>
      <c r="AQ262">
        <v>0</v>
      </c>
      <c r="AR262">
        <v>0</v>
      </c>
      <c r="AS262">
        <v>0</v>
      </c>
      <c r="AT262">
        <v>0</v>
      </c>
      <c r="AU262">
        <f t="shared" si="6"/>
        <v>1</v>
      </c>
      <c r="AV262">
        <f t="shared" si="7"/>
        <v>0</v>
      </c>
    </row>
    <row r="263" spans="1:48" x14ac:dyDescent="0.25">
      <c r="A263" t="s">
        <v>2973</v>
      </c>
      <c r="C263" t="s">
        <v>2974</v>
      </c>
      <c r="D263" t="s">
        <v>2975</v>
      </c>
      <c r="E263" t="s">
        <v>2310</v>
      </c>
      <c r="F263">
        <v>10</v>
      </c>
      <c r="G263">
        <v>10.1</v>
      </c>
      <c r="H263" t="s">
        <v>2323</v>
      </c>
      <c r="I263" s="21">
        <v>37473</v>
      </c>
      <c r="J263">
        <v>2002</v>
      </c>
      <c r="K263" s="21">
        <v>37505</v>
      </c>
      <c r="L263">
        <v>2002</v>
      </c>
      <c r="M263" s="21">
        <v>37505</v>
      </c>
      <c r="N263">
        <v>2002</v>
      </c>
      <c r="R263" s="262">
        <v>9000</v>
      </c>
      <c r="S263" t="s">
        <v>114</v>
      </c>
      <c r="T263" t="s">
        <v>114</v>
      </c>
      <c r="U263">
        <v>5</v>
      </c>
      <c r="W263">
        <v>624</v>
      </c>
      <c r="X263">
        <v>0</v>
      </c>
      <c r="Y263">
        <v>0</v>
      </c>
      <c r="Z263">
        <v>0</v>
      </c>
      <c r="AA263">
        <v>0</v>
      </c>
      <c r="AB263">
        <v>0</v>
      </c>
      <c r="AC263">
        <v>624</v>
      </c>
      <c r="AD263">
        <v>0</v>
      </c>
      <c r="AE263">
        <v>0</v>
      </c>
      <c r="AF263">
        <v>0</v>
      </c>
      <c r="AG263">
        <v>0</v>
      </c>
      <c r="AH263">
        <v>0</v>
      </c>
      <c r="AI263">
        <v>0</v>
      </c>
      <c r="AJ263">
        <v>0</v>
      </c>
      <c r="AK263">
        <v>0</v>
      </c>
      <c r="AL263">
        <v>0</v>
      </c>
      <c r="AM263">
        <v>0</v>
      </c>
      <c r="AN263">
        <v>0</v>
      </c>
      <c r="AO263">
        <v>0</v>
      </c>
      <c r="AP263">
        <v>0</v>
      </c>
      <c r="AQ263">
        <v>0</v>
      </c>
      <c r="AR263">
        <v>0</v>
      </c>
      <c r="AS263">
        <v>0</v>
      </c>
      <c r="AT263">
        <v>0</v>
      </c>
      <c r="AU263">
        <f t="shared" si="6"/>
        <v>0</v>
      </c>
      <c r="AV263">
        <f t="shared" si="7"/>
        <v>0</v>
      </c>
    </row>
    <row r="264" spans="1:48" x14ac:dyDescent="0.25">
      <c r="A264" t="s">
        <v>2976</v>
      </c>
      <c r="C264" t="s">
        <v>2977</v>
      </c>
      <c r="D264" t="s">
        <v>2978</v>
      </c>
      <c r="E264" t="s">
        <v>2310</v>
      </c>
      <c r="F264">
        <v>9</v>
      </c>
      <c r="G264">
        <v>9.3000000000000007</v>
      </c>
      <c r="H264" t="s">
        <v>2323</v>
      </c>
      <c r="I264" s="21">
        <v>37474</v>
      </c>
      <c r="J264">
        <v>2002</v>
      </c>
      <c r="K264" s="21">
        <v>37498</v>
      </c>
      <c r="L264">
        <v>2002</v>
      </c>
      <c r="M264" s="21">
        <v>38090</v>
      </c>
      <c r="N264">
        <v>2004</v>
      </c>
      <c r="R264" s="262">
        <v>1000000</v>
      </c>
      <c r="S264" t="s">
        <v>114</v>
      </c>
      <c r="T264" t="s">
        <v>114</v>
      </c>
      <c r="U264">
        <v>5</v>
      </c>
      <c r="W264">
        <v>10175</v>
      </c>
      <c r="X264">
        <v>1</v>
      </c>
      <c r="Y264">
        <v>0</v>
      </c>
      <c r="Z264">
        <v>0</v>
      </c>
      <c r="AA264">
        <v>0</v>
      </c>
      <c r="AB264">
        <v>0</v>
      </c>
      <c r="AC264">
        <v>10175</v>
      </c>
      <c r="AD264">
        <v>0</v>
      </c>
      <c r="AE264">
        <v>0</v>
      </c>
      <c r="AF264">
        <v>0</v>
      </c>
      <c r="AG264">
        <v>0</v>
      </c>
      <c r="AH264">
        <v>0</v>
      </c>
      <c r="AI264">
        <v>0</v>
      </c>
      <c r="AJ264">
        <v>0</v>
      </c>
      <c r="AK264">
        <v>0</v>
      </c>
      <c r="AL264">
        <v>0</v>
      </c>
      <c r="AM264">
        <v>0</v>
      </c>
      <c r="AN264">
        <v>0</v>
      </c>
      <c r="AO264">
        <v>1</v>
      </c>
      <c r="AP264">
        <v>0</v>
      </c>
      <c r="AQ264">
        <v>0</v>
      </c>
      <c r="AR264">
        <v>0</v>
      </c>
      <c r="AS264">
        <v>0</v>
      </c>
      <c r="AT264">
        <v>0</v>
      </c>
      <c r="AU264">
        <f t="shared" si="6"/>
        <v>1</v>
      </c>
      <c r="AV264">
        <f t="shared" si="7"/>
        <v>0</v>
      </c>
    </row>
    <row r="265" spans="1:48" x14ac:dyDescent="0.25">
      <c r="A265" t="s">
        <v>2979</v>
      </c>
      <c r="C265" t="s">
        <v>2980</v>
      </c>
      <c r="D265" t="s">
        <v>2981</v>
      </c>
      <c r="E265" t="s">
        <v>2310</v>
      </c>
      <c r="F265">
        <v>15</v>
      </c>
      <c r="G265">
        <v>15.1</v>
      </c>
      <c r="H265" t="s">
        <v>2022</v>
      </c>
      <c r="I265" s="21">
        <v>37474</v>
      </c>
      <c r="J265">
        <v>2002</v>
      </c>
      <c r="K265" s="21">
        <v>37519</v>
      </c>
      <c r="L265">
        <v>2002</v>
      </c>
      <c r="M265" s="21">
        <v>37902</v>
      </c>
      <c r="N265">
        <v>2003</v>
      </c>
      <c r="R265" s="262">
        <v>430000</v>
      </c>
      <c r="S265" t="s">
        <v>114</v>
      </c>
      <c r="T265" t="s">
        <v>114</v>
      </c>
      <c r="U265">
        <v>8</v>
      </c>
      <c r="W265">
        <v>2149</v>
      </c>
      <c r="X265">
        <v>1</v>
      </c>
      <c r="Y265">
        <v>0</v>
      </c>
      <c r="Z265">
        <v>0</v>
      </c>
      <c r="AA265">
        <v>0</v>
      </c>
      <c r="AB265">
        <v>0</v>
      </c>
      <c r="AC265">
        <v>1081</v>
      </c>
      <c r="AD265">
        <v>0</v>
      </c>
      <c r="AE265">
        <v>0</v>
      </c>
      <c r="AF265">
        <v>1068</v>
      </c>
      <c r="AG265">
        <v>0</v>
      </c>
      <c r="AH265">
        <v>0</v>
      </c>
      <c r="AI265">
        <v>0</v>
      </c>
      <c r="AJ265">
        <v>0</v>
      </c>
      <c r="AK265">
        <v>0</v>
      </c>
      <c r="AL265">
        <v>0</v>
      </c>
      <c r="AM265">
        <v>0</v>
      </c>
      <c r="AN265">
        <v>0</v>
      </c>
      <c r="AO265">
        <v>0</v>
      </c>
      <c r="AP265">
        <v>0</v>
      </c>
      <c r="AQ265">
        <v>0</v>
      </c>
      <c r="AR265">
        <v>1</v>
      </c>
      <c r="AS265">
        <v>0</v>
      </c>
      <c r="AT265">
        <v>0</v>
      </c>
      <c r="AU265">
        <f t="shared" si="6"/>
        <v>0</v>
      </c>
      <c r="AV265">
        <f t="shared" si="7"/>
        <v>0</v>
      </c>
    </row>
    <row r="266" spans="1:48" x14ac:dyDescent="0.25">
      <c r="A266" t="s">
        <v>2982</v>
      </c>
      <c r="C266" t="s">
        <v>2983</v>
      </c>
      <c r="D266" t="s">
        <v>2984</v>
      </c>
      <c r="E266" t="s">
        <v>2310</v>
      </c>
      <c r="F266">
        <v>15</v>
      </c>
      <c r="G266">
        <v>15.2</v>
      </c>
      <c r="H266" t="s">
        <v>2323</v>
      </c>
      <c r="I266" s="21">
        <v>37475</v>
      </c>
      <c r="J266">
        <v>2002</v>
      </c>
      <c r="K266" s="21">
        <v>37508</v>
      </c>
      <c r="L266">
        <v>2002</v>
      </c>
      <c r="M266" s="21">
        <v>37972</v>
      </c>
      <c r="N266">
        <v>2003</v>
      </c>
      <c r="R266" s="262">
        <v>12000</v>
      </c>
      <c r="S266" t="s">
        <v>114</v>
      </c>
      <c r="T266" t="s">
        <v>114</v>
      </c>
      <c r="U266">
        <v>5</v>
      </c>
      <c r="W266">
        <v>960</v>
      </c>
      <c r="X266">
        <v>0</v>
      </c>
      <c r="Y266">
        <v>0</v>
      </c>
      <c r="Z266">
        <v>0</v>
      </c>
      <c r="AA266">
        <v>0</v>
      </c>
      <c r="AB266">
        <v>0</v>
      </c>
      <c r="AC266">
        <v>960</v>
      </c>
      <c r="AD266">
        <v>0</v>
      </c>
      <c r="AE266">
        <v>0</v>
      </c>
      <c r="AF266">
        <v>0</v>
      </c>
      <c r="AG266">
        <v>0</v>
      </c>
      <c r="AH266">
        <v>0</v>
      </c>
      <c r="AI266">
        <v>0</v>
      </c>
      <c r="AJ266">
        <v>0</v>
      </c>
      <c r="AK266">
        <v>0</v>
      </c>
      <c r="AL266">
        <v>0</v>
      </c>
      <c r="AM266">
        <v>0</v>
      </c>
      <c r="AN266">
        <v>0</v>
      </c>
      <c r="AO266">
        <v>0</v>
      </c>
      <c r="AP266">
        <v>0</v>
      </c>
      <c r="AQ266">
        <v>0</v>
      </c>
      <c r="AR266">
        <v>0</v>
      </c>
      <c r="AS266">
        <v>0</v>
      </c>
      <c r="AT266">
        <v>0</v>
      </c>
      <c r="AU266">
        <f t="shared" si="6"/>
        <v>0</v>
      </c>
      <c r="AV266">
        <f t="shared" si="7"/>
        <v>0</v>
      </c>
    </row>
    <row r="267" spans="1:48" x14ac:dyDescent="0.25">
      <c r="A267" t="s">
        <v>2985</v>
      </c>
      <c r="C267" t="s">
        <v>2986</v>
      </c>
      <c r="D267" t="s">
        <v>2716</v>
      </c>
      <c r="E267" t="s">
        <v>2310</v>
      </c>
      <c r="F267">
        <v>11</v>
      </c>
      <c r="G267">
        <v>11.1</v>
      </c>
      <c r="H267" t="s">
        <v>2327</v>
      </c>
      <c r="I267" s="21">
        <v>37476</v>
      </c>
      <c r="J267">
        <v>2002</v>
      </c>
      <c r="K267" s="21">
        <v>37490</v>
      </c>
      <c r="L267">
        <v>2002</v>
      </c>
      <c r="M267" s="21">
        <v>37603</v>
      </c>
      <c r="N267">
        <v>2002</v>
      </c>
      <c r="R267" s="262">
        <v>37000</v>
      </c>
      <c r="S267" t="s">
        <v>114</v>
      </c>
      <c r="T267" t="s">
        <v>114</v>
      </c>
      <c r="U267">
        <v>13</v>
      </c>
      <c r="W267">
        <v>2408</v>
      </c>
      <c r="X267">
        <v>0</v>
      </c>
      <c r="Y267">
        <v>0</v>
      </c>
      <c r="Z267">
        <v>0</v>
      </c>
      <c r="AA267">
        <v>0</v>
      </c>
      <c r="AB267">
        <v>0</v>
      </c>
      <c r="AC267">
        <v>0</v>
      </c>
      <c r="AD267">
        <v>0</v>
      </c>
      <c r="AE267">
        <v>0</v>
      </c>
      <c r="AF267">
        <v>0</v>
      </c>
      <c r="AG267">
        <v>0</v>
      </c>
      <c r="AH267">
        <v>0</v>
      </c>
      <c r="AI267">
        <v>0</v>
      </c>
      <c r="AJ267">
        <v>0</v>
      </c>
      <c r="AK267">
        <v>2408</v>
      </c>
      <c r="AL267">
        <v>0</v>
      </c>
      <c r="AM267">
        <v>0</v>
      </c>
      <c r="AN267">
        <v>0</v>
      </c>
      <c r="AO267">
        <v>0</v>
      </c>
      <c r="AP267">
        <v>0</v>
      </c>
      <c r="AQ267">
        <v>0</v>
      </c>
      <c r="AR267">
        <v>0</v>
      </c>
      <c r="AS267">
        <v>0</v>
      </c>
      <c r="AT267">
        <v>0</v>
      </c>
      <c r="AU267">
        <f t="shared" si="6"/>
        <v>0</v>
      </c>
      <c r="AV267">
        <f t="shared" si="7"/>
        <v>2408</v>
      </c>
    </row>
    <row r="268" spans="1:48" x14ac:dyDescent="0.25">
      <c r="A268" t="s">
        <v>2987</v>
      </c>
      <c r="C268" t="s">
        <v>2988</v>
      </c>
      <c r="D268" t="s">
        <v>2989</v>
      </c>
      <c r="E268" t="s">
        <v>2310</v>
      </c>
      <c r="F268">
        <v>7</v>
      </c>
      <c r="G268">
        <v>7.1</v>
      </c>
      <c r="H268" t="s">
        <v>2017</v>
      </c>
      <c r="I268" s="21">
        <v>37476</v>
      </c>
      <c r="J268">
        <v>2002</v>
      </c>
      <c r="K268" s="21">
        <v>37512</v>
      </c>
      <c r="L268">
        <v>2002</v>
      </c>
      <c r="M268" s="21">
        <v>37512</v>
      </c>
      <c r="N268">
        <v>2002</v>
      </c>
      <c r="R268" s="262">
        <v>10000</v>
      </c>
      <c r="S268" t="s">
        <v>114</v>
      </c>
      <c r="T268" t="s">
        <v>114</v>
      </c>
      <c r="U268">
        <v>5</v>
      </c>
      <c r="W268">
        <v>1156</v>
      </c>
      <c r="X268">
        <v>0</v>
      </c>
      <c r="Y268">
        <v>0</v>
      </c>
      <c r="Z268">
        <v>0</v>
      </c>
      <c r="AA268">
        <v>0</v>
      </c>
      <c r="AB268">
        <v>0</v>
      </c>
      <c r="AC268">
        <v>1156</v>
      </c>
      <c r="AD268">
        <v>0</v>
      </c>
      <c r="AE268">
        <v>0</v>
      </c>
      <c r="AF268">
        <v>0</v>
      </c>
      <c r="AG268">
        <v>0</v>
      </c>
      <c r="AH268">
        <v>0</v>
      </c>
      <c r="AI268">
        <v>0</v>
      </c>
      <c r="AJ268">
        <v>0</v>
      </c>
      <c r="AK268">
        <v>0</v>
      </c>
      <c r="AL268">
        <v>0</v>
      </c>
      <c r="AM268">
        <v>0</v>
      </c>
      <c r="AN268">
        <v>0</v>
      </c>
      <c r="AO268">
        <v>0</v>
      </c>
      <c r="AP268">
        <v>0</v>
      </c>
      <c r="AQ268">
        <v>0</v>
      </c>
      <c r="AR268">
        <v>0</v>
      </c>
      <c r="AS268">
        <v>0</v>
      </c>
      <c r="AT268">
        <v>0</v>
      </c>
      <c r="AU268">
        <f t="shared" si="6"/>
        <v>0</v>
      </c>
      <c r="AV268">
        <f t="shared" si="7"/>
        <v>0</v>
      </c>
    </row>
    <row r="269" spans="1:48" x14ac:dyDescent="0.25">
      <c r="A269" t="s">
        <v>2990</v>
      </c>
      <c r="C269" t="s">
        <v>2991</v>
      </c>
      <c r="D269" t="s">
        <v>2992</v>
      </c>
      <c r="E269" t="s">
        <v>2310</v>
      </c>
      <c r="F269">
        <v>15</v>
      </c>
      <c r="G269">
        <v>15.3</v>
      </c>
      <c r="H269" t="s">
        <v>2022</v>
      </c>
      <c r="I269" s="21">
        <v>37476</v>
      </c>
      <c r="J269">
        <v>2002</v>
      </c>
      <c r="K269" s="21">
        <v>37516</v>
      </c>
      <c r="L269">
        <v>2002</v>
      </c>
      <c r="M269" s="21">
        <v>38152</v>
      </c>
      <c r="N269">
        <v>2004</v>
      </c>
      <c r="R269" s="262">
        <v>2100000</v>
      </c>
      <c r="S269" t="s">
        <v>114</v>
      </c>
      <c r="T269" t="s">
        <v>114</v>
      </c>
      <c r="U269">
        <v>5</v>
      </c>
      <c r="W269">
        <v>3314</v>
      </c>
      <c r="X269">
        <v>1</v>
      </c>
      <c r="Y269">
        <v>0</v>
      </c>
      <c r="Z269">
        <v>0</v>
      </c>
      <c r="AA269">
        <v>0</v>
      </c>
      <c r="AB269">
        <v>0</v>
      </c>
      <c r="AC269">
        <v>3314</v>
      </c>
      <c r="AD269">
        <v>0</v>
      </c>
      <c r="AE269">
        <v>0</v>
      </c>
      <c r="AF269">
        <v>0</v>
      </c>
      <c r="AG269">
        <v>0</v>
      </c>
      <c r="AH269">
        <v>0</v>
      </c>
      <c r="AI269">
        <v>0</v>
      </c>
      <c r="AJ269">
        <v>0</v>
      </c>
      <c r="AK269">
        <v>0</v>
      </c>
      <c r="AL269">
        <v>0</v>
      </c>
      <c r="AM269">
        <v>0</v>
      </c>
      <c r="AN269">
        <v>0</v>
      </c>
      <c r="AO269">
        <v>1</v>
      </c>
      <c r="AP269">
        <v>0</v>
      </c>
      <c r="AQ269">
        <v>0</v>
      </c>
      <c r="AR269">
        <v>0</v>
      </c>
      <c r="AS269">
        <v>0</v>
      </c>
      <c r="AT269">
        <v>0</v>
      </c>
      <c r="AU269">
        <f t="shared" si="6"/>
        <v>1</v>
      </c>
      <c r="AV269">
        <f t="shared" si="7"/>
        <v>0</v>
      </c>
    </row>
    <row r="270" spans="1:48" x14ac:dyDescent="0.25">
      <c r="A270" t="s">
        <v>2993</v>
      </c>
      <c r="C270" t="s">
        <v>2994</v>
      </c>
      <c r="D270" t="s">
        <v>2995</v>
      </c>
      <c r="E270" t="s">
        <v>2310</v>
      </c>
      <c r="F270">
        <v>15</v>
      </c>
      <c r="G270">
        <v>15.2</v>
      </c>
      <c r="H270" t="s">
        <v>2323</v>
      </c>
      <c r="I270" s="21">
        <v>37476</v>
      </c>
      <c r="J270">
        <v>2002</v>
      </c>
      <c r="K270" s="21">
        <v>37495</v>
      </c>
      <c r="L270">
        <v>2002</v>
      </c>
      <c r="M270" s="21">
        <v>37495</v>
      </c>
      <c r="N270">
        <v>2002</v>
      </c>
      <c r="R270" s="262">
        <v>28000</v>
      </c>
      <c r="S270" t="s">
        <v>114</v>
      </c>
      <c r="T270" t="s">
        <v>114</v>
      </c>
      <c r="U270">
        <v>10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f t="shared" si="6"/>
        <v>0</v>
      </c>
      <c r="AV270">
        <f t="shared" si="7"/>
        <v>0</v>
      </c>
    </row>
    <row r="271" spans="1:48" x14ac:dyDescent="0.25">
      <c r="A271" t="s">
        <v>2996</v>
      </c>
      <c r="C271" t="s">
        <v>2997</v>
      </c>
      <c r="D271" t="s">
        <v>2998</v>
      </c>
      <c r="E271" t="s">
        <v>2310</v>
      </c>
      <c r="F271">
        <v>10</v>
      </c>
      <c r="G271">
        <v>10.1</v>
      </c>
      <c r="H271" t="s">
        <v>2323</v>
      </c>
      <c r="I271" s="21">
        <v>37477</v>
      </c>
      <c r="J271">
        <v>2002</v>
      </c>
      <c r="K271" s="21">
        <v>37519</v>
      </c>
      <c r="L271">
        <v>2002</v>
      </c>
      <c r="M271" s="21">
        <v>37519</v>
      </c>
      <c r="N271">
        <v>2002</v>
      </c>
      <c r="R271" s="262">
        <v>50000</v>
      </c>
      <c r="S271" t="s">
        <v>114</v>
      </c>
      <c r="T271" t="s">
        <v>114</v>
      </c>
      <c r="U271">
        <v>5</v>
      </c>
      <c r="W271">
        <v>884</v>
      </c>
      <c r="X271">
        <v>0</v>
      </c>
      <c r="Y271">
        <v>0</v>
      </c>
      <c r="Z271">
        <v>0</v>
      </c>
      <c r="AA271">
        <v>0</v>
      </c>
      <c r="AB271">
        <v>0</v>
      </c>
      <c r="AC271">
        <v>884</v>
      </c>
      <c r="AD271">
        <v>0</v>
      </c>
      <c r="AE271">
        <v>0</v>
      </c>
      <c r="AF271">
        <v>0</v>
      </c>
      <c r="AG271">
        <v>0</v>
      </c>
      <c r="AH271">
        <v>0</v>
      </c>
      <c r="AI271">
        <v>0</v>
      </c>
      <c r="AJ271">
        <v>0</v>
      </c>
      <c r="AK271">
        <v>0</v>
      </c>
      <c r="AL271">
        <v>0</v>
      </c>
      <c r="AM271">
        <v>0</v>
      </c>
      <c r="AN271">
        <v>0</v>
      </c>
      <c r="AO271">
        <v>0</v>
      </c>
      <c r="AP271">
        <v>0</v>
      </c>
      <c r="AQ271">
        <v>0</v>
      </c>
      <c r="AR271">
        <v>0</v>
      </c>
      <c r="AS271">
        <v>0</v>
      </c>
      <c r="AT271">
        <v>0</v>
      </c>
      <c r="AU271">
        <f t="shared" si="6"/>
        <v>0</v>
      </c>
      <c r="AV271">
        <f t="shared" si="7"/>
        <v>0</v>
      </c>
    </row>
    <row r="272" spans="1:48" x14ac:dyDescent="0.25">
      <c r="A272" t="s">
        <v>2999</v>
      </c>
      <c r="C272" t="s">
        <v>3000</v>
      </c>
      <c r="D272" t="s">
        <v>3001</v>
      </c>
      <c r="E272" t="s">
        <v>2310</v>
      </c>
      <c r="F272">
        <v>9</v>
      </c>
      <c r="G272">
        <v>9.1</v>
      </c>
      <c r="H272" t="s">
        <v>2323</v>
      </c>
      <c r="I272" s="21">
        <v>37477</v>
      </c>
      <c r="J272">
        <v>2002</v>
      </c>
      <c r="K272" s="21">
        <v>37502</v>
      </c>
      <c r="L272">
        <v>2002</v>
      </c>
      <c r="M272" s="21">
        <v>37502</v>
      </c>
      <c r="N272">
        <v>2002</v>
      </c>
      <c r="R272" s="262">
        <v>150000</v>
      </c>
      <c r="S272" t="s">
        <v>114</v>
      </c>
      <c r="T272" t="s">
        <v>114</v>
      </c>
      <c r="U272">
        <v>5</v>
      </c>
      <c r="W272">
        <v>688</v>
      </c>
      <c r="X272">
        <v>0</v>
      </c>
      <c r="Y272">
        <v>0</v>
      </c>
      <c r="Z272">
        <v>0</v>
      </c>
      <c r="AA272">
        <v>0</v>
      </c>
      <c r="AB272">
        <v>0</v>
      </c>
      <c r="AC272">
        <v>688</v>
      </c>
      <c r="AD272">
        <v>0</v>
      </c>
      <c r="AE272">
        <v>0</v>
      </c>
      <c r="AF272">
        <v>0</v>
      </c>
      <c r="AG272">
        <v>0</v>
      </c>
      <c r="AH272">
        <v>0</v>
      </c>
      <c r="AI272">
        <v>0</v>
      </c>
      <c r="AJ272">
        <v>0</v>
      </c>
      <c r="AK272">
        <v>0</v>
      </c>
      <c r="AL272">
        <v>0</v>
      </c>
      <c r="AM272">
        <v>0</v>
      </c>
      <c r="AN272">
        <v>0</v>
      </c>
      <c r="AO272">
        <v>0</v>
      </c>
      <c r="AP272">
        <v>0</v>
      </c>
      <c r="AQ272">
        <v>0</v>
      </c>
      <c r="AR272">
        <v>0</v>
      </c>
      <c r="AS272">
        <v>0</v>
      </c>
      <c r="AT272">
        <v>0</v>
      </c>
      <c r="AU272">
        <f t="shared" si="6"/>
        <v>0</v>
      </c>
      <c r="AV272">
        <f t="shared" si="7"/>
        <v>0</v>
      </c>
    </row>
    <row r="273" spans="1:48" x14ac:dyDescent="0.25">
      <c r="A273" t="s">
        <v>3002</v>
      </c>
      <c r="C273" t="s">
        <v>3003</v>
      </c>
      <c r="D273" t="s">
        <v>3004</v>
      </c>
      <c r="E273" t="s">
        <v>2310</v>
      </c>
      <c r="F273">
        <v>9</v>
      </c>
      <c r="G273">
        <v>9.1999999999999993</v>
      </c>
      <c r="H273" t="s">
        <v>2022</v>
      </c>
      <c r="I273" s="21">
        <v>37480</v>
      </c>
      <c r="J273">
        <v>2002</v>
      </c>
      <c r="K273" s="21">
        <v>37522</v>
      </c>
      <c r="L273">
        <v>2002</v>
      </c>
      <c r="M273" s="21">
        <v>37522</v>
      </c>
      <c r="N273">
        <v>2002</v>
      </c>
      <c r="R273" s="262">
        <v>40000</v>
      </c>
      <c r="S273" t="s">
        <v>114</v>
      </c>
      <c r="T273" t="s">
        <v>114</v>
      </c>
      <c r="U273">
        <v>5</v>
      </c>
      <c r="W273">
        <v>400</v>
      </c>
      <c r="X273">
        <v>0</v>
      </c>
      <c r="Y273">
        <v>0</v>
      </c>
      <c r="Z273">
        <v>0</v>
      </c>
      <c r="AA273">
        <v>0</v>
      </c>
      <c r="AB273">
        <v>0</v>
      </c>
      <c r="AC273">
        <v>400</v>
      </c>
      <c r="AD273">
        <v>0</v>
      </c>
      <c r="AE273">
        <v>0</v>
      </c>
      <c r="AF273">
        <v>0</v>
      </c>
      <c r="AG273">
        <v>0</v>
      </c>
      <c r="AH273">
        <v>0</v>
      </c>
      <c r="AI273">
        <v>0</v>
      </c>
      <c r="AJ273">
        <v>0</v>
      </c>
      <c r="AK273">
        <v>0</v>
      </c>
      <c r="AL273">
        <v>0</v>
      </c>
      <c r="AM273">
        <v>0</v>
      </c>
      <c r="AN273">
        <v>0</v>
      </c>
      <c r="AO273">
        <v>0</v>
      </c>
      <c r="AP273">
        <v>0</v>
      </c>
      <c r="AQ273">
        <v>0</v>
      </c>
      <c r="AR273">
        <v>0</v>
      </c>
      <c r="AS273">
        <v>0</v>
      </c>
      <c r="AT273">
        <v>0</v>
      </c>
      <c r="AU273">
        <f t="shared" si="6"/>
        <v>0</v>
      </c>
      <c r="AV273">
        <f t="shared" si="7"/>
        <v>0</v>
      </c>
    </row>
    <row r="274" spans="1:48" x14ac:dyDescent="0.25">
      <c r="A274" t="s">
        <v>3005</v>
      </c>
      <c r="C274" t="s">
        <v>3006</v>
      </c>
      <c r="D274" t="s">
        <v>3007</v>
      </c>
      <c r="E274" t="s">
        <v>2310</v>
      </c>
      <c r="F274">
        <v>12</v>
      </c>
      <c r="G274">
        <v>12.2</v>
      </c>
      <c r="H274" t="s">
        <v>2017</v>
      </c>
      <c r="I274" s="21">
        <v>37480</v>
      </c>
      <c r="J274">
        <v>2002</v>
      </c>
      <c r="K274" s="21">
        <v>37526</v>
      </c>
      <c r="L274">
        <v>2002</v>
      </c>
      <c r="M274" s="21">
        <v>40280.524479166699</v>
      </c>
      <c r="N274">
        <v>2010</v>
      </c>
      <c r="R274" s="262">
        <v>300000</v>
      </c>
      <c r="S274" t="s">
        <v>114</v>
      </c>
      <c r="T274" t="s">
        <v>114</v>
      </c>
      <c r="U274">
        <v>5</v>
      </c>
      <c r="W274">
        <v>3815</v>
      </c>
      <c r="X274">
        <v>1</v>
      </c>
      <c r="Y274">
        <v>0</v>
      </c>
      <c r="Z274">
        <v>0</v>
      </c>
      <c r="AA274">
        <v>0</v>
      </c>
      <c r="AB274">
        <v>0</v>
      </c>
      <c r="AC274">
        <v>3815</v>
      </c>
      <c r="AD274">
        <v>0</v>
      </c>
      <c r="AE274">
        <v>0</v>
      </c>
      <c r="AF274">
        <v>0</v>
      </c>
      <c r="AG274">
        <v>0</v>
      </c>
      <c r="AH274">
        <v>0</v>
      </c>
      <c r="AI274">
        <v>0</v>
      </c>
      <c r="AJ274">
        <v>0</v>
      </c>
      <c r="AK274">
        <v>0</v>
      </c>
      <c r="AL274">
        <v>0</v>
      </c>
      <c r="AM274">
        <v>0</v>
      </c>
      <c r="AN274">
        <v>0</v>
      </c>
      <c r="AO274">
        <v>1</v>
      </c>
      <c r="AP274">
        <v>0</v>
      </c>
      <c r="AQ274">
        <v>0</v>
      </c>
      <c r="AR274">
        <v>0</v>
      </c>
      <c r="AS274">
        <v>0</v>
      </c>
      <c r="AT274">
        <v>0</v>
      </c>
      <c r="AU274">
        <f t="shared" si="6"/>
        <v>1</v>
      </c>
      <c r="AV274">
        <f t="shared" si="7"/>
        <v>0</v>
      </c>
    </row>
    <row r="275" spans="1:48" x14ac:dyDescent="0.25">
      <c r="A275" t="s">
        <v>3008</v>
      </c>
      <c r="C275" t="s">
        <v>2437</v>
      </c>
      <c r="D275" t="s">
        <v>3007</v>
      </c>
      <c r="E275" t="s">
        <v>2310</v>
      </c>
      <c r="F275">
        <v>12</v>
      </c>
      <c r="G275">
        <v>12.2</v>
      </c>
      <c r="H275" t="s">
        <v>2017</v>
      </c>
      <c r="I275" s="21">
        <v>37480</v>
      </c>
      <c r="J275">
        <v>2002</v>
      </c>
      <c r="K275" s="21">
        <v>37546</v>
      </c>
      <c r="L275">
        <v>2002</v>
      </c>
      <c r="M275" s="21">
        <v>37546</v>
      </c>
      <c r="N275">
        <v>2002</v>
      </c>
      <c r="R275" s="262">
        <v>65000</v>
      </c>
      <c r="S275" t="s">
        <v>114</v>
      </c>
      <c r="T275" t="s">
        <v>114</v>
      </c>
      <c r="U275">
        <v>5</v>
      </c>
      <c r="W275">
        <v>2200</v>
      </c>
      <c r="X275">
        <v>0</v>
      </c>
      <c r="Y275">
        <v>0</v>
      </c>
      <c r="Z275">
        <v>0</v>
      </c>
      <c r="AA275">
        <v>0</v>
      </c>
      <c r="AB275">
        <v>0</v>
      </c>
      <c r="AC275">
        <v>2200</v>
      </c>
      <c r="AD275">
        <v>0</v>
      </c>
      <c r="AE275">
        <v>0</v>
      </c>
      <c r="AF275">
        <v>0</v>
      </c>
      <c r="AG275">
        <v>0</v>
      </c>
      <c r="AH275">
        <v>0</v>
      </c>
      <c r="AI275">
        <v>0</v>
      </c>
      <c r="AJ275">
        <v>0</v>
      </c>
      <c r="AK275">
        <v>0</v>
      </c>
      <c r="AL275">
        <v>0</v>
      </c>
      <c r="AM275">
        <v>0</v>
      </c>
      <c r="AN275">
        <v>0</v>
      </c>
      <c r="AO275">
        <v>0</v>
      </c>
      <c r="AP275">
        <v>0</v>
      </c>
      <c r="AQ275">
        <v>0</v>
      </c>
      <c r="AR275">
        <v>0</v>
      </c>
      <c r="AS275">
        <v>0</v>
      </c>
      <c r="AT275">
        <v>0</v>
      </c>
      <c r="AU275">
        <f t="shared" si="6"/>
        <v>0</v>
      </c>
      <c r="AV275">
        <f t="shared" si="7"/>
        <v>0</v>
      </c>
    </row>
    <row r="276" spans="1:48" x14ac:dyDescent="0.25">
      <c r="A276" t="s">
        <v>3009</v>
      </c>
      <c r="C276" t="s">
        <v>3010</v>
      </c>
      <c r="D276" t="s">
        <v>3011</v>
      </c>
      <c r="E276" t="s">
        <v>2310</v>
      </c>
      <c r="F276">
        <v>8</v>
      </c>
      <c r="G276">
        <v>8.4</v>
      </c>
      <c r="H276" t="s">
        <v>2017</v>
      </c>
      <c r="I276" s="21">
        <v>37481</v>
      </c>
      <c r="J276">
        <v>2002</v>
      </c>
      <c r="K276" s="21">
        <v>37508</v>
      </c>
      <c r="L276">
        <v>2002</v>
      </c>
      <c r="M276" s="21">
        <v>37624</v>
      </c>
      <c r="N276">
        <v>2003</v>
      </c>
      <c r="R276" s="262">
        <v>70000</v>
      </c>
      <c r="S276" t="s">
        <v>114</v>
      </c>
      <c r="T276" t="s">
        <v>114</v>
      </c>
      <c r="U276">
        <v>5</v>
      </c>
      <c r="W276">
        <v>572</v>
      </c>
      <c r="X276">
        <v>0</v>
      </c>
      <c r="Y276">
        <v>0</v>
      </c>
      <c r="Z276">
        <v>0</v>
      </c>
      <c r="AA276">
        <v>0</v>
      </c>
      <c r="AB276">
        <v>0</v>
      </c>
      <c r="AC276">
        <v>572</v>
      </c>
      <c r="AD276">
        <v>0</v>
      </c>
      <c r="AE276">
        <v>0</v>
      </c>
      <c r="AF276">
        <v>0</v>
      </c>
      <c r="AG276">
        <v>0</v>
      </c>
      <c r="AH276">
        <v>0</v>
      </c>
      <c r="AI276">
        <v>0</v>
      </c>
      <c r="AJ276">
        <v>0</v>
      </c>
      <c r="AK276">
        <v>0</v>
      </c>
      <c r="AL276">
        <v>0</v>
      </c>
      <c r="AM276">
        <v>0</v>
      </c>
      <c r="AN276">
        <v>0</v>
      </c>
      <c r="AO276">
        <v>0</v>
      </c>
      <c r="AP276">
        <v>0</v>
      </c>
      <c r="AQ276">
        <v>0</v>
      </c>
      <c r="AR276">
        <v>0</v>
      </c>
      <c r="AS276">
        <v>0</v>
      </c>
      <c r="AT276">
        <v>0</v>
      </c>
      <c r="AU276">
        <f t="shared" si="6"/>
        <v>0</v>
      </c>
      <c r="AV276">
        <f t="shared" si="7"/>
        <v>0</v>
      </c>
    </row>
    <row r="277" spans="1:48" x14ac:dyDescent="0.25">
      <c r="A277" t="s">
        <v>3012</v>
      </c>
      <c r="C277" t="s">
        <v>3013</v>
      </c>
      <c r="D277" t="s">
        <v>3014</v>
      </c>
      <c r="E277" t="s">
        <v>2310</v>
      </c>
      <c r="F277">
        <v>9</v>
      </c>
      <c r="G277">
        <v>9.3000000000000007</v>
      </c>
      <c r="H277" t="s">
        <v>2323</v>
      </c>
      <c r="I277" s="21">
        <v>37481</v>
      </c>
      <c r="J277">
        <v>2002</v>
      </c>
      <c r="K277" s="21">
        <v>37508</v>
      </c>
      <c r="L277">
        <v>2002</v>
      </c>
      <c r="M277" s="21">
        <v>37508</v>
      </c>
      <c r="N277">
        <v>2002</v>
      </c>
      <c r="R277" s="262">
        <v>7000</v>
      </c>
      <c r="S277" t="s">
        <v>114</v>
      </c>
      <c r="T277" t="s">
        <v>114</v>
      </c>
      <c r="U277">
        <v>5</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f t="shared" si="6"/>
        <v>0</v>
      </c>
      <c r="AV277">
        <f t="shared" si="7"/>
        <v>0</v>
      </c>
    </row>
    <row r="278" spans="1:48" x14ac:dyDescent="0.25">
      <c r="A278" t="s">
        <v>3015</v>
      </c>
      <c r="C278" t="s">
        <v>3016</v>
      </c>
      <c r="D278" t="s">
        <v>3017</v>
      </c>
      <c r="E278" t="s">
        <v>2310</v>
      </c>
      <c r="F278">
        <v>15</v>
      </c>
      <c r="G278">
        <v>15.3</v>
      </c>
      <c r="H278" t="s">
        <v>2022</v>
      </c>
      <c r="I278" s="21">
        <v>37481</v>
      </c>
      <c r="J278">
        <v>2002</v>
      </c>
      <c r="K278" s="21">
        <v>37497</v>
      </c>
      <c r="L278">
        <v>2002</v>
      </c>
      <c r="M278" s="21">
        <v>37497</v>
      </c>
      <c r="N278">
        <v>2002</v>
      </c>
      <c r="R278" s="262">
        <v>4000</v>
      </c>
      <c r="S278" t="s">
        <v>114</v>
      </c>
      <c r="T278" t="s">
        <v>114</v>
      </c>
      <c r="U278">
        <v>5</v>
      </c>
      <c r="W278">
        <v>288</v>
      </c>
      <c r="X278">
        <v>0</v>
      </c>
      <c r="Y278">
        <v>0</v>
      </c>
      <c r="Z278">
        <v>0</v>
      </c>
      <c r="AA278">
        <v>0</v>
      </c>
      <c r="AB278">
        <v>0</v>
      </c>
      <c r="AC278">
        <v>288</v>
      </c>
      <c r="AD278">
        <v>0</v>
      </c>
      <c r="AE278">
        <v>0</v>
      </c>
      <c r="AF278">
        <v>0</v>
      </c>
      <c r="AG278">
        <v>0</v>
      </c>
      <c r="AH278">
        <v>0</v>
      </c>
      <c r="AI278">
        <v>0</v>
      </c>
      <c r="AJ278">
        <v>0</v>
      </c>
      <c r="AK278">
        <v>0</v>
      </c>
      <c r="AL278">
        <v>0</v>
      </c>
      <c r="AM278">
        <v>0</v>
      </c>
      <c r="AN278">
        <v>0</v>
      </c>
      <c r="AO278">
        <v>0</v>
      </c>
      <c r="AP278">
        <v>0</v>
      </c>
      <c r="AQ278">
        <v>0</v>
      </c>
      <c r="AR278">
        <v>0</v>
      </c>
      <c r="AS278">
        <v>0</v>
      </c>
      <c r="AT278">
        <v>0</v>
      </c>
      <c r="AU278">
        <f t="shared" si="6"/>
        <v>0</v>
      </c>
      <c r="AV278">
        <f t="shared" si="7"/>
        <v>0</v>
      </c>
    </row>
    <row r="279" spans="1:48" x14ac:dyDescent="0.25">
      <c r="A279" t="s">
        <v>3018</v>
      </c>
      <c r="C279" t="s">
        <v>3019</v>
      </c>
      <c r="D279" t="s">
        <v>3020</v>
      </c>
      <c r="E279" t="s">
        <v>2310</v>
      </c>
      <c r="F279">
        <v>14</v>
      </c>
      <c r="G279">
        <v>14.1</v>
      </c>
      <c r="H279" t="s">
        <v>2022</v>
      </c>
      <c r="I279" s="21">
        <v>37482</v>
      </c>
      <c r="J279">
        <v>2002</v>
      </c>
      <c r="K279" s="21">
        <v>37539</v>
      </c>
      <c r="L279">
        <v>2002</v>
      </c>
      <c r="M279" s="21">
        <v>37539</v>
      </c>
      <c r="N279">
        <v>2002</v>
      </c>
      <c r="R279" s="262">
        <v>80000</v>
      </c>
      <c r="S279" t="s">
        <v>114</v>
      </c>
      <c r="T279" t="s">
        <v>114</v>
      </c>
      <c r="U279">
        <v>5</v>
      </c>
      <c r="W279">
        <v>1784</v>
      </c>
      <c r="X279">
        <v>0</v>
      </c>
      <c r="Y279">
        <v>0</v>
      </c>
      <c r="Z279">
        <v>0</v>
      </c>
      <c r="AA279">
        <v>0</v>
      </c>
      <c r="AB279">
        <v>0</v>
      </c>
      <c r="AC279">
        <v>1784</v>
      </c>
      <c r="AD279">
        <v>0</v>
      </c>
      <c r="AE279">
        <v>0</v>
      </c>
      <c r="AF279">
        <v>0</v>
      </c>
      <c r="AG279">
        <v>0</v>
      </c>
      <c r="AH279">
        <v>0</v>
      </c>
      <c r="AI279">
        <v>0</v>
      </c>
      <c r="AJ279">
        <v>0</v>
      </c>
      <c r="AK279">
        <v>0</v>
      </c>
      <c r="AL279">
        <v>0</v>
      </c>
      <c r="AM279">
        <v>0</v>
      </c>
      <c r="AN279">
        <v>0</v>
      </c>
      <c r="AO279">
        <v>0</v>
      </c>
      <c r="AP279">
        <v>0</v>
      </c>
      <c r="AQ279">
        <v>0</v>
      </c>
      <c r="AR279">
        <v>0</v>
      </c>
      <c r="AS279">
        <v>0</v>
      </c>
      <c r="AT279">
        <v>0</v>
      </c>
      <c r="AU279">
        <f t="shared" si="6"/>
        <v>0</v>
      </c>
      <c r="AV279">
        <f t="shared" si="7"/>
        <v>0</v>
      </c>
    </row>
    <row r="280" spans="1:48" x14ac:dyDescent="0.25">
      <c r="A280" t="s">
        <v>3021</v>
      </c>
      <c r="C280" t="s">
        <v>3022</v>
      </c>
      <c r="D280" t="s">
        <v>3023</v>
      </c>
      <c r="E280" t="s">
        <v>2310</v>
      </c>
      <c r="F280">
        <v>9</v>
      </c>
      <c r="G280">
        <v>9.1</v>
      </c>
      <c r="H280" t="s">
        <v>2323</v>
      </c>
      <c r="I280" s="21">
        <v>37482</v>
      </c>
      <c r="J280">
        <v>2002</v>
      </c>
      <c r="K280" s="21">
        <v>37539</v>
      </c>
      <c r="L280">
        <v>2002</v>
      </c>
      <c r="M280" s="21">
        <v>37539</v>
      </c>
      <c r="N280">
        <v>2002</v>
      </c>
      <c r="R280" s="262">
        <v>450000</v>
      </c>
      <c r="S280" t="s">
        <v>114</v>
      </c>
      <c r="T280" t="s">
        <v>114</v>
      </c>
      <c r="U280">
        <v>5</v>
      </c>
      <c r="W280">
        <v>3598</v>
      </c>
      <c r="X280">
        <v>0</v>
      </c>
      <c r="Y280">
        <v>0</v>
      </c>
      <c r="Z280">
        <v>0</v>
      </c>
      <c r="AA280">
        <v>0</v>
      </c>
      <c r="AB280">
        <v>0</v>
      </c>
      <c r="AC280">
        <v>3598</v>
      </c>
      <c r="AD280">
        <v>0</v>
      </c>
      <c r="AE280">
        <v>0</v>
      </c>
      <c r="AF280">
        <v>0</v>
      </c>
      <c r="AG280">
        <v>0</v>
      </c>
      <c r="AH280">
        <v>0</v>
      </c>
      <c r="AI280">
        <v>0</v>
      </c>
      <c r="AJ280">
        <v>0</v>
      </c>
      <c r="AK280">
        <v>0</v>
      </c>
      <c r="AL280">
        <v>0</v>
      </c>
      <c r="AM280">
        <v>0</v>
      </c>
      <c r="AN280">
        <v>0</v>
      </c>
      <c r="AO280">
        <v>0</v>
      </c>
      <c r="AP280">
        <v>0</v>
      </c>
      <c r="AQ280">
        <v>0</v>
      </c>
      <c r="AR280">
        <v>0</v>
      </c>
      <c r="AS280">
        <v>0</v>
      </c>
      <c r="AT280">
        <v>0</v>
      </c>
      <c r="AU280">
        <f t="shared" si="6"/>
        <v>0</v>
      </c>
      <c r="AV280">
        <f t="shared" si="7"/>
        <v>0</v>
      </c>
    </row>
    <row r="281" spans="1:48" x14ac:dyDescent="0.25">
      <c r="A281" t="s">
        <v>3024</v>
      </c>
      <c r="C281" t="s">
        <v>2312</v>
      </c>
      <c r="D281" t="s">
        <v>3025</v>
      </c>
      <c r="E281" t="s">
        <v>2310</v>
      </c>
      <c r="F281">
        <v>10</v>
      </c>
      <c r="G281">
        <v>10.1</v>
      </c>
      <c r="H281" t="s">
        <v>2323</v>
      </c>
      <c r="I281" s="21">
        <v>37482</v>
      </c>
      <c r="J281">
        <v>2002</v>
      </c>
      <c r="K281" s="21">
        <v>37511</v>
      </c>
      <c r="L281">
        <v>2002</v>
      </c>
      <c r="M281" s="21">
        <v>37890</v>
      </c>
      <c r="N281">
        <v>2003</v>
      </c>
      <c r="R281" s="262">
        <v>390000</v>
      </c>
      <c r="S281" t="s">
        <v>114</v>
      </c>
      <c r="T281" t="s">
        <v>114</v>
      </c>
      <c r="U281">
        <v>5</v>
      </c>
      <c r="W281">
        <v>4232</v>
      </c>
      <c r="X281">
        <v>1</v>
      </c>
      <c r="Y281">
        <v>0</v>
      </c>
      <c r="Z281">
        <v>0</v>
      </c>
      <c r="AA281">
        <v>0</v>
      </c>
      <c r="AB281">
        <v>0</v>
      </c>
      <c r="AC281">
        <v>4232</v>
      </c>
      <c r="AD281">
        <v>0</v>
      </c>
      <c r="AE281">
        <v>0</v>
      </c>
      <c r="AF281">
        <v>0</v>
      </c>
      <c r="AG281">
        <v>0</v>
      </c>
      <c r="AH281">
        <v>0</v>
      </c>
      <c r="AI281">
        <v>0</v>
      </c>
      <c r="AJ281">
        <v>0</v>
      </c>
      <c r="AK281">
        <v>0</v>
      </c>
      <c r="AL281">
        <v>0</v>
      </c>
      <c r="AM281">
        <v>0</v>
      </c>
      <c r="AN281">
        <v>0</v>
      </c>
      <c r="AO281">
        <v>1</v>
      </c>
      <c r="AP281">
        <v>0</v>
      </c>
      <c r="AQ281">
        <v>0</v>
      </c>
      <c r="AR281">
        <v>0</v>
      </c>
      <c r="AS281">
        <v>0</v>
      </c>
      <c r="AT281">
        <v>0</v>
      </c>
      <c r="AU281">
        <f t="shared" ref="AU281:AU344" si="8">SUM(AN281:AQ281,AS281)</f>
        <v>1</v>
      </c>
      <c r="AV281">
        <f t="shared" ref="AV281:AV344" si="9">SUM(Y281:AB281,AH281:AM281)</f>
        <v>0</v>
      </c>
    </row>
    <row r="282" spans="1:48" x14ac:dyDescent="0.25">
      <c r="A282" t="s">
        <v>3026</v>
      </c>
      <c r="C282" t="s">
        <v>3027</v>
      </c>
      <c r="D282" t="s">
        <v>3028</v>
      </c>
      <c r="E282" t="s">
        <v>2310</v>
      </c>
      <c r="F282">
        <v>15</v>
      </c>
      <c r="G282">
        <v>15.2</v>
      </c>
      <c r="H282" t="s">
        <v>2323</v>
      </c>
      <c r="I282" s="21">
        <v>37483</v>
      </c>
      <c r="J282">
        <v>2002</v>
      </c>
      <c r="K282" s="21">
        <v>37517</v>
      </c>
      <c r="L282">
        <v>2002</v>
      </c>
      <c r="M282" s="21">
        <v>37517</v>
      </c>
      <c r="N282">
        <v>2002</v>
      </c>
      <c r="R282" s="262">
        <v>200000</v>
      </c>
      <c r="S282" t="s">
        <v>114</v>
      </c>
      <c r="T282" t="s">
        <v>114</v>
      </c>
      <c r="U282">
        <v>5</v>
      </c>
      <c r="W282">
        <v>1208</v>
      </c>
      <c r="X282">
        <v>0</v>
      </c>
      <c r="Y282">
        <v>0</v>
      </c>
      <c r="Z282">
        <v>0</v>
      </c>
      <c r="AA282">
        <v>0</v>
      </c>
      <c r="AB282">
        <v>0</v>
      </c>
      <c r="AC282">
        <v>1208</v>
      </c>
      <c r="AD282">
        <v>0</v>
      </c>
      <c r="AE282">
        <v>0</v>
      </c>
      <c r="AF282">
        <v>0</v>
      </c>
      <c r="AG282">
        <v>0</v>
      </c>
      <c r="AH282">
        <v>0</v>
      </c>
      <c r="AI282">
        <v>0</v>
      </c>
      <c r="AJ282">
        <v>0</v>
      </c>
      <c r="AK282">
        <v>0</v>
      </c>
      <c r="AL282">
        <v>0</v>
      </c>
      <c r="AM282">
        <v>0</v>
      </c>
      <c r="AN282">
        <v>0</v>
      </c>
      <c r="AO282">
        <v>0</v>
      </c>
      <c r="AP282">
        <v>0</v>
      </c>
      <c r="AQ282">
        <v>0</v>
      </c>
      <c r="AR282">
        <v>0</v>
      </c>
      <c r="AS282">
        <v>0</v>
      </c>
      <c r="AT282">
        <v>0</v>
      </c>
      <c r="AU282">
        <f t="shared" si="8"/>
        <v>0</v>
      </c>
      <c r="AV282">
        <f t="shared" si="9"/>
        <v>0</v>
      </c>
    </row>
    <row r="283" spans="1:48" x14ac:dyDescent="0.25">
      <c r="A283" t="s">
        <v>3029</v>
      </c>
      <c r="C283" t="s">
        <v>3030</v>
      </c>
      <c r="D283" t="s">
        <v>3031</v>
      </c>
      <c r="E283" t="s">
        <v>2310</v>
      </c>
      <c r="F283">
        <v>10</v>
      </c>
      <c r="G283">
        <v>10.1</v>
      </c>
      <c r="H283" t="s">
        <v>2323</v>
      </c>
      <c r="I283" s="21">
        <v>37483</v>
      </c>
      <c r="J283">
        <v>2002</v>
      </c>
      <c r="K283" s="21">
        <v>37498</v>
      </c>
      <c r="L283">
        <v>2002</v>
      </c>
      <c r="M283" s="21">
        <v>37498</v>
      </c>
      <c r="N283">
        <v>2002</v>
      </c>
      <c r="R283" s="262">
        <v>11000</v>
      </c>
      <c r="S283" t="s">
        <v>114</v>
      </c>
      <c r="T283" t="s">
        <v>114</v>
      </c>
      <c r="U283">
        <v>5</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f t="shared" si="8"/>
        <v>0</v>
      </c>
      <c r="AV283">
        <f t="shared" si="9"/>
        <v>0</v>
      </c>
    </row>
    <row r="284" spans="1:48" x14ac:dyDescent="0.25">
      <c r="A284" t="s">
        <v>3032</v>
      </c>
      <c r="C284" t="s">
        <v>3033</v>
      </c>
      <c r="D284" t="s">
        <v>3034</v>
      </c>
      <c r="E284" t="s">
        <v>2310</v>
      </c>
      <c r="F284">
        <v>15</v>
      </c>
      <c r="G284">
        <v>15.2</v>
      </c>
      <c r="H284" t="s">
        <v>2323</v>
      </c>
      <c r="I284" s="21">
        <v>37483</v>
      </c>
      <c r="J284">
        <v>2002</v>
      </c>
      <c r="K284" s="21">
        <v>37511</v>
      </c>
      <c r="L284">
        <v>2002</v>
      </c>
      <c r="M284" s="21">
        <v>37805</v>
      </c>
      <c r="N284">
        <v>2003</v>
      </c>
      <c r="R284" s="262">
        <v>700000</v>
      </c>
      <c r="S284" t="s">
        <v>114</v>
      </c>
      <c r="T284" t="s">
        <v>114</v>
      </c>
      <c r="U284">
        <v>5</v>
      </c>
      <c r="W284">
        <v>4200</v>
      </c>
      <c r="X284">
        <v>1</v>
      </c>
      <c r="Y284">
        <v>0</v>
      </c>
      <c r="Z284">
        <v>0</v>
      </c>
      <c r="AA284">
        <v>0</v>
      </c>
      <c r="AB284">
        <v>0</v>
      </c>
      <c r="AC284">
        <v>4200</v>
      </c>
      <c r="AD284">
        <v>0</v>
      </c>
      <c r="AE284">
        <v>0</v>
      </c>
      <c r="AF284">
        <v>0</v>
      </c>
      <c r="AG284">
        <v>0</v>
      </c>
      <c r="AH284">
        <v>0</v>
      </c>
      <c r="AI284">
        <v>0</v>
      </c>
      <c r="AJ284">
        <v>0</v>
      </c>
      <c r="AK284">
        <v>0</v>
      </c>
      <c r="AL284">
        <v>0</v>
      </c>
      <c r="AM284">
        <v>0</v>
      </c>
      <c r="AN284">
        <v>0</v>
      </c>
      <c r="AO284">
        <v>1</v>
      </c>
      <c r="AP284">
        <v>0</v>
      </c>
      <c r="AQ284">
        <v>0</v>
      </c>
      <c r="AR284">
        <v>0</v>
      </c>
      <c r="AS284">
        <v>0</v>
      </c>
      <c r="AT284">
        <v>0</v>
      </c>
      <c r="AU284">
        <f t="shared" si="8"/>
        <v>1</v>
      </c>
      <c r="AV284">
        <f t="shared" si="9"/>
        <v>0</v>
      </c>
    </row>
    <row r="285" spans="1:48" x14ac:dyDescent="0.25">
      <c r="A285" t="s">
        <v>3035</v>
      </c>
      <c r="C285" t="s">
        <v>3036</v>
      </c>
      <c r="D285" t="s">
        <v>3037</v>
      </c>
      <c r="E285" t="s">
        <v>2310</v>
      </c>
      <c r="F285">
        <v>15</v>
      </c>
      <c r="G285">
        <v>15.3</v>
      </c>
      <c r="H285" t="s">
        <v>2022</v>
      </c>
      <c r="I285" s="21">
        <v>37484</v>
      </c>
      <c r="J285">
        <v>2002</v>
      </c>
      <c r="K285" s="21">
        <v>37512</v>
      </c>
      <c r="L285">
        <v>2002</v>
      </c>
      <c r="M285" s="21">
        <v>37512</v>
      </c>
      <c r="N285">
        <v>2002</v>
      </c>
      <c r="R285" s="262">
        <v>175000</v>
      </c>
      <c r="S285" t="s">
        <v>114</v>
      </c>
      <c r="T285" t="s">
        <v>114</v>
      </c>
      <c r="U285">
        <v>5</v>
      </c>
      <c r="W285">
        <v>943</v>
      </c>
      <c r="X285">
        <v>0</v>
      </c>
      <c r="Y285">
        <v>0</v>
      </c>
      <c r="Z285">
        <v>0</v>
      </c>
      <c r="AA285">
        <v>0</v>
      </c>
      <c r="AB285">
        <v>0</v>
      </c>
      <c r="AC285">
        <v>943</v>
      </c>
      <c r="AD285">
        <v>0</v>
      </c>
      <c r="AE285">
        <v>0</v>
      </c>
      <c r="AF285">
        <v>0</v>
      </c>
      <c r="AG285">
        <v>0</v>
      </c>
      <c r="AH285">
        <v>0</v>
      </c>
      <c r="AI285">
        <v>0</v>
      </c>
      <c r="AJ285">
        <v>0</v>
      </c>
      <c r="AK285">
        <v>0</v>
      </c>
      <c r="AL285">
        <v>0</v>
      </c>
      <c r="AM285">
        <v>0</v>
      </c>
      <c r="AN285">
        <v>0</v>
      </c>
      <c r="AO285">
        <v>0</v>
      </c>
      <c r="AP285">
        <v>0</v>
      </c>
      <c r="AQ285">
        <v>0</v>
      </c>
      <c r="AR285">
        <v>0</v>
      </c>
      <c r="AS285">
        <v>0</v>
      </c>
      <c r="AT285">
        <v>0</v>
      </c>
      <c r="AU285">
        <f t="shared" si="8"/>
        <v>0</v>
      </c>
      <c r="AV285">
        <f t="shared" si="9"/>
        <v>0</v>
      </c>
    </row>
    <row r="286" spans="1:48" x14ac:dyDescent="0.25">
      <c r="A286" t="s">
        <v>3038</v>
      </c>
      <c r="C286" t="s">
        <v>3039</v>
      </c>
      <c r="D286" t="s">
        <v>3040</v>
      </c>
      <c r="E286" t="s">
        <v>2310</v>
      </c>
      <c r="F286">
        <v>15</v>
      </c>
      <c r="G286">
        <v>15.2</v>
      </c>
      <c r="H286" t="s">
        <v>2323</v>
      </c>
      <c r="I286" s="21">
        <v>37484</v>
      </c>
      <c r="J286">
        <v>2002</v>
      </c>
      <c r="K286" s="21">
        <v>37518</v>
      </c>
      <c r="L286">
        <v>2002</v>
      </c>
      <c r="M286" s="21">
        <v>38069</v>
      </c>
      <c r="N286">
        <v>2004</v>
      </c>
      <c r="R286" s="262">
        <v>100000</v>
      </c>
      <c r="S286" t="s">
        <v>114</v>
      </c>
      <c r="T286" t="s">
        <v>114</v>
      </c>
      <c r="U286">
        <v>5</v>
      </c>
      <c r="W286">
        <v>1344</v>
      </c>
      <c r="X286">
        <v>0</v>
      </c>
      <c r="Y286">
        <v>0</v>
      </c>
      <c r="Z286">
        <v>0</v>
      </c>
      <c r="AA286">
        <v>0</v>
      </c>
      <c r="AB286">
        <v>0</v>
      </c>
      <c r="AC286">
        <v>1344</v>
      </c>
      <c r="AD286">
        <v>0</v>
      </c>
      <c r="AE286">
        <v>0</v>
      </c>
      <c r="AF286">
        <v>0</v>
      </c>
      <c r="AG286">
        <v>0</v>
      </c>
      <c r="AH286">
        <v>0</v>
      </c>
      <c r="AI286">
        <v>0</v>
      </c>
      <c r="AJ286">
        <v>0</v>
      </c>
      <c r="AK286">
        <v>0</v>
      </c>
      <c r="AL286">
        <v>0</v>
      </c>
      <c r="AM286">
        <v>0</v>
      </c>
      <c r="AN286">
        <v>0</v>
      </c>
      <c r="AO286">
        <v>0</v>
      </c>
      <c r="AP286">
        <v>0</v>
      </c>
      <c r="AQ286">
        <v>0</v>
      </c>
      <c r="AR286">
        <v>0</v>
      </c>
      <c r="AS286">
        <v>0</v>
      </c>
      <c r="AT286">
        <v>0</v>
      </c>
      <c r="AU286">
        <f t="shared" si="8"/>
        <v>0</v>
      </c>
      <c r="AV286">
        <f t="shared" si="9"/>
        <v>0</v>
      </c>
    </row>
    <row r="287" spans="1:48" x14ac:dyDescent="0.25">
      <c r="A287" t="s">
        <v>3041</v>
      </c>
      <c r="C287" t="s">
        <v>2391</v>
      </c>
      <c r="D287" t="s">
        <v>3042</v>
      </c>
      <c r="E287" t="s">
        <v>2310</v>
      </c>
      <c r="F287">
        <v>15</v>
      </c>
      <c r="G287">
        <v>15.2</v>
      </c>
      <c r="H287" t="s">
        <v>2323</v>
      </c>
      <c r="I287" s="21">
        <v>37487</v>
      </c>
      <c r="J287">
        <v>2002</v>
      </c>
      <c r="K287" s="21">
        <v>37753</v>
      </c>
      <c r="L287">
        <v>2003</v>
      </c>
      <c r="M287" s="21">
        <v>37753</v>
      </c>
      <c r="N287">
        <v>2003</v>
      </c>
      <c r="R287" s="262">
        <v>125000</v>
      </c>
      <c r="S287" t="s">
        <v>114</v>
      </c>
      <c r="T287" t="s">
        <v>114</v>
      </c>
      <c r="U287">
        <v>5</v>
      </c>
      <c r="W287">
        <v>2600</v>
      </c>
      <c r="X287">
        <v>0</v>
      </c>
      <c r="Y287">
        <v>0</v>
      </c>
      <c r="Z287">
        <v>0</v>
      </c>
      <c r="AA287">
        <v>0</v>
      </c>
      <c r="AB287">
        <v>0</v>
      </c>
      <c r="AC287">
        <v>2600</v>
      </c>
      <c r="AD287">
        <v>0</v>
      </c>
      <c r="AE287">
        <v>0</v>
      </c>
      <c r="AF287">
        <v>0</v>
      </c>
      <c r="AG287">
        <v>0</v>
      </c>
      <c r="AH287">
        <v>0</v>
      </c>
      <c r="AI287">
        <v>0</v>
      </c>
      <c r="AJ287">
        <v>0</v>
      </c>
      <c r="AK287">
        <v>0</v>
      </c>
      <c r="AL287">
        <v>0</v>
      </c>
      <c r="AM287">
        <v>0</v>
      </c>
      <c r="AN287">
        <v>0</v>
      </c>
      <c r="AO287">
        <v>0</v>
      </c>
      <c r="AP287">
        <v>0</v>
      </c>
      <c r="AQ287">
        <v>0</v>
      </c>
      <c r="AR287">
        <v>0</v>
      </c>
      <c r="AS287">
        <v>0</v>
      </c>
      <c r="AT287">
        <v>0</v>
      </c>
      <c r="AU287">
        <f t="shared" si="8"/>
        <v>0</v>
      </c>
      <c r="AV287">
        <f t="shared" si="9"/>
        <v>0</v>
      </c>
    </row>
    <row r="288" spans="1:48" x14ac:dyDescent="0.25">
      <c r="A288" t="s">
        <v>3043</v>
      </c>
      <c r="C288" t="s">
        <v>3044</v>
      </c>
      <c r="D288" t="s">
        <v>3045</v>
      </c>
      <c r="E288" t="s">
        <v>2310</v>
      </c>
      <c r="F288">
        <v>9</v>
      </c>
      <c r="G288">
        <v>9.3000000000000007</v>
      </c>
      <c r="H288" t="s">
        <v>2323</v>
      </c>
      <c r="I288" s="21">
        <v>37488</v>
      </c>
      <c r="J288">
        <v>2002</v>
      </c>
      <c r="K288" s="21">
        <v>37522</v>
      </c>
      <c r="L288">
        <v>2002</v>
      </c>
      <c r="M288" s="21">
        <v>37522</v>
      </c>
      <c r="N288">
        <v>2002</v>
      </c>
      <c r="R288" s="262">
        <v>60000</v>
      </c>
      <c r="S288" t="s">
        <v>114</v>
      </c>
      <c r="T288" t="s">
        <v>114</v>
      </c>
      <c r="U288">
        <v>5</v>
      </c>
      <c r="W288">
        <v>515</v>
      </c>
      <c r="X288">
        <v>0</v>
      </c>
      <c r="Y288">
        <v>0</v>
      </c>
      <c r="Z288">
        <v>0</v>
      </c>
      <c r="AA288">
        <v>0</v>
      </c>
      <c r="AB288">
        <v>0</v>
      </c>
      <c r="AC288">
        <v>515</v>
      </c>
      <c r="AD288">
        <v>0</v>
      </c>
      <c r="AE288">
        <v>0</v>
      </c>
      <c r="AF288">
        <v>0</v>
      </c>
      <c r="AG288">
        <v>0</v>
      </c>
      <c r="AH288">
        <v>0</v>
      </c>
      <c r="AI288">
        <v>0</v>
      </c>
      <c r="AJ288">
        <v>0</v>
      </c>
      <c r="AK288">
        <v>0</v>
      </c>
      <c r="AL288">
        <v>0</v>
      </c>
      <c r="AM288">
        <v>0</v>
      </c>
      <c r="AN288">
        <v>0</v>
      </c>
      <c r="AO288">
        <v>0</v>
      </c>
      <c r="AP288">
        <v>0</v>
      </c>
      <c r="AQ288">
        <v>0</v>
      </c>
      <c r="AR288">
        <v>0</v>
      </c>
      <c r="AS288">
        <v>0</v>
      </c>
      <c r="AT288">
        <v>0</v>
      </c>
      <c r="AU288">
        <f t="shared" si="8"/>
        <v>0</v>
      </c>
      <c r="AV288">
        <f t="shared" si="9"/>
        <v>0</v>
      </c>
    </row>
    <row r="289" spans="1:48" x14ac:dyDescent="0.25">
      <c r="A289" t="s">
        <v>3046</v>
      </c>
      <c r="C289" t="s">
        <v>3047</v>
      </c>
      <c r="D289" t="s">
        <v>3048</v>
      </c>
      <c r="E289" t="s">
        <v>2310</v>
      </c>
      <c r="F289">
        <v>9</v>
      </c>
      <c r="G289">
        <v>9.3000000000000007</v>
      </c>
      <c r="H289" t="s">
        <v>2323</v>
      </c>
      <c r="I289" s="21">
        <v>37489</v>
      </c>
      <c r="J289">
        <v>2002</v>
      </c>
      <c r="K289" s="21">
        <v>37517</v>
      </c>
      <c r="L289">
        <v>2002</v>
      </c>
      <c r="M289" s="21">
        <v>37517</v>
      </c>
      <c r="N289">
        <v>2002</v>
      </c>
      <c r="R289" s="262">
        <v>15000</v>
      </c>
      <c r="S289" t="s">
        <v>114</v>
      </c>
      <c r="T289" t="s">
        <v>114</v>
      </c>
      <c r="U289">
        <v>5</v>
      </c>
      <c r="W289">
        <v>336</v>
      </c>
      <c r="X289">
        <v>0</v>
      </c>
      <c r="Y289">
        <v>0</v>
      </c>
      <c r="Z289">
        <v>0</v>
      </c>
      <c r="AA289">
        <v>0</v>
      </c>
      <c r="AB289">
        <v>0</v>
      </c>
      <c r="AC289">
        <v>336</v>
      </c>
      <c r="AD289">
        <v>0</v>
      </c>
      <c r="AE289">
        <v>0</v>
      </c>
      <c r="AF289">
        <v>0</v>
      </c>
      <c r="AG289">
        <v>0</v>
      </c>
      <c r="AH289">
        <v>0</v>
      </c>
      <c r="AI289">
        <v>0</v>
      </c>
      <c r="AJ289">
        <v>0</v>
      </c>
      <c r="AK289">
        <v>0</v>
      </c>
      <c r="AL289">
        <v>0</v>
      </c>
      <c r="AM289">
        <v>0</v>
      </c>
      <c r="AN289">
        <v>0</v>
      </c>
      <c r="AO289">
        <v>0</v>
      </c>
      <c r="AP289">
        <v>0</v>
      </c>
      <c r="AQ289">
        <v>0</v>
      </c>
      <c r="AR289">
        <v>0</v>
      </c>
      <c r="AS289">
        <v>0</v>
      </c>
      <c r="AT289">
        <v>0</v>
      </c>
      <c r="AU289">
        <f t="shared" si="8"/>
        <v>0</v>
      </c>
      <c r="AV289">
        <f t="shared" si="9"/>
        <v>0</v>
      </c>
    </row>
    <row r="290" spans="1:48" x14ac:dyDescent="0.25">
      <c r="A290" t="s">
        <v>3049</v>
      </c>
      <c r="C290" t="s">
        <v>3050</v>
      </c>
      <c r="D290" t="s">
        <v>3051</v>
      </c>
      <c r="E290" t="s">
        <v>2310</v>
      </c>
      <c r="F290">
        <v>15</v>
      </c>
      <c r="G290">
        <v>15.2</v>
      </c>
      <c r="H290" t="s">
        <v>2323</v>
      </c>
      <c r="I290" s="21">
        <v>37489</v>
      </c>
      <c r="J290">
        <v>2002</v>
      </c>
      <c r="K290" s="21">
        <v>37813</v>
      </c>
      <c r="L290">
        <v>2003</v>
      </c>
      <c r="M290" s="21">
        <v>37813</v>
      </c>
      <c r="N290">
        <v>2003</v>
      </c>
      <c r="R290" s="262">
        <v>725000</v>
      </c>
      <c r="S290" t="s">
        <v>114</v>
      </c>
      <c r="T290" t="s">
        <v>114</v>
      </c>
      <c r="U290">
        <v>5</v>
      </c>
      <c r="W290">
        <v>5015</v>
      </c>
      <c r="X290">
        <v>1</v>
      </c>
      <c r="Y290">
        <v>0</v>
      </c>
      <c r="Z290">
        <v>0</v>
      </c>
      <c r="AA290">
        <v>0</v>
      </c>
      <c r="AB290">
        <v>0</v>
      </c>
      <c r="AC290">
        <v>5015</v>
      </c>
      <c r="AD290">
        <v>0</v>
      </c>
      <c r="AE290">
        <v>0</v>
      </c>
      <c r="AF290">
        <v>0</v>
      </c>
      <c r="AG290">
        <v>0</v>
      </c>
      <c r="AH290">
        <v>0</v>
      </c>
      <c r="AI290">
        <v>0</v>
      </c>
      <c r="AJ290">
        <v>0</v>
      </c>
      <c r="AK290">
        <v>0</v>
      </c>
      <c r="AL290">
        <v>0</v>
      </c>
      <c r="AM290">
        <v>0</v>
      </c>
      <c r="AN290">
        <v>0</v>
      </c>
      <c r="AO290">
        <v>1</v>
      </c>
      <c r="AP290">
        <v>0</v>
      </c>
      <c r="AQ290">
        <v>0</v>
      </c>
      <c r="AR290">
        <v>0</v>
      </c>
      <c r="AS290">
        <v>0</v>
      </c>
      <c r="AT290">
        <v>0</v>
      </c>
      <c r="AU290">
        <f t="shared" si="8"/>
        <v>1</v>
      </c>
      <c r="AV290">
        <f t="shared" si="9"/>
        <v>0</v>
      </c>
    </row>
    <row r="291" spans="1:48" x14ac:dyDescent="0.25">
      <c r="A291" t="s">
        <v>3052</v>
      </c>
      <c r="C291" t="s">
        <v>3053</v>
      </c>
      <c r="D291" t="s">
        <v>3054</v>
      </c>
      <c r="E291" t="s">
        <v>2310</v>
      </c>
      <c r="F291">
        <v>12</v>
      </c>
      <c r="G291">
        <v>12.3</v>
      </c>
      <c r="H291" t="s">
        <v>2017</v>
      </c>
      <c r="I291" s="21">
        <v>37489</v>
      </c>
      <c r="J291">
        <v>2002</v>
      </c>
      <c r="K291" s="21">
        <v>37518</v>
      </c>
      <c r="L291">
        <v>2002</v>
      </c>
      <c r="M291" s="21">
        <v>38056</v>
      </c>
      <c r="N291">
        <v>2004</v>
      </c>
      <c r="R291" s="262">
        <v>1500000</v>
      </c>
      <c r="S291" t="s">
        <v>114</v>
      </c>
      <c r="T291" t="s">
        <v>114</v>
      </c>
      <c r="U291">
        <v>5</v>
      </c>
      <c r="W291">
        <v>7864</v>
      </c>
      <c r="X291">
        <v>1</v>
      </c>
      <c r="Y291">
        <v>0</v>
      </c>
      <c r="Z291">
        <v>0</v>
      </c>
      <c r="AA291">
        <v>0</v>
      </c>
      <c r="AB291">
        <v>0</v>
      </c>
      <c r="AC291">
        <v>7864</v>
      </c>
      <c r="AD291">
        <v>0</v>
      </c>
      <c r="AE291">
        <v>0</v>
      </c>
      <c r="AF291">
        <v>0</v>
      </c>
      <c r="AG291">
        <v>0</v>
      </c>
      <c r="AH291">
        <v>0</v>
      </c>
      <c r="AI291">
        <v>0</v>
      </c>
      <c r="AJ291">
        <v>0</v>
      </c>
      <c r="AK291">
        <v>0</v>
      </c>
      <c r="AL291">
        <v>0</v>
      </c>
      <c r="AM291">
        <v>0</v>
      </c>
      <c r="AN291">
        <v>0</v>
      </c>
      <c r="AO291">
        <v>1</v>
      </c>
      <c r="AP291">
        <v>0</v>
      </c>
      <c r="AQ291">
        <v>0</v>
      </c>
      <c r="AR291">
        <v>0</v>
      </c>
      <c r="AS291">
        <v>0</v>
      </c>
      <c r="AT291">
        <v>0</v>
      </c>
      <c r="AU291">
        <f t="shared" si="8"/>
        <v>1</v>
      </c>
      <c r="AV291">
        <f t="shared" si="9"/>
        <v>0</v>
      </c>
    </row>
    <row r="292" spans="1:48" x14ac:dyDescent="0.25">
      <c r="A292" t="s">
        <v>3058</v>
      </c>
      <c r="C292" t="s">
        <v>3059</v>
      </c>
      <c r="D292" t="s">
        <v>3060</v>
      </c>
      <c r="E292" t="s">
        <v>2310</v>
      </c>
      <c r="F292">
        <v>15</v>
      </c>
      <c r="G292">
        <v>15.2</v>
      </c>
      <c r="H292" t="s">
        <v>2323</v>
      </c>
      <c r="I292" s="21">
        <v>37490</v>
      </c>
      <c r="J292">
        <v>2002</v>
      </c>
      <c r="K292" s="21">
        <v>37523</v>
      </c>
      <c r="L292">
        <v>2002</v>
      </c>
      <c r="M292" s="21">
        <v>37922</v>
      </c>
      <c r="N292">
        <v>2003</v>
      </c>
      <c r="R292" s="262">
        <v>407000</v>
      </c>
      <c r="S292" t="s">
        <v>114</v>
      </c>
      <c r="T292" t="s">
        <v>114</v>
      </c>
      <c r="U292">
        <v>5</v>
      </c>
      <c r="W292">
        <v>3824</v>
      </c>
      <c r="X292">
        <v>1</v>
      </c>
      <c r="Y292">
        <v>0</v>
      </c>
      <c r="Z292">
        <v>0</v>
      </c>
      <c r="AA292">
        <v>0</v>
      </c>
      <c r="AB292">
        <v>0</v>
      </c>
      <c r="AC292">
        <v>3824</v>
      </c>
      <c r="AD292">
        <v>0</v>
      </c>
      <c r="AE292">
        <v>0</v>
      </c>
      <c r="AF292">
        <v>0</v>
      </c>
      <c r="AG292">
        <v>0</v>
      </c>
      <c r="AH292">
        <v>0</v>
      </c>
      <c r="AI292">
        <v>0</v>
      </c>
      <c r="AJ292">
        <v>0</v>
      </c>
      <c r="AK292">
        <v>0</v>
      </c>
      <c r="AL292">
        <v>0</v>
      </c>
      <c r="AM292">
        <v>0</v>
      </c>
      <c r="AN292">
        <v>0</v>
      </c>
      <c r="AO292">
        <v>1</v>
      </c>
      <c r="AP292">
        <v>0</v>
      </c>
      <c r="AQ292">
        <v>0</v>
      </c>
      <c r="AR292">
        <v>0</v>
      </c>
      <c r="AS292">
        <v>0</v>
      </c>
      <c r="AT292">
        <v>0</v>
      </c>
      <c r="AU292">
        <f t="shared" si="8"/>
        <v>1</v>
      </c>
      <c r="AV292">
        <f t="shared" si="9"/>
        <v>0</v>
      </c>
    </row>
    <row r="293" spans="1:48" x14ac:dyDescent="0.25">
      <c r="A293" t="s">
        <v>3061</v>
      </c>
      <c r="C293" t="s">
        <v>3062</v>
      </c>
      <c r="D293" t="s">
        <v>3063</v>
      </c>
      <c r="E293" t="s">
        <v>2310</v>
      </c>
      <c r="F293">
        <v>12</v>
      </c>
      <c r="G293">
        <v>12.3</v>
      </c>
      <c r="H293" t="s">
        <v>2017</v>
      </c>
      <c r="I293" s="21">
        <v>37490</v>
      </c>
      <c r="J293">
        <v>2002</v>
      </c>
      <c r="K293" s="21">
        <v>37508</v>
      </c>
      <c r="L293">
        <v>2002</v>
      </c>
      <c r="M293" s="21">
        <v>37508</v>
      </c>
      <c r="N293">
        <v>2002</v>
      </c>
      <c r="R293" s="262">
        <v>25000</v>
      </c>
      <c r="S293" t="s">
        <v>114</v>
      </c>
      <c r="T293" t="s">
        <v>114</v>
      </c>
      <c r="U293">
        <v>5</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f t="shared" si="8"/>
        <v>0</v>
      </c>
      <c r="AV293">
        <f t="shared" si="9"/>
        <v>0</v>
      </c>
    </row>
    <row r="294" spans="1:48" x14ac:dyDescent="0.25">
      <c r="A294" t="s">
        <v>3055</v>
      </c>
      <c r="C294" t="s">
        <v>3056</v>
      </c>
      <c r="D294" t="s">
        <v>3057</v>
      </c>
      <c r="E294" t="s">
        <v>1663</v>
      </c>
      <c r="F294">
        <v>6</v>
      </c>
      <c r="G294">
        <v>6.1</v>
      </c>
      <c r="H294" t="s">
        <v>2017</v>
      </c>
      <c r="I294" s="21">
        <v>37490</v>
      </c>
      <c r="J294">
        <v>2002</v>
      </c>
      <c r="K294" s="21">
        <v>37521</v>
      </c>
      <c r="L294">
        <v>2002</v>
      </c>
      <c r="M294" s="21">
        <v>37674</v>
      </c>
      <c r="N294">
        <v>2003</v>
      </c>
      <c r="Q294" s="262">
        <v>273382</v>
      </c>
      <c r="S294" t="s">
        <v>114</v>
      </c>
      <c r="T294" t="s">
        <v>114</v>
      </c>
      <c r="W294">
        <v>3931</v>
      </c>
      <c r="X294">
        <v>1</v>
      </c>
      <c r="Y294">
        <v>0</v>
      </c>
      <c r="Z294">
        <v>0</v>
      </c>
      <c r="AA294">
        <v>0</v>
      </c>
      <c r="AB294">
        <v>0</v>
      </c>
      <c r="AC294">
        <v>3931</v>
      </c>
      <c r="AD294">
        <v>0</v>
      </c>
      <c r="AE294">
        <v>0</v>
      </c>
      <c r="AF294">
        <v>0</v>
      </c>
      <c r="AG294">
        <v>0</v>
      </c>
      <c r="AH294">
        <v>0</v>
      </c>
      <c r="AI294">
        <v>0</v>
      </c>
      <c r="AJ294">
        <v>0</v>
      </c>
      <c r="AK294">
        <v>0</v>
      </c>
      <c r="AL294">
        <v>0</v>
      </c>
      <c r="AM294">
        <v>0</v>
      </c>
      <c r="AN294">
        <v>0</v>
      </c>
      <c r="AO294">
        <v>1</v>
      </c>
      <c r="AP294">
        <v>0</v>
      </c>
      <c r="AQ294">
        <v>0</v>
      </c>
      <c r="AR294">
        <v>0</v>
      </c>
      <c r="AS294">
        <v>0</v>
      </c>
      <c r="AT294">
        <v>0</v>
      </c>
      <c r="AU294">
        <f t="shared" si="8"/>
        <v>1</v>
      </c>
      <c r="AV294">
        <f t="shared" si="9"/>
        <v>0</v>
      </c>
    </row>
    <row r="295" spans="1:48" x14ac:dyDescent="0.25">
      <c r="A295" t="s">
        <v>3064</v>
      </c>
      <c r="C295" t="s">
        <v>3065</v>
      </c>
      <c r="D295" t="s">
        <v>2684</v>
      </c>
      <c r="E295" t="s">
        <v>1663</v>
      </c>
      <c r="F295">
        <v>3</v>
      </c>
      <c r="G295">
        <v>3.2</v>
      </c>
      <c r="H295" t="s">
        <v>2327</v>
      </c>
      <c r="I295" s="21">
        <v>37491</v>
      </c>
      <c r="J295">
        <v>2002</v>
      </c>
      <c r="K295" s="21">
        <v>37522</v>
      </c>
      <c r="L295">
        <v>2002</v>
      </c>
      <c r="M295" s="21">
        <v>37675</v>
      </c>
      <c r="N295">
        <v>2003</v>
      </c>
      <c r="Q295" s="262">
        <v>0</v>
      </c>
      <c r="S295" t="s">
        <v>114</v>
      </c>
      <c r="T295" t="s">
        <v>114</v>
      </c>
      <c r="W295">
        <v>2282</v>
      </c>
      <c r="X295">
        <v>1</v>
      </c>
      <c r="Y295">
        <v>0</v>
      </c>
      <c r="Z295">
        <v>0</v>
      </c>
      <c r="AA295">
        <v>0</v>
      </c>
      <c r="AB295">
        <v>0</v>
      </c>
      <c r="AC295">
        <v>2282</v>
      </c>
      <c r="AD295">
        <v>0</v>
      </c>
      <c r="AE295">
        <v>0</v>
      </c>
      <c r="AF295">
        <v>0</v>
      </c>
      <c r="AG295">
        <v>0</v>
      </c>
      <c r="AH295">
        <v>0</v>
      </c>
      <c r="AI295">
        <v>0</v>
      </c>
      <c r="AJ295">
        <v>0</v>
      </c>
      <c r="AK295">
        <v>0</v>
      </c>
      <c r="AL295">
        <v>0</v>
      </c>
      <c r="AM295">
        <v>0</v>
      </c>
      <c r="AN295">
        <v>0</v>
      </c>
      <c r="AO295">
        <v>1</v>
      </c>
      <c r="AP295">
        <v>0</v>
      </c>
      <c r="AQ295">
        <v>0</v>
      </c>
      <c r="AR295">
        <v>0</v>
      </c>
      <c r="AS295">
        <v>0</v>
      </c>
      <c r="AT295">
        <v>0</v>
      </c>
      <c r="AU295">
        <f t="shared" si="8"/>
        <v>1</v>
      </c>
      <c r="AV295">
        <f t="shared" si="9"/>
        <v>0</v>
      </c>
    </row>
    <row r="296" spans="1:48" x14ac:dyDescent="0.25">
      <c r="A296" t="s">
        <v>3066</v>
      </c>
      <c r="C296" t="s">
        <v>3067</v>
      </c>
      <c r="D296" t="s">
        <v>2684</v>
      </c>
      <c r="E296" t="s">
        <v>1663</v>
      </c>
      <c r="F296">
        <v>3</v>
      </c>
      <c r="G296">
        <v>3.2</v>
      </c>
      <c r="H296" t="s">
        <v>2327</v>
      </c>
      <c r="I296" s="21">
        <v>37491</v>
      </c>
      <c r="J296">
        <v>2002</v>
      </c>
      <c r="K296" s="21">
        <v>37522</v>
      </c>
      <c r="L296">
        <v>2002</v>
      </c>
      <c r="M296" s="21">
        <v>37675</v>
      </c>
      <c r="N296">
        <v>2003</v>
      </c>
      <c r="Q296" s="262">
        <v>158859</v>
      </c>
      <c r="S296" t="s">
        <v>114</v>
      </c>
      <c r="T296" t="s">
        <v>114</v>
      </c>
      <c r="W296">
        <v>1773</v>
      </c>
      <c r="X296">
        <v>1</v>
      </c>
      <c r="Y296">
        <v>0</v>
      </c>
      <c r="Z296">
        <v>0</v>
      </c>
      <c r="AA296">
        <v>0</v>
      </c>
      <c r="AB296">
        <v>0</v>
      </c>
      <c r="AC296">
        <v>1773</v>
      </c>
      <c r="AD296">
        <v>0</v>
      </c>
      <c r="AE296">
        <v>0</v>
      </c>
      <c r="AF296">
        <v>0</v>
      </c>
      <c r="AG296">
        <v>0</v>
      </c>
      <c r="AH296">
        <v>0</v>
      </c>
      <c r="AI296">
        <v>0</v>
      </c>
      <c r="AJ296">
        <v>0</v>
      </c>
      <c r="AK296">
        <v>0</v>
      </c>
      <c r="AL296">
        <v>0</v>
      </c>
      <c r="AM296">
        <v>0</v>
      </c>
      <c r="AN296">
        <v>0</v>
      </c>
      <c r="AO296">
        <v>1</v>
      </c>
      <c r="AP296">
        <v>0</v>
      </c>
      <c r="AQ296">
        <v>0</v>
      </c>
      <c r="AR296">
        <v>0</v>
      </c>
      <c r="AS296">
        <v>0</v>
      </c>
      <c r="AT296">
        <v>0</v>
      </c>
      <c r="AU296">
        <f t="shared" si="8"/>
        <v>1</v>
      </c>
      <c r="AV296">
        <f t="shared" si="9"/>
        <v>0</v>
      </c>
    </row>
    <row r="297" spans="1:48" x14ac:dyDescent="0.25">
      <c r="A297" t="s">
        <v>3068</v>
      </c>
      <c r="C297" t="s">
        <v>3069</v>
      </c>
      <c r="D297" t="s">
        <v>3070</v>
      </c>
      <c r="E297" t="s">
        <v>2310</v>
      </c>
      <c r="F297">
        <v>8</v>
      </c>
      <c r="G297">
        <v>8.1</v>
      </c>
      <c r="H297" t="s">
        <v>2323</v>
      </c>
      <c r="I297" s="21">
        <v>37496</v>
      </c>
      <c r="J297">
        <v>2002</v>
      </c>
      <c r="K297" s="21">
        <v>37523</v>
      </c>
      <c r="L297">
        <v>2002</v>
      </c>
      <c r="M297" s="21">
        <v>37523</v>
      </c>
      <c r="N297">
        <v>2002</v>
      </c>
      <c r="R297" s="262">
        <v>5882</v>
      </c>
      <c r="S297" t="s">
        <v>114</v>
      </c>
      <c r="T297" t="s">
        <v>114</v>
      </c>
      <c r="U297">
        <v>5</v>
      </c>
      <c r="W297">
        <v>108</v>
      </c>
      <c r="X297">
        <v>0</v>
      </c>
      <c r="Y297">
        <v>0</v>
      </c>
      <c r="Z297">
        <v>0</v>
      </c>
      <c r="AA297">
        <v>0</v>
      </c>
      <c r="AB297">
        <v>0</v>
      </c>
      <c r="AC297">
        <v>108</v>
      </c>
      <c r="AD297">
        <v>0</v>
      </c>
      <c r="AE297">
        <v>0</v>
      </c>
      <c r="AF297">
        <v>0</v>
      </c>
      <c r="AG297">
        <v>0</v>
      </c>
      <c r="AH297">
        <v>0</v>
      </c>
      <c r="AI297">
        <v>0</v>
      </c>
      <c r="AJ297">
        <v>0</v>
      </c>
      <c r="AK297">
        <v>0</v>
      </c>
      <c r="AL297">
        <v>0</v>
      </c>
      <c r="AM297">
        <v>0</v>
      </c>
      <c r="AN297">
        <v>0</v>
      </c>
      <c r="AO297">
        <v>0</v>
      </c>
      <c r="AP297">
        <v>0</v>
      </c>
      <c r="AQ297">
        <v>0</v>
      </c>
      <c r="AR297">
        <v>0</v>
      </c>
      <c r="AS297">
        <v>0</v>
      </c>
      <c r="AT297">
        <v>0</v>
      </c>
      <c r="AU297">
        <f t="shared" si="8"/>
        <v>0</v>
      </c>
      <c r="AV297">
        <f t="shared" si="9"/>
        <v>0</v>
      </c>
    </row>
    <row r="298" spans="1:48" x14ac:dyDescent="0.25">
      <c r="A298" t="s">
        <v>3071</v>
      </c>
      <c r="C298" t="s">
        <v>3072</v>
      </c>
      <c r="D298" t="s">
        <v>3073</v>
      </c>
      <c r="E298" t="s">
        <v>2310</v>
      </c>
      <c r="F298">
        <v>14</v>
      </c>
      <c r="G298">
        <v>14.1</v>
      </c>
      <c r="H298" t="s">
        <v>2022</v>
      </c>
      <c r="I298" s="21">
        <v>37497</v>
      </c>
      <c r="J298">
        <v>2002</v>
      </c>
      <c r="K298" s="21">
        <v>37539</v>
      </c>
      <c r="L298">
        <v>2002</v>
      </c>
      <c r="M298" s="21">
        <v>37992</v>
      </c>
      <c r="N298">
        <v>2004</v>
      </c>
      <c r="R298" s="262">
        <v>35000</v>
      </c>
      <c r="S298" t="s">
        <v>114</v>
      </c>
      <c r="T298" t="s">
        <v>114</v>
      </c>
      <c r="U298">
        <v>15</v>
      </c>
      <c r="W298">
        <v>369</v>
      </c>
      <c r="X298">
        <v>0</v>
      </c>
      <c r="Y298">
        <v>0</v>
      </c>
      <c r="Z298">
        <v>0</v>
      </c>
      <c r="AA298">
        <v>0</v>
      </c>
      <c r="AB298">
        <v>0</v>
      </c>
      <c r="AC298">
        <v>0</v>
      </c>
      <c r="AD298">
        <v>0</v>
      </c>
      <c r="AE298">
        <v>0</v>
      </c>
      <c r="AF298">
        <v>0</v>
      </c>
      <c r="AG298">
        <v>0</v>
      </c>
      <c r="AH298">
        <v>0</v>
      </c>
      <c r="AI298">
        <v>0</v>
      </c>
      <c r="AJ298">
        <v>0</v>
      </c>
      <c r="AK298">
        <v>0</v>
      </c>
      <c r="AL298">
        <v>0</v>
      </c>
      <c r="AM298">
        <v>369</v>
      </c>
      <c r="AN298">
        <v>0</v>
      </c>
      <c r="AO298">
        <v>0</v>
      </c>
      <c r="AP298">
        <v>0</v>
      </c>
      <c r="AQ298">
        <v>0</v>
      </c>
      <c r="AR298">
        <v>0</v>
      </c>
      <c r="AS298">
        <v>0</v>
      </c>
      <c r="AT298">
        <v>0</v>
      </c>
      <c r="AU298">
        <f t="shared" si="8"/>
        <v>0</v>
      </c>
      <c r="AV298">
        <f t="shared" si="9"/>
        <v>369</v>
      </c>
    </row>
    <row r="299" spans="1:48" x14ac:dyDescent="0.25">
      <c r="A299" t="s">
        <v>3074</v>
      </c>
      <c r="C299" t="s">
        <v>3075</v>
      </c>
      <c r="D299" t="s">
        <v>3076</v>
      </c>
      <c r="E299" t="s">
        <v>2310</v>
      </c>
      <c r="F299">
        <v>13</v>
      </c>
      <c r="G299">
        <v>13.3</v>
      </c>
      <c r="H299" t="s">
        <v>2017</v>
      </c>
      <c r="I299" s="21">
        <v>37497</v>
      </c>
      <c r="J299">
        <v>2002</v>
      </c>
      <c r="K299" s="21">
        <v>37516</v>
      </c>
      <c r="L299">
        <v>2002</v>
      </c>
      <c r="M299" s="21">
        <v>37516</v>
      </c>
      <c r="N299">
        <v>2002</v>
      </c>
      <c r="R299" s="262">
        <v>3000</v>
      </c>
      <c r="S299" t="s">
        <v>114</v>
      </c>
      <c r="T299" t="s">
        <v>114</v>
      </c>
      <c r="U299">
        <v>5</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f t="shared" si="8"/>
        <v>0</v>
      </c>
      <c r="AV299">
        <f t="shared" si="9"/>
        <v>0</v>
      </c>
    </row>
    <row r="300" spans="1:48" x14ac:dyDescent="0.25">
      <c r="A300" t="s">
        <v>3077</v>
      </c>
      <c r="C300" t="s">
        <v>3078</v>
      </c>
      <c r="D300" t="s">
        <v>3079</v>
      </c>
      <c r="E300" t="s">
        <v>1663</v>
      </c>
      <c r="F300">
        <v>5</v>
      </c>
      <c r="G300">
        <v>5.2</v>
      </c>
      <c r="H300" t="s">
        <v>2327</v>
      </c>
      <c r="I300" s="21">
        <v>37498</v>
      </c>
      <c r="J300">
        <v>2002</v>
      </c>
      <c r="K300" s="21">
        <v>37529</v>
      </c>
      <c r="L300">
        <v>2002</v>
      </c>
      <c r="M300" s="21">
        <v>37680</v>
      </c>
      <c r="N300">
        <v>2003</v>
      </c>
      <c r="Q300" s="262">
        <v>442921</v>
      </c>
      <c r="S300" t="s">
        <v>114</v>
      </c>
      <c r="T300" t="s">
        <v>114</v>
      </c>
      <c r="W300">
        <v>7261</v>
      </c>
      <c r="X300">
        <v>0</v>
      </c>
      <c r="Y300">
        <v>0</v>
      </c>
      <c r="Z300">
        <v>0</v>
      </c>
      <c r="AA300">
        <v>0</v>
      </c>
      <c r="AB300">
        <v>0</v>
      </c>
      <c r="AC300">
        <v>0</v>
      </c>
      <c r="AD300">
        <v>0</v>
      </c>
      <c r="AE300">
        <v>0</v>
      </c>
      <c r="AF300">
        <v>0</v>
      </c>
      <c r="AG300">
        <v>0</v>
      </c>
      <c r="AH300">
        <v>0</v>
      </c>
      <c r="AI300">
        <v>0</v>
      </c>
      <c r="AJ300">
        <v>0</v>
      </c>
      <c r="AK300">
        <v>0</v>
      </c>
      <c r="AL300">
        <v>7261</v>
      </c>
      <c r="AM300">
        <v>0</v>
      </c>
      <c r="AN300">
        <v>0</v>
      </c>
      <c r="AO300">
        <v>0</v>
      </c>
      <c r="AP300">
        <v>0</v>
      </c>
      <c r="AQ300">
        <v>0</v>
      </c>
      <c r="AR300">
        <v>0</v>
      </c>
      <c r="AS300">
        <v>0</v>
      </c>
      <c r="AT300">
        <v>0</v>
      </c>
      <c r="AU300">
        <f t="shared" si="8"/>
        <v>0</v>
      </c>
      <c r="AV300">
        <f t="shared" si="9"/>
        <v>7261</v>
      </c>
    </row>
    <row r="301" spans="1:48" x14ac:dyDescent="0.25">
      <c r="A301" t="s">
        <v>3080</v>
      </c>
      <c r="C301" t="s">
        <v>3081</v>
      </c>
      <c r="D301" t="s">
        <v>3082</v>
      </c>
      <c r="E301" t="s">
        <v>1663</v>
      </c>
      <c r="F301">
        <v>5</v>
      </c>
      <c r="G301">
        <v>5.2</v>
      </c>
      <c r="H301" t="s">
        <v>2327</v>
      </c>
      <c r="I301" s="21">
        <v>37498</v>
      </c>
      <c r="J301">
        <v>2002</v>
      </c>
      <c r="K301" s="21">
        <v>37529</v>
      </c>
      <c r="L301">
        <v>2002</v>
      </c>
      <c r="M301" s="21">
        <v>37680</v>
      </c>
      <c r="N301">
        <v>2003</v>
      </c>
      <c r="Q301" s="262">
        <v>1231595</v>
      </c>
      <c r="S301" t="s">
        <v>114</v>
      </c>
      <c r="T301" t="s">
        <v>114</v>
      </c>
      <c r="W301">
        <v>19895</v>
      </c>
      <c r="X301">
        <v>0</v>
      </c>
      <c r="Y301">
        <v>0</v>
      </c>
      <c r="Z301">
        <v>0</v>
      </c>
      <c r="AA301">
        <v>0</v>
      </c>
      <c r="AB301">
        <v>0</v>
      </c>
      <c r="AC301">
        <v>0</v>
      </c>
      <c r="AD301">
        <v>0</v>
      </c>
      <c r="AE301">
        <v>0</v>
      </c>
      <c r="AF301">
        <v>0</v>
      </c>
      <c r="AG301">
        <v>0</v>
      </c>
      <c r="AH301">
        <v>0</v>
      </c>
      <c r="AI301">
        <v>0</v>
      </c>
      <c r="AJ301">
        <v>0</v>
      </c>
      <c r="AK301">
        <v>0</v>
      </c>
      <c r="AL301">
        <v>19895</v>
      </c>
      <c r="AM301">
        <v>0</v>
      </c>
      <c r="AN301">
        <v>0</v>
      </c>
      <c r="AO301">
        <v>0</v>
      </c>
      <c r="AP301">
        <v>0</v>
      </c>
      <c r="AQ301">
        <v>0</v>
      </c>
      <c r="AR301">
        <v>0</v>
      </c>
      <c r="AS301">
        <v>0</v>
      </c>
      <c r="AT301">
        <v>0</v>
      </c>
      <c r="AU301">
        <f t="shared" si="8"/>
        <v>0</v>
      </c>
      <c r="AV301">
        <f t="shared" si="9"/>
        <v>19895</v>
      </c>
    </row>
    <row r="302" spans="1:48" x14ac:dyDescent="0.25">
      <c r="A302" t="s">
        <v>3083</v>
      </c>
      <c r="C302" t="s">
        <v>3084</v>
      </c>
      <c r="D302" t="s">
        <v>3085</v>
      </c>
      <c r="E302" t="s">
        <v>1663</v>
      </c>
      <c r="F302">
        <v>5</v>
      </c>
      <c r="G302">
        <v>5.2</v>
      </c>
      <c r="H302" t="s">
        <v>2327</v>
      </c>
      <c r="I302" s="21">
        <v>37498</v>
      </c>
      <c r="J302">
        <v>2002</v>
      </c>
      <c r="K302" s="21">
        <v>37529</v>
      </c>
      <c r="L302">
        <v>2002</v>
      </c>
      <c r="M302" s="21">
        <v>37680</v>
      </c>
      <c r="N302">
        <v>2003</v>
      </c>
      <c r="Q302" s="262">
        <v>754143</v>
      </c>
      <c r="S302" t="s">
        <v>114</v>
      </c>
      <c r="T302" t="s">
        <v>114</v>
      </c>
      <c r="W302">
        <v>12363</v>
      </c>
      <c r="X302">
        <v>0</v>
      </c>
      <c r="Y302">
        <v>0</v>
      </c>
      <c r="Z302">
        <v>0</v>
      </c>
      <c r="AA302">
        <v>0</v>
      </c>
      <c r="AB302">
        <v>0</v>
      </c>
      <c r="AC302">
        <v>0</v>
      </c>
      <c r="AD302">
        <v>0</v>
      </c>
      <c r="AE302">
        <v>0</v>
      </c>
      <c r="AF302">
        <v>0</v>
      </c>
      <c r="AG302">
        <v>0</v>
      </c>
      <c r="AH302">
        <v>0</v>
      </c>
      <c r="AI302">
        <v>0</v>
      </c>
      <c r="AJ302">
        <v>0</v>
      </c>
      <c r="AK302">
        <v>0</v>
      </c>
      <c r="AL302">
        <v>12363</v>
      </c>
      <c r="AM302">
        <v>0</v>
      </c>
      <c r="AN302">
        <v>0</v>
      </c>
      <c r="AO302">
        <v>0</v>
      </c>
      <c r="AP302">
        <v>0</v>
      </c>
      <c r="AQ302">
        <v>0</v>
      </c>
      <c r="AR302">
        <v>0</v>
      </c>
      <c r="AS302">
        <v>0</v>
      </c>
      <c r="AT302">
        <v>0</v>
      </c>
      <c r="AU302">
        <f t="shared" si="8"/>
        <v>0</v>
      </c>
      <c r="AV302">
        <f t="shared" si="9"/>
        <v>12363</v>
      </c>
    </row>
    <row r="303" spans="1:48" x14ac:dyDescent="0.25">
      <c r="A303" t="s">
        <v>3086</v>
      </c>
      <c r="C303" t="s">
        <v>3087</v>
      </c>
      <c r="D303" t="s">
        <v>3088</v>
      </c>
      <c r="E303" t="s">
        <v>1663</v>
      </c>
      <c r="F303">
        <v>5</v>
      </c>
      <c r="G303">
        <v>5.2</v>
      </c>
      <c r="H303" t="s">
        <v>2327</v>
      </c>
      <c r="I303" s="21">
        <v>37498</v>
      </c>
      <c r="J303">
        <v>2002</v>
      </c>
      <c r="K303" s="21">
        <v>37529</v>
      </c>
      <c r="L303">
        <v>2002</v>
      </c>
      <c r="M303" s="21">
        <v>37680</v>
      </c>
      <c r="N303">
        <v>2003</v>
      </c>
      <c r="Q303" s="262">
        <v>754143</v>
      </c>
      <c r="S303" t="s">
        <v>114</v>
      </c>
      <c r="T303" t="s">
        <v>114</v>
      </c>
      <c r="W303">
        <v>12363</v>
      </c>
      <c r="X303">
        <v>0</v>
      </c>
      <c r="Y303">
        <v>0</v>
      </c>
      <c r="Z303">
        <v>0</v>
      </c>
      <c r="AA303">
        <v>0</v>
      </c>
      <c r="AB303">
        <v>0</v>
      </c>
      <c r="AC303">
        <v>0</v>
      </c>
      <c r="AD303">
        <v>0</v>
      </c>
      <c r="AE303">
        <v>0</v>
      </c>
      <c r="AF303">
        <v>0</v>
      </c>
      <c r="AG303">
        <v>0</v>
      </c>
      <c r="AH303">
        <v>0</v>
      </c>
      <c r="AI303">
        <v>0</v>
      </c>
      <c r="AJ303">
        <v>0</v>
      </c>
      <c r="AK303">
        <v>0</v>
      </c>
      <c r="AL303">
        <v>12363</v>
      </c>
      <c r="AM303">
        <v>0</v>
      </c>
      <c r="AN303">
        <v>0</v>
      </c>
      <c r="AO303">
        <v>0</v>
      </c>
      <c r="AP303">
        <v>0</v>
      </c>
      <c r="AQ303">
        <v>0</v>
      </c>
      <c r="AR303">
        <v>0</v>
      </c>
      <c r="AS303">
        <v>0</v>
      </c>
      <c r="AT303">
        <v>0</v>
      </c>
      <c r="AU303">
        <f t="shared" si="8"/>
        <v>0</v>
      </c>
      <c r="AV303">
        <f t="shared" si="9"/>
        <v>12363</v>
      </c>
    </row>
    <row r="304" spans="1:48" x14ac:dyDescent="0.25">
      <c r="A304" t="s">
        <v>3089</v>
      </c>
      <c r="C304" t="s">
        <v>3090</v>
      </c>
      <c r="D304" t="s">
        <v>3091</v>
      </c>
      <c r="E304" t="s">
        <v>1663</v>
      </c>
      <c r="F304">
        <v>5</v>
      </c>
      <c r="G304">
        <v>5.2</v>
      </c>
      <c r="H304" t="s">
        <v>2327</v>
      </c>
      <c r="I304" s="21">
        <v>37498</v>
      </c>
      <c r="J304">
        <v>2002</v>
      </c>
      <c r="K304" s="21">
        <v>37529</v>
      </c>
      <c r="L304">
        <v>2002</v>
      </c>
      <c r="M304" s="21">
        <v>37680</v>
      </c>
      <c r="N304">
        <v>2003</v>
      </c>
      <c r="Q304" s="262">
        <v>442921</v>
      </c>
      <c r="S304" t="s">
        <v>114</v>
      </c>
      <c r="T304" t="s">
        <v>114</v>
      </c>
      <c r="W304">
        <v>7261</v>
      </c>
      <c r="X304">
        <v>0</v>
      </c>
      <c r="Y304">
        <v>0</v>
      </c>
      <c r="Z304">
        <v>0</v>
      </c>
      <c r="AA304">
        <v>0</v>
      </c>
      <c r="AB304">
        <v>0</v>
      </c>
      <c r="AC304">
        <v>0</v>
      </c>
      <c r="AD304">
        <v>0</v>
      </c>
      <c r="AE304">
        <v>0</v>
      </c>
      <c r="AF304">
        <v>0</v>
      </c>
      <c r="AG304">
        <v>0</v>
      </c>
      <c r="AH304">
        <v>0</v>
      </c>
      <c r="AI304">
        <v>0</v>
      </c>
      <c r="AJ304">
        <v>0</v>
      </c>
      <c r="AK304">
        <v>0</v>
      </c>
      <c r="AL304">
        <v>7261</v>
      </c>
      <c r="AM304">
        <v>0</v>
      </c>
      <c r="AN304">
        <v>0</v>
      </c>
      <c r="AO304">
        <v>0</v>
      </c>
      <c r="AP304">
        <v>0</v>
      </c>
      <c r="AQ304">
        <v>0</v>
      </c>
      <c r="AR304">
        <v>0</v>
      </c>
      <c r="AS304">
        <v>0</v>
      </c>
      <c r="AT304">
        <v>0</v>
      </c>
      <c r="AU304">
        <f t="shared" si="8"/>
        <v>0</v>
      </c>
      <c r="AV304">
        <f t="shared" si="9"/>
        <v>7261</v>
      </c>
    </row>
    <row r="305" spans="1:48" x14ac:dyDescent="0.25">
      <c r="A305" t="s">
        <v>3095</v>
      </c>
      <c r="C305" t="s">
        <v>2509</v>
      </c>
      <c r="D305" t="s">
        <v>3096</v>
      </c>
      <c r="E305" t="s">
        <v>2310</v>
      </c>
      <c r="F305">
        <v>10</v>
      </c>
      <c r="G305">
        <v>10.1</v>
      </c>
      <c r="H305" t="s">
        <v>2323</v>
      </c>
      <c r="I305" s="21">
        <v>37502</v>
      </c>
      <c r="J305">
        <v>2002</v>
      </c>
      <c r="K305" s="21">
        <v>37524</v>
      </c>
      <c r="L305">
        <v>2002</v>
      </c>
      <c r="M305" s="21">
        <v>37524</v>
      </c>
      <c r="N305">
        <v>2002</v>
      </c>
      <c r="R305" s="262">
        <v>19000</v>
      </c>
      <c r="S305" t="s">
        <v>114</v>
      </c>
      <c r="T305" t="s">
        <v>114</v>
      </c>
      <c r="U305">
        <v>5</v>
      </c>
      <c r="W305">
        <v>242</v>
      </c>
      <c r="X305">
        <v>0</v>
      </c>
      <c r="Y305">
        <v>0</v>
      </c>
      <c r="Z305">
        <v>0</v>
      </c>
      <c r="AA305">
        <v>0</v>
      </c>
      <c r="AB305">
        <v>0</v>
      </c>
      <c r="AC305">
        <v>242</v>
      </c>
      <c r="AD305">
        <v>0</v>
      </c>
      <c r="AE305">
        <v>0</v>
      </c>
      <c r="AF305">
        <v>0</v>
      </c>
      <c r="AG305">
        <v>0</v>
      </c>
      <c r="AH305">
        <v>0</v>
      </c>
      <c r="AI305">
        <v>0</v>
      </c>
      <c r="AJ305">
        <v>0</v>
      </c>
      <c r="AK305">
        <v>0</v>
      </c>
      <c r="AL305">
        <v>0</v>
      </c>
      <c r="AM305">
        <v>0</v>
      </c>
      <c r="AN305">
        <v>0</v>
      </c>
      <c r="AO305">
        <v>0</v>
      </c>
      <c r="AP305">
        <v>0</v>
      </c>
      <c r="AQ305">
        <v>0</v>
      </c>
      <c r="AR305">
        <v>0</v>
      </c>
      <c r="AS305">
        <v>0</v>
      </c>
      <c r="AT305">
        <v>0</v>
      </c>
      <c r="AU305">
        <f t="shared" si="8"/>
        <v>0</v>
      </c>
      <c r="AV305">
        <f t="shared" si="9"/>
        <v>0</v>
      </c>
    </row>
    <row r="306" spans="1:48" x14ac:dyDescent="0.25">
      <c r="A306" t="s">
        <v>3097</v>
      </c>
      <c r="C306" t="s">
        <v>2541</v>
      </c>
      <c r="D306" t="s">
        <v>3098</v>
      </c>
      <c r="E306" t="s">
        <v>2310</v>
      </c>
      <c r="F306">
        <v>8</v>
      </c>
      <c r="G306">
        <v>8.1999999999999993</v>
      </c>
      <c r="H306" t="s">
        <v>2022</v>
      </c>
      <c r="I306" s="21">
        <v>37502</v>
      </c>
      <c r="J306">
        <v>2002</v>
      </c>
      <c r="K306" s="21">
        <v>37525</v>
      </c>
      <c r="L306">
        <v>2002</v>
      </c>
      <c r="M306" s="21">
        <v>37525</v>
      </c>
      <c r="N306">
        <v>2002</v>
      </c>
      <c r="R306" s="262">
        <v>600000</v>
      </c>
      <c r="S306" t="s">
        <v>114</v>
      </c>
      <c r="T306" t="s">
        <v>114</v>
      </c>
      <c r="U306">
        <v>5</v>
      </c>
      <c r="W306">
        <v>2900</v>
      </c>
      <c r="X306">
        <v>0</v>
      </c>
      <c r="Y306">
        <v>0</v>
      </c>
      <c r="Z306">
        <v>0</v>
      </c>
      <c r="AA306">
        <v>0</v>
      </c>
      <c r="AB306">
        <v>0</v>
      </c>
      <c r="AC306">
        <v>2900</v>
      </c>
      <c r="AD306">
        <v>0</v>
      </c>
      <c r="AE306">
        <v>0</v>
      </c>
      <c r="AF306">
        <v>0</v>
      </c>
      <c r="AG306">
        <v>0</v>
      </c>
      <c r="AH306">
        <v>0</v>
      </c>
      <c r="AI306">
        <v>0</v>
      </c>
      <c r="AJ306">
        <v>0</v>
      </c>
      <c r="AK306">
        <v>0</v>
      </c>
      <c r="AL306">
        <v>0</v>
      </c>
      <c r="AM306">
        <v>0</v>
      </c>
      <c r="AN306">
        <v>0</v>
      </c>
      <c r="AO306">
        <v>0</v>
      </c>
      <c r="AP306">
        <v>0</v>
      </c>
      <c r="AQ306">
        <v>0</v>
      </c>
      <c r="AR306">
        <v>0</v>
      </c>
      <c r="AS306">
        <v>0</v>
      </c>
      <c r="AT306">
        <v>0</v>
      </c>
      <c r="AU306">
        <f t="shared" si="8"/>
        <v>0</v>
      </c>
      <c r="AV306">
        <f t="shared" si="9"/>
        <v>0</v>
      </c>
    </row>
    <row r="307" spans="1:48" x14ac:dyDescent="0.25">
      <c r="A307" t="s">
        <v>3092</v>
      </c>
      <c r="C307" t="s">
        <v>3093</v>
      </c>
      <c r="D307" t="s">
        <v>3094</v>
      </c>
      <c r="E307" t="s">
        <v>1663</v>
      </c>
      <c r="F307">
        <v>6</v>
      </c>
      <c r="G307">
        <v>6.1</v>
      </c>
      <c r="H307" t="s">
        <v>2017</v>
      </c>
      <c r="I307" s="21">
        <v>37502</v>
      </c>
      <c r="J307">
        <v>2002</v>
      </c>
      <c r="K307" s="21">
        <v>37532</v>
      </c>
      <c r="L307">
        <v>2002</v>
      </c>
      <c r="M307" s="21">
        <v>37683</v>
      </c>
      <c r="N307">
        <v>2003</v>
      </c>
      <c r="Q307" s="262">
        <v>18500</v>
      </c>
      <c r="S307" t="s">
        <v>114</v>
      </c>
      <c r="T307" t="s">
        <v>114</v>
      </c>
      <c r="W307">
        <v>484</v>
      </c>
      <c r="X307">
        <v>0</v>
      </c>
      <c r="Y307">
        <v>0</v>
      </c>
      <c r="Z307">
        <v>0</v>
      </c>
      <c r="AA307">
        <v>0</v>
      </c>
      <c r="AB307">
        <v>0</v>
      </c>
      <c r="AC307">
        <v>484</v>
      </c>
      <c r="AD307">
        <v>0</v>
      </c>
      <c r="AE307">
        <v>0</v>
      </c>
      <c r="AF307">
        <v>0</v>
      </c>
      <c r="AG307">
        <v>0</v>
      </c>
      <c r="AH307">
        <v>0</v>
      </c>
      <c r="AI307">
        <v>0</v>
      </c>
      <c r="AJ307">
        <v>0</v>
      </c>
      <c r="AK307">
        <v>0</v>
      </c>
      <c r="AL307">
        <v>0</v>
      </c>
      <c r="AM307">
        <v>0</v>
      </c>
      <c r="AN307">
        <v>0</v>
      </c>
      <c r="AO307">
        <v>0</v>
      </c>
      <c r="AP307">
        <v>0</v>
      </c>
      <c r="AQ307">
        <v>0</v>
      </c>
      <c r="AR307">
        <v>0</v>
      </c>
      <c r="AS307">
        <v>0</v>
      </c>
      <c r="AT307">
        <v>0</v>
      </c>
      <c r="AU307">
        <f t="shared" si="8"/>
        <v>0</v>
      </c>
      <c r="AV307">
        <f t="shared" si="9"/>
        <v>0</v>
      </c>
    </row>
    <row r="308" spans="1:48" x14ac:dyDescent="0.25">
      <c r="A308" t="s">
        <v>3099</v>
      </c>
      <c r="C308" t="s">
        <v>2544</v>
      </c>
      <c r="D308" t="s">
        <v>3100</v>
      </c>
      <c r="E308" t="s">
        <v>2310</v>
      </c>
      <c r="F308">
        <v>8</v>
      </c>
      <c r="G308">
        <v>8.1</v>
      </c>
      <c r="H308" t="s">
        <v>2323</v>
      </c>
      <c r="I308" s="21">
        <v>37503</v>
      </c>
      <c r="J308">
        <v>2002</v>
      </c>
      <c r="K308" s="21">
        <v>37525</v>
      </c>
      <c r="L308">
        <v>2002</v>
      </c>
      <c r="M308" s="21">
        <v>37525</v>
      </c>
      <c r="N308">
        <v>2002</v>
      </c>
      <c r="R308" s="262">
        <v>50000</v>
      </c>
      <c r="S308" t="s">
        <v>114</v>
      </c>
      <c r="T308" t="s">
        <v>114</v>
      </c>
      <c r="U308">
        <v>5</v>
      </c>
      <c r="W308">
        <v>576</v>
      </c>
      <c r="X308">
        <v>0</v>
      </c>
      <c r="Y308">
        <v>0</v>
      </c>
      <c r="Z308">
        <v>0</v>
      </c>
      <c r="AA308">
        <v>0</v>
      </c>
      <c r="AB308">
        <v>0</v>
      </c>
      <c r="AC308">
        <v>576</v>
      </c>
      <c r="AD308">
        <v>0</v>
      </c>
      <c r="AE308">
        <v>0</v>
      </c>
      <c r="AF308">
        <v>0</v>
      </c>
      <c r="AG308">
        <v>0</v>
      </c>
      <c r="AH308">
        <v>0</v>
      </c>
      <c r="AI308">
        <v>0</v>
      </c>
      <c r="AJ308">
        <v>0</v>
      </c>
      <c r="AK308">
        <v>0</v>
      </c>
      <c r="AL308">
        <v>0</v>
      </c>
      <c r="AM308">
        <v>0</v>
      </c>
      <c r="AN308">
        <v>0</v>
      </c>
      <c r="AO308">
        <v>0</v>
      </c>
      <c r="AP308">
        <v>0</v>
      </c>
      <c r="AQ308">
        <v>0</v>
      </c>
      <c r="AR308">
        <v>0</v>
      </c>
      <c r="AS308">
        <v>0</v>
      </c>
      <c r="AT308">
        <v>0</v>
      </c>
      <c r="AU308">
        <f t="shared" si="8"/>
        <v>0</v>
      </c>
      <c r="AV308">
        <f t="shared" si="9"/>
        <v>0</v>
      </c>
    </row>
    <row r="309" spans="1:48" x14ac:dyDescent="0.25">
      <c r="A309" t="s">
        <v>3101</v>
      </c>
      <c r="C309" t="s">
        <v>3102</v>
      </c>
      <c r="D309" t="s">
        <v>3103</v>
      </c>
      <c r="E309" t="s">
        <v>2310</v>
      </c>
      <c r="F309">
        <v>8</v>
      </c>
      <c r="G309">
        <v>8.3000000000000007</v>
      </c>
      <c r="H309" t="s">
        <v>2323</v>
      </c>
      <c r="I309" s="21">
        <v>37503</v>
      </c>
      <c r="J309">
        <v>2002</v>
      </c>
      <c r="K309" s="21">
        <v>37525</v>
      </c>
      <c r="L309">
        <v>2002</v>
      </c>
      <c r="M309" s="21">
        <v>37974</v>
      </c>
      <c r="N309">
        <v>2003</v>
      </c>
      <c r="R309" s="262">
        <v>43000</v>
      </c>
      <c r="S309" t="s">
        <v>114</v>
      </c>
      <c r="T309" t="s">
        <v>114</v>
      </c>
      <c r="U309">
        <v>5</v>
      </c>
      <c r="W309">
        <v>816</v>
      </c>
      <c r="X309">
        <v>0</v>
      </c>
      <c r="Y309">
        <v>0</v>
      </c>
      <c r="Z309">
        <v>0</v>
      </c>
      <c r="AA309">
        <v>0</v>
      </c>
      <c r="AB309">
        <v>0</v>
      </c>
      <c r="AC309">
        <v>816</v>
      </c>
      <c r="AD309">
        <v>0</v>
      </c>
      <c r="AE309">
        <v>0</v>
      </c>
      <c r="AF309">
        <v>0</v>
      </c>
      <c r="AG309">
        <v>0</v>
      </c>
      <c r="AH309">
        <v>0</v>
      </c>
      <c r="AI309">
        <v>0</v>
      </c>
      <c r="AJ309">
        <v>0</v>
      </c>
      <c r="AK309">
        <v>0</v>
      </c>
      <c r="AL309">
        <v>0</v>
      </c>
      <c r="AM309">
        <v>0</v>
      </c>
      <c r="AN309">
        <v>0</v>
      </c>
      <c r="AO309">
        <v>0</v>
      </c>
      <c r="AP309">
        <v>0</v>
      </c>
      <c r="AQ309">
        <v>0</v>
      </c>
      <c r="AR309">
        <v>0</v>
      </c>
      <c r="AS309">
        <v>0</v>
      </c>
      <c r="AT309">
        <v>0</v>
      </c>
      <c r="AU309">
        <f t="shared" si="8"/>
        <v>0</v>
      </c>
      <c r="AV309">
        <f t="shared" si="9"/>
        <v>0</v>
      </c>
    </row>
    <row r="310" spans="1:48" x14ac:dyDescent="0.25">
      <c r="A310" t="s">
        <v>3104</v>
      </c>
      <c r="C310" t="s">
        <v>3105</v>
      </c>
      <c r="D310" t="s">
        <v>3106</v>
      </c>
      <c r="E310" t="s">
        <v>2310</v>
      </c>
      <c r="F310">
        <v>15</v>
      </c>
      <c r="G310">
        <v>15.2</v>
      </c>
      <c r="H310" t="s">
        <v>2323</v>
      </c>
      <c r="I310" s="21">
        <v>37504</v>
      </c>
      <c r="J310">
        <v>2002</v>
      </c>
      <c r="K310" s="21">
        <v>37506</v>
      </c>
      <c r="L310">
        <v>2002</v>
      </c>
      <c r="M310" s="21">
        <v>37506</v>
      </c>
      <c r="N310">
        <v>2002</v>
      </c>
      <c r="R310" s="262">
        <v>6000</v>
      </c>
      <c r="S310" t="s">
        <v>114</v>
      </c>
      <c r="T310" t="s">
        <v>114</v>
      </c>
      <c r="U310">
        <v>5</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f t="shared" si="8"/>
        <v>0</v>
      </c>
      <c r="AV310">
        <f t="shared" si="9"/>
        <v>0</v>
      </c>
    </row>
    <row r="311" spans="1:48" x14ac:dyDescent="0.25">
      <c r="A311" t="s">
        <v>3107</v>
      </c>
      <c r="C311" t="s">
        <v>3108</v>
      </c>
      <c r="D311" t="s">
        <v>3109</v>
      </c>
      <c r="E311" t="s">
        <v>2310</v>
      </c>
      <c r="F311">
        <v>15</v>
      </c>
      <c r="G311">
        <v>15.2</v>
      </c>
      <c r="H311" t="s">
        <v>2323</v>
      </c>
      <c r="I311" s="21">
        <v>37505</v>
      </c>
      <c r="J311">
        <v>2002</v>
      </c>
      <c r="K311" s="21">
        <v>37594</v>
      </c>
      <c r="L311">
        <v>2002</v>
      </c>
      <c r="M311" s="21">
        <v>37594</v>
      </c>
      <c r="N311">
        <v>2002</v>
      </c>
      <c r="R311" s="262">
        <v>400000</v>
      </c>
      <c r="S311" t="s">
        <v>114</v>
      </c>
      <c r="T311" t="s">
        <v>114</v>
      </c>
      <c r="U311">
        <v>5</v>
      </c>
      <c r="W311">
        <v>2588</v>
      </c>
      <c r="X311">
        <v>1</v>
      </c>
      <c r="Y311">
        <v>0</v>
      </c>
      <c r="Z311">
        <v>0</v>
      </c>
      <c r="AA311">
        <v>0</v>
      </c>
      <c r="AB311">
        <v>0</v>
      </c>
      <c r="AC311">
        <v>2588</v>
      </c>
      <c r="AD311">
        <v>0</v>
      </c>
      <c r="AE311">
        <v>0</v>
      </c>
      <c r="AF311">
        <v>0</v>
      </c>
      <c r="AG311">
        <v>0</v>
      </c>
      <c r="AH311">
        <v>0</v>
      </c>
      <c r="AI311">
        <v>0</v>
      </c>
      <c r="AJ311">
        <v>0</v>
      </c>
      <c r="AK311">
        <v>0</v>
      </c>
      <c r="AL311">
        <v>0</v>
      </c>
      <c r="AM311">
        <v>0</v>
      </c>
      <c r="AN311">
        <v>0</v>
      </c>
      <c r="AO311">
        <v>1</v>
      </c>
      <c r="AP311">
        <v>0</v>
      </c>
      <c r="AQ311">
        <v>0</v>
      </c>
      <c r="AR311">
        <v>0</v>
      </c>
      <c r="AS311">
        <v>0</v>
      </c>
      <c r="AT311">
        <v>0</v>
      </c>
      <c r="AU311">
        <f t="shared" si="8"/>
        <v>1</v>
      </c>
      <c r="AV311">
        <f t="shared" si="9"/>
        <v>0</v>
      </c>
    </row>
    <row r="312" spans="1:48" x14ac:dyDescent="0.25">
      <c r="A312" t="s">
        <v>3110</v>
      </c>
      <c r="C312" t="s">
        <v>3111</v>
      </c>
      <c r="D312" t="s">
        <v>3112</v>
      </c>
      <c r="E312" t="s">
        <v>2310</v>
      </c>
      <c r="F312">
        <v>9</v>
      </c>
      <c r="G312">
        <v>9.1</v>
      </c>
      <c r="H312" t="s">
        <v>2323</v>
      </c>
      <c r="I312" s="21">
        <v>37505</v>
      </c>
      <c r="J312">
        <v>2002</v>
      </c>
      <c r="K312" s="21">
        <v>37525</v>
      </c>
      <c r="L312">
        <v>2002</v>
      </c>
      <c r="M312" s="21">
        <v>37816</v>
      </c>
      <c r="N312">
        <v>2003</v>
      </c>
      <c r="R312" s="262">
        <v>850000</v>
      </c>
      <c r="S312" t="s">
        <v>114</v>
      </c>
      <c r="T312" t="s">
        <v>114</v>
      </c>
      <c r="U312">
        <v>5</v>
      </c>
      <c r="W312">
        <v>4990</v>
      </c>
      <c r="X312">
        <v>1</v>
      </c>
      <c r="Y312">
        <v>0</v>
      </c>
      <c r="Z312">
        <v>0</v>
      </c>
      <c r="AA312">
        <v>0</v>
      </c>
      <c r="AB312">
        <v>0</v>
      </c>
      <c r="AC312">
        <v>4990</v>
      </c>
      <c r="AD312">
        <v>0</v>
      </c>
      <c r="AE312">
        <v>0</v>
      </c>
      <c r="AF312">
        <v>0</v>
      </c>
      <c r="AG312">
        <v>0</v>
      </c>
      <c r="AH312">
        <v>0</v>
      </c>
      <c r="AI312">
        <v>0</v>
      </c>
      <c r="AJ312">
        <v>0</v>
      </c>
      <c r="AK312">
        <v>0</v>
      </c>
      <c r="AL312">
        <v>0</v>
      </c>
      <c r="AM312">
        <v>0</v>
      </c>
      <c r="AN312">
        <v>0</v>
      </c>
      <c r="AO312">
        <v>1</v>
      </c>
      <c r="AP312">
        <v>0</v>
      </c>
      <c r="AQ312">
        <v>0</v>
      </c>
      <c r="AR312">
        <v>0</v>
      </c>
      <c r="AS312">
        <v>0</v>
      </c>
      <c r="AT312">
        <v>0</v>
      </c>
      <c r="AU312">
        <f t="shared" si="8"/>
        <v>1</v>
      </c>
      <c r="AV312">
        <f t="shared" si="9"/>
        <v>0</v>
      </c>
    </row>
    <row r="313" spans="1:48" x14ac:dyDescent="0.25">
      <c r="A313" t="s">
        <v>3113</v>
      </c>
      <c r="C313" t="s">
        <v>3114</v>
      </c>
      <c r="D313" t="s">
        <v>3115</v>
      </c>
      <c r="E313" t="s">
        <v>2310</v>
      </c>
      <c r="F313">
        <v>14</v>
      </c>
      <c r="G313">
        <v>14.1</v>
      </c>
      <c r="H313" t="s">
        <v>2022</v>
      </c>
      <c r="I313" s="21">
        <v>37508</v>
      </c>
      <c r="J313">
        <v>2002</v>
      </c>
      <c r="K313" s="21">
        <v>37525</v>
      </c>
      <c r="L313">
        <v>2002</v>
      </c>
      <c r="M313" s="21">
        <v>37525</v>
      </c>
      <c r="N313">
        <v>2002</v>
      </c>
      <c r="R313" s="262">
        <v>13000</v>
      </c>
      <c r="S313" t="s">
        <v>114</v>
      </c>
      <c r="T313" t="s">
        <v>114</v>
      </c>
      <c r="U313">
        <v>5</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c r="AQ313">
        <v>0</v>
      </c>
      <c r="AR313">
        <v>0</v>
      </c>
      <c r="AS313">
        <v>0</v>
      </c>
      <c r="AT313">
        <v>0</v>
      </c>
      <c r="AU313">
        <f t="shared" si="8"/>
        <v>0</v>
      </c>
      <c r="AV313">
        <f t="shared" si="9"/>
        <v>0</v>
      </c>
    </row>
    <row r="314" spans="1:48" x14ac:dyDescent="0.25">
      <c r="A314" t="s">
        <v>3122</v>
      </c>
      <c r="C314" t="s">
        <v>3123</v>
      </c>
      <c r="D314" t="s">
        <v>3124</v>
      </c>
      <c r="E314" t="s">
        <v>2310</v>
      </c>
      <c r="F314">
        <v>9</v>
      </c>
      <c r="G314">
        <v>9.1999999999999993</v>
      </c>
      <c r="H314" t="s">
        <v>2022</v>
      </c>
      <c r="I314" s="21">
        <v>37509</v>
      </c>
      <c r="J314">
        <v>2002</v>
      </c>
      <c r="K314" s="21">
        <v>37526</v>
      </c>
      <c r="L314">
        <v>2002</v>
      </c>
      <c r="M314" s="21">
        <v>38685</v>
      </c>
      <c r="N314">
        <v>2005</v>
      </c>
      <c r="R314" s="262">
        <v>2100000</v>
      </c>
      <c r="S314" t="s">
        <v>114</v>
      </c>
      <c r="T314" t="s">
        <v>114</v>
      </c>
      <c r="U314">
        <v>5</v>
      </c>
      <c r="W314">
        <v>8962</v>
      </c>
      <c r="X314">
        <v>1</v>
      </c>
      <c r="Y314">
        <v>0</v>
      </c>
      <c r="Z314">
        <v>0</v>
      </c>
      <c r="AA314">
        <v>0</v>
      </c>
      <c r="AB314">
        <v>0</v>
      </c>
      <c r="AC314">
        <v>8962</v>
      </c>
      <c r="AD314">
        <v>0</v>
      </c>
      <c r="AE314">
        <v>0</v>
      </c>
      <c r="AF314">
        <v>0</v>
      </c>
      <c r="AG314">
        <v>0</v>
      </c>
      <c r="AH314">
        <v>0</v>
      </c>
      <c r="AI314">
        <v>0</v>
      </c>
      <c r="AJ314">
        <v>0</v>
      </c>
      <c r="AK314">
        <v>0</v>
      </c>
      <c r="AL314">
        <v>0</v>
      </c>
      <c r="AM314">
        <v>0</v>
      </c>
      <c r="AN314">
        <v>0</v>
      </c>
      <c r="AO314">
        <v>1</v>
      </c>
      <c r="AP314">
        <v>0</v>
      </c>
      <c r="AQ314">
        <v>0</v>
      </c>
      <c r="AR314">
        <v>0</v>
      </c>
      <c r="AS314">
        <v>0</v>
      </c>
      <c r="AT314">
        <v>0</v>
      </c>
      <c r="AU314">
        <f t="shared" si="8"/>
        <v>1</v>
      </c>
      <c r="AV314">
        <f t="shared" si="9"/>
        <v>0</v>
      </c>
    </row>
    <row r="315" spans="1:48" x14ac:dyDescent="0.25">
      <c r="A315" t="s">
        <v>3116</v>
      </c>
      <c r="C315" t="s">
        <v>3117</v>
      </c>
      <c r="D315" t="s">
        <v>3118</v>
      </c>
      <c r="E315" t="s">
        <v>1663</v>
      </c>
      <c r="F315">
        <v>6</v>
      </c>
      <c r="G315">
        <v>6.1</v>
      </c>
      <c r="H315" t="s">
        <v>2017</v>
      </c>
      <c r="I315" s="21">
        <v>37509</v>
      </c>
      <c r="J315">
        <v>2002</v>
      </c>
      <c r="K315" s="21">
        <v>37539</v>
      </c>
      <c r="L315">
        <v>2002</v>
      </c>
      <c r="M315" s="21">
        <v>37690</v>
      </c>
      <c r="N315">
        <v>2003</v>
      </c>
      <c r="Q315" s="262">
        <v>295196</v>
      </c>
      <c r="S315" t="s">
        <v>114</v>
      </c>
      <c r="T315" t="s">
        <v>114</v>
      </c>
      <c r="W315">
        <v>2372</v>
      </c>
      <c r="X315">
        <v>3</v>
      </c>
      <c r="Y315">
        <v>0</v>
      </c>
      <c r="Z315">
        <v>0</v>
      </c>
      <c r="AA315">
        <v>0</v>
      </c>
      <c r="AB315">
        <v>0</v>
      </c>
      <c r="AC315">
        <v>0</v>
      </c>
      <c r="AD315">
        <v>0</v>
      </c>
      <c r="AE315">
        <v>2372</v>
      </c>
      <c r="AF315">
        <v>0</v>
      </c>
      <c r="AG315">
        <v>0</v>
      </c>
      <c r="AH315">
        <v>0</v>
      </c>
      <c r="AI315">
        <v>0</v>
      </c>
      <c r="AJ315">
        <v>0</v>
      </c>
      <c r="AK315">
        <v>0</v>
      </c>
      <c r="AL315">
        <v>0</v>
      </c>
      <c r="AM315">
        <v>0</v>
      </c>
      <c r="AN315">
        <v>0</v>
      </c>
      <c r="AO315">
        <v>0</v>
      </c>
      <c r="AP315">
        <v>0</v>
      </c>
      <c r="AQ315">
        <v>3</v>
      </c>
      <c r="AR315">
        <v>0</v>
      </c>
      <c r="AS315">
        <v>0</v>
      </c>
      <c r="AT315">
        <v>0</v>
      </c>
      <c r="AU315">
        <f t="shared" si="8"/>
        <v>3</v>
      </c>
      <c r="AV315">
        <f t="shared" si="9"/>
        <v>0</v>
      </c>
    </row>
    <row r="316" spans="1:48" x14ac:dyDescent="0.25">
      <c r="A316" t="s">
        <v>3119</v>
      </c>
      <c r="C316" t="s">
        <v>3120</v>
      </c>
      <c r="D316" t="s">
        <v>3121</v>
      </c>
      <c r="E316" t="s">
        <v>1663</v>
      </c>
      <c r="F316">
        <v>4</v>
      </c>
      <c r="G316">
        <v>4.3</v>
      </c>
      <c r="H316" t="s">
        <v>2327</v>
      </c>
      <c r="I316" s="21">
        <v>37509</v>
      </c>
      <c r="J316">
        <v>2002</v>
      </c>
      <c r="K316" s="21">
        <v>37539</v>
      </c>
      <c r="L316">
        <v>2002</v>
      </c>
      <c r="M316" s="21">
        <v>37690</v>
      </c>
      <c r="N316">
        <v>2003</v>
      </c>
      <c r="Q316" s="262">
        <v>640000</v>
      </c>
      <c r="S316" t="s">
        <v>114</v>
      </c>
      <c r="T316" t="s">
        <v>114</v>
      </c>
      <c r="W316">
        <v>7423</v>
      </c>
      <c r="X316">
        <v>0</v>
      </c>
      <c r="Y316">
        <v>0</v>
      </c>
      <c r="Z316">
        <v>0</v>
      </c>
      <c r="AA316">
        <v>0</v>
      </c>
      <c r="AB316">
        <v>0</v>
      </c>
      <c r="AC316">
        <v>0</v>
      </c>
      <c r="AD316">
        <v>0</v>
      </c>
      <c r="AE316">
        <v>0</v>
      </c>
      <c r="AF316">
        <v>0</v>
      </c>
      <c r="AG316">
        <v>0</v>
      </c>
      <c r="AH316">
        <v>0</v>
      </c>
      <c r="AI316">
        <v>0</v>
      </c>
      <c r="AJ316">
        <v>0</v>
      </c>
      <c r="AK316">
        <v>0</v>
      </c>
      <c r="AL316">
        <v>7423</v>
      </c>
      <c r="AM316">
        <v>0</v>
      </c>
      <c r="AN316">
        <v>0</v>
      </c>
      <c r="AO316">
        <v>0</v>
      </c>
      <c r="AP316">
        <v>0</v>
      </c>
      <c r="AQ316">
        <v>0</v>
      </c>
      <c r="AR316">
        <v>0</v>
      </c>
      <c r="AS316">
        <v>0</v>
      </c>
      <c r="AT316">
        <v>0</v>
      </c>
      <c r="AU316">
        <f t="shared" si="8"/>
        <v>0</v>
      </c>
      <c r="AV316">
        <f t="shared" si="9"/>
        <v>7423</v>
      </c>
    </row>
    <row r="317" spans="1:48" x14ac:dyDescent="0.25">
      <c r="A317" t="s">
        <v>3125</v>
      </c>
      <c r="C317" t="s">
        <v>3126</v>
      </c>
      <c r="D317" t="s">
        <v>3127</v>
      </c>
      <c r="E317" t="s">
        <v>1663</v>
      </c>
      <c r="F317">
        <v>2</v>
      </c>
      <c r="G317">
        <v>2.2000000000000002</v>
      </c>
      <c r="H317" t="s">
        <v>2327</v>
      </c>
      <c r="I317" s="21">
        <v>37510</v>
      </c>
      <c r="J317">
        <v>2002</v>
      </c>
      <c r="K317" s="21">
        <v>37540</v>
      </c>
      <c r="L317">
        <v>2002</v>
      </c>
      <c r="M317" s="21">
        <v>37691</v>
      </c>
      <c r="N317">
        <v>2003</v>
      </c>
      <c r="Q317" s="262">
        <v>300000</v>
      </c>
      <c r="S317" t="s">
        <v>114</v>
      </c>
      <c r="T317" t="s">
        <v>114</v>
      </c>
      <c r="W317">
        <v>3480</v>
      </c>
      <c r="X317">
        <v>0</v>
      </c>
      <c r="Y317">
        <v>0</v>
      </c>
      <c r="Z317">
        <v>0</v>
      </c>
      <c r="AA317">
        <v>0</v>
      </c>
      <c r="AB317">
        <v>0</v>
      </c>
      <c r="AC317">
        <v>0</v>
      </c>
      <c r="AD317">
        <v>0</v>
      </c>
      <c r="AE317">
        <v>0</v>
      </c>
      <c r="AF317">
        <v>0</v>
      </c>
      <c r="AG317">
        <v>0</v>
      </c>
      <c r="AH317">
        <v>0</v>
      </c>
      <c r="AI317">
        <v>0</v>
      </c>
      <c r="AJ317">
        <v>3480</v>
      </c>
      <c r="AK317">
        <v>0</v>
      </c>
      <c r="AL317">
        <v>0</v>
      </c>
      <c r="AM317">
        <v>0</v>
      </c>
      <c r="AN317">
        <v>0</v>
      </c>
      <c r="AO317">
        <v>0</v>
      </c>
      <c r="AP317">
        <v>0</v>
      </c>
      <c r="AQ317">
        <v>0</v>
      </c>
      <c r="AR317">
        <v>0</v>
      </c>
      <c r="AS317">
        <v>0</v>
      </c>
      <c r="AT317">
        <v>0</v>
      </c>
      <c r="AU317">
        <f t="shared" si="8"/>
        <v>0</v>
      </c>
      <c r="AV317">
        <f t="shared" si="9"/>
        <v>3480</v>
      </c>
    </row>
    <row r="318" spans="1:48" x14ac:dyDescent="0.25">
      <c r="A318" t="s">
        <v>3131</v>
      </c>
      <c r="C318" t="s">
        <v>3132</v>
      </c>
      <c r="D318" t="s">
        <v>3133</v>
      </c>
      <c r="E318" t="s">
        <v>2310</v>
      </c>
      <c r="F318">
        <v>7</v>
      </c>
      <c r="G318">
        <v>7.1</v>
      </c>
      <c r="H318" t="s">
        <v>2017</v>
      </c>
      <c r="I318" s="21">
        <v>37511</v>
      </c>
      <c r="J318">
        <v>2002</v>
      </c>
      <c r="K318" s="21">
        <v>37525</v>
      </c>
      <c r="L318">
        <v>2002</v>
      </c>
      <c r="M318" s="21">
        <v>37525</v>
      </c>
      <c r="N318">
        <v>2002</v>
      </c>
      <c r="R318" s="262">
        <v>6000</v>
      </c>
      <c r="S318" t="s">
        <v>114</v>
      </c>
      <c r="T318" t="s">
        <v>114</v>
      </c>
      <c r="U318">
        <v>5</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c r="AQ318">
        <v>0</v>
      </c>
      <c r="AR318">
        <v>0</v>
      </c>
      <c r="AS318">
        <v>0</v>
      </c>
      <c r="AT318">
        <v>0</v>
      </c>
      <c r="AU318">
        <f t="shared" si="8"/>
        <v>0</v>
      </c>
      <c r="AV318">
        <f t="shared" si="9"/>
        <v>0</v>
      </c>
    </row>
    <row r="319" spans="1:48" x14ac:dyDescent="0.25">
      <c r="A319" t="s">
        <v>3128</v>
      </c>
      <c r="C319" t="s">
        <v>3129</v>
      </c>
      <c r="D319" t="s">
        <v>3130</v>
      </c>
      <c r="E319" t="s">
        <v>1663</v>
      </c>
      <c r="F319">
        <v>6</v>
      </c>
      <c r="G319">
        <v>6.1</v>
      </c>
      <c r="H319" t="s">
        <v>2017</v>
      </c>
      <c r="I319" s="21">
        <v>37511</v>
      </c>
      <c r="J319">
        <v>2002</v>
      </c>
      <c r="K319" s="21">
        <v>37541</v>
      </c>
      <c r="L319">
        <v>2002</v>
      </c>
      <c r="M319" s="21">
        <v>37692</v>
      </c>
      <c r="N319">
        <v>2003</v>
      </c>
      <c r="Q319" s="262">
        <v>72500</v>
      </c>
      <c r="S319" t="s">
        <v>114</v>
      </c>
      <c r="T319" t="s">
        <v>114</v>
      </c>
      <c r="W319">
        <v>672</v>
      </c>
      <c r="X319">
        <v>0</v>
      </c>
      <c r="Y319">
        <v>0</v>
      </c>
      <c r="Z319">
        <v>0</v>
      </c>
      <c r="AA319">
        <v>0</v>
      </c>
      <c r="AB319">
        <v>0</v>
      </c>
      <c r="AC319">
        <v>672</v>
      </c>
      <c r="AD319">
        <v>0</v>
      </c>
      <c r="AE319">
        <v>0</v>
      </c>
      <c r="AF319">
        <v>0</v>
      </c>
      <c r="AG319">
        <v>0</v>
      </c>
      <c r="AH319">
        <v>0</v>
      </c>
      <c r="AI319">
        <v>0</v>
      </c>
      <c r="AJ319">
        <v>0</v>
      </c>
      <c r="AK319">
        <v>0</v>
      </c>
      <c r="AL319">
        <v>0</v>
      </c>
      <c r="AM319">
        <v>0</v>
      </c>
      <c r="AN319">
        <v>0</v>
      </c>
      <c r="AO319">
        <v>0</v>
      </c>
      <c r="AP319">
        <v>0</v>
      </c>
      <c r="AQ319">
        <v>0</v>
      </c>
      <c r="AR319">
        <v>0</v>
      </c>
      <c r="AS319">
        <v>0</v>
      </c>
      <c r="AT319">
        <v>0</v>
      </c>
      <c r="AU319">
        <f t="shared" si="8"/>
        <v>0</v>
      </c>
      <c r="AV319">
        <f t="shared" si="9"/>
        <v>0</v>
      </c>
    </row>
    <row r="320" spans="1:48" x14ac:dyDescent="0.25">
      <c r="A320" t="s">
        <v>3134</v>
      </c>
      <c r="C320" t="s">
        <v>3135</v>
      </c>
      <c r="D320" t="s">
        <v>3136</v>
      </c>
      <c r="E320" t="s">
        <v>1663</v>
      </c>
      <c r="F320">
        <v>6</v>
      </c>
      <c r="G320">
        <v>6.1</v>
      </c>
      <c r="H320" t="s">
        <v>2017</v>
      </c>
      <c r="I320" s="21">
        <v>37512</v>
      </c>
      <c r="J320">
        <v>2002</v>
      </c>
      <c r="K320" s="21">
        <v>37542</v>
      </c>
      <c r="L320">
        <v>2002</v>
      </c>
      <c r="M320" s="21">
        <v>37693</v>
      </c>
      <c r="N320">
        <v>2003</v>
      </c>
      <c r="Q320" s="262">
        <v>325000</v>
      </c>
      <c r="S320" t="s">
        <v>114</v>
      </c>
      <c r="T320" t="s">
        <v>114</v>
      </c>
      <c r="W320">
        <v>4536</v>
      </c>
      <c r="X320">
        <v>1</v>
      </c>
      <c r="Y320">
        <v>0</v>
      </c>
      <c r="Z320">
        <v>0</v>
      </c>
      <c r="AA320">
        <v>0</v>
      </c>
      <c r="AB320">
        <v>0</v>
      </c>
      <c r="AC320">
        <v>4536</v>
      </c>
      <c r="AD320">
        <v>0</v>
      </c>
      <c r="AE320">
        <v>0</v>
      </c>
      <c r="AF320">
        <v>0</v>
      </c>
      <c r="AG320">
        <v>0</v>
      </c>
      <c r="AH320">
        <v>0</v>
      </c>
      <c r="AI320">
        <v>0</v>
      </c>
      <c r="AJ320">
        <v>0</v>
      </c>
      <c r="AK320">
        <v>0</v>
      </c>
      <c r="AL320">
        <v>0</v>
      </c>
      <c r="AM320">
        <v>0</v>
      </c>
      <c r="AN320">
        <v>0</v>
      </c>
      <c r="AO320">
        <v>1</v>
      </c>
      <c r="AP320">
        <v>0</v>
      </c>
      <c r="AQ320">
        <v>0</v>
      </c>
      <c r="AR320">
        <v>0</v>
      </c>
      <c r="AS320">
        <v>0</v>
      </c>
      <c r="AT320">
        <v>0</v>
      </c>
      <c r="AU320">
        <f t="shared" si="8"/>
        <v>1</v>
      </c>
      <c r="AV320">
        <f t="shared" si="9"/>
        <v>0</v>
      </c>
    </row>
    <row r="321" spans="1:48" x14ac:dyDescent="0.25">
      <c r="A321" t="s">
        <v>3137</v>
      </c>
      <c r="C321" t="s">
        <v>3138</v>
      </c>
      <c r="D321" t="s">
        <v>3109</v>
      </c>
      <c r="E321" t="s">
        <v>2310</v>
      </c>
      <c r="F321">
        <v>15</v>
      </c>
      <c r="G321">
        <v>15.2</v>
      </c>
      <c r="H321" t="s">
        <v>2323</v>
      </c>
      <c r="I321" s="21">
        <v>37515</v>
      </c>
      <c r="J321">
        <v>2002</v>
      </c>
      <c r="K321" s="21">
        <v>37573</v>
      </c>
      <c r="L321">
        <v>2002</v>
      </c>
      <c r="M321" s="21">
        <v>37944</v>
      </c>
      <c r="N321">
        <v>2003</v>
      </c>
      <c r="R321" s="262">
        <v>200000</v>
      </c>
      <c r="S321" t="s">
        <v>114</v>
      </c>
      <c r="T321" t="s">
        <v>114</v>
      </c>
      <c r="U321">
        <v>5</v>
      </c>
      <c r="W321">
        <v>1923</v>
      </c>
      <c r="X321">
        <v>0</v>
      </c>
      <c r="Y321">
        <v>0</v>
      </c>
      <c r="Z321">
        <v>0</v>
      </c>
      <c r="AA321">
        <v>0</v>
      </c>
      <c r="AB321">
        <v>0</v>
      </c>
      <c r="AC321">
        <v>1923</v>
      </c>
      <c r="AD321">
        <v>0</v>
      </c>
      <c r="AE321">
        <v>0</v>
      </c>
      <c r="AF321">
        <v>0</v>
      </c>
      <c r="AG321">
        <v>0</v>
      </c>
      <c r="AH321">
        <v>0</v>
      </c>
      <c r="AI321">
        <v>0</v>
      </c>
      <c r="AJ321">
        <v>0</v>
      </c>
      <c r="AK321">
        <v>0</v>
      </c>
      <c r="AL321">
        <v>0</v>
      </c>
      <c r="AM321">
        <v>0</v>
      </c>
      <c r="AN321">
        <v>0</v>
      </c>
      <c r="AO321">
        <v>0</v>
      </c>
      <c r="AP321">
        <v>0</v>
      </c>
      <c r="AQ321">
        <v>0</v>
      </c>
      <c r="AR321">
        <v>0</v>
      </c>
      <c r="AS321">
        <v>0</v>
      </c>
      <c r="AT321">
        <v>0</v>
      </c>
      <c r="AU321">
        <f t="shared" si="8"/>
        <v>0</v>
      </c>
      <c r="AV321">
        <f t="shared" si="9"/>
        <v>0</v>
      </c>
    </row>
    <row r="322" spans="1:48" x14ac:dyDescent="0.25">
      <c r="A322" t="s">
        <v>3139</v>
      </c>
      <c r="C322" t="s">
        <v>3033</v>
      </c>
      <c r="D322" t="s">
        <v>3140</v>
      </c>
      <c r="E322" t="s">
        <v>2310</v>
      </c>
      <c r="F322">
        <v>10</v>
      </c>
      <c r="G322">
        <v>10.1</v>
      </c>
      <c r="H322" t="s">
        <v>2323</v>
      </c>
      <c r="I322" s="21">
        <v>37515</v>
      </c>
      <c r="J322">
        <v>2002</v>
      </c>
      <c r="K322" s="21">
        <v>37526</v>
      </c>
      <c r="L322">
        <v>2002</v>
      </c>
      <c r="M322" s="21">
        <v>37789</v>
      </c>
      <c r="N322">
        <v>2003</v>
      </c>
      <c r="R322" s="262">
        <v>300000</v>
      </c>
      <c r="S322" t="s">
        <v>114</v>
      </c>
      <c r="T322" t="s">
        <v>114</v>
      </c>
      <c r="U322">
        <v>5</v>
      </c>
      <c r="W322">
        <v>4720</v>
      </c>
      <c r="X322">
        <v>1</v>
      </c>
      <c r="Y322">
        <v>0</v>
      </c>
      <c r="Z322">
        <v>0</v>
      </c>
      <c r="AA322">
        <v>0</v>
      </c>
      <c r="AB322">
        <v>0</v>
      </c>
      <c r="AC322">
        <v>4720</v>
      </c>
      <c r="AD322">
        <v>0</v>
      </c>
      <c r="AE322">
        <v>0</v>
      </c>
      <c r="AF322">
        <v>0</v>
      </c>
      <c r="AG322">
        <v>0</v>
      </c>
      <c r="AH322">
        <v>0</v>
      </c>
      <c r="AI322">
        <v>0</v>
      </c>
      <c r="AJ322">
        <v>0</v>
      </c>
      <c r="AK322">
        <v>0</v>
      </c>
      <c r="AL322">
        <v>0</v>
      </c>
      <c r="AM322">
        <v>0</v>
      </c>
      <c r="AN322">
        <v>0</v>
      </c>
      <c r="AO322">
        <v>1</v>
      </c>
      <c r="AP322">
        <v>0</v>
      </c>
      <c r="AQ322">
        <v>0</v>
      </c>
      <c r="AR322">
        <v>0</v>
      </c>
      <c r="AS322">
        <v>0</v>
      </c>
      <c r="AT322">
        <v>0</v>
      </c>
      <c r="AU322">
        <f t="shared" si="8"/>
        <v>1</v>
      </c>
      <c r="AV322">
        <f t="shared" si="9"/>
        <v>0</v>
      </c>
    </row>
    <row r="323" spans="1:48" x14ac:dyDescent="0.25">
      <c r="A323" t="s">
        <v>3141</v>
      </c>
      <c r="C323" t="s">
        <v>3142</v>
      </c>
      <c r="D323" t="s">
        <v>3143</v>
      </c>
      <c r="E323" t="s">
        <v>2310</v>
      </c>
      <c r="F323">
        <v>8</v>
      </c>
      <c r="G323">
        <v>8.3000000000000007</v>
      </c>
      <c r="H323" t="s">
        <v>2323</v>
      </c>
      <c r="I323" s="21">
        <v>37515</v>
      </c>
      <c r="J323">
        <v>2002</v>
      </c>
      <c r="K323" s="21">
        <v>37539</v>
      </c>
      <c r="L323">
        <v>2002</v>
      </c>
      <c r="M323" s="21">
        <v>37539</v>
      </c>
      <c r="N323">
        <v>2002</v>
      </c>
      <c r="R323" s="262">
        <v>10000</v>
      </c>
      <c r="S323" t="s">
        <v>114</v>
      </c>
      <c r="T323" t="s">
        <v>114</v>
      </c>
      <c r="U323">
        <v>5</v>
      </c>
      <c r="W323">
        <v>265</v>
      </c>
      <c r="X323">
        <v>0</v>
      </c>
      <c r="Y323">
        <v>0</v>
      </c>
      <c r="Z323">
        <v>0</v>
      </c>
      <c r="AA323">
        <v>0</v>
      </c>
      <c r="AB323">
        <v>0</v>
      </c>
      <c r="AC323">
        <v>265</v>
      </c>
      <c r="AD323">
        <v>0</v>
      </c>
      <c r="AE323">
        <v>0</v>
      </c>
      <c r="AF323">
        <v>0</v>
      </c>
      <c r="AG323">
        <v>0</v>
      </c>
      <c r="AH323">
        <v>0</v>
      </c>
      <c r="AI323">
        <v>0</v>
      </c>
      <c r="AJ323">
        <v>0</v>
      </c>
      <c r="AK323">
        <v>0</v>
      </c>
      <c r="AL323">
        <v>0</v>
      </c>
      <c r="AM323">
        <v>0</v>
      </c>
      <c r="AN323">
        <v>0</v>
      </c>
      <c r="AO323">
        <v>0</v>
      </c>
      <c r="AP323">
        <v>0</v>
      </c>
      <c r="AQ323">
        <v>0</v>
      </c>
      <c r="AR323">
        <v>0</v>
      </c>
      <c r="AS323">
        <v>0</v>
      </c>
      <c r="AT323">
        <v>0</v>
      </c>
      <c r="AU323">
        <f t="shared" si="8"/>
        <v>0</v>
      </c>
      <c r="AV323">
        <f t="shared" si="9"/>
        <v>0</v>
      </c>
    </row>
    <row r="324" spans="1:48" x14ac:dyDescent="0.25">
      <c r="A324" t="s">
        <v>3144</v>
      </c>
      <c r="C324" t="s">
        <v>3145</v>
      </c>
      <c r="D324" t="s">
        <v>3146</v>
      </c>
      <c r="E324" t="s">
        <v>2310</v>
      </c>
      <c r="F324">
        <v>15</v>
      </c>
      <c r="G324">
        <v>15.3</v>
      </c>
      <c r="H324" t="s">
        <v>2022</v>
      </c>
      <c r="I324" s="21">
        <v>37516</v>
      </c>
      <c r="J324">
        <v>2002</v>
      </c>
      <c r="K324" s="21">
        <v>37545</v>
      </c>
      <c r="L324">
        <v>2002</v>
      </c>
      <c r="M324" s="21">
        <v>40280.525208333303</v>
      </c>
      <c r="N324">
        <v>2010</v>
      </c>
      <c r="R324" s="262">
        <v>600000</v>
      </c>
      <c r="S324" t="s">
        <v>114</v>
      </c>
      <c r="T324" t="s">
        <v>114</v>
      </c>
      <c r="U324">
        <v>5</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0</v>
      </c>
      <c r="AT324">
        <v>0</v>
      </c>
      <c r="AU324">
        <f t="shared" si="8"/>
        <v>0</v>
      </c>
      <c r="AV324">
        <f t="shared" si="9"/>
        <v>0</v>
      </c>
    </row>
    <row r="325" spans="1:48" x14ac:dyDescent="0.25">
      <c r="A325" t="s">
        <v>3147</v>
      </c>
      <c r="C325" t="s">
        <v>2847</v>
      </c>
      <c r="D325" t="s">
        <v>3148</v>
      </c>
      <c r="E325" t="s">
        <v>2310</v>
      </c>
      <c r="F325">
        <v>15</v>
      </c>
      <c r="G325">
        <v>15.1</v>
      </c>
      <c r="H325" t="s">
        <v>2022</v>
      </c>
      <c r="I325" s="21">
        <v>37516</v>
      </c>
      <c r="J325">
        <v>2002</v>
      </c>
      <c r="K325" s="21">
        <v>37826</v>
      </c>
      <c r="L325">
        <v>2003</v>
      </c>
      <c r="M325" s="21">
        <v>38553</v>
      </c>
      <c r="N325">
        <v>2005</v>
      </c>
      <c r="R325" s="262">
        <v>618000</v>
      </c>
      <c r="S325" t="s">
        <v>114</v>
      </c>
      <c r="T325" t="s">
        <v>114</v>
      </c>
      <c r="U325">
        <v>5</v>
      </c>
      <c r="W325">
        <v>5411</v>
      </c>
      <c r="X325">
        <v>1</v>
      </c>
      <c r="Y325">
        <v>0</v>
      </c>
      <c r="Z325">
        <v>0</v>
      </c>
      <c r="AA325">
        <v>0</v>
      </c>
      <c r="AB325">
        <v>0</v>
      </c>
      <c r="AC325">
        <v>5411</v>
      </c>
      <c r="AD325">
        <v>0</v>
      </c>
      <c r="AE325">
        <v>0</v>
      </c>
      <c r="AF325">
        <v>0</v>
      </c>
      <c r="AG325">
        <v>0</v>
      </c>
      <c r="AH325">
        <v>0</v>
      </c>
      <c r="AI325">
        <v>0</v>
      </c>
      <c r="AJ325">
        <v>0</v>
      </c>
      <c r="AK325">
        <v>0</v>
      </c>
      <c r="AL325">
        <v>0</v>
      </c>
      <c r="AM325">
        <v>0</v>
      </c>
      <c r="AN325">
        <v>0</v>
      </c>
      <c r="AO325">
        <v>1</v>
      </c>
      <c r="AP325">
        <v>0</v>
      </c>
      <c r="AQ325">
        <v>0</v>
      </c>
      <c r="AR325">
        <v>0</v>
      </c>
      <c r="AS325">
        <v>0</v>
      </c>
      <c r="AT325">
        <v>0</v>
      </c>
      <c r="AU325">
        <f t="shared" si="8"/>
        <v>1</v>
      </c>
      <c r="AV325">
        <f t="shared" si="9"/>
        <v>0</v>
      </c>
    </row>
    <row r="326" spans="1:48" x14ac:dyDescent="0.25">
      <c r="A326" t="s">
        <v>3149</v>
      </c>
      <c r="C326" t="s">
        <v>3150</v>
      </c>
      <c r="D326" t="s">
        <v>3151</v>
      </c>
      <c r="E326" t="s">
        <v>2310</v>
      </c>
      <c r="F326">
        <v>13</v>
      </c>
      <c r="G326">
        <v>13.3</v>
      </c>
      <c r="H326" t="s">
        <v>2017</v>
      </c>
      <c r="I326" s="21">
        <v>37516</v>
      </c>
      <c r="J326">
        <v>2002</v>
      </c>
      <c r="K326" s="21">
        <v>37545</v>
      </c>
      <c r="L326">
        <v>2002</v>
      </c>
      <c r="M326" s="21">
        <v>38379</v>
      </c>
      <c r="N326">
        <v>2005</v>
      </c>
      <c r="R326" s="262">
        <v>34000</v>
      </c>
      <c r="S326" t="s">
        <v>114</v>
      </c>
      <c r="T326" t="s">
        <v>114</v>
      </c>
      <c r="U326">
        <v>5</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c r="AU326">
        <f t="shared" si="8"/>
        <v>0</v>
      </c>
      <c r="AV326">
        <f t="shared" si="9"/>
        <v>0</v>
      </c>
    </row>
    <row r="327" spans="1:48" x14ac:dyDescent="0.25">
      <c r="A327" t="s">
        <v>3152</v>
      </c>
      <c r="C327" t="s">
        <v>3153</v>
      </c>
      <c r="D327" t="s">
        <v>3154</v>
      </c>
      <c r="E327" t="s">
        <v>2310</v>
      </c>
      <c r="F327">
        <v>15</v>
      </c>
      <c r="G327">
        <v>15.1</v>
      </c>
      <c r="H327" t="s">
        <v>2022</v>
      </c>
      <c r="I327" s="21">
        <v>37516</v>
      </c>
      <c r="J327">
        <v>2002</v>
      </c>
      <c r="K327" s="21">
        <v>37527</v>
      </c>
      <c r="L327">
        <v>2002</v>
      </c>
      <c r="M327" s="21">
        <v>37527</v>
      </c>
      <c r="N327">
        <v>2002</v>
      </c>
      <c r="R327" s="262">
        <v>100000</v>
      </c>
      <c r="S327" t="s">
        <v>114</v>
      </c>
      <c r="T327" t="s">
        <v>114</v>
      </c>
      <c r="U327">
        <v>5</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f t="shared" si="8"/>
        <v>0</v>
      </c>
      <c r="AV327">
        <f t="shared" si="9"/>
        <v>0</v>
      </c>
    </row>
    <row r="328" spans="1:48" x14ac:dyDescent="0.25">
      <c r="A328" t="s">
        <v>3155</v>
      </c>
      <c r="C328" t="s">
        <v>3156</v>
      </c>
      <c r="D328" t="s">
        <v>3157</v>
      </c>
      <c r="E328" t="s">
        <v>2310</v>
      </c>
      <c r="F328">
        <v>9</v>
      </c>
      <c r="G328">
        <v>9.3000000000000007</v>
      </c>
      <c r="H328" t="s">
        <v>2323</v>
      </c>
      <c r="I328" s="21">
        <v>37517</v>
      </c>
      <c r="J328">
        <v>2002</v>
      </c>
      <c r="K328" s="21">
        <v>37540</v>
      </c>
      <c r="L328">
        <v>2002</v>
      </c>
      <c r="M328" s="21">
        <v>37994</v>
      </c>
      <c r="N328">
        <v>2004</v>
      </c>
      <c r="R328" s="262">
        <v>85000</v>
      </c>
      <c r="S328" t="s">
        <v>114</v>
      </c>
      <c r="T328" t="s">
        <v>114</v>
      </c>
      <c r="U328">
        <v>8</v>
      </c>
      <c r="W328">
        <v>960</v>
      </c>
      <c r="X328">
        <v>1</v>
      </c>
      <c r="Y328">
        <v>0</v>
      </c>
      <c r="Z328">
        <v>0</v>
      </c>
      <c r="AA328">
        <v>0</v>
      </c>
      <c r="AB328">
        <v>0</v>
      </c>
      <c r="AC328">
        <v>0</v>
      </c>
      <c r="AD328">
        <v>0</v>
      </c>
      <c r="AE328">
        <v>0</v>
      </c>
      <c r="AF328">
        <v>960</v>
      </c>
      <c r="AG328">
        <v>0</v>
      </c>
      <c r="AH328">
        <v>0</v>
      </c>
      <c r="AI328">
        <v>0</v>
      </c>
      <c r="AJ328">
        <v>0</v>
      </c>
      <c r="AK328">
        <v>0</v>
      </c>
      <c r="AL328">
        <v>0</v>
      </c>
      <c r="AM328">
        <v>0</v>
      </c>
      <c r="AN328">
        <v>0</v>
      </c>
      <c r="AO328">
        <v>0</v>
      </c>
      <c r="AP328">
        <v>0</v>
      </c>
      <c r="AQ328">
        <v>0</v>
      </c>
      <c r="AR328">
        <v>1</v>
      </c>
      <c r="AS328">
        <v>0</v>
      </c>
      <c r="AT328">
        <v>0</v>
      </c>
      <c r="AU328">
        <f t="shared" si="8"/>
        <v>0</v>
      </c>
      <c r="AV328">
        <f t="shared" si="9"/>
        <v>0</v>
      </c>
    </row>
    <row r="329" spans="1:48" x14ac:dyDescent="0.25">
      <c r="A329" t="s">
        <v>3158</v>
      </c>
      <c r="C329" t="s">
        <v>2924</v>
      </c>
      <c r="D329" t="s">
        <v>3159</v>
      </c>
      <c r="E329" t="s">
        <v>2310</v>
      </c>
      <c r="F329">
        <v>10</v>
      </c>
      <c r="G329">
        <v>10.1</v>
      </c>
      <c r="H329" t="s">
        <v>2323</v>
      </c>
      <c r="I329" s="21">
        <v>37517</v>
      </c>
      <c r="J329">
        <v>2002</v>
      </c>
      <c r="K329" s="21">
        <v>37623</v>
      </c>
      <c r="L329">
        <v>2003</v>
      </c>
      <c r="M329" s="21">
        <v>37623</v>
      </c>
      <c r="N329">
        <v>2003</v>
      </c>
      <c r="R329" s="262">
        <v>13000</v>
      </c>
      <c r="S329" t="s">
        <v>114</v>
      </c>
      <c r="T329" t="s">
        <v>114</v>
      </c>
      <c r="U329">
        <v>5</v>
      </c>
      <c r="W329">
        <v>576</v>
      </c>
      <c r="X329">
        <v>0</v>
      </c>
      <c r="Y329">
        <v>0</v>
      </c>
      <c r="Z329">
        <v>0</v>
      </c>
      <c r="AA329">
        <v>0</v>
      </c>
      <c r="AB329">
        <v>0</v>
      </c>
      <c r="AC329">
        <v>576</v>
      </c>
      <c r="AD329">
        <v>0</v>
      </c>
      <c r="AE329">
        <v>0</v>
      </c>
      <c r="AF329">
        <v>0</v>
      </c>
      <c r="AG329">
        <v>0</v>
      </c>
      <c r="AH329">
        <v>0</v>
      </c>
      <c r="AI329">
        <v>0</v>
      </c>
      <c r="AJ329">
        <v>0</v>
      </c>
      <c r="AK329">
        <v>0</v>
      </c>
      <c r="AL329">
        <v>0</v>
      </c>
      <c r="AM329">
        <v>0</v>
      </c>
      <c r="AN329">
        <v>0</v>
      </c>
      <c r="AO329">
        <v>0</v>
      </c>
      <c r="AP329">
        <v>0</v>
      </c>
      <c r="AQ329">
        <v>0</v>
      </c>
      <c r="AR329">
        <v>0</v>
      </c>
      <c r="AS329">
        <v>0</v>
      </c>
      <c r="AT329">
        <v>0</v>
      </c>
      <c r="AU329">
        <f t="shared" si="8"/>
        <v>0</v>
      </c>
      <c r="AV329">
        <f t="shared" si="9"/>
        <v>0</v>
      </c>
    </row>
    <row r="330" spans="1:48" x14ac:dyDescent="0.25">
      <c r="A330" t="s">
        <v>3160</v>
      </c>
      <c r="C330" t="s">
        <v>2712</v>
      </c>
      <c r="D330" t="s">
        <v>3161</v>
      </c>
      <c r="E330" t="s">
        <v>2310</v>
      </c>
      <c r="F330">
        <v>15</v>
      </c>
      <c r="G330">
        <v>15.3</v>
      </c>
      <c r="H330" t="s">
        <v>2022</v>
      </c>
      <c r="I330" s="21">
        <v>37518</v>
      </c>
      <c r="J330">
        <v>2002</v>
      </c>
      <c r="K330" s="21">
        <v>37546</v>
      </c>
      <c r="L330">
        <v>2002</v>
      </c>
      <c r="M330" s="21">
        <v>37546</v>
      </c>
      <c r="N330">
        <v>2002</v>
      </c>
      <c r="R330" s="262">
        <v>15000</v>
      </c>
      <c r="S330" t="s">
        <v>114</v>
      </c>
      <c r="T330" t="s">
        <v>114</v>
      </c>
      <c r="U330">
        <v>5</v>
      </c>
      <c r="W330">
        <v>184</v>
      </c>
      <c r="X330">
        <v>0</v>
      </c>
      <c r="Y330">
        <v>0</v>
      </c>
      <c r="Z330">
        <v>0</v>
      </c>
      <c r="AA330">
        <v>0</v>
      </c>
      <c r="AB330">
        <v>0</v>
      </c>
      <c r="AC330">
        <v>184</v>
      </c>
      <c r="AD330">
        <v>0</v>
      </c>
      <c r="AE330">
        <v>0</v>
      </c>
      <c r="AF330">
        <v>0</v>
      </c>
      <c r="AG330">
        <v>0</v>
      </c>
      <c r="AH330">
        <v>0</v>
      </c>
      <c r="AI330">
        <v>0</v>
      </c>
      <c r="AJ330">
        <v>0</v>
      </c>
      <c r="AK330">
        <v>0</v>
      </c>
      <c r="AL330">
        <v>0</v>
      </c>
      <c r="AM330">
        <v>0</v>
      </c>
      <c r="AN330">
        <v>0</v>
      </c>
      <c r="AO330">
        <v>0</v>
      </c>
      <c r="AP330">
        <v>0</v>
      </c>
      <c r="AQ330">
        <v>0</v>
      </c>
      <c r="AR330">
        <v>0</v>
      </c>
      <c r="AS330">
        <v>0</v>
      </c>
      <c r="AT330">
        <v>0</v>
      </c>
      <c r="AU330">
        <f t="shared" si="8"/>
        <v>0</v>
      </c>
      <c r="AV330">
        <f t="shared" si="9"/>
        <v>0</v>
      </c>
    </row>
    <row r="331" spans="1:48" x14ac:dyDescent="0.25">
      <c r="A331" t="s">
        <v>3162</v>
      </c>
      <c r="C331" t="s">
        <v>3163</v>
      </c>
      <c r="D331" t="s">
        <v>3164</v>
      </c>
      <c r="E331" t="s">
        <v>2310</v>
      </c>
      <c r="F331">
        <v>8</v>
      </c>
      <c r="G331">
        <v>8.4</v>
      </c>
      <c r="H331" t="s">
        <v>2017</v>
      </c>
      <c r="I331" s="21">
        <v>37519</v>
      </c>
      <c r="J331">
        <v>2002</v>
      </c>
      <c r="K331" s="21">
        <v>37768</v>
      </c>
      <c r="L331">
        <v>2003</v>
      </c>
      <c r="M331" s="21">
        <v>38056</v>
      </c>
      <c r="N331">
        <v>2004</v>
      </c>
      <c r="R331" s="262">
        <v>118000</v>
      </c>
      <c r="S331" t="s">
        <v>114</v>
      </c>
      <c r="T331" t="s">
        <v>114</v>
      </c>
      <c r="U331">
        <v>8</v>
      </c>
      <c r="W331">
        <v>3072</v>
      </c>
      <c r="X331">
        <v>1</v>
      </c>
      <c r="Y331">
        <v>0</v>
      </c>
      <c r="Z331">
        <v>0</v>
      </c>
      <c r="AA331">
        <v>0</v>
      </c>
      <c r="AB331">
        <v>0</v>
      </c>
      <c r="AC331">
        <v>2072</v>
      </c>
      <c r="AD331">
        <v>0</v>
      </c>
      <c r="AE331">
        <v>0</v>
      </c>
      <c r="AF331">
        <v>1000</v>
      </c>
      <c r="AG331">
        <v>0</v>
      </c>
      <c r="AH331">
        <v>0</v>
      </c>
      <c r="AI331">
        <v>0</v>
      </c>
      <c r="AJ331">
        <v>0</v>
      </c>
      <c r="AK331">
        <v>0</v>
      </c>
      <c r="AL331">
        <v>0</v>
      </c>
      <c r="AM331">
        <v>0</v>
      </c>
      <c r="AN331">
        <v>0</v>
      </c>
      <c r="AO331">
        <v>0</v>
      </c>
      <c r="AP331">
        <v>0</v>
      </c>
      <c r="AQ331">
        <v>0</v>
      </c>
      <c r="AR331">
        <v>1</v>
      </c>
      <c r="AS331">
        <v>0</v>
      </c>
      <c r="AT331">
        <v>0</v>
      </c>
      <c r="AU331">
        <f t="shared" si="8"/>
        <v>0</v>
      </c>
      <c r="AV331">
        <f t="shared" si="9"/>
        <v>0</v>
      </c>
    </row>
    <row r="332" spans="1:48" x14ac:dyDescent="0.25">
      <c r="A332" t="s">
        <v>3180</v>
      </c>
      <c r="C332" t="s">
        <v>3181</v>
      </c>
      <c r="D332" t="s">
        <v>3182</v>
      </c>
      <c r="E332" t="s">
        <v>2310</v>
      </c>
      <c r="F332">
        <v>9</v>
      </c>
      <c r="G332">
        <v>9.4</v>
      </c>
      <c r="H332" t="s">
        <v>2323</v>
      </c>
      <c r="I332" s="21">
        <v>37522</v>
      </c>
      <c r="J332">
        <v>2002</v>
      </c>
      <c r="K332" s="21">
        <v>37547</v>
      </c>
      <c r="L332">
        <v>2002</v>
      </c>
      <c r="M332" s="21">
        <v>37994</v>
      </c>
      <c r="N332">
        <v>2004</v>
      </c>
      <c r="R332" s="262">
        <v>10000</v>
      </c>
      <c r="S332" t="s">
        <v>114</v>
      </c>
      <c r="T332" t="s">
        <v>114</v>
      </c>
      <c r="U332">
        <v>12</v>
      </c>
      <c r="W332">
        <v>256</v>
      </c>
      <c r="X332">
        <v>0</v>
      </c>
      <c r="Y332">
        <v>0</v>
      </c>
      <c r="Z332">
        <v>0</v>
      </c>
      <c r="AA332">
        <v>0</v>
      </c>
      <c r="AB332">
        <v>0</v>
      </c>
      <c r="AC332">
        <v>0</v>
      </c>
      <c r="AD332">
        <v>0</v>
      </c>
      <c r="AE332">
        <v>0</v>
      </c>
      <c r="AF332">
        <v>0</v>
      </c>
      <c r="AG332">
        <v>0</v>
      </c>
      <c r="AH332">
        <v>0</v>
      </c>
      <c r="AI332">
        <v>0</v>
      </c>
      <c r="AJ332">
        <v>256</v>
      </c>
      <c r="AK332">
        <v>0</v>
      </c>
      <c r="AL332">
        <v>0</v>
      </c>
      <c r="AM332">
        <v>0</v>
      </c>
      <c r="AN332">
        <v>0</v>
      </c>
      <c r="AO332">
        <v>0</v>
      </c>
      <c r="AP332">
        <v>0</v>
      </c>
      <c r="AQ332">
        <v>0</v>
      </c>
      <c r="AR332">
        <v>0</v>
      </c>
      <c r="AS332">
        <v>0</v>
      </c>
      <c r="AT332">
        <v>0</v>
      </c>
      <c r="AU332">
        <f t="shared" si="8"/>
        <v>0</v>
      </c>
      <c r="AV332">
        <f t="shared" si="9"/>
        <v>256</v>
      </c>
    </row>
    <row r="333" spans="1:48" x14ac:dyDescent="0.25">
      <c r="A333" t="s">
        <v>3174</v>
      </c>
      <c r="C333" t="s">
        <v>3175</v>
      </c>
      <c r="D333" t="s">
        <v>3176</v>
      </c>
      <c r="E333" t="s">
        <v>1663</v>
      </c>
      <c r="F333">
        <v>2</v>
      </c>
      <c r="G333">
        <v>2.6</v>
      </c>
      <c r="H333" t="s">
        <v>2327</v>
      </c>
      <c r="I333" s="21">
        <v>37522</v>
      </c>
      <c r="J333">
        <v>2002</v>
      </c>
      <c r="K333" s="21">
        <v>37552</v>
      </c>
      <c r="L333">
        <v>2002</v>
      </c>
      <c r="M333" s="21">
        <v>37703</v>
      </c>
      <c r="N333">
        <v>2003</v>
      </c>
      <c r="Q333" s="262">
        <v>150000</v>
      </c>
      <c r="S333" t="s">
        <v>114</v>
      </c>
      <c r="T333" t="s">
        <v>114</v>
      </c>
      <c r="W333">
        <v>1776</v>
      </c>
      <c r="X333">
        <v>1</v>
      </c>
      <c r="Y333">
        <v>0</v>
      </c>
      <c r="Z333">
        <v>0</v>
      </c>
      <c r="AA333">
        <v>0</v>
      </c>
      <c r="AB333">
        <v>0</v>
      </c>
      <c r="AC333">
        <v>0</v>
      </c>
      <c r="AD333">
        <v>1776</v>
      </c>
      <c r="AE333">
        <v>0</v>
      </c>
      <c r="AF333">
        <v>0</v>
      </c>
      <c r="AG333">
        <v>0</v>
      </c>
      <c r="AH333">
        <v>0</v>
      </c>
      <c r="AI333">
        <v>0</v>
      </c>
      <c r="AJ333">
        <v>0</v>
      </c>
      <c r="AK333">
        <v>0</v>
      </c>
      <c r="AL333">
        <v>0</v>
      </c>
      <c r="AM333">
        <v>0</v>
      </c>
      <c r="AN333">
        <v>0</v>
      </c>
      <c r="AO333">
        <v>0</v>
      </c>
      <c r="AP333">
        <v>1</v>
      </c>
      <c r="AQ333">
        <v>0</v>
      </c>
      <c r="AR333">
        <v>0</v>
      </c>
      <c r="AS333">
        <v>0</v>
      </c>
      <c r="AT333">
        <v>0</v>
      </c>
      <c r="AU333">
        <f t="shared" si="8"/>
        <v>1</v>
      </c>
      <c r="AV333">
        <f t="shared" si="9"/>
        <v>0</v>
      </c>
    </row>
    <row r="334" spans="1:48" x14ac:dyDescent="0.25">
      <c r="A334" t="s">
        <v>3177</v>
      </c>
      <c r="C334" t="s">
        <v>3178</v>
      </c>
      <c r="D334" t="s">
        <v>3179</v>
      </c>
      <c r="E334" t="s">
        <v>1663</v>
      </c>
      <c r="F334">
        <v>2</v>
      </c>
      <c r="G334">
        <v>2.6</v>
      </c>
      <c r="H334" t="s">
        <v>2327</v>
      </c>
      <c r="I334" s="21">
        <v>37522</v>
      </c>
      <c r="J334">
        <v>2002</v>
      </c>
      <c r="K334" s="21">
        <v>37552</v>
      </c>
      <c r="L334">
        <v>2002</v>
      </c>
      <c r="M334" s="21">
        <v>37703</v>
      </c>
      <c r="N334">
        <v>2003</v>
      </c>
      <c r="Q334" s="262">
        <v>150000</v>
      </c>
      <c r="S334" t="s">
        <v>114</v>
      </c>
      <c r="T334" t="s">
        <v>114</v>
      </c>
      <c r="W334">
        <v>1776</v>
      </c>
      <c r="X334">
        <v>1</v>
      </c>
      <c r="Y334">
        <v>0</v>
      </c>
      <c r="Z334">
        <v>0</v>
      </c>
      <c r="AA334">
        <v>0</v>
      </c>
      <c r="AB334">
        <v>0</v>
      </c>
      <c r="AC334">
        <v>0</v>
      </c>
      <c r="AD334">
        <v>1776</v>
      </c>
      <c r="AE334">
        <v>0</v>
      </c>
      <c r="AF334">
        <v>0</v>
      </c>
      <c r="AG334">
        <v>0</v>
      </c>
      <c r="AH334">
        <v>0</v>
      </c>
      <c r="AI334">
        <v>0</v>
      </c>
      <c r="AJ334">
        <v>0</v>
      </c>
      <c r="AK334">
        <v>0</v>
      </c>
      <c r="AL334">
        <v>0</v>
      </c>
      <c r="AM334">
        <v>0</v>
      </c>
      <c r="AN334">
        <v>0</v>
      </c>
      <c r="AO334">
        <v>0</v>
      </c>
      <c r="AP334">
        <v>1</v>
      </c>
      <c r="AQ334">
        <v>0</v>
      </c>
      <c r="AR334">
        <v>0</v>
      </c>
      <c r="AS334">
        <v>0</v>
      </c>
      <c r="AT334">
        <v>0</v>
      </c>
      <c r="AU334">
        <f t="shared" si="8"/>
        <v>1</v>
      </c>
      <c r="AV334">
        <f t="shared" si="9"/>
        <v>0</v>
      </c>
    </row>
    <row r="335" spans="1:48" x14ac:dyDescent="0.25">
      <c r="A335" t="s">
        <v>3165</v>
      </c>
      <c r="C335" t="s">
        <v>3166</v>
      </c>
      <c r="D335" t="s">
        <v>3167</v>
      </c>
      <c r="E335" t="s">
        <v>1663</v>
      </c>
      <c r="F335">
        <v>2</v>
      </c>
      <c r="G335">
        <v>2.1</v>
      </c>
      <c r="H335" t="s">
        <v>2327</v>
      </c>
      <c r="I335" s="21">
        <v>37522</v>
      </c>
      <c r="J335">
        <v>2002</v>
      </c>
      <c r="K335" s="21">
        <v>37552</v>
      </c>
      <c r="L335">
        <v>2002</v>
      </c>
      <c r="M335" s="21">
        <v>37703</v>
      </c>
      <c r="N335">
        <v>2003</v>
      </c>
      <c r="Q335" s="262">
        <v>1110600</v>
      </c>
      <c r="S335" t="s">
        <v>114</v>
      </c>
      <c r="T335" t="s">
        <v>114</v>
      </c>
      <c r="W335">
        <v>12306</v>
      </c>
      <c r="X335">
        <v>8</v>
      </c>
      <c r="Y335">
        <v>0</v>
      </c>
      <c r="Z335">
        <v>0</v>
      </c>
      <c r="AA335">
        <v>0</v>
      </c>
      <c r="AB335">
        <v>0</v>
      </c>
      <c r="AC335">
        <v>0</v>
      </c>
      <c r="AD335">
        <v>0</v>
      </c>
      <c r="AE335">
        <v>0</v>
      </c>
      <c r="AF335">
        <v>0</v>
      </c>
      <c r="AG335">
        <v>0</v>
      </c>
      <c r="AH335">
        <v>0</v>
      </c>
      <c r="AI335">
        <v>12306</v>
      </c>
      <c r="AJ335">
        <v>0</v>
      </c>
      <c r="AK335">
        <v>0</v>
      </c>
      <c r="AL335">
        <v>0</v>
      </c>
      <c r="AM335">
        <v>0</v>
      </c>
      <c r="AN335">
        <v>0</v>
      </c>
      <c r="AO335">
        <v>0</v>
      </c>
      <c r="AP335">
        <v>0</v>
      </c>
      <c r="AQ335">
        <v>0</v>
      </c>
      <c r="AR335">
        <v>0</v>
      </c>
      <c r="AS335">
        <v>0</v>
      </c>
      <c r="AT335">
        <v>8</v>
      </c>
      <c r="AU335">
        <f t="shared" si="8"/>
        <v>0</v>
      </c>
      <c r="AV335">
        <f t="shared" si="9"/>
        <v>12306</v>
      </c>
    </row>
    <row r="336" spans="1:48" x14ac:dyDescent="0.25">
      <c r="A336" t="s">
        <v>3168</v>
      </c>
      <c r="C336" t="s">
        <v>3169</v>
      </c>
      <c r="D336" t="s">
        <v>3170</v>
      </c>
      <c r="E336" t="s">
        <v>1663</v>
      </c>
      <c r="F336">
        <v>2</v>
      </c>
      <c r="G336">
        <v>2.1</v>
      </c>
      <c r="H336" t="s">
        <v>2327</v>
      </c>
      <c r="I336" s="21">
        <v>37522</v>
      </c>
      <c r="J336">
        <v>2002</v>
      </c>
      <c r="K336" s="21">
        <v>37552</v>
      </c>
      <c r="L336">
        <v>2002</v>
      </c>
      <c r="M336" s="21">
        <v>37703</v>
      </c>
      <c r="N336">
        <v>2003</v>
      </c>
      <c r="Q336" s="262">
        <v>1110600</v>
      </c>
      <c r="S336" t="s">
        <v>114</v>
      </c>
      <c r="T336" t="s">
        <v>114</v>
      </c>
      <c r="W336">
        <v>12306</v>
      </c>
      <c r="X336">
        <v>8</v>
      </c>
      <c r="Y336">
        <v>0</v>
      </c>
      <c r="Z336">
        <v>0</v>
      </c>
      <c r="AA336">
        <v>0</v>
      </c>
      <c r="AB336">
        <v>0</v>
      </c>
      <c r="AC336">
        <v>0</v>
      </c>
      <c r="AD336">
        <v>0</v>
      </c>
      <c r="AE336">
        <v>0</v>
      </c>
      <c r="AF336">
        <v>0</v>
      </c>
      <c r="AG336">
        <v>0</v>
      </c>
      <c r="AH336">
        <v>0</v>
      </c>
      <c r="AI336">
        <v>12306</v>
      </c>
      <c r="AJ336">
        <v>0</v>
      </c>
      <c r="AK336">
        <v>0</v>
      </c>
      <c r="AL336">
        <v>0</v>
      </c>
      <c r="AM336">
        <v>0</v>
      </c>
      <c r="AN336">
        <v>0</v>
      </c>
      <c r="AO336">
        <v>0</v>
      </c>
      <c r="AP336">
        <v>0</v>
      </c>
      <c r="AQ336">
        <v>0</v>
      </c>
      <c r="AR336">
        <v>0</v>
      </c>
      <c r="AS336">
        <v>0</v>
      </c>
      <c r="AT336">
        <v>8</v>
      </c>
      <c r="AU336">
        <f t="shared" si="8"/>
        <v>0</v>
      </c>
      <c r="AV336">
        <f t="shared" si="9"/>
        <v>12306</v>
      </c>
    </row>
    <row r="337" spans="1:48" x14ac:dyDescent="0.25">
      <c r="A337" t="s">
        <v>3171</v>
      </c>
      <c r="C337" t="s">
        <v>3172</v>
      </c>
      <c r="D337" t="s">
        <v>3173</v>
      </c>
      <c r="E337" t="s">
        <v>1663</v>
      </c>
      <c r="F337">
        <v>2</v>
      </c>
      <c r="G337">
        <v>2.1</v>
      </c>
      <c r="H337" t="s">
        <v>2327</v>
      </c>
      <c r="I337" s="21">
        <v>37522</v>
      </c>
      <c r="J337">
        <v>2002</v>
      </c>
      <c r="K337" s="21">
        <v>37552</v>
      </c>
      <c r="L337">
        <v>2002</v>
      </c>
      <c r="M337" s="21">
        <v>37703</v>
      </c>
      <c r="N337">
        <v>2003</v>
      </c>
      <c r="Q337" s="262">
        <v>1110600</v>
      </c>
      <c r="S337" t="s">
        <v>114</v>
      </c>
      <c r="T337" t="s">
        <v>114</v>
      </c>
      <c r="W337">
        <v>12306</v>
      </c>
      <c r="X337">
        <v>8</v>
      </c>
      <c r="Y337">
        <v>0</v>
      </c>
      <c r="Z337">
        <v>0</v>
      </c>
      <c r="AA337">
        <v>0</v>
      </c>
      <c r="AB337">
        <v>0</v>
      </c>
      <c r="AC337">
        <v>0</v>
      </c>
      <c r="AD337">
        <v>0</v>
      </c>
      <c r="AE337">
        <v>0</v>
      </c>
      <c r="AF337">
        <v>0</v>
      </c>
      <c r="AG337">
        <v>0</v>
      </c>
      <c r="AH337">
        <v>0</v>
      </c>
      <c r="AI337">
        <v>12306</v>
      </c>
      <c r="AJ337">
        <v>0</v>
      </c>
      <c r="AK337">
        <v>0</v>
      </c>
      <c r="AL337">
        <v>0</v>
      </c>
      <c r="AM337">
        <v>0</v>
      </c>
      <c r="AN337">
        <v>0</v>
      </c>
      <c r="AO337">
        <v>0</v>
      </c>
      <c r="AP337">
        <v>0</v>
      </c>
      <c r="AQ337">
        <v>0</v>
      </c>
      <c r="AR337">
        <v>0</v>
      </c>
      <c r="AS337">
        <v>0</v>
      </c>
      <c r="AT337">
        <v>8</v>
      </c>
      <c r="AU337">
        <f t="shared" si="8"/>
        <v>0</v>
      </c>
      <c r="AV337">
        <f t="shared" si="9"/>
        <v>12306</v>
      </c>
    </row>
    <row r="338" spans="1:48" x14ac:dyDescent="0.25">
      <c r="A338" t="s">
        <v>3183</v>
      </c>
      <c r="C338" t="s">
        <v>3184</v>
      </c>
      <c r="D338" t="s">
        <v>3185</v>
      </c>
      <c r="E338" t="s">
        <v>2310</v>
      </c>
      <c r="F338">
        <v>15</v>
      </c>
      <c r="G338">
        <v>15.1</v>
      </c>
      <c r="H338" t="s">
        <v>2022</v>
      </c>
      <c r="I338" s="21">
        <v>37524</v>
      </c>
      <c r="J338">
        <v>2002</v>
      </c>
      <c r="K338" s="21">
        <v>37546</v>
      </c>
      <c r="L338">
        <v>2002</v>
      </c>
      <c r="M338" s="21">
        <v>37546</v>
      </c>
      <c r="N338">
        <v>2002</v>
      </c>
      <c r="R338" s="262">
        <v>20000</v>
      </c>
      <c r="S338" t="s">
        <v>114</v>
      </c>
      <c r="T338" t="s">
        <v>114</v>
      </c>
      <c r="U338">
        <v>7</v>
      </c>
      <c r="W338">
        <v>452</v>
      </c>
      <c r="X338">
        <v>1</v>
      </c>
      <c r="Y338">
        <v>0</v>
      </c>
      <c r="Z338">
        <v>0</v>
      </c>
      <c r="AA338">
        <v>0</v>
      </c>
      <c r="AB338">
        <v>0</v>
      </c>
      <c r="AC338">
        <v>0</v>
      </c>
      <c r="AD338">
        <v>0</v>
      </c>
      <c r="AE338">
        <v>452</v>
      </c>
      <c r="AF338">
        <v>0</v>
      </c>
      <c r="AG338">
        <v>0</v>
      </c>
      <c r="AH338">
        <v>0</v>
      </c>
      <c r="AI338">
        <v>0</v>
      </c>
      <c r="AJ338">
        <v>0</v>
      </c>
      <c r="AK338">
        <v>0</v>
      </c>
      <c r="AL338">
        <v>0</v>
      </c>
      <c r="AM338">
        <v>0</v>
      </c>
      <c r="AN338">
        <v>0</v>
      </c>
      <c r="AO338">
        <v>0</v>
      </c>
      <c r="AP338">
        <v>0</v>
      </c>
      <c r="AQ338">
        <v>1</v>
      </c>
      <c r="AR338">
        <v>0</v>
      </c>
      <c r="AS338">
        <v>0</v>
      </c>
      <c r="AT338">
        <v>0</v>
      </c>
      <c r="AU338">
        <f t="shared" si="8"/>
        <v>1</v>
      </c>
      <c r="AV338">
        <f t="shared" si="9"/>
        <v>0</v>
      </c>
    </row>
    <row r="339" spans="1:48" x14ac:dyDescent="0.25">
      <c r="A339" t="s">
        <v>3188</v>
      </c>
      <c r="C339" t="s">
        <v>3189</v>
      </c>
      <c r="D339" t="s">
        <v>2504</v>
      </c>
      <c r="E339" t="s">
        <v>2310</v>
      </c>
      <c r="F339">
        <v>14</v>
      </c>
      <c r="G339">
        <v>14.1</v>
      </c>
      <c r="H339" t="s">
        <v>2022</v>
      </c>
      <c r="I339" s="21">
        <v>37525</v>
      </c>
      <c r="J339">
        <v>2002</v>
      </c>
      <c r="K339" s="21">
        <v>37553</v>
      </c>
      <c r="L339">
        <v>2002</v>
      </c>
      <c r="M339" s="21">
        <v>38477</v>
      </c>
      <c r="N339">
        <v>2005</v>
      </c>
      <c r="R339" s="262">
        <v>15000</v>
      </c>
      <c r="S339" t="s">
        <v>114</v>
      </c>
      <c r="T339" t="s">
        <v>114</v>
      </c>
      <c r="U339">
        <v>5</v>
      </c>
      <c r="W339">
        <v>936</v>
      </c>
      <c r="X339">
        <v>0</v>
      </c>
      <c r="Y339">
        <v>0</v>
      </c>
      <c r="Z339">
        <v>0</v>
      </c>
      <c r="AA339">
        <v>0</v>
      </c>
      <c r="AB339">
        <v>0</v>
      </c>
      <c r="AC339">
        <v>936</v>
      </c>
      <c r="AD339">
        <v>0</v>
      </c>
      <c r="AE339">
        <v>0</v>
      </c>
      <c r="AF339">
        <v>0</v>
      </c>
      <c r="AG339">
        <v>0</v>
      </c>
      <c r="AH339">
        <v>0</v>
      </c>
      <c r="AI339">
        <v>0</v>
      </c>
      <c r="AJ339">
        <v>0</v>
      </c>
      <c r="AK339">
        <v>0</v>
      </c>
      <c r="AL339">
        <v>0</v>
      </c>
      <c r="AM339">
        <v>0</v>
      </c>
      <c r="AN339">
        <v>0</v>
      </c>
      <c r="AO339">
        <v>0</v>
      </c>
      <c r="AP339">
        <v>0</v>
      </c>
      <c r="AQ339">
        <v>0</v>
      </c>
      <c r="AR339">
        <v>0</v>
      </c>
      <c r="AS339">
        <v>0</v>
      </c>
      <c r="AT339">
        <v>0</v>
      </c>
      <c r="AU339">
        <f t="shared" si="8"/>
        <v>0</v>
      </c>
      <c r="AV339">
        <f t="shared" si="9"/>
        <v>0</v>
      </c>
    </row>
    <row r="340" spans="1:48" x14ac:dyDescent="0.25">
      <c r="A340" t="s">
        <v>3190</v>
      </c>
      <c r="C340" t="s">
        <v>3191</v>
      </c>
      <c r="D340" t="s">
        <v>3192</v>
      </c>
      <c r="E340" t="s">
        <v>2310</v>
      </c>
      <c r="F340">
        <v>9</v>
      </c>
      <c r="G340">
        <v>9.1</v>
      </c>
      <c r="H340" t="s">
        <v>2323</v>
      </c>
      <c r="I340" s="21">
        <v>37525</v>
      </c>
      <c r="J340">
        <v>2002</v>
      </c>
      <c r="K340" s="21">
        <v>37551</v>
      </c>
      <c r="L340">
        <v>2002</v>
      </c>
      <c r="M340" s="21">
        <v>38111</v>
      </c>
      <c r="N340">
        <v>2004</v>
      </c>
      <c r="R340" s="262">
        <v>160000</v>
      </c>
      <c r="S340" t="s">
        <v>114</v>
      </c>
      <c r="T340" t="s">
        <v>114</v>
      </c>
      <c r="U340">
        <v>5</v>
      </c>
      <c r="W340">
        <v>1256</v>
      </c>
      <c r="X340">
        <v>0</v>
      </c>
      <c r="Y340">
        <v>0</v>
      </c>
      <c r="Z340">
        <v>0</v>
      </c>
      <c r="AA340">
        <v>0</v>
      </c>
      <c r="AB340">
        <v>0</v>
      </c>
      <c r="AC340">
        <v>1256</v>
      </c>
      <c r="AD340">
        <v>0</v>
      </c>
      <c r="AE340">
        <v>0</v>
      </c>
      <c r="AF340">
        <v>0</v>
      </c>
      <c r="AG340">
        <v>0</v>
      </c>
      <c r="AH340">
        <v>0</v>
      </c>
      <c r="AI340">
        <v>0</v>
      </c>
      <c r="AJ340">
        <v>0</v>
      </c>
      <c r="AK340">
        <v>0</v>
      </c>
      <c r="AL340">
        <v>0</v>
      </c>
      <c r="AM340">
        <v>0</v>
      </c>
      <c r="AN340">
        <v>0</v>
      </c>
      <c r="AO340">
        <v>0</v>
      </c>
      <c r="AP340">
        <v>0</v>
      </c>
      <c r="AQ340">
        <v>0</v>
      </c>
      <c r="AR340">
        <v>0</v>
      </c>
      <c r="AS340">
        <v>0</v>
      </c>
      <c r="AT340">
        <v>0</v>
      </c>
      <c r="AU340">
        <f t="shared" si="8"/>
        <v>0</v>
      </c>
      <c r="AV340">
        <f t="shared" si="9"/>
        <v>0</v>
      </c>
    </row>
    <row r="341" spans="1:48" x14ac:dyDescent="0.25">
      <c r="A341" t="s">
        <v>3186</v>
      </c>
      <c r="C341" t="s">
        <v>2329</v>
      </c>
      <c r="D341" t="s">
        <v>3187</v>
      </c>
      <c r="E341" t="s">
        <v>1663</v>
      </c>
      <c r="F341">
        <v>3</v>
      </c>
      <c r="G341">
        <v>3.2</v>
      </c>
      <c r="H341" t="s">
        <v>2327</v>
      </c>
      <c r="I341" s="21">
        <v>37525</v>
      </c>
      <c r="J341">
        <v>2002</v>
      </c>
      <c r="K341" s="21">
        <v>37555</v>
      </c>
      <c r="L341">
        <v>2002</v>
      </c>
      <c r="M341" s="21">
        <v>37706</v>
      </c>
      <c r="N341">
        <v>2003</v>
      </c>
      <c r="Q341" s="262">
        <v>172428</v>
      </c>
      <c r="S341" t="s">
        <v>114</v>
      </c>
      <c r="T341" t="s">
        <v>114</v>
      </c>
      <c r="W341">
        <v>2408</v>
      </c>
      <c r="X341">
        <v>1</v>
      </c>
      <c r="Y341">
        <v>0</v>
      </c>
      <c r="Z341">
        <v>0</v>
      </c>
      <c r="AA341">
        <v>0</v>
      </c>
      <c r="AB341">
        <v>0</v>
      </c>
      <c r="AC341">
        <v>2408</v>
      </c>
      <c r="AD341">
        <v>0</v>
      </c>
      <c r="AE341">
        <v>0</v>
      </c>
      <c r="AF341">
        <v>0</v>
      </c>
      <c r="AG341">
        <v>0</v>
      </c>
      <c r="AH341">
        <v>0</v>
      </c>
      <c r="AI341">
        <v>0</v>
      </c>
      <c r="AJ341">
        <v>0</v>
      </c>
      <c r="AK341">
        <v>0</v>
      </c>
      <c r="AL341">
        <v>0</v>
      </c>
      <c r="AM341">
        <v>0</v>
      </c>
      <c r="AN341">
        <v>0</v>
      </c>
      <c r="AO341">
        <v>1</v>
      </c>
      <c r="AP341">
        <v>0</v>
      </c>
      <c r="AQ341">
        <v>0</v>
      </c>
      <c r="AR341">
        <v>0</v>
      </c>
      <c r="AS341">
        <v>0</v>
      </c>
      <c r="AT341">
        <v>0</v>
      </c>
      <c r="AU341">
        <f t="shared" si="8"/>
        <v>1</v>
      </c>
      <c r="AV341">
        <f t="shared" si="9"/>
        <v>0</v>
      </c>
    </row>
    <row r="342" spans="1:48" x14ac:dyDescent="0.25">
      <c r="A342" t="s">
        <v>3193</v>
      </c>
      <c r="C342" t="s">
        <v>2437</v>
      </c>
      <c r="D342" t="s">
        <v>3194</v>
      </c>
      <c r="E342" t="s">
        <v>2310</v>
      </c>
      <c r="F342">
        <v>8</v>
      </c>
      <c r="G342">
        <v>8.1999999999999993</v>
      </c>
      <c r="H342" t="s">
        <v>2022</v>
      </c>
      <c r="I342" s="21">
        <v>37526</v>
      </c>
      <c r="J342">
        <v>2002</v>
      </c>
      <c r="K342" s="21">
        <v>37581</v>
      </c>
      <c r="L342">
        <v>2002</v>
      </c>
      <c r="M342" s="21">
        <v>38063</v>
      </c>
      <c r="N342">
        <v>2004</v>
      </c>
      <c r="R342" s="262">
        <v>189000</v>
      </c>
      <c r="S342" t="s">
        <v>114</v>
      </c>
      <c r="T342" t="s">
        <v>114</v>
      </c>
      <c r="U342">
        <v>5</v>
      </c>
      <c r="W342">
        <v>1565</v>
      </c>
      <c r="X342">
        <v>0</v>
      </c>
      <c r="Y342">
        <v>0</v>
      </c>
      <c r="Z342">
        <v>0</v>
      </c>
      <c r="AA342">
        <v>0</v>
      </c>
      <c r="AB342">
        <v>0</v>
      </c>
      <c r="AC342">
        <v>1565</v>
      </c>
      <c r="AD342">
        <v>0</v>
      </c>
      <c r="AE342">
        <v>0</v>
      </c>
      <c r="AF342">
        <v>0</v>
      </c>
      <c r="AG342">
        <v>0</v>
      </c>
      <c r="AH342">
        <v>0</v>
      </c>
      <c r="AI342">
        <v>0</v>
      </c>
      <c r="AJ342">
        <v>0</v>
      </c>
      <c r="AK342">
        <v>0</v>
      </c>
      <c r="AL342">
        <v>0</v>
      </c>
      <c r="AM342">
        <v>0</v>
      </c>
      <c r="AN342">
        <v>0</v>
      </c>
      <c r="AO342">
        <v>0</v>
      </c>
      <c r="AP342">
        <v>0</v>
      </c>
      <c r="AQ342">
        <v>0</v>
      </c>
      <c r="AR342">
        <v>0</v>
      </c>
      <c r="AS342">
        <v>0</v>
      </c>
      <c r="AT342">
        <v>0</v>
      </c>
      <c r="AU342">
        <f t="shared" si="8"/>
        <v>0</v>
      </c>
      <c r="AV342">
        <f t="shared" si="9"/>
        <v>0</v>
      </c>
    </row>
    <row r="343" spans="1:48" x14ac:dyDescent="0.25">
      <c r="A343" t="s">
        <v>3195</v>
      </c>
      <c r="C343" t="s">
        <v>3196</v>
      </c>
      <c r="D343" t="s">
        <v>3197</v>
      </c>
      <c r="E343" t="s">
        <v>2310</v>
      </c>
      <c r="F343">
        <v>8</v>
      </c>
      <c r="G343">
        <v>8.3000000000000007</v>
      </c>
      <c r="H343" t="s">
        <v>2323</v>
      </c>
      <c r="I343" s="21">
        <v>37526</v>
      </c>
      <c r="J343">
        <v>2002</v>
      </c>
      <c r="K343" s="21">
        <v>37557</v>
      </c>
      <c r="L343">
        <v>2002</v>
      </c>
      <c r="M343" s="21">
        <v>37557</v>
      </c>
      <c r="N343">
        <v>2002</v>
      </c>
      <c r="R343" s="262">
        <v>20000</v>
      </c>
      <c r="S343" t="s">
        <v>114</v>
      </c>
      <c r="T343" t="s">
        <v>114</v>
      </c>
      <c r="U343">
        <v>5</v>
      </c>
      <c r="W343">
        <v>768</v>
      </c>
      <c r="X343">
        <v>0</v>
      </c>
      <c r="Y343">
        <v>0</v>
      </c>
      <c r="Z343">
        <v>0</v>
      </c>
      <c r="AA343">
        <v>0</v>
      </c>
      <c r="AB343">
        <v>0</v>
      </c>
      <c r="AC343">
        <v>768</v>
      </c>
      <c r="AD343">
        <v>0</v>
      </c>
      <c r="AE343">
        <v>0</v>
      </c>
      <c r="AF343">
        <v>0</v>
      </c>
      <c r="AG343">
        <v>0</v>
      </c>
      <c r="AH343">
        <v>0</v>
      </c>
      <c r="AI343">
        <v>0</v>
      </c>
      <c r="AJ343">
        <v>0</v>
      </c>
      <c r="AK343">
        <v>0</v>
      </c>
      <c r="AL343">
        <v>0</v>
      </c>
      <c r="AM343">
        <v>0</v>
      </c>
      <c r="AN343">
        <v>0</v>
      </c>
      <c r="AO343">
        <v>0</v>
      </c>
      <c r="AP343">
        <v>0</v>
      </c>
      <c r="AQ343">
        <v>0</v>
      </c>
      <c r="AR343">
        <v>0</v>
      </c>
      <c r="AS343">
        <v>0</v>
      </c>
      <c r="AT343">
        <v>0</v>
      </c>
      <c r="AU343">
        <f t="shared" si="8"/>
        <v>0</v>
      </c>
      <c r="AV343">
        <f t="shared" si="9"/>
        <v>0</v>
      </c>
    </row>
    <row r="344" spans="1:48" x14ac:dyDescent="0.25">
      <c r="A344" t="s">
        <v>3198</v>
      </c>
      <c r="C344" t="s">
        <v>3199</v>
      </c>
      <c r="D344" t="s">
        <v>3200</v>
      </c>
      <c r="E344" t="s">
        <v>2310</v>
      </c>
      <c r="F344">
        <v>7</v>
      </c>
      <c r="G344">
        <v>7.1</v>
      </c>
      <c r="H344" t="s">
        <v>2017</v>
      </c>
      <c r="I344" s="21">
        <v>37526</v>
      </c>
      <c r="J344">
        <v>2002</v>
      </c>
      <c r="K344" s="21">
        <v>37557</v>
      </c>
      <c r="L344">
        <v>2002</v>
      </c>
      <c r="M344" s="21">
        <v>37557</v>
      </c>
      <c r="N344">
        <v>2002</v>
      </c>
      <c r="R344" s="262">
        <v>1000</v>
      </c>
      <c r="S344" t="s">
        <v>114</v>
      </c>
      <c r="T344" t="s">
        <v>114</v>
      </c>
      <c r="U344">
        <v>14</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c r="AQ344">
        <v>0</v>
      </c>
      <c r="AR344">
        <v>0</v>
      </c>
      <c r="AS344">
        <v>0</v>
      </c>
      <c r="AT344">
        <v>0</v>
      </c>
      <c r="AU344">
        <f t="shared" si="8"/>
        <v>0</v>
      </c>
      <c r="AV344">
        <f t="shared" si="9"/>
        <v>0</v>
      </c>
    </row>
    <row r="345" spans="1:48" x14ac:dyDescent="0.25">
      <c r="A345" t="s">
        <v>3201</v>
      </c>
      <c r="C345" t="s">
        <v>3202</v>
      </c>
      <c r="D345" t="s">
        <v>3203</v>
      </c>
      <c r="E345" t="s">
        <v>2310</v>
      </c>
      <c r="F345">
        <v>9</v>
      </c>
      <c r="G345">
        <v>9.3000000000000007</v>
      </c>
      <c r="H345" t="s">
        <v>2323</v>
      </c>
      <c r="I345" s="21">
        <v>37530</v>
      </c>
      <c r="J345">
        <v>2002</v>
      </c>
      <c r="K345" s="21">
        <v>37554</v>
      </c>
      <c r="L345">
        <v>2002</v>
      </c>
      <c r="M345" s="21">
        <v>37554</v>
      </c>
      <c r="N345">
        <v>2002</v>
      </c>
      <c r="R345" s="262">
        <v>6250</v>
      </c>
      <c r="S345" t="s">
        <v>114</v>
      </c>
      <c r="T345" t="s">
        <v>114</v>
      </c>
      <c r="U345">
        <v>5</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c r="AQ345">
        <v>0</v>
      </c>
      <c r="AR345">
        <v>0</v>
      </c>
      <c r="AS345">
        <v>0</v>
      </c>
      <c r="AT345">
        <v>0</v>
      </c>
      <c r="AU345">
        <f t="shared" ref="AU345:AU408" si="10">SUM(AN345:AQ345,AS345)</f>
        <v>0</v>
      </c>
      <c r="AV345">
        <f t="shared" ref="AV345:AV408" si="11">SUM(Y345:AB345,AH345:AM345)</f>
        <v>0</v>
      </c>
    </row>
    <row r="346" spans="1:48" x14ac:dyDescent="0.25">
      <c r="A346" t="s">
        <v>3204</v>
      </c>
      <c r="C346" t="s">
        <v>3205</v>
      </c>
      <c r="D346" t="s">
        <v>3206</v>
      </c>
      <c r="E346" t="s">
        <v>2310</v>
      </c>
      <c r="F346">
        <v>9</v>
      </c>
      <c r="G346">
        <v>9.1</v>
      </c>
      <c r="H346" t="s">
        <v>2323</v>
      </c>
      <c r="I346" s="21">
        <v>37530</v>
      </c>
      <c r="J346">
        <v>2002</v>
      </c>
      <c r="K346" s="21">
        <v>37547</v>
      </c>
      <c r="L346">
        <v>2002</v>
      </c>
      <c r="M346" s="21">
        <v>38063</v>
      </c>
      <c r="N346">
        <v>2004</v>
      </c>
      <c r="R346" s="262">
        <v>15000</v>
      </c>
      <c r="S346" t="s">
        <v>114</v>
      </c>
      <c r="T346" t="s">
        <v>114</v>
      </c>
      <c r="U346">
        <v>5</v>
      </c>
      <c r="W346">
        <v>21</v>
      </c>
      <c r="X346">
        <v>0</v>
      </c>
      <c r="Y346">
        <v>0</v>
      </c>
      <c r="Z346">
        <v>0</v>
      </c>
      <c r="AA346">
        <v>0</v>
      </c>
      <c r="AB346">
        <v>0</v>
      </c>
      <c r="AC346">
        <v>21</v>
      </c>
      <c r="AD346">
        <v>0</v>
      </c>
      <c r="AE346">
        <v>0</v>
      </c>
      <c r="AF346">
        <v>0</v>
      </c>
      <c r="AG346">
        <v>0</v>
      </c>
      <c r="AH346">
        <v>0</v>
      </c>
      <c r="AI346">
        <v>0</v>
      </c>
      <c r="AJ346">
        <v>0</v>
      </c>
      <c r="AK346">
        <v>0</v>
      </c>
      <c r="AL346">
        <v>0</v>
      </c>
      <c r="AM346">
        <v>0</v>
      </c>
      <c r="AN346">
        <v>0</v>
      </c>
      <c r="AO346">
        <v>0</v>
      </c>
      <c r="AP346">
        <v>0</v>
      </c>
      <c r="AQ346">
        <v>0</v>
      </c>
      <c r="AR346">
        <v>0</v>
      </c>
      <c r="AS346">
        <v>0</v>
      </c>
      <c r="AT346">
        <v>0</v>
      </c>
      <c r="AU346">
        <f t="shared" si="10"/>
        <v>0</v>
      </c>
      <c r="AV346">
        <f t="shared" si="11"/>
        <v>0</v>
      </c>
    </row>
    <row r="347" spans="1:48" x14ac:dyDescent="0.25">
      <c r="A347" t="s">
        <v>3207</v>
      </c>
      <c r="C347" t="s">
        <v>3208</v>
      </c>
      <c r="D347" t="s">
        <v>3209</v>
      </c>
      <c r="E347" t="s">
        <v>2310</v>
      </c>
      <c r="F347">
        <v>9</v>
      </c>
      <c r="G347">
        <v>9.3000000000000007</v>
      </c>
      <c r="H347" t="s">
        <v>2323</v>
      </c>
      <c r="I347" s="21">
        <v>37530</v>
      </c>
      <c r="J347">
        <v>2002</v>
      </c>
      <c r="K347" s="21">
        <v>37573</v>
      </c>
      <c r="L347">
        <v>2002</v>
      </c>
      <c r="M347" s="21">
        <v>38219</v>
      </c>
      <c r="N347">
        <v>2004</v>
      </c>
      <c r="R347" s="262">
        <v>130000</v>
      </c>
      <c r="S347" t="s">
        <v>114</v>
      </c>
      <c r="T347" t="s">
        <v>114</v>
      </c>
      <c r="U347">
        <v>8</v>
      </c>
      <c r="W347">
        <v>514</v>
      </c>
      <c r="X347">
        <v>1</v>
      </c>
      <c r="Y347">
        <v>0</v>
      </c>
      <c r="Z347">
        <v>0</v>
      </c>
      <c r="AA347">
        <v>0</v>
      </c>
      <c r="AB347">
        <v>0</v>
      </c>
      <c r="AC347">
        <v>0</v>
      </c>
      <c r="AD347">
        <v>0</v>
      </c>
      <c r="AE347">
        <v>0</v>
      </c>
      <c r="AF347">
        <v>514</v>
      </c>
      <c r="AG347">
        <v>0</v>
      </c>
      <c r="AH347">
        <v>0</v>
      </c>
      <c r="AI347">
        <v>0</v>
      </c>
      <c r="AJ347">
        <v>0</v>
      </c>
      <c r="AK347">
        <v>0</v>
      </c>
      <c r="AL347">
        <v>0</v>
      </c>
      <c r="AM347">
        <v>0</v>
      </c>
      <c r="AN347">
        <v>0</v>
      </c>
      <c r="AO347">
        <v>0</v>
      </c>
      <c r="AP347">
        <v>0</v>
      </c>
      <c r="AQ347">
        <v>0</v>
      </c>
      <c r="AR347">
        <v>1</v>
      </c>
      <c r="AS347">
        <v>0</v>
      </c>
      <c r="AT347">
        <v>0</v>
      </c>
      <c r="AU347">
        <f t="shared" si="10"/>
        <v>0</v>
      </c>
      <c r="AV347">
        <f t="shared" si="11"/>
        <v>0</v>
      </c>
    </row>
    <row r="348" spans="1:48" x14ac:dyDescent="0.25">
      <c r="A348" t="s">
        <v>3210</v>
      </c>
      <c r="C348" t="s">
        <v>3211</v>
      </c>
      <c r="D348" t="s">
        <v>3212</v>
      </c>
      <c r="E348" t="s">
        <v>2310</v>
      </c>
      <c r="F348">
        <v>9</v>
      </c>
      <c r="G348">
        <v>9.1</v>
      </c>
      <c r="H348" t="s">
        <v>2323</v>
      </c>
      <c r="I348" s="21">
        <v>37531</v>
      </c>
      <c r="J348">
        <v>2002</v>
      </c>
      <c r="K348" s="21">
        <v>37558</v>
      </c>
      <c r="L348">
        <v>2002</v>
      </c>
      <c r="M348" s="21">
        <v>38174</v>
      </c>
      <c r="N348">
        <v>2004</v>
      </c>
      <c r="R348" s="262">
        <v>2000000</v>
      </c>
      <c r="S348" t="s">
        <v>114</v>
      </c>
      <c r="T348" t="s">
        <v>114</v>
      </c>
      <c r="U348">
        <v>5</v>
      </c>
      <c r="W348">
        <v>8902</v>
      </c>
      <c r="X348">
        <v>1</v>
      </c>
      <c r="Y348">
        <v>0</v>
      </c>
      <c r="Z348">
        <v>0</v>
      </c>
      <c r="AA348">
        <v>0</v>
      </c>
      <c r="AB348">
        <v>0</v>
      </c>
      <c r="AC348">
        <v>8902</v>
      </c>
      <c r="AD348">
        <v>0</v>
      </c>
      <c r="AE348">
        <v>0</v>
      </c>
      <c r="AF348">
        <v>0</v>
      </c>
      <c r="AG348">
        <v>0</v>
      </c>
      <c r="AH348">
        <v>0</v>
      </c>
      <c r="AI348">
        <v>0</v>
      </c>
      <c r="AJ348">
        <v>0</v>
      </c>
      <c r="AK348">
        <v>0</v>
      </c>
      <c r="AL348">
        <v>0</v>
      </c>
      <c r="AM348">
        <v>0</v>
      </c>
      <c r="AN348">
        <v>0</v>
      </c>
      <c r="AO348">
        <v>1</v>
      </c>
      <c r="AP348">
        <v>0</v>
      </c>
      <c r="AQ348">
        <v>0</v>
      </c>
      <c r="AR348">
        <v>0</v>
      </c>
      <c r="AS348">
        <v>0</v>
      </c>
      <c r="AT348">
        <v>0</v>
      </c>
      <c r="AU348">
        <f t="shared" si="10"/>
        <v>1</v>
      </c>
      <c r="AV348">
        <f t="shared" si="11"/>
        <v>0</v>
      </c>
    </row>
    <row r="349" spans="1:48" x14ac:dyDescent="0.25">
      <c r="A349" t="s">
        <v>3213</v>
      </c>
      <c r="C349" t="s">
        <v>2486</v>
      </c>
      <c r="D349" t="s">
        <v>3214</v>
      </c>
      <c r="E349" t="s">
        <v>2310</v>
      </c>
      <c r="F349">
        <v>10</v>
      </c>
      <c r="G349">
        <v>10.1</v>
      </c>
      <c r="H349" t="s">
        <v>2323</v>
      </c>
      <c r="I349" s="21">
        <v>37531</v>
      </c>
      <c r="J349">
        <v>2002</v>
      </c>
      <c r="K349" s="21">
        <v>37575</v>
      </c>
      <c r="L349">
        <v>2002</v>
      </c>
      <c r="M349" s="21">
        <v>38131</v>
      </c>
      <c r="N349">
        <v>2004</v>
      </c>
      <c r="R349" s="262">
        <v>101000</v>
      </c>
      <c r="S349" t="s">
        <v>114</v>
      </c>
      <c r="T349" t="s">
        <v>114</v>
      </c>
      <c r="U349">
        <v>5</v>
      </c>
      <c r="W349">
        <v>1461</v>
      </c>
      <c r="X349">
        <v>1</v>
      </c>
      <c r="Y349">
        <v>0</v>
      </c>
      <c r="Z349">
        <v>0</v>
      </c>
      <c r="AA349">
        <v>0</v>
      </c>
      <c r="AB349">
        <v>0</v>
      </c>
      <c r="AC349">
        <v>1461</v>
      </c>
      <c r="AD349">
        <v>0</v>
      </c>
      <c r="AE349">
        <v>0</v>
      </c>
      <c r="AF349">
        <v>0</v>
      </c>
      <c r="AG349">
        <v>0</v>
      </c>
      <c r="AH349">
        <v>0</v>
      </c>
      <c r="AI349">
        <v>0</v>
      </c>
      <c r="AJ349">
        <v>0</v>
      </c>
      <c r="AK349">
        <v>0</v>
      </c>
      <c r="AL349">
        <v>0</v>
      </c>
      <c r="AM349">
        <v>0</v>
      </c>
      <c r="AN349">
        <v>0</v>
      </c>
      <c r="AO349">
        <v>1</v>
      </c>
      <c r="AP349">
        <v>0</v>
      </c>
      <c r="AQ349">
        <v>0</v>
      </c>
      <c r="AR349">
        <v>0</v>
      </c>
      <c r="AS349">
        <v>0</v>
      </c>
      <c r="AT349">
        <v>0</v>
      </c>
      <c r="AU349">
        <f t="shared" si="10"/>
        <v>1</v>
      </c>
      <c r="AV349">
        <f t="shared" si="11"/>
        <v>0</v>
      </c>
    </row>
    <row r="350" spans="1:48" x14ac:dyDescent="0.25">
      <c r="A350" t="s">
        <v>3215</v>
      </c>
      <c r="C350" t="s">
        <v>3216</v>
      </c>
      <c r="D350" t="s">
        <v>3217</v>
      </c>
      <c r="E350" t="s">
        <v>2310</v>
      </c>
      <c r="F350">
        <v>10</v>
      </c>
      <c r="G350">
        <v>10.1</v>
      </c>
      <c r="H350" t="s">
        <v>2323</v>
      </c>
      <c r="I350" s="21">
        <v>37532</v>
      </c>
      <c r="J350">
        <v>2002</v>
      </c>
      <c r="K350" s="21">
        <v>37593</v>
      </c>
      <c r="L350">
        <v>2002</v>
      </c>
      <c r="M350" s="21">
        <v>39434</v>
      </c>
      <c r="N350">
        <v>2007</v>
      </c>
      <c r="R350" s="262">
        <v>229000</v>
      </c>
      <c r="S350" t="s">
        <v>114</v>
      </c>
      <c r="T350" t="s">
        <v>114</v>
      </c>
      <c r="U350">
        <v>5</v>
      </c>
      <c r="W350">
        <v>2736</v>
      </c>
      <c r="X350">
        <v>1</v>
      </c>
      <c r="Y350">
        <v>0</v>
      </c>
      <c r="Z350">
        <v>0</v>
      </c>
      <c r="AA350">
        <v>0</v>
      </c>
      <c r="AB350">
        <v>0</v>
      </c>
      <c r="AC350">
        <v>2736</v>
      </c>
      <c r="AD350">
        <v>0</v>
      </c>
      <c r="AE350">
        <v>0</v>
      </c>
      <c r="AF350">
        <v>0</v>
      </c>
      <c r="AG350">
        <v>0</v>
      </c>
      <c r="AH350">
        <v>0</v>
      </c>
      <c r="AI350">
        <v>0</v>
      </c>
      <c r="AJ350">
        <v>0</v>
      </c>
      <c r="AK350">
        <v>0</v>
      </c>
      <c r="AL350">
        <v>0</v>
      </c>
      <c r="AM350">
        <v>0</v>
      </c>
      <c r="AN350">
        <v>0</v>
      </c>
      <c r="AO350">
        <v>1</v>
      </c>
      <c r="AP350">
        <v>0</v>
      </c>
      <c r="AQ350">
        <v>0</v>
      </c>
      <c r="AR350">
        <v>0</v>
      </c>
      <c r="AS350">
        <v>0</v>
      </c>
      <c r="AT350">
        <v>0</v>
      </c>
      <c r="AU350">
        <f t="shared" si="10"/>
        <v>1</v>
      </c>
      <c r="AV350">
        <f t="shared" si="11"/>
        <v>0</v>
      </c>
    </row>
    <row r="351" spans="1:48" x14ac:dyDescent="0.25">
      <c r="A351" t="s">
        <v>3218</v>
      </c>
      <c r="C351" t="s">
        <v>3219</v>
      </c>
      <c r="D351" t="s">
        <v>3220</v>
      </c>
      <c r="E351" t="s">
        <v>2310</v>
      </c>
      <c r="F351">
        <v>15</v>
      </c>
      <c r="G351">
        <v>15.1</v>
      </c>
      <c r="H351" t="s">
        <v>2022</v>
      </c>
      <c r="I351" s="21">
        <v>37532</v>
      </c>
      <c r="J351">
        <v>2002</v>
      </c>
      <c r="K351" s="21">
        <v>37546</v>
      </c>
      <c r="L351">
        <v>2002</v>
      </c>
      <c r="M351" s="21">
        <v>37546</v>
      </c>
      <c r="N351">
        <v>2002</v>
      </c>
      <c r="R351" s="262">
        <v>0</v>
      </c>
      <c r="S351" t="s">
        <v>114</v>
      </c>
      <c r="T351" t="s">
        <v>114</v>
      </c>
      <c r="U351">
        <v>15</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f t="shared" si="10"/>
        <v>0</v>
      </c>
      <c r="AV351">
        <f t="shared" si="11"/>
        <v>0</v>
      </c>
    </row>
    <row r="352" spans="1:48" x14ac:dyDescent="0.25">
      <c r="A352" t="s">
        <v>3221</v>
      </c>
      <c r="C352" t="s">
        <v>3222</v>
      </c>
      <c r="D352" t="s">
        <v>2776</v>
      </c>
      <c r="E352" t="s">
        <v>2310</v>
      </c>
      <c r="F352">
        <v>13</v>
      </c>
      <c r="G352">
        <v>13.1</v>
      </c>
      <c r="H352" t="s">
        <v>2327</v>
      </c>
      <c r="I352" s="21">
        <v>37532</v>
      </c>
      <c r="J352">
        <v>2002</v>
      </c>
      <c r="K352" s="21">
        <v>37559</v>
      </c>
      <c r="L352">
        <v>2002</v>
      </c>
      <c r="M352" s="21">
        <v>37617</v>
      </c>
      <c r="N352">
        <v>2002</v>
      </c>
      <c r="R352" s="262">
        <v>100000</v>
      </c>
      <c r="S352" t="s">
        <v>114</v>
      </c>
      <c r="T352" t="s">
        <v>114</v>
      </c>
      <c r="U352">
        <v>12</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f t="shared" si="10"/>
        <v>0</v>
      </c>
      <c r="AV352">
        <f t="shared" si="11"/>
        <v>0</v>
      </c>
    </row>
    <row r="353" spans="1:48" x14ac:dyDescent="0.25">
      <c r="A353" t="s">
        <v>3223</v>
      </c>
      <c r="C353" t="s">
        <v>3224</v>
      </c>
      <c r="D353" t="s">
        <v>3225</v>
      </c>
      <c r="E353" t="s">
        <v>2310</v>
      </c>
      <c r="F353">
        <v>9</v>
      </c>
      <c r="G353">
        <v>9.3000000000000007</v>
      </c>
      <c r="H353" t="s">
        <v>2323</v>
      </c>
      <c r="I353" s="21">
        <v>37532</v>
      </c>
      <c r="J353">
        <v>2002</v>
      </c>
      <c r="K353" s="21">
        <v>37575</v>
      </c>
      <c r="L353">
        <v>2002</v>
      </c>
      <c r="M353" s="21">
        <v>37923</v>
      </c>
      <c r="N353">
        <v>2003</v>
      </c>
      <c r="R353" s="262">
        <v>80000</v>
      </c>
      <c r="S353" t="s">
        <v>114</v>
      </c>
      <c r="T353" t="s">
        <v>114</v>
      </c>
      <c r="U353">
        <v>5</v>
      </c>
      <c r="W353">
        <v>300</v>
      </c>
      <c r="X353">
        <v>0</v>
      </c>
      <c r="Y353">
        <v>0</v>
      </c>
      <c r="Z353">
        <v>0</v>
      </c>
      <c r="AA353">
        <v>0</v>
      </c>
      <c r="AB353">
        <v>0</v>
      </c>
      <c r="AC353">
        <v>300</v>
      </c>
      <c r="AD353">
        <v>0</v>
      </c>
      <c r="AE353">
        <v>0</v>
      </c>
      <c r="AF353">
        <v>0</v>
      </c>
      <c r="AG353">
        <v>0</v>
      </c>
      <c r="AH353">
        <v>0</v>
      </c>
      <c r="AI353">
        <v>0</v>
      </c>
      <c r="AJ353">
        <v>0</v>
      </c>
      <c r="AK353">
        <v>0</v>
      </c>
      <c r="AL353">
        <v>0</v>
      </c>
      <c r="AM353">
        <v>0</v>
      </c>
      <c r="AN353">
        <v>0</v>
      </c>
      <c r="AO353">
        <v>0</v>
      </c>
      <c r="AP353">
        <v>0</v>
      </c>
      <c r="AQ353">
        <v>0</v>
      </c>
      <c r="AR353">
        <v>0</v>
      </c>
      <c r="AS353">
        <v>0</v>
      </c>
      <c r="AT353">
        <v>0</v>
      </c>
      <c r="AU353">
        <f t="shared" si="10"/>
        <v>0</v>
      </c>
      <c r="AV353">
        <f t="shared" si="11"/>
        <v>0</v>
      </c>
    </row>
    <row r="354" spans="1:48" x14ac:dyDescent="0.25">
      <c r="A354" t="s">
        <v>3226</v>
      </c>
      <c r="C354" t="s">
        <v>3227</v>
      </c>
      <c r="D354" t="s">
        <v>3228</v>
      </c>
      <c r="E354" t="s">
        <v>2310</v>
      </c>
      <c r="F354">
        <v>8</v>
      </c>
      <c r="G354">
        <v>8.1</v>
      </c>
      <c r="H354" t="s">
        <v>2323</v>
      </c>
      <c r="I354" s="21">
        <v>37533</v>
      </c>
      <c r="J354">
        <v>2002</v>
      </c>
      <c r="K354" s="21">
        <v>37568</v>
      </c>
      <c r="L354">
        <v>2002</v>
      </c>
      <c r="M354" s="21">
        <v>37805</v>
      </c>
      <c r="N354">
        <v>2003</v>
      </c>
      <c r="R354" s="262">
        <v>300000</v>
      </c>
      <c r="S354" t="s">
        <v>114</v>
      </c>
      <c r="T354" t="s">
        <v>114</v>
      </c>
      <c r="U354">
        <v>8</v>
      </c>
      <c r="W354">
        <v>2223</v>
      </c>
      <c r="X354">
        <v>1</v>
      </c>
      <c r="Y354">
        <v>0</v>
      </c>
      <c r="Z354">
        <v>0</v>
      </c>
      <c r="AA354">
        <v>0</v>
      </c>
      <c r="AB354">
        <v>0</v>
      </c>
      <c r="AC354">
        <v>1682</v>
      </c>
      <c r="AD354">
        <v>0</v>
      </c>
      <c r="AE354">
        <v>0</v>
      </c>
      <c r="AF354">
        <v>541</v>
      </c>
      <c r="AG354">
        <v>0</v>
      </c>
      <c r="AH354">
        <v>0</v>
      </c>
      <c r="AI354">
        <v>0</v>
      </c>
      <c r="AJ354">
        <v>0</v>
      </c>
      <c r="AK354">
        <v>0</v>
      </c>
      <c r="AL354">
        <v>0</v>
      </c>
      <c r="AM354">
        <v>0</v>
      </c>
      <c r="AN354">
        <v>0</v>
      </c>
      <c r="AO354">
        <v>0</v>
      </c>
      <c r="AP354">
        <v>0</v>
      </c>
      <c r="AQ354">
        <v>0</v>
      </c>
      <c r="AR354">
        <v>1</v>
      </c>
      <c r="AS354">
        <v>0</v>
      </c>
      <c r="AT354">
        <v>0</v>
      </c>
      <c r="AU354">
        <f t="shared" si="10"/>
        <v>0</v>
      </c>
      <c r="AV354">
        <f t="shared" si="11"/>
        <v>0</v>
      </c>
    </row>
    <row r="355" spans="1:48" x14ac:dyDescent="0.25">
      <c r="A355" t="s">
        <v>3229</v>
      </c>
      <c r="C355" t="s">
        <v>3230</v>
      </c>
      <c r="D355" t="s">
        <v>3231</v>
      </c>
      <c r="E355" t="s">
        <v>2310</v>
      </c>
      <c r="F355">
        <v>7</v>
      </c>
      <c r="G355">
        <v>7.1</v>
      </c>
      <c r="H355" t="s">
        <v>2017</v>
      </c>
      <c r="I355" s="21">
        <v>37536</v>
      </c>
      <c r="J355">
        <v>2002</v>
      </c>
      <c r="K355" s="21">
        <v>37547</v>
      </c>
      <c r="L355">
        <v>2002</v>
      </c>
      <c r="M355" s="21">
        <v>37547</v>
      </c>
      <c r="N355">
        <v>2002</v>
      </c>
      <c r="R355" s="262">
        <v>45000</v>
      </c>
      <c r="S355" t="s">
        <v>114</v>
      </c>
      <c r="T355" t="s">
        <v>114</v>
      </c>
      <c r="U355">
        <v>14</v>
      </c>
      <c r="W355">
        <v>1600</v>
      </c>
      <c r="X355">
        <v>0</v>
      </c>
      <c r="Y355">
        <v>0</v>
      </c>
      <c r="Z355">
        <v>0</v>
      </c>
      <c r="AA355">
        <v>0</v>
      </c>
      <c r="AB355">
        <v>0</v>
      </c>
      <c r="AC355">
        <v>0</v>
      </c>
      <c r="AD355">
        <v>0</v>
      </c>
      <c r="AE355">
        <v>0</v>
      </c>
      <c r="AF355">
        <v>0</v>
      </c>
      <c r="AG355">
        <v>0</v>
      </c>
      <c r="AH355">
        <v>0</v>
      </c>
      <c r="AI355">
        <v>0</v>
      </c>
      <c r="AJ355">
        <v>0</v>
      </c>
      <c r="AK355">
        <v>0</v>
      </c>
      <c r="AL355">
        <v>1600</v>
      </c>
      <c r="AM355">
        <v>0</v>
      </c>
      <c r="AN355">
        <v>0</v>
      </c>
      <c r="AO355">
        <v>0</v>
      </c>
      <c r="AP355">
        <v>0</v>
      </c>
      <c r="AQ355">
        <v>0</v>
      </c>
      <c r="AR355">
        <v>0</v>
      </c>
      <c r="AS355">
        <v>0</v>
      </c>
      <c r="AT355">
        <v>0</v>
      </c>
      <c r="AU355">
        <f t="shared" si="10"/>
        <v>0</v>
      </c>
      <c r="AV355">
        <f t="shared" si="11"/>
        <v>1600</v>
      </c>
    </row>
    <row r="356" spans="1:48" x14ac:dyDescent="0.25">
      <c r="A356" t="s">
        <v>3232</v>
      </c>
      <c r="C356" t="s">
        <v>3233</v>
      </c>
      <c r="D356" t="s">
        <v>3234</v>
      </c>
      <c r="E356" t="s">
        <v>1663</v>
      </c>
      <c r="F356">
        <v>2</v>
      </c>
      <c r="G356">
        <v>2.4</v>
      </c>
      <c r="H356" t="s">
        <v>2017</v>
      </c>
      <c r="I356" s="21">
        <v>37537</v>
      </c>
      <c r="J356">
        <v>2002</v>
      </c>
      <c r="K356" s="21">
        <v>37568</v>
      </c>
      <c r="L356">
        <v>2002</v>
      </c>
      <c r="M356" s="21">
        <v>37719</v>
      </c>
      <c r="N356">
        <v>2003</v>
      </c>
      <c r="Q356" s="262">
        <v>0</v>
      </c>
      <c r="S356" t="s">
        <v>114</v>
      </c>
      <c r="T356" t="s">
        <v>114</v>
      </c>
      <c r="W356">
        <v>2200</v>
      </c>
      <c r="X356">
        <v>0</v>
      </c>
      <c r="Y356">
        <v>0</v>
      </c>
      <c r="Z356">
        <v>0</v>
      </c>
      <c r="AA356">
        <v>0</v>
      </c>
      <c r="AB356">
        <v>0</v>
      </c>
      <c r="AC356">
        <v>0</v>
      </c>
      <c r="AD356">
        <v>0</v>
      </c>
      <c r="AE356">
        <v>0</v>
      </c>
      <c r="AF356">
        <v>0</v>
      </c>
      <c r="AG356">
        <v>0</v>
      </c>
      <c r="AH356">
        <v>0</v>
      </c>
      <c r="AI356">
        <v>0</v>
      </c>
      <c r="AJ356">
        <v>0</v>
      </c>
      <c r="AK356">
        <v>0</v>
      </c>
      <c r="AL356">
        <v>0</v>
      </c>
      <c r="AM356">
        <v>2200</v>
      </c>
      <c r="AN356">
        <v>0</v>
      </c>
      <c r="AO356">
        <v>0</v>
      </c>
      <c r="AP356">
        <v>0</v>
      </c>
      <c r="AQ356">
        <v>0</v>
      </c>
      <c r="AR356">
        <v>0</v>
      </c>
      <c r="AS356">
        <v>0</v>
      </c>
      <c r="AT356">
        <v>0</v>
      </c>
      <c r="AU356">
        <f t="shared" si="10"/>
        <v>0</v>
      </c>
      <c r="AV356">
        <f t="shared" si="11"/>
        <v>2200</v>
      </c>
    </row>
    <row r="357" spans="1:48" x14ac:dyDescent="0.25">
      <c r="A357" t="s">
        <v>3238</v>
      </c>
      <c r="C357" t="s">
        <v>3239</v>
      </c>
      <c r="D357" t="s">
        <v>3240</v>
      </c>
      <c r="E357" t="s">
        <v>2310</v>
      </c>
      <c r="F357">
        <v>9</v>
      </c>
      <c r="G357">
        <v>9.3000000000000007</v>
      </c>
      <c r="H357" t="s">
        <v>2323</v>
      </c>
      <c r="I357" s="21">
        <v>37538</v>
      </c>
      <c r="J357">
        <v>2002</v>
      </c>
      <c r="K357" s="21">
        <v>37547</v>
      </c>
      <c r="L357">
        <v>2002</v>
      </c>
      <c r="M357" s="21">
        <v>37991</v>
      </c>
      <c r="N357">
        <v>2004</v>
      </c>
      <c r="R357" s="262">
        <v>75000</v>
      </c>
      <c r="S357" t="s">
        <v>114</v>
      </c>
      <c r="T357" t="s">
        <v>114</v>
      </c>
      <c r="U357">
        <v>5</v>
      </c>
      <c r="W357">
        <v>243</v>
      </c>
      <c r="X357">
        <v>0</v>
      </c>
      <c r="Y357">
        <v>0</v>
      </c>
      <c r="Z357">
        <v>0</v>
      </c>
      <c r="AA357">
        <v>0</v>
      </c>
      <c r="AB357">
        <v>0</v>
      </c>
      <c r="AC357">
        <v>243</v>
      </c>
      <c r="AD357">
        <v>0</v>
      </c>
      <c r="AE357">
        <v>0</v>
      </c>
      <c r="AF357">
        <v>0</v>
      </c>
      <c r="AG357">
        <v>0</v>
      </c>
      <c r="AH357">
        <v>0</v>
      </c>
      <c r="AI357">
        <v>0</v>
      </c>
      <c r="AJ357">
        <v>0</v>
      </c>
      <c r="AK357">
        <v>0</v>
      </c>
      <c r="AL357">
        <v>0</v>
      </c>
      <c r="AM357">
        <v>0</v>
      </c>
      <c r="AN357">
        <v>0</v>
      </c>
      <c r="AO357">
        <v>0</v>
      </c>
      <c r="AP357">
        <v>0</v>
      </c>
      <c r="AQ357">
        <v>0</v>
      </c>
      <c r="AR357">
        <v>0</v>
      </c>
      <c r="AS357">
        <v>0</v>
      </c>
      <c r="AT357">
        <v>0</v>
      </c>
      <c r="AU357">
        <f t="shared" si="10"/>
        <v>0</v>
      </c>
      <c r="AV357">
        <f t="shared" si="11"/>
        <v>0</v>
      </c>
    </row>
    <row r="358" spans="1:48" x14ac:dyDescent="0.25">
      <c r="A358" t="s">
        <v>3241</v>
      </c>
      <c r="C358" t="s">
        <v>3242</v>
      </c>
      <c r="D358" t="s">
        <v>3243</v>
      </c>
      <c r="E358" t="s">
        <v>2310</v>
      </c>
      <c r="F358">
        <v>9</v>
      </c>
      <c r="G358">
        <v>9.1</v>
      </c>
      <c r="H358" t="s">
        <v>2323</v>
      </c>
      <c r="I358" s="21">
        <v>37538</v>
      </c>
      <c r="J358">
        <v>2002</v>
      </c>
      <c r="K358" s="21">
        <v>37565</v>
      </c>
      <c r="L358">
        <v>2002</v>
      </c>
      <c r="M358" s="21">
        <v>38376</v>
      </c>
      <c r="N358">
        <v>2005</v>
      </c>
      <c r="R358" s="262">
        <v>90000</v>
      </c>
      <c r="S358" t="s">
        <v>114</v>
      </c>
      <c r="T358" t="s">
        <v>114</v>
      </c>
      <c r="U358">
        <v>5</v>
      </c>
      <c r="W358">
        <v>816</v>
      </c>
      <c r="X358">
        <v>0</v>
      </c>
      <c r="Y358">
        <v>0</v>
      </c>
      <c r="Z358">
        <v>0</v>
      </c>
      <c r="AA358">
        <v>0</v>
      </c>
      <c r="AB358">
        <v>0</v>
      </c>
      <c r="AC358">
        <v>816</v>
      </c>
      <c r="AD358">
        <v>0</v>
      </c>
      <c r="AE358">
        <v>0</v>
      </c>
      <c r="AF358">
        <v>0</v>
      </c>
      <c r="AG358">
        <v>0</v>
      </c>
      <c r="AH358">
        <v>0</v>
      </c>
      <c r="AI358">
        <v>0</v>
      </c>
      <c r="AJ358">
        <v>0</v>
      </c>
      <c r="AK358">
        <v>0</v>
      </c>
      <c r="AL358">
        <v>0</v>
      </c>
      <c r="AM358">
        <v>0</v>
      </c>
      <c r="AN358">
        <v>0</v>
      </c>
      <c r="AO358">
        <v>0</v>
      </c>
      <c r="AP358">
        <v>0</v>
      </c>
      <c r="AQ358">
        <v>0</v>
      </c>
      <c r="AR358">
        <v>0</v>
      </c>
      <c r="AS358">
        <v>0</v>
      </c>
      <c r="AT358">
        <v>0</v>
      </c>
      <c r="AU358">
        <f t="shared" si="10"/>
        <v>0</v>
      </c>
      <c r="AV358">
        <f t="shared" si="11"/>
        <v>0</v>
      </c>
    </row>
    <row r="359" spans="1:48" x14ac:dyDescent="0.25">
      <c r="A359" t="s">
        <v>3235</v>
      </c>
      <c r="C359" t="s">
        <v>3236</v>
      </c>
      <c r="D359" t="s">
        <v>3237</v>
      </c>
      <c r="E359" t="s">
        <v>1663</v>
      </c>
      <c r="F359">
        <v>5</v>
      </c>
      <c r="G359">
        <v>5.2</v>
      </c>
      <c r="H359" t="s">
        <v>2327</v>
      </c>
      <c r="I359" s="21">
        <v>37538</v>
      </c>
      <c r="J359">
        <v>2002</v>
      </c>
      <c r="K359" s="21">
        <v>37569</v>
      </c>
      <c r="L359">
        <v>2002</v>
      </c>
      <c r="M359" s="21">
        <v>37720</v>
      </c>
      <c r="N359">
        <v>2003</v>
      </c>
      <c r="Q359" s="262">
        <v>91000</v>
      </c>
      <c r="S359" t="s">
        <v>114</v>
      </c>
      <c r="T359" t="s">
        <v>114</v>
      </c>
      <c r="W359">
        <v>3500</v>
      </c>
      <c r="X359">
        <v>0</v>
      </c>
      <c r="Y359">
        <v>0</v>
      </c>
      <c r="Z359">
        <v>0</v>
      </c>
      <c r="AA359">
        <v>0</v>
      </c>
      <c r="AB359">
        <v>0</v>
      </c>
      <c r="AC359">
        <v>0</v>
      </c>
      <c r="AD359">
        <v>0</v>
      </c>
      <c r="AE359">
        <v>0</v>
      </c>
      <c r="AF359">
        <v>0</v>
      </c>
      <c r="AG359">
        <v>0</v>
      </c>
      <c r="AH359">
        <v>0</v>
      </c>
      <c r="AI359">
        <v>0</v>
      </c>
      <c r="AJ359">
        <v>0</v>
      </c>
      <c r="AK359">
        <v>0</v>
      </c>
      <c r="AL359">
        <v>3500</v>
      </c>
      <c r="AM359">
        <v>0</v>
      </c>
      <c r="AN359">
        <v>0</v>
      </c>
      <c r="AO359">
        <v>0</v>
      </c>
      <c r="AP359">
        <v>0</v>
      </c>
      <c r="AQ359">
        <v>0</v>
      </c>
      <c r="AR359">
        <v>0</v>
      </c>
      <c r="AS359">
        <v>0</v>
      </c>
      <c r="AT359">
        <v>0</v>
      </c>
      <c r="AU359">
        <f t="shared" si="10"/>
        <v>0</v>
      </c>
      <c r="AV359">
        <f t="shared" si="11"/>
        <v>3500</v>
      </c>
    </row>
    <row r="360" spans="1:48" x14ac:dyDescent="0.25">
      <c r="A360" t="s">
        <v>3244</v>
      </c>
      <c r="C360" t="s">
        <v>3245</v>
      </c>
      <c r="D360" t="s">
        <v>3100</v>
      </c>
      <c r="E360" t="s">
        <v>2310</v>
      </c>
      <c r="F360">
        <v>8</v>
      </c>
      <c r="G360">
        <v>8.1</v>
      </c>
      <c r="H360" t="s">
        <v>2323</v>
      </c>
      <c r="I360" s="21">
        <v>37540</v>
      </c>
      <c r="J360">
        <v>2002</v>
      </c>
      <c r="K360" s="21">
        <v>37550</v>
      </c>
      <c r="L360">
        <v>2002</v>
      </c>
      <c r="M360" s="21">
        <v>37550</v>
      </c>
      <c r="N360">
        <v>2002</v>
      </c>
      <c r="R360" s="262">
        <v>50000</v>
      </c>
      <c r="S360" t="s">
        <v>114</v>
      </c>
      <c r="T360" t="s">
        <v>114</v>
      </c>
      <c r="U360">
        <v>5</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f t="shared" si="10"/>
        <v>0</v>
      </c>
      <c r="AV360">
        <f t="shared" si="11"/>
        <v>0</v>
      </c>
    </row>
    <row r="361" spans="1:48" x14ac:dyDescent="0.25">
      <c r="A361" t="s">
        <v>3246</v>
      </c>
      <c r="C361" t="s">
        <v>3247</v>
      </c>
      <c r="D361" t="s">
        <v>3248</v>
      </c>
      <c r="E361" t="s">
        <v>2310</v>
      </c>
      <c r="F361">
        <v>9</v>
      </c>
      <c r="G361">
        <v>9.3000000000000007</v>
      </c>
      <c r="H361" t="s">
        <v>2323</v>
      </c>
      <c r="I361" s="21">
        <v>37540</v>
      </c>
      <c r="J361">
        <v>2002</v>
      </c>
      <c r="K361" s="21">
        <v>37607</v>
      </c>
      <c r="L361">
        <v>2002</v>
      </c>
      <c r="M361" s="21">
        <v>37883</v>
      </c>
      <c r="N361">
        <v>2003</v>
      </c>
      <c r="R361" s="262">
        <v>375000</v>
      </c>
      <c r="S361" t="s">
        <v>114</v>
      </c>
      <c r="T361" t="s">
        <v>114</v>
      </c>
      <c r="U361">
        <v>5</v>
      </c>
      <c r="W361">
        <v>3494</v>
      </c>
      <c r="X361">
        <v>0</v>
      </c>
      <c r="Y361">
        <v>0</v>
      </c>
      <c r="Z361">
        <v>0</v>
      </c>
      <c r="AA361">
        <v>0</v>
      </c>
      <c r="AB361">
        <v>0</v>
      </c>
      <c r="AC361">
        <v>3494</v>
      </c>
      <c r="AD361">
        <v>0</v>
      </c>
      <c r="AE361">
        <v>0</v>
      </c>
      <c r="AF361">
        <v>0</v>
      </c>
      <c r="AG361">
        <v>0</v>
      </c>
      <c r="AH361">
        <v>0</v>
      </c>
      <c r="AI361">
        <v>0</v>
      </c>
      <c r="AJ361">
        <v>0</v>
      </c>
      <c r="AK361">
        <v>0</v>
      </c>
      <c r="AL361">
        <v>0</v>
      </c>
      <c r="AM361">
        <v>0</v>
      </c>
      <c r="AN361">
        <v>0</v>
      </c>
      <c r="AO361">
        <v>0</v>
      </c>
      <c r="AP361">
        <v>0</v>
      </c>
      <c r="AQ361">
        <v>0</v>
      </c>
      <c r="AR361">
        <v>0</v>
      </c>
      <c r="AS361">
        <v>0</v>
      </c>
      <c r="AT361">
        <v>0</v>
      </c>
      <c r="AU361">
        <f t="shared" si="10"/>
        <v>0</v>
      </c>
      <c r="AV361">
        <f t="shared" si="11"/>
        <v>0</v>
      </c>
    </row>
    <row r="362" spans="1:48" x14ac:dyDescent="0.25">
      <c r="A362" t="s">
        <v>3249</v>
      </c>
      <c r="C362" t="s">
        <v>3250</v>
      </c>
      <c r="D362" t="s">
        <v>3251</v>
      </c>
      <c r="E362" t="s">
        <v>2310</v>
      </c>
      <c r="F362">
        <v>10</v>
      </c>
      <c r="G362">
        <v>10.1</v>
      </c>
      <c r="H362" t="s">
        <v>2323</v>
      </c>
      <c r="I362" s="21">
        <v>37540</v>
      </c>
      <c r="J362">
        <v>2002</v>
      </c>
      <c r="K362" s="21">
        <v>37561</v>
      </c>
      <c r="L362">
        <v>2002</v>
      </c>
      <c r="M362" s="21">
        <v>37561</v>
      </c>
      <c r="N362">
        <v>2002</v>
      </c>
      <c r="R362" s="262">
        <v>25000</v>
      </c>
      <c r="S362" t="s">
        <v>114</v>
      </c>
      <c r="T362" t="s">
        <v>114</v>
      </c>
      <c r="U362">
        <v>5</v>
      </c>
      <c r="W362">
        <v>576</v>
      </c>
      <c r="X362">
        <v>0</v>
      </c>
      <c r="Y362">
        <v>0</v>
      </c>
      <c r="Z362">
        <v>0</v>
      </c>
      <c r="AA362">
        <v>0</v>
      </c>
      <c r="AB362">
        <v>0</v>
      </c>
      <c r="AC362">
        <v>576</v>
      </c>
      <c r="AD362">
        <v>0</v>
      </c>
      <c r="AE362">
        <v>0</v>
      </c>
      <c r="AF362">
        <v>0</v>
      </c>
      <c r="AG362">
        <v>0</v>
      </c>
      <c r="AH362">
        <v>0</v>
      </c>
      <c r="AI362">
        <v>0</v>
      </c>
      <c r="AJ362">
        <v>0</v>
      </c>
      <c r="AK362">
        <v>0</v>
      </c>
      <c r="AL362">
        <v>0</v>
      </c>
      <c r="AM362">
        <v>0</v>
      </c>
      <c r="AN362">
        <v>0</v>
      </c>
      <c r="AO362">
        <v>0</v>
      </c>
      <c r="AP362">
        <v>0</v>
      </c>
      <c r="AQ362">
        <v>0</v>
      </c>
      <c r="AR362">
        <v>0</v>
      </c>
      <c r="AS362">
        <v>0</v>
      </c>
      <c r="AT362">
        <v>0</v>
      </c>
      <c r="AU362">
        <f t="shared" si="10"/>
        <v>0</v>
      </c>
      <c r="AV362">
        <f t="shared" si="11"/>
        <v>0</v>
      </c>
    </row>
    <row r="363" spans="1:48" x14ac:dyDescent="0.25">
      <c r="A363" t="s">
        <v>3252</v>
      </c>
      <c r="C363" t="s">
        <v>2847</v>
      </c>
      <c r="D363" t="s">
        <v>3253</v>
      </c>
      <c r="E363" t="s">
        <v>2310</v>
      </c>
      <c r="F363">
        <v>10</v>
      </c>
      <c r="G363">
        <v>10.1</v>
      </c>
      <c r="H363" t="s">
        <v>2323</v>
      </c>
      <c r="I363" s="21">
        <v>37543</v>
      </c>
      <c r="J363">
        <v>2002</v>
      </c>
      <c r="K363" s="21">
        <v>37567</v>
      </c>
      <c r="L363">
        <v>2002</v>
      </c>
      <c r="M363" s="21">
        <v>37567</v>
      </c>
      <c r="N363">
        <v>2002</v>
      </c>
      <c r="R363" s="262">
        <v>200000</v>
      </c>
      <c r="S363" t="s">
        <v>114</v>
      </c>
      <c r="T363" t="s">
        <v>114</v>
      </c>
      <c r="U363">
        <v>5</v>
      </c>
      <c r="W363">
        <v>2154</v>
      </c>
      <c r="X363">
        <v>1</v>
      </c>
      <c r="Y363">
        <v>0</v>
      </c>
      <c r="Z363">
        <v>0</v>
      </c>
      <c r="AA363">
        <v>0</v>
      </c>
      <c r="AB363">
        <v>0</v>
      </c>
      <c r="AC363">
        <v>2154</v>
      </c>
      <c r="AD363">
        <v>0</v>
      </c>
      <c r="AE363">
        <v>0</v>
      </c>
      <c r="AF363">
        <v>0</v>
      </c>
      <c r="AG363">
        <v>0</v>
      </c>
      <c r="AH363">
        <v>0</v>
      </c>
      <c r="AI363">
        <v>0</v>
      </c>
      <c r="AJ363">
        <v>0</v>
      </c>
      <c r="AK363">
        <v>0</v>
      </c>
      <c r="AL363">
        <v>0</v>
      </c>
      <c r="AM363">
        <v>0</v>
      </c>
      <c r="AN363">
        <v>0</v>
      </c>
      <c r="AO363">
        <v>1</v>
      </c>
      <c r="AP363">
        <v>0</v>
      </c>
      <c r="AQ363">
        <v>0</v>
      </c>
      <c r="AR363">
        <v>0</v>
      </c>
      <c r="AS363">
        <v>0</v>
      </c>
      <c r="AT363">
        <v>0</v>
      </c>
      <c r="AU363">
        <f t="shared" si="10"/>
        <v>1</v>
      </c>
      <c r="AV363">
        <f t="shared" si="11"/>
        <v>0</v>
      </c>
    </row>
    <row r="364" spans="1:48" x14ac:dyDescent="0.25">
      <c r="A364" t="s">
        <v>3254</v>
      </c>
      <c r="C364" t="s">
        <v>3255</v>
      </c>
      <c r="D364" t="s">
        <v>3256</v>
      </c>
      <c r="E364" t="s">
        <v>2310</v>
      </c>
      <c r="F364">
        <v>15</v>
      </c>
      <c r="G364">
        <v>15.1</v>
      </c>
      <c r="H364" t="s">
        <v>2022</v>
      </c>
      <c r="I364" s="21">
        <v>37545</v>
      </c>
      <c r="J364">
        <v>2002</v>
      </c>
      <c r="K364" s="21">
        <v>37568</v>
      </c>
      <c r="L364">
        <v>2002</v>
      </c>
      <c r="M364" s="21">
        <v>37568</v>
      </c>
      <c r="N364">
        <v>2002</v>
      </c>
      <c r="R364" s="262">
        <v>4000</v>
      </c>
      <c r="S364" t="s">
        <v>114</v>
      </c>
      <c r="T364" t="s">
        <v>114</v>
      </c>
      <c r="U364">
        <v>5</v>
      </c>
      <c r="W364">
        <v>960</v>
      </c>
      <c r="X364">
        <v>0</v>
      </c>
      <c r="Y364">
        <v>0</v>
      </c>
      <c r="Z364">
        <v>0</v>
      </c>
      <c r="AA364">
        <v>0</v>
      </c>
      <c r="AB364">
        <v>0</v>
      </c>
      <c r="AC364">
        <v>960</v>
      </c>
      <c r="AD364">
        <v>0</v>
      </c>
      <c r="AE364">
        <v>0</v>
      </c>
      <c r="AF364">
        <v>0</v>
      </c>
      <c r="AG364">
        <v>0</v>
      </c>
      <c r="AH364">
        <v>0</v>
      </c>
      <c r="AI364">
        <v>0</v>
      </c>
      <c r="AJ364">
        <v>0</v>
      </c>
      <c r="AK364">
        <v>0</v>
      </c>
      <c r="AL364">
        <v>0</v>
      </c>
      <c r="AM364">
        <v>0</v>
      </c>
      <c r="AN364">
        <v>0</v>
      </c>
      <c r="AO364">
        <v>0</v>
      </c>
      <c r="AP364">
        <v>0</v>
      </c>
      <c r="AQ364">
        <v>0</v>
      </c>
      <c r="AR364">
        <v>0</v>
      </c>
      <c r="AS364">
        <v>0</v>
      </c>
      <c r="AT364">
        <v>0</v>
      </c>
      <c r="AU364">
        <f t="shared" si="10"/>
        <v>0</v>
      </c>
      <c r="AV364">
        <f t="shared" si="11"/>
        <v>0</v>
      </c>
    </row>
    <row r="365" spans="1:48" x14ac:dyDescent="0.25">
      <c r="A365" t="s">
        <v>3257</v>
      </c>
      <c r="C365" t="s">
        <v>3258</v>
      </c>
      <c r="D365" t="s">
        <v>3259</v>
      </c>
      <c r="E365" t="s">
        <v>2310</v>
      </c>
      <c r="F365">
        <v>15</v>
      </c>
      <c r="G365">
        <v>15.1</v>
      </c>
      <c r="H365" t="s">
        <v>2022</v>
      </c>
      <c r="I365" s="21">
        <v>37546</v>
      </c>
      <c r="J365">
        <v>2002</v>
      </c>
      <c r="K365" s="21">
        <v>37560</v>
      </c>
      <c r="L365">
        <v>2002</v>
      </c>
      <c r="M365" s="21">
        <v>38582</v>
      </c>
      <c r="N365">
        <v>2005</v>
      </c>
      <c r="R365" s="262">
        <v>26000</v>
      </c>
      <c r="S365" t="s">
        <v>114</v>
      </c>
      <c r="T365" t="s">
        <v>114</v>
      </c>
      <c r="U365">
        <v>5</v>
      </c>
      <c r="W365">
        <v>3200</v>
      </c>
      <c r="X365">
        <v>0</v>
      </c>
      <c r="Y365">
        <v>0</v>
      </c>
      <c r="Z365">
        <v>0</v>
      </c>
      <c r="AA365">
        <v>0</v>
      </c>
      <c r="AB365">
        <v>0</v>
      </c>
      <c r="AC365">
        <v>3200</v>
      </c>
      <c r="AD365">
        <v>0</v>
      </c>
      <c r="AE365">
        <v>0</v>
      </c>
      <c r="AF365">
        <v>0</v>
      </c>
      <c r="AG365">
        <v>0</v>
      </c>
      <c r="AH365">
        <v>0</v>
      </c>
      <c r="AI365">
        <v>0</v>
      </c>
      <c r="AJ365">
        <v>0</v>
      </c>
      <c r="AK365">
        <v>0</v>
      </c>
      <c r="AL365">
        <v>0</v>
      </c>
      <c r="AM365">
        <v>0</v>
      </c>
      <c r="AN365">
        <v>0</v>
      </c>
      <c r="AO365">
        <v>0</v>
      </c>
      <c r="AP365">
        <v>0</v>
      </c>
      <c r="AQ365">
        <v>0</v>
      </c>
      <c r="AR365">
        <v>0</v>
      </c>
      <c r="AS365">
        <v>0</v>
      </c>
      <c r="AT365">
        <v>0</v>
      </c>
      <c r="AU365">
        <f t="shared" si="10"/>
        <v>0</v>
      </c>
      <c r="AV365">
        <f t="shared" si="11"/>
        <v>0</v>
      </c>
    </row>
    <row r="366" spans="1:48" x14ac:dyDescent="0.25">
      <c r="A366" t="s">
        <v>3260</v>
      </c>
      <c r="C366" t="s">
        <v>3261</v>
      </c>
      <c r="D366" t="s">
        <v>3262</v>
      </c>
      <c r="E366" t="s">
        <v>2310</v>
      </c>
      <c r="F366">
        <v>14</v>
      </c>
      <c r="G366">
        <v>14.1</v>
      </c>
      <c r="H366" t="s">
        <v>2022</v>
      </c>
      <c r="I366" s="21">
        <v>37547</v>
      </c>
      <c r="J366">
        <v>2002</v>
      </c>
      <c r="K366" s="21">
        <v>37561</v>
      </c>
      <c r="L366">
        <v>2002</v>
      </c>
      <c r="M366" s="21">
        <v>37561</v>
      </c>
      <c r="N366">
        <v>2002</v>
      </c>
      <c r="R366" s="262">
        <v>40000</v>
      </c>
      <c r="S366" t="s">
        <v>114</v>
      </c>
      <c r="T366" t="s">
        <v>114</v>
      </c>
      <c r="U366">
        <v>5</v>
      </c>
      <c r="W366">
        <v>400</v>
      </c>
      <c r="X366">
        <v>1</v>
      </c>
      <c r="Y366">
        <v>0</v>
      </c>
      <c r="Z366">
        <v>0</v>
      </c>
      <c r="AA366">
        <v>0</v>
      </c>
      <c r="AB366">
        <v>0</v>
      </c>
      <c r="AC366">
        <v>400</v>
      </c>
      <c r="AD366">
        <v>0</v>
      </c>
      <c r="AE366">
        <v>0</v>
      </c>
      <c r="AF366">
        <v>0</v>
      </c>
      <c r="AG366">
        <v>0</v>
      </c>
      <c r="AH366">
        <v>0</v>
      </c>
      <c r="AI366">
        <v>0</v>
      </c>
      <c r="AJ366">
        <v>0</v>
      </c>
      <c r="AK366">
        <v>0</v>
      </c>
      <c r="AL366">
        <v>0</v>
      </c>
      <c r="AM366">
        <v>0</v>
      </c>
      <c r="AN366">
        <v>0</v>
      </c>
      <c r="AO366">
        <v>1</v>
      </c>
      <c r="AP366">
        <v>0</v>
      </c>
      <c r="AQ366">
        <v>0</v>
      </c>
      <c r="AR366">
        <v>0</v>
      </c>
      <c r="AS366">
        <v>0</v>
      </c>
      <c r="AT366">
        <v>0</v>
      </c>
      <c r="AU366">
        <f t="shared" si="10"/>
        <v>1</v>
      </c>
      <c r="AV366">
        <f t="shared" si="11"/>
        <v>0</v>
      </c>
    </row>
    <row r="367" spans="1:48" x14ac:dyDescent="0.25">
      <c r="A367" t="s">
        <v>3263</v>
      </c>
      <c r="C367" t="s">
        <v>3264</v>
      </c>
      <c r="D367" t="s">
        <v>3220</v>
      </c>
      <c r="E367" t="s">
        <v>2310</v>
      </c>
      <c r="F367">
        <v>15</v>
      </c>
      <c r="G367">
        <v>15.1</v>
      </c>
      <c r="H367" t="s">
        <v>2022</v>
      </c>
      <c r="I367" s="21">
        <v>37550</v>
      </c>
      <c r="J367">
        <v>2002</v>
      </c>
      <c r="K367" s="21">
        <v>37550</v>
      </c>
      <c r="L367">
        <v>2002</v>
      </c>
      <c r="M367" s="21">
        <v>38434</v>
      </c>
      <c r="N367">
        <v>2005</v>
      </c>
      <c r="R367" s="262">
        <v>40000</v>
      </c>
      <c r="S367" t="s">
        <v>114</v>
      </c>
      <c r="T367" t="s">
        <v>114</v>
      </c>
      <c r="U367">
        <v>7</v>
      </c>
      <c r="W367">
        <v>720</v>
      </c>
      <c r="X367">
        <v>1</v>
      </c>
      <c r="Y367">
        <v>0</v>
      </c>
      <c r="Z367">
        <v>0</v>
      </c>
      <c r="AA367">
        <v>0</v>
      </c>
      <c r="AB367">
        <v>0</v>
      </c>
      <c r="AC367">
        <v>0</v>
      </c>
      <c r="AD367">
        <v>0</v>
      </c>
      <c r="AE367">
        <v>720</v>
      </c>
      <c r="AF367">
        <v>0</v>
      </c>
      <c r="AG367">
        <v>0</v>
      </c>
      <c r="AH367">
        <v>0</v>
      </c>
      <c r="AI367">
        <v>0</v>
      </c>
      <c r="AJ367">
        <v>0</v>
      </c>
      <c r="AK367">
        <v>0</v>
      </c>
      <c r="AL367">
        <v>0</v>
      </c>
      <c r="AM367">
        <v>0</v>
      </c>
      <c r="AN367">
        <v>0</v>
      </c>
      <c r="AO367">
        <v>0</v>
      </c>
      <c r="AP367">
        <v>0</v>
      </c>
      <c r="AQ367">
        <v>1</v>
      </c>
      <c r="AR367">
        <v>0</v>
      </c>
      <c r="AS367">
        <v>0</v>
      </c>
      <c r="AT367">
        <v>0</v>
      </c>
      <c r="AU367">
        <f t="shared" si="10"/>
        <v>1</v>
      </c>
      <c r="AV367">
        <f t="shared" si="11"/>
        <v>0</v>
      </c>
    </row>
    <row r="368" spans="1:48" x14ac:dyDescent="0.25">
      <c r="A368" t="s">
        <v>3265</v>
      </c>
      <c r="C368" t="s">
        <v>3266</v>
      </c>
      <c r="D368" t="s">
        <v>3267</v>
      </c>
      <c r="E368" t="s">
        <v>1663</v>
      </c>
      <c r="F368">
        <v>2</v>
      </c>
      <c r="G368">
        <v>2.2999999999999998</v>
      </c>
      <c r="H368" t="s">
        <v>2327</v>
      </c>
      <c r="I368" s="21">
        <v>37551</v>
      </c>
      <c r="J368">
        <v>2002</v>
      </c>
      <c r="K368" s="21">
        <v>37582</v>
      </c>
      <c r="L368">
        <v>2002</v>
      </c>
      <c r="M368" s="21">
        <v>37733</v>
      </c>
      <c r="N368">
        <v>2003</v>
      </c>
      <c r="Q368" s="262">
        <v>3000</v>
      </c>
      <c r="S368" t="s">
        <v>114</v>
      </c>
      <c r="T368" t="s">
        <v>114</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f t="shared" si="10"/>
        <v>0</v>
      </c>
      <c r="AV368">
        <f t="shared" si="11"/>
        <v>0</v>
      </c>
    </row>
    <row r="369" spans="1:48" x14ac:dyDescent="0.25">
      <c r="A369" t="s">
        <v>3268</v>
      </c>
      <c r="C369" t="s">
        <v>3255</v>
      </c>
      <c r="D369" t="s">
        <v>3269</v>
      </c>
      <c r="E369" t="s">
        <v>2310</v>
      </c>
      <c r="F369">
        <v>15</v>
      </c>
      <c r="G369">
        <v>15.2</v>
      </c>
      <c r="H369" t="s">
        <v>2323</v>
      </c>
      <c r="I369" s="21">
        <v>37554</v>
      </c>
      <c r="J369">
        <v>2002</v>
      </c>
      <c r="K369" s="21">
        <v>37574</v>
      </c>
      <c r="L369">
        <v>2002</v>
      </c>
      <c r="M369" s="21">
        <v>38013</v>
      </c>
      <c r="N369">
        <v>2004</v>
      </c>
      <c r="R369" s="262">
        <v>2000</v>
      </c>
      <c r="S369" t="s">
        <v>114</v>
      </c>
      <c r="T369" t="s">
        <v>114</v>
      </c>
      <c r="U369">
        <v>5</v>
      </c>
      <c r="W369">
        <v>480</v>
      </c>
      <c r="X369">
        <v>0</v>
      </c>
      <c r="Y369">
        <v>0</v>
      </c>
      <c r="Z369">
        <v>0</v>
      </c>
      <c r="AA369">
        <v>0</v>
      </c>
      <c r="AB369">
        <v>0</v>
      </c>
      <c r="AC369">
        <v>480</v>
      </c>
      <c r="AD369">
        <v>0</v>
      </c>
      <c r="AE369">
        <v>0</v>
      </c>
      <c r="AF369">
        <v>0</v>
      </c>
      <c r="AG369">
        <v>0</v>
      </c>
      <c r="AH369">
        <v>0</v>
      </c>
      <c r="AI369">
        <v>0</v>
      </c>
      <c r="AJ369">
        <v>0</v>
      </c>
      <c r="AK369">
        <v>0</v>
      </c>
      <c r="AL369">
        <v>0</v>
      </c>
      <c r="AM369">
        <v>0</v>
      </c>
      <c r="AN369">
        <v>0</v>
      </c>
      <c r="AO369">
        <v>0</v>
      </c>
      <c r="AP369">
        <v>0</v>
      </c>
      <c r="AQ369">
        <v>0</v>
      </c>
      <c r="AR369">
        <v>0</v>
      </c>
      <c r="AS369">
        <v>0</v>
      </c>
      <c r="AT369">
        <v>0</v>
      </c>
      <c r="AU369">
        <f t="shared" si="10"/>
        <v>0</v>
      </c>
      <c r="AV369">
        <f t="shared" si="11"/>
        <v>0</v>
      </c>
    </row>
    <row r="370" spans="1:48" x14ac:dyDescent="0.25">
      <c r="A370" t="s">
        <v>3270</v>
      </c>
      <c r="C370" t="s">
        <v>3271</v>
      </c>
      <c r="D370" t="s">
        <v>3272</v>
      </c>
      <c r="E370" t="s">
        <v>2310</v>
      </c>
      <c r="F370">
        <v>9</v>
      </c>
      <c r="G370">
        <v>9.1999999999999993</v>
      </c>
      <c r="H370" t="s">
        <v>2022</v>
      </c>
      <c r="I370" s="21">
        <v>37554</v>
      </c>
      <c r="J370">
        <v>2002</v>
      </c>
      <c r="K370" s="21">
        <v>37574</v>
      </c>
      <c r="L370">
        <v>2002</v>
      </c>
      <c r="M370" s="21">
        <v>37574</v>
      </c>
      <c r="N370">
        <v>2002</v>
      </c>
      <c r="R370" s="262">
        <v>50000</v>
      </c>
      <c r="S370" t="s">
        <v>114</v>
      </c>
      <c r="T370" t="s">
        <v>114</v>
      </c>
      <c r="U370">
        <v>5</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f t="shared" si="10"/>
        <v>0</v>
      </c>
      <c r="AV370">
        <f t="shared" si="11"/>
        <v>0</v>
      </c>
    </row>
    <row r="371" spans="1:48" x14ac:dyDescent="0.25">
      <c r="A371" t="s">
        <v>3276</v>
      </c>
      <c r="C371" t="s">
        <v>3277</v>
      </c>
      <c r="D371" t="s">
        <v>3278</v>
      </c>
      <c r="E371" t="s">
        <v>2310</v>
      </c>
      <c r="F371">
        <v>10</v>
      </c>
      <c r="G371">
        <v>10.1</v>
      </c>
      <c r="H371" t="s">
        <v>2323</v>
      </c>
      <c r="I371" s="21">
        <v>37557</v>
      </c>
      <c r="J371">
        <v>2002</v>
      </c>
      <c r="K371" s="21">
        <v>37575</v>
      </c>
      <c r="L371">
        <v>2002</v>
      </c>
      <c r="M371" s="21">
        <v>37575</v>
      </c>
      <c r="N371">
        <v>2002</v>
      </c>
      <c r="R371" s="262">
        <v>18000</v>
      </c>
      <c r="S371" t="s">
        <v>114</v>
      </c>
      <c r="T371" t="s">
        <v>114</v>
      </c>
      <c r="U371">
        <v>5</v>
      </c>
      <c r="W371">
        <v>360</v>
      </c>
      <c r="X371">
        <v>0</v>
      </c>
      <c r="Y371">
        <v>0</v>
      </c>
      <c r="Z371">
        <v>0</v>
      </c>
      <c r="AA371">
        <v>0</v>
      </c>
      <c r="AB371">
        <v>0</v>
      </c>
      <c r="AC371">
        <v>360</v>
      </c>
      <c r="AD371">
        <v>0</v>
      </c>
      <c r="AE371">
        <v>0</v>
      </c>
      <c r="AF371">
        <v>0</v>
      </c>
      <c r="AG371">
        <v>0</v>
      </c>
      <c r="AH371">
        <v>0</v>
      </c>
      <c r="AI371">
        <v>0</v>
      </c>
      <c r="AJ371">
        <v>0</v>
      </c>
      <c r="AK371">
        <v>0</v>
      </c>
      <c r="AL371">
        <v>0</v>
      </c>
      <c r="AM371">
        <v>0</v>
      </c>
      <c r="AN371">
        <v>0</v>
      </c>
      <c r="AO371">
        <v>0</v>
      </c>
      <c r="AP371">
        <v>0</v>
      </c>
      <c r="AQ371">
        <v>0</v>
      </c>
      <c r="AR371">
        <v>0</v>
      </c>
      <c r="AS371">
        <v>0</v>
      </c>
      <c r="AT371">
        <v>0</v>
      </c>
      <c r="AU371">
        <f t="shared" si="10"/>
        <v>0</v>
      </c>
      <c r="AV371">
        <f t="shared" si="11"/>
        <v>0</v>
      </c>
    </row>
    <row r="372" spans="1:48" x14ac:dyDescent="0.25">
      <c r="A372" t="s">
        <v>3273</v>
      </c>
      <c r="C372" t="s">
        <v>3274</v>
      </c>
      <c r="D372" t="s">
        <v>3275</v>
      </c>
      <c r="E372" t="s">
        <v>1663</v>
      </c>
      <c r="F372">
        <v>3</v>
      </c>
      <c r="G372">
        <v>3.1</v>
      </c>
      <c r="H372" t="s">
        <v>2017</v>
      </c>
      <c r="I372" s="21">
        <v>37557</v>
      </c>
      <c r="J372">
        <v>2002</v>
      </c>
      <c r="K372" s="21">
        <v>37588</v>
      </c>
      <c r="L372">
        <v>2002</v>
      </c>
      <c r="M372" s="21">
        <v>37739</v>
      </c>
      <c r="N372">
        <v>2003</v>
      </c>
      <c r="Q372" s="262">
        <v>3600</v>
      </c>
      <c r="S372" t="s">
        <v>114</v>
      </c>
      <c r="T372" t="s">
        <v>114</v>
      </c>
      <c r="W372">
        <v>200</v>
      </c>
      <c r="X372">
        <v>0</v>
      </c>
      <c r="Y372">
        <v>0</v>
      </c>
      <c r="Z372">
        <v>0</v>
      </c>
      <c r="AA372">
        <v>0</v>
      </c>
      <c r="AB372">
        <v>0</v>
      </c>
      <c r="AC372">
        <v>200</v>
      </c>
      <c r="AD372">
        <v>0</v>
      </c>
      <c r="AE372">
        <v>0</v>
      </c>
      <c r="AF372">
        <v>0</v>
      </c>
      <c r="AG372">
        <v>0</v>
      </c>
      <c r="AH372">
        <v>0</v>
      </c>
      <c r="AI372">
        <v>0</v>
      </c>
      <c r="AJ372">
        <v>0</v>
      </c>
      <c r="AK372">
        <v>0</v>
      </c>
      <c r="AL372">
        <v>0</v>
      </c>
      <c r="AM372">
        <v>0</v>
      </c>
      <c r="AN372">
        <v>0</v>
      </c>
      <c r="AO372">
        <v>0</v>
      </c>
      <c r="AP372">
        <v>0</v>
      </c>
      <c r="AQ372">
        <v>0</v>
      </c>
      <c r="AR372">
        <v>0</v>
      </c>
      <c r="AS372">
        <v>0</v>
      </c>
      <c r="AT372">
        <v>0</v>
      </c>
      <c r="AU372">
        <f t="shared" si="10"/>
        <v>0</v>
      </c>
      <c r="AV372">
        <f t="shared" si="11"/>
        <v>0</v>
      </c>
    </row>
    <row r="373" spans="1:48" x14ac:dyDescent="0.25">
      <c r="A373" t="s">
        <v>3279</v>
      </c>
      <c r="C373" t="s">
        <v>3280</v>
      </c>
      <c r="D373" t="s">
        <v>2684</v>
      </c>
      <c r="E373" t="s">
        <v>1663</v>
      </c>
      <c r="F373">
        <v>3</v>
      </c>
      <c r="G373">
        <v>3.2</v>
      </c>
      <c r="H373" t="s">
        <v>2327</v>
      </c>
      <c r="I373" s="21">
        <v>37564</v>
      </c>
      <c r="J373">
        <v>2002</v>
      </c>
      <c r="K373" s="21">
        <v>37594</v>
      </c>
      <c r="L373">
        <v>2002</v>
      </c>
      <c r="M373" s="21">
        <v>37745</v>
      </c>
      <c r="N373">
        <v>2003</v>
      </c>
      <c r="Q373" s="262">
        <v>158859</v>
      </c>
      <c r="S373" t="s">
        <v>114</v>
      </c>
      <c r="T373" t="s">
        <v>114</v>
      </c>
      <c r="W373">
        <v>1773</v>
      </c>
      <c r="X373">
        <v>1</v>
      </c>
      <c r="Y373">
        <v>0</v>
      </c>
      <c r="Z373">
        <v>0</v>
      </c>
      <c r="AA373">
        <v>0</v>
      </c>
      <c r="AB373">
        <v>0</v>
      </c>
      <c r="AC373">
        <v>1773</v>
      </c>
      <c r="AD373">
        <v>0</v>
      </c>
      <c r="AE373">
        <v>0</v>
      </c>
      <c r="AF373">
        <v>0</v>
      </c>
      <c r="AG373">
        <v>0</v>
      </c>
      <c r="AH373">
        <v>0</v>
      </c>
      <c r="AI373">
        <v>0</v>
      </c>
      <c r="AJ373">
        <v>0</v>
      </c>
      <c r="AK373">
        <v>0</v>
      </c>
      <c r="AL373">
        <v>0</v>
      </c>
      <c r="AM373">
        <v>0</v>
      </c>
      <c r="AN373">
        <v>0</v>
      </c>
      <c r="AO373">
        <v>1</v>
      </c>
      <c r="AP373">
        <v>0</v>
      </c>
      <c r="AQ373">
        <v>0</v>
      </c>
      <c r="AR373">
        <v>0</v>
      </c>
      <c r="AS373">
        <v>0</v>
      </c>
      <c r="AT373">
        <v>0</v>
      </c>
      <c r="AU373">
        <f t="shared" si="10"/>
        <v>1</v>
      </c>
      <c r="AV373">
        <f t="shared" si="11"/>
        <v>0</v>
      </c>
    </row>
    <row r="374" spans="1:48" x14ac:dyDescent="0.25">
      <c r="A374" t="s">
        <v>3281</v>
      </c>
      <c r="C374" t="s">
        <v>3282</v>
      </c>
      <c r="D374" t="s">
        <v>2684</v>
      </c>
      <c r="E374" t="s">
        <v>1663</v>
      </c>
      <c r="F374">
        <v>3</v>
      </c>
      <c r="G374">
        <v>3.2</v>
      </c>
      <c r="H374" t="s">
        <v>2327</v>
      </c>
      <c r="I374" s="21">
        <v>37564</v>
      </c>
      <c r="J374">
        <v>2002</v>
      </c>
      <c r="K374" s="21">
        <v>37594</v>
      </c>
      <c r="L374">
        <v>2002</v>
      </c>
      <c r="M374" s="21">
        <v>37745</v>
      </c>
      <c r="N374">
        <v>2003</v>
      </c>
      <c r="Q374" s="262">
        <v>0</v>
      </c>
      <c r="S374" t="s">
        <v>114</v>
      </c>
      <c r="T374" t="s">
        <v>114</v>
      </c>
      <c r="W374">
        <v>2282</v>
      </c>
      <c r="X374">
        <v>1</v>
      </c>
      <c r="Y374">
        <v>0</v>
      </c>
      <c r="Z374">
        <v>0</v>
      </c>
      <c r="AA374">
        <v>0</v>
      </c>
      <c r="AB374">
        <v>0</v>
      </c>
      <c r="AC374">
        <v>2282</v>
      </c>
      <c r="AD374">
        <v>0</v>
      </c>
      <c r="AE374">
        <v>0</v>
      </c>
      <c r="AF374">
        <v>0</v>
      </c>
      <c r="AG374">
        <v>0</v>
      </c>
      <c r="AH374">
        <v>0</v>
      </c>
      <c r="AI374">
        <v>0</v>
      </c>
      <c r="AJ374">
        <v>0</v>
      </c>
      <c r="AK374">
        <v>0</v>
      </c>
      <c r="AL374">
        <v>0</v>
      </c>
      <c r="AM374">
        <v>0</v>
      </c>
      <c r="AN374">
        <v>0</v>
      </c>
      <c r="AO374">
        <v>1</v>
      </c>
      <c r="AP374">
        <v>0</v>
      </c>
      <c r="AQ374">
        <v>0</v>
      </c>
      <c r="AR374">
        <v>0</v>
      </c>
      <c r="AS374">
        <v>0</v>
      </c>
      <c r="AT374">
        <v>0</v>
      </c>
      <c r="AU374">
        <f t="shared" si="10"/>
        <v>1</v>
      </c>
      <c r="AV374">
        <f t="shared" si="11"/>
        <v>0</v>
      </c>
    </row>
    <row r="375" spans="1:48" x14ac:dyDescent="0.25">
      <c r="A375" t="s">
        <v>3283</v>
      </c>
      <c r="C375" t="s">
        <v>3284</v>
      </c>
      <c r="D375" t="s">
        <v>3285</v>
      </c>
      <c r="E375" t="s">
        <v>2310</v>
      </c>
      <c r="F375">
        <v>15</v>
      </c>
      <c r="G375">
        <v>15.1</v>
      </c>
      <c r="H375" t="s">
        <v>2022</v>
      </c>
      <c r="I375" s="21">
        <v>37565</v>
      </c>
      <c r="J375">
        <v>2002</v>
      </c>
      <c r="K375" s="21">
        <v>37565</v>
      </c>
      <c r="L375">
        <v>2002</v>
      </c>
      <c r="M375" s="21">
        <v>37565</v>
      </c>
      <c r="N375">
        <v>2002</v>
      </c>
      <c r="R375" s="262">
        <v>21000</v>
      </c>
      <c r="S375" t="s">
        <v>114</v>
      </c>
      <c r="T375" t="s">
        <v>114</v>
      </c>
      <c r="U375">
        <v>15</v>
      </c>
      <c r="W375">
        <v>384</v>
      </c>
      <c r="X375">
        <v>0</v>
      </c>
      <c r="Y375">
        <v>0</v>
      </c>
      <c r="Z375">
        <v>0</v>
      </c>
      <c r="AA375">
        <v>0</v>
      </c>
      <c r="AB375">
        <v>0</v>
      </c>
      <c r="AC375">
        <v>0</v>
      </c>
      <c r="AD375">
        <v>0</v>
      </c>
      <c r="AE375">
        <v>0</v>
      </c>
      <c r="AF375">
        <v>0</v>
      </c>
      <c r="AG375">
        <v>0</v>
      </c>
      <c r="AH375">
        <v>0</v>
      </c>
      <c r="AI375">
        <v>0</v>
      </c>
      <c r="AJ375">
        <v>0</v>
      </c>
      <c r="AK375">
        <v>0</v>
      </c>
      <c r="AL375">
        <v>0</v>
      </c>
      <c r="AM375">
        <v>384</v>
      </c>
      <c r="AN375">
        <v>0</v>
      </c>
      <c r="AO375">
        <v>0</v>
      </c>
      <c r="AP375">
        <v>0</v>
      </c>
      <c r="AQ375">
        <v>0</v>
      </c>
      <c r="AR375">
        <v>0</v>
      </c>
      <c r="AS375">
        <v>0</v>
      </c>
      <c r="AT375">
        <v>0</v>
      </c>
      <c r="AU375">
        <f t="shared" si="10"/>
        <v>0</v>
      </c>
      <c r="AV375">
        <f t="shared" si="11"/>
        <v>384</v>
      </c>
    </row>
    <row r="376" spans="1:48" x14ac:dyDescent="0.25">
      <c r="A376" t="s">
        <v>3286</v>
      </c>
      <c r="C376" t="s">
        <v>3287</v>
      </c>
      <c r="D376" t="s">
        <v>3288</v>
      </c>
      <c r="E376" t="s">
        <v>2310</v>
      </c>
      <c r="F376">
        <v>9</v>
      </c>
      <c r="G376">
        <v>9.3000000000000007</v>
      </c>
      <c r="H376" t="s">
        <v>2323</v>
      </c>
      <c r="I376" s="21">
        <v>37565</v>
      </c>
      <c r="J376">
        <v>2002</v>
      </c>
      <c r="K376" s="21">
        <v>37585</v>
      </c>
      <c r="L376">
        <v>2002</v>
      </c>
      <c r="M376" s="21">
        <v>37784</v>
      </c>
      <c r="N376">
        <v>2003</v>
      </c>
      <c r="R376" s="262">
        <v>120000</v>
      </c>
      <c r="S376" t="s">
        <v>114</v>
      </c>
      <c r="T376" t="s">
        <v>114</v>
      </c>
      <c r="U376">
        <v>8</v>
      </c>
      <c r="W376">
        <v>2000</v>
      </c>
      <c r="X376">
        <v>1</v>
      </c>
      <c r="Y376">
        <v>0</v>
      </c>
      <c r="Z376">
        <v>0</v>
      </c>
      <c r="AA376">
        <v>0</v>
      </c>
      <c r="AB376">
        <v>0</v>
      </c>
      <c r="AC376">
        <v>1000</v>
      </c>
      <c r="AD376">
        <v>0</v>
      </c>
      <c r="AE376">
        <v>0</v>
      </c>
      <c r="AF376">
        <v>1000</v>
      </c>
      <c r="AG376">
        <v>0</v>
      </c>
      <c r="AH376">
        <v>0</v>
      </c>
      <c r="AI376">
        <v>0</v>
      </c>
      <c r="AJ376">
        <v>0</v>
      </c>
      <c r="AK376">
        <v>0</v>
      </c>
      <c r="AL376">
        <v>0</v>
      </c>
      <c r="AM376">
        <v>0</v>
      </c>
      <c r="AN376">
        <v>0</v>
      </c>
      <c r="AO376">
        <v>0</v>
      </c>
      <c r="AP376">
        <v>0</v>
      </c>
      <c r="AQ376">
        <v>0</v>
      </c>
      <c r="AR376">
        <v>1</v>
      </c>
      <c r="AS376">
        <v>0</v>
      </c>
      <c r="AT376">
        <v>0</v>
      </c>
      <c r="AU376">
        <f t="shared" si="10"/>
        <v>0</v>
      </c>
      <c r="AV376">
        <f t="shared" si="11"/>
        <v>0</v>
      </c>
    </row>
    <row r="377" spans="1:48" x14ac:dyDescent="0.25">
      <c r="A377" t="s">
        <v>3289</v>
      </c>
      <c r="C377" t="s">
        <v>3290</v>
      </c>
      <c r="D377" t="s">
        <v>3291</v>
      </c>
      <c r="E377" t="s">
        <v>1663</v>
      </c>
      <c r="F377">
        <v>6</v>
      </c>
      <c r="G377">
        <v>6.1</v>
      </c>
      <c r="H377" t="s">
        <v>2017</v>
      </c>
      <c r="I377" s="21">
        <v>37567</v>
      </c>
      <c r="J377">
        <v>2002</v>
      </c>
      <c r="K377" s="21">
        <v>37597</v>
      </c>
      <c r="L377">
        <v>2002</v>
      </c>
      <c r="M377" s="21">
        <v>37748</v>
      </c>
      <c r="N377">
        <v>2003</v>
      </c>
      <c r="Q377" s="262">
        <v>550000</v>
      </c>
      <c r="S377" t="s">
        <v>114</v>
      </c>
      <c r="T377" t="s">
        <v>114</v>
      </c>
      <c r="W377">
        <v>5443</v>
      </c>
      <c r="X377">
        <v>1</v>
      </c>
      <c r="Y377">
        <v>0</v>
      </c>
      <c r="Z377">
        <v>0</v>
      </c>
      <c r="AA377">
        <v>0</v>
      </c>
      <c r="AB377">
        <v>0</v>
      </c>
      <c r="AC377">
        <v>5443</v>
      </c>
      <c r="AD377">
        <v>0</v>
      </c>
      <c r="AE377">
        <v>0</v>
      </c>
      <c r="AF377">
        <v>0</v>
      </c>
      <c r="AG377">
        <v>0</v>
      </c>
      <c r="AH377">
        <v>0</v>
      </c>
      <c r="AI377">
        <v>0</v>
      </c>
      <c r="AJ377">
        <v>0</v>
      </c>
      <c r="AK377">
        <v>0</v>
      </c>
      <c r="AL377">
        <v>0</v>
      </c>
      <c r="AM377">
        <v>0</v>
      </c>
      <c r="AN377">
        <v>0</v>
      </c>
      <c r="AO377">
        <v>1</v>
      </c>
      <c r="AP377">
        <v>0</v>
      </c>
      <c r="AQ377">
        <v>0</v>
      </c>
      <c r="AR377">
        <v>0</v>
      </c>
      <c r="AS377">
        <v>0</v>
      </c>
      <c r="AT377">
        <v>0</v>
      </c>
      <c r="AU377">
        <f t="shared" si="10"/>
        <v>1</v>
      </c>
      <c r="AV377">
        <f t="shared" si="11"/>
        <v>0</v>
      </c>
    </row>
    <row r="378" spans="1:48" x14ac:dyDescent="0.25">
      <c r="A378" t="s">
        <v>3292</v>
      </c>
      <c r="C378" t="s">
        <v>3293</v>
      </c>
      <c r="D378" t="s">
        <v>3294</v>
      </c>
      <c r="E378" t="s">
        <v>2310</v>
      </c>
      <c r="F378">
        <v>9</v>
      </c>
      <c r="G378">
        <v>9.4</v>
      </c>
      <c r="H378" t="s">
        <v>2323</v>
      </c>
      <c r="I378" s="21">
        <v>37568</v>
      </c>
      <c r="J378">
        <v>2002</v>
      </c>
      <c r="K378" s="21">
        <v>37580</v>
      </c>
      <c r="L378">
        <v>2002</v>
      </c>
      <c r="M378" s="21">
        <v>37580</v>
      </c>
      <c r="N378">
        <v>2002</v>
      </c>
      <c r="R378" s="262">
        <v>35000</v>
      </c>
      <c r="S378" t="s">
        <v>114</v>
      </c>
      <c r="T378" t="s">
        <v>114</v>
      </c>
      <c r="U378">
        <v>5</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f t="shared" si="10"/>
        <v>0</v>
      </c>
      <c r="AV378">
        <f t="shared" si="11"/>
        <v>0</v>
      </c>
    </row>
    <row r="379" spans="1:48" x14ac:dyDescent="0.25">
      <c r="A379" t="s">
        <v>3308</v>
      </c>
      <c r="C379" t="s">
        <v>3309</v>
      </c>
      <c r="D379" t="s">
        <v>3310</v>
      </c>
      <c r="E379" t="s">
        <v>2310</v>
      </c>
      <c r="F379">
        <v>9</v>
      </c>
      <c r="G379">
        <v>9.3000000000000007</v>
      </c>
      <c r="H379" t="s">
        <v>2323</v>
      </c>
      <c r="I379" s="21">
        <v>37573</v>
      </c>
      <c r="J379">
        <v>2002</v>
      </c>
      <c r="K379" s="21">
        <v>37652</v>
      </c>
      <c r="L379">
        <v>2003</v>
      </c>
      <c r="M379" s="21">
        <v>37652</v>
      </c>
      <c r="N379">
        <v>2003</v>
      </c>
      <c r="R379" s="262">
        <v>50000</v>
      </c>
      <c r="S379" t="s">
        <v>114</v>
      </c>
      <c r="T379" t="s">
        <v>114</v>
      </c>
      <c r="U379">
        <v>5</v>
      </c>
      <c r="W379">
        <v>1912</v>
      </c>
      <c r="X379">
        <v>0</v>
      </c>
      <c r="Y379">
        <v>0</v>
      </c>
      <c r="Z379">
        <v>0</v>
      </c>
      <c r="AA379">
        <v>0</v>
      </c>
      <c r="AB379">
        <v>0</v>
      </c>
      <c r="AC379">
        <v>1912</v>
      </c>
      <c r="AD379">
        <v>0</v>
      </c>
      <c r="AE379">
        <v>0</v>
      </c>
      <c r="AF379">
        <v>0</v>
      </c>
      <c r="AG379">
        <v>0</v>
      </c>
      <c r="AH379">
        <v>0</v>
      </c>
      <c r="AI379">
        <v>0</v>
      </c>
      <c r="AJ379">
        <v>0</v>
      </c>
      <c r="AK379">
        <v>0</v>
      </c>
      <c r="AL379">
        <v>0</v>
      </c>
      <c r="AM379">
        <v>0</v>
      </c>
      <c r="AN379">
        <v>0</v>
      </c>
      <c r="AO379">
        <v>0</v>
      </c>
      <c r="AP379">
        <v>0</v>
      </c>
      <c r="AQ379">
        <v>0</v>
      </c>
      <c r="AR379">
        <v>0</v>
      </c>
      <c r="AS379">
        <v>0</v>
      </c>
      <c r="AT379">
        <v>0</v>
      </c>
      <c r="AU379">
        <f t="shared" si="10"/>
        <v>0</v>
      </c>
      <c r="AV379">
        <f t="shared" si="11"/>
        <v>0</v>
      </c>
    </row>
    <row r="380" spans="1:48" x14ac:dyDescent="0.25">
      <c r="A380" t="s">
        <v>3295</v>
      </c>
      <c r="C380" t="s">
        <v>3296</v>
      </c>
      <c r="D380" t="s">
        <v>3297</v>
      </c>
      <c r="E380" t="s">
        <v>1663</v>
      </c>
      <c r="F380">
        <v>2</v>
      </c>
      <c r="G380">
        <v>2.5</v>
      </c>
      <c r="H380" t="s">
        <v>2327</v>
      </c>
      <c r="I380" s="21">
        <v>37573</v>
      </c>
      <c r="J380">
        <v>2002</v>
      </c>
      <c r="K380" s="21">
        <v>37603</v>
      </c>
      <c r="L380">
        <v>2002</v>
      </c>
      <c r="M380" s="21">
        <v>37754</v>
      </c>
      <c r="N380">
        <v>2003</v>
      </c>
      <c r="Q380" s="262">
        <v>89398</v>
      </c>
      <c r="S380" t="s">
        <v>114</v>
      </c>
      <c r="T380" t="s">
        <v>114</v>
      </c>
      <c r="W380">
        <v>1440</v>
      </c>
      <c r="X380">
        <v>1</v>
      </c>
      <c r="Y380">
        <v>0</v>
      </c>
      <c r="Z380">
        <v>0</v>
      </c>
      <c r="AA380">
        <v>0</v>
      </c>
      <c r="AB380">
        <v>0</v>
      </c>
      <c r="AC380">
        <v>0</v>
      </c>
      <c r="AD380">
        <v>1440</v>
      </c>
      <c r="AE380">
        <v>0</v>
      </c>
      <c r="AF380">
        <v>0</v>
      </c>
      <c r="AG380">
        <v>0</v>
      </c>
      <c r="AH380">
        <v>0</v>
      </c>
      <c r="AI380">
        <v>0</v>
      </c>
      <c r="AJ380">
        <v>0</v>
      </c>
      <c r="AK380">
        <v>0</v>
      </c>
      <c r="AL380">
        <v>0</v>
      </c>
      <c r="AM380">
        <v>0</v>
      </c>
      <c r="AN380">
        <v>0</v>
      </c>
      <c r="AO380">
        <v>0</v>
      </c>
      <c r="AP380">
        <v>1</v>
      </c>
      <c r="AQ380">
        <v>0</v>
      </c>
      <c r="AR380">
        <v>0</v>
      </c>
      <c r="AS380">
        <v>0</v>
      </c>
      <c r="AT380">
        <v>0</v>
      </c>
      <c r="AU380">
        <f t="shared" si="10"/>
        <v>1</v>
      </c>
      <c r="AV380">
        <f t="shared" si="11"/>
        <v>0</v>
      </c>
    </row>
    <row r="381" spans="1:48" x14ac:dyDescent="0.25">
      <c r="A381" t="s">
        <v>3298</v>
      </c>
      <c r="C381" t="s">
        <v>3296</v>
      </c>
      <c r="D381" t="s">
        <v>3297</v>
      </c>
      <c r="E381" t="s">
        <v>1663</v>
      </c>
      <c r="F381">
        <v>2</v>
      </c>
      <c r="G381">
        <v>2.5</v>
      </c>
      <c r="H381" t="s">
        <v>2327</v>
      </c>
      <c r="I381" s="21">
        <v>37573</v>
      </c>
      <c r="J381">
        <v>2002</v>
      </c>
      <c r="K381" s="21">
        <v>37603</v>
      </c>
      <c r="L381">
        <v>2002</v>
      </c>
      <c r="M381" s="21">
        <v>37754</v>
      </c>
      <c r="N381">
        <v>2003</v>
      </c>
      <c r="Q381" s="262">
        <v>89398</v>
      </c>
      <c r="S381" t="s">
        <v>114</v>
      </c>
      <c r="T381" t="s">
        <v>114</v>
      </c>
      <c r="W381">
        <v>1440</v>
      </c>
      <c r="X381">
        <v>1</v>
      </c>
      <c r="Y381">
        <v>0</v>
      </c>
      <c r="Z381">
        <v>0</v>
      </c>
      <c r="AA381">
        <v>0</v>
      </c>
      <c r="AB381">
        <v>0</v>
      </c>
      <c r="AC381">
        <v>0</v>
      </c>
      <c r="AD381">
        <v>1440</v>
      </c>
      <c r="AE381">
        <v>0</v>
      </c>
      <c r="AF381">
        <v>0</v>
      </c>
      <c r="AG381">
        <v>0</v>
      </c>
      <c r="AH381">
        <v>0</v>
      </c>
      <c r="AI381">
        <v>0</v>
      </c>
      <c r="AJ381">
        <v>0</v>
      </c>
      <c r="AK381">
        <v>0</v>
      </c>
      <c r="AL381">
        <v>0</v>
      </c>
      <c r="AM381">
        <v>0</v>
      </c>
      <c r="AN381">
        <v>0</v>
      </c>
      <c r="AO381">
        <v>0</v>
      </c>
      <c r="AP381">
        <v>1</v>
      </c>
      <c r="AQ381">
        <v>0</v>
      </c>
      <c r="AR381">
        <v>0</v>
      </c>
      <c r="AS381">
        <v>0</v>
      </c>
      <c r="AT381">
        <v>0</v>
      </c>
      <c r="AU381">
        <f t="shared" si="10"/>
        <v>1</v>
      </c>
      <c r="AV381">
        <f t="shared" si="11"/>
        <v>0</v>
      </c>
    </row>
    <row r="382" spans="1:48" x14ac:dyDescent="0.25">
      <c r="A382" t="s">
        <v>3299</v>
      </c>
      <c r="C382" t="s">
        <v>3296</v>
      </c>
      <c r="D382" t="s">
        <v>3297</v>
      </c>
      <c r="E382" t="s">
        <v>1663</v>
      </c>
      <c r="F382">
        <v>2</v>
      </c>
      <c r="G382">
        <v>2.5</v>
      </c>
      <c r="H382" t="s">
        <v>2327</v>
      </c>
      <c r="I382" s="21">
        <v>37573</v>
      </c>
      <c r="J382">
        <v>2002</v>
      </c>
      <c r="K382" s="21">
        <v>37603</v>
      </c>
      <c r="L382">
        <v>2002</v>
      </c>
      <c r="M382" s="21">
        <v>37754</v>
      </c>
      <c r="N382">
        <v>2003</v>
      </c>
      <c r="Q382" s="262">
        <v>89398</v>
      </c>
      <c r="S382" t="s">
        <v>114</v>
      </c>
      <c r="T382" t="s">
        <v>114</v>
      </c>
      <c r="W382">
        <v>1440</v>
      </c>
      <c r="X382">
        <v>1</v>
      </c>
      <c r="Y382">
        <v>0</v>
      </c>
      <c r="Z382">
        <v>0</v>
      </c>
      <c r="AA382">
        <v>0</v>
      </c>
      <c r="AB382">
        <v>0</v>
      </c>
      <c r="AC382">
        <v>0</v>
      </c>
      <c r="AD382">
        <v>1440</v>
      </c>
      <c r="AE382">
        <v>0</v>
      </c>
      <c r="AF382">
        <v>0</v>
      </c>
      <c r="AG382">
        <v>0</v>
      </c>
      <c r="AH382">
        <v>0</v>
      </c>
      <c r="AI382">
        <v>0</v>
      </c>
      <c r="AJ382">
        <v>0</v>
      </c>
      <c r="AK382">
        <v>0</v>
      </c>
      <c r="AL382">
        <v>0</v>
      </c>
      <c r="AM382">
        <v>0</v>
      </c>
      <c r="AN382">
        <v>0</v>
      </c>
      <c r="AO382">
        <v>0</v>
      </c>
      <c r="AP382">
        <v>1</v>
      </c>
      <c r="AQ382">
        <v>0</v>
      </c>
      <c r="AR382">
        <v>0</v>
      </c>
      <c r="AS382">
        <v>0</v>
      </c>
      <c r="AT382">
        <v>0</v>
      </c>
      <c r="AU382">
        <f t="shared" si="10"/>
        <v>1</v>
      </c>
      <c r="AV382">
        <f t="shared" si="11"/>
        <v>0</v>
      </c>
    </row>
    <row r="383" spans="1:48" x14ac:dyDescent="0.25">
      <c r="A383" t="s">
        <v>3300</v>
      </c>
      <c r="C383" t="s">
        <v>3296</v>
      </c>
      <c r="D383" t="s">
        <v>3297</v>
      </c>
      <c r="E383" t="s">
        <v>1663</v>
      </c>
      <c r="F383">
        <v>2</v>
      </c>
      <c r="G383">
        <v>2.5</v>
      </c>
      <c r="H383" t="s">
        <v>2327</v>
      </c>
      <c r="I383" s="21">
        <v>37573</v>
      </c>
      <c r="J383">
        <v>2002</v>
      </c>
      <c r="K383" s="21">
        <v>37603</v>
      </c>
      <c r="L383">
        <v>2002</v>
      </c>
      <c r="M383" s="21">
        <v>37754</v>
      </c>
      <c r="N383">
        <v>2003</v>
      </c>
      <c r="Q383" s="262">
        <v>89398</v>
      </c>
      <c r="S383" t="s">
        <v>114</v>
      </c>
      <c r="T383" t="s">
        <v>114</v>
      </c>
      <c r="W383">
        <v>1440</v>
      </c>
      <c r="X383">
        <v>1</v>
      </c>
      <c r="Y383">
        <v>0</v>
      </c>
      <c r="Z383">
        <v>0</v>
      </c>
      <c r="AA383">
        <v>0</v>
      </c>
      <c r="AB383">
        <v>0</v>
      </c>
      <c r="AC383">
        <v>0</v>
      </c>
      <c r="AD383">
        <v>1440</v>
      </c>
      <c r="AE383">
        <v>0</v>
      </c>
      <c r="AF383">
        <v>0</v>
      </c>
      <c r="AG383">
        <v>0</v>
      </c>
      <c r="AH383">
        <v>0</v>
      </c>
      <c r="AI383">
        <v>0</v>
      </c>
      <c r="AJ383">
        <v>0</v>
      </c>
      <c r="AK383">
        <v>0</v>
      </c>
      <c r="AL383">
        <v>0</v>
      </c>
      <c r="AM383">
        <v>0</v>
      </c>
      <c r="AN383">
        <v>0</v>
      </c>
      <c r="AO383">
        <v>0</v>
      </c>
      <c r="AP383">
        <v>1</v>
      </c>
      <c r="AQ383">
        <v>0</v>
      </c>
      <c r="AR383">
        <v>0</v>
      </c>
      <c r="AS383">
        <v>0</v>
      </c>
      <c r="AT383">
        <v>0</v>
      </c>
      <c r="AU383">
        <f t="shared" si="10"/>
        <v>1</v>
      </c>
      <c r="AV383">
        <f t="shared" si="11"/>
        <v>0</v>
      </c>
    </row>
    <row r="384" spans="1:48" x14ac:dyDescent="0.25">
      <c r="A384" t="s">
        <v>3301</v>
      </c>
      <c r="C384" t="s">
        <v>3296</v>
      </c>
      <c r="D384" t="s">
        <v>3297</v>
      </c>
      <c r="E384" t="s">
        <v>1663</v>
      </c>
      <c r="F384">
        <v>2</v>
      </c>
      <c r="G384">
        <v>2.5</v>
      </c>
      <c r="H384" t="s">
        <v>2327</v>
      </c>
      <c r="I384" s="21">
        <v>37573</v>
      </c>
      <c r="J384">
        <v>2002</v>
      </c>
      <c r="K384" s="21">
        <v>37603</v>
      </c>
      <c r="L384">
        <v>2002</v>
      </c>
      <c r="M384" s="21">
        <v>37754</v>
      </c>
      <c r="N384">
        <v>2003</v>
      </c>
      <c r="Q384" s="262">
        <v>89398</v>
      </c>
      <c r="S384" t="s">
        <v>114</v>
      </c>
      <c r="T384" t="s">
        <v>114</v>
      </c>
      <c r="W384">
        <v>1440</v>
      </c>
      <c r="X384">
        <v>1</v>
      </c>
      <c r="Y384">
        <v>0</v>
      </c>
      <c r="Z384">
        <v>0</v>
      </c>
      <c r="AA384">
        <v>0</v>
      </c>
      <c r="AB384">
        <v>0</v>
      </c>
      <c r="AC384">
        <v>0</v>
      </c>
      <c r="AD384">
        <v>1440</v>
      </c>
      <c r="AE384">
        <v>0</v>
      </c>
      <c r="AF384">
        <v>0</v>
      </c>
      <c r="AG384">
        <v>0</v>
      </c>
      <c r="AH384">
        <v>0</v>
      </c>
      <c r="AI384">
        <v>0</v>
      </c>
      <c r="AJ384">
        <v>0</v>
      </c>
      <c r="AK384">
        <v>0</v>
      </c>
      <c r="AL384">
        <v>0</v>
      </c>
      <c r="AM384">
        <v>0</v>
      </c>
      <c r="AN384">
        <v>0</v>
      </c>
      <c r="AO384">
        <v>0</v>
      </c>
      <c r="AP384">
        <v>1</v>
      </c>
      <c r="AQ384">
        <v>0</v>
      </c>
      <c r="AR384">
        <v>0</v>
      </c>
      <c r="AS384">
        <v>0</v>
      </c>
      <c r="AT384">
        <v>0</v>
      </c>
      <c r="AU384">
        <f t="shared" si="10"/>
        <v>1</v>
      </c>
      <c r="AV384">
        <f t="shared" si="11"/>
        <v>0</v>
      </c>
    </row>
    <row r="385" spans="1:48" x14ac:dyDescent="0.25">
      <c r="A385" t="s">
        <v>3302</v>
      </c>
      <c r="C385" t="s">
        <v>3296</v>
      </c>
      <c r="D385" t="s">
        <v>3297</v>
      </c>
      <c r="E385" t="s">
        <v>1663</v>
      </c>
      <c r="F385">
        <v>2</v>
      </c>
      <c r="G385">
        <v>2.5</v>
      </c>
      <c r="H385" t="s">
        <v>2327</v>
      </c>
      <c r="I385" s="21">
        <v>37573</v>
      </c>
      <c r="J385">
        <v>2002</v>
      </c>
      <c r="K385" s="21">
        <v>37603</v>
      </c>
      <c r="L385">
        <v>2002</v>
      </c>
      <c r="M385" s="21">
        <v>37754</v>
      </c>
      <c r="N385">
        <v>2003</v>
      </c>
      <c r="Q385" s="262">
        <v>89398</v>
      </c>
      <c r="S385" t="s">
        <v>114</v>
      </c>
      <c r="T385" t="s">
        <v>114</v>
      </c>
      <c r="W385">
        <v>1440</v>
      </c>
      <c r="X385">
        <v>1</v>
      </c>
      <c r="Y385">
        <v>0</v>
      </c>
      <c r="Z385">
        <v>0</v>
      </c>
      <c r="AA385">
        <v>0</v>
      </c>
      <c r="AB385">
        <v>0</v>
      </c>
      <c r="AC385">
        <v>0</v>
      </c>
      <c r="AD385">
        <v>1440</v>
      </c>
      <c r="AE385">
        <v>0</v>
      </c>
      <c r="AF385">
        <v>0</v>
      </c>
      <c r="AG385">
        <v>0</v>
      </c>
      <c r="AH385">
        <v>0</v>
      </c>
      <c r="AI385">
        <v>0</v>
      </c>
      <c r="AJ385">
        <v>0</v>
      </c>
      <c r="AK385">
        <v>0</v>
      </c>
      <c r="AL385">
        <v>0</v>
      </c>
      <c r="AM385">
        <v>0</v>
      </c>
      <c r="AN385">
        <v>0</v>
      </c>
      <c r="AO385">
        <v>0</v>
      </c>
      <c r="AP385">
        <v>1</v>
      </c>
      <c r="AQ385">
        <v>0</v>
      </c>
      <c r="AR385">
        <v>0</v>
      </c>
      <c r="AS385">
        <v>0</v>
      </c>
      <c r="AT385">
        <v>0</v>
      </c>
      <c r="AU385">
        <f t="shared" si="10"/>
        <v>1</v>
      </c>
      <c r="AV385">
        <f t="shared" si="11"/>
        <v>0</v>
      </c>
    </row>
    <row r="386" spans="1:48" x14ac:dyDescent="0.25">
      <c r="A386" t="s">
        <v>3303</v>
      </c>
      <c r="C386" t="s">
        <v>3296</v>
      </c>
      <c r="D386" t="s">
        <v>3297</v>
      </c>
      <c r="E386" t="s">
        <v>1663</v>
      </c>
      <c r="F386">
        <v>2</v>
      </c>
      <c r="G386">
        <v>2.5</v>
      </c>
      <c r="H386" t="s">
        <v>2327</v>
      </c>
      <c r="I386" s="21">
        <v>37573</v>
      </c>
      <c r="J386">
        <v>2002</v>
      </c>
      <c r="K386" s="21">
        <v>37603</v>
      </c>
      <c r="L386">
        <v>2002</v>
      </c>
      <c r="M386" s="21">
        <v>37754</v>
      </c>
      <c r="N386">
        <v>2003</v>
      </c>
      <c r="Q386" s="262">
        <v>89398</v>
      </c>
      <c r="S386" t="s">
        <v>114</v>
      </c>
      <c r="T386" t="s">
        <v>114</v>
      </c>
      <c r="W386">
        <v>1440</v>
      </c>
      <c r="X386">
        <v>1</v>
      </c>
      <c r="Y386">
        <v>0</v>
      </c>
      <c r="Z386">
        <v>0</v>
      </c>
      <c r="AA386">
        <v>0</v>
      </c>
      <c r="AB386">
        <v>0</v>
      </c>
      <c r="AC386">
        <v>0</v>
      </c>
      <c r="AD386">
        <v>1440</v>
      </c>
      <c r="AE386">
        <v>0</v>
      </c>
      <c r="AF386">
        <v>0</v>
      </c>
      <c r="AG386">
        <v>0</v>
      </c>
      <c r="AH386">
        <v>0</v>
      </c>
      <c r="AI386">
        <v>0</v>
      </c>
      <c r="AJ386">
        <v>0</v>
      </c>
      <c r="AK386">
        <v>0</v>
      </c>
      <c r="AL386">
        <v>0</v>
      </c>
      <c r="AM386">
        <v>0</v>
      </c>
      <c r="AN386">
        <v>0</v>
      </c>
      <c r="AO386">
        <v>0</v>
      </c>
      <c r="AP386">
        <v>1</v>
      </c>
      <c r="AQ386">
        <v>0</v>
      </c>
      <c r="AR386">
        <v>0</v>
      </c>
      <c r="AS386">
        <v>0</v>
      </c>
      <c r="AT386">
        <v>0</v>
      </c>
      <c r="AU386">
        <f t="shared" si="10"/>
        <v>1</v>
      </c>
      <c r="AV386">
        <f t="shared" si="11"/>
        <v>0</v>
      </c>
    </row>
    <row r="387" spans="1:48" x14ac:dyDescent="0.25">
      <c r="A387" t="s">
        <v>3304</v>
      </c>
      <c r="C387" t="s">
        <v>3296</v>
      </c>
      <c r="D387" t="s">
        <v>3297</v>
      </c>
      <c r="E387" t="s">
        <v>1663</v>
      </c>
      <c r="F387">
        <v>2</v>
      </c>
      <c r="G387">
        <v>2.5</v>
      </c>
      <c r="H387" t="s">
        <v>2327</v>
      </c>
      <c r="I387" s="21">
        <v>37573</v>
      </c>
      <c r="J387">
        <v>2002</v>
      </c>
      <c r="K387" s="21">
        <v>37603</v>
      </c>
      <c r="L387">
        <v>2002</v>
      </c>
      <c r="M387" s="21">
        <v>37754</v>
      </c>
      <c r="N387">
        <v>2003</v>
      </c>
      <c r="Q387" s="262">
        <v>89398</v>
      </c>
      <c r="S387" t="s">
        <v>114</v>
      </c>
      <c r="T387" t="s">
        <v>114</v>
      </c>
      <c r="W387">
        <v>1440</v>
      </c>
      <c r="X387">
        <v>1</v>
      </c>
      <c r="Y387">
        <v>0</v>
      </c>
      <c r="Z387">
        <v>0</v>
      </c>
      <c r="AA387">
        <v>0</v>
      </c>
      <c r="AB387">
        <v>0</v>
      </c>
      <c r="AC387">
        <v>0</v>
      </c>
      <c r="AD387">
        <v>1440</v>
      </c>
      <c r="AE387">
        <v>0</v>
      </c>
      <c r="AF387">
        <v>0</v>
      </c>
      <c r="AG387">
        <v>0</v>
      </c>
      <c r="AH387">
        <v>0</v>
      </c>
      <c r="AI387">
        <v>0</v>
      </c>
      <c r="AJ387">
        <v>0</v>
      </c>
      <c r="AK387">
        <v>0</v>
      </c>
      <c r="AL387">
        <v>0</v>
      </c>
      <c r="AM387">
        <v>0</v>
      </c>
      <c r="AN387">
        <v>0</v>
      </c>
      <c r="AO387">
        <v>0</v>
      </c>
      <c r="AP387">
        <v>1</v>
      </c>
      <c r="AQ387">
        <v>0</v>
      </c>
      <c r="AR387">
        <v>0</v>
      </c>
      <c r="AS387">
        <v>0</v>
      </c>
      <c r="AT387">
        <v>0</v>
      </c>
      <c r="AU387">
        <f t="shared" si="10"/>
        <v>1</v>
      </c>
      <c r="AV387">
        <f t="shared" si="11"/>
        <v>0</v>
      </c>
    </row>
    <row r="388" spans="1:48" x14ac:dyDescent="0.25">
      <c r="A388" t="s">
        <v>3305</v>
      </c>
      <c r="C388" t="s">
        <v>3296</v>
      </c>
      <c r="D388" t="s">
        <v>3297</v>
      </c>
      <c r="E388" t="s">
        <v>1663</v>
      </c>
      <c r="F388">
        <v>2</v>
      </c>
      <c r="G388">
        <v>2.5</v>
      </c>
      <c r="H388" t="s">
        <v>2327</v>
      </c>
      <c r="I388" s="21">
        <v>37573</v>
      </c>
      <c r="J388">
        <v>2002</v>
      </c>
      <c r="K388" s="21">
        <v>37603</v>
      </c>
      <c r="L388">
        <v>2002</v>
      </c>
      <c r="M388" s="21">
        <v>37754</v>
      </c>
      <c r="N388">
        <v>2003</v>
      </c>
      <c r="Q388" s="262">
        <v>89398</v>
      </c>
      <c r="S388" t="s">
        <v>114</v>
      </c>
      <c r="T388" t="s">
        <v>114</v>
      </c>
      <c r="W388">
        <v>1440</v>
      </c>
      <c r="X388">
        <v>1</v>
      </c>
      <c r="Y388">
        <v>0</v>
      </c>
      <c r="Z388">
        <v>0</v>
      </c>
      <c r="AA388">
        <v>0</v>
      </c>
      <c r="AB388">
        <v>0</v>
      </c>
      <c r="AC388">
        <v>0</v>
      </c>
      <c r="AD388">
        <v>1440</v>
      </c>
      <c r="AE388">
        <v>0</v>
      </c>
      <c r="AF388">
        <v>0</v>
      </c>
      <c r="AG388">
        <v>0</v>
      </c>
      <c r="AH388">
        <v>0</v>
      </c>
      <c r="AI388">
        <v>0</v>
      </c>
      <c r="AJ388">
        <v>0</v>
      </c>
      <c r="AK388">
        <v>0</v>
      </c>
      <c r="AL388">
        <v>0</v>
      </c>
      <c r="AM388">
        <v>0</v>
      </c>
      <c r="AN388">
        <v>0</v>
      </c>
      <c r="AO388">
        <v>0</v>
      </c>
      <c r="AP388">
        <v>1</v>
      </c>
      <c r="AQ388">
        <v>0</v>
      </c>
      <c r="AR388">
        <v>0</v>
      </c>
      <c r="AS388">
        <v>0</v>
      </c>
      <c r="AT388">
        <v>0</v>
      </c>
      <c r="AU388">
        <f t="shared" si="10"/>
        <v>1</v>
      </c>
      <c r="AV388">
        <f t="shared" si="11"/>
        <v>0</v>
      </c>
    </row>
    <row r="389" spans="1:48" x14ac:dyDescent="0.25">
      <c r="A389" t="s">
        <v>3306</v>
      </c>
      <c r="C389" t="s">
        <v>3296</v>
      </c>
      <c r="D389" t="s">
        <v>3297</v>
      </c>
      <c r="E389" t="s">
        <v>1663</v>
      </c>
      <c r="F389">
        <v>2</v>
      </c>
      <c r="G389">
        <v>2.5</v>
      </c>
      <c r="H389" t="s">
        <v>2327</v>
      </c>
      <c r="I389" s="21">
        <v>37573</v>
      </c>
      <c r="J389">
        <v>2002</v>
      </c>
      <c r="K389" s="21">
        <v>37603</v>
      </c>
      <c r="L389">
        <v>2002</v>
      </c>
      <c r="M389" s="21">
        <v>37754</v>
      </c>
      <c r="N389">
        <v>2003</v>
      </c>
      <c r="Q389" s="262">
        <v>89398</v>
      </c>
      <c r="S389" t="s">
        <v>114</v>
      </c>
      <c r="T389" t="s">
        <v>114</v>
      </c>
      <c r="W389">
        <v>1440</v>
      </c>
      <c r="X389">
        <v>1</v>
      </c>
      <c r="Y389">
        <v>0</v>
      </c>
      <c r="Z389">
        <v>0</v>
      </c>
      <c r="AA389">
        <v>0</v>
      </c>
      <c r="AB389">
        <v>0</v>
      </c>
      <c r="AC389">
        <v>0</v>
      </c>
      <c r="AD389">
        <v>1440</v>
      </c>
      <c r="AE389">
        <v>0</v>
      </c>
      <c r="AF389">
        <v>0</v>
      </c>
      <c r="AG389">
        <v>0</v>
      </c>
      <c r="AH389">
        <v>0</v>
      </c>
      <c r="AI389">
        <v>0</v>
      </c>
      <c r="AJ389">
        <v>0</v>
      </c>
      <c r="AK389">
        <v>0</v>
      </c>
      <c r="AL389">
        <v>0</v>
      </c>
      <c r="AM389">
        <v>0</v>
      </c>
      <c r="AN389">
        <v>0</v>
      </c>
      <c r="AO389">
        <v>0</v>
      </c>
      <c r="AP389">
        <v>1</v>
      </c>
      <c r="AQ389">
        <v>0</v>
      </c>
      <c r="AR389">
        <v>0</v>
      </c>
      <c r="AS389">
        <v>0</v>
      </c>
      <c r="AT389">
        <v>0</v>
      </c>
      <c r="AU389">
        <f t="shared" si="10"/>
        <v>1</v>
      </c>
      <c r="AV389">
        <f t="shared" si="11"/>
        <v>0</v>
      </c>
    </row>
    <row r="390" spans="1:48" x14ac:dyDescent="0.25">
      <c r="A390" t="s">
        <v>3307</v>
      </c>
      <c r="C390" t="s">
        <v>3296</v>
      </c>
      <c r="D390" t="s">
        <v>3297</v>
      </c>
      <c r="E390" t="s">
        <v>1663</v>
      </c>
      <c r="F390">
        <v>2</v>
      </c>
      <c r="G390">
        <v>2.5</v>
      </c>
      <c r="H390" t="s">
        <v>2327</v>
      </c>
      <c r="I390" s="21">
        <v>37573</v>
      </c>
      <c r="J390">
        <v>2002</v>
      </c>
      <c r="K390" s="21">
        <v>37603</v>
      </c>
      <c r="L390">
        <v>2002</v>
      </c>
      <c r="M390" s="21">
        <v>37754</v>
      </c>
      <c r="N390">
        <v>2003</v>
      </c>
      <c r="Q390" s="262">
        <v>89398</v>
      </c>
      <c r="S390" t="s">
        <v>114</v>
      </c>
      <c r="T390" t="s">
        <v>114</v>
      </c>
      <c r="W390">
        <v>1440</v>
      </c>
      <c r="X390">
        <v>1</v>
      </c>
      <c r="Y390">
        <v>0</v>
      </c>
      <c r="Z390">
        <v>0</v>
      </c>
      <c r="AA390">
        <v>0</v>
      </c>
      <c r="AB390">
        <v>0</v>
      </c>
      <c r="AC390">
        <v>0</v>
      </c>
      <c r="AD390">
        <v>1440</v>
      </c>
      <c r="AE390">
        <v>0</v>
      </c>
      <c r="AF390">
        <v>0</v>
      </c>
      <c r="AG390">
        <v>0</v>
      </c>
      <c r="AH390">
        <v>0</v>
      </c>
      <c r="AI390">
        <v>0</v>
      </c>
      <c r="AJ390">
        <v>0</v>
      </c>
      <c r="AK390">
        <v>0</v>
      </c>
      <c r="AL390">
        <v>0</v>
      </c>
      <c r="AM390">
        <v>0</v>
      </c>
      <c r="AN390">
        <v>0</v>
      </c>
      <c r="AO390">
        <v>0</v>
      </c>
      <c r="AP390">
        <v>1</v>
      </c>
      <c r="AQ390">
        <v>0</v>
      </c>
      <c r="AR390">
        <v>0</v>
      </c>
      <c r="AS390">
        <v>0</v>
      </c>
      <c r="AT390">
        <v>0</v>
      </c>
      <c r="AU390">
        <f t="shared" si="10"/>
        <v>1</v>
      </c>
      <c r="AV390">
        <f t="shared" si="11"/>
        <v>0</v>
      </c>
    </row>
    <row r="391" spans="1:48" x14ac:dyDescent="0.25">
      <c r="A391" t="s">
        <v>3311</v>
      </c>
      <c r="C391" t="s">
        <v>3312</v>
      </c>
      <c r="D391" t="s">
        <v>2949</v>
      </c>
      <c r="E391" t="s">
        <v>2310</v>
      </c>
      <c r="F391">
        <v>13</v>
      </c>
      <c r="G391">
        <v>13.1</v>
      </c>
      <c r="H391" t="s">
        <v>2327</v>
      </c>
      <c r="I391" s="21">
        <v>37582</v>
      </c>
      <c r="J391">
        <v>2002</v>
      </c>
      <c r="K391" s="21">
        <v>37658</v>
      </c>
      <c r="L391">
        <v>2003</v>
      </c>
      <c r="M391" s="21">
        <v>37799</v>
      </c>
      <c r="N391">
        <v>2003</v>
      </c>
      <c r="R391" s="262">
        <v>200000</v>
      </c>
      <c r="S391" t="s">
        <v>114</v>
      </c>
      <c r="T391" t="s">
        <v>114</v>
      </c>
      <c r="U391">
        <v>12</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f t="shared" si="10"/>
        <v>0</v>
      </c>
      <c r="AV391">
        <f t="shared" si="11"/>
        <v>0</v>
      </c>
    </row>
    <row r="392" spans="1:48" x14ac:dyDescent="0.25">
      <c r="A392" t="s">
        <v>3313</v>
      </c>
      <c r="C392" t="s">
        <v>3314</v>
      </c>
      <c r="D392" t="s">
        <v>3315</v>
      </c>
      <c r="E392" t="s">
        <v>2310</v>
      </c>
      <c r="F392">
        <v>9</v>
      </c>
      <c r="G392">
        <v>9.4</v>
      </c>
      <c r="H392" t="s">
        <v>2323</v>
      </c>
      <c r="I392" s="21">
        <v>37582</v>
      </c>
      <c r="J392">
        <v>2002</v>
      </c>
      <c r="K392" s="21">
        <v>37609</v>
      </c>
      <c r="L392">
        <v>2002</v>
      </c>
      <c r="M392" s="21">
        <v>37623</v>
      </c>
      <c r="N392">
        <v>2003</v>
      </c>
      <c r="R392" s="262">
        <v>700000</v>
      </c>
      <c r="S392" t="s">
        <v>114</v>
      </c>
      <c r="T392" t="s">
        <v>114</v>
      </c>
      <c r="U392">
        <v>5</v>
      </c>
      <c r="W392">
        <v>3892</v>
      </c>
      <c r="X392">
        <v>1</v>
      </c>
      <c r="Y392">
        <v>0</v>
      </c>
      <c r="Z392">
        <v>0</v>
      </c>
      <c r="AA392">
        <v>0</v>
      </c>
      <c r="AB392">
        <v>0</v>
      </c>
      <c r="AC392">
        <v>3892</v>
      </c>
      <c r="AD392">
        <v>0</v>
      </c>
      <c r="AE392">
        <v>0</v>
      </c>
      <c r="AF392">
        <v>0</v>
      </c>
      <c r="AG392">
        <v>0</v>
      </c>
      <c r="AH392">
        <v>0</v>
      </c>
      <c r="AI392">
        <v>0</v>
      </c>
      <c r="AJ392">
        <v>0</v>
      </c>
      <c r="AK392">
        <v>0</v>
      </c>
      <c r="AL392">
        <v>0</v>
      </c>
      <c r="AM392">
        <v>0</v>
      </c>
      <c r="AN392">
        <v>0</v>
      </c>
      <c r="AO392">
        <v>1</v>
      </c>
      <c r="AP392">
        <v>0</v>
      </c>
      <c r="AQ392">
        <v>0</v>
      </c>
      <c r="AR392">
        <v>0</v>
      </c>
      <c r="AS392">
        <v>0</v>
      </c>
      <c r="AT392">
        <v>0</v>
      </c>
      <c r="AU392">
        <f t="shared" si="10"/>
        <v>1</v>
      </c>
      <c r="AV392">
        <f t="shared" si="11"/>
        <v>0</v>
      </c>
    </row>
    <row r="393" spans="1:48" x14ac:dyDescent="0.25">
      <c r="A393" t="s">
        <v>3316</v>
      </c>
      <c r="C393" t="s">
        <v>3317</v>
      </c>
      <c r="D393" t="s">
        <v>3318</v>
      </c>
      <c r="E393" t="s">
        <v>1663</v>
      </c>
      <c r="F393">
        <v>5</v>
      </c>
      <c r="G393">
        <v>5.5</v>
      </c>
      <c r="H393" t="s">
        <v>2017</v>
      </c>
      <c r="I393" s="21">
        <v>37587</v>
      </c>
      <c r="J393">
        <v>2002</v>
      </c>
      <c r="K393" s="21">
        <v>37617</v>
      </c>
      <c r="L393">
        <v>2002</v>
      </c>
      <c r="M393" s="21">
        <v>37768</v>
      </c>
      <c r="N393">
        <v>2003</v>
      </c>
      <c r="Q393" s="262">
        <v>235000</v>
      </c>
      <c r="S393" t="s">
        <v>114</v>
      </c>
      <c r="T393" t="s">
        <v>114</v>
      </c>
      <c r="W393">
        <v>3116</v>
      </c>
      <c r="X393">
        <v>1</v>
      </c>
      <c r="Y393">
        <v>0</v>
      </c>
      <c r="Z393">
        <v>0</v>
      </c>
      <c r="AA393">
        <v>0</v>
      </c>
      <c r="AB393">
        <v>0</v>
      </c>
      <c r="AC393">
        <v>3116</v>
      </c>
      <c r="AD393">
        <v>0</v>
      </c>
      <c r="AE393">
        <v>0</v>
      </c>
      <c r="AF393">
        <v>0</v>
      </c>
      <c r="AG393">
        <v>0</v>
      </c>
      <c r="AH393">
        <v>0</v>
      </c>
      <c r="AI393">
        <v>0</v>
      </c>
      <c r="AJ393">
        <v>0</v>
      </c>
      <c r="AK393">
        <v>0</v>
      </c>
      <c r="AL393">
        <v>0</v>
      </c>
      <c r="AM393">
        <v>0</v>
      </c>
      <c r="AN393">
        <v>0</v>
      </c>
      <c r="AO393">
        <v>1</v>
      </c>
      <c r="AP393">
        <v>0</v>
      </c>
      <c r="AQ393">
        <v>0</v>
      </c>
      <c r="AR393">
        <v>0</v>
      </c>
      <c r="AS393">
        <v>0</v>
      </c>
      <c r="AT393">
        <v>0</v>
      </c>
      <c r="AU393">
        <f t="shared" si="10"/>
        <v>1</v>
      </c>
      <c r="AV393">
        <f t="shared" si="11"/>
        <v>0</v>
      </c>
    </row>
    <row r="394" spans="1:48" x14ac:dyDescent="0.25">
      <c r="A394" t="s">
        <v>3319</v>
      </c>
      <c r="C394" t="s">
        <v>3320</v>
      </c>
      <c r="D394" t="s">
        <v>3321</v>
      </c>
      <c r="E394" t="s">
        <v>1663</v>
      </c>
      <c r="F394">
        <v>5</v>
      </c>
      <c r="G394">
        <v>5.3</v>
      </c>
      <c r="H394" t="s">
        <v>2327</v>
      </c>
      <c r="I394" s="21">
        <v>37593</v>
      </c>
      <c r="J394">
        <v>2002</v>
      </c>
      <c r="K394" s="21">
        <v>37624</v>
      </c>
      <c r="L394">
        <v>2003</v>
      </c>
      <c r="M394" s="21">
        <v>37775</v>
      </c>
      <c r="N394">
        <v>2003</v>
      </c>
      <c r="Q394" s="262">
        <v>170560</v>
      </c>
      <c r="S394" t="s">
        <v>114</v>
      </c>
      <c r="T394" t="s">
        <v>114</v>
      </c>
      <c r="W394">
        <v>2080</v>
      </c>
      <c r="X394">
        <v>2</v>
      </c>
      <c r="Y394">
        <v>0</v>
      </c>
      <c r="Z394">
        <v>0</v>
      </c>
      <c r="AA394">
        <v>0</v>
      </c>
      <c r="AB394">
        <v>0</v>
      </c>
      <c r="AC394">
        <v>0</v>
      </c>
      <c r="AD394">
        <v>0</v>
      </c>
      <c r="AE394">
        <v>2080</v>
      </c>
      <c r="AF394">
        <v>0</v>
      </c>
      <c r="AG394">
        <v>0</v>
      </c>
      <c r="AH394">
        <v>0</v>
      </c>
      <c r="AI394">
        <v>0</v>
      </c>
      <c r="AJ394">
        <v>0</v>
      </c>
      <c r="AK394">
        <v>0</v>
      </c>
      <c r="AL394">
        <v>0</v>
      </c>
      <c r="AM394">
        <v>0</v>
      </c>
      <c r="AN394">
        <v>0</v>
      </c>
      <c r="AO394">
        <v>0</v>
      </c>
      <c r="AP394">
        <v>0</v>
      </c>
      <c r="AQ394">
        <v>2</v>
      </c>
      <c r="AR394">
        <v>0</v>
      </c>
      <c r="AS394">
        <v>0</v>
      </c>
      <c r="AT394">
        <v>0</v>
      </c>
      <c r="AU394">
        <f t="shared" si="10"/>
        <v>2</v>
      </c>
      <c r="AV394">
        <f t="shared" si="11"/>
        <v>0</v>
      </c>
    </row>
    <row r="395" spans="1:48" x14ac:dyDescent="0.25">
      <c r="A395" t="s">
        <v>3322</v>
      </c>
      <c r="C395" t="s">
        <v>3323</v>
      </c>
      <c r="D395" t="s">
        <v>3324</v>
      </c>
      <c r="E395" t="s">
        <v>2310</v>
      </c>
      <c r="F395">
        <v>9</v>
      </c>
      <c r="G395">
        <v>9.3000000000000007</v>
      </c>
      <c r="H395" t="s">
        <v>2323</v>
      </c>
      <c r="I395" s="21">
        <v>37594</v>
      </c>
      <c r="J395">
        <v>2002</v>
      </c>
      <c r="K395" s="21">
        <v>37629</v>
      </c>
      <c r="L395">
        <v>2003</v>
      </c>
      <c r="M395" s="21">
        <v>37972</v>
      </c>
      <c r="N395">
        <v>2003</v>
      </c>
      <c r="R395" s="262">
        <v>600000</v>
      </c>
      <c r="S395" t="s">
        <v>114</v>
      </c>
      <c r="T395" t="s">
        <v>114</v>
      </c>
      <c r="U395">
        <v>5</v>
      </c>
      <c r="W395">
        <v>3061</v>
      </c>
      <c r="X395">
        <v>0</v>
      </c>
      <c r="Y395">
        <v>0</v>
      </c>
      <c r="Z395">
        <v>0</v>
      </c>
      <c r="AA395">
        <v>0</v>
      </c>
      <c r="AB395">
        <v>0</v>
      </c>
      <c r="AC395">
        <v>3061</v>
      </c>
      <c r="AD395">
        <v>0</v>
      </c>
      <c r="AE395">
        <v>0</v>
      </c>
      <c r="AF395">
        <v>0</v>
      </c>
      <c r="AG395">
        <v>0</v>
      </c>
      <c r="AH395">
        <v>0</v>
      </c>
      <c r="AI395">
        <v>0</v>
      </c>
      <c r="AJ395">
        <v>0</v>
      </c>
      <c r="AK395">
        <v>0</v>
      </c>
      <c r="AL395">
        <v>0</v>
      </c>
      <c r="AM395">
        <v>0</v>
      </c>
      <c r="AN395">
        <v>0</v>
      </c>
      <c r="AO395">
        <v>0</v>
      </c>
      <c r="AP395">
        <v>0</v>
      </c>
      <c r="AQ395">
        <v>0</v>
      </c>
      <c r="AR395">
        <v>0</v>
      </c>
      <c r="AS395">
        <v>0</v>
      </c>
      <c r="AT395">
        <v>0</v>
      </c>
      <c r="AU395">
        <f t="shared" si="10"/>
        <v>0</v>
      </c>
      <c r="AV395">
        <f t="shared" si="11"/>
        <v>0</v>
      </c>
    </row>
    <row r="396" spans="1:48" x14ac:dyDescent="0.25">
      <c r="A396" t="s">
        <v>3325</v>
      </c>
      <c r="C396" t="s">
        <v>3326</v>
      </c>
      <c r="D396" t="s">
        <v>3327</v>
      </c>
      <c r="E396" t="s">
        <v>2310</v>
      </c>
      <c r="F396">
        <v>9</v>
      </c>
      <c r="G396">
        <v>9.3000000000000007</v>
      </c>
      <c r="H396" t="s">
        <v>2323</v>
      </c>
      <c r="I396" s="21">
        <v>37594</v>
      </c>
      <c r="J396">
        <v>2002</v>
      </c>
      <c r="K396" s="21">
        <v>37629</v>
      </c>
      <c r="L396">
        <v>2003</v>
      </c>
      <c r="M396" s="21">
        <v>37629</v>
      </c>
      <c r="N396">
        <v>2003</v>
      </c>
      <c r="R396" s="262">
        <v>80000</v>
      </c>
      <c r="S396" t="s">
        <v>114</v>
      </c>
      <c r="T396" t="s">
        <v>114</v>
      </c>
      <c r="U396">
        <v>5</v>
      </c>
      <c r="W396">
        <v>1418</v>
      </c>
      <c r="X396">
        <v>0</v>
      </c>
      <c r="Y396">
        <v>0</v>
      </c>
      <c r="Z396">
        <v>0</v>
      </c>
      <c r="AA396">
        <v>0</v>
      </c>
      <c r="AB396">
        <v>0</v>
      </c>
      <c r="AC396">
        <v>1418</v>
      </c>
      <c r="AD396">
        <v>0</v>
      </c>
      <c r="AE396">
        <v>0</v>
      </c>
      <c r="AF396">
        <v>0</v>
      </c>
      <c r="AG396">
        <v>0</v>
      </c>
      <c r="AH396">
        <v>0</v>
      </c>
      <c r="AI396">
        <v>0</v>
      </c>
      <c r="AJ396">
        <v>0</v>
      </c>
      <c r="AK396">
        <v>0</v>
      </c>
      <c r="AL396">
        <v>0</v>
      </c>
      <c r="AM396">
        <v>0</v>
      </c>
      <c r="AN396">
        <v>0</v>
      </c>
      <c r="AO396">
        <v>0</v>
      </c>
      <c r="AP396">
        <v>0</v>
      </c>
      <c r="AQ396">
        <v>0</v>
      </c>
      <c r="AR396">
        <v>0</v>
      </c>
      <c r="AS396">
        <v>0</v>
      </c>
      <c r="AT396">
        <v>0</v>
      </c>
      <c r="AU396">
        <f t="shared" si="10"/>
        <v>0</v>
      </c>
      <c r="AV396">
        <f t="shared" si="11"/>
        <v>0</v>
      </c>
    </row>
    <row r="397" spans="1:48" x14ac:dyDescent="0.25">
      <c r="A397" t="s">
        <v>3328</v>
      </c>
      <c r="C397" t="s">
        <v>3329</v>
      </c>
      <c r="D397" t="s">
        <v>3259</v>
      </c>
      <c r="E397" t="s">
        <v>2310</v>
      </c>
      <c r="F397">
        <v>15</v>
      </c>
      <c r="G397">
        <v>15.1</v>
      </c>
      <c r="H397" t="s">
        <v>2022</v>
      </c>
      <c r="I397" s="21">
        <v>37594</v>
      </c>
      <c r="J397">
        <v>2002</v>
      </c>
      <c r="K397" s="21">
        <v>37650</v>
      </c>
      <c r="L397">
        <v>2003</v>
      </c>
      <c r="M397" s="21">
        <v>38582</v>
      </c>
      <c r="N397">
        <v>2005</v>
      </c>
      <c r="R397" s="262">
        <v>475000</v>
      </c>
      <c r="S397" t="s">
        <v>114</v>
      </c>
      <c r="T397" t="s">
        <v>114</v>
      </c>
      <c r="U397">
        <v>5</v>
      </c>
      <c r="W397">
        <v>8510</v>
      </c>
      <c r="X397">
        <v>1</v>
      </c>
      <c r="Y397">
        <v>0</v>
      </c>
      <c r="Z397">
        <v>0</v>
      </c>
      <c r="AA397">
        <v>0</v>
      </c>
      <c r="AB397">
        <v>0</v>
      </c>
      <c r="AC397">
        <v>8510</v>
      </c>
      <c r="AD397">
        <v>0</v>
      </c>
      <c r="AE397">
        <v>0</v>
      </c>
      <c r="AF397">
        <v>0</v>
      </c>
      <c r="AG397">
        <v>0</v>
      </c>
      <c r="AH397">
        <v>0</v>
      </c>
      <c r="AI397">
        <v>0</v>
      </c>
      <c r="AJ397">
        <v>0</v>
      </c>
      <c r="AK397">
        <v>0</v>
      </c>
      <c r="AL397">
        <v>0</v>
      </c>
      <c r="AM397">
        <v>0</v>
      </c>
      <c r="AN397">
        <v>0</v>
      </c>
      <c r="AO397">
        <v>1</v>
      </c>
      <c r="AP397">
        <v>0</v>
      </c>
      <c r="AQ397">
        <v>0</v>
      </c>
      <c r="AR397">
        <v>0</v>
      </c>
      <c r="AS397">
        <v>0</v>
      </c>
      <c r="AT397">
        <v>0</v>
      </c>
      <c r="AU397">
        <f t="shared" si="10"/>
        <v>1</v>
      </c>
      <c r="AV397">
        <f t="shared" si="11"/>
        <v>0</v>
      </c>
    </row>
    <row r="398" spans="1:48" x14ac:dyDescent="0.25">
      <c r="A398" t="s">
        <v>3330</v>
      </c>
      <c r="C398" t="s">
        <v>3331</v>
      </c>
      <c r="D398" t="s">
        <v>3332</v>
      </c>
      <c r="E398" t="s">
        <v>2310</v>
      </c>
      <c r="F398">
        <v>7</v>
      </c>
      <c r="G398">
        <v>7.1</v>
      </c>
      <c r="H398" t="s">
        <v>2017</v>
      </c>
      <c r="I398" s="21">
        <v>37595</v>
      </c>
      <c r="J398">
        <v>2002</v>
      </c>
      <c r="K398" s="21">
        <v>37629</v>
      </c>
      <c r="L398">
        <v>2003</v>
      </c>
      <c r="M398" s="21">
        <v>38281</v>
      </c>
      <c r="N398">
        <v>2004</v>
      </c>
      <c r="R398" s="262">
        <v>2300000</v>
      </c>
      <c r="S398" t="s">
        <v>114</v>
      </c>
      <c r="T398" t="s">
        <v>114</v>
      </c>
      <c r="U398">
        <v>14</v>
      </c>
      <c r="W398">
        <v>99459</v>
      </c>
      <c r="X398">
        <v>0</v>
      </c>
      <c r="Y398">
        <v>0</v>
      </c>
      <c r="Z398">
        <v>0</v>
      </c>
      <c r="AA398">
        <v>0</v>
      </c>
      <c r="AB398">
        <v>0</v>
      </c>
      <c r="AC398">
        <v>0</v>
      </c>
      <c r="AD398">
        <v>0</v>
      </c>
      <c r="AE398">
        <v>0</v>
      </c>
      <c r="AF398">
        <v>0</v>
      </c>
      <c r="AG398">
        <v>0</v>
      </c>
      <c r="AH398">
        <v>0</v>
      </c>
      <c r="AI398">
        <v>0</v>
      </c>
      <c r="AJ398">
        <v>0</v>
      </c>
      <c r="AK398">
        <v>0</v>
      </c>
      <c r="AL398">
        <v>99459</v>
      </c>
      <c r="AM398">
        <v>0</v>
      </c>
      <c r="AN398">
        <v>0</v>
      </c>
      <c r="AO398">
        <v>0</v>
      </c>
      <c r="AP398">
        <v>0</v>
      </c>
      <c r="AQ398">
        <v>0</v>
      </c>
      <c r="AR398">
        <v>0</v>
      </c>
      <c r="AS398">
        <v>0</v>
      </c>
      <c r="AT398">
        <v>0</v>
      </c>
      <c r="AU398">
        <f t="shared" si="10"/>
        <v>0</v>
      </c>
      <c r="AV398">
        <f t="shared" si="11"/>
        <v>99459</v>
      </c>
    </row>
    <row r="399" spans="1:48" x14ac:dyDescent="0.25">
      <c r="A399" t="s">
        <v>3333</v>
      </c>
      <c r="C399" t="s">
        <v>3334</v>
      </c>
      <c r="D399" t="s">
        <v>3335</v>
      </c>
      <c r="E399" t="s">
        <v>2310</v>
      </c>
      <c r="F399">
        <v>14</v>
      </c>
      <c r="G399">
        <v>14.2</v>
      </c>
      <c r="H399" t="s">
        <v>2017</v>
      </c>
      <c r="I399" s="21">
        <v>37599</v>
      </c>
      <c r="J399">
        <v>2002</v>
      </c>
      <c r="K399" s="21">
        <v>37623</v>
      </c>
      <c r="L399">
        <v>2003</v>
      </c>
      <c r="M399" s="21">
        <v>37679</v>
      </c>
      <c r="N399">
        <v>2003</v>
      </c>
      <c r="R399" s="262">
        <v>3000</v>
      </c>
      <c r="S399" t="s">
        <v>114</v>
      </c>
      <c r="T399" t="s">
        <v>114</v>
      </c>
      <c r="U399">
        <v>10</v>
      </c>
      <c r="W399">
        <v>48</v>
      </c>
      <c r="X399">
        <v>0</v>
      </c>
      <c r="Y399">
        <v>0</v>
      </c>
      <c r="Z399">
        <v>0</v>
      </c>
      <c r="AA399">
        <v>0</v>
      </c>
      <c r="AB399">
        <v>0</v>
      </c>
      <c r="AC399">
        <v>0</v>
      </c>
      <c r="AD399">
        <v>0</v>
      </c>
      <c r="AE399">
        <v>0</v>
      </c>
      <c r="AF399">
        <v>0</v>
      </c>
      <c r="AG399">
        <v>0</v>
      </c>
      <c r="AH399">
        <v>48</v>
      </c>
      <c r="AI399">
        <v>0</v>
      </c>
      <c r="AJ399">
        <v>0</v>
      </c>
      <c r="AK399">
        <v>0</v>
      </c>
      <c r="AL399">
        <v>0</v>
      </c>
      <c r="AM399">
        <v>0</v>
      </c>
      <c r="AN399">
        <v>0</v>
      </c>
      <c r="AO399">
        <v>0</v>
      </c>
      <c r="AP399">
        <v>0</v>
      </c>
      <c r="AQ399">
        <v>0</v>
      </c>
      <c r="AR399">
        <v>0</v>
      </c>
      <c r="AS399">
        <v>0</v>
      </c>
      <c r="AT399">
        <v>0</v>
      </c>
      <c r="AU399">
        <f t="shared" si="10"/>
        <v>0</v>
      </c>
      <c r="AV399">
        <f t="shared" si="11"/>
        <v>48</v>
      </c>
    </row>
    <row r="400" spans="1:48" x14ac:dyDescent="0.25">
      <c r="A400" t="s">
        <v>3336</v>
      </c>
      <c r="C400" t="s">
        <v>3337</v>
      </c>
      <c r="D400" t="s">
        <v>3338</v>
      </c>
      <c r="E400" t="s">
        <v>1663</v>
      </c>
      <c r="F400">
        <v>5</v>
      </c>
      <c r="G400">
        <v>5.5</v>
      </c>
      <c r="H400" t="s">
        <v>2017</v>
      </c>
      <c r="I400" s="21">
        <v>37600</v>
      </c>
      <c r="J400">
        <v>2002</v>
      </c>
      <c r="K400" s="21">
        <v>37631</v>
      </c>
      <c r="L400">
        <v>2003</v>
      </c>
      <c r="M400" s="21">
        <v>37782</v>
      </c>
      <c r="N400">
        <v>2003</v>
      </c>
      <c r="Q400" s="262">
        <v>180000</v>
      </c>
      <c r="S400" t="s">
        <v>114</v>
      </c>
      <c r="T400" t="s">
        <v>114</v>
      </c>
      <c r="W400">
        <v>2256</v>
      </c>
      <c r="X400">
        <v>1</v>
      </c>
      <c r="Y400">
        <v>0</v>
      </c>
      <c r="Z400">
        <v>0</v>
      </c>
      <c r="AA400">
        <v>0</v>
      </c>
      <c r="AB400">
        <v>0</v>
      </c>
      <c r="AC400">
        <v>2256</v>
      </c>
      <c r="AD400">
        <v>0</v>
      </c>
      <c r="AE400">
        <v>0</v>
      </c>
      <c r="AF400">
        <v>0</v>
      </c>
      <c r="AG400">
        <v>0</v>
      </c>
      <c r="AH400">
        <v>0</v>
      </c>
      <c r="AI400">
        <v>0</v>
      </c>
      <c r="AJ400">
        <v>0</v>
      </c>
      <c r="AK400">
        <v>0</v>
      </c>
      <c r="AL400">
        <v>0</v>
      </c>
      <c r="AM400">
        <v>0</v>
      </c>
      <c r="AN400">
        <v>0</v>
      </c>
      <c r="AO400">
        <v>1</v>
      </c>
      <c r="AP400">
        <v>0</v>
      </c>
      <c r="AQ400">
        <v>0</v>
      </c>
      <c r="AR400">
        <v>0</v>
      </c>
      <c r="AS400">
        <v>0</v>
      </c>
      <c r="AT400">
        <v>0</v>
      </c>
      <c r="AU400">
        <f t="shared" si="10"/>
        <v>1</v>
      </c>
      <c r="AV400">
        <f t="shared" si="11"/>
        <v>0</v>
      </c>
    </row>
    <row r="401" spans="1:48" x14ac:dyDescent="0.25">
      <c r="A401" t="s">
        <v>3339</v>
      </c>
      <c r="C401" t="s">
        <v>3340</v>
      </c>
      <c r="D401" t="s">
        <v>2652</v>
      </c>
      <c r="E401" t="s">
        <v>2310</v>
      </c>
      <c r="F401">
        <v>15</v>
      </c>
      <c r="G401">
        <v>15.2</v>
      </c>
      <c r="H401" t="s">
        <v>2323</v>
      </c>
      <c r="I401" s="21">
        <v>37608</v>
      </c>
      <c r="J401">
        <v>2002</v>
      </c>
      <c r="K401" s="21">
        <v>37624</v>
      </c>
      <c r="L401">
        <v>2003</v>
      </c>
      <c r="M401" s="21">
        <v>37624</v>
      </c>
      <c r="N401">
        <v>2003</v>
      </c>
      <c r="R401" s="262">
        <v>4000</v>
      </c>
      <c r="S401" t="s">
        <v>114</v>
      </c>
      <c r="T401" t="s">
        <v>114</v>
      </c>
      <c r="U401">
        <v>5</v>
      </c>
      <c r="W401">
        <v>432</v>
      </c>
      <c r="X401">
        <v>0</v>
      </c>
      <c r="Y401">
        <v>0</v>
      </c>
      <c r="Z401">
        <v>0</v>
      </c>
      <c r="AA401">
        <v>0</v>
      </c>
      <c r="AB401">
        <v>0</v>
      </c>
      <c r="AC401">
        <v>432</v>
      </c>
      <c r="AD401">
        <v>0</v>
      </c>
      <c r="AE401">
        <v>0</v>
      </c>
      <c r="AF401">
        <v>0</v>
      </c>
      <c r="AG401">
        <v>0</v>
      </c>
      <c r="AH401">
        <v>0</v>
      </c>
      <c r="AI401">
        <v>0</v>
      </c>
      <c r="AJ401">
        <v>0</v>
      </c>
      <c r="AK401">
        <v>0</v>
      </c>
      <c r="AL401">
        <v>0</v>
      </c>
      <c r="AM401">
        <v>0</v>
      </c>
      <c r="AN401">
        <v>0</v>
      </c>
      <c r="AO401">
        <v>0</v>
      </c>
      <c r="AP401">
        <v>0</v>
      </c>
      <c r="AQ401">
        <v>0</v>
      </c>
      <c r="AR401">
        <v>0</v>
      </c>
      <c r="AS401">
        <v>0</v>
      </c>
      <c r="AT401">
        <v>0</v>
      </c>
      <c r="AU401">
        <f t="shared" si="10"/>
        <v>0</v>
      </c>
      <c r="AV401">
        <f t="shared" si="11"/>
        <v>0</v>
      </c>
    </row>
    <row r="402" spans="1:48" x14ac:dyDescent="0.25">
      <c r="A402" t="s">
        <v>3341</v>
      </c>
      <c r="C402" t="s">
        <v>3342</v>
      </c>
      <c r="D402" t="s">
        <v>3343</v>
      </c>
      <c r="E402" t="s">
        <v>2310</v>
      </c>
      <c r="F402">
        <v>11</v>
      </c>
      <c r="G402">
        <v>11.2</v>
      </c>
      <c r="H402" t="s">
        <v>2017</v>
      </c>
      <c r="I402" s="21">
        <v>37608</v>
      </c>
      <c r="J402">
        <v>2002</v>
      </c>
      <c r="K402" s="21">
        <v>37624</v>
      </c>
      <c r="L402">
        <v>2003</v>
      </c>
      <c r="M402" s="21">
        <v>37956</v>
      </c>
      <c r="N402">
        <v>2003</v>
      </c>
      <c r="R402" s="262">
        <v>25000</v>
      </c>
      <c r="S402" t="s">
        <v>114</v>
      </c>
      <c r="T402" t="s">
        <v>114</v>
      </c>
      <c r="U402">
        <v>15</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c r="AR402">
        <v>0</v>
      </c>
      <c r="AS402">
        <v>0</v>
      </c>
      <c r="AT402">
        <v>0</v>
      </c>
      <c r="AU402">
        <f t="shared" si="10"/>
        <v>0</v>
      </c>
      <c r="AV402">
        <f t="shared" si="11"/>
        <v>0</v>
      </c>
    </row>
    <row r="403" spans="1:48" x14ac:dyDescent="0.25">
      <c r="A403" t="s">
        <v>3344</v>
      </c>
      <c r="C403" t="s">
        <v>3345</v>
      </c>
      <c r="D403" t="s">
        <v>3346</v>
      </c>
      <c r="E403" t="s">
        <v>2310</v>
      </c>
      <c r="F403">
        <v>9</v>
      </c>
      <c r="G403">
        <v>9.4</v>
      </c>
      <c r="H403" t="s">
        <v>2323</v>
      </c>
      <c r="I403" s="21">
        <v>37609</v>
      </c>
      <c r="J403">
        <v>2002</v>
      </c>
      <c r="K403" s="21">
        <v>37631</v>
      </c>
      <c r="L403">
        <v>2003</v>
      </c>
      <c r="M403" s="21">
        <v>37847</v>
      </c>
      <c r="N403">
        <v>2003</v>
      </c>
      <c r="R403" s="262">
        <v>92000</v>
      </c>
      <c r="S403" t="s">
        <v>114</v>
      </c>
      <c r="T403" t="s">
        <v>114</v>
      </c>
      <c r="U403">
        <v>8</v>
      </c>
      <c r="W403">
        <v>0</v>
      </c>
      <c r="X403">
        <v>1</v>
      </c>
      <c r="Y403">
        <v>0</v>
      </c>
      <c r="Z403">
        <v>0</v>
      </c>
      <c r="AA403">
        <v>0</v>
      </c>
      <c r="AB403">
        <v>0</v>
      </c>
      <c r="AC403">
        <v>-912</v>
      </c>
      <c r="AD403">
        <v>0</v>
      </c>
      <c r="AE403">
        <v>0</v>
      </c>
      <c r="AF403">
        <v>912</v>
      </c>
      <c r="AG403">
        <v>0</v>
      </c>
      <c r="AH403">
        <v>0</v>
      </c>
      <c r="AI403">
        <v>0</v>
      </c>
      <c r="AJ403">
        <v>0</v>
      </c>
      <c r="AK403">
        <v>0</v>
      </c>
      <c r="AL403">
        <v>0</v>
      </c>
      <c r="AM403">
        <v>0</v>
      </c>
      <c r="AN403">
        <v>0</v>
      </c>
      <c r="AO403">
        <v>0</v>
      </c>
      <c r="AP403">
        <v>0</v>
      </c>
      <c r="AQ403">
        <v>0</v>
      </c>
      <c r="AR403">
        <v>1</v>
      </c>
      <c r="AS403">
        <v>0</v>
      </c>
      <c r="AT403">
        <v>0</v>
      </c>
      <c r="AU403">
        <f t="shared" si="10"/>
        <v>0</v>
      </c>
      <c r="AV403">
        <f t="shared" si="11"/>
        <v>0</v>
      </c>
    </row>
    <row r="404" spans="1:48" x14ac:dyDescent="0.25">
      <c r="A404" t="s">
        <v>3347</v>
      </c>
      <c r="C404" t="s">
        <v>2358</v>
      </c>
      <c r="D404" t="s">
        <v>3348</v>
      </c>
      <c r="E404" t="s">
        <v>2310</v>
      </c>
      <c r="F404">
        <v>9</v>
      </c>
      <c r="G404">
        <v>9.4</v>
      </c>
      <c r="H404" t="s">
        <v>2323</v>
      </c>
      <c r="I404" s="21">
        <v>37610</v>
      </c>
      <c r="J404">
        <v>2002</v>
      </c>
      <c r="K404" s="21">
        <v>37677</v>
      </c>
      <c r="L404">
        <v>2003</v>
      </c>
      <c r="M404" s="21">
        <v>38278</v>
      </c>
      <c r="N404">
        <v>2004</v>
      </c>
      <c r="R404" s="262">
        <v>1250000</v>
      </c>
      <c r="S404" t="s">
        <v>114</v>
      </c>
      <c r="T404" t="s">
        <v>114</v>
      </c>
      <c r="U404">
        <v>5</v>
      </c>
      <c r="W404">
        <v>4789</v>
      </c>
      <c r="X404">
        <v>1</v>
      </c>
      <c r="Y404">
        <v>0</v>
      </c>
      <c r="Z404">
        <v>0</v>
      </c>
      <c r="AA404">
        <v>0</v>
      </c>
      <c r="AB404">
        <v>0</v>
      </c>
      <c r="AC404">
        <v>4789</v>
      </c>
      <c r="AD404">
        <v>0</v>
      </c>
      <c r="AE404">
        <v>0</v>
      </c>
      <c r="AF404">
        <v>0</v>
      </c>
      <c r="AG404">
        <v>0</v>
      </c>
      <c r="AH404">
        <v>0</v>
      </c>
      <c r="AI404">
        <v>0</v>
      </c>
      <c r="AJ404">
        <v>0</v>
      </c>
      <c r="AK404">
        <v>0</v>
      </c>
      <c r="AL404">
        <v>0</v>
      </c>
      <c r="AM404">
        <v>0</v>
      </c>
      <c r="AN404">
        <v>0</v>
      </c>
      <c r="AO404">
        <v>1</v>
      </c>
      <c r="AP404">
        <v>0</v>
      </c>
      <c r="AQ404">
        <v>0</v>
      </c>
      <c r="AR404">
        <v>0</v>
      </c>
      <c r="AS404">
        <v>0</v>
      </c>
      <c r="AT404">
        <v>0</v>
      </c>
      <c r="AU404">
        <f t="shared" si="10"/>
        <v>1</v>
      </c>
      <c r="AV404">
        <f t="shared" si="11"/>
        <v>0</v>
      </c>
    </row>
    <row r="405" spans="1:48" x14ac:dyDescent="0.25">
      <c r="A405" t="s">
        <v>3349</v>
      </c>
      <c r="C405" t="s">
        <v>3350</v>
      </c>
      <c r="D405" t="s">
        <v>3351</v>
      </c>
      <c r="E405" t="s">
        <v>2310</v>
      </c>
      <c r="F405">
        <v>11</v>
      </c>
      <c r="G405">
        <v>11.2</v>
      </c>
      <c r="H405" t="s">
        <v>2017</v>
      </c>
      <c r="I405" s="21">
        <v>37621</v>
      </c>
      <c r="J405">
        <v>2002</v>
      </c>
      <c r="K405" s="21">
        <v>37635</v>
      </c>
      <c r="L405">
        <v>2003</v>
      </c>
      <c r="M405" s="21">
        <v>37635</v>
      </c>
      <c r="N405">
        <v>2003</v>
      </c>
      <c r="R405" s="262">
        <v>118000</v>
      </c>
      <c r="S405" t="s">
        <v>114</v>
      </c>
      <c r="T405" t="s">
        <v>114</v>
      </c>
      <c r="U405">
        <v>5</v>
      </c>
      <c r="W405">
        <v>714</v>
      </c>
      <c r="X405">
        <v>0</v>
      </c>
      <c r="Y405">
        <v>0</v>
      </c>
      <c r="Z405">
        <v>0</v>
      </c>
      <c r="AA405">
        <v>0</v>
      </c>
      <c r="AB405">
        <v>0</v>
      </c>
      <c r="AC405">
        <v>714</v>
      </c>
      <c r="AD405">
        <v>0</v>
      </c>
      <c r="AE405">
        <v>0</v>
      </c>
      <c r="AF405">
        <v>0</v>
      </c>
      <c r="AG405">
        <v>0</v>
      </c>
      <c r="AH405">
        <v>0</v>
      </c>
      <c r="AI405">
        <v>0</v>
      </c>
      <c r="AJ405">
        <v>0</v>
      </c>
      <c r="AK405">
        <v>0</v>
      </c>
      <c r="AL405">
        <v>0</v>
      </c>
      <c r="AM405">
        <v>0</v>
      </c>
      <c r="AN405">
        <v>0</v>
      </c>
      <c r="AO405">
        <v>0</v>
      </c>
      <c r="AP405">
        <v>0</v>
      </c>
      <c r="AQ405">
        <v>0</v>
      </c>
      <c r="AR405">
        <v>0</v>
      </c>
      <c r="AS405">
        <v>0</v>
      </c>
      <c r="AT405">
        <v>0</v>
      </c>
      <c r="AU405">
        <f t="shared" si="10"/>
        <v>0</v>
      </c>
      <c r="AV405">
        <f t="shared" si="11"/>
        <v>0</v>
      </c>
    </row>
    <row r="406" spans="1:48" x14ac:dyDescent="0.25">
      <c r="A406" t="s">
        <v>3352</v>
      </c>
      <c r="C406" t="s">
        <v>2437</v>
      </c>
      <c r="D406" t="s">
        <v>3353</v>
      </c>
      <c r="E406" t="s">
        <v>2310</v>
      </c>
      <c r="F406">
        <v>9</v>
      </c>
      <c r="G406">
        <v>9.3000000000000007</v>
      </c>
      <c r="H406" t="s">
        <v>2323</v>
      </c>
      <c r="I406" s="21">
        <v>37629</v>
      </c>
      <c r="J406">
        <v>2003</v>
      </c>
      <c r="K406" s="21">
        <v>37665</v>
      </c>
      <c r="L406">
        <v>2003</v>
      </c>
      <c r="M406" s="21">
        <v>37995</v>
      </c>
      <c r="N406">
        <v>2004</v>
      </c>
      <c r="R406" s="262">
        <v>160000</v>
      </c>
      <c r="S406" t="s">
        <v>114</v>
      </c>
      <c r="T406" t="s">
        <v>114</v>
      </c>
      <c r="U406">
        <v>5</v>
      </c>
      <c r="W406">
        <v>1680</v>
      </c>
      <c r="X406">
        <v>0</v>
      </c>
      <c r="Y406">
        <v>0</v>
      </c>
      <c r="Z406">
        <v>0</v>
      </c>
      <c r="AA406">
        <v>0</v>
      </c>
      <c r="AB406">
        <v>0</v>
      </c>
      <c r="AC406">
        <v>1680</v>
      </c>
      <c r="AD406">
        <v>0</v>
      </c>
      <c r="AE406">
        <v>0</v>
      </c>
      <c r="AF406">
        <v>0</v>
      </c>
      <c r="AG406">
        <v>0</v>
      </c>
      <c r="AH406">
        <v>0</v>
      </c>
      <c r="AI406">
        <v>0</v>
      </c>
      <c r="AJ406">
        <v>0</v>
      </c>
      <c r="AK406">
        <v>0</v>
      </c>
      <c r="AL406">
        <v>0</v>
      </c>
      <c r="AM406">
        <v>0</v>
      </c>
      <c r="AN406">
        <v>0</v>
      </c>
      <c r="AO406">
        <v>0</v>
      </c>
      <c r="AP406">
        <v>0</v>
      </c>
      <c r="AQ406">
        <v>0</v>
      </c>
      <c r="AR406">
        <v>0</v>
      </c>
      <c r="AS406">
        <v>0</v>
      </c>
      <c r="AT406">
        <v>0</v>
      </c>
      <c r="AU406">
        <f t="shared" si="10"/>
        <v>0</v>
      </c>
      <c r="AV406">
        <f t="shared" si="11"/>
        <v>0</v>
      </c>
    </row>
    <row r="407" spans="1:48" x14ac:dyDescent="0.25">
      <c r="A407" t="s">
        <v>3354</v>
      </c>
      <c r="C407" t="s">
        <v>3355</v>
      </c>
      <c r="D407" t="s">
        <v>3356</v>
      </c>
      <c r="E407" t="s">
        <v>2310</v>
      </c>
      <c r="F407">
        <v>13</v>
      </c>
      <c r="G407">
        <v>13.1</v>
      </c>
      <c r="H407" t="s">
        <v>2327</v>
      </c>
      <c r="I407" s="21">
        <v>37629</v>
      </c>
      <c r="J407">
        <v>2003</v>
      </c>
      <c r="K407" s="21">
        <v>37658</v>
      </c>
      <c r="L407">
        <v>2003</v>
      </c>
      <c r="M407" s="21">
        <v>37736</v>
      </c>
      <c r="N407">
        <v>2003</v>
      </c>
      <c r="R407" s="262">
        <v>60000</v>
      </c>
      <c r="S407" t="s">
        <v>114</v>
      </c>
      <c r="T407" t="s">
        <v>114</v>
      </c>
      <c r="U407">
        <v>12</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c r="AQ407">
        <v>0</v>
      </c>
      <c r="AR407">
        <v>0</v>
      </c>
      <c r="AS407">
        <v>0</v>
      </c>
      <c r="AT407">
        <v>0</v>
      </c>
      <c r="AU407">
        <f t="shared" si="10"/>
        <v>0</v>
      </c>
      <c r="AV407">
        <f t="shared" si="11"/>
        <v>0</v>
      </c>
    </row>
    <row r="408" spans="1:48" x14ac:dyDescent="0.25">
      <c r="A408" t="s">
        <v>3357</v>
      </c>
      <c r="C408" t="s">
        <v>3358</v>
      </c>
      <c r="D408" t="s">
        <v>3359</v>
      </c>
      <c r="E408" t="s">
        <v>2310</v>
      </c>
      <c r="F408">
        <v>7</v>
      </c>
      <c r="G408">
        <v>7.1</v>
      </c>
      <c r="H408" t="s">
        <v>2017</v>
      </c>
      <c r="I408" s="21">
        <v>37631</v>
      </c>
      <c r="J408">
        <v>2003</v>
      </c>
      <c r="K408" s="21">
        <v>37650</v>
      </c>
      <c r="L408">
        <v>2003</v>
      </c>
      <c r="M408" s="21">
        <v>38058</v>
      </c>
      <c r="N408">
        <v>2004</v>
      </c>
      <c r="R408" s="262">
        <v>75000</v>
      </c>
      <c r="S408" t="s">
        <v>114</v>
      </c>
      <c r="T408" t="s">
        <v>114</v>
      </c>
      <c r="U408">
        <v>14</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c r="AQ408">
        <v>0</v>
      </c>
      <c r="AR408">
        <v>0</v>
      </c>
      <c r="AS408">
        <v>0</v>
      </c>
      <c r="AT408">
        <v>0</v>
      </c>
      <c r="AU408">
        <f t="shared" si="10"/>
        <v>0</v>
      </c>
      <c r="AV408">
        <f t="shared" si="11"/>
        <v>0</v>
      </c>
    </row>
    <row r="409" spans="1:48" x14ac:dyDescent="0.25">
      <c r="A409" t="s">
        <v>3360</v>
      </c>
      <c r="C409" t="s">
        <v>3361</v>
      </c>
      <c r="D409" t="s">
        <v>3362</v>
      </c>
      <c r="E409" t="s">
        <v>2310</v>
      </c>
      <c r="F409">
        <v>4</v>
      </c>
      <c r="G409">
        <v>4.0999999999999996</v>
      </c>
      <c r="H409" t="s">
        <v>2327</v>
      </c>
      <c r="I409" s="21">
        <v>37636</v>
      </c>
      <c r="J409">
        <v>2003</v>
      </c>
      <c r="K409" s="21">
        <v>37656</v>
      </c>
      <c r="L409">
        <v>2003</v>
      </c>
      <c r="M409" s="21">
        <v>37790</v>
      </c>
      <c r="N409">
        <v>2003</v>
      </c>
      <c r="R409" s="262">
        <v>125000</v>
      </c>
      <c r="S409" t="s">
        <v>114</v>
      </c>
      <c r="T409" t="s">
        <v>114</v>
      </c>
      <c r="U409">
        <v>11</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c r="AQ409">
        <v>0</v>
      </c>
      <c r="AR409">
        <v>0</v>
      </c>
      <c r="AS409">
        <v>0</v>
      </c>
      <c r="AT409">
        <v>0</v>
      </c>
      <c r="AU409">
        <f t="shared" ref="AU409:AU472" si="12">SUM(AN409:AQ409,AS409)</f>
        <v>0</v>
      </c>
      <c r="AV409">
        <f t="shared" ref="AV409:AV472" si="13">SUM(Y409:AB409,AH409:AM409)</f>
        <v>0</v>
      </c>
    </row>
    <row r="410" spans="1:48" x14ac:dyDescent="0.25">
      <c r="A410" t="s">
        <v>3363</v>
      </c>
      <c r="C410" t="s">
        <v>3364</v>
      </c>
      <c r="D410" t="s">
        <v>3365</v>
      </c>
      <c r="E410" t="s">
        <v>2310</v>
      </c>
      <c r="F410">
        <v>11</v>
      </c>
      <c r="G410">
        <v>11.4</v>
      </c>
      <c r="H410" t="s">
        <v>2017</v>
      </c>
      <c r="I410" s="21">
        <v>37637</v>
      </c>
      <c r="J410">
        <v>2003</v>
      </c>
      <c r="K410" s="21">
        <v>37665</v>
      </c>
      <c r="L410">
        <v>2003</v>
      </c>
      <c r="M410" s="21">
        <v>37665</v>
      </c>
      <c r="N410">
        <v>2003</v>
      </c>
      <c r="R410" s="262">
        <v>4000</v>
      </c>
      <c r="S410" t="s">
        <v>114</v>
      </c>
      <c r="T410" t="s">
        <v>114</v>
      </c>
      <c r="U410">
        <v>5</v>
      </c>
      <c r="W410">
        <v>380</v>
      </c>
      <c r="X410">
        <v>0</v>
      </c>
      <c r="Y410">
        <v>0</v>
      </c>
      <c r="Z410">
        <v>0</v>
      </c>
      <c r="AA410">
        <v>0</v>
      </c>
      <c r="AB410">
        <v>0</v>
      </c>
      <c r="AC410">
        <v>380</v>
      </c>
      <c r="AD410">
        <v>0</v>
      </c>
      <c r="AE410">
        <v>0</v>
      </c>
      <c r="AF410">
        <v>0</v>
      </c>
      <c r="AG410">
        <v>0</v>
      </c>
      <c r="AH410">
        <v>0</v>
      </c>
      <c r="AI410">
        <v>0</v>
      </c>
      <c r="AJ410">
        <v>0</v>
      </c>
      <c r="AK410">
        <v>0</v>
      </c>
      <c r="AL410">
        <v>0</v>
      </c>
      <c r="AM410">
        <v>0</v>
      </c>
      <c r="AN410">
        <v>0</v>
      </c>
      <c r="AO410">
        <v>0</v>
      </c>
      <c r="AP410">
        <v>0</v>
      </c>
      <c r="AQ410">
        <v>0</v>
      </c>
      <c r="AR410">
        <v>0</v>
      </c>
      <c r="AS410">
        <v>0</v>
      </c>
      <c r="AT410">
        <v>0</v>
      </c>
      <c r="AU410">
        <f t="shared" si="12"/>
        <v>0</v>
      </c>
      <c r="AV410">
        <f t="shared" si="13"/>
        <v>0</v>
      </c>
    </row>
    <row r="411" spans="1:48" x14ac:dyDescent="0.25">
      <c r="A411" t="s">
        <v>3366</v>
      </c>
      <c r="C411" t="s">
        <v>2847</v>
      </c>
      <c r="D411" t="s">
        <v>3367</v>
      </c>
      <c r="E411" t="s">
        <v>2310</v>
      </c>
      <c r="F411">
        <v>8</v>
      </c>
      <c r="G411">
        <v>8.1</v>
      </c>
      <c r="H411" t="s">
        <v>2323</v>
      </c>
      <c r="I411" s="21">
        <v>37638</v>
      </c>
      <c r="J411">
        <v>2003</v>
      </c>
      <c r="K411" s="21">
        <v>37657</v>
      </c>
      <c r="L411">
        <v>2003</v>
      </c>
      <c r="M411" s="21">
        <v>38002</v>
      </c>
      <c r="N411">
        <v>2004</v>
      </c>
      <c r="R411" s="262">
        <v>624000</v>
      </c>
      <c r="S411" t="s">
        <v>114</v>
      </c>
      <c r="T411" t="s">
        <v>114</v>
      </c>
      <c r="U411">
        <v>5</v>
      </c>
      <c r="W411">
        <v>5136</v>
      </c>
      <c r="X411">
        <v>1</v>
      </c>
      <c r="Y411">
        <v>0</v>
      </c>
      <c r="Z411">
        <v>0</v>
      </c>
      <c r="AA411">
        <v>0</v>
      </c>
      <c r="AB411">
        <v>0</v>
      </c>
      <c r="AC411">
        <v>5136</v>
      </c>
      <c r="AD411">
        <v>0</v>
      </c>
      <c r="AE411">
        <v>0</v>
      </c>
      <c r="AF411">
        <v>0</v>
      </c>
      <c r="AG411">
        <v>0</v>
      </c>
      <c r="AH411">
        <v>0</v>
      </c>
      <c r="AI411">
        <v>0</v>
      </c>
      <c r="AJ411">
        <v>0</v>
      </c>
      <c r="AK411">
        <v>0</v>
      </c>
      <c r="AL411">
        <v>0</v>
      </c>
      <c r="AM411">
        <v>0</v>
      </c>
      <c r="AN411">
        <v>0</v>
      </c>
      <c r="AO411">
        <v>1</v>
      </c>
      <c r="AP411">
        <v>0</v>
      </c>
      <c r="AQ411">
        <v>0</v>
      </c>
      <c r="AR411">
        <v>0</v>
      </c>
      <c r="AS411">
        <v>0</v>
      </c>
      <c r="AT411">
        <v>0</v>
      </c>
      <c r="AU411">
        <f t="shared" si="12"/>
        <v>1</v>
      </c>
      <c r="AV411">
        <f t="shared" si="13"/>
        <v>0</v>
      </c>
    </row>
    <row r="412" spans="1:48" x14ac:dyDescent="0.25">
      <c r="A412" t="s">
        <v>3368</v>
      </c>
      <c r="C412" t="s">
        <v>3369</v>
      </c>
      <c r="D412" t="s">
        <v>3370</v>
      </c>
      <c r="E412" t="s">
        <v>1663</v>
      </c>
      <c r="F412">
        <v>6</v>
      </c>
      <c r="G412">
        <v>6.1</v>
      </c>
      <c r="H412" t="s">
        <v>2017</v>
      </c>
      <c r="I412" s="21">
        <v>37650</v>
      </c>
      <c r="J412">
        <v>2003</v>
      </c>
      <c r="K412" s="21">
        <v>37680</v>
      </c>
      <c r="L412">
        <v>2003</v>
      </c>
      <c r="M412" s="21">
        <v>37831</v>
      </c>
      <c r="N412">
        <v>2003</v>
      </c>
      <c r="Q412" s="262">
        <v>277000</v>
      </c>
      <c r="S412" t="s">
        <v>114</v>
      </c>
      <c r="T412" t="s">
        <v>114</v>
      </c>
      <c r="W412">
        <v>3262</v>
      </c>
      <c r="X412">
        <v>1</v>
      </c>
      <c r="Y412">
        <v>0</v>
      </c>
      <c r="Z412">
        <v>0</v>
      </c>
      <c r="AA412">
        <v>0</v>
      </c>
      <c r="AB412">
        <v>0</v>
      </c>
      <c r="AC412">
        <v>3262</v>
      </c>
      <c r="AD412">
        <v>0</v>
      </c>
      <c r="AE412">
        <v>0</v>
      </c>
      <c r="AF412">
        <v>0</v>
      </c>
      <c r="AG412">
        <v>0</v>
      </c>
      <c r="AH412">
        <v>0</v>
      </c>
      <c r="AI412">
        <v>0</v>
      </c>
      <c r="AJ412">
        <v>0</v>
      </c>
      <c r="AK412">
        <v>0</v>
      </c>
      <c r="AL412">
        <v>0</v>
      </c>
      <c r="AM412">
        <v>0</v>
      </c>
      <c r="AN412">
        <v>0</v>
      </c>
      <c r="AO412">
        <v>1</v>
      </c>
      <c r="AP412">
        <v>0</v>
      </c>
      <c r="AQ412">
        <v>0</v>
      </c>
      <c r="AR412">
        <v>0</v>
      </c>
      <c r="AS412">
        <v>0</v>
      </c>
      <c r="AT412">
        <v>0</v>
      </c>
      <c r="AU412">
        <f t="shared" si="12"/>
        <v>1</v>
      </c>
      <c r="AV412">
        <f t="shared" si="13"/>
        <v>0</v>
      </c>
    </row>
    <row r="413" spans="1:48" x14ac:dyDescent="0.25">
      <c r="A413" t="s">
        <v>3371</v>
      </c>
      <c r="C413" t="s">
        <v>2486</v>
      </c>
      <c r="D413" t="s">
        <v>3372</v>
      </c>
      <c r="E413" t="s">
        <v>2310</v>
      </c>
      <c r="F413">
        <v>10</v>
      </c>
      <c r="G413">
        <v>10.1</v>
      </c>
      <c r="H413" t="s">
        <v>2323</v>
      </c>
      <c r="I413" s="21">
        <v>37656</v>
      </c>
      <c r="J413">
        <v>2003</v>
      </c>
      <c r="K413" s="21">
        <v>37676</v>
      </c>
      <c r="L413">
        <v>2003</v>
      </c>
      <c r="M413" s="21">
        <v>37977</v>
      </c>
      <c r="N413">
        <v>2003</v>
      </c>
      <c r="R413" s="262">
        <v>191000</v>
      </c>
      <c r="S413" t="s">
        <v>114</v>
      </c>
      <c r="T413" t="s">
        <v>114</v>
      </c>
      <c r="U413">
        <v>5</v>
      </c>
      <c r="W413">
        <v>2479</v>
      </c>
      <c r="X413">
        <v>1</v>
      </c>
      <c r="Y413">
        <v>0</v>
      </c>
      <c r="Z413">
        <v>0</v>
      </c>
      <c r="AA413">
        <v>0</v>
      </c>
      <c r="AB413">
        <v>0</v>
      </c>
      <c r="AC413">
        <v>2479</v>
      </c>
      <c r="AD413">
        <v>0</v>
      </c>
      <c r="AE413">
        <v>0</v>
      </c>
      <c r="AF413">
        <v>0</v>
      </c>
      <c r="AG413">
        <v>0</v>
      </c>
      <c r="AH413">
        <v>0</v>
      </c>
      <c r="AI413">
        <v>0</v>
      </c>
      <c r="AJ413">
        <v>0</v>
      </c>
      <c r="AK413">
        <v>0</v>
      </c>
      <c r="AL413">
        <v>0</v>
      </c>
      <c r="AM413">
        <v>0</v>
      </c>
      <c r="AN413">
        <v>0</v>
      </c>
      <c r="AO413">
        <v>1</v>
      </c>
      <c r="AP413">
        <v>0</v>
      </c>
      <c r="AQ413">
        <v>0</v>
      </c>
      <c r="AR413">
        <v>0</v>
      </c>
      <c r="AS413">
        <v>0</v>
      </c>
      <c r="AT413">
        <v>0</v>
      </c>
      <c r="AU413">
        <f t="shared" si="12"/>
        <v>1</v>
      </c>
      <c r="AV413">
        <f t="shared" si="13"/>
        <v>0</v>
      </c>
    </row>
    <row r="414" spans="1:48" x14ac:dyDescent="0.25">
      <c r="A414" t="s">
        <v>3373</v>
      </c>
      <c r="C414" t="s">
        <v>3374</v>
      </c>
      <c r="D414" t="s">
        <v>3375</v>
      </c>
      <c r="E414" t="s">
        <v>2310</v>
      </c>
      <c r="F414">
        <v>8</v>
      </c>
      <c r="G414">
        <v>8.4</v>
      </c>
      <c r="H414" t="s">
        <v>2017</v>
      </c>
      <c r="I414" s="21">
        <v>37657</v>
      </c>
      <c r="J414">
        <v>2003</v>
      </c>
      <c r="K414" s="21">
        <v>37683</v>
      </c>
      <c r="L414">
        <v>2003</v>
      </c>
      <c r="M414" s="21">
        <v>37874</v>
      </c>
      <c r="N414">
        <v>2003</v>
      </c>
      <c r="R414" s="262">
        <v>95000</v>
      </c>
      <c r="S414" t="s">
        <v>114</v>
      </c>
      <c r="T414" t="s">
        <v>114</v>
      </c>
      <c r="U414">
        <v>8</v>
      </c>
      <c r="W414">
        <v>1944</v>
      </c>
      <c r="X414">
        <v>1</v>
      </c>
      <c r="Y414">
        <v>0</v>
      </c>
      <c r="Z414">
        <v>0</v>
      </c>
      <c r="AA414">
        <v>0</v>
      </c>
      <c r="AB414">
        <v>0</v>
      </c>
      <c r="AC414">
        <v>1080</v>
      </c>
      <c r="AD414">
        <v>0</v>
      </c>
      <c r="AE414">
        <v>0</v>
      </c>
      <c r="AF414">
        <v>864</v>
      </c>
      <c r="AG414">
        <v>0</v>
      </c>
      <c r="AH414">
        <v>0</v>
      </c>
      <c r="AI414">
        <v>0</v>
      </c>
      <c r="AJ414">
        <v>0</v>
      </c>
      <c r="AK414">
        <v>0</v>
      </c>
      <c r="AL414">
        <v>0</v>
      </c>
      <c r="AM414">
        <v>0</v>
      </c>
      <c r="AN414">
        <v>0</v>
      </c>
      <c r="AO414">
        <v>0</v>
      </c>
      <c r="AP414">
        <v>0</v>
      </c>
      <c r="AQ414">
        <v>0</v>
      </c>
      <c r="AR414">
        <v>1</v>
      </c>
      <c r="AS414">
        <v>0</v>
      </c>
      <c r="AT414">
        <v>0</v>
      </c>
      <c r="AU414">
        <f t="shared" si="12"/>
        <v>0</v>
      </c>
      <c r="AV414">
        <f t="shared" si="13"/>
        <v>0</v>
      </c>
    </row>
    <row r="415" spans="1:48" x14ac:dyDescent="0.25">
      <c r="A415" t="s">
        <v>3376</v>
      </c>
      <c r="C415" t="s">
        <v>3377</v>
      </c>
      <c r="D415" t="s">
        <v>3378</v>
      </c>
      <c r="E415" t="s">
        <v>2310</v>
      </c>
      <c r="F415">
        <v>15</v>
      </c>
      <c r="G415">
        <v>15.3</v>
      </c>
      <c r="H415" t="s">
        <v>2022</v>
      </c>
      <c r="I415" s="21">
        <v>37658</v>
      </c>
      <c r="J415">
        <v>2003</v>
      </c>
      <c r="K415" s="21">
        <v>37665</v>
      </c>
      <c r="L415">
        <v>2003</v>
      </c>
      <c r="M415" s="21">
        <v>38653</v>
      </c>
      <c r="N415">
        <v>2005</v>
      </c>
      <c r="R415" s="262">
        <v>50000</v>
      </c>
      <c r="S415" t="s">
        <v>114</v>
      </c>
      <c r="T415" t="s">
        <v>114</v>
      </c>
      <c r="U415">
        <v>5</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c r="AP415">
        <v>0</v>
      </c>
      <c r="AQ415">
        <v>0</v>
      </c>
      <c r="AR415">
        <v>0</v>
      </c>
      <c r="AS415">
        <v>0</v>
      </c>
      <c r="AT415">
        <v>0</v>
      </c>
      <c r="AU415">
        <f t="shared" si="12"/>
        <v>0</v>
      </c>
      <c r="AV415">
        <f t="shared" si="13"/>
        <v>0</v>
      </c>
    </row>
    <row r="416" spans="1:48" x14ac:dyDescent="0.25">
      <c r="A416" t="s">
        <v>3379</v>
      </c>
      <c r="C416" t="s">
        <v>3380</v>
      </c>
      <c r="D416" t="s">
        <v>3381</v>
      </c>
      <c r="E416" t="s">
        <v>2310</v>
      </c>
      <c r="F416">
        <v>8</v>
      </c>
      <c r="G416">
        <v>8.4</v>
      </c>
      <c r="H416" t="s">
        <v>2017</v>
      </c>
      <c r="I416" s="21">
        <v>37659</v>
      </c>
      <c r="J416">
        <v>2003</v>
      </c>
      <c r="K416" s="21">
        <v>37692</v>
      </c>
      <c r="L416">
        <v>2003</v>
      </c>
      <c r="M416" s="21">
        <v>37692</v>
      </c>
      <c r="N416">
        <v>2003</v>
      </c>
      <c r="R416" s="262">
        <v>8000</v>
      </c>
      <c r="S416" t="s">
        <v>114</v>
      </c>
      <c r="T416" t="s">
        <v>114</v>
      </c>
      <c r="U416">
        <v>13</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c r="AQ416">
        <v>0</v>
      </c>
      <c r="AR416">
        <v>0</v>
      </c>
      <c r="AS416">
        <v>0</v>
      </c>
      <c r="AT416">
        <v>0</v>
      </c>
      <c r="AU416">
        <f t="shared" si="12"/>
        <v>0</v>
      </c>
      <c r="AV416">
        <f t="shared" si="13"/>
        <v>0</v>
      </c>
    </row>
    <row r="417" spans="1:48" x14ac:dyDescent="0.25">
      <c r="A417" t="s">
        <v>3382</v>
      </c>
      <c r="C417" t="s">
        <v>3383</v>
      </c>
      <c r="D417" t="s">
        <v>3384</v>
      </c>
      <c r="E417" t="s">
        <v>2310</v>
      </c>
      <c r="F417">
        <v>9</v>
      </c>
      <c r="G417">
        <v>9.1999999999999993</v>
      </c>
      <c r="H417" t="s">
        <v>2022</v>
      </c>
      <c r="I417" s="21">
        <v>37659</v>
      </c>
      <c r="J417">
        <v>2003</v>
      </c>
      <c r="K417" s="21">
        <v>37719</v>
      </c>
      <c r="L417">
        <v>2003</v>
      </c>
      <c r="M417" s="21">
        <v>38575</v>
      </c>
      <c r="N417">
        <v>2005</v>
      </c>
      <c r="R417" s="262">
        <v>2900000</v>
      </c>
      <c r="S417" t="s">
        <v>114</v>
      </c>
      <c r="T417" t="s">
        <v>114</v>
      </c>
      <c r="U417">
        <v>5</v>
      </c>
      <c r="W417">
        <v>7857</v>
      </c>
      <c r="X417">
        <v>1</v>
      </c>
      <c r="Y417">
        <v>0</v>
      </c>
      <c r="Z417">
        <v>0</v>
      </c>
      <c r="AA417">
        <v>0</v>
      </c>
      <c r="AB417">
        <v>0</v>
      </c>
      <c r="AC417">
        <v>7857</v>
      </c>
      <c r="AD417">
        <v>0</v>
      </c>
      <c r="AE417">
        <v>0</v>
      </c>
      <c r="AF417">
        <v>0</v>
      </c>
      <c r="AG417">
        <v>0</v>
      </c>
      <c r="AH417">
        <v>0</v>
      </c>
      <c r="AI417">
        <v>0</v>
      </c>
      <c r="AJ417">
        <v>0</v>
      </c>
      <c r="AK417">
        <v>0</v>
      </c>
      <c r="AL417">
        <v>0</v>
      </c>
      <c r="AM417">
        <v>0</v>
      </c>
      <c r="AN417">
        <v>0</v>
      </c>
      <c r="AO417">
        <v>1</v>
      </c>
      <c r="AP417">
        <v>0</v>
      </c>
      <c r="AQ417">
        <v>0</v>
      </c>
      <c r="AR417">
        <v>0</v>
      </c>
      <c r="AS417">
        <v>0</v>
      </c>
      <c r="AT417">
        <v>0</v>
      </c>
      <c r="AU417">
        <f t="shared" si="12"/>
        <v>1</v>
      </c>
      <c r="AV417">
        <f t="shared" si="13"/>
        <v>0</v>
      </c>
    </row>
    <row r="418" spans="1:48" x14ac:dyDescent="0.25">
      <c r="A418" t="s">
        <v>3385</v>
      </c>
      <c r="C418" t="s">
        <v>2396</v>
      </c>
      <c r="D418" t="s">
        <v>3386</v>
      </c>
      <c r="E418" t="s">
        <v>2310</v>
      </c>
      <c r="F418">
        <v>15</v>
      </c>
      <c r="G418">
        <v>15.2</v>
      </c>
      <c r="H418" t="s">
        <v>2323</v>
      </c>
      <c r="I418" s="21">
        <v>37662</v>
      </c>
      <c r="J418">
        <v>2003</v>
      </c>
      <c r="K418" s="21">
        <v>37686</v>
      </c>
      <c r="L418">
        <v>2003</v>
      </c>
      <c r="M418" s="21">
        <v>37686</v>
      </c>
      <c r="N418">
        <v>2003</v>
      </c>
      <c r="R418" s="262">
        <v>70000</v>
      </c>
      <c r="S418" t="s">
        <v>114</v>
      </c>
      <c r="T418" t="s">
        <v>114</v>
      </c>
      <c r="U418">
        <v>5</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c r="AQ418">
        <v>0</v>
      </c>
      <c r="AR418">
        <v>0</v>
      </c>
      <c r="AS418">
        <v>0</v>
      </c>
      <c r="AT418">
        <v>0</v>
      </c>
      <c r="AU418">
        <f t="shared" si="12"/>
        <v>0</v>
      </c>
      <c r="AV418">
        <f t="shared" si="13"/>
        <v>0</v>
      </c>
    </row>
    <row r="419" spans="1:48" x14ac:dyDescent="0.25">
      <c r="A419" t="s">
        <v>3387</v>
      </c>
      <c r="C419" t="s">
        <v>3388</v>
      </c>
      <c r="D419" t="s">
        <v>3389</v>
      </c>
      <c r="E419" t="s">
        <v>2310</v>
      </c>
      <c r="F419">
        <v>9</v>
      </c>
      <c r="G419">
        <v>9.1</v>
      </c>
      <c r="H419" t="s">
        <v>2323</v>
      </c>
      <c r="I419" s="21">
        <v>37662</v>
      </c>
      <c r="J419">
        <v>2003</v>
      </c>
      <c r="K419" s="21">
        <v>37683</v>
      </c>
      <c r="L419">
        <v>2003</v>
      </c>
      <c r="M419" s="21">
        <v>37683</v>
      </c>
      <c r="N419">
        <v>2003</v>
      </c>
      <c r="R419" s="262">
        <v>60000</v>
      </c>
      <c r="S419" t="s">
        <v>114</v>
      </c>
      <c r="T419" t="s">
        <v>114</v>
      </c>
      <c r="U419">
        <v>5</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c r="AQ419">
        <v>0</v>
      </c>
      <c r="AR419">
        <v>0</v>
      </c>
      <c r="AS419">
        <v>0</v>
      </c>
      <c r="AT419">
        <v>0</v>
      </c>
      <c r="AU419">
        <f t="shared" si="12"/>
        <v>0</v>
      </c>
      <c r="AV419">
        <f t="shared" si="13"/>
        <v>0</v>
      </c>
    </row>
    <row r="420" spans="1:48" x14ac:dyDescent="0.25">
      <c r="A420" t="s">
        <v>3390</v>
      </c>
      <c r="C420" t="s">
        <v>3391</v>
      </c>
      <c r="D420" t="s">
        <v>3392</v>
      </c>
      <c r="E420" t="s">
        <v>2310</v>
      </c>
      <c r="F420">
        <v>12</v>
      </c>
      <c r="G420">
        <v>12.1</v>
      </c>
      <c r="H420" t="s">
        <v>2327</v>
      </c>
      <c r="I420" s="21">
        <v>37665</v>
      </c>
      <c r="J420">
        <v>2003</v>
      </c>
      <c r="K420" s="21">
        <v>37686</v>
      </c>
      <c r="L420">
        <v>2003</v>
      </c>
      <c r="M420" s="21">
        <v>37831</v>
      </c>
      <c r="N420">
        <v>2003</v>
      </c>
      <c r="R420" s="262">
        <v>15000</v>
      </c>
      <c r="S420" t="s">
        <v>114</v>
      </c>
      <c r="T420" t="s">
        <v>114</v>
      </c>
      <c r="U420">
        <v>13</v>
      </c>
      <c r="W420">
        <v>650</v>
      </c>
      <c r="X420">
        <v>0</v>
      </c>
      <c r="Y420">
        <v>0</v>
      </c>
      <c r="Z420">
        <v>0</v>
      </c>
      <c r="AA420">
        <v>0</v>
      </c>
      <c r="AB420">
        <v>0</v>
      </c>
      <c r="AC420">
        <v>0</v>
      </c>
      <c r="AD420">
        <v>0</v>
      </c>
      <c r="AE420">
        <v>0</v>
      </c>
      <c r="AF420">
        <v>0</v>
      </c>
      <c r="AG420">
        <v>0</v>
      </c>
      <c r="AH420">
        <v>0</v>
      </c>
      <c r="AI420">
        <v>0</v>
      </c>
      <c r="AJ420">
        <v>0</v>
      </c>
      <c r="AK420">
        <v>650</v>
      </c>
      <c r="AL420">
        <v>0</v>
      </c>
      <c r="AM420">
        <v>0</v>
      </c>
      <c r="AN420">
        <v>0</v>
      </c>
      <c r="AO420">
        <v>0</v>
      </c>
      <c r="AP420">
        <v>0</v>
      </c>
      <c r="AQ420">
        <v>0</v>
      </c>
      <c r="AR420">
        <v>0</v>
      </c>
      <c r="AS420">
        <v>0</v>
      </c>
      <c r="AT420">
        <v>0</v>
      </c>
      <c r="AU420">
        <f t="shared" si="12"/>
        <v>0</v>
      </c>
      <c r="AV420">
        <f t="shared" si="13"/>
        <v>650</v>
      </c>
    </row>
    <row r="421" spans="1:48" x14ac:dyDescent="0.25">
      <c r="A421" t="s">
        <v>3393</v>
      </c>
      <c r="C421" t="s">
        <v>3394</v>
      </c>
      <c r="D421" t="s">
        <v>3395</v>
      </c>
      <c r="E421" t="s">
        <v>2310</v>
      </c>
      <c r="F421">
        <v>8</v>
      </c>
      <c r="G421">
        <v>8.4</v>
      </c>
      <c r="H421" t="s">
        <v>2017</v>
      </c>
      <c r="I421" s="21">
        <v>37666</v>
      </c>
      <c r="J421">
        <v>2003</v>
      </c>
      <c r="K421" s="21">
        <v>37686</v>
      </c>
      <c r="L421">
        <v>2003</v>
      </c>
      <c r="M421" s="21">
        <v>38069</v>
      </c>
      <c r="N421">
        <v>2004</v>
      </c>
      <c r="R421" s="262">
        <v>35000</v>
      </c>
      <c r="S421" t="s">
        <v>114</v>
      </c>
      <c r="T421" t="s">
        <v>114</v>
      </c>
      <c r="U421">
        <v>5</v>
      </c>
      <c r="W421">
        <v>1660</v>
      </c>
      <c r="X421">
        <v>0</v>
      </c>
      <c r="Y421">
        <v>0</v>
      </c>
      <c r="Z421">
        <v>0</v>
      </c>
      <c r="AA421">
        <v>0</v>
      </c>
      <c r="AB421">
        <v>0</v>
      </c>
      <c r="AC421">
        <v>1660</v>
      </c>
      <c r="AD421">
        <v>0</v>
      </c>
      <c r="AE421">
        <v>0</v>
      </c>
      <c r="AF421">
        <v>0</v>
      </c>
      <c r="AG421">
        <v>0</v>
      </c>
      <c r="AH421">
        <v>0</v>
      </c>
      <c r="AI421">
        <v>0</v>
      </c>
      <c r="AJ421">
        <v>0</v>
      </c>
      <c r="AK421">
        <v>0</v>
      </c>
      <c r="AL421">
        <v>0</v>
      </c>
      <c r="AM421">
        <v>0</v>
      </c>
      <c r="AN421">
        <v>0</v>
      </c>
      <c r="AO421">
        <v>0</v>
      </c>
      <c r="AP421">
        <v>0</v>
      </c>
      <c r="AQ421">
        <v>0</v>
      </c>
      <c r="AR421">
        <v>0</v>
      </c>
      <c r="AS421">
        <v>0</v>
      </c>
      <c r="AT421">
        <v>0</v>
      </c>
      <c r="AU421">
        <f t="shared" si="12"/>
        <v>0</v>
      </c>
      <c r="AV421">
        <f t="shared" si="13"/>
        <v>0</v>
      </c>
    </row>
    <row r="422" spans="1:48" x14ac:dyDescent="0.25">
      <c r="A422" t="s">
        <v>3396</v>
      </c>
      <c r="C422" t="s">
        <v>3397</v>
      </c>
      <c r="D422" t="s">
        <v>3398</v>
      </c>
      <c r="E422" t="s">
        <v>2310</v>
      </c>
      <c r="F422">
        <v>8</v>
      </c>
      <c r="G422">
        <v>8.1</v>
      </c>
      <c r="H422" t="s">
        <v>2323</v>
      </c>
      <c r="I422" s="21">
        <v>37670</v>
      </c>
      <c r="J422">
        <v>2003</v>
      </c>
      <c r="K422" s="21">
        <v>37686</v>
      </c>
      <c r="L422">
        <v>2003</v>
      </c>
      <c r="M422" s="21">
        <v>37686</v>
      </c>
      <c r="N422">
        <v>2003</v>
      </c>
      <c r="R422" s="262">
        <v>40000</v>
      </c>
      <c r="S422" t="s">
        <v>114</v>
      </c>
      <c r="T422" t="s">
        <v>114</v>
      </c>
      <c r="U422">
        <v>5</v>
      </c>
      <c r="W422">
        <v>131</v>
      </c>
      <c r="X422">
        <v>0</v>
      </c>
      <c r="Y422">
        <v>0</v>
      </c>
      <c r="Z422">
        <v>0</v>
      </c>
      <c r="AA422">
        <v>0</v>
      </c>
      <c r="AB422">
        <v>0</v>
      </c>
      <c r="AC422">
        <v>131</v>
      </c>
      <c r="AD422">
        <v>0</v>
      </c>
      <c r="AE422">
        <v>0</v>
      </c>
      <c r="AF422">
        <v>0</v>
      </c>
      <c r="AG422">
        <v>0</v>
      </c>
      <c r="AH422">
        <v>0</v>
      </c>
      <c r="AI422">
        <v>0</v>
      </c>
      <c r="AJ422">
        <v>0</v>
      </c>
      <c r="AK422">
        <v>0</v>
      </c>
      <c r="AL422">
        <v>0</v>
      </c>
      <c r="AM422">
        <v>0</v>
      </c>
      <c r="AN422">
        <v>0</v>
      </c>
      <c r="AO422">
        <v>0</v>
      </c>
      <c r="AP422">
        <v>0</v>
      </c>
      <c r="AQ422">
        <v>0</v>
      </c>
      <c r="AR422">
        <v>0</v>
      </c>
      <c r="AS422">
        <v>0</v>
      </c>
      <c r="AT422">
        <v>0</v>
      </c>
      <c r="AU422">
        <f t="shared" si="12"/>
        <v>0</v>
      </c>
      <c r="AV422">
        <f t="shared" si="13"/>
        <v>0</v>
      </c>
    </row>
    <row r="423" spans="1:48" x14ac:dyDescent="0.25">
      <c r="A423" t="s">
        <v>3399</v>
      </c>
      <c r="C423" t="s">
        <v>3400</v>
      </c>
      <c r="D423" t="s">
        <v>3401</v>
      </c>
      <c r="E423" t="s">
        <v>2310</v>
      </c>
      <c r="F423">
        <v>12</v>
      </c>
      <c r="G423">
        <v>12.3</v>
      </c>
      <c r="H423" t="s">
        <v>2017</v>
      </c>
      <c r="I423" s="21">
        <v>37670</v>
      </c>
      <c r="J423">
        <v>2003</v>
      </c>
      <c r="K423" s="21">
        <v>37700</v>
      </c>
      <c r="L423">
        <v>2003</v>
      </c>
      <c r="M423" s="21">
        <v>37700</v>
      </c>
      <c r="N423">
        <v>2003</v>
      </c>
      <c r="R423" s="262">
        <v>30000</v>
      </c>
      <c r="S423" t="s">
        <v>114</v>
      </c>
      <c r="T423" t="s">
        <v>114</v>
      </c>
      <c r="U423">
        <v>5</v>
      </c>
      <c r="W423">
        <v>355</v>
      </c>
      <c r="X423">
        <v>0</v>
      </c>
      <c r="Y423">
        <v>0</v>
      </c>
      <c r="Z423">
        <v>0</v>
      </c>
      <c r="AA423">
        <v>0</v>
      </c>
      <c r="AB423">
        <v>0</v>
      </c>
      <c r="AC423">
        <v>355</v>
      </c>
      <c r="AD423">
        <v>0</v>
      </c>
      <c r="AE423">
        <v>0</v>
      </c>
      <c r="AF423">
        <v>0</v>
      </c>
      <c r="AG423">
        <v>0</v>
      </c>
      <c r="AH423">
        <v>0</v>
      </c>
      <c r="AI423">
        <v>0</v>
      </c>
      <c r="AJ423">
        <v>0</v>
      </c>
      <c r="AK423">
        <v>0</v>
      </c>
      <c r="AL423">
        <v>0</v>
      </c>
      <c r="AM423">
        <v>0</v>
      </c>
      <c r="AN423">
        <v>0</v>
      </c>
      <c r="AO423">
        <v>0</v>
      </c>
      <c r="AP423">
        <v>0</v>
      </c>
      <c r="AQ423">
        <v>0</v>
      </c>
      <c r="AR423">
        <v>0</v>
      </c>
      <c r="AS423">
        <v>0</v>
      </c>
      <c r="AT423">
        <v>0</v>
      </c>
      <c r="AU423">
        <f t="shared" si="12"/>
        <v>0</v>
      </c>
      <c r="AV423">
        <f t="shared" si="13"/>
        <v>0</v>
      </c>
    </row>
    <row r="424" spans="1:48" x14ac:dyDescent="0.25">
      <c r="A424" t="s">
        <v>3402</v>
      </c>
      <c r="C424" t="s">
        <v>3403</v>
      </c>
      <c r="D424" t="s">
        <v>3404</v>
      </c>
      <c r="E424" t="s">
        <v>2310</v>
      </c>
      <c r="F424">
        <v>5</v>
      </c>
      <c r="G424">
        <v>5.4</v>
      </c>
      <c r="H424" t="s">
        <v>2017</v>
      </c>
      <c r="I424" s="21">
        <v>37672</v>
      </c>
      <c r="J424">
        <v>2003</v>
      </c>
      <c r="K424" s="21">
        <v>37727</v>
      </c>
      <c r="L424">
        <v>2003</v>
      </c>
      <c r="M424" s="21">
        <v>37916</v>
      </c>
      <c r="N424">
        <v>2003</v>
      </c>
      <c r="R424" s="262">
        <v>384000</v>
      </c>
      <c r="S424" t="s">
        <v>114</v>
      </c>
      <c r="T424" t="s">
        <v>114</v>
      </c>
      <c r="U424">
        <v>15</v>
      </c>
      <c r="W424">
        <v>1585</v>
      </c>
      <c r="X424">
        <v>0</v>
      </c>
      <c r="Y424">
        <v>0</v>
      </c>
      <c r="Z424">
        <v>0</v>
      </c>
      <c r="AA424">
        <v>0</v>
      </c>
      <c r="AB424">
        <v>0</v>
      </c>
      <c r="AC424">
        <v>0</v>
      </c>
      <c r="AD424">
        <v>0</v>
      </c>
      <c r="AE424">
        <v>0</v>
      </c>
      <c r="AF424">
        <v>0</v>
      </c>
      <c r="AG424">
        <v>0</v>
      </c>
      <c r="AH424">
        <v>0</v>
      </c>
      <c r="AI424">
        <v>0</v>
      </c>
      <c r="AJ424">
        <v>0</v>
      </c>
      <c r="AK424">
        <v>0</v>
      </c>
      <c r="AL424">
        <v>0</v>
      </c>
      <c r="AM424">
        <v>1585</v>
      </c>
      <c r="AN424">
        <v>0</v>
      </c>
      <c r="AO424">
        <v>0</v>
      </c>
      <c r="AP424">
        <v>0</v>
      </c>
      <c r="AQ424">
        <v>0</v>
      </c>
      <c r="AR424">
        <v>0</v>
      </c>
      <c r="AS424">
        <v>0</v>
      </c>
      <c r="AT424">
        <v>0</v>
      </c>
      <c r="AU424">
        <f t="shared" si="12"/>
        <v>0</v>
      </c>
      <c r="AV424">
        <f t="shared" si="13"/>
        <v>1585</v>
      </c>
    </row>
    <row r="425" spans="1:48" x14ac:dyDescent="0.25">
      <c r="A425" t="s">
        <v>3405</v>
      </c>
      <c r="C425" t="s">
        <v>2847</v>
      </c>
      <c r="D425" t="s">
        <v>3406</v>
      </c>
      <c r="E425" t="s">
        <v>2310</v>
      </c>
      <c r="F425">
        <v>10</v>
      </c>
      <c r="G425">
        <v>10.1</v>
      </c>
      <c r="H425" t="s">
        <v>2323</v>
      </c>
      <c r="I425" s="21">
        <v>37677</v>
      </c>
      <c r="J425">
        <v>2003</v>
      </c>
      <c r="K425" s="21">
        <v>37693</v>
      </c>
      <c r="L425">
        <v>2003</v>
      </c>
      <c r="M425" s="21">
        <v>37825</v>
      </c>
      <c r="N425">
        <v>2003</v>
      </c>
      <c r="R425" s="262">
        <v>123000</v>
      </c>
      <c r="S425" t="s">
        <v>114</v>
      </c>
      <c r="T425" t="s">
        <v>114</v>
      </c>
      <c r="U425">
        <v>5</v>
      </c>
      <c r="W425">
        <v>1875</v>
      </c>
      <c r="X425">
        <v>1</v>
      </c>
      <c r="Y425">
        <v>0</v>
      </c>
      <c r="Z425">
        <v>0</v>
      </c>
      <c r="AA425">
        <v>0</v>
      </c>
      <c r="AB425">
        <v>0</v>
      </c>
      <c r="AC425">
        <v>1875</v>
      </c>
      <c r="AD425">
        <v>0</v>
      </c>
      <c r="AE425">
        <v>0</v>
      </c>
      <c r="AF425">
        <v>0</v>
      </c>
      <c r="AG425">
        <v>0</v>
      </c>
      <c r="AH425">
        <v>0</v>
      </c>
      <c r="AI425">
        <v>0</v>
      </c>
      <c r="AJ425">
        <v>0</v>
      </c>
      <c r="AK425">
        <v>0</v>
      </c>
      <c r="AL425">
        <v>0</v>
      </c>
      <c r="AM425">
        <v>0</v>
      </c>
      <c r="AN425">
        <v>0</v>
      </c>
      <c r="AO425">
        <v>1</v>
      </c>
      <c r="AP425">
        <v>0</v>
      </c>
      <c r="AQ425">
        <v>0</v>
      </c>
      <c r="AR425">
        <v>0</v>
      </c>
      <c r="AS425">
        <v>0</v>
      </c>
      <c r="AT425">
        <v>0</v>
      </c>
      <c r="AU425">
        <f t="shared" si="12"/>
        <v>1</v>
      </c>
      <c r="AV425">
        <f t="shared" si="13"/>
        <v>0</v>
      </c>
    </row>
    <row r="426" spans="1:48" x14ac:dyDescent="0.25">
      <c r="A426" t="s">
        <v>3409</v>
      </c>
      <c r="C426" t="s">
        <v>3410</v>
      </c>
      <c r="D426" t="s">
        <v>3411</v>
      </c>
      <c r="E426" t="s">
        <v>2310</v>
      </c>
      <c r="F426">
        <v>7</v>
      </c>
      <c r="G426">
        <v>7.1</v>
      </c>
      <c r="H426" t="s">
        <v>2017</v>
      </c>
      <c r="I426" s="21">
        <v>37679</v>
      </c>
      <c r="J426">
        <v>2003</v>
      </c>
      <c r="K426" s="21">
        <v>37714</v>
      </c>
      <c r="L426">
        <v>2003</v>
      </c>
      <c r="M426" s="21">
        <v>37805</v>
      </c>
      <c r="N426">
        <v>2003</v>
      </c>
      <c r="R426" s="262">
        <v>3000</v>
      </c>
      <c r="S426" t="s">
        <v>114</v>
      </c>
      <c r="T426" t="s">
        <v>114</v>
      </c>
      <c r="U426">
        <v>14</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c r="AQ426">
        <v>0</v>
      </c>
      <c r="AR426">
        <v>0</v>
      </c>
      <c r="AS426">
        <v>0</v>
      </c>
      <c r="AT426">
        <v>0</v>
      </c>
      <c r="AU426">
        <f t="shared" si="12"/>
        <v>0</v>
      </c>
      <c r="AV426">
        <f t="shared" si="13"/>
        <v>0</v>
      </c>
    </row>
    <row r="427" spans="1:48" x14ac:dyDescent="0.25">
      <c r="A427" t="s">
        <v>3407</v>
      </c>
      <c r="C427" t="s">
        <v>3408</v>
      </c>
      <c r="D427" t="s">
        <v>3130</v>
      </c>
      <c r="E427" t="s">
        <v>1663</v>
      </c>
      <c r="F427">
        <v>6</v>
      </c>
      <c r="G427">
        <v>6.1</v>
      </c>
      <c r="H427" t="s">
        <v>2017</v>
      </c>
      <c r="I427" s="21">
        <v>37679</v>
      </c>
      <c r="J427">
        <v>2003</v>
      </c>
      <c r="K427" s="21">
        <v>37707</v>
      </c>
      <c r="L427">
        <v>2003</v>
      </c>
      <c r="M427" s="21">
        <v>37860</v>
      </c>
      <c r="N427">
        <v>2003</v>
      </c>
      <c r="Q427" s="262">
        <v>25338</v>
      </c>
      <c r="S427" t="s">
        <v>114</v>
      </c>
      <c r="T427" t="s">
        <v>114</v>
      </c>
      <c r="W427">
        <v>309</v>
      </c>
      <c r="X427">
        <v>0</v>
      </c>
      <c r="Y427">
        <v>0</v>
      </c>
      <c r="Z427">
        <v>0</v>
      </c>
      <c r="AA427">
        <v>0</v>
      </c>
      <c r="AB427">
        <v>0</v>
      </c>
      <c r="AC427">
        <v>309</v>
      </c>
      <c r="AD427">
        <v>0</v>
      </c>
      <c r="AE427">
        <v>0</v>
      </c>
      <c r="AF427">
        <v>0</v>
      </c>
      <c r="AG427">
        <v>0</v>
      </c>
      <c r="AH427">
        <v>0</v>
      </c>
      <c r="AI427">
        <v>0</v>
      </c>
      <c r="AJ427">
        <v>0</v>
      </c>
      <c r="AK427">
        <v>0</v>
      </c>
      <c r="AL427">
        <v>0</v>
      </c>
      <c r="AM427">
        <v>0</v>
      </c>
      <c r="AN427">
        <v>0</v>
      </c>
      <c r="AO427">
        <v>0</v>
      </c>
      <c r="AP427">
        <v>0</v>
      </c>
      <c r="AQ427">
        <v>0</v>
      </c>
      <c r="AR427">
        <v>0</v>
      </c>
      <c r="AS427">
        <v>0</v>
      </c>
      <c r="AT427">
        <v>0</v>
      </c>
      <c r="AU427">
        <f t="shared" si="12"/>
        <v>0</v>
      </c>
      <c r="AV427">
        <f t="shared" si="13"/>
        <v>0</v>
      </c>
    </row>
    <row r="428" spans="1:48" x14ac:dyDescent="0.25">
      <c r="A428" t="s">
        <v>3412</v>
      </c>
      <c r="C428" t="s">
        <v>3413</v>
      </c>
      <c r="D428" t="s">
        <v>3414</v>
      </c>
      <c r="E428" t="s">
        <v>2310</v>
      </c>
      <c r="F428">
        <v>8</v>
      </c>
      <c r="G428">
        <v>8.1</v>
      </c>
      <c r="H428" t="s">
        <v>2323</v>
      </c>
      <c r="I428" s="21">
        <v>37685</v>
      </c>
      <c r="J428">
        <v>2003</v>
      </c>
      <c r="K428" s="21">
        <v>37704</v>
      </c>
      <c r="L428">
        <v>2003</v>
      </c>
      <c r="M428" s="21">
        <v>37704</v>
      </c>
      <c r="N428">
        <v>2003</v>
      </c>
      <c r="R428" s="262">
        <v>50000</v>
      </c>
      <c r="S428" t="s">
        <v>114</v>
      </c>
      <c r="T428" t="s">
        <v>114</v>
      </c>
      <c r="U428">
        <v>5</v>
      </c>
      <c r="W428">
        <v>0</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c r="AQ428">
        <v>0</v>
      </c>
      <c r="AR428">
        <v>0</v>
      </c>
      <c r="AS428">
        <v>0</v>
      </c>
      <c r="AT428">
        <v>0</v>
      </c>
      <c r="AU428">
        <f t="shared" si="12"/>
        <v>0</v>
      </c>
      <c r="AV428">
        <f t="shared" si="13"/>
        <v>0</v>
      </c>
    </row>
    <row r="429" spans="1:48" x14ac:dyDescent="0.25">
      <c r="A429" t="s">
        <v>3415</v>
      </c>
      <c r="C429" t="s">
        <v>3416</v>
      </c>
      <c r="D429" t="s">
        <v>3417</v>
      </c>
      <c r="E429" t="s">
        <v>2310</v>
      </c>
      <c r="F429">
        <v>8</v>
      </c>
      <c r="G429">
        <v>8.1999999999999993</v>
      </c>
      <c r="H429" t="s">
        <v>2022</v>
      </c>
      <c r="I429" s="21">
        <v>37686</v>
      </c>
      <c r="J429">
        <v>2003</v>
      </c>
      <c r="K429" s="21">
        <v>37726</v>
      </c>
      <c r="L429">
        <v>2003</v>
      </c>
      <c r="M429" s="21">
        <v>37726</v>
      </c>
      <c r="N429">
        <v>2003</v>
      </c>
      <c r="R429" s="262">
        <v>39000</v>
      </c>
      <c r="S429" t="s">
        <v>114</v>
      </c>
      <c r="T429" t="s">
        <v>114</v>
      </c>
      <c r="U429">
        <v>5</v>
      </c>
      <c r="W429">
        <v>195</v>
      </c>
      <c r="X429">
        <v>0</v>
      </c>
      <c r="Y429">
        <v>0</v>
      </c>
      <c r="Z429">
        <v>0</v>
      </c>
      <c r="AA429">
        <v>0</v>
      </c>
      <c r="AB429">
        <v>0</v>
      </c>
      <c r="AC429">
        <v>195</v>
      </c>
      <c r="AD429">
        <v>0</v>
      </c>
      <c r="AE429">
        <v>0</v>
      </c>
      <c r="AF429">
        <v>0</v>
      </c>
      <c r="AG429">
        <v>0</v>
      </c>
      <c r="AH429">
        <v>0</v>
      </c>
      <c r="AI429">
        <v>0</v>
      </c>
      <c r="AJ429">
        <v>0</v>
      </c>
      <c r="AK429">
        <v>0</v>
      </c>
      <c r="AL429">
        <v>0</v>
      </c>
      <c r="AM429">
        <v>0</v>
      </c>
      <c r="AN429">
        <v>0</v>
      </c>
      <c r="AO429">
        <v>0</v>
      </c>
      <c r="AP429">
        <v>0</v>
      </c>
      <c r="AQ429">
        <v>0</v>
      </c>
      <c r="AR429">
        <v>0</v>
      </c>
      <c r="AS429">
        <v>0</v>
      </c>
      <c r="AT429">
        <v>0</v>
      </c>
      <c r="AU429">
        <f t="shared" si="12"/>
        <v>0</v>
      </c>
      <c r="AV429">
        <f t="shared" si="13"/>
        <v>0</v>
      </c>
    </row>
    <row r="430" spans="1:48" x14ac:dyDescent="0.25">
      <c r="A430" t="s">
        <v>3418</v>
      </c>
      <c r="C430" t="s">
        <v>3419</v>
      </c>
      <c r="D430" t="s">
        <v>3420</v>
      </c>
      <c r="E430" t="s">
        <v>2310</v>
      </c>
      <c r="F430">
        <v>9</v>
      </c>
      <c r="G430">
        <v>9.4</v>
      </c>
      <c r="H430" t="s">
        <v>2323</v>
      </c>
      <c r="I430" s="21">
        <v>37686</v>
      </c>
      <c r="J430">
        <v>2003</v>
      </c>
      <c r="K430" s="21">
        <v>37713</v>
      </c>
      <c r="L430">
        <v>2003</v>
      </c>
      <c r="M430" s="21">
        <v>37925</v>
      </c>
      <c r="N430">
        <v>2003</v>
      </c>
      <c r="R430" s="262">
        <v>525000</v>
      </c>
      <c r="S430" t="s">
        <v>114</v>
      </c>
      <c r="T430" t="s">
        <v>114</v>
      </c>
      <c r="U430">
        <v>5</v>
      </c>
      <c r="W430">
        <v>4272</v>
      </c>
      <c r="X430">
        <v>1</v>
      </c>
      <c r="Y430">
        <v>0</v>
      </c>
      <c r="Z430">
        <v>0</v>
      </c>
      <c r="AA430">
        <v>0</v>
      </c>
      <c r="AB430">
        <v>0</v>
      </c>
      <c r="AC430">
        <v>4272</v>
      </c>
      <c r="AD430">
        <v>0</v>
      </c>
      <c r="AE430">
        <v>0</v>
      </c>
      <c r="AF430">
        <v>0</v>
      </c>
      <c r="AG430">
        <v>0</v>
      </c>
      <c r="AH430">
        <v>0</v>
      </c>
      <c r="AI430">
        <v>0</v>
      </c>
      <c r="AJ430">
        <v>0</v>
      </c>
      <c r="AK430">
        <v>0</v>
      </c>
      <c r="AL430">
        <v>0</v>
      </c>
      <c r="AM430">
        <v>0</v>
      </c>
      <c r="AN430">
        <v>0</v>
      </c>
      <c r="AO430">
        <v>1</v>
      </c>
      <c r="AP430">
        <v>0</v>
      </c>
      <c r="AQ430">
        <v>0</v>
      </c>
      <c r="AR430">
        <v>0</v>
      </c>
      <c r="AS430">
        <v>0</v>
      </c>
      <c r="AT430">
        <v>0</v>
      </c>
      <c r="AU430">
        <f t="shared" si="12"/>
        <v>1</v>
      </c>
      <c r="AV430">
        <f t="shared" si="13"/>
        <v>0</v>
      </c>
    </row>
    <row r="431" spans="1:48" x14ac:dyDescent="0.25">
      <c r="A431" t="s">
        <v>3421</v>
      </c>
      <c r="C431" t="s">
        <v>3422</v>
      </c>
      <c r="D431" t="s">
        <v>3423</v>
      </c>
      <c r="E431" t="s">
        <v>2310</v>
      </c>
      <c r="F431">
        <v>10</v>
      </c>
      <c r="G431">
        <v>10.1</v>
      </c>
      <c r="H431" t="s">
        <v>2323</v>
      </c>
      <c r="I431" s="21">
        <v>37687</v>
      </c>
      <c r="J431">
        <v>2003</v>
      </c>
      <c r="K431" s="21">
        <v>37715</v>
      </c>
      <c r="L431">
        <v>2003</v>
      </c>
      <c r="M431" s="21">
        <v>37813</v>
      </c>
      <c r="N431">
        <v>2003</v>
      </c>
      <c r="R431" s="262">
        <v>112000</v>
      </c>
      <c r="S431" t="s">
        <v>114</v>
      </c>
      <c r="T431" t="s">
        <v>114</v>
      </c>
      <c r="U431">
        <v>5</v>
      </c>
      <c r="W431">
        <v>1848</v>
      </c>
      <c r="X431">
        <v>1</v>
      </c>
      <c r="Y431">
        <v>0</v>
      </c>
      <c r="Z431">
        <v>0</v>
      </c>
      <c r="AA431">
        <v>0</v>
      </c>
      <c r="AB431">
        <v>0</v>
      </c>
      <c r="AC431">
        <v>1848</v>
      </c>
      <c r="AD431">
        <v>0</v>
      </c>
      <c r="AE431">
        <v>0</v>
      </c>
      <c r="AF431">
        <v>0</v>
      </c>
      <c r="AG431">
        <v>0</v>
      </c>
      <c r="AH431">
        <v>0</v>
      </c>
      <c r="AI431">
        <v>0</v>
      </c>
      <c r="AJ431">
        <v>0</v>
      </c>
      <c r="AK431">
        <v>0</v>
      </c>
      <c r="AL431">
        <v>0</v>
      </c>
      <c r="AM431">
        <v>0</v>
      </c>
      <c r="AN431">
        <v>0</v>
      </c>
      <c r="AO431">
        <v>1</v>
      </c>
      <c r="AP431">
        <v>0</v>
      </c>
      <c r="AQ431">
        <v>0</v>
      </c>
      <c r="AR431">
        <v>0</v>
      </c>
      <c r="AS431">
        <v>0</v>
      </c>
      <c r="AT431">
        <v>0</v>
      </c>
      <c r="AU431">
        <f t="shared" si="12"/>
        <v>1</v>
      </c>
      <c r="AV431">
        <f t="shared" si="13"/>
        <v>0</v>
      </c>
    </row>
    <row r="432" spans="1:48" x14ac:dyDescent="0.25">
      <c r="A432" t="s">
        <v>3424</v>
      </c>
      <c r="C432" t="s">
        <v>3255</v>
      </c>
      <c r="D432" t="s">
        <v>3011</v>
      </c>
      <c r="E432" t="s">
        <v>2310</v>
      </c>
      <c r="F432">
        <v>8</v>
      </c>
      <c r="G432">
        <v>8.4</v>
      </c>
      <c r="H432" t="s">
        <v>2017</v>
      </c>
      <c r="I432" s="21">
        <v>37692</v>
      </c>
      <c r="J432">
        <v>2003</v>
      </c>
      <c r="K432" s="21">
        <v>37721</v>
      </c>
      <c r="L432">
        <v>2003</v>
      </c>
      <c r="M432" s="21">
        <v>37721</v>
      </c>
      <c r="N432">
        <v>2003</v>
      </c>
      <c r="R432" s="262">
        <v>15000</v>
      </c>
      <c r="S432" t="s">
        <v>114</v>
      </c>
      <c r="T432" t="s">
        <v>114</v>
      </c>
      <c r="U432">
        <v>5</v>
      </c>
      <c r="W432">
        <v>900</v>
      </c>
      <c r="X432">
        <v>0</v>
      </c>
      <c r="Y432">
        <v>0</v>
      </c>
      <c r="Z432">
        <v>0</v>
      </c>
      <c r="AA432">
        <v>0</v>
      </c>
      <c r="AB432">
        <v>0</v>
      </c>
      <c r="AC432">
        <v>900</v>
      </c>
      <c r="AD432">
        <v>0</v>
      </c>
      <c r="AE432">
        <v>0</v>
      </c>
      <c r="AF432">
        <v>0</v>
      </c>
      <c r="AG432">
        <v>0</v>
      </c>
      <c r="AH432">
        <v>0</v>
      </c>
      <c r="AI432">
        <v>0</v>
      </c>
      <c r="AJ432">
        <v>0</v>
      </c>
      <c r="AK432">
        <v>0</v>
      </c>
      <c r="AL432">
        <v>0</v>
      </c>
      <c r="AM432">
        <v>0</v>
      </c>
      <c r="AN432">
        <v>0</v>
      </c>
      <c r="AO432">
        <v>0</v>
      </c>
      <c r="AP432">
        <v>0</v>
      </c>
      <c r="AQ432">
        <v>0</v>
      </c>
      <c r="AR432">
        <v>0</v>
      </c>
      <c r="AS432">
        <v>0</v>
      </c>
      <c r="AT432">
        <v>0</v>
      </c>
      <c r="AU432">
        <f t="shared" si="12"/>
        <v>0</v>
      </c>
      <c r="AV432">
        <f t="shared" si="13"/>
        <v>0</v>
      </c>
    </row>
    <row r="433" spans="1:48" x14ac:dyDescent="0.25">
      <c r="A433" t="s">
        <v>3425</v>
      </c>
      <c r="C433" t="s">
        <v>3426</v>
      </c>
      <c r="D433" t="s">
        <v>3427</v>
      </c>
      <c r="E433" t="s">
        <v>2310</v>
      </c>
      <c r="F433">
        <v>15</v>
      </c>
      <c r="G433">
        <v>15.1</v>
      </c>
      <c r="H433" t="s">
        <v>2022</v>
      </c>
      <c r="I433" s="21">
        <v>37693</v>
      </c>
      <c r="J433">
        <v>2003</v>
      </c>
      <c r="K433" s="21">
        <v>37741</v>
      </c>
      <c r="L433">
        <v>2003</v>
      </c>
      <c r="M433" s="21">
        <v>37911</v>
      </c>
      <c r="N433">
        <v>2003</v>
      </c>
      <c r="R433" s="262">
        <v>26000</v>
      </c>
      <c r="S433" t="s">
        <v>114</v>
      </c>
      <c r="T433" t="s">
        <v>114</v>
      </c>
      <c r="U433">
        <v>7</v>
      </c>
      <c r="W433">
        <v>512</v>
      </c>
      <c r="X433">
        <v>1</v>
      </c>
      <c r="Y433">
        <v>0</v>
      </c>
      <c r="Z433">
        <v>0</v>
      </c>
      <c r="AA433">
        <v>0</v>
      </c>
      <c r="AB433">
        <v>0</v>
      </c>
      <c r="AC433">
        <v>0</v>
      </c>
      <c r="AD433">
        <v>0</v>
      </c>
      <c r="AE433">
        <v>512</v>
      </c>
      <c r="AF433">
        <v>0</v>
      </c>
      <c r="AG433">
        <v>0</v>
      </c>
      <c r="AH433">
        <v>0</v>
      </c>
      <c r="AI433">
        <v>0</v>
      </c>
      <c r="AJ433">
        <v>0</v>
      </c>
      <c r="AK433">
        <v>0</v>
      </c>
      <c r="AL433">
        <v>0</v>
      </c>
      <c r="AM433">
        <v>0</v>
      </c>
      <c r="AN433">
        <v>0</v>
      </c>
      <c r="AO433">
        <v>0</v>
      </c>
      <c r="AP433">
        <v>0</v>
      </c>
      <c r="AQ433">
        <v>1</v>
      </c>
      <c r="AR433">
        <v>0</v>
      </c>
      <c r="AS433">
        <v>0</v>
      </c>
      <c r="AT433">
        <v>0</v>
      </c>
      <c r="AU433">
        <f t="shared" si="12"/>
        <v>1</v>
      </c>
      <c r="AV433">
        <f t="shared" si="13"/>
        <v>0</v>
      </c>
    </row>
    <row r="434" spans="1:48" x14ac:dyDescent="0.25">
      <c r="A434" t="s">
        <v>3428</v>
      </c>
      <c r="C434" t="s">
        <v>3426</v>
      </c>
      <c r="D434" t="s">
        <v>3427</v>
      </c>
      <c r="E434" t="s">
        <v>2310</v>
      </c>
      <c r="F434">
        <v>15</v>
      </c>
      <c r="G434">
        <v>15.1</v>
      </c>
      <c r="H434" t="s">
        <v>2022</v>
      </c>
      <c r="I434" s="21">
        <v>37693</v>
      </c>
      <c r="J434">
        <v>2003</v>
      </c>
      <c r="K434" s="21">
        <v>37741</v>
      </c>
      <c r="L434">
        <v>2003</v>
      </c>
      <c r="M434" s="21">
        <v>37741</v>
      </c>
      <c r="N434">
        <v>2003</v>
      </c>
      <c r="R434" s="262">
        <v>26000</v>
      </c>
      <c r="S434" t="s">
        <v>114</v>
      </c>
      <c r="T434" t="s">
        <v>114</v>
      </c>
      <c r="U434">
        <v>7</v>
      </c>
      <c r="W434">
        <v>512</v>
      </c>
      <c r="X434">
        <v>1</v>
      </c>
      <c r="Y434">
        <v>0</v>
      </c>
      <c r="Z434">
        <v>0</v>
      </c>
      <c r="AA434">
        <v>0</v>
      </c>
      <c r="AB434">
        <v>0</v>
      </c>
      <c r="AC434">
        <v>0</v>
      </c>
      <c r="AD434">
        <v>0</v>
      </c>
      <c r="AE434">
        <v>512</v>
      </c>
      <c r="AF434">
        <v>0</v>
      </c>
      <c r="AG434">
        <v>0</v>
      </c>
      <c r="AH434">
        <v>0</v>
      </c>
      <c r="AI434">
        <v>0</v>
      </c>
      <c r="AJ434">
        <v>0</v>
      </c>
      <c r="AK434">
        <v>0</v>
      </c>
      <c r="AL434">
        <v>0</v>
      </c>
      <c r="AM434">
        <v>0</v>
      </c>
      <c r="AN434">
        <v>0</v>
      </c>
      <c r="AO434">
        <v>0</v>
      </c>
      <c r="AP434">
        <v>0</v>
      </c>
      <c r="AQ434">
        <v>1</v>
      </c>
      <c r="AR434">
        <v>0</v>
      </c>
      <c r="AS434">
        <v>0</v>
      </c>
      <c r="AT434">
        <v>0</v>
      </c>
      <c r="AU434">
        <f t="shared" si="12"/>
        <v>1</v>
      </c>
      <c r="AV434">
        <f t="shared" si="13"/>
        <v>0</v>
      </c>
    </row>
    <row r="435" spans="1:48" x14ac:dyDescent="0.25">
      <c r="A435" t="s">
        <v>3429</v>
      </c>
      <c r="C435" t="s">
        <v>3430</v>
      </c>
      <c r="D435" t="s">
        <v>3431</v>
      </c>
      <c r="E435" t="s">
        <v>1663</v>
      </c>
      <c r="F435">
        <v>4</v>
      </c>
      <c r="G435">
        <v>4.3</v>
      </c>
      <c r="H435" t="s">
        <v>2327</v>
      </c>
      <c r="I435" s="21">
        <v>37694</v>
      </c>
      <c r="J435">
        <v>2003</v>
      </c>
      <c r="K435" s="21">
        <v>37725</v>
      </c>
      <c r="L435">
        <v>2003</v>
      </c>
      <c r="M435" s="21">
        <v>37878</v>
      </c>
      <c r="N435">
        <v>2003</v>
      </c>
      <c r="Q435" s="262">
        <v>0</v>
      </c>
      <c r="S435" t="s">
        <v>114</v>
      </c>
      <c r="T435" t="s">
        <v>114</v>
      </c>
      <c r="W435">
        <v>1554</v>
      </c>
      <c r="X435">
        <v>0</v>
      </c>
      <c r="Y435">
        <v>0</v>
      </c>
      <c r="Z435">
        <v>0</v>
      </c>
      <c r="AA435">
        <v>0</v>
      </c>
      <c r="AB435">
        <v>0</v>
      </c>
      <c r="AC435">
        <v>0</v>
      </c>
      <c r="AD435">
        <v>0</v>
      </c>
      <c r="AE435">
        <v>0</v>
      </c>
      <c r="AF435">
        <v>0</v>
      </c>
      <c r="AG435">
        <v>0</v>
      </c>
      <c r="AH435">
        <v>0</v>
      </c>
      <c r="AI435">
        <v>0</v>
      </c>
      <c r="AJ435">
        <v>1554</v>
      </c>
      <c r="AK435">
        <v>0</v>
      </c>
      <c r="AL435">
        <v>0</v>
      </c>
      <c r="AM435">
        <v>0</v>
      </c>
      <c r="AN435">
        <v>0</v>
      </c>
      <c r="AO435">
        <v>0</v>
      </c>
      <c r="AP435">
        <v>0</v>
      </c>
      <c r="AQ435">
        <v>0</v>
      </c>
      <c r="AR435">
        <v>0</v>
      </c>
      <c r="AS435">
        <v>0</v>
      </c>
      <c r="AT435">
        <v>0</v>
      </c>
      <c r="AU435">
        <f t="shared" si="12"/>
        <v>0</v>
      </c>
      <c r="AV435">
        <f t="shared" si="13"/>
        <v>1554</v>
      </c>
    </row>
    <row r="436" spans="1:48" x14ac:dyDescent="0.25">
      <c r="A436" t="s">
        <v>3432</v>
      </c>
      <c r="C436" t="s">
        <v>2847</v>
      </c>
      <c r="D436" t="s">
        <v>3433</v>
      </c>
      <c r="E436" t="s">
        <v>2310</v>
      </c>
      <c r="F436">
        <v>10</v>
      </c>
      <c r="G436">
        <v>10.1</v>
      </c>
      <c r="H436" t="s">
        <v>2323</v>
      </c>
      <c r="I436" s="21">
        <v>37697</v>
      </c>
      <c r="J436">
        <v>2003</v>
      </c>
      <c r="K436" s="21">
        <v>37720</v>
      </c>
      <c r="L436">
        <v>2003</v>
      </c>
      <c r="M436" s="21">
        <v>37876</v>
      </c>
      <c r="N436">
        <v>2003</v>
      </c>
      <c r="R436" s="262">
        <v>112000</v>
      </c>
      <c r="S436" t="s">
        <v>114</v>
      </c>
      <c r="T436" t="s">
        <v>114</v>
      </c>
      <c r="U436">
        <v>5</v>
      </c>
      <c r="W436">
        <v>1966</v>
      </c>
      <c r="X436">
        <v>1</v>
      </c>
      <c r="Y436">
        <v>0</v>
      </c>
      <c r="Z436">
        <v>0</v>
      </c>
      <c r="AA436">
        <v>0</v>
      </c>
      <c r="AB436">
        <v>0</v>
      </c>
      <c r="AC436">
        <v>1966</v>
      </c>
      <c r="AD436">
        <v>0</v>
      </c>
      <c r="AE436">
        <v>0</v>
      </c>
      <c r="AF436">
        <v>0</v>
      </c>
      <c r="AG436">
        <v>0</v>
      </c>
      <c r="AH436">
        <v>0</v>
      </c>
      <c r="AI436">
        <v>0</v>
      </c>
      <c r="AJ436">
        <v>0</v>
      </c>
      <c r="AK436">
        <v>0</v>
      </c>
      <c r="AL436">
        <v>0</v>
      </c>
      <c r="AM436">
        <v>0</v>
      </c>
      <c r="AN436">
        <v>0</v>
      </c>
      <c r="AO436">
        <v>1</v>
      </c>
      <c r="AP436">
        <v>0</v>
      </c>
      <c r="AQ436">
        <v>0</v>
      </c>
      <c r="AR436">
        <v>0</v>
      </c>
      <c r="AS436">
        <v>0</v>
      </c>
      <c r="AT436">
        <v>0</v>
      </c>
      <c r="AU436">
        <f t="shared" si="12"/>
        <v>1</v>
      </c>
      <c r="AV436">
        <f t="shared" si="13"/>
        <v>0</v>
      </c>
    </row>
    <row r="437" spans="1:48" x14ac:dyDescent="0.25">
      <c r="A437" t="s">
        <v>3434</v>
      </c>
      <c r="C437" t="s">
        <v>3216</v>
      </c>
      <c r="D437" t="s">
        <v>3435</v>
      </c>
      <c r="E437" t="s">
        <v>2310</v>
      </c>
      <c r="F437">
        <v>10</v>
      </c>
      <c r="G437">
        <v>10.1</v>
      </c>
      <c r="H437" t="s">
        <v>2323</v>
      </c>
      <c r="I437" s="21">
        <v>37697</v>
      </c>
      <c r="J437">
        <v>2003</v>
      </c>
      <c r="K437" s="21">
        <v>37713</v>
      </c>
      <c r="L437">
        <v>2003</v>
      </c>
      <c r="M437" s="21">
        <v>37894</v>
      </c>
      <c r="N437">
        <v>2003</v>
      </c>
      <c r="R437" s="262">
        <v>325000</v>
      </c>
      <c r="S437" t="s">
        <v>114</v>
      </c>
      <c r="T437" t="s">
        <v>114</v>
      </c>
      <c r="U437">
        <v>5</v>
      </c>
      <c r="W437">
        <v>3686</v>
      </c>
      <c r="X437">
        <v>1</v>
      </c>
      <c r="Y437">
        <v>0</v>
      </c>
      <c r="Z437">
        <v>0</v>
      </c>
      <c r="AA437">
        <v>0</v>
      </c>
      <c r="AB437">
        <v>0</v>
      </c>
      <c r="AC437">
        <v>3686</v>
      </c>
      <c r="AD437">
        <v>0</v>
      </c>
      <c r="AE437">
        <v>0</v>
      </c>
      <c r="AF437">
        <v>0</v>
      </c>
      <c r="AG437">
        <v>0</v>
      </c>
      <c r="AH437">
        <v>0</v>
      </c>
      <c r="AI437">
        <v>0</v>
      </c>
      <c r="AJ437">
        <v>0</v>
      </c>
      <c r="AK437">
        <v>0</v>
      </c>
      <c r="AL437">
        <v>0</v>
      </c>
      <c r="AM437">
        <v>0</v>
      </c>
      <c r="AN437">
        <v>0</v>
      </c>
      <c r="AO437">
        <v>1</v>
      </c>
      <c r="AP437">
        <v>0</v>
      </c>
      <c r="AQ437">
        <v>0</v>
      </c>
      <c r="AR437">
        <v>0</v>
      </c>
      <c r="AS437">
        <v>0</v>
      </c>
      <c r="AT437">
        <v>0</v>
      </c>
      <c r="AU437">
        <f t="shared" si="12"/>
        <v>1</v>
      </c>
      <c r="AV437">
        <f t="shared" si="13"/>
        <v>0</v>
      </c>
    </row>
    <row r="438" spans="1:48" x14ac:dyDescent="0.25">
      <c r="A438" t="s">
        <v>3436</v>
      </c>
      <c r="C438" t="s">
        <v>3216</v>
      </c>
      <c r="D438" t="s">
        <v>3437</v>
      </c>
      <c r="E438" t="s">
        <v>2310</v>
      </c>
      <c r="F438">
        <v>10</v>
      </c>
      <c r="G438">
        <v>10.1</v>
      </c>
      <c r="H438" t="s">
        <v>2323</v>
      </c>
      <c r="I438" s="21">
        <v>37698</v>
      </c>
      <c r="J438">
        <v>2003</v>
      </c>
      <c r="K438" s="21">
        <v>37721</v>
      </c>
      <c r="L438">
        <v>2003</v>
      </c>
      <c r="M438" s="21">
        <v>38111</v>
      </c>
      <c r="N438">
        <v>2004</v>
      </c>
      <c r="R438" s="262">
        <v>250000</v>
      </c>
      <c r="S438" t="s">
        <v>114</v>
      </c>
      <c r="T438" t="s">
        <v>114</v>
      </c>
      <c r="U438">
        <v>5</v>
      </c>
      <c r="W438">
        <v>2275</v>
      </c>
      <c r="X438">
        <v>1</v>
      </c>
      <c r="Y438">
        <v>0</v>
      </c>
      <c r="Z438">
        <v>0</v>
      </c>
      <c r="AA438">
        <v>0</v>
      </c>
      <c r="AB438">
        <v>0</v>
      </c>
      <c r="AC438">
        <v>2275</v>
      </c>
      <c r="AD438">
        <v>0</v>
      </c>
      <c r="AE438">
        <v>0</v>
      </c>
      <c r="AF438">
        <v>0</v>
      </c>
      <c r="AG438">
        <v>0</v>
      </c>
      <c r="AH438">
        <v>0</v>
      </c>
      <c r="AI438">
        <v>0</v>
      </c>
      <c r="AJ438">
        <v>0</v>
      </c>
      <c r="AK438">
        <v>0</v>
      </c>
      <c r="AL438">
        <v>0</v>
      </c>
      <c r="AM438">
        <v>0</v>
      </c>
      <c r="AN438">
        <v>0</v>
      </c>
      <c r="AO438">
        <v>1</v>
      </c>
      <c r="AP438">
        <v>0</v>
      </c>
      <c r="AQ438">
        <v>0</v>
      </c>
      <c r="AR438">
        <v>0</v>
      </c>
      <c r="AS438">
        <v>0</v>
      </c>
      <c r="AT438">
        <v>0</v>
      </c>
      <c r="AU438">
        <f t="shared" si="12"/>
        <v>1</v>
      </c>
      <c r="AV438">
        <f t="shared" si="13"/>
        <v>0</v>
      </c>
    </row>
    <row r="439" spans="1:48" x14ac:dyDescent="0.25">
      <c r="A439" t="s">
        <v>3441</v>
      </c>
      <c r="C439" t="s">
        <v>3442</v>
      </c>
      <c r="D439" t="s">
        <v>3443</v>
      </c>
      <c r="E439" t="s">
        <v>2310</v>
      </c>
      <c r="F439">
        <v>15</v>
      </c>
      <c r="G439">
        <v>15.4</v>
      </c>
      <c r="H439" t="s">
        <v>2323</v>
      </c>
      <c r="I439" s="21">
        <v>37699</v>
      </c>
      <c r="J439">
        <v>2003</v>
      </c>
      <c r="K439" s="21">
        <v>37721</v>
      </c>
      <c r="L439">
        <v>2003</v>
      </c>
      <c r="M439" s="21">
        <v>37890</v>
      </c>
      <c r="N439">
        <v>2003</v>
      </c>
      <c r="R439" s="262">
        <v>150000</v>
      </c>
      <c r="S439" t="s">
        <v>114</v>
      </c>
      <c r="T439" t="s">
        <v>114</v>
      </c>
      <c r="U439">
        <v>5</v>
      </c>
      <c r="W439">
        <v>2400</v>
      </c>
      <c r="X439">
        <v>1</v>
      </c>
      <c r="Y439">
        <v>0</v>
      </c>
      <c r="Z439">
        <v>0</v>
      </c>
      <c r="AA439">
        <v>0</v>
      </c>
      <c r="AB439">
        <v>0</v>
      </c>
      <c r="AC439">
        <v>2400</v>
      </c>
      <c r="AD439">
        <v>0</v>
      </c>
      <c r="AE439">
        <v>0</v>
      </c>
      <c r="AF439">
        <v>0</v>
      </c>
      <c r="AG439">
        <v>0</v>
      </c>
      <c r="AH439">
        <v>0</v>
      </c>
      <c r="AI439">
        <v>0</v>
      </c>
      <c r="AJ439">
        <v>0</v>
      </c>
      <c r="AK439">
        <v>0</v>
      </c>
      <c r="AL439">
        <v>0</v>
      </c>
      <c r="AM439">
        <v>0</v>
      </c>
      <c r="AN439">
        <v>0</v>
      </c>
      <c r="AO439">
        <v>1</v>
      </c>
      <c r="AP439">
        <v>0</v>
      </c>
      <c r="AQ439">
        <v>0</v>
      </c>
      <c r="AR439">
        <v>0</v>
      </c>
      <c r="AS439">
        <v>0</v>
      </c>
      <c r="AT439">
        <v>0</v>
      </c>
      <c r="AU439">
        <f t="shared" si="12"/>
        <v>1</v>
      </c>
      <c r="AV439">
        <f t="shared" si="13"/>
        <v>0</v>
      </c>
    </row>
    <row r="440" spans="1:48" x14ac:dyDescent="0.25">
      <c r="A440" t="s">
        <v>3438</v>
      </c>
      <c r="C440" t="s">
        <v>3439</v>
      </c>
      <c r="D440" t="s">
        <v>3440</v>
      </c>
      <c r="E440" t="s">
        <v>1663</v>
      </c>
      <c r="F440">
        <v>3</v>
      </c>
      <c r="G440">
        <v>3.2</v>
      </c>
      <c r="H440" t="s">
        <v>2327</v>
      </c>
      <c r="I440" s="21">
        <v>37699</v>
      </c>
      <c r="J440">
        <v>2003</v>
      </c>
      <c r="K440" s="21">
        <v>37730</v>
      </c>
      <c r="L440">
        <v>2003</v>
      </c>
      <c r="M440" s="21">
        <v>37883</v>
      </c>
      <c r="N440">
        <v>2003</v>
      </c>
      <c r="Q440" s="262">
        <v>49000</v>
      </c>
      <c r="S440" t="s">
        <v>114</v>
      </c>
      <c r="T440" t="s">
        <v>114</v>
      </c>
      <c r="W440">
        <v>384</v>
      </c>
      <c r="X440">
        <v>1</v>
      </c>
      <c r="Y440">
        <v>0</v>
      </c>
      <c r="Z440">
        <v>0</v>
      </c>
      <c r="AA440">
        <v>0</v>
      </c>
      <c r="AB440">
        <v>0</v>
      </c>
      <c r="AC440">
        <v>384</v>
      </c>
      <c r="AD440">
        <v>0</v>
      </c>
      <c r="AE440">
        <v>0</v>
      </c>
      <c r="AF440">
        <v>0</v>
      </c>
      <c r="AG440">
        <v>0</v>
      </c>
      <c r="AH440">
        <v>0</v>
      </c>
      <c r="AI440">
        <v>0</v>
      </c>
      <c r="AJ440">
        <v>0</v>
      </c>
      <c r="AK440">
        <v>0</v>
      </c>
      <c r="AL440">
        <v>0</v>
      </c>
      <c r="AM440">
        <v>0</v>
      </c>
      <c r="AN440">
        <v>0</v>
      </c>
      <c r="AO440">
        <v>1</v>
      </c>
      <c r="AP440">
        <v>0</v>
      </c>
      <c r="AQ440">
        <v>0</v>
      </c>
      <c r="AR440">
        <v>0</v>
      </c>
      <c r="AS440">
        <v>0</v>
      </c>
      <c r="AT440">
        <v>0</v>
      </c>
      <c r="AU440">
        <f t="shared" si="12"/>
        <v>1</v>
      </c>
      <c r="AV440">
        <f t="shared" si="13"/>
        <v>0</v>
      </c>
    </row>
    <row r="441" spans="1:48" x14ac:dyDescent="0.25">
      <c r="A441" t="s">
        <v>3444</v>
      </c>
      <c r="C441" t="s">
        <v>3445</v>
      </c>
      <c r="D441" t="s">
        <v>3446</v>
      </c>
      <c r="E441" t="s">
        <v>2310</v>
      </c>
      <c r="F441">
        <v>13</v>
      </c>
      <c r="G441">
        <v>13.3</v>
      </c>
      <c r="H441" t="s">
        <v>2017</v>
      </c>
      <c r="I441" s="21">
        <v>37700</v>
      </c>
      <c r="J441">
        <v>2003</v>
      </c>
      <c r="K441" s="21">
        <v>37718</v>
      </c>
      <c r="L441">
        <v>2003</v>
      </c>
      <c r="M441" s="21">
        <v>37718</v>
      </c>
      <c r="N441">
        <v>2003</v>
      </c>
      <c r="R441" s="262">
        <v>25000</v>
      </c>
      <c r="S441" t="s">
        <v>114</v>
      </c>
      <c r="T441" t="s">
        <v>114</v>
      </c>
      <c r="U441">
        <v>5</v>
      </c>
      <c r="W441">
        <v>0</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c r="AQ441">
        <v>0</v>
      </c>
      <c r="AR441">
        <v>0</v>
      </c>
      <c r="AS441">
        <v>0</v>
      </c>
      <c r="AT441">
        <v>0</v>
      </c>
      <c r="AU441">
        <f t="shared" si="12"/>
        <v>0</v>
      </c>
      <c r="AV441">
        <f t="shared" si="13"/>
        <v>0</v>
      </c>
    </row>
    <row r="442" spans="1:48" x14ac:dyDescent="0.25">
      <c r="A442" t="s">
        <v>3447</v>
      </c>
      <c r="C442" t="s">
        <v>3448</v>
      </c>
      <c r="D442" t="s">
        <v>3449</v>
      </c>
      <c r="E442" t="s">
        <v>2310</v>
      </c>
      <c r="F442">
        <v>10</v>
      </c>
      <c r="G442">
        <v>10.1</v>
      </c>
      <c r="H442" t="s">
        <v>2323</v>
      </c>
      <c r="I442" s="21">
        <v>37700</v>
      </c>
      <c r="J442">
        <v>2003</v>
      </c>
      <c r="K442" s="21">
        <v>37718</v>
      </c>
      <c r="L442">
        <v>2003</v>
      </c>
      <c r="M442" s="21">
        <v>37888</v>
      </c>
      <c r="N442">
        <v>2003</v>
      </c>
      <c r="R442" s="262">
        <v>112000</v>
      </c>
      <c r="S442" t="s">
        <v>114</v>
      </c>
      <c r="T442" t="s">
        <v>114</v>
      </c>
      <c r="U442">
        <v>5</v>
      </c>
      <c r="W442">
        <v>1968</v>
      </c>
      <c r="X442">
        <v>1</v>
      </c>
      <c r="Y442">
        <v>0</v>
      </c>
      <c r="Z442">
        <v>0</v>
      </c>
      <c r="AA442">
        <v>0</v>
      </c>
      <c r="AB442">
        <v>0</v>
      </c>
      <c r="AC442">
        <v>1968</v>
      </c>
      <c r="AD442">
        <v>0</v>
      </c>
      <c r="AE442">
        <v>0</v>
      </c>
      <c r="AF442">
        <v>0</v>
      </c>
      <c r="AG442">
        <v>0</v>
      </c>
      <c r="AH442">
        <v>0</v>
      </c>
      <c r="AI442">
        <v>0</v>
      </c>
      <c r="AJ442">
        <v>0</v>
      </c>
      <c r="AK442">
        <v>0</v>
      </c>
      <c r="AL442">
        <v>0</v>
      </c>
      <c r="AM442">
        <v>0</v>
      </c>
      <c r="AN442">
        <v>0</v>
      </c>
      <c r="AO442">
        <v>1</v>
      </c>
      <c r="AP442">
        <v>0</v>
      </c>
      <c r="AQ442">
        <v>0</v>
      </c>
      <c r="AR442">
        <v>0</v>
      </c>
      <c r="AS442">
        <v>0</v>
      </c>
      <c r="AT442">
        <v>0</v>
      </c>
      <c r="AU442">
        <f t="shared" si="12"/>
        <v>1</v>
      </c>
      <c r="AV442">
        <f t="shared" si="13"/>
        <v>0</v>
      </c>
    </row>
    <row r="443" spans="1:48" x14ac:dyDescent="0.25">
      <c r="A443" t="s">
        <v>3450</v>
      </c>
      <c r="C443" t="s">
        <v>3451</v>
      </c>
      <c r="D443" t="s">
        <v>3452</v>
      </c>
      <c r="E443" t="s">
        <v>2310</v>
      </c>
      <c r="F443">
        <v>9</v>
      </c>
      <c r="G443">
        <v>9.3000000000000007</v>
      </c>
      <c r="H443" t="s">
        <v>2323</v>
      </c>
      <c r="I443" s="21">
        <v>37700</v>
      </c>
      <c r="J443">
        <v>2003</v>
      </c>
      <c r="K443" s="21">
        <v>37726</v>
      </c>
      <c r="L443">
        <v>2003</v>
      </c>
      <c r="M443" s="21">
        <v>37726</v>
      </c>
      <c r="N443">
        <v>2003</v>
      </c>
      <c r="R443" s="262">
        <v>12000</v>
      </c>
      <c r="S443" t="s">
        <v>114</v>
      </c>
      <c r="T443" t="s">
        <v>114</v>
      </c>
      <c r="U443">
        <v>5</v>
      </c>
      <c r="W443">
        <v>0</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c r="AQ443">
        <v>0</v>
      </c>
      <c r="AR443">
        <v>0</v>
      </c>
      <c r="AS443">
        <v>0</v>
      </c>
      <c r="AT443">
        <v>0</v>
      </c>
      <c r="AU443">
        <f t="shared" si="12"/>
        <v>0</v>
      </c>
      <c r="AV443">
        <f t="shared" si="13"/>
        <v>0</v>
      </c>
    </row>
    <row r="444" spans="1:48" x14ac:dyDescent="0.25">
      <c r="A444" t="s">
        <v>3453</v>
      </c>
      <c r="C444" t="s">
        <v>3454</v>
      </c>
      <c r="D444" t="s">
        <v>3455</v>
      </c>
      <c r="E444" t="s">
        <v>2310</v>
      </c>
      <c r="F444">
        <v>15</v>
      </c>
      <c r="G444">
        <v>15.2</v>
      </c>
      <c r="H444" t="s">
        <v>2323</v>
      </c>
      <c r="I444" s="21">
        <v>37704</v>
      </c>
      <c r="J444">
        <v>2003</v>
      </c>
      <c r="K444" s="21">
        <v>37728</v>
      </c>
      <c r="L444">
        <v>2003</v>
      </c>
      <c r="M444" s="21">
        <v>37728</v>
      </c>
      <c r="N444">
        <v>2003</v>
      </c>
      <c r="R444" s="262">
        <v>85000</v>
      </c>
      <c r="S444" t="s">
        <v>114</v>
      </c>
      <c r="T444" t="s">
        <v>114</v>
      </c>
      <c r="U444">
        <v>5</v>
      </c>
      <c r="W444">
        <v>0</v>
      </c>
      <c r="X444">
        <v>0</v>
      </c>
      <c r="Y444">
        <v>0</v>
      </c>
      <c r="Z444">
        <v>0</v>
      </c>
      <c r="AA444">
        <v>0</v>
      </c>
      <c r="AB444">
        <v>0</v>
      </c>
      <c r="AC444">
        <v>0</v>
      </c>
      <c r="AD444">
        <v>0</v>
      </c>
      <c r="AE444">
        <v>0</v>
      </c>
      <c r="AF444">
        <v>0</v>
      </c>
      <c r="AG444">
        <v>0</v>
      </c>
      <c r="AH444">
        <v>0</v>
      </c>
      <c r="AI444">
        <v>0</v>
      </c>
      <c r="AJ444">
        <v>0</v>
      </c>
      <c r="AK444">
        <v>0</v>
      </c>
      <c r="AL444">
        <v>0</v>
      </c>
      <c r="AM444">
        <v>0</v>
      </c>
      <c r="AN444">
        <v>0</v>
      </c>
      <c r="AO444">
        <v>0</v>
      </c>
      <c r="AP444">
        <v>0</v>
      </c>
      <c r="AQ444">
        <v>0</v>
      </c>
      <c r="AR444">
        <v>0</v>
      </c>
      <c r="AS444">
        <v>0</v>
      </c>
      <c r="AT444">
        <v>0</v>
      </c>
      <c r="AU444">
        <f t="shared" si="12"/>
        <v>0</v>
      </c>
      <c r="AV444">
        <f t="shared" si="13"/>
        <v>0</v>
      </c>
    </row>
    <row r="445" spans="1:48" x14ac:dyDescent="0.25">
      <c r="A445" t="s">
        <v>3456</v>
      </c>
      <c r="C445" t="s">
        <v>3457</v>
      </c>
      <c r="D445" t="s">
        <v>3458</v>
      </c>
      <c r="E445" t="s">
        <v>2310</v>
      </c>
      <c r="F445">
        <v>10</v>
      </c>
      <c r="G445">
        <v>10.1</v>
      </c>
      <c r="H445" t="s">
        <v>2323</v>
      </c>
      <c r="I445" s="21">
        <v>37704</v>
      </c>
      <c r="J445">
        <v>2003</v>
      </c>
      <c r="K445" s="21">
        <v>37729</v>
      </c>
      <c r="L445">
        <v>2003</v>
      </c>
      <c r="M445" s="21">
        <v>37839</v>
      </c>
      <c r="N445">
        <v>2003</v>
      </c>
      <c r="R445" s="262">
        <v>150000</v>
      </c>
      <c r="S445" t="s">
        <v>114</v>
      </c>
      <c r="T445" t="s">
        <v>114</v>
      </c>
      <c r="U445">
        <v>5</v>
      </c>
      <c r="W445">
        <v>1800</v>
      </c>
      <c r="X445">
        <v>1</v>
      </c>
      <c r="Y445">
        <v>0</v>
      </c>
      <c r="Z445">
        <v>0</v>
      </c>
      <c r="AA445">
        <v>0</v>
      </c>
      <c r="AB445">
        <v>0</v>
      </c>
      <c r="AC445">
        <v>1800</v>
      </c>
      <c r="AD445">
        <v>0</v>
      </c>
      <c r="AE445">
        <v>0</v>
      </c>
      <c r="AF445">
        <v>0</v>
      </c>
      <c r="AG445">
        <v>0</v>
      </c>
      <c r="AH445">
        <v>0</v>
      </c>
      <c r="AI445">
        <v>0</v>
      </c>
      <c r="AJ445">
        <v>0</v>
      </c>
      <c r="AK445">
        <v>0</v>
      </c>
      <c r="AL445">
        <v>0</v>
      </c>
      <c r="AM445">
        <v>0</v>
      </c>
      <c r="AN445">
        <v>0</v>
      </c>
      <c r="AO445">
        <v>1</v>
      </c>
      <c r="AP445">
        <v>0</v>
      </c>
      <c r="AQ445">
        <v>0</v>
      </c>
      <c r="AR445">
        <v>0</v>
      </c>
      <c r="AS445">
        <v>0</v>
      </c>
      <c r="AT445">
        <v>0</v>
      </c>
      <c r="AU445">
        <f t="shared" si="12"/>
        <v>1</v>
      </c>
      <c r="AV445">
        <f t="shared" si="13"/>
        <v>0</v>
      </c>
    </row>
    <row r="446" spans="1:48" x14ac:dyDescent="0.25">
      <c r="A446" t="s">
        <v>3467</v>
      </c>
      <c r="C446" t="s">
        <v>2541</v>
      </c>
      <c r="D446" t="s">
        <v>3468</v>
      </c>
      <c r="E446" t="s">
        <v>2310</v>
      </c>
      <c r="F446">
        <v>12</v>
      </c>
      <c r="G446">
        <v>12.3</v>
      </c>
      <c r="H446" t="s">
        <v>2017</v>
      </c>
      <c r="I446" s="21">
        <v>37705</v>
      </c>
      <c r="J446">
        <v>2003</v>
      </c>
      <c r="K446" s="21">
        <v>37741</v>
      </c>
      <c r="L446">
        <v>2003</v>
      </c>
      <c r="M446" s="21">
        <v>37741</v>
      </c>
      <c r="N446">
        <v>2003</v>
      </c>
      <c r="R446" s="262">
        <v>600000</v>
      </c>
      <c r="S446" t="s">
        <v>114</v>
      </c>
      <c r="T446" t="s">
        <v>114</v>
      </c>
      <c r="U446">
        <v>5</v>
      </c>
      <c r="W446">
        <v>3020</v>
      </c>
      <c r="X446">
        <v>0</v>
      </c>
      <c r="Y446">
        <v>0</v>
      </c>
      <c r="Z446">
        <v>0</v>
      </c>
      <c r="AA446">
        <v>0</v>
      </c>
      <c r="AB446">
        <v>0</v>
      </c>
      <c r="AC446">
        <v>3020</v>
      </c>
      <c r="AD446">
        <v>0</v>
      </c>
      <c r="AE446">
        <v>0</v>
      </c>
      <c r="AF446">
        <v>0</v>
      </c>
      <c r="AG446">
        <v>0</v>
      </c>
      <c r="AH446">
        <v>0</v>
      </c>
      <c r="AI446">
        <v>0</v>
      </c>
      <c r="AJ446">
        <v>0</v>
      </c>
      <c r="AK446">
        <v>0</v>
      </c>
      <c r="AL446">
        <v>0</v>
      </c>
      <c r="AM446">
        <v>0</v>
      </c>
      <c r="AN446">
        <v>0</v>
      </c>
      <c r="AO446">
        <v>0</v>
      </c>
      <c r="AP446">
        <v>0</v>
      </c>
      <c r="AQ446">
        <v>0</v>
      </c>
      <c r="AR446">
        <v>0</v>
      </c>
      <c r="AS446">
        <v>0</v>
      </c>
      <c r="AT446">
        <v>0</v>
      </c>
      <c r="AU446">
        <f t="shared" si="12"/>
        <v>0</v>
      </c>
      <c r="AV446">
        <f t="shared" si="13"/>
        <v>0</v>
      </c>
    </row>
    <row r="447" spans="1:48" x14ac:dyDescent="0.25">
      <c r="A447" t="s">
        <v>3469</v>
      </c>
      <c r="C447" t="s">
        <v>3470</v>
      </c>
      <c r="D447" t="s">
        <v>3471</v>
      </c>
      <c r="E447" t="s">
        <v>2310</v>
      </c>
      <c r="F447">
        <v>7</v>
      </c>
      <c r="G447">
        <v>7.1</v>
      </c>
      <c r="H447" t="s">
        <v>2017</v>
      </c>
      <c r="I447" s="21">
        <v>37705</v>
      </c>
      <c r="J447">
        <v>2003</v>
      </c>
      <c r="K447" s="21">
        <v>37762</v>
      </c>
      <c r="L447">
        <v>2003</v>
      </c>
      <c r="M447" s="21">
        <v>37959</v>
      </c>
      <c r="N447">
        <v>2003</v>
      </c>
      <c r="R447" s="262">
        <v>1600000</v>
      </c>
      <c r="S447" t="s">
        <v>114</v>
      </c>
      <c r="T447" t="s">
        <v>114</v>
      </c>
      <c r="U447">
        <v>14</v>
      </c>
      <c r="W447">
        <v>17573</v>
      </c>
      <c r="X447">
        <v>0</v>
      </c>
      <c r="Y447">
        <v>0</v>
      </c>
      <c r="Z447">
        <v>0</v>
      </c>
      <c r="AA447">
        <v>0</v>
      </c>
      <c r="AB447">
        <v>0</v>
      </c>
      <c r="AC447">
        <v>0</v>
      </c>
      <c r="AD447">
        <v>0</v>
      </c>
      <c r="AE447">
        <v>0</v>
      </c>
      <c r="AF447">
        <v>0</v>
      </c>
      <c r="AG447">
        <v>0</v>
      </c>
      <c r="AH447">
        <v>0</v>
      </c>
      <c r="AI447">
        <v>0</v>
      </c>
      <c r="AJ447">
        <v>0</v>
      </c>
      <c r="AK447">
        <v>0</v>
      </c>
      <c r="AL447">
        <v>17573</v>
      </c>
      <c r="AM447">
        <v>0</v>
      </c>
      <c r="AN447">
        <v>0</v>
      </c>
      <c r="AO447">
        <v>0</v>
      </c>
      <c r="AP447">
        <v>0</v>
      </c>
      <c r="AQ447">
        <v>0</v>
      </c>
      <c r="AR447">
        <v>0</v>
      </c>
      <c r="AS447">
        <v>0</v>
      </c>
      <c r="AT447">
        <v>0</v>
      </c>
      <c r="AU447">
        <f t="shared" si="12"/>
        <v>0</v>
      </c>
      <c r="AV447">
        <f t="shared" si="13"/>
        <v>17573</v>
      </c>
    </row>
    <row r="448" spans="1:48" x14ac:dyDescent="0.25">
      <c r="A448" t="s">
        <v>3472</v>
      </c>
      <c r="C448" t="s">
        <v>3473</v>
      </c>
      <c r="D448" t="s">
        <v>3474</v>
      </c>
      <c r="E448" t="s">
        <v>2310</v>
      </c>
      <c r="F448">
        <v>8</v>
      </c>
      <c r="G448">
        <v>8.3000000000000007</v>
      </c>
      <c r="H448" t="s">
        <v>2323</v>
      </c>
      <c r="I448" s="21">
        <v>37705</v>
      </c>
      <c r="J448">
        <v>2003</v>
      </c>
      <c r="K448" s="21">
        <v>37741</v>
      </c>
      <c r="L448">
        <v>2003</v>
      </c>
      <c r="M448" s="21">
        <v>38553</v>
      </c>
      <c r="N448">
        <v>2005</v>
      </c>
      <c r="R448" s="262">
        <v>175000</v>
      </c>
      <c r="S448" t="s">
        <v>114</v>
      </c>
      <c r="T448" t="s">
        <v>114</v>
      </c>
      <c r="U448">
        <v>4</v>
      </c>
      <c r="W448">
        <v>1860</v>
      </c>
      <c r="X448">
        <v>0</v>
      </c>
      <c r="Y448">
        <v>0</v>
      </c>
      <c r="Z448">
        <v>0</v>
      </c>
      <c r="AA448">
        <v>0</v>
      </c>
      <c r="AB448">
        <v>1860</v>
      </c>
      <c r="AC448">
        <v>0</v>
      </c>
      <c r="AD448">
        <v>0</v>
      </c>
      <c r="AE448">
        <v>0</v>
      </c>
      <c r="AF448">
        <v>0</v>
      </c>
      <c r="AG448">
        <v>0</v>
      </c>
      <c r="AH448">
        <v>0</v>
      </c>
      <c r="AI448">
        <v>0</v>
      </c>
      <c r="AJ448">
        <v>0</v>
      </c>
      <c r="AK448">
        <v>0</v>
      </c>
      <c r="AL448">
        <v>0</v>
      </c>
      <c r="AM448">
        <v>0</v>
      </c>
      <c r="AN448">
        <v>0</v>
      </c>
      <c r="AO448">
        <v>0</v>
      </c>
      <c r="AP448">
        <v>0</v>
      </c>
      <c r="AQ448">
        <v>0</v>
      </c>
      <c r="AR448">
        <v>0</v>
      </c>
      <c r="AS448">
        <v>0</v>
      </c>
      <c r="AT448">
        <v>0</v>
      </c>
      <c r="AU448">
        <f t="shared" si="12"/>
        <v>0</v>
      </c>
      <c r="AV448">
        <f t="shared" si="13"/>
        <v>1860</v>
      </c>
    </row>
    <row r="449" spans="1:48" x14ac:dyDescent="0.25">
      <c r="A449" t="s">
        <v>3465</v>
      </c>
      <c r="C449" t="s">
        <v>2666</v>
      </c>
      <c r="D449" t="s">
        <v>3466</v>
      </c>
      <c r="E449" t="s">
        <v>1663</v>
      </c>
      <c r="F449">
        <v>6</v>
      </c>
      <c r="G449">
        <v>6.1</v>
      </c>
      <c r="H449" t="s">
        <v>2017</v>
      </c>
      <c r="I449" s="21">
        <v>37705</v>
      </c>
      <c r="J449">
        <v>2003</v>
      </c>
      <c r="K449" s="21">
        <v>37736</v>
      </c>
      <c r="L449">
        <v>2003</v>
      </c>
      <c r="M449" s="21">
        <v>37889</v>
      </c>
      <c r="N449">
        <v>2003</v>
      </c>
      <c r="Q449" s="262">
        <v>100000</v>
      </c>
      <c r="S449" t="s">
        <v>114</v>
      </c>
      <c r="T449" t="s">
        <v>114</v>
      </c>
      <c r="W449">
        <v>977</v>
      </c>
      <c r="X449">
        <v>1</v>
      </c>
      <c r="Y449">
        <v>0</v>
      </c>
      <c r="Z449">
        <v>0</v>
      </c>
      <c r="AA449">
        <v>0</v>
      </c>
      <c r="AB449">
        <v>0</v>
      </c>
      <c r="AC449">
        <v>977</v>
      </c>
      <c r="AD449">
        <v>0</v>
      </c>
      <c r="AE449">
        <v>0</v>
      </c>
      <c r="AF449">
        <v>0</v>
      </c>
      <c r="AG449">
        <v>0</v>
      </c>
      <c r="AH449">
        <v>0</v>
      </c>
      <c r="AI449">
        <v>0</v>
      </c>
      <c r="AJ449">
        <v>0</v>
      </c>
      <c r="AK449">
        <v>0</v>
      </c>
      <c r="AL449">
        <v>0</v>
      </c>
      <c r="AM449">
        <v>0</v>
      </c>
      <c r="AN449">
        <v>0</v>
      </c>
      <c r="AO449">
        <v>1</v>
      </c>
      <c r="AP449">
        <v>0</v>
      </c>
      <c r="AQ449">
        <v>0</v>
      </c>
      <c r="AR449">
        <v>0</v>
      </c>
      <c r="AS449">
        <v>0</v>
      </c>
      <c r="AT449">
        <v>0</v>
      </c>
      <c r="AU449">
        <f t="shared" si="12"/>
        <v>1</v>
      </c>
      <c r="AV449">
        <f t="shared" si="13"/>
        <v>0</v>
      </c>
    </row>
    <row r="450" spans="1:48" x14ac:dyDescent="0.25">
      <c r="A450" t="s">
        <v>3459</v>
      </c>
      <c r="C450" t="s">
        <v>3460</v>
      </c>
      <c r="D450" t="s">
        <v>3461</v>
      </c>
      <c r="E450" t="s">
        <v>1663</v>
      </c>
      <c r="F450">
        <v>2</v>
      </c>
      <c r="G450">
        <v>2.1</v>
      </c>
      <c r="H450" t="s">
        <v>2327</v>
      </c>
      <c r="I450" s="21">
        <v>37705</v>
      </c>
      <c r="J450">
        <v>2003</v>
      </c>
      <c r="K450" s="21">
        <v>37736</v>
      </c>
      <c r="L450">
        <v>2003</v>
      </c>
      <c r="M450" s="21">
        <v>37889</v>
      </c>
      <c r="N450">
        <v>2003</v>
      </c>
      <c r="Q450" s="262">
        <v>1300000</v>
      </c>
      <c r="S450" t="s">
        <v>114</v>
      </c>
      <c r="T450" t="s">
        <v>114</v>
      </c>
      <c r="W450">
        <v>12306</v>
      </c>
      <c r="X450">
        <v>8</v>
      </c>
      <c r="Y450">
        <v>0</v>
      </c>
      <c r="Z450">
        <v>0</v>
      </c>
      <c r="AA450">
        <v>0</v>
      </c>
      <c r="AB450">
        <v>0</v>
      </c>
      <c r="AC450">
        <v>0</v>
      </c>
      <c r="AD450">
        <v>0</v>
      </c>
      <c r="AE450">
        <v>0</v>
      </c>
      <c r="AF450">
        <v>0</v>
      </c>
      <c r="AG450">
        <v>0</v>
      </c>
      <c r="AH450">
        <v>0</v>
      </c>
      <c r="AI450">
        <v>12306</v>
      </c>
      <c r="AJ450">
        <v>0</v>
      </c>
      <c r="AK450">
        <v>0</v>
      </c>
      <c r="AL450">
        <v>0</v>
      </c>
      <c r="AM450">
        <v>0</v>
      </c>
      <c r="AN450">
        <v>0</v>
      </c>
      <c r="AO450">
        <v>0</v>
      </c>
      <c r="AP450">
        <v>0</v>
      </c>
      <c r="AQ450">
        <v>0</v>
      </c>
      <c r="AR450">
        <v>0</v>
      </c>
      <c r="AS450">
        <v>0</v>
      </c>
      <c r="AT450">
        <v>8</v>
      </c>
      <c r="AU450">
        <f t="shared" si="12"/>
        <v>0</v>
      </c>
      <c r="AV450">
        <f t="shared" si="13"/>
        <v>12306</v>
      </c>
    </row>
    <row r="451" spans="1:48" x14ac:dyDescent="0.25">
      <c r="A451" t="s">
        <v>3462</v>
      </c>
      <c r="C451" t="s">
        <v>3463</v>
      </c>
      <c r="D451" t="s">
        <v>3464</v>
      </c>
      <c r="E451" t="s">
        <v>1663</v>
      </c>
      <c r="F451">
        <v>2</v>
      </c>
      <c r="G451">
        <v>2.1</v>
      </c>
      <c r="H451" t="s">
        <v>2327</v>
      </c>
      <c r="I451" s="21">
        <v>37705</v>
      </c>
      <c r="J451">
        <v>2003</v>
      </c>
      <c r="K451" s="21">
        <v>37736</v>
      </c>
      <c r="L451">
        <v>2003</v>
      </c>
      <c r="M451" s="21">
        <v>37889</v>
      </c>
      <c r="N451">
        <v>2003</v>
      </c>
      <c r="Q451" s="262">
        <v>1300000</v>
      </c>
      <c r="S451" t="s">
        <v>114</v>
      </c>
      <c r="T451" t="s">
        <v>114</v>
      </c>
      <c r="W451">
        <v>12306</v>
      </c>
      <c r="X451">
        <v>8</v>
      </c>
      <c r="Y451">
        <v>0</v>
      </c>
      <c r="Z451">
        <v>0</v>
      </c>
      <c r="AA451">
        <v>0</v>
      </c>
      <c r="AB451">
        <v>0</v>
      </c>
      <c r="AC451">
        <v>0</v>
      </c>
      <c r="AD451">
        <v>0</v>
      </c>
      <c r="AE451">
        <v>0</v>
      </c>
      <c r="AF451">
        <v>0</v>
      </c>
      <c r="AG451">
        <v>0</v>
      </c>
      <c r="AH451">
        <v>0</v>
      </c>
      <c r="AI451">
        <v>12306</v>
      </c>
      <c r="AJ451">
        <v>0</v>
      </c>
      <c r="AK451">
        <v>0</v>
      </c>
      <c r="AL451">
        <v>0</v>
      </c>
      <c r="AM451">
        <v>0</v>
      </c>
      <c r="AN451">
        <v>0</v>
      </c>
      <c r="AO451">
        <v>0</v>
      </c>
      <c r="AP451">
        <v>0</v>
      </c>
      <c r="AQ451">
        <v>0</v>
      </c>
      <c r="AR451">
        <v>0</v>
      </c>
      <c r="AS451">
        <v>0</v>
      </c>
      <c r="AT451">
        <v>8</v>
      </c>
      <c r="AU451">
        <f t="shared" si="12"/>
        <v>0</v>
      </c>
      <c r="AV451">
        <f t="shared" si="13"/>
        <v>12306</v>
      </c>
    </row>
    <row r="452" spans="1:48" x14ac:dyDescent="0.25">
      <c r="A452" t="s">
        <v>3475</v>
      </c>
      <c r="C452" t="s">
        <v>3476</v>
      </c>
      <c r="D452" t="s">
        <v>3477</v>
      </c>
      <c r="E452" t="s">
        <v>2310</v>
      </c>
      <c r="F452">
        <v>9</v>
      </c>
      <c r="G452">
        <v>9.1999999999999993</v>
      </c>
      <c r="H452" t="s">
        <v>2022</v>
      </c>
      <c r="I452" s="21">
        <v>37706</v>
      </c>
      <c r="J452">
        <v>2003</v>
      </c>
      <c r="K452" s="21">
        <v>37827</v>
      </c>
      <c r="L452">
        <v>2003</v>
      </c>
      <c r="M452" s="21">
        <v>37827</v>
      </c>
      <c r="N452">
        <v>2003</v>
      </c>
      <c r="R452" s="262">
        <v>12000</v>
      </c>
      <c r="S452" t="s">
        <v>114</v>
      </c>
      <c r="T452" t="s">
        <v>114</v>
      </c>
      <c r="U452">
        <v>5</v>
      </c>
      <c r="W452">
        <v>448</v>
      </c>
      <c r="X452">
        <v>0</v>
      </c>
      <c r="Y452">
        <v>0</v>
      </c>
      <c r="Z452">
        <v>0</v>
      </c>
      <c r="AA452">
        <v>0</v>
      </c>
      <c r="AB452">
        <v>0</v>
      </c>
      <c r="AC452">
        <v>448</v>
      </c>
      <c r="AD452">
        <v>0</v>
      </c>
      <c r="AE452">
        <v>0</v>
      </c>
      <c r="AF452">
        <v>0</v>
      </c>
      <c r="AG452">
        <v>0</v>
      </c>
      <c r="AH452">
        <v>0</v>
      </c>
      <c r="AI452">
        <v>0</v>
      </c>
      <c r="AJ452">
        <v>0</v>
      </c>
      <c r="AK452">
        <v>0</v>
      </c>
      <c r="AL452">
        <v>0</v>
      </c>
      <c r="AM452">
        <v>0</v>
      </c>
      <c r="AN452">
        <v>0</v>
      </c>
      <c r="AO452">
        <v>0</v>
      </c>
      <c r="AP452">
        <v>0</v>
      </c>
      <c r="AQ452">
        <v>0</v>
      </c>
      <c r="AR452">
        <v>0</v>
      </c>
      <c r="AS452">
        <v>0</v>
      </c>
      <c r="AT452">
        <v>0</v>
      </c>
      <c r="AU452">
        <f t="shared" si="12"/>
        <v>0</v>
      </c>
      <c r="AV452">
        <f t="shared" si="13"/>
        <v>0</v>
      </c>
    </row>
    <row r="453" spans="1:48" x14ac:dyDescent="0.25">
      <c r="A453" t="s">
        <v>3478</v>
      </c>
      <c r="C453" t="s">
        <v>3479</v>
      </c>
      <c r="D453" t="s">
        <v>3480</v>
      </c>
      <c r="E453" t="s">
        <v>2310</v>
      </c>
      <c r="F453">
        <v>15</v>
      </c>
      <c r="G453">
        <v>15.4</v>
      </c>
      <c r="H453" t="s">
        <v>2323</v>
      </c>
      <c r="I453" s="21">
        <v>37706</v>
      </c>
      <c r="J453">
        <v>2003</v>
      </c>
      <c r="K453" s="21">
        <v>37726</v>
      </c>
      <c r="L453">
        <v>2003</v>
      </c>
      <c r="M453" s="21">
        <v>37726</v>
      </c>
      <c r="N453">
        <v>2003</v>
      </c>
      <c r="R453" s="262">
        <v>25000</v>
      </c>
      <c r="S453" t="s">
        <v>114</v>
      </c>
      <c r="T453" t="s">
        <v>114</v>
      </c>
      <c r="U453">
        <v>5</v>
      </c>
      <c r="W453">
        <v>288</v>
      </c>
      <c r="X453">
        <v>0</v>
      </c>
      <c r="Y453">
        <v>0</v>
      </c>
      <c r="Z453">
        <v>0</v>
      </c>
      <c r="AA453">
        <v>0</v>
      </c>
      <c r="AB453">
        <v>0</v>
      </c>
      <c r="AC453">
        <v>288</v>
      </c>
      <c r="AD453">
        <v>0</v>
      </c>
      <c r="AE453">
        <v>0</v>
      </c>
      <c r="AF453">
        <v>0</v>
      </c>
      <c r="AG453">
        <v>0</v>
      </c>
      <c r="AH453">
        <v>0</v>
      </c>
      <c r="AI453">
        <v>0</v>
      </c>
      <c r="AJ453">
        <v>0</v>
      </c>
      <c r="AK453">
        <v>0</v>
      </c>
      <c r="AL453">
        <v>0</v>
      </c>
      <c r="AM453">
        <v>0</v>
      </c>
      <c r="AN453">
        <v>0</v>
      </c>
      <c r="AO453">
        <v>0</v>
      </c>
      <c r="AP453">
        <v>0</v>
      </c>
      <c r="AQ453">
        <v>0</v>
      </c>
      <c r="AR453">
        <v>0</v>
      </c>
      <c r="AS453">
        <v>0</v>
      </c>
      <c r="AT453">
        <v>0</v>
      </c>
      <c r="AU453">
        <f t="shared" si="12"/>
        <v>0</v>
      </c>
      <c r="AV453">
        <f t="shared" si="13"/>
        <v>0</v>
      </c>
    </row>
    <row r="454" spans="1:48" x14ac:dyDescent="0.25">
      <c r="A454" t="s">
        <v>3481</v>
      </c>
      <c r="C454" t="s">
        <v>3482</v>
      </c>
      <c r="D454" t="s">
        <v>3243</v>
      </c>
      <c r="E454" t="s">
        <v>2310</v>
      </c>
      <c r="F454">
        <v>9</v>
      </c>
      <c r="G454">
        <v>9.1</v>
      </c>
      <c r="H454" t="s">
        <v>2323</v>
      </c>
      <c r="I454" s="21">
        <v>37706</v>
      </c>
      <c r="J454">
        <v>2003</v>
      </c>
      <c r="K454" s="21">
        <v>37726</v>
      </c>
      <c r="L454">
        <v>2003</v>
      </c>
      <c r="M454" s="21">
        <v>38897</v>
      </c>
      <c r="N454">
        <v>2006</v>
      </c>
      <c r="R454" s="262">
        <v>30000</v>
      </c>
      <c r="S454" t="s">
        <v>114</v>
      </c>
      <c r="T454" t="s">
        <v>114</v>
      </c>
      <c r="U454">
        <v>8</v>
      </c>
      <c r="W454">
        <v>0</v>
      </c>
      <c r="X454">
        <v>1</v>
      </c>
      <c r="Y454">
        <v>0</v>
      </c>
      <c r="Z454">
        <v>0</v>
      </c>
      <c r="AA454">
        <v>0</v>
      </c>
      <c r="AB454">
        <v>0</v>
      </c>
      <c r="AC454">
        <v>-864</v>
      </c>
      <c r="AD454">
        <v>0</v>
      </c>
      <c r="AE454">
        <v>0</v>
      </c>
      <c r="AF454">
        <v>864</v>
      </c>
      <c r="AG454">
        <v>0</v>
      </c>
      <c r="AH454">
        <v>0</v>
      </c>
      <c r="AI454">
        <v>0</v>
      </c>
      <c r="AJ454">
        <v>0</v>
      </c>
      <c r="AK454">
        <v>0</v>
      </c>
      <c r="AL454">
        <v>0</v>
      </c>
      <c r="AM454">
        <v>0</v>
      </c>
      <c r="AN454">
        <v>0</v>
      </c>
      <c r="AO454">
        <v>0</v>
      </c>
      <c r="AP454">
        <v>0</v>
      </c>
      <c r="AQ454">
        <v>0</v>
      </c>
      <c r="AR454">
        <v>1</v>
      </c>
      <c r="AS454">
        <v>0</v>
      </c>
      <c r="AT454">
        <v>0</v>
      </c>
      <c r="AU454">
        <f t="shared" si="12"/>
        <v>0</v>
      </c>
      <c r="AV454">
        <f t="shared" si="13"/>
        <v>0</v>
      </c>
    </row>
    <row r="455" spans="1:48" x14ac:dyDescent="0.25">
      <c r="A455" t="s">
        <v>3483</v>
      </c>
      <c r="C455" t="s">
        <v>3484</v>
      </c>
      <c r="D455" t="s">
        <v>3485</v>
      </c>
      <c r="E455" t="s">
        <v>2310</v>
      </c>
      <c r="F455">
        <v>13</v>
      </c>
      <c r="G455">
        <v>13.3</v>
      </c>
      <c r="H455" t="s">
        <v>2017</v>
      </c>
      <c r="I455" s="21">
        <v>37707</v>
      </c>
      <c r="J455">
        <v>2003</v>
      </c>
      <c r="K455" s="21">
        <v>37757</v>
      </c>
      <c r="L455">
        <v>2003</v>
      </c>
      <c r="M455" s="21">
        <v>38243</v>
      </c>
      <c r="N455">
        <v>2004</v>
      </c>
      <c r="R455" s="262">
        <v>700000</v>
      </c>
      <c r="S455" t="s">
        <v>114</v>
      </c>
      <c r="T455" t="s">
        <v>114</v>
      </c>
      <c r="U455">
        <v>17</v>
      </c>
      <c r="W455">
        <v>4408</v>
      </c>
      <c r="X455">
        <v>2</v>
      </c>
      <c r="Y455">
        <v>0</v>
      </c>
      <c r="Z455">
        <v>0</v>
      </c>
      <c r="AA455">
        <v>0</v>
      </c>
      <c r="AB455">
        <v>0</v>
      </c>
      <c r="AC455">
        <v>0</v>
      </c>
      <c r="AD455">
        <v>3620</v>
      </c>
      <c r="AE455">
        <v>0</v>
      </c>
      <c r="AF455">
        <v>788</v>
      </c>
      <c r="AG455">
        <v>0</v>
      </c>
      <c r="AH455">
        <v>0</v>
      </c>
      <c r="AI455">
        <v>0</v>
      </c>
      <c r="AJ455">
        <v>0</v>
      </c>
      <c r="AK455">
        <v>0</v>
      </c>
      <c r="AL455">
        <v>0</v>
      </c>
      <c r="AM455">
        <v>0</v>
      </c>
      <c r="AN455">
        <v>0</v>
      </c>
      <c r="AO455">
        <v>0</v>
      </c>
      <c r="AP455">
        <v>1</v>
      </c>
      <c r="AQ455">
        <v>0</v>
      </c>
      <c r="AR455">
        <v>1</v>
      </c>
      <c r="AS455">
        <v>0</v>
      </c>
      <c r="AT455">
        <v>0</v>
      </c>
      <c r="AU455">
        <f t="shared" si="12"/>
        <v>1</v>
      </c>
      <c r="AV455">
        <f t="shared" si="13"/>
        <v>0</v>
      </c>
    </row>
    <row r="456" spans="1:48" x14ac:dyDescent="0.25">
      <c r="A456" t="s">
        <v>3486</v>
      </c>
      <c r="C456" t="s">
        <v>3487</v>
      </c>
      <c r="D456" t="s">
        <v>3488</v>
      </c>
      <c r="E456" t="s">
        <v>2310</v>
      </c>
      <c r="F456">
        <v>9</v>
      </c>
      <c r="G456">
        <v>9.3000000000000007</v>
      </c>
      <c r="H456" t="s">
        <v>2323</v>
      </c>
      <c r="I456" s="21">
        <v>37707</v>
      </c>
      <c r="J456">
        <v>2003</v>
      </c>
      <c r="K456" s="21">
        <v>37768</v>
      </c>
      <c r="L456">
        <v>2003</v>
      </c>
      <c r="M456" s="21">
        <v>38348</v>
      </c>
      <c r="N456">
        <v>2004</v>
      </c>
      <c r="R456" s="262">
        <v>310000</v>
      </c>
      <c r="S456" t="s">
        <v>114</v>
      </c>
      <c r="T456" t="s">
        <v>114</v>
      </c>
      <c r="U456">
        <v>5</v>
      </c>
      <c r="W456">
        <v>4230</v>
      </c>
      <c r="X456">
        <v>1</v>
      </c>
      <c r="Y456">
        <v>0</v>
      </c>
      <c r="Z456">
        <v>0</v>
      </c>
      <c r="AA456">
        <v>0</v>
      </c>
      <c r="AB456">
        <v>0</v>
      </c>
      <c r="AC456">
        <v>4230</v>
      </c>
      <c r="AD456">
        <v>0</v>
      </c>
      <c r="AE456">
        <v>0</v>
      </c>
      <c r="AF456">
        <v>0</v>
      </c>
      <c r="AG456">
        <v>0</v>
      </c>
      <c r="AH456">
        <v>0</v>
      </c>
      <c r="AI456">
        <v>0</v>
      </c>
      <c r="AJ456">
        <v>0</v>
      </c>
      <c r="AK456">
        <v>0</v>
      </c>
      <c r="AL456">
        <v>0</v>
      </c>
      <c r="AM456">
        <v>0</v>
      </c>
      <c r="AN456">
        <v>0</v>
      </c>
      <c r="AO456">
        <v>1</v>
      </c>
      <c r="AP456">
        <v>0</v>
      </c>
      <c r="AQ456">
        <v>0</v>
      </c>
      <c r="AR456">
        <v>0</v>
      </c>
      <c r="AS456">
        <v>0</v>
      </c>
      <c r="AT456">
        <v>0</v>
      </c>
      <c r="AU456">
        <f t="shared" si="12"/>
        <v>1</v>
      </c>
      <c r="AV456">
        <f t="shared" si="13"/>
        <v>0</v>
      </c>
    </row>
    <row r="457" spans="1:48" x14ac:dyDescent="0.25">
      <c r="A457" t="s">
        <v>3489</v>
      </c>
      <c r="C457" t="s">
        <v>3490</v>
      </c>
      <c r="D457" t="s">
        <v>3491</v>
      </c>
      <c r="E457" t="s">
        <v>2310</v>
      </c>
      <c r="F457">
        <v>15</v>
      </c>
      <c r="G457">
        <v>15.3</v>
      </c>
      <c r="H457" t="s">
        <v>2022</v>
      </c>
      <c r="I457" s="21">
        <v>37707</v>
      </c>
      <c r="J457">
        <v>2003</v>
      </c>
      <c r="K457" s="21">
        <v>37728</v>
      </c>
      <c r="L457">
        <v>2003</v>
      </c>
      <c r="M457" s="21">
        <v>38566</v>
      </c>
      <c r="N457">
        <v>2005</v>
      </c>
      <c r="R457" s="262">
        <v>45000</v>
      </c>
      <c r="S457" t="s">
        <v>114</v>
      </c>
      <c r="T457" t="s">
        <v>114</v>
      </c>
      <c r="U457">
        <v>5</v>
      </c>
      <c r="W457">
        <v>444</v>
      </c>
      <c r="X457">
        <v>0</v>
      </c>
      <c r="Y457">
        <v>0</v>
      </c>
      <c r="Z457">
        <v>0</v>
      </c>
      <c r="AA457">
        <v>0</v>
      </c>
      <c r="AB457">
        <v>0</v>
      </c>
      <c r="AC457">
        <v>444</v>
      </c>
      <c r="AD457">
        <v>0</v>
      </c>
      <c r="AE457">
        <v>0</v>
      </c>
      <c r="AF457">
        <v>0</v>
      </c>
      <c r="AG457">
        <v>0</v>
      </c>
      <c r="AH457">
        <v>0</v>
      </c>
      <c r="AI457">
        <v>0</v>
      </c>
      <c r="AJ457">
        <v>0</v>
      </c>
      <c r="AK457">
        <v>0</v>
      </c>
      <c r="AL457">
        <v>0</v>
      </c>
      <c r="AM457">
        <v>0</v>
      </c>
      <c r="AN457">
        <v>0</v>
      </c>
      <c r="AO457">
        <v>0</v>
      </c>
      <c r="AP457">
        <v>0</v>
      </c>
      <c r="AQ457">
        <v>0</v>
      </c>
      <c r="AR457">
        <v>0</v>
      </c>
      <c r="AS457">
        <v>0</v>
      </c>
      <c r="AT457">
        <v>0</v>
      </c>
      <c r="AU457">
        <f t="shared" si="12"/>
        <v>0</v>
      </c>
      <c r="AV457">
        <f t="shared" si="13"/>
        <v>0</v>
      </c>
    </row>
    <row r="458" spans="1:48" x14ac:dyDescent="0.25">
      <c r="A458" t="s">
        <v>3492</v>
      </c>
      <c r="C458" t="s">
        <v>3493</v>
      </c>
      <c r="D458" t="s">
        <v>3494</v>
      </c>
      <c r="E458" t="s">
        <v>2310</v>
      </c>
      <c r="F458">
        <v>8</v>
      </c>
      <c r="G458">
        <v>8.1999999999999993</v>
      </c>
      <c r="H458" t="s">
        <v>2022</v>
      </c>
      <c r="I458" s="21">
        <v>37708</v>
      </c>
      <c r="J458">
        <v>2003</v>
      </c>
      <c r="K458" s="21">
        <v>37728</v>
      </c>
      <c r="L458">
        <v>2003</v>
      </c>
      <c r="M458" s="21">
        <v>37728</v>
      </c>
      <c r="N458">
        <v>2003</v>
      </c>
      <c r="R458" s="262">
        <v>65000</v>
      </c>
      <c r="S458" t="s">
        <v>114</v>
      </c>
      <c r="T458" t="s">
        <v>114</v>
      </c>
      <c r="U458">
        <v>5</v>
      </c>
      <c r="W458">
        <v>1311</v>
      </c>
      <c r="X458">
        <v>0</v>
      </c>
      <c r="Y458">
        <v>0</v>
      </c>
      <c r="Z458">
        <v>0</v>
      </c>
      <c r="AA458">
        <v>0</v>
      </c>
      <c r="AB458">
        <v>0</v>
      </c>
      <c r="AC458">
        <v>1311</v>
      </c>
      <c r="AD458">
        <v>0</v>
      </c>
      <c r="AE458">
        <v>0</v>
      </c>
      <c r="AF458">
        <v>0</v>
      </c>
      <c r="AG458">
        <v>0</v>
      </c>
      <c r="AH458">
        <v>0</v>
      </c>
      <c r="AI458">
        <v>0</v>
      </c>
      <c r="AJ458">
        <v>0</v>
      </c>
      <c r="AK458">
        <v>0</v>
      </c>
      <c r="AL458">
        <v>0</v>
      </c>
      <c r="AM458">
        <v>0</v>
      </c>
      <c r="AN458">
        <v>0</v>
      </c>
      <c r="AO458">
        <v>0</v>
      </c>
      <c r="AP458">
        <v>0</v>
      </c>
      <c r="AQ458">
        <v>0</v>
      </c>
      <c r="AR458">
        <v>0</v>
      </c>
      <c r="AS458">
        <v>0</v>
      </c>
      <c r="AT458">
        <v>0</v>
      </c>
      <c r="AU458">
        <f t="shared" si="12"/>
        <v>0</v>
      </c>
      <c r="AV458">
        <f t="shared" si="13"/>
        <v>0</v>
      </c>
    </row>
    <row r="459" spans="1:48" x14ac:dyDescent="0.25">
      <c r="A459" t="s">
        <v>3498</v>
      </c>
      <c r="C459" t="s">
        <v>3216</v>
      </c>
      <c r="D459" t="s">
        <v>3499</v>
      </c>
      <c r="E459" t="s">
        <v>2310</v>
      </c>
      <c r="F459">
        <v>9</v>
      </c>
      <c r="G459">
        <v>9.1999999999999993</v>
      </c>
      <c r="H459" t="s">
        <v>2022</v>
      </c>
      <c r="I459" s="21">
        <v>37711</v>
      </c>
      <c r="J459">
        <v>2003</v>
      </c>
      <c r="K459" s="21">
        <v>37781</v>
      </c>
      <c r="L459">
        <v>2003</v>
      </c>
      <c r="M459" s="21">
        <v>38237</v>
      </c>
      <c r="N459">
        <v>2004</v>
      </c>
      <c r="R459" s="262">
        <v>400000</v>
      </c>
      <c r="S459" t="s">
        <v>114</v>
      </c>
      <c r="T459" t="s">
        <v>114</v>
      </c>
      <c r="U459">
        <v>5</v>
      </c>
      <c r="W459">
        <v>4039</v>
      </c>
      <c r="X459">
        <v>1</v>
      </c>
      <c r="Y459">
        <v>0</v>
      </c>
      <c r="Z459">
        <v>0</v>
      </c>
      <c r="AA459">
        <v>0</v>
      </c>
      <c r="AB459">
        <v>0</v>
      </c>
      <c r="AC459">
        <v>4039</v>
      </c>
      <c r="AD459">
        <v>0</v>
      </c>
      <c r="AE459">
        <v>0</v>
      </c>
      <c r="AF459">
        <v>0</v>
      </c>
      <c r="AG459">
        <v>0</v>
      </c>
      <c r="AH459">
        <v>0</v>
      </c>
      <c r="AI459">
        <v>0</v>
      </c>
      <c r="AJ459">
        <v>0</v>
      </c>
      <c r="AK459">
        <v>0</v>
      </c>
      <c r="AL459">
        <v>0</v>
      </c>
      <c r="AM459">
        <v>0</v>
      </c>
      <c r="AN459">
        <v>0</v>
      </c>
      <c r="AO459">
        <v>1</v>
      </c>
      <c r="AP459">
        <v>0</v>
      </c>
      <c r="AQ459">
        <v>0</v>
      </c>
      <c r="AR459">
        <v>0</v>
      </c>
      <c r="AS459">
        <v>0</v>
      </c>
      <c r="AT459">
        <v>0</v>
      </c>
      <c r="AU459">
        <f t="shared" si="12"/>
        <v>1</v>
      </c>
      <c r="AV459">
        <f t="shared" si="13"/>
        <v>0</v>
      </c>
    </row>
    <row r="460" spans="1:48" x14ac:dyDescent="0.25">
      <c r="A460" t="s">
        <v>3500</v>
      </c>
      <c r="C460" t="s">
        <v>3501</v>
      </c>
      <c r="D460" t="s">
        <v>2744</v>
      </c>
      <c r="E460" t="s">
        <v>2310</v>
      </c>
      <c r="F460">
        <v>7</v>
      </c>
      <c r="G460">
        <v>7.2</v>
      </c>
      <c r="H460" t="s">
        <v>2017</v>
      </c>
      <c r="I460" s="21">
        <v>37711</v>
      </c>
      <c r="J460">
        <v>2003</v>
      </c>
      <c r="K460" s="21">
        <v>37728</v>
      </c>
      <c r="L460">
        <v>2003</v>
      </c>
      <c r="M460" s="21">
        <v>37728</v>
      </c>
      <c r="N460">
        <v>2003</v>
      </c>
      <c r="R460" s="262">
        <v>2500</v>
      </c>
      <c r="S460" t="s">
        <v>114</v>
      </c>
      <c r="T460" t="s">
        <v>114</v>
      </c>
      <c r="U460">
        <v>5</v>
      </c>
      <c r="W460">
        <v>0</v>
      </c>
      <c r="X460">
        <v>0</v>
      </c>
      <c r="Y460">
        <v>0</v>
      </c>
      <c r="Z460">
        <v>0</v>
      </c>
      <c r="AA460">
        <v>0</v>
      </c>
      <c r="AB460">
        <v>0</v>
      </c>
      <c r="AC460">
        <v>0</v>
      </c>
      <c r="AD460">
        <v>0</v>
      </c>
      <c r="AE460">
        <v>0</v>
      </c>
      <c r="AF460">
        <v>0</v>
      </c>
      <c r="AG460">
        <v>0</v>
      </c>
      <c r="AH460">
        <v>0</v>
      </c>
      <c r="AI460">
        <v>0</v>
      </c>
      <c r="AJ460">
        <v>0</v>
      </c>
      <c r="AK460">
        <v>0</v>
      </c>
      <c r="AL460">
        <v>0</v>
      </c>
      <c r="AM460">
        <v>0</v>
      </c>
      <c r="AN460">
        <v>0</v>
      </c>
      <c r="AO460">
        <v>0</v>
      </c>
      <c r="AP460">
        <v>0</v>
      </c>
      <c r="AQ460">
        <v>0</v>
      </c>
      <c r="AR460">
        <v>0</v>
      </c>
      <c r="AS460">
        <v>0</v>
      </c>
      <c r="AT460">
        <v>0</v>
      </c>
      <c r="AU460">
        <f t="shared" si="12"/>
        <v>0</v>
      </c>
      <c r="AV460">
        <f t="shared" si="13"/>
        <v>0</v>
      </c>
    </row>
    <row r="461" spans="1:48" x14ac:dyDescent="0.25">
      <c r="A461" t="s">
        <v>3495</v>
      </c>
      <c r="C461" t="s">
        <v>3496</v>
      </c>
      <c r="D461" t="s">
        <v>3497</v>
      </c>
      <c r="E461" t="s">
        <v>1663</v>
      </c>
      <c r="F461">
        <v>4</v>
      </c>
      <c r="G461">
        <v>4.0999999999999996</v>
      </c>
      <c r="H461" t="s">
        <v>2327</v>
      </c>
      <c r="I461" s="21">
        <v>37711</v>
      </c>
      <c r="J461">
        <v>2003</v>
      </c>
      <c r="K461" s="21">
        <v>37741</v>
      </c>
      <c r="L461">
        <v>2003</v>
      </c>
      <c r="M461" s="21">
        <v>37894</v>
      </c>
      <c r="N461">
        <v>2003</v>
      </c>
      <c r="Q461" s="262">
        <v>0</v>
      </c>
      <c r="S461" t="s">
        <v>114</v>
      </c>
      <c r="T461" t="s">
        <v>114</v>
      </c>
      <c r="W461">
        <v>5063</v>
      </c>
      <c r="X461">
        <v>0</v>
      </c>
      <c r="Y461">
        <v>0</v>
      </c>
      <c r="Z461">
        <v>0</v>
      </c>
      <c r="AA461">
        <v>0</v>
      </c>
      <c r="AB461">
        <v>0</v>
      </c>
      <c r="AC461">
        <v>0</v>
      </c>
      <c r="AD461">
        <v>0</v>
      </c>
      <c r="AE461">
        <v>0</v>
      </c>
      <c r="AF461">
        <v>0</v>
      </c>
      <c r="AG461">
        <v>0</v>
      </c>
      <c r="AH461">
        <v>5063</v>
      </c>
      <c r="AI461">
        <v>0</v>
      </c>
      <c r="AJ461">
        <v>0</v>
      </c>
      <c r="AK461">
        <v>0</v>
      </c>
      <c r="AL461">
        <v>0</v>
      </c>
      <c r="AM461">
        <v>0</v>
      </c>
      <c r="AN461">
        <v>0</v>
      </c>
      <c r="AO461">
        <v>0</v>
      </c>
      <c r="AP461">
        <v>0</v>
      </c>
      <c r="AQ461">
        <v>0</v>
      </c>
      <c r="AR461">
        <v>0</v>
      </c>
      <c r="AS461">
        <v>0</v>
      </c>
      <c r="AT461">
        <v>0</v>
      </c>
      <c r="AU461">
        <f t="shared" si="12"/>
        <v>0</v>
      </c>
      <c r="AV461">
        <f t="shared" si="13"/>
        <v>5063</v>
      </c>
    </row>
    <row r="462" spans="1:48" x14ac:dyDescent="0.25">
      <c r="A462" t="s">
        <v>3502</v>
      </c>
      <c r="C462" t="s">
        <v>3503</v>
      </c>
      <c r="D462" t="s">
        <v>3504</v>
      </c>
      <c r="E462" t="s">
        <v>2310</v>
      </c>
      <c r="F462">
        <v>8</v>
      </c>
      <c r="G462">
        <v>8.1</v>
      </c>
      <c r="H462" t="s">
        <v>2323</v>
      </c>
      <c r="I462" s="21">
        <v>37712</v>
      </c>
      <c r="J462">
        <v>2003</v>
      </c>
      <c r="K462" s="21">
        <v>37735</v>
      </c>
      <c r="L462">
        <v>2003</v>
      </c>
      <c r="M462" s="21">
        <v>37735</v>
      </c>
      <c r="N462">
        <v>2003</v>
      </c>
      <c r="R462" s="262">
        <v>160000</v>
      </c>
      <c r="S462" t="s">
        <v>114</v>
      </c>
      <c r="T462" t="s">
        <v>114</v>
      </c>
      <c r="U462">
        <v>5</v>
      </c>
      <c r="W462">
        <v>765</v>
      </c>
      <c r="X462">
        <v>0</v>
      </c>
      <c r="Y462">
        <v>0</v>
      </c>
      <c r="Z462">
        <v>0</v>
      </c>
      <c r="AA462">
        <v>0</v>
      </c>
      <c r="AB462">
        <v>0</v>
      </c>
      <c r="AC462">
        <v>765</v>
      </c>
      <c r="AD462">
        <v>0</v>
      </c>
      <c r="AE462">
        <v>0</v>
      </c>
      <c r="AF462">
        <v>0</v>
      </c>
      <c r="AG462">
        <v>0</v>
      </c>
      <c r="AH462">
        <v>0</v>
      </c>
      <c r="AI462">
        <v>0</v>
      </c>
      <c r="AJ462">
        <v>0</v>
      </c>
      <c r="AK462">
        <v>0</v>
      </c>
      <c r="AL462">
        <v>0</v>
      </c>
      <c r="AM462">
        <v>0</v>
      </c>
      <c r="AN462">
        <v>0</v>
      </c>
      <c r="AO462">
        <v>0</v>
      </c>
      <c r="AP462">
        <v>0</v>
      </c>
      <c r="AQ462">
        <v>0</v>
      </c>
      <c r="AR462">
        <v>0</v>
      </c>
      <c r="AS462">
        <v>0</v>
      </c>
      <c r="AT462">
        <v>0</v>
      </c>
      <c r="AU462">
        <f t="shared" si="12"/>
        <v>0</v>
      </c>
      <c r="AV462">
        <f t="shared" si="13"/>
        <v>0</v>
      </c>
    </row>
    <row r="463" spans="1:48" x14ac:dyDescent="0.25">
      <c r="A463" t="s">
        <v>3505</v>
      </c>
      <c r="C463" t="s">
        <v>3506</v>
      </c>
      <c r="D463" t="s">
        <v>3507</v>
      </c>
      <c r="E463" t="s">
        <v>2310</v>
      </c>
      <c r="F463">
        <v>10</v>
      </c>
      <c r="G463">
        <v>10.1</v>
      </c>
      <c r="H463" t="s">
        <v>2323</v>
      </c>
      <c r="I463" s="21">
        <v>37712</v>
      </c>
      <c r="J463">
        <v>2003</v>
      </c>
      <c r="K463" s="21">
        <v>37735</v>
      </c>
      <c r="L463">
        <v>2003</v>
      </c>
      <c r="M463" s="21">
        <v>38469</v>
      </c>
      <c r="N463">
        <v>2005</v>
      </c>
      <c r="R463" s="262">
        <v>90000</v>
      </c>
      <c r="S463" t="s">
        <v>114</v>
      </c>
      <c r="T463" t="s">
        <v>114</v>
      </c>
      <c r="U463">
        <v>5</v>
      </c>
      <c r="W463">
        <v>1216</v>
      </c>
      <c r="X463">
        <v>1</v>
      </c>
      <c r="Y463">
        <v>0</v>
      </c>
      <c r="Z463">
        <v>0</v>
      </c>
      <c r="AA463">
        <v>0</v>
      </c>
      <c r="AB463">
        <v>0</v>
      </c>
      <c r="AC463">
        <v>1216</v>
      </c>
      <c r="AD463">
        <v>0</v>
      </c>
      <c r="AE463">
        <v>0</v>
      </c>
      <c r="AF463">
        <v>0</v>
      </c>
      <c r="AG463">
        <v>0</v>
      </c>
      <c r="AH463">
        <v>0</v>
      </c>
      <c r="AI463">
        <v>0</v>
      </c>
      <c r="AJ463">
        <v>0</v>
      </c>
      <c r="AK463">
        <v>0</v>
      </c>
      <c r="AL463">
        <v>0</v>
      </c>
      <c r="AM463">
        <v>0</v>
      </c>
      <c r="AN463">
        <v>0</v>
      </c>
      <c r="AO463">
        <v>1</v>
      </c>
      <c r="AP463">
        <v>0</v>
      </c>
      <c r="AQ463">
        <v>0</v>
      </c>
      <c r="AR463">
        <v>0</v>
      </c>
      <c r="AS463">
        <v>0</v>
      </c>
      <c r="AT463">
        <v>0</v>
      </c>
      <c r="AU463">
        <f t="shared" si="12"/>
        <v>1</v>
      </c>
      <c r="AV463">
        <f t="shared" si="13"/>
        <v>0</v>
      </c>
    </row>
    <row r="464" spans="1:48" x14ac:dyDescent="0.25">
      <c r="A464" t="s">
        <v>3508</v>
      </c>
      <c r="C464" t="s">
        <v>3509</v>
      </c>
      <c r="D464" t="s">
        <v>3510</v>
      </c>
      <c r="E464" t="s">
        <v>2310</v>
      </c>
      <c r="F464">
        <v>10</v>
      </c>
      <c r="G464">
        <v>10.1</v>
      </c>
      <c r="H464" t="s">
        <v>2323</v>
      </c>
      <c r="I464" s="21">
        <v>37712</v>
      </c>
      <c r="J464">
        <v>2003</v>
      </c>
      <c r="K464" s="21">
        <v>37735</v>
      </c>
      <c r="L464">
        <v>2003</v>
      </c>
      <c r="M464" s="21">
        <v>38259</v>
      </c>
      <c r="N464">
        <v>2004</v>
      </c>
      <c r="R464" s="262">
        <v>100000</v>
      </c>
      <c r="S464" t="s">
        <v>114</v>
      </c>
      <c r="T464" t="s">
        <v>114</v>
      </c>
      <c r="U464">
        <v>5</v>
      </c>
      <c r="W464">
        <v>1458</v>
      </c>
      <c r="X464">
        <v>1</v>
      </c>
      <c r="Y464">
        <v>0</v>
      </c>
      <c r="Z464">
        <v>0</v>
      </c>
      <c r="AA464">
        <v>0</v>
      </c>
      <c r="AB464">
        <v>0</v>
      </c>
      <c r="AC464">
        <v>1458</v>
      </c>
      <c r="AD464">
        <v>0</v>
      </c>
      <c r="AE464">
        <v>0</v>
      </c>
      <c r="AF464">
        <v>0</v>
      </c>
      <c r="AG464">
        <v>0</v>
      </c>
      <c r="AH464">
        <v>0</v>
      </c>
      <c r="AI464">
        <v>0</v>
      </c>
      <c r="AJ464">
        <v>0</v>
      </c>
      <c r="AK464">
        <v>0</v>
      </c>
      <c r="AL464">
        <v>0</v>
      </c>
      <c r="AM464">
        <v>0</v>
      </c>
      <c r="AN464">
        <v>0</v>
      </c>
      <c r="AO464">
        <v>1</v>
      </c>
      <c r="AP464">
        <v>0</v>
      </c>
      <c r="AQ464">
        <v>0</v>
      </c>
      <c r="AR464">
        <v>0</v>
      </c>
      <c r="AS464">
        <v>0</v>
      </c>
      <c r="AT464">
        <v>0</v>
      </c>
      <c r="AU464">
        <f t="shared" si="12"/>
        <v>1</v>
      </c>
      <c r="AV464">
        <f t="shared" si="13"/>
        <v>0</v>
      </c>
    </row>
    <row r="465" spans="1:48" x14ac:dyDescent="0.25">
      <c r="A465" t="s">
        <v>3511</v>
      </c>
      <c r="C465" t="s">
        <v>3512</v>
      </c>
      <c r="D465" t="s">
        <v>3513</v>
      </c>
      <c r="E465" t="s">
        <v>2310</v>
      </c>
      <c r="F465">
        <v>12</v>
      </c>
      <c r="G465">
        <v>12.3</v>
      </c>
      <c r="H465" t="s">
        <v>2017</v>
      </c>
      <c r="I465" s="21">
        <v>37713</v>
      </c>
      <c r="J465">
        <v>2003</v>
      </c>
      <c r="K465" s="21">
        <v>37735</v>
      </c>
      <c r="L465">
        <v>2003</v>
      </c>
      <c r="M465" s="21">
        <v>37735</v>
      </c>
      <c r="N465">
        <v>2003</v>
      </c>
      <c r="R465" s="262">
        <v>120000</v>
      </c>
      <c r="S465" t="s">
        <v>114</v>
      </c>
      <c r="T465" t="s">
        <v>114</v>
      </c>
      <c r="U465">
        <v>5</v>
      </c>
      <c r="W465">
        <v>0</v>
      </c>
      <c r="X465">
        <v>0</v>
      </c>
      <c r="Y465">
        <v>0</v>
      </c>
      <c r="Z465">
        <v>0</v>
      </c>
      <c r="AA465">
        <v>0</v>
      </c>
      <c r="AB465">
        <v>0</v>
      </c>
      <c r="AC465">
        <v>0</v>
      </c>
      <c r="AD465">
        <v>0</v>
      </c>
      <c r="AE465">
        <v>0</v>
      </c>
      <c r="AF465">
        <v>0</v>
      </c>
      <c r="AG465">
        <v>0</v>
      </c>
      <c r="AH465">
        <v>0</v>
      </c>
      <c r="AI465">
        <v>0</v>
      </c>
      <c r="AJ465">
        <v>0</v>
      </c>
      <c r="AK465">
        <v>0</v>
      </c>
      <c r="AL465">
        <v>0</v>
      </c>
      <c r="AM465">
        <v>0</v>
      </c>
      <c r="AN465">
        <v>0</v>
      </c>
      <c r="AO465">
        <v>0</v>
      </c>
      <c r="AP465">
        <v>0</v>
      </c>
      <c r="AQ465">
        <v>0</v>
      </c>
      <c r="AR465">
        <v>0</v>
      </c>
      <c r="AS465">
        <v>0</v>
      </c>
      <c r="AT465">
        <v>0</v>
      </c>
      <c r="AU465">
        <f t="shared" si="12"/>
        <v>0</v>
      </c>
      <c r="AV465">
        <f t="shared" si="13"/>
        <v>0</v>
      </c>
    </row>
    <row r="466" spans="1:48" x14ac:dyDescent="0.25">
      <c r="A466" t="s">
        <v>3514</v>
      </c>
      <c r="C466" t="s">
        <v>3515</v>
      </c>
      <c r="D466" t="s">
        <v>3516</v>
      </c>
      <c r="E466" t="s">
        <v>2310</v>
      </c>
      <c r="F466">
        <v>9</v>
      </c>
      <c r="G466">
        <v>9.3000000000000007</v>
      </c>
      <c r="H466" t="s">
        <v>2323</v>
      </c>
      <c r="I466" s="21">
        <v>37714</v>
      </c>
      <c r="J466">
        <v>2003</v>
      </c>
      <c r="K466" s="21">
        <v>37736</v>
      </c>
      <c r="L466">
        <v>2003</v>
      </c>
      <c r="M466" s="21">
        <v>37960</v>
      </c>
      <c r="N466">
        <v>2003</v>
      </c>
      <c r="R466" s="262">
        <v>200000</v>
      </c>
      <c r="S466" t="s">
        <v>114</v>
      </c>
      <c r="T466" t="s">
        <v>114</v>
      </c>
      <c r="U466">
        <v>5</v>
      </c>
      <c r="W466">
        <v>2235</v>
      </c>
      <c r="X466">
        <v>0</v>
      </c>
      <c r="Y466">
        <v>0</v>
      </c>
      <c r="Z466">
        <v>0</v>
      </c>
      <c r="AA466">
        <v>0</v>
      </c>
      <c r="AB466">
        <v>0</v>
      </c>
      <c r="AC466">
        <v>2235</v>
      </c>
      <c r="AD466">
        <v>0</v>
      </c>
      <c r="AE466">
        <v>0</v>
      </c>
      <c r="AF466">
        <v>0</v>
      </c>
      <c r="AG466">
        <v>0</v>
      </c>
      <c r="AH466">
        <v>0</v>
      </c>
      <c r="AI466">
        <v>0</v>
      </c>
      <c r="AJ466">
        <v>0</v>
      </c>
      <c r="AK466">
        <v>0</v>
      </c>
      <c r="AL466">
        <v>0</v>
      </c>
      <c r="AM466">
        <v>0</v>
      </c>
      <c r="AN466">
        <v>0</v>
      </c>
      <c r="AO466">
        <v>0</v>
      </c>
      <c r="AP466">
        <v>0</v>
      </c>
      <c r="AQ466">
        <v>0</v>
      </c>
      <c r="AR466">
        <v>0</v>
      </c>
      <c r="AS466">
        <v>0</v>
      </c>
      <c r="AT466">
        <v>0</v>
      </c>
      <c r="AU466">
        <f t="shared" si="12"/>
        <v>0</v>
      </c>
      <c r="AV466">
        <f t="shared" si="13"/>
        <v>0</v>
      </c>
    </row>
    <row r="467" spans="1:48" x14ac:dyDescent="0.25">
      <c r="A467" t="s">
        <v>3517</v>
      </c>
      <c r="C467" t="s">
        <v>3518</v>
      </c>
      <c r="D467" t="s">
        <v>3519</v>
      </c>
      <c r="E467" t="s">
        <v>2310</v>
      </c>
      <c r="F467">
        <v>10</v>
      </c>
      <c r="G467">
        <v>10.1</v>
      </c>
      <c r="H467" t="s">
        <v>2323</v>
      </c>
      <c r="I467" s="21">
        <v>37715</v>
      </c>
      <c r="J467">
        <v>2003</v>
      </c>
      <c r="K467" s="21">
        <v>37736</v>
      </c>
      <c r="L467">
        <v>2003</v>
      </c>
      <c r="M467" s="21">
        <v>37858</v>
      </c>
      <c r="N467">
        <v>2003</v>
      </c>
      <c r="R467" s="262">
        <v>190000</v>
      </c>
      <c r="S467" t="s">
        <v>114</v>
      </c>
      <c r="T467" t="s">
        <v>114</v>
      </c>
      <c r="U467">
        <v>5</v>
      </c>
      <c r="W467">
        <v>2578</v>
      </c>
      <c r="X467">
        <v>1</v>
      </c>
      <c r="Y467">
        <v>0</v>
      </c>
      <c r="Z467">
        <v>0</v>
      </c>
      <c r="AA467">
        <v>0</v>
      </c>
      <c r="AB467">
        <v>0</v>
      </c>
      <c r="AC467">
        <v>2578</v>
      </c>
      <c r="AD467">
        <v>0</v>
      </c>
      <c r="AE467">
        <v>0</v>
      </c>
      <c r="AF467">
        <v>0</v>
      </c>
      <c r="AG467">
        <v>0</v>
      </c>
      <c r="AH467">
        <v>0</v>
      </c>
      <c r="AI467">
        <v>0</v>
      </c>
      <c r="AJ467">
        <v>0</v>
      </c>
      <c r="AK467">
        <v>0</v>
      </c>
      <c r="AL467">
        <v>0</v>
      </c>
      <c r="AM467">
        <v>0</v>
      </c>
      <c r="AN467">
        <v>0</v>
      </c>
      <c r="AO467">
        <v>1</v>
      </c>
      <c r="AP467">
        <v>0</v>
      </c>
      <c r="AQ467">
        <v>0</v>
      </c>
      <c r="AR467">
        <v>0</v>
      </c>
      <c r="AS467">
        <v>0</v>
      </c>
      <c r="AT467">
        <v>0</v>
      </c>
      <c r="AU467">
        <f t="shared" si="12"/>
        <v>1</v>
      </c>
      <c r="AV467">
        <f t="shared" si="13"/>
        <v>0</v>
      </c>
    </row>
    <row r="468" spans="1:48" x14ac:dyDescent="0.25">
      <c r="A468" t="s">
        <v>3520</v>
      </c>
      <c r="C468" t="s">
        <v>3521</v>
      </c>
      <c r="D468" t="s">
        <v>3522</v>
      </c>
      <c r="E468" t="s">
        <v>2310</v>
      </c>
      <c r="F468">
        <v>10</v>
      </c>
      <c r="G468">
        <v>10.1</v>
      </c>
      <c r="H468" t="s">
        <v>2323</v>
      </c>
      <c r="I468" s="21">
        <v>37718</v>
      </c>
      <c r="J468">
        <v>2003</v>
      </c>
      <c r="K468" s="21">
        <v>38182</v>
      </c>
      <c r="L468">
        <v>2004</v>
      </c>
      <c r="M468" s="21">
        <v>38182</v>
      </c>
      <c r="N468">
        <v>2004</v>
      </c>
      <c r="R468" s="262">
        <v>470000</v>
      </c>
      <c r="S468" t="s">
        <v>114</v>
      </c>
      <c r="T468" t="s">
        <v>114</v>
      </c>
      <c r="U468">
        <v>5</v>
      </c>
      <c r="W468">
        <v>6200</v>
      </c>
      <c r="X468">
        <v>1</v>
      </c>
      <c r="Y468">
        <v>0</v>
      </c>
      <c r="Z468">
        <v>0</v>
      </c>
      <c r="AA468">
        <v>0</v>
      </c>
      <c r="AB468">
        <v>0</v>
      </c>
      <c r="AC468">
        <v>6200</v>
      </c>
      <c r="AD468">
        <v>0</v>
      </c>
      <c r="AE468">
        <v>0</v>
      </c>
      <c r="AF468">
        <v>0</v>
      </c>
      <c r="AG468">
        <v>0</v>
      </c>
      <c r="AH468">
        <v>0</v>
      </c>
      <c r="AI468">
        <v>0</v>
      </c>
      <c r="AJ468">
        <v>0</v>
      </c>
      <c r="AK468">
        <v>0</v>
      </c>
      <c r="AL468">
        <v>0</v>
      </c>
      <c r="AM468">
        <v>0</v>
      </c>
      <c r="AN468">
        <v>0</v>
      </c>
      <c r="AO468">
        <v>1</v>
      </c>
      <c r="AP468">
        <v>0</v>
      </c>
      <c r="AQ468">
        <v>0</v>
      </c>
      <c r="AR468">
        <v>0</v>
      </c>
      <c r="AS468">
        <v>0</v>
      </c>
      <c r="AT468">
        <v>0</v>
      </c>
      <c r="AU468">
        <f t="shared" si="12"/>
        <v>1</v>
      </c>
      <c r="AV468">
        <f t="shared" si="13"/>
        <v>0</v>
      </c>
    </row>
    <row r="469" spans="1:48" x14ac:dyDescent="0.25">
      <c r="A469" t="s">
        <v>3523</v>
      </c>
      <c r="C469" t="s">
        <v>3524</v>
      </c>
      <c r="D469" t="s">
        <v>3525</v>
      </c>
      <c r="E469" t="s">
        <v>2310</v>
      </c>
      <c r="F469">
        <v>15</v>
      </c>
      <c r="G469">
        <v>15.1</v>
      </c>
      <c r="H469" t="s">
        <v>2022</v>
      </c>
      <c r="I469" s="21">
        <v>37719</v>
      </c>
      <c r="J469">
        <v>2003</v>
      </c>
      <c r="K469" s="21">
        <v>37740</v>
      </c>
      <c r="L469">
        <v>2003</v>
      </c>
      <c r="M469" s="21">
        <v>37965</v>
      </c>
      <c r="N469">
        <v>2003</v>
      </c>
      <c r="R469" s="262">
        <v>200000</v>
      </c>
      <c r="S469" t="s">
        <v>114</v>
      </c>
      <c r="T469" t="s">
        <v>114</v>
      </c>
      <c r="U469">
        <v>5</v>
      </c>
      <c r="W469">
        <v>1308</v>
      </c>
      <c r="X469">
        <v>0</v>
      </c>
      <c r="Y469">
        <v>0</v>
      </c>
      <c r="Z469">
        <v>0</v>
      </c>
      <c r="AA469">
        <v>0</v>
      </c>
      <c r="AB469">
        <v>0</v>
      </c>
      <c r="AC469">
        <v>1308</v>
      </c>
      <c r="AD469">
        <v>0</v>
      </c>
      <c r="AE469">
        <v>0</v>
      </c>
      <c r="AF469">
        <v>0</v>
      </c>
      <c r="AG469">
        <v>0</v>
      </c>
      <c r="AH469">
        <v>0</v>
      </c>
      <c r="AI469">
        <v>0</v>
      </c>
      <c r="AJ469">
        <v>0</v>
      </c>
      <c r="AK469">
        <v>0</v>
      </c>
      <c r="AL469">
        <v>0</v>
      </c>
      <c r="AM469">
        <v>0</v>
      </c>
      <c r="AN469">
        <v>0</v>
      </c>
      <c r="AO469">
        <v>0</v>
      </c>
      <c r="AP469">
        <v>0</v>
      </c>
      <c r="AQ469">
        <v>0</v>
      </c>
      <c r="AR469">
        <v>0</v>
      </c>
      <c r="AS469">
        <v>0</v>
      </c>
      <c r="AT469">
        <v>0</v>
      </c>
      <c r="AU469">
        <f t="shared" si="12"/>
        <v>0</v>
      </c>
      <c r="AV469">
        <f t="shared" si="13"/>
        <v>0</v>
      </c>
    </row>
    <row r="470" spans="1:48" x14ac:dyDescent="0.25">
      <c r="A470" t="s">
        <v>3526</v>
      </c>
      <c r="C470" t="s">
        <v>3527</v>
      </c>
      <c r="D470" t="s">
        <v>3528</v>
      </c>
      <c r="E470" t="s">
        <v>1663</v>
      </c>
      <c r="F470">
        <v>4</v>
      </c>
      <c r="G470">
        <v>4.0999999999999996</v>
      </c>
      <c r="H470" t="s">
        <v>2327</v>
      </c>
      <c r="I470" s="21">
        <v>37720</v>
      </c>
      <c r="J470">
        <v>2003</v>
      </c>
      <c r="K470" s="21">
        <v>37750</v>
      </c>
      <c r="L470">
        <v>2003</v>
      </c>
      <c r="M470" s="21">
        <v>37903</v>
      </c>
      <c r="N470">
        <v>2003</v>
      </c>
      <c r="Q470" s="262">
        <v>5000000</v>
      </c>
      <c r="S470" t="s">
        <v>114</v>
      </c>
      <c r="T470" t="s">
        <v>114</v>
      </c>
      <c r="W470">
        <v>22413</v>
      </c>
      <c r="X470">
        <v>0</v>
      </c>
      <c r="Y470">
        <v>0</v>
      </c>
      <c r="Z470">
        <v>0</v>
      </c>
      <c r="AA470">
        <v>0</v>
      </c>
      <c r="AB470">
        <v>0</v>
      </c>
      <c r="AC470">
        <v>0</v>
      </c>
      <c r="AD470">
        <v>0</v>
      </c>
      <c r="AE470">
        <v>0</v>
      </c>
      <c r="AF470">
        <v>0</v>
      </c>
      <c r="AG470">
        <v>0</v>
      </c>
      <c r="AH470">
        <v>0</v>
      </c>
      <c r="AI470">
        <v>0</v>
      </c>
      <c r="AJ470">
        <v>22413</v>
      </c>
      <c r="AK470">
        <v>0</v>
      </c>
      <c r="AL470">
        <v>0</v>
      </c>
      <c r="AM470">
        <v>0</v>
      </c>
      <c r="AN470">
        <v>0</v>
      </c>
      <c r="AO470">
        <v>0</v>
      </c>
      <c r="AP470">
        <v>0</v>
      </c>
      <c r="AQ470">
        <v>0</v>
      </c>
      <c r="AR470">
        <v>0</v>
      </c>
      <c r="AS470">
        <v>0</v>
      </c>
      <c r="AT470">
        <v>0</v>
      </c>
      <c r="AU470">
        <f t="shared" si="12"/>
        <v>0</v>
      </c>
      <c r="AV470">
        <f t="shared" si="13"/>
        <v>22413</v>
      </c>
    </row>
    <row r="471" spans="1:48" x14ac:dyDescent="0.25">
      <c r="A471" t="s">
        <v>3529</v>
      </c>
      <c r="C471" t="s">
        <v>3530</v>
      </c>
      <c r="D471" t="s">
        <v>3531</v>
      </c>
      <c r="E471" t="s">
        <v>2310</v>
      </c>
      <c r="F471">
        <v>9</v>
      </c>
      <c r="G471">
        <v>9.1</v>
      </c>
      <c r="H471" t="s">
        <v>2323</v>
      </c>
      <c r="I471" s="21">
        <v>37721</v>
      </c>
      <c r="J471">
        <v>2003</v>
      </c>
      <c r="K471" s="21">
        <v>37740</v>
      </c>
      <c r="L471">
        <v>2003</v>
      </c>
      <c r="M471" s="21">
        <v>37740</v>
      </c>
      <c r="N471">
        <v>2003</v>
      </c>
      <c r="R471" s="262">
        <v>106000</v>
      </c>
      <c r="S471" t="s">
        <v>114</v>
      </c>
      <c r="T471" t="s">
        <v>114</v>
      </c>
      <c r="U471">
        <v>5</v>
      </c>
      <c r="W471">
        <v>528</v>
      </c>
      <c r="X471">
        <v>0</v>
      </c>
      <c r="Y471">
        <v>0</v>
      </c>
      <c r="Z471">
        <v>0</v>
      </c>
      <c r="AA471">
        <v>0</v>
      </c>
      <c r="AB471">
        <v>0</v>
      </c>
      <c r="AC471">
        <v>528</v>
      </c>
      <c r="AD471">
        <v>0</v>
      </c>
      <c r="AE471">
        <v>0</v>
      </c>
      <c r="AF471">
        <v>0</v>
      </c>
      <c r="AG471">
        <v>0</v>
      </c>
      <c r="AH471">
        <v>0</v>
      </c>
      <c r="AI471">
        <v>0</v>
      </c>
      <c r="AJ471">
        <v>0</v>
      </c>
      <c r="AK471">
        <v>0</v>
      </c>
      <c r="AL471">
        <v>0</v>
      </c>
      <c r="AM471">
        <v>0</v>
      </c>
      <c r="AN471">
        <v>0</v>
      </c>
      <c r="AO471">
        <v>0</v>
      </c>
      <c r="AP471">
        <v>0</v>
      </c>
      <c r="AQ471">
        <v>0</v>
      </c>
      <c r="AR471">
        <v>0</v>
      </c>
      <c r="AS471">
        <v>0</v>
      </c>
      <c r="AT471">
        <v>0</v>
      </c>
      <c r="AU471">
        <f t="shared" si="12"/>
        <v>0</v>
      </c>
      <c r="AV471">
        <f t="shared" si="13"/>
        <v>0</v>
      </c>
    </row>
    <row r="472" spans="1:48" x14ac:dyDescent="0.25">
      <c r="A472" t="s">
        <v>3532</v>
      </c>
      <c r="C472" t="s">
        <v>3533</v>
      </c>
      <c r="D472" t="s">
        <v>3534</v>
      </c>
      <c r="E472" t="s">
        <v>2310</v>
      </c>
      <c r="F472">
        <v>8</v>
      </c>
      <c r="G472">
        <v>8.1</v>
      </c>
      <c r="H472" t="s">
        <v>2323</v>
      </c>
      <c r="I472" s="21">
        <v>37721</v>
      </c>
      <c r="J472">
        <v>2003</v>
      </c>
      <c r="K472" s="21">
        <v>37740</v>
      </c>
      <c r="L472">
        <v>2003</v>
      </c>
      <c r="M472" s="21">
        <v>37740</v>
      </c>
      <c r="N472">
        <v>2003</v>
      </c>
      <c r="R472" s="262">
        <v>175000</v>
      </c>
      <c r="S472" t="s">
        <v>114</v>
      </c>
      <c r="T472" t="s">
        <v>114</v>
      </c>
      <c r="U472">
        <v>5</v>
      </c>
      <c r="W472">
        <v>1200</v>
      </c>
      <c r="X472">
        <v>0</v>
      </c>
      <c r="Y472">
        <v>0</v>
      </c>
      <c r="Z472">
        <v>0</v>
      </c>
      <c r="AA472">
        <v>0</v>
      </c>
      <c r="AB472">
        <v>0</v>
      </c>
      <c r="AC472">
        <v>1200</v>
      </c>
      <c r="AD472">
        <v>0</v>
      </c>
      <c r="AE472">
        <v>0</v>
      </c>
      <c r="AF472">
        <v>0</v>
      </c>
      <c r="AG472">
        <v>0</v>
      </c>
      <c r="AH472">
        <v>0</v>
      </c>
      <c r="AI472">
        <v>0</v>
      </c>
      <c r="AJ472">
        <v>0</v>
      </c>
      <c r="AK472">
        <v>0</v>
      </c>
      <c r="AL472">
        <v>0</v>
      </c>
      <c r="AM472">
        <v>0</v>
      </c>
      <c r="AN472">
        <v>0</v>
      </c>
      <c r="AO472">
        <v>0</v>
      </c>
      <c r="AP472">
        <v>0</v>
      </c>
      <c r="AQ472">
        <v>0</v>
      </c>
      <c r="AR472">
        <v>0</v>
      </c>
      <c r="AS472">
        <v>0</v>
      </c>
      <c r="AT472">
        <v>0</v>
      </c>
      <c r="AU472">
        <f t="shared" si="12"/>
        <v>0</v>
      </c>
      <c r="AV472">
        <f t="shared" si="13"/>
        <v>0</v>
      </c>
    </row>
    <row r="473" spans="1:48" x14ac:dyDescent="0.25">
      <c r="A473" t="s">
        <v>3538</v>
      </c>
      <c r="C473" t="s">
        <v>3216</v>
      </c>
      <c r="D473" t="s">
        <v>3539</v>
      </c>
      <c r="E473" t="s">
        <v>2310</v>
      </c>
      <c r="F473">
        <v>10</v>
      </c>
      <c r="G473">
        <v>10.1</v>
      </c>
      <c r="H473" t="s">
        <v>2323</v>
      </c>
      <c r="I473" s="21">
        <v>37722</v>
      </c>
      <c r="J473">
        <v>2003</v>
      </c>
      <c r="K473" s="21">
        <v>37740</v>
      </c>
      <c r="L473">
        <v>2003</v>
      </c>
      <c r="M473" s="21">
        <v>37949</v>
      </c>
      <c r="N473">
        <v>2003</v>
      </c>
      <c r="R473" s="262">
        <v>100000</v>
      </c>
      <c r="S473" t="s">
        <v>114</v>
      </c>
      <c r="T473" t="s">
        <v>114</v>
      </c>
      <c r="U473">
        <v>5</v>
      </c>
      <c r="W473">
        <v>1940</v>
      </c>
      <c r="X473">
        <v>1</v>
      </c>
      <c r="Y473">
        <v>0</v>
      </c>
      <c r="Z473">
        <v>0</v>
      </c>
      <c r="AA473">
        <v>0</v>
      </c>
      <c r="AB473">
        <v>0</v>
      </c>
      <c r="AC473">
        <v>1940</v>
      </c>
      <c r="AD473">
        <v>0</v>
      </c>
      <c r="AE473">
        <v>0</v>
      </c>
      <c r="AF473">
        <v>0</v>
      </c>
      <c r="AG473">
        <v>0</v>
      </c>
      <c r="AH473">
        <v>0</v>
      </c>
      <c r="AI473">
        <v>0</v>
      </c>
      <c r="AJ473">
        <v>0</v>
      </c>
      <c r="AK473">
        <v>0</v>
      </c>
      <c r="AL473">
        <v>0</v>
      </c>
      <c r="AM473">
        <v>0</v>
      </c>
      <c r="AN473">
        <v>0</v>
      </c>
      <c r="AO473">
        <v>1</v>
      </c>
      <c r="AP473">
        <v>0</v>
      </c>
      <c r="AQ473">
        <v>0</v>
      </c>
      <c r="AR473">
        <v>0</v>
      </c>
      <c r="AS473">
        <v>0</v>
      </c>
      <c r="AT473">
        <v>0</v>
      </c>
      <c r="AU473">
        <f t="shared" ref="AU473:AU536" si="14">SUM(AN473:AQ473,AS473)</f>
        <v>1</v>
      </c>
      <c r="AV473">
        <f t="shared" ref="AV473:AV536" si="15">SUM(Y473:AB473,AH473:AM473)</f>
        <v>0</v>
      </c>
    </row>
    <row r="474" spans="1:48" x14ac:dyDescent="0.25">
      <c r="A474" t="s">
        <v>3535</v>
      </c>
      <c r="C474" t="s">
        <v>3536</v>
      </c>
      <c r="D474" t="s">
        <v>3537</v>
      </c>
      <c r="E474" t="s">
        <v>1663</v>
      </c>
      <c r="F474">
        <v>2</v>
      </c>
      <c r="G474">
        <v>2.6</v>
      </c>
      <c r="H474" t="s">
        <v>2327</v>
      </c>
      <c r="I474" s="21">
        <v>37722</v>
      </c>
      <c r="J474">
        <v>2003</v>
      </c>
      <c r="K474" s="21">
        <v>37752</v>
      </c>
      <c r="L474">
        <v>2003</v>
      </c>
      <c r="M474" s="21">
        <v>37905</v>
      </c>
      <c r="N474">
        <v>2003</v>
      </c>
      <c r="Q474" s="262">
        <v>0</v>
      </c>
      <c r="S474" t="s">
        <v>114</v>
      </c>
      <c r="T474" t="s">
        <v>114</v>
      </c>
      <c r="W474">
        <v>439</v>
      </c>
      <c r="X474">
        <v>0</v>
      </c>
      <c r="Y474">
        <v>0</v>
      </c>
      <c r="Z474">
        <v>0</v>
      </c>
      <c r="AA474">
        <v>0</v>
      </c>
      <c r="AB474">
        <v>0</v>
      </c>
      <c r="AC474">
        <v>439</v>
      </c>
      <c r="AD474">
        <v>0</v>
      </c>
      <c r="AE474">
        <v>0</v>
      </c>
      <c r="AF474">
        <v>0</v>
      </c>
      <c r="AG474">
        <v>0</v>
      </c>
      <c r="AH474">
        <v>0</v>
      </c>
      <c r="AI474">
        <v>0</v>
      </c>
      <c r="AJ474">
        <v>0</v>
      </c>
      <c r="AK474">
        <v>0</v>
      </c>
      <c r="AL474">
        <v>0</v>
      </c>
      <c r="AM474">
        <v>0</v>
      </c>
      <c r="AN474">
        <v>0</v>
      </c>
      <c r="AO474">
        <v>0</v>
      </c>
      <c r="AP474">
        <v>0</v>
      </c>
      <c r="AQ474">
        <v>0</v>
      </c>
      <c r="AR474">
        <v>0</v>
      </c>
      <c r="AS474">
        <v>0</v>
      </c>
      <c r="AT474">
        <v>0</v>
      </c>
      <c r="AU474">
        <f t="shared" si="14"/>
        <v>0</v>
      </c>
      <c r="AV474">
        <f t="shared" si="15"/>
        <v>0</v>
      </c>
    </row>
    <row r="475" spans="1:48" x14ac:dyDescent="0.25">
      <c r="A475" t="s">
        <v>3540</v>
      </c>
      <c r="C475" t="s">
        <v>3541</v>
      </c>
      <c r="D475" t="s">
        <v>3542</v>
      </c>
      <c r="E475" t="s">
        <v>2310</v>
      </c>
      <c r="F475">
        <v>13</v>
      </c>
      <c r="G475">
        <v>13.2</v>
      </c>
      <c r="H475" t="s">
        <v>2327</v>
      </c>
      <c r="I475" s="21">
        <v>37725</v>
      </c>
      <c r="J475">
        <v>2003</v>
      </c>
      <c r="K475" s="21">
        <v>37740</v>
      </c>
      <c r="L475">
        <v>2003</v>
      </c>
      <c r="M475" s="21">
        <v>37740</v>
      </c>
      <c r="N475">
        <v>2003</v>
      </c>
      <c r="R475" s="262">
        <v>65000</v>
      </c>
      <c r="S475" t="s">
        <v>114</v>
      </c>
      <c r="T475" t="s">
        <v>114</v>
      </c>
      <c r="U475">
        <v>5</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0</v>
      </c>
      <c r="AQ475">
        <v>0</v>
      </c>
      <c r="AR475">
        <v>0</v>
      </c>
      <c r="AS475">
        <v>0</v>
      </c>
      <c r="AT475">
        <v>0</v>
      </c>
      <c r="AU475">
        <f t="shared" si="14"/>
        <v>0</v>
      </c>
      <c r="AV475">
        <f t="shared" si="15"/>
        <v>0</v>
      </c>
    </row>
    <row r="476" spans="1:48" x14ac:dyDescent="0.25">
      <c r="A476" t="s">
        <v>3543</v>
      </c>
      <c r="C476" t="s">
        <v>2437</v>
      </c>
      <c r="D476" t="s">
        <v>3544</v>
      </c>
      <c r="E476" t="s">
        <v>2310</v>
      </c>
      <c r="F476">
        <v>8</v>
      </c>
      <c r="G476">
        <v>8.1999999999999993</v>
      </c>
      <c r="H476" t="s">
        <v>2022</v>
      </c>
      <c r="I476" s="21">
        <v>37725</v>
      </c>
      <c r="J476">
        <v>2003</v>
      </c>
      <c r="K476" s="21">
        <v>37740</v>
      </c>
      <c r="L476">
        <v>2003</v>
      </c>
      <c r="M476" s="21">
        <v>39748</v>
      </c>
      <c r="N476">
        <v>2008</v>
      </c>
      <c r="R476" s="262">
        <v>25000</v>
      </c>
      <c r="S476" t="s">
        <v>114</v>
      </c>
      <c r="T476" t="s">
        <v>114</v>
      </c>
      <c r="U476">
        <v>5</v>
      </c>
      <c r="W476">
        <v>2280</v>
      </c>
      <c r="X476">
        <v>0</v>
      </c>
      <c r="Y476">
        <v>0</v>
      </c>
      <c r="Z476">
        <v>0</v>
      </c>
      <c r="AA476">
        <v>0</v>
      </c>
      <c r="AB476">
        <v>0</v>
      </c>
      <c r="AC476">
        <v>2280</v>
      </c>
      <c r="AD476">
        <v>0</v>
      </c>
      <c r="AE476">
        <v>0</v>
      </c>
      <c r="AF476">
        <v>0</v>
      </c>
      <c r="AG476">
        <v>0</v>
      </c>
      <c r="AH476">
        <v>0</v>
      </c>
      <c r="AI476">
        <v>0</v>
      </c>
      <c r="AJ476">
        <v>0</v>
      </c>
      <c r="AK476">
        <v>0</v>
      </c>
      <c r="AL476">
        <v>0</v>
      </c>
      <c r="AM476">
        <v>0</v>
      </c>
      <c r="AN476">
        <v>0</v>
      </c>
      <c r="AO476">
        <v>0</v>
      </c>
      <c r="AP476">
        <v>0</v>
      </c>
      <c r="AQ476">
        <v>0</v>
      </c>
      <c r="AR476">
        <v>0</v>
      </c>
      <c r="AS476">
        <v>0</v>
      </c>
      <c r="AT476">
        <v>0</v>
      </c>
      <c r="AU476">
        <f t="shared" si="14"/>
        <v>0</v>
      </c>
      <c r="AV476">
        <f t="shared" si="15"/>
        <v>0</v>
      </c>
    </row>
    <row r="477" spans="1:48" x14ac:dyDescent="0.25">
      <c r="A477" t="s">
        <v>3545</v>
      </c>
      <c r="C477" t="s">
        <v>3546</v>
      </c>
      <c r="D477" t="s">
        <v>3547</v>
      </c>
      <c r="E477" t="s">
        <v>2310</v>
      </c>
      <c r="F477">
        <v>15</v>
      </c>
      <c r="G477">
        <v>15.2</v>
      </c>
      <c r="H477" t="s">
        <v>2323</v>
      </c>
      <c r="I477" s="21">
        <v>37726</v>
      </c>
      <c r="J477">
        <v>2003</v>
      </c>
      <c r="K477" s="21">
        <v>37741</v>
      </c>
      <c r="L477">
        <v>2003</v>
      </c>
      <c r="M477" s="21">
        <v>37741</v>
      </c>
      <c r="N477">
        <v>2003</v>
      </c>
      <c r="R477" s="262">
        <v>1100000</v>
      </c>
      <c r="S477" t="s">
        <v>114</v>
      </c>
      <c r="T477" t="s">
        <v>114</v>
      </c>
      <c r="U477">
        <v>5</v>
      </c>
      <c r="W477">
        <v>1510</v>
      </c>
      <c r="X477">
        <v>0</v>
      </c>
      <c r="Y477">
        <v>0</v>
      </c>
      <c r="Z477">
        <v>0</v>
      </c>
      <c r="AA477">
        <v>0</v>
      </c>
      <c r="AB477">
        <v>0</v>
      </c>
      <c r="AC477">
        <v>1510</v>
      </c>
      <c r="AD477">
        <v>0</v>
      </c>
      <c r="AE477">
        <v>0</v>
      </c>
      <c r="AF477">
        <v>0</v>
      </c>
      <c r="AG477">
        <v>0</v>
      </c>
      <c r="AH477">
        <v>0</v>
      </c>
      <c r="AI477">
        <v>0</v>
      </c>
      <c r="AJ477">
        <v>0</v>
      </c>
      <c r="AK477">
        <v>0</v>
      </c>
      <c r="AL477">
        <v>0</v>
      </c>
      <c r="AM477">
        <v>0</v>
      </c>
      <c r="AN477">
        <v>0</v>
      </c>
      <c r="AO477">
        <v>0</v>
      </c>
      <c r="AP477">
        <v>0</v>
      </c>
      <c r="AQ477">
        <v>0</v>
      </c>
      <c r="AR477">
        <v>0</v>
      </c>
      <c r="AS477">
        <v>0</v>
      </c>
      <c r="AT477">
        <v>0</v>
      </c>
      <c r="AU477">
        <f t="shared" si="14"/>
        <v>0</v>
      </c>
      <c r="AV477">
        <f t="shared" si="15"/>
        <v>0</v>
      </c>
    </row>
    <row r="478" spans="1:48" x14ac:dyDescent="0.25">
      <c r="A478" t="s">
        <v>3548</v>
      </c>
      <c r="C478" t="s">
        <v>3448</v>
      </c>
      <c r="D478" t="s">
        <v>3549</v>
      </c>
      <c r="E478" t="s">
        <v>2310</v>
      </c>
      <c r="F478">
        <v>10</v>
      </c>
      <c r="G478">
        <v>10.1</v>
      </c>
      <c r="H478" t="s">
        <v>2323</v>
      </c>
      <c r="I478" s="21">
        <v>37726</v>
      </c>
      <c r="J478">
        <v>2003</v>
      </c>
      <c r="K478" s="21">
        <v>37741</v>
      </c>
      <c r="L478">
        <v>2003</v>
      </c>
      <c r="M478" s="21">
        <v>37812</v>
      </c>
      <c r="N478">
        <v>2003</v>
      </c>
      <c r="R478" s="262">
        <v>150000</v>
      </c>
      <c r="S478" t="s">
        <v>114</v>
      </c>
      <c r="T478" t="s">
        <v>114</v>
      </c>
      <c r="U478">
        <v>5</v>
      </c>
      <c r="W478">
        <v>1540</v>
      </c>
      <c r="X478">
        <v>1</v>
      </c>
      <c r="Y478">
        <v>0</v>
      </c>
      <c r="Z478">
        <v>0</v>
      </c>
      <c r="AA478">
        <v>0</v>
      </c>
      <c r="AB478">
        <v>0</v>
      </c>
      <c r="AC478">
        <v>1540</v>
      </c>
      <c r="AD478">
        <v>0</v>
      </c>
      <c r="AE478">
        <v>0</v>
      </c>
      <c r="AF478">
        <v>0</v>
      </c>
      <c r="AG478">
        <v>0</v>
      </c>
      <c r="AH478">
        <v>0</v>
      </c>
      <c r="AI478">
        <v>0</v>
      </c>
      <c r="AJ478">
        <v>0</v>
      </c>
      <c r="AK478">
        <v>0</v>
      </c>
      <c r="AL478">
        <v>0</v>
      </c>
      <c r="AM478">
        <v>0</v>
      </c>
      <c r="AN478">
        <v>0</v>
      </c>
      <c r="AO478">
        <v>1</v>
      </c>
      <c r="AP478">
        <v>0</v>
      </c>
      <c r="AQ478">
        <v>0</v>
      </c>
      <c r="AR478">
        <v>0</v>
      </c>
      <c r="AS478">
        <v>0</v>
      </c>
      <c r="AT478">
        <v>0</v>
      </c>
      <c r="AU478">
        <f t="shared" si="14"/>
        <v>1</v>
      </c>
      <c r="AV478">
        <f t="shared" si="15"/>
        <v>0</v>
      </c>
    </row>
    <row r="479" spans="1:48" x14ac:dyDescent="0.25">
      <c r="A479" t="s">
        <v>3550</v>
      </c>
      <c r="C479" t="s">
        <v>3551</v>
      </c>
      <c r="D479" t="s">
        <v>3327</v>
      </c>
      <c r="E479" t="s">
        <v>2310</v>
      </c>
      <c r="F479">
        <v>9</v>
      </c>
      <c r="G479">
        <v>9.3000000000000007</v>
      </c>
      <c r="H479" t="s">
        <v>2323</v>
      </c>
      <c r="I479" s="21">
        <v>37726</v>
      </c>
      <c r="J479">
        <v>2003</v>
      </c>
      <c r="K479" s="21">
        <v>37736</v>
      </c>
      <c r="L479">
        <v>2003</v>
      </c>
      <c r="M479" s="21">
        <v>37736</v>
      </c>
      <c r="N479">
        <v>2003</v>
      </c>
      <c r="R479" s="262">
        <v>4000</v>
      </c>
      <c r="S479" t="s">
        <v>114</v>
      </c>
      <c r="T479" t="s">
        <v>114</v>
      </c>
      <c r="U479">
        <v>5</v>
      </c>
      <c r="W479">
        <v>160</v>
      </c>
      <c r="X479">
        <v>0</v>
      </c>
      <c r="Y479">
        <v>0</v>
      </c>
      <c r="Z479">
        <v>0</v>
      </c>
      <c r="AA479">
        <v>0</v>
      </c>
      <c r="AB479">
        <v>0</v>
      </c>
      <c r="AC479">
        <v>160</v>
      </c>
      <c r="AD479">
        <v>0</v>
      </c>
      <c r="AE479">
        <v>0</v>
      </c>
      <c r="AF479">
        <v>0</v>
      </c>
      <c r="AG479">
        <v>0</v>
      </c>
      <c r="AH479">
        <v>0</v>
      </c>
      <c r="AI479">
        <v>0</v>
      </c>
      <c r="AJ479">
        <v>0</v>
      </c>
      <c r="AK479">
        <v>0</v>
      </c>
      <c r="AL479">
        <v>0</v>
      </c>
      <c r="AM479">
        <v>0</v>
      </c>
      <c r="AN479">
        <v>0</v>
      </c>
      <c r="AO479">
        <v>0</v>
      </c>
      <c r="AP479">
        <v>0</v>
      </c>
      <c r="AQ479">
        <v>0</v>
      </c>
      <c r="AR479">
        <v>0</v>
      </c>
      <c r="AS479">
        <v>0</v>
      </c>
      <c r="AT479">
        <v>0</v>
      </c>
      <c r="AU479">
        <f t="shared" si="14"/>
        <v>0</v>
      </c>
      <c r="AV479">
        <f t="shared" si="15"/>
        <v>0</v>
      </c>
    </row>
    <row r="480" spans="1:48" x14ac:dyDescent="0.25">
      <c r="A480" t="s">
        <v>3552</v>
      </c>
      <c r="C480" t="s">
        <v>3553</v>
      </c>
      <c r="D480" t="s">
        <v>3554</v>
      </c>
      <c r="E480" t="s">
        <v>2310</v>
      </c>
      <c r="F480">
        <v>9</v>
      </c>
      <c r="G480">
        <v>9.3000000000000007</v>
      </c>
      <c r="H480" t="s">
        <v>2323</v>
      </c>
      <c r="I480" s="21">
        <v>37727</v>
      </c>
      <c r="J480">
        <v>2003</v>
      </c>
      <c r="K480" s="21">
        <v>37753</v>
      </c>
      <c r="L480">
        <v>2003</v>
      </c>
      <c r="M480" s="21">
        <v>37894</v>
      </c>
      <c r="N480">
        <v>2003</v>
      </c>
      <c r="R480" s="262">
        <v>156000</v>
      </c>
      <c r="S480" t="s">
        <v>114</v>
      </c>
      <c r="T480" t="s">
        <v>114</v>
      </c>
      <c r="U480">
        <v>8</v>
      </c>
      <c r="W480">
        <v>1560</v>
      </c>
      <c r="X480">
        <v>1</v>
      </c>
      <c r="Y480">
        <v>0</v>
      </c>
      <c r="Z480">
        <v>0</v>
      </c>
      <c r="AA480">
        <v>0</v>
      </c>
      <c r="AB480">
        <v>0</v>
      </c>
      <c r="AC480">
        <v>780</v>
      </c>
      <c r="AD480">
        <v>0</v>
      </c>
      <c r="AE480">
        <v>0</v>
      </c>
      <c r="AF480">
        <v>780</v>
      </c>
      <c r="AG480">
        <v>0</v>
      </c>
      <c r="AH480">
        <v>0</v>
      </c>
      <c r="AI480">
        <v>0</v>
      </c>
      <c r="AJ480">
        <v>0</v>
      </c>
      <c r="AK480">
        <v>0</v>
      </c>
      <c r="AL480">
        <v>0</v>
      </c>
      <c r="AM480">
        <v>0</v>
      </c>
      <c r="AN480">
        <v>0</v>
      </c>
      <c r="AO480">
        <v>0</v>
      </c>
      <c r="AP480">
        <v>0</v>
      </c>
      <c r="AQ480">
        <v>0</v>
      </c>
      <c r="AR480">
        <v>1</v>
      </c>
      <c r="AS480">
        <v>0</v>
      </c>
      <c r="AT480">
        <v>0</v>
      </c>
      <c r="AU480">
        <f t="shared" si="14"/>
        <v>0</v>
      </c>
      <c r="AV480">
        <f t="shared" si="15"/>
        <v>0</v>
      </c>
    </row>
    <row r="481" spans="1:48" x14ac:dyDescent="0.25">
      <c r="A481" t="s">
        <v>3555</v>
      </c>
      <c r="C481" t="s">
        <v>3556</v>
      </c>
      <c r="D481" t="s">
        <v>3557</v>
      </c>
      <c r="E481" t="s">
        <v>2310</v>
      </c>
      <c r="F481">
        <v>8</v>
      </c>
      <c r="G481">
        <v>8.3000000000000007</v>
      </c>
      <c r="H481" t="s">
        <v>2323</v>
      </c>
      <c r="I481" s="21">
        <v>37727</v>
      </c>
      <c r="J481">
        <v>2003</v>
      </c>
      <c r="K481" s="21">
        <v>37854</v>
      </c>
      <c r="L481">
        <v>2003</v>
      </c>
      <c r="M481" s="21">
        <v>40225.554259259297</v>
      </c>
      <c r="N481">
        <v>2010</v>
      </c>
      <c r="R481" s="262">
        <v>16000</v>
      </c>
      <c r="S481" t="s">
        <v>114</v>
      </c>
      <c r="T481" t="s">
        <v>114</v>
      </c>
      <c r="U481">
        <v>5</v>
      </c>
      <c r="W481">
        <v>900</v>
      </c>
      <c r="X481">
        <v>0</v>
      </c>
      <c r="Y481">
        <v>0</v>
      </c>
      <c r="Z481">
        <v>0</v>
      </c>
      <c r="AA481">
        <v>0</v>
      </c>
      <c r="AB481">
        <v>0</v>
      </c>
      <c r="AC481">
        <v>900</v>
      </c>
      <c r="AD481">
        <v>0</v>
      </c>
      <c r="AE481">
        <v>0</v>
      </c>
      <c r="AF481">
        <v>0</v>
      </c>
      <c r="AG481">
        <v>0</v>
      </c>
      <c r="AH481">
        <v>0</v>
      </c>
      <c r="AI481">
        <v>0</v>
      </c>
      <c r="AJ481">
        <v>0</v>
      </c>
      <c r="AK481">
        <v>0</v>
      </c>
      <c r="AL481">
        <v>0</v>
      </c>
      <c r="AM481">
        <v>0</v>
      </c>
      <c r="AN481">
        <v>0</v>
      </c>
      <c r="AO481">
        <v>0</v>
      </c>
      <c r="AP481">
        <v>0</v>
      </c>
      <c r="AQ481">
        <v>0</v>
      </c>
      <c r="AR481">
        <v>0</v>
      </c>
      <c r="AS481">
        <v>0</v>
      </c>
      <c r="AT481">
        <v>0</v>
      </c>
      <c r="AU481">
        <f t="shared" si="14"/>
        <v>0</v>
      </c>
      <c r="AV481">
        <f t="shared" si="15"/>
        <v>0</v>
      </c>
    </row>
    <row r="482" spans="1:48" x14ac:dyDescent="0.25">
      <c r="A482" t="s">
        <v>3558</v>
      </c>
      <c r="C482" t="s">
        <v>3559</v>
      </c>
      <c r="D482" t="s">
        <v>3560</v>
      </c>
      <c r="E482" t="s">
        <v>2310</v>
      </c>
      <c r="F482">
        <v>10</v>
      </c>
      <c r="G482">
        <v>10.1</v>
      </c>
      <c r="H482" t="s">
        <v>2323</v>
      </c>
      <c r="I482" s="21">
        <v>37727</v>
      </c>
      <c r="J482">
        <v>2003</v>
      </c>
      <c r="K482" s="21">
        <v>37756</v>
      </c>
      <c r="L482">
        <v>2003</v>
      </c>
      <c r="M482" s="21">
        <v>38061</v>
      </c>
      <c r="N482">
        <v>2004</v>
      </c>
      <c r="R482" s="262">
        <v>110000</v>
      </c>
      <c r="S482" t="s">
        <v>114</v>
      </c>
      <c r="T482" t="s">
        <v>114</v>
      </c>
      <c r="U482">
        <v>5</v>
      </c>
      <c r="W482">
        <v>1917</v>
      </c>
      <c r="X482">
        <v>1</v>
      </c>
      <c r="Y482">
        <v>0</v>
      </c>
      <c r="Z482">
        <v>0</v>
      </c>
      <c r="AA482">
        <v>0</v>
      </c>
      <c r="AB482">
        <v>0</v>
      </c>
      <c r="AC482">
        <v>1917</v>
      </c>
      <c r="AD482">
        <v>0</v>
      </c>
      <c r="AE482">
        <v>0</v>
      </c>
      <c r="AF482">
        <v>0</v>
      </c>
      <c r="AG482">
        <v>0</v>
      </c>
      <c r="AH482">
        <v>0</v>
      </c>
      <c r="AI482">
        <v>0</v>
      </c>
      <c r="AJ482">
        <v>0</v>
      </c>
      <c r="AK482">
        <v>0</v>
      </c>
      <c r="AL482">
        <v>0</v>
      </c>
      <c r="AM482">
        <v>0</v>
      </c>
      <c r="AN482">
        <v>0</v>
      </c>
      <c r="AO482">
        <v>1</v>
      </c>
      <c r="AP482">
        <v>0</v>
      </c>
      <c r="AQ482">
        <v>0</v>
      </c>
      <c r="AR482">
        <v>0</v>
      </c>
      <c r="AS482">
        <v>0</v>
      </c>
      <c r="AT482">
        <v>0</v>
      </c>
      <c r="AU482">
        <f t="shared" si="14"/>
        <v>1</v>
      </c>
      <c r="AV482">
        <f t="shared" si="15"/>
        <v>0</v>
      </c>
    </row>
    <row r="483" spans="1:48" x14ac:dyDescent="0.25">
      <c r="A483" t="s">
        <v>3561</v>
      </c>
      <c r="C483" t="s">
        <v>2486</v>
      </c>
      <c r="D483" t="s">
        <v>3562</v>
      </c>
      <c r="E483" t="s">
        <v>2310</v>
      </c>
      <c r="F483">
        <v>9</v>
      </c>
      <c r="G483">
        <v>9.1</v>
      </c>
      <c r="H483" t="s">
        <v>2323</v>
      </c>
      <c r="I483" s="21">
        <v>37727</v>
      </c>
      <c r="J483">
        <v>2003</v>
      </c>
      <c r="K483" s="21">
        <v>37756</v>
      </c>
      <c r="L483">
        <v>2003</v>
      </c>
      <c r="M483" s="21">
        <v>38439</v>
      </c>
      <c r="N483">
        <v>2005</v>
      </c>
      <c r="R483" s="262">
        <v>500000</v>
      </c>
      <c r="S483" t="s">
        <v>114</v>
      </c>
      <c r="T483" t="s">
        <v>114</v>
      </c>
      <c r="U483">
        <v>5</v>
      </c>
      <c r="W483">
        <v>4268</v>
      </c>
      <c r="X483">
        <v>1</v>
      </c>
      <c r="Y483">
        <v>0</v>
      </c>
      <c r="Z483">
        <v>0</v>
      </c>
      <c r="AA483">
        <v>0</v>
      </c>
      <c r="AB483">
        <v>0</v>
      </c>
      <c r="AC483">
        <v>4268</v>
      </c>
      <c r="AD483">
        <v>0</v>
      </c>
      <c r="AE483">
        <v>0</v>
      </c>
      <c r="AF483">
        <v>0</v>
      </c>
      <c r="AG483">
        <v>0</v>
      </c>
      <c r="AH483">
        <v>0</v>
      </c>
      <c r="AI483">
        <v>0</v>
      </c>
      <c r="AJ483">
        <v>0</v>
      </c>
      <c r="AK483">
        <v>0</v>
      </c>
      <c r="AL483">
        <v>0</v>
      </c>
      <c r="AM483">
        <v>0</v>
      </c>
      <c r="AN483">
        <v>0</v>
      </c>
      <c r="AO483">
        <v>1</v>
      </c>
      <c r="AP483">
        <v>0</v>
      </c>
      <c r="AQ483">
        <v>0</v>
      </c>
      <c r="AR483">
        <v>0</v>
      </c>
      <c r="AS483">
        <v>0</v>
      </c>
      <c r="AT483">
        <v>0</v>
      </c>
      <c r="AU483">
        <f t="shared" si="14"/>
        <v>1</v>
      </c>
      <c r="AV483">
        <f t="shared" si="15"/>
        <v>0</v>
      </c>
    </row>
    <row r="484" spans="1:48" x14ac:dyDescent="0.25">
      <c r="A484" t="s">
        <v>3563</v>
      </c>
      <c r="C484" t="s">
        <v>3564</v>
      </c>
      <c r="D484" t="s">
        <v>3565</v>
      </c>
      <c r="E484" t="s">
        <v>2310</v>
      </c>
      <c r="F484">
        <v>10</v>
      </c>
      <c r="G484">
        <v>10.1</v>
      </c>
      <c r="H484" t="s">
        <v>2323</v>
      </c>
      <c r="I484" s="21">
        <v>37728</v>
      </c>
      <c r="J484">
        <v>2003</v>
      </c>
      <c r="K484" s="21">
        <v>37757</v>
      </c>
      <c r="L484">
        <v>2003</v>
      </c>
      <c r="M484" s="21">
        <v>37967</v>
      </c>
      <c r="N484">
        <v>2003</v>
      </c>
      <c r="R484" s="262">
        <v>125000</v>
      </c>
      <c r="S484" t="s">
        <v>114</v>
      </c>
      <c r="T484" t="s">
        <v>114</v>
      </c>
      <c r="U484">
        <v>5</v>
      </c>
      <c r="W484">
        <v>2870</v>
      </c>
      <c r="X484">
        <v>1</v>
      </c>
      <c r="Y484">
        <v>0</v>
      </c>
      <c r="Z484">
        <v>0</v>
      </c>
      <c r="AA484">
        <v>0</v>
      </c>
      <c r="AB484">
        <v>0</v>
      </c>
      <c r="AC484">
        <v>2870</v>
      </c>
      <c r="AD484">
        <v>0</v>
      </c>
      <c r="AE484">
        <v>0</v>
      </c>
      <c r="AF484">
        <v>0</v>
      </c>
      <c r="AG484">
        <v>0</v>
      </c>
      <c r="AH484">
        <v>0</v>
      </c>
      <c r="AI484">
        <v>0</v>
      </c>
      <c r="AJ484">
        <v>0</v>
      </c>
      <c r="AK484">
        <v>0</v>
      </c>
      <c r="AL484">
        <v>0</v>
      </c>
      <c r="AM484">
        <v>0</v>
      </c>
      <c r="AN484">
        <v>0</v>
      </c>
      <c r="AO484">
        <v>1</v>
      </c>
      <c r="AP484">
        <v>0</v>
      </c>
      <c r="AQ484">
        <v>0</v>
      </c>
      <c r="AR484">
        <v>0</v>
      </c>
      <c r="AS484">
        <v>0</v>
      </c>
      <c r="AT484">
        <v>0</v>
      </c>
      <c r="AU484">
        <f t="shared" si="14"/>
        <v>1</v>
      </c>
      <c r="AV484">
        <f t="shared" si="15"/>
        <v>0</v>
      </c>
    </row>
    <row r="485" spans="1:48" x14ac:dyDescent="0.25">
      <c r="A485" t="s">
        <v>3566</v>
      </c>
      <c r="C485" t="s">
        <v>3567</v>
      </c>
      <c r="D485" t="s">
        <v>3568</v>
      </c>
      <c r="E485" t="s">
        <v>2310</v>
      </c>
      <c r="F485">
        <v>11</v>
      </c>
      <c r="G485">
        <v>11.2</v>
      </c>
      <c r="H485" t="s">
        <v>2017</v>
      </c>
      <c r="I485" s="21">
        <v>37728</v>
      </c>
      <c r="J485">
        <v>2003</v>
      </c>
      <c r="K485" s="21">
        <v>37756</v>
      </c>
      <c r="L485">
        <v>2003</v>
      </c>
      <c r="M485" s="21">
        <v>37956</v>
      </c>
      <c r="N485">
        <v>2003</v>
      </c>
      <c r="R485" s="262">
        <v>145000</v>
      </c>
      <c r="S485" t="s">
        <v>114</v>
      </c>
      <c r="T485" t="s">
        <v>114</v>
      </c>
      <c r="U485">
        <v>5</v>
      </c>
      <c r="W485">
        <v>1850</v>
      </c>
      <c r="X485">
        <v>1</v>
      </c>
      <c r="Y485">
        <v>0</v>
      </c>
      <c r="Z485">
        <v>0</v>
      </c>
      <c r="AA485">
        <v>0</v>
      </c>
      <c r="AB485">
        <v>0</v>
      </c>
      <c r="AC485">
        <v>1850</v>
      </c>
      <c r="AD485">
        <v>0</v>
      </c>
      <c r="AE485">
        <v>0</v>
      </c>
      <c r="AF485">
        <v>0</v>
      </c>
      <c r="AG485">
        <v>0</v>
      </c>
      <c r="AH485">
        <v>0</v>
      </c>
      <c r="AI485">
        <v>0</v>
      </c>
      <c r="AJ485">
        <v>0</v>
      </c>
      <c r="AK485">
        <v>0</v>
      </c>
      <c r="AL485">
        <v>0</v>
      </c>
      <c r="AM485">
        <v>0</v>
      </c>
      <c r="AN485">
        <v>0</v>
      </c>
      <c r="AO485">
        <v>1</v>
      </c>
      <c r="AP485">
        <v>0</v>
      </c>
      <c r="AQ485">
        <v>0</v>
      </c>
      <c r="AR485">
        <v>0</v>
      </c>
      <c r="AS485">
        <v>0</v>
      </c>
      <c r="AT485">
        <v>0</v>
      </c>
      <c r="AU485">
        <f t="shared" si="14"/>
        <v>1</v>
      </c>
      <c r="AV485">
        <f t="shared" si="15"/>
        <v>0</v>
      </c>
    </row>
    <row r="486" spans="1:48" x14ac:dyDescent="0.25">
      <c r="A486" t="s">
        <v>3569</v>
      </c>
      <c r="C486" t="s">
        <v>3570</v>
      </c>
      <c r="D486" t="s">
        <v>3571</v>
      </c>
      <c r="E486" t="s">
        <v>2310</v>
      </c>
      <c r="F486">
        <v>9</v>
      </c>
      <c r="G486">
        <v>9.1999999999999993</v>
      </c>
      <c r="H486" t="s">
        <v>2022</v>
      </c>
      <c r="I486" s="21">
        <v>37728</v>
      </c>
      <c r="J486">
        <v>2003</v>
      </c>
      <c r="K486" s="21">
        <v>37757</v>
      </c>
      <c r="L486">
        <v>2003</v>
      </c>
      <c r="M486" s="21">
        <v>37757</v>
      </c>
      <c r="N486">
        <v>2003</v>
      </c>
      <c r="R486" s="262">
        <v>1500000</v>
      </c>
      <c r="S486" t="s">
        <v>114</v>
      </c>
      <c r="T486" t="s">
        <v>114</v>
      </c>
      <c r="U486">
        <v>5</v>
      </c>
      <c r="W486">
        <v>3570</v>
      </c>
      <c r="X486">
        <v>0</v>
      </c>
      <c r="Y486">
        <v>0</v>
      </c>
      <c r="Z486">
        <v>0</v>
      </c>
      <c r="AA486">
        <v>0</v>
      </c>
      <c r="AB486">
        <v>0</v>
      </c>
      <c r="AC486">
        <v>3570</v>
      </c>
      <c r="AD486">
        <v>0</v>
      </c>
      <c r="AE486">
        <v>0</v>
      </c>
      <c r="AF486">
        <v>0</v>
      </c>
      <c r="AG486">
        <v>0</v>
      </c>
      <c r="AH486">
        <v>0</v>
      </c>
      <c r="AI486">
        <v>0</v>
      </c>
      <c r="AJ486">
        <v>0</v>
      </c>
      <c r="AK486">
        <v>0</v>
      </c>
      <c r="AL486">
        <v>0</v>
      </c>
      <c r="AM486">
        <v>0</v>
      </c>
      <c r="AN486">
        <v>0</v>
      </c>
      <c r="AO486">
        <v>0</v>
      </c>
      <c r="AP486">
        <v>0</v>
      </c>
      <c r="AQ486">
        <v>0</v>
      </c>
      <c r="AR486">
        <v>0</v>
      </c>
      <c r="AS486">
        <v>0</v>
      </c>
      <c r="AT486">
        <v>0</v>
      </c>
      <c r="AU486">
        <f t="shared" si="14"/>
        <v>0</v>
      </c>
      <c r="AV486">
        <f t="shared" si="15"/>
        <v>0</v>
      </c>
    </row>
    <row r="487" spans="1:48" x14ac:dyDescent="0.25">
      <c r="A487" t="s">
        <v>3572</v>
      </c>
      <c r="C487" t="s">
        <v>3573</v>
      </c>
      <c r="D487" t="s">
        <v>3571</v>
      </c>
      <c r="E487" t="s">
        <v>2310</v>
      </c>
      <c r="F487">
        <v>9</v>
      </c>
      <c r="G487">
        <v>9.1999999999999993</v>
      </c>
      <c r="H487" t="s">
        <v>2022</v>
      </c>
      <c r="I487" s="21">
        <v>37728</v>
      </c>
      <c r="J487">
        <v>2003</v>
      </c>
      <c r="K487" s="21">
        <v>37761</v>
      </c>
      <c r="L487">
        <v>2003</v>
      </c>
      <c r="M487" s="21">
        <v>38212</v>
      </c>
      <c r="N487">
        <v>2004</v>
      </c>
      <c r="R487" s="262">
        <v>300000</v>
      </c>
      <c r="S487" t="s">
        <v>114</v>
      </c>
      <c r="T487" t="s">
        <v>114</v>
      </c>
      <c r="U487">
        <v>8</v>
      </c>
      <c r="W487">
        <v>1495</v>
      </c>
      <c r="X487">
        <v>1</v>
      </c>
      <c r="Y487">
        <v>0</v>
      </c>
      <c r="Z487">
        <v>0</v>
      </c>
      <c r="AA487">
        <v>0</v>
      </c>
      <c r="AB487">
        <v>0</v>
      </c>
      <c r="AC487">
        <v>498</v>
      </c>
      <c r="AD487">
        <v>0</v>
      </c>
      <c r="AE487">
        <v>0</v>
      </c>
      <c r="AF487">
        <v>997</v>
      </c>
      <c r="AG487">
        <v>0</v>
      </c>
      <c r="AH487">
        <v>0</v>
      </c>
      <c r="AI487">
        <v>0</v>
      </c>
      <c r="AJ487">
        <v>0</v>
      </c>
      <c r="AK487">
        <v>0</v>
      </c>
      <c r="AL487">
        <v>0</v>
      </c>
      <c r="AM487">
        <v>0</v>
      </c>
      <c r="AN487">
        <v>0</v>
      </c>
      <c r="AO487">
        <v>0</v>
      </c>
      <c r="AP487">
        <v>0</v>
      </c>
      <c r="AQ487">
        <v>0</v>
      </c>
      <c r="AR487">
        <v>1</v>
      </c>
      <c r="AS487">
        <v>0</v>
      </c>
      <c r="AT487">
        <v>0</v>
      </c>
      <c r="AU487">
        <f t="shared" si="14"/>
        <v>0</v>
      </c>
      <c r="AV487">
        <f t="shared" si="15"/>
        <v>0</v>
      </c>
    </row>
    <row r="488" spans="1:48" x14ac:dyDescent="0.25">
      <c r="A488" t="s">
        <v>3574</v>
      </c>
      <c r="C488" t="s">
        <v>2541</v>
      </c>
      <c r="D488" t="s">
        <v>3575</v>
      </c>
      <c r="E488" t="s">
        <v>2310</v>
      </c>
      <c r="F488">
        <v>13</v>
      </c>
      <c r="G488">
        <v>13.3</v>
      </c>
      <c r="H488" t="s">
        <v>2017</v>
      </c>
      <c r="I488" s="21">
        <v>37729</v>
      </c>
      <c r="J488">
        <v>2003</v>
      </c>
      <c r="K488" s="21">
        <v>37781</v>
      </c>
      <c r="L488">
        <v>2003</v>
      </c>
      <c r="M488" s="21">
        <v>38482</v>
      </c>
      <c r="N488">
        <v>2005</v>
      </c>
      <c r="R488" s="262">
        <v>1800000</v>
      </c>
      <c r="S488" t="s">
        <v>114</v>
      </c>
      <c r="T488" t="s">
        <v>114</v>
      </c>
      <c r="U488">
        <v>5</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c r="AQ488">
        <v>0</v>
      </c>
      <c r="AR488">
        <v>0</v>
      </c>
      <c r="AS488">
        <v>0</v>
      </c>
      <c r="AT488">
        <v>0</v>
      </c>
      <c r="AU488">
        <f t="shared" si="14"/>
        <v>0</v>
      </c>
      <c r="AV488">
        <f t="shared" si="15"/>
        <v>0</v>
      </c>
    </row>
    <row r="489" spans="1:48" x14ac:dyDescent="0.25">
      <c r="A489" t="s">
        <v>3576</v>
      </c>
      <c r="C489" t="s">
        <v>2838</v>
      </c>
      <c r="D489" t="s">
        <v>3577</v>
      </c>
      <c r="E489" t="s">
        <v>2310</v>
      </c>
      <c r="F489">
        <v>10</v>
      </c>
      <c r="G489">
        <v>10.1</v>
      </c>
      <c r="H489" t="s">
        <v>2323</v>
      </c>
      <c r="I489" s="21">
        <v>37729</v>
      </c>
      <c r="J489">
        <v>2003</v>
      </c>
      <c r="K489" s="21">
        <v>37761</v>
      </c>
      <c r="L489">
        <v>2003</v>
      </c>
      <c r="M489" s="21">
        <v>37970</v>
      </c>
      <c r="N489">
        <v>2003</v>
      </c>
      <c r="R489" s="262">
        <v>365000</v>
      </c>
      <c r="S489" t="s">
        <v>114</v>
      </c>
      <c r="T489" t="s">
        <v>114</v>
      </c>
      <c r="U489">
        <v>5</v>
      </c>
      <c r="W489">
        <v>3639</v>
      </c>
      <c r="X489">
        <v>1</v>
      </c>
      <c r="Y489">
        <v>0</v>
      </c>
      <c r="Z489">
        <v>0</v>
      </c>
      <c r="AA489">
        <v>0</v>
      </c>
      <c r="AB489">
        <v>0</v>
      </c>
      <c r="AC489">
        <v>3639</v>
      </c>
      <c r="AD489">
        <v>0</v>
      </c>
      <c r="AE489">
        <v>0</v>
      </c>
      <c r="AF489">
        <v>0</v>
      </c>
      <c r="AG489">
        <v>0</v>
      </c>
      <c r="AH489">
        <v>0</v>
      </c>
      <c r="AI489">
        <v>0</v>
      </c>
      <c r="AJ489">
        <v>0</v>
      </c>
      <c r="AK489">
        <v>0</v>
      </c>
      <c r="AL489">
        <v>0</v>
      </c>
      <c r="AM489">
        <v>0</v>
      </c>
      <c r="AN489">
        <v>0</v>
      </c>
      <c r="AO489">
        <v>1</v>
      </c>
      <c r="AP489">
        <v>0</v>
      </c>
      <c r="AQ489">
        <v>0</v>
      </c>
      <c r="AR489">
        <v>0</v>
      </c>
      <c r="AS489">
        <v>0</v>
      </c>
      <c r="AT489">
        <v>0</v>
      </c>
      <c r="AU489">
        <f t="shared" si="14"/>
        <v>1</v>
      </c>
      <c r="AV489">
        <f t="shared" si="15"/>
        <v>0</v>
      </c>
    </row>
    <row r="490" spans="1:48" x14ac:dyDescent="0.25">
      <c r="A490" t="s">
        <v>3578</v>
      </c>
      <c r="C490" t="s">
        <v>3579</v>
      </c>
      <c r="D490" t="s">
        <v>2992</v>
      </c>
      <c r="E490" t="s">
        <v>2310</v>
      </c>
      <c r="F490">
        <v>15</v>
      </c>
      <c r="G490">
        <v>15.3</v>
      </c>
      <c r="H490" t="s">
        <v>2022</v>
      </c>
      <c r="I490" s="21">
        <v>37729</v>
      </c>
      <c r="J490">
        <v>2003</v>
      </c>
      <c r="K490" s="21">
        <v>37761</v>
      </c>
      <c r="L490">
        <v>2003</v>
      </c>
      <c r="M490" s="21">
        <v>37930</v>
      </c>
      <c r="N490">
        <v>2003</v>
      </c>
      <c r="R490" s="262">
        <v>30000</v>
      </c>
      <c r="S490" t="s">
        <v>114</v>
      </c>
      <c r="T490" t="s">
        <v>114</v>
      </c>
      <c r="U490">
        <v>5</v>
      </c>
      <c r="W490">
        <v>820</v>
      </c>
      <c r="X490">
        <v>0</v>
      </c>
      <c r="Y490">
        <v>0</v>
      </c>
      <c r="Z490">
        <v>0</v>
      </c>
      <c r="AA490">
        <v>0</v>
      </c>
      <c r="AB490">
        <v>0</v>
      </c>
      <c r="AC490">
        <v>820</v>
      </c>
      <c r="AD490">
        <v>0</v>
      </c>
      <c r="AE490">
        <v>0</v>
      </c>
      <c r="AF490">
        <v>0</v>
      </c>
      <c r="AG490">
        <v>0</v>
      </c>
      <c r="AH490">
        <v>0</v>
      </c>
      <c r="AI490">
        <v>0</v>
      </c>
      <c r="AJ490">
        <v>0</v>
      </c>
      <c r="AK490">
        <v>0</v>
      </c>
      <c r="AL490">
        <v>0</v>
      </c>
      <c r="AM490">
        <v>0</v>
      </c>
      <c r="AN490">
        <v>0</v>
      </c>
      <c r="AO490">
        <v>0</v>
      </c>
      <c r="AP490">
        <v>0</v>
      </c>
      <c r="AQ490">
        <v>0</v>
      </c>
      <c r="AR490">
        <v>0</v>
      </c>
      <c r="AS490">
        <v>0</v>
      </c>
      <c r="AT490">
        <v>0</v>
      </c>
      <c r="AU490">
        <f t="shared" si="14"/>
        <v>0</v>
      </c>
      <c r="AV490">
        <f t="shared" si="15"/>
        <v>0</v>
      </c>
    </row>
    <row r="491" spans="1:48" x14ac:dyDescent="0.25">
      <c r="A491" t="s">
        <v>3580</v>
      </c>
      <c r="C491" t="s">
        <v>3581</v>
      </c>
      <c r="D491" t="s">
        <v>3582</v>
      </c>
      <c r="E491" t="s">
        <v>2310</v>
      </c>
      <c r="F491">
        <v>15</v>
      </c>
      <c r="G491">
        <v>15.2</v>
      </c>
      <c r="H491" t="s">
        <v>2323</v>
      </c>
      <c r="I491" s="21">
        <v>37732</v>
      </c>
      <c r="J491">
        <v>2003</v>
      </c>
      <c r="K491" s="21">
        <v>37803</v>
      </c>
      <c r="L491">
        <v>2003</v>
      </c>
      <c r="M491" s="21">
        <v>37965</v>
      </c>
      <c r="N491">
        <v>2003</v>
      </c>
      <c r="R491" s="262">
        <v>150000</v>
      </c>
      <c r="S491" t="s">
        <v>114</v>
      </c>
      <c r="T491" t="s">
        <v>114</v>
      </c>
      <c r="U491">
        <v>8</v>
      </c>
      <c r="W491">
        <v>1964</v>
      </c>
      <c r="X491">
        <v>1</v>
      </c>
      <c r="Y491">
        <v>0</v>
      </c>
      <c r="Z491">
        <v>0</v>
      </c>
      <c r="AA491">
        <v>0</v>
      </c>
      <c r="AB491">
        <v>0</v>
      </c>
      <c r="AC491">
        <v>982</v>
      </c>
      <c r="AD491">
        <v>0</v>
      </c>
      <c r="AE491">
        <v>0</v>
      </c>
      <c r="AF491">
        <v>982</v>
      </c>
      <c r="AG491">
        <v>0</v>
      </c>
      <c r="AH491">
        <v>0</v>
      </c>
      <c r="AI491">
        <v>0</v>
      </c>
      <c r="AJ491">
        <v>0</v>
      </c>
      <c r="AK491">
        <v>0</v>
      </c>
      <c r="AL491">
        <v>0</v>
      </c>
      <c r="AM491">
        <v>0</v>
      </c>
      <c r="AN491">
        <v>0</v>
      </c>
      <c r="AO491">
        <v>0</v>
      </c>
      <c r="AP491">
        <v>0</v>
      </c>
      <c r="AQ491">
        <v>0</v>
      </c>
      <c r="AR491">
        <v>1</v>
      </c>
      <c r="AS491">
        <v>0</v>
      </c>
      <c r="AT491">
        <v>0</v>
      </c>
      <c r="AU491">
        <f t="shared" si="14"/>
        <v>0</v>
      </c>
      <c r="AV491">
        <f t="shared" si="15"/>
        <v>0</v>
      </c>
    </row>
    <row r="492" spans="1:48" x14ac:dyDescent="0.25">
      <c r="A492" t="s">
        <v>3583</v>
      </c>
      <c r="C492" t="s">
        <v>3584</v>
      </c>
      <c r="D492" t="s">
        <v>3585</v>
      </c>
      <c r="E492" t="s">
        <v>2310</v>
      </c>
      <c r="F492">
        <v>7</v>
      </c>
      <c r="G492">
        <v>7.1</v>
      </c>
      <c r="H492" t="s">
        <v>2017</v>
      </c>
      <c r="I492" s="21">
        <v>37733</v>
      </c>
      <c r="J492">
        <v>2003</v>
      </c>
      <c r="K492" s="21">
        <v>37762</v>
      </c>
      <c r="L492">
        <v>2003</v>
      </c>
      <c r="M492" s="21">
        <v>37762</v>
      </c>
      <c r="N492">
        <v>2003</v>
      </c>
      <c r="R492" s="262">
        <v>70000</v>
      </c>
      <c r="S492" t="s">
        <v>114</v>
      </c>
      <c r="T492" t="s">
        <v>114</v>
      </c>
      <c r="U492">
        <v>14</v>
      </c>
      <c r="W492">
        <v>0</v>
      </c>
      <c r="X492">
        <v>0</v>
      </c>
      <c r="Y492">
        <v>0</v>
      </c>
      <c r="Z492">
        <v>0</v>
      </c>
      <c r="AA492">
        <v>0</v>
      </c>
      <c r="AB492">
        <v>0</v>
      </c>
      <c r="AC492">
        <v>0</v>
      </c>
      <c r="AD492">
        <v>0</v>
      </c>
      <c r="AE492">
        <v>0</v>
      </c>
      <c r="AF492">
        <v>0</v>
      </c>
      <c r="AG492">
        <v>0</v>
      </c>
      <c r="AH492">
        <v>0</v>
      </c>
      <c r="AI492">
        <v>0</v>
      </c>
      <c r="AJ492">
        <v>0</v>
      </c>
      <c r="AK492">
        <v>0</v>
      </c>
      <c r="AL492">
        <v>0</v>
      </c>
      <c r="AM492">
        <v>0</v>
      </c>
      <c r="AN492">
        <v>0</v>
      </c>
      <c r="AO492">
        <v>0</v>
      </c>
      <c r="AP492">
        <v>0</v>
      </c>
      <c r="AQ492">
        <v>0</v>
      </c>
      <c r="AR492">
        <v>0</v>
      </c>
      <c r="AS492">
        <v>0</v>
      </c>
      <c r="AT492">
        <v>0</v>
      </c>
      <c r="AU492">
        <f t="shared" si="14"/>
        <v>0</v>
      </c>
      <c r="AV492">
        <f t="shared" si="15"/>
        <v>0</v>
      </c>
    </row>
    <row r="493" spans="1:48" x14ac:dyDescent="0.25">
      <c r="A493" t="s">
        <v>3586</v>
      </c>
      <c r="C493" t="s">
        <v>3587</v>
      </c>
      <c r="D493" t="s">
        <v>3588</v>
      </c>
      <c r="E493" t="s">
        <v>2310</v>
      </c>
      <c r="F493">
        <v>8</v>
      </c>
      <c r="G493">
        <v>8.3000000000000007</v>
      </c>
      <c r="H493" t="s">
        <v>2323</v>
      </c>
      <c r="I493" s="21">
        <v>37733</v>
      </c>
      <c r="J493">
        <v>2003</v>
      </c>
      <c r="K493" s="21">
        <v>37763</v>
      </c>
      <c r="L493">
        <v>2003</v>
      </c>
      <c r="M493" s="21">
        <v>38259</v>
      </c>
      <c r="N493">
        <v>2004</v>
      </c>
      <c r="R493" s="262">
        <v>88000</v>
      </c>
      <c r="S493" t="s">
        <v>114</v>
      </c>
      <c r="T493" t="s">
        <v>114</v>
      </c>
      <c r="U493">
        <v>8</v>
      </c>
      <c r="W493">
        <v>800</v>
      </c>
      <c r="X493">
        <v>1</v>
      </c>
      <c r="Y493">
        <v>0</v>
      </c>
      <c r="Z493">
        <v>0</v>
      </c>
      <c r="AA493">
        <v>0</v>
      </c>
      <c r="AB493">
        <v>0</v>
      </c>
      <c r="AC493">
        <v>0</v>
      </c>
      <c r="AD493">
        <v>0</v>
      </c>
      <c r="AE493">
        <v>0</v>
      </c>
      <c r="AF493">
        <v>800</v>
      </c>
      <c r="AG493">
        <v>0</v>
      </c>
      <c r="AH493">
        <v>0</v>
      </c>
      <c r="AI493">
        <v>0</v>
      </c>
      <c r="AJ493">
        <v>0</v>
      </c>
      <c r="AK493">
        <v>0</v>
      </c>
      <c r="AL493">
        <v>0</v>
      </c>
      <c r="AM493">
        <v>0</v>
      </c>
      <c r="AN493">
        <v>0</v>
      </c>
      <c r="AO493">
        <v>0</v>
      </c>
      <c r="AP493">
        <v>0</v>
      </c>
      <c r="AQ493">
        <v>0</v>
      </c>
      <c r="AR493">
        <v>1</v>
      </c>
      <c r="AS493">
        <v>0</v>
      </c>
      <c r="AT493">
        <v>0</v>
      </c>
      <c r="AU493">
        <f t="shared" si="14"/>
        <v>0</v>
      </c>
      <c r="AV493">
        <f t="shared" si="15"/>
        <v>0</v>
      </c>
    </row>
    <row r="494" spans="1:48" x14ac:dyDescent="0.25">
      <c r="A494" t="s">
        <v>3589</v>
      </c>
      <c r="C494" t="s">
        <v>2541</v>
      </c>
      <c r="D494" t="s">
        <v>3590</v>
      </c>
      <c r="E494" t="s">
        <v>2310</v>
      </c>
      <c r="F494">
        <v>15</v>
      </c>
      <c r="G494">
        <v>15.3</v>
      </c>
      <c r="H494" t="s">
        <v>2022</v>
      </c>
      <c r="I494" s="21">
        <v>37734</v>
      </c>
      <c r="J494">
        <v>2003</v>
      </c>
      <c r="K494" s="21">
        <v>37762</v>
      </c>
      <c r="L494">
        <v>2003</v>
      </c>
      <c r="M494" s="21">
        <v>37762</v>
      </c>
      <c r="N494">
        <v>2003</v>
      </c>
      <c r="R494" s="262">
        <v>250000</v>
      </c>
      <c r="S494" t="s">
        <v>114</v>
      </c>
      <c r="T494" t="s">
        <v>114</v>
      </c>
      <c r="U494">
        <v>5</v>
      </c>
      <c r="W494">
        <v>618</v>
      </c>
      <c r="X494">
        <v>0</v>
      </c>
      <c r="Y494">
        <v>0</v>
      </c>
      <c r="Z494">
        <v>0</v>
      </c>
      <c r="AA494">
        <v>0</v>
      </c>
      <c r="AB494">
        <v>0</v>
      </c>
      <c r="AC494">
        <v>618</v>
      </c>
      <c r="AD494">
        <v>0</v>
      </c>
      <c r="AE494">
        <v>0</v>
      </c>
      <c r="AF494">
        <v>0</v>
      </c>
      <c r="AG494">
        <v>0</v>
      </c>
      <c r="AH494">
        <v>0</v>
      </c>
      <c r="AI494">
        <v>0</v>
      </c>
      <c r="AJ494">
        <v>0</v>
      </c>
      <c r="AK494">
        <v>0</v>
      </c>
      <c r="AL494">
        <v>0</v>
      </c>
      <c r="AM494">
        <v>0</v>
      </c>
      <c r="AN494">
        <v>0</v>
      </c>
      <c r="AO494">
        <v>0</v>
      </c>
      <c r="AP494">
        <v>0</v>
      </c>
      <c r="AQ494">
        <v>0</v>
      </c>
      <c r="AR494">
        <v>0</v>
      </c>
      <c r="AS494">
        <v>0</v>
      </c>
      <c r="AT494">
        <v>0</v>
      </c>
      <c r="AU494">
        <f t="shared" si="14"/>
        <v>0</v>
      </c>
      <c r="AV494">
        <f t="shared" si="15"/>
        <v>0</v>
      </c>
    </row>
    <row r="495" spans="1:48" x14ac:dyDescent="0.25">
      <c r="A495" t="s">
        <v>3591</v>
      </c>
      <c r="C495" t="s">
        <v>3592</v>
      </c>
      <c r="D495" t="s">
        <v>3593</v>
      </c>
      <c r="E495" t="s">
        <v>2310</v>
      </c>
      <c r="F495">
        <v>13</v>
      </c>
      <c r="G495">
        <v>13.3</v>
      </c>
      <c r="H495" t="s">
        <v>2017</v>
      </c>
      <c r="I495" s="21">
        <v>37734</v>
      </c>
      <c r="J495">
        <v>2003</v>
      </c>
      <c r="K495" s="21">
        <v>37869</v>
      </c>
      <c r="L495">
        <v>2003</v>
      </c>
      <c r="M495" s="21">
        <v>38653</v>
      </c>
      <c r="N495">
        <v>2005</v>
      </c>
      <c r="R495" s="262">
        <v>2000000</v>
      </c>
      <c r="S495" t="s">
        <v>114</v>
      </c>
      <c r="T495" t="s">
        <v>114</v>
      </c>
      <c r="U495">
        <v>5</v>
      </c>
      <c r="W495">
        <v>9722</v>
      </c>
      <c r="X495">
        <v>1</v>
      </c>
      <c r="Y495">
        <v>0</v>
      </c>
      <c r="Z495">
        <v>0</v>
      </c>
      <c r="AA495">
        <v>0</v>
      </c>
      <c r="AB495">
        <v>0</v>
      </c>
      <c r="AC495">
        <v>9722</v>
      </c>
      <c r="AD495">
        <v>0</v>
      </c>
      <c r="AE495">
        <v>0</v>
      </c>
      <c r="AF495">
        <v>0</v>
      </c>
      <c r="AG495">
        <v>0</v>
      </c>
      <c r="AH495">
        <v>0</v>
      </c>
      <c r="AI495">
        <v>0</v>
      </c>
      <c r="AJ495">
        <v>0</v>
      </c>
      <c r="AK495">
        <v>0</v>
      </c>
      <c r="AL495">
        <v>0</v>
      </c>
      <c r="AM495">
        <v>0</v>
      </c>
      <c r="AN495">
        <v>0</v>
      </c>
      <c r="AO495">
        <v>1</v>
      </c>
      <c r="AP495">
        <v>0</v>
      </c>
      <c r="AQ495">
        <v>0</v>
      </c>
      <c r="AR495">
        <v>0</v>
      </c>
      <c r="AS495">
        <v>0</v>
      </c>
      <c r="AT495">
        <v>0</v>
      </c>
      <c r="AU495">
        <f t="shared" si="14"/>
        <v>1</v>
      </c>
      <c r="AV495">
        <f t="shared" si="15"/>
        <v>0</v>
      </c>
    </row>
    <row r="496" spans="1:48" x14ac:dyDescent="0.25">
      <c r="A496" t="s">
        <v>3594</v>
      </c>
      <c r="C496" t="s">
        <v>3595</v>
      </c>
      <c r="D496" t="s">
        <v>3596</v>
      </c>
      <c r="E496" t="s">
        <v>2310</v>
      </c>
      <c r="F496">
        <v>12</v>
      </c>
      <c r="G496">
        <v>12.3</v>
      </c>
      <c r="H496" t="s">
        <v>2017</v>
      </c>
      <c r="I496" s="21">
        <v>37736</v>
      </c>
      <c r="J496">
        <v>2003</v>
      </c>
      <c r="K496" s="21">
        <v>37763</v>
      </c>
      <c r="L496">
        <v>2003</v>
      </c>
      <c r="M496" s="21">
        <v>37763</v>
      </c>
      <c r="N496">
        <v>2003</v>
      </c>
      <c r="R496" s="262">
        <v>65000</v>
      </c>
      <c r="S496" t="s">
        <v>114</v>
      </c>
      <c r="T496" t="s">
        <v>114</v>
      </c>
      <c r="U496">
        <v>6</v>
      </c>
      <c r="W496">
        <v>0</v>
      </c>
      <c r="X496">
        <v>1</v>
      </c>
      <c r="Y496">
        <v>0</v>
      </c>
      <c r="Z496">
        <v>0</v>
      </c>
      <c r="AA496">
        <v>0</v>
      </c>
      <c r="AB496">
        <v>0</v>
      </c>
      <c r="AC496">
        <v>0</v>
      </c>
      <c r="AD496">
        <v>0</v>
      </c>
      <c r="AE496">
        <v>0</v>
      </c>
      <c r="AF496">
        <v>0</v>
      </c>
      <c r="AG496">
        <v>0</v>
      </c>
      <c r="AH496">
        <v>0</v>
      </c>
      <c r="AI496">
        <v>0</v>
      </c>
      <c r="AJ496">
        <v>0</v>
      </c>
      <c r="AK496">
        <v>0</v>
      </c>
      <c r="AL496">
        <v>0</v>
      </c>
      <c r="AM496">
        <v>0</v>
      </c>
      <c r="AN496">
        <v>0</v>
      </c>
      <c r="AO496">
        <v>0</v>
      </c>
      <c r="AP496">
        <v>1</v>
      </c>
      <c r="AQ496">
        <v>0</v>
      </c>
      <c r="AR496">
        <v>0</v>
      </c>
      <c r="AS496">
        <v>0</v>
      </c>
      <c r="AT496">
        <v>0</v>
      </c>
      <c r="AU496">
        <f t="shared" si="14"/>
        <v>1</v>
      </c>
      <c r="AV496">
        <f t="shared" si="15"/>
        <v>0</v>
      </c>
    </row>
    <row r="497" spans="1:48" x14ac:dyDescent="0.25">
      <c r="A497" t="s">
        <v>3597</v>
      </c>
      <c r="C497" t="s">
        <v>2544</v>
      </c>
      <c r="D497" t="s">
        <v>3598</v>
      </c>
      <c r="E497" t="s">
        <v>2310</v>
      </c>
      <c r="F497">
        <v>14</v>
      </c>
      <c r="G497">
        <v>14.1</v>
      </c>
      <c r="H497" t="s">
        <v>2022</v>
      </c>
      <c r="I497" s="21">
        <v>37736</v>
      </c>
      <c r="J497">
        <v>2003</v>
      </c>
      <c r="K497" s="21">
        <v>37771</v>
      </c>
      <c r="L497">
        <v>2003</v>
      </c>
      <c r="M497" s="21">
        <v>37771</v>
      </c>
      <c r="N497">
        <v>2003</v>
      </c>
      <c r="R497" s="262">
        <v>30000</v>
      </c>
      <c r="S497" t="s">
        <v>114</v>
      </c>
      <c r="T497" t="s">
        <v>114</v>
      </c>
      <c r="U497">
        <v>5</v>
      </c>
      <c r="W497">
        <v>1286</v>
      </c>
      <c r="X497">
        <v>0</v>
      </c>
      <c r="Y497">
        <v>0</v>
      </c>
      <c r="Z497">
        <v>0</v>
      </c>
      <c r="AA497">
        <v>0</v>
      </c>
      <c r="AB497">
        <v>0</v>
      </c>
      <c r="AC497">
        <v>1286</v>
      </c>
      <c r="AD497">
        <v>0</v>
      </c>
      <c r="AE497">
        <v>0</v>
      </c>
      <c r="AF497">
        <v>0</v>
      </c>
      <c r="AG497">
        <v>0</v>
      </c>
      <c r="AH497">
        <v>0</v>
      </c>
      <c r="AI497">
        <v>0</v>
      </c>
      <c r="AJ497">
        <v>0</v>
      </c>
      <c r="AK497">
        <v>0</v>
      </c>
      <c r="AL497">
        <v>0</v>
      </c>
      <c r="AM497">
        <v>0</v>
      </c>
      <c r="AN497">
        <v>0</v>
      </c>
      <c r="AO497">
        <v>0</v>
      </c>
      <c r="AP497">
        <v>0</v>
      </c>
      <c r="AQ497">
        <v>0</v>
      </c>
      <c r="AR497">
        <v>0</v>
      </c>
      <c r="AS497">
        <v>0</v>
      </c>
      <c r="AT497">
        <v>0</v>
      </c>
      <c r="AU497">
        <f t="shared" si="14"/>
        <v>0</v>
      </c>
      <c r="AV497">
        <f t="shared" si="15"/>
        <v>0</v>
      </c>
    </row>
    <row r="498" spans="1:48" x14ac:dyDescent="0.25">
      <c r="A498" t="s">
        <v>3599</v>
      </c>
      <c r="C498" t="s">
        <v>3600</v>
      </c>
      <c r="D498" t="s">
        <v>3601</v>
      </c>
      <c r="E498" t="s">
        <v>2310</v>
      </c>
      <c r="F498">
        <v>15</v>
      </c>
      <c r="G498">
        <v>15.1</v>
      </c>
      <c r="H498" t="s">
        <v>2022</v>
      </c>
      <c r="I498" s="21">
        <v>37736</v>
      </c>
      <c r="J498">
        <v>2003</v>
      </c>
      <c r="K498" s="21">
        <v>37764</v>
      </c>
      <c r="L498">
        <v>2003</v>
      </c>
      <c r="M498" s="21">
        <v>37971</v>
      </c>
      <c r="N498">
        <v>2003</v>
      </c>
      <c r="R498" s="262">
        <v>100000</v>
      </c>
      <c r="S498" t="s">
        <v>114</v>
      </c>
      <c r="T498" t="s">
        <v>114</v>
      </c>
      <c r="U498">
        <v>8</v>
      </c>
      <c r="W498">
        <v>1000</v>
      </c>
      <c r="X498">
        <v>1</v>
      </c>
      <c r="Y498">
        <v>0</v>
      </c>
      <c r="Z498">
        <v>0</v>
      </c>
      <c r="AA498">
        <v>0</v>
      </c>
      <c r="AB498">
        <v>0</v>
      </c>
      <c r="AC498">
        <v>0</v>
      </c>
      <c r="AD498">
        <v>0</v>
      </c>
      <c r="AE498">
        <v>0</v>
      </c>
      <c r="AF498">
        <v>1000</v>
      </c>
      <c r="AG498">
        <v>0</v>
      </c>
      <c r="AH498">
        <v>0</v>
      </c>
      <c r="AI498">
        <v>0</v>
      </c>
      <c r="AJ498">
        <v>0</v>
      </c>
      <c r="AK498">
        <v>0</v>
      </c>
      <c r="AL498">
        <v>0</v>
      </c>
      <c r="AM498">
        <v>0</v>
      </c>
      <c r="AN498">
        <v>0</v>
      </c>
      <c r="AO498">
        <v>0</v>
      </c>
      <c r="AP498">
        <v>0</v>
      </c>
      <c r="AQ498">
        <v>0</v>
      </c>
      <c r="AR498">
        <v>1</v>
      </c>
      <c r="AS498">
        <v>0</v>
      </c>
      <c r="AT498">
        <v>0</v>
      </c>
      <c r="AU498">
        <f t="shared" si="14"/>
        <v>0</v>
      </c>
      <c r="AV498">
        <f t="shared" si="15"/>
        <v>0</v>
      </c>
    </row>
    <row r="499" spans="1:48" x14ac:dyDescent="0.25">
      <c r="A499" t="s">
        <v>3602</v>
      </c>
      <c r="C499" t="s">
        <v>3603</v>
      </c>
      <c r="D499" t="s">
        <v>3604</v>
      </c>
      <c r="E499" t="s">
        <v>1663</v>
      </c>
      <c r="F499">
        <v>6</v>
      </c>
      <c r="G499">
        <v>6.2</v>
      </c>
      <c r="H499" t="s">
        <v>2017</v>
      </c>
      <c r="I499" s="21">
        <v>37739</v>
      </c>
      <c r="J499">
        <v>2003</v>
      </c>
      <c r="K499" s="21">
        <v>37769</v>
      </c>
      <c r="L499">
        <v>2003</v>
      </c>
      <c r="M499" s="21">
        <v>37922</v>
      </c>
      <c r="N499">
        <v>2003</v>
      </c>
      <c r="Q499" s="262">
        <v>95000</v>
      </c>
      <c r="S499" t="s">
        <v>114</v>
      </c>
      <c r="T499" t="s">
        <v>114</v>
      </c>
      <c r="W499">
        <v>572</v>
      </c>
      <c r="X499">
        <v>0</v>
      </c>
      <c r="Y499">
        <v>0</v>
      </c>
      <c r="Z499">
        <v>0</v>
      </c>
      <c r="AA499">
        <v>0</v>
      </c>
      <c r="AB499">
        <v>0</v>
      </c>
      <c r="AC499">
        <v>572</v>
      </c>
      <c r="AD499">
        <v>0</v>
      </c>
      <c r="AE499">
        <v>0</v>
      </c>
      <c r="AF499">
        <v>0</v>
      </c>
      <c r="AG499">
        <v>0</v>
      </c>
      <c r="AH499">
        <v>0</v>
      </c>
      <c r="AI499">
        <v>0</v>
      </c>
      <c r="AJ499">
        <v>0</v>
      </c>
      <c r="AK499">
        <v>0</v>
      </c>
      <c r="AL499">
        <v>0</v>
      </c>
      <c r="AM499">
        <v>0</v>
      </c>
      <c r="AN499">
        <v>0</v>
      </c>
      <c r="AO499">
        <v>0</v>
      </c>
      <c r="AP499">
        <v>0</v>
      </c>
      <c r="AQ499">
        <v>0</v>
      </c>
      <c r="AR499">
        <v>0</v>
      </c>
      <c r="AS499">
        <v>0</v>
      </c>
      <c r="AT499">
        <v>0</v>
      </c>
      <c r="AU499">
        <f t="shared" si="14"/>
        <v>0</v>
      </c>
      <c r="AV499">
        <f t="shared" si="15"/>
        <v>0</v>
      </c>
    </row>
    <row r="500" spans="1:48" x14ac:dyDescent="0.25">
      <c r="A500" t="s">
        <v>3605</v>
      </c>
      <c r="C500" t="s">
        <v>3606</v>
      </c>
      <c r="D500" t="s">
        <v>3607</v>
      </c>
      <c r="E500" t="s">
        <v>2310</v>
      </c>
      <c r="F500">
        <v>8</v>
      </c>
      <c r="G500">
        <v>8.3000000000000007</v>
      </c>
      <c r="H500" t="s">
        <v>2323</v>
      </c>
      <c r="I500" s="21">
        <v>37739</v>
      </c>
      <c r="J500">
        <v>2003</v>
      </c>
      <c r="K500" s="21">
        <v>37764</v>
      </c>
      <c r="L500">
        <v>2003</v>
      </c>
      <c r="M500" s="21">
        <v>38386</v>
      </c>
      <c r="N500">
        <v>2005</v>
      </c>
      <c r="R500" s="262">
        <v>30000</v>
      </c>
      <c r="S500" t="s">
        <v>114</v>
      </c>
      <c r="T500" t="s">
        <v>114</v>
      </c>
      <c r="U500">
        <v>5</v>
      </c>
      <c r="W500">
        <v>382</v>
      </c>
      <c r="X500">
        <v>0</v>
      </c>
      <c r="Y500">
        <v>0</v>
      </c>
      <c r="Z500">
        <v>0</v>
      </c>
      <c r="AA500">
        <v>0</v>
      </c>
      <c r="AB500">
        <v>0</v>
      </c>
      <c r="AC500">
        <v>382</v>
      </c>
      <c r="AD500">
        <v>0</v>
      </c>
      <c r="AE500">
        <v>0</v>
      </c>
      <c r="AF500">
        <v>0</v>
      </c>
      <c r="AG500">
        <v>0</v>
      </c>
      <c r="AH500">
        <v>0</v>
      </c>
      <c r="AI500">
        <v>0</v>
      </c>
      <c r="AJ500">
        <v>0</v>
      </c>
      <c r="AK500">
        <v>0</v>
      </c>
      <c r="AL500">
        <v>0</v>
      </c>
      <c r="AM500">
        <v>0</v>
      </c>
      <c r="AN500">
        <v>0</v>
      </c>
      <c r="AO500">
        <v>0</v>
      </c>
      <c r="AP500">
        <v>0</v>
      </c>
      <c r="AQ500">
        <v>0</v>
      </c>
      <c r="AR500">
        <v>0</v>
      </c>
      <c r="AS500">
        <v>0</v>
      </c>
      <c r="AT500">
        <v>0</v>
      </c>
      <c r="AU500">
        <f t="shared" si="14"/>
        <v>0</v>
      </c>
      <c r="AV500">
        <f t="shared" si="15"/>
        <v>0</v>
      </c>
    </row>
    <row r="501" spans="1:48" x14ac:dyDescent="0.25">
      <c r="A501" t="s">
        <v>3610</v>
      </c>
      <c r="C501" t="s">
        <v>3611</v>
      </c>
      <c r="D501" t="s">
        <v>3612</v>
      </c>
      <c r="E501" t="s">
        <v>2310</v>
      </c>
      <c r="F501">
        <v>8</v>
      </c>
      <c r="G501">
        <v>8.3000000000000007</v>
      </c>
      <c r="H501" t="s">
        <v>2323</v>
      </c>
      <c r="I501" s="21">
        <v>37740</v>
      </c>
      <c r="J501">
        <v>2003</v>
      </c>
      <c r="K501" s="21">
        <v>37770</v>
      </c>
      <c r="L501">
        <v>2003</v>
      </c>
      <c r="M501" s="21">
        <v>38230</v>
      </c>
      <c r="N501">
        <v>2004</v>
      </c>
      <c r="R501" s="262">
        <v>535000</v>
      </c>
      <c r="S501" t="s">
        <v>114</v>
      </c>
      <c r="T501" t="s">
        <v>114</v>
      </c>
      <c r="U501">
        <v>5</v>
      </c>
      <c r="W501">
        <v>6487</v>
      </c>
      <c r="X501">
        <v>1</v>
      </c>
      <c r="Y501">
        <v>0</v>
      </c>
      <c r="Z501">
        <v>0</v>
      </c>
      <c r="AA501">
        <v>0</v>
      </c>
      <c r="AB501">
        <v>0</v>
      </c>
      <c r="AC501">
        <v>6487</v>
      </c>
      <c r="AD501">
        <v>0</v>
      </c>
      <c r="AE501">
        <v>0</v>
      </c>
      <c r="AF501">
        <v>0</v>
      </c>
      <c r="AG501">
        <v>0</v>
      </c>
      <c r="AH501">
        <v>0</v>
      </c>
      <c r="AI501">
        <v>0</v>
      </c>
      <c r="AJ501">
        <v>0</v>
      </c>
      <c r="AK501">
        <v>0</v>
      </c>
      <c r="AL501">
        <v>0</v>
      </c>
      <c r="AM501">
        <v>0</v>
      </c>
      <c r="AN501">
        <v>0</v>
      </c>
      <c r="AO501">
        <v>1</v>
      </c>
      <c r="AP501">
        <v>0</v>
      </c>
      <c r="AQ501">
        <v>0</v>
      </c>
      <c r="AR501">
        <v>0</v>
      </c>
      <c r="AS501">
        <v>0</v>
      </c>
      <c r="AT501">
        <v>0</v>
      </c>
      <c r="AU501">
        <f t="shared" si="14"/>
        <v>1</v>
      </c>
      <c r="AV501">
        <f t="shared" si="15"/>
        <v>0</v>
      </c>
    </row>
    <row r="502" spans="1:48" x14ac:dyDescent="0.25">
      <c r="A502" t="s">
        <v>3613</v>
      </c>
      <c r="C502" t="s">
        <v>3614</v>
      </c>
      <c r="D502" t="s">
        <v>3615</v>
      </c>
      <c r="E502" t="s">
        <v>2310</v>
      </c>
      <c r="F502">
        <v>14</v>
      </c>
      <c r="G502">
        <v>14.1</v>
      </c>
      <c r="H502" t="s">
        <v>2022</v>
      </c>
      <c r="I502" s="21">
        <v>37740</v>
      </c>
      <c r="J502">
        <v>2003</v>
      </c>
      <c r="K502" s="21">
        <v>37776</v>
      </c>
      <c r="L502">
        <v>2003</v>
      </c>
      <c r="M502" s="21">
        <v>37967</v>
      </c>
      <c r="N502">
        <v>2003</v>
      </c>
      <c r="R502" s="262">
        <v>200000</v>
      </c>
      <c r="S502" t="s">
        <v>114</v>
      </c>
      <c r="T502" t="s">
        <v>114</v>
      </c>
      <c r="U502">
        <v>5</v>
      </c>
      <c r="W502">
        <v>4036</v>
      </c>
      <c r="X502">
        <v>1</v>
      </c>
      <c r="Y502">
        <v>0</v>
      </c>
      <c r="Z502">
        <v>0</v>
      </c>
      <c r="AA502">
        <v>0</v>
      </c>
      <c r="AB502">
        <v>0</v>
      </c>
      <c r="AC502">
        <v>4036</v>
      </c>
      <c r="AD502">
        <v>0</v>
      </c>
      <c r="AE502">
        <v>0</v>
      </c>
      <c r="AF502">
        <v>0</v>
      </c>
      <c r="AG502">
        <v>0</v>
      </c>
      <c r="AH502">
        <v>0</v>
      </c>
      <c r="AI502">
        <v>0</v>
      </c>
      <c r="AJ502">
        <v>0</v>
      </c>
      <c r="AK502">
        <v>0</v>
      </c>
      <c r="AL502">
        <v>0</v>
      </c>
      <c r="AM502">
        <v>0</v>
      </c>
      <c r="AN502">
        <v>0</v>
      </c>
      <c r="AO502">
        <v>1</v>
      </c>
      <c r="AP502">
        <v>0</v>
      </c>
      <c r="AQ502">
        <v>0</v>
      </c>
      <c r="AR502">
        <v>0</v>
      </c>
      <c r="AS502">
        <v>0</v>
      </c>
      <c r="AT502">
        <v>0</v>
      </c>
      <c r="AU502">
        <f t="shared" si="14"/>
        <v>1</v>
      </c>
      <c r="AV502">
        <f t="shared" si="15"/>
        <v>0</v>
      </c>
    </row>
    <row r="503" spans="1:48" x14ac:dyDescent="0.25">
      <c r="A503" t="s">
        <v>3616</v>
      </c>
      <c r="C503" t="s">
        <v>3617</v>
      </c>
      <c r="D503" t="s">
        <v>3618</v>
      </c>
      <c r="E503" t="s">
        <v>2310</v>
      </c>
      <c r="F503">
        <v>9</v>
      </c>
      <c r="G503">
        <v>9.1999999999999993</v>
      </c>
      <c r="H503" t="s">
        <v>2022</v>
      </c>
      <c r="I503" s="21">
        <v>37740</v>
      </c>
      <c r="J503">
        <v>2003</v>
      </c>
      <c r="K503" s="21">
        <v>37763</v>
      </c>
      <c r="L503">
        <v>2003</v>
      </c>
      <c r="M503" s="21">
        <v>37911</v>
      </c>
      <c r="N503">
        <v>2003</v>
      </c>
      <c r="R503" s="262">
        <v>55000</v>
      </c>
      <c r="S503" t="s">
        <v>114</v>
      </c>
      <c r="T503" t="s">
        <v>114</v>
      </c>
      <c r="U503">
        <v>5</v>
      </c>
      <c r="W503">
        <v>257</v>
      </c>
      <c r="X503">
        <v>0</v>
      </c>
      <c r="Y503">
        <v>0</v>
      </c>
      <c r="Z503">
        <v>0</v>
      </c>
      <c r="AA503">
        <v>0</v>
      </c>
      <c r="AB503">
        <v>0</v>
      </c>
      <c r="AC503">
        <v>257</v>
      </c>
      <c r="AD503">
        <v>0</v>
      </c>
      <c r="AE503">
        <v>0</v>
      </c>
      <c r="AF503">
        <v>0</v>
      </c>
      <c r="AG503">
        <v>0</v>
      </c>
      <c r="AH503">
        <v>0</v>
      </c>
      <c r="AI503">
        <v>0</v>
      </c>
      <c r="AJ503">
        <v>0</v>
      </c>
      <c r="AK503">
        <v>0</v>
      </c>
      <c r="AL503">
        <v>0</v>
      </c>
      <c r="AM503">
        <v>0</v>
      </c>
      <c r="AN503">
        <v>0</v>
      </c>
      <c r="AO503">
        <v>0</v>
      </c>
      <c r="AP503">
        <v>0</v>
      </c>
      <c r="AQ503">
        <v>0</v>
      </c>
      <c r="AR503">
        <v>0</v>
      </c>
      <c r="AS503">
        <v>0</v>
      </c>
      <c r="AT503">
        <v>0</v>
      </c>
      <c r="AU503">
        <f t="shared" si="14"/>
        <v>0</v>
      </c>
      <c r="AV503">
        <f t="shared" si="15"/>
        <v>0</v>
      </c>
    </row>
    <row r="504" spans="1:48" x14ac:dyDescent="0.25">
      <c r="A504" t="s">
        <v>3608</v>
      </c>
      <c r="C504" t="s">
        <v>3056</v>
      </c>
      <c r="D504" t="s">
        <v>3609</v>
      </c>
      <c r="E504" t="s">
        <v>1663</v>
      </c>
      <c r="F504">
        <v>3</v>
      </c>
      <c r="G504">
        <v>3.1</v>
      </c>
      <c r="H504" t="s">
        <v>2017</v>
      </c>
      <c r="I504" s="21">
        <v>37740</v>
      </c>
      <c r="J504">
        <v>2003</v>
      </c>
      <c r="K504" s="21">
        <v>37770</v>
      </c>
      <c r="L504">
        <v>2003</v>
      </c>
      <c r="M504" s="21">
        <v>37923</v>
      </c>
      <c r="N504">
        <v>2003</v>
      </c>
      <c r="Q504" s="262">
        <v>450000</v>
      </c>
      <c r="S504" t="s">
        <v>114</v>
      </c>
      <c r="T504" t="s">
        <v>114</v>
      </c>
      <c r="W504">
        <v>3071</v>
      </c>
      <c r="X504">
        <v>1</v>
      </c>
      <c r="Y504">
        <v>0</v>
      </c>
      <c r="Z504">
        <v>0</v>
      </c>
      <c r="AA504">
        <v>0</v>
      </c>
      <c r="AB504">
        <v>0</v>
      </c>
      <c r="AC504">
        <v>3071</v>
      </c>
      <c r="AD504">
        <v>0</v>
      </c>
      <c r="AE504">
        <v>0</v>
      </c>
      <c r="AF504">
        <v>0</v>
      </c>
      <c r="AG504">
        <v>0</v>
      </c>
      <c r="AH504">
        <v>0</v>
      </c>
      <c r="AI504">
        <v>0</v>
      </c>
      <c r="AJ504">
        <v>0</v>
      </c>
      <c r="AK504">
        <v>0</v>
      </c>
      <c r="AL504">
        <v>0</v>
      </c>
      <c r="AM504">
        <v>0</v>
      </c>
      <c r="AN504">
        <v>0</v>
      </c>
      <c r="AO504">
        <v>1</v>
      </c>
      <c r="AP504">
        <v>0</v>
      </c>
      <c r="AQ504">
        <v>0</v>
      </c>
      <c r="AR504">
        <v>0</v>
      </c>
      <c r="AS504">
        <v>0</v>
      </c>
      <c r="AT504">
        <v>0</v>
      </c>
      <c r="AU504">
        <f t="shared" si="14"/>
        <v>1</v>
      </c>
      <c r="AV504">
        <f t="shared" si="15"/>
        <v>0</v>
      </c>
    </row>
    <row r="505" spans="1:48" x14ac:dyDescent="0.25">
      <c r="A505" t="s">
        <v>3622</v>
      </c>
      <c r="C505" t="s">
        <v>2486</v>
      </c>
      <c r="D505" t="s">
        <v>3623</v>
      </c>
      <c r="E505" t="s">
        <v>2310</v>
      </c>
      <c r="F505">
        <v>9</v>
      </c>
      <c r="G505">
        <v>9.1</v>
      </c>
      <c r="H505" t="s">
        <v>2323</v>
      </c>
      <c r="I505" s="21">
        <v>37741</v>
      </c>
      <c r="J505">
        <v>2003</v>
      </c>
      <c r="K505" s="21">
        <v>37770</v>
      </c>
      <c r="L505">
        <v>2003</v>
      </c>
      <c r="M505" s="21">
        <v>38582</v>
      </c>
      <c r="N505">
        <v>2005</v>
      </c>
      <c r="R505" s="262">
        <v>408000</v>
      </c>
      <c r="S505" t="s">
        <v>114</v>
      </c>
      <c r="T505" t="s">
        <v>114</v>
      </c>
      <c r="U505">
        <v>5</v>
      </c>
      <c r="W505">
        <v>4664</v>
      </c>
      <c r="X505">
        <v>1</v>
      </c>
      <c r="Y505">
        <v>0</v>
      </c>
      <c r="Z505">
        <v>0</v>
      </c>
      <c r="AA505">
        <v>0</v>
      </c>
      <c r="AB505">
        <v>0</v>
      </c>
      <c r="AC505">
        <v>4664</v>
      </c>
      <c r="AD505">
        <v>0</v>
      </c>
      <c r="AE505">
        <v>0</v>
      </c>
      <c r="AF505">
        <v>0</v>
      </c>
      <c r="AG505">
        <v>0</v>
      </c>
      <c r="AH505">
        <v>0</v>
      </c>
      <c r="AI505">
        <v>0</v>
      </c>
      <c r="AJ505">
        <v>0</v>
      </c>
      <c r="AK505">
        <v>0</v>
      </c>
      <c r="AL505">
        <v>0</v>
      </c>
      <c r="AM505">
        <v>0</v>
      </c>
      <c r="AN505">
        <v>0</v>
      </c>
      <c r="AO505">
        <v>1</v>
      </c>
      <c r="AP505">
        <v>0</v>
      </c>
      <c r="AQ505">
        <v>0</v>
      </c>
      <c r="AR505">
        <v>0</v>
      </c>
      <c r="AS505">
        <v>0</v>
      </c>
      <c r="AT505">
        <v>0</v>
      </c>
      <c r="AU505">
        <f t="shared" si="14"/>
        <v>1</v>
      </c>
      <c r="AV505">
        <f t="shared" si="15"/>
        <v>0</v>
      </c>
    </row>
    <row r="506" spans="1:48" x14ac:dyDescent="0.25">
      <c r="A506" t="s">
        <v>3624</v>
      </c>
      <c r="C506" t="s">
        <v>3625</v>
      </c>
      <c r="D506" t="s">
        <v>3626</v>
      </c>
      <c r="E506" t="s">
        <v>2310</v>
      </c>
      <c r="F506">
        <v>15</v>
      </c>
      <c r="G506">
        <v>15.1</v>
      </c>
      <c r="H506" t="s">
        <v>2022</v>
      </c>
      <c r="I506" s="21">
        <v>37741</v>
      </c>
      <c r="J506">
        <v>2003</v>
      </c>
      <c r="K506" s="21">
        <v>37830</v>
      </c>
      <c r="L506">
        <v>2003</v>
      </c>
      <c r="M506" s="21">
        <v>38912</v>
      </c>
      <c r="N506">
        <v>2006</v>
      </c>
      <c r="R506" s="262">
        <v>250000</v>
      </c>
      <c r="S506" t="s">
        <v>114</v>
      </c>
      <c r="T506" t="s">
        <v>114</v>
      </c>
      <c r="U506">
        <v>11</v>
      </c>
      <c r="W506">
        <v>6300</v>
      </c>
      <c r="X506">
        <v>0</v>
      </c>
      <c r="Y506">
        <v>0</v>
      </c>
      <c r="Z506">
        <v>0</v>
      </c>
      <c r="AA506">
        <v>0</v>
      </c>
      <c r="AB506">
        <v>0</v>
      </c>
      <c r="AC506">
        <v>0</v>
      </c>
      <c r="AD506">
        <v>0</v>
      </c>
      <c r="AE506">
        <v>0</v>
      </c>
      <c r="AF506">
        <v>0</v>
      </c>
      <c r="AG506">
        <v>0</v>
      </c>
      <c r="AH506">
        <v>0</v>
      </c>
      <c r="AI506">
        <v>6300</v>
      </c>
      <c r="AJ506">
        <v>0</v>
      </c>
      <c r="AK506">
        <v>0</v>
      </c>
      <c r="AL506">
        <v>0</v>
      </c>
      <c r="AM506">
        <v>0</v>
      </c>
      <c r="AN506">
        <v>0</v>
      </c>
      <c r="AO506">
        <v>0</v>
      </c>
      <c r="AP506">
        <v>0</v>
      </c>
      <c r="AQ506">
        <v>0</v>
      </c>
      <c r="AR506">
        <v>0</v>
      </c>
      <c r="AS506">
        <v>0</v>
      </c>
      <c r="AT506">
        <v>0</v>
      </c>
      <c r="AU506">
        <f t="shared" si="14"/>
        <v>0</v>
      </c>
      <c r="AV506">
        <f t="shared" si="15"/>
        <v>6300</v>
      </c>
    </row>
    <row r="507" spans="1:48" x14ac:dyDescent="0.25">
      <c r="A507" t="s">
        <v>3619</v>
      </c>
      <c r="C507" t="s">
        <v>3620</v>
      </c>
      <c r="D507" t="s">
        <v>3621</v>
      </c>
      <c r="E507" t="s">
        <v>1663</v>
      </c>
      <c r="F507">
        <v>3</v>
      </c>
      <c r="G507">
        <v>3.1</v>
      </c>
      <c r="H507" t="s">
        <v>2017</v>
      </c>
      <c r="I507" s="21">
        <v>37741</v>
      </c>
      <c r="J507">
        <v>2003</v>
      </c>
      <c r="K507" s="21">
        <v>37771</v>
      </c>
      <c r="L507">
        <v>2003</v>
      </c>
      <c r="M507" s="21">
        <v>37924</v>
      </c>
      <c r="N507">
        <v>2003</v>
      </c>
      <c r="Q507" s="262">
        <v>15000</v>
      </c>
      <c r="S507" t="s">
        <v>114</v>
      </c>
      <c r="T507" t="s">
        <v>114</v>
      </c>
      <c r="W507">
        <v>384</v>
      </c>
      <c r="X507">
        <v>0</v>
      </c>
      <c r="Y507">
        <v>0</v>
      </c>
      <c r="Z507">
        <v>0</v>
      </c>
      <c r="AA507">
        <v>0</v>
      </c>
      <c r="AB507">
        <v>0</v>
      </c>
      <c r="AC507">
        <v>384</v>
      </c>
      <c r="AD507">
        <v>0</v>
      </c>
      <c r="AE507">
        <v>0</v>
      </c>
      <c r="AF507">
        <v>0</v>
      </c>
      <c r="AG507">
        <v>0</v>
      </c>
      <c r="AH507">
        <v>0</v>
      </c>
      <c r="AI507">
        <v>0</v>
      </c>
      <c r="AJ507">
        <v>0</v>
      </c>
      <c r="AK507">
        <v>0</v>
      </c>
      <c r="AL507">
        <v>0</v>
      </c>
      <c r="AM507">
        <v>0</v>
      </c>
      <c r="AN507">
        <v>0</v>
      </c>
      <c r="AO507">
        <v>0</v>
      </c>
      <c r="AP507">
        <v>0</v>
      </c>
      <c r="AQ507">
        <v>0</v>
      </c>
      <c r="AR507">
        <v>0</v>
      </c>
      <c r="AS507">
        <v>0</v>
      </c>
      <c r="AT507">
        <v>0</v>
      </c>
      <c r="AU507">
        <f t="shared" si="14"/>
        <v>0</v>
      </c>
      <c r="AV507">
        <f t="shared" si="15"/>
        <v>0</v>
      </c>
    </row>
    <row r="508" spans="1:48" x14ac:dyDescent="0.25">
      <c r="A508" t="s">
        <v>3627</v>
      </c>
      <c r="C508" t="s">
        <v>2437</v>
      </c>
      <c r="D508" t="s">
        <v>3628</v>
      </c>
      <c r="E508" t="s">
        <v>2310</v>
      </c>
      <c r="F508">
        <v>15</v>
      </c>
      <c r="G508">
        <v>15.2</v>
      </c>
      <c r="H508" t="s">
        <v>2323</v>
      </c>
      <c r="I508" s="21">
        <v>37743</v>
      </c>
      <c r="J508">
        <v>2003</v>
      </c>
      <c r="K508" s="21">
        <v>37770</v>
      </c>
      <c r="L508">
        <v>2003</v>
      </c>
      <c r="M508" s="21">
        <v>37770</v>
      </c>
      <c r="N508">
        <v>2003</v>
      </c>
      <c r="R508" s="262">
        <v>50000</v>
      </c>
      <c r="S508" t="s">
        <v>114</v>
      </c>
      <c r="T508" t="s">
        <v>114</v>
      </c>
      <c r="U508">
        <v>5</v>
      </c>
      <c r="W508">
        <v>1872</v>
      </c>
      <c r="X508">
        <v>0</v>
      </c>
      <c r="Y508">
        <v>0</v>
      </c>
      <c r="Z508">
        <v>0</v>
      </c>
      <c r="AA508">
        <v>0</v>
      </c>
      <c r="AB508">
        <v>0</v>
      </c>
      <c r="AC508">
        <v>1872</v>
      </c>
      <c r="AD508">
        <v>0</v>
      </c>
      <c r="AE508">
        <v>0</v>
      </c>
      <c r="AF508">
        <v>0</v>
      </c>
      <c r="AG508">
        <v>0</v>
      </c>
      <c r="AH508">
        <v>0</v>
      </c>
      <c r="AI508">
        <v>0</v>
      </c>
      <c r="AJ508">
        <v>0</v>
      </c>
      <c r="AK508">
        <v>0</v>
      </c>
      <c r="AL508">
        <v>0</v>
      </c>
      <c r="AM508">
        <v>0</v>
      </c>
      <c r="AN508">
        <v>0</v>
      </c>
      <c r="AO508">
        <v>0</v>
      </c>
      <c r="AP508">
        <v>0</v>
      </c>
      <c r="AQ508">
        <v>0</v>
      </c>
      <c r="AR508">
        <v>0</v>
      </c>
      <c r="AS508">
        <v>0</v>
      </c>
      <c r="AT508">
        <v>0</v>
      </c>
      <c r="AU508">
        <f t="shared" si="14"/>
        <v>0</v>
      </c>
      <c r="AV508">
        <f t="shared" si="15"/>
        <v>0</v>
      </c>
    </row>
    <row r="509" spans="1:48" x14ac:dyDescent="0.25">
      <c r="A509" t="s">
        <v>3629</v>
      </c>
      <c r="C509" t="s">
        <v>3630</v>
      </c>
      <c r="D509" t="s">
        <v>3631</v>
      </c>
      <c r="E509" t="s">
        <v>2310</v>
      </c>
      <c r="F509">
        <v>8</v>
      </c>
      <c r="G509">
        <v>8.1</v>
      </c>
      <c r="H509" t="s">
        <v>2323</v>
      </c>
      <c r="I509" s="21">
        <v>37743</v>
      </c>
      <c r="J509">
        <v>2003</v>
      </c>
      <c r="K509" s="21">
        <v>37771</v>
      </c>
      <c r="L509">
        <v>2003</v>
      </c>
      <c r="M509" s="21">
        <v>37771</v>
      </c>
      <c r="N509">
        <v>2003</v>
      </c>
      <c r="R509" s="262">
        <v>40000</v>
      </c>
      <c r="S509" t="s">
        <v>114</v>
      </c>
      <c r="T509" t="s">
        <v>114</v>
      </c>
      <c r="U509">
        <v>5</v>
      </c>
      <c r="W509">
        <v>328</v>
      </c>
      <c r="X509">
        <v>0</v>
      </c>
      <c r="Y509">
        <v>0</v>
      </c>
      <c r="Z509">
        <v>0</v>
      </c>
      <c r="AA509">
        <v>0</v>
      </c>
      <c r="AB509">
        <v>0</v>
      </c>
      <c r="AC509">
        <v>328</v>
      </c>
      <c r="AD509">
        <v>0</v>
      </c>
      <c r="AE509">
        <v>0</v>
      </c>
      <c r="AF509">
        <v>0</v>
      </c>
      <c r="AG509">
        <v>0</v>
      </c>
      <c r="AH509">
        <v>0</v>
      </c>
      <c r="AI509">
        <v>0</v>
      </c>
      <c r="AJ509">
        <v>0</v>
      </c>
      <c r="AK509">
        <v>0</v>
      </c>
      <c r="AL509">
        <v>0</v>
      </c>
      <c r="AM509">
        <v>0</v>
      </c>
      <c r="AN509">
        <v>0</v>
      </c>
      <c r="AO509">
        <v>0</v>
      </c>
      <c r="AP509">
        <v>0</v>
      </c>
      <c r="AQ509">
        <v>0</v>
      </c>
      <c r="AR509">
        <v>0</v>
      </c>
      <c r="AS509">
        <v>0</v>
      </c>
      <c r="AT509">
        <v>0</v>
      </c>
      <c r="AU509">
        <f t="shared" si="14"/>
        <v>0</v>
      </c>
      <c r="AV509">
        <f t="shared" si="15"/>
        <v>0</v>
      </c>
    </row>
    <row r="510" spans="1:48" x14ac:dyDescent="0.25">
      <c r="A510" t="s">
        <v>3632</v>
      </c>
      <c r="C510" t="s">
        <v>3633</v>
      </c>
      <c r="D510" t="s">
        <v>3634</v>
      </c>
      <c r="E510" t="s">
        <v>2310</v>
      </c>
      <c r="F510">
        <v>9</v>
      </c>
      <c r="G510">
        <v>9.3000000000000007</v>
      </c>
      <c r="H510" t="s">
        <v>2323</v>
      </c>
      <c r="I510" s="21">
        <v>37743</v>
      </c>
      <c r="J510">
        <v>2003</v>
      </c>
      <c r="K510" s="21">
        <v>37774</v>
      </c>
      <c r="L510">
        <v>2003</v>
      </c>
      <c r="M510" s="21">
        <v>38210</v>
      </c>
      <c r="N510">
        <v>2004</v>
      </c>
      <c r="R510" s="262">
        <v>1000000</v>
      </c>
      <c r="S510" t="s">
        <v>114</v>
      </c>
      <c r="T510" t="s">
        <v>114</v>
      </c>
      <c r="U510">
        <v>5</v>
      </c>
      <c r="W510">
        <v>5556</v>
      </c>
      <c r="X510">
        <v>1</v>
      </c>
      <c r="Y510">
        <v>0</v>
      </c>
      <c r="Z510">
        <v>0</v>
      </c>
      <c r="AA510">
        <v>0</v>
      </c>
      <c r="AB510">
        <v>0</v>
      </c>
      <c r="AC510">
        <v>5556</v>
      </c>
      <c r="AD510">
        <v>0</v>
      </c>
      <c r="AE510">
        <v>0</v>
      </c>
      <c r="AF510">
        <v>0</v>
      </c>
      <c r="AG510">
        <v>0</v>
      </c>
      <c r="AH510">
        <v>0</v>
      </c>
      <c r="AI510">
        <v>0</v>
      </c>
      <c r="AJ510">
        <v>0</v>
      </c>
      <c r="AK510">
        <v>0</v>
      </c>
      <c r="AL510">
        <v>0</v>
      </c>
      <c r="AM510">
        <v>0</v>
      </c>
      <c r="AN510">
        <v>0</v>
      </c>
      <c r="AO510">
        <v>1</v>
      </c>
      <c r="AP510">
        <v>0</v>
      </c>
      <c r="AQ510">
        <v>0</v>
      </c>
      <c r="AR510">
        <v>0</v>
      </c>
      <c r="AS510">
        <v>0</v>
      </c>
      <c r="AT510">
        <v>0</v>
      </c>
      <c r="AU510">
        <f t="shared" si="14"/>
        <v>1</v>
      </c>
      <c r="AV510">
        <f t="shared" si="15"/>
        <v>0</v>
      </c>
    </row>
    <row r="511" spans="1:48" x14ac:dyDescent="0.25">
      <c r="A511" t="s">
        <v>3635</v>
      </c>
      <c r="C511" t="s">
        <v>3636</v>
      </c>
      <c r="D511" t="s">
        <v>3634</v>
      </c>
      <c r="E511" t="s">
        <v>2310</v>
      </c>
      <c r="F511">
        <v>9</v>
      </c>
      <c r="G511">
        <v>9.3000000000000007</v>
      </c>
      <c r="H511" t="s">
        <v>2323</v>
      </c>
      <c r="I511" s="21">
        <v>37743</v>
      </c>
      <c r="J511">
        <v>2003</v>
      </c>
      <c r="K511" s="21">
        <v>37774</v>
      </c>
      <c r="L511">
        <v>2003</v>
      </c>
      <c r="M511" s="21">
        <v>38161</v>
      </c>
      <c r="N511">
        <v>2004</v>
      </c>
      <c r="R511" s="262">
        <v>200000</v>
      </c>
      <c r="S511" t="s">
        <v>114</v>
      </c>
      <c r="T511" t="s">
        <v>114</v>
      </c>
      <c r="U511">
        <v>8</v>
      </c>
      <c r="W511">
        <v>1000</v>
      </c>
      <c r="X511">
        <v>1</v>
      </c>
      <c r="Y511">
        <v>0</v>
      </c>
      <c r="Z511">
        <v>0</v>
      </c>
      <c r="AA511">
        <v>0</v>
      </c>
      <c r="AB511">
        <v>0</v>
      </c>
      <c r="AC511">
        <v>0</v>
      </c>
      <c r="AD511">
        <v>0</v>
      </c>
      <c r="AE511">
        <v>0</v>
      </c>
      <c r="AF511">
        <v>1000</v>
      </c>
      <c r="AG511">
        <v>0</v>
      </c>
      <c r="AH511">
        <v>0</v>
      </c>
      <c r="AI511">
        <v>0</v>
      </c>
      <c r="AJ511">
        <v>0</v>
      </c>
      <c r="AK511">
        <v>0</v>
      </c>
      <c r="AL511">
        <v>0</v>
      </c>
      <c r="AM511">
        <v>0</v>
      </c>
      <c r="AN511">
        <v>0</v>
      </c>
      <c r="AO511">
        <v>0</v>
      </c>
      <c r="AP511">
        <v>0</v>
      </c>
      <c r="AQ511">
        <v>0</v>
      </c>
      <c r="AR511">
        <v>1</v>
      </c>
      <c r="AS511">
        <v>0</v>
      </c>
      <c r="AT511">
        <v>0</v>
      </c>
      <c r="AU511">
        <f t="shared" si="14"/>
        <v>0</v>
      </c>
      <c r="AV511">
        <f t="shared" si="15"/>
        <v>0</v>
      </c>
    </row>
    <row r="512" spans="1:48" x14ac:dyDescent="0.25">
      <c r="A512" t="s">
        <v>3637</v>
      </c>
      <c r="C512" t="s">
        <v>3638</v>
      </c>
      <c r="D512" t="s">
        <v>3639</v>
      </c>
      <c r="E512" t="s">
        <v>2310</v>
      </c>
      <c r="F512">
        <v>15</v>
      </c>
      <c r="G512">
        <v>15.3</v>
      </c>
      <c r="H512" t="s">
        <v>2022</v>
      </c>
      <c r="I512" s="21">
        <v>37746</v>
      </c>
      <c r="J512">
        <v>2003</v>
      </c>
      <c r="K512" s="21">
        <v>37774</v>
      </c>
      <c r="L512">
        <v>2003</v>
      </c>
      <c r="M512" s="21">
        <v>38835</v>
      </c>
      <c r="N512">
        <v>2006</v>
      </c>
      <c r="R512" s="262">
        <v>35000</v>
      </c>
      <c r="S512" t="s">
        <v>114</v>
      </c>
      <c r="T512" t="s">
        <v>114</v>
      </c>
      <c r="U512">
        <v>7</v>
      </c>
      <c r="W512">
        <v>850</v>
      </c>
      <c r="X512">
        <v>1</v>
      </c>
      <c r="Y512">
        <v>0</v>
      </c>
      <c r="Z512">
        <v>0</v>
      </c>
      <c r="AA512">
        <v>0</v>
      </c>
      <c r="AB512">
        <v>0</v>
      </c>
      <c r="AC512">
        <v>0</v>
      </c>
      <c r="AD512">
        <v>0</v>
      </c>
      <c r="AE512">
        <v>850</v>
      </c>
      <c r="AF512">
        <v>0</v>
      </c>
      <c r="AG512">
        <v>0</v>
      </c>
      <c r="AH512">
        <v>0</v>
      </c>
      <c r="AI512">
        <v>0</v>
      </c>
      <c r="AJ512">
        <v>0</v>
      </c>
      <c r="AK512">
        <v>0</v>
      </c>
      <c r="AL512">
        <v>0</v>
      </c>
      <c r="AM512">
        <v>0</v>
      </c>
      <c r="AN512">
        <v>0</v>
      </c>
      <c r="AO512">
        <v>0</v>
      </c>
      <c r="AP512">
        <v>0</v>
      </c>
      <c r="AQ512">
        <v>1</v>
      </c>
      <c r="AR512">
        <v>0</v>
      </c>
      <c r="AS512">
        <v>0</v>
      </c>
      <c r="AT512">
        <v>0</v>
      </c>
      <c r="AU512">
        <f t="shared" si="14"/>
        <v>1</v>
      </c>
      <c r="AV512">
        <f t="shared" si="15"/>
        <v>0</v>
      </c>
    </row>
    <row r="513" spans="1:48" x14ac:dyDescent="0.25">
      <c r="A513" t="s">
        <v>3640</v>
      </c>
      <c r="C513" t="s">
        <v>3641</v>
      </c>
      <c r="D513" t="s">
        <v>3639</v>
      </c>
      <c r="E513" t="s">
        <v>2310</v>
      </c>
      <c r="F513">
        <v>15</v>
      </c>
      <c r="G513">
        <v>15.3</v>
      </c>
      <c r="H513" t="s">
        <v>2022</v>
      </c>
      <c r="I513" s="21">
        <v>37746</v>
      </c>
      <c r="J513">
        <v>2003</v>
      </c>
      <c r="K513" s="21">
        <v>37774</v>
      </c>
      <c r="L513">
        <v>2003</v>
      </c>
      <c r="M513" s="21">
        <v>39373</v>
      </c>
      <c r="N513">
        <v>2007</v>
      </c>
      <c r="R513" s="262">
        <v>35000</v>
      </c>
      <c r="S513" t="s">
        <v>114</v>
      </c>
      <c r="T513" t="s">
        <v>114</v>
      </c>
      <c r="U513">
        <v>7</v>
      </c>
      <c r="W513">
        <v>850</v>
      </c>
      <c r="X513">
        <v>1</v>
      </c>
      <c r="Y513">
        <v>0</v>
      </c>
      <c r="Z513">
        <v>0</v>
      </c>
      <c r="AA513">
        <v>0</v>
      </c>
      <c r="AB513">
        <v>0</v>
      </c>
      <c r="AC513">
        <v>0</v>
      </c>
      <c r="AD513">
        <v>0</v>
      </c>
      <c r="AE513">
        <v>850</v>
      </c>
      <c r="AF513">
        <v>0</v>
      </c>
      <c r="AG513">
        <v>0</v>
      </c>
      <c r="AH513">
        <v>0</v>
      </c>
      <c r="AI513">
        <v>0</v>
      </c>
      <c r="AJ513">
        <v>0</v>
      </c>
      <c r="AK513">
        <v>0</v>
      </c>
      <c r="AL513">
        <v>0</v>
      </c>
      <c r="AM513">
        <v>0</v>
      </c>
      <c r="AN513">
        <v>0</v>
      </c>
      <c r="AO513">
        <v>0</v>
      </c>
      <c r="AP513">
        <v>0</v>
      </c>
      <c r="AQ513">
        <v>1</v>
      </c>
      <c r="AR513">
        <v>0</v>
      </c>
      <c r="AS513">
        <v>0</v>
      </c>
      <c r="AT513">
        <v>0</v>
      </c>
      <c r="AU513">
        <f t="shared" si="14"/>
        <v>1</v>
      </c>
      <c r="AV513">
        <f t="shared" si="15"/>
        <v>0</v>
      </c>
    </row>
    <row r="514" spans="1:48" x14ac:dyDescent="0.25">
      <c r="A514" t="s">
        <v>3642</v>
      </c>
      <c r="C514" t="s">
        <v>3643</v>
      </c>
      <c r="D514" t="s">
        <v>3644</v>
      </c>
      <c r="E514" t="s">
        <v>2310</v>
      </c>
      <c r="F514">
        <v>10</v>
      </c>
      <c r="G514">
        <v>10.1</v>
      </c>
      <c r="H514" t="s">
        <v>2323</v>
      </c>
      <c r="I514" s="21">
        <v>37746</v>
      </c>
      <c r="J514">
        <v>2003</v>
      </c>
      <c r="K514" s="21">
        <v>37771</v>
      </c>
      <c r="L514">
        <v>2003</v>
      </c>
      <c r="M514" s="21">
        <v>38742</v>
      </c>
      <c r="N514">
        <v>2006</v>
      </c>
      <c r="R514" s="262">
        <v>280000</v>
      </c>
      <c r="S514" t="s">
        <v>114</v>
      </c>
      <c r="T514" t="s">
        <v>114</v>
      </c>
      <c r="U514">
        <v>5</v>
      </c>
      <c r="W514">
        <v>3423</v>
      </c>
      <c r="X514">
        <v>1</v>
      </c>
      <c r="Y514">
        <v>0</v>
      </c>
      <c r="Z514">
        <v>0</v>
      </c>
      <c r="AA514">
        <v>0</v>
      </c>
      <c r="AB514">
        <v>0</v>
      </c>
      <c r="AC514">
        <v>3423</v>
      </c>
      <c r="AD514">
        <v>0</v>
      </c>
      <c r="AE514">
        <v>0</v>
      </c>
      <c r="AF514">
        <v>0</v>
      </c>
      <c r="AG514">
        <v>0</v>
      </c>
      <c r="AH514">
        <v>0</v>
      </c>
      <c r="AI514">
        <v>0</v>
      </c>
      <c r="AJ514">
        <v>0</v>
      </c>
      <c r="AK514">
        <v>0</v>
      </c>
      <c r="AL514">
        <v>0</v>
      </c>
      <c r="AM514">
        <v>0</v>
      </c>
      <c r="AN514">
        <v>0</v>
      </c>
      <c r="AO514">
        <v>1</v>
      </c>
      <c r="AP514">
        <v>0</v>
      </c>
      <c r="AQ514">
        <v>0</v>
      </c>
      <c r="AR514">
        <v>0</v>
      </c>
      <c r="AS514">
        <v>0</v>
      </c>
      <c r="AT514">
        <v>0</v>
      </c>
      <c r="AU514">
        <f t="shared" si="14"/>
        <v>1</v>
      </c>
      <c r="AV514">
        <f t="shared" si="15"/>
        <v>0</v>
      </c>
    </row>
    <row r="515" spans="1:48" x14ac:dyDescent="0.25">
      <c r="A515" t="s">
        <v>3645</v>
      </c>
      <c r="C515" t="s">
        <v>3646</v>
      </c>
      <c r="D515" t="s">
        <v>3647</v>
      </c>
      <c r="E515" t="s">
        <v>2310</v>
      </c>
      <c r="F515">
        <v>15</v>
      </c>
      <c r="G515">
        <v>15.3</v>
      </c>
      <c r="H515" t="s">
        <v>2022</v>
      </c>
      <c r="I515" s="21">
        <v>37746</v>
      </c>
      <c r="J515">
        <v>2003</v>
      </c>
      <c r="K515" s="21">
        <v>37774</v>
      </c>
      <c r="L515">
        <v>2003</v>
      </c>
      <c r="M515" s="21">
        <v>37837</v>
      </c>
      <c r="N515">
        <v>2003</v>
      </c>
      <c r="R515" s="262">
        <v>10000</v>
      </c>
      <c r="S515" t="s">
        <v>114</v>
      </c>
      <c r="T515" t="s">
        <v>114</v>
      </c>
      <c r="U515">
        <v>10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c r="AQ515">
        <v>0</v>
      </c>
      <c r="AR515">
        <v>0</v>
      </c>
      <c r="AS515">
        <v>0</v>
      </c>
      <c r="AT515">
        <v>0</v>
      </c>
      <c r="AU515">
        <f t="shared" si="14"/>
        <v>0</v>
      </c>
      <c r="AV515">
        <f t="shared" si="15"/>
        <v>0</v>
      </c>
    </row>
    <row r="516" spans="1:48" x14ac:dyDescent="0.25">
      <c r="A516" t="s">
        <v>3648</v>
      </c>
      <c r="C516" t="s">
        <v>3649</v>
      </c>
      <c r="D516" t="s">
        <v>3650</v>
      </c>
      <c r="E516" t="s">
        <v>2310</v>
      </c>
      <c r="F516">
        <v>9</v>
      </c>
      <c r="G516">
        <v>9.3000000000000007</v>
      </c>
      <c r="H516" t="s">
        <v>2323</v>
      </c>
      <c r="I516" s="21">
        <v>37747</v>
      </c>
      <c r="J516">
        <v>2003</v>
      </c>
      <c r="K516" s="21">
        <v>37774</v>
      </c>
      <c r="L516">
        <v>2003</v>
      </c>
      <c r="M516" s="21">
        <v>38821</v>
      </c>
      <c r="N516">
        <v>2006</v>
      </c>
      <c r="R516" s="262">
        <v>10000</v>
      </c>
      <c r="S516" t="s">
        <v>114</v>
      </c>
      <c r="T516" t="s">
        <v>114</v>
      </c>
      <c r="U516">
        <v>5</v>
      </c>
      <c r="W516">
        <v>380</v>
      </c>
      <c r="X516">
        <v>0</v>
      </c>
      <c r="Y516">
        <v>0</v>
      </c>
      <c r="Z516">
        <v>0</v>
      </c>
      <c r="AA516">
        <v>0</v>
      </c>
      <c r="AB516">
        <v>0</v>
      </c>
      <c r="AC516">
        <v>380</v>
      </c>
      <c r="AD516">
        <v>0</v>
      </c>
      <c r="AE516">
        <v>0</v>
      </c>
      <c r="AF516">
        <v>0</v>
      </c>
      <c r="AG516">
        <v>0</v>
      </c>
      <c r="AH516">
        <v>0</v>
      </c>
      <c r="AI516">
        <v>0</v>
      </c>
      <c r="AJ516">
        <v>0</v>
      </c>
      <c r="AK516">
        <v>0</v>
      </c>
      <c r="AL516">
        <v>0</v>
      </c>
      <c r="AM516">
        <v>0</v>
      </c>
      <c r="AN516">
        <v>0</v>
      </c>
      <c r="AO516">
        <v>0</v>
      </c>
      <c r="AP516">
        <v>0</v>
      </c>
      <c r="AQ516">
        <v>0</v>
      </c>
      <c r="AR516">
        <v>0</v>
      </c>
      <c r="AS516">
        <v>0</v>
      </c>
      <c r="AT516">
        <v>0</v>
      </c>
      <c r="AU516">
        <f t="shared" si="14"/>
        <v>0</v>
      </c>
      <c r="AV516">
        <f t="shared" si="15"/>
        <v>0</v>
      </c>
    </row>
    <row r="517" spans="1:48" x14ac:dyDescent="0.25">
      <c r="A517" t="s">
        <v>3651</v>
      </c>
      <c r="C517" t="s">
        <v>3652</v>
      </c>
      <c r="D517" t="s">
        <v>3054</v>
      </c>
      <c r="E517" t="s">
        <v>2310</v>
      </c>
      <c r="F517">
        <v>12</v>
      </c>
      <c r="G517">
        <v>12.3</v>
      </c>
      <c r="H517" t="s">
        <v>2017</v>
      </c>
      <c r="I517" s="21">
        <v>37747</v>
      </c>
      <c r="J517">
        <v>2003</v>
      </c>
      <c r="K517" s="21">
        <v>37777</v>
      </c>
      <c r="L517">
        <v>2003</v>
      </c>
      <c r="M517" s="21">
        <v>38056</v>
      </c>
      <c r="N517">
        <v>2004</v>
      </c>
      <c r="R517" s="262">
        <v>100000</v>
      </c>
      <c r="S517" t="s">
        <v>114</v>
      </c>
      <c r="T517" t="s">
        <v>114</v>
      </c>
      <c r="U517">
        <v>8</v>
      </c>
      <c r="W517">
        <v>365</v>
      </c>
      <c r="X517">
        <v>1</v>
      </c>
      <c r="Y517">
        <v>0</v>
      </c>
      <c r="Z517">
        <v>0</v>
      </c>
      <c r="AA517">
        <v>0</v>
      </c>
      <c r="AB517">
        <v>0</v>
      </c>
      <c r="AC517">
        <v>-595</v>
      </c>
      <c r="AD517">
        <v>0</v>
      </c>
      <c r="AE517">
        <v>0</v>
      </c>
      <c r="AF517">
        <v>960</v>
      </c>
      <c r="AG517">
        <v>0</v>
      </c>
      <c r="AH517">
        <v>0</v>
      </c>
      <c r="AI517">
        <v>0</v>
      </c>
      <c r="AJ517">
        <v>0</v>
      </c>
      <c r="AK517">
        <v>0</v>
      </c>
      <c r="AL517">
        <v>0</v>
      </c>
      <c r="AM517">
        <v>0</v>
      </c>
      <c r="AN517">
        <v>0</v>
      </c>
      <c r="AO517">
        <v>0</v>
      </c>
      <c r="AP517">
        <v>0</v>
      </c>
      <c r="AQ517">
        <v>0</v>
      </c>
      <c r="AR517">
        <v>1</v>
      </c>
      <c r="AS517">
        <v>0</v>
      </c>
      <c r="AT517">
        <v>0</v>
      </c>
      <c r="AU517">
        <f t="shared" si="14"/>
        <v>0</v>
      </c>
      <c r="AV517">
        <f t="shared" si="15"/>
        <v>0</v>
      </c>
    </row>
    <row r="518" spans="1:48" x14ac:dyDescent="0.25">
      <c r="A518" t="s">
        <v>3653</v>
      </c>
      <c r="C518" t="s">
        <v>3654</v>
      </c>
      <c r="D518" t="s">
        <v>3655</v>
      </c>
      <c r="E518" t="s">
        <v>2310</v>
      </c>
      <c r="F518">
        <v>15</v>
      </c>
      <c r="G518">
        <v>15.1</v>
      </c>
      <c r="H518" t="s">
        <v>2022</v>
      </c>
      <c r="I518" s="21">
        <v>37747</v>
      </c>
      <c r="J518">
        <v>2003</v>
      </c>
      <c r="K518" s="21">
        <v>37776</v>
      </c>
      <c r="L518">
        <v>2003</v>
      </c>
      <c r="M518" s="21">
        <v>37776</v>
      </c>
      <c r="N518">
        <v>2003</v>
      </c>
      <c r="R518" s="262">
        <v>50000</v>
      </c>
      <c r="S518" t="s">
        <v>114</v>
      </c>
      <c r="T518" t="s">
        <v>114</v>
      </c>
      <c r="U518">
        <v>5</v>
      </c>
      <c r="W518">
        <v>935</v>
      </c>
      <c r="X518">
        <v>0</v>
      </c>
      <c r="Y518">
        <v>0</v>
      </c>
      <c r="Z518">
        <v>0</v>
      </c>
      <c r="AA518">
        <v>0</v>
      </c>
      <c r="AB518">
        <v>0</v>
      </c>
      <c r="AC518">
        <v>935</v>
      </c>
      <c r="AD518">
        <v>0</v>
      </c>
      <c r="AE518">
        <v>0</v>
      </c>
      <c r="AF518">
        <v>0</v>
      </c>
      <c r="AG518">
        <v>0</v>
      </c>
      <c r="AH518">
        <v>0</v>
      </c>
      <c r="AI518">
        <v>0</v>
      </c>
      <c r="AJ518">
        <v>0</v>
      </c>
      <c r="AK518">
        <v>0</v>
      </c>
      <c r="AL518">
        <v>0</v>
      </c>
      <c r="AM518">
        <v>0</v>
      </c>
      <c r="AN518">
        <v>0</v>
      </c>
      <c r="AO518">
        <v>0</v>
      </c>
      <c r="AP518">
        <v>0</v>
      </c>
      <c r="AQ518">
        <v>0</v>
      </c>
      <c r="AR518">
        <v>0</v>
      </c>
      <c r="AS518">
        <v>0</v>
      </c>
      <c r="AT518">
        <v>0</v>
      </c>
      <c r="AU518">
        <f t="shared" si="14"/>
        <v>0</v>
      </c>
      <c r="AV518">
        <f t="shared" si="15"/>
        <v>0</v>
      </c>
    </row>
    <row r="519" spans="1:48" x14ac:dyDescent="0.25">
      <c r="A519" t="s">
        <v>3656</v>
      </c>
      <c r="C519" t="s">
        <v>3657</v>
      </c>
      <c r="D519" t="s">
        <v>3658</v>
      </c>
      <c r="E519" t="s">
        <v>2310</v>
      </c>
      <c r="F519">
        <v>9</v>
      </c>
      <c r="G519">
        <v>9.1</v>
      </c>
      <c r="H519" t="s">
        <v>2323</v>
      </c>
      <c r="I519" s="21">
        <v>37747</v>
      </c>
      <c r="J519">
        <v>2003</v>
      </c>
      <c r="K519" s="21">
        <v>37776</v>
      </c>
      <c r="L519">
        <v>2003</v>
      </c>
      <c r="M519" s="21">
        <v>37776</v>
      </c>
      <c r="N519">
        <v>2003</v>
      </c>
      <c r="R519" s="262">
        <v>45000</v>
      </c>
      <c r="S519" t="s">
        <v>114</v>
      </c>
      <c r="T519" t="s">
        <v>114</v>
      </c>
      <c r="U519">
        <v>5</v>
      </c>
      <c r="W519">
        <v>351</v>
      </c>
      <c r="X519">
        <v>0</v>
      </c>
      <c r="Y519">
        <v>0</v>
      </c>
      <c r="Z519">
        <v>0</v>
      </c>
      <c r="AA519">
        <v>0</v>
      </c>
      <c r="AB519">
        <v>0</v>
      </c>
      <c r="AC519">
        <v>351</v>
      </c>
      <c r="AD519">
        <v>0</v>
      </c>
      <c r="AE519">
        <v>0</v>
      </c>
      <c r="AF519">
        <v>0</v>
      </c>
      <c r="AG519">
        <v>0</v>
      </c>
      <c r="AH519">
        <v>0</v>
      </c>
      <c r="AI519">
        <v>0</v>
      </c>
      <c r="AJ519">
        <v>0</v>
      </c>
      <c r="AK519">
        <v>0</v>
      </c>
      <c r="AL519">
        <v>0</v>
      </c>
      <c r="AM519">
        <v>0</v>
      </c>
      <c r="AN519">
        <v>0</v>
      </c>
      <c r="AO519">
        <v>0</v>
      </c>
      <c r="AP519">
        <v>0</v>
      </c>
      <c r="AQ519">
        <v>0</v>
      </c>
      <c r="AR519">
        <v>0</v>
      </c>
      <c r="AS519">
        <v>0</v>
      </c>
      <c r="AT519">
        <v>0</v>
      </c>
      <c r="AU519">
        <f t="shared" si="14"/>
        <v>0</v>
      </c>
      <c r="AV519">
        <f t="shared" si="15"/>
        <v>0</v>
      </c>
    </row>
    <row r="520" spans="1:48" x14ac:dyDescent="0.25">
      <c r="A520" t="s">
        <v>3659</v>
      </c>
      <c r="C520" t="s">
        <v>2712</v>
      </c>
      <c r="D520" t="s">
        <v>3660</v>
      </c>
      <c r="E520" t="s">
        <v>2310</v>
      </c>
      <c r="F520">
        <v>9</v>
      </c>
      <c r="G520">
        <v>9.3000000000000007</v>
      </c>
      <c r="H520" t="s">
        <v>2323</v>
      </c>
      <c r="I520" s="21">
        <v>37748</v>
      </c>
      <c r="J520">
        <v>2003</v>
      </c>
      <c r="K520" s="21">
        <v>37777</v>
      </c>
      <c r="L520">
        <v>2003</v>
      </c>
      <c r="M520" s="21">
        <v>37958</v>
      </c>
      <c r="N520">
        <v>2003</v>
      </c>
      <c r="R520" s="262">
        <v>12000</v>
      </c>
      <c r="S520" t="s">
        <v>114</v>
      </c>
      <c r="T520" t="s">
        <v>114</v>
      </c>
      <c r="U520">
        <v>5</v>
      </c>
      <c r="W520">
        <v>384</v>
      </c>
      <c r="X520">
        <v>0</v>
      </c>
      <c r="Y520">
        <v>0</v>
      </c>
      <c r="Z520">
        <v>0</v>
      </c>
      <c r="AA520">
        <v>0</v>
      </c>
      <c r="AB520">
        <v>0</v>
      </c>
      <c r="AC520">
        <v>384</v>
      </c>
      <c r="AD520">
        <v>0</v>
      </c>
      <c r="AE520">
        <v>0</v>
      </c>
      <c r="AF520">
        <v>0</v>
      </c>
      <c r="AG520">
        <v>0</v>
      </c>
      <c r="AH520">
        <v>0</v>
      </c>
      <c r="AI520">
        <v>0</v>
      </c>
      <c r="AJ520">
        <v>0</v>
      </c>
      <c r="AK520">
        <v>0</v>
      </c>
      <c r="AL520">
        <v>0</v>
      </c>
      <c r="AM520">
        <v>0</v>
      </c>
      <c r="AN520">
        <v>0</v>
      </c>
      <c r="AO520">
        <v>0</v>
      </c>
      <c r="AP520">
        <v>0</v>
      </c>
      <c r="AQ520">
        <v>0</v>
      </c>
      <c r="AR520">
        <v>0</v>
      </c>
      <c r="AS520">
        <v>0</v>
      </c>
      <c r="AT520">
        <v>0</v>
      </c>
      <c r="AU520">
        <f t="shared" si="14"/>
        <v>0</v>
      </c>
      <c r="AV520">
        <f t="shared" si="15"/>
        <v>0</v>
      </c>
    </row>
    <row r="521" spans="1:48" x14ac:dyDescent="0.25">
      <c r="A521" t="s">
        <v>3661</v>
      </c>
      <c r="C521" t="s">
        <v>3662</v>
      </c>
      <c r="D521" t="s">
        <v>3663</v>
      </c>
      <c r="E521" t="s">
        <v>2310</v>
      </c>
      <c r="F521">
        <v>9</v>
      </c>
      <c r="G521">
        <v>9.3000000000000007</v>
      </c>
      <c r="H521" t="s">
        <v>2323</v>
      </c>
      <c r="I521" s="21">
        <v>37749</v>
      </c>
      <c r="J521">
        <v>2003</v>
      </c>
      <c r="K521" s="21">
        <v>37777</v>
      </c>
      <c r="L521">
        <v>2003</v>
      </c>
      <c r="M521" s="21">
        <v>38531</v>
      </c>
      <c r="N521">
        <v>2005</v>
      </c>
      <c r="R521" s="262">
        <v>25000</v>
      </c>
      <c r="S521" t="s">
        <v>114</v>
      </c>
      <c r="T521" t="s">
        <v>114</v>
      </c>
      <c r="U521">
        <v>8</v>
      </c>
      <c r="W521">
        <v>0</v>
      </c>
      <c r="X521">
        <v>1</v>
      </c>
      <c r="Y521">
        <v>0</v>
      </c>
      <c r="Z521">
        <v>0</v>
      </c>
      <c r="AA521">
        <v>0</v>
      </c>
      <c r="AB521">
        <v>0</v>
      </c>
      <c r="AC521">
        <v>0</v>
      </c>
      <c r="AD521">
        <v>0</v>
      </c>
      <c r="AE521">
        <v>0</v>
      </c>
      <c r="AF521">
        <v>0</v>
      </c>
      <c r="AG521">
        <v>0</v>
      </c>
      <c r="AH521">
        <v>0</v>
      </c>
      <c r="AI521">
        <v>0</v>
      </c>
      <c r="AJ521">
        <v>0</v>
      </c>
      <c r="AK521">
        <v>0</v>
      </c>
      <c r="AL521">
        <v>0</v>
      </c>
      <c r="AM521">
        <v>0</v>
      </c>
      <c r="AN521">
        <v>0</v>
      </c>
      <c r="AO521">
        <v>0</v>
      </c>
      <c r="AP521">
        <v>0</v>
      </c>
      <c r="AQ521">
        <v>0</v>
      </c>
      <c r="AR521">
        <v>1</v>
      </c>
      <c r="AS521">
        <v>0</v>
      </c>
      <c r="AT521">
        <v>0</v>
      </c>
      <c r="AU521">
        <f t="shared" si="14"/>
        <v>0</v>
      </c>
      <c r="AV521">
        <f t="shared" si="15"/>
        <v>0</v>
      </c>
    </row>
    <row r="522" spans="1:48" x14ac:dyDescent="0.25">
      <c r="A522" t="s">
        <v>3664</v>
      </c>
      <c r="C522" t="s">
        <v>3665</v>
      </c>
      <c r="D522" t="s">
        <v>2432</v>
      </c>
      <c r="E522" t="s">
        <v>2310</v>
      </c>
      <c r="F522">
        <v>13</v>
      </c>
      <c r="G522">
        <v>13.1</v>
      </c>
      <c r="H522" t="s">
        <v>2327</v>
      </c>
      <c r="I522" s="21">
        <v>37749</v>
      </c>
      <c r="J522">
        <v>2003</v>
      </c>
      <c r="K522" s="21">
        <v>37777</v>
      </c>
      <c r="L522">
        <v>2003</v>
      </c>
      <c r="M522" s="21">
        <v>37777</v>
      </c>
      <c r="N522">
        <v>2003</v>
      </c>
      <c r="R522" s="262">
        <v>8000</v>
      </c>
      <c r="S522" t="s">
        <v>114</v>
      </c>
      <c r="T522" t="s">
        <v>114</v>
      </c>
      <c r="U522">
        <v>13</v>
      </c>
      <c r="W522">
        <v>130</v>
      </c>
      <c r="X522">
        <v>0</v>
      </c>
      <c r="Y522">
        <v>0</v>
      </c>
      <c r="Z522">
        <v>0</v>
      </c>
      <c r="AA522">
        <v>0</v>
      </c>
      <c r="AB522">
        <v>0</v>
      </c>
      <c r="AC522">
        <v>0</v>
      </c>
      <c r="AD522">
        <v>0</v>
      </c>
      <c r="AE522">
        <v>0</v>
      </c>
      <c r="AF522">
        <v>0</v>
      </c>
      <c r="AG522">
        <v>0</v>
      </c>
      <c r="AH522">
        <v>0</v>
      </c>
      <c r="AI522">
        <v>0</v>
      </c>
      <c r="AJ522">
        <v>0</v>
      </c>
      <c r="AK522">
        <v>130</v>
      </c>
      <c r="AL522">
        <v>0</v>
      </c>
      <c r="AM522">
        <v>0</v>
      </c>
      <c r="AN522">
        <v>0</v>
      </c>
      <c r="AO522">
        <v>0</v>
      </c>
      <c r="AP522">
        <v>0</v>
      </c>
      <c r="AQ522">
        <v>0</v>
      </c>
      <c r="AR522">
        <v>0</v>
      </c>
      <c r="AS522">
        <v>0</v>
      </c>
      <c r="AT522">
        <v>0</v>
      </c>
      <c r="AU522">
        <f t="shared" si="14"/>
        <v>0</v>
      </c>
      <c r="AV522">
        <f t="shared" si="15"/>
        <v>130</v>
      </c>
    </row>
    <row r="523" spans="1:48" x14ac:dyDescent="0.25">
      <c r="A523" t="s">
        <v>3668</v>
      </c>
      <c r="C523" t="s">
        <v>3669</v>
      </c>
      <c r="D523" t="s">
        <v>3670</v>
      </c>
      <c r="E523" t="s">
        <v>2310</v>
      </c>
      <c r="F523">
        <v>10</v>
      </c>
      <c r="G523">
        <v>10.1</v>
      </c>
      <c r="H523" t="s">
        <v>2323</v>
      </c>
      <c r="I523" s="21">
        <v>37753</v>
      </c>
      <c r="J523">
        <v>2003</v>
      </c>
      <c r="K523" s="21">
        <v>37777</v>
      </c>
      <c r="L523">
        <v>2003</v>
      </c>
      <c r="M523" s="21">
        <v>37777</v>
      </c>
      <c r="N523">
        <v>2003</v>
      </c>
      <c r="R523" s="262">
        <v>25000</v>
      </c>
      <c r="S523" t="s">
        <v>114</v>
      </c>
      <c r="T523" t="s">
        <v>114</v>
      </c>
      <c r="U523">
        <v>5</v>
      </c>
      <c r="W523">
        <v>170</v>
      </c>
      <c r="X523">
        <v>0</v>
      </c>
      <c r="Y523">
        <v>0</v>
      </c>
      <c r="Z523">
        <v>0</v>
      </c>
      <c r="AA523">
        <v>0</v>
      </c>
      <c r="AB523">
        <v>0</v>
      </c>
      <c r="AC523">
        <v>170</v>
      </c>
      <c r="AD523">
        <v>0</v>
      </c>
      <c r="AE523">
        <v>0</v>
      </c>
      <c r="AF523">
        <v>0</v>
      </c>
      <c r="AG523">
        <v>0</v>
      </c>
      <c r="AH523">
        <v>0</v>
      </c>
      <c r="AI523">
        <v>0</v>
      </c>
      <c r="AJ523">
        <v>0</v>
      </c>
      <c r="AK523">
        <v>0</v>
      </c>
      <c r="AL523">
        <v>0</v>
      </c>
      <c r="AM523">
        <v>0</v>
      </c>
      <c r="AN523">
        <v>0</v>
      </c>
      <c r="AO523">
        <v>0</v>
      </c>
      <c r="AP523">
        <v>0</v>
      </c>
      <c r="AQ523">
        <v>0</v>
      </c>
      <c r="AR523">
        <v>0</v>
      </c>
      <c r="AS523">
        <v>0</v>
      </c>
      <c r="AT523">
        <v>0</v>
      </c>
      <c r="AU523">
        <f t="shared" si="14"/>
        <v>0</v>
      </c>
      <c r="AV523">
        <f t="shared" si="15"/>
        <v>0</v>
      </c>
    </row>
    <row r="524" spans="1:48" x14ac:dyDescent="0.25">
      <c r="A524" t="s">
        <v>3671</v>
      </c>
      <c r="C524" t="s">
        <v>2486</v>
      </c>
      <c r="D524" t="s">
        <v>3672</v>
      </c>
      <c r="E524" t="s">
        <v>2310</v>
      </c>
      <c r="F524">
        <v>9</v>
      </c>
      <c r="G524">
        <v>9.3000000000000007</v>
      </c>
      <c r="H524" t="s">
        <v>2323</v>
      </c>
      <c r="I524" s="21">
        <v>37753</v>
      </c>
      <c r="J524">
        <v>2003</v>
      </c>
      <c r="K524" s="21">
        <v>37784</v>
      </c>
      <c r="L524">
        <v>2003</v>
      </c>
      <c r="M524" s="21">
        <v>38105</v>
      </c>
      <c r="N524">
        <v>2004</v>
      </c>
      <c r="R524" s="262">
        <v>800000</v>
      </c>
      <c r="S524" t="s">
        <v>114</v>
      </c>
      <c r="T524" t="s">
        <v>114</v>
      </c>
      <c r="U524">
        <v>5</v>
      </c>
      <c r="W524">
        <v>4405</v>
      </c>
      <c r="X524">
        <v>1</v>
      </c>
      <c r="Y524">
        <v>0</v>
      </c>
      <c r="Z524">
        <v>0</v>
      </c>
      <c r="AA524">
        <v>0</v>
      </c>
      <c r="AB524">
        <v>0</v>
      </c>
      <c r="AC524">
        <v>4405</v>
      </c>
      <c r="AD524">
        <v>0</v>
      </c>
      <c r="AE524">
        <v>0</v>
      </c>
      <c r="AF524">
        <v>0</v>
      </c>
      <c r="AG524">
        <v>0</v>
      </c>
      <c r="AH524">
        <v>0</v>
      </c>
      <c r="AI524">
        <v>0</v>
      </c>
      <c r="AJ524">
        <v>0</v>
      </c>
      <c r="AK524">
        <v>0</v>
      </c>
      <c r="AL524">
        <v>0</v>
      </c>
      <c r="AM524">
        <v>0</v>
      </c>
      <c r="AN524">
        <v>0</v>
      </c>
      <c r="AO524">
        <v>1</v>
      </c>
      <c r="AP524">
        <v>0</v>
      </c>
      <c r="AQ524">
        <v>0</v>
      </c>
      <c r="AR524">
        <v>0</v>
      </c>
      <c r="AS524">
        <v>0</v>
      </c>
      <c r="AT524">
        <v>0</v>
      </c>
      <c r="AU524">
        <f t="shared" si="14"/>
        <v>1</v>
      </c>
      <c r="AV524">
        <f t="shared" si="15"/>
        <v>0</v>
      </c>
    </row>
    <row r="525" spans="1:48" x14ac:dyDescent="0.25">
      <c r="A525" t="s">
        <v>3666</v>
      </c>
      <c r="C525" t="s">
        <v>2408</v>
      </c>
      <c r="D525" t="s">
        <v>3667</v>
      </c>
      <c r="E525" t="s">
        <v>1663</v>
      </c>
      <c r="F525">
        <v>5</v>
      </c>
      <c r="G525">
        <v>5.5</v>
      </c>
      <c r="H525" t="s">
        <v>2017</v>
      </c>
      <c r="I525" s="21">
        <v>37753</v>
      </c>
      <c r="J525">
        <v>2003</v>
      </c>
      <c r="K525" s="21">
        <v>37784</v>
      </c>
      <c r="L525">
        <v>2003</v>
      </c>
      <c r="M525" s="21">
        <v>37937</v>
      </c>
      <c r="N525">
        <v>2003</v>
      </c>
      <c r="Q525" s="262">
        <v>31980</v>
      </c>
      <c r="S525" t="s">
        <v>114</v>
      </c>
      <c r="T525" t="s">
        <v>114</v>
      </c>
      <c r="W525">
        <v>390</v>
      </c>
      <c r="X525">
        <v>0</v>
      </c>
      <c r="Y525">
        <v>0</v>
      </c>
      <c r="Z525">
        <v>0</v>
      </c>
      <c r="AA525">
        <v>0</v>
      </c>
      <c r="AB525">
        <v>0</v>
      </c>
      <c r="AC525">
        <v>390</v>
      </c>
      <c r="AD525">
        <v>0</v>
      </c>
      <c r="AE525">
        <v>0</v>
      </c>
      <c r="AF525">
        <v>0</v>
      </c>
      <c r="AG525">
        <v>0</v>
      </c>
      <c r="AH525">
        <v>0</v>
      </c>
      <c r="AI525">
        <v>0</v>
      </c>
      <c r="AJ525">
        <v>0</v>
      </c>
      <c r="AK525">
        <v>0</v>
      </c>
      <c r="AL525">
        <v>0</v>
      </c>
      <c r="AM525">
        <v>0</v>
      </c>
      <c r="AN525">
        <v>0</v>
      </c>
      <c r="AO525">
        <v>0</v>
      </c>
      <c r="AP525">
        <v>0</v>
      </c>
      <c r="AQ525">
        <v>0</v>
      </c>
      <c r="AR525">
        <v>0</v>
      </c>
      <c r="AS525">
        <v>0</v>
      </c>
      <c r="AT525">
        <v>0</v>
      </c>
      <c r="AU525">
        <f t="shared" si="14"/>
        <v>0</v>
      </c>
      <c r="AV525">
        <f t="shared" si="15"/>
        <v>0</v>
      </c>
    </row>
    <row r="526" spans="1:48" x14ac:dyDescent="0.25">
      <c r="A526" t="s">
        <v>3673</v>
      </c>
      <c r="C526" t="s">
        <v>3674</v>
      </c>
      <c r="D526" t="s">
        <v>3675</v>
      </c>
      <c r="E526" t="s">
        <v>2310</v>
      </c>
      <c r="F526">
        <v>9</v>
      </c>
      <c r="G526">
        <v>9.4</v>
      </c>
      <c r="H526" t="s">
        <v>2323</v>
      </c>
      <c r="I526" s="21">
        <v>37754</v>
      </c>
      <c r="J526">
        <v>2003</v>
      </c>
      <c r="K526" s="21">
        <v>37778</v>
      </c>
      <c r="L526">
        <v>2003</v>
      </c>
      <c r="M526" s="21">
        <v>37972</v>
      </c>
      <c r="N526">
        <v>2003</v>
      </c>
      <c r="R526" s="262">
        <v>50000</v>
      </c>
      <c r="S526" t="s">
        <v>114</v>
      </c>
      <c r="T526" t="s">
        <v>114</v>
      </c>
      <c r="U526">
        <v>5</v>
      </c>
      <c r="W526">
        <v>290</v>
      </c>
      <c r="X526">
        <v>0</v>
      </c>
      <c r="Y526">
        <v>0</v>
      </c>
      <c r="Z526">
        <v>0</v>
      </c>
      <c r="AA526">
        <v>0</v>
      </c>
      <c r="AB526">
        <v>0</v>
      </c>
      <c r="AC526">
        <v>290</v>
      </c>
      <c r="AD526">
        <v>0</v>
      </c>
      <c r="AE526">
        <v>0</v>
      </c>
      <c r="AF526">
        <v>0</v>
      </c>
      <c r="AG526">
        <v>0</v>
      </c>
      <c r="AH526">
        <v>0</v>
      </c>
      <c r="AI526">
        <v>0</v>
      </c>
      <c r="AJ526">
        <v>0</v>
      </c>
      <c r="AK526">
        <v>0</v>
      </c>
      <c r="AL526">
        <v>0</v>
      </c>
      <c r="AM526">
        <v>0</v>
      </c>
      <c r="AN526">
        <v>0</v>
      </c>
      <c r="AO526">
        <v>0</v>
      </c>
      <c r="AP526">
        <v>0</v>
      </c>
      <c r="AQ526">
        <v>0</v>
      </c>
      <c r="AR526">
        <v>0</v>
      </c>
      <c r="AS526">
        <v>0</v>
      </c>
      <c r="AT526">
        <v>0</v>
      </c>
      <c r="AU526">
        <f t="shared" si="14"/>
        <v>0</v>
      </c>
      <c r="AV526">
        <f t="shared" si="15"/>
        <v>0</v>
      </c>
    </row>
    <row r="527" spans="1:48" x14ac:dyDescent="0.25">
      <c r="A527" t="s">
        <v>3676</v>
      </c>
      <c r="C527" t="s">
        <v>3677</v>
      </c>
      <c r="D527" t="s">
        <v>3678</v>
      </c>
      <c r="E527" t="s">
        <v>2310</v>
      </c>
      <c r="F527">
        <v>9</v>
      </c>
      <c r="G527">
        <v>9.1</v>
      </c>
      <c r="H527" t="s">
        <v>2323</v>
      </c>
      <c r="I527" s="21">
        <v>37754</v>
      </c>
      <c r="J527">
        <v>2003</v>
      </c>
      <c r="K527" s="21">
        <v>37776</v>
      </c>
      <c r="L527">
        <v>2003</v>
      </c>
      <c r="M527" s="21">
        <v>37776</v>
      </c>
      <c r="N527">
        <v>2003</v>
      </c>
      <c r="R527" s="262">
        <v>60000</v>
      </c>
      <c r="S527" t="s">
        <v>114</v>
      </c>
      <c r="T527" t="s">
        <v>114</v>
      </c>
      <c r="U527">
        <v>5</v>
      </c>
      <c r="W527">
        <v>125</v>
      </c>
      <c r="X527">
        <v>0</v>
      </c>
      <c r="Y527">
        <v>0</v>
      </c>
      <c r="Z527">
        <v>0</v>
      </c>
      <c r="AA527">
        <v>0</v>
      </c>
      <c r="AB527">
        <v>0</v>
      </c>
      <c r="AC527">
        <v>125</v>
      </c>
      <c r="AD527">
        <v>0</v>
      </c>
      <c r="AE527">
        <v>0</v>
      </c>
      <c r="AF527">
        <v>0</v>
      </c>
      <c r="AG527">
        <v>0</v>
      </c>
      <c r="AH527">
        <v>0</v>
      </c>
      <c r="AI527">
        <v>0</v>
      </c>
      <c r="AJ527">
        <v>0</v>
      </c>
      <c r="AK527">
        <v>0</v>
      </c>
      <c r="AL527">
        <v>0</v>
      </c>
      <c r="AM527">
        <v>0</v>
      </c>
      <c r="AN527">
        <v>0</v>
      </c>
      <c r="AO527">
        <v>0</v>
      </c>
      <c r="AP527">
        <v>0</v>
      </c>
      <c r="AQ527">
        <v>0</v>
      </c>
      <c r="AR527">
        <v>0</v>
      </c>
      <c r="AS527">
        <v>0</v>
      </c>
      <c r="AT527">
        <v>0</v>
      </c>
      <c r="AU527">
        <f t="shared" si="14"/>
        <v>0</v>
      </c>
      <c r="AV527">
        <f t="shared" si="15"/>
        <v>0</v>
      </c>
    </row>
    <row r="528" spans="1:48" x14ac:dyDescent="0.25">
      <c r="A528" t="s">
        <v>3679</v>
      </c>
      <c r="C528" t="s">
        <v>3680</v>
      </c>
      <c r="D528" t="s">
        <v>3681</v>
      </c>
      <c r="E528" t="s">
        <v>2310</v>
      </c>
      <c r="F528">
        <v>10</v>
      </c>
      <c r="G528">
        <v>10.1</v>
      </c>
      <c r="H528" t="s">
        <v>2323</v>
      </c>
      <c r="I528" s="21">
        <v>37754</v>
      </c>
      <c r="J528">
        <v>2003</v>
      </c>
      <c r="K528" s="21">
        <v>37782</v>
      </c>
      <c r="L528">
        <v>2003</v>
      </c>
      <c r="M528" s="21">
        <v>38014</v>
      </c>
      <c r="N528">
        <v>2004</v>
      </c>
      <c r="R528" s="262">
        <v>393000</v>
      </c>
      <c r="S528" t="s">
        <v>114</v>
      </c>
      <c r="T528" t="s">
        <v>114</v>
      </c>
      <c r="U528">
        <v>5</v>
      </c>
      <c r="W528">
        <v>4220</v>
      </c>
      <c r="X528">
        <v>1</v>
      </c>
      <c r="Y528">
        <v>0</v>
      </c>
      <c r="Z528">
        <v>0</v>
      </c>
      <c r="AA528">
        <v>0</v>
      </c>
      <c r="AB528">
        <v>0</v>
      </c>
      <c r="AC528">
        <v>4220</v>
      </c>
      <c r="AD528">
        <v>0</v>
      </c>
      <c r="AE528">
        <v>0</v>
      </c>
      <c r="AF528">
        <v>0</v>
      </c>
      <c r="AG528">
        <v>0</v>
      </c>
      <c r="AH528">
        <v>0</v>
      </c>
      <c r="AI528">
        <v>0</v>
      </c>
      <c r="AJ528">
        <v>0</v>
      </c>
      <c r="AK528">
        <v>0</v>
      </c>
      <c r="AL528">
        <v>0</v>
      </c>
      <c r="AM528">
        <v>0</v>
      </c>
      <c r="AN528">
        <v>0</v>
      </c>
      <c r="AO528">
        <v>1</v>
      </c>
      <c r="AP528">
        <v>0</v>
      </c>
      <c r="AQ528">
        <v>0</v>
      </c>
      <c r="AR528">
        <v>0</v>
      </c>
      <c r="AS528">
        <v>0</v>
      </c>
      <c r="AT528">
        <v>0</v>
      </c>
      <c r="AU528">
        <f t="shared" si="14"/>
        <v>1</v>
      </c>
      <c r="AV528">
        <f t="shared" si="15"/>
        <v>0</v>
      </c>
    </row>
    <row r="529" spans="1:48" x14ac:dyDescent="0.25">
      <c r="A529" t="s">
        <v>3682</v>
      </c>
      <c r="C529" t="s">
        <v>3683</v>
      </c>
      <c r="D529" t="s">
        <v>3684</v>
      </c>
      <c r="E529" t="s">
        <v>2310</v>
      </c>
      <c r="F529">
        <v>15</v>
      </c>
      <c r="G529">
        <v>15.2</v>
      </c>
      <c r="H529" t="s">
        <v>2323</v>
      </c>
      <c r="I529" s="21">
        <v>37754</v>
      </c>
      <c r="J529">
        <v>2003</v>
      </c>
      <c r="K529" s="21">
        <v>37777</v>
      </c>
      <c r="L529">
        <v>2003</v>
      </c>
      <c r="M529" s="21">
        <v>37957</v>
      </c>
      <c r="N529">
        <v>2003</v>
      </c>
      <c r="R529" s="262">
        <v>35000</v>
      </c>
      <c r="S529" t="s">
        <v>114</v>
      </c>
      <c r="T529" t="s">
        <v>114</v>
      </c>
      <c r="U529">
        <v>5</v>
      </c>
      <c r="W529">
        <v>280</v>
      </c>
      <c r="X529">
        <v>0</v>
      </c>
      <c r="Y529">
        <v>0</v>
      </c>
      <c r="Z529">
        <v>0</v>
      </c>
      <c r="AA529">
        <v>0</v>
      </c>
      <c r="AB529">
        <v>0</v>
      </c>
      <c r="AC529">
        <v>280</v>
      </c>
      <c r="AD529">
        <v>0</v>
      </c>
      <c r="AE529">
        <v>0</v>
      </c>
      <c r="AF529">
        <v>0</v>
      </c>
      <c r="AG529">
        <v>0</v>
      </c>
      <c r="AH529">
        <v>0</v>
      </c>
      <c r="AI529">
        <v>0</v>
      </c>
      <c r="AJ529">
        <v>0</v>
      </c>
      <c r="AK529">
        <v>0</v>
      </c>
      <c r="AL529">
        <v>0</v>
      </c>
      <c r="AM529">
        <v>0</v>
      </c>
      <c r="AN529">
        <v>0</v>
      </c>
      <c r="AO529">
        <v>0</v>
      </c>
      <c r="AP529">
        <v>0</v>
      </c>
      <c r="AQ529">
        <v>0</v>
      </c>
      <c r="AR529">
        <v>0</v>
      </c>
      <c r="AS529">
        <v>0</v>
      </c>
      <c r="AT529">
        <v>0</v>
      </c>
      <c r="AU529">
        <f t="shared" si="14"/>
        <v>0</v>
      </c>
      <c r="AV529">
        <f t="shared" si="15"/>
        <v>0</v>
      </c>
    </row>
    <row r="530" spans="1:48" x14ac:dyDescent="0.25">
      <c r="A530" t="s">
        <v>3685</v>
      </c>
      <c r="C530" t="s">
        <v>3686</v>
      </c>
      <c r="D530" t="s">
        <v>3687</v>
      </c>
      <c r="E530" t="s">
        <v>2310</v>
      </c>
      <c r="F530">
        <v>10</v>
      </c>
      <c r="G530">
        <v>10.1</v>
      </c>
      <c r="H530" t="s">
        <v>2323</v>
      </c>
      <c r="I530" s="21">
        <v>37754</v>
      </c>
      <c r="J530">
        <v>2003</v>
      </c>
      <c r="K530" s="21">
        <v>37777</v>
      </c>
      <c r="L530">
        <v>2003</v>
      </c>
      <c r="M530" s="21">
        <v>37777</v>
      </c>
      <c r="N530">
        <v>2003</v>
      </c>
      <c r="R530" s="262">
        <v>25000</v>
      </c>
      <c r="S530" t="s">
        <v>114</v>
      </c>
      <c r="T530" t="s">
        <v>114</v>
      </c>
      <c r="U530">
        <v>5</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c r="AQ530">
        <v>0</v>
      </c>
      <c r="AR530">
        <v>0</v>
      </c>
      <c r="AS530">
        <v>0</v>
      </c>
      <c r="AT530">
        <v>0</v>
      </c>
      <c r="AU530">
        <f t="shared" si="14"/>
        <v>0</v>
      </c>
      <c r="AV530">
        <f t="shared" si="15"/>
        <v>0</v>
      </c>
    </row>
    <row r="531" spans="1:48" x14ac:dyDescent="0.25">
      <c r="A531" t="s">
        <v>3688</v>
      </c>
      <c r="C531" t="s">
        <v>3689</v>
      </c>
      <c r="D531" t="s">
        <v>3690</v>
      </c>
      <c r="E531" t="s">
        <v>2310</v>
      </c>
      <c r="F531">
        <v>9</v>
      </c>
      <c r="G531">
        <v>9.1999999999999993</v>
      </c>
      <c r="H531" t="s">
        <v>2022</v>
      </c>
      <c r="I531" s="21">
        <v>37755</v>
      </c>
      <c r="J531">
        <v>2003</v>
      </c>
      <c r="K531" s="21">
        <v>37778</v>
      </c>
      <c r="L531">
        <v>2003</v>
      </c>
      <c r="M531" s="21">
        <v>37778</v>
      </c>
      <c r="N531">
        <v>2003</v>
      </c>
      <c r="R531" s="262">
        <v>400000</v>
      </c>
      <c r="S531" t="s">
        <v>114</v>
      </c>
      <c r="T531" t="s">
        <v>114</v>
      </c>
      <c r="U531">
        <v>5</v>
      </c>
      <c r="W531">
        <v>1321</v>
      </c>
      <c r="X531">
        <v>0</v>
      </c>
      <c r="Y531">
        <v>0</v>
      </c>
      <c r="Z531">
        <v>0</v>
      </c>
      <c r="AA531">
        <v>0</v>
      </c>
      <c r="AB531">
        <v>0</v>
      </c>
      <c r="AC531">
        <v>1321</v>
      </c>
      <c r="AD531">
        <v>0</v>
      </c>
      <c r="AE531">
        <v>0</v>
      </c>
      <c r="AF531">
        <v>0</v>
      </c>
      <c r="AG531">
        <v>0</v>
      </c>
      <c r="AH531">
        <v>0</v>
      </c>
      <c r="AI531">
        <v>0</v>
      </c>
      <c r="AJ531">
        <v>0</v>
      </c>
      <c r="AK531">
        <v>0</v>
      </c>
      <c r="AL531">
        <v>0</v>
      </c>
      <c r="AM531">
        <v>0</v>
      </c>
      <c r="AN531">
        <v>0</v>
      </c>
      <c r="AO531">
        <v>0</v>
      </c>
      <c r="AP531">
        <v>0</v>
      </c>
      <c r="AQ531">
        <v>0</v>
      </c>
      <c r="AR531">
        <v>0</v>
      </c>
      <c r="AS531">
        <v>0</v>
      </c>
      <c r="AT531">
        <v>0</v>
      </c>
      <c r="AU531">
        <f t="shared" si="14"/>
        <v>0</v>
      </c>
      <c r="AV531">
        <f t="shared" si="15"/>
        <v>0</v>
      </c>
    </row>
    <row r="532" spans="1:48" x14ac:dyDescent="0.25">
      <c r="A532" t="s">
        <v>3691</v>
      </c>
      <c r="C532" t="s">
        <v>3692</v>
      </c>
      <c r="D532" t="s">
        <v>3693</v>
      </c>
      <c r="E532" t="s">
        <v>2310</v>
      </c>
      <c r="F532">
        <v>9</v>
      </c>
      <c r="G532">
        <v>9.1999999999999993</v>
      </c>
      <c r="H532" t="s">
        <v>2022</v>
      </c>
      <c r="I532" s="21">
        <v>37755</v>
      </c>
      <c r="J532">
        <v>2003</v>
      </c>
      <c r="K532" s="21">
        <v>37778</v>
      </c>
      <c r="L532">
        <v>2003</v>
      </c>
      <c r="M532" s="21">
        <v>39671</v>
      </c>
      <c r="N532">
        <v>2008</v>
      </c>
      <c r="R532" s="262">
        <v>100000</v>
      </c>
      <c r="S532" t="s">
        <v>114</v>
      </c>
      <c r="T532" t="s">
        <v>114</v>
      </c>
      <c r="U532">
        <v>5</v>
      </c>
      <c r="W532">
        <v>471</v>
      </c>
      <c r="X532">
        <v>0</v>
      </c>
      <c r="Y532">
        <v>0</v>
      </c>
      <c r="Z532">
        <v>0</v>
      </c>
      <c r="AA532">
        <v>0</v>
      </c>
      <c r="AB532">
        <v>0</v>
      </c>
      <c r="AC532">
        <v>471</v>
      </c>
      <c r="AD532">
        <v>0</v>
      </c>
      <c r="AE532">
        <v>0</v>
      </c>
      <c r="AF532">
        <v>0</v>
      </c>
      <c r="AG532">
        <v>0</v>
      </c>
      <c r="AH532">
        <v>0</v>
      </c>
      <c r="AI532">
        <v>0</v>
      </c>
      <c r="AJ532">
        <v>0</v>
      </c>
      <c r="AK532">
        <v>0</v>
      </c>
      <c r="AL532">
        <v>0</v>
      </c>
      <c r="AM532">
        <v>0</v>
      </c>
      <c r="AN532">
        <v>0</v>
      </c>
      <c r="AO532">
        <v>0</v>
      </c>
      <c r="AP532">
        <v>0</v>
      </c>
      <c r="AQ532">
        <v>0</v>
      </c>
      <c r="AR532">
        <v>0</v>
      </c>
      <c r="AS532">
        <v>0</v>
      </c>
      <c r="AT532">
        <v>0</v>
      </c>
      <c r="AU532">
        <f t="shared" si="14"/>
        <v>0</v>
      </c>
      <c r="AV532">
        <f t="shared" si="15"/>
        <v>0</v>
      </c>
    </row>
    <row r="533" spans="1:48" x14ac:dyDescent="0.25">
      <c r="A533" t="s">
        <v>3694</v>
      </c>
      <c r="C533" t="s">
        <v>3695</v>
      </c>
      <c r="D533" t="s">
        <v>3696</v>
      </c>
      <c r="E533" t="s">
        <v>2310</v>
      </c>
      <c r="F533">
        <v>8</v>
      </c>
      <c r="G533">
        <v>8.1</v>
      </c>
      <c r="H533" t="s">
        <v>2323</v>
      </c>
      <c r="I533" s="21">
        <v>37755</v>
      </c>
      <c r="J533">
        <v>2003</v>
      </c>
      <c r="K533" s="21">
        <v>37777</v>
      </c>
      <c r="L533">
        <v>2003</v>
      </c>
      <c r="M533" s="21">
        <v>37975</v>
      </c>
      <c r="N533">
        <v>2003</v>
      </c>
      <c r="R533" s="262">
        <v>140000</v>
      </c>
      <c r="S533" t="s">
        <v>114</v>
      </c>
      <c r="T533" t="s">
        <v>114</v>
      </c>
      <c r="U533">
        <v>5</v>
      </c>
      <c r="W533">
        <v>1747</v>
      </c>
      <c r="X533">
        <v>0</v>
      </c>
      <c r="Y533">
        <v>0</v>
      </c>
      <c r="Z533">
        <v>0</v>
      </c>
      <c r="AA533">
        <v>0</v>
      </c>
      <c r="AB533">
        <v>0</v>
      </c>
      <c r="AC533">
        <v>1747</v>
      </c>
      <c r="AD533">
        <v>0</v>
      </c>
      <c r="AE533">
        <v>0</v>
      </c>
      <c r="AF533">
        <v>0</v>
      </c>
      <c r="AG533">
        <v>0</v>
      </c>
      <c r="AH533">
        <v>0</v>
      </c>
      <c r="AI533">
        <v>0</v>
      </c>
      <c r="AJ533">
        <v>0</v>
      </c>
      <c r="AK533">
        <v>0</v>
      </c>
      <c r="AL533">
        <v>0</v>
      </c>
      <c r="AM533">
        <v>0</v>
      </c>
      <c r="AN533">
        <v>0</v>
      </c>
      <c r="AO533">
        <v>0</v>
      </c>
      <c r="AP533">
        <v>0</v>
      </c>
      <c r="AQ533">
        <v>0</v>
      </c>
      <c r="AR533">
        <v>0</v>
      </c>
      <c r="AS533">
        <v>0</v>
      </c>
      <c r="AT533">
        <v>0</v>
      </c>
      <c r="AU533">
        <f t="shared" si="14"/>
        <v>0</v>
      </c>
      <c r="AV533">
        <f t="shared" si="15"/>
        <v>0</v>
      </c>
    </row>
    <row r="534" spans="1:48" x14ac:dyDescent="0.25">
      <c r="A534" t="s">
        <v>3697</v>
      </c>
      <c r="C534" t="s">
        <v>3698</v>
      </c>
      <c r="D534" t="s">
        <v>3699</v>
      </c>
      <c r="E534" t="s">
        <v>2310</v>
      </c>
      <c r="F534">
        <v>15</v>
      </c>
      <c r="G534">
        <v>15.1</v>
      </c>
      <c r="H534" t="s">
        <v>2022</v>
      </c>
      <c r="I534" s="21">
        <v>37755</v>
      </c>
      <c r="J534">
        <v>2003</v>
      </c>
      <c r="K534" s="21">
        <v>37782</v>
      </c>
      <c r="L534">
        <v>2003</v>
      </c>
      <c r="M534" s="21">
        <v>38350</v>
      </c>
      <c r="N534">
        <v>2004</v>
      </c>
      <c r="R534" s="262">
        <v>1500000</v>
      </c>
      <c r="S534" t="s">
        <v>114</v>
      </c>
      <c r="T534" t="s">
        <v>114</v>
      </c>
      <c r="U534">
        <v>5</v>
      </c>
      <c r="W534">
        <v>7047</v>
      </c>
      <c r="X534">
        <v>1</v>
      </c>
      <c r="Y534">
        <v>0</v>
      </c>
      <c r="Z534">
        <v>0</v>
      </c>
      <c r="AA534">
        <v>0</v>
      </c>
      <c r="AB534">
        <v>0</v>
      </c>
      <c r="AC534">
        <v>7047</v>
      </c>
      <c r="AD534">
        <v>0</v>
      </c>
      <c r="AE534">
        <v>0</v>
      </c>
      <c r="AF534">
        <v>0</v>
      </c>
      <c r="AG534">
        <v>0</v>
      </c>
      <c r="AH534">
        <v>0</v>
      </c>
      <c r="AI534">
        <v>0</v>
      </c>
      <c r="AJ534">
        <v>0</v>
      </c>
      <c r="AK534">
        <v>0</v>
      </c>
      <c r="AL534">
        <v>0</v>
      </c>
      <c r="AM534">
        <v>0</v>
      </c>
      <c r="AN534">
        <v>0</v>
      </c>
      <c r="AO534">
        <v>1</v>
      </c>
      <c r="AP534">
        <v>0</v>
      </c>
      <c r="AQ534">
        <v>0</v>
      </c>
      <c r="AR534">
        <v>0</v>
      </c>
      <c r="AS534">
        <v>0</v>
      </c>
      <c r="AT534">
        <v>0</v>
      </c>
      <c r="AU534">
        <f t="shared" si="14"/>
        <v>1</v>
      </c>
      <c r="AV534">
        <f t="shared" si="15"/>
        <v>0</v>
      </c>
    </row>
    <row r="535" spans="1:48" x14ac:dyDescent="0.25">
      <c r="A535" t="s">
        <v>3700</v>
      </c>
      <c r="C535" t="s">
        <v>3701</v>
      </c>
      <c r="D535" t="s">
        <v>3212</v>
      </c>
      <c r="E535" t="s">
        <v>2310</v>
      </c>
      <c r="F535">
        <v>9</v>
      </c>
      <c r="G535">
        <v>9.1</v>
      </c>
      <c r="H535" t="s">
        <v>2323</v>
      </c>
      <c r="I535" s="21">
        <v>37756</v>
      </c>
      <c r="J535">
        <v>2003</v>
      </c>
      <c r="K535" s="21">
        <v>37783</v>
      </c>
      <c r="L535">
        <v>2003</v>
      </c>
      <c r="M535" s="21">
        <v>38477</v>
      </c>
      <c r="N535">
        <v>2005</v>
      </c>
      <c r="R535" s="262">
        <v>400000</v>
      </c>
      <c r="S535" t="s">
        <v>114</v>
      </c>
      <c r="T535" t="s">
        <v>114</v>
      </c>
      <c r="U535">
        <v>8</v>
      </c>
      <c r="W535">
        <v>2000</v>
      </c>
      <c r="X535">
        <v>1</v>
      </c>
      <c r="Y535">
        <v>0</v>
      </c>
      <c r="Z535">
        <v>0</v>
      </c>
      <c r="AA535">
        <v>0</v>
      </c>
      <c r="AB535">
        <v>0</v>
      </c>
      <c r="AC535">
        <v>1000</v>
      </c>
      <c r="AD535">
        <v>0</v>
      </c>
      <c r="AE535">
        <v>0</v>
      </c>
      <c r="AF535">
        <v>1000</v>
      </c>
      <c r="AG535">
        <v>0</v>
      </c>
      <c r="AH535">
        <v>0</v>
      </c>
      <c r="AI535">
        <v>0</v>
      </c>
      <c r="AJ535">
        <v>0</v>
      </c>
      <c r="AK535">
        <v>0</v>
      </c>
      <c r="AL535">
        <v>0</v>
      </c>
      <c r="AM535">
        <v>0</v>
      </c>
      <c r="AN535">
        <v>0</v>
      </c>
      <c r="AO535">
        <v>0</v>
      </c>
      <c r="AP535">
        <v>0</v>
      </c>
      <c r="AQ535">
        <v>0</v>
      </c>
      <c r="AR535">
        <v>1</v>
      </c>
      <c r="AS535">
        <v>0</v>
      </c>
      <c r="AT535">
        <v>0</v>
      </c>
      <c r="AU535">
        <f t="shared" si="14"/>
        <v>0</v>
      </c>
      <c r="AV535">
        <f t="shared" si="15"/>
        <v>0</v>
      </c>
    </row>
    <row r="536" spans="1:48" x14ac:dyDescent="0.25">
      <c r="A536" t="s">
        <v>3702</v>
      </c>
      <c r="C536" t="s">
        <v>3703</v>
      </c>
      <c r="D536" t="s">
        <v>3704</v>
      </c>
      <c r="E536" t="s">
        <v>2310</v>
      </c>
      <c r="F536">
        <v>12</v>
      </c>
      <c r="G536">
        <v>12.3</v>
      </c>
      <c r="H536" t="s">
        <v>2017</v>
      </c>
      <c r="I536" s="21">
        <v>37756</v>
      </c>
      <c r="J536">
        <v>2003</v>
      </c>
      <c r="K536" s="21">
        <v>37781</v>
      </c>
      <c r="L536">
        <v>2003</v>
      </c>
      <c r="M536" s="21">
        <v>37781</v>
      </c>
      <c r="N536">
        <v>2003</v>
      </c>
      <c r="R536" s="262">
        <v>75000</v>
      </c>
      <c r="S536" t="s">
        <v>114</v>
      </c>
      <c r="T536" t="s">
        <v>114</v>
      </c>
      <c r="U536">
        <v>5</v>
      </c>
      <c r="W536">
        <v>560</v>
      </c>
      <c r="X536">
        <v>0</v>
      </c>
      <c r="Y536">
        <v>0</v>
      </c>
      <c r="Z536">
        <v>0</v>
      </c>
      <c r="AA536">
        <v>0</v>
      </c>
      <c r="AB536">
        <v>0</v>
      </c>
      <c r="AC536">
        <v>560</v>
      </c>
      <c r="AD536">
        <v>0</v>
      </c>
      <c r="AE536">
        <v>0</v>
      </c>
      <c r="AF536">
        <v>0</v>
      </c>
      <c r="AG536">
        <v>0</v>
      </c>
      <c r="AH536">
        <v>0</v>
      </c>
      <c r="AI536">
        <v>0</v>
      </c>
      <c r="AJ536">
        <v>0</v>
      </c>
      <c r="AK536">
        <v>0</v>
      </c>
      <c r="AL536">
        <v>0</v>
      </c>
      <c r="AM536">
        <v>0</v>
      </c>
      <c r="AN536">
        <v>0</v>
      </c>
      <c r="AO536">
        <v>0</v>
      </c>
      <c r="AP536">
        <v>0</v>
      </c>
      <c r="AQ536">
        <v>0</v>
      </c>
      <c r="AR536">
        <v>0</v>
      </c>
      <c r="AS536">
        <v>0</v>
      </c>
      <c r="AT536">
        <v>0</v>
      </c>
      <c r="AU536">
        <f t="shared" si="14"/>
        <v>0</v>
      </c>
      <c r="AV536">
        <f t="shared" si="15"/>
        <v>0</v>
      </c>
    </row>
    <row r="537" spans="1:48" x14ac:dyDescent="0.25">
      <c r="A537" t="s">
        <v>3705</v>
      </c>
      <c r="C537" t="s">
        <v>3706</v>
      </c>
      <c r="D537" t="s">
        <v>3707</v>
      </c>
      <c r="E537" t="s">
        <v>2310</v>
      </c>
      <c r="F537">
        <v>13</v>
      </c>
      <c r="G537">
        <v>13.2</v>
      </c>
      <c r="H537" t="s">
        <v>2327</v>
      </c>
      <c r="I537" s="21">
        <v>37760</v>
      </c>
      <c r="J537">
        <v>2003</v>
      </c>
      <c r="K537" s="21">
        <v>37783</v>
      </c>
      <c r="L537">
        <v>2003</v>
      </c>
      <c r="M537" s="21">
        <v>37783</v>
      </c>
      <c r="N537">
        <v>2003</v>
      </c>
      <c r="R537" s="262">
        <v>24000</v>
      </c>
      <c r="S537" t="s">
        <v>114</v>
      </c>
      <c r="T537" t="s">
        <v>114</v>
      </c>
      <c r="U537">
        <v>5</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c r="AQ537">
        <v>0</v>
      </c>
      <c r="AR537">
        <v>0</v>
      </c>
      <c r="AS537">
        <v>0</v>
      </c>
      <c r="AT537">
        <v>0</v>
      </c>
      <c r="AU537">
        <f t="shared" ref="AU537:AU600" si="16">SUM(AN537:AQ537,AS537)</f>
        <v>0</v>
      </c>
      <c r="AV537">
        <f t="shared" ref="AV537:AV600" si="17">SUM(Y537:AB537,AH537:AM537)</f>
        <v>0</v>
      </c>
    </row>
    <row r="538" spans="1:48" x14ac:dyDescent="0.25">
      <c r="A538" t="s">
        <v>3708</v>
      </c>
      <c r="C538" t="s">
        <v>3709</v>
      </c>
      <c r="D538" t="s">
        <v>3710</v>
      </c>
      <c r="E538" t="s">
        <v>2310</v>
      </c>
      <c r="F538">
        <v>15</v>
      </c>
      <c r="G538">
        <v>15.2</v>
      </c>
      <c r="H538" t="s">
        <v>2323</v>
      </c>
      <c r="I538" s="21">
        <v>37761</v>
      </c>
      <c r="J538">
        <v>2003</v>
      </c>
      <c r="K538" s="21">
        <v>37797</v>
      </c>
      <c r="L538">
        <v>2003</v>
      </c>
      <c r="M538" s="21">
        <v>38264</v>
      </c>
      <c r="N538">
        <v>2004</v>
      </c>
      <c r="R538" s="262">
        <v>550000</v>
      </c>
      <c r="S538" t="s">
        <v>114</v>
      </c>
      <c r="T538" t="s">
        <v>114</v>
      </c>
      <c r="U538">
        <v>5</v>
      </c>
      <c r="W538">
        <v>3166</v>
      </c>
      <c r="X538">
        <v>0</v>
      </c>
      <c r="Y538">
        <v>0</v>
      </c>
      <c r="Z538">
        <v>0</v>
      </c>
      <c r="AA538">
        <v>0</v>
      </c>
      <c r="AB538">
        <v>0</v>
      </c>
      <c r="AC538">
        <v>3166</v>
      </c>
      <c r="AD538">
        <v>0</v>
      </c>
      <c r="AE538">
        <v>0</v>
      </c>
      <c r="AF538">
        <v>0</v>
      </c>
      <c r="AG538">
        <v>0</v>
      </c>
      <c r="AH538">
        <v>0</v>
      </c>
      <c r="AI538">
        <v>0</v>
      </c>
      <c r="AJ538">
        <v>0</v>
      </c>
      <c r="AK538">
        <v>0</v>
      </c>
      <c r="AL538">
        <v>0</v>
      </c>
      <c r="AM538">
        <v>0</v>
      </c>
      <c r="AN538">
        <v>0</v>
      </c>
      <c r="AO538">
        <v>0</v>
      </c>
      <c r="AP538">
        <v>0</v>
      </c>
      <c r="AQ538">
        <v>0</v>
      </c>
      <c r="AR538">
        <v>0</v>
      </c>
      <c r="AS538">
        <v>0</v>
      </c>
      <c r="AT538">
        <v>0</v>
      </c>
      <c r="AU538">
        <f t="shared" si="16"/>
        <v>0</v>
      </c>
      <c r="AV538">
        <f t="shared" si="17"/>
        <v>0</v>
      </c>
    </row>
    <row r="539" spans="1:48" x14ac:dyDescent="0.25">
      <c r="A539" t="s">
        <v>3711</v>
      </c>
      <c r="C539" t="s">
        <v>3712</v>
      </c>
      <c r="D539" t="s">
        <v>3713</v>
      </c>
      <c r="E539" t="s">
        <v>2310</v>
      </c>
      <c r="F539">
        <v>8</v>
      </c>
      <c r="G539">
        <v>8.1999999999999993</v>
      </c>
      <c r="H539" t="s">
        <v>2022</v>
      </c>
      <c r="I539" s="21">
        <v>37761</v>
      </c>
      <c r="J539">
        <v>2003</v>
      </c>
      <c r="K539" s="21">
        <v>37798</v>
      </c>
      <c r="L539">
        <v>2003</v>
      </c>
      <c r="M539" s="21">
        <v>38159</v>
      </c>
      <c r="N539">
        <v>2004</v>
      </c>
      <c r="R539" s="262">
        <v>462000</v>
      </c>
      <c r="S539" t="s">
        <v>114</v>
      </c>
      <c r="T539" t="s">
        <v>114</v>
      </c>
      <c r="U539">
        <v>8</v>
      </c>
      <c r="W539">
        <v>1910</v>
      </c>
      <c r="X539">
        <v>1</v>
      </c>
      <c r="Y539">
        <v>0</v>
      </c>
      <c r="Z539">
        <v>0</v>
      </c>
      <c r="AA539">
        <v>0</v>
      </c>
      <c r="AB539">
        <v>0</v>
      </c>
      <c r="AC539">
        <v>910</v>
      </c>
      <c r="AD539">
        <v>0</v>
      </c>
      <c r="AE539">
        <v>0</v>
      </c>
      <c r="AF539">
        <v>1000</v>
      </c>
      <c r="AG539">
        <v>0</v>
      </c>
      <c r="AH539">
        <v>0</v>
      </c>
      <c r="AI539">
        <v>0</v>
      </c>
      <c r="AJ539">
        <v>0</v>
      </c>
      <c r="AK539">
        <v>0</v>
      </c>
      <c r="AL539">
        <v>0</v>
      </c>
      <c r="AM539">
        <v>0</v>
      </c>
      <c r="AN539">
        <v>0</v>
      </c>
      <c r="AO539">
        <v>0</v>
      </c>
      <c r="AP539">
        <v>0</v>
      </c>
      <c r="AQ539">
        <v>0</v>
      </c>
      <c r="AR539">
        <v>1</v>
      </c>
      <c r="AS539">
        <v>0</v>
      </c>
      <c r="AT539">
        <v>0</v>
      </c>
      <c r="AU539">
        <f t="shared" si="16"/>
        <v>0</v>
      </c>
      <c r="AV539">
        <f t="shared" si="17"/>
        <v>0</v>
      </c>
    </row>
    <row r="540" spans="1:48" x14ac:dyDescent="0.25">
      <c r="A540" t="s">
        <v>3714</v>
      </c>
      <c r="C540" t="s">
        <v>3715</v>
      </c>
      <c r="D540" t="s">
        <v>3716</v>
      </c>
      <c r="E540" t="s">
        <v>2310</v>
      </c>
      <c r="F540">
        <v>15</v>
      </c>
      <c r="G540">
        <v>15.1</v>
      </c>
      <c r="H540" t="s">
        <v>2022</v>
      </c>
      <c r="I540" s="21">
        <v>37762</v>
      </c>
      <c r="J540">
        <v>2003</v>
      </c>
      <c r="K540" s="21">
        <v>37791</v>
      </c>
      <c r="L540">
        <v>2003</v>
      </c>
      <c r="M540" s="21">
        <v>37791</v>
      </c>
      <c r="N540">
        <v>2003</v>
      </c>
      <c r="R540" s="262">
        <v>5000</v>
      </c>
      <c r="S540" t="s">
        <v>114</v>
      </c>
      <c r="T540" t="s">
        <v>114</v>
      </c>
      <c r="U540">
        <v>5</v>
      </c>
      <c r="W540">
        <v>150</v>
      </c>
      <c r="X540">
        <v>0</v>
      </c>
      <c r="Y540">
        <v>0</v>
      </c>
      <c r="Z540">
        <v>0</v>
      </c>
      <c r="AA540">
        <v>0</v>
      </c>
      <c r="AB540">
        <v>0</v>
      </c>
      <c r="AC540">
        <v>150</v>
      </c>
      <c r="AD540">
        <v>0</v>
      </c>
      <c r="AE540">
        <v>0</v>
      </c>
      <c r="AF540">
        <v>0</v>
      </c>
      <c r="AG540">
        <v>0</v>
      </c>
      <c r="AH540">
        <v>0</v>
      </c>
      <c r="AI540">
        <v>0</v>
      </c>
      <c r="AJ540">
        <v>0</v>
      </c>
      <c r="AK540">
        <v>0</v>
      </c>
      <c r="AL540">
        <v>0</v>
      </c>
      <c r="AM540">
        <v>0</v>
      </c>
      <c r="AN540">
        <v>0</v>
      </c>
      <c r="AO540">
        <v>0</v>
      </c>
      <c r="AP540">
        <v>0</v>
      </c>
      <c r="AQ540">
        <v>0</v>
      </c>
      <c r="AR540">
        <v>0</v>
      </c>
      <c r="AS540">
        <v>0</v>
      </c>
      <c r="AT540">
        <v>0</v>
      </c>
      <c r="AU540">
        <f t="shared" si="16"/>
        <v>0</v>
      </c>
      <c r="AV540">
        <f t="shared" si="17"/>
        <v>0</v>
      </c>
    </row>
    <row r="541" spans="1:48" x14ac:dyDescent="0.25">
      <c r="A541" t="s">
        <v>3717</v>
      </c>
      <c r="C541" t="s">
        <v>3364</v>
      </c>
      <c r="D541" t="s">
        <v>3718</v>
      </c>
      <c r="E541" t="s">
        <v>2310</v>
      </c>
      <c r="F541">
        <v>15</v>
      </c>
      <c r="G541">
        <v>15.3</v>
      </c>
      <c r="H541" t="s">
        <v>2022</v>
      </c>
      <c r="I541" s="21">
        <v>37762</v>
      </c>
      <c r="J541">
        <v>2003</v>
      </c>
      <c r="K541" s="21">
        <v>37791</v>
      </c>
      <c r="L541">
        <v>2003</v>
      </c>
      <c r="M541" s="21">
        <v>37791</v>
      </c>
      <c r="N541">
        <v>2003</v>
      </c>
      <c r="R541" s="262">
        <v>15000</v>
      </c>
      <c r="S541" t="s">
        <v>114</v>
      </c>
      <c r="T541" t="s">
        <v>114</v>
      </c>
      <c r="U541">
        <v>5</v>
      </c>
      <c r="W541">
        <v>651</v>
      </c>
      <c r="X541">
        <v>0</v>
      </c>
      <c r="Y541">
        <v>0</v>
      </c>
      <c r="Z541">
        <v>0</v>
      </c>
      <c r="AA541">
        <v>0</v>
      </c>
      <c r="AB541">
        <v>0</v>
      </c>
      <c r="AC541">
        <v>651</v>
      </c>
      <c r="AD541">
        <v>0</v>
      </c>
      <c r="AE541">
        <v>0</v>
      </c>
      <c r="AF541">
        <v>0</v>
      </c>
      <c r="AG541">
        <v>0</v>
      </c>
      <c r="AH541">
        <v>0</v>
      </c>
      <c r="AI541">
        <v>0</v>
      </c>
      <c r="AJ541">
        <v>0</v>
      </c>
      <c r="AK541">
        <v>0</v>
      </c>
      <c r="AL541">
        <v>0</v>
      </c>
      <c r="AM541">
        <v>0</v>
      </c>
      <c r="AN541">
        <v>0</v>
      </c>
      <c r="AO541">
        <v>0</v>
      </c>
      <c r="AP541">
        <v>0</v>
      </c>
      <c r="AQ541">
        <v>0</v>
      </c>
      <c r="AR541">
        <v>0</v>
      </c>
      <c r="AS541">
        <v>0</v>
      </c>
      <c r="AT541">
        <v>0</v>
      </c>
      <c r="AU541">
        <f t="shared" si="16"/>
        <v>0</v>
      </c>
      <c r="AV541">
        <f t="shared" si="17"/>
        <v>0</v>
      </c>
    </row>
    <row r="542" spans="1:48" x14ac:dyDescent="0.25">
      <c r="A542" t="s">
        <v>3719</v>
      </c>
      <c r="C542" t="s">
        <v>3720</v>
      </c>
      <c r="D542" t="s">
        <v>3721</v>
      </c>
      <c r="E542" t="s">
        <v>2310</v>
      </c>
      <c r="F542">
        <v>15</v>
      </c>
      <c r="G542">
        <v>15.2</v>
      </c>
      <c r="H542" t="s">
        <v>2323</v>
      </c>
      <c r="I542" s="21">
        <v>37763</v>
      </c>
      <c r="J542">
        <v>2003</v>
      </c>
      <c r="K542" s="21">
        <v>37802</v>
      </c>
      <c r="L542">
        <v>2003</v>
      </c>
      <c r="M542" s="21">
        <v>38054</v>
      </c>
      <c r="N542">
        <v>2004</v>
      </c>
      <c r="R542" s="262">
        <v>303000</v>
      </c>
      <c r="S542" t="s">
        <v>114</v>
      </c>
      <c r="T542" t="s">
        <v>114</v>
      </c>
      <c r="U542">
        <v>5</v>
      </c>
      <c r="W542">
        <v>4135</v>
      </c>
      <c r="X542">
        <v>1</v>
      </c>
      <c r="Y542">
        <v>0</v>
      </c>
      <c r="Z542">
        <v>0</v>
      </c>
      <c r="AA542">
        <v>0</v>
      </c>
      <c r="AB542">
        <v>0</v>
      </c>
      <c r="AC542">
        <v>4135</v>
      </c>
      <c r="AD542">
        <v>0</v>
      </c>
      <c r="AE542">
        <v>0</v>
      </c>
      <c r="AF542">
        <v>0</v>
      </c>
      <c r="AG542">
        <v>0</v>
      </c>
      <c r="AH542">
        <v>0</v>
      </c>
      <c r="AI542">
        <v>0</v>
      </c>
      <c r="AJ542">
        <v>0</v>
      </c>
      <c r="AK542">
        <v>0</v>
      </c>
      <c r="AL542">
        <v>0</v>
      </c>
      <c r="AM542">
        <v>0</v>
      </c>
      <c r="AN542">
        <v>0</v>
      </c>
      <c r="AO542">
        <v>1</v>
      </c>
      <c r="AP542">
        <v>0</v>
      </c>
      <c r="AQ542">
        <v>0</v>
      </c>
      <c r="AR542">
        <v>0</v>
      </c>
      <c r="AS542">
        <v>0</v>
      </c>
      <c r="AT542">
        <v>0</v>
      </c>
      <c r="AU542">
        <f t="shared" si="16"/>
        <v>1</v>
      </c>
      <c r="AV542">
        <f t="shared" si="17"/>
        <v>0</v>
      </c>
    </row>
    <row r="543" spans="1:48" x14ac:dyDescent="0.25">
      <c r="A543" t="s">
        <v>3722</v>
      </c>
      <c r="C543" t="s">
        <v>3723</v>
      </c>
      <c r="D543" t="s">
        <v>3721</v>
      </c>
      <c r="E543" t="s">
        <v>2310</v>
      </c>
      <c r="F543">
        <v>15</v>
      </c>
      <c r="G543">
        <v>15.2</v>
      </c>
      <c r="H543" t="s">
        <v>2323</v>
      </c>
      <c r="I543" s="21">
        <v>37763</v>
      </c>
      <c r="J543">
        <v>2003</v>
      </c>
      <c r="K543" s="21">
        <v>37798</v>
      </c>
      <c r="L543">
        <v>2003</v>
      </c>
      <c r="M543" s="21">
        <v>37798</v>
      </c>
      <c r="N543">
        <v>2003</v>
      </c>
      <c r="R543" s="262">
        <v>30000</v>
      </c>
      <c r="S543" t="s">
        <v>114</v>
      </c>
      <c r="T543" t="s">
        <v>114</v>
      </c>
      <c r="U543">
        <v>5</v>
      </c>
      <c r="W543">
        <v>720</v>
      </c>
      <c r="X543">
        <v>0</v>
      </c>
      <c r="Y543">
        <v>0</v>
      </c>
      <c r="Z543">
        <v>0</v>
      </c>
      <c r="AA543">
        <v>0</v>
      </c>
      <c r="AB543">
        <v>0</v>
      </c>
      <c r="AC543">
        <v>720</v>
      </c>
      <c r="AD543">
        <v>0</v>
      </c>
      <c r="AE543">
        <v>0</v>
      </c>
      <c r="AF543">
        <v>0</v>
      </c>
      <c r="AG543">
        <v>0</v>
      </c>
      <c r="AH543">
        <v>0</v>
      </c>
      <c r="AI543">
        <v>0</v>
      </c>
      <c r="AJ543">
        <v>0</v>
      </c>
      <c r="AK543">
        <v>0</v>
      </c>
      <c r="AL543">
        <v>0</v>
      </c>
      <c r="AM543">
        <v>0</v>
      </c>
      <c r="AN543">
        <v>0</v>
      </c>
      <c r="AO543">
        <v>0</v>
      </c>
      <c r="AP543">
        <v>0</v>
      </c>
      <c r="AQ543">
        <v>0</v>
      </c>
      <c r="AR543">
        <v>0</v>
      </c>
      <c r="AS543">
        <v>0</v>
      </c>
      <c r="AT543">
        <v>0</v>
      </c>
      <c r="AU543">
        <f t="shared" si="16"/>
        <v>0</v>
      </c>
      <c r="AV543">
        <f t="shared" si="17"/>
        <v>0</v>
      </c>
    </row>
    <row r="544" spans="1:48" x14ac:dyDescent="0.25">
      <c r="A544" t="s">
        <v>3724</v>
      </c>
      <c r="C544" t="s">
        <v>2312</v>
      </c>
      <c r="D544" t="s">
        <v>3725</v>
      </c>
      <c r="E544" t="s">
        <v>2310</v>
      </c>
      <c r="F544">
        <v>10</v>
      </c>
      <c r="G544">
        <v>10.1</v>
      </c>
      <c r="H544" t="s">
        <v>2323</v>
      </c>
      <c r="I544" s="21">
        <v>37764</v>
      </c>
      <c r="J544">
        <v>2003</v>
      </c>
      <c r="K544" s="21">
        <v>37805</v>
      </c>
      <c r="L544">
        <v>2003</v>
      </c>
      <c r="M544" s="21">
        <v>38125</v>
      </c>
      <c r="N544">
        <v>2004</v>
      </c>
      <c r="R544" s="262">
        <v>275000</v>
      </c>
      <c r="S544" t="s">
        <v>114</v>
      </c>
      <c r="T544" t="s">
        <v>114</v>
      </c>
      <c r="U544">
        <v>5</v>
      </c>
      <c r="W544">
        <v>3260</v>
      </c>
      <c r="X544">
        <v>1</v>
      </c>
      <c r="Y544">
        <v>0</v>
      </c>
      <c r="Z544">
        <v>0</v>
      </c>
      <c r="AA544">
        <v>0</v>
      </c>
      <c r="AB544">
        <v>0</v>
      </c>
      <c r="AC544">
        <v>3260</v>
      </c>
      <c r="AD544">
        <v>0</v>
      </c>
      <c r="AE544">
        <v>0</v>
      </c>
      <c r="AF544">
        <v>0</v>
      </c>
      <c r="AG544">
        <v>0</v>
      </c>
      <c r="AH544">
        <v>0</v>
      </c>
      <c r="AI544">
        <v>0</v>
      </c>
      <c r="AJ544">
        <v>0</v>
      </c>
      <c r="AK544">
        <v>0</v>
      </c>
      <c r="AL544">
        <v>0</v>
      </c>
      <c r="AM544">
        <v>0</v>
      </c>
      <c r="AN544">
        <v>0</v>
      </c>
      <c r="AO544">
        <v>1</v>
      </c>
      <c r="AP544">
        <v>0</v>
      </c>
      <c r="AQ544">
        <v>0</v>
      </c>
      <c r="AR544">
        <v>0</v>
      </c>
      <c r="AS544">
        <v>0</v>
      </c>
      <c r="AT544">
        <v>0</v>
      </c>
      <c r="AU544">
        <f t="shared" si="16"/>
        <v>1</v>
      </c>
      <c r="AV544">
        <f t="shared" si="17"/>
        <v>0</v>
      </c>
    </row>
    <row r="545" spans="1:48" x14ac:dyDescent="0.25">
      <c r="A545" t="s">
        <v>3728</v>
      </c>
      <c r="C545" t="s">
        <v>2847</v>
      </c>
      <c r="D545" t="s">
        <v>3729</v>
      </c>
      <c r="E545" t="s">
        <v>2310</v>
      </c>
      <c r="F545">
        <v>9</v>
      </c>
      <c r="G545">
        <v>9.1</v>
      </c>
      <c r="H545" t="s">
        <v>2323</v>
      </c>
      <c r="I545" s="21">
        <v>37768</v>
      </c>
      <c r="J545">
        <v>2003</v>
      </c>
      <c r="K545" s="21">
        <v>37811</v>
      </c>
      <c r="L545">
        <v>2003</v>
      </c>
      <c r="M545" s="21">
        <v>38365</v>
      </c>
      <c r="N545">
        <v>2005</v>
      </c>
      <c r="R545" s="262">
        <v>500000</v>
      </c>
      <c r="S545" t="s">
        <v>114</v>
      </c>
      <c r="T545" t="s">
        <v>114</v>
      </c>
      <c r="U545">
        <v>5</v>
      </c>
      <c r="W545">
        <v>4800</v>
      </c>
      <c r="X545">
        <v>1</v>
      </c>
      <c r="Y545">
        <v>0</v>
      </c>
      <c r="Z545">
        <v>0</v>
      </c>
      <c r="AA545">
        <v>0</v>
      </c>
      <c r="AB545">
        <v>0</v>
      </c>
      <c r="AC545">
        <v>4800</v>
      </c>
      <c r="AD545">
        <v>0</v>
      </c>
      <c r="AE545">
        <v>0</v>
      </c>
      <c r="AF545">
        <v>0</v>
      </c>
      <c r="AG545">
        <v>0</v>
      </c>
      <c r="AH545">
        <v>0</v>
      </c>
      <c r="AI545">
        <v>0</v>
      </c>
      <c r="AJ545">
        <v>0</v>
      </c>
      <c r="AK545">
        <v>0</v>
      </c>
      <c r="AL545">
        <v>0</v>
      </c>
      <c r="AM545">
        <v>0</v>
      </c>
      <c r="AN545">
        <v>0</v>
      </c>
      <c r="AO545">
        <v>1</v>
      </c>
      <c r="AP545">
        <v>0</v>
      </c>
      <c r="AQ545">
        <v>0</v>
      </c>
      <c r="AR545">
        <v>0</v>
      </c>
      <c r="AS545">
        <v>0</v>
      </c>
      <c r="AT545">
        <v>0</v>
      </c>
      <c r="AU545">
        <f t="shared" si="16"/>
        <v>1</v>
      </c>
      <c r="AV545">
        <f t="shared" si="17"/>
        <v>0</v>
      </c>
    </row>
    <row r="546" spans="1:48" x14ac:dyDescent="0.25">
      <c r="A546" t="s">
        <v>3730</v>
      </c>
      <c r="C546" t="s">
        <v>2838</v>
      </c>
      <c r="D546" t="s">
        <v>3731</v>
      </c>
      <c r="E546" t="s">
        <v>2310</v>
      </c>
      <c r="F546">
        <v>10</v>
      </c>
      <c r="G546">
        <v>10.1</v>
      </c>
      <c r="H546" t="s">
        <v>2323</v>
      </c>
      <c r="I546" s="21">
        <v>37768</v>
      </c>
      <c r="J546">
        <v>2003</v>
      </c>
      <c r="K546" s="21">
        <v>37804</v>
      </c>
      <c r="L546">
        <v>2003</v>
      </c>
      <c r="M546" s="21">
        <v>38009</v>
      </c>
      <c r="N546">
        <v>2004</v>
      </c>
      <c r="R546" s="262">
        <v>226000</v>
      </c>
      <c r="S546" t="s">
        <v>114</v>
      </c>
      <c r="T546" t="s">
        <v>114</v>
      </c>
      <c r="U546">
        <v>5</v>
      </c>
      <c r="W546">
        <v>3407</v>
      </c>
      <c r="X546">
        <v>1</v>
      </c>
      <c r="Y546">
        <v>0</v>
      </c>
      <c r="Z546">
        <v>0</v>
      </c>
      <c r="AA546">
        <v>0</v>
      </c>
      <c r="AB546">
        <v>0</v>
      </c>
      <c r="AC546">
        <v>3407</v>
      </c>
      <c r="AD546">
        <v>0</v>
      </c>
      <c r="AE546">
        <v>0</v>
      </c>
      <c r="AF546">
        <v>0</v>
      </c>
      <c r="AG546">
        <v>0</v>
      </c>
      <c r="AH546">
        <v>0</v>
      </c>
      <c r="AI546">
        <v>0</v>
      </c>
      <c r="AJ546">
        <v>0</v>
      </c>
      <c r="AK546">
        <v>0</v>
      </c>
      <c r="AL546">
        <v>0</v>
      </c>
      <c r="AM546">
        <v>0</v>
      </c>
      <c r="AN546">
        <v>0</v>
      </c>
      <c r="AO546">
        <v>1</v>
      </c>
      <c r="AP546">
        <v>0</v>
      </c>
      <c r="AQ546">
        <v>0</v>
      </c>
      <c r="AR546">
        <v>0</v>
      </c>
      <c r="AS546">
        <v>0</v>
      </c>
      <c r="AT546">
        <v>0</v>
      </c>
      <c r="AU546">
        <f t="shared" si="16"/>
        <v>1</v>
      </c>
      <c r="AV546">
        <f t="shared" si="17"/>
        <v>0</v>
      </c>
    </row>
    <row r="547" spans="1:48" x14ac:dyDescent="0.25">
      <c r="A547" t="s">
        <v>3726</v>
      </c>
      <c r="C547" t="s">
        <v>2446</v>
      </c>
      <c r="D547" t="s">
        <v>3727</v>
      </c>
      <c r="E547" t="s">
        <v>1663</v>
      </c>
      <c r="F547">
        <v>3</v>
      </c>
      <c r="G547">
        <v>3.2</v>
      </c>
      <c r="H547" t="s">
        <v>2327</v>
      </c>
      <c r="I547" s="21">
        <v>37768</v>
      </c>
      <c r="J547">
        <v>2003</v>
      </c>
      <c r="K547" s="21">
        <v>37799</v>
      </c>
      <c r="L547">
        <v>2003</v>
      </c>
      <c r="M547" s="21">
        <v>37952</v>
      </c>
      <c r="N547">
        <v>2003</v>
      </c>
      <c r="Q547" s="262">
        <v>9500</v>
      </c>
      <c r="S547" t="s">
        <v>114</v>
      </c>
      <c r="T547" t="s">
        <v>114</v>
      </c>
      <c r="W547">
        <v>112</v>
      </c>
      <c r="X547">
        <v>0</v>
      </c>
      <c r="Y547">
        <v>0</v>
      </c>
      <c r="Z547">
        <v>0</v>
      </c>
      <c r="AA547">
        <v>0</v>
      </c>
      <c r="AB547">
        <v>0</v>
      </c>
      <c r="AC547">
        <v>112</v>
      </c>
      <c r="AD547">
        <v>0</v>
      </c>
      <c r="AE547">
        <v>0</v>
      </c>
      <c r="AF547">
        <v>0</v>
      </c>
      <c r="AG547">
        <v>0</v>
      </c>
      <c r="AH547">
        <v>0</v>
      </c>
      <c r="AI547">
        <v>0</v>
      </c>
      <c r="AJ547">
        <v>0</v>
      </c>
      <c r="AK547">
        <v>0</v>
      </c>
      <c r="AL547">
        <v>0</v>
      </c>
      <c r="AM547">
        <v>0</v>
      </c>
      <c r="AN547">
        <v>0</v>
      </c>
      <c r="AO547">
        <v>0</v>
      </c>
      <c r="AP547">
        <v>0</v>
      </c>
      <c r="AQ547">
        <v>0</v>
      </c>
      <c r="AR547">
        <v>0</v>
      </c>
      <c r="AS547">
        <v>0</v>
      </c>
      <c r="AT547">
        <v>0</v>
      </c>
      <c r="AU547">
        <f t="shared" si="16"/>
        <v>0</v>
      </c>
      <c r="AV547">
        <f t="shared" si="17"/>
        <v>0</v>
      </c>
    </row>
    <row r="548" spans="1:48" x14ac:dyDescent="0.25">
      <c r="A548" t="s">
        <v>3732</v>
      </c>
      <c r="C548" t="s">
        <v>2838</v>
      </c>
      <c r="D548" t="s">
        <v>3733</v>
      </c>
      <c r="E548" t="s">
        <v>2310</v>
      </c>
      <c r="F548">
        <v>10</v>
      </c>
      <c r="G548">
        <v>10.1</v>
      </c>
      <c r="H548" t="s">
        <v>2323</v>
      </c>
      <c r="I548" s="21">
        <v>37769</v>
      </c>
      <c r="J548">
        <v>2003</v>
      </c>
      <c r="K548" s="21">
        <v>37805</v>
      </c>
      <c r="L548">
        <v>2003</v>
      </c>
      <c r="M548" s="21">
        <v>37805</v>
      </c>
      <c r="N548">
        <v>2003</v>
      </c>
      <c r="R548" s="262">
        <v>250000</v>
      </c>
      <c r="S548" t="s">
        <v>114</v>
      </c>
      <c r="T548" t="s">
        <v>114</v>
      </c>
      <c r="U548">
        <v>5</v>
      </c>
      <c r="W548">
        <v>3982</v>
      </c>
      <c r="X548">
        <v>1</v>
      </c>
      <c r="Y548">
        <v>0</v>
      </c>
      <c r="Z548">
        <v>0</v>
      </c>
      <c r="AA548">
        <v>0</v>
      </c>
      <c r="AB548">
        <v>0</v>
      </c>
      <c r="AC548">
        <v>3982</v>
      </c>
      <c r="AD548">
        <v>0</v>
      </c>
      <c r="AE548">
        <v>0</v>
      </c>
      <c r="AF548">
        <v>0</v>
      </c>
      <c r="AG548">
        <v>0</v>
      </c>
      <c r="AH548">
        <v>0</v>
      </c>
      <c r="AI548">
        <v>0</v>
      </c>
      <c r="AJ548">
        <v>0</v>
      </c>
      <c r="AK548">
        <v>0</v>
      </c>
      <c r="AL548">
        <v>0</v>
      </c>
      <c r="AM548">
        <v>0</v>
      </c>
      <c r="AN548">
        <v>0</v>
      </c>
      <c r="AO548">
        <v>1</v>
      </c>
      <c r="AP548">
        <v>0</v>
      </c>
      <c r="AQ548">
        <v>0</v>
      </c>
      <c r="AR548">
        <v>0</v>
      </c>
      <c r="AS548">
        <v>0</v>
      </c>
      <c r="AT548">
        <v>0</v>
      </c>
      <c r="AU548">
        <f t="shared" si="16"/>
        <v>1</v>
      </c>
      <c r="AV548">
        <f t="shared" si="17"/>
        <v>0</v>
      </c>
    </row>
    <row r="549" spans="1:48" x14ac:dyDescent="0.25">
      <c r="A549" t="s">
        <v>3734</v>
      </c>
      <c r="C549" t="s">
        <v>2712</v>
      </c>
      <c r="D549" t="s">
        <v>3735</v>
      </c>
      <c r="E549" t="s">
        <v>2310</v>
      </c>
      <c r="F549">
        <v>10</v>
      </c>
      <c r="G549">
        <v>10.1</v>
      </c>
      <c r="H549" t="s">
        <v>2323</v>
      </c>
      <c r="I549" s="21">
        <v>37769</v>
      </c>
      <c r="J549">
        <v>2003</v>
      </c>
      <c r="K549" s="21">
        <v>37803</v>
      </c>
      <c r="L549">
        <v>2003</v>
      </c>
      <c r="M549" s="21">
        <v>37994</v>
      </c>
      <c r="N549">
        <v>2004</v>
      </c>
      <c r="R549" s="262">
        <v>18000</v>
      </c>
      <c r="S549" t="s">
        <v>114</v>
      </c>
      <c r="T549" t="s">
        <v>114</v>
      </c>
      <c r="U549">
        <v>5</v>
      </c>
      <c r="W549">
        <v>1295</v>
      </c>
      <c r="X549">
        <v>0</v>
      </c>
      <c r="Y549">
        <v>0</v>
      </c>
      <c r="Z549">
        <v>0</v>
      </c>
      <c r="AA549">
        <v>0</v>
      </c>
      <c r="AB549">
        <v>0</v>
      </c>
      <c r="AC549">
        <v>1295</v>
      </c>
      <c r="AD549">
        <v>0</v>
      </c>
      <c r="AE549">
        <v>0</v>
      </c>
      <c r="AF549">
        <v>0</v>
      </c>
      <c r="AG549">
        <v>0</v>
      </c>
      <c r="AH549">
        <v>0</v>
      </c>
      <c r="AI549">
        <v>0</v>
      </c>
      <c r="AJ549">
        <v>0</v>
      </c>
      <c r="AK549">
        <v>0</v>
      </c>
      <c r="AL549">
        <v>0</v>
      </c>
      <c r="AM549">
        <v>0</v>
      </c>
      <c r="AN549">
        <v>0</v>
      </c>
      <c r="AO549">
        <v>0</v>
      </c>
      <c r="AP549">
        <v>0</v>
      </c>
      <c r="AQ549">
        <v>0</v>
      </c>
      <c r="AR549">
        <v>0</v>
      </c>
      <c r="AS549">
        <v>0</v>
      </c>
      <c r="AT549">
        <v>0</v>
      </c>
      <c r="AU549">
        <f t="shared" si="16"/>
        <v>0</v>
      </c>
      <c r="AV549">
        <f t="shared" si="17"/>
        <v>0</v>
      </c>
    </row>
    <row r="550" spans="1:48" x14ac:dyDescent="0.25">
      <c r="A550" t="s">
        <v>3736</v>
      </c>
      <c r="C550" t="s">
        <v>3737</v>
      </c>
      <c r="D550" t="s">
        <v>3738</v>
      </c>
      <c r="E550" t="s">
        <v>2310</v>
      </c>
      <c r="F550">
        <v>8</v>
      </c>
      <c r="G550">
        <v>8.1999999999999993</v>
      </c>
      <c r="H550" t="s">
        <v>2022</v>
      </c>
      <c r="I550" s="21">
        <v>37769</v>
      </c>
      <c r="J550">
        <v>2003</v>
      </c>
      <c r="K550" s="21">
        <v>37802</v>
      </c>
      <c r="L550">
        <v>2003</v>
      </c>
      <c r="M550" s="21">
        <v>38433</v>
      </c>
      <c r="N550">
        <v>2005</v>
      </c>
      <c r="R550" s="262">
        <v>50000</v>
      </c>
      <c r="S550" t="s">
        <v>114</v>
      </c>
      <c r="T550" t="s">
        <v>114</v>
      </c>
      <c r="U550">
        <v>5</v>
      </c>
      <c r="W550">
        <v>1360</v>
      </c>
      <c r="X550">
        <v>0</v>
      </c>
      <c r="Y550">
        <v>0</v>
      </c>
      <c r="Z550">
        <v>0</v>
      </c>
      <c r="AA550">
        <v>0</v>
      </c>
      <c r="AB550">
        <v>0</v>
      </c>
      <c r="AC550">
        <v>1360</v>
      </c>
      <c r="AD550">
        <v>0</v>
      </c>
      <c r="AE550">
        <v>0</v>
      </c>
      <c r="AF550">
        <v>0</v>
      </c>
      <c r="AG550">
        <v>0</v>
      </c>
      <c r="AH550">
        <v>0</v>
      </c>
      <c r="AI550">
        <v>0</v>
      </c>
      <c r="AJ550">
        <v>0</v>
      </c>
      <c r="AK550">
        <v>0</v>
      </c>
      <c r="AL550">
        <v>0</v>
      </c>
      <c r="AM550">
        <v>0</v>
      </c>
      <c r="AN550">
        <v>0</v>
      </c>
      <c r="AO550">
        <v>0</v>
      </c>
      <c r="AP550">
        <v>0</v>
      </c>
      <c r="AQ550">
        <v>0</v>
      </c>
      <c r="AR550">
        <v>0</v>
      </c>
      <c r="AS550">
        <v>0</v>
      </c>
      <c r="AT550">
        <v>0</v>
      </c>
      <c r="AU550">
        <f t="shared" si="16"/>
        <v>0</v>
      </c>
      <c r="AV550">
        <f t="shared" si="17"/>
        <v>0</v>
      </c>
    </row>
    <row r="551" spans="1:48" x14ac:dyDescent="0.25">
      <c r="A551" t="s">
        <v>3739</v>
      </c>
      <c r="C551" t="s">
        <v>3422</v>
      </c>
      <c r="D551" t="s">
        <v>3740</v>
      </c>
      <c r="E551" t="s">
        <v>2310</v>
      </c>
      <c r="F551">
        <v>12</v>
      </c>
      <c r="G551">
        <v>12.2</v>
      </c>
      <c r="H551" t="s">
        <v>2017</v>
      </c>
      <c r="I551" s="21">
        <v>37769</v>
      </c>
      <c r="J551">
        <v>2003</v>
      </c>
      <c r="K551" s="21">
        <v>37784</v>
      </c>
      <c r="L551">
        <v>2003</v>
      </c>
      <c r="M551" s="21">
        <v>38092</v>
      </c>
      <c r="N551">
        <v>2004</v>
      </c>
      <c r="R551" s="262">
        <v>179000</v>
      </c>
      <c r="S551" t="s">
        <v>114</v>
      </c>
      <c r="T551" t="s">
        <v>114</v>
      </c>
      <c r="U551">
        <v>5</v>
      </c>
      <c r="W551">
        <v>1666</v>
      </c>
      <c r="X551">
        <v>1</v>
      </c>
      <c r="Y551">
        <v>0</v>
      </c>
      <c r="Z551">
        <v>0</v>
      </c>
      <c r="AA551">
        <v>0</v>
      </c>
      <c r="AB551">
        <v>0</v>
      </c>
      <c r="AC551">
        <v>1666</v>
      </c>
      <c r="AD551">
        <v>0</v>
      </c>
      <c r="AE551">
        <v>0</v>
      </c>
      <c r="AF551">
        <v>0</v>
      </c>
      <c r="AG551">
        <v>0</v>
      </c>
      <c r="AH551">
        <v>0</v>
      </c>
      <c r="AI551">
        <v>0</v>
      </c>
      <c r="AJ551">
        <v>0</v>
      </c>
      <c r="AK551">
        <v>0</v>
      </c>
      <c r="AL551">
        <v>0</v>
      </c>
      <c r="AM551">
        <v>0</v>
      </c>
      <c r="AN551">
        <v>0</v>
      </c>
      <c r="AO551">
        <v>1</v>
      </c>
      <c r="AP551">
        <v>0</v>
      </c>
      <c r="AQ551">
        <v>0</v>
      </c>
      <c r="AR551">
        <v>0</v>
      </c>
      <c r="AS551">
        <v>0</v>
      </c>
      <c r="AT551">
        <v>0</v>
      </c>
      <c r="AU551">
        <f t="shared" si="16"/>
        <v>1</v>
      </c>
      <c r="AV551">
        <f t="shared" si="17"/>
        <v>0</v>
      </c>
    </row>
    <row r="552" spans="1:48" x14ac:dyDescent="0.25">
      <c r="A552" t="s">
        <v>3741</v>
      </c>
      <c r="C552" t="s">
        <v>3422</v>
      </c>
      <c r="D552" t="s">
        <v>3742</v>
      </c>
      <c r="E552" t="s">
        <v>2310</v>
      </c>
      <c r="F552">
        <v>12</v>
      </c>
      <c r="G552">
        <v>12.2</v>
      </c>
      <c r="H552" t="s">
        <v>2017</v>
      </c>
      <c r="I552" s="21">
        <v>37769</v>
      </c>
      <c r="J552">
        <v>2003</v>
      </c>
      <c r="K552" s="21">
        <v>37784</v>
      </c>
      <c r="L552">
        <v>2003</v>
      </c>
      <c r="M552" s="21">
        <v>38093</v>
      </c>
      <c r="N552">
        <v>2004</v>
      </c>
      <c r="R552" s="262">
        <v>179000</v>
      </c>
      <c r="S552" t="s">
        <v>114</v>
      </c>
      <c r="T552" t="s">
        <v>114</v>
      </c>
      <c r="U552">
        <v>5</v>
      </c>
      <c r="W552">
        <v>1666</v>
      </c>
      <c r="X552">
        <v>1</v>
      </c>
      <c r="Y552">
        <v>0</v>
      </c>
      <c r="Z552">
        <v>0</v>
      </c>
      <c r="AA552">
        <v>0</v>
      </c>
      <c r="AB552">
        <v>0</v>
      </c>
      <c r="AC552">
        <v>1666</v>
      </c>
      <c r="AD552">
        <v>0</v>
      </c>
      <c r="AE552">
        <v>0</v>
      </c>
      <c r="AF552">
        <v>0</v>
      </c>
      <c r="AG552">
        <v>0</v>
      </c>
      <c r="AH552">
        <v>0</v>
      </c>
      <c r="AI552">
        <v>0</v>
      </c>
      <c r="AJ552">
        <v>0</v>
      </c>
      <c r="AK552">
        <v>0</v>
      </c>
      <c r="AL552">
        <v>0</v>
      </c>
      <c r="AM552">
        <v>0</v>
      </c>
      <c r="AN552">
        <v>0</v>
      </c>
      <c r="AO552">
        <v>1</v>
      </c>
      <c r="AP552">
        <v>0</v>
      </c>
      <c r="AQ552">
        <v>0</v>
      </c>
      <c r="AR552">
        <v>0</v>
      </c>
      <c r="AS552">
        <v>0</v>
      </c>
      <c r="AT552">
        <v>0</v>
      </c>
      <c r="AU552">
        <f t="shared" si="16"/>
        <v>1</v>
      </c>
      <c r="AV552">
        <f t="shared" si="17"/>
        <v>0</v>
      </c>
    </row>
    <row r="553" spans="1:48" x14ac:dyDescent="0.25">
      <c r="A553" t="s">
        <v>3743</v>
      </c>
      <c r="C553" t="s">
        <v>3422</v>
      </c>
      <c r="D553" t="s">
        <v>3744</v>
      </c>
      <c r="E553" t="s">
        <v>2310</v>
      </c>
      <c r="F553">
        <v>12</v>
      </c>
      <c r="G553">
        <v>12.2</v>
      </c>
      <c r="H553" t="s">
        <v>2017</v>
      </c>
      <c r="I553" s="21">
        <v>37769</v>
      </c>
      <c r="J553">
        <v>2003</v>
      </c>
      <c r="K553" s="21">
        <v>37792</v>
      </c>
      <c r="L553">
        <v>2003</v>
      </c>
      <c r="M553" s="21">
        <v>37792</v>
      </c>
      <c r="N553">
        <v>2003</v>
      </c>
      <c r="R553" s="262">
        <v>179000</v>
      </c>
      <c r="S553" t="s">
        <v>114</v>
      </c>
      <c r="T553" t="s">
        <v>114</v>
      </c>
      <c r="U553">
        <v>5</v>
      </c>
      <c r="W553">
        <v>1666</v>
      </c>
      <c r="X553">
        <v>1</v>
      </c>
      <c r="Y553">
        <v>0</v>
      </c>
      <c r="Z553">
        <v>0</v>
      </c>
      <c r="AA553">
        <v>0</v>
      </c>
      <c r="AB553">
        <v>0</v>
      </c>
      <c r="AC553">
        <v>1666</v>
      </c>
      <c r="AD553">
        <v>0</v>
      </c>
      <c r="AE553">
        <v>0</v>
      </c>
      <c r="AF553">
        <v>0</v>
      </c>
      <c r="AG553">
        <v>0</v>
      </c>
      <c r="AH553">
        <v>0</v>
      </c>
      <c r="AI553">
        <v>0</v>
      </c>
      <c r="AJ553">
        <v>0</v>
      </c>
      <c r="AK553">
        <v>0</v>
      </c>
      <c r="AL553">
        <v>0</v>
      </c>
      <c r="AM553">
        <v>0</v>
      </c>
      <c r="AN553">
        <v>0</v>
      </c>
      <c r="AO553">
        <v>1</v>
      </c>
      <c r="AP553">
        <v>0</v>
      </c>
      <c r="AQ553">
        <v>0</v>
      </c>
      <c r="AR553">
        <v>0</v>
      </c>
      <c r="AS553">
        <v>0</v>
      </c>
      <c r="AT553">
        <v>0</v>
      </c>
      <c r="AU553">
        <f t="shared" si="16"/>
        <v>1</v>
      </c>
      <c r="AV553">
        <f t="shared" si="17"/>
        <v>0</v>
      </c>
    </row>
    <row r="554" spans="1:48" x14ac:dyDescent="0.25">
      <c r="A554" t="s">
        <v>3745</v>
      </c>
      <c r="C554" t="s">
        <v>3746</v>
      </c>
      <c r="D554" t="s">
        <v>3747</v>
      </c>
      <c r="E554" t="s">
        <v>2310</v>
      </c>
      <c r="F554">
        <v>12</v>
      </c>
      <c r="G554">
        <v>12.2</v>
      </c>
      <c r="H554" t="s">
        <v>2017</v>
      </c>
      <c r="I554" s="21">
        <v>37769</v>
      </c>
      <c r="J554">
        <v>2003</v>
      </c>
      <c r="K554" s="21">
        <v>37792</v>
      </c>
      <c r="L554">
        <v>2003</v>
      </c>
      <c r="M554" s="21">
        <v>37951</v>
      </c>
      <c r="N554">
        <v>2003</v>
      </c>
      <c r="R554" s="262">
        <v>179000</v>
      </c>
      <c r="S554" t="s">
        <v>114</v>
      </c>
      <c r="T554" t="s">
        <v>114</v>
      </c>
      <c r="U554">
        <v>5</v>
      </c>
      <c r="W554">
        <v>1666</v>
      </c>
      <c r="X554">
        <v>1</v>
      </c>
      <c r="Y554">
        <v>0</v>
      </c>
      <c r="Z554">
        <v>0</v>
      </c>
      <c r="AA554">
        <v>0</v>
      </c>
      <c r="AB554">
        <v>0</v>
      </c>
      <c r="AC554">
        <v>1666</v>
      </c>
      <c r="AD554">
        <v>0</v>
      </c>
      <c r="AE554">
        <v>0</v>
      </c>
      <c r="AF554">
        <v>0</v>
      </c>
      <c r="AG554">
        <v>0</v>
      </c>
      <c r="AH554">
        <v>0</v>
      </c>
      <c r="AI554">
        <v>0</v>
      </c>
      <c r="AJ554">
        <v>0</v>
      </c>
      <c r="AK554">
        <v>0</v>
      </c>
      <c r="AL554">
        <v>0</v>
      </c>
      <c r="AM554">
        <v>0</v>
      </c>
      <c r="AN554">
        <v>0</v>
      </c>
      <c r="AO554">
        <v>1</v>
      </c>
      <c r="AP554">
        <v>0</v>
      </c>
      <c r="AQ554">
        <v>0</v>
      </c>
      <c r="AR554">
        <v>0</v>
      </c>
      <c r="AS554">
        <v>0</v>
      </c>
      <c r="AT554">
        <v>0</v>
      </c>
      <c r="AU554">
        <f t="shared" si="16"/>
        <v>1</v>
      </c>
      <c r="AV554">
        <f t="shared" si="17"/>
        <v>0</v>
      </c>
    </row>
    <row r="555" spans="1:48" x14ac:dyDescent="0.25">
      <c r="A555" t="s">
        <v>3748</v>
      </c>
      <c r="C555" t="s">
        <v>3749</v>
      </c>
      <c r="D555" t="s">
        <v>3750</v>
      </c>
      <c r="E555" t="s">
        <v>2310</v>
      </c>
      <c r="F555">
        <v>12</v>
      </c>
      <c r="G555">
        <v>12.2</v>
      </c>
      <c r="H555" t="s">
        <v>2017</v>
      </c>
      <c r="I555" s="21">
        <v>37769</v>
      </c>
      <c r="J555">
        <v>2003</v>
      </c>
      <c r="K555" s="21">
        <v>37792</v>
      </c>
      <c r="L555">
        <v>2003</v>
      </c>
      <c r="M555" s="21">
        <v>37951</v>
      </c>
      <c r="N555">
        <v>2003</v>
      </c>
      <c r="R555" s="262">
        <v>179000</v>
      </c>
      <c r="S555" t="s">
        <v>114</v>
      </c>
      <c r="T555" t="s">
        <v>114</v>
      </c>
      <c r="U555">
        <v>5</v>
      </c>
      <c r="W555">
        <v>1666</v>
      </c>
      <c r="X555">
        <v>1</v>
      </c>
      <c r="Y555">
        <v>0</v>
      </c>
      <c r="Z555">
        <v>0</v>
      </c>
      <c r="AA555">
        <v>0</v>
      </c>
      <c r="AB555">
        <v>0</v>
      </c>
      <c r="AC555">
        <v>1666</v>
      </c>
      <c r="AD555">
        <v>0</v>
      </c>
      <c r="AE555">
        <v>0</v>
      </c>
      <c r="AF555">
        <v>0</v>
      </c>
      <c r="AG555">
        <v>0</v>
      </c>
      <c r="AH555">
        <v>0</v>
      </c>
      <c r="AI555">
        <v>0</v>
      </c>
      <c r="AJ555">
        <v>0</v>
      </c>
      <c r="AK555">
        <v>0</v>
      </c>
      <c r="AL555">
        <v>0</v>
      </c>
      <c r="AM555">
        <v>0</v>
      </c>
      <c r="AN555">
        <v>0</v>
      </c>
      <c r="AO555">
        <v>1</v>
      </c>
      <c r="AP555">
        <v>0</v>
      </c>
      <c r="AQ555">
        <v>0</v>
      </c>
      <c r="AR555">
        <v>0</v>
      </c>
      <c r="AS555">
        <v>0</v>
      </c>
      <c r="AT555">
        <v>0</v>
      </c>
      <c r="AU555">
        <f t="shared" si="16"/>
        <v>1</v>
      </c>
      <c r="AV555">
        <f t="shared" si="17"/>
        <v>0</v>
      </c>
    </row>
    <row r="556" spans="1:48" x14ac:dyDescent="0.25">
      <c r="A556" t="s">
        <v>3751</v>
      </c>
      <c r="C556" t="s">
        <v>3749</v>
      </c>
      <c r="D556" t="s">
        <v>3752</v>
      </c>
      <c r="E556" t="s">
        <v>2310</v>
      </c>
      <c r="F556">
        <v>12</v>
      </c>
      <c r="G556">
        <v>12.2</v>
      </c>
      <c r="H556" t="s">
        <v>2017</v>
      </c>
      <c r="I556" s="21">
        <v>37769</v>
      </c>
      <c r="J556">
        <v>2003</v>
      </c>
      <c r="K556" s="21">
        <v>37792</v>
      </c>
      <c r="L556">
        <v>2003</v>
      </c>
      <c r="M556" s="21">
        <v>38001</v>
      </c>
      <c r="N556">
        <v>2004</v>
      </c>
      <c r="R556" s="262">
        <v>179000</v>
      </c>
      <c r="S556" t="s">
        <v>114</v>
      </c>
      <c r="T556" t="s">
        <v>114</v>
      </c>
      <c r="U556">
        <v>5</v>
      </c>
      <c r="W556">
        <v>1666</v>
      </c>
      <c r="X556">
        <v>1</v>
      </c>
      <c r="Y556">
        <v>0</v>
      </c>
      <c r="Z556">
        <v>0</v>
      </c>
      <c r="AA556">
        <v>0</v>
      </c>
      <c r="AB556">
        <v>0</v>
      </c>
      <c r="AC556">
        <v>1666</v>
      </c>
      <c r="AD556">
        <v>0</v>
      </c>
      <c r="AE556">
        <v>0</v>
      </c>
      <c r="AF556">
        <v>0</v>
      </c>
      <c r="AG556">
        <v>0</v>
      </c>
      <c r="AH556">
        <v>0</v>
      </c>
      <c r="AI556">
        <v>0</v>
      </c>
      <c r="AJ556">
        <v>0</v>
      </c>
      <c r="AK556">
        <v>0</v>
      </c>
      <c r="AL556">
        <v>0</v>
      </c>
      <c r="AM556">
        <v>0</v>
      </c>
      <c r="AN556">
        <v>0</v>
      </c>
      <c r="AO556">
        <v>1</v>
      </c>
      <c r="AP556">
        <v>0</v>
      </c>
      <c r="AQ556">
        <v>0</v>
      </c>
      <c r="AR556">
        <v>0</v>
      </c>
      <c r="AS556">
        <v>0</v>
      </c>
      <c r="AT556">
        <v>0</v>
      </c>
      <c r="AU556">
        <f t="shared" si="16"/>
        <v>1</v>
      </c>
      <c r="AV556">
        <f t="shared" si="17"/>
        <v>0</v>
      </c>
    </row>
    <row r="557" spans="1:48" x14ac:dyDescent="0.25">
      <c r="A557" t="s">
        <v>3753</v>
      </c>
      <c r="C557" t="s">
        <v>3749</v>
      </c>
      <c r="D557" t="s">
        <v>3754</v>
      </c>
      <c r="E557" t="s">
        <v>2310</v>
      </c>
      <c r="F557">
        <v>12</v>
      </c>
      <c r="G557">
        <v>12.2</v>
      </c>
      <c r="H557" t="s">
        <v>2017</v>
      </c>
      <c r="I557" s="21">
        <v>37769</v>
      </c>
      <c r="J557">
        <v>2003</v>
      </c>
      <c r="K557" s="21">
        <v>37792</v>
      </c>
      <c r="L557">
        <v>2003</v>
      </c>
      <c r="M557" s="21">
        <v>37956</v>
      </c>
      <c r="N557">
        <v>2003</v>
      </c>
      <c r="R557" s="262">
        <v>179000</v>
      </c>
      <c r="S557" t="s">
        <v>114</v>
      </c>
      <c r="T557" t="s">
        <v>114</v>
      </c>
      <c r="U557">
        <v>5</v>
      </c>
      <c r="W557">
        <v>1666</v>
      </c>
      <c r="X557">
        <v>1</v>
      </c>
      <c r="Y557">
        <v>0</v>
      </c>
      <c r="Z557">
        <v>0</v>
      </c>
      <c r="AA557">
        <v>0</v>
      </c>
      <c r="AB557">
        <v>0</v>
      </c>
      <c r="AC557">
        <v>1666</v>
      </c>
      <c r="AD557">
        <v>0</v>
      </c>
      <c r="AE557">
        <v>0</v>
      </c>
      <c r="AF557">
        <v>0</v>
      </c>
      <c r="AG557">
        <v>0</v>
      </c>
      <c r="AH557">
        <v>0</v>
      </c>
      <c r="AI557">
        <v>0</v>
      </c>
      <c r="AJ557">
        <v>0</v>
      </c>
      <c r="AK557">
        <v>0</v>
      </c>
      <c r="AL557">
        <v>0</v>
      </c>
      <c r="AM557">
        <v>0</v>
      </c>
      <c r="AN557">
        <v>0</v>
      </c>
      <c r="AO557">
        <v>1</v>
      </c>
      <c r="AP557">
        <v>0</v>
      </c>
      <c r="AQ557">
        <v>0</v>
      </c>
      <c r="AR557">
        <v>0</v>
      </c>
      <c r="AS557">
        <v>0</v>
      </c>
      <c r="AT557">
        <v>0</v>
      </c>
      <c r="AU557">
        <f t="shared" si="16"/>
        <v>1</v>
      </c>
      <c r="AV557">
        <f t="shared" si="17"/>
        <v>0</v>
      </c>
    </row>
    <row r="558" spans="1:48" x14ac:dyDescent="0.25">
      <c r="A558" t="s">
        <v>3755</v>
      </c>
      <c r="C558" t="s">
        <v>3749</v>
      </c>
      <c r="D558" t="s">
        <v>3756</v>
      </c>
      <c r="E558" t="s">
        <v>2310</v>
      </c>
      <c r="F558">
        <v>12</v>
      </c>
      <c r="G558">
        <v>12.2</v>
      </c>
      <c r="H558" t="s">
        <v>2017</v>
      </c>
      <c r="I558" s="21">
        <v>37769</v>
      </c>
      <c r="J558">
        <v>2003</v>
      </c>
      <c r="K558" s="21">
        <v>37792</v>
      </c>
      <c r="L558">
        <v>2003</v>
      </c>
      <c r="M558" s="21">
        <v>37939</v>
      </c>
      <c r="N558">
        <v>2003</v>
      </c>
      <c r="R558" s="262">
        <v>179000</v>
      </c>
      <c r="S558" t="s">
        <v>114</v>
      </c>
      <c r="T558" t="s">
        <v>114</v>
      </c>
      <c r="U558">
        <v>5</v>
      </c>
      <c r="W558">
        <v>1666</v>
      </c>
      <c r="X558">
        <v>1</v>
      </c>
      <c r="Y558">
        <v>0</v>
      </c>
      <c r="Z558">
        <v>0</v>
      </c>
      <c r="AA558">
        <v>0</v>
      </c>
      <c r="AB558">
        <v>0</v>
      </c>
      <c r="AC558">
        <v>1666</v>
      </c>
      <c r="AD558">
        <v>0</v>
      </c>
      <c r="AE558">
        <v>0</v>
      </c>
      <c r="AF558">
        <v>0</v>
      </c>
      <c r="AG558">
        <v>0</v>
      </c>
      <c r="AH558">
        <v>0</v>
      </c>
      <c r="AI558">
        <v>0</v>
      </c>
      <c r="AJ558">
        <v>0</v>
      </c>
      <c r="AK558">
        <v>0</v>
      </c>
      <c r="AL558">
        <v>0</v>
      </c>
      <c r="AM558">
        <v>0</v>
      </c>
      <c r="AN558">
        <v>0</v>
      </c>
      <c r="AO558">
        <v>1</v>
      </c>
      <c r="AP558">
        <v>0</v>
      </c>
      <c r="AQ558">
        <v>0</v>
      </c>
      <c r="AR558">
        <v>0</v>
      </c>
      <c r="AS558">
        <v>0</v>
      </c>
      <c r="AT558">
        <v>0</v>
      </c>
      <c r="AU558">
        <f t="shared" si="16"/>
        <v>1</v>
      </c>
      <c r="AV558">
        <f t="shared" si="17"/>
        <v>0</v>
      </c>
    </row>
    <row r="559" spans="1:48" x14ac:dyDescent="0.25">
      <c r="A559" t="s">
        <v>3757</v>
      </c>
      <c r="C559" t="s">
        <v>3749</v>
      </c>
      <c r="D559" t="s">
        <v>3758</v>
      </c>
      <c r="E559" t="s">
        <v>2310</v>
      </c>
      <c r="F559">
        <v>12</v>
      </c>
      <c r="G559">
        <v>12.2</v>
      </c>
      <c r="H559" t="s">
        <v>2017</v>
      </c>
      <c r="I559" s="21">
        <v>37769</v>
      </c>
      <c r="J559">
        <v>2003</v>
      </c>
      <c r="K559" s="21">
        <v>37792</v>
      </c>
      <c r="L559">
        <v>2003</v>
      </c>
      <c r="M559" s="21">
        <v>37979</v>
      </c>
      <c r="N559">
        <v>2003</v>
      </c>
      <c r="R559" s="262">
        <v>179000</v>
      </c>
      <c r="S559" t="s">
        <v>114</v>
      </c>
      <c r="T559" t="s">
        <v>114</v>
      </c>
      <c r="U559">
        <v>5</v>
      </c>
      <c r="W559">
        <v>1666</v>
      </c>
      <c r="X559">
        <v>1</v>
      </c>
      <c r="Y559">
        <v>0</v>
      </c>
      <c r="Z559">
        <v>0</v>
      </c>
      <c r="AA559">
        <v>0</v>
      </c>
      <c r="AB559">
        <v>0</v>
      </c>
      <c r="AC559">
        <v>1666</v>
      </c>
      <c r="AD559">
        <v>0</v>
      </c>
      <c r="AE559">
        <v>0</v>
      </c>
      <c r="AF559">
        <v>0</v>
      </c>
      <c r="AG559">
        <v>0</v>
      </c>
      <c r="AH559">
        <v>0</v>
      </c>
      <c r="AI559">
        <v>0</v>
      </c>
      <c r="AJ559">
        <v>0</v>
      </c>
      <c r="AK559">
        <v>0</v>
      </c>
      <c r="AL559">
        <v>0</v>
      </c>
      <c r="AM559">
        <v>0</v>
      </c>
      <c r="AN559">
        <v>0</v>
      </c>
      <c r="AO559">
        <v>1</v>
      </c>
      <c r="AP559">
        <v>0</v>
      </c>
      <c r="AQ559">
        <v>0</v>
      </c>
      <c r="AR559">
        <v>0</v>
      </c>
      <c r="AS559">
        <v>0</v>
      </c>
      <c r="AT559">
        <v>0</v>
      </c>
      <c r="AU559">
        <f t="shared" si="16"/>
        <v>1</v>
      </c>
      <c r="AV559">
        <f t="shared" si="17"/>
        <v>0</v>
      </c>
    </row>
    <row r="560" spans="1:48" x14ac:dyDescent="0.25">
      <c r="A560" t="s">
        <v>3759</v>
      </c>
      <c r="C560" t="s">
        <v>3422</v>
      </c>
      <c r="D560" t="s">
        <v>3760</v>
      </c>
      <c r="E560" t="s">
        <v>2310</v>
      </c>
      <c r="F560">
        <v>12</v>
      </c>
      <c r="G560">
        <v>12.2</v>
      </c>
      <c r="H560" t="s">
        <v>2017</v>
      </c>
      <c r="I560" s="21">
        <v>37769</v>
      </c>
      <c r="J560">
        <v>2003</v>
      </c>
      <c r="K560" s="21">
        <v>37795</v>
      </c>
      <c r="L560">
        <v>2003</v>
      </c>
      <c r="M560" s="21">
        <v>37979</v>
      </c>
      <c r="N560">
        <v>2003</v>
      </c>
      <c r="R560" s="262">
        <v>179000</v>
      </c>
      <c r="S560" t="s">
        <v>114</v>
      </c>
      <c r="T560" t="s">
        <v>114</v>
      </c>
      <c r="U560">
        <v>5</v>
      </c>
      <c r="W560">
        <v>1666</v>
      </c>
      <c r="X560">
        <v>1</v>
      </c>
      <c r="Y560">
        <v>0</v>
      </c>
      <c r="Z560">
        <v>0</v>
      </c>
      <c r="AA560">
        <v>0</v>
      </c>
      <c r="AB560">
        <v>0</v>
      </c>
      <c r="AC560">
        <v>1666</v>
      </c>
      <c r="AD560">
        <v>0</v>
      </c>
      <c r="AE560">
        <v>0</v>
      </c>
      <c r="AF560">
        <v>0</v>
      </c>
      <c r="AG560">
        <v>0</v>
      </c>
      <c r="AH560">
        <v>0</v>
      </c>
      <c r="AI560">
        <v>0</v>
      </c>
      <c r="AJ560">
        <v>0</v>
      </c>
      <c r="AK560">
        <v>0</v>
      </c>
      <c r="AL560">
        <v>0</v>
      </c>
      <c r="AM560">
        <v>0</v>
      </c>
      <c r="AN560">
        <v>0</v>
      </c>
      <c r="AO560">
        <v>1</v>
      </c>
      <c r="AP560">
        <v>0</v>
      </c>
      <c r="AQ560">
        <v>0</v>
      </c>
      <c r="AR560">
        <v>0</v>
      </c>
      <c r="AS560">
        <v>0</v>
      </c>
      <c r="AT560">
        <v>0</v>
      </c>
      <c r="AU560">
        <f t="shared" si="16"/>
        <v>1</v>
      </c>
      <c r="AV560">
        <f t="shared" si="17"/>
        <v>0</v>
      </c>
    </row>
    <row r="561" spans="1:48" x14ac:dyDescent="0.25">
      <c r="A561" t="s">
        <v>3761</v>
      </c>
      <c r="C561" t="s">
        <v>3749</v>
      </c>
      <c r="D561" t="s">
        <v>3762</v>
      </c>
      <c r="E561" t="s">
        <v>2310</v>
      </c>
      <c r="F561">
        <v>12</v>
      </c>
      <c r="G561">
        <v>12.2</v>
      </c>
      <c r="H561" t="s">
        <v>2017</v>
      </c>
      <c r="I561" s="21">
        <v>37769</v>
      </c>
      <c r="J561">
        <v>2003</v>
      </c>
      <c r="K561" s="21">
        <v>37795</v>
      </c>
      <c r="L561">
        <v>2003</v>
      </c>
      <c r="M561" s="21">
        <v>37979</v>
      </c>
      <c r="N561">
        <v>2003</v>
      </c>
      <c r="R561" s="262">
        <v>179000</v>
      </c>
      <c r="S561" t="s">
        <v>114</v>
      </c>
      <c r="T561" t="s">
        <v>114</v>
      </c>
      <c r="U561">
        <v>5</v>
      </c>
      <c r="W561">
        <v>1666</v>
      </c>
      <c r="X561">
        <v>1</v>
      </c>
      <c r="Y561">
        <v>0</v>
      </c>
      <c r="Z561">
        <v>0</v>
      </c>
      <c r="AA561">
        <v>0</v>
      </c>
      <c r="AB561">
        <v>0</v>
      </c>
      <c r="AC561">
        <v>1666</v>
      </c>
      <c r="AD561">
        <v>0</v>
      </c>
      <c r="AE561">
        <v>0</v>
      </c>
      <c r="AF561">
        <v>0</v>
      </c>
      <c r="AG561">
        <v>0</v>
      </c>
      <c r="AH561">
        <v>0</v>
      </c>
      <c r="AI561">
        <v>0</v>
      </c>
      <c r="AJ561">
        <v>0</v>
      </c>
      <c r="AK561">
        <v>0</v>
      </c>
      <c r="AL561">
        <v>0</v>
      </c>
      <c r="AM561">
        <v>0</v>
      </c>
      <c r="AN561">
        <v>0</v>
      </c>
      <c r="AO561">
        <v>1</v>
      </c>
      <c r="AP561">
        <v>0</v>
      </c>
      <c r="AQ561">
        <v>0</v>
      </c>
      <c r="AR561">
        <v>0</v>
      </c>
      <c r="AS561">
        <v>0</v>
      </c>
      <c r="AT561">
        <v>0</v>
      </c>
      <c r="AU561">
        <f t="shared" si="16"/>
        <v>1</v>
      </c>
      <c r="AV561">
        <f t="shared" si="17"/>
        <v>0</v>
      </c>
    </row>
    <row r="562" spans="1:48" x14ac:dyDescent="0.25">
      <c r="A562" t="s">
        <v>3763</v>
      </c>
      <c r="C562" t="s">
        <v>3422</v>
      </c>
      <c r="D562" t="s">
        <v>3764</v>
      </c>
      <c r="E562" t="s">
        <v>2310</v>
      </c>
      <c r="F562">
        <v>12</v>
      </c>
      <c r="G562">
        <v>12.2</v>
      </c>
      <c r="H562" t="s">
        <v>2017</v>
      </c>
      <c r="I562" s="21">
        <v>37769</v>
      </c>
      <c r="J562">
        <v>2003</v>
      </c>
      <c r="K562" s="21">
        <v>37795</v>
      </c>
      <c r="L562">
        <v>2003</v>
      </c>
      <c r="M562" s="21">
        <v>37979</v>
      </c>
      <c r="N562">
        <v>2003</v>
      </c>
      <c r="R562" s="262">
        <v>179000</v>
      </c>
      <c r="S562" t="s">
        <v>114</v>
      </c>
      <c r="T562" t="s">
        <v>114</v>
      </c>
      <c r="U562">
        <v>5</v>
      </c>
      <c r="W562">
        <v>1666</v>
      </c>
      <c r="X562">
        <v>1</v>
      </c>
      <c r="Y562">
        <v>0</v>
      </c>
      <c r="Z562">
        <v>0</v>
      </c>
      <c r="AA562">
        <v>0</v>
      </c>
      <c r="AB562">
        <v>0</v>
      </c>
      <c r="AC562">
        <v>1666</v>
      </c>
      <c r="AD562">
        <v>0</v>
      </c>
      <c r="AE562">
        <v>0</v>
      </c>
      <c r="AF562">
        <v>0</v>
      </c>
      <c r="AG562">
        <v>0</v>
      </c>
      <c r="AH562">
        <v>0</v>
      </c>
      <c r="AI562">
        <v>0</v>
      </c>
      <c r="AJ562">
        <v>0</v>
      </c>
      <c r="AK562">
        <v>0</v>
      </c>
      <c r="AL562">
        <v>0</v>
      </c>
      <c r="AM562">
        <v>0</v>
      </c>
      <c r="AN562">
        <v>0</v>
      </c>
      <c r="AO562">
        <v>1</v>
      </c>
      <c r="AP562">
        <v>0</v>
      </c>
      <c r="AQ562">
        <v>0</v>
      </c>
      <c r="AR562">
        <v>0</v>
      </c>
      <c r="AS562">
        <v>0</v>
      </c>
      <c r="AT562">
        <v>0</v>
      </c>
      <c r="AU562">
        <f t="shared" si="16"/>
        <v>1</v>
      </c>
      <c r="AV562">
        <f t="shared" si="17"/>
        <v>0</v>
      </c>
    </row>
    <row r="563" spans="1:48" x14ac:dyDescent="0.25">
      <c r="A563" t="s">
        <v>3765</v>
      </c>
      <c r="C563" t="s">
        <v>3749</v>
      </c>
      <c r="D563" t="s">
        <v>3766</v>
      </c>
      <c r="E563" t="s">
        <v>2310</v>
      </c>
      <c r="F563">
        <v>12</v>
      </c>
      <c r="G563">
        <v>12.2</v>
      </c>
      <c r="H563" t="s">
        <v>2017</v>
      </c>
      <c r="I563" s="21">
        <v>37769</v>
      </c>
      <c r="J563">
        <v>2003</v>
      </c>
      <c r="K563" s="21">
        <v>37795</v>
      </c>
      <c r="L563">
        <v>2003</v>
      </c>
      <c r="M563" s="21">
        <v>37974</v>
      </c>
      <c r="N563">
        <v>2003</v>
      </c>
      <c r="R563" s="262">
        <v>179000</v>
      </c>
      <c r="S563" t="s">
        <v>114</v>
      </c>
      <c r="T563" t="s">
        <v>114</v>
      </c>
      <c r="U563">
        <v>5</v>
      </c>
      <c r="W563">
        <v>1666</v>
      </c>
      <c r="X563">
        <v>1</v>
      </c>
      <c r="Y563">
        <v>0</v>
      </c>
      <c r="Z563">
        <v>0</v>
      </c>
      <c r="AA563">
        <v>0</v>
      </c>
      <c r="AB563">
        <v>0</v>
      </c>
      <c r="AC563">
        <v>1666</v>
      </c>
      <c r="AD563">
        <v>0</v>
      </c>
      <c r="AE563">
        <v>0</v>
      </c>
      <c r="AF563">
        <v>0</v>
      </c>
      <c r="AG563">
        <v>0</v>
      </c>
      <c r="AH563">
        <v>0</v>
      </c>
      <c r="AI563">
        <v>0</v>
      </c>
      <c r="AJ563">
        <v>0</v>
      </c>
      <c r="AK563">
        <v>0</v>
      </c>
      <c r="AL563">
        <v>0</v>
      </c>
      <c r="AM563">
        <v>0</v>
      </c>
      <c r="AN563">
        <v>0</v>
      </c>
      <c r="AO563">
        <v>1</v>
      </c>
      <c r="AP563">
        <v>0</v>
      </c>
      <c r="AQ563">
        <v>0</v>
      </c>
      <c r="AR563">
        <v>0</v>
      </c>
      <c r="AS563">
        <v>0</v>
      </c>
      <c r="AT563">
        <v>0</v>
      </c>
      <c r="AU563">
        <f t="shared" si="16"/>
        <v>1</v>
      </c>
      <c r="AV563">
        <f t="shared" si="17"/>
        <v>0</v>
      </c>
    </row>
    <row r="564" spans="1:48" x14ac:dyDescent="0.25">
      <c r="A564" t="s">
        <v>3767</v>
      </c>
      <c r="C564" t="s">
        <v>3768</v>
      </c>
      <c r="D564" t="s">
        <v>3769</v>
      </c>
      <c r="E564" t="s">
        <v>2310</v>
      </c>
      <c r="F564">
        <v>12</v>
      </c>
      <c r="G564">
        <v>12.2</v>
      </c>
      <c r="H564" t="s">
        <v>2017</v>
      </c>
      <c r="I564" s="21">
        <v>37769</v>
      </c>
      <c r="J564">
        <v>2003</v>
      </c>
      <c r="K564" s="21">
        <v>37795</v>
      </c>
      <c r="L564">
        <v>2003</v>
      </c>
      <c r="M564" s="21">
        <v>37974</v>
      </c>
      <c r="N564">
        <v>2003</v>
      </c>
      <c r="R564" s="262">
        <v>179000</v>
      </c>
      <c r="S564" t="s">
        <v>114</v>
      </c>
      <c r="T564" t="s">
        <v>114</v>
      </c>
      <c r="U564">
        <v>5</v>
      </c>
      <c r="W564">
        <v>1666</v>
      </c>
      <c r="X564">
        <v>1</v>
      </c>
      <c r="Y564">
        <v>0</v>
      </c>
      <c r="Z564">
        <v>0</v>
      </c>
      <c r="AA564">
        <v>0</v>
      </c>
      <c r="AB564">
        <v>0</v>
      </c>
      <c r="AC564">
        <v>1666</v>
      </c>
      <c r="AD564">
        <v>0</v>
      </c>
      <c r="AE564">
        <v>0</v>
      </c>
      <c r="AF564">
        <v>0</v>
      </c>
      <c r="AG564">
        <v>0</v>
      </c>
      <c r="AH564">
        <v>0</v>
      </c>
      <c r="AI564">
        <v>0</v>
      </c>
      <c r="AJ564">
        <v>0</v>
      </c>
      <c r="AK564">
        <v>0</v>
      </c>
      <c r="AL564">
        <v>0</v>
      </c>
      <c r="AM564">
        <v>0</v>
      </c>
      <c r="AN564">
        <v>0</v>
      </c>
      <c r="AO564">
        <v>1</v>
      </c>
      <c r="AP564">
        <v>0</v>
      </c>
      <c r="AQ564">
        <v>0</v>
      </c>
      <c r="AR564">
        <v>0</v>
      </c>
      <c r="AS564">
        <v>0</v>
      </c>
      <c r="AT564">
        <v>0</v>
      </c>
      <c r="AU564">
        <f t="shared" si="16"/>
        <v>1</v>
      </c>
      <c r="AV564">
        <f t="shared" si="17"/>
        <v>0</v>
      </c>
    </row>
    <row r="565" spans="1:48" x14ac:dyDescent="0.25">
      <c r="A565" t="s">
        <v>3770</v>
      </c>
      <c r="C565" t="s">
        <v>3771</v>
      </c>
      <c r="D565" t="s">
        <v>3772</v>
      </c>
      <c r="E565" t="s">
        <v>2310</v>
      </c>
      <c r="F565">
        <v>12</v>
      </c>
      <c r="G565">
        <v>12.2</v>
      </c>
      <c r="H565" t="s">
        <v>2017</v>
      </c>
      <c r="I565" s="21">
        <v>37769</v>
      </c>
      <c r="J565">
        <v>2003</v>
      </c>
      <c r="K565" s="21">
        <v>37792</v>
      </c>
      <c r="L565">
        <v>2003</v>
      </c>
      <c r="M565" s="21">
        <v>38093</v>
      </c>
      <c r="N565">
        <v>2004</v>
      </c>
      <c r="R565" s="262">
        <v>125000</v>
      </c>
      <c r="S565" t="s">
        <v>114</v>
      </c>
      <c r="T565" t="s">
        <v>114</v>
      </c>
      <c r="U565">
        <v>5</v>
      </c>
      <c r="W565">
        <v>1053</v>
      </c>
      <c r="X565">
        <v>1</v>
      </c>
      <c r="Y565">
        <v>0</v>
      </c>
      <c r="Z565">
        <v>0</v>
      </c>
      <c r="AA565">
        <v>0</v>
      </c>
      <c r="AB565">
        <v>0</v>
      </c>
      <c r="AC565">
        <v>1053</v>
      </c>
      <c r="AD565">
        <v>0</v>
      </c>
      <c r="AE565">
        <v>0</v>
      </c>
      <c r="AF565">
        <v>0</v>
      </c>
      <c r="AG565">
        <v>0</v>
      </c>
      <c r="AH565">
        <v>0</v>
      </c>
      <c r="AI565">
        <v>0</v>
      </c>
      <c r="AJ565">
        <v>0</v>
      </c>
      <c r="AK565">
        <v>0</v>
      </c>
      <c r="AL565">
        <v>0</v>
      </c>
      <c r="AM565">
        <v>0</v>
      </c>
      <c r="AN565">
        <v>0</v>
      </c>
      <c r="AO565">
        <v>1</v>
      </c>
      <c r="AP565">
        <v>0</v>
      </c>
      <c r="AQ565">
        <v>0</v>
      </c>
      <c r="AR565">
        <v>0</v>
      </c>
      <c r="AS565">
        <v>0</v>
      </c>
      <c r="AT565">
        <v>0</v>
      </c>
      <c r="AU565">
        <f t="shared" si="16"/>
        <v>1</v>
      </c>
      <c r="AV565">
        <f t="shared" si="17"/>
        <v>0</v>
      </c>
    </row>
    <row r="566" spans="1:48" x14ac:dyDescent="0.25">
      <c r="A566" t="s">
        <v>3773</v>
      </c>
      <c r="C566" t="s">
        <v>3774</v>
      </c>
      <c r="D566" t="s">
        <v>3775</v>
      </c>
      <c r="E566" t="s">
        <v>2310</v>
      </c>
      <c r="F566">
        <v>12</v>
      </c>
      <c r="G566">
        <v>12.2</v>
      </c>
      <c r="H566" t="s">
        <v>2017</v>
      </c>
      <c r="I566" s="21">
        <v>37769</v>
      </c>
      <c r="J566">
        <v>2003</v>
      </c>
      <c r="K566" s="21">
        <v>37795</v>
      </c>
      <c r="L566">
        <v>2003</v>
      </c>
      <c r="M566" s="21">
        <v>37966</v>
      </c>
      <c r="N566">
        <v>2003</v>
      </c>
      <c r="R566" s="262">
        <v>125000</v>
      </c>
      <c r="S566" t="s">
        <v>114</v>
      </c>
      <c r="T566" t="s">
        <v>114</v>
      </c>
      <c r="U566">
        <v>5</v>
      </c>
      <c r="W566">
        <v>1053</v>
      </c>
      <c r="X566">
        <v>1</v>
      </c>
      <c r="Y566">
        <v>0</v>
      </c>
      <c r="Z566">
        <v>0</v>
      </c>
      <c r="AA566">
        <v>0</v>
      </c>
      <c r="AB566">
        <v>0</v>
      </c>
      <c r="AC566">
        <v>1053</v>
      </c>
      <c r="AD566">
        <v>0</v>
      </c>
      <c r="AE566">
        <v>0</v>
      </c>
      <c r="AF566">
        <v>0</v>
      </c>
      <c r="AG566">
        <v>0</v>
      </c>
      <c r="AH566">
        <v>0</v>
      </c>
      <c r="AI566">
        <v>0</v>
      </c>
      <c r="AJ566">
        <v>0</v>
      </c>
      <c r="AK566">
        <v>0</v>
      </c>
      <c r="AL566">
        <v>0</v>
      </c>
      <c r="AM566">
        <v>0</v>
      </c>
      <c r="AN566">
        <v>0</v>
      </c>
      <c r="AO566">
        <v>1</v>
      </c>
      <c r="AP566">
        <v>0</v>
      </c>
      <c r="AQ566">
        <v>0</v>
      </c>
      <c r="AR566">
        <v>0</v>
      </c>
      <c r="AS566">
        <v>0</v>
      </c>
      <c r="AT566">
        <v>0</v>
      </c>
      <c r="AU566">
        <f t="shared" si="16"/>
        <v>1</v>
      </c>
      <c r="AV566">
        <f t="shared" si="17"/>
        <v>0</v>
      </c>
    </row>
    <row r="567" spans="1:48" x14ac:dyDescent="0.25">
      <c r="A567" t="s">
        <v>3776</v>
      </c>
      <c r="C567" t="s">
        <v>3771</v>
      </c>
      <c r="D567" t="s">
        <v>3777</v>
      </c>
      <c r="E567" t="s">
        <v>2310</v>
      </c>
      <c r="F567">
        <v>12</v>
      </c>
      <c r="G567">
        <v>12.2</v>
      </c>
      <c r="H567" t="s">
        <v>2017</v>
      </c>
      <c r="I567" s="21">
        <v>37769</v>
      </c>
      <c r="J567">
        <v>2003</v>
      </c>
      <c r="K567" s="21">
        <v>37792</v>
      </c>
      <c r="L567">
        <v>2003</v>
      </c>
      <c r="M567" s="21">
        <v>38093</v>
      </c>
      <c r="N567">
        <v>2004</v>
      </c>
      <c r="R567" s="262">
        <v>125000</v>
      </c>
      <c r="S567" t="s">
        <v>114</v>
      </c>
      <c r="T567" t="s">
        <v>114</v>
      </c>
      <c r="U567">
        <v>5</v>
      </c>
      <c r="W567">
        <v>1053</v>
      </c>
      <c r="X567">
        <v>1</v>
      </c>
      <c r="Y567">
        <v>0</v>
      </c>
      <c r="Z567">
        <v>0</v>
      </c>
      <c r="AA567">
        <v>0</v>
      </c>
      <c r="AB567">
        <v>0</v>
      </c>
      <c r="AC567">
        <v>1053</v>
      </c>
      <c r="AD567">
        <v>0</v>
      </c>
      <c r="AE567">
        <v>0</v>
      </c>
      <c r="AF567">
        <v>0</v>
      </c>
      <c r="AG567">
        <v>0</v>
      </c>
      <c r="AH567">
        <v>0</v>
      </c>
      <c r="AI567">
        <v>0</v>
      </c>
      <c r="AJ567">
        <v>0</v>
      </c>
      <c r="AK567">
        <v>0</v>
      </c>
      <c r="AL567">
        <v>0</v>
      </c>
      <c r="AM567">
        <v>0</v>
      </c>
      <c r="AN567">
        <v>0</v>
      </c>
      <c r="AO567">
        <v>1</v>
      </c>
      <c r="AP567">
        <v>0</v>
      </c>
      <c r="AQ567">
        <v>0</v>
      </c>
      <c r="AR567">
        <v>0</v>
      </c>
      <c r="AS567">
        <v>0</v>
      </c>
      <c r="AT567">
        <v>0</v>
      </c>
      <c r="AU567">
        <f t="shared" si="16"/>
        <v>1</v>
      </c>
      <c r="AV567">
        <f t="shared" si="17"/>
        <v>0</v>
      </c>
    </row>
    <row r="568" spans="1:48" x14ac:dyDescent="0.25">
      <c r="A568" t="s">
        <v>3778</v>
      </c>
      <c r="C568" t="s">
        <v>3774</v>
      </c>
      <c r="D568" t="s">
        <v>3779</v>
      </c>
      <c r="E568" t="s">
        <v>2310</v>
      </c>
      <c r="F568">
        <v>12</v>
      </c>
      <c r="G568">
        <v>12.2</v>
      </c>
      <c r="H568" t="s">
        <v>2017</v>
      </c>
      <c r="I568" s="21">
        <v>37769</v>
      </c>
      <c r="J568">
        <v>2003</v>
      </c>
      <c r="K568" s="21">
        <v>37792</v>
      </c>
      <c r="L568">
        <v>2003</v>
      </c>
      <c r="M568" s="21">
        <v>37938</v>
      </c>
      <c r="N568">
        <v>2003</v>
      </c>
      <c r="R568" s="262">
        <v>125000</v>
      </c>
      <c r="S568" t="s">
        <v>114</v>
      </c>
      <c r="T568" t="s">
        <v>114</v>
      </c>
      <c r="U568">
        <v>5</v>
      </c>
      <c r="W568">
        <v>1053</v>
      </c>
      <c r="X568">
        <v>1</v>
      </c>
      <c r="Y568">
        <v>0</v>
      </c>
      <c r="Z568">
        <v>0</v>
      </c>
      <c r="AA568">
        <v>0</v>
      </c>
      <c r="AB568">
        <v>0</v>
      </c>
      <c r="AC568">
        <v>1053</v>
      </c>
      <c r="AD568">
        <v>0</v>
      </c>
      <c r="AE568">
        <v>0</v>
      </c>
      <c r="AF568">
        <v>0</v>
      </c>
      <c r="AG568">
        <v>0</v>
      </c>
      <c r="AH568">
        <v>0</v>
      </c>
      <c r="AI568">
        <v>0</v>
      </c>
      <c r="AJ568">
        <v>0</v>
      </c>
      <c r="AK568">
        <v>0</v>
      </c>
      <c r="AL568">
        <v>0</v>
      </c>
      <c r="AM568">
        <v>0</v>
      </c>
      <c r="AN568">
        <v>0</v>
      </c>
      <c r="AO568">
        <v>1</v>
      </c>
      <c r="AP568">
        <v>0</v>
      </c>
      <c r="AQ568">
        <v>0</v>
      </c>
      <c r="AR568">
        <v>0</v>
      </c>
      <c r="AS568">
        <v>0</v>
      </c>
      <c r="AT568">
        <v>0</v>
      </c>
      <c r="AU568">
        <f t="shared" si="16"/>
        <v>1</v>
      </c>
      <c r="AV568">
        <f t="shared" si="17"/>
        <v>0</v>
      </c>
    </row>
    <row r="569" spans="1:48" x14ac:dyDescent="0.25">
      <c r="A569" t="s">
        <v>3780</v>
      </c>
      <c r="C569" t="s">
        <v>3774</v>
      </c>
      <c r="D569" t="s">
        <v>3781</v>
      </c>
      <c r="E569" t="s">
        <v>2310</v>
      </c>
      <c r="F569">
        <v>12</v>
      </c>
      <c r="G569">
        <v>12.2</v>
      </c>
      <c r="H569" t="s">
        <v>2017</v>
      </c>
      <c r="I569" s="21">
        <v>37769</v>
      </c>
      <c r="J569">
        <v>2003</v>
      </c>
      <c r="K569" s="21">
        <v>37792</v>
      </c>
      <c r="L569">
        <v>2003</v>
      </c>
      <c r="M569" s="21">
        <v>37939</v>
      </c>
      <c r="N569">
        <v>2003</v>
      </c>
      <c r="R569" s="262">
        <v>125000</v>
      </c>
      <c r="S569" t="s">
        <v>114</v>
      </c>
      <c r="T569" t="s">
        <v>114</v>
      </c>
      <c r="U569">
        <v>5</v>
      </c>
      <c r="W569">
        <v>1053</v>
      </c>
      <c r="X569">
        <v>1</v>
      </c>
      <c r="Y569">
        <v>0</v>
      </c>
      <c r="Z569">
        <v>0</v>
      </c>
      <c r="AA569">
        <v>0</v>
      </c>
      <c r="AB569">
        <v>0</v>
      </c>
      <c r="AC569">
        <v>1053</v>
      </c>
      <c r="AD569">
        <v>0</v>
      </c>
      <c r="AE569">
        <v>0</v>
      </c>
      <c r="AF569">
        <v>0</v>
      </c>
      <c r="AG569">
        <v>0</v>
      </c>
      <c r="AH569">
        <v>0</v>
      </c>
      <c r="AI569">
        <v>0</v>
      </c>
      <c r="AJ569">
        <v>0</v>
      </c>
      <c r="AK569">
        <v>0</v>
      </c>
      <c r="AL569">
        <v>0</v>
      </c>
      <c r="AM569">
        <v>0</v>
      </c>
      <c r="AN569">
        <v>0</v>
      </c>
      <c r="AO569">
        <v>1</v>
      </c>
      <c r="AP569">
        <v>0</v>
      </c>
      <c r="AQ569">
        <v>0</v>
      </c>
      <c r="AR569">
        <v>0</v>
      </c>
      <c r="AS569">
        <v>0</v>
      </c>
      <c r="AT569">
        <v>0</v>
      </c>
      <c r="AU569">
        <f t="shared" si="16"/>
        <v>1</v>
      </c>
      <c r="AV569">
        <f t="shared" si="17"/>
        <v>0</v>
      </c>
    </row>
    <row r="570" spans="1:48" x14ac:dyDescent="0.25">
      <c r="A570" t="s">
        <v>3782</v>
      </c>
      <c r="C570" t="s">
        <v>3774</v>
      </c>
      <c r="D570" t="s">
        <v>3783</v>
      </c>
      <c r="E570" t="s">
        <v>2310</v>
      </c>
      <c r="F570">
        <v>12</v>
      </c>
      <c r="G570">
        <v>12.2</v>
      </c>
      <c r="H570" t="s">
        <v>2017</v>
      </c>
      <c r="I570" s="21">
        <v>37769</v>
      </c>
      <c r="J570">
        <v>2003</v>
      </c>
      <c r="K570" s="21">
        <v>37792</v>
      </c>
      <c r="L570">
        <v>2003</v>
      </c>
      <c r="M570" s="21">
        <v>37939</v>
      </c>
      <c r="N570">
        <v>2003</v>
      </c>
      <c r="R570" s="262">
        <v>125000</v>
      </c>
      <c r="S570" t="s">
        <v>114</v>
      </c>
      <c r="T570" t="s">
        <v>114</v>
      </c>
      <c r="U570">
        <v>5</v>
      </c>
      <c r="W570">
        <v>1053</v>
      </c>
      <c r="X570">
        <v>1</v>
      </c>
      <c r="Y570">
        <v>0</v>
      </c>
      <c r="Z570">
        <v>0</v>
      </c>
      <c r="AA570">
        <v>0</v>
      </c>
      <c r="AB570">
        <v>0</v>
      </c>
      <c r="AC570">
        <v>1053</v>
      </c>
      <c r="AD570">
        <v>0</v>
      </c>
      <c r="AE570">
        <v>0</v>
      </c>
      <c r="AF570">
        <v>0</v>
      </c>
      <c r="AG570">
        <v>0</v>
      </c>
      <c r="AH570">
        <v>0</v>
      </c>
      <c r="AI570">
        <v>0</v>
      </c>
      <c r="AJ570">
        <v>0</v>
      </c>
      <c r="AK570">
        <v>0</v>
      </c>
      <c r="AL570">
        <v>0</v>
      </c>
      <c r="AM570">
        <v>0</v>
      </c>
      <c r="AN570">
        <v>0</v>
      </c>
      <c r="AO570">
        <v>1</v>
      </c>
      <c r="AP570">
        <v>0</v>
      </c>
      <c r="AQ570">
        <v>0</v>
      </c>
      <c r="AR570">
        <v>0</v>
      </c>
      <c r="AS570">
        <v>0</v>
      </c>
      <c r="AT570">
        <v>0</v>
      </c>
      <c r="AU570">
        <f t="shared" si="16"/>
        <v>1</v>
      </c>
      <c r="AV570">
        <f t="shared" si="17"/>
        <v>0</v>
      </c>
    </row>
    <row r="571" spans="1:48" x14ac:dyDescent="0.25">
      <c r="A571" t="s">
        <v>3784</v>
      </c>
      <c r="C571" t="s">
        <v>3774</v>
      </c>
      <c r="D571" t="s">
        <v>3785</v>
      </c>
      <c r="E571" t="s">
        <v>2310</v>
      </c>
      <c r="F571">
        <v>12</v>
      </c>
      <c r="G571">
        <v>12.2</v>
      </c>
      <c r="H571" t="s">
        <v>2017</v>
      </c>
      <c r="I571" s="21">
        <v>37769</v>
      </c>
      <c r="J571">
        <v>2003</v>
      </c>
      <c r="K571" s="21">
        <v>37792</v>
      </c>
      <c r="L571">
        <v>2003</v>
      </c>
      <c r="M571" s="21">
        <v>37946</v>
      </c>
      <c r="N571">
        <v>2003</v>
      </c>
      <c r="R571" s="262">
        <v>125000</v>
      </c>
      <c r="S571" t="s">
        <v>114</v>
      </c>
      <c r="T571" t="s">
        <v>114</v>
      </c>
      <c r="U571">
        <v>5</v>
      </c>
      <c r="W571">
        <v>1053</v>
      </c>
      <c r="X571">
        <v>1</v>
      </c>
      <c r="Y571">
        <v>0</v>
      </c>
      <c r="Z571">
        <v>0</v>
      </c>
      <c r="AA571">
        <v>0</v>
      </c>
      <c r="AB571">
        <v>0</v>
      </c>
      <c r="AC571">
        <v>1053</v>
      </c>
      <c r="AD571">
        <v>0</v>
      </c>
      <c r="AE571">
        <v>0</v>
      </c>
      <c r="AF571">
        <v>0</v>
      </c>
      <c r="AG571">
        <v>0</v>
      </c>
      <c r="AH571">
        <v>0</v>
      </c>
      <c r="AI571">
        <v>0</v>
      </c>
      <c r="AJ571">
        <v>0</v>
      </c>
      <c r="AK571">
        <v>0</v>
      </c>
      <c r="AL571">
        <v>0</v>
      </c>
      <c r="AM571">
        <v>0</v>
      </c>
      <c r="AN571">
        <v>0</v>
      </c>
      <c r="AO571">
        <v>1</v>
      </c>
      <c r="AP571">
        <v>0</v>
      </c>
      <c r="AQ571">
        <v>0</v>
      </c>
      <c r="AR571">
        <v>0</v>
      </c>
      <c r="AS571">
        <v>0</v>
      </c>
      <c r="AT571">
        <v>0</v>
      </c>
      <c r="AU571">
        <f t="shared" si="16"/>
        <v>1</v>
      </c>
      <c r="AV571">
        <f t="shared" si="17"/>
        <v>0</v>
      </c>
    </row>
    <row r="572" spans="1:48" x14ac:dyDescent="0.25">
      <c r="A572" t="s">
        <v>3786</v>
      </c>
      <c r="C572" t="s">
        <v>3774</v>
      </c>
      <c r="D572" t="s">
        <v>3787</v>
      </c>
      <c r="E572" t="s">
        <v>2310</v>
      </c>
      <c r="F572">
        <v>12</v>
      </c>
      <c r="G572">
        <v>12.2</v>
      </c>
      <c r="H572" t="s">
        <v>2017</v>
      </c>
      <c r="I572" s="21">
        <v>37769</v>
      </c>
      <c r="J572">
        <v>2003</v>
      </c>
      <c r="K572" s="21">
        <v>37792</v>
      </c>
      <c r="L572">
        <v>2003</v>
      </c>
      <c r="M572" s="21">
        <v>37951</v>
      </c>
      <c r="N572">
        <v>2003</v>
      </c>
      <c r="R572" s="262">
        <v>125000</v>
      </c>
      <c r="S572" t="s">
        <v>114</v>
      </c>
      <c r="T572" t="s">
        <v>114</v>
      </c>
      <c r="U572">
        <v>5</v>
      </c>
      <c r="W572">
        <v>1053</v>
      </c>
      <c r="X572">
        <v>1</v>
      </c>
      <c r="Y572">
        <v>0</v>
      </c>
      <c r="Z572">
        <v>0</v>
      </c>
      <c r="AA572">
        <v>0</v>
      </c>
      <c r="AB572">
        <v>0</v>
      </c>
      <c r="AC572">
        <v>1053</v>
      </c>
      <c r="AD572">
        <v>0</v>
      </c>
      <c r="AE572">
        <v>0</v>
      </c>
      <c r="AF572">
        <v>0</v>
      </c>
      <c r="AG572">
        <v>0</v>
      </c>
      <c r="AH572">
        <v>0</v>
      </c>
      <c r="AI572">
        <v>0</v>
      </c>
      <c r="AJ572">
        <v>0</v>
      </c>
      <c r="AK572">
        <v>0</v>
      </c>
      <c r="AL572">
        <v>0</v>
      </c>
      <c r="AM572">
        <v>0</v>
      </c>
      <c r="AN572">
        <v>0</v>
      </c>
      <c r="AO572">
        <v>1</v>
      </c>
      <c r="AP572">
        <v>0</v>
      </c>
      <c r="AQ572">
        <v>0</v>
      </c>
      <c r="AR572">
        <v>0</v>
      </c>
      <c r="AS572">
        <v>0</v>
      </c>
      <c r="AT572">
        <v>0</v>
      </c>
      <c r="AU572">
        <f t="shared" si="16"/>
        <v>1</v>
      </c>
      <c r="AV572">
        <f t="shared" si="17"/>
        <v>0</v>
      </c>
    </row>
    <row r="573" spans="1:48" x14ac:dyDescent="0.25">
      <c r="A573" t="s">
        <v>3788</v>
      </c>
      <c r="C573" t="s">
        <v>3774</v>
      </c>
      <c r="D573" t="s">
        <v>3789</v>
      </c>
      <c r="E573" t="s">
        <v>2310</v>
      </c>
      <c r="F573">
        <v>12</v>
      </c>
      <c r="G573">
        <v>12.2</v>
      </c>
      <c r="H573" t="s">
        <v>2017</v>
      </c>
      <c r="I573" s="21">
        <v>37769</v>
      </c>
      <c r="J573">
        <v>2003</v>
      </c>
      <c r="K573" s="21">
        <v>37792</v>
      </c>
      <c r="L573">
        <v>2003</v>
      </c>
      <c r="M573" s="21">
        <v>37979</v>
      </c>
      <c r="N573">
        <v>2003</v>
      </c>
      <c r="R573" s="262">
        <v>125000</v>
      </c>
      <c r="S573" t="s">
        <v>114</v>
      </c>
      <c r="T573" t="s">
        <v>114</v>
      </c>
      <c r="U573">
        <v>5</v>
      </c>
      <c r="W573">
        <v>1053</v>
      </c>
      <c r="X573">
        <v>1</v>
      </c>
      <c r="Y573">
        <v>0</v>
      </c>
      <c r="Z573">
        <v>0</v>
      </c>
      <c r="AA573">
        <v>0</v>
      </c>
      <c r="AB573">
        <v>0</v>
      </c>
      <c r="AC573">
        <v>1053</v>
      </c>
      <c r="AD573">
        <v>0</v>
      </c>
      <c r="AE573">
        <v>0</v>
      </c>
      <c r="AF573">
        <v>0</v>
      </c>
      <c r="AG573">
        <v>0</v>
      </c>
      <c r="AH573">
        <v>0</v>
      </c>
      <c r="AI573">
        <v>0</v>
      </c>
      <c r="AJ573">
        <v>0</v>
      </c>
      <c r="AK573">
        <v>0</v>
      </c>
      <c r="AL573">
        <v>0</v>
      </c>
      <c r="AM573">
        <v>0</v>
      </c>
      <c r="AN573">
        <v>0</v>
      </c>
      <c r="AO573">
        <v>1</v>
      </c>
      <c r="AP573">
        <v>0</v>
      </c>
      <c r="AQ573">
        <v>0</v>
      </c>
      <c r="AR573">
        <v>0</v>
      </c>
      <c r="AS573">
        <v>0</v>
      </c>
      <c r="AT573">
        <v>0</v>
      </c>
      <c r="AU573">
        <f t="shared" si="16"/>
        <v>1</v>
      </c>
      <c r="AV573">
        <f t="shared" si="17"/>
        <v>0</v>
      </c>
    </row>
    <row r="574" spans="1:48" x14ac:dyDescent="0.25">
      <c r="A574" t="s">
        <v>3790</v>
      </c>
      <c r="C574" t="s">
        <v>3774</v>
      </c>
      <c r="D574" t="s">
        <v>3791</v>
      </c>
      <c r="E574" t="s">
        <v>2310</v>
      </c>
      <c r="F574">
        <v>12</v>
      </c>
      <c r="G574">
        <v>12.2</v>
      </c>
      <c r="H574" t="s">
        <v>2017</v>
      </c>
      <c r="I574" s="21">
        <v>37769</v>
      </c>
      <c r="J574">
        <v>2003</v>
      </c>
      <c r="K574" s="21">
        <v>37792</v>
      </c>
      <c r="L574">
        <v>2003</v>
      </c>
      <c r="M574" s="21">
        <v>37939</v>
      </c>
      <c r="N574">
        <v>2003</v>
      </c>
      <c r="R574" s="262">
        <v>125000</v>
      </c>
      <c r="S574" t="s">
        <v>114</v>
      </c>
      <c r="T574" t="s">
        <v>114</v>
      </c>
      <c r="U574">
        <v>5</v>
      </c>
      <c r="W574">
        <v>1053</v>
      </c>
      <c r="X574">
        <v>1</v>
      </c>
      <c r="Y574">
        <v>0</v>
      </c>
      <c r="Z574">
        <v>0</v>
      </c>
      <c r="AA574">
        <v>0</v>
      </c>
      <c r="AB574">
        <v>0</v>
      </c>
      <c r="AC574">
        <v>1053</v>
      </c>
      <c r="AD574">
        <v>0</v>
      </c>
      <c r="AE574">
        <v>0</v>
      </c>
      <c r="AF574">
        <v>0</v>
      </c>
      <c r="AG574">
        <v>0</v>
      </c>
      <c r="AH574">
        <v>0</v>
      </c>
      <c r="AI574">
        <v>0</v>
      </c>
      <c r="AJ574">
        <v>0</v>
      </c>
      <c r="AK574">
        <v>0</v>
      </c>
      <c r="AL574">
        <v>0</v>
      </c>
      <c r="AM574">
        <v>0</v>
      </c>
      <c r="AN574">
        <v>0</v>
      </c>
      <c r="AO574">
        <v>1</v>
      </c>
      <c r="AP574">
        <v>0</v>
      </c>
      <c r="AQ574">
        <v>0</v>
      </c>
      <c r="AR574">
        <v>0</v>
      </c>
      <c r="AS574">
        <v>0</v>
      </c>
      <c r="AT574">
        <v>0</v>
      </c>
      <c r="AU574">
        <f t="shared" si="16"/>
        <v>1</v>
      </c>
      <c r="AV574">
        <f t="shared" si="17"/>
        <v>0</v>
      </c>
    </row>
    <row r="575" spans="1:48" x14ac:dyDescent="0.25">
      <c r="A575" t="s">
        <v>3792</v>
      </c>
      <c r="C575" t="s">
        <v>3771</v>
      </c>
      <c r="D575" t="s">
        <v>3793</v>
      </c>
      <c r="E575" t="s">
        <v>2310</v>
      </c>
      <c r="F575">
        <v>12</v>
      </c>
      <c r="G575">
        <v>12.2</v>
      </c>
      <c r="H575" t="s">
        <v>2017</v>
      </c>
      <c r="I575" s="21">
        <v>37769</v>
      </c>
      <c r="J575">
        <v>2003</v>
      </c>
      <c r="K575" s="21">
        <v>37795</v>
      </c>
      <c r="L575">
        <v>2003</v>
      </c>
      <c r="M575" s="21">
        <v>37939</v>
      </c>
      <c r="N575">
        <v>2003</v>
      </c>
      <c r="R575" s="262">
        <v>125000</v>
      </c>
      <c r="S575" t="s">
        <v>114</v>
      </c>
      <c r="T575" t="s">
        <v>114</v>
      </c>
      <c r="U575">
        <v>5</v>
      </c>
      <c r="W575">
        <v>1053</v>
      </c>
      <c r="X575">
        <v>1</v>
      </c>
      <c r="Y575">
        <v>0</v>
      </c>
      <c r="Z575">
        <v>0</v>
      </c>
      <c r="AA575">
        <v>0</v>
      </c>
      <c r="AB575">
        <v>0</v>
      </c>
      <c r="AC575">
        <v>1053</v>
      </c>
      <c r="AD575">
        <v>0</v>
      </c>
      <c r="AE575">
        <v>0</v>
      </c>
      <c r="AF575">
        <v>0</v>
      </c>
      <c r="AG575">
        <v>0</v>
      </c>
      <c r="AH575">
        <v>0</v>
      </c>
      <c r="AI575">
        <v>0</v>
      </c>
      <c r="AJ575">
        <v>0</v>
      </c>
      <c r="AK575">
        <v>0</v>
      </c>
      <c r="AL575">
        <v>0</v>
      </c>
      <c r="AM575">
        <v>0</v>
      </c>
      <c r="AN575">
        <v>0</v>
      </c>
      <c r="AO575">
        <v>1</v>
      </c>
      <c r="AP575">
        <v>0</v>
      </c>
      <c r="AQ575">
        <v>0</v>
      </c>
      <c r="AR575">
        <v>0</v>
      </c>
      <c r="AS575">
        <v>0</v>
      </c>
      <c r="AT575">
        <v>0</v>
      </c>
      <c r="AU575">
        <f t="shared" si="16"/>
        <v>1</v>
      </c>
      <c r="AV575">
        <f t="shared" si="17"/>
        <v>0</v>
      </c>
    </row>
    <row r="576" spans="1:48" x14ac:dyDescent="0.25">
      <c r="A576" t="s">
        <v>3794</v>
      </c>
      <c r="C576" t="s">
        <v>3774</v>
      </c>
      <c r="D576" t="s">
        <v>3795</v>
      </c>
      <c r="E576" t="s">
        <v>2310</v>
      </c>
      <c r="F576">
        <v>12</v>
      </c>
      <c r="G576">
        <v>12.2</v>
      </c>
      <c r="H576" t="s">
        <v>2017</v>
      </c>
      <c r="I576" s="21">
        <v>37769</v>
      </c>
      <c r="J576">
        <v>2003</v>
      </c>
      <c r="K576" s="21">
        <v>37795</v>
      </c>
      <c r="L576">
        <v>2003</v>
      </c>
      <c r="M576" s="21">
        <v>37979</v>
      </c>
      <c r="N576">
        <v>2003</v>
      </c>
      <c r="R576" s="262">
        <v>125000</v>
      </c>
      <c r="S576" t="s">
        <v>114</v>
      </c>
      <c r="T576" t="s">
        <v>114</v>
      </c>
      <c r="U576">
        <v>5</v>
      </c>
      <c r="W576">
        <v>1053</v>
      </c>
      <c r="X576">
        <v>1</v>
      </c>
      <c r="Y576">
        <v>0</v>
      </c>
      <c r="Z576">
        <v>0</v>
      </c>
      <c r="AA576">
        <v>0</v>
      </c>
      <c r="AB576">
        <v>0</v>
      </c>
      <c r="AC576">
        <v>1053</v>
      </c>
      <c r="AD576">
        <v>0</v>
      </c>
      <c r="AE576">
        <v>0</v>
      </c>
      <c r="AF576">
        <v>0</v>
      </c>
      <c r="AG576">
        <v>0</v>
      </c>
      <c r="AH576">
        <v>0</v>
      </c>
      <c r="AI576">
        <v>0</v>
      </c>
      <c r="AJ576">
        <v>0</v>
      </c>
      <c r="AK576">
        <v>0</v>
      </c>
      <c r="AL576">
        <v>0</v>
      </c>
      <c r="AM576">
        <v>0</v>
      </c>
      <c r="AN576">
        <v>0</v>
      </c>
      <c r="AO576">
        <v>1</v>
      </c>
      <c r="AP576">
        <v>0</v>
      </c>
      <c r="AQ576">
        <v>0</v>
      </c>
      <c r="AR576">
        <v>0</v>
      </c>
      <c r="AS576">
        <v>0</v>
      </c>
      <c r="AT576">
        <v>0</v>
      </c>
      <c r="AU576">
        <f t="shared" si="16"/>
        <v>1</v>
      </c>
      <c r="AV576">
        <f t="shared" si="17"/>
        <v>0</v>
      </c>
    </row>
    <row r="577" spans="1:48" x14ac:dyDescent="0.25">
      <c r="A577" t="s">
        <v>3796</v>
      </c>
      <c r="C577" t="s">
        <v>3774</v>
      </c>
      <c r="D577" t="s">
        <v>3797</v>
      </c>
      <c r="E577" t="s">
        <v>2310</v>
      </c>
      <c r="F577">
        <v>12</v>
      </c>
      <c r="G577">
        <v>12.2</v>
      </c>
      <c r="H577" t="s">
        <v>2017</v>
      </c>
      <c r="I577" s="21">
        <v>37769</v>
      </c>
      <c r="J577">
        <v>2003</v>
      </c>
      <c r="K577" s="21">
        <v>37795</v>
      </c>
      <c r="L577">
        <v>2003</v>
      </c>
      <c r="M577" s="21">
        <v>37966</v>
      </c>
      <c r="N577">
        <v>2003</v>
      </c>
      <c r="R577" s="262">
        <v>125000</v>
      </c>
      <c r="S577" t="s">
        <v>114</v>
      </c>
      <c r="T577" t="s">
        <v>114</v>
      </c>
      <c r="U577">
        <v>5</v>
      </c>
      <c r="W577">
        <v>1053</v>
      </c>
      <c r="X577">
        <v>1</v>
      </c>
      <c r="Y577">
        <v>0</v>
      </c>
      <c r="Z577">
        <v>0</v>
      </c>
      <c r="AA577">
        <v>0</v>
      </c>
      <c r="AB577">
        <v>0</v>
      </c>
      <c r="AC577">
        <v>1053</v>
      </c>
      <c r="AD577">
        <v>0</v>
      </c>
      <c r="AE577">
        <v>0</v>
      </c>
      <c r="AF577">
        <v>0</v>
      </c>
      <c r="AG577">
        <v>0</v>
      </c>
      <c r="AH577">
        <v>0</v>
      </c>
      <c r="AI577">
        <v>0</v>
      </c>
      <c r="AJ577">
        <v>0</v>
      </c>
      <c r="AK577">
        <v>0</v>
      </c>
      <c r="AL577">
        <v>0</v>
      </c>
      <c r="AM577">
        <v>0</v>
      </c>
      <c r="AN577">
        <v>0</v>
      </c>
      <c r="AO577">
        <v>1</v>
      </c>
      <c r="AP577">
        <v>0</v>
      </c>
      <c r="AQ577">
        <v>0</v>
      </c>
      <c r="AR577">
        <v>0</v>
      </c>
      <c r="AS577">
        <v>0</v>
      </c>
      <c r="AT577">
        <v>0</v>
      </c>
      <c r="AU577">
        <f t="shared" si="16"/>
        <v>1</v>
      </c>
      <c r="AV577">
        <f t="shared" si="17"/>
        <v>0</v>
      </c>
    </row>
    <row r="578" spans="1:48" x14ac:dyDescent="0.25">
      <c r="A578" t="s">
        <v>3798</v>
      </c>
      <c r="C578" t="s">
        <v>3799</v>
      </c>
      <c r="D578" t="s">
        <v>3800</v>
      </c>
      <c r="E578" t="s">
        <v>2310</v>
      </c>
      <c r="F578">
        <v>12</v>
      </c>
      <c r="G578">
        <v>12.2</v>
      </c>
      <c r="H578" t="s">
        <v>2017</v>
      </c>
      <c r="I578" s="21">
        <v>37769</v>
      </c>
      <c r="J578">
        <v>2003</v>
      </c>
      <c r="K578" s="21">
        <v>37792</v>
      </c>
      <c r="L578">
        <v>2003</v>
      </c>
      <c r="M578" s="21">
        <v>38093</v>
      </c>
      <c r="N578">
        <v>2004</v>
      </c>
      <c r="R578" s="262">
        <v>105000</v>
      </c>
      <c r="S578" t="s">
        <v>114</v>
      </c>
      <c r="T578" t="s">
        <v>114</v>
      </c>
      <c r="U578">
        <v>5</v>
      </c>
      <c r="W578">
        <v>894</v>
      </c>
      <c r="X578">
        <v>1</v>
      </c>
      <c r="Y578">
        <v>0</v>
      </c>
      <c r="Z578">
        <v>0</v>
      </c>
      <c r="AA578">
        <v>0</v>
      </c>
      <c r="AB578">
        <v>0</v>
      </c>
      <c r="AC578">
        <v>894</v>
      </c>
      <c r="AD578">
        <v>0</v>
      </c>
      <c r="AE578">
        <v>0</v>
      </c>
      <c r="AF578">
        <v>0</v>
      </c>
      <c r="AG578">
        <v>0</v>
      </c>
      <c r="AH578">
        <v>0</v>
      </c>
      <c r="AI578">
        <v>0</v>
      </c>
      <c r="AJ578">
        <v>0</v>
      </c>
      <c r="AK578">
        <v>0</v>
      </c>
      <c r="AL578">
        <v>0</v>
      </c>
      <c r="AM578">
        <v>0</v>
      </c>
      <c r="AN578">
        <v>0</v>
      </c>
      <c r="AO578">
        <v>1</v>
      </c>
      <c r="AP578">
        <v>0</v>
      </c>
      <c r="AQ578">
        <v>0</v>
      </c>
      <c r="AR578">
        <v>0</v>
      </c>
      <c r="AS578">
        <v>0</v>
      </c>
      <c r="AT578">
        <v>0</v>
      </c>
      <c r="AU578">
        <f t="shared" si="16"/>
        <v>1</v>
      </c>
      <c r="AV578">
        <f t="shared" si="17"/>
        <v>0</v>
      </c>
    </row>
    <row r="579" spans="1:48" x14ac:dyDescent="0.25">
      <c r="A579" t="s">
        <v>3801</v>
      </c>
      <c r="C579" t="s">
        <v>3799</v>
      </c>
      <c r="D579" t="s">
        <v>3802</v>
      </c>
      <c r="E579" t="s">
        <v>2310</v>
      </c>
      <c r="F579">
        <v>12</v>
      </c>
      <c r="G579">
        <v>12.2</v>
      </c>
      <c r="H579" t="s">
        <v>2017</v>
      </c>
      <c r="I579" s="21">
        <v>37769</v>
      </c>
      <c r="J579">
        <v>2003</v>
      </c>
      <c r="K579" s="21">
        <v>37792</v>
      </c>
      <c r="L579">
        <v>2003</v>
      </c>
      <c r="M579" s="21">
        <v>38093</v>
      </c>
      <c r="N579">
        <v>2004</v>
      </c>
      <c r="R579" s="262">
        <v>105000</v>
      </c>
      <c r="S579" t="s">
        <v>114</v>
      </c>
      <c r="T579" t="s">
        <v>114</v>
      </c>
      <c r="U579">
        <v>5</v>
      </c>
      <c r="W579">
        <v>894</v>
      </c>
      <c r="X579">
        <v>1</v>
      </c>
      <c r="Y579">
        <v>0</v>
      </c>
      <c r="Z579">
        <v>0</v>
      </c>
      <c r="AA579">
        <v>0</v>
      </c>
      <c r="AB579">
        <v>0</v>
      </c>
      <c r="AC579">
        <v>894</v>
      </c>
      <c r="AD579">
        <v>0</v>
      </c>
      <c r="AE579">
        <v>0</v>
      </c>
      <c r="AF579">
        <v>0</v>
      </c>
      <c r="AG579">
        <v>0</v>
      </c>
      <c r="AH579">
        <v>0</v>
      </c>
      <c r="AI579">
        <v>0</v>
      </c>
      <c r="AJ579">
        <v>0</v>
      </c>
      <c r="AK579">
        <v>0</v>
      </c>
      <c r="AL579">
        <v>0</v>
      </c>
      <c r="AM579">
        <v>0</v>
      </c>
      <c r="AN579">
        <v>0</v>
      </c>
      <c r="AO579">
        <v>1</v>
      </c>
      <c r="AP579">
        <v>0</v>
      </c>
      <c r="AQ579">
        <v>0</v>
      </c>
      <c r="AR579">
        <v>0</v>
      </c>
      <c r="AS579">
        <v>0</v>
      </c>
      <c r="AT579">
        <v>0</v>
      </c>
      <c r="AU579">
        <f t="shared" si="16"/>
        <v>1</v>
      </c>
      <c r="AV579">
        <f t="shared" si="17"/>
        <v>0</v>
      </c>
    </row>
    <row r="580" spans="1:48" x14ac:dyDescent="0.25">
      <c r="A580" t="s">
        <v>3803</v>
      </c>
      <c r="C580" t="s">
        <v>3799</v>
      </c>
      <c r="D580" t="s">
        <v>3804</v>
      </c>
      <c r="E580" t="s">
        <v>2310</v>
      </c>
      <c r="F580">
        <v>12</v>
      </c>
      <c r="G580">
        <v>12.2</v>
      </c>
      <c r="H580" t="s">
        <v>2017</v>
      </c>
      <c r="I580" s="21">
        <v>37769</v>
      </c>
      <c r="J580">
        <v>2003</v>
      </c>
      <c r="K580" s="21">
        <v>37792</v>
      </c>
      <c r="L580">
        <v>2003</v>
      </c>
      <c r="M580" s="21">
        <v>37939</v>
      </c>
      <c r="N580">
        <v>2003</v>
      </c>
      <c r="R580" s="262">
        <v>105000</v>
      </c>
      <c r="S580" t="s">
        <v>114</v>
      </c>
      <c r="T580" t="s">
        <v>114</v>
      </c>
      <c r="U580">
        <v>5</v>
      </c>
      <c r="W580">
        <v>894</v>
      </c>
      <c r="X580">
        <v>1</v>
      </c>
      <c r="Y580">
        <v>0</v>
      </c>
      <c r="Z580">
        <v>0</v>
      </c>
      <c r="AA580">
        <v>0</v>
      </c>
      <c r="AB580">
        <v>0</v>
      </c>
      <c r="AC580">
        <v>894</v>
      </c>
      <c r="AD580">
        <v>0</v>
      </c>
      <c r="AE580">
        <v>0</v>
      </c>
      <c r="AF580">
        <v>0</v>
      </c>
      <c r="AG580">
        <v>0</v>
      </c>
      <c r="AH580">
        <v>0</v>
      </c>
      <c r="AI580">
        <v>0</v>
      </c>
      <c r="AJ580">
        <v>0</v>
      </c>
      <c r="AK580">
        <v>0</v>
      </c>
      <c r="AL580">
        <v>0</v>
      </c>
      <c r="AM580">
        <v>0</v>
      </c>
      <c r="AN580">
        <v>0</v>
      </c>
      <c r="AO580">
        <v>1</v>
      </c>
      <c r="AP580">
        <v>0</v>
      </c>
      <c r="AQ580">
        <v>0</v>
      </c>
      <c r="AR580">
        <v>0</v>
      </c>
      <c r="AS580">
        <v>0</v>
      </c>
      <c r="AT580">
        <v>0</v>
      </c>
      <c r="AU580">
        <f t="shared" si="16"/>
        <v>1</v>
      </c>
      <c r="AV580">
        <f t="shared" si="17"/>
        <v>0</v>
      </c>
    </row>
    <row r="581" spans="1:48" x14ac:dyDescent="0.25">
      <c r="A581" t="s">
        <v>3805</v>
      </c>
      <c r="C581" t="s">
        <v>3799</v>
      </c>
      <c r="D581" t="s">
        <v>3806</v>
      </c>
      <c r="E581" t="s">
        <v>2310</v>
      </c>
      <c r="F581">
        <v>12</v>
      </c>
      <c r="G581">
        <v>12.2</v>
      </c>
      <c r="H581" t="s">
        <v>2017</v>
      </c>
      <c r="I581" s="21">
        <v>37769</v>
      </c>
      <c r="J581">
        <v>2003</v>
      </c>
      <c r="K581" s="21">
        <v>37792</v>
      </c>
      <c r="L581">
        <v>2003</v>
      </c>
      <c r="M581" s="21">
        <v>37951</v>
      </c>
      <c r="N581">
        <v>2003</v>
      </c>
      <c r="R581" s="262">
        <v>105000</v>
      </c>
      <c r="S581" t="s">
        <v>114</v>
      </c>
      <c r="T581" t="s">
        <v>114</v>
      </c>
      <c r="U581">
        <v>5</v>
      </c>
      <c r="W581">
        <v>894</v>
      </c>
      <c r="X581">
        <v>1</v>
      </c>
      <c r="Y581">
        <v>0</v>
      </c>
      <c r="Z581">
        <v>0</v>
      </c>
      <c r="AA581">
        <v>0</v>
      </c>
      <c r="AB581">
        <v>0</v>
      </c>
      <c r="AC581">
        <v>894</v>
      </c>
      <c r="AD581">
        <v>0</v>
      </c>
      <c r="AE581">
        <v>0</v>
      </c>
      <c r="AF581">
        <v>0</v>
      </c>
      <c r="AG581">
        <v>0</v>
      </c>
      <c r="AH581">
        <v>0</v>
      </c>
      <c r="AI581">
        <v>0</v>
      </c>
      <c r="AJ581">
        <v>0</v>
      </c>
      <c r="AK581">
        <v>0</v>
      </c>
      <c r="AL581">
        <v>0</v>
      </c>
      <c r="AM581">
        <v>0</v>
      </c>
      <c r="AN581">
        <v>0</v>
      </c>
      <c r="AO581">
        <v>1</v>
      </c>
      <c r="AP581">
        <v>0</v>
      </c>
      <c r="AQ581">
        <v>0</v>
      </c>
      <c r="AR581">
        <v>0</v>
      </c>
      <c r="AS581">
        <v>0</v>
      </c>
      <c r="AT581">
        <v>0</v>
      </c>
      <c r="AU581">
        <f t="shared" si="16"/>
        <v>1</v>
      </c>
      <c r="AV581">
        <f t="shared" si="17"/>
        <v>0</v>
      </c>
    </row>
    <row r="582" spans="1:48" x14ac:dyDescent="0.25">
      <c r="A582" t="s">
        <v>3807</v>
      </c>
      <c r="C582" t="s">
        <v>3799</v>
      </c>
      <c r="D582" t="s">
        <v>3808</v>
      </c>
      <c r="E582" t="s">
        <v>2310</v>
      </c>
      <c r="F582">
        <v>12</v>
      </c>
      <c r="G582">
        <v>12.2</v>
      </c>
      <c r="H582" t="s">
        <v>2017</v>
      </c>
      <c r="I582" s="21">
        <v>37769</v>
      </c>
      <c r="J582">
        <v>2003</v>
      </c>
      <c r="K582" s="21">
        <v>37792</v>
      </c>
      <c r="L582">
        <v>2003</v>
      </c>
      <c r="M582" s="21">
        <v>37939</v>
      </c>
      <c r="N582">
        <v>2003</v>
      </c>
      <c r="R582" s="262">
        <v>105000</v>
      </c>
      <c r="S582" t="s">
        <v>114</v>
      </c>
      <c r="T582" t="s">
        <v>114</v>
      </c>
      <c r="U582">
        <v>5</v>
      </c>
      <c r="W582">
        <v>894</v>
      </c>
      <c r="X582">
        <v>1</v>
      </c>
      <c r="Y582">
        <v>0</v>
      </c>
      <c r="Z582">
        <v>0</v>
      </c>
      <c r="AA582">
        <v>0</v>
      </c>
      <c r="AB582">
        <v>0</v>
      </c>
      <c r="AC582">
        <v>894</v>
      </c>
      <c r="AD582">
        <v>0</v>
      </c>
      <c r="AE582">
        <v>0</v>
      </c>
      <c r="AF582">
        <v>0</v>
      </c>
      <c r="AG582">
        <v>0</v>
      </c>
      <c r="AH582">
        <v>0</v>
      </c>
      <c r="AI582">
        <v>0</v>
      </c>
      <c r="AJ582">
        <v>0</v>
      </c>
      <c r="AK582">
        <v>0</v>
      </c>
      <c r="AL582">
        <v>0</v>
      </c>
      <c r="AM582">
        <v>0</v>
      </c>
      <c r="AN582">
        <v>0</v>
      </c>
      <c r="AO582">
        <v>1</v>
      </c>
      <c r="AP582">
        <v>0</v>
      </c>
      <c r="AQ582">
        <v>0</v>
      </c>
      <c r="AR582">
        <v>0</v>
      </c>
      <c r="AS582">
        <v>0</v>
      </c>
      <c r="AT582">
        <v>0</v>
      </c>
      <c r="AU582">
        <f t="shared" si="16"/>
        <v>1</v>
      </c>
      <c r="AV582">
        <f t="shared" si="17"/>
        <v>0</v>
      </c>
    </row>
    <row r="583" spans="1:48" x14ac:dyDescent="0.25">
      <c r="A583" t="s">
        <v>3809</v>
      </c>
      <c r="C583" t="s">
        <v>3799</v>
      </c>
      <c r="D583" t="s">
        <v>3810</v>
      </c>
      <c r="E583" t="s">
        <v>2310</v>
      </c>
      <c r="F583">
        <v>12</v>
      </c>
      <c r="G583">
        <v>12.2</v>
      </c>
      <c r="H583" t="s">
        <v>2017</v>
      </c>
      <c r="I583" s="21">
        <v>37769</v>
      </c>
      <c r="J583">
        <v>2003</v>
      </c>
      <c r="K583" s="21">
        <v>37792</v>
      </c>
      <c r="L583">
        <v>2003</v>
      </c>
      <c r="M583" s="21">
        <v>37951</v>
      </c>
      <c r="N583">
        <v>2003</v>
      </c>
      <c r="R583" s="262">
        <v>105000</v>
      </c>
      <c r="S583" t="s">
        <v>114</v>
      </c>
      <c r="T583" t="s">
        <v>114</v>
      </c>
      <c r="U583">
        <v>5</v>
      </c>
      <c r="W583">
        <v>894</v>
      </c>
      <c r="X583">
        <v>1</v>
      </c>
      <c r="Y583">
        <v>0</v>
      </c>
      <c r="Z583">
        <v>0</v>
      </c>
      <c r="AA583">
        <v>0</v>
      </c>
      <c r="AB583">
        <v>0</v>
      </c>
      <c r="AC583">
        <v>894</v>
      </c>
      <c r="AD583">
        <v>0</v>
      </c>
      <c r="AE583">
        <v>0</v>
      </c>
      <c r="AF583">
        <v>0</v>
      </c>
      <c r="AG583">
        <v>0</v>
      </c>
      <c r="AH583">
        <v>0</v>
      </c>
      <c r="AI583">
        <v>0</v>
      </c>
      <c r="AJ583">
        <v>0</v>
      </c>
      <c r="AK583">
        <v>0</v>
      </c>
      <c r="AL583">
        <v>0</v>
      </c>
      <c r="AM583">
        <v>0</v>
      </c>
      <c r="AN583">
        <v>0</v>
      </c>
      <c r="AO583">
        <v>1</v>
      </c>
      <c r="AP583">
        <v>0</v>
      </c>
      <c r="AQ583">
        <v>0</v>
      </c>
      <c r="AR583">
        <v>0</v>
      </c>
      <c r="AS583">
        <v>0</v>
      </c>
      <c r="AT583">
        <v>0</v>
      </c>
      <c r="AU583">
        <f t="shared" si="16"/>
        <v>1</v>
      </c>
      <c r="AV583">
        <f t="shared" si="17"/>
        <v>0</v>
      </c>
    </row>
    <row r="584" spans="1:48" x14ac:dyDescent="0.25">
      <c r="A584" t="s">
        <v>3811</v>
      </c>
      <c r="C584" t="s">
        <v>3799</v>
      </c>
      <c r="D584" t="s">
        <v>3812</v>
      </c>
      <c r="E584" t="s">
        <v>2310</v>
      </c>
      <c r="F584">
        <v>12</v>
      </c>
      <c r="G584">
        <v>12.2</v>
      </c>
      <c r="H584" t="s">
        <v>2017</v>
      </c>
      <c r="I584" s="21">
        <v>37769</v>
      </c>
      <c r="J584">
        <v>2003</v>
      </c>
      <c r="K584" s="21">
        <v>37795</v>
      </c>
      <c r="L584">
        <v>2003</v>
      </c>
      <c r="M584" s="21">
        <v>37938</v>
      </c>
      <c r="N584">
        <v>2003</v>
      </c>
      <c r="R584" s="262">
        <v>105000</v>
      </c>
      <c r="S584" t="s">
        <v>114</v>
      </c>
      <c r="T584" t="s">
        <v>114</v>
      </c>
      <c r="U584">
        <v>5</v>
      </c>
      <c r="W584">
        <v>894</v>
      </c>
      <c r="X584">
        <v>1</v>
      </c>
      <c r="Y584">
        <v>0</v>
      </c>
      <c r="Z584">
        <v>0</v>
      </c>
      <c r="AA584">
        <v>0</v>
      </c>
      <c r="AB584">
        <v>0</v>
      </c>
      <c r="AC584">
        <v>894</v>
      </c>
      <c r="AD584">
        <v>0</v>
      </c>
      <c r="AE584">
        <v>0</v>
      </c>
      <c r="AF584">
        <v>0</v>
      </c>
      <c r="AG584">
        <v>0</v>
      </c>
      <c r="AH584">
        <v>0</v>
      </c>
      <c r="AI584">
        <v>0</v>
      </c>
      <c r="AJ584">
        <v>0</v>
      </c>
      <c r="AK584">
        <v>0</v>
      </c>
      <c r="AL584">
        <v>0</v>
      </c>
      <c r="AM584">
        <v>0</v>
      </c>
      <c r="AN584">
        <v>0</v>
      </c>
      <c r="AO584">
        <v>1</v>
      </c>
      <c r="AP584">
        <v>0</v>
      </c>
      <c r="AQ584">
        <v>0</v>
      </c>
      <c r="AR584">
        <v>0</v>
      </c>
      <c r="AS584">
        <v>0</v>
      </c>
      <c r="AT584">
        <v>0</v>
      </c>
      <c r="AU584">
        <f t="shared" si="16"/>
        <v>1</v>
      </c>
      <c r="AV584">
        <f t="shared" si="17"/>
        <v>0</v>
      </c>
    </row>
    <row r="585" spans="1:48" x14ac:dyDescent="0.25">
      <c r="A585" t="s">
        <v>3813</v>
      </c>
      <c r="C585" t="s">
        <v>3771</v>
      </c>
      <c r="D585" t="s">
        <v>3814</v>
      </c>
      <c r="E585" t="s">
        <v>2310</v>
      </c>
      <c r="F585">
        <v>12</v>
      </c>
      <c r="G585">
        <v>12.2</v>
      </c>
      <c r="H585" t="s">
        <v>2017</v>
      </c>
      <c r="I585" s="21">
        <v>37769</v>
      </c>
      <c r="J585">
        <v>2003</v>
      </c>
      <c r="K585" s="21">
        <v>37792</v>
      </c>
      <c r="L585">
        <v>2003</v>
      </c>
      <c r="M585" s="21">
        <v>38112</v>
      </c>
      <c r="N585">
        <v>2004</v>
      </c>
      <c r="R585" s="262">
        <v>152000</v>
      </c>
      <c r="S585" t="s">
        <v>114</v>
      </c>
      <c r="T585" t="s">
        <v>114</v>
      </c>
      <c r="U585">
        <v>5</v>
      </c>
      <c r="W585">
        <v>1382</v>
      </c>
      <c r="X585">
        <v>1</v>
      </c>
      <c r="Y585">
        <v>0</v>
      </c>
      <c r="Z585">
        <v>0</v>
      </c>
      <c r="AA585">
        <v>0</v>
      </c>
      <c r="AB585">
        <v>0</v>
      </c>
      <c r="AC585">
        <v>1382</v>
      </c>
      <c r="AD585">
        <v>0</v>
      </c>
      <c r="AE585">
        <v>0</v>
      </c>
      <c r="AF585">
        <v>0</v>
      </c>
      <c r="AG585">
        <v>0</v>
      </c>
      <c r="AH585">
        <v>0</v>
      </c>
      <c r="AI585">
        <v>0</v>
      </c>
      <c r="AJ585">
        <v>0</v>
      </c>
      <c r="AK585">
        <v>0</v>
      </c>
      <c r="AL585">
        <v>0</v>
      </c>
      <c r="AM585">
        <v>0</v>
      </c>
      <c r="AN585">
        <v>0</v>
      </c>
      <c r="AO585">
        <v>1</v>
      </c>
      <c r="AP585">
        <v>0</v>
      </c>
      <c r="AQ585">
        <v>0</v>
      </c>
      <c r="AR585">
        <v>0</v>
      </c>
      <c r="AS585">
        <v>0</v>
      </c>
      <c r="AT585">
        <v>0</v>
      </c>
      <c r="AU585">
        <f t="shared" si="16"/>
        <v>1</v>
      </c>
      <c r="AV585">
        <f t="shared" si="17"/>
        <v>0</v>
      </c>
    </row>
    <row r="586" spans="1:48" x14ac:dyDescent="0.25">
      <c r="A586" t="s">
        <v>3815</v>
      </c>
      <c r="C586" t="s">
        <v>3771</v>
      </c>
      <c r="D586" t="s">
        <v>3816</v>
      </c>
      <c r="E586" t="s">
        <v>2310</v>
      </c>
      <c r="F586">
        <v>12</v>
      </c>
      <c r="G586">
        <v>12.2</v>
      </c>
      <c r="H586" t="s">
        <v>2017</v>
      </c>
      <c r="I586" s="21">
        <v>37769</v>
      </c>
      <c r="J586">
        <v>2003</v>
      </c>
      <c r="K586" s="21">
        <v>37792</v>
      </c>
      <c r="L586">
        <v>2003</v>
      </c>
      <c r="M586" s="21">
        <v>38093</v>
      </c>
      <c r="N586">
        <v>2004</v>
      </c>
      <c r="R586" s="262">
        <v>152000</v>
      </c>
      <c r="S586" t="s">
        <v>114</v>
      </c>
      <c r="T586" t="s">
        <v>114</v>
      </c>
      <c r="U586">
        <v>5</v>
      </c>
      <c r="W586">
        <v>1382</v>
      </c>
      <c r="X586">
        <v>1</v>
      </c>
      <c r="Y586">
        <v>0</v>
      </c>
      <c r="Z586">
        <v>0</v>
      </c>
      <c r="AA586">
        <v>0</v>
      </c>
      <c r="AB586">
        <v>0</v>
      </c>
      <c r="AC586">
        <v>1382</v>
      </c>
      <c r="AD586">
        <v>0</v>
      </c>
      <c r="AE586">
        <v>0</v>
      </c>
      <c r="AF586">
        <v>0</v>
      </c>
      <c r="AG586">
        <v>0</v>
      </c>
      <c r="AH586">
        <v>0</v>
      </c>
      <c r="AI586">
        <v>0</v>
      </c>
      <c r="AJ586">
        <v>0</v>
      </c>
      <c r="AK586">
        <v>0</v>
      </c>
      <c r="AL586">
        <v>0</v>
      </c>
      <c r="AM586">
        <v>0</v>
      </c>
      <c r="AN586">
        <v>0</v>
      </c>
      <c r="AO586">
        <v>1</v>
      </c>
      <c r="AP586">
        <v>0</v>
      </c>
      <c r="AQ586">
        <v>0</v>
      </c>
      <c r="AR586">
        <v>0</v>
      </c>
      <c r="AS586">
        <v>0</v>
      </c>
      <c r="AT586">
        <v>0</v>
      </c>
      <c r="AU586">
        <f t="shared" si="16"/>
        <v>1</v>
      </c>
      <c r="AV586">
        <f t="shared" si="17"/>
        <v>0</v>
      </c>
    </row>
    <row r="587" spans="1:48" x14ac:dyDescent="0.25">
      <c r="A587" t="s">
        <v>3817</v>
      </c>
      <c r="C587" t="s">
        <v>3818</v>
      </c>
      <c r="D587" t="s">
        <v>3819</v>
      </c>
      <c r="E587" t="s">
        <v>2310</v>
      </c>
      <c r="F587">
        <v>12</v>
      </c>
      <c r="G587">
        <v>12.2</v>
      </c>
      <c r="H587" t="s">
        <v>2017</v>
      </c>
      <c r="I587" s="21">
        <v>37769</v>
      </c>
      <c r="J587">
        <v>2003</v>
      </c>
      <c r="K587" s="21">
        <v>37792</v>
      </c>
      <c r="L587">
        <v>2003</v>
      </c>
      <c r="M587" s="21">
        <v>37974</v>
      </c>
      <c r="N587">
        <v>2003</v>
      </c>
      <c r="R587" s="262">
        <v>152000</v>
      </c>
      <c r="S587" t="s">
        <v>114</v>
      </c>
      <c r="T587" t="s">
        <v>114</v>
      </c>
      <c r="U587">
        <v>5</v>
      </c>
      <c r="W587">
        <v>1382</v>
      </c>
      <c r="X587">
        <v>1</v>
      </c>
      <c r="Y587">
        <v>0</v>
      </c>
      <c r="Z587">
        <v>0</v>
      </c>
      <c r="AA587">
        <v>0</v>
      </c>
      <c r="AB587">
        <v>0</v>
      </c>
      <c r="AC587">
        <v>1382</v>
      </c>
      <c r="AD587">
        <v>0</v>
      </c>
      <c r="AE587">
        <v>0</v>
      </c>
      <c r="AF587">
        <v>0</v>
      </c>
      <c r="AG587">
        <v>0</v>
      </c>
      <c r="AH587">
        <v>0</v>
      </c>
      <c r="AI587">
        <v>0</v>
      </c>
      <c r="AJ587">
        <v>0</v>
      </c>
      <c r="AK587">
        <v>0</v>
      </c>
      <c r="AL587">
        <v>0</v>
      </c>
      <c r="AM587">
        <v>0</v>
      </c>
      <c r="AN587">
        <v>0</v>
      </c>
      <c r="AO587">
        <v>1</v>
      </c>
      <c r="AP587">
        <v>0</v>
      </c>
      <c r="AQ587">
        <v>0</v>
      </c>
      <c r="AR587">
        <v>0</v>
      </c>
      <c r="AS587">
        <v>0</v>
      </c>
      <c r="AT587">
        <v>0</v>
      </c>
      <c r="AU587">
        <f t="shared" si="16"/>
        <v>1</v>
      </c>
      <c r="AV587">
        <f t="shared" si="17"/>
        <v>0</v>
      </c>
    </row>
    <row r="588" spans="1:48" x14ac:dyDescent="0.25">
      <c r="A588" t="s">
        <v>3820</v>
      </c>
      <c r="C588" t="s">
        <v>3818</v>
      </c>
      <c r="D588" t="s">
        <v>3821</v>
      </c>
      <c r="E588" t="s">
        <v>2310</v>
      </c>
      <c r="F588">
        <v>12</v>
      </c>
      <c r="G588">
        <v>12.2</v>
      </c>
      <c r="H588" t="s">
        <v>2017</v>
      </c>
      <c r="I588" s="21">
        <v>37769</v>
      </c>
      <c r="J588">
        <v>2003</v>
      </c>
      <c r="K588" s="21">
        <v>37792</v>
      </c>
      <c r="L588">
        <v>2003</v>
      </c>
      <c r="M588" s="21">
        <v>37974</v>
      </c>
      <c r="N588">
        <v>2003</v>
      </c>
      <c r="R588" s="262">
        <v>152000</v>
      </c>
      <c r="S588" t="s">
        <v>114</v>
      </c>
      <c r="T588" t="s">
        <v>114</v>
      </c>
      <c r="U588">
        <v>5</v>
      </c>
      <c r="W588">
        <v>1382</v>
      </c>
      <c r="X588">
        <v>1</v>
      </c>
      <c r="Y588">
        <v>0</v>
      </c>
      <c r="Z588">
        <v>0</v>
      </c>
      <c r="AA588">
        <v>0</v>
      </c>
      <c r="AB588">
        <v>0</v>
      </c>
      <c r="AC588">
        <v>1382</v>
      </c>
      <c r="AD588">
        <v>0</v>
      </c>
      <c r="AE588">
        <v>0</v>
      </c>
      <c r="AF588">
        <v>0</v>
      </c>
      <c r="AG588">
        <v>0</v>
      </c>
      <c r="AH588">
        <v>0</v>
      </c>
      <c r="AI588">
        <v>0</v>
      </c>
      <c r="AJ588">
        <v>0</v>
      </c>
      <c r="AK588">
        <v>0</v>
      </c>
      <c r="AL588">
        <v>0</v>
      </c>
      <c r="AM588">
        <v>0</v>
      </c>
      <c r="AN588">
        <v>0</v>
      </c>
      <c r="AO588">
        <v>1</v>
      </c>
      <c r="AP588">
        <v>0</v>
      </c>
      <c r="AQ588">
        <v>0</v>
      </c>
      <c r="AR588">
        <v>0</v>
      </c>
      <c r="AS588">
        <v>0</v>
      </c>
      <c r="AT588">
        <v>0</v>
      </c>
      <c r="AU588">
        <f t="shared" si="16"/>
        <v>1</v>
      </c>
      <c r="AV588">
        <f t="shared" si="17"/>
        <v>0</v>
      </c>
    </row>
    <row r="589" spans="1:48" x14ac:dyDescent="0.25">
      <c r="A589" t="s">
        <v>3822</v>
      </c>
      <c r="C589" t="s">
        <v>3818</v>
      </c>
      <c r="D589" t="s">
        <v>3823</v>
      </c>
      <c r="E589" t="s">
        <v>2310</v>
      </c>
      <c r="F589">
        <v>12</v>
      </c>
      <c r="G589">
        <v>12.2</v>
      </c>
      <c r="H589" t="s">
        <v>2017</v>
      </c>
      <c r="I589" s="21">
        <v>37769</v>
      </c>
      <c r="J589">
        <v>2003</v>
      </c>
      <c r="K589" s="21">
        <v>37792</v>
      </c>
      <c r="L589">
        <v>2003</v>
      </c>
      <c r="M589" s="21">
        <v>37979</v>
      </c>
      <c r="N589">
        <v>2003</v>
      </c>
      <c r="R589" s="262">
        <v>152000</v>
      </c>
      <c r="S589" t="s">
        <v>114</v>
      </c>
      <c r="T589" t="s">
        <v>114</v>
      </c>
      <c r="U589">
        <v>5</v>
      </c>
      <c r="W589">
        <v>1382</v>
      </c>
      <c r="X589">
        <v>1</v>
      </c>
      <c r="Y589">
        <v>0</v>
      </c>
      <c r="Z589">
        <v>0</v>
      </c>
      <c r="AA589">
        <v>0</v>
      </c>
      <c r="AB589">
        <v>0</v>
      </c>
      <c r="AC589">
        <v>1382</v>
      </c>
      <c r="AD589">
        <v>0</v>
      </c>
      <c r="AE589">
        <v>0</v>
      </c>
      <c r="AF589">
        <v>0</v>
      </c>
      <c r="AG589">
        <v>0</v>
      </c>
      <c r="AH589">
        <v>0</v>
      </c>
      <c r="AI589">
        <v>0</v>
      </c>
      <c r="AJ589">
        <v>0</v>
      </c>
      <c r="AK589">
        <v>0</v>
      </c>
      <c r="AL589">
        <v>0</v>
      </c>
      <c r="AM589">
        <v>0</v>
      </c>
      <c r="AN589">
        <v>0</v>
      </c>
      <c r="AO589">
        <v>1</v>
      </c>
      <c r="AP589">
        <v>0</v>
      </c>
      <c r="AQ589">
        <v>0</v>
      </c>
      <c r="AR589">
        <v>0</v>
      </c>
      <c r="AS589">
        <v>0</v>
      </c>
      <c r="AT589">
        <v>0</v>
      </c>
      <c r="AU589">
        <f t="shared" si="16"/>
        <v>1</v>
      </c>
      <c r="AV589">
        <f t="shared" si="17"/>
        <v>0</v>
      </c>
    </row>
    <row r="590" spans="1:48" x14ac:dyDescent="0.25">
      <c r="A590" t="s">
        <v>3824</v>
      </c>
      <c r="C590" t="s">
        <v>3818</v>
      </c>
      <c r="D590" t="s">
        <v>3825</v>
      </c>
      <c r="E590" t="s">
        <v>2310</v>
      </c>
      <c r="F590">
        <v>12</v>
      </c>
      <c r="G590">
        <v>12.2</v>
      </c>
      <c r="H590" t="s">
        <v>2017</v>
      </c>
      <c r="I590" s="21">
        <v>37769</v>
      </c>
      <c r="J590">
        <v>2003</v>
      </c>
      <c r="K590" s="21">
        <v>37792</v>
      </c>
      <c r="L590">
        <v>2003</v>
      </c>
      <c r="M590" s="21">
        <v>37979</v>
      </c>
      <c r="N590">
        <v>2003</v>
      </c>
      <c r="R590" s="262">
        <v>152000</v>
      </c>
      <c r="S590" t="s">
        <v>114</v>
      </c>
      <c r="T590" t="s">
        <v>114</v>
      </c>
      <c r="U590">
        <v>5</v>
      </c>
      <c r="W590">
        <v>1382</v>
      </c>
      <c r="X590">
        <v>1</v>
      </c>
      <c r="Y590">
        <v>0</v>
      </c>
      <c r="Z590">
        <v>0</v>
      </c>
      <c r="AA590">
        <v>0</v>
      </c>
      <c r="AB590">
        <v>0</v>
      </c>
      <c r="AC590">
        <v>1382</v>
      </c>
      <c r="AD590">
        <v>0</v>
      </c>
      <c r="AE590">
        <v>0</v>
      </c>
      <c r="AF590">
        <v>0</v>
      </c>
      <c r="AG590">
        <v>0</v>
      </c>
      <c r="AH590">
        <v>0</v>
      </c>
      <c r="AI590">
        <v>0</v>
      </c>
      <c r="AJ590">
        <v>0</v>
      </c>
      <c r="AK590">
        <v>0</v>
      </c>
      <c r="AL590">
        <v>0</v>
      </c>
      <c r="AM590">
        <v>0</v>
      </c>
      <c r="AN590">
        <v>0</v>
      </c>
      <c r="AO590">
        <v>1</v>
      </c>
      <c r="AP590">
        <v>0</v>
      </c>
      <c r="AQ590">
        <v>0</v>
      </c>
      <c r="AR590">
        <v>0</v>
      </c>
      <c r="AS590">
        <v>0</v>
      </c>
      <c r="AT590">
        <v>0</v>
      </c>
      <c r="AU590">
        <f t="shared" si="16"/>
        <v>1</v>
      </c>
      <c r="AV590">
        <f t="shared" si="17"/>
        <v>0</v>
      </c>
    </row>
    <row r="591" spans="1:48" x14ac:dyDescent="0.25">
      <c r="A591" t="s">
        <v>3826</v>
      </c>
      <c r="C591" t="s">
        <v>3818</v>
      </c>
      <c r="D591" t="s">
        <v>3827</v>
      </c>
      <c r="E591" t="s">
        <v>2310</v>
      </c>
      <c r="F591">
        <v>12</v>
      </c>
      <c r="G591">
        <v>12.2</v>
      </c>
      <c r="H591" t="s">
        <v>2017</v>
      </c>
      <c r="I591" s="21">
        <v>37769</v>
      </c>
      <c r="J591">
        <v>2003</v>
      </c>
      <c r="K591" s="21">
        <v>37792</v>
      </c>
      <c r="L591">
        <v>2003</v>
      </c>
      <c r="M591" s="21">
        <v>37951</v>
      </c>
      <c r="N591">
        <v>2003</v>
      </c>
      <c r="R591" s="262">
        <v>152000</v>
      </c>
      <c r="S591" t="s">
        <v>114</v>
      </c>
      <c r="T591" t="s">
        <v>114</v>
      </c>
      <c r="U591">
        <v>5</v>
      </c>
      <c r="W591">
        <v>1382</v>
      </c>
      <c r="X591">
        <v>1</v>
      </c>
      <c r="Y591">
        <v>0</v>
      </c>
      <c r="Z591">
        <v>0</v>
      </c>
      <c r="AA591">
        <v>0</v>
      </c>
      <c r="AB591">
        <v>0</v>
      </c>
      <c r="AC591">
        <v>1382</v>
      </c>
      <c r="AD591">
        <v>0</v>
      </c>
      <c r="AE591">
        <v>0</v>
      </c>
      <c r="AF591">
        <v>0</v>
      </c>
      <c r="AG591">
        <v>0</v>
      </c>
      <c r="AH591">
        <v>0</v>
      </c>
      <c r="AI591">
        <v>0</v>
      </c>
      <c r="AJ591">
        <v>0</v>
      </c>
      <c r="AK591">
        <v>0</v>
      </c>
      <c r="AL591">
        <v>0</v>
      </c>
      <c r="AM591">
        <v>0</v>
      </c>
      <c r="AN591">
        <v>0</v>
      </c>
      <c r="AO591">
        <v>1</v>
      </c>
      <c r="AP591">
        <v>0</v>
      </c>
      <c r="AQ591">
        <v>0</v>
      </c>
      <c r="AR591">
        <v>0</v>
      </c>
      <c r="AS591">
        <v>0</v>
      </c>
      <c r="AT591">
        <v>0</v>
      </c>
      <c r="AU591">
        <f t="shared" si="16"/>
        <v>1</v>
      </c>
      <c r="AV591">
        <f t="shared" si="17"/>
        <v>0</v>
      </c>
    </row>
    <row r="592" spans="1:48" x14ac:dyDescent="0.25">
      <c r="A592" t="s">
        <v>3828</v>
      </c>
      <c r="C592" t="s">
        <v>3818</v>
      </c>
      <c r="D592" t="s">
        <v>3829</v>
      </c>
      <c r="E592" t="s">
        <v>2310</v>
      </c>
      <c r="F592">
        <v>12</v>
      </c>
      <c r="G592">
        <v>12.2</v>
      </c>
      <c r="H592" t="s">
        <v>2017</v>
      </c>
      <c r="I592" s="21">
        <v>37769</v>
      </c>
      <c r="J592">
        <v>2003</v>
      </c>
      <c r="K592" s="21">
        <v>37792</v>
      </c>
      <c r="L592">
        <v>2003</v>
      </c>
      <c r="M592" s="21">
        <v>37956</v>
      </c>
      <c r="N592">
        <v>2003</v>
      </c>
      <c r="R592" s="262">
        <v>152000</v>
      </c>
      <c r="S592" t="s">
        <v>114</v>
      </c>
      <c r="T592" t="s">
        <v>114</v>
      </c>
      <c r="U592">
        <v>5</v>
      </c>
      <c r="W592">
        <v>1382</v>
      </c>
      <c r="X592">
        <v>1</v>
      </c>
      <c r="Y592">
        <v>0</v>
      </c>
      <c r="Z592">
        <v>0</v>
      </c>
      <c r="AA592">
        <v>0</v>
      </c>
      <c r="AB592">
        <v>0</v>
      </c>
      <c r="AC592">
        <v>1382</v>
      </c>
      <c r="AD592">
        <v>0</v>
      </c>
      <c r="AE592">
        <v>0</v>
      </c>
      <c r="AF592">
        <v>0</v>
      </c>
      <c r="AG592">
        <v>0</v>
      </c>
      <c r="AH592">
        <v>0</v>
      </c>
      <c r="AI592">
        <v>0</v>
      </c>
      <c r="AJ592">
        <v>0</v>
      </c>
      <c r="AK592">
        <v>0</v>
      </c>
      <c r="AL592">
        <v>0</v>
      </c>
      <c r="AM592">
        <v>0</v>
      </c>
      <c r="AN592">
        <v>0</v>
      </c>
      <c r="AO592">
        <v>1</v>
      </c>
      <c r="AP592">
        <v>0</v>
      </c>
      <c r="AQ592">
        <v>0</v>
      </c>
      <c r="AR592">
        <v>0</v>
      </c>
      <c r="AS592">
        <v>0</v>
      </c>
      <c r="AT592">
        <v>0</v>
      </c>
      <c r="AU592">
        <f t="shared" si="16"/>
        <v>1</v>
      </c>
      <c r="AV592">
        <f t="shared" si="17"/>
        <v>0</v>
      </c>
    </row>
    <row r="593" spans="1:48" x14ac:dyDescent="0.25">
      <c r="A593" t="s">
        <v>3830</v>
      </c>
      <c r="C593" t="s">
        <v>3818</v>
      </c>
      <c r="D593" t="s">
        <v>3831</v>
      </c>
      <c r="E593" t="s">
        <v>2310</v>
      </c>
      <c r="F593">
        <v>12</v>
      </c>
      <c r="G593">
        <v>12.2</v>
      </c>
      <c r="H593" t="s">
        <v>2017</v>
      </c>
      <c r="I593" s="21">
        <v>37769</v>
      </c>
      <c r="J593">
        <v>2003</v>
      </c>
      <c r="K593" s="21">
        <v>37792</v>
      </c>
      <c r="L593">
        <v>2003</v>
      </c>
      <c r="M593" s="21">
        <v>37979</v>
      </c>
      <c r="N593">
        <v>2003</v>
      </c>
      <c r="R593" s="262">
        <v>152000</v>
      </c>
      <c r="S593" t="s">
        <v>114</v>
      </c>
      <c r="T593" t="s">
        <v>114</v>
      </c>
      <c r="U593">
        <v>5</v>
      </c>
      <c r="W593">
        <v>1382</v>
      </c>
      <c r="X593">
        <v>1</v>
      </c>
      <c r="Y593">
        <v>0</v>
      </c>
      <c r="Z593">
        <v>0</v>
      </c>
      <c r="AA593">
        <v>0</v>
      </c>
      <c r="AB593">
        <v>0</v>
      </c>
      <c r="AC593">
        <v>1382</v>
      </c>
      <c r="AD593">
        <v>0</v>
      </c>
      <c r="AE593">
        <v>0</v>
      </c>
      <c r="AF593">
        <v>0</v>
      </c>
      <c r="AG593">
        <v>0</v>
      </c>
      <c r="AH593">
        <v>0</v>
      </c>
      <c r="AI593">
        <v>0</v>
      </c>
      <c r="AJ593">
        <v>0</v>
      </c>
      <c r="AK593">
        <v>0</v>
      </c>
      <c r="AL593">
        <v>0</v>
      </c>
      <c r="AM593">
        <v>0</v>
      </c>
      <c r="AN593">
        <v>0</v>
      </c>
      <c r="AO593">
        <v>1</v>
      </c>
      <c r="AP593">
        <v>0</v>
      </c>
      <c r="AQ593">
        <v>0</v>
      </c>
      <c r="AR593">
        <v>0</v>
      </c>
      <c r="AS593">
        <v>0</v>
      </c>
      <c r="AT593">
        <v>0</v>
      </c>
      <c r="AU593">
        <f t="shared" si="16"/>
        <v>1</v>
      </c>
      <c r="AV593">
        <f t="shared" si="17"/>
        <v>0</v>
      </c>
    </row>
    <row r="594" spans="1:48" x14ac:dyDescent="0.25">
      <c r="A594" t="s">
        <v>3832</v>
      </c>
      <c r="C594" t="s">
        <v>3818</v>
      </c>
      <c r="D594" t="s">
        <v>3833</v>
      </c>
      <c r="E594" t="s">
        <v>2310</v>
      </c>
      <c r="F594">
        <v>12</v>
      </c>
      <c r="G594">
        <v>12.2</v>
      </c>
      <c r="H594" t="s">
        <v>2017</v>
      </c>
      <c r="I594" s="21">
        <v>37769</v>
      </c>
      <c r="J594">
        <v>2003</v>
      </c>
      <c r="K594" s="21">
        <v>37795</v>
      </c>
      <c r="L594">
        <v>2003</v>
      </c>
      <c r="M594" s="21">
        <v>37951</v>
      </c>
      <c r="N594">
        <v>2003</v>
      </c>
      <c r="R594" s="262">
        <v>152000</v>
      </c>
      <c r="S594" t="s">
        <v>114</v>
      </c>
      <c r="T594" t="s">
        <v>114</v>
      </c>
      <c r="U594">
        <v>5</v>
      </c>
      <c r="W594">
        <v>1382</v>
      </c>
      <c r="X594">
        <v>1</v>
      </c>
      <c r="Y594">
        <v>0</v>
      </c>
      <c r="Z594">
        <v>0</v>
      </c>
      <c r="AA594">
        <v>0</v>
      </c>
      <c r="AB594">
        <v>0</v>
      </c>
      <c r="AC594">
        <v>1382</v>
      </c>
      <c r="AD594">
        <v>0</v>
      </c>
      <c r="AE594">
        <v>0</v>
      </c>
      <c r="AF594">
        <v>0</v>
      </c>
      <c r="AG594">
        <v>0</v>
      </c>
      <c r="AH594">
        <v>0</v>
      </c>
      <c r="AI594">
        <v>0</v>
      </c>
      <c r="AJ594">
        <v>0</v>
      </c>
      <c r="AK594">
        <v>0</v>
      </c>
      <c r="AL594">
        <v>0</v>
      </c>
      <c r="AM594">
        <v>0</v>
      </c>
      <c r="AN594">
        <v>0</v>
      </c>
      <c r="AO594">
        <v>1</v>
      </c>
      <c r="AP594">
        <v>0</v>
      </c>
      <c r="AQ594">
        <v>0</v>
      </c>
      <c r="AR594">
        <v>0</v>
      </c>
      <c r="AS594">
        <v>0</v>
      </c>
      <c r="AT594">
        <v>0</v>
      </c>
      <c r="AU594">
        <f t="shared" si="16"/>
        <v>1</v>
      </c>
      <c r="AV594">
        <f t="shared" si="17"/>
        <v>0</v>
      </c>
    </row>
    <row r="595" spans="1:48" x14ac:dyDescent="0.25">
      <c r="A595" t="s">
        <v>3834</v>
      </c>
      <c r="C595" t="s">
        <v>3818</v>
      </c>
      <c r="D595" t="s">
        <v>3835</v>
      </c>
      <c r="E595" t="s">
        <v>2310</v>
      </c>
      <c r="F595">
        <v>12</v>
      </c>
      <c r="G595">
        <v>12.2</v>
      </c>
      <c r="H595" t="s">
        <v>2017</v>
      </c>
      <c r="I595" s="21">
        <v>37769</v>
      </c>
      <c r="J595">
        <v>2003</v>
      </c>
      <c r="K595" s="21">
        <v>37795</v>
      </c>
      <c r="L595">
        <v>2003</v>
      </c>
      <c r="M595" s="21">
        <v>37951</v>
      </c>
      <c r="N595">
        <v>2003</v>
      </c>
      <c r="R595" s="262">
        <v>152000</v>
      </c>
      <c r="S595" t="s">
        <v>114</v>
      </c>
      <c r="T595" t="s">
        <v>114</v>
      </c>
      <c r="U595">
        <v>5</v>
      </c>
      <c r="W595">
        <v>1382</v>
      </c>
      <c r="X595">
        <v>1</v>
      </c>
      <c r="Y595">
        <v>0</v>
      </c>
      <c r="Z595">
        <v>0</v>
      </c>
      <c r="AA595">
        <v>0</v>
      </c>
      <c r="AB595">
        <v>0</v>
      </c>
      <c r="AC595">
        <v>1382</v>
      </c>
      <c r="AD595">
        <v>0</v>
      </c>
      <c r="AE595">
        <v>0</v>
      </c>
      <c r="AF595">
        <v>0</v>
      </c>
      <c r="AG595">
        <v>0</v>
      </c>
      <c r="AH595">
        <v>0</v>
      </c>
      <c r="AI595">
        <v>0</v>
      </c>
      <c r="AJ595">
        <v>0</v>
      </c>
      <c r="AK595">
        <v>0</v>
      </c>
      <c r="AL595">
        <v>0</v>
      </c>
      <c r="AM595">
        <v>0</v>
      </c>
      <c r="AN595">
        <v>0</v>
      </c>
      <c r="AO595">
        <v>1</v>
      </c>
      <c r="AP595">
        <v>0</v>
      </c>
      <c r="AQ595">
        <v>0</v>
      </c>
      <c r="AR595">
        <v>0</v>
      </c>
      <c r="AS595">
        <v>0</v>
      </c>
      <c r="AT595">
        <v>0</v>
      </c>
      <c r="AU595">
        <f t="shared" si="16"/>
        <v>1</v>
      </c>
      <c r="AV595">
        <f t="shared" si="17"/>
        <v>0</v>
      </c>
    </row>
    <row r="596" spans="1:48" x14ac:dyDescent="0.25">
      <c r="A596" t="s">
        <v>3836</v>
      </c>
      <c r="C596" t="s">
        <v>3818</v>
      </c>
      <c r="D596" t="s">
        <v>3837</v>
      </c>
      <c r="E596" t="s">
        <v>2310</v>
      </c>
      <c r="F596">
        <v>12</v>
      </c>
      <c r="G596">
        <v>12.2</v>
      </c>
      <c r="H596" t="s">
        <v>2017</v>
      </c>
      <c r="I596" s="21">
        <v>37769</v>
      </c>
      <c r="J596">
        <v>2003</v>
      </c>
      <c r="K596" s="21">
        <v>37795</v>
      </c>
      <c r="L596">
        <v>2003</v>
      </c>
      <c r="M596" s="21">
        <v>37979</v>
      </c>
      <c r="N596">
        <v>2003</v>
      </c>
      <c r="R596" s="262">
        <v>152000</v>
      </c>
      <c r="S596" t="s">
        <v>114</v>
      </c>
      <c r="T596" t="s">
        <v>114</v>
      </c>
      <c r="U596">
        <v>5</v>
      </c>
      <c r="W596">
        <v>1382</v>
      </c>
      <c r="X596">
        <v>1</v>
      </c>
      <c r="Y596">
        <v>0</v>
      </c>
      <c r="Z596">
        <v>0</v>
      </c>
      <c r="AA596">
        <v>0</v>
      </c>
      <c r="AB596">
        <v>0</v>
      </c>
      <c r="AC596">
        <v>1382</v>
      </c>
      <c r="AD596">
        <v>0</v>
      </c>
      <c r="AE596">
        <v>0</v>
      </c>
      <c r="AF596">
        <v>0</v>
      </c>
      <c r="AG596">
        <v>0</v>
      </c>
      <c r="AH596">
        <v>0</v>
      </c>
      <c r="AI596">
        <v>0</v>
      </c>
      <c r="AJ596">
        <v>0</v>
      </c>
      <c r="AK596">
        <v>0</v>
      </c>
      <c r="AL596">
        <v>0</v>
      </c>
      <c r="AM596">
        <v>0</v>
      </c>
      <c r="AN596">
        <v>0</v>
      </c>
      <c r="AO596">
        <v>1</v>
      </c>
      <c r="AP596">
        <v>0</v>
      </c>
      <c r="AQ596">
        <v>0</v>
      </c>
      <c r="AR596">
        <v>0</v>
      </c>
      <c r="AS596">
        <v>0</v>
      </c>
      <c r="AT596">
        <v>0</v>
      </c>
      <c r="AU596">
        <f t="shared" si="16"/>
        <v>1</v>
      </c>
      <c r="AV596">
        <f t="shared" si="17"/>
        <v>0</v>
      </c>
    </row>
    <row r="597" spans="1:48" x14ac:dyDescent="0.25">
      <c r="A597" t="s">
        <v>3838</v>
      </c>
      <c r="C597" t="s">
        <v>3818</v>
      </c>
      <c r="D597" t="s">
        <v>3839</v>
      </c>
      <c r="E597" t="s">
        <v>2310</v>
      </c>
      <c r="F597">
        <v>12</v>
      </c>
      <c r="G597">
        <v>12.2</v>
      </c>
      <c r="H597" t="s">
        <v>2017</v>
      </c>
      <c r="I597" s="21">
        <v>37769</v>
      </c>
      <c r="J597">
        <v>2003</v>
      </c>
      <c r="K597" s="21">
        <v>37795</v>
      </c>
      <c r="L597">
        <v>2003</v>
      </c>
      <c r="M597" s="21">
        <v>37979</v>
      </c>
      <c r="N597">
        <v>2003</v>
      </c>
      <c r="R597" s="262">
        <v>152000</v>
      </c>
      <c r="S597" t="s">
        <v>114</v>
      </c>
      <c r="T597" t="s">
        <v>114</v>
      </c>
      <c r="U597">
        <v>5</v>
      </c>
      <c r="W597">
        <v>1382</v>
      </c>
      <c r="X597">
        <v>1</v>
      </c>
      <c r="Y597">
        <v>0</v>
      </c>
      <c r="Z597">
        <v>0</v>
      </c>
      <c r="AA597">
        <v>0</v>
      </c>
      <c r="AB597">
        <v>0</v>
      </c>
      <c r="AC597">
        <v>1382</v>
      </c>
      <c r="AD597">
        <v>0</v>
      </c>
      <c r="AE597">
        <v>0</v>
      </c>
      <c r="AF597">
        <v>0</v>
      </c>
      <c r="AG597">
        <v>0</v>
      </c>
      <c r="AH597">
        <v>0</v>
      </c>
      <c r="AI597">
        <v>0</v>
      </c>
      <c r="AJ597">
        <v>0</v>
      </c>
      <c r="AK597">
        <v>0</v>
      </c>
      <c r="AL597">
        <v>0</v>
      </c>
      <c r="AM597">
        <v>0</v>
      </c>
      <c r="AN597">
        <v>0</v>
      </c>
      <c r="AO597">
        <v>1</v>
      </c>
      <c r="AP597">
        <v>0</v>
      </c>
      <c r="AQ597">
        <v>0</v>
      </c>
      <c r="AR597">
        <v>0</v>
      </c>
      <c r="AS597">
        <v>0</v>
      </c>
      <c r="AT597">
        <v>0</v>
      </c>
      <c r="AU597">
        <f t="shared" si="16"/>
        <v>1</v>
      </c>
      <c r="AV597">
        <f t="shared" si="17"/>
        <v>0</v>
      </c>
    </row>
    <row r="598" spans="1:48" x14ac:dyDescent="0.25">
      <c r="A598" t="s">
        <v>3840</v>
      </c>
      <c r="C598" t="s">
        <v>3818</v>
      </c>
      <c r="D598" t="s">
        <v>3841</v>
      </c>
      <c r="E598" t="s">
        <v>2310</v>
      </c>
      <c r="F598">
        <v>12</v>
      </c>
      <c r="G598">
        <v>12.2</v>
      </c>
      <c r="H598" t="s">
        <v>2017</v>
      </c>
      <c r="I598" s="21">
        <v>37769</v>
      </c>
      <c r="J598">
        <v>2003</v>
      </c>
      <c r="K598" s="21">
        <v>37795</v>
      </c>
      <c r="L598">
        <v>2003</v>
      </c>
      <c r="M598" s="21">
        <v>37974</v>
      </c>
      <c r="N598">
        <v>2003</v>
      </c>
      <c r="R598" s="262">
        <v>152000</v>
      </c>
      <c r="S598" t="s">
        <v>114</v>
      </c>
      <c r="T598" t="s">
        <v>114</v>
      </c>
      <c r="U598">
        <v>5</v>
      </c>
      <c r="W598">
        <v>1382</v>
      </c>
      <c r="X598">
        <v>1</v>
      </c>
      <c r="Y598">
        <v>0</v>
      </c>
      <c r="Z598">
        <v>0</v>
      </c>
      <c r="AA598">
        <v>0</v>
      </c>
      <c r="AB598">
        <v>0</v>
      </c>
      <c r="AC598">
        <v>1382</v>
      </c>
      <c r="AD598">
        <v>0</v>
      </c>
      <c r="AE598">
        <v>0</v>
      </c>
      <c r="AF598">
        <v>0</v>
      </c>
      <c r="AG598">
        <v>0</v>
      </c>
      <c r="AH598">
        <v>0</v>
      </c>
      <c r="AI598">
        <v>0</v>
      </c>
      <c r="AJ598">
        <v>0</v>
      </c>
      <c r="AK598">
        <v>0</v>
      </c>
      <c r="AL598">
        <v>0</v>
      </c>
      <c r="AM598">
        <v>0</v>
      </c>
      <c r="AN598">
        <v>0</v>
      </c>
      <c r="AO598">
        <v>1</v>
      </c>
      <c r="AP598">
        <v>0</v>
      </c>
      <c r="AQ598">
        <v>0</v>
      </c>
      <c r="AR598">
        <v>0</v>
      </c>
      <c r="AS598">
        <v>0</v>
      </c>
      <c r="AT598">
        <v>0</v>
      </c>
      <c r="AU598">
        <f t="shared" si="16"/>
        <v>1</v>
      </c>
      <c r="AV598">
        <f t="shared" si="17"/>
        <v>0</v>
      </c>
    </row>
    <row r="599" spans="1:48" x14ac:dyDescent="0.25">
      <c r="A599" t="s">
        <v>3842</v>
      </c>
      <c r="C599" t="s">
        <v>3843</v>
      </c>
      <c r="D599" t="s">
        <v>3844</v>
      </c>
      <c r="E599" t="s">
        <v>2310</v>
      </c>
      <c r="F599">
        <v>12</v>
      </c>
      <c r="G599">
        <v>12.3</v>
      </c>
      <c r="H599" t="s">
        <v>2017</v>
      </c>
      <c r="I599" s="21">
        <v>37770</v>
      </c>
      <c r="J599">
        <v>2003</v>
      </c>
      <c r="K599" s="21">
        <v>37781</v>
      </c>
      <c r="L599">
        <v>2003</v>
      </c>
      <c r="M599" s="21">
        <v>37781</v>
      </c>
      <c r="N599">
        <v>2003</v>
      </c>
      <c r="R599" s="262">
        <v>8000</v>
      </c>
      <c r="S599" t="s">
        <v>114</v>
      </c>
      <c r="T599" t="s">
        <v>114</v>
      </c>
      <c r="U599">
        <v>5</v>
      </c>
      <c r="W599">
        <v>0</v>
      </c>
      <c r="X599">
        <v>0</v>
      </c>
      <c r="Y599">
        <v>0</v>
      </c>
      <c r="Z599">
        <v>0</v>
      </c>
      <c r="AA599">
        <v>0</v>
      </c>
      <c r="AB599">
        <v>0</v>
      </c>
      <c r="AC599">
        <v>0</v>
      </c>
      <c r="AD599">
        <v>0</v>
      </c>
      <c r="AE599">
        <v>0</v>
      </c>
      <c r="AF599">
        <v>0</v>
      </c>
      <c r="AG599">
        <v>0</v>
      </c>
      <c r="AH599">
        <v>0</v>
      </c>
      <c r="AI599">
        <v>0</v>
      </c>
      <c r="AJ599">
        <v>0</v>
      </c>
      <c r="AK599">
        <v>0</v>
      </c>
      <c r="AL599">
        <v>0</v>
      </c>
      <c r="AM599">
        <v>0</v>
      </c>
      <c r="AN599">
        <v>0</v>
      </c>
      <c r="AO599">
        <v>0</v>
      </c>
      <c r="AP599">
        <v>0</v>
      </c>
      <c r="AQ599">
        <v>0</v>
      </c>
      <c r="AR599">
        <v>0</v>
      </c>
      <c r="AS599">
        <v>0</v>
      </c>
      <c r="AT599">
        <v>0</v>
      </c>
      <c r="AU599">
        <f t="shared" si="16"/>
        <v>0</v>
      </c>
      <c r="AV599">
        <f t="shared" si="17"/>
        <v>0</v>
      </c>
    </row>
    <row r="600" spans="1:48" x14ac:dyDescent="0.25">
      <c r="A600" t="s">
        <v>3845</v>
      </c>
      <c r="C600" t="s">
        <v>3846</v>
      </c>
      <c r="D600" t="s">
        <v>3847</v>
      </c>
      <c r="E600" t="s">
        <v>2310</v>
      </c>
      <c r="F600">
        <v>15</v>
      </c>
      <c r="G600">
        <v>15.2</v>
      </c>
      <c r="H600" t="s">
        <v>2323</v>
      </c>
      <c r="I600" s="21">
        <v>37770</v>
      </c>
      <c r="J600">
        <v>2003</v>
      </c>
      <c r="K600" s="21">
        <v>37813</v>
      </c>
      <c r="L600">
        <v>2003</v>
      </c>
      <c r="M600" s="21">
        <v>38653</v>
      </c>
      <c r="N600">
        <v>2005</v>
      </c>
      <c r="R600" s="262">
        <v>1200000</v>
      </c>
      <c r="S600" t="s">
        <v>114</v>
      </c>
      <c r="T600" t="s">
        <v>114</v>
      </c>
      <c r="U600">
        <v>5</v>
      </c>
      <c r="W600">
        <v>6551</v>
      </c>
      <c r="X600">
        <v>1</v>
      </c>
      <c r="Y600">
        <v>0</v>
      </c>
      <c r="Z600">
        <v>0</v>
      </c>
      <c r="AA600">
        <v>0</v>
      </c>
      <c r="AB600">
        <v>0</v>
      </c>
      <c r="AC600">
        <v>6551</v>
      </c>
      <c r="AD600">
        <v>0</v>
      </c>
      <c r="AE600">
        <v>0</v>
      </c>
      <c r="AF600">
        <v>0</v>
      </c>
      <c r="AG600">
        <v>0</v>
      </c>
      <c r="AH600">
        <v>0</v>
      </c>
      <c r="AI600">
        <v>0</v>
      </c>
      <c r="AJ600">
        <v>0</v>
      </c>
      <c r="AK600">
        <v>0</v>
      </c>
      <c r="AL600">
        <v>0</v>
      </c>
      <c r="AM600">
        <v>0</v>
      </c>
      <c r="AN600">
        <v>0</v>
      </c>
      <c r="AO600">
        <v>1</v>
      </c>
      <c r="AP600">
        <v>0</v>
      </c>
      <c r="AQ600">
        <v>0</v>
      </c>
      <c r="AR600">
        <v>0</v>
      </c>
      <c r="AS600">
        <v>0</v>
      </c>
      <c r="AT600">
        <v>0</v>
      </c>
      <c r="AU600">
        <f t="shared" si="16"/>
        <v>1</v>
      </c>
      <c r="AV600">
        <f t="shared" si="17"/>
        <v>0</v>
      </c>
    </row>
    <row r="601" spans="1:48" x14ac:dyDescent="0.25">
      <c r="A601" t="s">
        <v>3848</v>
      </c>
      <c r="C601" t="s">
        <v>3849</v>
      </c>
      <c r="D601" t="s">
        <v>3850</v>
      </c>
      <c r="E601" t="s">
        <v>2310</v>
      </c>
      <c r="F601">
        <v>15</v>
      </c>
      <c r="G601">
        <v>15.2</v>
      </c>
      <c r="H601" t="s">
        <v>2323</v>
      </c>
      <c r="I601" s="21">
        <v>37771</v>
      </c>
      <c r="J601">
        <v>2003</v>
      </c>
      <c r="K601" s="21">
        <v>37833</v>
      </c>
      <c r="L601">
        <v>2003</v>
      </c>
      <c r="M601" s="21">
        <v>38531</v>
      </c>
      <c r="N601">
        <v>2005</v>
      </c>
      <c r="R601" s="262">
        <v>1100000</v>
      </c>
      <c r="S601" t="s">
        <v>114</v>
      </c>
      <c r="T601" t="s">
        <v>114</v>
      </c>
      <c r="U601">
        <v>5</v>
      </c>
      <c r="W601">
        <v>6839</v>
      </c>
      <c r="X601">
        <v>1</v>
      </c>
      <c r="Y601">
        <v>0</v>
      </c>
      <c r="Z601">
        <v>0</v>
      </c>
      <c r="AA601">
        <v>0</v>
      </c>
      <c r="AB601">
        <v>0</v>
      </c>
      <c r="AC601">
        <v>6839</v>
      </c>
      <c r="AD601">
        <v>0</v>
      </c>
      <c r="AE601">
        <v>0</v>
      </c>
      <c r="AF601">
        <v>0</v>
      </c>
      <c r="AG601">
        <v>0</v>
      </c>
      <c r="AH601">
        <v>0</v>
      </c>
      <c r="AI601">
        <v>0</v>
      </c>
      <c r="AJ601">
        <v>0</v>
      </c>
      <c r="AK601">
        <v>0</v>
      </c>
      <c r="AL601">
        <v>0</v>
      </c>
      <c r="AM601">
        <v>0</v>
      </c>
      <c r="AN601">
        <v>0</v>
      </c>
      <c r="AO601">
        <v>1</v>
      </c>
      <c r="AP601">
        <v>0</v>
      </c>
      <c r="AQ601">
        <v>0</v>
      </c>
      <c r="AR601">
        <v>0</v>
      </c>
      <c r="AS601">
        <v>0</v>
      </c>
      <c r="AT601">
        <v>0</v>
      </c>
      <c r="AU601">
        <f t="shared" ref="AU601:AU664" si="18">SUM(AN601:AQ601,AS601)</f>
        <v>1</v>
      </c>
      <c r="AV601">
        <f t="shared" ref="AV601:AV664" si="19">SUM(Y601:AB601,AH601:AM601)</f>
        <v>0</v>
      </c>
    </row>
    <row r="602" spans="1:48" x14ac:dyDescent="0.25">
      <c r="A602" t="s">
        <v>3851</v>
      </c>
      <c r="C602" t="s">
        <v>2358</v>
      </c>
      <c r="D602" t="s">
        <v>3852</v>
      </c>
      <c r="E602" t="s">
        <v>2310</v>
      </c>
      <c r="F602">
        <v>11</v>
      </c>
      <c r="G602">
        <v>11.2</v>
      </c>
      <c r="H602" t="s">
        <v>2017</v>
      </c>
      <c r="I602" s="21">
        <v>37774</v>
      </c>
      <c r="J602">
        <v>2003</v>
      </c>
      <c r="K602" s="21">
        <v>37802</v>
      </c>
      <c r="L602">
        <v>2003</v>
      </c>
      <c r="M602" s="21">
        <v>37956</v>
      </c>
      <c r="N602">
        <v>2003</v>
      </c>
      <c r="R602" s="262">
        <v>300000</v>
      </c>
      <c r="S602" t="s">
        <v>114</v>
      </c>
      <c r="T602" t="s">
        <v>114</v>
      </c>
      <c r="U602">
        <v>5</v>
      </c>
      <c r="W602">
        <v>3108</v>
      </c>
      <c r="X602">
        <v>1</v>
      </c>
      <c r="Y602">
        <v>0</v>
      </c>
      <c r="Z602">
        <v>0</v>
      </c>
      <c r="AA602">
        <v>0</v>
      </c>
      <c r="AB602">
        <v>0</v>
      </c>
      <c r="AC602">
        <v>3108</v>
      </c>
      <c r="AD602">
        <v>0</v>
      </c>
      <c r="AE602">
        <v>0</v>
      </c>
      <c r="AF602">
        <v>0</v>
      </c>
      <c r="AG602">
        <v>0</v>
      </c>
      <c r="AH602">
        <v>0</v>
      </c>
      <c r="AI602">
        <v>0</v>
      </c>
      <c r="AJ602">
        <v>0</v>
      </c>
      <c r="AK602">
        <v>0</v>
      </c>
      <c r="AL602">
        <v>0</v>
      </c>
      <c r="AM602">
        <v>0</v>
      </c>
      <c r="AN602">
        <v>0</v>
      </c>
      <c r="AO602">
        <v>1</v>
      </c>
      <c r="AP602">
        <v>0</v>
      </c>
      <c r="AQ602">
        <v>0</v>
      </c>
      <c r="AR602">
        <v>0</v>
      </c>
      <c r="AS602">
        <v>0</v>
      </c>
      <c r="AT602">
        <v>0</v>
      </c>
      <c r="AU602">
        <f t="shared" si="18"/>
        <v>1</v>
      </c>
      <c r="AV602">
        <f t="shared" si="19"/>
        <v>0</v>
      </c>
    </row>
    <row r="603" spans="1:48" x14ac:dyDescent="0.25">
      <c r="A603" t="s">
        <v>3853</v>
      </c>
      <c r="C603" t="s">
        <v>3854</v>
      </c>
      <c r="D603" t="s">
        <v>3855</v>
      </c>
      <c r="E603" t="s">
        <v>2310</v>
      </c>
      <c r="F603">
        <v>8</v>
      </c>
      <c r="G603">
        <v>8.1999999999999993</v>
      </c>
      <c r="H603" t="s">
        <v>2022</v>
      </c>
      <c r="I603" s="21">
        <v>37774</v>
      </c>
      <c r="J603">
        <v>2003</v>
      </c>
      <c r="K603" s="21">
        <v>37867</v>
      </c>
      <c r="L603">
        <v>2003</v>
      </c>
      <c r="M603" s="21">
        <v>38414</v>
      </c>
      <c r="N603">
        <v>2005</v>
      </c>
      <c r="R603" s="262">
        <v>300000</v>
      </c>
      <c r="S603" t="s">
        <v>114</v>
      </c>
      <c r="T603" t="s">
        <v>114</v>
      </c>
      <c r="U603">
        <v>8</v>
      </c>
      <c r="W603">
        <v>2026</v>
      </c>
      <c r="X603">
        <v>1</v>
      </c>
      <c r="Y603">
        <v>0</v>
      </c>
      <c r="Z603">
        <v>0</v>
      </c>
      <c r="AA603">
        <v>0</v>
      </c>
      <c r="AB603">
        <v>0</v>
      </c>
      <c r="AC603">
        <v>1058</v>
      </c>
      <c r="AD603">
        <v>0</v>
      </c>
      <c r="AE603">
        <v>0</v>
      </c>
      <c r="AF603">
        <v>968</v>
      </c>
      <c r="AG603">
        <v>0</v>
      </c>
      <c r="AH603">
        <v>0</v>
      </c>
      <c r="AI603">
        <v>0</v>
      </c>
      <c r="AJ603">
        <v>0</v>
      </c>
      <c r="AK603">
        <v>0</v>
      </c>
      <c r="AL603">
        <v>0</v>
      </c>
      <c r="AM603">
        <v>0</v>
      </c>
      <c r="AN603">
        <v>0</v>
      </c>
      <c r="AO603">
        <v>0</v>
      </c>
      <c r="AP603">
        <v>0</v>
      </c>
      <c r="AQ603">
        <v>0</v>
      </c>
      <c r="AR603">
        <v>1</v>
      </c>
      <c r="AS603">
        <v>0</v>
      </c>
      <c r="AT603">
        <v>0</v>
      </c>
      <c r="AU603">
        <f t="shared" si="18"/>
        <v>0</v>
      </c>
      <c r="AV603">
        <f t="shared" si="19"/>
        <v>0</v>
      </c>
    </row>
    <row r="604" spans="1:48" x14ac:dyDescent="0.25">
      <c r="A604" t="s">
        <v>3856</v>
      </c>
      <c r="C604" t="s">
        <v>3857</v>
      </c>
      <c r="D604" t="s">
        <v>3858</v>
      </c>
      <c r="E604" t="s">
        <v>2310</v>
      </c>
      <c r="F604">
        <v>15</v>
      </c>
      <c r="G604">
        <v>15.3</v>
      </c>
      <c r="H604" t="s">
        <v>2022</v>
      </c>
      <c r="I604" s="21">
        <v>37775</v>
      </c>
      <c r="J604">
        <v>2003</v>
      </c>
      <c r="K604" s="21">
        <v>37811</v>
      </c>
      <c r="L604">
        <v>2003</v>
      </c>
      <c r="M604" s="21">
        <v>37811</v>
      </c>
      <c r="N604">
        <v>2003</v>
      </c>
      <c r="R604" s="262">
        <v>100000</v>
      </c>
      <c r="S604" t="s">
        <v>114</v>
      </c>
      <c r="T604" t="s">
        <v>114</v>
      </c>
      <c r="U604">
        <v>5</v>
      </c>
      <c r="W604">
        <v>1286</v>
      </c>
      <c r="X604">
        <v>1</v>
      </c>
      <c r="Y604">
        <v>0</v>
      </c>
      <c r="Z604">
        <v>0</v>
      </c>
      <c r="AA604">
        <v>0</v>
      </c>
      <c r="AB604">
        <v>0</v>
      </c>
      <c r="AC604">
        <v>1286</v>
      </c>
      <c r="AD604">
        <v>0</v>
      </c>
      <c r="AE604">
        <v>0</v>
      </c>
      <c r="AF604">
        <v>0</v>
      </c>
      <c r="AG604">
        <v>0</v>
      </c>
      <c r="AH604">
        <v>0</v>
      </c>
      <c r="AI604">
        <v>0</v>
      </c>
      <c r="AJ604">
        <v>0</v>
      </c>
      <c r="AK604">
        <v>0</v>
      </c>
      <c r="AL604">
        <v>0</v>
      </c>
      <c r="AM604">
        <v>0</v>
      </c>
      <c r="AN604">
        <v>0</v>
      </c>
      <c r="AO604">
        <v>1</v>
      </c>
      <c r="AP604">
        <v>0</v>
      </c>
      <c r="AQ604">
        <v>0</v>
      </c>
      <c r="AR604">
        <v>0</v>
      </c>
      <c r="AS604">
        <v>0</v>
      </c>
      <c r="AT604">
        <v>0</v>
      </c>
      <c r="AU604">
        <f t="shared" si="18"/>
        <v>1</v>
      </c>
      <c r="AV604">
        <f t="shared" si="19"/>
        <v>0</v>
      </c>
    </row>
    <row r="605" spans="1:48" x14ac:dyDescent="0.25">
      <c r="A605" t="s">
        <v>3859</v>
      </c>
      <c r="C605" t="s">
        <v>3860</v>
      </c>
      <c r="D605" t="s">
        <v>2596</v>
      </c>
      <c r="E605" t="s">
        <v>2310</v>
      </c>
      <c r="F605">
        <v>12</v>
      </c>
      <c r="G605">
        <v>12.2</v>
      </c>
      <c r="H605" t="s">
        <v>2017</v>
      </c>
      <c r="I605" s="21">
        <v>37775</v>
      </c>
      <c r="J605">
        <v>2003</v>
      </c>
      <c r="K605" s="21">
        <v>37809</v>
      </c>
      <c r="L605">
        <v>2003</v>
      </c>
      <c r="M605" s="21">
        <v>37809</v>
      </c>
      <c r="N605">
        <v>2003</v>
      </c>
      <c r="R605" s="262">
        <v>190000</v>
      </c>
      <c r="S605" t="s">
        <v>114</v>
      </c>
      <c r="T605" t="s">
        <v>114</v>
      </c>
      <c r="U605">
        <v>5</v>
      </c>
      <c r="W605">
        <v>1636</v>
      </c>
      <c r="X605">
        <v>0</v>
      </c>
      <c r="Y605">
        <v>0</v>
      </c>
      <c r="Z605">
        <v>0</v>
      </c>
      <c r="AA605">
        <v>0</v>
      </c>
      <c r="AB605">
        <v>0</v>
      </c>
      <c r="AC605">
        <v>1636</v>
      </c>
      <c r="AD605">
        <v>0</v>
      </c>
      <c r="AE605">
        <v>0</v>
      </c>
      <c r="AF605">
        <v>0</v>
      </c>
      <c r="AG605">
        <v>0</v>
      </c>
      <c r="AH605">
        <v>0</v>
      </c>
      <c r="AI605">
        <v>0</v>
      </c>
      <c r="AJ605">
        <v>0</v>
      </c>
      <c r="AK605">
        <v>0</v>
      </c>
      <c r="AL605">
        <v>0</v>
      </c>
      <c r="AM605">
        <v>0</v>
      </c>
      <c r="AN605">
        <v>0</v>
      </c>
      <c r="AO605">
        <v>0</v>
      </c>
      <c r="AP605">
        <v>0</v>
      </c>
      <c r="AQ605">
        <v>0</v>
      </c>
      <c r="AR605">
        <v>0</v>
      </c>
      <c r="AS605">
        <v>0</v>
      </c>
      <c r="AT605">
        <v>0</v>
      </c>
      <c r="AU605">
        <f t="shared" si="18"/>
        <v>0</v>
      </c>
      <c r="AV605">
        <f t="shared" si="19"/>
        <v>0</v>
      </c>
    </row>
    <row r="606" spans="1:48" x14ac:dyDescent="0.25">
      <c r="A606" t="s">
        <v>3864</v>
      </c>
      <c r="C606" t="s">
        <v>3865</v>
      </c>
      <c r="D606" t="s">
        <v>3866</v>
      </c>
      <c r="E606" t="s">
        <v>2310</v>
      </c>
      <c r="F606">
        <v>7</v>
      </c>
      <c r="G606">
        <v>7.2</v>
      </c>
      <c r="H606" t="s">
        <v>2017</v>
      </c>
      <c r="I606" s="21">
        <v>37776</v>
      </c>
      <c r="J606">
        <v>2003</v>
      </c>
      <c r="K606" s="21">
        <v>37876</v>
      </c>
      <c r="L606">
        <v>2003</v>
      </c>
      <c r="M606" s="21">
        <v>37876</v>
      </c>
      <c r="N606">
        <v>2003</v>
      </c>
      <c r="R606" s="262">
        <v>20000</v>
      </c>
      <c r="S606" t="s">
        <v>114</v>
      </c>
      <c r="T606" t="s">
        <v>114</v>
      </c>
      <c r="U606">
        <v>5</v>
      </c>
      <c r="W606">
        <v>560</v>
      </c>
      <c r="X606">
        <v>0</v>
      </c>
      <c r="Y606">
        <v>0</v>
      </c>
      <c r="Z606">
        <v>0</v>
      </c>
      <c r="AA606">
        <v>0</v>
      </c>
      <c r="AB606">
        <v>0</v>
      </c>
      <c r="AC606">
        <v>560</v>
      </c>
      <c r="AD606">
        <v>0</v>
      </c>
      <c r="AE606">
        <v>0</v>
      </c>
      <c r="AF606">
        <v>0</v>
      </c>
      <c r="AG606">
        <v>0</v>
      </c>
      <c r="AH606">
        <v>0</v>
      </c>
      <c r="AI606">
        <v>0</v>
      </c>
      <c r="AJ606">
        <v>0</v>
      </c>
      <c r="AK606">
        <v>0</v>
      </c>
      <c r="AL606">
        <v>0</v>
      </c>
      <c r="AM606">
        <v>0</v>
      </c>
      <c r="AN606">
        <v>0</v>
      </c>
      <c r="AO606">
        <v>0</v>
      </c>
      <c r="AP606">
        <v>0</v>
      </c>
      <c r="AQ606">
        <v>0</v>
      </c>
      <c r="AR606">
        <v>0</v>
      </c>
      <c r="AS606">
        <v>0</v>
      </c>
      <c r="AT606">
        <v>0</v>
      </c>
      <c r="AU606">
        <f t="shared" si="18"/>
        <v>0</v>
      </c>
      <c r="AV606">
        <f t="shared" si="19"/>
        <v>0</v>
      </c>
    </row>
    <row r="607" spans="1:48" x14ac:dyDescent="0.25">
      <c r="A607" t="s">
        <v>3867</v>
      </c>
      <c r="C607" t="s">
        <v>2312</v>
      </c>
      <c r="D607" t="s">
        <v>3868</v>
      </c>
      <c r="E607" t="s">
        <v>2310</v>
      </c>
      <c r="F607">
        <v>10</v>
      </c>
      <c r="G607">
        <v>10.1</v>
      </c>
      <c r="H607" t="s">
        <v>2323</v>
      </c>
      <c r="I607" s="21">
        <v>37776</v>
      </c>
      <c r="J607">
        <v>2003</v>
      </c>
      <c r="K607" s="21">
        <v>37810</v>
      </c>
      <c r="L607">
        <v>2003</v>
      </c>
      <c r="M607" s="21">
        <v>38462</v>
      </c>
      <c r="N607">
        <v>2005</v>
      </c>
      <c r="R607" s="262">
        <v>384000</v>
      </c>
      <c r="S607" t="s">
        <v>114</v>
      </c>
      <c r="T607" t="s">
        <v>114</v>
      </c>
      <c r="U607">
        <v>5</v>
      </c>
      <c r="W607">
        <v>4161</v>
      </c>
      <c r="X607">
        <v>1</v>
      </c>
      <c r="Y607">
        <v>0</v>
      </c>
      <c r="Z607">
        <v>0</v>
      </c>
      <c r="AA607">
        <v>0</v>
      </c>
      <c r="AB607">
        <v>0</v>
      </c>
      <c r="AC607">
        <v>4161</v>
      </c>
      <c r="AD607">
        <v>0</v>
      </c>
      <c r="AE607">
        <v>0</v>
      </c>
      <c r="AF607">
        <v>0</v>
      </c>
      <c r="AG607">
        <v>0</v>
      </c>
      <c r="AH607">
        <v>0</v>
      </c>
      <c r="AI607">
        <v>0</v>
      </c>
      <c r="AJ607">
        <v>0</v>
      </c>
      <c r="AK607">
        <v>0</v>
      </c>
      <c r="AL607">
        <v>0</v>
      </c>
      <c r="AM607">
        <v>0</v>
      </c>
      <c r="AN607">
        <v>0</v>
      </c>
      <c r="AO607">
        <v>1</v>
      </c>
      <c r="AP607">
        <v>0</v>
      </c>
      <c r="AQ607">
        <v>0</v>
      </c>
      <c r="AR607">
        <v>0</v>
      </c>
      <c r="AS607">
        <v>0</v>
      </c>
      <c r="AT607">
        <v>0</v>
      </c>
      <c r="AU607">
        <f t="shared" si="18"/>
        <v>1</v>
      </c>
      <c r="AV607">
        <f t="shared" si="19"/>
        <v>0</v>
      </c>
    </row>
    <row r="608" spans="1:48" x14ac:dyDescent="0.25">
      <c r="A608" t="s">
        <v>3869</v>
      </c>
      <c r="C608" t="s">
        <v>3870</v>
      </c>
      <c r="D608" t="s">
        <v>3051</v>
      </c>
      <c r="E608" t="s">
        <v>2310</v>
      </c>
      <c r="F608">
        <v>15</v>
      </c>
      <c r="G608">
        <v>15.2</v>
      </c>
      <c r="H608" t="s">
        <v>2323</v>
      </c>
      <c r="I608" s="21">
        <v>37776</v>
      </c>
      <c r="J608">
        <v>2003</v>
      </c>
      <c r="K608" s="21">
        <v>37812</v>
      </c>
      <c r="L608">
        <v>2003</v>
      </c>
      <c r="M608" s="21">
        <v>37812</v>
      </c>
      <c r="N608">
        <v>2003</v>
      </c>
      <c r="R608" s="262">
        <v>71000</v>
      </c>
      <c r="S608" t="s">
        <v>114</v>
      </c>
      <c r="T608" t="s">
        <v>114</v>
      </c>
      <c r="U608">
        <v>5</v>
      </c>
      <c r="W608">
        <v>976</v>
      </c>
      <c r="X608">
        <v>0</v>
      </c>
      <c r="Y608">
        <v>0</v>
      </c>
      <c r="Z608">
        <v>0</v>
      </c>
      <c r="AA608">
        <v>0</v>
      </c>
      <c r="AB608">
        <v>0</v>
      </c>
      <c r="AC608">
        <v>976</v>
      </c>
      <c r="AD608">
        <v>0</v>
      </c>
      <c r="AE608">
        <v>0</v>
      </c>
      <c r="AF608">
        <v>0</v>
      </c>
      <c r="AG608">
        <v>0</v>
      </c>
      <c r="AH608">
        <v>0</v>
      </c>
      <c r="AI608">
        <v>0</v>
      </c>
      <c r="AJ608">
        <v>0</v>
      </c>
      <c r="AK608">
        <v>0</v>
      </c>
      <c r="AL608">
        <v>0</v>
      </c>
      <c r="AM608">
        <v>0</v>
      </c>
      <c r="AN608">
        <v>0</v>
      </c>
      <c r="AO608">
        <v>0</v>
      </c>
      <c r="AP608">
        <v>0</v>
      </c>
      <c r="AQ608">
        <v>0</v>
      </c>
      <c r="AR608">
        <v>0</v>
      </c>
      <c r="AS608">
        <v>0</v>
      </c>
      <c r="AT608">
        <v>0</v>
      </c>
      <c r="AU608">
        <f t="shared" si="18"/>
        <v>0</v>
      </c>
      <c r="AV608">
        <f t="shared" si="19"/>
        <v>0</v>
      </c>
    </row>
    <row r="609" spans="1:48" x14ac:dyDescent="0.25">
      <c r="A609" t="s">
        <v>3861</v>
      </c>
      <c r="C609" t="s">
        <v>3862</v>
      </c>
      <c r="D609" t="s">
        <v>3863</v>
      </c>
      <c r="E609" t="s">
        <v>1663</v>
      </c>
      <c r="F609">
        <v>3</v>
      </c>
      <c r="G609">
        <v>3.1</v>
      </c>
      <c r="H609" t="s">
        <v>2017</v>
      </c>
      <c r="I609" s="21">
        <v>37776</v>
      </c>
      <c r="J609">
        <v>2003</v>
      </c>
      <c r="K609" s="21">
        <v>37806</v>
      </c>
      <c r="L609">
        <v>2003</v>
      </c>
      <c r="M609" s="21">
        <v>37959</v>
      </c>
      <c r="N609">
        <v>2003</v>
      </c>
      <c r="Q609" s="262">
        <v>250000</v>
      </c>
      <c r="S609" t="s">
        <v>114</v>
      </c>
      <c r="T609" t="s">
        <v>114</v>
      </c>
      <c r="W609">
        <v>2240</v>
      </c>
      <c r="X609">
        <v>1</v>
      </c>
      <c r="Y609">
        <v>0</v>
      </c>
      <c r="Z609">
        <v>0</v>
      </c>
      <c r="AA609">
        <v>0</v>
      </c>
      <c r="AB609">
        <v>0</v>
      </c>
      <c r="AC609">
        <v>2240</v>
      </c>
      <c r="AD609">
        <v>0</v>
      </c>
      <c r="AE609">
        <v>0</v>
      </c>
      <c r="AF609">
        <v>0</v>
      </c>
      <c r="AG609">
        <v>0</v>
      </c>
      <c r="AH609">
        <v>0</v>
      </c>
      <c r="AI609">
        <v>0</v>
      </c>
      <c r="AJ609">
        <v>0</v>
      </c>
      <c r="AK609">
        <v>0</v>
      </c>
      <c r="AL609">
        <v>0</v>
      </c>
      <c r="AM609">
        <v>0</v>
      </c>
      <c r="AN609">
        <v>0</v>
      </c>
      <c r="AO609">
        <v>1</v>
      </c>
      <c r="AP609">
        <v>0</v>
      </c>
      <c r="AQ609">
        <v>0</v>
      </c>
      <c r="AR609">
        <v>0</v>
      </c>
      <c r="AS609">
        <v>0</v>
      </c>
      <c r="AT609">
        <v>0</v>
      </c>
      <c r="AU609">
        <f t="shared" si="18"/>
        <v>1</v>
      </c>
      <c r="AV609">
        <f t="shared" si="19"/>
        <v>0</v>
      </c>
    </row>
    <row r="610" spans="1:48" x14ac:dyDescent="0.25">
      <c r="A610" t="s">
        <v>3871</v>
      </c>
      <c r="C610" t="s">
        <v>3872</v>
      </c>
      <c r="D610" t="s">
        <v>3353</v>
      </c>
      <c r="E610" t="s">
        <v>2310</v>
      </c>
      <c r="F610">
        <v>9</v>
      </c>
      <c r="G610">
        <v>9.3000000000000007</v>
      </c>
      <c r="H610" t="s">
        <v>2323</v>
      </c>
      <c r="I610" s="21">
        <v>37777</v>
      </c>
      <c r="J610">
        <v>2003</v>
      </c>
      <c r="K610" s="21">
        <v>37911</v>
      </c>
      <c r="L610">
        <v>2003</v>
      </c>
      <c r="M610" s="21">
        <v>37995</v>
      </c>
      <c r="N610">
        <v>2004</v>
      </c>
      <c r="R610" s="262">
        <v>54000</v>
      </c>
      <c r="S610" t="s">
        <v>114</v>
      </c>
      <c r="T610" t="s">
        <v>114</v>
      </c>
      <c r="U610">
        <v>8</v>
      </c>
      <c r="W610">
        <v>0</v>
      </c>
      <c r="X610">
        <v>1</v>
      </c>
      <c r="Y610">
        <v>0</v>
      </c>
      <c r="Z610">
        <v>0</v>
      </c>
      <c r="AA610">
        <v>0</v>
      </c>
      <c r="AB610">
        <v>0</v>
      </c>
      <c r="AC610">
        <v>-900</v>
      </c>
      <c r="AD610">
        <v>0</v>
      </c>
      <c r="AE610">
        <v>0</v>
      </c>
      <c r="AF610">
        <v>900</v>
      </c>
      <c r="AG610">
        <v>0</v>
      </c>
      <c r="AH610">
        <v>0</v>
      </c>
      <c r="AI610">
        <v>0</v>
      </c>
      <c r="AJ610">
        <v>0</v>
      </c>
      <c r="AK610">
        <v>0</v>
      </c>
      <c r="AL610">
        <v>0</v>
      </c>
      <c r="AM610">
        <v>0</v>
      </c>
      <c r="AN610">
        <v>0</v>
      </c>
      <c r="AO610">
        <v>0</v>
      </c>
      <c r="AP610">
        <v>0</v>
      </c>
      <c r="AQ610">
        <v>0</v>
      </c>
      <c r="AR610">
        <v>1</v>
      </c>
      <c r="AS610">
        <v>0</v>
      </c>
      <c r="AT610">
        <v>0</v>
      </c>
      <c r="AU610">
        <f t="shared" si="18"/>
        <v>0</v>
      </c>
      <c r="AV610">
        <f t="shared" si="19"/>
        <v>0</v>
      </c>
    </row>
    <row r="611" spans="1:48" x14ac:dyDescent="0.25">
      <c r="A611" t="s">
        <v>3873</v>
      </c>
      <c r="C611" t="s">
        <v>3874</v>
      </c>
      <c r="D611" t="s">
        <v>3875</v>
      </c>
      <c r="E611" t="s">
        <v>2310</v>
      </c>
      <c r="F611">
        <v>10</v>
      </c>
      <c r="G611">
        <v>10.1</v>
      </c>
      <c r="H611" t="s">
        <v>2323</v>
      </c>
      <c r="I611" s="21">
        <v>37777</v>
      </c>
      <c r="J611">
        <v>2003</v>
      </c>
      <c r="K611" s="21">
        <v>37811</v>
      </c>
      <c r="L611">
        <v>2003</v>
      </c>
      <c r="M611" s="21">
        <v>37923</v>
      </c>
      <c r="N611">
        <v>2003</v>
      </c>
      <c r="R611" s="262">
        <v>106000</v>
      </c>
      <c r="S611" t="s">
        <v>114</v>
      </c>
      <c r="T611" t="s">
        <v>114</v>
      </c>
      <c r="U611">
        <v>5</v>
      </c>
      <c r="W611">
        <v>1545</v>
      </c>
      <c r="X611">
        <v>1</v>
      </c>
      <c r="Y611">
        <v>0</v>
      </c>
      <c r="Z611">
        <v>0</v>
      </c>
      <c r="AA611">
        <v>0</v>
      </c>
      <c r="AB611">
        <v>0</v>
      </c>
      <c r="AC611">
        <v>1545</v>
      </c>
      <c r="AD611">
        <v>0</v>
      </c>
      <c r="AE611">
        <v>0</v>
      </c>
      <c r="AF611">
        <v>0</v>
      </c>
      <c r="AG611">
        <v>0</v>
      </c>
      <c r="AH611">
        <v>0</v>
      </c>
      <c r="AI611">
        <v>0</v>
      </c>
      <c r="AJ611">
        <v>0</v>
      </c>
      <c r="AK611">
        <v>0</v>
      </c>
      <c r="AL611">
        <v>0</v>
      </c>
      <c r="AM611">
        <v>0</v>
      </c>
      <c r="AN611">
        <v>0</v>
      </c>
      <c r="AO611">
        <v>1</v>
      </c>
      <c r="AP611">
        <v>0</v>
      </c>
      <c r="AQ611">
        <v>0</v>
      </c>
      <c r="AR611">
        <v>0</v>
      </c>
      <c r="AS611">
        <v>0</v>
      </c>
      <c r="AT611">
        <v>0</v>
      </c>
      <c r="AU611">
        <f t="shared" si="18"/>
        <v>1</v>
      </c>
      <c r="AV611">
        <f t="shared" si="19"/>
        <v>0</v>
      </c>
    </row>
    <row r="612" spans="1:48" x14ac:dyDescent="0.25">
      <c r="A612" t="s">
        <v>3876</v>
      </c>
      <c r="C612" t="s">
        <v>2983</v>
      </c>
      <c r="D612" t="s">
        <v>3877</v>
      </c>
      <c r="E612" t="s">
        <v>2310</v>
      </c>
      <c r="F612">
        <v>10</v>
      </c>
      <c r="G612">
        <v>10.1</v>
      </c>
      <c r="H612" t="s">
        <v>2323</v>
      </c>
      <c r="I612" s="21">
        <v>37777</v>
      </c>
      <c r="J612">
        <v>2003</v>
      </c>
      <c r="K612" s="21">
        <v>37810</v>
      </c>
      <c r="L612">
        <v>2003</v>
      </c>
      <c r="M612" s="21">
        <v>37810</v>
      </c>
      <c r="N612">
        <v>2003</v>
      </c>
      <c r="R612" s="262">
        <v>21000</v>
      </c>
      <c r="S612" t="s">
        <v>114</v>
      </c>
      <c r="T612" t="s">
        <v>114</v>
      </c>
      <c r="U612">
        <v>5</v>
      </c>
      <c r="W612">
        <v>400</v>
      </c>
      <c r="X612">
        <v>0</v>
      </c>
      <c r="Y612">
        <v>0</v>
      </c>
      <c r="Z612">
        <v>0</v>
      </c>
      <c r="AA612">
        <v>0</v>
      </c>
      <c r="AB612">
        <v>0</v>
      </c>
      <c r="AC612">
        <v>400</v>
      </c>
      <c r="AD612">
        <v>0</v>
      </c>
      <c r="AE612">
        <v>0</v>
      </c>
      <c r="AF612">
        <v>0</v>
      </c>
      <c r="AG612">
        <v>0</v>
      </c>
      <c r="AH612">
        <v>0</v>
      </c>
      <c r="AI612">
        <v>0</v>
      </c>
      <c r="AJ612">
        <v>0</v>
      </c>
      <c r="AK612">
        <v>0</v>
      </c>
      <c r="AL612">
        <v>0</v>
      </c>
      <c r="AM612">
        <v>0</v>
      </c>
      <c r="AN612">
        <v>0</v>
      </c>
      <c r="AO612">
        <v>0</v>
      </c>
      <c r="AP612">
        <v>0</v>
      </c>
      <c r="AQ612">
        <v>0</v>
      </c>
      <c r="AR612">
        <v>0</v>
      </c>
      <c r="AS612">
        <v>0</v>
      </c>
      <c r="AT612">
        <v>0</v>
      </c>
      <c r="AU612">
        <f t="shared" si="18"/>
        <v>0</v>
      </c>
      <c r="AV612">
        <f t="shared" si="19"/>
        <v>0</v>
      </c>
    </row>
    <row r="613" spans="1:48" x14ac:dyDescent="0.25">
      <c r="A613" t="s">
        <v>3878</v>
      </c>
      <c r="C613" t="s">
        <v>3879</v>
      </c>
      <c r="D613" t="s">
        <v>3880</v>
      </c>
      <c r="E613" t="s">
        <v>2310</v>
      </c>
      <c r="F613">
        <v>15</v>
      </c>
      <c r="G613">
        <v>15.1</v>
      </c>
      <c r="H613" t="s">
        <v>2022</v>
      </c>
      <c r="I613" s="21">
        <v>37781</v>
      </c>
      <c r="J613">
        <v>2003</v>
      </c>
      <c r="K613" s="21">
        <v>37830</v>
      </c>
      <c r="L613">
        <v>2003</v>
      </c>
      <c r="M613" s="21">
        <v>38079</v>
      </c>
      <c r="N613">
        <v>2004</v>
      </c>
      <c r="R613" s="262">
        <v>250000</v>
      </c>
      <c r="S613" t="s">
        <v>114</v>
      </c>
      <c r="T613" t="s">
        <v>114</v>
      </c>
      <c r="U613">
        <v>5</v>
      </c>
      <c r="W613">
        <v>2325</v>
      </c>
      <c r="X613">
        <v>0</v>
      </c>
      <c r="Y613">
        <v>0</v>
      </c>
      <c r="Z613">
        <v>0</v>
      </c>
      <c r="AA613">
        <v>0</v>
      </c>
      <c r="AB613">
        <v>0</v>
      </c>
      <c r="AC613">
        <v>2325</v>
      </c>
      <c r="AD613">
        <v>0</v>
      </c>
      <c r="AE613">
        <v>0</v>
      </c>
      <c r="AF613">
        <v>0</v>
      </c>
      <c r="AG613">
        <v>0</v>
      </c>
      <c r="AH613">
        <v>0</v>
      </c>
      <c r="AI613">
        <v>0</v>
      </c>
      <c r="AJ613">
        <v>0</v>
      </c>
      <c r="AK613">
        <v>0</v>
      </c>
      <c r="AL613">
        <v>0</v>
      </c>
      <c r="AM613">
        <v>0</v>
      </c>
      <c r="AN613">
        <v>0</v>
      </c>
      <c r="AO613">
        <v>0</v>
      </c>
      <c r="AP613">
        <v>0</v>
      </c>
      <c r="AQ613">
        <v>0</v>
      </c>
      <c r="AR613">
        <v>0</v>
      </c>
      <c r="AS613">
        <v>0</v>
      </c>
      <c r="AT613">
        <v>0</v>
      </c>
      <c r="AU613">
        <f t="shared" si="18"/>
        <v>0</v>
      </c>
      <c r="AV613">
        <f t="shared" si="19"/>
        <v>0</v>
      </c>
    </row>
    <row r="614" spans="1:48" x14ac:dyDescent="0.25">
      <c r="A614" t="s">
        <v>3881</v>
      </c>
      <c r="C614" t="s">
        <v>3882</v>
      </c>
      <c r="D614" t="s">
        <v>3883</v>
      </c>
      <c r="E614" t="s">
        <v>2310</v>
      </c>
      <c r="F614">
        <v>15</v>
      </c>
      <c r="G614">
        <v>15.2</v>
      </c>
      <c r="H614" t="s">
        <v>2323</v>
      </c>
      <c r="I614" s="21">
        <v>37781</v>
      </c>
      <c r="J614">
        <v>2003</v>
      </c>
      <c r="K614" s="21">
        <v>37818</v>
      </c>
      <c r="L614">
        <v>2003</v>
      </c>
      <c r="M614" s="21">
        <v>37818</v>
      </c>
      <c r="N614">
        <v>2003</v>
      </c>
      <c r="R614" s="262">
        <v>50000</v>
      </c>
      <c r="S614" t="s">
        <v>114</v>
      </c>
      <c r="T614" t="s">
        <v>114</v>
      </c>
      <c r="U614">
        <v>5</v>
      </c>
      <c r="W614">
        <v>427</v>
      </c>
      <c r="X614">
        <v>0</v>
      </c>
      <c r="Y614">
        <v>0</v>
      </c>
      <c r="Z614">
        <v>0</v>
      </c>
      <c r="AA614">
        <v>0</v>
      </c>
      <c r="AB614">
        <v>0</v>
      </c>
      <c r="AC614">
        <v>427</v>
      </c>
      <c r="AD614">
        <v>0</v>
      </c>
      <c r="AE614">
        <v>0</v>
      </c>
      <c r="AF614">
        <v>0</v>
      </c>
      <c r="AG614">
        <v>0</v>
      </c>
      <c r="AH614">
        <v>0</v>
      </c>
      <c r="AI614">
        <v>0</v>
      </c>
      <c r="AJ614">
        <v>0</v>
      </c>
      <c r="AK614">
        <v>0</v>
      </c>
      <c r="AL614">
        <v>0</v>
      </c>
      <c r="AM614">
        <v>0</v>
      </c>
      <c r="AN614">
        <v>0</v>
      </c>
      <c r="AO614">
        <v>0</v>
      </c>
      <c r="AP614">
        <v>0</v>
      </c>
      <c r="AQ614">
        <v>0</v>
      </c>
      <c r="AR614">
        <v>0</v>
      </c>
      <c r="AS614">
        <v>0</v>
      </c>
      <c r="AT614">
        <v>0</v>
      </c>
      <c r="AU614">
        <f t="shared" si="18"/>
        <v>0</v>
      </c>
      <c r="AV614">
        <f t="shared" si="19"/>
        <v>0</v>
      </c>
    </row>
    <row r="615" spans="1:48" x14ac:dyDescent="0.25">
      <c r="A615" t="s">
        <v>3884</v>
      </c>
      <c r="C615" t="s">
        <v>3885</v>
      </c>
      <c r="D615" t="s">
        <v>3886</v>
      </c>
      <c r="E615" t="s">
        <v>2310</v>
      </c>
      <c r="F615">
        <v>10</v>
      </c>
      <c r="G615">
        <v>10.1</v>
      </c>
      <c r="H615" t="s">
        <v>2323</v>
      </c>
      <c r="I615" s="21">
        <v>37781</v>
      </c>
      <c r="J615">
        <v>2003</v>
      </c>
      <c r="K615" s="21">
        <v>37818</v>
      </c>
      <c r="L615">
        <v>2003</v>
      </c>
      <c r="M615" s="21">
        <v>37930</v>
      </c>
      <c r="N615">
        <v>2003</v>
      </c>
      <c r="R615" s="262">
        <v>185000</v>
      </c>
      <c r="S615" t="s">
        <v>114</v>
      </c>
      <c r="T615" t="s">
        <v>114</v>
      </c>
      <c r="U615">
        <v>5</v>
      </c>
      <c r="W615">
        <v>2720</v>
      </c>
      <c r="X615">
        <v>1</v>
      </c>
      <c r="Y615">
        <v>0</v>
      </c>
      <c r="Z615">
        <v>0</v>
      </c>
      <c r="AA615">
        <v>0</v>
      </c>
      <c r="AB615">
        <v>0</v>
      </c>
      <c r="AC615">
        <v>2720</v>
      </c>
      <c r="AD615">
        <v>0</v>
      </c>
      <c r="AE615">
        <v>0</v>
      </c>
      <c r="AF615">
        <v>0</v>
      </c>
      <c r="AG615">
        <v>0</v>
      </c>
      <c r="AH615">
        <v>0</v>
      </c>
      <c r="AI615">
        <v>0</v>
      </c>
      <c r="AJ615">
        <v>0</v>
      </c>
      <c r="AK615">
        <v>0</v>
      </c>
      <c r="AL615">
        <v>0</v>
      </c>
      <c r="AM615">
        <v>0</v>
      </c>
      <c r="AN615">
        <v>0</v>
      </c>
      <c r="AO615">
        <v>1</v>
      </c>
      <c r="AP615">
        <v>0</v>
      </c>
      <c r="AQ615">
        <v>0</v>
      </c>
      <c r="AR615">
        <v>0</v>
      </c>
      <c r="AS615">
        <v>0</v>
      </c>
      <c r="AT615">
        <v>0</v>
      </c>
      <c r="AU615">
        <f t="shared" si="18"/>
        <v>1</v>
      </c>
      <c r="AV615">
        <f t="shared" si="19"/>
        <v>0</v>
      </c>
    </row>
    <row r="616" spans="1:48" x14ac:dyDescent="0.25">
      <c r="A616" t="s">
        <v>3887</v>
      </c>
      <c r="C616" t="s">
        <v>3888</v>
      </c>
      <c r="D616" t="s">
        <v>3889</v>
      </c>
      <c r="E616" t="s">
        <v>2310</v>
      </c>
      <c r="F616">
        <v>4</v>
      </c>
      <c r="G616">
        <v>4.2</v>
      </c>
      <c r="H616" t="s">
        <v>2327</v>
      </c>
      <c r="I616" s="21">
        <v>37781</v>
      </c>
      <c r="J616">
        <v>2003</v>
      </c>
      <c r="K616" s="21">
        <v>37818</v>
      </c>
      <c r="L616">
        <v>2003</v>
      </c>
      <c r="M616" s="21">
        <v>37818</v>
      </c>
      <c r="N616">
        <v>2003</v>
      </c>
      <c r="R616" s="262">
        <v>14000</v>
      </c>
      <c r="S616" t="s">
        <v>114</v>
      </c>
      <c r="T616" t="s">
        <v>114</v>
      </c>
      <c r="U616">
        <v>5</v>
      </c>
      <c r="W616">
        <v>147</v>
      </c>
      <c r="X616">
        <v>0</v>
      </c>
      <c r="Y616">
        <v>0</v>
      </c>
      <c r="Z616">
        <v>0</v>
      </c>
      <c r="AA616">
        <v>0</v>
      </c>
      <c r="AB616">
        <v>0</v>
      </c>
      <c r="AC616">
        <v>147</v>
      </c>
      <c r="AD616">
        <v>0</v>
      </c>
      <c r="AE616">
        <v>0</v>
      </c>
      <c r="AF616">
        <v>0</v>
      </c>
      <c r="AG616">
        <v>0</v>
      </c>
      <c r="AH616">
        <v>0</v>
      </c>
      <c r="AI616">
        <v>0</v>
      </c>
      <c r="AJ616">
        <v>0</v>
      </c>
      <c r="AK616">
        <v>0</v>
      </c>
      <c r="AL616">
        <v>0</v>
      </c>
      <c r="AM616">
        <v>0</v>
      </c>
      <c r="AN616">
        <v>0</v>
      </c>
      <c r="AO616">
        <v>0</v>
      </c>
      <c r="AP616">
        <v>0</v>
      </c>
      <c r="AQ616">
        <v>0</v>
      </c>
      <c r="AR616">
        <v>0</v>
      </c>
      <c r="AS616">
        <v>0</v>
      </c>
      <c r="AT616">
        <v>0</v>
      </c>
      <c r="AU616">
        <f t="shared" si="18"/>
        <v>0</v>
      </c>
      <c r="AV616">
        <f t="shared" si="19"/>
        <v>0</v>
      </c>
    </row>
    <row r="617" spans="1:48" x14ac:dyDescent="0.25">
      <c r="A617" t="s">
        <v>3890</v>
      </c>
      <c r="C617" t="s">
        <v>3383</v>
      </c>
      <c r="D617" t="s">
        <v>3891</v>
      </c>
      <c r="E617" t="s">
        <v>2310</v>
      </c>
      <c r="F617">
        <v>11</v>
      </c>
      <c r="G617">
        <v>11.3</v>
      </c>
      <c r="H617" t="s">
        <v>2017</v>
      </c>
      <c r="I617" s="21">
        <v>37782</v>
      </c>
      <c r="J617">
        <v>2003</v>
      </c>
      <c r="K617" s="21">
        <v>37819</v>
      </c>
      <c r="L617">
        <v>2003</v>
      </c>
      <c r="M617" s="21">
        <v>38216</v>
      </c>
      <c r="N617">
        <v>2004</v>
      </c>
      <c r="R617" s="262">
        <v>525000</v>
      </c>
      <c r="S617" t="s">
        <v>114</v>
      </c>
      <c r="T617" t="s">
        <v>114</v>
      </c>
      <c r="U617">
        <v>5</v>
      </c>
      <c r="W617">
        <v>5387</v>
      </c>
      <c r="X617">
        <v>1</v>
      </c>
      <c r="Y617">
        <v>0</v>
      </c>
      <c r="Z617">
        <v>0</v>
      </c>
      <c r="AA617">
        <v>0</v>
      </c>
      <c r="AB617">
        <v>0</v>
      </c>
      <c r="AC617">
        <v>5387</v>
      </c>
      <c r="AD617">
        <v>0</v>
      </c>
      <c r="AE617">
        <v>0</v>
      </c>
      <c r="AF617">
        <v>0</v>
      </c>
      <c r="AG617">
        <v>0</v>
      </c>
      <c r="AH617">
        <v>0</v>
      </c>
      <c r="AI617">
        <v>0</v>
      </c>
      <c r="AJ617">
        <v>0</v>
      </c>
      <c r="AK617">
        <v>0</v>
      </c>
      <c r="AL617">
        <v>0</v>
      </c>
      <c r="AM617">
        <v>0</v>
      </c>
      <c r="AN617">
        <v>0</v>
      </c>
      <c r="AO617">
        <v>1</v>
      </c>
      <c r="AP617">
        <v>0</v>
      </c>
      <c r="AQ617">
        <v>0</v>
      </c>
      <c r="AR617">
        <v>0</v>
      </c>
      <c r="AS617">
        <v>0</v>
      </c>
      <c r="AT617">
        <v>0</v>
      </c>
      <c r="AU617">
        <f t="shared" si="18"/>
        <v>1</v>
      </c>
      <c r="AV617">
        <f t="shared" si="19"/>
        <v>0</v>
      </c>
    </row>
    <row r="618" spans="1:48" x14ac:dyDescent="0.25">
      <c r="A618" t="s">
        <v>3892</v>
      </c>
      <c r="C618" t="s">
        <v>3893</v>
      </c>
      <c r="D618" t="s">
        <v>3894</v>
      </c>
      <c r="E618" t="s">
        <v>1663</v>
      </c>
      <c r="F618">
        <v>6</v>
      </c>
      <c r="G618">
        <v>6.1</v>
      </c>
      <c r="H618" t="s">
        <v>2017</v>
      </c>
      <c r="I618" s="21">
        <v>37783</v>
      </c>
      <c r="J618">
        <v>2003</v>
      </c>
      <c r="K618" s="21">
        <v>37813</v>
      </c>
      <c r="L618">
        <v>2003</v>
      </c>
      <c r="M618" s="21">
        <v>37966</v>
      </c>
      <c r="N618">
        <v>2003</v>
      </c>
      <c r="Q618" s="262">
        <v>325000</v>
      </c>
      <c r="S618" t="s">
        <v>114</v>
      </c>
      <c r="T618" t="s">
        <v>114</v>
      </c>
      <c r="W618">
        <v>3528</v>
      </c>
      <c r="X618">
        <v>1</v>
      </c>
      <c r="Y618">
        <v>0</v>
      </c>
      <c r="Z618">
        <v>0</v>
      </c>
      <c r="AA618">
        <v>0</v>
      </c>
      <c r="AB618">
        <v>0</v>
      </c>
      <c r="AC618">
        <v>3528</v>
      </c>
      <c r="AD618">
        <v>0</v>
      </c>
      <c r="AE618">
        <v>0</v>
      </c>
      <c r="AF618">
        <v>0</v>
      </c>
      <c r="AG618">
        <v>0</v>
      </c>
      <c r="AH618">
        <v>0</v>
      </c>
      <c r="AI618">
        <v>0</v>
      </c>
      <c r="AJ618">
        <v>0</v>
      </c>
      <c r="AK618">
        <v>0</v>
      </c>
      <c r="AL618">
        <v>0</v>
      </c>
      <c r="AM618">
        <v>0</v>
      </c>
      <c r="AN618">
        <v>0</v>
      </c>
      <c r="AO618">
        <v>1</v>
      </c>
      <c r="AP618">
        <v>0</v>
      </c>
      <c r="AQ618">
        <v>0</v>
      </c>
      <c r="AR618">
        <v>0</v>
      </c>
      <c r="AS618">
        <v>0</v>
      </c>
      <c r="AT618">
        <v>0</v>
      </c>
      <c r="AU618">
        <f t="shared" si="18"/>
        <v>1</v>
      </c>
      <c r="AV618">
        <f t="shared" si="19"/>
        <v>0</v>
      </c>
    </row>
    <row r="619" spans="1:48" x14ac:dyDescent="0.25">
      <c r="A619" t="s">
        <v>3895</v>
      </c>
      <c r="C619" t="s">
        <v>3896</v>
      </c>
      <c r="D619" t="s">
        <v>3894</v>
      </c>
      <c r="E619" t="s">
        <v>1663</v>
      </c>
      <c r="F619">
        <v>6</v>
      </c>
      <c r="G619">
        <v>6.1</v>
      </c>
      <c r="H619" t="s">
        <v>2017</v>
      </c>
      <c r="I619" s="21">
        <v>37783</v>
      </c>
      <c r="J619">
        <v>2003</v>
      </c>
      <c r="K619" s="21">
        <v>37813</v>
      </c>
      <c r="L619">
        <v>2003</v>
      </c>
      <c r="M619" s="21">
        <v>37966</v>
      </c>
      <c r="N619">
        <v>2003</v>
      </c>
      <c r="Q619" s="262">
        <v>325000</v>
      </c>
      <c r="S619" t="s">
        <v>114</v>
      </c>
      <c r="T619" t="s">
        <v>114</v>
      </c>
      <c r="W619">
        <v>3424</v>
      </c>
      <c r="X619">
        <v>1</v>
      </c>
      <c r="Y619">
        <v>0</v>
      </c>
      <c r="Z619">
        <v>0</v>
      </c>
      <c r="AA619">
        <v>0</v>
      </c>
      <c r="AB619">
        <v>0</v>
      </c>
      <c r="AC619">
        <v>3424</v>
      </c>
      <c r="AD619">
        <v>0</v>
      </c>
      <c r="AE619">
        <v>0</v>
      </c>
      <c r="AF619">
        <v>0</v>
      </c>
      <c r="AG619">
        <v>0</v>
      </c>
      <c r="AH619">
        <v>0</v>
      </c>
      <c r="AI619">
        <v>0</v>
      </c>
      <c r="AJ619">
        <v>0</v>
      </c>
      <c r="AK619">
        <v>0</v>
      </c>
      <c r="AL619">
        <v>0</v>
      </c>
      <c r="AM619">
        <v>0</v>
      </c>
      <c r="AN619">
        <v>0</v>
      </c>
      <c r="AO619">
        <v>1</v>
      </c>
      <c r="AP619">
        <v>0</v>
      </c>
      <c r="AQ619">
        <v>0</v>
      </c>
      <c r="AR619">
        <v>0</v>
      </c>
      <c r="AS619">
        <v>0</v>
      </c>
      <c r="AT619">
        <v>0</v>
      </c>
      <c r="AU619">
        <f t="shared" si="18"/>
        <v>1</v>
      </c>
      <c r="AV619">
        <f t="shared" si="19"/>
        <v>0</v>
      </c>
    </row>
    <row r="620" spans="1:48" x14ac:dyDescent="0.25">
      <c r="A620" t="s">
        <v>3897</v>
      </c>
      <c r="C620" t="s">
        <v>3898</v>
      </c>
      <c r="D620" t="s">
        <v>3899</v>
      </c>
      <c r="E620" t="s">
        <v>2310</v>
      </c>
      <c r="F620">
        <v>14</v>
      </c>
      <c r="G620">
        <v>14.1</v>
      </c>
      <c r="H620" t="s">
        <v>2022</v>
      </c>
      <c r="I620" s="21">
        <v>37783</v>
      </c>
      <c r="J620">
        <v>2003</v>
      </c>
      <c r="K620" s="21">
        <v>37816</v>
      </c>
      <c r="L620">
        <v>2003</v>
      </c>
      <c r="M620" s="21">
        <v>37819</v>
      </c>
      <c r="N620">
        <v>2003</v>
      </c>
      <c r="R620" s="262">
        <v>50000</v>
      </c>
      <c r="S620" t="s">
        <v>114</v>
      </c>
      <c r="T620" t="s">
        <v>114</v>
      </c>
      <c r="U620">
        <v>5</v>
      </c>
      <c r="W620">
        <v>307</v>
      </c>
      <c r="X620">
        <v>0</v>
      </c>
      <c r="Y620">
        <v>0</v>
      </c>
      <c r="Z620">
        <v>0</v>
      </c>
      <c r="AA620">
        <v>0</v>
      </c>
      <c r="AB620">
        <v>0</v>
      </c>
      <c r="AC620">
        <v>307</v>
      </c>
      <c r="AD620">
        <v>0</v>
      </c>
      <c r="AE620">
        <v>0</v>
      </c>
      <c r="AF620">
        <v>0</v>
      </c>
      <c r="AG620">
        <v>0</v>
      </c>
      <c r="AH620">
        <v>0</v>
      </c>
      <c r="AI620">
        <v>0</v>
      </c>
      <c r="AJ620">
        <v>0</v>
      </c>
      <c r="AK620">
        <v>0</v>
      </c>
      <c r="AL620">
        <v>0</v>
      </c>
      <c r="AM620">
        <v>0</v>
      </c>
      <c r="AN620">
        <v>0</v>
      </c>
      <c r="AO620">
        <v>0</v>
      </c>
      <c r="AP620">
        <v>0</v>
      </c>
      <c r="AQ620">
        <v>0</v>
      </c>
      <c r="AR620">
        <v>0</v>
      </c>
      <c r="AS620">
        <v>0</v>
      </c>
      <c r="AT620">
        <v>0</v>
      </c>
      <c r="AU620">
        <f t="shared" si="18"/>
        <v>0</v>
      </c>
      <c r="AV620">
        <f t="shared" si="19"/>
        <v>0</v>
      </c>
    </row>
    <row r="621" spans="1:48" x14ac:dyDescent="0.25">
      <c r="A621" t="s">
        <v>3903</v>
      </c>
      <c r="C621" t="s">
        <v>3904</v>
      </c>
      <c r="D621" t="s">
        <v>3905</v>
      </c>
      <c r="E621" t="s">
        <v>2310</v>
      </c>
      <c r="F621">
        <v>8</v>
      </c>
      <c r="G621">
        <v>8.1</v>
      </c>
      <c r="H621" t="s">
        <v>2323</v>
      </c>
      <c r="I621" s="21">
        <v>37784</v>
      </c>
      <c r="J621">
        <v>2003</v>
      </c>
      <c r="K621" s="21">
        <v>37827</v>
      </c>
      <c r="L621">
        <v>2003</v>
      </c>
      <c r="M621" s="21">
        <v>37868</v>
      </c>
      <c r="N621">
        <v>2003</v>
      </c>
      <c r="R621" s="262">
        <v>20000</v>
      </c>
      <c r="S621" t="s">
        <v>114</v>
      </c>
      <c r="T621" t="s">
        <v>114</v>
      </c>
      <c r="U621">
        <v>15</v>
      </c>
      <c r="W621">
        <v>0</v>
      </c>
      <c r="X621">
        <v>0</v>
      </c>
      <c r="Y621">
        <v>0</v>
      </c>
      <c r="Z621">
        <v>0</v>
      </c>
      <c r="AA621">
        <v>0</v>
      </c>
      <c r="AB621">
        <v>0</v>
      </c>
      <c r="AC621">
        <v>0</v>
      </c>
      <c r="AD621">
        <v>0</v>
      </c>
      <c r="AE621">
        <v>0</v>
      </c>
      <c r="AF621">
        <v>0</v>
      </c>
      <c r="AG621">
        <v>0</v>
      </c>
      <c r="AH621">
        <v>0</v>
      </c>
      <c r="AI621">
        <v>0</v>
      </c>
      <c r="AJ621">
        <v>0</v>
      </c>
      <c r="AK621">
        <v>0</v>
      </c>
      <c r="AL621">
        <v>0</v>
      </c>
      <c r="AM621">
        <v>0</v>
      </c>
      <c r="AN621">
        <v>0</v>
      </c>
      <c r="AO621">
        <v>0</v>
      </c>
      <c r="AP621">
        <v>0</v>
      </c>
      <c r="AQ621">
        <v>0</v>
      </c>
      <c r="AR621">
        <v>0</v>
      </c>
      <c r="AS621">
        <v>0</v>
      </c>
      <c r="AT621">
        <v>0</v>
      </c>
      <c r="AU621">
        <f t="shared" si="18"/>
        <v>0</v>
      </c>
      <c r="AV621">
        <f t="shared" si="19"/>
        <v>0</v>
      </c>
    </row>
    <row r="622" spans="1:48" x14ac:dyDescent="0.25">
      <c r="A622" t="s">
        <v>3906</v>
      </c>
      <c r="C622" t="s">
        <v>3907</v>
      </c>
      <c r="D622" t="s">
        <v>3908</v>
      </c>
      <c r="E622" t="s">
        <v>2310</v>
      </c>
      <c r="F622">
        <v>12</v>
      </c>
      <c r="G622">
        <v>12.2</v>
      </c>
      <c r="H622" t="s">
        <v>2017</v>
      </c>
      <c r="I622" s="21">
        <v>37784</v>
      </c>
      <c r="J622">
        <v>2003</v>
      </c>
      <c r="K622" s="21">
        <v>37817</v>
      </c>
      <c r="L622">
        <v>2003</v>
      </c>
      <c r="M622" s="21">
        <v>38806</v>
      </c>
      <c r="N622">
        <v>2006</v>
      </c>
      <c r="R622" s="262">
        <v>125000</v>
      </c>
      <c r="S622" t="s">
        <v>114</v>
      </c>
      <c r="T622" t="s">
        <v>114</v>
      </c>
      <c r="U622">
        <v>5</v>
      </c>
      <c r="W622">
        <v>275</v>
      </c>
      <c r="X622">
        <v>0</v>
      </c>
      <c r="Y622">
        <v>0</v>
      </c>
      <c r="Z622">
        <v>0</v>
      </c>
      <c r="AA622">
        <v>0</v>
      </c>
      <c r="AB622">
        <v>0</v>
      </c>
      <c r="AC622">
        <v>275</v>
      </c>
      <c r="AD622">
        <v>0</v>
      </c>
      <c r="AE622">
        <v>0</v>
      </c>
      <c r="AF622">
        <v>0</v>
      </c>
      <c r="AG622">
        <v>0</v>
      </c>
      <c r="AH622">
        <v>0</v>
      </c>
      <c r="AI622">
        <v>0</v>
      </c>
      <c r="AJ622">
        <v>0</v>
      </c>
      <c r="AK622">
        <v>0</v>
      </c>
      <c r="AL622">
        <v>0</v>
      </c>
      <c r="AM622">
        <v>0</v>
      </c>
      <c r="AN622">
        <v>0</v>
      </c>
      <c r="AO622">
        <v>0</v>
      </c>
      <c r="AP622">
        <v>0</v>
      </c>
      <c r="AQ622">
        <v>0</v>
      </c>
      <c r="AR622">
        <v>0</v>
      </c>
      <c r="AS622">
        <v>0</v>
      </c>
      <c r="AT622">
        <v>0</v>
      </c>
      <c r="AU622">
        <f t="shared" si="18"/>
        <v>0</v>
      </c>
      <c r="AV622">
        <f t="shared" si="19"/>
        <v>0</v>
      </c>
    </row>
    <row r="623" spans="1:48" x14ac:dyDescent="0.25">
      <c r="A623" t="s">
        <v>3900</v>
      </c>
      <c r="C623" t="s">
        <v>3901</v>
      </c>
      <c r="D623" t="s">
        <v>3902</v>
      </c>
      <c r="E623" t="s">
        <v>1663</v>
      </c>
      <c r="F623">
        <v>1</v>
      </c>
      <c r="G623">
        <v>1.2</v>
      </c>
      <c r="H623" t="s">
        <v>2017</v>
      </c>
      <c r="I623" s="21">
        <v>37784</v>
      </c>
      <c r="J623">
        <v>2003</v>
      </c>
      <c r="K623" s="21">
        <v>37814</v>
      </c>
      <c r="L623">
        <v>2003</v>
      </c>
      <c r="M623" s="21">
        <v>37967</v>
      </c>
      <c r="N623">
        <v>2003</v>
      </c>
      <c r="Q623" s="262">
        <v>0</v>
      </c>
      <c r="S623" t="s">
        <v>114</v>
      </c>
      <c r="T623" t="s">
        <v>114</v>
      </c>
      <c r="W623">
        <v>55</v>
      </c>
      <c r="X623">
        <v>0</v>
      </c>
      <c r="Y623">
        <v>0</v>
      </c>
      <c r="Z623">
        <v>0</v>
      </c>
      <c r="AA623">
        <v>0</v>
      </c>
      <c r="AB623">
        <v>0</v>
      </c>
      <c r="AC623">
        <v>0</v>
      </c>
      <c r="AD623">
        <v>0</v>
      </c>
      <c r="AE623">
        <v>0</v>
      </c>
      <c r="AF623">
        <v>0</v>
      </c>
      <c r="AG623">
        <v>0</v>
      </c>
      <c r="AH623">
        <v>55</v>
      </c>
      <c r="AI623">
        <v>0</v>
      </c>
      <c r="AJ623">
        <v>0</v>
      </c>
      <c r="AK623">
        <v>0</v>
      </c>
      <c r="AL623">
        <v>0</v>
      </c>
      <c r="AM623">
        <v>0</v>
      </c>
      <c r="AN623">
        <v>0</v>
      </c>
      <c r="AO623">
        <v>0</v>
      </c>
      <c r="AP623">
        <v>0</v>
      </c>
      <c r="AQ623">
        <v>0</v>
      </c>
      <c r="AR623">
        <v>0</v>
      </c>
      <c r="AS623">
        <v>0</v>
      </c>
      <c r="AT623">
        <v>0</v>
      </c>
      <c r="AU623">
        <f t="shared" si="18"/>
        <v>0</v>
      </c>
      <c r="AV623">
        <f t="shared" si="19"/>
        <v>55</v>
      </c>
    </row>
    <row r="624" spans="1:48" x14ac:dyDescent="0.25">
      <c r="A624" t="s">
        <v>3912</v>
      </c>
      <c r="C624" t="s">
        <v>3383</v>
      </c>
      <c r="D624" t="s">
        <v>3913</v>
      </c>
      <c r="E624" t="s">
        <v>2310</v>
      </c>
      <c r="F624">
        <v>10</v>
      </c>
      <c r="G624">
        <v>10.1</v>
      </c>
      <c r="H624" t="s">
        <v>2323</v>
      </c>
      <c r="I624" s="21">
        <v>37785</v>
      </c>
      <c r="J624">
        <v>2003</v>
      </c>
      <c r="K624" s="21">
        <v>37817</v>
      </c>
      <c r="L624">
        <v>2003</v>
      </c>
      <c r="M624" s="21">
        <v>38264</v>
      </c>
      <c r="N624">
        <v>2004</v>
      </c>
      <c r="R624" s="262">
        <v>375000</v>
      </c>
      <c r="S624" t="s">
        <v>114</v>
      </c>
      <c r="T624" t="s">
        <v>114</v>
      </c>
      <c r="U624">
        <v>5</v>
      </c>
      <c r="W624">
        <v>4639</v>
      </c>
      <c r="X624">
        <v>1</v>
      </c>
      <c r="Y624">
        <v>0</v>
      </c>
      <c r="Z624">
        <v>0</v>
      </c>
      <c r="AA624">
        <v>0</v>
      </c>
      <c r="AB624">
        <v>0</v>
      </c>
      <c r="AC624">
        <v>4639</v>
      </c>
      <c r="AD624">
        <v>0</v>
      </c>
      <c r="AE624">
        <v>0</v>
      </c>
      <c r="AF624">
        <v>0</v>
      </c>
      <c r="AG624">
        <v>0</v>
      </c>
      <c r="AH624">
        <v>0</v>
      </c>
      <c r="AI624">
        <v>0</v>
      </c>
      <c r="AJ624">
        <v>0</v>
      </c>
      <c r="AK624">
        <v>0</v>
      </c>
      <c r="AL624">
        <v>0</v>
      </c>
      <c r="AM624">
        <v>0</v>
      </c>
      <c r="AN624">
        <v>0</v>
      </c>
      <c r="AO624">
        <v>1</v>
      </c>
      <c r="AP624">
        <v>0</v>
      </c>
      <c r="AQ624">
        <v>0</v>
      </c>
      <c r="AR624">
        <v>0</v>
      </c>
      <c r="AS624">
        <v>0</v>
      </c>
      <c r="AT624">
        <v>0</v>
      </c>
      <c r="AU624">
        <f t="shared" si="18"/>
        <v>1</v>
      </c>
      <c r="AV624">
        <f t="shared" si="19"/>
        <v>0</v>
      </c>
    </row>
    <row r="625" spans="1:48" x14ac:dyDescent="0.25">
      <c r="A625" t="s">
        <v>3914</v>
      </c>
      <c r="C625" t="s">
        <v>3915</v>
      </c>
      <c r="D625" t="s">
        <v>3916</v>
      </c>
      <c r="E625" t="s">
        <v>2310</v>
      </c>
      <c r="F625">
        <v>9</v>
      </c>
      <c r="G625">
        <v>9.1</v>
      </c>
      <c r="H625" t="s">
        <v>2323</v>
      </c>
      <c r="I625" s="21">
        <v>37785</v>
      </c>
      <c r="J625">
        <v>2003</v>
      </c>
      <c r="K625" s="21">
        <v>37817</v>
      </c>
      <c r="L625">
        <v>2003</v>
      </c>
      <c r="M625" s="21">
        <v>37817</v>
      </c>
      <c r="N625">
        <v>2003</v>
      </c>
      <c r="R625" s="262">
        <v>138000</v>
      </c>
      <c r="S625" t="s">
        <v>114</v>
      </c>
      <c r="T625" t="s">
        <v>114</v>
      </c>
      <c r="U625">
        <v>8</v>
      </c>
      <c r="W625">
        <v>1716</v>
      </c>
      <c r="X625">
        <v>1</v>
      </c>
      <c r="Y625">
        <v>0</v>
      </c>
      <c r="Z625">
        <v>0</v>
      </c>
      <c r="AA625">
        <v>0</v>
      </c>
      <c r="AB625">
        <v>0</v>
      </c>
      <c r="AC625">
        <v>716</v>
      </c>
      <c r="AD625">
        <v>0</v>
      </c>
      <c r="AE625">
        <v>0</v>
      </c>
      <c r="AF625">
        <v>1000</v>
      </c>
      <c r="AG625">
        <v>0</v>
      </c>
      <c r="AH625">
        <v>0</v>
      </c>
      <c r="AI625">
        <v>0</v>
      </c>
      <c r="AJ625">
        <v>0</v>
      </c>
      <c r="AK625">
        <v>0</v>
      </c>
      <c r="AL625">
        <v>0</v>
      </c>
      <c r="AM625">
        <v>0</v>
      </c>
      <c r="AN625">
        <v>0</v>
      </c>
      <c r="AO625">
        <v>0</v>
      </c>
      <c r="AP625">
        <v>0</v>
      </c>
      <c r="AQ625">
        <v>0</v>
      </c>
      <c r="AR625">
        <v>1</v>
      </c>
      <c r="AS625">
        <v>0</v>
      </c>
      <c r="AT625">
        <v>0</v>
      </c>
      <c r="AU625">
        <f t="shared" si="18"/>
        <v>0</v>
      </c>
      <c r="AV625">
        <f t="shared" si="19"/>
        <v>0</v>
      </c>
    </row>
    <row r="626" spans="1:48" x14ac:dyDescent="0.25">
      <c r="A626" t="s">
        <v>3917</v>
      </c>
      <c r="C626" t="s">
        <v>3918</v>
      </c>
      <c r="D626" t="s">
        <v>3919</v>
      </c>
      <c r="E626" t="s">
        <v>2310</v>
      </c>
      <c r="F626">
        <v>10</v>
      </c>
      <c r="G626">
        <v>10.1</v>
      </c>
      <c r="H626" t="s">
        <v>2323</v>
      </c>
      <c r="I626" s="21">
        <v>37785</v>
      </c>
      <c r="J626">
        <v>2003</v>
      </c>
      <c r="K626" s="21">
        <v>37817</v>
      </c>
      <c r="L626">
        <v>2003</v>
      </c>
      <c r="M626" s="21">
        <v>37817</v>
      </c>
      <c r="N626">
        <v>2003</v>
      </c>
      <c r="R626" s="262">
        <v>284000</v>
      </c>
      <c r="S626" t="s">
        <v>114</v>
      </c>
      <c r="T626" t="s">
        <v>114</v>
      </c>
      <c r="U626">
        <v>5</v>
      </c>
      <c r="W626">
        <v>2837</v>
      </c>
      <c r="X626">
        <v>1</v>
      </c>
      <c r="Y626">
        <v>0</v>
      </c>
      <c r="Z626">
        <v>0</v>
      </c>
      <c r="AA626">
        <v>0</v>
      </c>
      <c r="AB626">
        <v>0</v>
      </c>
      <c r="AC626">
        <v>2837</v>
      </c>
      <c r="AD626">
        <v>0</v>
      </c>
      <c r="AE626">
        <v>0</v>
      </c>
      <c r="AF626">
        <v>0</v>
      </c>
      <c r="AG626">
        <v>0</v>
      </c>
      <c r="AH626">
        <v>0</v>
      </c>
      <c r="AI626">
        <v>0</v>
      </c>
      <c r="AJ626">
        <v>0</v>
      </c>
      <c r="AK626">
        <v>0</v>
      </c>
      <c r="AL626">
        <v>0</v>
      </c>
      <c r="AM626">
        <v>0</v>
      </c>
      <c r="AN626">
        <v>0</v>
      </c>
      <c r="AO626">
        <v>1</v>
      </c>
      <c r="AP626">
        <v>0</v>
      </c>
      <c r="AQ626">
        <v>0</v>
      </c>
      <c r="AR626">
        <v>0</v>
      </c>
      <c r="AS626">
        <v>0</v>
      </c>
      <c r="AT626">
        <v>0</v>
      </c>
      <c r="AU626">
        <f t="shared" si="18"/>
        <v>1</v>
      </c>
      <c r="AV626">
        <f t="shared" si="19"/>
        <v>0</v>
      </c>
    </row>
    <row r="627" spans="1:48" x14ac:dyDescent="0.25">
      <c r="A627" t="s">
        <v>3909</v>
      </c>
      <c r="C627" t="s">
        <v>3910</v>
      </c>
      <c r="D627" t="s">
        <v>3911</v>
      </c>
      <c r="E627" t="s">
        <v>1663</v>
      </c>
      <c r="F627">
        <v>1</v>
      </c>
      <c r="G627">
        <v>1.2</v>
      </c>
      <c r="H627" t="s">
        <v>2017</v>
      </c>
      <c r="I627" s="21">
        <v>37785</v>
      </c>
      <c r="J627">
        <v>2003</v>
      </c>
      <c r="K627" s="21">
        <v>37815</v>
      </c>
      <c r="L627">
        <v>2003</v>
      </c>
      <c r="M627" s="21">
        <v>37968</v>
      </c>
      <c r="N627">
        <v>2003</v>
      </c>
      <c r="Q627" s="262">
        <v>18000</v>
      </c>
      <c r="S627" t="s">
        <v>114</v>
      </c>
      <c r="T627" t="s">
        <v>114</v>
      </c>
      <c r="W627">
        <v>1041</v>
      </c>
      <c r="X627">
        <v>0</v>
      </c>
      <c r="Y627">
        <v>0</v>
      </c>
      <c r="Z627">
        <v>0</v>
      </c>
      <c r="AA627">
        <v>0</v>
      </c>
      <c r="AB627">
        <v>0</v>
      </c>
      <c r="AC627">
        <v>0</v>
      </c>
      <c r="AD627">
        <v>0</v>
      </c>
      <c r="AE627">
        <v>0</v>
      </c>
      <c r="AF627">
        <v>0</v>
      </c>
      <c r="AG627">
        <v>0</v>
      </c>
      <c r="AH627">
        <v>0</v>
      </c>
      <c r="AI627">
        <v>0</v>
      </c>
      <c r="AJ627">
        <v>0</v>
      </c>
      <c r="AK627">
        <v>1041</v>
      </c>
      <c r="AL627">
        <v>0</v>
      </c>
      <c r="AM627">
        <v>0</v>
      </c>
      <c r="AN627">
        <v>0</v>
      </c>
      <c r="AO627">
        <v>0</v>
      </c>
      <c r="AP627">
        <v>0</v>
      </c>
      <c r="AQ627">
        <v>0</v>
      </c>
      <c r="AR627">
        <v>0</v>
      </c>
      <c r="AS627">
        <v>0</v>
      </c>
      <c r="AT627">
        <v>0</v>
      </c>
      <c r="AU627">
        <f t="shared" si="18"/>
        <v>0</v>
      </c>
      <c r="AV627">
        <f t="shared" si="19"/>
        <v>1041</v>
      </c>
    </row>
    <row r="628" spans="1:48" x14ac:dyDescent="0.25">
      <c r="A628" t="s">
        <v>3920</v>
      </c>
      <c r="C628" t="s">
        <v>3921</v>
      </c>
      <c r="D628" t="s">
        <v>3922</v>
      </c>
      <c r="E628" t="s">
        <v>2310</v>
      </c>
      <c r="F628">
        <v>10</v>
      </c>
      <c r="G628">
        <v>10.1</v>
      </c>
      <c r="H628" t="s">
        <v>2323</v>
      </c>
      <c r="I628" s="21">
        <v>37788</v>
      </c>
      <c r="J628">
        <v>2003</v>
      </c>
      <c r="K628" s="21">
        <v>37818</v>
      </c>
      <c r="L628">
        <v>2003</v>
      </c>
      <c r="M628" s="21">
        <v>37935</v>
      </c>
      <c r="N628">
        <v>2003</v>
      </c>
      <c r="R628" s="262">
        <v>265000</v>
      </c>
      <c r="S628" t="s">
        <v>114</v>
      </c>
      <c r="T628" t="s">
        <v>114</v>
      </c>
      <c r="U628">
        <v>5</v>
      </c>
      <c r="W628">
        <v>3316</v>
      </c>
      <c r="X628">
        <v>1</v>
      </c>
      <c r="Y628">
        <v>0</v>
      </c>
      <c r="Z628">
        <v>0</v>
      </c>
      <c r="AA628">
        <v>0</v>
      </c>
      <c r="AB628">
        <v>0</v>
      </c>
      <c r="AC628">
        <v>3316</v>
      </c>
      <c r="AD628">
        <v>0</v>
      </c>
      <c r="AE628">
        <v>0</v>
      </c>
      <c r="AF628">
        <v>0</v>
      </c>
      <c r="AG628">
        <v>0</v>
      </c>
      <c r="AH628">
        <v>0</v>
      </c>
      <c r="AI628">
        <v>0</v>
      </c>
      <c r="AJ628">
        <v>0</v>
      </c>
      <c r="AK628">
        <v>0</v>
      </c>
      <c r="AL628">
        <v>0</v>
      </c>
      <c r="AM628">
        <v>0</v>
      </c>
      <c r="AN628">
        <v>0</v>
      </c>
      <c r="AO628">
        <v>1</v>
      </c>
      <c r="AP628">
        <v>0</v>
      </c>
      <c r="AQ628">
        <v>0</v>
      </c>
      <c r="AR628">
        <v>0</v>
      </c>
      <c r="AS628">
        <v>0</v>
      </c>
      <c r="AT628">
        <v>0</v>
      </c>
      <c r="AU628">
        <f t="shared" si="18"/>
        <v>1</v>
      </c>
      <c r="AV628">
        <f t="shared" si="19"/>
        <v>0</v>
      </c>
    </row>
    <row r="629" spans="1:48" x14ac:dyDescent="0.25">
      <c r="A629" t="s">
        <v>3923</v>
      </c>
      <c r="C629" t="s">
        <v>3924</v>
      </c>
      <c r="D629" t="s">
        <v>3925</v>
      </c>
      <c r="E629" t="s">
        <v>2310</v>
      </c>
      <c r="F629">
        <v>11</v>
      </c>
      <c r="G629">
        <v>11.2</v>
      </c>
      <c r="H629" t="s">
        <v>2017</v>
      </c>
      <c r="I629" s="21">
        <v>37788</v>
      </c>
      <c r="J629">
        <v>2003</v>
      </c>
      <c r="K629" s="21">
        <v>37818</v>
      </c>
      <c r="L629">
        <v>2003</v>
      </c>
      <c r="M629" s="21">
        <v>39086</v>
      </c>
      <c r="N629">
        <v>2007</v>
      </c>
      <c r="R629" s="262">
        <v>140000</v>
      </c>
      <c r="S629" t="s">
        <v>114</v>
      </c>
      <c r="T629" t="s">
        <v>114</v>
      </c>
      <c r="U629">
        <v>5</v>
      </c>
      <c r="W629">
        <v>2040</v>
      </c>
      <c r="X629">
        <v>1</v>
      </c>
      <c r="Y629">
        <v>0</v>
      </c>
      <c r="Z629">
        <v>0</v>
      </c>
      <c r="AA629">
        <v>0</v>
      </c>
      <c r="AB629">
        <v>0</v>
      </c>
      <c r="AC629">
        <v>2040</v>
      </c>
      <c r="AD629">
        <v>0</v>
      </c>
      <c r="AE629">
        <v>0</v>
      </c>
      <c r="AF629">
        <v>0</v>
      </c>
      <c r="AG629">
        <v>0</v>
      </c>
      <c r="AH629">
        <v>0</v>
      </c>
      <c r="AI629">
        <v>0</v>
      </c>
      <c r="AJ629">
        <v>0</v>
      </c>
      <c r="AK629">
        <v>0</v>
      </c>
      <c r="AL629">
        <v>0</v>
      </c>
      <c r="AM629">
        <v>0</v>
      </c>
      <c r="AN629">
        <v>0</v>
      </c>
      <c r="AO629">
        <v>1</v>
      </c>
      <c r="AP629">
        <v>0</v>
      </c>
      <c r="AQ629">
        <v>0</v>
      </c>
      <c r="AR629">
        <v>0</v>
      </c>
      <c r="AS629">
        <v>0</v>
      </c>
      <c r="AT629">
        <v>0</v>
      </c>
      <c r="AU629">
        <f t="shared" si="18"/>
        <v>1</v>
      </c>
      <c r="AV629">
        <f t="shared" si="19"/>
        <v>0</v>
      </c>
    </row>
    <row r="630" spans="1:48" x14ac:dyDescent="0.25">
      <c r="A630" t="s">
        <v>3926</v>
      </c>
      <c r="C630" t="s">
        <v>2486</v>
      </c>
      <c r="D630" t="s">
        <v>3927</v>
      </c>
      <c r="E630" t="s">
        <v>2310</v>
      </c>
      <c r="F630">
        <v>10</v>
      </c>
      <c r="G630">
        <v>10.1</v>
      </c>
      <c r="H630" t="s">
        <v>2323</v>
      </c>
      <c r="I630" s="21">
        <v>37790</v>
      </c>
      <c r="J630">
        <v>2003</v>
      </c>
      <c r="K630" s="21">
        <v>37819</v>
      </c>
      <c r="L630">
        <v>2003</v>
      </c>
      <c r="M630" s="21">
        <v>38222</v>
      </c>
      <c r="N630">
        <v>2004</v>
      </c>
      <c r="R630" s="262">
        <v>260000</v>
      </c>
      <c r="S630" t="s">
        <v>114</v>
      </c>
      <c r="T630" t="s">
        <v>114</v>
      </c>
      <c r="U630">
        <v>5</v>
      </c>
      <c r="W630">
        <v>2400</v>
      </c>
      <c r="X630">
        <v>1</v>
      </c>
      <c r="Y630">
        <v>0</v>
      </c>
      <c r="Z630">
        <v>0</v>
      </c>
      <c r="AA630">
        <v>0</v>
      </c>
      <c r="AB630">
        <v>0</v>
      </c>
      <c r="AC630">
        <v>2400</v>
      </c>
      <c r="AD630">
        <v>0</v>
      </c>
      <c r="AE630">
        <v>0</v>
      </c>
      <c r="AF630">
        <v>0</v>
      </c>
      <c r="AG630">
        <v>0</v>
      </c>
      <c r="AH630">
        <v>0</v>
      </c>
      <c r="AI630">
        <v>0</v>
      </c>
      <c r="AJ630">
        <v>0</v>
      </c>
      <c r="AK630">
        <v>0</v>
      </c>
      <c r="AL630">
        <v>0</v>
      </c>
      <c r="AM630">
        <v>0</v>
      </c>
      <c r="AN630">
        <v>0</v>
      </c>
      <c r="AO630">
        <v>1</v>
      </c>
      <c r="AP630">
        <v>0</v>
      </c>
      <c r="AQ630">
        <v>0</v>
      </c>
      <c r="AR630">
        <v>0</v>
      </c>
      <c r="AS630">
        <v>0</v>
      </c>
      <c r="AT630">
        <v>0</v>
      </c>
      <c r="AU630">
        <f t="shared" si="18"/>
        <v>1</v>
      </c>
      <c r="AV630">
        <f t="shared" si="19"/>
        <v>0</v>
      </c>
    </row>
    <row r="631" spans="1:48" x14ac:dyDescent="0.25">
      <c r="A631" t="s">
        <v>3928</v>
      </c>
      <c r="C631" t="s">
        <v>3929</v>
      </c>
      <c r="D631" t="s">
        <v>3930</v>
      </c>
      <c r="E631" t="s">
        <v>2310</v>
      </c>
      <c r="F631">
        <v>9</v>
      </c>
      <c r="G631">
        <v>9.4</v>
      </c>
      <c r="H631" t="s">
        <v>2323</v>
      </c>
      <c r="I631" s="21">
        <v>37790</v>
      </c>
      <c r="J631">
        <v>2003</v>
      </c>
      <c r="K631" s="21">
        <v>37819</v>
      </c>
      <c r="L631">
        <v>2003</v>
      </c>
      <c r="M631" s="21">
        <v>37819</v>
      </c>
      <c r="N631">
        <v>2003</v>
      </c>
      <c r="R631" s="262">
        <v>7000</v>
      </c>
      <c r="S631" t="s">
        <v>114</v>
      </c>
      <c r="T631" t="s">
        <v>114</v>
      </c>
      <c r="U631">
        <v>5</v>
      </c>
      <c r="W631">
        <v>0</v>
      </c>
      <c r="X631">
        <v>0</v>
      </c>
      <c r="Y631">
        <v>0</v>
      </c>
      <c r="Z631">
        <v>0</v>
      </c>
      <c r="AA631">
        <v>0</v>
      </c>
      <c r="AB631">
        <v>0</v>
      </c>
      <c r="AC631">
        <v>0</v>
      </c>
      <c r="AD631">
        <v>0</v>
      </c>
      <c r="AE631">
        <v>0</v>
      </c>
      <c r="AF631">
        <v>0</v>
      </c>
      <c r="AG631">
        <v>0</v>
      </c>
      <c r="AH631">
        <v>0</v>
      </c>
      <c r="AI631">
        <v>0</v>
      </c>
      <c r="AJ631">
        <v>0</v>
      </c>
      <c r="AK631">
        <v>0</v>
      </c>
      <c r="AL631">
        <v>0</v>
      </c>
      <c r="AM631">
        <v>0</v>
      </c>
      <c r="AN631">
        <v>0</v>
      </c>
      <c r="AO631">
        <v>0</v>
      </c>
      <c r="AP631">
        <v>0</v>
      </c>
      <c r="AQ631">
        <v>0</v>
      </c>
      <c r="AR631">
        <v>0</v>
      </c>
      <c r="AS631">
        <v>0</v>
      </c>
      <c r="AT631">
        <v>0</v>
      </c>
      <c r="AU631">
        <f t="shared" si="18"/>
        <v>0</v>
      </c>
      <c r="AV631">
        <f t="shared" si="19"/>
        <v>0</v>
      </c>
    </row>
    <row r="632" spans="1:48" x14ac:dyDescent="0.25">
      <c r="A632" t="s">
        <v>3931</v>
      </c>
      <c r="C632" t="s">
        <v>3932</v>
      </c>
      <c r="D632" t="s">
        <v>3933</v>
      </c>
      <c r="E632" t="s">
        <v>1663</v>
      </c>
      <c r="F632">
        <v>6</v>
      </c>
      <c r="G632">
        <v>6.1</v>
      </c>
      <c r="H632" t="s">
        <v>2017</v>
      </c>
      <c r="I632" s="21">
        <v>37791</v>
      </c>
      <c r="J632">
        <v>2003</v>
      </c>
      <c r="K632" s="21">
        <v>37821</v>
      </c>
      <c r="L632">
        <v>2003</v>
      </c>
      <c r="M632" s="21">
        <v>37974</v>
      </c>
      <c r="N632">
        <v>2003</v>
      </c>
      <c r="Q632" s="262">
        <v>260928</v>
      </c>
      <c r="S632" t="s">
        <v>114</v>
      </c>
      <c r="T632" t="s">
        <v>114</v>
      </c>
      <c r="W632">
        <v>3024</v>
      </c>
      <c r="X632">
        <v>1</v>
      </c>
      <c r="Y632">
        <v>0</v>
      </c>
      <c r="Z632">
        <v>0</v>
      </c>
      <c r="AA632">
        <v>0</v>
      </c>
      <c r="AB632">
        <v>0</v>
      </c>
      <c r="AC632">
        <v>3024</v>
      </c>
      <c r="AD632">
        <v>0</v>
      </c>
      <c r="AE632">
        <v>0</v>
      </c>
      <c r="AF632">
        <v>0</v>
      </c>
      <c r="AG632">
        <v>0</v>
      </c>
      <c r="AH632">
        <v>0</v>
      </c>
      <c r="AI632">
        <v>0</v>
      </c>
      <c r="AJ632">
        <v>0</v>
      </c>
      <c r="AK632">
        <v>0</v>
      </c>
      <c r="AL632">
        <v>0</v>
      </c>
      <c r="AM632">
        <v>0</v>
      </c>
      <c r="AN632">
        <v>0</v>
      </c>
      <c r="AO632">
        <v>1</v>
      </c>
      <c r="AP632">
        <v>0</v>
      </c>
      <c r="AQ632">
        <v>0</v>
      </c>
      <c r="AR632">
        <v>0</v>
      </c>
      <c r="AS632">
        <v>0</v>
      </c>
      <c r="AT632">
        <v>0</v>
      </c>
      <c r="AU632">
        <f t="shared" si="18"/>
        <v>1</v>
      </c>
      <c r="AV632">
        <f t="shared" si="19"/>
        <v>0</v>
      </c>
    </row>
    <row r="633" spans="1:48" x14ac:dyDescent="0.25">
      <c r="A633" t="s">
        <v>3934</v>
      </c>
      <c r="C633" t="s">
        <v>3935</v>
      </c>
      <c r="D633" t="s">
        <v>3936</v>
      </c>
      <c r="E633" t="s">
        <v>2310</v>
      </c>
      <c r="F633">
        <v>9</v>
      </c>
      <c r="G633">
        <v>9.3000000000000007</v>
      </c>
      <c r="H633" t="s">
        <v>2323</v>
      </c>
      <c r="I633" s="21">
        <v>37795</v>
      </c>
      <c r="J633">
        <v>2003</v>
      </c>
      <c r="K633" s="21">
        <v>37818</v>
      </c>
      <c r="L633">
        <v>2003</v>
      </c>
      <c r="M633" s="21">
        <v>37818</v>
      </c>
      <c r="N633">
        <v>2003</v>
      </c>
      <c r="R633" s="262">
        <v>80000</v>
      </c>
      <c r="S633" t="s">
        <v>114</v>
      </c>
      <c r="T633" t="s">
        <v>114</v>
      </c>
      <c r="U633">
        <v>5</v>
      </c>
      <c r="W633">
        <v>1040</v>
      </c>
      <c r="X633">
        <v>0</v>
      </c>
      <c r="Y633">
        <v>0</v>
      </c>
      <c r="Z633">
        <v>0</v>
      </c>
      <c r="AA633">
        <v>0</v>
      </c>
      <c r="AB633">
        <v>0</v>
      </c>
      <c r="AC633">
        <v>1040</v>
      </c>
      <c r="AD633">
        <v>0</v>
      </c>
      <c r="AE633">
        <v>0</v>
      </c>
      <c r="AF633">
        <v>0</v>
      </c>
      <c r="AG633">
        <v>0</v>
      </c>
      <c r="AH633">
        <v>0</v>
      </c>
      <c r="AI633">
        <v>0</v>
      </c>
      <c r="AJ633">
        <v>0</v>
      </c>
      <c r="AK633">
        <v>0</v>
      </c>
      <c r="AL633">
        <v>0</v>
      </c>
      <c r="AM633">
        <v>0</v>
      </c>
      <c r="AN633">
        <v>0</v>
      </c>
      <c r="AO633">
        <v>0</v>
      </c>
      <c r="AP633">
        <v>0</v>
      </c>
      <c r="AQ633">
        <v>0</v>
      </c>
      <c r="AR633">
        <v>0</v>
      </c>
      <c r="AS633">
        <v>0</v>
      </c>
      <c r="AT633">
        <v>0</v>
      </c>
      <c r="AU633">
        <f t="shared" si="18"/>
        <v>0</v>
      </c>
      <c r="AV633">
        <f t="shared" si="19"/>
        <v>0</v>
      </c>
    </row>
    <row r="634" spans="1:48" x14ac:dyDescent="0.25">
      <c r="A634" t="s">
        <v>3937</v>
      </c>
      <c r="C634" t="s">
        <v>2486</v>
      </c>
      <c r="D634" t="s">
        <v>3938</v>
      </c>
      <c r="E634" t="s">
        <v>2310</v>
      </c>
      <c r="F634">
        <v>10</v>
      </c>
      <c r="G634">
        <v>10.1</v>
      </c>
      <c r="H634" t="s">
        <v>2323</v>
      </c>
      <c r="I634" s="21">
        <v>37795</v>
      </c>
      <c r="J634">
        <v>2003</v>
      </c>
      <c r="K634" s="21">
        <v>37820</v>
      </c>
      <c r="L634">
        <v>2003</v>
      </c>
      <c r="M634" s="21">
        <v>37820</v>
      </c>
      <c r="N634">
        <v>2003</v>
      </c>
      <c r="R634" s="262">
        <v>230000</v>
      </c>
      <c r="S634" t="s">
        <v>114</v>
      </c>
      <c r="T634" t="s">
        <v>114</v>
      </c>
      <c r="U634">
        <v>5</v>
      </c>
      <c r="W634">
        <v>2415</v>
      </c>
      <c r="X634">
        <v>1</v>
      </c>
      <c r="Y634">
        <v>0</v>
      </c>
      <c r="Z634">
        <v>0</v>
      </c>
      <c r="AA634">
        <v>0</v>
      </c>
      <c r="AB634">
        <v>0</v>
      </c>
      <c r="AC634">
        <v>2415</v>
      </c>
      <c r="AD634">
        <v>0</v>
      </c>
      <c r="AE634">
        <v>0</v>
      </c>
      <c r="AF634">
        <v>0</v>
      </c>
      <c r="AG634">
        <v>0</v>
      </c>
      <c r="AH634">
        <v>0</v>
      </c>
      <c r="AI634">
        <v>0</v>
      </c>
      <c r="AJ634">
        <v>0</v>
      </c>
      <c r="AK634">
        <v>0</v>
      </c>
      <c r="AL634">
        <v>0</v>
      </c>
      <c r="AM634">
        <v>0</v>
      </c>
      <c r="AN634">
        <v>0</v>
      </c>
      <c r="AO634">
        <v>1</v>
      </c>
      <c r="AP634">
        <v>0</v>
      </c>
      <c r="AQ634">
        <v>0</v>
      </c>
      <c r="AR634">
        <v>0</v>
      </c>
      <c r="AS634">
        <v>0</v>
      </c>
      <c r="AT634">
        <v>0</v>
      </c>
      <c r="AU634">
        <f t="shared" si="18"/>
        <v>1</v>
      </c>
      <c r="AV634">
        <f t="shared" si="19"/>
        <v>0</v>
      </c>
    </row>
    <row r="635" spans="1:48" x14ac:dyDescent="0.25">
      <c r="A635" t="s">
        <v>3939</v>
      </c>
      <c r="C635" t="s">
        <v>3940</v>
      </c>
      <c r="D635" t="s">
        <v>3106</v>
      </c>
      <c r="E635" t="s">
        <v>2310</v>
      </c>
      <c r="F635">
        <v>15</v>
      </c>
      <c r="G635">
        <v>15.2</v>
      </c>
      <c r="H635" t="s">
        <v>2323</v>
      </c>
      <c r="I635" s="21">
        <v>37795</v>
      </c>
      <c r="J635">
        <v>2003</v>
      </c>
      <c r="K635" s="21">
        <v>37820</v>
      </c>
      <c r="L635">
        <v>2003</v>
      </c>
      <c r="M635" s="21">
        <v>38426</v>
      </c>
      <c r="N635">
        <v>2005</v>
      </c>
      <c r="R635" s="262">
        <v>27000</v>
      </c>
      <c r="S635" t="s">
        <v>114</v>
      </c>
      <c r="T635" t="s">
        <v>114</v>
      </c>
      <c r="U635">
        <v>5</v>
      </c>
      <c r="W635">
        <v>696</v>
      </c>
      <c r="X635">
        <v>0</v>
      </c>
      <c r="Y635">
        <v>0</v>
      </c>
      <c r="Z635">
        <v>0</v>
      </c>
      <c r="AA635">
        <v>0</v>
      </c>
      <c r="AB635">
        <v>0</v>
      </c>
      <c r="AC635">
        <v>696</v>
      </c>
      <c r="AD635">
        <v>0</v>
      </c>
      <c r="AE635">
        <v>0</v>
      </c>
      <c r="AF635">
        <v>0</v>
      </c>
      <c r="AG635">
        <v>0</v>
      </c>
      <c r="AH635">
        <v>0</v>
      </c>
      <c r="AI635">
        <v>0</v>
      </c>
      <c r="AJ635">
        <v>0</v>
      </c>
      <c r="AK635">
        <v>0</v>
      </c>
      <c r="AL635">
        <v>0</v>
      </c>
      <c r="AM635">
        <v>0</v>
      </c>
      <c r="AN635">
        <v>0</v>
      </c>
      <c r="AO635">
        <v>0</v>
      </c>
      <c r="AP635">
        <v>0</v>
      </c>
      <c r="AQ635">
        <v>0</v>
      </c>
      <c r="AR635">
        <v>0</v>
      </c>
      <c r="AS635">
        <v>0</v>
      </c>
      <c r="AT635">
        <v>0</v>
      </c>
      <c r="AU635">
        <f t="shared" si="18"/>
        <v>0</v>
      </c>
      <c r="AV635">
        <f t="shared" si="19"/>
        <v>0</v>
      </c>
    </row>
    <row r="636" spans="1:48" x14ac:dyDescent="0.25">
      <c r="A636" t="s">
        <v>3941</v>
      </c>
      <c r="C636" t="s">
        <v>3942</v>
      </c>
      <c r="D636" t="s">
        <v>3943</v>
      </c>
      <c r="E636" t="s">
        <v>2310</v>
      </c>
      <c r="F636">
        <v>9</v>
      </c>
      <c r="G636">
        <v>9.3000000000000007</v>
      </c>
      <c r="H636" t="s">
        <v>2323</v>
      </c>
      <c r="I636" s="21">
        <v>37795</v>
      </c>
      <c r="J636">
        <v>2003</v>
      </c>
      <c r="K636" s="21">
        <v>37817</v>
      </c>
      <c r="L636">
        <v>2003</v>
      </c>
      <c r="M636" s="21">
        <v>39526</v>
      </c>
      <c r="N636">
        <v>2008</v>
      </c>
      <c r="R636" s="262">
        <v>69000</v>
      </c>
      <c r="S636" t="s">
        <v>114</v>
      </c>
      <c r="T636" t="s">
        <v>114</v>
      </c>
      <c r="U636">
        <v>15</v>
      </c>
      <c r="W636">
        <v>384</v>
      </c>
      <c r="X636">
        <v>0</v>
      </c>
      <c r="Y636">
        <v>0</v>
      </c>
      <c r="Z636">
        <v>0</v>
      </c>
      <c r="AA636">
        <v>0</v>
      </c>
      <c r="AB636">
        <v>0</v>
      </c>
      <c r="AC636">
        <v>0</v>
      </c>
      <c r="AD636">
        <v>0</v>
      </c>
      <c r="AE636">
        <v>0</v>
      </c>
      <c r="AF636">
        <v>0</v>
      </c>
      <c r="AG636">
        <v>0</v>
      </c>
      <c r="AH636">
        <v>0</v>
      </c>
      <c r="AI636">
        <v>0</v>
      </c>
      <c r="AJ636">
        <v>0</v>
      </c>
      <c r="AK636">
        <v>0</v>
      </c>
      <c r="AL636">
        <v>0</v>
      </c>
      <c r="AM636">
        <v>384</v>
      </c>
      <c r="AN636">
        <v>0</v>
      </c>
      <c r="AO636">
        <v>0</v>
      </c>
      <c r="AP636">
        <v>0</v>
      </c>
      <c r="AQ636">
        <v>0</v>
      </c>
      <c r="AR636">
        <v>0</v>
      </c>
      <c r="AS636">
        <v>0</v>
      </c>
      <c r="AT636">
        <v>0</v>
      </c>
      <c r="AU636">
        <f t="shared" si="18"/>
        <v>0</v>
      </c>
      <c r="AV636">
        <f t="shared" si="19"/>
        <v>384</v>
      </c>
    </row>
    <row r="637" spans="1:48" x14ac:dyDescent="0.25">
      <c r="A637" t="s">
        <v>3944</v>
      </c>
      <c r="C637" t="s">
        <v>2437</v>
      </c>
      <c r="D637" t="s">
        <v>3945</v>
      </c>
      <c r="E637" t="s">
        <v>2310</v>
      </c>
      <c r="F637">
        <v>9</v>
      </c>
      <c r="G637">
        <v>9.3000000000000007</v>
      </c>
      <c r="H637" t="s">
        <v>2323</v>
      </c>
      <c r="I637" s="21">
        <v>37796</v>
      </c>
      <c r="J637">
        <v>2003</v>
      </c>
      <c r="K637" s="21">
        <v>37823</v>
      </c>
      <c r="L637">
        <v>2003</v>
      </c>
      <c r="M637" s="21">
        <v>37823</v>
      </c>
      <c r="N637">
        <v>2003</v>
      </c>
      <c r="R637" s="262">
        <v>40000</v>
      </c>
      <c r="S637" t="s">
        <v>114</v>
      </c>
      <c r="T637" t="s">
        <v>114</v>
      </c>
      <c r="U637">
        <v>5</v>
      </c>
      <c r="W637">
        <v>1872</v>
      </c>
      <c r="X637">
        <v>0</v>
      </c>
      <c r="Y637">
        <v>0</v>
      </c>
      <c r="Z637">
        <v>0</v>
      </c>
      <c r="AA637">
        <v>0</v>
      </c>
      <c r="AB637">
        <v>0</v>
      </c>
      <c r="AC637">
        <v>1872</v>
      </c>
      <c r="AD637">
        <v>0</v>
      </c>
      <c r="AE637">
        <v>0</v>
      </c>
      <c r="AF637">
        <v>0</v>
      </c>
      <c r="AG637">
        <v>0</v>
      </c>
      <c r="AH637">
        <v>0</v>
      </c>
      <c r="AI637">
        <v>0</v>
      </c>
      <c r="AJ637">
        <v>0</v>
      </c>
      <c r="AK637">
        <v>0</v>
      </c>
      <c r="AL637">
        <v>0</v>
      </c>
      <c r="AM637">
        <v>0</v>
      </c>
      <c r="AN637">
        <v>0</v>
      </c>
      <c r="AO637">
        <v>0</v>
      </c>
      <c r="AP637">
        <v>0</v>
      </c>
      <c r="AQ637">
        <v>0</v>
      </c>
      <c r="AR637">
        <v>0</v>
      </c>
      <c r="AS637">
        <v>0</v>
      </c>
      <c r="AT637">
        <v>0</v>
      </c>
      <c r="AU637">
        <f t="shared" si="18"/>
        <v>0</v>
      </c>
      <c r="AV637">
        <f t="shared" si="19"/>
        <v>0</v>
      </c>
    </row>
    <row r="638" spans="1:48" x14ac:dyDescent="0.25">
      <c r="A638" t="s">
        <v>3946</v>
      </c>
      <c r="C638" t="s">
        <v>3947</v>
      </c>
      <c r="D638" t="s">
        <v>3948</v>
      </c>
      <c r="E638" t="s">
        <v>2310</v>
      </c>
      <c r="F638">
        <v>9</v>
      </c>
      <c r="G638">
        <v>9.3000000000000007</v>
      </c>
      <c r="H638" t="s">
        <v>2323</v>
      </c>
      <c r="I638" s="21">
        <v>37796</v>
      </c>
      <c r="J638">
        <v>2003</v>
      </c>
      <c r="K638" s="21">
        <v>37823</v>
      </c>
      <c r="L638">
        <v>2003</v>
      </c>
      <c r="M638" s="21">
        <v>38394</v>
      </c>
      <c r="N638">
        <v>2005</v>
      </c>
      <c r="R638" s="262">
        <v>23000</v>
      </c>
      <c r="S638" t="s">
        <v>114</v>
      </c>
      <c r="T638" t="s">
        <v>114</v>
      </c>
      <c r="U638">
        <v>5</v>
      </c>
      <c r="W638">
        <v>100</v>
      </c>
      <c r="X638">
        <v>0</v>
      </c>
      <c r="Y638">
        <v>0</v>
      </c>
      <c r="Z638">
        <v>0</v>
      </c>
      <c r="AA638">
        <v>0</v>
      </c>
      <c r="AB638">
        <v>0</v>
      </c>
      <c r="AC638">
        <v>100</v>
      </c>
      <c r="AD638">
        <v>0</v>
      </c>
      <c r="AE638">
        <v>0</v>
      </c>
      <c r="AF638">
        <v>0</v>
      </c>
      <c r="AG638">
        <v>0</v>
      </c>
      <c r="AH638">
        <v>0</v>
      </c>
      <c r="AI638">
        <v>0</v>
      </c>
      <c r="AJ638">
        <v>0</v>
      </c>
      <c r="AK638">
        <v>0</v>
      </c>
      <c r="AL638">
        <v>0</v>
      </c>
      <c r="AM638">
        <v>0</v>
      </c>
      <c r="AN638">
        <v>0</v>
      </c>
      <c r="AO638">
        <v>0</v>
      </c>
      <c r="AP638">
        <v>0</v>
      </c>
      <c r="AQ638">
        <v>0</v>
      </c>
      <c r="AR638">
        <v>0</v>
      </c>
      <c r="AS638">
        <v>0</v>
      </c>
      <c r="AT638">
        <v>0</v>
      </c>
      <c r="AU638">
        <f t="shared" si="18"/>
        <v>0</v>
      </c>
      <c r="AV638">
        <f t="shared" si="19"/>
        <v>0</v>
      </c>
    </row>
    <row r="639" spans="1:48" x14ac:dyDescent="0.25">
      <c r="A639" t="s">
        <v>3949</v>
      </c>
      <c r="C639" t="s">
        <v>3950</v>
      </c>
      <c r="D639" t="s">
        <v>3948</v>
      </c>
      <c r="E639" t="s">
        <v>2310</v>
      </c>
      <c r="F639">
        <v>9</v>
      </c>
      <c r="G639">
        <v>9.3000000000000007</v>
      </c>
      <c r="H639" t="s">
        <v>2323</v>
      </c>
      <c r="I639" s="21">
        <v>37796</v>
      </c>
      <c r="J639">
        <v>2003</v>
      </c>
      <c r="K639" s="21">
        <v>37823</v>
      </c>
      <c r="L639">
        <v>2003</v>
      </c>
      <c r="M639" s="21">
        <v>38028</v>
      </c>
      <c r="N639">
        <v>2004</v>
      </c>
      <c r="R639" s="262">
        <v>12000</v>
      </c>
      <c r="S639" t="s">
        <v>114</v>
      </c>
      <c r="T639" t="s">
        <v>114</v>
      </c>
      <c r="U639">
        <v>5</v>
      </c>
      <c r="W639">
        <v>476</v>
      </c>
      <c r="X639">
        <v>0</v>
      </c>
      <c r="Y639">
        <v>0</v>
      </c>
      <c r="Z639">
        <v>0</v>
      </c>
      <c r="AA639">
        <v>0</v>
      </c>
      <c r="AB639">
        <v>0</v>
      </c>
      <c r="AC639">
        <v>476</v>
      </c>
      <c r="AD639">
        <v>0</v>
      </c>
      <c r="AE639">
        <v>0</v>
      </c>
      <c r="AF639">
        <v>0</v>
      </c>
      <c r="AG639">
        <v>0</v>
      </c>
      <c r="AH639">
        <v>0</v>
      </c>
      <c r="AI639">
        <v>0</v>
      </c>
      <c r="AJ639">
        <v>0</v>
      </c>
      <c r="AK639">
        <v>0</v>
      </c>
      <c r="AL639">
        <v>0</v>
      </c>
      <c r="AM639">
        <v>0</v>
      </c>
      <c r="AN639">
        <v>0</v>
      </c>
      <c r="AO639">
        <v>0</v>
      </c>
      <c r="AP639">
        <v>0</v>
      </c>
      <c r="AQ639">
        <v>0</v>
      </c>
      <c r="AR639">
        <v>0</v>
      </c>
      <c r="AS639">
        <v>0</v>
      </c>
      <c r="AT639">
        <v>0</v>
      </c>
      <c r="AU639">
        <f t="shared" si="18"/>
        <v>0</v>
      </c>
      <c r="AV639">
        <f t="shared" si="19"/>
        <v>0</v>
      </c>
    </row>
    <row r="640" spans="1:48" x14ac:dyDescent="0.25">
      <c r="A640" t="s">
        <v>3951</v>
      </c>
      <c r="C640" t="s">
        <v>3952</v>
      </c>
      <c r="D640" t="s">
        <v>3953</v>
      </c>
      <c r="E640" t="s">
        <v>1663</v>
      </c>
      <c r="F640">
        <v>6</v>
      </c>
      <c r="G640">
        <v>6.1</v>
      </c>
      <c r="H640" t="s">
        <v>2017</v>
      </c>
      <c r="I640" s="21">
        <v>37797</v>
      </c>
      <c r="J640">
        <v>2003</v>
      </c>
      <c r="K640" s="21">
        <v>37827</v>
      </c>
      <c r="L640">
        <v>2003</v>
      </c>
      <c r="M640" s="21">
        <v>37980</v>
      </c>
      <c r="N640">
        <v>2003</v>
      </c>
      <c r="Q640" s="262">
        <v>136448</v>
      </c>
      <c r="S640" t="s">
        <v>114</v>
      </c>
      <c r="T640" t="s">
        <v>114</v>
      </c>
      <c r="W640">
        <v>1664</v>
      </c>
      <c r="X640">
        <v>0</v>
      </c>
      <c r="Y640">
        <v>0</v>
      </c>
      <c r="Z640">
        <v>0</v>
      </c>
      <c r="AA640">
        <v>0</v>
      </c>
      <c r="AB640">
        <v>0</v>
      </c>
      <c r="AC640">
        <v>1664</v>
      </c>
      <c r="AD640">
        <v>0</v>
      </c>
      <c r="AE640">
        <v>0</v>
      </c>
      <c r="AF640">
        <v>0</v>
      </c>
      <c r="AG640">
        <v>0</v>
      </c>
      <c r="AH640">
        <v>0</v>
      </c>
      <c r="AI640">
        <v>0</v>
      </c>
      <c r="AJ640">
        <v>0</v>
      </c>
      <c r="AK640">
        <v>0</v>
      </c>
      <c r="AL640">
        <v>0</v>
      </c>
      <c r="AM640">
        <v>0</v>
      </c>
      <c r="AN640">
        <v>0</v>
      </c>
      <c r="AO640">
        <v>0</v>
      </c>
      <c r="AP640">
        <v>0</v>
      </c>
      <c r="AQ640">
        <v>0</v>
      </c>
      <c r="AR640">
        <v>0</v>
      </c>
      <c r="AS640">
        <v>0</v>
      </c>
      <c r="AT640">
        <v>0</v>
      </c>
      <c r="AU640">
        <f t="shared" si="18"/>
        <v>0</v>
      </c>
      <c r="AV640">
        <f t="shared" si="19"/>
        <v>0</v>
      </c>
    </row>
    <row r="641" spans="1:48" x14ac:dyDescent="0.25">
      <c r="A641" t="s">
        <v>3954</v>
      </c>
      <c r="C641" t="s">
        <v>3955</v>
      </c>
      <c r="D641" t="s">
        <v>1847</v>
      </c>
      <c r="E641" t="s">
        <v>2310</v>
      </c>
      <c r="F641">
        <v>8</v>
      </c>
      <c r="G641">
        <v>8.1999999999999993</v>
      </c>
      <c r="H641" t="s">
        <v>2022</v>
      </c>
      <c r="I641" s="21">
        <v>37797</v>
      </c>
      <c r="J641">
        <v>2003</v>
      </c>
      <c r="K641" s="21">
        <v>37833</v>
      </c>
      <c r="L641">
        <v>2003</v>
      </c>
      <c r="M641" s="21">
        <v>37833</v>
      </c>
      <c r="N641">
        <v>2003</v>
      </c>
      <c r="R641" s="262">
        <v>25000</v>
      </c>
      <c r="S641" t="s">
        <v>114</v>
      </c>
      <c r="T641" t="s">
        <v>114</v>
      </c>
      <c r="U641">
        <v>5</v>
      </c>
      <c r="W641">
        <v>0</v>
      </c>
      <c r="X641">
        <v>0</v>
      </c>
      <c r="Y641">
        <v>0</v>
      </c>
      <c r="Z641">
        <v>0</v>
      </c>
      <c r="AA641">
        <v>0</v>
      </c>
      <c r="AB641">
        <v>0</v>
      </c>
      <c r="AC641">
        <v>0</v>
      </c>
      <c r="AD641">
        <v>0</v>
      </c>
      <c r="AE641">
        <v>0</v>
      </c>
      <c r="AF641">
        <v>0</v>
      </c>
      <c r="AG641">
        <v>0</v>
      </c>
      <c r="AH641">
        <v>0</v>
      </c>
      <c r="AI641">
        <v>0</v>
      </c>
      <c r="AJ641">
        <v>0</v>
      </c>
      <c r="AK641">
        <v>0</v>
      </c>
      <c r="AL641">
        <v>0</v>
      </c>
      <c r="AM641">
        <v>0</v>
      </c>
      <c r="AN641">
        <v>0</v>
      </c>
      <c r="AO641">
        <v>0</v>
      </c>
      <c r="AP641">
        <v>0</v>
      </c>
      <c r="AQ641">
        <v>0</v>
      </c>
      <c r="AR641">
        <v>0</v>
      </c>
      <c r="AS641">
        <v>0</v>
      </c>
      <c r="AT641">
        <v>0</v>
      </c>
      <c r="AU641">
        <f t="shared" si="18"/>
        <v>0</v>
      </c>
      <c r="AV641">
        <f t="shared" si="19"/>
        <v>0</v>
      </c>
    </row>
    <row r="642" spans="1:48" x14ac:dyDescent="0.25">
      <c r="A642" t="s">
        <v>3956</v>
      </c>
      <c r="C642" t="s">
        <v>3957</v>
      </c>
      <c r="D642" t="s">
        <v>3958</v>
      </c>
      <c r="E642" t="s">
        <v>1663</v>
      </c>
      <c r="F642">
        <v>5</v>
      </c>
      <c r="G642">
        <v>5.5</v>
      </c>
      <c r="H642" t="s">
        <v>2017</v>
      </c>
      <c r="I642" s="21">
        <v>37798</v>
      </c>
      <c r="J642">
        <v>2003</v>
      </c>
      <c r="K642" s="21">
        <v>37828</v>
      </c>
      <c r="L642">
        <v>2003</v>
      </c>
      <c r="M642" s="21">
        <v>37981</v>
      </c>
      <c r="N642">
        <v>2003</v>
      </c>
      <c r="Q642" s="262">
        <v>700000</v>
      </c>
      <c r="S642" t="s">
        <v>114</v>
      </c>
      <c r="T642" t="s">
        <v>114</v>
      </c>
      <c r="W642">
        <v>14000</v>
      </c>
      <c r="X642">
        <v>14</v>
      </c>
      <c r="Y642">
        <v>0</v>
      </c>
      <c r="Z642">
        <v>0</v>
      </c>
      <c r="AA642">
        <v>0</v>
      </c>
      <c r="AB642">
        <v>0</v>
      </c>
      <c r="AC642">
        <v>0</v>
      </c>
      <c r="AD642">
        <v>0</v>
      </c>
      <c r="AE642">
        <v>14000</v>
      </c>
      <c r="AF642">
        <v>0</v>
      </c>
      <c r="AG642">
        <v>0</v>
      </c>
      <c r="AH642">
        <v>0</v>
      </c>
      <c r="AI642">
        <v>0</v>
      </c>
      <c r="AJ642">
        <v>0</v>
      </c>
      <c r="AK642">
        <v>0</v>
      </c>
      <c r="AL642">
        <v>0</v>
      </c>
      <c r="AM642">
        <v>0</v>
      </c>
      <c r="AN642">
        <v>0</v>
      </c>
      <c r="AO642">
        <v>0</v>
      </c>
      <c r="AP642">
        <v>0</v>
      </c>
      <c r="AQ642">
        <v>14</v>
      </c>
      <c r="AR642">
        <v>0</v>
      </c>
      <c r="AS642">
        <v>0</v>
      </c>
      <c r="AT642">
        <v>0</v>
      </c>
      <c r="AU642">
        <f t="shared" si="18"/>
        <v>14</v>
      </c>
      <c r="AV642">
        <f t="shared" si="19"/>
        <v>0</v>
      </c>
    </row>
    <row r="643" spans="1:48" x14ac:dyDescent="0.25">
      <c r="A643" t="s">
        <v>3959</v>
      </c>
      <c r="C643" t="s">
        <v>3960</v>
      </c>
      <c r="D643" t="s">
        <v>3958</v>
      </c>
      <c r="E643" t="s">
        <v>1663</v>
      </c>
      <c r="F643">
        <v>5</v>
      </c>
      <c r="G643">
        <v>5.5</v>
      </c>
      <c r="H643" t="s">
        <v>2017</v>
      </c>
      <c r="I643" s="21">
        <v>37798</v>
      </c>
      <c r="J643">
        <v>2003</v>
      </c>
      <c r="K643" s="21">
        <v>37828</v>
      </c>
      <c r="L643">
        <v>2003</v>
      </c>
      <c r="M643" s="21">
        <v>37981</v>
      </c>
      <c r="N643">
        <v>2003</v>
      </c>
      <c r="Q643" s="262">
        <v>400000</v>
      </c>
      <c r="S643" t="s">
        <v>114</v>
      </c>
      <c r="T643" t="s">
        <v>114</v>
      </c>
      <c r="W643">
        <v>8000</v>
      </c>
      <c r="X643">
        <v>8</v>
      </c>
      <c r="Y643">
        <v>0</v>
      </c>
      <c r="Z643">
        <v>0</v>
      </c>
      <c r="AA643">
        <v>0</v>
      </c>
      <c r="AB643">
        <v>0</v>
      </c>
      <c r="AC643">
        <v>0</v>
      </c>
      <c r="AD643">
        <v>0</v>
      </c>
      <c r="AE643">
        <v>8000</v>
      </c>
      <c r="AF643">
        <v>0</v>
      </c>
      <c r="AG643">
        <v>0</v>
      </c>
      <c r="AH643">
        <v>0</v>
      </c>
      <c r="AI643">
        <v>0</v>
      </c>
      <c r="AJ643">
        <v>0</v>
      </c>
      <c r="AK643">
        <v>0</v>
      </c>
      <c r="AL643">
        <v>0</v>
      </c>
      <c r="AM643">
        <v>0</v>
      </c>
      <c r="AN643">
        <v>0</v>
      </c>
      <c r="AO643">
        <v>0</v>
      </c>
      <c r="AP643">
        <v>0</v>
      </c>
      <c r="AQ643">
        <v>8</v>
      </c>
      <c r="AR643">
        <v>0</v>
      </c>
      <c r="AS643">
        <v>0</v>
      </c>
      <c r="AT643">
        <v>0</v>
      </c>
      <c r="AU643">
        <f t="shared" si="18"/>
        <v>8</v>
      </c>
      <c r="AV643">
        <f t="shared" si="19"/>
        <v>0</v>
      </c>
    </row>
    <row r="644" spans="1:48" x14ac:dyDescent="0.25">
      <c r="A644" t="s">
        <v>3961</v>
      </c>
      <c r="C644" t="s">
        <v>3962</v>
      </c>
      <c r="D644" t="s">
        <v>3958</v>
      </c>
      <c r="E644" t="s">
        <v>1663</v>
      </c>
      <c r="F644">
        <v>5</v>
      </c>
      <c r="G644">
        <v>5.5</v>
      </c>
      <c r="H644" t="s">
        <v>2017</v>
      </c>
      <c r="I644" s="21">
        <v>37798</v>
      </c>
      <c r="J644">
        <v>2003</v>
      </c>
      <c r="K644" s="21">
        <v>37828</v>
      </c>
      <c r="L644">
        <v>2003</v>
      </c>
      <c r="M644" s="21">
        <v>37981</v>
      </c>
      <c r="N644">
        <v>2003</v>
      </c>
      <c r="Q644" s="262">
        <v>750000</v>
      </c>
      <c r="S644" t="s">
        <v>114</v>
      </c>
      <c r="T644" t="s">
        <v>114</v>
      </c>
      <c r="W644">
        <v>15000</v>
      </c>
      <c r="X644">
        <v>15</v>
      </c>
      <c r="Y644">
        <v>0</v>
      </c>
      <c r="Z644">
        <v>0</v>
      </c>
      <c r="AA644">
        <v>0</v>
      </c>
      <c r="AB644">
        <v>0</v>
      </c>
      <c r="AC644">
        <v>0</v>
      </c>
      <c r="AD644">
        <v>0</v>
      </c>
      <c r="AE644">
        <v>15000</v>
      </c>
      <c r="AF644">
        <v>0</v>
      </c>
      <c r="AG644">
        <v>0</v>
      </c>
      <c r="AH644">
        <v>0</v>
      </c>
      <c r="AI644">
        <v>0</v>
      </c>
      <c r="AJ644">
        <v>0</v>
      </c>
      <c r="AK644">
        <v>0</v>
      </c>
      <c r="AL644">
        <v>0</v>
      </c>
      <c r="AM644">
        <v>0</v>
      </c>
      <c r="AN644">
        <v>0</v>
      </c>
      <c r="AO644">
        <v>0</v>
      </c>
      <c r="AP644">
        <v>0</v>
      </c>
      <c r="AQ644">
        <v>15</v>
      </c>
      <c r="AR644">
        <v>0</v>
      </c>
      <c r="AS644">
        <v>0</v>
      </c>
      <c r="AT644">
        <v>0</v>
      </c>
      <c r="AU644">
        <f t="shared" si="18"/>
        <v>15</v>
      </c>
      <c r="AV644">
        <f t="shared" si="19"/>
        <v>0</v>
      </c>
    </row>
    <row r="645" spans="1:48" x14ac:dyDescent="0.25">
      <c r="A645" t="s">
        <v>3963</v>
      </c>
      <c r="C645" t="s">
        <v>3964</v>
      </c>
      <c r="D645" t="s">
        <v>3958</v>
      </c>
      <c r="E645" t="s">
        <v>1663</v>
      </c>
      <c r="F645">
        <v>5</v>
      </c>
      <c r="G645">
        <v>5.5</v>
      </c>
      <c r="H645" t="s">
        <v>2017</v>
      </c>
      <c r="I645" s="21">
        <v>37798</v>
      </c>
      <c r="J645">
        <v>2003</v>
      </c>
      <c r="K645" s="21">
        <v>37828</v>
      </c>
      <c r="L645">
        <v>2003</v>
      </c>
      <c r="M645" s="21">
        <v>37981</v>
      </c>
      <c r="N645">
        <v>2003</v>
      </c>
      <c r="Q645" s="262">
        <v>700000</v>
      </c>
      <c r="S645" t="s">
        <v>114</v>
      </c>
      <c r="T645" t="s">
        <v>114</v>
      </c>
      <c r="W645">
        <v>14000</v>
      </c>
      <c r="X645">
        <v>14</v>
      </c>
      <c r="Y645">
        <v>0</v>
      </c>
      <c r="Z645">
        <v>0</v>
      </c>
      <c r="AA645">
        <v>0</v>
      </c>
      <c r="AB645">
        <v>0</v>
      </c>
      <c r="AC645">
        <v>0</v>
      </c>
      <c r="AD645">
        <v>0</v>
      </c>
      <c r="AE645">
        <v>14000</v>
      </c>
      <c r="AF645">
        <v>0</v>
      </c>
      <c r="AG645">
        <v>0</v>
      </c>
      <c r="AH645">
        <v>0</v>
      </c>
      <c r="AI645">
        <v>0</v>
      </c>
      <c r="AJ645">
        <v>0</v>
      </c>
      <c r="AK645">
        <v>0</v>
      </c>
      <c r="AL645">
        <v>0</v>
      </c>
      <c r="AM645">
        <v>0</v>
      </c>
      <c r="AN645">
        <v>0</v>
      </c>
      <c r="AO645">
        <v>0</v>
      </c>
      <c r="AP645">
        <v>0</v>
      </c>
      <c r="AQ645">
        <v>14</v>
      </c>
      <c r="AR645">
        <v>0</v>
      </c>
      <c r="AS645">
        <v>0</v>
      </c>
      <c r="AT645">
        <v>0</v>
      </c>
      <c r="AU645">
        <f t="shared" si="18"/>
        <v>14</v>
      </c>
      <c r="AV645">
        <f t="shared" si="19"/>
        <v>0</v>
      </c>
    </row>
    <row r="646" spans="1:48" x14ac:dyDescent="0.25">
      <c r="A646" t="s">
        <v>3965</v>
      </c>
      <c r="C646" t="s">
        <v>3966</v>
      </c>
      <c r="D646" t="s">
        <v>3967</v>
      </c>
      <c r="E646" t="s">
        <v>2310</v>
      </c>
      <c r="F646">
        <v>8</v>
      </c>
      <c r="G646">
        <v>8.1999999999999993</v>
      </c>
      <c r="H646" t="s">
        <v>2022</v>
      </c>
      <c r="I646" s="21">
        <v>37799</v>
      </c>
      <c r="J646">
        <v>2003</v>
      </c>
      <c r="K646" s="21">
        <v>37875</v>
      </c>
      <c r="L646">
        <v>2003</v>
      </c>
      <c r="M646" s="21">
        <v>38930</v>
      </c>
      <c r="N646">
        <v>2006</v>
      </c>
      <c r="R646" s="262">
        <v>682000</v>
      </c>
      <c r="S646" t="s">
        <v>114</v>
      </c>
      <c r="T646" t="s">
        <v>114</v>
      </c>
      <c r="U646">
        <v>5</v>
      </c>
      <c r="W646">
        <v>1169</v>
      </c>
      <c r="X646">
        <v>1</v>
      </c>
      <c r="Y646">
        <v>0</v>
      </c>
      <c r="Z646">
        <v>0</v>
      </c>
      <c r="AA646">
        <v>0</v>
      </c>
      <c r="AB646">
        <v>0</v>
      </c>
      <c r="AC646">
        <v>1169</v>
      </c>
      <c r="AD646">
        <v>0</v>
      </c>
      <c r="AE646">
        <v>0</v>
      </c>
      <c r="AF646">
        <v>0</v>
      </c>
      <c r="AG646">
        <v>0</v>
      </c>
      <c r="AH646">
        <v>0</v>
      </c>
      <c r="AI646">
        <v>0</v>
      </c>
      <c r="AJ646">
        <v>0</v>
      </c>
      <c r="AK646">
        <v>0</v>
      </c>
      <c r="AL646">
        <v>0</v>
      </c>
      <c r="AM646">
        <v>0</v>
      </c>
      <c r="AN646">
        <v>0</v>
      </c>
      <c r="AO646">
        <v>1</v>
      </c>
      <c r="AP646">
        <v>0</v>
      </c>
      <c r="AQ646">
        <v>0</v>
      </c>
      <c r="AR646">
        <v>0</v>
      </c>
      <c r="AS646">
        <v>0</v>
      </c>
      <c r="AT646">
        <v>0</v>
      </c>
      <c r="AU646">
        <f t="shared" si="18"/>
        <v>1</v>
      </c>
      <c r="AV646">
        <f t="shared" si="19"/>
        <v>0</v>
      </c>
    </row>
    <row r="647" spans="1:48" x14ac:dyDescent="0.25">
      <c r="A647" t="s">
        <v>3968</v>
      </c>
      <c r="C647" t="s">
        <v>3969</v>
      </c>
      <c r="D647" t="s">
        <v>3967</v>
      </c>
      <c r="E647" t="s">
        <v>2310</v>
      </c>
      <c r="F647">
        <v>8</v>
      </c>
      <c r="G647">
        <v>8.1999999999999993</v>
      </c>
      <c r="H647" t="s">
        <v>2022</v>
      </c>
      <c r="I647" s="21">
        <v>37799</v>
      </c>
      <c r="J647">
        <v>2003</v>
      </c>
      <c r="K647" s="21">
        <v>37875</v>
      </c>
      <c r="L647">
        <v>2003</v>
      </c>
      <c r="M647" s="21">
        <v>38930</v>
      </c>
      <c r="N647">
        <v>2006</v>
      </c>
      <c r="R647" s="262">
        <v>125000</v>
      </c>
      <c r="S647" t="s">
        <v>114</v>
      </c>
      <c r="T647" t="s">
        <v>114</v>
      </c>
      <c r="U647">
        <v>5</v>
      </c>
      <c r="W647">
        <v>663</v>
      </c>
      <c r="X647">
        <v>0</v>
      </c>
      <c r="Y647">
        <v>0</v>
      </c>
      <c r="Z647">
        <v>0</v>
      </c>
      <c r="AA647">
        <v>0</v>
      </c>
      <c r="AB647">
        <v>0</v>
      </c>
      <c r="AC647">
        <v>663</v>
      </c>
      <c r="AD647">
        <v>0</v>
      </c>
      <c r="AE647">
        <v>0</v>
      </c>
      <c r="AF647">
        <v>0</v>
      </c>
      <c r="AG647">
        <v>0</v>
      </c>
      <c r="AH647">
        <v>0</v>
      </c>
      <c r="AI647">
        <v>0</v>
      </c>
      <c r="AJ647">
        <v>0</v>
      </c>
      <c r="AK647">
        <v>0</v>
      </c>
      <c r="AL647">
        <v>0</v>
      </c>
      <c r="AM647">
        <v>0</v>
      </c>
      <c r="AN647">
        <v>0</v>
      </c>
      <c r="AO647">
        <v>0</v>
      </c>
      <c r="AP647">
        <v>0</v>
      </c>
      <c r="AQ647">
        <v>0</v>
      </c>
      <c r="AR647">
        <v>0</v>
      </c>
      <c r="AS647">
        <v>0</v>
      </c>
      <c r="AT647">
        <v>0</v>
      </c>
      <c r="AU647">
        <f t="shared" si="18"/>
        <v>0</v>
      </c>
      <c r="AV647">
        <f t="shared" si="19"/>
        <v>0</v>
      </c>
    </row>
    <row r="648" spans="1:48" x14ac:dyDescent="0.25">
      <c r="A648" t="s">
        <v>3970</v>
      </c>
      <c r="C648" t="s">
        <v>3971</v>
      </c>
      <c r="D648" t="s">
        <v>3972</v>
      </c>
      <c r="E648" t="s">
        <v>2310</v>
      </c>
      <c r="F648">
        <v>10</v>
      </c>
      <c r="G648">
        <v>10.1</v>
      </c>
      <c r="H648" t="s">
        <v>2323</v>
      </c>
      <c r="I648" s="21">
        <v>37799</v>
      </c>
      <c r="J648">
        <v>2003</v>
      </c>
      <c r="K648" s="21">
        <v>37855</v>
      </c>
      <c r="L648">
        <v>2003</v>
      </c>
      <c r="M648" s="21">
        <v>37855</v>
      </c>
      <c r="N648">
        <v>2003</v>
      </c>
      <c r="R648" s="262">
        <v>95000</v>
      </c>
      <c r="S648" t="s">
        <v>114</v>
      </c>
      <c r="T648" t="s">
        <v>114</v>
      </c>
      <c r="U648">
        <v>5</v>
      </c>
      <c r="W648">
        <v>2286</v>
      </c>
      <c r="X648">
        <v>1</v>
      </c>
      <c r="Y648">
        <v>0</v>
      </c>
      <c r="Z648">
        <v>0</v>
      </c>
      <c r="AA648">
        <v>0</v>
      </c>
      <c r="AB648">
        <v>0</v>
      </c>
      <c r="AC648">
        <v>2286</v>
      </c>
      <c r="AD648">
        <v>0</v>
      </c>
      <c r="AE648">
        <v>0</v>
      </c>
      <c r="AF648">
        <v>0</v>
      </c>
      <c r="AG648">
        <v>0</v>
      </c>
      <c r="AH648">
        <v>0</v>
      </c>
      <c r="AI648">
        <v>0</v>
      </c>
      <c r="AJ648">
        <v>0</v>
      </c>
      <c r="AK648">
        <v>0</v>
      </c>
      <c r="AL648">
        <v>0</v>
      </c>
      <c r="AM648">
        <v>0</v>
      </c>
      <c r="AN648">
        <v>0</v>
      </c>
      <c r="AO648">
        <v>1</v>
      </c>
      <c r="AP648">
        <v>0</v>
      </c>
      <c r="AQ648">
        <v>0</v>
      </c>
      <c r="AR648">
        <v>0</v>
      </c>
      <c r="AS648">
        <v>0</v>
      </c>
      <c r="AT648">
        <v>0</v>
      </c>
      <c r="AU648">
        <f t="shared" si="18"/>
        <v>1</v>
      </c>
      <c r="AV648">
        <f t="shared" si="19"/>
        <v>0</v>
      </c>
    </row>
    <row r="649" spans="1:48" x14ac:dyDescent="0.25">
      <c r="A649" t="s">
        <v>3973</v>
      </c>
      <c r="C649" t="s">
        <v>3974</v>
      </c>
      <c r="D649" t="s">
        <v>3975</v>
      </c>
      <c r="E649" t="s">
        <v>2310</v>
      </c>
      <c r="F649">
        <v>10</v>
      </c>
      <c r="G649">
        <v>10.1</v>
      </c>
      <c r="H649" t="s">
        <v>2323</v>
      </c>
      <c r="I649" s="21">
        <v>37802</v>
      </c>
      <c r="J649">
        <v>2003</v>
      </c>
      <c r="K649" s="21">
        <v>37823</v>
      </c>
      <c r="L649">
        <v>2003</v>
      </c>
      <c r="M649" s="21">
        <v>38112</v>
      </c>
      <c r="N649">
        <v>2004</v>
      </c>
      <c r="R649" s="262">
        <v>415000</v>
      </c>
      <c r="S649" t="s">
        <v>114</v>
      </c>
      <c r="T649" t="s">
        <v>114</v>
      </c>
      <c r="U649">
        <v>5</v>
      </c>
      <c r="W649">
        <v>3755</v>
      </c>
      <c r="X649">
        <v>1</v>
      </c>
      <c r="Y649">
        <v>0</v>
      </c>
      <c r="Z649">
        <v>0</v>
      </c>
      <c r="AA649">
        <v>0</v>
      </c>
      <c r="AB649">
        <v>0</v>
      </c>
      <c r="AC649">
        <v>3755</v>
      </c>
      <c r="AD649">
        <v>0</v>
      </c>
      <c r="AE649">
        <v>0</v>
      </c>
      <c r="AF649">
        <v>0</v>
      </c>
      <c r="AG649">
        <v>0</v>
      </c>
      <c r="AH649">
        <v>0</v>
      </c>
      <c r="AI649">
        <v>0</v>
      </c>
      <c r="AJ649">
        <v>0</v>
      </c>
      <c r="AK649">
        <v>0</v>
      </c>
      <c r="AL649">
        <v>0</v>
      </c>
      <c r="AM649">
        <v>0</v>
      </c>
      <c r="AN649">
        <v>0</v>
      </c>
      <c r="AO649">
        <v>1</v>
      </c>
      <c r="AP649">
        <v>0</v>
      </c>
      <c r="AQ649">
        <v>0</v>
      </c>
      <c r="AR649">
        <v>0</v>
      </c>
      <c r="AS649">
        <v>0</v>
      </c>
      <c r="AT649">
        <v>0</v>
      </c>
      <c r="AU649">
        <f t="shared" si="18"/>
        <v>1</v>
      </c>
      <c r="AV649">
        <f t="shared" si="19"/>
        <v>0</v>
      </c>
    </row>
    <row r="650" spans="1:48" x14ac:dyDescent="0.25">
      <c r="A650" t="s">
        <v>3976</v>
      </c>
      <c r="C650" t="s">
        <v>3977</v>
      </c>
      <c r="D650" t="s">
        <v>3109</v>
      </c>
      <c r="E650" t="s">
        <v>2310</v>
      </c>
      <c r="F650">
        <v>15</v>
      </c>
      <c r="G650">
        <v>15.2</v>
      </c>
      <c r="H650" t="s">
        <v>2323</v>
      </c>
      <c r="I650" s="21">
        <v>37802</v>
      </c>
      <c r="J650">
        <v>2003</v>
      </c>
      <c r="K650" s="21">
        <v>37853</v>
      </c>
      <c r="L650">
        <v>2003</v>
      </c>
      <c r="M650" s="21">
        <v>37944</v>
      </c>
      <c r="N650">
        <v>2003</v>
      </c>
      <c r="R650" s="262">
        <v>8658</v>
      </c>
      <c r="S650" t="s">
        <v>114</v>
      </c>
      <c r="T650" t="s">
        <v>114</v>
      </c>
      <c r="U650">
        <v>8</v>
      </c>
      <c r="W650">
        <v>0</v>
      </c>
      <c r="X650">
        <v>1</v>
      </c>
      <c r="Y650">
        <v>0</v>
      </c>
      <c r="Z650">
        <v>0</v>
      </c>
      <c r="AA650">
        <v>0</v>
      </c>
      <c r="AB650">
        <v>0</v>
      </c>
      <c r="AC650">
        <v>0</v>
      </c>
      <c r="AD650">
        <v>0</v>
      </c>
      <c r="AE650">
        <v>0</v>
      </c>
      <c r="AF650">
        <v>0</v>
      </c>
      <c r="AG650">
        <v>0</v>
      </c>
      <c r="AH650">
        <v>0</v>
      </c>
      <c r="AI650">
        <v>0</v>
      </c>
      <c r="AJ650">
        <v>0</v>
      </c>
      <c r="AK650">
        <v>0</v>
      </c>
      <c r="AL650">
        <v>0</v>
      </c>
      <c r="AM650">
        <v>0</v>
      </c>
      <c r="AN650">
        <v>0</v>
      </c>
      <c r="AO650">
        <v>0</v>
      </c>
      <c r="AP650">
        <v>0</v>
      </c>
      <c r="AQ650">
        <v>0</v>
      </c>
      <c r="AR650">
        <v>1</v>
      </c>
      <c r="AS650">
        <v>0</v>
      </c>
      <c r="AT650">
        <v>0</v>
      </c>
      <c r="AU650">
        <f t="shared" si="18"/>
        <v>0</v>
      </c>
      <c r="AV650">
        <f t="shared" si="19"/>
        <v>0</v>
      </c>
    </row>
    <row r="651" spans="1:48" x14ac:dyDescent="0.25">
      <c r="A651" t="s">
        <v>3978</v>
      </c>
      <c r="C651" t="s">
        <v>3979</v>
      </c>
      <c r="D651" t="s">
        <v>3943</v>
      </c>
      <c r="E651" t="s">
        <v>2310</v>
      </c>
      <c r="F651">
        <v>9</v>
      </c>
      <c r="G651">
        <v>9.3000000000000007</v>
      </c>
      <c r="H651" t="s">
        <v>2323</v>
      </c>
      <c r="I651" s="21">
        <v>37803</v>
      </c>
      <c r="J651">
        <v>2003</v>
      </c>
      <c r="K651" s="21">
        <v>37833</v>
      </c>
      <c r="L651">
        <v>2003</v>
      </c>
      <c r="M651" s="21">
        <v>37960</v>
      </c>
      <c r="N651">
        <v>2003</v>
      </c>
      <c r="R651" s="262">
        <v>109000</v>
      </c>
      <c r="S651" t="s">
        <v>114</v>
      </c>
      <c r="T651" t="s">
        <v>114</v>
      </c>
      <c r="U651">
        <v>15</v>
      </c>
      <c r="W651">
        <v>712</v>
      </c>
      <c r="X651">
        <v>0</v>
      </c>
      <c r="Y651">
        <v>0</v>
      </c>
      <c r="Z651">
        <v>0</v>
      </c>
      <c r="AA651">
        <v>0</v>
      </c>
      <c r="AB651">
        <v>0</v>
      </c>
      <c r="AC651">
        <v>0</v>
      </c>
      <c r="AD651">
        <v>0</v>
      </c>
      <c r="AE651">
        <v>0</v>
      </c>
      <c r="AF651">
        <v>0</v>
      </c>
      <c r="AG651">
        <v>0</v>
      </c>
      <c r="AH651">
        <v>0</v>
      </c>
      <c r="AI651">
        <v>0</v>
      </c>
      <c r="AJ651">
        <v>0</v>
      </c>
      <c r="AK651">
        <v>0</v>
      </c>
      <c r="AL651">
        <v>0</v>
      </c>
      <c r="AM651">
        <v>712</v>
      </c>
      <c r="AN651">
        <v>0</v>
      </c>
      <c r="AO651">
        <v>0</v>
      </c>
      <c r="AP651">
        <v>0</v>
      </c>
      <c r="AQ651">
        <v>0</v>
      </c>
      <c r="AR651">
        <v>0</v>
      </c>
      <c r="AS651">
        <v>0</v>
      </c>
      <c r="AT651">
        <v>0</v>
      </c>
      <c r="AU651">
        <f t="shared" si="18"/>
        <v>0</v>
      </c>
      <c r="AV651">
        <f t="shared" si="19"/>
        <v>712</v>
      </c>
    </row>
    <row r="652" spans="1:48" x14ac:dyDescent="0.25">
      <c r="A652" t="s">
        <v>3980</v>
      </c>
      <c r="C652" t="s">
        <v>3981</v>
      </c>
      <c r="D652" t="s">
        <v>3982</v>
      </c>
      <c r="E652" t="s">
        <v>2310</v>
      </c>
      <c r="F652">
        <v>9</v>
      </c>
      <c r="G652">
        <v>9.3000000000000007</v>
      </c>
      <c r="H652" t="s">
        <v>2323</v>
      </c>
      <c r="I652" s="21">
        <v>37803</v>
      </c>
      <c r="J652">
        <v>2003</v>
      </c>
      <c r="K652" s="21">
        <v>37838</v>
      </c>
      <c r="L652">
        <v>2003</v>
      </c>
      <c r="M652" s="21">
        <v>38664</v>
      </c>
      <c r="N652">
        <v>2005</v>
      </c>
      <c r="R652" s="262">
        <v>450000</v>
      </c>
      <c r="S652" t="s">
        <v>114</v>
      </c>
      <c r="T652" t="s">
        <v>114</v>
      </c>
      <c r="U652">
        <v>17</v>
      </c>
      <c r="W652">
        <v>5907</v>
      </c>
      <c r="X652">
        <v>2</v>
      </c>
      <c r="Y652">
        <v>0</v>
      </c>
      <c r="Z652">
        <v>0</v>
      </c>
      <c r="AA652">
        <v>0</v>
      </c>
      <c r="AB652">
        <v>0</v>
      </c>
      <c r="AC652">
        <v>0</v>
      </c>
      <c r="AD652">
        <v>5267</v>
      </c>
      <c r="AE652">
        <v>0</v>
      </c>
      <c r="AF652">
        <v>640</v>
      </c>
      <c r="AG652">
        <v>0</v>
      </c>
      <c r="AH652">
        <v>0</v>
      </c>
      <c r="AI652">
        <v>0</v>
      </c>
      <c r="AJ652">
        <v>0</v>
      </c>
      <c r="AK652">
        <v>0</v>
      </c>
      <c r="AL652">
        <v>0</v>
      </c>
      <c r="AM652">
        <v>0</v>
      </c>
      <c r="AN652">
        <v>0</v>
      </c>
      <c r="AO652">
        <v>0</v>
      </c>
      <c r="AP652">
        <v>1</v>
      </c>
      <c r="AQ652">
        <v>0</v>
      </c>
      <c r="AR652">
        <v>1</v>
      </c>
      <c r="AS652">
        <v>0</v>
      </c>
      <c r="AT652">
        <v>0</v>
      </c>
      <c r="AU652">
        <f t="shared" si="18"/>
        <v>1</v>
      </c>
      <c r="AV652">
        <f t="shared" si="19"/>
        <v>0</v>
      </c>
    </row>
    <row r="653" spans="1:48" x14ac:dyDescent="0.25">
      <c r="A653" t="s">
        <v>3986</v>
      </c>
      <c r="C653" t="s">
        <v>3987</v>
      </c>
      <c r="D653" t="s">
        <v>3988</v>
      </c>
      <c r="E653" t="s">
        <v>2310</v>
      </c>
      <c r="F653">
        <v>13</v>
      </c>
      <c r="G653">
        <v>13.3</v>
      </c>
      <c r="H653" t="s">
        <v>2017</v>
      </c>
      <c r="I653" s="21">
        <v>37804</v>
      </c>
      <c r="J653">
        <v>2003</v>
      </c>
      <c r="K653" s="21">
        <v>37834</v>
      </c>
      <c r="L653">
        <v>2003</v>
      </c>
      <c r="M653" s="21">
        <v>37970</v>
      </c>
      <c r="N653">
        <v>2003</v>
      </c>
      <c r="R653" s="262">
        <v>225000</v>
      </c>
      <c r="S653" t="s">
        <v>114</v>
      </c>
      <c r="T653" t="s">
        <v>114</v>
      </c>
      <c r="U653">
        <v>5</v>
      </c>
      <c r="W653">
        <v>1123</v>
      </c>
      <c r="X653">
        <v>0</v>
      </c>
      <c r="Y653">
        <v>0</v>
      </c>
      <c r="Z653">
        <v>0</v>
      </c>
      <c r="AA653">
        <v>0</v>
      </c>
      <c r="AB653">
        <v>0</v>
      </c>
      <c r="AC653">
        <v>1123</v>
      </c>
      <c r="AD653">
        <v>0</v>
      </c>
      <c r="AE653">
        <v>0</v>
      </c>
      <c r="AF653">
        <v>0</v>
      </c>
      <c r="AG653">
        <v>0</v>
      </c>
      <c r="AH653">
        <v>0</v>
      </c>
      <c r="AI653">
        <v>0</v>
      </c>
      <c r="AJ653">
        <v>0</v>
      </c>
      <c r="AK653">
        <v>0</v>
      </c>
      <c r="AL653">
        <v>0</v>
      </c>
      <c r="AM653">
        <v>0</v>
      </c>
      <c r="AN653">
        <v>0</v>
      </c>
      <c r="AO653">
        <v>0</v>
      </c>
      <c r="AP653">
        <v>0</v>
      </c>
      <c r="AQ653">
        <v>0</v>
      </c>
      <c r="AR653">
        <v>0</v>
      </c>
      <c r="AS653">
        <v>0</v>
      </c>
      <c r="AT653">
        <v>0</v>
      </c>
      <c r="AU653">
        <f t="shared" si="18"/>
        <v>0</v>
      </c>
      <c r="AV653">
        <f t="shared" si="19"/>
        <v>0</v>
      </c>
    </row>
    <row r="654" spans="1:48" x14ac:dyDescent="0.25">
      <c r="A654" t="s">
        <v>3989</v>
      </c>
      <c r="C654" t="s">
        <v>3990</v>
      </c>
      <c r="D654" t="s">
        <v>3991</v>
      </c>
      <c r="E654" t="s">
        <v>2310</v>
      </c>
      <c r="F654">
        <v>9</v>
      </c>
      <c r="G654">
        <v>9.3000000000000007</v>
      </c>
      <c r="H654" t="s">
        <v>2323</v>
      </c>
      <c r="I654" s="21">
        <v>37804</v>
      </c>
      <c r="J654">
        <v>2003</v>
      </c>
      <c r="K654" s="21">
        <v>37824</v>
      </c>
      <c r="L654">
        <v>2003</v>
      </c>
      <c r="M654" s="21">
        <v>37957</v>
      </c>
      <c r="N654">
        <v>2003</v>
      </c>
      <c r="R654" s="262">
        <v>55000</v>
      </c>
      <c r="S654" t="s">
        <v>114</v>
      </c>
      <c r="T654" t="s">
        <v>114</v>
      </c>
      <c r="U654">
        <v>5</v>
      </c>
      <c r="W654">
        <v>0</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c r="AQ654">
        <v>0</v>
      </c>
      <c r="AR654">
        <v>0</v>
      </c>
      <c r="AS654">
        <v>0</v>
      </c>
      <c r="AT654">
        <v>0</v>
      </c>
      <c r="AU654">
        <f t="shared" si="18"/>
        <v>0</v>
      </c>
      <c r="AV654">
        <f t="shared" si="19"/>
        <v>0</v>
      </c>
    </row>
    <row r="655" spans="1:48" x14ac:dyDescent="0.25">
      <c r="A655" t="s">
        <v>3992</v>
      </c>
      <c r="C655" t="s">
        <v>3993</v>
      </c>
      <c r="D655" t="s">
        <v>3994</v>
      </c>
      <c r="E655" t="s">
        <v>2310</v>
      </c>
      <c r="F655">
        <v>9</v>
      </c>
      <c r="G655">
        <v>9.3000000000000007</v>
      </c>
      <c r="H655" t="s">
        <v>2323</v>
      </c>
      <c r="I655" s="21">
        <v>37804</v>
      </c>
      <c r="J655">
        <v>2003</v>
      </c>
      <c r="K655" s="21">
        <v>37943</v>
      </c>
      <c r="L655">
        <v>2003</v>
      </c>
      <c r="M655" s="21">
        <v>37943</v>
      </c>
      <c r="N655">
        <v>2003</v>
      </c>
      <c r="R655" s="262">
        <v>70000</v>
      </c>
      <c r="S655" t="s">
        <v>114</v>
      </c>
      <c r="T655" t="s">
        <v>114</v>
      </c>
      <c r="U655">
        <v>8</v>
      </c>
      <c r="W655">
        <v>980</v>
      </c>
      <c r="X655">
        <v>1</v>
      </c>
      <c r="Y655">
        <v>0</v>
      </c>
      <c r="Z655">
        <v>0</v>
      </c>
      <c r="AA655">
        <v>0</v>
      </c>
      <c r="AB655">
        <v>0</v>
      </c>
      <c r="AC655">
        <v>0</v>
      </c>
      <c r="AD655">
        <v>0</v>
      </c>
      <c r="AE655">
        <v>0</v>
      </c>
      <c r="AF655">
        <v>980</v>
      </c>
      <c r="AG655">
        <v>0</v>
      </c>
      <c r="AH655">
        <v>0</v>
      </c>
      <c r="AI655">
        <v>0</v>
      </c>
      <c r="AJ655">
        <v>0</v>
      </c>
      <c r="AK655">
        <v>0</v>
      </c>
      <c r="AL655">
        <v>0</v>
      </c>
      <c r="AM655">
        <v>0</v>
      </c>
      <c r="AN655">
        <v>0</v>
      </c>
      <c r="AO655">
        <v>0</v>
      </c>
      <c r="AP655">
        <v>0</v>
      </c>
      <c r="AQ655">
        <v>0</v>
      </c>
      <c r="AR655">
        <v>1</v>
      </c>
      <c r="AS655">
        <v>0</v>
      </c>
      <c r="AT655">
        <v>0</v>
      </c>
      <c r="AU655">
        <f t="shared" si="18"/>
        <v>0</v>
      </c>
      <c r="AV655">
        <f t="shared" si="19"/>
        <v>0</v>
      </c>
    </row>
    <row r="656" spans="1:48" x14ac:dyDescent="0.25">
      <c r="A656" t="s">
        <v>3995</v>
      </c>
      <c r="C656" t="s">
        <v>2544</v>
      </c>
      <c r="D656" t="s">
        <v>3996</v>
      </c>
      <c r="E656" t="s">
        <v>2310</v>
      </c>
      <c r="F656">
        <v>14</v>
      </c>
      <c r="G656">
        <v>14.1</v>
      </c>
      <c r="H656" t="s">
        <v>2022</v>
      </c>
      <c r="I656" s="21">
        <v>37804</v>
      </c>
      <c r="J656">
        <v>2003</v>
      </c>
      <c r="K656" s="21">
        <v>37838</v>
      </c>
      <c r="L656">
        <v>2003</v>
      </c>
      <c r="M656" s="21">
        <v>37838</v>
      </c>
      <c r="N656">
        <v>2003</v>
      </c>
      <c r="R656" s="262">
        <v>18000</v>
      </c>
      <c r="S656" t="s">
        <v>114</v>
      </c>
      <c r="T656" t="s">
        <v>114</v>
      </c>
      <c r="U656">
        <v>5</v>
      </c>
      <c r="W656">
        <v>936</v>
      </c>
      <c r="X656">
        <v>0</v>
      </c>
      <c r="Y656">
        <v>0</v>
      </c>
      <c r="Z656">
        <v>0</v>
      </c>
      <c r="AA656">
        <v>0</v>
      </c>
      <c r="AB656">
        <v>0</v>
      </c>
      <c r="AC656">
        <v>936</v>
      </c>
      <c r="AD656">
        <v>0</v>
      </c>
      <c r="AE656">
        <v>0</v>
      </c>
      <c r="AF656">
        <v>0</v>
      </c>
      <c r="AG656">
        <v>0</v>
      </c>
      <c r="AH656">
        <v>0</v>
      </c>
      <c r="AI656">
        <v>0</v>
      </c>
      <c r="AJ656">
        <v>0</v>
      </c>
      <c r="AK656">
        <v>0</v>
      </c>
      <c r="AL656">
        <v>0</v>
      </c>
      <c r="AM656">
        <v>0</v>
      </c>
      <c r="AN656">
        <v>0</v>
      </c>
      <c r="AO656">
        <v>0</v>
      </c>
      <c r="AP656">
        <v>0</v>
      </c>
      <c r="AQ656">
        <v>0</v>
      </c>
      <c r="AR656">
        <v>0</v>
      </c>
      <c r="AS656">
        <v>0</v>
      </c>
      <c r="AT656">
        <v>0</v>
      </c>
      <c r="AU656">
        <f t="shared" si="18"/>
        <v>0</v>
      </c>
      <c r="AV656">
        <f t="shared" si="19"/>
        <v>0</v>
      </c>
    </row>
    <row r="657" spans="1:48" x14ac:dyDescent="0.25">
      <c r="A657" t="s">
        <v>3997</v>
      </c>
      <c r="C657" t="s">
        <v>3998</v>
      </c>
      <c r="D657" t="s">
        <v>3996</v>
      </c>
      <c r="E657" t="s">
        <v>2310</v>
      </c>
      <c r="F657">
        <v>14</v>
      </c>
      <c r="G657">
        <v>14.1</v>
      </c>
      <c r="H657" t="s">
        <v>2022</v>
      </c>
      <c r="I657" s="21">
        <v>37804</v>
      </c>
      <c r="J657">
        <v>2003</v>
      </c>
      <c r="K657" s="21">
        <v>37838</v>
      </c>
      <c r="L657">
        <v>2003</v>
      </c>
      <c r="M657" s="21">
        <v>37838</v>
      </c>
      <c r="N657">
        <v>2003</v>
      </c>
      <c r="R657" s="262">
        <v>16000</v>
      </c>
      <c r="S657" t="s">
        <v>114</v>
      </c>
      <c r="T657" t="s">
        <v>114</v>
      </c>
      <c r="U657">
        <v>5</v>
      </c>
      <c r="W657">
        <v>390</v>
      </c>
      <c r="X657">
        <v>0</v>
      </c>
      <c r="Y657">
        <v>0</v>
      </c>
      <c r="Z657">
        <v>0</v>
      </c>
      <c r="AA657">
        <v>0</v>
      </c>
      <c r="AB657">
        <v>0</v>
      </c>
      <c r="AC657">
        <v>390</v>
      </c>
      <c r="AD657">
        <v>0</v>
      </c>
      <c r="AE657">
        <v>0</v>
      </c>
      <c r="AF657">
        <v>0</v>
      </c>
      <c r="AG657">
        <v>0</v>
      </c>
      <c r="AH657">
        <v>0</v>
      </c>
      <c r="AI657">
        <v>0</v>
      </c>
      <c r="AJ657">
        <v>0</v>
      </c>
      <c r="AK657">
        <v>0</v>
      </c>
      <c r="AL657">
        <v>0</v>
      </c>
      <c r="AM657">
        <v>0</v>
      </c>
      <c r="AN657">
        <v>0</v>
      </c>
      <c r="AO657">
        <v>0</v>
      </c>
      <c r="AP657">
        <v>0</v>
      </c>
      <c r="AQ657">
        <v>0</v>
      </c>
      <c r="AR657">
        <v>0</v>
      </c>
      <c r="AS657">
        <v>0</v>
      </c>
      <c r="AT657">
        <v>0</v>
      </c>
      <c r="AU657">
        <f t="shared" si="18"/>
        <v>0</v>
      </c>
      <c r="AV657">
        <f t="shared" si="19"/>
        <v>0</v>
      </c>
    </row>
    <row r="658" spans="1:48" x14ac:dyDescent="0.25">
      <c r="A658" t="s">
        <v>3983</v>
      </c>
      <c r="C658" t="s">
        <v>3984</v>
      </c>
      <c r="D658" t="s">
        <v>3985</v>
      </c>
      <c r="E658" t="s">
        <v>1663</v>
      </c>
      <c r="F658">
        <v>3</v>
      </c>
      <c r="G658">
        <v>3.1</v>
      </c>
      <c r="H658" t="s">
        <v>2017</v>
      </c>
      <c r="I658" s="21">
        <v>37804</v>
      </c>
      <c r="J658">
        <v>2003</v>
      </c>
      <c r="K658" s="21">
        <v>37835</v>
      </c>
      <c r="L658">
        <v>2003</v>
      </c>
      <c r="M658" s="21">
        <v>37988</v>
      </c>
      <c r="N658">
        <v>2004</v>
      </c>
      <c r="Q658" s="262">
        <v>266336</v>
      </c>
      <c r="S658" t="s">
        <v>114</v>
      </c>
      <c r="T658" t="s">
        <v>114</v>
      </c>
      <c r="W658">
        <v>3248</v>
      </c>
      <c r="X658">
        <v>2</v>
      </c>
      <c r="Y658">
        <v>0</v>
      </c>
      <c r="Z658">
        <v>0</v>
      </c>
      <c r="AA658">
        <v>0</v>
      </c>
      <c r="AB658">
        <v>0</v>
      </c>
      <c r="AC658">
        <v>0</v>
      </c>
      <c r="AD658">
        <v>3248</v>
      </c>
      <c r="AE658">
        <v>0</v>
      </c>
      <c r="AF658">
        <v>0</v>
      </c>
      <c r="AG658">
        <v>0</v>
      </c>
      <c r="AH658">
        <v>0</v>
      </c>
      <c r="AI658">
        <v>0</v>
      </c>
      <c r="AJ658">
        <v>0</v>
      </c>
      <c r="AK658">
        <v>0</v>
      </c>
      <c r="AL658">
        <v>0</v>
      </c>
      <c r="AM658">
        <v>0</v>
      </c>
      <c r="AN658">
        <v>0</v>
      </c>
      <c r="AO658">
        <v>0</v>
      </c>
      <c r="AP658">
        <v>2</v>
      </c>
      <c r="AQ658">
        <v>0</v>
      </c>
      <c r="AR658">
        <v>0</v>
      </c>
      <c r="AS658">
        <v>0</v>
      </c>
      <c r="AT658">
        <v>0</v>
      </c>
      <c r="AU658">
        <f t="shared" si="18"/>
        <v>2</v>
      </c>
      <c r="AV658">
        <f t="shared" si="19"/>
        <v>0</v>
      </c>
    </row>
    <row r="659" spans="1:48" x14ac:dyDescent="0.25">
      <c r="A659" t="s">
        <v>3999</v>
      </c>
      <c r="C659" t="s">
        <v>4000</v>
      </c>
      <c r="D659" t="s">
        <v>4001</v>
      </c>
      <c r="E659" t="s">
        <v>2310</v>
      </c>
      <c r="F659">
        <v>10</v>
      </c>
      <c r="G659">
        <v>10.1</v>
      </c>
      <c r="H659" t="s">
        <v>2323</v>
      </c>
      <c r="I659" s="21">
        <v>37805</v>
      </c>
      <c r="J659">
        <v>2003</v>
      </c>
      <c r="K659" s="21">
        <v>37840</v>
      </c>
      <c r="L659">
        <v>2003</v>
      </c>
      <c r="M659" s="21">
        <v>37840</v>
      </c>
      <c r="N659">
        <v>2003</v>
      </c>
      <c r="R659" s="262">
        <v>32000</v>
      </c>
      <c r="S659" t="s">
        <v>114</v>
      </c>
      <c r="T659" t="s">
        <v>114</v>
      </c>
      <c r="U659">
        <v>5</v>
      </c>
      <c r="W659">
        <v>404</v>
      </c>
      <c r="X659">
        <v>0</v>
      </c>
      <c r="Y659">
        <v>0</v>
      </c>
      <c r="Z659">
        <v>0</v>
      </c>
      <c r="AA659">
        <v>0</v>
      </c>
      <c r="AB659">
        <v>0</v>
      </c>
      <c r="AC659">
        <v>404</v>
      </c>
      <c r="AD659">
        <v>0</v>
      </c>
      <c r="AE659">
        <v>0</v>
      </c>
      <c r="AF659">
        <v>0</v>
      </c>
      <c r="AG659">
        <v>0</v>
      </c>
      <c r="AH659">
        <v>0</v>
      </c>
      <c r="AI659">
        <v>0</v>
      </c>
      <c r="AJ659">
        <v>0</v>
      </c>
      <c r="AK659">
        <v>0</v>
      </c>
      <c r="AL659">
        <v>0</v>
      </c>
      <c r="AM659">
        <v>0</v>
      </c>
      <c r="AN659">
        <v>0</v>
      </c>
      <c r="AO659">
        <v>0</v>
      </c>
      <c r="AP659">
        <v>0</v>
      </c>
      <c r="AQ659">
        <v>0</v>
      </c>
      <c r="AR659">
        <v>0</v>
      </c>
      <c r="AS659">
        <v>0</v>
      </c>
      <c r="AT659">
        <v>0</v>
      </c>
      <c r="AU659">
        <f t="shared" si="18"/>
        <v>0</v>
      </c>
      <c r="AV659">
        <f t="shared" si="19"/>
        <v>0</v>
      </c>
    </row>
    <row r="660" spans="1:48" x14ac:dyDescent="0.25">
      <c r="A660" t="s">
        <v>4002</v>
      </c>
      <c r="C660" t="s">
        <v>4003</v>
      </c>
      <c r="D660" t="s">
        <v>4004</v>
      </c>
      <c r="E660" t="s">
        <v>2310</v>
      </c>
      <c r="F660">
        <v>9</v>
      </c>
      <c r="G660">
        <v>9.3000000000000007</v>
      </c>
      <c r="H660" t="s">
        <v>2323</v>
      </c>
      <c r="I660" s="21">
        <v>37805</v>
      </c>
      <c r="J660">
        <v>2003</v>
      </c>
      <c r="K660" s="21">
        <v>37841</v>
      </c>
      <c r="L660">
        <v>2003</v>
      </c>
      <c r="M660" s="21">
        <v>38320</v>
      </c>
      <c r="N660">
        <v>2004</v>
      </c>
      <c r="R660" s="262">
        <v>100000</v>
      </c>
      <c r="S660" t="s">
        <v>114</v>
      </c>
      <c r="T660" t="s">
        <v>114</v>
      </c>
      <c r="U660">
        <v>5</v>
      </c>
      <c r="W660">
        <v>2622</v>
      </c>
      <c r="X660">
        <v>0</v>
      </c>
      <c r="Y660">
        <v>0</v>
      </c>
      <c r="Z660">
        <v>0</v>
      </c>
      <c r="AA660">
        <v>0</v>
      </c>
      <c r="AB660">
        <v>0</v>
      </c>
      <c r="AC660">
        <v>2622</v>
      </c>
      <c r="AD660">
        <v>0</v>
      </c>
      <c r="AE660">
        <v>0</v>
      </c>
      <c r="AF660">
        <v>0</v>
      </c>
      <c r="AG660">
        <v>0</v>
      </c>
      <c r="AH660">
        <v>0</v>
      </c>
      <c r="AI660">
        <v>0</v>
      </c>
      <c r="AJ660">
        <v>0</v>
      </c>
      <c r="AK660">
        <v>0</v>
      </c>
      <c r="AL660">
        <v>0</v>
      </c>
      <c r="AM660">
        <v>0</v>
      </c>
      <c r="AN660">
        <v>0</v>
      </c>
      <c r="AO660">
        <v>0</v>
      </c>
      <c r="AP660">
        <v>0</v>
      </c>
      <c r="AQ660">
        <v>0</v>
      </c>
      <c r="AR660">
        <v>0</v>
      </c>
      <c r="AS660">
        <v>0</v>
      </c>
      <c r="AT660">
        <v>0</v>
      </c>
      <c r="AU660">
        <f t="shared" si="18"/>
        <v>0</v>
      </c>
      <c r="AV660">
        <f t="shared" si="19"/>
        <v>0</v>
      </c>
    </row>
    <row r="661" spans="1:48" x14ac:dyDescent="0.25">
      <c r="A661" t="s">
        <v>4005</v>
      </c>
      <c r="C661" t="s">
        <v>3419</v>
      </c>
      <c r="D661" t="s">
        <v>4006</v>
      </c>
      <c r="E661" t="s">
        <v>2310</v>
      </c>
      <c r="F661">
        <v>10</v>
      </c>
      <c r="G661">
        <v>10.1</v>
      </c>
      <c r="H661" t="s">
        <v>2323</v>
      </c>
      <c r="I661" s="21">
        <v>37805</v>
      </c>
      <c r="J661">
        <v>2003</v>
      </c>
      <c r="K661" s="21">
        <v>37834</v>
      </c>
      <c r="L661">
        <v>2003</v>
      </c>
      <c r="M661" s="21">
        <v>38259</v>
      </c>
      <c r="N661">
        <v>2004</v>
      </c>
      <c r="R661" s="262">
        <v>225000</v>
      </c>
      <c r="S661" t="s">
        <v>114</v>
      </c>
      <c r="T661" t="s">
        <v>114</v>
      </c>
      <c r="U661">
        <v>5</v>
      </c>
      <c r="W661">
        <v>3325</v>
      </c>
      <c r="X661">
        <v>1</v>
      </c>
      <c r="Y661">
        <v>0</v>
      </c>
      <c r="Z661">
        <v>0</v>
      </c>
      <c r="AA661">
        <v>0</v>
      </c>
      <c r="AB661">
        <v>0</v>
      </c>
      <c r="AC661">
        <v>3325</v>
      </c>
      <c r="AD661">
        <v>0</v>
      </c>
      <c r="AE661">
        <v>0</v>
      </c>
      <c r="AF661">
        <v>0</v>
      </c>
      <c r="AG661">
        <v>0</v>
      </c>
      <c r="AH661">
        <v>0</v>
      </c>
      <c r="AI661">
        <v>0</v>
      </c>
      <c r="AJ661">
        <v>0</v>
      </c>
      <c r="AK661">
        <v>0</v>
      </c>
      <c r="AL661">
        <v>0</v>
      </c>
      <c r="AM661">
        <v>0</v>
      </c>
      <c r="AN661">
        <v>0</v>
      </c>
      <c r="AO661">
        <v>1</v>
      </c>
      <c r="AP661">
        <v>0</v>
      </c>
      <c r="AQ661">
        <v>0</v>
      </c>
      <c r="AR661">
        <v>0</v>
      </c>
      <c r="AS661">
        <v>0</v>
      </c>
      <c r="AT661">
        <v>0</v>
      </c>
      <c r="AU661">
        <f t="shared" si="18"/>
        <v>1</v>
      </c>
      <c r="AV661">
        <f t="shared" si="19"/>
        <v>0</v>
      </c>
    </row>
    <row r="662" spans="1:48" x14ac:dyDescent="0.25">
      <c r="A662" t="s">
        <v>4007</v>
      </c>
      <c r="C662" t="s">
        <v>3216</v>
      </c>
      <c r="D662" t="s">
        <v>4008</v>
      </c>
      <c r="E662" t="s">
        <v>2310</v>
      </c>
      <c r="F662">
        <v>10</v>
      </c>
      <c r="G662">
        <v>10.1</v>
      </c>
      <c r="H662" t="s">
        <v>2323</v>
      </c>
      <c r="I662" s="21">
        <v>37810</v>
      </c>
      <c r="J662">
        <v>2003</v>
      </c>
      <c r="K662" s="21">
        <v>37837</v>
      </c>
      <c r="L662">
        <v>2003</v>
      </c>
      <c r="M662" s="21">
        <v>37978</v>
      </c>
      <c r="N662">
        <v>2003</v>
      </c>
      <c r="R662" s="262">
        <v>200000</v>
      </c>
      <c r="S662" t="s">
        <v>114</v>
      </c>
      <c r="T662" t="s">
        <v>114</v>
      </c>
      <c r="U662">
        <v>5</v>
      </c>
      <c r="W662">
        <v>2430</v>
      </c>
      <c r="X662">
        <v>1</v>
      </c>
      <c r="Y662">
        <v>0</v>
      </c>
      <c r="Z662">
        <v>0</v>
      </c>
      <c r="AA662">
        <v>0</v>
      </c>
      <c r="AB662">
        <v>0</v>
      </c>
      <c r="AC662">
        <v>2430</v>
      </c>
      <c r="AD662">
        <v>0</v>
      </c>
      <c r="AE662">
        <v>0</v>
      </c>
      <c r="AF662">
        <v>0</v>
      </c>
      <c r="AG662">
        <v>0</v>
      </c>
      <c r="AH662">
        <v>0</v>
      </c>
      <c r="AI662">
        <v>0</v>
      </c>
      <c r="AJ662">
        <v>0</v>
      </c>
      <c r="AK662">
        <v>0</v>
      </c>
      <c r="AL662">
        <v>0</v>
      </c>
      <c r="AM662">
        <v>0</v>
      </c>
      <c r="AN662">
        <v>0</v>
      </c>
      <c r="AO662">
        <v>1</v>
      </c>
      <c r="AP662">
        <v>0</v>
      </c>
      <c r="AQ662">
        <v>0</v>
      </c>
      <c r="AR662">
        <v>0</v>
      </c>
      <c r="AS662">
        <v>0</v>
      </c>
      <c r="AT662">
        <v>0</v>
      </c>
      <c r="AU662">
        <f t="shared" si="18"/>
        <v>1</v>
      </c>
      <c r="AV662">
        <f t="shared" si="19"/>
        <v>0</v>
      </c>
    </row>
    <row r="663" spans="1:48" x14ac:dyDescent="0.25">
      <c r="A663" t="s">
        <v>4009</v>
      </c>
      <c r="C663" t="s">
        <v>4010</v>
      </c>
      <c r="D663" t="s">
        <v>4011</v>
      </c>
      <c r="E663" t="s">
        <v>2310</v>
      </c>
      <c r="F663">
        <v>9</v>
      </c>
      <c r="G663">
        <v>9.1999999999999993</v>
      </c>
      <c r="H663" t="s">
        <v>2022</v>
      </c>
      <c r="I663" s="21">
        <v>37811</v>
      </c>
      <c r="J663">
        <v>2003</v>
      </c>
      <c r="K663" s="21">
        <v>37844</v>
      </c>
      <c r="L663">
        <v>2003</v>
      </c>
      <c r="M663" s="21">
        <v>37844</v>
      </c>
      <c r="N663">
        <v>2003</v>
      </c>
      <c r="R663" s="262">
        <v>200000</v>
      </c>
      <c r="S663" t="s">
        <v>114</v>
      </c>
      <c r="T663" t="s">
        <v>114</v>
      </c>
      <c r="U663">
        <v>5</v>
      </c>
      <c r="W663">
        <v>1258</v>
      </c>
      <c r="X663">
        <v>0</v>
      </c>
      <c r="Y663">
        <v>0</v>
      </c>
      <c r="Z663">
        <v>0</v>
      </c>
      <c r="AA663">
        <v>0</v>
      </c>
      <c r="AB663">
        <v>0</v>
      </c>
      <c r="AC663">
        <v>1258</v>
      </c>
      <c r="AD663">
        <v>0</v>
      </c>
      <c r="AE663">
        <v>0</v>
      </c>
      <c r="AF663">
        <v>0</v>
      </c>
      <c r="AG663">
        <v>0</v>
      </c>
      <c r="AH663">
        <v>0</v>
      </c>
      <c r="AI663">
        <v>0</v>
      </c>
      <c r="AJ663">
        <v>0</v>
      </c>
      <c r="AK663">
        <v>0</v>
      </c>
      <c r="AL663">
        <v>0</v>
      </c>
      <c r="AM663">
        <v>0</v>
      </c>
      <c r="AN663">
        <v>0</v>
      </c>
      <c r="AO663">
        <v>0</v>
      </c>
      <c r="AP663">
        <v>0</v>
      </c>
      <c r="AQ663">
        <v>0</v>
      </c>
      <c r="AR663">
        <v>0</v>
      </c>
      <c r="AS663">
        <v>0</v>
      </c>
      <c r="AT663">
        <v>0</v>
      </c>
      <c r="AU663">
        <f t="shared" si="18"/>
        <v>0</v>
      </c>
      <c r="AV663">
        <f t="shared" si="19"/>
        <v>0</v>
      </c>
    </row>
    <row r="664" spans="1:48" x14ac:dyDescent="0.25">
      <c r="A664" t="s">
        <v>4012</v>
      </c>
      <c r="C664" t="s">
        <v>4013</v>
      </c>
      <c r="D664" t="s">
        <v>4014</v>
      </c>
      <c r="E664" t="s">
        <v>2310</v>
      </c>
      <c r="F664">
        <v>10</v>
      </c>
      <c r="G664">
        <v>10.1</v>
      </c>
      <c r="H664" t="s">
        <v>2323</v>
      </c>
      <c r="I664" s="21">
        <v>37811</v>
      </c>
      <c r="J664">
        <v>2003</v>
      </c>
      <c r="K664" s="21">
        <v>37844</v>
      </c>
      <c r="L664">
        <v>2003</v>
      </c>
      <c r="M664" s="21">
        <v>38434</v>
      </c>
      <c r="N664">
        <v>2005</v>
      </c>
      <c r="R664" s="262">
        <v>12000</v>
      </c>
      <c r="S664" t="s">
        <v>114</v>
      </c>
      <c r="T664" t="s">
        <v>114</v>
      </c>
      <c r="U664">
        <v>5</v>
      </c>
      <c r="W664">
        <v>312</v>
      </c>
      <c r="X664">
        <v>0</v>
      </c>
      <c r="Y664">
        <v>0</v>
      </c>
      <c r="Z664">
        <v>0</v>
      </c>
      <c r="AA664">
        <v>0</v>
      </c>
      <c r="AB664">
        <v>0</v>
      </c>
      <c r="AC664">
        <v>312</v>
      </c>
      <c r="AD664">
        <v>0</v>
      </c>
      <c r="AE664">
        <v>0</v>
      </c>
      <c r="AF664">
        <v>0</v>
      </c>
      <c r="AG664">
        <v>0</v>
      </c>
      <c r="AH664">
        <v>0</v>
      </c>
      <c r="AI664">
        <v>0</v>
      </c>
      <c r="AJ664">
        <v>0</v>
      </c>
      <c r="AK664">
        <v>0</v>
      </c>
      <c r="AL664">
        <v>0</v>
      </c>
      <c r="AM664">
        <v>0</v>
      </c>
      <c r="AN664">
        <v>0</v>
      </c>
      <c r="AO664">
        <v>0</v>
      </c>
      <c r="AP664">
        <v>0</v>
      </c>
      <c r="AQ664">
        <v>0</v>
      </c>
      <c r="AR664">
        <v>0</v>
      </c>
      <c r="AS664">
        <v>0</v>
      </c>
      <c r="AT664">
        <v>0</v>
      </c>
      <c r="AU664">
        <f t="shared" si="18"/>
        <v>0</v>
      </c>
      <c r="AV664">
        <f t="shared" si="19"/>
        <v>0</v>
      </c>
    </row>
    <row r="665" spans="1:48" x14ac:dyDescent="0.25">
      <c r="A665" t="s">
        <v>4015</v>
      </c>
      <c r="C665" t="s">
        <v>4016</v>
      </c>
      <c r="D665" t="s">
        <v>4017</v>
      </c>
      <c r="E665" t="s">
        <v>2310</v>
      </c>
      <c r="F665">
        <v>10</v>
      </c>
      <c r="G665">
        <v>10.1</v>
      </c>
      <c r="H665" t="s">
        <v>2323</v>
      </c>
      <c r="I665" s="21">
        <v>37811</v>
      </c>
      <c r="J665">
        <v>2003</v>
      </c>
      <c r="K665" s="21">
        <v>37825</v>
      </c>
      <c r="L665">
        <v>2003</v>
      </c>
      <c r="M665" s="21">
        <v>37946</v>
      </c>
      <c r="N665">
        <v>2003</v>
      </c>
      <c r="R665" s="262">
        <v>111000</v>
      </c>
      <c r="S665" t="s">
        <v>114</v>
      </c>
      <c r="T665" t="s">
        <v>114</v>
      </c>
      <c r="U665">
        <v>5</v>
      </c>
      <c r="W665">
        <v>1943</v>
      </c>
      <c r="X665">
        <v>1</v>
      </c>
      <c r="Y665">
        <v>0</v>
      </c>
      <c r="Z665">
        <v>0</v>
      </c>
      <c r="AA665">
        <v>0</v>
      </c>
      <c r="AB665">
        <v>0</v>
      </c>
      <c r="AC665">
        <v>1943</v>
      </c>
      <c r="AD665">
        <v>0</v>
      </c>
      <c r="AE665">
        <v>0</v>
      </c>
      <c r="AF665">
        <v>0</v>
      </c>
      <c r="AG665">
        <v>0</v>
      </c>
      <c r="AH665">
        <v>0</v>
      </c>
      <c r="AI665">
        <v>0</v>
      </c>
      <c r="AJ665">
        <v>0</v>
      </c>
      <c r="AK665">
        <v>0</v>
      </c>
      <c r="AL665">
        <v>0</v>
      </c>
      <c r="AM665">
        <v>0</v>
      </c>
      <c r="AN665">
        <v>0</v>
      </c>
      <c r="AO665">
        <v>1</v>
      </c>
      <c r="AP665">
        <v>0</v>
      </c>
      <c r="AQ665">
        <v>0</v>
      </c>
      <c r="AR665">
        <v>0</v>
      </c>
      <c r="AS665">
        <v>0</v>
      </c>
      <c r="AT665">
        <v>0</v>
      </c>
      <c r="AU665">
        <f t="shared" ref="AU665:AU728" si="20">SUM(AN665:AQ665,AS665)</f>
        <v>1</v>
      </c>
      <c r="AV665">
        <f t="shared" ref="AV665:AV728" si="21">SUM(Y665:AB665,AH665:AM665)</f>
        <v>0</v>
      </c>
    </row>
    <row r="666" spans="1:48" x14ac:dyDescent="0.25">
      <c r="A666" t="s">
        <v>4018</v>
      </c>
      <c r="C666" t="s">
        <v>3216</v>
      </c>
      <c r="D666" t="s">
        <v>4019</v>
      </c>
      <c r="E666" t="s">
        <v>2310</v>
      </c>
      <c r="F666">
        <v>10</v>
      </c>
      <c r="G666">
        <v>10.1</v>
      </c>
      <c r="H666" t="s">
        <v>2323</v>
      </c>
      <c r="I666" s="21">
        <v>37816</v>
      </c>
      <c r="J666">
        <v>2003</v>
      </c>
      <c r="K666" s="21">
        <v>37825</v>
      </c>
      <c r="L666">
        <v>2003</v>
      </c>
      <c r="M666" s="21">
        <v>38194</v>
      </c>
      <c r="N666">
        <v>2004</v>
      </c>
      <c r="R666" s="262">
        <v>260000</v>
      </c>
      <c r="S666" t="s">
        <v>114</v>
      </c>
      <c r="T666" t="s">
        <v>114</v>
      </c>
      <c r="U666">
        <v>5</v>
      </c>
      <c r="W666">
        <v>3054</v>
      </c>
      <c r="X666">
        <v>1</v>
      </c>
      <c r="Y666">
        <v>0</v>
      </c>
      <c r="Z666">
        <v>0</v>
      </c>
      <c r="AA666">
        <v>0</v>
      </c>
      <c r="AB666">
        <v>0</v>
      </c>
      <c r="AC666">
        <v>3054</v>
      </c>
      <c r="AD666">
        <v>0</v>
      </c>
      <c r="AE666">
        <v>0</v>
      </c>
      <c r="AF666">
        <v>0</v>
      </c>
      <c r="AG666">
        <v>0</v>
      </c>
      <c r="AH666">
        <v>0</v>
      </c>
      <c r="AI666">
        <v>0</v>
      </c>
      <c r="AJ666">
        <v>0</v>
      </c>
      <c r="AK666">
        <v>0</v>
      </c>
      <c r="AL666">
        <v>0</v>
      </c>
      <c r="AM666">
        <v>0</v>
      </c>
      <c r="AN666">
        <v>0</v>
      </c>
      <c r="AO666">
        <v>1</v>
      </c>
      <c r="AP666">
        <v>0</v>
      </c>
      <c r="AQ666">
        <v>0</v>
      </c>
      <c r="AR666">
        <v>0</v>
      </c>
      <c r="AS666">
        <v>0</v>
      </c>
      <c r="AT666">
        <v>0</v>
      </c>
      <c r="AU666">
        <f t="shared" si="20"/>
        <v>1</v>
      </c>
      <c r="AV666">
        <f t="shared" si="21"/>
        <v>0</v>
      </c>
    </row>
    <row r="667" spans="1:48" x14ac:dyDescent="0.25">
      <c r="A667" t="s">
        <v>4020</v>
      </c>
      <c r="C667" t="s">
        <v>4021</v>
      </c>
      <c r="D667" t="s">
        <v>4022</v>
      </c>
      <c r="E667" t="s">
        <v>2310</v>
      </c>
      <c r="F667">
        <v>9</v>
      </c>
      <c r="G667">
        <v>9.1999999999999993</v>
      </c>
      <c r="H667" t="s">
        <v>2022</v>
      </c>
      <c r="I667" s="21">
        <v>37816</v>
      </c>
      <c r="J667">
        <v>2003</v>
      </c>
      <c r="K667" s="21">
        <v>37844</v>
      </c>
      <c r="L667">
        <v>2003</v>
      </c>
      <c r="M667" s="21">
        <v>37970</v>
      </c>
      <c r="N667">
        <v>2003</v>
      </c>
      <c r="R667" s="262">
        <v>50000</v>
      </c>
      <c r="S667" t="s">
        <v>114</v>
      </c>
      <c r="T667" t="s">
        <v>114</v>
      </c>
      <c r="U667">
        <v>5</v>
      </c>
      <c r="W667">
        <v>0</v>
      </c>
      <c r="X667">
        <v>0</v>
      </c>
      <c r="Y667">
        <v>0</v>
      </c>
      <c r="Z667">
        <v>0</v>
      </c>
      <c r="AA667">
        <v>0</v>
      </c>
      <c r="AB667">
        <v>0</v>
      </c>
      <c r="AC667">
        <v>0</v>
      </c>
      <c r="AD667">
        <v>0</v>
      </c>
      <c r="AE667">
        <v>0</v>
      </c>
      <c r="AF667">
        <v>0</v>
      </c>
      <c r="AG667">
        <v>0</v>
      </c>
      <c r="AH667">
        <v>0</v>
      </c>
      <c r="AI667">
        <v>0</v>
      </c>
      <c r="AJ667">
        <v>0</v>
      </c>
      <c r="AK667">
        <v>0</v>
      </c>
      <c r="AL667">
        <v>0</v>
      </c>
      <c r="AM667">
        <v>0</v>
      </c>
      <c r="AN667">
        <v>0</v>
      </c>
      <c r="AO667">
        <v>0</v>
      </c>
      <c r="AP667">
        <v>0</v>
      </c>
      <c r="AQ667">
        <v>0</v>
      </c>
      <c r="AR667">
        <v>0</v>
      </c>
      <c r="AS667">
        <v>0</v>
      </c>
      <c r="AT667">
        <v>0</v>
      </c>
      <c r="AU667">
        <f t="shared" si="20"/>
        <v>0</v>
      </c>
      <c r="AV667">
        <f t="shared" si="21"/>
        <v>0</v>
      </c>
    </row>
    <row r="668" spans="1:48" x14ac:dyDescent="0.25">
      <c r="A668" t="s">
        <v>4023</v>
      </c>
      <c r="C668" t="s">
        <v>4024</v>
      </c>
      <c r="D668" t="s">
        <v>4025</v>
      </c>
      <c r="E668" t="s">
        <v>2310</v>
      </c>
      <c r="F668">
        <v>15</v>
      </c>
      <c r="G668">
        <v>15.2</v>
      </c>
      <c r="H668" t="s">
        <v>2323</v>
      </c>
      <c r="I668" s="21">
        <v>37816</v>
      </c>
      <c r="J668">
        <v>2003</v>
      </c>
      <c r="K668" s="21">
        <v>37846</v>
      </c>
      <c r="L668">
        <v>2003</v>
      </c>
      <c r="M668" s="21">
        <v>38131</v>
      </c>
      <c r="N668">
        <v>2004</v>
      </c>
      <c r="R668" s="262">
        <v>425000</v>
      </c>
      <c r="S668" t="s">
        <v>114</v>
      </c>
      <c r="T668" t="s">
        <v>114</v>
      </c>
      <c r="U668">
        <v>5</v>
      </c>
      <c r="W668">
        <v>3754</v>
      </c>
      <c r="X668">
        <v>1</v>
      </c>
      <c r="Y668">
        <v>0</v>
      </c>
      <c r="Z668">
        <v>0</v>
      </c>
      <c r="AA668">
        <v>0</v>
      </c>
      <c r="AB668">
        <v>0</v>
      </c>
      <c r="AC668">
        <v>3754</v>
      </c>
      <c r="AD668">
        <v>0</v>
      </c>
      <c r="AE668">
        <v>0</v>
      </c>
      <c r="AF668">
        <v>0</v>
      </c>
      <c r="AG668">
        <v>0</v>
      </c>
      <c r="AH668">
        <v>0</v>
      </c>
      <c r="AI668">
        <v>0</v>
      </c>
      <c r="AJ668">
        <v>0</v>
      </c>
      <c r="AK668">
        <v>0</v>
      </c>
      <c r="AL668">
        <v>0</v>
      </c>
      <c r="AM668">
        <v>0</v>
      </c>
      <c r="AN668">
        <v>0</v>
      </c>
      <c r="AO668">
        <v>1</v>
      </c>
      <c r="AP668">
        <v>0</v>
      </c>
      <c r="AQ668">
        <v>0</v>
      </c>
      <c r="AR668">
        <v>0</v>
      </c>
      <c r="AS668">
        <v>0</v>
      </c>
      <c r="AT668">
        <v>0</v>
      </c>
      <c r="AU668">
        <f t="shared" si="20"/>
        <v>1</v>
      </c>
      <c r="AV668">
        <f t="shared" si="21"/>
        <v>0</v>
      </c>
    </row>
    <row r="669" spans="1:48" x14ac:dyDescent="0.25">
      <c r="A669" t="s">
        <v>4026</v>
      </c>
      <c r="C669" t="s">
        <v>2838</v>
      </c>
      <c r="D669" t="s">
        <v>4027</v>
      </c>
      <c r="E669" t="s">
        <v>2310</v>
      </c>
      <c r="F669">
        <v>10</v>
      </c>
      <c r="G669">
        <v>10.1</v>
      </c>
      <c r="H669" t="s">
        <v>2323</v>
      </c>
      <c r="I669" s="21">
        <v>37817</v>
      </c>
      <c r="J669">
        <v>2003</v>
      </c>
      <c r="K669" s="21">
        <v>37846</v>
      </c>
      <c r="L669">
        <v>2003</v>
      </c>
      <c r="M669" s="21">
        <v>38062</v>
      </c>
      <c r="N669">
        <v>2004</v>
      </c>
      <c r="R669" s="262">
        <v>210000</v>
      </c>
      <c r="S669" t="s">
        <v>114</v>
      </c>
      <c r="T669" t="s">
        <v>114</v>
      </c>
      <c r="U669">
        <v>5</v>
      </c>
      <c r="W669">
        <v>2483</v>
      </c>
      <c r="X669">
        <v>1</v>
      </c>
      <c r="Y669">
        <v>0</v>
      </c>
      <c r="Z669">
        <v>0</v>
      </c>
      <c r="AA669">
        <v>0</v>
      </c>
      <c r="AB669">
        <v>0</v>
      </c>
      <c r="AC669">
        <v>2483</v>
      </c>
      <c r="AD669">
        <v>0</v>
      </c>
      <c r="AE669">
        <v>0</v>
      </c>
      <c r="AF669">
        <v>0</v>
      </c>
      <c r="AG669">
        <v>0</v>
      </c>
      <c r="AH669">
        <v>0</v>
      </c>
      <c r="AI669">
        <v>0</v>
      </c>
      <c r="AJ669">
        <v>0</v>
      </c>
      <c r="AK669">
        <v>0</v>
      </c>
      <c r="AL669">
        <v>0</v>
      </c>
      <c r="AM669">
        <v>0</v>
      </c>
      <c r="AN669">
        <v>0</v>
      </c>
      <c r="AO669">
        <v>1</v>
      </c>
      <c r="AP669">
        <v>0</v>
      </c>
      <c r="AQ669">
        <v>0</v>
      </c>
      <c r="AR669">
        <v>0</v>
      </c>
      <c r="AS669">
        <v>0</v>
      </c>
      <c r="AT669">
        <v>0</v>
      </c>
      <c r="AU669">
        <f t="shared" si="20"/>
        <v>1</v>
      </c>
      <c r="AV669">
        <f t="shared" si="21"/>
        <v>0</v>
      </c>
    </row>
    <row r="670" spans="1:48" x14ac:dyDescent="0.25">
      <c r="A670" t="s">
        <v>4028</v>
      </c>
      <c r="C670" t="s">
        <v>4029</v>
      </c>
      <c r="D670" t="s">
        <v>3294</v>
      </c>
      <c r="E670" t="s">
        <v>2310</v>
      </c>
      <c r="F670">
        <v>9</v>
      </c>
      <c r="G670">
        <v>9.4</v>
      </c>
      <c r="H670" t="s">
        <v>2323</v>
      </c>
      <c r="I670" s="21">
        <v>37817</v>
      </c>
      <c r="J670">
        <v>2003</v>
      </c>
      <c r="K670" s="21">
        <v>37881</v>
      </c>
      <c r="L670">
        <v>2003</v>
      </c>
      <c r="M670" s="21">
        <v>37881</v>
      </c>
      <c r="N670">
        <v>2003</v>
      </c>
      <c r="R670" s="262">
        <v>150000</v>
      </c>
      <c r="S670" t="s">
        <v>114</v>
      </c>
      <c r="T670" t="s">
        <v>114</v>
      </c>
      <c r="U670">
        <v>5</v>
      </c>
      <c r="W670">
        <v>1266</v>
      </c>
      <c r="X670">
        <v>0</v>
      </c>
      <c r="Y670">
        <v>0</v>
      </c>
      <c r="Z670">
        <v>0</v>
      </c>
      <c r="AA670">
        <v>0</v>
      </c>
      <c r="AB670">
        <v>0</v>
      </c>
      <c r="AC670">
        <v>1266</v>
      </c>
      <c r="AD670">
        <v>0</v>
      </c>
      <c r="AE670">
        <v>0</v>
      </c>
      <c r="AF670">
        <v>0</v>
      </c>
      <c r="AG670">
        <v>0</v>
      </c>
      <c r="AH670">
        <v>0</v>
      </c>
      <c r="AI670">
        <v>0</v>
      </c>
      <c r="AJ670">
        <v>0</v>
      </c>
      <c r="AK670">
        <v>0</v>
      </c>
      <c r="AL670">
        <v>0</v>
      </c>
      <c r="AM670">
        <v>0</v>
      </c>
      <c r="AN670">
        <v>0</v>
      </c>
      <c r="AO670">
        <v>0</v>
      </c>
      <c r="AP670">
        <v>0</v>
      </c>
      <c r="AQ670">
        <v>0</v>
      </c>
      <c r="AR670">
        <v>0</v>
      </c>
      <c r="AS670">
        <v>0</v>
      </c>
      <c r="AT670">
        <v>0</v>
      </c>
      <c r="AU670">
        <f t="shared" si="20"/>
        <v>0</v>
      </c>
      <c r="AV670">
        <f t="shared" si="21"/>
        <v>0</v>
      </c>
    </row>
    <row r="671" spans="1:48" x14ac:dyDescent="0.25">
      <c r="A671" t="s">
        <v>4030</v>
      </c>
      <c r="C671" t="s">
        <v>4031</v>
      </c>
      <c r="D671" t="s">
        <v>4032</v>
      </c>
      <c r="E671" t="s">
        <v>2310</v>
      </c>
      <c r="F671">
        <v>10</v>
      </c>
      <c r="G671">
        <v>10.1</v>
      </c>
      <c r="H671" t="s">
        <v>2323</v>
      </c>
      <c r="I671" s="21">
        <v>37817</v>
      </c>
      <c r="J671">
        <v>2003</v>
      </c>
      <c r="K671" s="21">
        <v>37847</v>
      </c>
      <c r="L671">
        <v>2003</v>
      </c>
      <c r="M671" s="21">
        <v>38152</v>
      </c>
      <c r="N671">
        <v>2004</v>
      </c>
      <c r="R671" s="262">
        <v>281000</v>
      </c>
      <c r="S671" t="s">
        <v>114</v>
      </c>
      <c r="T671" t="s">
        <v>114</v>
      </c>
      <c r="U671">
        <v>5</v>
      </c>
      <c r="W671">
        <v>3666</v>
      </c>
      <c r="X671">
        <v>1</v>
      </c>
      <c r="Y671">
        <v>0</v>
      </c>
      <c r="Z671">
        <v>0</v>
      </c>
      <c r="AA671">
        <v>0</v>
      </c>
      <c r="AB671">
        <v>0</v>
      </c>
      <c r="AC671">
        <v>3666</v>
      </c>
      <c r="AD671">
        <v>0</v>
      </c>
      <c r="AE671">
        <v>0</v>
      </c>
      <c r="AF671">
        <v>0</v>
      </c>
      <c r="AG671">
        <v>0</v>
      </c>
      <c r="AH671">
        <v>0</v>
      </c>
      <c r="AI671">
        <v>0</v>
      </c>
      <c r="AJ671">
        <v>0</v>
      </c>
      <c r="AK671">
        <v>0</v>
      </c>
      <c r="AL671">
        <v>0</v>
      </c>
      <c r="AM671">
        <v>0</v>
      </c>
      <c r="AN671">
        <v>0</v>
      </c>
      <c r="AO671">
        <v>1</v>
      </c>
      <c r="AP671">
        <v>0</v>
      </c>
      <c r="AQ671">
        <v>0</v>
      </c>
      <c r="AR671">
        <v>0</v>
      </c>
      <c r="AS671">
        <v>0</v>
      </c>
      <c r="AT671">
        <v>0</v>
      </c>
      <c r="AU671">
        <f t="shared" si="20"/>
        <v>1</v>
      </c>
      <c r="AV671">
        <f t="shared" si="21"/>
        <v>0</v>
      </c>
    </row>
    <row r="672" spans="1:48" x14ac:dyDescent="0.25">
      <c r="A672" t="s">
        <v>4033</v>
      </c>
      <c r="C672" t="s">
        <v>4034</v>
      </c>
      <c r="D672" t="s">
        <v>4035</v>
      </c>
      <c r="E672" t="s">
        <v>2310</v>
      </c>
      <c r="F672">
        <v>9</v>
      </c>
      <c r="G672">
        <v>9.1</v>
      </c>
      <c r="H672" t="s">
        <v>2323</v>
      </c>
      <c r="I672" s="21">
        <v>37819</v>
      </c>
      <c r="J672">
        <v>2003</v>
      </c>
      <c r="K672" s="21">
        <v>37848</v>
      </c>
      <c r="L672">
        <v>2003</v>
      </c>
      <c r="M672" s="21">
        <v>38198</v>
      </c>
      <c r="N672">
        <v>2004</v>
      </c>
      <c r="R672" s="262">
        <v>1450000</v>
      </c>
      <c r="S672" t="s">
        <v>114</v>
      </c>
      <c r="T672" t="s">
        <v>114</v>
      </c>
      <c r="U672">
        <v>5</v>
      </c>
      <c r="W672">
        <v>6388</v>
      </c>
      <c r="X672">
        <v>1</v>
      </c>
      <c r="Y672">
        <v>0</v>
      </c>
      <c r="Z672">
        <v>0</v>
      </c>
      <c r="AA672">
        <v>0</v>
      </c>
      <c r="AB672">
        <v>0</v>
      </c>
      <c r="AC672">
        <v>6388</v>
      </c>
      <c r="AD672">
        <v>0</v>
      </c>
      <c r="AE672">
        <v>0</v>
      </c>
      <c r="AF672">
        <v>0</v>
      </c>
      <c r="AG672">
        <v>0</v>
      </c>
      <c r="AH672">
        <v>0</v>
      </c>
      <c r="AI672">
        <v>0</v>
      </c>
      <c r="AJ672">
        <v>0</v>
      </c>
      <c r="AK672">
        <v>0</v>
      </c>
      <c r="AL672">
        <v>0</v>
      </c>
      <c r="AM672">
        <v>0</v>
      </c>
      <c r="AN672">
        <v>0</v>
      </c>
      <c r="AO672">
        <v>1</v>
      </c>
      <c r="AP672">
        <v>0</v>
      </c>
      <c r="AQ672">
        <v>0</v>
      </c>
      <c r="AR672">
        <v>0</v>
      </c>
      <c r="AS672">
        <v>0</v>
      </c>
      <c r="AT672">
        <v>0</v>
      </c>
      <c r="AU672">
        <f t="shared" si="20"/>
        <v>1</v>
      </c>
      <c r="AV672">
        <f t="shared" si="21"/>
        <v>0</v>
      </c>
    </row>
    <row r="673" spans="1:48" x14ac:dyDescent="0.25">
      <c r="A673" t="s">
        <v>4036</v>
      </c>
      <c r="C673" t="s">
        <v>4037</v>
      </c>
      <c r="D673" t="s">
        <v>4038</v>
      </c>
      <c r="E673" t="s">
        <v>2310</v>
      </c>
      <c r="F673">
        <v>13</v>
      </c>
      <c r="G673">
        <v>13.3</v>
      </c>
      <c r="H673" t="s">
        <v>2017</v>
      </c>
      <c r="I673" s="21">
        <v>37819</v>
      </c>
      <c r="J673">
        <v>2003</v>
      </c>
      <c r="K673" s="21">
        <v>37872</v>
      </c>
      <c r="L673">
        <v>2003</v>
      </c>
      <c r="M673" s="21">
        <v>38581</v>
      </c>
      <c r="N673">
        <v>2005</v>
      </c>
      <c r="R673" s="262">
        <v>1950000</v>
      </c>
      <c r="S673" t="s">
        <v>114</v>
      </c>
      <c r="T673" t="s">
        <v>114</v>
      </c>
      <c r="U673">
        <v>5</v>
      </c>
      <c r="W673">
        <v>10056</v>
      </c>
      <c r="X673">
        <v>1</v>
      </c>
      <c r="Y673">
        <v>0</v>
      </c>
      <c r="Z673">
        <v>0</v>
      </c>
      <c r="AA673">
        <v>0</v>
      </c>
      <c r="AB673">
        <v>0</v>
      </c>
      <c r="AC673">
        <v>10056</v>
      </c>
      <c r="AD673">
        <v>0</v>
      </c>
      <c r="AE673">
        <v>0</v>
      </c>
      <c r="AF673">
        <v>0</v>
      </c>
      <c r="AG673">
        <v>0</v>
      </c>
      <c r="AH673">
        <v>0</v>
      </c>
      <c r="AI673">
        <v>0</v>
      </c>
      <c r="AJ673">
        <v>0</v>
      </c>
      <c r="AK673">
        <v>0</v>
      </c>
      <c r="AL673">
        <v>0</v>
      </c>
      <c r="AM673">
        <v>0</v>
      </c>
      <c r="AN673">
        <v>0</v>
      </c>
      <c r="AO673">
        <v>1</v>
      </c>
      <c r="AP673">
        <v>0</v>
      </c>
      <c r="AQ673">
        <v>0</v>
      </c>
      <c r="AR673">
        <v>0</v>
      </c>
      <c r="AS673">
        <v>0</v>
      </c>
      <c r="AT673">
        <v>0</v>
      </c>
      <c r="AU673">
        <f t="shared" si="20"/>
        <v>1</v>
      </c>
      <c r="AV673">
        <f t="shared" si="21"/>
        <v>0</v>
      </c>
    </row>
    <row r="674" spans="1:48" x14ac:dyDescent="0.25">
      <c r="A674" t="s">
        <v>4042</v>
      </c>
      <c r="C674" t="s">
        <v>4043</v>
      </c>
      <c r="D674" t="s">
        <v>4044</v>
      </c>
      <c r="E674" t="s">
        <v>2310</v>
      </c>
      <c r="F674">
        <v>8</v>
      </c>
      <c r="G674">
        <v>8.1999999999999993</v>
      </c>
      <c r="H674" t="s">
        <v>2022</v>
      </c>
      <c r="I674" s="21">
        <v>37820</v>
      </c>
      <c r="J674">
        <v>2003</v>
      </c>
      <c r="K674" s="21">
        <v>37868</v>
      </c>
      <c r="L674">
        <v>2003</v>
      </c>
      <c r="M674" s="21">
        <v>38434</v>
      </c>
      <c r="N674">
        <v>2005</v>
      </c>
      <c r="R674" s="262">
        <v>200000</v>
      </c>
      <c r="S674" t="s">
        <v>114</v>
      </c>
      <c r="T674" t="s">
        <v>114</v>
      </c>
      <c r="U674">
        <v>5</v>
      </c>
      <c r="W674">
        <v>1411</v>
      </c>
      <c r="X674">
        <v>0</v>
      </c>
      <c r="Y674">
        <v>0</v>
      </c>
      <c r="Z674">
        <v>0</v>
      </c>
      <c r="AA674">
        <v>0</v>
      </c>
      <c r="AB674">
        <v>0</v>
      </c>
      <c r="AC674">
        <v>1411</v>
      </c>
      <c r="AD674">
        <v>0</v>
      </c>
      <c r="AE674">
        <v>0</v>
      </c>
      <c r="AF674">
        <v>0</v>
      </c>
      <c r="AG674">
        <v>0</v>
      </c>
      <c r="AH674">
        <v>0</v>
      </c>
      <c r="AI674">
        <v>0</v>
      </c>
      <c r="AJ674">
        <v>0</v>
      </c>
      <c r="AK674">
        <v>0</v>
      </c>
      <c r="AL674">
        <v>0</v>
      </c>
      <c r="AM674">
        <v>0</v>
      </c>
      <c r="AN674">
        <v>0</v>
      </c>
      <c r="AO674">
        <v>0</v>
      </c>
      <c r="AP674">
        <v>0</v>
      </c>
      <c r="AQ674">
        <v>0</v>
      </c>
      <c r="AR674">
        <v>0</v>
      </c>
      <c r="AS674">
        <v>0</v>
      </c>
      <c r="AT674">
        <v>0</v>
      </c>
      <c r="AU674">
        <f t="shared" si="20"/>
        <v>0</v>
      </c>
      <c r="AV674">
        <f t="shared" si="21"/>
        <v>0</v>
      </c>
    </row>
    <row r="675" spans="1:48" x14ac:dyDescent="0.25">
      <c r="A675" t="s">
        <v>4045</v>
      </c>
      <c r="C675" t="s">
        <v>4046</v>
      </c>
      <c r="D675" t="s">
        <v>4047</v>
      </c>
      <c r="E675" t="s">
        <v>2310</v>
      </c>
      <c r="F675">
        <v>12</v>
      </c>
      <c r="G675">
        <v>12.3</v>
      </c>
      <c r="H675" t="s">
        <v>2017</v>
      </c>
      <c r="I675" s="21">
        <v>37820</v>
      </c>
      <c r="J675">
        <v>2003</v>
      </c>
      <c r="K675" s="21">
        <v>37851</v>
      </c>
      <c r="L675">
        <v>2003</v>
      </c>
      <c r="M675" s="21">
        <v>37851</v>
      </c>
      <c r="N675">
        <v>2003</v>
      </c>
      <c r="R675" s="262">
        <v>500000</v>
      </c>
      <c r="S675" t="s">
        <v>114</v>
      </c>
      <c r="T675" t="s">
        <v>114</v>
      </c>
      <c r="U675">
        <v>5</v>
      </c>
      <c r="W675">
        <v>39</v>
      </c>
      <c r="X675">
        <v>0</v>
      </c>
      <c r="Y675">
        <v>0</v>
      </c>
      <c r="Z675">
        <v>0</v>
      </c>
      <c r="AA675">
        <v>0</v>
      </c>
      <c r="AB675">
        <v>0</v>
      </c>
      <c r="AC675">
        <v>39</v>
      </c>
      <c r="AD675">
        <v>0</v>
      </c>
      <c r="AE675">
        <v>0</v>
      </c>
      <c r="AF675">
        <v>0</v>
      </c>
      <c r="AG675">
        <v>0</v>
      </c>
      <c r="AH675">
        <v>0</v>
      </c>
      <c r="AI675">
        <v>0</v>
      </c>
      <c r="AJ675">
        <v>0</v>
      </c>
      <c r="AK675">
        <v>0</v>
      </c>
      <c r="AL675">
        <v>0</v>
      </c>
      <c r="AM675">
        <v>0</v>
      </c>
      <c r="AN675">
        <v>0</v>
      </c>
      <c r="AO675">
        <v>0</v>
      </c>
      <c r="AP675">
        <v>0</v>
      </c>
      <c r="AQ675">
        <v>0</v>
      </c>
      <c r="AR675">
        <v>0</v>
      </c>
      <c r="AS675">
        <v>0</v>
      </c>
      <c r="AT675">
        <v>0</v>
      </c>
      <c r="AU675">
        <f t="shared" si="20"/>
        <v>0</v>
      </c>
      <c r="AV675">
        <f t="shared" si="21"/>
        <v>0</v>
      </c>
    </row>
    <row r="676" spans="1:48" x14ac:dyDescent="0.25">
      <c r="A676" t="s">
        <v>4039</v>
      </c>
      <c r="C676" t="s">
        <v>4040</v>
      </c>
      <c r="D676" t="s">
        <v>4041</v>
      </c>
      <c r="E676" t="s">
        <v>1663</v>
      </c>
      <c r="F676">
        <v>4</v>
      </c>
      <c r="G676">
        <v>4.3</v>
      </c>
      <c r="H676" t="s">
        <v>2327</v>
      </c>
      <c r="I676" s="21">
        <v>37820</v>
      </c>
      <c r="J676">
        <v>2003</v>
      </c>
      <c r="K676" s="21">
        <v>37851</v>
      </c>
      <c r="L676">
        <v>2003</v>
      </c>
      <c r="M676" s="21">
        <v>38004</v>
      </c>
      <c r="N676">
        <v>2004</v>
      </c>
      <c r="Q676" s="262">
        <v>2600000</v>
      </c>
      <c r="S676" t="s">
        <v>114</v>
      </c>
      <c r="T676" t="s">
        <v>114</v>
      </c>
      <c r="W676">
        <v>29350</v>
      </c>
      <c r="X676">
        <v>20</v>
      </c>
      <c r="Y676">
        <v>0</v>
      </c>
      <c r="Z676">
        <v>0</v>
      </c>
      <c r="AA676">
        <v>0</v>
      </c>
      <c r="AB676">
        <v>0</v>
      </c>
      <c r="AC676">
        <v>0</v>
      </c>
      <c r="AD676">
        <v>0</v>
      </c>
      <c r="AE676">
        <v>20585</v>
      </c>
      <c r="AF676">
        <v>0</v>
      </c>
      <c r="AG676">
        <v>0</v>
      </c>
      <c r="AH676">
        <v>0</v>
      </c>
      <c r="AI676">
        <v>0</v>
      </c>
      <c r="AJ676">
        <v>0</v>
      </c>
      <c r="AK676">
        <v>765</v>
      </c>
      <c r="AL676">
        <v>8000</v>
      </c>
      <c r="AM676">
        <v>0</v>
      </c>
      <c r="AN676">
        <v>0</v>
      </c>
      <c r="AO676">
        <v>0</v>
      </c>
      <c r="AP676">
        <v>0</v>
      </c>
      <c r="AQ676">
        <v>20</v>
      </c>
      <c r="AR676">
        <v>0</v>
      </c>
      <c r="AS676">
        <v>0</v>
      </c>
      <c r="AT676">
        <v>0</v>
      </c>
      <c r="AU676">
        <f t="shared" si="20"/>
        <v>20</v>
      </c>
      <c r="AV676">
        <f t="shared" si="21"/>
        <v>8765</v>
      </c>
    </row>
    <row r="677" spans="1:48" x14ac:dyDescent="0.25">
      <c r="A677" t="s">
        <v>4048</v>
      </c>
      <c r="C677" t="s">
        <v>4049</v>
      </c>
      <c r="D677" t="s">
        <v>4050</v>
      </c>
      <c r="E677" t="s">
        <v>2310</v>
      </c>
      <c r="F677">
        <v>9</v>
      </c>
      <c r="G677">
        <v>9.1999999999999993</v>
      </c>
      <c r="H677" t="s">
        <v>2022</v>
      </c>
      <c r="I677" s="21">
        <v>37823</v>
      </c>
      <c r="J677">
        <v>2003</v>
      </c>
      <c r="K677" s="21">
        <v>37851</v>
      </c>
      <c r="L677">
        <v>2003</v>
      </c>
      <c r="M677" s="21">
        <v>38002</v>
      </c>
      <c r="N677">
        <v>2004</v>
      </c>
      <c r="R677" s="262">
        <v>60000</v>
      </c>
      <c r="S677" t="s">
        <v>114</v>
      </c>
      <c r="T677" t="s">
        <v>114</v>
      </c>
      <c r="U677">
        <v>5</v>
      </c>
      <c r="W677">
        <v>610</v>
      </c>
      <c r="X677">
        <v>0</v>
      </c>
      <c r="Y677">
        <v>0</v>
      </c>
      <c r="Z677">
        <v>0</v>
      </c>
      <c r="AA677">
        <v>0</v>
      </c>
      <c r="AB677">
        <v>0</v>
      </c>
      <c r="AC677">
        <v>610</v>
      </c>
      <c r="AD677">
        <v>0</v>
      </c>
      <c r="AE677">
        <v>0</v>
      </c>
      <c r="AF677">
        <v>0</v>
      </c>
      <c r="AG677">
        <v>0</v>
      </c>
      <c r="AH677">
        <v>0</v>
      </c>
      <c r="AI677">
        <v>0</v>
      </c>
      <c r="AJ677">
        <v>0</v>
      </c>
      <c r="AK677">
        <v>0</v>
      </c>
      <c r="AL677">
        <v>0</v>
      </c>
      <c r="AM677">
        <v>0</v>
      </c>
      <c r="AN677">
        <v>0</v>
      </c>
      <c r="AO677">
        <v>0</v>
      </c>
      <c r="AP677">
        <v>0</v>
      </c>
      <c r="AQ677">
        <v>0</v>
      </c>
      <c r="AR677">
        <v>0</v>
      </c>
      <c r="AS677">
        <v>0</v>
      </c>
      <c r="AT677">
        <v>0</v>
      </c>
      <c r="AU677">
        <f t="shared" si="20"/>
        <v>0</v>
      </c>
      <c r="AV677">
        <f t="shared" si="21"/>
        <v>0</v>
      </c>
    </row>
    <row r="678" spans="1:48" x14ac:dyDescent="0.25">
      <c r="A678" t="s">
        <v>4051</v>
      </c>
      <c r="C678" t="s">
        <v>4052</v>
      </c>
      <c r="D678" t="s">
        <v>4053</v>
      </c>
      <c r="E678" t="s">
        <v>2310</v>
      </c>
      <c r="F678">
        <v>9</v>
      </c>
      <c r="G678">
        <v>9.1</v>
      </c>
      <c r="H678" t="s">
        <v>2323</v>
      </c>
      <c r="I678" s="21">
        <v>37823</v>
      </c>
      <c r="J678">
        <v>2003</v>
      </c>
      <c r="K678" s="21">
        <v>37851</v>
      </c>
      <c r="L678">
        <v>2003</v>
      </c>
      <c r="M678" s="21">
        <v>38546</v>
      </c>
      <c r="N678">
        <v>2005</v>
      </c>
      <c r="R678" s="262">
        <v>5000</v>
      </c>
      <c r="S678" t="s">
        <v>114</v>
      </c>
      <c r="T678" t="s">
        <v>114</v>
      </c>
      <c r="U678">
        <v>5</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c r="AQ678">
        <v>0</v>
      </c>
      <c r="AR678">
        <v>0</v>
      </c>
      <c r="AS678">
        <v>0</v>
      </c>
      <c r="AT678">
        <v>0</v>
      </c>
      <c r="AU678">
        <f t="shared" si="20"/>
        <v>0</v>
      </c>
      <c r="AV678">
        <f t="shared" si="21"/>
        <v>0</v>
      </c>
    </row>
    <row r="679" spans="1:48" x14ac:dyDescent="0.25">
      <c r="A679" t="s">
        <v>4054</v>
      </c>
      <c r="C679" t="s">
        <v>4055</v>
      </c>
      <c r="D679" t="s">
        <v>4056</v>
      </c>
      <c r="E679" t="s">
        <v>2310</v>
      </c>
      <c r="F679">
        <v>9</v>
      </c>
      <c r="G679">
        <v>9.4</v>
      </c>
      <c r="H679" t="s">
        <v>2323</v>
      </c>
      <c r="I679" s="21">
        <v>37823</v>
      </c>
      <c r="J679">
        <v>2003</v>
      </c>
      <c r="K679" s="21">
        <v>37852</v>
      </c>
      <c r="L679">
        <v>2003</v>
      </c>
      <c r="M679" s="21">
        <v>38831</v>
      </c>
      <c r="N679">
        <v>2006</v>
      </c>
      <c r="R679" s="262">
        <v>28000</v>
      </c>
      <c r="S679" t="s">
        <v>114</v>
      </c>
      <c r="T679" t="s">
        <v>114</v>
      </c>
      <c r="U679">
        <v>3</v>
      </c>
      <c r="W679">
        <v>280</v>
      </c>
      <c r="X679">
        <v>0</v>
      </c>
      <c r="Y679">
        <v>0</v>
      </c>
      <c r="Z679">
        <v>0</v>
      </c>
      <c r="AA679">
        <v>280</v>
      </c>
      <c r="AB679">
        <v>0</v>
      </c>
      <c r="AC679">
        <v>0</v>
      </c>
      <c r="AD679">
        <v>0</v>
      </c>
      <c r="AE679">
        <v>0</v>
      </c>
      <c r="AF679">
        <v>0</v>
      </c>
      <c r="AG679">
        <v>0</v>
      </c>
      <c r="AH679">
        <v>0</v>
      </c>
      <c r="AI679">
        <v>0</v>
      </c>
      <c r="AJ679">
        <v>0</v>
      </c>
      <c r="AK679">
        <v>0</v>
      </c>
      <c r="AL679">
        <v>0</v>
      </c>
      <c r="AM679">
        <v>0</v>
      </c>
      <c r="AN679">
        <v>0</v>
      </c>
      <c r="AO679">
        <v>0</v>
      </c>
      <c r="AP679">
        <v>0</v>
      </c>
      <c r="AQ679">
        <v>0</v>
      </c>
      <c r="AR679">
        <v>0</v>
      </c>
      <c r="AS679">
        <v>0</v>
      </c>
      <c r="AT679">
        <v>0</v>
      </c>
      <c r="AU679">
        <f t="shared" si="20"/>
        <v>0</v>
      </c>
      <c r="AV679">
        <f t="shared" si="21"/>
        <v>280</v>
      </c>
    </row>
    <row r="680" spans="1:48" x14ac:dyDescent="0.25">
      <c r="A680" t="s">
        <v>4057</v>
      </c>
      <c r="C680" t="s">
        <v>4058</v>
      </c>
      <c r="D680" t="s">
        <v>4059</v>
      </c>
      <c r="E680" t="s">
        <v>2310</v>
      </c>
      <c r="F680">
        <v>9</v>
      </c>
      <c r="G680">
        <v>9.4</v>
      </c>
      <c r="H680" t="s">
        <v>2323</v>
      </c>
      <c r="I680" s="21">
        <v>37823</v>
      </c>
      <c r="J680">
        <v>2003</v>
      </c>
      <c r="K680" s="21">
        <v>37852</v>
      </c>
      <c r="L680">
        <v>2003</v>
      </c>
      <c r="M680" s="21">
        <v>38693</v>
      </c>
      <c r="N680">
        <v>2005</v>
      </c>
      <c r="R680" s="262">
        <v>28000</v>
      </c>
      <c r="S680" t="s">
        <v>114</v>
      </c>
      <c r="T680" t="s">
        <v>114</v>
      </c>
      <c r="U680">
        <v>3</v>
      </c>
      <c r="W680">
        <v>280</v>
      </c>
      <c r="X680">
        <v>0</v>
      </c>
      <c r="Y680">
        <v>0</v>
      </c>
      <c r="Z680">
        <v>0</v>
      </c>
      <c r="AA680">
        <v>280</v>
      </c>
      <c r="AB680">
        <v>0</v>
      </c>
      <c r="AC680">
        <v>0</v>
      </c>
      <c r="AD680">
        <v>0</v>
      </c>
      <c r="AE680">
        <v>0</v>
      </c>
      <c r="AF680">
        <v>0</v>
      </c>
      <c r="AG680">
        <v>0</v>
      </c>
      <c r="AH680">
        <v>0</v>
      </c>
      <c r="AI680">
        <v>0</v>
      </c>
      <c r="AJ680">
        <v>0</v>
      </c>
      <c r="AK680">
        <v>0</v>
      </c>
      <c r="AL680">
        <v>0</v>
      </c>
      <c r="AM680">
        <v>0</v>
      </c>
      <c r="AN680">
        <v>0</v>
      </c>
      <c r="AO680">
        <v>0</v>
      </c>
      <c r="AP680">
        <v>0</v>
      </c>
      <c r="AQ680">
        <v>0</v>
      </c>
      <c r="AR680">
        <v>0</v>
      </c>
      <c r="AS680">
        <v>0</v>
      </c>
      <c r="AT680">
        <v>0</v>
      </c>
      <c r="AU680">
        <f t="shared" si="20"/>
        <v>0</v>
      </c>
      <c r="AV680">
        <f t="shared" si="21"/>
        <v>280</v>
      </c>
    </row>
    <row r="681" spans="1:48" x14ac:dyDescent="0.25">
      <c r="A681" t="s">
        <v>4060</v>
      </c>
      <c r="C681" t="s">
        <v>4061</v>
      </c>
      <c r="D681" t="s">
        <v>4062</v>
      </c>
      <c r="E681" t="s">
        <v>2310</v>
      </c>
      <c r="F681">
        <v>10</v>
      </c>
      <c r="G681">
        <v>10.1</v>
      </c>
      <c r="H681" t="s">
        <v>2323</v>
      </c>
      <c r="I681" s="21">
        <v>37824</v>
      </c>
      <c r="J681">
        <v>2003</v>
      </c>
      <c r="K681" s="21">
        <v>37854</v>
      </c>
      <c r="L681">
        <v>2003</v>
      </c>
      <c r="M681" s="21">
        <v>39568</v>
      </c>
      <c r="N681">
        <v>2008</v>
      </c>
      <c r="R681" s="262">
        <v>232000</v>
      </c>
      <c r="S681" t="s">
        <v>114</v>
      </c>
      <c r="T681" t="s">
        <v>114</v>
      </c>
      <c r="U681">
        <v>5</v>
      </c>
      <c r="W681">
        <v>3440</v>
      </c>
      <c r="X681">
        <v>1</v>
      </c>
      <c r="Y681">
        <v>0</v>
      </c>
      <c r="Z681">
        <v>0</v>
      </c>
      <c r="AA681">
        <v>0</v>
      </c>
      <c r="AB681">
        <v>0</v>
      </c>
      <c r="AC681">
        <v>3440</v>
      </c>
      <c r="AD681">
        <v>0</v>
      </c>
      <c r="AE681">
        <v>0</v>
      </c>
      <c r="AF681">
        <v>0</v>
      </c>
      <c r="AG681">
        <v>0</v>
      </c>
      <c r="AH681">
        <v>0</v>
      </c>
      <c r="AI681">
        <v>0</v>
      </c>
      <c r="AJ681">
        <v>0</v>
      </c>
      <c r="AK681">
        <v>0</v>
      </c>
      <c r="AL681">
        <v>0</v>
      </c>
      <c r="AM681">
        <v>0</v>
      </c>
      <c r="AN681">
        <v>0</v>
      </c>
      <c r="AO681">
        <v>1</v>
      </c>
      <c r="AP681">
        <v>0</v>
      </c>
      <c r="AQ681">
        <v>0</v>
      </c>
      <c r="AR681">
        <v>0</v>
      </c>
      <c r="AS681">
        <v>0</v>
      </c>
      <c r="AT681">
        <v>0</v>
      </c>
      <c r="AU681">
        <f t="shared" si="20"/>
        <v>1</v>
      </c>
      <c r="AV681">
        <f t="shared" si="21"/>
        <v>0</v>
      </c>
    </row>
    <row r="682" spans="1:48" x14ac:dyDescent="0.25">
      <c r="A682" t="s">
        <v>4063</v>
      </c>
      <c r="C682" t="s">
        <v>4064</v>
      </c>
      <c r="D682" t="s">
        <v>4065</v>
      </c>
      <c r="E682" t="s">
        <v>2310</v>
      </c>
      <c r="F682">
        <v>9</v>
      </c>
      <c r="G682">
        <v>9.4</v>
      </c>
      <c r="H682" t="s">
        <v>2323</v>
      </c>
      <c r="I682" s="21">
        <v>37824</v>
      </c>
      <c r="J682">
        <v>2003</v>
      </c>
      <c r="K682" s="21">
        <v>37854</v>
      </c>
      <c r="L682">
        <v>2003</v>
      </c>
      <c r="M682" s="21">
        <v>37854</v>
      </c>
      <c r="N682">
        <v>2003</v>
      </c>
      <c r="R682" s="262">
        <v>75000</v>
      </c>
      <c r="S682" t="s">
        <v>114</v>
      </c>
      <c r="T682" t="s">
        <v>114</v>
      </c>
      <c r="U682">
        <v>5</v>
      </c>
      <c r="W682">
        <v>0</v>
      </c>
      <c r="X682">
        <v>0</v>
      </c>
      <c r="Y682">
        <v>0</v>
      </c>
      <c r="Z682">
        <v>0</v>
      </c>
      <c r="AA682">
        <v>0</v>
      </c>
      <c r="AB682">
        <v>0</v>
      </c>
      <c r="AC682">
        <v>0</v>
      </c>
      <c r="AD682">
        <v>0</v>
      </c>
      <c r="AE682">
        <v>0</v>
      </c>
      <c r="AF682">
        <v>0</v>
      </c>
      <c r="AG682">
        <v>0</v>
      </c>
      <c r="AH682">
        <v>0</v>
      </c>
      <c r="AI682">
        <v>0</v>
      </c>
      <c r="AJ682">
        <v>0</v>
      </c>
      <c r="AK682">
        <v>0</v>
      </c>
      <c r="AL682">
        <v>0</v>
      </c>
      <c r="AM682">
        <v>0</v>
      </c>
      <c r="AN682">
        <v>0</v>
      </c>
      <c r="AO682">
        <v>0</v>
      </c>
      <c r="AP682">
        <v>0</v>
      </c>
      <c r="AQ682">
        <v>0</v>
      </c>
      <c r="AR682">
        <v>0</v>
      </c>
      <c r="AS682">
        <v>0</v>
      </c>
      <c r="AT682">
        <v>0</v>
      </c>
      <c r="AU682">
        <f t="shared" si="20"/>
        <v>0</v>
      </c>
      <c r="AV682">
        <f t="shared" si="21"/>
        <v>0</v>
      </c>
    </row>
    <row r="683" spans="1:48" x14ac:dyDescent="0.25">
      <c r="A683" t="s">
        <v>4066</v>
      </c>
      <c r="C683" t="s">
        <v>4067</v>
      </c>
      <c r="D683" t="s">
        <v>4068</v>
      </c>
      <c r="E683" t="s">
        <v>2310</v>
      </c>
      <c r="F683">
        <v>9</v>
      </c>
      <c r="G683">
        <v>9.1999999999999993</v>
      </c>
      <c r="H683" t="s">
        <v>2022</v>
      </c>
      <c r="I683" s="21">
        <v>37824</v>
      </c>
      <c r="J683">
        <v>2003</v>
      </c>
      <c r="K683" s="21">
        <v>37854</v>
      </c>
      <c r="L683">
        <v>2003</v>
      </c>
      <c r="M683" s="21">
        <v>40624.460821759298</v>
      </c>
      <c r="N683">
        <v>2011</v>
      </c>
      <c r="R683" s="262">
        <v>80000</v>
      </c>
      <c r="S683" t="s">
        <v>114</v>
      </c>
      <c r="T683" t="s">
        <v>114</v>
      </c>
      <c r="U683">
        <v>5</v>
      </c>
      <c r="W683">
        <v>165</v>
      </c>
      <c r="X683">
        <v>0</v>
      </c>
      <c r="Y683">
        <v>0</v>
      </c>
      <c r="Z683">
        <v>0</v>
      </c>
      <c r="AA683">
        <v>0</v>
      </c>
      <c r="AB683">
        <v>0</v>
      </c>
      <c r="AC683">
        <v>165</v>
      </c>
      <c r="AD683">
        <v>0</v>
      </c>
      <c r="AE683">
        <v>0</v>
      </c>
      <c r="AF683">
        <v>0</v>
      </c>
      <c r="AG683">
        <v>0</v>
      </c>
      <c r="AH683">
        <v>0</v>
      </c>
      <c r="AI683">
        <v>0</v>
      </c>
      <c r="AJ683">
        <v>0</v>
      </c>
      <c r="AK683">
        <v>0</v>
      </c>
      <c r="AL683">
        <v>0</v>
      </c>
      <c r="AM683">
        <v>0</v>
      </c>
      <c r="AN683">
        <v>0</v>
      </c>
      <c r="AO683">
        <v>0</v>
      </c>
      <c r="AP683">
        <v>0</v>
      </c>
      <c r="AQ683">
        <v>0</v>
      </c>
      <c r="AR683">
        <v>0</v>
      </c>
      <c r="AS683">
        <v>0</v>
      </c>
      <c r="AT683">
        <v>0</v>
      </c>
      <c r="AU683">
        <f t="shared" si="20"/>
        <v>0</v>
      </c>
      <c r="AV683">
        <f t="shared" si="21"/>
        <v>0</v>
      </c>
    </row>
    <row r="684" spans="1:48" x14ac:dyDescent="0.25">
      <c r="A684" t="s">
        <v>4069</v>
      </c>
      <c r="C684" t="s">
        <v>4070</v>
      </c>
      <c r="D684" t="s">
        <v>4071</v>
      </c>
      <c r="E684" t="s">
        <v>1663</v>
      </c>
      <c r="F684">
        <v>3</v>
      </c>
      <c r="G684">
        <v>3.2</v>
      </c>
      <c r="H684" t="s">
        <v>2327</v>
      </c>
      <c r="I684" s="21">
        <v>37825</v>
      </c>
      <c r="J684">
        <v>2003</v>
      </c>
      <c r="K684" s="21">
        <v>37856</v>
      </c>
      <c r="L684">
        <v>2003</v>
      </c>
      <c r="M684" s="21">
        <v>38009</v>
      </c>
      <c r="N684">
        <v>2004</v>
      </c>
      <c r="Q684" s="262">
        <v>0</v>
      </c>
      <c r="S684" t="s">
        <v>114</v>
      </c>
      <c r="T684" t="s">
        <v>114</v>
      </c>
      <c r="W684">
        <v>7925</v>
      </c>
      <c r="X684">
        <v>6</v>
      </c>
      <c r="Y684">
        <v>0</v>
      </c>
      <c r="Z684">
        <v>0</v>
      </c>
      <c r="AA684">
        <v>0</v>
      </c>
      <c r="AB684">
        <v>0</v>
      </c>
      <c r="AC684">
        <v>0</v>
      </c>
      <c r="AD684">
        <v>0</v>
      </c>
      <c r="AE684">
        <v>7925</v>
      </c>
      <c r="AF684">
        <v>0</v>
      </c>
      <c r="AG684">
        <v>0</v>
      </c>
      <c r="AH684">
        <v>0</v>
      </c>
      <c r="AI684">
        <v>0</v>
      </c>
      <c r="AJ684">
        <v>0</v>
      </c>
      <c r="AK684">
        <v>0</v>
      </c>
      <c r="AL684">
        <v>0</v>
      </c>
      <c r="AM684">
        <v>0</v>
      </c>
      <c r="AN684">
        <v>0</v>
      </c>
      <c r="AO684">
        <v>0</v>
      </c>
      <c r="AP684">
        <v>0</v>
      </c>
      <c r="AQ684">
        <v>6</v>
      </c>
      <c r="AR684">
        <v>0</v>
      </c>
      <c r="AS684">
        <v>0</v>
      </c>
      <c r="AT684">
        <v>0</v>
      </c>
      <c r="AU684">
        <f t="shared" si="20"/>
        <v>6</v>
      </c>
      <c r="AV684">
        <f t="shared" si="21"/>
        <v>0</v>
      </c>
    </row>
    <row r="685" spans="1:48" x14ac:dyDescent="0.25">
      <c r="A685" t="s">
        <v>4072</v>
      </c>
      <c r="C685" t="s">
        <v>4073</v>
      </c>
      <c r="D685" t="s">
        <v>4071</v>
      </c>
      <c r="E685" t="s">
        <v>1663</v>
      </c>
      <c r="F685">
        <v>3</v>
      </c>
      <c r="G685">
        <v>3.2</v>
      </c>
      <c r="H685" t="s">
        <v>2327</v>
      </c>
      <c r="I685" s="21">
        <v>37825</v>
      </c>
      <c r="J685">
        <v>2003</v>
      </c>
      <c r="K685" s="21">
        <v>37856</v>
      </c>
      <c r="L685">
        <v>2003</v>
      </c>
      <c r="M685" s="21">
        <v>38009</v>
      </c>
      <c r="N685">
        <v>2004</v>
      </c>
      <c r="Q685" s="262">
        <v>0</v>
      </c>
      <c r="S685" t="s">
        <v>114</v>
      </c>
      <c r="T685" t="s">
        <v>114</v>
      </c>
      <c r="W685">
        <v>7925</v>
      </c>
      <c r="X685">
        <v>6</v>
      </c>
      <c r="Y685">
        <v>0</v>
      </c>
      <c r="Z685">
        <v>0</v>
      </c>
      <c r="AA685">
        <v>0</v>
      </c>
      <c r="AB685">
        <v>0</v>
      </c>
      <c r="AC685">
        <v>0</v>
      </c>
      <c r="AD685">
        <v>0</v>
      </c>
      <c r="AE685">
        <v>7925</v>
      </c>
      <c r="AF685">
        <v>0</v>
      </c>
      <c r="AG685">
        <v>0</v>
      </c>
      <c r="AH685">
        <v>0</v>
      </c>
      <c r="AI685">
        <v>0</v>
      </c>
      <c r="AJ685">
        <v>0</v>
      </c>
      <c r="AK685">
        <v>0</v>
      </c>
      <c r="AL685">
        <v>0</v>
      </c>
      <c r="AM685">
        <v>0</v>
      </c>
      <c r="AN685">
        <v>0</v>
      </c>
      <c r="AO685">
        <v>0</v>
      </c>
      <c r="AP685">
        <v>0</v>
      </c>
      <c r="AQ685">
        <v>6</v>
      </c>
      <c r="AR685">
        <v>0</v>
      </c>
      <c r="AS685">
        <v>0</v>
      </c>
      <c r="AT685">
        <v>0</v>
      </c>
      <c r="AU685">
        <f t="shared" si="20"/>
        <v>6</v>
      </c>
      <c r="AV685">
        <f t="shared" si="21"/>
        <v>0</v>
      </c>
    </row>
    <row r="686" spans="1:48" x14ac:dyDescent="0.25">
      <c r="A686" t="s">
        <v>4074</v>
      </c>
      <c r="C686" t="s">
        <v>4075</v>
      </c>
      <c r="D686" t="s">
        <v>4071</v>
      </c>
      <c r="E686" t="s">
        <v>1663</v>
      </c>
      <c r="F686">
        <v>3</v>
      </c>
      <c r="G686">
        <v>3.2</v>
      </c>
      <c r="H686" t="s">
        <v>2327</v>
      </c>
      <c r="I686" s="21">
        <v>37825</v>
      </c>
      <c r="J686">
        <v>2003</v>
      </c>
      <c r="K686" s="21">
        <v>37856</v>
      </c>
      <c r="L686">
        <v>2003</v>
      </c>
      <c r="M686" s="21">
        <v>38009</v>
      </c>
      <c r="N686">
        <v>2004</v>
      </c>
      <c r="Q686" s="262">
        <v>0</v>
      </c>
      <c r="S686" t="s">
        <v>114</v>
      </c>
      <c r="T686" t="s">
        <v>114</v>
      </c>
      <c r="W686">
        <v>7925</v>
      </c>
      <c r="X686">
        <v>6</v>
      </c>
      <c r="Y686">
        <v>0</v>
      </c>
      <c r="Z686">
        <v>0</v>
      </c>
      <c r="AA686">
        <v>0</v>
      </c>
      <c r="AB686">
        <v>0</v>
      </c>
      <c r="AC686">
        <v>0</v>
      </c>
      <c r="AD686">
        <v>0</v>
      </c>
      <c r="AE686">
        <v>7925</v>
      </c>
      <c r="AF686">
        <v>0</v>
      </c>
      <c r="AG686">
        <v>0</v>
      </c>
      <c r="AH686">
        <v>0</v>
      </c>
      <c r="AI686">
        <v>0</v>
      </c>
      <c r="AJ686">
        <v>0</v>
      </c>
      <c r="AK686">
        <v>0</v>
      </c>
      <c r="AL686">
        <v>0</v>
      </c>
      <c r="AM686">
        <v>0</v>
      </c>
      <c r="AN686">
        <v>0</v>
      </c>
      <c r="AO686">
        <v>0</v>
      </c>
      <c r="AP686">
        <v>0</v>
      </c>
      <c r="AQ686">
        <v>6</v>
      </c>
      <c r="AR686">
        <v>0</v>
      </c>
      <c r="AS686">
        <v>0</v>
      </c>
      <c r="AT686">
        <v>0</v>
      </c>
      <c r="AU686">
        <f t="shared" si="20"/>
        <v>6</v>
      </c>
      <c r="AV686">
        <f t="shared" si="21"/>
        <v>0</v>
      </c>
    </row>
    <row r="687" spans="1:48" x14ac:dyDescent="0.25">
      <c r="A687" t="s">
        <v>4076</v>
      </c>
      <c r="C687" t="s">
        <v>4077</v>
      </c>
      <c r="D687" t="s">
        <v>4071</v>
      </c>
      <c r="E687" t="s">
        <v>1663</v>
      </c>
      <c r="F687">
        <v>3</v>
      </c>
      <c r="G687">
        <v>3.2</v>
      </c>
      <c r="H687" t="s">
        <v>2327</v>
      </c>
      <c r="I687" s="21">
        <v>37825</v>
      </c>
      <c r="J687">
        <v>2003</v>
      </c>
      <c r="K687" s="21">
        <v>37856</v>
      </c>
      <c r="L687">
        <v>2003</v>
      </c>
      <c r="M687" s="21">
        <v>38009</v>
      </c>
      <c r="N687">
        <v>2004</v>
      </c>
      <c r="Q687" s="262">
        <v>0</v>
      </c>
      <c r="S687" t="s">
        <v>114</v>
      </c>
      <c r="T687" t="s">
        <v>114</v>
      </c>
      <c r="W687">
        <v>520</v>
      </c>
      <c r="X687">
        <v>0</v>
      </c>
      <c r="Y687">
        <v>0</v>
      </c>
      <c r="Z687">
        <v>0</v>
      </c>
      <c r="AA687">
        <v>520</v>
      </c>
      <c r="AB687">
        <v>0</v>
      </c>
      <c r="AC687">
        <v>0</v>
      </c>
      <c r="AD687">
        <v>0</v>
      </c>
      <c r="AE687">
        <v>0</v>
      </c>
      <c r="AF687">
        <v>0</v>
      </c>
      <c r="AG687">
        <v>0</v>
      </c>
      <c r="AH687">
        <v>0</v>
      </c>
      <c r="AI687">
        <v>0</v>
      </c>
      <c r="AJ687">
        <v>0</v>
      </c>
      <c r="AK687">
        <v>0</v>
      </c>
      <c r="AL687">
        <v>0</v>
      </c>
      <c r="AM687">
        <v>0</v>
      </c>
      <c r="AN687">
        <v>0</v>
      </c>
      <c r="AO687">
        <v>0</v>
      </c>
      <c r="AP687">
        <v>0</v>
      </c>
      <c r="AQ687">
        <v>0</v>
      </c>
      <c r="AR687">
        <v>0</v>
      </c>
      <c r="AS687">
        <v>0</v>
      </c>
      <c r="AT687">
        <v>0</v>
      </c>
      <c r="AU687">
        <f t="shared" si="20"/>
        <v>0</v>
      </c>
      <c r="AV687">
        <f t="shared" si="21"/>
        <v>520</v>
      </c>
    </row>
    <row r="688" spans="1:48" x14ac:dyDescent="0.25">
      <c r="A688" t="s">
        <v>4078</v>
      </c>
      <c r="C688" t="s">
        <v>4079</v>
      </c>
      <c r="D688" t="s">
        <v>4071</v>
      </c>
      <c r="E688" t="s">
        <v>1663</v>
      </c>
      <c r="F688">
        <v>3</v>
      </c>
      <c r="G688">
        <v>3.2</v>
      </c>
      <c r="H688" t="s">
        <v>2327</v>
      </c>
      <c r="I688" s="21">
        <v>37825</v>
      </c>
      <c r="J688">
        <v>2003</v>
      </c>
      <c r="K688" s="21">
        <v>37856</v>
      </c>
      <c r="L688">
        <v>2003</v>
      </c>
      <c r="M688" s="21">
        <v>38009</v>
      </c>
      <c r="N688">
        <v>2004</v>
      </c>
      <c r="Q688" s="262">
        <v>0</v>
      </c>
      <c r="S688" t="s">
        <v>114</v>
      </c>
      <c r="T688" t="s">
        <v>114</v>
      </c>
      <c r="W688">
        <v>7925</v>
      </c>
      <c r="X688">
        <v>6</v>
      </c>
      <c r="Y688">
        <v>0</v>
      </c>
      <c r="Z688">
        <v>0</v>
      </c>
      <c r="AA688">
        <v>0</v>
      </c>
      <c r="AB688">
        <v>0</v>
      </c>
      <c r="AC688">
        <v>0</v>
      </c>
      <c r="AD688">
        <v>0</v>
      </c>
      <c r="AE688">
        <v>7925</v>
      </c>
      <c r="AF688">
        <v>0</v>
      </c>
      <c r="AG688">
        <v>0</v>
      </c>
      <c r="AH688">
        <v>0</v>
      </c>
      <c r="AI688">
        <v>0</v>
      </c>
      <c r="AJ688">
        <v>0</v>
      </c>
      <c r="AK688">
        <v>0</v>
      </c>
      <c r="AL688">
        <v>0</v>
      </c>
      <c r="AM688">
        <v>0</v>
      </c>
      <c r="AN688">
        <v>0</v>
      </c>
      <c r="AO688">
        <v>0</v>
      </c>
      <c r="AP688">
        <v>0</v>
      </c>
      <c r="AQ688">
        <v>6</v>
      </c>
      <c r="AR688">
        <v>0</v>
      </c>
      <c r="AS688">
        <v>0</v>
      </c>
      <c r="AT688">
        <v>0</v>
      </c>
      <c r="AU688">
        <f t="shared" si="20"/>
        <v>6</v>
      </c>
      <c r="AV688">
        <f t="shared" si="21"/>
        <v>0</v>
      </c>
    </row>
    <row r="689" spans="1:48" x14ac:dyDescent="0.25">
      <c r="A689" t="s">
        <v>4080</v>
      </c>
      <c r="C689" t="s">
        <v>4081</v>
      </c>
      <c r="D689" t="s">
        <v>4082</v>
      </c>
      <c r="E689" t="s">
        <v>2310</v>
      </c>
      <c r="F689">
        <v>10</v>
      </c>
      <c r="G689">
        <v>10.1</v>
      </c>
      <c r="H689" t="s">
        <v>2323</v>
      </c>
      <c r="I689" s="21">
        <v>37826</v>
      </c>
      <c r="J689">
        <v>2003</v>
      </c>
      <c r="K689" s="21">
        <v>37861</v>
      </c>
      <c r="L689">
        <v>2003</v>
      </c>
      <c r="M689" s="21">
        <v>38044</v>
      </c>
      <c r="N689">
        <v>2004</v>
      </c>
      <c r="R689" s="262">
        <v>280000</v>
      </c>
      <c r="S689" t="s">
        <v>114</v>
      </c>
      <c r="T689" t="s">
        <v>114</v>
      </c>
      <c r="U689">
        <v>5</v>
      </c>
      <c r="W689">
        <v>3688</v>
      </c>
      <c r="X689">
        <v>1</v>
      </c>
      <c r="Y689">
        <v>0</v>
      </c>
      <c r="Z689">
        <v>0</v>
      </c>
      <c r="AA689">
        <v>0</v>
      </c>
      <c r="AB689">
        <v>0</v>
      </c>
      <c r="AC689">
        <v>3688</v>
      </c>
      <c r="AD689">
        <v>0</v>
      </c>
      <c r="AE689">
        <v>0</v>
      </c>
      <c r="AF689">
        <v>0</v>
      </c>
      <c r="AG689">
        <v>0</v>
      </c>
      <c r="AH689">
        <v>0</v>
      </c>
      <c r="AI689">
        <v>0</v>
      </c>
      <c r="AJ689">
        <v>0</v>
      </c>
      <c r="AK689">
        <v>0</v>
      </c>
      <c r="AL689">
        <v>0</v>
      </c>
      <c r="AM689">
        <v>0</v>
      </c>
      <c r="AN689">
        <v>0</v>
      </c>
      <c r="AO689">
        <v>1</v>
      </c>
      <c r="AP689">
        <v>0</v>
      </c>
      <c r="AQ689">
        <v>0</v>
      </c>
      <c r="AR689">
        <v>0</v>
      </c>
      <c r="AS689">
        <v>0</v>
      </c>
      <c r="AT689">
        <v>0</v>
      </c>
      <c r="AU689">
        <f t="shared" si="20"/>
        <v>1</v>
      </c>
      <c r="AV689">
        <f t="shared" si="21"/>
        <v>0</v>
      </c>
    </row>
    <row r="690" spans="1:48" x14ac:dyDescent="0.25">
      <c r="A690" t="s">
        <v>4083</v>
      </c>
      <c r="C690" t="s">
        <v>2486</v>
      </c>
      <c r="D690" t="s">
        <v>4084</v>
      </c>
      <c r="E690" t="s">
        <v>2310</v>
      </c>
      <c r="F690">
        <v>10</v>
      </c>
      <c r="G690">
        <v>10.1</v>
      </c>
      <c r="H690" t="s">
        <v>2323</v>
      </c>
      <c r="I690" s="21">
        <v>37827</v>
      </c>
      <c r="J690">
        <v>2003</v>
      </c>
      <c r="K690" s="21">
        <v>37855</v>
      </c>
      <c r="L690">
        <v>2003</v>
      </c>
      <c r="M690" s="21">
        <v>38293</v>
      </c>
      <c r="N690">
        <v>2004</v>
      </c>
      <c r="R690" s="262">
        <v>150000</v>
      </c>
      <c r="S690" t="s">
        <v>114</v>
      </c>
      <c r="T690" t="s">
        <v>114</v>
      </c>
      <c r="U690">
        <v>5</v>
      </c>
      <c r="W690">
        <v>1666</v>
      </c>
      <c r="X690">
        <v>1</v>
      </c>
      <c r="Y690">
        <v>0</v>
      </c>
      <c r="Z690">
        <v>0</v>
      </c>
      <c r="AA690">
        <v>0</v>
      </c>
      <c r="AB690">
        <v>0</v>
      </c>
      <c r="AC690">
        <v>1666</v>
      </c>
      <c r="AD690">
        <v>0</v>
      </c>
      <c r="AE690">
        <v>0</v>
      </c>
      <c r="AF690">
        <v>0</v>
      </c>
      <c r="AG690">
        <v>0</v>
      </c>
      <c r="AH690">
        <v>0</v>
      </c>
      <c r="AI690">
        <v>0</v>
      </c>
      <c r="AJ690">
        <v>0</v>
      </c>
      <c r="AK690">
        <v>0</v>
      </c>
      <c r="AL690">
        <v>0</v>
      </c>
      <c r="AM690">
        <v>0</v>
      </c>
      <c r="AN690">
        <v>0</v>
      </c>
      <c r="AO690">
        <v>1</v>
      </c>
      <c r="AP690">
        <v>0</v>
      </c>
      <c r="AQ690">
        <v>0</v>
      </c>
      <c r="AR690">
        <v>0</v>
      </c>
      <c r="AS690">
        <v>0</v>
      </c>
      <c r="AT690">
        <v>0</v>
      </c>
      <c r="AU690">
        <f t="shared" si="20"/>
        <v>1</v>
      </c>
      <c r="AV690">
        <f t="shared" si="21"/>
        <v>0</v>
      </c>
    </row>
    <row r="691" spans="1:48" x14ac:dyDescent="0.25">
      <c r="A691" t="s">
        <v>4085</v>
      </c>
      <c r="C691" t="s">
        <v>4086</v>
      </c>
      <c r="D691" t="s">
        <v>4087</v>
      </c>
      <c r="E691" t="s">
        <v>2310</v>
      </c>
      <c r="F691">
        <v>15</v>
      </c>
      <c r="G691">
        <v>15.2</v>
      </c>
      <c r="H691" t="s">
        <v>2323</v>
      </c>
      <c r="I691" s="21">
        <v>37827</v>
      </c>
      <c r="J691">
        <v>2003</v>
      </c>
      <c r="K691" s="21">
        <v>37855</v>
      </c>
      <c r="L691">
        <v>2003</v>
      </c>
      <c r="M691" s="21">
        <v>37855</v>
      </c>
      <c r="N691">
        <v>2003</v>
      </c>
      <c r="R691" s="262">
        <v>60000</v>
      </c>
      <c r="S691" t="s">
        <v>114</v>
      </c>
      <c r="T691" t="s">
        <v>114</v>
      </c>
      <c r="U691">
        <v>5</v>
      </c>
      <c r="W691">
        <v>1069</v>
      </c>
      <c r="X691">
        <v>0</v>
      </c>
      <c r="Y691">
        <v>0</v>
      </c>
      <c r="Z691">
        <v>0</v>
      </c>
      <c r="AA691">
        <v>0</v>
      </c>
      <c r="AB691">
        <v>0</v>
      </c>
      <c r="AC691">
        <v>1069</v>
      </c>
      <c r="AD691">
        <v>0</v>
      </c>
      <c r="AE691">
        <v>0</v>
      </c>
      <c r="AF691">
        <v>0</v>
      </c>
      <c r="AG691">
        <v>0</v>
      </c>
      <c r="AH691">
        <v>0</v>
      </c>
      <c r="AI691">
        <v>0</v>
      </c>
      <c r="AJ691">
        <v>0</v>
      </c>
      <c r="AK691">
        <v>0</v>
      </c>
      <c r="AL691">
        <v>0</v>
      </c>
      <c r="AM691">
        <v>0</v>
      </c>
      <c r="AN691">
        <v>0</v>
      </c>
      <c r="AO691">
        <v>0</v>
      </c>
      <c r="AP691">
        <v>0</v>
      </c>
      <c r="AQ691">
        <v>0</v>
      </c>
      <c r="AR691">
        <v>0</v>
      </c>
      <c r="AS691">
        <v>0</v>
      </c>
      <c r="AT691">
        <v>0</v>
      </c>
      <c r="AU691">
        <f t="shared" si="20"/>
        <v>0</v>
      </c>
      <c r="AV691">
        <f t="shared" si="21"/>
        <v>0</v>
      </c>
    </row>
    <row r="692" spans="1:48" x14ac:dyDescent="0.25">
      <c r="A692" t="s">
        <v>4088</v>
      </c>
      <c r="C692" t="s">
        <v>4089</v>
      </c>
      <c r="D692" t="s">
        <v>4090</v>
      </c>
      <c r="E692" t="s">
        <v>2310</v>
      </c>
      <c r="F692">
        <v>8</v>
      </c>
      <c r="G692">
        <v>8.3000000000000007</v>
      </c>
      <c r="H692" t="s">
        <v>2323</v>
      </c>
      <c r="I692" s="21">
        <v>37830</v>
      </c>
      <c r="J692">
        <v>2003</v>
      </c>
      <c r="K692" s="21">
        <v>37959</v>
      </c>
      <c r="L692">
        <v>2003</v>
      </c>
      <c r="M692" s="21">
        <v>38698</v>
      </c>
      <c r="N692">
        <v>2005</v>
      </c>
      <c r="R692" s="262">
        <v>70000</v>
      </c>
      <c r="S692" t="s">
        <v>114</v>
      </c>
      <c r="T692" t="s">
        <v>114</v>
      </c>
      <c r="U692">
        <v>5</v>
      </c>
      <c r="W692">
        <v>2314</v>
      </c>
      <c r="X692">
        <v>0</v>
      </c>
      <c r="Y692">
        <v>0</v>
      </c>
      <c r="Z692">
        <v>0</v>
      </c>
      <c r="AA692">
        <v>0</v>
      </c>
      <c r="AB692">
        <v>0</v>
      </c>
      <c r="AC692">
        <v>2314</v>
      </c>
      <c r="AD692">
        <v>0</v>
      </c>
      <c r="AE692">
        <v>0</v>
      </c>
      <c r="AF692">
        <v>0</v>
      </c>
      <c r="AG692">
        <v>0</v>
      </c>
      <c r="AH692">
        <v>0</v>
      </c>
      <c r="AI692">
        <v>0</v>
      </c>
      <c r="AJ692">
        <v>0</v>
      </c>
      <c r="AK692">
        <v>0</v>
      </c>
      <c r="AL692">
        <v>0</v>
      </c>
      <c r="AM692">
        <v>0</v>
      </c>
      <c r="AN692">
        <v>0</v>
      </c>
      <c r="AO692">
        <v>0</v>
      </c>
      <c r="AP692">
        <v>0</v>
      </c>
      <c r="AQ692">
        <v>0</v>
      </c>
      <c r="AR692">
        <v>0</v>
      </c>
      <c r="AS692">
        <v>0</v>
      </c>
      <c r="AT692">
        <v>0</v>
      </c>
      <c r="AU692">
        <f t="shared" si="20"/>
        <v>0</v>
      </c>
      <c r="AV692">
        <f t="shared" si="21"/>
        <v>0</v>
      </c>
    </row>
    <row r="693" spans="1:48" x14ac:dyDescent="0.25">
      <c r="A693" t="s">
        <v>4091</v>
      </c>
      <c r="C693" t="s">
        <v>4092</v>
      </c>
      <c r="D693" t="s">
        <v>4093</v>
      </c>
      <c r="E693" t="s">
        <v>2310</v>
      </c>
      <c r="F693">
        <v>9</v>
      </c>
      <c r="G693">
        <v>9.1</v>
      </c>
      <c r="H693" t="s">
        <v>2323</v>
      </c>
      <c r="I693" s="21">
        <v>37830</v>
      </c>
      <c r="J693">
        <v>2003</v>
      </c>
      <c r="K693" s="21">
        <v>37858</v>
      </c>
      <c r="L693">
        <v>2003</v>
      </c>
      <c r="M693" s="21">
        <v>38061</v>
      </c>
      <c r="N693">
        <v>2004</v>
      </c>
      <c r="R693" s="262">
        <v>75000</v>
      </c>
      <c r="S693" t="s">
        <v>114</v>
      </c>
      <c r="T693" t="s">
        <v>114</v>
      </c>
      <c r="U693">
        <v>8</v>
      </c>
      <c r="W693">
        <v>404</v>
      </c>
      <c r="X693">
        <v>1</v>
      </c>
      <c r="Y693">
        <v>0</v>
      </c>
      <c r="Z693">
        <v>0</v>
      </c>
      <c r="AA693">
        <v>0</v>
      </c>
      <c r="AB693">
        <v>0</v>
      </c>
      <c r="AC693">
        <v>0</v>
      </c>
      <c r="AD693">
        <v>0</v>
      </c>
      <c r="AE693">
        <v>0</v>
      </c>
      <c r="AF693">
        <v>404</v>
      </c>
      <c r="AG693">
        <v>0</v>
      </c>
      <c r="AH693">
        <v>0</v>
      </c>
      <c r="AI693">
        <v>0</v>
      </c>
      <c r="AJ693">
        <v>0</v>
      </c>
      <c r="AK693">
        <v>0</v>
      </c>
      <c r="AL693">
        <v>0</v>
      </c>
      <c r="AM693">
        <v>0</v>
      </c>
      <c r="AN693">
        <v>0</v>
      </c>
      <c r="AO693">
        <v>0</v>
      </c>
      <c r="AP693">
        <v>0</v>
      </c>
      <c r="AQ693">
        <v>0</v>
      </c>
      <c r="AR693">
        <v>1</v>
      </c>
      <c r="AS693">
        <v>0</v>
      </c>
      <c r="AT693">
        <v>0</v>
      </c>
      <c r="AU693">
        <f t="shared" si="20"/>
        <v>0</v>
      </c>
      <c r="AV693">
        <f t="shared" si="21"/>
        <v>0</v>
      </c>
    </row>
    <row r="694" spans="1:48" x14ac:dyDescent="0.25">
      <c r="A694" t="s">
        <v>4094</v>
      </c>
      <c r="C694" t="s">
        <v>4095</v>
      </c>
      <c r="D694" t="s">
        <v>4096</v>
      </c>
      <c r="E694" t="s">
        <v>2310</v>
      </c>
      <c r="F694">
        <v>15</v>
      </c>
      <c r="G694">
        <v>15.2</v>
      </c>
      <c r="H694" t="s">
        <v>2323</v>
      </c>
      <c r="I694" s="21">
        <v>37830</v>
      </c>
      <c r="J694">
        <v>2003</v>
      </c>
      <c r="K694" s="21">
        <v>37846</v>
      </c>
      <c r="L694">
        <v>2003</v>
      </c>
      <c r="M694" s="21">
        <v>38587</v>
      </c>
      <c r="N694">
        <v>2005</v>
      </c>
      <c r="R694" s="262">
        <v>1075000</v>
      </c>
      <c r="S694" t="s">
        <v>114</v>
      </c>
      <c r="T694" t="s">
        <v>114</v>
      </c>
      <c r="U694">
        <v>5</v>
      </c>
      <c r="W694">
        <v>5152</v>
      </c>
      <c r="X694">
        <v>1</v>
      </c>
      <c r="Y694">
        <v>0</v>
      </c>
      <c r="Z694">
        <v>0</v>
      </c>
      <c r="AA694">
        <v>0</v>
      </c>
      <c r="AB694">
        <v>0</v>
      </c>
      <c r="AC694">
        <v>5152</v>
      </c>
      <c r="AD694">
        <v>0</v>
      </c>
      <c r="AE694">
        <v>0</v>
      </c>
      <c r="AF694">
        <v>0</v>
      </c>
      <c r="AG694">
        <v>0</v>
      </c>
      <c r="AH694">
        <v>0</v>
      </c>
      <c r="AI694">
        <v>0</v>
      </c>
      <c r="AJ694">
        <v>0</v>
      </c>
      <c r="AK694">
        <v>0</v>
      </c>
      <c r="AL694">
        <v>0</v>
      </c>
      <c r="AM694">
        <v>0</v>
      </c>
      <c r="AN694">
        <v>0</v>
      </c>
      <c r="AO694">
        <v>1</v>
      </c>
      <c r="AP694">
        <v>0</v>
      </c>
      <c r="AQ694">
        <v>0</v>
      </c>
      <c r="AR694">
        <v>0</v>
      </c>
      <c r="AS694">
        <v>0</v>
      </c>
      <c r="AT694">
        <v>0</v>
      </c>
      <c r="AU694">
        <f t="shared" si="20"/>
        <v>1</v>
      </c>
      <c r="AV694">
        <f t="shared" si="21"/>
        <v>0</v>
      </c>
    </row>
    <row r="695" spans="1:48" x14ac:dyDescent="0.25">
      <c r="A695" t="s">
        <v>4097</v>
      </c>
      <c r="C695" t="s">
        <v>4098</v>
      </c>
      <c r="D695" t="s">
        <v>4099</v>
      </c>
      <c r="E695" t="s">
        <v>1663</v>
      </c>
      <c r="F695">
        <v>6</v>
      </c>
      <c r="G695">
        <v>6.1</v>
      </c>
      <c r="H695" t="s">
        <v>2017</v>
      </c>
      <c r="I695" s="21">
        <v>37831</v>
      </c>
      <c r="J695">
        <v>2003</v>
      </c>
      <c r="K695" s="21">
        <v>37862</v>
      </c>
      <c r="L695">
        <v>2003</v>
      </c>
      <c r="M695" s="21">
        <v>38015</v>
      </c>
      <c r="N695">
        <v>2004</v>
      </c>
      <c r="Q695" s="262">
        <v>322000</v>
      </c>
      <c r="S695" t="s">
        <v>114</v>
      </c>
      <c r="T695" t="s">
        <v>114</v>
      </c>
      <c r="W695">
        <v>4297</v>
      </c>
      <c r="X695">
        <v>1</v>
      </c>
      <c r="Y695">
        <v>0</v>
      </c>
      <c r="Z695">
        <v>0</v>
      </c>
      <c r="AA695">
        <v>0</v>
      </c>
      <c r="AB695">
        <v>0</v>
      </c>
      <c r="AC695">
        <v>4297</v>
      </c>
      <c r="AD695">
        <v>0</v>
      </c>
      <c r="AE695">
        <v>0</v>
      </c>
      <c r="AF695">
        <v>0</v>
      </c>
      <c r="AG695">
        <v>0</v>
      </c>
      <c r="AH695">
        <v>0</v>
      </c>
      <c r="AI695">
        <v>0</v>
      </c>
      <c r="AJ695">
        <v>0</v>
      </c>
      <c r="AK695">
        <v>0</v>
      </c>
      <c r="AL695">
        <v>0</v>
      </c>
      <c r="AM695">
        <v>0</v>
      </c>
      <c r="AN695">
        <v>0</v>
      </c>
      <c r="AO695">
        <v>1</v>
      </c>
      <c r="AP695">
        <v>0</v>
      </c>
      <c r="AQ695">
        <v>0</v>
      </c>
      <c r="AR695">
        <v>0</v>
      </c>
      <c r="AS695">
        <v>0</v>
      </c>
      <c r="AT695">
        <v>0</v>
      </c>
      <c r="AU695">
        <f t="shared" si="20"/>
        <v>1</v>
      </c>
      <c r="AV695">
        <f t="shared" si="21"/>
        <v>0</v>
      </c>
    </row>
    <row r="696" spans="1:48" x14ac:dyDescent="0.25">
      <c r="A696" t="s">
        <v>4100</v>
      </c>
      <c r="C696" t="s">
        <v>4101</v>
      </c>
      <c r="D696" t="s">
        <v>4102</v>
      </c>
      <c r="E696" t="s">
        <v>2310</v>
      </c>
      <c r="F696">
        <v>10</v>
      </c>
      <c r="G696">
        <v>10.1</v>
      </c>
      <c r="H696" t="s">
        <v>2323</v>
      </c>
      <c r="I696" s="21">
        <v>37831</v>
      </c>
      <c r="J696">
        <v>2003</v>
      </c>
      <c r="K696" s="21">
        <v>37858</v>
      </c>
      <c r="L696">
        <v>2003</v>
      </c>
      <c r="M696" s="21">
        <v>37858</v>
      </c>
      <c r="N696">
        <v>2003</v>
      </c>
      <c r="R696" s="262">
        <v>13000</v>
      </c>
      <c r="S696" t="s">
        <v>114</v>
      </c>
      <c r="T696" t="s">
        <v>114</v>
      </c>
      <c r="U696">
        <v>5</v>
      </c>
      <c r="W696">
        <v>28</v>
      </c>
      <c r="X696">
        <v>0</v>
      </c>
      <c r="Y696">
        <v>0</v>
      </c>
      <c r="Z696">
        <v>0</v>
      </c>
      <c r="AA696">
        <v>0</v>
      </c>
      <c r="AB696">
        <v>0</v>
      </c>
      <c r="AC696">
        <v>28</v>
      </c>
      <c r="AD696">
        <v>0</v>
      </c>
      <c r="AE696">
        <v>0</v>
      </c>
      <c r="AF696">
        <v>0</v>
      </c>
      <c r="AG696">
        <v>0</v>
      </c>
      <c r="AH696">
        <v>0</v>
      </c>
      <c r="AI696">
        <v>0</v>
      </c>
      <c r="AJ696">
        <v>0</v>
      </c>
      <c r="AK696">
        <v>0</v>
      </c>
      <c r="AL696">
        <v>0</v>
      </c>
      <c r="AM696">
        <v>0</v>
      </c>
      <c r="AN696">
        <v>0</v>
      </c>
      <c r="AO696">
        <v>0</v>
      </c>
      <c r="AP696">
        <v>0</v>
      </c>
      <c r="AQ696">
        <v>0</v>
      </c>
      <c r="AR696">
        <v>0</v>
      </c>
      <c r="AS696">
        <v>0</v>
      </c>
      <c r="AT696">
        <v>0</v>
      </c>
      <c r="AU696">
        <f t="shared" si="20"/>
        <v>0</v>
      </c>
      <c r="AV696">
        <f t="shared" si="21"/>
        <v>0</v>
      </c>
    </row>
    <row r="697" spans="1:48" x14ac:dyDescent="0.25">
      <c r="A697" t="s">
        <v>4103</v>
      </c>
      <c r="C697" t="s">
        <v>4104</v>
      </c>
      <c r="D697" t="s">
        <v>4105</v>
      </c>
      <c r="E697" t="s">
        <v>2310</v>
      </c>
      <c r="F697">
        <v>7</v>
      </c>
      <c r="G697">
        <v>7.2</v>
      </c>
      <c r="H697" t="s">
        <v>2017</v>
      </c>
      <c r="I697" s="21">
        <v>37831</v>
      </c>
      <c r="J697">
        <v>2003</v>
      </c>
      <c r="K697" s="21">
        <v>37858</v>
      </c>
      <c r="L697">
        <v>2003</v>
      </c>
      <c r="M697" s="21">
        <v>40162.676736111098</v>
      </c>
      <c r="N697">
        <v>2009</v>
      </c>
      <c r="R697" s="262">
        <v>10000</v>
      </c>
      <c r="S697" t="s">
        <v>114</v>
      </c>
      <c r="T697" t="s">
        <v>114</v>
      </c>
      <c r="U697">
        <v>5</v>
      </c>
      <c r="W697">
        <v>0</v>
      </c>
      <c r="X697">
        <v>0</v>
      </c>
      <c r="Y697">
        <v>0</v>
      </c>
      <c r="Z697">
        <v>0</v>
      </c>
      <c r="AA697">
        <v>0</v>
      </c>
      <c r="AB697">
        <v>0</v>
      </c>
      <c r="AC697">
        <v>0</v>
      </c>
      <c r="AD697">
        <v>0</v>
      </c>
      <c r="AE697">
        <v>0</v>
      </c>
      <c r="AF697">
        <v>0</v>
      </c>
      <c r="AG697">
        <v>0</v>
      </c>
      <c r="AH697">
        <v>0</v>
      </c>
      <c r="AI697">
        <v>0</v>
      </c>
      <c r="AJ697">
        <v>0</v>
      </c>
      <c r="AK697">
        <v>0</v>
      </c>
      <c r="AL697">
        <v>0</v>
      </c>
      <c r="AM697">
        <v>0</v>
      </c>
      <c r="AN697">
        <v>0</v>
      </c>
      <c r="AO697">
        <v>0</v>
      </c>
      <c r="AP697">
        <v>0</v>
      </c>
      <c r="AQ697">
        <v>0</v>
      </c>
      <c r="AR697">
        <v>0</v>
      </c>
      <c r="AS697">
        <v>0</v>
      </c>
      <c r="AT697">
        <v>0</v>
      </c>
      <c r="AU697">
        <f t="shared" si="20"/>
        <v>0</v>
      </c>
      <c r="AV697">
        <f t="shared" si="21"/>
        <v>0</v>
      </c>
    </row>
    <row r="698" spans="1:48" x14ac:dyDescent="0.25">
      <c r="A698" t="s">
        <v>4106</v>
      </c>
      <c r="C698" t="s">
        <v>3216</v>
      </c>
      <c r="D698" t="s">
        <v>4107</v>
      </c>
      <c r="E698" t="s">
        <v>2310</v>
      </c>
      <c r="F698">
        <v>9</v>
      </c>
      <c r="G698">
        <v>9.3000000000000007</v>
      </c>
      <c r="H698" t="s">
        <v>2323</v>
      </c>
      <c r="I698" s="21">
        <v>37832</v>
      </c>
      <c r="J698">
        <v>2003</v>
      </c>
      <c r="K698" s="21">
        <v>37882</v>
      </c>
      <c r="L698">
        <v>2003</v>
      </c>
      <c r="M698" s="21">
        <v>37882</v>
      </c>
      <c r="N698">
        <v>2003</v>
      </c>
      <c r="R698" s="262">
        <v>500000</v>
      </c>
      <c r="S698" t="s">
        <v>114</v>
      </c>
      <c r="T698" t="s">
        <v>114</v>
      </c>
      <c r="U698">
        <v>5</v>
      </c>
      <c r="W698">
        <v>3097</v>
      </c>
      <c r="X698">
        <v>1</v>
      </c>
      <c r="Y698">
        <v>0</v>
      </c>
      <c r="Z698">
        <v>0</v>
      </c>
      <c r="AA698">
        <v>0</v>
      </c>
      <c r="AB698">
        <v>0</v>
      </c>
      <c r="AC698">
        <v>3097</v>
      </c>
      <c r="AD698">
        <v>0</v>
      </c>
      <c r="AE698">
        <v>0</v>
      </c>
      <c r="AF698">
        <v>0</v>
      </c>
      <c r="AG698">
        <v>0</v>
      </c>
      <c r="AH698">
        <v>0</v>
      </c>
      <c r="AI698">
        <v>0</v>
      </c>
      <c r="AJ698">
        <v>0</v>
      </c>
      <c r="AK698">
        <v>0</v>
      </c>
      <c r="AL698">
        <v>0</v>
      </c>
      <c r="AM698">
        <v>0</v>
      </c>
      <c r="AN698">
        <v>0</v>
      </c>
      <c r="AO698">
        <v>1</v>
      </c>
      <c r="AP698">
        <v>0</v>
      </c>
      <c r="AQ698">
        <v>0</v>
      </c>
      <c r="AR698">
        <v>0</v>
      </c>
      <c r="AS698">
        <v>0</v>
      </c>
      <c r="AT698">
        <v>0</v>
      </c>
      <c r="AU698">
        <f t="shared" si="20"/>
        <v>1</v>
      </c>
      <c r="AV698">
        <f t="shared" si="21"/>
        <v>0</v>
      </c>
    </row>
    <row r="699" spans="1:48" x14ac:dyDescent="0.25">
      <c r="A699" t="s">
        <v>4108</v>
      </c>
      <c r="C699" t="s">
        <v>4109</v>
      </c>
      <c r="D699" t="s">
        <v>4110</v>
      </c>
      <c r="E699" t="s">
        <v>2310</v>
      </c>
      <c r="F699">
        <v>10</v>
      </c>
      <c r="G699">
        <v>10.1</v>
      </c>
      <c r="H699" t="s">
        <v>2323</v>
      </c>
      <c r="I699" s="21">
        <v>37832</v>
      </c>
      <c r="J699">
        <v>2003</v>
      </c>
      <c r="K699" s="21">
        <v>37858</v>
      </c>
      <c r="L699">
        <v>2003</v>
      </c>
      <c r="M699" s="21">
        <v>37916</v>
      </c>
      <c r="N699">
        <v>2003</v>
      </c>
      <c r="R699" s="262">
        <v>110000</v>
      </c>
      <c r="S699" t="s">
        <v>114</v>
      </c>
      <c r="T699" t="s">
        <v>114</v>
      </c>
      <c r="U699">
        <v>5</v>
      </c>
      <c r="W699">
        <v>1768</v>
      </c>
      <c r="X699">
        <v>1</v>
      </c>
      <c r="Y699">
        <v>0</v>
      </c>
      <c r="Z699">
        <v>0</v>
      </c>
      <c r="AA699">
        <v>0</v>
      </c>
      <c r="AB699">
        <v>0</v>
      </c>
      <c r="AC699">
        <v>1768</v>
      </c>
      <c r="AD699">
        <v>0</v>
      </c>
      <c r="AE699">
        <v>0</v>
      </c>
      <c r="AF699">
        <v>0</v>
      </c>
      <c r="AG699">
        <v>0</v>
      </c>
      <c r="AH699">
        <v>0</v>
      </c>
      <c r="AI699">
        <v>0</v>
      </c>
      <c r="AJ699">
        <v>0</v>
      </c>
      <c r="AK699">
        <v>0</v>
      </c>
      <c r="AL699">
        <v>0</v>
      </c>
      <c r="AM699">
        <v>0</v>
      </c>
      <c r="AN699">
        <v>0</v>
      </c>
      <c r="AO699">
        <v>1</v>
      </c>
      <c r="AP699">
        <v>0</v>
      </c>
      <c r="AQ699">
        <v>0</v>
      </c>
      <c r="AR699">
        <v>0</v>
      </c>
      <c r="AS699">
        <v>0</v>
      </c>
      <c r="AT699">
        <v>0</v>
      </c>
      <c r="AU699">
        <f t="shared" si="20"/>
        <v>1</v>
      </c>
      <c r="AV699">
        <f t="shared" si="21"/>
        <v>0</v>
      </c>
    </row>
    <row r="700" spans="1:48" x14ac:dyDescent="0.25">
      <c r="A700" t="s">
        <v>4111</v>
      </c>
      <c r="C700" t="s">
        <v>4112</v>
      </c>
      <c r="D700" t="s">
        <v>4113</v>
      </c>
      <c r="E700" t="s">
        <v>2310</v>
      </c>
      <c r="F700">
        <v>8</v>
      </c>
      <c r="G700">
        <v>8.1</v>
      </c>
      <c r="H700" t="s">
        <v>2323</v>
      </c>
      <c r="I700" s="21">
        <v>37832</v>
      </c>
      <c r="J700">
        <v>2003</v>
      </c>
      <c r="K700" s="21">
        <v>37860</v>
      </c>
      <c r="L700">
        <v>2003</v>
      </c>
      <c r="M700" s="21">
        <v>38566</v>
      </c>
      <c r="N700">
        <v>2005</v>
      </c>
      <c r="R700" s="262">
        <v>399000</v>
      </c>
      <c r="S700" t="s">
        <v>114</v>
      </c>
      <c r="T700" t="s">
        <v>114</v>
      </c>
      <c r="U700">
        <v>5</v>
      </c>
      <c r="W700">
        <v>1539</v>
      </c>
      <c r="X700">
        <v>0</v>
      </c>
      <c r="Y700">
        <v>0</v>
      </c>
      <c r="Z700">
        <v>0</v>
      </c>
      <c r="AA700">
        <v>0</v>
      </c>
      <c r="AB700">
        <v>0</v>
      </c>
      <c r="AC700">
        <v>1539</v>
      </c>
      <c r="AD700">
        <v>0</v>
      </c>
      <c r="AE700">
        <v>0</v>
      </c>
      <c r="AF700">
        <v>0</v>
      </c>
      <c r="AG700">
        <v>0</v>
      </c>
      <c r="AH700">
        <v>0</v>
      </c>
      <c r="AI700">
        <v>0</v>
      </c>
      <c r="AJ700">
        <v>0</v>
      </c>
      <c r="AK700">
        <v>0</v>
      </c>
      <c r="AL700">
        <v>0</v>
      </c>
      <c r="AM700">
        <v>0</v>
      </c>
      <c r="AN700">
        <v>0</v>
      </c>
      <c r="AO700">
        <v>0</v>
      </c>
      <c r="AP700">
        <v>0</v>
      </c>
      <c r="AQ700">
        <v>0</v>
      </c>
      <c r="AR700">
        <v>0</v>
      </c>
      <c r="AS700">
        <v>0</v>
      </c>
      <c r="AT700">
        <v>0</v>
      </c>
      <c r="AU700">
        <f t="shared" si="20"/>
        <v>0</v>
      </c>
      <c r="AV700">
        <f t="shared" si="21"/>
        <v>0</v>
      </c>
    </row>
    <row r="701" spans="1:48" x14ac:dyDescent="0.25">
      <c r="A701" t="s">
        <v>4114</v>
      </c>
      <c r="C701" t="s">
        <v>4115</v>
      </c>
      <c r="D701" t="s">
        <v>4116</v>
      </c>
      <c r="E701" t="s">
        <v>2310</v>
      </c>
      <c r="F701">
        <v>9</v>
      </c>
      <c r="G701">
        <v>9.1</v>
      </c>
      <c r="H701" t="s">
        <v>2323</v>
      </c>
      <c r="I701" s="21">
        <v>37833</v>
      </c>
      <c r="J701">
        <v>2003</v>
      </c>
      <c r="K701" s="21">
        <v>37845</v>
      </c>
      <c r="L701">
        <v>2003</v>
      </c>
      <c r="M701" s="21">
        <v>38016</v>
      </c>
      <c r="N701">
        <v>2004</v>
      </c>
      <c r="R701" s="262">
        <v>70000</v>
      </c>
      <c r="S701" t="s">
        <v>114</v>
      </c>
      <c r="T701" t="s">
        <v>114</v>
      </c>
      <c r="U701">
        <v>15</v>
      </c>
      <c r="W701">
        <v>523</v>
      </c>
      <c r="X701">
        <v>0</v>
      </c>
      <c r="Y701">
        <v>0</v>
      </c>
      <c r="Z701">
        <v>0</v>
      </c>
      <c r="AA701">
        <v>0</v>
      </c>
      <c r="AB701">
        <v>0</v>
      </c>
      <c r="AC701">
        <v>0</v>
      </c>
      <c r="AD701">
        <v>0</v>
      </c>
      <c r="AE701">
        <v>0</v>
      </c>
      <c r="AF701">
        <v>0</v>
      </c>
      <c r="AG701">
        <v>0</v>
      </c>
      <c r="AH701">
        <v>0</v>
      </c>
      <c r="AI701">
        <v>0</v>
      </c>
      <c r="AJ701">
        <v>0</v>
      </c>
      <c r="AK701">
        <v>0</v>
      </c>
      <c r="AL701">
        <v>0</v>
      </c>
      <c r="AM701">
        <v>523</v>
      </c>
      <c r="AN701">
        <v>0</v>
      </c>
      <c r="AO701">
        <v>0</v>
      </c>
      <c r="AP701">
        <v>0</v>
      </c>
      <c r="AQ701">
        <v>0</v>
      </c>
      <c r="AR701">
        <v>0</v>
      </c>
      <c r="AS701">
        <v>0</v>
      </c>
      <c r="AT701">
        <v>0</v>
      </c>
      <c r="AU701">
        <f t="shared" si="20"/>
        <v>0</v>
      </c>
      <c r="AV701">
        <f t="shared" si="21"/>
        <v>523</v>
      </c>
    </row>
    <row r="702" spans="1:48" x14ac:dyDescent="0.25">
      <c r="A702" t="s">
        <v>4117</v>
      </c>
      <c r="C702" t="s">
        <v>4118</v>
      </c>
      <c r="D702" t="s">
        <v>4119</v>
      </c>
      <c r="E702" t="s">
        <v>2310</v>
      </c>
      <c r="F702">
        <v>8</v>
      </c>
      <c r="G702">
        <v>8.3000000000000007</v>
      </c>
      <c r="H702" t="s">
        <v>2323</v>
      </c>
      <c r="I702" s="21">
        <v>37833</v>
      </c>
      <c r="J702">
        <v>2003</v>
      </c>
      <c r="K702" s="21">
        <v>37866</v>
      </c>
      <c r="L702">
        <v>2003</v>
      </c>
      <c r="M702" s="21">
        <v>38383</v>
      </c>
      <c r="N702">
        <v>2005</v>
      </c>
      <c r="R702" s="262">
        <v>30000</v>
      </c>
      <c r="S702" t="s">
        <v>114</v>
      </c>
      <c r="T702" t="s">
        <v>114</v>
      </c>
      <c r="U702">
        <v>5</v>
      </c>
      <c r="W702">
        <v>864</v>
      </c>
      <c r="X702">
        <v>0</v>
      </c>
      <c r="Y702">
        <v>0</v>
      </c>
      <c r="Z702">
        <v>0</v>
      </c>
      <c r="AA702">
        <v>0</v>
      </c>
      <c r="AB702">
        <v>0</v>
      </c>
      <c r="AC702">
        <v>864</v>
      </c>
      <c r="AD702">
        <v>0</v>
      </c>
      <c r="AE702">
        <v>0</v>
      </c>
      <c r="AF702">
        <v>0</v>
      </c>
      <c r="AG702">
        <v>0</v>
      </c>
      <c r="AH702">
        <v>0</v>
      </c>
      <c r="AI702">
        <v>0</v>
      </c>
      <c r="AJ702">
        <v>0</v>
      </c>
      <c r="AK702">
        <v>0</v>
      </c>
      <c r="AL702">
        <v>0</v>
      </c>
      <c r="AM702">
        <v>0</v>
      </c>
      <c r="AN702">
        <v>0</v>
      </c>
      <c r="AO702">
        <v>0</v>
      </c>
      <c r="AP702">
        <v>0</v>
      </c>
      <c r="AQ702">
        <v>0</v>
      </c>
      <c r="AR702">
        <v>0</v>
      </c>
      <c r="AS702">
        <v>0</v>
      </c>
      <c r="AT702">
        <v>0</v>
      </c>
      <c r="AU702">
        <f t="shared" si="20"/>
        <v>0</v>
      </c>
      <c r="AV702">
        <f t="shared" si="21"/>
        <v>0</v>
      </c>
    </row>
    <row r="703" spans="1:48" x14ac:dyDescent="0.25">
      <c r="A703" t="s">
        <v>4120</v>
      </c>
      <c r="C703" t="s">
        <v>4121</v>
      </c>
      <c r="D703" t="s">
        <v>4122</v>
      </c>
      <c r="E703" t="s">
        <v>2310</v>
      </c>
      <c r="F703">
        <v>9</v>
      </c>
      <c r="G703">
        <v>9.3000000000000007</v>
      </c>
      <c r="H703" t="s">
        <v>2323</v>
      </c>
      <c r="I703" s="21">
        <v>37837</v>
      </c>
      <c r="J703">
        <v>2003</v>
      </c>
      <c r="R703" s="262">
        <v>80000</v>
      </c>
      <c r="S703" t="s">
        <v>114</v>
      </c>
      <c r="T703" t="s">
        <v>114</v>
      </c>
      <c r="U703">
        <v>5</v>
      </c>
      <c r="W703">
        <v>720</v>
      </c>
      <c r="X703">
        <v>0</v>
      </c>
      <c r="Y703">
        <v>0</v>
      </c>
      <c r="Z703">
        <v>0</v>
      </c>
      <c r="AA703">
        <v>0</v>
      </c>
      <c r="AB703">
        <v>0</v>
      </c>
      <c r="AC703">
        <v>720</v>
      </c>
      <c r="AD703">
        <v>0</v>
      </c>
      <c r="AE703">
        <v>0</v>
      </c>
      <c r="AF703">
        <v>0</v>
      </c>
      <c r="AG703">
        <v>0</v>
      </c>
      <c r="AH703">
        <v>0</v>
      </c>
      <c r="AI703">
        <v>0</v>
      </c>
      <c r="AJ703">
        <v>0</v>
      </c>
      <c r="AK703">
        <v>0</v>
      </c>
      <c r="AL703">
        <v>0</v>
      </c>
      <c r="AM703">
        <v>0</v>
      </c>
      <c r="AN703">
        <v>0</v>
      </c>
      <c r="AO703">
        <v>0</v>
      </c>
      <c r="AP703">
        <v>0</v>
      </c>
      <c r="AQ703">
        <v>0</v>
      </c>
      <c r="AR703">
        <v>0</v>
      </c>
      <c r="AS703">
        <v>0</v>
      </c>
      <c r="AT703">
        <v>0</v>
      </c>
      <c r="AU703">
        <f t="shared" si="20"/>
        <v>0</v>
      </c>
      <c r="AV703">
        <f t="shared" si="21"/>
        <v>0</v>
      </c>
    </row>
    <row r="704" spans="1:48" x14ac:dyDescent="0.25">
      <c r="A704" t="s">
        <v>4123</v>
      </c>
      <c r="C704" t="s">
        <v>4124</v>
      </c>
      <c r="D704" t="s">
        <v>3908</v>
      </c>
      <c r="E704" t="s">
        <v>2310</v>
      </c>
      <c r="F704">
        <v>12</v>
      </c>
      <c r="G704">
        <v>12.2</v>
      </c>
      <c r="H704" t="s">
        <v>2017</v>
      </c>
      <c r="I704" s="21">
        <v>37837</v>
      </c>
      <c r="J704">
        <v>2003</v>
      </c>
      <c r="K704" s="21">
        <v>37854</v>
      </c>
      <c r="L704">
        <v>2003</v>
      </c>
      <c r="M704" s="21">
        <v>37854</v>
      </c>
      <c r="N704">
        <v>2003</v>
      </c>
      <c r="R704" s="262">
        <v>125000</v>
      </c>
      <c r="S704" t="s">
        <v>114</v>
      </c>
      <c r="T704" t="s">
        <v>114</v>
      </c>
      <c r="U704">
        <v>5</v>
      </c>
      <c r="W704">
        <v>1190</v>
      </c>
      <c r="X704">
        <v>0</v>
      </c>
      <c r="Y704">
        <v>0</v>
      </c>
      <c r="Z704">
        <v>0</v>
      </c>
      <c r="AA704">
        <v>0</v>
      </c>
      <c r="AB704">
        <v>0</v>
      </c>
      <c r="AC704">
        <v>1190</v>
      </c>
      <c r="AD704">
        <v>0</v>
      </c>
      <c r="AE704">
        <v>0</v>
      </c>
      <c r="AF704">
        <v>0</v>
      </c>
      <c r="AG704">
        <v>0</v>
      </c>
      <c r="AH704">
        <v>0</v>
      </c>
      <c r="AI704">
        <v>0</v>
      </c>
      <c r="AJ704">
        <v>0</v>
      </c>
      <c r="AK704">
        <v>0</v>
      </c>
      <c r="AL704">
        <v>0</v>
      </c>
      <c r="AM704">
        <v>0</v>
      </c>
      <c r="AN704">
        <v>0</v>
      </c>
      <c r="AO704">
        <v>0</v>
      </c>
      <c r="AP704">
        <v>0</v>
      </c>
      <c r="AQ704">
        <v>0</v>
      </c>
      <c r="AR704">
        <v>0</v>
      </c>
      <c r="AS704">
        <v>0</v>
      </c>
      <c r="AT704">
        <v>0</v>
      </c>
      <c r="AU704">
        <f t="shared" si="20"/>
        <v>0</v>
      </c>
      <c r="AV704">
        <f t="shared" si="21"/>
        <v>0</v>
      </c>
    </row>
    <row r="705" spans="1:48" x14ac:dyDescent="0.25">
      <c r="A705" t="s">
        <v>4125</v>
      </c>
      <c r="C705" t="s">
        <v>4126</v>
      </c>
      <c r="D705" t="s">
        <v>3908</v>
      </c>
      <c r="E705" t="s">
        <v>2310</v>
      </c>
      <c r="F705">
        <v>12</v>
      </c>
      <c r="G705">
        <v>12.2</v>
      </c>
      <c r="H705" t="s">
        <v>2017</v>
      </c>
      <c r="I705" s="21">
        <v>37837</v>
      </c>
      <c r="J705">
        <v>2003</v>
      </c>
      <c r="K705" s="21">
        <v>37854</v>
      </c>
      <c r="L705">
        <v>2003</v>
      </c>
      <c r="M705" s="21">
        <v>37854</v>
      </c>
      <c r="N705">
        <v>2003</v>
      </c>
      <c r="R705" s="262">
        <v>60000</v>
      </c>
      <c r="S705" t="s">
        <v>114</v>
      </c>
      <c r="T705" t="s">
        <v>114</v>
      </c>
      <c r="U705">
        <v>8</v>
      </c>
      <c r="W705">
        <v>0</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c r="AQ705">
        <v>0</v>
      </c>
      <c r="AR705">
        <v>0</v>
      </c>
      <c r="AS705">
        <v>0</v>
      </c>
      <c r="AT705">
        <v>0</v>
      </c>
      <c r="AU705">
        <f t="shared" si="20"/>
        <v>0</v>
      </c>
      <c r="AV705">
        <f t="shared" si="21"/>
        <v>0</v>
      </c>
    </row>
    <row r="706" spans="1:48" x14ac:dyDescent="0.25">
      <c r="A706" t="s">
        <v>4127</v>
      </c>
      <c r="C706" t="s">
        <v>4128</v>
      </c>
      <c r="D706" t="s">
        <v>4129</v>
      </c>
      <c r="E706" t="s">
        <v>2310</v>
      </c>
      <c r="F706">
        <v>10</v>
      </c>
      <c r="G706">
        <v>10.1</v>
      </c>
      <c r="H706" t="s">
        <v>2323</v>
      </c>
      <c r="I706" s="21">
        <v>37838</v>
      </c>
      <c r="J706">
        <v>2003</v>
      </c>
      <c r="K706" s="21">
        <v>37868</v>
      </c>
      <c r="L706">
        <v>2003</v>
      </c>
      <c r="M706" s="21">
        <v>38609</v>
      </c>
      <c r="N706">
        <v>2005</v>
      </c>
      <c r="R706" s="262">
        <v>180000</v>
      </c>
      <c r="S706" t="s">
        <v>114</v>
      </c>
      <c r="T706" t="s">
        <v>114</v>
      </c>
      <c r="U706">
        <v>5</v>
      </c>
      <c r="W706">
        <v>2689</v>
      </c>
      <c r="X706">
        <v>1</v>
      </c>
      <c r="Y706">
        <v>0</v>
      </c>
      <c r="Z706">
        <v>0</v>
      </c>
      <c r="AA706">
        <v>0</v>
      </c>
      <c r="AB706">
        <v>0</v>
      </c>
      <c r="AC706">
        <v>2689</v>
      </c>
      <c r="AD706">
        <v>0</v>
      </c>
      <c r="AE706">
        <v>0</v>
      </c>
      <c r="AF706">
        <v>0</v>
      </c>
      <c r="AG706">
        <v>0</v>
      </c>
      <c r="AH706">
        <v>0</v>
      </c>
      <c r="AI706">
        <v>0</v>
      </c>
      <c r="AJ706">
        <v>0</v>
      </c>
      <c r="AK706">
        <v>0</v>
      </c>
      <c r="AL706">
        <v>0</v>
      </c>
      <c r="AM706">
        <v>0</v>
      </c>
      <c r="AN706">
        <v>0</v>
      </c>
      <c r="AO706">
        <v>1</v>
      </c>
      <c r="AP706">
        <v>0</v>
      </c>
      <c r="AQ706">
        <v>0</v>
      </c>
      <c r="AR706">
        <v>0</v>
      </c>
      <c r="AS706">
        <v>0</v>
      </c>
      <c r="AT706">
        <v>0</v>
      </c>
      <c r="AU706">
        <f t="shared" si="20"/>
        <v>1</v>
      </c>
      <c r="AV706">
        <f t="shared" si="21"/>
        <v>0</v>
      </c>
    </row>
    <row r="707" spans="1:48" x14ac:dyDescent="0.25">
      <c r="A707" t="s">
        <v>4130</v>
      </c>
      <c r="C707" t="s">
        <v>2437</v>
      </c>
      <c r="D707" t="s">
        <v>3716</v>
      </c>
      <c r="E707" t="s">
        <v>2310</v>
      </c>
      <c r="F707">
        <v>15</v>
      </c>
      <c r="G707">
        <v>15.1</v>
      </c>
      <c r="H707" t="s">
        <v>2022</v>
      </c>
      <c r="I707" s="21">
        <v>37839</v>
      </c>
      <c r="J707">
        <v>2003</v>
      </c>
      <c r="K707" s="21">
        <v>37860</v>
      </c>
      <c r="L707">
        <v>2003</v>
      </c>
      <c r="M707" s="21">
        <v>38616</v>
      </c>
      <c r="N707">
        <v>2005</v>
      </c>
      <c r="R707" s="262">
        <v>27000</v>
      </c>
      <c r="S707" t="s">
        <v>114</v>
      </c>
      <c r="T707" t="s">
        <v>114</v>
      </c>
      <c r="U707">
        <v>5</v>
      </c>
      <c r="W707">
        <v>2400</v>
      </c>
      <c r="X707">
        <v>0</v>
      </c>
      <c r="Y707">
        <v>0</v>
      </c>
      <c r="Z707">
        <v>0</v>
      </c>
      <c r="AA707">
        <v>0</v>
      </c>
      <c r="AB707">
        <v>0</v>
      </c>
      <c r="AC707">
        <v>2400</v>
      </c>
      <c r="AD707">
        <v>0</v>
      </c>
      <c r="AE707">
        <v>0</v>
      </c>
      <c r="AF707">
        <v>0</v>
      </c>
      <c r="AG707">
        <v>0</v>
      </c>
      <c r="AH707">
        <v>0</v>
      </c>
      <c r="AI707">
        <v>0</v>
      </c>
      <c r="AJ707">
        <v>0</v>
      </c>
      <c r="AK707">
        <v>0</v>
      </c>
      <c r="AL707">
        <v>0</v>
      </c>
      <c r="AM707">
        <v>0</v>
      </c>
      <c r="AN707">
        <v>0</v>
      </c>
      <c r="AO707">
        <v>0</v>
      </c>
      <c r="AP707">
        <v>0</v>
      </c>
      <c r="AQ707">
        <v>0</v>
      </c>
      <c r="AR707">
        <v>0</v>
      </c>
      <c r="AS707">
        <v>0</v>
      </c>
      <c r="AT707">
        <v>0</v>
      </c>
      <c r="AU707">
        <f t="shared" si="20"/>
        <v>0</v>
      </c>
      <c r="AV707">
        <f t="shared" si="21"/>
        <v>0</v>
      </c>
    </row>
    <row r="708" spans="1:48" x14ac:dyDescent="0.25">
      <c r="A708" t="s">
        <v>4131</v>
      </c>
      <c r="C708" t="s">
        <v>4132</v>
      </c>
      <c r="D708" t="s">
        <v>4133</v>
      </c>
      <c r="E708" t="s">
        <v>2310</v>
      </c>
      <c r="F708">
        <v>8</v>
      </c>
      <c r="G708">
        <v>8.3000000000000007</v>
      </c>
      <c r="H708" t="s">
        <v>2323</v>
      </c>
      <c r="I708" s="21">
        <v>37839</v>
      </c>
      <c r="J708">
        <v>2003</v>
      </c>
      <c r="K708" s="21">
        <v>37868</v>
      </c>
      <c r="L708">
        <v>2003</v>
      </c>
      <c r="M708" s="21">
        <v>37935</v>
      </c>
      <c r="N708">
        <v>2003</v>
      </c>
      <c r="R708" s="262">
        <v>12000</v>
      </c>
      <c r="S708" t="s">
        <v>114</v>
      </c>
      <c r="T708" t="s">
        <v>114</v>
      </c>
      <c r="U708">
        <v>8</v>
      </c>
      <c r="W708">
        <v>1000</v>
      </c>
      <c r="X708">
        <v>1</v>
      </c>
      <c r="Y708">
        <v>0</v>
      </c>
      <c r="Z708">
        <v>0</v>
      </c>
      <c r="AA708">
        <v>0</v>
      </c>
      <c r="AB708">
        <v>0</v>
      </c>
      <c r="AC708">
        <v>0</v>
      </c>
      <c r="AD708">
        <v>0</v>
      </c>
      <c r="AE708">
        <v>0</v>
      </c>
      <c r="AF708">
        <v>1000</v>
      </c>
      <c r="AG708">
        <v>0</v>
      </c>
      <c r="AH708">
        <v>0</v>
      </c>
      <c r="AI708">
        <v>0</v>
      </c>
      <c r="AJ708">
        <v>0</v>
      </c>
      <c r="AK708">
        <v>0</v>
      </c>
      <c r="AL708">
        <v>0</v>
      </c>
      <c r="AM708">
        <v>0</v>
      </c>
      <c r="AN708">
        <v>0</v>
      </c>
      <c r="AO708">
        <v>0</v>
      </c>
      <c r="AP708">
        <v>0</v>
      </c>
      <c r="AQ708">
        <v>0</v>
      </c>
      <c r="AR708">
        <v>1</v>
      </c>
      <c r="AS708">
        <v>0</v>
      </c>
      <c r="AT708">
        <v>0</v>
      </c>
      <c r="AU708">
        <f t="shared" si="20"/>
        <v>0</v>
      </c>
      <c r="AV708">
        <f t="shared" si="21"/>
        <v>0</v>
      </c>
    </row>
    <row r="709" spans="1:48" x14ac:dyDescent="0.25">
      <c r="A709" t="s">
        <v>4134</v>
      </c>
      <c r="C709" t="s">
        <v>4135</v>
      </c>
      <c r="D709" t="s">
        <v>4136</v>
      </c>
      <c r="E709" t="s">
        <v>2310</v>
      </c>
      <c r="F709">
        <v>15</v>
      </c>
      <c r="G709">
        <v>15.3</v>
      </c>
      <c r="H709" t="s">
        <v>2022</v>
      </c>
      <c r="I709" s="21">
        <v>37840</v>
      </c>
      <c r="J709">
        <v>2003</v>
      </c>
      <c r="K709" s="21">
        <v>37881</v>
      </c>
      <c r="L709">
        <v>2003</v>
      </c>
      <c r="M709" s="21">
        <v>38238</v>
      </c>
      <c r="N709">
        <v>2004</v>
      </c>
      <c r="R709" s="262">
        <v>390000</v>
      </c>
      <c r="S709" t="s">
        <v>114</v>
      </c>
      <c r="T709" t="s">
        <v>114</v>
      </c>
      <c r="U709">
        <v>1</v>
      </c>
      <c r="W709">
        <v>13600</v>
      </c>
      <c r="X709">
        <v>0</v>
      </c>
      <c r="Y709">
        <v>13600</v>
      </c>
      <c r="Z709">
        <v>0</v>
      </c>
      <c r="AA709">
        <v>0</v>
      </c>
      <c r="AB709">
        <v>0</v>
      </c>
      <c r="AC709">
        <v>0</v>
      </c>
      <c r="AD709">
        <v>0</v>
      </c>
      <c r="AE709">
        <v>0</v>
      </c>
      <c r="AF709">
        <v>0</v>
      </c>
      <c r="AG709">
        <v>0</v>
      </c>
      <c r="AH709">
        <v>0</v>
      </c>
      <c r="AI709">
        <v>0</v>
      </c>
      <c r="AJ709">
        <v>0</v>
      </c>
      <c r="AK709">
        <v>0</v>
      </c>
      <c r="AL709">
        <v>0</v>
      </c>
      <c r="AM709">
        <v>0</v>
      </c>
      <c r="AN709">
        <v>0</v>
      </c>
      <c r="AO709">
        <v>0</v>
      </c>
      <c r="AP709">
        <v>0</v>
      </c>
      <c r="AQ709">
        <v>0</v>
      </c>
      <c r="AR709">
        <v>0</v>
      </c>
      <c r="AS709">
        <v>0</v>
      </c>
      <c r="AT709">
        <v>0</v>
      </c>
      <c r="AU709">
        <f t="shared" si="20"/>
        <v>0</v>
      </c>
      <c r="AV709">
        <f t="shared" si="21"/>
        <v>13600</v>
      </c>
    </row>
    <row r="710" spans="1:48" x14ac:dyDescent="0.25">
      <c r="A710" t="s">
        <v>4137</v>
      </c>
      <c r="C710" t="s">
        <v>2437</v>
      </c>
      <c r="D710" t="s">
        <v>4138</v>
      </c>
      <c r="E710" t="s">
        <v>2310</v>
      </c>
      <c r="F710">
        <v>15</v>
      </c>
      <c r="G710">
        <v>15.1</v>
      </c>
      <c r="H710" t="s">
        <v>2022</v>
      </c>
      <c r="I710" s="21">
        <v>37840</v>
      </c>
      <c r="J710">
        <v>2003</v>
      </c>
      <c r="K710" s="21">
        <v>37874</v>
      </c>
      <c r="L710">
        <v>2003</v>
      </c>
      <c r="M710" s="21">
        <v>38034</v>
      </c>
      <c r="N710">
        <v>2004</v>
      </c>
      <c r="R710" s="262">
        <v>130000</v>
      </c>
      <c r="S710" t="s">
        <v>114</v>
      </c>
      <c r="T710" t="s">
        <v>114</v>
      </c>
      <c r="U710">
        <v>5</v>
      </c>
      <c r="W710">
        <v>1782</v>
      </c>
      <c r="X710">
        <v>0</v>
      </c>
      <c r="Y710">
        <v>0</v>
      </c>
      <c r="Z710">
        <v>0</v>
      </c>
      <c r="AA710">
        <v>0</v>
      </c>
      <c r="AB710">
        <v>0</v>
      </c>
      <c r="AC710">
        <v>1782</v>
      </c>
      <c r="AD710">
        <v>0</v>
      </c>
      <c r="AE710">
        <v>0</v>
      </c>
      <c r="AF710">
        <v>0</v>
      </c>
      <c r="AG710">
        <v>0</v>
      </c>
      <c r="AH710">
        <v>0</v>
      </c>
      <c r="AI710">
        <v>0</v>
      </c>
      <c r="AJ710">
        <v>0</v>
      </c>
      <c r="AK710">
        <v>0</v>
      </c>
      <c r="AL710">
        <v>0</v>
      </c>
      <c r="AM710">
        <v>0</v>
      </c>
      <c r="AN710">
        <v>0</v>
      </c>
      <c r="AO710">
        <v>0</v>
      </c>
      <c r="AP710">
        <v>0</v>
      </c>
      <c r="AQ710">
        <v>0</v>
      </c>
      <c r="AR710">
        <v>0</v>
      </c>
      <c r="AS710">
        <v>0</v>
      </c>
      <c r="AT710">
        <v>0</v>
      </c>
      <c r="AU710">
        <f t="shared" si="20"/>
        <v>0</v>
      </c>
      <c r="AV710">
        <f t="shared" si="21"/>
        <v>0</v>
      </c>
    </row>
    <row r="711" spans="1:48" x14ac:dyDescent="0.25">
      <c r="A711" t="s">
        <v>4142</v>
      </c>
      <c r="C711" t="s">
        <v>4143</v>
      </c>
      <c r="D711" t="s">
        <v>4144</v>
      </c>
      <c r="E711" t="s">
        <v>2310</v>
      </c>
      <c r="F711">
        <v>9</v>
      </c>
      <c r="G711">
        <v>9.3000000000000007</v>
      </c>
      <c r="H711" t="s">
        <v>2323</v>
      </c>
      <c r="I711" s="21">
        <v>37841</v>
      </c>
      <c r="J711">
        <v>2003</v>
      </c>
      <c r="K711" s="21">
        <v>37868</v>
      </c>
      <c r="L711">
        <v>2003</v>
      </c>
      <c r="M711" s="21">
        <v>38279</v>
      </c>
      <c r="N711">
        <v>2004</v>
      </c>
      <c r="R711" s="262">
        <v>175000</v>
      </c>
      <c r="S711" t="s">
        <v>114</v>
      </c>
      <c r="T711" t="s">
        <v>114</v>
      </c>
      <c r="U711">
        <v>8</v>
      </c>
      <c r="W711">
        <v>1000</v>
      </c>
      <c r="X711">
        <v>1</v>
      </c>
      <c r="Y711">
        <v>0</v>
      </c>
      <c r="Z711">
        <v>0</v>
      </c>
      <c r="AA711">
        <v>0</v>
      </c>
      <c r="AB711">
        <v>0</v>
      </c>
      <c r="AC711">
        <v>0</v>
      </c>
      <c r="AD711">
        <v>0</v>
      </c>
      <c r="AE711">
        <v>0</v>
      </c>
      <c r="AF711">
        <v>1000</v>
      </c>
      <c r="AG711">
        <v>0</v>
      </c>
      <c r="AH711">
        <v>0</v>
      </c>
      <c r="AI711">
        <v>0</v>
      </c>
      <c r="AJ711">
        <v>0</v>
      </c>
      <c r="AK711">
        <v>0</v>
      </c>
      <c r="AL711">
        <v>0</v>
      </c>
      <c r="AM711">
        <v>0</v>
      </c>
      <c r="AN711">
        <v>0</v>
      </c>
      <c r="AO711">
        <v>0</v>
      </c>
      <c r="AP711">
        <v>0</v>
      </c>
      <c r="AQ711">
        <v>0</v>
      </c>
      <c r="AR711">
        <v>1</v>
      </c>
      <c r="AS711">
        <v>0</v>
      </c>
      <c r="AT711">
        <v>0</v>
      </c>
      <c r="AU711">
        <f t="shared" si="20"/>
        <v>0</v>
      </c>
      <c r="AV711">
        <f t="shared" si="21"/>
        <v>0</v>
      </c>
    </row>
    <row r="712" spans="1:48" x14ac:dyDescent="0.25">
      <c r="A712" t="s">
        <v>4145</v>
      </c>
      <c r="C712" t="s">
        <v>2544</v>
      </c>
      <c r="D712" t="s">
        <v>4144</v>
      </c>
      <c r="E712" t="s">
        <v>2310</v>
      </c>
      <c r="F712">
        <v>9</v>
      </c>
      <c r="G712">
        <v>9.3000000000000007</v>
      </c>
      <c r="H712" t="s">
        <v>2323</v>
      </c>
      <c r="I712" s="21">
        <v>37841</v>
      </c>
      <c r="J712">
        <v>2003</v>
      </c>
      <c r="K712" s="21">
        <v>37868</v>
      </c>
      <c r="L712">
        <v>2003</v>
      </c>
      <c r="M712" s="21">
        <v>37868</v>
      </c>
      <c r="N712">
        <v>2003</v>
      </c>
      <c r="R712" s="262">
        <v>75000</v>
      </c>
      <c r="S712" t="s">
        <v>114</v>
      </c>
      <c r="T712" t="s">
        <v>114</v>
      </c>
      <c r="U712">
        <v>5</v>
      </c>
      <c r="W712">
        <v>1200</v>
      </c>
      <c r="X712">
        <v>0</v>
      </c>
      <c r="Y712">
        <v>0</v>
      </c>
      <c r="Z712">
        <v>0</v>
      </c>
      <c r="AA712">
        <v>0</v>
      </c>
      <c r="AB712">
        <v>0</v>
      </c>
      <c r="AC712">
        <v>1200</v>
      </c>
      <c r="AD712">
        <v>0</v>
      </c>
      <c r="AE712">
        <v>0</v>
      </c>
      <c r="AF712">
        <v>0</v>
      </c>
      <c r="AG712">
        <v>0</v>
      </c>
      <c r="AH712">
        <v>0</v>
      </c>
      <c r="AI712">
        <v>0</v>
      </c>
      <c r="AJ712">
        <v>0</v>
      </c>
      <c r="AK712">
        <v>0</v>
      </c>
      <c r="AL712">
        <v>0</v>
      </c>
      <c r="AM712">
        <v>0</v>
      </c>
      <c r="AN712">
        <v>0</v>
      </c>
      <c r="AO712">
        <v>0</v>
      </c>
      <c r="AP712">
        <v>0</v>
      </c>
      <c r="AQ712">
        <v>0</v>
      </c>
      <c r="AR712">
        <v>0</v>
      </c>
      <c r="AS712">
        <v>0</v>
      </c>
      <c r="AT712">
        <v>0</v>
      </c>
      <c r="AU712">
        <f t="shared" si="20"/>
        <v>0</v>
      </c>
      <c r="AV712">
        <f t="shared" si="21"/>
        <v>0</v>
      </c>
    </row>
    <row r="713" spans="1:48" x14ac:dyDescent="0.25">
      <c r="A713" t="s">
        <v>4139</v>
      </c>
      <c r="C713" t="s">
        <v>4140</v>
      </c>
      <c r="D713" t="s">
        <v>4141</v>
      </c>
      <c r="E713" t="s">
        <v>1663</v>
      </c>
      <c r="F713">
        <v>3</v>
      </c>
      <c r="G713">
        <v>3.4</v>
      </c>
      <c r="H713" t="s">
        <v>2017</v>
      </c>
      <c r="I713" s="21">
        <v>37841</v>
      </c>
      <c r="J713">
        <v>2003</v>
      </c>
      <c r="K713" s="21">
        <v>37872</v>
      </c>
      <c r="L713">
        <v>2003</v>
      </c>
      <c r="M713" s="21">
        <v>38025</v>
      </c>
      <c r="N713">
        <v>2004</v>
      </c>
      <c r="Q713" s="262">
        <v>9840</v>
      </c>
      <c r="S713" t="s">
        <v>114</v>
      </c>
      <c r="T713" t="s">
        <v>114</v>
      </c>
      <c r="W713">
        <v>115</v>
      </c>
      <c r="X713">
        <v>0</v>
      </c>
      <c r="Y713">
        <v>0</v>
      </c>
      <c r="Z713">
        <v>0</v>
      </c>
      <c r="AA713">
        <v>0</v>
      </c>
      <c r="AB713">
        <v>0</v>
      </c>
      <c r="AC713">
        <v>115</v>
      </c>
      <c r="AD713">
        <v>0</v>
      </c>
      <c r="AE713">
        <v>0</v>
      </c>
      <c r="AF713">
        <v>0</v>
      </c>
      <c r="AG713">
        <v>0</v>
      </c>
      <c r="AH713">
        <v>0</v>
      </c>
      <c r="AI713">
        <v>0</v>
      </c>
      <c r="AJ713">
        <v>0</v>
      </c>
      <c r="AK713">
        <v>0</v>
      </c>
      <c r="AL713">
        <v>0</v>
      </c>
      <c r="AM713">
        <v>0</v>
      </c>
      <c r="AN713">
        <v>0</v>
      </c>
      <c r="AO713">
        <v>0</v>
      </c>
      <c r="AP713">
        <v>0</v>
      </c>
      <c r="AQ713">
        <v>0</v>
      </c>
      <c r="AR713">
        <v>0</v>
      </c>
      <c r="AS713">
        <v>0</v>
      </c>
      <c r="AT713">
        <v>0</v>
      </c>
      <c r="AU713">
        <f t="shared" si="20"/>
        <v>0</v>
      </c>
      <c r="AV713">
        <f t="shared" si="21"/>
        <v>0</v>
      </c>
    </row>
    <row r="714" spans="1:48" x14ac:dyDescent="0.25">
      <c r="A714" t="s">
        <v>4149</v>
      </c>
      <c r="C714" t="s">
        <v>2983</v>
      </c>
      <c r="D714" t="s">
        <v>4150</v>
      </c>
      <c r="E714" t="s">
        <v>2310</v>
      </c>
      <c r="F714">
        <v>15</v>
      </c>
      <c r="G714">
        <v>15.2</v>
      </c>
      <c r="H714" t="s">
        <v>2323</v>
      </c>
      <c r="I714" s="21">
        <v>37845</v>
      </c>
      <c r="J714">
        <v>2003</v>
      </c>
      <c r="K714" s="21">
        <v>37888</v>
      </c>
      <c r="L714">
        <v>2003</v>
      </c>
      <c r="M714" s="21">
        <v>40225.556828703702</v>
      </c>
      <c r="N714">
        <v>2010</v>
      </c>
      <c r="R714" s="262">
        <v>4000</v>
      </c>
      <c r="S714" t="s">
        <v>114</v>
      </c>
      <c r="T714" t="s">
        <v>114</v>
      </c>
      <c r="U714">
        <v>5</v>
      </c>
      <c r="W714">
        <v>1092</v>
      </c>
      <c r="X714">
        <v>0</v>
      </c>
      <c r="Y714">
        <v>0</v>
      </c>
      <c r="Z714">
        <v>0</v>
      </c>
      <c r="AA714">
        <v>0</v>
      </c>
      <c r="AB714">
        <v>0</v>
      </c>
      <c r="AC714">
        <v>1092</v>
      </c>
      <c r="AD714">
        <v>0</v>
      </c>
      <c r="AE714">
        <v>0</v>
      </c>
      <c r="AF714">
        <v>0</v>
      </c>
      <c r="AG714">
        <v>0</v>
      </c>
      <c r="AH714">
        <v>0</v>
      </c>
      <c r="AI714">
        <v>0</v>
      </c>
      <c r="AJ714">
        <v>0</v>
      </c>
      <c r="AK714">
        <v>0</v>
      </c>
      <c r="AL714">
        <v>0</v>
      </c>
      <c r="AM714">
        <v>0</v>
      </c>
      <c r="AN714">
        <v>0</v>
      </c>
      <c r="AO714">
        <v>0</v>
      </c>
      <c r="AP714">
        <v>0</v>
      </c>
      <c r="AQ714">
        <v>0</v>
      </c>
      <c r="AR714">
        <v>0</v>
      </c>
      <c r="AS714">
        <v>0</v>
      </c>
      <c r="AT714">
        <v>0</v>
      </c>
      <c r="AU714">
        <f t="shared" si="20"/>
        <v>0</v>
      </c>
      <c r="AV714">
        <f t="shared" si="21"/>
        <v>0</v>
      </c>
    </row>
    <row r="715" spans="1:48" x14ac:dyDescent="0.25">
      <c r="A715" t="s">
        <v>4146</v>
      </c>
      <c r="C715" t="s">
        <v>4147</v>
      </c>
      <c r="D715" t="s">
        <v>4148</v>
      </c>
      <c r="E715" t="s">
        <v>1663</v>
      </c>
      <c r="F715">
        <v>2</v>
      </c>
      <c r="G715">
        <v>2.2999999999999998</v>
      </c>
      <c r="H715" t="s">
        <v>2327</v>
      </c>
      <c r="I715" s="21">
        <v>37845</v>
      </c>
      <c r="J715">
        <v>2003</v>
      </c>
      <c r="K715" s="21">
        <v>37876</v>
      </c>
      <c r="L715">
        <v>2003</v>
      </c>
      <c r="M715" s="21">
        <v>38029</v>
      </c>
      <c r="N715">
        <v>2004</v>
      </c>
      <c r="Q715" s="262">
        <v>0</v>
      </c>
      <c r="S715" t="s">
        <v>114</v>
      </c>
      <c r="T715" t="s">
        <v>114</v>
      </c>
      <c r="W715">
        <v>4912</v>
      </c>
      <c r="X715">
        <v>45</v>
      </c>
      <c r="Y715">
        <v>0</v>
      </c>
      <c r="Z715">
        <v>0</v>
      </c>
      <c r="AA715">
        <v>0</v>
      </c>
      <c r="AB715">
        <v>0</v>
      </c>
      <c r="AC715">
        <v>0</v>
      </c>
      <c r="AD715">
        <v>0</v>
      </c>
      <c r="AE715">
        <v>2307</v>
      </c>
      <c r="AF715">
        <v>0</v>
      </c>
      <c r="AG715">
        <v>0</v>
      </c>
      <c r="AH715">
        <v>0</v>
      </c>
      <c r="AI715">
        <v>0</v>
      </c>
      <c r="AJ715">
        <v>0</v>
      </c>
      <c r="AK715">
        <v>2605</v>
      </c>
      <c r="AL715">
        <v>0</v>
      </c>
      <c r="AM715">
        <v>0</v>
      </c>
      <c r="AN715">
        <v>0</v>
      </c>
      <c r="AO715">
        <v>0</v>
      </c>
      <c r="AP715">
        <v>0</v>
      </c>
      <c r="AQ715">
        <v>4</v>
      </c>
      <c r="AR715">
        <v>0</v>
      </c>
      <c r="AS715">
        <v>0</v>
      </c>
      <c r="AT715">
        <v>41</v>
      </c>
      <c r="AU715">
        <f t="shared" si="20"/>
        <v>4</v>
      </c>
      <c r="AV715">
        <f t="shared" si="21"/>
        <v>2605</v>
      </c>
    </row>
    <row r="716" spans="1:48" x14ac:dyDescent="0.25">
      <c r="A716" t="s">
        <v>4151</v>
      </c>
      <c r="C716" t="s">
        <v>3383</v>
      </c>
      <c r="D716" t="s">
        <v>4152</v>
      </c>
      <c r="E716" t="s">
        <v>2310</v>
      </c>
      <c r="F716">
        <v>10</v>
      </c>
      <c r="G716">
        <v>10.1</v>
      </c>
      <c r="H716" t="s">
        <v>2323</v>
      </c>
      <c r="I716" s="21">
        <v>37847</v>
      </c>
      <c r="J716">
        <v>2003</v>
      </c>
      <c r="K716" s="21">
        <v>37914</v>
      </c>
      <c r="L716">
        <v>2003</v>
      </c>
      <c r="M716" s="21">
        <v>37914</v>
      </c>
      <c r="N716">
        <v>2003</v>
      </c>
      <c r="R716" s="262">
        <v>325000</v>
      </c>
      <c r="S716" t="s">
        <v>114</v>
      </c>
      <c r="T716" t="s">
        <v>114</v>
      </c>
      <c r="U716">
        <v>5</v>
      </c>
      <c r="W716">
        <v>4350</v>
      </c>
      <c r="X716">
        <v>1</v>
      </c>
      <c r="Y716">
        <v>0</v>
      </c>
      <c r="Z716">
        <v>0</v>
      </c>
      <c r="AA716">
        <v>0</v>
      </c>
      <c r="AB716">
        <v>0</v>
      </c>
      <c r="AC716">
        <v>4350</v>
      </c>
      <c r="AD716">
        <v>0</v>
      </c>
      <c r="AE716">
        <v>0</v>
      </c>
      <c r="AF716">
        <v>0</v>
      </c>
      <c r="AG716">
        <v>0</v>
      </c>
      <c r="AH716">
        <v>0</v>
      </c>
      <c r="AI716">
        <v>0</v>
      </c>
      <c r="AJ716">
        <v>0</v>
      </c>
      <c r="AK716">
        <v>0</v>
      </c>
      <c r="AL716">
        <v>0</v>
      </c>
      <c r="AM716">
        <v>0</v>
      </c>
      <c r="AN716">
        <v>0</v>
      </c>
      <c r="AO716">
        <v>1</v>
      </c>
      <c r="AP716">
        <v>0</v>
      </c>
      <c r="AQ716">
        <v>0</v>
      </c>
      <c r="AR716">
        <v>0</v>
      </c>
      <c r="AS716">
        <v>0</v>
      </c>
      <c r="AT716">
        <v>0</v>
      </c>
      <c r="AU716">
        <f t="shared" si="20"/>
        <v>1</v>
      </c>
      <c r="AV716">
        <f t="shared" si="21"/>
        <v>0</v>
      </c>
    </row>
    <row r="717" spans="1:48" x14ac:dyDescent="0.25">
      <c r="A717" t="s">
        <v>4153</v>
      </c>
      <c r="C717" t="s">
        <v>4154</v>
      </c>
      <c r="D717" t="s">
        <v>4155</v>
      </c>
      <c r="E717" t="s">
        <v>2310</v>
      </c>
      <c r="F717">
        <v>14</v>
      </c>
      <c r="G717">
        <v>14.1</v>
      </c>
      <c r="H717" t="s">
        <v>2022</v>
      </c>
      <c r="I717" s="21">
        <v>37847</v>
      </c>
      <c r="J717">
        <v>2003</v>
      </c>
      <c r="K717" s="21">
        <v>37858</v>
      </c>
      <c r="L717">
        <v>2003</v>
      </c>
      <c r="M717" s="21">
        <v>38665</v>
      </c>
      <c r="N717">
        <v>2005</v>
      </c>
      <c r="R717" s="262">
        <v>25000</v>
      </c>
      <c r="S717" t="s">
        <v>114</v>
      </c>
      <c r="T717" t="s">
        <v>114</v>
      </c>
      <c r="U717">
        <v>5</v>
      </c>
      <c r="W717">
        <v>1008</v>
      </c>
      <c r="X717">
        <v>0</v>
      </c>
      <c r="Y717">
        <v>0</v>
      </c>
      <c r="Z717">
        <v>0</v>
      </c>
      <c r="AA717">
        <v>0</v>
      </c>
      <c r="AB717">
        <v>0</v>
      </c>
      <c r="AC717">
        <v>1008</v>
      </c>
      <c r="AD717">
        <v>0</v>
      </c>
      <c r="AE717">
        <v>0</v>
      </c>
      <c r="AF717">
        <v>0</v>
      </c>
      <c r="AG717">
        <v>0</v>
      </c>
      <c r="AH717">
        <v>0</v>
      </c>
      <c r="AI717">
        <v>0</v>
      </c>
      <c r="AJ717">
        <v>0</v>
      </c>
      <c r="AK717">
        <v>0</v>
      </c>
      <c r="AL717">
        <v>0</v>
      </c>
      <c r="AM717">
        <v>0</v>
      </c>
      <c r="AN717">
        <v>0</v>
      </c>
      <c r="AO717">
        <v>0</v>
      </c>
      <c r="AP717">
        <v>0</v>
      </c>
      <c r="AQ717">
        <v>0</v>
      </c>
      <c r="AR717">
        <v>0</v>
      </c>
      <c r="AS717">
        <v>0</v>
      </c>
      <c r="AT717">
        <v>0</v>
      </c>
      <c r="AU717">
        <f t="shared" si="20"/>
        <v>0</v>
      </c>
      <c r="AV717">
        <f t="shared" si="21"/>
        <v>0</v>
      </c>
    </row>
    <row r="718" spans="1:48" x14ac:dyDescent="0.25">
      <c r="A718" t="s">
        <v>4156</v>
      </c>
      <c r="C718" t="s">
        <v>4157</v>
      </c>
      <c r="D718" t="s">
        <v>3040</v>
      </c>
      <c r="E718" t="s">
        <v>2310</v>
      </c>
      <c r="F718">
        <v>15</v>
      </c>
      <c r="G718">
        <v>15.2</v>
      </c>
      <c r="H718" t="s">
        <v>2323</v>
      </c>
      <c r="I718" s="21">
        <v>37848</v>
      </c>
      <c r="J718">
        <v>2003</v>
      </c>
      <c r="K718" s="21">
        <v>37872</v>
      </c>
      <c r="L718">
        <v>2003</v>
      </c>
      <c r="M718" s="21">
        <v>38623</v>
      </c>
      <c r="N718">
        <v>2005</v>
      </c>
      <c r="R718" s="262">
        <v>25000</v>
      </c>
      <c r="S718" t="s">
        <v>114</v>
      </c>
      <c r="T718" t="s">
        <v>114</v>
      </c>
      <c r="U718">
        <v>5</v>
      </c>
      <c r="W718">
        <v>64</v>
      </c>
      <c r="X718">
        <v>0</v>
      </c>
      <c r="Y718">
        <v>0</v>
      </c>
      <c r="Z718">
        <v>0</v>
      </c>
      <c r="AA718">
        <v>0</v>
      </c>
      <c r="AB718">
        <v>0</v>
      </c>
      <c r="AC718">
        <v>64</v>
      </c>
      <c r="AD718">
        <v>0</v>
      </c>
      <c r="AE718">
        <v>0</v>
      </c>
      <c r="AF718">
        <v>0</v>
      </c>
      <c r="AG718">
        <v>0</v>
      </c>
      <c r="AH718">
        <v>0</v>
      </c>
      <c r="AI718">
        <v>0</v>
      </c>
      <c r="AJ718">
        <v>0</v>
      </c>
      <c r="AK718">
        <v>0</v>
      </c>
      <c r="AL718">
        <v>0</v>
      </c>
      <c r="AM718">
        <v>0</v>
      </c>
      <c r="AN718">
        <v>0</v>
      </c>
      <c r="AO718">
        <v>0</v>
      </c>
      <c r="AP718">
        <v>0</v>
      </c>
      <c r="AQ718">
        <v>0</v>
      </c>
      <c r="AR718">
        <v>0</v>
      </c>
      <c r="AS718">
        <v>0</v>
      </c>
      <c r="AT718">
        <v>0</v>
      </c>
      <c r="AU718">
        <f t="shared" si="20"/>
        <v>0</v>
      </c>
      <c r="AV718">
        <f t="shared" si="21"/>
        <v>0</v>
      </c>
    </row>
    <row r="719" spans="1:48" x14ac:dyDescent="0.25">
      <c r="A719" t="s">
        <v>4158</v>
      </c>
      <c r="C719" t="s">
        <v>4159</v>
      </c>
      <c r="D719" t="s">
        <v>4160</v>
      </c>
      <c r="E719" t="s">
        <v>2310</v>
      </c>
      <c r="F719">
        <v>9</v>
      </c>
      <c r="G719">
        <v>9.1999999999999993</v>
      </c>
      <c r="H719" t="s">
        <v>2022</v>
      </c>
      <c r="I719" s="21">
        <v>37848</v>
      </c>
      <c r="J719">
        <v>2003</v>
      </c>
      <c r="K719" s="21">
        <v>37888</v>
      </c>
      <c r="L719">
        <v>2003</v>
      </c>
      <c r="M719" s="21">
        <v>37888</v>
      </c>
      <c r="N719">
        <v>2003</v>
      </c>
      <c r="R719" s="262">
        <v>30000</v>
      </c>
      <c r="S719" t="s">
        <v>114</v>
      </c>
      <c r="T719" t="s">
        <v>114</v>
      </c>
      <c r="U719">
        <v>5</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c r="AQ719">
        <v>0</v>
      </c>
      <c r="AR719">
        <v>0</v>
      </c>
      <c r="AS719">
        <v>0</v>
      </c>
      <c r="AT719">
        <v>0</v>
      </c>
      <c r="AU719">
        <f t="shared" si="20"/>
        <v>0</v>
      </c>
      <c r="AV719">
        <f t="shared" si="21"/>
        <v>0</v>
      </c>
    </row>
    <row r="720" spans="1:48" x14ac:dyDescent="0.25">
      <c r="A720" t="s">
        <v>4161</v>
      </c>
      <c r="C720" t="s">
        <v>4162</v>
      </c>
      <c r="D720" t="s">
        <v>4163</v>
      </c>
      <c r="E720" t="s">
        <v>2310</v>
      </c>
      <c r="F720">
        <v>10</v>
      </c>
      <c r="G720">
        <v>10.1</v>
      </c>
      <c r="H720" t="s">
        <v>2323</v>
      </c>
      <c r="I720" s="21">
        <v>37848</v>
      </c>
      <c r="J720">
        <v>2003</v>
      </c>
      <c r="K720" s="21">
        <v>37873</v>
      </c>
      <c r="L720">
        <v>2003</v>
      </c>
      <c r="M720" s="21">
        <v>38373</v>
      </c>
      <c r="N720">
        <v>2005</v>
      </c>
      <c r="R720" s="262">
        <v>32000</v>
      </c>
      <c r="S720" t="s">
        <v>114</v>
      </c>
      <c r="T720" t="s">
        <v>114</v>
      </c>
      <c r="U720">
        <v>5</v>
      </c>
      <c r="W720">
        <v>347</v>
      </c>
      <c r="X720">
        <v>0</v>
      </c>
      <c r="Y720">
        <v>0</v>
      </c>
      <c r="Z720">
        <v>0</v>
      </c>
      <c r="AA720">
        <v>0</v>
      </c>
      <c r="AB720">
        <v>0</v>
      </c>
      <c r="AC720">
        <v>347</v>
      </c>
      <c r="AD720">
        <v>0</v>
      </c>
      <c r="AE720">
        <v>0</v>
      </c>
      <c r="AF720">
        <v>0</v>
      </c>
      <c r="AG720">
        <v>0</v>
      </c>
      <c r="AH720">
        <v>0</v>
      </c>
      <c r="AI720">
        <v>0</v>
      </c>
      <c r="AJ720">
        <v>0</v>
      </c>
      <c r="AK720">
        <v>0</v>
      </c>
      <c r="AL720">
        <v>0</v>
      </c>
      <c r="AM720">
        <v>0</v>
      </c>
      <c r="AN720">
        <v>0</v>
      </c>
      <c r="AO720">
        <v>0</v>
      </c>
      <c r="AP720">
        <v>0</v>
      </c>
      <c r="AQ720">
        <v>0</v>
      </c>
      <c r="AR720">
        <v>0</v>
      </c>
      <c r="AS720">
        <v>0</v>
      </c>
      <c r="AT720">
        <v>0</v>
      </c>
      <c r="AU720">
        <f t="shared" si="20"/>
        <v>0</v>
      </c>
      <c r="AV720">
        <f t="shared" si="21"/>
        <v>0</v>
      </c>
    </row>
    <row r="721" spans="1:48" x14ac:dyDescent="0.25">
      <c r="A721" t="s">
        <v>4164</v>
      </c>
      <c r="C721" t="s">
        <v>4165</v>
      </c>
      <c r="D721" t="s">
        <v>4166</v>
      </c>
      <c r="E721" t="s">
        <v>2310</v>
      </c>
      <c r="F721">
        <v>15</v>
      </c>
      <c r="G721">
        <v>15.2</v>
      </c>
      <c r="H721" t="s">
        <v>2323</v>
      </c>
      <c r="I721" s="21">
        <v>37848</v>
      </c>
      <c r="J721">
        <v>2003</v>
      </c>
      <c r="K721" s="21">
        <v>37873</v>
      </c>
      <c r="L721">
        <v>2003</v>
      </c>
      <c r="M721" s="21">
        <v>38687</v>
      </c>
      <c r="N721">
        <v>2005</v>
      </c>
      <c r="R721" s="262">
        <v>70000</v>
      </c>
      <c r="S721" t="s">
        <v>114</v>
      </c>
      <c r="T721" t="s">
        <v>114</v>
      </c>
      <c r="U721">
        <v>5</v>
      </c>
      <c r="W721">
        <v>215</v>
      </c>
      <c r="X721">
        <v>0</v>
      </c>
      <c r="Y721">
        <v>0</v>
      </c>
      <c r="Z721">
        <v>0</v>
      </c>
      <c r="AA721">
        <v>0</v>
      </c>
      <c r="AB721">
        <v>0</v>
      </c>
      <c r="AC721">
        <v>215</v>
      </c>
      <c r="AD721">
        <v>0</v>
      </c>
      <c r="AE721">
        <v>0</v>
      </c>
      <c r="AF721">
        <v>0</v>
      </c>
      <c r="AG721">
        <v>0</v>
      </c>
      <c r="AH721">
        <v>0</v>
      </c>
      <c r="AI721">
        <v>0</v>
      </c>
      <c r="AJ721">
        <v>0</v>
      </c>
      <c r="AK721">
        <v>0</v>
      </c>
      <c r="AL721">
        <v>0</v>
      </c>
      <c r="AM721">
        <v>0</v>
      </c>
      <c r="AN721">
        <v>0</v>
      </c>
      <c r="AO721">
        <v>0</v>
      </c>
      <c r="AP721">
        <v>0</v>
      </c>
      <c r="AQ721">
        <v>0</v>
      </c>
      <c r="AR721">
        <v>0</v>
      </c>
      <c r="AS721">
        <v>0</v>
      </c>
      <c r="AT721">
        <v>0</v>
      </c>
      <c r="AU721">
        <f t="shared" si="20"/>
        <v>0</v>
      </c>
      <c r="AV721">
        <f t="shared" si="21"/>
        <v>0</v>
      </c>
    </row>
    <row r="722" spans="1:48" x14ac:dyDescent="0.25">
      <c r="A722" t="s">
        <v>4170</v>
      </c>
      <c r="C722" t="s">
        <v>4171</v>
      </c>
      <c r="D722" t="s">
        <v>4172</v>
      </c>
      <c r="E722" t="s">
        <v>2310</v>
      </c>
      <c r="F722">
        <v>9</v>
      </c>
      <c r="G722">
        <v>9.1</v>
      </c>
      <c r="H722" t="s">
        <v>2323</v>
      </c>
      <c r="I722" s="21">
        <v>37851</v>
      </c>
      <c r="J722">
        <v>2003</v>
      </c>
      <c r="K722" s="21">
        <v>37868</v>
      </c>
      <c r="L722">
        <v>2003</v>
      </c>
      <c r="M722" s="21">
        <v>40211.641909722202</v>
      </c>
      <c r="N722">
        <v>2010</v>
      </c>
      <c r="R722" s="262">
        <v>50000</v>
      </c>
      <c r="S722" t="s">
        <v>114</v>
      </c>
      <c r="T722" t="s">
        <v>114</v>
      </c>
      <c r="U722">
        <v>5</v>
      </c>
      <c r="W722">
        <v>252</v>
      </c>
      <c r="X722">
        <v>0</v>
      </c>
      <c r="Y722">
        <v>0</v>
      </c>
      <c r="Z722">
        <v>0</v>
      </c>
      <c r="AA722">
        <v>0</v>
      </c>
      <c r="AB722">
        <v>0</v>
      </c>
      <c r="AC722">
        <v>252</v>
      </c>
      <c r="AD722">
        <v>0</v>
      </c>
      <c r="AE722">
        <v>0</v>
      </c>
      <c r="AF722">
        <v>0</v>
      </c>
      <c r="AG722">
        <v>0</v>
      </c>
      <c r="AH722">
        <v>0</v>
      </c>
      <c r="AI722">
        <v>0</v>
      </c>
      <c r="AJ722">
        <v>0</v>
      </c>
      <c r="AK722">
        <v>0</v>
      </c>
      <c r="AL722">
        <v>0</v>
      </c>
      <c r="AM722">
        <v>0</v>
      </c>
      <c r="AN722">
        <v>0</v>
      </c>
      <c r="AO722">
        <v>0</v>
      </c>
      <c r="AP722">
        <v>0</v>
      </c>
      <c r="AQ722">
        <v>0</v>
      </c>
      <c r="AR722">
        <v>0</v>
      </c>
      <c r="AS722">
        <v>0</v>
      </c>
      <c r="AT722">
        <v>0</v>
      </c>
      <c r="AU722">
        <f t="shared" si="20"/>
        <v>0</v>
      </c>
      <c r="AV722">
        <f t="shared" si="21"/>
        <v>0</v>
      </c>
    </row>
    <row r="723" spans="1:48" x14ac:dyDescent="0.25">
      <c r="A723" t="s">
        <v>4173</v>
      </c>
      <c r="C723" t="s">
        <v>4174</v>
      </c>
      <c r="D723" t="s">
        <v>4175</v>
      </c>
      <c r="E723" t="s">
        <v>2310</v>
      </c>
      <c r="F723">
        <v>15</v>
      </c>
      <c r="G723">
        <v>15.3</v>
      </c>
      <c r="H723" t="s">
        <v>2022</v>
      </c>
      <c r="I723" s="21">
        <v>37851</v>
      </c>
      <c r="J723">
        <v>2003</v>
      </c>
      <c r="K723" s="21">
        <v>37887</v>
      </c>
      <c r="L723">
        <v>2003</v>
      </c>
      <c r="M723" s="21">
        <v>39951</v>
      </c>
      <c r="N723">
        <v>2009</v>
      </c>
      <c r="R723" s="262">
        <v>60000</v>
      </c>
      <c r="S723" t="s">
        <v>114</v>
      </c>
      <c r="T723" t="s">
        <v>114</v>
      </c>
      <c r="U723">
        <v>5</v>
      </c>
      <c r="W723">
        <v>2275</v>
      </c>
      <c r="X723">
        <v>0</v>
      </c>
      <c r="Y723">
        <v>0</v>
      </c>
      <c r="Z723">
        <v>0</v>
      </c>
      <c r="AA723">
        <v>0</v>
      </c>
      <c r="AB723">
        <v>0</v>
      </c>
      <c r="AC723">
        <v>2275</v>
      </c>
      <c r="AD723">
        <v>0</v>
      </c>
      <c r="AE723">
        <v>0</v>
      </c>
      <c r="AF723">
        <v>0</v>
      </c>
      <c r="AG723">
        <v>0</v>
      </c>
      <c r="AH723">
        <v>0</v>
      </c>
      <c r="AI723">
        <v>0</v>
      </c>
      <c r="AJ723">
        <v>0</v>
      </c>
      <c r="AK723">
        <v>0</v>
      </c>
      <c r="AL723">
        <v>0</v>
      </c>
      <c r="AM723">
        <v>0</v>
      </c>
      <c r="AN723">
        <v>0</v>
      </c>
      <c r="AO723">
        <v>0</v>
      </c>
      <c r="AP723">
        <v>0</v>
      </c>
      <c r="AQ723">
        <v>0</v>
      </c>
      <c r="AR723">
        <v>0</v>
      </c>
      <c r="AS723">
        <v>0</v>
      </c>
      <c r="AT723">
        <v>0</v>
      </c>
      <c r="AU723">
        <f t="shared" si="20"/>
        <v>0</v>
      </c>
      <c r="AV723">
        <f t="shared" si="21"/>
        <v>0</v>
      </c>
    </row>
    <row r="724" spans="1:48" x14ac:dyDescent="0.25">
      <c r="A724" t="s">
        <v>4176</v>
      </c>
      <c r="C724" t="s">
        <v>4177</v>
      </c>
      <c r="D724" t="s">
        <v>4178</v>
      </c>
      <c r="E724" t="s">
        <v>2310</v>
      </c>
      <c r="F724">
        <v>9</v>
      </c>
      <c r="G724">
        <v>9.4</v>
      </c>
      <c r="H724" t="s">
        <v>2323</v>
      </c>
      <c r="I724" s="21">
        <v>37851</v>
      </c>
      <c r="J724">
        <v>2003</v>
      </c>
      <c r="K724" s="21">
        <v>37921</v>
      </c>
      <c r="L724">
        <v>2003</v>
      </c>
      <c r="M724" s="21">
        <v>39115</v>
      </c>
      <c r="N724">
        <v>2007</v>
      </c>
      <c r="R724" s="262">
        <v>1526000</v>
      </c>
      <c r="S724" t="s">
        <v>114</v>
      </c>
      <c r="T724" t="s">
        <v>114</v>
      </c>
      <c r="U724">
        <v>5</v>
      </c>
      <c r="W724">
        <v>7628</v>
      </c>
      <c r="X724">
        <v>1</v>
      </c>
      <c r="Y724">
        <v>0</v>
      </c>
      <c r="Z724">
        <v>0</v>
      </c>
      <c r="AA724">
        <v>0</v>
      </c>
      <c r="AB724">
        <v>0</v>
      </c>
      <c r="AC724">
        <v>7628</v>
      </c>
      <c r="AD724">
        <v>0</v>
      </c>
      <c r="AE724">
        <v>0</v>
      </c>
      <c r="AF724">
        <v>0</v>
      </c>
      <c r="AG724">
        <v>0</v>
      </c>
      <c r="AH724">
        <v>0</v>
      </c>
      <c r="AI724">
        <v>0</v>
      </c>
      <c r="AJ724">
        <v>0</v>
      </c>
      <c r="AK724">
        <v>0</v>
      </c>
      <c r="AL724">
        <v>0</v>
      </c>
      <c r="AM724">
        <v>0</v>
      </c>
      <c r="AN724">
        <v>0</v>
      </c>
      <c r="AO724">
        <v>1</v>
      </c>
      <c r="AP724">
        <v>0</v>
      </c>
      <c r="AQ724">
        <v>0</v>
      </c>
      <c r="AR724">
        <v>0</v>
      </c>
      <c r="AS724">
        <v>0</v>
      </c>
      <c r="AT724">
        <v>0</v>
      </c>
      <c r="AU724">
        <f t="shared" si="20"/>
        <v>1</v>
      </c>
      <c r="AV724">
        <f t="shared" si="21"/>
        <v>0</v>
      </c>
    </row>
    <row r="725" spans="1:48" x14ac:dyDescent="0.25">
      <c r="A725" t="s">
        <v>4167</v>
      </c>
      <c r="C725" t="s">
        <v>4168</v>
      </c>
      <c r="D725" t="s">
        <v>4169</v>
      </c>
      <c r="E725" t="s">
        <v>1663</v>
      </c>
      <c r="F725">
        <v>5</v>
      </c>
      <c r="G725">
        <v>5.2</v>
      </c>
      <c r="H725" t="s">
        <v>2327</v>
      </c>
      <c r="I725" s="21">
        <v>37851</v>
      </c>
      <c r="J725">
        <v>2003</v>
      </c>
      <c r="K725" s="21">
        <v>37882</v>
      </c>
      <c r="L725">
        <v>2003</v>
      </c>
      <c r="M725" s="21">
        <v>38035</v>
      </c>
      <c r="N725">
        <v>2004</v>
      </c>
      <c r="Q725" s="262">
        <v>350000</v>
      </c>
      <c r="S725" t="s">
        <v>114</v>
      </c>
      <c r="T725" t="s">
        <v>114</v>
      </c>
      <c r="W725">
        <v>3136</v>
      </c>
      <c r="X725">
        <v>2</v>
      </c>
      <c r="Y725">
        <v>0</v>
      </c>
      <c r="Z725">
        <v>0</v>
      </c>
      <c r="AA725">
        <v>0</v>
      </c>
      <c r="AB725">
        <v>0</v>
      </c>
      <c r="AC725">
        <v>0</v>
      </c>
      <c r="AD725">
        <v>0</v>
      </c>
      <c r="AE725">
        <v>1800</v>
      </c>
      <c r="AF725">
        <v>0</v>
      </c>
      <c r="AG725">
        <v>0</v>
      </c>
      <c r="AH725">
        <v>0</v>
      </c>
      <c r="AI725">
        <v>0</v>
      </c>
      <c r="AJ725">
        <v>0</v>
      </c>
      <c r="AK725">
        <v>0</v>
      </c>
      <c r="AL725">
        <v>1336</v>
      </c>
      <c r="AM725">
        <v>0</v>
      </c>
      <c r="AN725">
        <v>0</v>
      </c>
      <c r="AO725">
        <v>0</v>
      </c>
      <c r="AP725">
        <v>0</v>
      </c>
      <c r="AQ725">
        <v>2</v>
      </c>
      <c r="AR725">
        <v>0</v>
      </c>
      <c r="AS725">
        <v>0</v>
      </c>
      <c r="AT725">
        <v>0</v>
      </c>
      <c r="AU725">
        <f t="shared" si="20"/>
        <v>2</v>
      </c>
      <c r="AV725">
        <f t="shared" si="21"/>
        <v>1336</v>
      </c>
    </row>
    <row r="726" spans="1:48" x14ac:dyDescent="0.25">
      <c r="A726" t="s">
        <v>4179</v>
      </c>
      <c r="C726" t="s">
        <v>4180</v>
      </c>
      <c r="D726" t="s">
        <v>4181</v>
      </c>
      <c r="E726" t="s">
        <v>2310</v>
      </c>
      <c r="F726">
        <v>12</v>
      </c>
      <c r="G726">
        <v>12.3</v>
      </c>
      <c r="H726" t="s">
        <v>2017</v>
      </c>
      <c r="I726" s="21">
        <v>37853</v>
      </c>
      <c r="J726">
        <v>2003</v>
      </c>
      <c r="K726" s="21">
        <v>37874</v>
      </c>
      <c r="L726">
        <v>2003</v>
      </c>
      <c r="M726" s="21">
        <v>37963</v>
      </c>
      <c r="N726">
        <v>2003</v>
      </c>
      <c r="R726" s="262">
        <v>20000</v>
      </c>
      <c r="S726" t="s">
        <v>114</v>
      </c>
      <c r="T726" t="s">
        <v>114</v>
      </c>
      <c r="U726">
        <v>5</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c r="AQ726">
        <v>0</v>
      </c>
      <c r="AR726">
        <v>0</v>
      </c>
      <c r="AS726">
        <v>0</v>
      </c>
      <c r="AT726">
        <v>0</v>
      </c>
      <c r="AU726">
        <f t="shared" si="20"/>
        <v>0</v>
      </c>
      <c r="AV726">
        <f t="shared" si="21"/>
        <v>0</v>
      </c>
    </row>
    <row r="727" spans="1:48" x14ac:dyDescent="0.25">
      <c r="A727" t="s">
        <v>4182</v>
      </c>
      <c r="C727" t="s">
        <v>4183</v>
      </c>
      <c r="D727" t="s">
        <v>4184</v>
      </c>
      <c r="E727" t="s">
        <v>2310</v>
      </c>
      <c r="F727">
        <v>9</v>
      </c>
      <c r="G727">
        <v>9.3000000000000007</v>
      </c>
      <c r="H727" t="s">
        <v>2323</v>
      </c>
      <c r="I727" s="21">
        <v>37853</v>
      </c>
      <c r="J727">
        <v>2003</v>
      </c>
      <c r="K727" s="21">
        <v>37874</v>
      </c>
      <c r="L727">
        <v>2003</v>
      </c>
      <c r="M727" s="21">
        <v>37966</v>
      </c>
      <c r="N727">
        <v>2003</v>
      </c>
      <c r="R727" s="262">
        <v>39000</v>
      </c>
      <c r="S727" t="s">
        <v>114</v>
      </c>
      <c r="T727" t="s">
        <v>114</v>
      </c>
      <c r="U727">
        <v>5</v>
      </c>
      <c r="W727">
        <v>141</v>
      </c>
      <c r="X727">
        <v>0</v>
      </c>
      <c r="Y727">
        <v>0</v>
      </c>
      <c r="Z727">
        <v>0</v>
      </c>
      <c r="AA727">
        <v>0</v>
      </c>
      <c r="AB727">
        <v>0</v>
      </c>
      <c r="AC727">
        <v>141</v>
      </c>
      <c r="AD727">
        <v>0</v>
      </c>
      <c r="AE727">
        <v>0</v>
      </c>
      <c r="AF727">
        <v>0</v>
      </c>
      <c r="AG727">
        <v>0</v>
      </c>
      <c r="AH727">
        <v>0</v>
      </c>
      <c r="AI727">
        <v>0</v>
      </c>
      <c r="AJ727">
        <v>0</v>
      </c>
      <c r="AK727">
        <v>0</v>
      </c>
      <c r="AL727">
        <v>0</v>
      </c>
      <c r="AM727">
        <v>0</v>
      </c>
      <c r="AN727">
        <v>0</v>
      </c>
      <c r="AO727">
        <v>0</v>
      </c>
      <c r="AP727">
        <v>0</v>
      </c>
      <c r="AQ727">
        <v>0</v>
      </c>
      <c r="AR727">
        <v>0</v>
      </c>
      <c r="AS727">
        <v>0</v>
      </c>
      <c r="AT727">
        <v>0</v>
      </c>
      <c r="AU727">
        <f t="shared" si="20"/>
        <v>0</v>
      </c>
      <c r="AV727">
        <f t="shared" si="21"/>
        <v>0</v>
      </c>
    </row>
    <row r="728" spans="1:48" x14ac:dyDescent="0.25">
      <c r="A728" t="s">
        <v>4185</v>
      </c>
      <c r="C728" t="s">
        <v>4186</v>
      </c>
      <c r="D728" t="s">
        <v>4187</v>
      </c>
      <c r="E728" t="s">
        <v>2310</v>
      </c>
      <c r="F728">
        <v>9</v>
      </c>
      <c r="G728">
        <v>9.1999999999999993</v>
      </c>
      <c r="H728" t="s">
        <v>2022</v>
      </c>
      <c r="I728" s="21">
        <v>37853</v>
      </c>
      <c r="J728">
        <v>2003</v>
      </c>
      <c r="K728" s="21">
        <v>37874</v>
      </c>
      <c r="L728">
        <v>2003</v>
      </c>
      <c r="M728" s="21">
        <v>37874</v>
      </c>
      <c r="N728">
        <v>2003</v>
      </c>
      <c r="R728" s="262">
        <v>10000</v>
      </c>
      <c r="S728" t="s">
        <v>114</v>
      </c>
      <c r="T728" t="s">
        <v>114</v>
      </c>
      <c r="U728">
        <v>5</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c r="AQ728">
        <v>0</v>
      </c>
      <c r="AR728">
        <v>0</v>
      </c>
      <c r="AS728">
        <v>0</v>
      </c>
      <c r="AT728">
        <v>0</v>
      </c>
      <c r="AU728">
        <f t="shared" si="20"/>
        <v>0</v>
      </c>
      <c r="AV728">
        <f t="shared" si="21"/>
        <v>0</v>
      </c>
    </row>
    <row r="729" spans="1:48" x14ac:dyDescent="0.25">
      <c r="A729" t="s">
        <v>4188</v>
      </c>
      <c r="C729" t="s">
        <v>4189</v>
      </c>
      <c r="D729" t="s">
        <v>4190</v>
      </c>
      <c r="E729" t="s">
        <v>2310</v>
      </c>
      <c r="F729">
        <v>8</v>
      </c>
      <c r="G729">
        <v>8.1999999999999993</v>
      </c>
      <c r="H729" t="s">
        <v>2022</v>
      </c>
      <c r="I729" s="21">
        <v>37853</v>
      </c>
      <c r="J729">
        <v>2003</v>
      </c>
      <c r="K729" s="21">
        <v>37923</v>
      </c>
      <c r="L729">
        <v>2003</v>
      </c>
      <c r="M729" s="21">
        <v>38204</v>
      </c>
      <c r="N729">
        <v>2004</v>
      </c>
      <c r="R729" s="262">
        <v>800000</v>
      </c>
      <c r="S729" t="s">
        <v>114</v>
      </c>
      <c r="T729" t="s">
        <v>114</v>
      </c>
      <c r="U729">
        <v>5</v>
      </c>
      <c r="W729">
        <v>4991</v>
      </c>
      <c r="X729">
        <v>1</v>
      </c>
      <c r="Y729">
        <v>0</v>
      </c>
      <c r="Z729">
        <v>0</v>
      </c>
      <c r="AA729">
        <v>0</v>
      </c>
      <c r="AB729">
        <v>0</v>
      </c>
      <c r="AC729">
        <v>4991</v>
      </c>
      <c r="AD729">
        <v>0</v>
      </c>
      <c r="AE729">
        <v>0</v>
      </c>
      <c r="AF729">
        <v>0</v>
      </c>
      <c r="AG729">
        <v>0</v>
      </c>
      <c r="AH729">
        <v>0</v>
      </c>
      <c r="AI729">
        <v>0</v>
      </c>
      <c r="AJ729">
        <v>0</v>
      </c>
      <c r="AK729">
        <v>0</v>
      </c>
      <c r="AL729">
        <v>0</v>
      </c>
      <c r="AM729">
        <v>0</v>
      </c>
      <c r="AN729">
        <v>0</v>
      </c>
      <c r="AO729">
        <v>1</v>
      </c>
      <c r="AP729">
        <v>0</v>
      </c>
      <c r="AQ729">
        <v>0</v>
      </c>
      <c r="AR729">
        <v>0</v>
      </c>
      <c r="AS729">
        <v>0</v>
      </c>
      <c r="AT729">
        <v>0</v>
      </c>
      <c r="AU729">
        <f t="shared" ref="AU729:AU792" si="22">SUM(AN729:AQ729,AS729)</f>
        <v>1</v>
      </c>
      <c r="AV729">
        <f t="shared" ref="AV729:AV792" si="23">SUM(Y729:AB729,AH729:AM729)</f>
        <v>0</v>
      </c>
    </row>
    <row r="730" spans="1:48" x14ac:dyDescent="0.25">
      <c r="A730" t="s">
        <v>4191</v>
      </c>
      <c r="C730" t="s">
        <v>4192</v>
      </c>
      <c r="D730" t="s">
        <v>4193</v>
      </c>
      <c r="E730" t="s">
        <v>1663</v>
      </c>
      <c r="F730">
        <v>3</v>
      </c>
      <c r="G730">
        <v>3.1</v>
      </c>
      <c r="H730" t="s">
        <v>2017</v>
      </c>
      <c r="I730" s="21">
        <v>37854</v>
      </c>
      <c r="J730">
        <v>2003</v>
      </c>
      <c r="K730" s="21">
        <v>37885</v>
      </c>
      <c r="L730">
        <v>2003</v>
      </c>
      <c r="M730" s="21">
        <v>38038</v>
      </c>
      <c r="N730">
        <v>2004</v>
      </c>
      <c r="Q730" s="262">
        <v>130000</v>
      </c>
      <c r="S730" t="s">
        <v>114</v>
      </c>
      <c r="T730" t="s">
        <v>114</v>
      </c>
      <c r="W730">
        <v>1588</v>
      </c>
      <c r="X730">
        <v>1</v>
      </c>
      <c r="Y730">
        <v>0</v>
      </c>
      <c r="Z730">
        <v>0</v>
      </c>
      <c r="AA730">
        <v>0</v>
      </c>
      <c r="AB730">
        <v>0</v>
      </c>
      <c r="AC730">
        <v>1588</v>
      </c>
      <c r="AD730">
        <v>0</v>
      </c>
      <c r="AE730">
        <v>0</v>
      </c>
      <c r="AF730">
        <v>0</v>
      </c>
      <c r="AG730">
        <v>0</v>
      </c>
      <c r="AH730">
        <v>0</v>
      </c>
      <c r="AI730">
        <v>0</v>
      </c>
      <c r="AJ730">
        <v>0</v>
      </c>
      <c r="AK730">
        <v>0</v>
      </c>
      <c r="AL730">
        <v>0</v>
      </c>
      <c r="AM730">
        <v>0</v>
      </c>
      <c r="AN730">
        <v>0</v>
      </c>
      <c r="AO730">
        <v>1</v>
      </c>
      <c r="AP730">
        <v>0</v>
      </c>
      <c r="AQ730">
        <v>0</v>
      </c>
      <c r="AR730">
        <v>0</v>
      </c>
      <c r="AS730">
        <v>0</v>
      </c>
      <c r="AT730">
        <v>0</v>
      </c>
      <c r="AU730">
        <f t="shared" si="22"/>
        <v>1</v>
      </c>
      <c r="AV730">
        <f t="shared" si="23"/>
        <v>0</v>
      </c>
    </row>
    <row r="731" spans="1:48" x14ac:dyDescent="0.25">
      <c r="A731" t="s">
        <v>4194</v>
      </c>
      <c r="C731" t="s">
        <v>4195</v>
      </c>
      <c r="D731" t="s">
        <v>4196</v>
      </c>
      <c r="E731" t="s">
        <v>2310</v>
      </c>
      <c r="F731">
        <v>10</v>
      </c>
      <c r="G731">
        <v>10.1</v>
      </c>
      <c r="H731" t="s">
        <v>2323</v>
      </c>
      <c r="I731" s="21">
        <v>37855</v>
      </c>
      <c r="J731">
        <v>2003</v>
      </c>
      <c r="K731" s="21">
        <v>37883</v>
      </c>
      <c r="L731">
        <v>2003</v>
      </c>
      <c r="M731" s="21">
        <v>38166</v>
      </c>
      <c r="N731">
        <v>2004</v>
      </c>
      <c r="R731" s="262">
        <v>96000</v>
      </c>
      <c r="S731" t="s">
        <v>114</v>
      </c>
      <c r="T731" t="s">
        <v>114</v>
      </c>
      <c r="U731">
        <v>5</v>
      </c>
      <c r="W731">
        <v>1312</v>
      </c>
      <c r="X731">
        <v>1</v>
      </c>
      <c r="Y731">
        <v>0</v>
      </c>
      <c r="Z731">
        <v>0</v>
      </c>
      <c r="AA731">
        <v>0</v>
      </c>
      <c r="AB731">
        <v>0</v>
      </c>
      <c r="AC731">
        <v>1312</v>
      </c>
      <c r="AD731">
        <v>0</v>
      </c>
      <c r="AE731">
        <v>0</v>
      </c>
      <c r="AF731">
        <v>0</v>
      </c>
      <c r="AG731">
        <v>0</v>
      </c>
      <c r="AH731">
        <v>0</v>
      </c>
      <c r="AI731">
        <v>0</v>
      </c>
      <c r="AJ731">
        <v>0</v>
      </c>
      <c r="AK731">
        <v>0</v>
      </c>
      <c r="AL731">
        <v>0</v>
      </c>
      <c r="AM731">
        <v>0</v>
      </c>
      <c r="AN731">
        <v>0</v>
      </c>
      <c r="AO731">
        <v>1</v>
      </c>
      <c r="AP731">
        <v>0</v>
      </c>
      <c r="AQ731">
        <v>0</v>
      </c>
      <c r="AR731">
        <v>0</v>
      </c>
      <c r="AS731">
        <v>0</v>
      </c>
      <c r="AT731">
        <v>0</v>
      </c>
      <c r="AU731">
        <f t="shared" si="22"/>
        <v>1</v>
      </c>
      <c r="AV731">
        <f t="shared" si="23"/>
        <v>0</v>
      </c>
    </row>
    <row r="732" spans="1:48" x14ac:dyDescent="0.25">
      <c r="A732" t="s">
        <v>4197</v>
      </c>
      <c r="C732" t="s">
        <v>3870</v>
      </c>
      <c r="D732" t="s">
        <v>4196</v>
      </c>
      <c r="E732" t="s">
        <v>2310</v>
      </c>
      <c r="F732">
        <v>10</v>
      </c>
      <c r="G732">
        <v>10.1</v>
      </c>
      <c r="H732" t="s">
        <v>2323</v>
      </c>
      <c r="I732" s="21">
        <v>37855</v>
      </c>
      <c r="J732">
        <v>2003</v>
      </c>
      <c r="K732" s="21">
        <v>37883</v>
      </c>
      <c r="L732">
        <v>2003</v>
      </c>
      <c r="M732" s="21">
        <v>37883</v>
      </c>
      <c r="N732">
        <v>2003</v>
      </c>
      <c r="R732" s="262">
        <v>10000</v>
      </c>
      <c r="S732" t="s">
        <v>114</v>
      </c>
      <c r="T732" t="s">
        <v>114</v>
      </c>
      <c r="U732">
        <v>5</v>
      </c>
      <c r="W732">
        <v>316</v>
      </c>
      <c r="X732">
        <v>0</v>
      </c>
      <c r="Y732">
        <v>0</v>
      </c>
      <c r="Z732">
        <v>0</v>
      </c>
      <c r="AA732">
        <v>0</v>
      </c>
      <c r="AB732">
        <v>0</v>
      </c>
      <c r="AC732">
        <v>316</v>
      </c>
      <c r="AD732">
        <v>0</v>
      </c>
      <c r="AE732">
        <v>0</v>
      </c>
      <c r="AF732">
        <v>0</v>
      </c>
      <c r="AG732">
        <v>0</v>
      </c>
      <c r="AH732">
        <v>0</v>
      </c>
      <c r="AI732">
        <v>0</v>
      </c>
      <c r="AJ732">
        <v>0</v>
      </c>
      <c r="AK732">
        <v>0</v>
      </c>
      <c r="AL732">
        <v>0</v>
      </c>
      <c r="AM732">
        <v>0</v>
      </c>
      <c r="AN732">
        <v>0</v>
      </c>
      <c r="AO732">
        <v>0</v>
      </c>
      <c r="AP732">
        <v>0</v>
      </c>
      <c r="AQ732">
        <v>0</v>
      </c>
      <c r="AR732">
        <v>0</v>
      </c>
      <c r="AS732">
        <v>0</v>
      </c>
      <c r="AT732">
        <v>0</v>
      </c>
      <c r="AU732">
        <f t="shared" si="22"/>
        <v>0</v>
      </c>
      <c r="AV732">
        <f t="shared" si="23"/>
        <v>0</v>
      </c>
    </row>
    <row r="733" spans="1:48" x14ac:dyDescent="0.25">
      <c r="A733" t="s">
        <v>4198</v>
      </c>
      <c r="C733" t="s">
        <v>4199</v>
      </c>
      <c r="D733" t="s">
        <v>4200</v>
      </c>
      <c r="E733" t="s">
        <v>2310</v>
      </c>
      <c r="F733">
        <v>10</v>
      </c>
      <c r="G733">
        <v>10.1</v>
      </c>
      <c r="H733" t="s">
        <v>2323</v>
      </c>
      <c r="I733" s="21">
        <v>37855</v>
      </c>
      <c r="J733">
        <v>2003</v>
      </c>
      <c r="K733" s="21">
        <v>37873</v>
      </c>
      <c r="L733">
        <v>2003</v>
      </c>
      <c r="M733" s="21">
        <v>38014</v>
      </c>
      <c r="N733">
        <v>2004</v>
      </c>
      <c r="R733" s="262">
        <v>80000</v>
      </c>
      <c r="S733" t="s">
        <v>114</v>
      </c>
      <c r="T733" t="s">
        <v>114</v>
      </c>
      <c r="U733">
        <v>5</v>
      </c>
      <c r="W733">
        <v>0</v>
      </c>
      <c r="X733">
        <v>0</v>
      </c>
      <c r="Y733">
        <v>0</v>
      </c>
      <c r="Z733">
        <v>0</v>
      </c>
      <c r="AA733">
        <v>0</v>
      </c>
      <c r="AB733">
        <v>0</v>
      </c>
      <c r="AC733">
        <v>0</v>
      </c>
      <c r="AD733">
        <v>0</v>
      </c>
      <c r="AE733">
        <v>0</v>
      </c>
      <c r="AF733">
        <v>0</v>
      </c>
      <c r="AG733">
        <v>0</v>
      </c>
      <c r="AH733">
        <v>0</v>
      </c>
      <c r="AI733">
        <v>0</v>
      </c>
      <c r="AJ733">
        <v>0</v>
      </c>
      <c r="AK733">
        <v>0</v>
      </c>
      <c r="AL733">
        <v>0</v>
      </c>
      <c r="AM733">
        <v>0</v>
      </c>
      <c r="AN733">
        <v>0</v>
      </c>
      <c r="AO733">
        <v>0</v>
      </c>
      <c r="AP733">
        <v>0</v>
      </c>
      <c r="AQ733">
        <v>0</v>
      </c>
      <c r="AR733">
        <v>0</v>
      </c>
      <c r="AS733">
        <v>0</v>
      </c>
      <c r="AT733">
        <v>0</v>
      </c>
      <c r="AU733">
        <f t="shared" si="22"/>
        <v>0</v>
      </c>
      <c r="AV733">
        <f t="shared" si="23"/>
        <v>0</v>
      </c>
    </row>
    <row r="734" spans="1:48" x14ac:dyDescent="0.25">
      <c r="A734" t="s">
        <v>4201</v>
      </c>
      <c r="C734" t="s">
        <v>2847</v>
      </c>
      <c r="D734" t="s">
        <v>4202</v>
      </c>
      <c r="E734" t="s">
        <v>2310</v>
      </c>
      <c r="F734">
        <v>10</v>
      </c>
      <c r="G734">
        <v>10.1</v>
      </c>
      <c r="H734" t="s">
        <v>2323</v>
      </c>
      <c r="I734" s="21">
        <v>37855</v>
      </c>
      <c r="J734">
        <v>2003</v>
      </c>
      <c r="K734" s="21">
        <v>37893</v>
      </c>
      <c r="L734">
        <v>2003</v>
      </c>
      <c r="M734" s="21">
        <v>38253</v>
      </c>
      <c r="N734">
        <v>2004</v>
      </c>
      <c r="R734" s="262">
        <v>300000</v>
      </c>
      <c r="S734" t="s">
        <v>114</v>
      </c>
      <c r="T734" t="s">
        <v>114</v>
      </c>
      <c r="U734">
        <v>5</v>
      </c>
      <c r="W734">
        <v>4186</v>
      </c>
      <c r="X734">
        <v>1</v>
      </c>
      <c r="Y734">
        <v>0</v>
      </c>
      <c r="Z734">
        <v>0</v>
      </c>
      <c r="AA734">
        <v>0</v>
      </c>
      <c r="AB734">
        <v>0</v>
      </c>
      <c r="AC734">
        <v>4186</v>
      </c>
      <c r="AD734">
        <v>0</v>
      </c>
      <c r="AE734">
        <v>0</v>
      </c>
      <c r="AF734">
        <v>0</v>
      </c>
      <c r="AG734">
        <v>0</v>
      </c>
      <c r="AH734">
        <v>0</v>
      </c>
      <c r="AI734">
        <v>0</v>
      </c>
      <c r="AJ734">
        <v>0</v>
      </c>
      <c r="AK734">
        <v>0</v>
      </c>
      <c r="AL734">
        <v>0</v>
      </c>
      <c r="AM734">
        <v>0</v>
      </c>
      <c r="AN734">
        <v>0</v>
      </c>
      <c r="AO734">
        <v>1</v>
      </c>
      <c r="AP734">
        <v>0</v>
      </c>
      <c r="AQ734">
        <v>0</v>
      </c>
      <c r="AR734">
        <v>0</v>
      </c>
      <c r="AS734">
        <v>0</v>
      </c>
      <c r="AT734">
        <v>0</v>
      </c>
      <c r="AU734">
        <f t="shared" si="22"/>
        <v>1</v>
      </c>
      <c r="AV734">
        <f t="shared" si="23"/>
        <v>0</v>
      </c>
    </row>
    <row r="735" spans="1:48" x14ac:dyDescent="0.25">
      <c r="A735" t="s">
        <v>4203</v>
      </c>
      <c r="C735" t="s">
        <v>4204</v>
      </c>
      <c r="D735" t="s">
        <v>4205</v>
      </c>
      <c r="E735" t="s">
        <v>2310</v>
      </c>
      <c r="F735">
        <v>8</v>
      </c>
      <c r="G735">
        <v>8.1</v>
      </c>
      <c r="H735" t="s">
        <v>2323</v>
      </c>
      <c r="I735" s="21">
        <v>37855</v>
      </c>
      <c r="J735">
        <v>2003</v>
      </c>
      <c r="K735" s="21">
        <v>37893</v>
      </c>
      <c r="L735">
        <v>2003</v>
      </c>
      <c r="M735" s="21">
        <v>38205</v>
      </c>
      <c r="N735">
        <v>2004</v>
      </c>
      <c r="R735" s="262">
        <v>450000</v>
      </c>
      <c r="S735" t="s">
        <v>114</v>
      </c>
      <c r="T735" t="s">
        <v>114</v>
      </c>
      <c r="U735">
        <v>8</v>
      </c>
      <c r="W735">
        <v>1344</v>
      </c>
      <c r="X735">
        <v>1</v>
      </c>
      <c r="Y735">
        <v>0</v>
      </c>
      <c r="Z735">
        <v>0</v>
      </c>
      <c r="AA735">
        <v>0</v>
      </c>
      <c r="AB735">
        <v>0</v>
      </c>
      <c r="AC735">
        <v>344</v>
      </c>
      <c r="AD735">
        <v>0</v>
      </c>
      <c r="AE735">
        <v>0</v>
      </c>
      <c r="AF735">
        <v>1000</v>
      </c>
      <c r="AG735">
        <v>0</v>
      </c>
      <c r="AH735">
        <v>0</v>
      </c>
      <c r="AI735">
        <v>0</v>
      </c>
      <c r="AJ735">
        <v>0</v>
      </c>
      <c r="AK735">
        <v>0</v>
      </c>
      <c r="AL735">
        <v>0</v>
      </c>
      <c r="AM735">
        <v>0</v>
      </c>
      <c r="AN735">
        <v>0</v>
      </c>
      <c r="AO735">
        <v>0</v>
      </c>
      <c r="AP735">
        <v>0</v>
      </c>
      <c r="AQ735">
        <v>0</v>
      </c>
      <c r="AR735">
        <v>1</v>
      </c>
      <c r="AS735">
        <v>0</v>
      </c>
      <c r="AT735">
        <v>0</v>
      </c>
      <c r="AU735">
        <f t="shared" si="22"/>
        <v>0</v>
      </c>
      <c r="AV735">
        <f t="shared" si="23"/>
        <v>0</v>
      </c>
    </row>
    <row r="736" spans="1:48" x14ac:dyDescent="0.25">
      <c r="A736" t="s">
        <v>4206</v>
      </c>
      <c r="C736" t="s">
        <v>4207</v>
      </c>
      <c r="D736" t="s">
        <v>4208</v>
      </c>
      <c r="E736" t="s">
        <v>2310</v>
      </c>
      <c r="F736">
        <v>15</v>
      </c>
      <c r="G736">
        <v>15.1</v>
      </c>
      <c r="H736" t="s">
        <v>2022</v>
      </c>
      <c r="I736" s="21">
        <v>37858</v>
      </c>
      <c r="J736">
        <v>2003</v>
      </c>
      <c r="K736" s="21">
        <v>37893</v>
      </c>
      <c r="L736">
        <v>2003</v>
      </c>
      <c r="M736" s="21">
        <v>38111</v>
      </c>
      <c r="N736">
        <v>2004</v>
      </c>
      <c r="R736" s="262">
        <v>25000</v>
      </c>
      <c r="S736" t="s">
        <v>114</v>
      </c>
      <c r="T736" t="s">
        <v>114</v>
      </c>
      <c r="U736">
        <v>5</v>
      </c>
      <c r="W736">
        <v>100</v>
      </c>
      <c r="X736">
        <v>0</v>
      </c>
      <c r="Y736">
        <v>0</v>
      </c>
      <c r="Z736">
        <v>0</v>
      </c>
      <c r="AA736">
        <v>0</v>
      </c>
      <c r="AB736">
        <v>0</v>
      </c>
      <c r="AC736">
        <v>100</v>
      </c>
      <c r="AD736">
        <v>0</v>
      </c>
      <c r="AE736">
        <v>0</v>
      </c>
      <c r="AF736">
        <v>0</v>
      </c>
      <c r="AG736">
        <v>0</v>
      </c>
      <c r="AH736">
        <v>0</v>
      </c>
      <c r="AI736">
        <v>0</v>
      </c>
      <c r="AJ736">
        <v>0</v>
      </c>
      <c r="AK736">
        <v>0</v>
      </c>
      <c r="AL736">
        <v>0</v>
      </c>
      <c r="AM736">
        <v>0</v>
      </c>
      <c r="AN736">
        <v>0</v>
      </c>
      <c r="AO736">
        <v>0</v>
      </c>
      <c r="AP736">
        <v>0</v>
      </c>
      <c r="AQ736">
        <v>0</v>
      </c>
      <c r="AR736">
        <v>0</v>
      </c>
      <c r="AS736">
        <v>0</v>
      </c>
      <c r="AT736">
        <v>0</v>
      </c>
      <c r="AU736">
        <f t="shared" si="22"/>
        <v>0</v>
      </c>
      <c r="AV736">
        <f t="shared" si="23"/>
        <v>0</v>
      </c>
    </row>
    <row r="737" spans="1:48" x14ac:dyDescent="0.25">
      <c r="A737" t="s">
        <v>4209</v>
      </c>
      <c r="C737" t="s">
        <v>4210</v>
      </c>
      <c r="D737" t="s">
        <v>4211</v>
      </c>
      <c r="E737" t="s">
        <v>2310</v>
      </c>
      <c r="F737">
        <v>15</v>
      </c>
      <c r="G737">
        <v>15.3</v>
      </c>
      <c r="H737" t="s">
        <v>2022</v>
      </c>
      <c r="I737" s="21">
        <v>37858</v>
      </c>
      <c r="J737">
        <v>2003</v>
      </c>
      <c r="K737" s="21">
        <v>37873</v>
      </c>
      <c r="L737">
        <v>2003</v>
      </c>
      <c r="M737" s="21">
        <v>39688</v>
      </c>
      <c r="N737">
        <v>2008</v>
      </c>
      <c r="R737" s="262">
        <v>2000</v>
      </c>
      <c r="S737" t="s">
        <v>114</v>
      </c>
      <c r="T737" t="s">
        <v>114</v>
      </c>
      <c r="U737">
        <v>5</v>
      </c>
      <c r="W737">
        <v>0</v>
      </c>
      <c r="X737">
        <v>0</v>
      </c>
      <c r="Y737">
        <v>0</v>
      </c>
      <c r="Z737">
        <v>0</v>
      </c>
      <c r="AA737">
        <v>0</v>
      </c>
      <c r="AB737">
        <v>0</v>
      </c>
      <c r="AC737">
        <v>0</v>
      </c>
      <c r="AD737">
        <v>0</v>
      </c>
      <c r="AE737">
        <v>0</v>
      </c>
      <c r="AF737">
        <v>0</v>
      </c>
      <c r="AG737">
        <v>0</v>
      </c>
      <c r="AH737">
        <v>0</v>
      </c>
      <c r="AI737">
        <v>0</v>
      </c>
      <c r="AJ737">
        <v>0</v>
      </c>
      <c r="AK737">
        <v>0</v>
      </c>
      <c r="AL737">
        <v>0</v>
      </c>
      <c r="AM737">
        <v>0</v>
      </c>
      <c r="AN737">
        <v>0</v>
      </c>
      <c r="AO737">
        <v>0</v>
      </c>
      <c r="AP737">
        <v>0</v>
      </c>
      <c r="AQ737">
        <v>0</v>
      </c>
      <c r="AR737">
        <v>0</v>
      </c>
      <c r="AS737">
        <v>0</v>
      </c>
      <c r="AT737">
        <v>0</v>
      </c>
      <c r="AU737">
        <f t="shared" si="22"/>
        <v>0</v>
      </c>
      <c r="AV737">
        <f t="shared" si="23"/>
        <v>0</v>
      </c>
    </row>
    <row r="738" spans="1:48" x14ac:dyDescent="0.25">
      <c r="A738" t="s">
        <v>4212</v>
      </c>
      <c r="C738" t="s">
        <v>4213</v>
      </c>
      <c r="D738" t="s">
        <v>4214</v>
      </c>
      <c r="E738" t="s">
        <v>2310</v>
      </c>
      <c r="F738">
        <v>9</v>
      </c>
      <c r="G738">
        <v>9.1999999999999993</v>
      </c>
      <c r="H738" t="s">
        <v>2022</v>
      </c>
      <c r="I738" s="21">
        <v>37858</v>
      </c>
      <c r="J738">
        <v>2003</v>
      </c>
      <c r="K738" s="21">
        <v>37893</v>
      </c>
      <c r="L738">
        <v>2003</v>
      </c>
      <c r="M738" s="21">
        <v>37893</v>
      </c>
      <c r="N738">
        <v>2003</v>
      </c>
      <c r="R738" s="262">
        <v>20000</v>
      </c>
      <c r="S738" t="s">
        <v>114</v>
      </c>
      <c r="T738" t="s">
        <v>114</v>
      </c>
      <c r="U738">
        <v>5</v>
      </c>
      <c r="W738">
        <v>180</v>
      </c>
      <c r="X738">
        <v>0</v>
      </c>
      <c r="Y738">
        <v>0</v>
      </c>
      <c r="Z738">
        <v>0</v>
      </c>
      <c r="AA738">
        <v>0</v>
      </c>
      <c r="AB738">
        <v>0</v>
      </c>
      <c r="AC738">
        <v>180</v>
      </c>
      <c r="AD738">
        <v>0</v>
      </c>
      <c r="AE738">
        <v>0</v>
      </c>
      <c r="AF738">
        <v>0</v>
      </c>
      <c r="AG738">
        <v>0</v>
      </c>
      <c r="AH738">
        <v>0</v>
      </c>
      <c r="AI738">
        <v>0</v>
      </c>
      <c r="AJ738">
        <v>0</v>
      </c>
      <c r="AK738">
        <v>0</v>
      </c>
      <c r="AL738">
        <v>0</v>
      </c>
      <c r="AM738">
        <v>0</v>
      </c>
      <c r="AN738">
        <v>0</v>
      </c>
      <c r="AO738">
        <v>0</v>
      </c>
      <c r="AP738">
        <v>0</v>
      </c>
      <c r="AQ738">
        <v>0</v>
      </c>
      <c r="AR738">
        <v>0</v>
      </c>
      <c r="AS738">
        <v>0</v>
      </c>
      <c r="AT738">
        <v>0</v>
      </c>
      <c r="AU738">
        <f t="shared" si="22"/>
        <v>0</v>
      </c>
      <c r="AV738">
        <f t="shared" si="23"/>
        <v>0</v>
      </c>
    </row>
    <row r="739" spans="1:48" x14ac:dyDescent="0.25">
      <c r="A739" t="s">
        <v>4215</v>
      </c>
      <c r="C739" t="s">
        <v>4216</v>
      </c>
      <c r="D739" t="s">
        <v>4217</v>
      </c>
      <c r="E739" t="s">
        <v>2310</v>
      </c>
      <c r="F739">
        <v>5</v>
      </c>
      <c r="G739">
        <v>5.5</v>
      </c>
      <c r="H739" t="s">
        <v>2017</v>
      </c>
      <c r="I739" s="21">
        <v>37858</v>
      </c>
      <c r="J739">
        <v>2003</v>
      </c>
      <c r="M739" s="21">
        <v>38926</v>
      </c>
      <c r="N739">
        <v>2006</v>
      </c>
      <c r="R739" s="262">
        <v>67000</v>
      </c>
      <c r="S739" t="s">
        <v>114</v>
      </c>
      <c r="T739" t="s">
        <v>114</v>
      </c>
      <c r="U739">
        <v>5</v>
      </c>
      <c r="W739">
        <v>608</v>
      </c>
      <c r="X739">
        <v>0</v>
      </c>
      <c r="Y739">
        <v>0</v>
      </c>
      <c r="Z739">
        <v>0</v>
      </c>
      <c r="AA739">
        <v>0</v>
      </c>
      <c r="AB739">
        <v>0</v>
      </c>
      <c r="AC739">
        <v>608</v>
      </c>
      <c r="AD739">
        <v>0</v>
      </c>
      <c r="AE739">
        <v>0</v>
      </c>
      <c r="AF739">
        <v>0</v>
      </c>
      <c r="AG739">
        <v>0</v>
      </c>
      <c r="AH739">
        <v>0</v>
      </c>
      <c r="AI739">
        <v>0</v>
      </c>
      <c r="AJ739">
        <v>0</v>
      </c>
      <c r="AK739">
        <v>0</v>
      </c>
      <c r="AL739">
        <v>0</v>
      </c>
      <c r="AM739">
        <v>0</v>
      </c>
      <c r="AN739">
        <v>0</v>
      </c>
      <c r="AO739">
        <v>0</v>
      </c>
      <c r="AP739">
        <v>0</v>
      </c>
      <c r="AQ739">
        <v>0</v>
      </c>
      <c r="AR739">
        <v>0</v>
      </c>
      <c r="AS739">
        <v>0</v>
      </c>
      <c r="AT739">
        <v>0</v>
      </c>
      <c r="AU739">
        <f t="shared" si="22"/>
        <v>0</v>
      </c>
      <c r="AV739">
        <f t="shared" si="23"/>
        <v>0</v>
      </c>
    </row>
    <row r="740" spans="1:48" x14ac:dyDescent="0.25">
      <c r="A740" t="s">
        <v>4218</v>
      </c>
      <c r="C740" t="s">
        <v>4219</v>
      </c>
      <c r="D740" t="s">
        <v>3967</v>
      </c>
      <c r="E740" t="s">
        <v>2310</v>
      </c>
      <c r="F740">
        <v>8</v>
      </c>
      <c r="G740">
        <v>8.1999999999999993</v>
      </c>
      <c r="H740" t="s">
        <v>2022</v>
      </c>
      <c r="I740" s="21">
        <v>37858</v>
      </c>
      <c r="J740">
        <v>2003</v>
      </c>
      <c r="K740" s="21">
        <v>37929</v>
      </c>
      <c r="L740">
        <v>2003</v>
      </c>
      <c r="M740" s="21">
        <v>38930</v>
      </c>
      <c r="N740">
        <v>2006</v>
      </c>
      <c r="R740" s="262">
        <v>4578000</v>
      </c>
      <c r="S740" t="s">
        <v>114</v>
      </c>
      <c r="T740" t="s">
        <v>114</v>
      </c>
      <c r="U740">
        <v>5</v>
      </c>
      <c r="W740">
        <v>9942</v>
      </c>
      <c r="X740">
        <v>1</v>
      </c>
      <c r="Y740">
        <v>0</v>
      </c>
      <c r="Z740">
        <v>0</v>
      </c>
      <c r="AA740">
        <v>0</v>
      </c>
      <c r="AB740">
        <v>0</v>
      </c>
      <c r="AC740">
        <v>9942</v>
      </c>
      <c r="AD740">
        <v>0</v>
      </c>
      <c r="AE740">
        <v>0</v>
      </c>
      <c r="AF740">
        <v>0</v>
      </c>
      <c r="AG740">
        <v>0</v>
      </c>
      <c r="AH740">
        <v>0</v>
      </c>
      <c r="AI740">
        <v>0</v>
      </c>
      <c r="AJ740">
        <v>0</v>
      </c>
      <c r="AK740">
        <v>0</v>
      </c>
      <c r="AL740">
        <v>0</v>
      </c>
      <c r="AM740">
        <v>0</v>
      </c>
      <c r="AN740">
        <v>0</v>
      </c>
      <c r="AO740">
        <v>1</v>
      </c>
      <c r="AP740">
        <v>0</v>
      </c>
      <c r="AQ740">
        <v>0</v>
      </c>
      <c r="AR740">
        <v>0</v>
      </c>
      <c r="AS740">
        <v>0</v>
      </c>
      <c r="AT740">
        <v>0</v>
      </c>
      <c r="AU740">
        <f t="shared" si="22"/>
        <v>1</v>
      </c>
      <c r="AV740">
        <f t="shared" si="23"/>
        <v>0</v>
      </c>
    </row>
    <row r="741" spans="1:48" x14ac:dyDescent="0.25">
      <c r="A741" t="s">
        <v>4229</v>
      </c>
      <c r="C741" t="s">
        <v>4230</v>
      </c>
      <c r="D741" t="s">
        <v>2765</v>
      </c>
      <c r="E741" t="s">
        <v>2310</v>
      </c>
      <c r="F741">
        <v>9</v>
      </c>
      <c r="G741">
        <v>9.1999999999999993</v>
      </c>
      <c r="H741" t="s">
        <v>2022</v>
      </c>
      <c r="I741" s="21">
        <v>37859</v>
      </c>
      <c r="J741">
        <v>2003</v>
      </c>
      <c r="K741" s="21">
        <v>37888</v>
      </c>
      <c r="L741">
        <v>2003</v>
      </c>
      <c r="M741" s="21">
        <v>37888</v>
      </c>
      <c r="N741">
        <v>2003</v>
      </c>
      <c r="R741" s="262">
        <v>135000</v>
      </c>
      <c r="S741" t="s">
        <v>114</v>
      </c>
      <c r="T741" t="s">
        <v>114</v>
      </c>
      <c r="U741">
        <v>5</v>
      </c>
      <c r="W741">
        <v>480</v>
      </c>
      <c r="X741">
        <v>0</v>
      </c>
      <c r="Y741">
        <v>0</v>
      </c>
      <c r="Z741">
        <v>0</v>
      </c>
      <c r="AA741">
        <v>0</v>
      </c>
      <c r="AB741">
        <v>0</v>
      </c>
      <c r="AC741">
        <v>480</v>
      </c>
      <c r="AD741">
        <v>0</v>
      </c>
      <c r="AE741">
        <v>0</v>
      </c>
      <c r="AF741">
        <v>0</v>
      </c>
      <c r="AG741">
        <v>0</v>
      </c>
      <c r="AH741">
        <v>0</v>
      </c>
      <c r="AI741">
        <v>0</v>
      </c>
      <c r="AJ741">
        <v>0</v>
      </c>
      <c r="AK741">
        <v>0</v>
      </c>
      <c r="AL741">
        <v>0</v>
      </c>
      <c r="AM741">
        <v>0</v>
      </c>
      <c r="AN741">
        <v>0</v>
      </c>
      <c r="AO741">
        <v>0</v>
      </c>
      <c r="AP741">
        <v>0</v>
      </c>
      <c r="AQ741">
        <v>0</v>
      </c>
      <c r="AR741">
        <v>0</v>
      </c>
      <c r="AS741">
        <v>0</v>
      </c>
      <c r="AT741">
        <v>0</v>
      </c>
      <c r="AU741">
        <f t="shared" si="22"/>
        <v>0</v>
      </c>
      <c r="AV741">
        <f t="shared" si="23"/>
        <v>0</v>
      </c>
    </row>
    <row r="742" spans="1:48" x14ac:dyDescent="0.25">
      <c r="A742" t="s">
        <v>4231</v>
      </c>
      <c r="C742" t="s">
        <v>4232</v>
      </c>
      <c r="D742" t="s">
        <v>4233</v>
      </c>
      <c r="E742" t="s">
        <v>2310</v>
      </c>
      <c r="F742">
        <v>9</v>
      </c>
      <c r="G742">
        <v>9.3000000000000007</v>
      </c>
      <c r="H742" t="s">
        <v>2323</v>
      </c>
      <c r="I742" s="21">
        <v>37859</v>
      </c>
      <c r="J742">
        <v>2003</v>
      </c>
      <c r="K742" s="21">
        <v>37889</v>
      </c>
      <c r="L742">
        <v>2003</v>
      </c>
      <c r="M742" s="21">
        <v>38406</v>
      </c>
      <c r="N742">
        <v>2005</v>
      </c>
      <c r="R742" s="262">
        <v>50000</v>
      </c>
      <c r="S742" t="s">
        <v>114</v>
      </c>
      <c r="T742" t="s">
        <v>114</v>
      </c>
      <c r="U742">
        <v>5</v>
      </c>
      <c r="W742">
        <v>560</v>
      </c>
      <c r="X742">
        <v>0</v>
      </c>
      <c r="Y742">
        <v>0</v>
      </c>
      <c r="Z742">
        <v>0</v>
      </c>
      <c r="AA742">
        <v>0</v>
      </c>
      <c r="AB742">
        <v>0</v>
      </c>
      <c r="AC742">
        <v>560</v>
      </c>
      <c r="AD742">
        <v>0</v>
      </c>
      <c r="AE742">
        <v>0</v>
      </c>
      <c r="AF742">
        <v>0</v>
      </c>
      <c r="AG742">
        <v>0</v>
      </c>
      <c r="AH742">
        <v>0</v>
      </c>
      <c r="AI742">
        <v>0</v>
      </c>
      <c r="AJ742">
        <v>0</v>
      </c>
      <c r="AK742">
        <v>0</v>
      </c>
      <c r="AL742">
        <v>0</v>
      </c>
      <c r="AM742">
        <v>0</v>
      </c>
      <c r="AN742">
        <v>0</v>
      </c>
      <c r="AO742">
        <v>0</v>
      </c>
      <c r="AP742">
        <v>0</v>
      </c>
      <c r="AQ742">
        <v>0</v>
      </c>
      <c r="AR742">
        <v>0</v>
      </c>
      <c r="AS742">
        <v>0</v>
      </c>
      <c r="AT742">
        <v>0</v>
      </c>
      <c r="AU742">
        <f t="shared" si="22"/>
        <v>0</v>
      </c>
      <c r="AV742">
        <f t="shared" si="23"/>
        <v>0</v>
      </c>
    </row>
    <row r="743" spans="1:48" x14ac:dyDescent="0.25">
      <c r="A743" t="s">
        <v>4234</v>
      </c>
      <c r="C743" t="s">
        <v>4235</v>
      </c>
      <c r="D743" t="s">
        <v>4236</v>
      </c>
      <c r="E743" t="s">
        <v>2310</v>
      </c>
      <c r="F743">
        <v>9</v>
      </c>
      <c r="G743">
        <v>9.3000000000000007</v>
      </c>
      <c r="H743" t="s">
        <v>2323</v>
      </c>
      <c r="I743" s="21">
        <v>37859</v>
      </c>
      <c r="J743">
        <v>2003</v>
      </c>
      <c r="M743" s="21">
        <v>38623</v>
      </c>
      <c r="N743">
        <v>2005</v>
      </c>
      <c r="R743" s="262">
        <v>53000</v>
      </c>
      <c r="S743" t="s">
        <v>114</v>
      </c>
      <c r="T743" t="s">
        <v>114</v>
      </c>
      <c r="U743">
        <v>3</v>
      </c>
      <c r="W743">
        <v>1043</v>
      </c>
      <c r="X743">
        <v>0</v>
      </c>
      <c r="Y743">
        <v>0</v>
      </c>
      <c r="Z743">
        <v>0</v>
      </c>
      <c r="AA743">
        <v>1043</v>
      </c>
      <c r="AB743">
        <v>0</v>
      </c>
      <c r="AC743">
        <v>0</v>
      </c>
      <c r="AD743">
        <v>0</v>
      </c>
      <c r="AE743">
        <v>0</v>
      </c>
      <c r="AF743">
        <v>0</v>
      </c>
      <c r="AG743">
        <v>0</v>
      </c>
      <c r="AH743">
        <v>0</v>
      </c>
      <c r="AI743">
        <v>0</v>
      </c>
      <c r="AJ743">
        <v>0</v>
      </c>
      <c r="AK743">
        <v>0</v>
      </c>
      <c r="AL743">
        <v>0</v>
      </c>
      <c r="AM743">
        <v>0</v>
      </c>
      <c r="AN743">
        <v>0</v>
      </c>
      <c r="AO743">
        <v>0</v>
      </c>
      <c r="AP743">
        <v>0</v>
      </c>
      <c r="AQ743">
        <v>0</v>
      </c>
      <c r="AR743">
        <v>0</v>
      </c>
      <c r="AS743">
        <v>0</v>
      </c>
      <c r="AT743">
        <v>0</v>
      </c>
      <c r="AU743">
        <f t="shared" si="22"/>
        <v>0</v>
      </c>
      <c r="AV743">
        <f t="shared" si="23"/>
        <v>1043</v>
      </c>
    </row>
    <row r="744" spans="1:48" x14ac:dyDescent="0.25">
      <c r="A744" t="s">
        <v>4237</v>
      </c>
      <c r="C744" t="s">
        <v>4238</v>
      </c>
      <c r="D744" t="s">
        <v>4239</v>
      </c>
      <c r="E744" t="s">
        <v>2310</v>
      </c>
      <c r="F744">
        <v>15</v>
      </c>
      <c r="G744">
        <v>15.2</v>
      </c>
      <c r="H744" t="s">
        <v>2323</v>
      </c>
      <c r="I744" s="21">
        <v>37859</v>
      </c>
      <c r="J744">
        <v>2003</v>
      </c>
      <c r="K744" s="21">
        <v>37894</v>
      </c>
      <c r="L744">
        <v>2003</v>
      </c>
      <c r="M744" s="21">
        <v>38148</v>
      </c>
      <c r="N744">
        <v>2004</v>
      </c>
      <c r="R744" s="262">
        <v>75000</v>
      </c>
      <c r="S744" t="s">
        <v>114</v>
      </c>
      <c r="T744" t="s">
        <v>114</v>
      </c>
      <c r="U744">
        <v>8</v>
      </c>
      <c r="W744">
        <v>1640</v>
      </c>
      <c r="X744">
        <v>1</v>
      </c>
      <c r="Y744">
        <v>0</v>
      </c>
      <c r="Z744">
        <v>0</v>
      </c>
      <c r="AA744">
        <v>0</v>
      </c>
      <c r="AB744">
        <v>0</v>
      </c>
      <c r="AC744">
        <v>820</v>
      </c>
      <c r="AD744">
        <v>0</v>
      </c>
      <c r="AE744">
        <v>0</v>
      </c>
      <c r="AF744">
        <v>820</v>
      </c>
      <c r="AG744">
        <v>0</v>
      </c>
      <c r="AH744">
        <v>0</v>
      </c>
      <c r="AI744">
        <v>0</v>
      </c>
      <c r="AJ744">
        <v>0</v>
      </c>
      <c r="AK744">
        <v>0</v>
      </c>
      <c r="AL744">
        <v>0</v>
      </c>
      <c r="AM744">
        <v>0</v>
      </c>
      <c r="AN744">
        <v>0</v>
      </c>
      <c r="AO744">
        <v>0</v>
      </c>
      <c r="AP744">
        <v>0</v>
      </c>
      <c r="AQ744">
        <v>0</v>
      </c>
      <c r="AR744">
        <v>1</v>
      </c>
      <c r="AS744">
        <v>0</v>
      </c>
      <c r="AT744">
        <v>0</v>
      </c>
      <c r="AU744">
        <f t="shared" si="22"/>
        <v>0</v>
      </c>
      <c r="AV744">
        <f t="shared" si="23"/>
        <v>0</v>
      </c>
    </row>
    <row r="745" spans="1:48" x14ac:dyDescent="0.25">
      <c r="A745" t="s">
        <v>4220</v>
      </c>
      <c r="C745" t="s">
        <v>4221</v>
      </c>
      <c r="D745" t="s">
        <v>4222</v>
      </c>
      <c r="E745" t="s">
        <v>1663</v>
      </c>
      <c r="F745">
        <v>3</v>
      </c>
      <c r="G745">
        <v>3.2</v>
      </c>
      <c r="H745" t="s">
        <v>2327</v>
      </c>
      <c r="I745" s="21">
        <v>37859</v>
      </c>
      <c r="J745">
        <v>2003</v>
      </c>
      <c r="K745" s="21">
        <v>37890</v>
      </c>
      <c r="L745">
        <v>2003</v>
      </c>
      <c r="M745" s="21">
        <v>38043</v>
      </c>
      <c r="N745">
        <v>2004</v>
      </c>
      <c r="Q745" s="262">
        <v>120000</v>
      </c>
      <c r="S745" t="s">
        <v>114</v>
      </c>
      <c r="T745" t="s">
        <v>114</v>
      </c>
      <c r="W745">
        <v>784</v>
      </c>
      <c r="X745">
        <v>1</v>
      </c>
      <c r="Y745">
        <v>0</v>
      </c>
      <c r="Z745">
        <v>0</v>
      </c>
      <c r="AA745">
        <v>0</v>
      </c>
      <c r="AB745">
        <v>0</v>
      </c>
      <c r="AC745">
        <v>0</v>
      </c>
      <c r="AD745">
        <v>784</v>
      </c>
      <c r="AE745">
        <v>0</v>
      </c>
      <c r="AF745">
        <v>0</v>
      </c>
      <c r="AG745">
        <v>0</v>
      </c>
      <c r="AH745">
        <v>0</v>
      </c>
      <c r="AI745">
        <v>0</v>
      </c>
      <c r="AJ745">
        <v>0</v>
      </c>
      <c r="AK745">
        <v>0</v>
      </c>
      <c r="AL745">
        <v>0</v>
      </c>
      <c r="AM745">
        <v>0</v>
      </c>
      <c r="AN745">
        <v>0</v>
      </c>
      <c r="AO745">
        <v>0</v>
      </c>
      <c r="AP745">
        <v>1</v>
      </c>
      <c r="AQ745">
        <v>0</v>
      </c>
      <c r="AR745">
        <v>0</v>
      </c>
      <c r="AS745">
        <v>0</v>
      </c>
      <c r="AT745">
        <v>0</v>
      </c>
      <c r="AU745">
        <f t="shared" si="22"/>
        <v>1</v>
      </c>
      <c r="AV745">
        <f t="shared" si="23"/>
        <v>0</v>
      </c>
    </row>
    <row r="746" spans="1:48" x14ac:dyDescent="0.25">
      <c r="A746" t="s">
        <v>4223</v>
      </c>
      <c r="C746" t="s">
        <v>4224</v>
      </c>
      <c r="D746" t="s">
        <v>4222</v>
      </c>
      <c r="E746" t="s">
        <v>1663</v>
      </c>
      <c r="F746">
        <v>3</v>
      </c>
      <c r="G746">
        <v>3.2</v>
      </c>
      <c r="H746" t="s">
        <v>2327</v>
      </c>
      <c r="I746" s="21">
        <v>37859</v>
      </c>
      <c r="J746">
        <v>2003</v>
      </c>
      <c r="K746" s="21">
        <v>37890</v>
      </c>
      <c r="L746">
        <v>2003</v>
      </c>
      <c r="M746" s="21">
        <v>38043</v>
      </c>
      <c r="N746">
        <v>2004</v>
      </c>
      <c r="Q746" s="262">
        <v>120000</v>
      </c>
      <c r="S746" t="s">
        <v>114</v>
      </c>
      <c r="T746" t="s">
        <v>114</v>
      </c>
      <c r="W746">
        <v>784</v>
      </c>
      <c r="X746">
        <v>1</v>
      </c>
      <c r="Y746">
        <v>0</v>
      </c>
      <c r="Z746">
        <v>0</v>
      </c>
      <c r="AA746">
        <v>0</v>
      </c>
      <c r="AB746">
        <v>0</v>
      </c>
      <c r="AC746">
        <v>0</v>
      </c>
      <c r="AD746">
        <v>784</v>
      </c>
      <c r="AE746">
        <v>0</v>
      </c>
      <c r="AF746">
        <v>0</v>
      </c>
      <c r="AG746">
        <v>0</v>
      </c>
      <c r="AH746">
        <v>0</v>
      </c>
      <c r="AI746">
        <v>0</v>
      </c>
      <c r="AJ746">
        <v>0</v>
      </c>
      <c r="AK746">
        <v>0</v>
      </c>
      <c r="AL746">
        <v>0</v>
      </c>
      <c r="AM746">
        <v>0</v>
      </c>
      <c r="AN746">
        <v>0</v>
      </c>
      <c r="AO746">
        <v>0</v>
      </c>
      <c r="AP746">
        <v>1</v>
      </c>
      <c r="AQ746">
        <v>0</v>
      </c>
      <c r="AR746">
        <v>0</v>
      </c>
      <c r="AS746">
        <v>0</v>
      </c>
      <c r="AT746">
        <v>0</v>
      </c>
      <c r="AU746">
        <f t="shared" si="22"/>
        <v>1</v>
      </c>
      <c r="AV746">
        <f t="shared" si="23"/>
        <v>0</v>
      </c>
    </row>
    <row r="747" spans="1:48" x14ac:dyDescent="0.25">
      <c r="A747" t="s">
        <v>4225</v>
      </c>
      <c r="C747" t="s">
        <v>4226</v>
      </c>
      <c r="D747" t="s">
        <v>4222</v>
      </c>
      <c r="E747" t="s">
        <v>1663</v>
      </c>
      <c r="F747">
        <v>3</v>
      </c>
      <c r="G747">
        <v>3.2</v>
      </c>
      <c r="H747" t="s">
        <v>2327</v>
      </c>
      <c r="I747" s="21">
        <v>37859</v>
      </c>
      <c r="J747">
        <v>2003</v>
      </c>
      <c r="K747" s="21">
        <v>37890</v>
      </c>
      <c r="L747">
        <v>2003</v>
      </c>
      <c r="M747" s="21">
        <v>38043</v>
      </c>
      <c r="N747">
        <v>2004</v>
      </c>
      <c r="Q747" s="262">
        <v>120000</v>
      </c>
      <c r="S747" t="s">
        <v>114</v>
      </c>
      <c r="T747" t="s">
        <v>114</v>
      </c>
      <c r="W747">
        <v>784</v>
      </c>
      <c r="X747">
        <v>1</v>
      </c>
      <c r="Y747">
        <v>0</v>
      </c>
      <c r="Z747">
        <v>0</v>
      </c>
      <c r="AA747">
        <v>0</v>
      </c>
      <c r="AB747">
        <v>0</v>
      </c>
      <c r="AC747">
        <v>0</v>
      </c>
      <c r="AD747">
        <v>784</v>
      </c>
      <c r="AE747">
        <v>0</v>
      </c>
      <c r="AF747">
        <v>0</v>
      </c>
      <c r="AG747">
        <v>0</v>
      </c>
      <c r="AH747">
        <v>0</v>
      </c>
      <c r="AI747">
        <v>0</v>
      </c>
      <c r="AJ747">
        <v>0</v>
      </c>
      <c r="AK747">
        <v>0</v>
      </c>
      <c r="AL747">
        <v>0</v>
      </c>
      <c r="AM747">
        <v>0</v>
      </c>
      <c r="AN747">
        <v>0</v>
      </c>
      <c r="AO747">
        <v>0</v>
      </c>
      <c r="AP747">
        <v>1</v>
      </c>
      <c r="AQ747">
        <v>0</v>
      </c>
      <c r="AR747">
        <v>0</v>
      </c>
      <c r="AS747">
        <v>0</v>
      </c>
      <c r="AT747">
        <v>0</v>
      </c>
      <c r="AU747">
        <f t="shared" si="22"/>
        <v>1</v>
      </c>
      <c r="AV747">
        <f t="shared" si="23"/>
        <v>0</v>
      </c>
    </row>
    <row r="748" spans="1:48" x14ac:dyDescent="0.25">
      <c r="A748" t="s">
        <v>4227</v>
      </c>
      <c r="C748" t="s">
        <v>4228</v>
      </c>
      <c r="D748" t="s">
        <v>4222</v>
      </c>
      <c r="E748" t="s">
        <v>1663</v>
      </c>
      <c r="F748">
        <v>3</v>
      </c>
      <c r="G748">
        <v>3.2</v>
      </c>
      <c r="H748" t="s">
        <v>2327</v>
      </c>
      <c r="I748" s="21">
        <v>37859</v>
      </c>
      <c r="J748">
        <v>2003</v>
      </c>
      <c r="K748" s="21">
        <v>37890</v>
      </c>
      <c r="L748">
        <v>2003</v>
      </c>
      <c r="M748" s="21">
        <v>38043</v>
      </c>
      <c r="N748">
        <v>2004</v>
      </c>
      <c r="Q748" s="262">
        <v>120000</v>
      </c>
      <c r="S748" t="s">
        <v>114</v>
      </c>
      <c r="T748" t="s">
        <v>114</v>
      </c>
      <c r="W748">
        <v>784</v>
      </c>
      <c r="X748">
        <v>1</v>
      </c>
      <c r="Y748">
        <v>0</v>
      </c>
      <c r="Z748">
        <v>0</v>
      </c>
      <c r="AA748">
        <v>0</v>
      </c>
      <c r="AB748">
        <v>0</v>
      </c>
      <c r="AC748">
        <v>0</v>
      </c>
      <c r="AD748">
        <v>784</v>
      </c>
      <c r="AE748">
        <v>0</v>
      </c>
      <c r="AF748">
        <v>0</v>
      </c>
      <c r="AG748">
        <v>0</v>
      </c>
      <c r="AH748">
        <v>0</v>
      </c>
      <c r="AI748">
        <v>0</v>
      </c>
      <c r="AJ748">
        <v>0</v>
      </c>
      <c r="AK748">
        <v>0</v>
      </c>
      <c r="AL748">
        <v>0</v>
      </c>
      <c r="AM748">
        <v>0</v>
      </c>
      <c r="AN748">
        <v>0</v>
      </c>
      <c r="AO748">
        <v>0</v>
      </c>
      <c r="AP748">
        <v>1</v>
      </c>
      <c r="AQ748">
        <v>0</v>
      </c>
      <c r="AR748">
        <v>0</v>
      </c>
      <c r="AS748">
        <v>0</v>
      </c>
      <c r="AT748">
        <v>0</v>
      </c>
      <c r="AU748">
        <f t="shared" si="22"/>
        <v>1</v>
      </c>
      <c r="AV748">
        <f t="shared" si="23"/>
        <v>0</v>
      </c>
    </row>
    <row r="749" spans="1:48" x14ac:dyDescent="0.25">
      <c r="A749" t="s">
        <v>4240</v>
      </c>
      <c r="C749" t="s">
        <v>4241</v>
      </c>
      <c r="D749" t="s">
        <v>4242</v>
      </c>
      <c r="E749" t="s">
        <v>2310</v>
      </c>
      <c r="F749">
        <v>9</v>
      </c>
      <c r="G749">
        <v>9.4</v>
      </c>
      <c r="H749" t="s">
        <v>2323</v>
      </c>
      <c r="I749" s="21">
        <v>37860</v>
      </c>
      <c r="J749">
        <v>2003</v>
      </c>
      <c r="K749" s="21">
        <v>37907</v>
      </c>
      <c r="L749">
        <v>2003</v>
      </c>
      <c r="M749" s="21">
        <v>38195</v>
      </c>
      <c r="N749">
        <v>2004</v>
      </c>
      <c r="R749" s="262">
        <v>200000</v>
      </c>
      <c r="S749" t="s">
        <v>114</v>
      </c>
      <c r="T749" t="s">
        <v>114</v>
      </c>
      <c r="U749">
        <v>5</v>
      </c>
      <c r="W749">
        <v>1000</v>
      </c>
      <c r="X749">
        <v>0</v>
      </c>
      <c r="Y749">
        <v>0</v>
      </c>
      <c r="Z749">
        <v>0</v>
      </c>
      <c r="AA749">
        <v>0</v>
      </c>
      <c r="AB749">
        <v>0</v>
      </c>
      <c r="AC749">
        <v>1000</v>
      </c>
      <c r="AD749">
        <v>0</v>
      </c>
      <c r="AE749">
        <v>0</v>
      </c>
      <c r="AF749">
        <v>0</v>
      </c>
      <c r="AG749">
        <v>0</v>
      </c>
      <c r="AH749">
        <v>0</v>
      </c>
      <c r="AI749">
        <v>0</v>
      </c>
      <c r="AJ749">
        <v>0</v>
      </c>
      <c r="AK749">
        <v>0</v>
      </c>
      <c r="AL749">
        <v>0</v>
      </c>
      <c r="AM749">
        <v>0</v>
      </c>
      <c r="AN749">
        <v>0</v>
      </c>
      <c r="AO749">
        <v>0</v>
      </c>
      <c r="AP749">
        <v>0</v>
      </c>
      <c r="AQ749">
        <v>0</v>
      </c>
      <c r="AR749">
        <v>0</v>
      </c>
      <c r="AS749">
        <v>0</v>
      </c>
      <c r="AT749">
        <v>0</v>
      </c>
      <c r="AU749">
        <f t="shared" si="22"/>
        <v>0</v>
      </c>
      <c r="AV749">
        <f t="shared" si="23"/>
        <v>0</v>
      </c>
    </row>
    <row r="750" spans="1:48" x14ac:dyDescent="0.25">
      <c r="A750" t="s">
        <v>4243</v>
      </c>
      <c r="C750" t="s">
        <v>4244</v>
      </c>
      <c r="D750" t="s">
        <v>4245</v>
      </c>
      <c r="E750" t="s">
        <v>2310</v>
      </c>
      <c r="F750">
        <v>8</v>
      </c>
      <c r="G750">
        <v>8.1</v>
      </c>
      <c r="H750" t="s">
        <v>2323</v>
      </c>
      <c r="I750" s="21">
        <v>37860</v>
      </c>
      <c r="J750">
        <v>2003</v>
      </c>
      <c r="K750" s="21">
        <v>37894</v>
      </c>
      <c r="L750">
        <v>2003</v>
      </c>
      <c r="M750" s="21">
        <v>37894</v>
      </c>
      <c r="N750">
        <v>2003</v>
      </c>
      <c r="R750" s="262">
        <v>359000</v>
      </c>
      <c r="S750" t="s">
        <v>114</v>
      </c>
      <c r="T750" t="s">
        <v>114</v>
      </c>
      <c r="U750">
        <v>5</v>
      </c>
      <c r="W750">
        <v>1865</v>
      </c>
      <c r="X750">
        <v>0</v>
      </c>
      <c r="Y750">
        <v>0</v>
      </c>
      <c r="Z750">
        <v>0</v>
      </c>
      <c r="AA750">
        <v>0</v>
      </c>
      <c r="AB750">
        <v>0</v>
      </c>
      <c r="AC750">
        <v>1865</v>
      </c>
      <c r="AD750">
        <v>0</v>
      </c>
      <c r="AE750">
        <v>0</v>
      </c>
      <c r="AF750">
        <v>0</v>
      </c>
      <c r="AG750">
        <v>0</v>
      </c>
      <c r="AH750">
        <v>0</v>
      </c>
      <c r="AI750">
        <v>0</v>
      </c>
      <c r="AJ750">
        <v>0</v>
      </c>
      <c r="AK750">
        <v>0</v>
      </c>
      <c r="AL750">
        <v>0</v>
      </c>
      <c r="AM750">
        <v>0</v>
      </c>
      <c r="AN750">
        <v>0</v>
      </c>
      <c r="AO750">
        <v>0</v>
      </c>
      <c r="AP750">
        <v>0</v>
      </c>
      <c r="AQ750">
        <v>0</v>
      </c>
      <c r="AR750">
        <v>0</v>
      </c>
      <c r="AS750">
        <v>0</v>
      </c>
      <c r="AT750">
        <v>0</v>
      </c>
      <c r="AU750">
        <f t="shared" si="22"/>
        <v>0</v>
      </c>
      <c r="AV750">
        <f t="shared" si="23"/>
        <v>0</v>
      </c>
    </row>
    <row r="751" spans="1:48" x14ac:dyDescent="0.25">
      <c r="A751" t="s">
        <v>4246</v>
      </c>
      <c r="C751" t="s">
        <v>2544</v>
      </c>
      <c r="D751" t="s">
        <v>4247</v>
      </c>
      <c r="E751" t="s">
        <v>2310</v>
      </c>
      <c r="F751">
        <v>15</v>
      </c>
      <c r="G751">
        <v>15.3</v>
      </c>
      <c r="H751" t="s">
        <v>2022</v>
      </c>
      <c r="I751" s="21">
        <v>37860</v>
      </c>
      <c r="J751">
        <v>2003</v>
      </c>
      <c r="K751" s="21">
        <v>37889</v>
      </c>
      <c r="L751">
        <v>2003</v>
      </c>
      <c r="M751" s="21">
        <v>37889</v>
      </c>
      <c r="N751">
        <v>2003</v>
      </c>
      <c r="R751" s="262">
        <v>15000</v>
      </c>
      <c r="S751" t="s">
        <v>114</v>
      </c>
      <c r="T751" t="s">
        <v>114</v>
      </c>
      <c r="U751">
        <v>5</v>
      </c>
      <c r="W751">
        <v>616</v>
      </c>
      <c r="X751">
        <v>0</v>
      </c>
      <c r="Y751">
        <v>0</v>
      </c>
      <c r="Z751">
        <v>0</v>
      </c>
      <c r="AA751">
        <v>0</v>
      </c>
      <c r="AB751">
        <v>0</v>
      </c>
      <c r="AC751">
        <v>616</v>
      </c>
      <c r="AD751">
        <v>0</v>
      </c>
      <c r="AE751">
        <v>0</v>
      </c>
      <c r="AF751">
        <v>0</v>
      </c>
      <c r="AG751">
        <v>0</v>
      </c>
      <c r="AH751">
        <v>0</v>
      </c>
      <c r="AI751">
        <v>0</v>
      </c>
      <c r="AJ751">
        <v>0</v>
      </c>
      <c r="AK751">
        <v>0</v>
      </c>
      <c r="AL751">
        <v>0</v>
      </c>
      <c r="AM751">
        <v>0</v>
      </c>
      <c r="AN751">
        <v>0</v>
      </c>
      <c r="AO751">
        <v>0</v>
      </c>
      <c r="AP751">
        <v>0</v>
      </c>
      <c r="AQ751">
        <v>0</v>
      </c>
      <c r="AR751">
        <v>0</v>
      </c>
      <c r="AS751">
        <v>0</v>
      </c>
      <c r="AT751">
        <v>0</v>
      </c>
      <c r="AU751">
        <f t="shared" si="22"/>
        <v>0</v>
      </c>
      <c r="AV751">
        <f t="shared" si="23"/>
        <v>0</v>
      </c>
    </row>
    <row r="752" spans="1:48" x14ac:dyDescent="0.25">
      <c r="A752" t="s">
        <v>4248</v>
      </c>
      <c r="C752" t="s">
        <v>4249</v>
      </c>
      <c r="D752" t="s">
        <v>4250</v>
      </c>
      <c r="E752" t="s">
        <v>2310</v>
      </c>
      <c r="F752">
        <v>8</v>
      </c>
      <c r="G752">
        <v>8.1</v>
      </c>
      <c r="H752" t="s">
        <v>2323</v>
      </c>
      <c r="I752" s="21">
        <v>37860</v>
      </c>
      <c r="J752">
        <v>2003</v>
      </c>
      <c r="K752" s="21">
        <v>37874</v>
      </c>
      <c r="L752">
        <v>2003</v>
      </c>
      <c r="M752" s="21">
        <v>37974</v>
      </c>
      <c r="N752">
        <v>2003</v>
      </c>
      <c r="R752" s="262">
        <v>2000</v>
      </c>
      <c r="S752" t="s">
        <v>114</v>
      </c>
      <c r="T752" t="s">
        <v>114</v>
      </c>
      <c r="U752">
        <v>5</v>
      </c>
      <c r="W752">
        <v>0</v>
      </c>
      <c r="X752">
        <v>0</v>
      </c>
      <c r="Y752">
        <v>0</v>
      </c>
      <c r="Z752">
        <v>0</v>
      </c>
      <c r="AA752">
        <v>0</v>
      </c>
      <c r="AB752">
        <v>0</v>
      </c>
      <c r="AC752">
        <v>0</v>
      </c>
      <c r="AD752">
        <v>0</v>
      </c>
      <c r="AE752">
        <v>0</v>
      </c>
      <c r="AF752">
        <v>0</v>
      </c>
      <c r="AG752">
        <v>0</v>
      </c>
      <c r="AH752">
        <v>0</v>
      </c>
      <c r="AI752">
        <v>0</v>
      </c>
      <c r="AJ752">
        <v>0</v>
      </c>
      <c r="AK752">
        <v>0</v>
      </c>
      <c r="AL752">
        <v>0</v>
      </c>
      <c r="AM752">
        <v>0</v>
      </c>
      <c r="AN752">
        <v>0</v>
      </c>
      <c r="AO752">
        <v>0</v>
      </c>
      <c r="AP752">
        <v>0</v>
      </c>
      <c r="AQ752">
        <v>0</v>
      </c>
      <c r="AR752">
        <v>0</v>
      </c>
      <c r="AS752">
        <v>0</v>
      </c>
      <c r="AT752">
        <v>0</v>
      </c>
      <c r="AU752">
        <f t="shared" si="22"/>
        <v>0</v>
      </c>
      <c r="AV752">
        <f t="shared" si="23"/>
        <v>0</v>
      </c>
    </row>
    <row r="753" spans="1:48" x14ac:dyDescent="0.25">
      <c r="A753" t="s">
        <v>4251</v>
      </c>
      <c r="C753" t="s">
        <v>4252</v>
      </c>
      <c r="D753" t="s">
        <v>4253</v>
      </c>
      <c r="E753" t="s">
        <v>2310</v>
      </c>
      <c r="F753">
        <v>13</v>
      </c>
      <c r="G753">
        <v>13.1</v>
      </c>
      <c r="H753" t="s">
        <v>2327</v>
      </c>
      <c r="I753" s="21">
        <v>37861</v>
      </c>
      <c r="J753">
        <v>2003</v>
      </c>
      <c r="K753" s="21">
        <v>37889</v>
      </c>
      <c r="L753">
        <v>2003</v>
      </c>
      <c r="M753" s="21">
        <v>37960</v>
      </c>
      <c r="N753">
        <v>2003</v>
      </c>
      <c r="R753" s="262">
        <v>14000</v>
      </c>
      <c r="S753" t="s">
        <v>114</v>
      </c>
      <c r="T753" t="s">
        <v>114</v>
      </c>
      <c r="U753">
        <v>15</v>
      </c>
      <c r="W753">
        <v>0</v>
      </c>
      <c r="X753">
        <v>-1</v>
      </c>
      <c r="Y753">
        <v>0</v>
      </c>
      <c r="Z753">
        <v>0</v>
      </c>
      <c r="AA753">
        <v>0</v>
      </c>
      <c r="AB753">
        <v>0</v>
      </c>
      <c r="AC753">
        <v>0</v>
      </c>
      <c r="AD753">
        <v>0</v>
      </c>
      <c r="AE753">
        <v>0</v>
      </c>
      <c r="AF753">
        <v>0</v>
      </c>
      <c r="AG753">
        <v>0</v>
      </c>
      <c r="AH753">
        <v>0</v>
      </c>
      <c r="AI753">
        <v>-9005</v>
      </c>
      <c r="AJ753">
        <v>0</v>
      </c>
      <c r="AK753">
        <v>0</v>
      </c>
      <c r="AL753">
        <v>0</v>
      </c>
      <c r="AM753">
        <v>9005</v>
      </c>
      <c r="AN753">
        <v>0</v>
      </c>
      <c r="AO753">
        <v>0</v>
      </c>
      <c r="AP753">
        <v>0</v>
      </c>
      <c r="AQ753">
        <v>0</v>
      </c>
      <c r="AR753">
        <v>0</v>
      </c>
      <c r="AS753">
        <v>0</v>
      </c>
      <c r="AT753">
        <v>-1</v>
      </c>
      <c r="AU753">
        <f t="shared" si="22"/>
        <v>0</v>
      </c>
      <c r="AV753">
        <f t="shared" si="23"/>
        <v>0</v>
      </c>
    </row>
    <row r="754" spans="1:48" x14ac:dyDescent="0.25">
      <c r="A754" t="s">
        <v>4254</v>
      </c>
      <c r="C754" t="s">
        <v>4255</v>
      </c>
      <c r="D754" t="s">
        <v>4256</v>
      </c>
      <c r="E754" t="s">
        <v>2310</v>
      </c>
      <c r="F754">
        <v>14</v>
      </c>
      <c r="G754">
        <v>14.1</v>
      </c>
      <c r="H754" t="s">
        <v>2022</v>
      </c>
      <c r="I754" s="21">
        <v>37861</v>
      </c>
      <c r="J754">
        <v>2003</v>
      </c>
      <c r="K754" s="21">
        <v>37930</v>
      </c>
      <c r="L754">
        <v>2003</v>
      </c>
      <c r="M754" s="21">
        <v>39359</v>
      </c>
      <c r="N754">
        <v>2007</v>
      </c>
      <c r="R754" s="262">
        <v>500000</v>
      </c>
      <c r="S754" t="s">
        <v>114</v>
      </c>
      <c r="T754" t="s">
        <v>114</v>
      </c>
      <c r="U754">
        <v>5</v>
      </c>
      <c r="W754">
        <v>8068</v>
      </c>
      <c r="X754">
        <v>1</v>
      </c>
      <c r="Y754">
        <v>0</v>
      </c>
      <c r="Z754">
        <v>0</v>
      </c>
      <c r="AA754">
        <v>0</v>
      </c>
      <c r="AB754">
        <v>0</v>
      </c>
      <c r="AC754">
        <v>8068</v>
      </c>
      <c r="AD754">
        <v>0</v>
      </c>
      <c r="AE754">
        <v>0</v>
      </c>
      <c r="AF754">
        <v>0</v>
      </c>
      <c r="AG754">
        <v>0</v>
      </c>
      <c r="AH754">
        <v>0</v>
      </c>
      <c r="AI754">
        <v>0</v>
      </c>
      <c r="AJ754">
        <v>0</v>
      </c>
      <c r="AK754">
        <v>0</v>
      </c>
      <c r="AL754">
        <v>0</v>
      </c>
      <c r="AM754">
        <v>0</v>
      </c>
      <c r="AN754">
        <v>0</v>
      </c>
      <c r="AO754">
        <v>1</v>
      </c>
      <c r="AP754">
        <v>0</v>
      </c>
      <c r="AQ754">
        <v>0</v>
      </c>
      <c r="AR754">
        <v>0</v>
      </c>
      <c r="AS754">
        <v>0</v>
      </c>
      <c r="AT754">
        <v>0</v>
      </c>
      <c r="AU754">
        <f t="shared" si="22"/>
        <v>1</v>
      </c>
      <c r="AV754">
        <f t="shared" si="23"/>
        <v>0</v>
      </c>
    </row>
    <row r="755" spans="1:48" x14ac:dyDescent="0.25">
      <c r="A755" t="s">
        <v>4257</v>
      </c>
      <c r="C755" t="s">
        <v>3874</v>
      </c>
      <c r="D755" t="s">
        <v>4258</v>
      </c>
      <c r="E755" t="s">
        <v>2310</v>
      </c>
      <c r="F755">
        <v>10</v>
      </c>
      <c r="G755">
        <v>10.1</v>
      </c>
      <c r="H755" t="s">
        <v>2323</v>
      </c>
      <c r="I755" s="21">
        <v>37867</v>
      </c>
      <c r="J755">
        <v>2003</v>
      </c>
      <c r="K755" s="21">
        <v>37890</v>
      </c>
      <c r="L755">
        <v>2003</v>
      </c>
      <c r="M755" s="21">
        <v>38154</v>
      </c>
      <c r="N755">
        <v>2004</v>
      </c>
      <c r="R755" s="262">
        <v>112000</v>
      </c>
      <c r="S755" t="s">
        <v>114</v>
      </c>
      <c r="T755" t="s">
        <v>114</v>
      </c>
      <c r="U755">
        <v>5</v>
      </c>
      <c r="W755">
        <v>1412</v>
      </c>
      <c r="X755">
        <v>1</v>
      </c>
      <c r="Y755">
        <v>0</v>
      </c>
      <c r="Z755">
        <v>0</v>
      </c>
      <c r="AA755">
        <v>0</v>
      </c>
      <c r="AB755">
        <v>0</v>
      </c>
      <c r="AC755">
        <v>1412</v>
      </c>
      <c r="AD755">
        <v>0</v>
      </c>
      <c r="AE755">
        <v>0</v>
      </c>
      <c r="AF755">
        <v>0</v>
      </c>
      <c r="AG755">
        <v>0</v>
      </c>
      <c r="AH755">
        <v>0</v>
      </c>
      <c r="AI755">
        <v>0</v>
      </c>
      <c r="AJ755">
        <v>0</v>
      </c>
      <c r="AK755">
        <v>0</v>
      </c>
      <c r="AL755">
        <v>0</v>
      </c>
      <c r="AM755">
        <v>0</v>
      </c>
      <c r="AN755">
        <v>0</v>
      </c>
      <c r="AO755">
        <v>1</v>
      </c>
      <c r="AP755">
        <v>0</v>
      </c>
      <c r="AQ755">
        <v>0</v>
      </c>
      <c r="AR755">
        <v>0</v>
      </c>
      <c r="AS755">
        <v>0</v>
      </c>
      <c r="AT755">
        <v>0</v>
      </c>
      <c r="AU755">
        <f t="shared" si="22"/>
        <v>1</v>
      </c>
      <c r="AV755">
        <f t="shared" si="23"/>
        <v>0</v>
      </c>
    </row>
    <row r="756" spans="1:48" x14ac:dyDescent="0.25">
      <c r="A756" t="s">
        <v>4259</v>
      </c>
      <c r="C756" t="s">
        <v>4260</v>
      </c>
      <c r="D756" t="s">
        <v>4261</v>
      </c>
      <c r="E756" t="s">
        <v>2310</v>
      </c>
      <c r="F756">
        <v>9</v>
      </c>
      <c r="G756">
        <v>9.1999999999999993</v>
      </c>
      <c r="H756" t="s">
        <v>2022</v>
      </c>
      <c r="I756" s="21">
        <v>37868</v>
      </c>
      <c r="J756">
        <v>2003</v>
      </c>
      <c r="K756" s="21">
        <v>37882</v>
      </c>
      <c r="L756">
        <v>2003</v>
      </c>
      <c r="M756" s="21">
        <v>38390</v>
      </c>
      <c r="N756">
        <v>2005</v>
      </c>
      <c r="R756" s="262">
        <v>40000</v>
      </c>
      <c r="S756" t="s">
        <v>114</v>
      </c>
      <c r="T756" t="s">
        <v>114</v>
      </c>
      <c r="U756">
        <v>3</v>
      </c>
      <c r="W756">
        <v>864</v>
      </c>
      <c r="X756">
        <v>0</v>
      </c>
      <c r="Y756">
        <v>0</v>
      </c>
      <c r="Z756">
        <v>0</v>
      </c>
      <c r="AA756">
        <v>864</v>
      </c>
      <c r="AB756">
        <v>0</v>
      </c>
      <c r="AC756">
        <v>0</v>
      </c>
      <c r="AD756">
        <v>0</v>
      </c>
      <c r="AE756">
        <v>0</v>
      </c>
      <c r="AF756">
        <v>0</v>
      </c>
      <c r="AG756">
        <v>0</v>
      </c>
      <c r="AH756">
        <v>0</v>
      </c>
      <c r="AI756">
        <v>0</v>
      </c>
      <c r="AJ756">
        <v>0</v>
      </c>
      <c r="AK756">
        <v>0</v>
      </c>
      <c r="AL756">
        <v>0</v>
      </c>
      <c r="AM756">
        <v>0</v>
      </c>
      <c r="AN756">
        <v>0</v>
      </c>
      <c r="AO756">
        <v>0</v>
      </c>
      <c r="AP756">
        <v>0</v>
      </c>
      <c r="AQ756">
        <v>0</v>
      </c>
      <c r="AR756">
        <v>0</v>
      </c>
      <c r="AS756">
        <v>0</v>
      </c>
      <c r="AT756">
        <v>0</v>
      </c>
      <c r="AU756">
        <f t="shared" si="22"/>
        <v>0</v>
      </c>
      <c r="AV756">
        <f t="shared" si="23"/>
        <v>864</v>
      </c>
    </row>
    <row r="757" spans="1:48" x14ac:dyDescent="0.25">
      <c r="A757" t="s">
        <v>4262</v>
      </c>
      <c r="C757" t="s">
        <v>2541</v>
      </c>
      <c r="D757" t="s">
        <v>4263</v>
      </c>
      <c r="E757" t="s">
        <v>2310</v>
      </c>
      <c r="F757">
        <v>9</v>
      </c>
      <c r="G757">
        <v>9.3000000000000007</v>
      </c>
      <c r="H757" t="s">
        <v>2323</v>
      </c>
      <c r="I757" s="21">
        <v>37868</v>
      </c>
      <c r="J757">
        <v>2003</v>
      </c>
      <c r="K757" s="21">
        <v>37908</v>
      </c>
      <c r="L757">
        <v>2003</v>
      </c>
      <c r="M757" s="21">
        <v>38861</v>
      </c>
      <c r="N757">
        <v>2006</v>
      </c>
      <c r="R757" s="262">
        <v>1500000</v>
      </c>
      <c r="S757" t="s">
        <v>114</v>
      </c>
      <c r="T757" t="s">
        <v>114</v>
      </c>
      <c r="U757">
        <v>5</v>
      </c>
      <c r="W757">
        <v>3019</v>
      </c>
      <c r="X757">
        <v>0</v>
      </c>
      <c r="Y757">
        <v>0</v>
      </c>
      <c r="Z757">
        <v>0</v>
      </c>
      <c r="AA757">
        <v>0</v>
      </c>
      <c r="AB757">
        <v>0</v>
      </c>
      <c r="AC757">
        <v>3019</v>
      </c>
      <c r="AD757">
        <v>0</v>
      </c>
      <c r="AE757">
        <v>0</v>
      </c>
      <c r="AF757">
        <v>0</v>
      </c>
      <c r="AG757">
        <v>0</v>
      </c>
      <c r="AH757">
        <v>0</v>
      </c>
      <c r="AI757">
        <v>0</v>
      </c>
      <c r="AJ757">
        <v>0</v>
      </c>
      <c r="AK757">
        <v>0</v>
      </c>
      <c r="AL757">
        <v>0</v>
      </c>
      <c r="AM757">
        <v>0</v>
      </c>
      <c r="AN757">
        <v>0</v>
      </c>
      <c r="AO757">
        <v>0</v>
      </c>
      <c r="AP757">
        <v>0</v>
      </c>
      <c r="AQ757">
        <v>0</v>
      </c>
      <c r="AR757">
        <v>0</v>
      </c>
      <c r="AS757">
        <v>0</v>
      </c>
      <c r="AT757">
        <v>0</v>
      </c>
      <c r="AU757">
        <f t="shared" si="22"/>
        <v>0</v>
      </c>
      <c r="AV757">
        <f t="shared" si="23"/>
        <v>0</v>
      </c>
    </row>
    <row r="758" spans="1:48" x14ac:dyDescent="0.25">
      <c r="A758" t="s">
        <v>4264</v>
      </c>
      <c r="C758" t="s">
        <v>3216</v>
      </c>
      <c r="D758" t="s">
        <v>4265</v>
      </c>
      <c r="E758" t="s">
        <v>2310</v>
      </c>
      <c r="F758">
        <v>10</v>
      </c>
      <c r="G758">
        <v>10.1</v>
      </c>
      <c r="H758" t="s">
        <v>2323</v>
      </c>
      <c r="I758" s="21">
        <v>37868</v>
      </c>
      <c r="J758">
        <v>2003</v>
      </c>
      <c r="K758" s="21">
        <v>37900</v>
      </c>
      <c r="L758">
        <v>2003</v>
      </c>
      <c r="M758" s="21">
        <v>38131</v>
      </c>
      <c r="N758">
        <v>2004</v>
      </c>
      <c r="R758" s="262">
        <v>204000</v>
      </c>
      <c r="S758" t="s">
        <v>114</v>
      </c>
      <c r="T758" t="s">
        <v>114</v>
      </c>
      <c r="U758">
        <v>5</v>
      </c>
      <c r="W758">
        <v>2294</v>
      </c>
      <c r="X758">
        <v>1</v>
      </c>
      <c r="Y758">
        <v>0</v>
      </c>
      <c r="Z758">
        <v>0</v>
      </c>
      <c r="AA758">
        <v>0</v>
      </c>
      <c r="AB758">
        <v>0</v>
      </c>
      <c r="AC758">
        <v>2294</v>
      </c>
      <c r="AD758">
        <v>0</v>
      </c>
      <c r="AE758">
        <v>0</v>
      </c>
      <c r="AF758">
        <v>0</v>
      </c>
      <c r="AG758">
        <v>0</v>
      </c>
      <c r="AH758">
        <v>0</v>
      </c>
      <c r="AI758">
        <v>0</v>
      </c>
      <c r="AJ758">
        <v>0</v>
      </c>
      <c r="AK758">
        <v>0</v>
      </c>
      <c r="AL758">
        <v>0</v>
      </c>
      <c r="AM758">
        <v>0</v>
      </c>
      <c r="AN758">
        <v>0</v>
      </c>
      <c r="AO758">
        <v>1</v>
      </c>
      <c r="AP758">
        <v>0</v>
      </c>
      <c r="AQ758">
        <v>0</v>
      </c>
      <c r="AR758">
        <v>0</v>
      </c>
      <c r="AS758">
        <v>0</v>
      </c>
      <c r="AT758">
        <v>0</v>
      </c>
      <c r="AU758">
        <f t="shared" si="22"/>
        <v>1</v>
      </c>
      <c r="AV758">
        <f t="shared" si="23"/>
        <v>0</v>
      </c>
    </row>
    <row r="759" spans="1:48" x14ac:dyDescent="0.25">
      <c r="A759" t="s">
        <v>4266</v>
      </c>
      <c r="C759" t="s">
        <v>4267</v>
      </c>
      <c r="D759" t="s">
        <v>4268</v>
      </c>
      <c r="E759" t="s">
        <v>2310</v>
      </c>
      <c r="F759">
        <v>9</v>
      </c>
      <c r="G759">
        <v>9.1999999999999993</v>
      </c>
      <c r="H759" t="s">
        <v>2022</v>
      </c>
      <c r="I759" s="21">
        <v>37868</v>
      </c>
      <c r="J759">
        <v>2003</v>
      </c>
      <c r="K759" s="21">
        <v>37923</v>
      </c>
      <c r="L759">
        <v>2003</v>
      </c>
      <c r="M759" s="21">
        <v>37923</v>
      </c>
      <c r="N759">
        <v>2003</v>
      </c>
      <c r="R759" s="262">
        <v>200000</v>
      </c>
      <c r="S759" t="s">
        <v>114</v>
      </c>
      <c r="T759" t="s">
        <v>114</v>
      </c>
      <c r="U759">
        <v>5</v>
      </c>
      <c r="W759">
        <v>1195</v>
      </c>
      <c r="X759">
        <v>0</v>
      </c>
      <c r="Y759">
        <v>0</v>
      </c>
      <c r="Z759">
        <v>0</v>
      </c>
      <c r="AA759">
        <v>0</v>
      </c>
      <c r="AB759">
        <v>0</v>
      </c>
      <c r="AC759">
        <v>1195</v>
      </c>
      <c r="AD759">
        <v>0</v>
      </c>
      <c r="AE759">
        <v>0</v>
      </c>
      <c r="AF759">
        <v>0</v>
      </c>
      <c r="AG759">
        <v>0</v>
      </c>
      <c r="AH759">
        <v>0</v>
      </c>
      <c r="AI759">
        <v>0</v>
      </c>
      <c r="AJ759">
        <v>0</v>
      </c>
      <c r="AK759">
        <v>0</v>
      </c>
      <c r="AL759">
        <v>0</v>
      </c>
      <c r="AM759">
        <v>0</v>
      </c>
      <c r="AN759">
        <v>0</v>
      </c>
      <c r="AO759">
        <v>0</v>
      </c>
      <c r="AP759">
        <v>0</v>
      </c>
      <c r="AQ759">
        <v>0</v>
      </c>
      <c r="AR759">
        <v>0</v>
      </c>
      <c r="AS759">
        <v>0</v>
      </c>
      <c r="AT759">
        <v>0</v>
      </c>
      <c r="AU759">
        <f t="shared" si="22"/>
        <v>0</v>
      </c>
      <c r="AV759">
        <f t="shared" si="23"/>
        <v>0</v>
      </c>
    </row>
    <row r="760" spans="1:48" x14ac:dyDescent="0.25">
      <c r="A760" t="s">
        <v>4269</v>
      </c>
      <c r="C760" t="s">
        <v>4270</v>
      </c>
      <c r="D760" t="s">
        <v>4271</v>
      </c>
      <c r="E760" t="s">
        <v>2310</v>
      </c>
      <c r="F760">
        <v>15</v>
      </c>
      <c r="G760">
        <v>15.3</v>
      </c>
      <c r="H760" t="s">
        <v>2022</v>
      </c>
      <c r="I760" s="21">
        <v>37869</v>
      </c>
      <c r="J760">
        <v>2003</v>
      </c>
      <c r="K760" s="21">
        <v>37922</v>
      </c>
      <c r="L760">
        <v>2003</v>
      </c>
      <c r="M760" s="21">
        <v>37922</v>
      </c>
      <c r="N760">
        <v>2003</v>
      </c>
      <c r="R760" s="262">
        <v>100000</v>
      </c>
      <c r="S760" t="s">
        <v>114</v>
      </c>
      <c r="T760" t="s">
        <v>114</v>
      </c>
      <c r="U760">
        <v>5</v>
      </c>
      <c r="W760">
        <v>1261</v>
      </c>
      <c r="X760">
        <v>0</v>
      </c>
      <c r="Y760">
        <v>0</v>
      </c>
      <c r="Z760">
        <v>0</v>
      </c>
      <c r="AA760">
        <v>0</v>
      </c>
      <c r="AB760">
        <v>0</v>
      </c>
      <c r="AC760">
        <v>1261</v>
      </c>
      <c r="AD760">
        <v>0</v>
      </c>
      <c r="AE760">
        <v>0</v>
      </c>
      <c r="AF760">
        <v>0</v>
      </c>
      <c r="AG760">
        <v>0</v>
      </c>
      <c r="AH760">
        <v>0</v>
      </c>
      <c r="AI760">
        <v>0</v>
      </c>
      <c r="AJ760">
        <v>0</v>
      </c>
      <c r="AK760">
        <v>0</v>
      </c>
      <c r="AL760">
        <v>0</v>
      </c>
      <c r="AM760">
        <v>0</v>
      </c>
      <c r="AN760">
        <v>0</v>
      </c>
      <c r="AO760">
        <v>0</v>
      </c>
      <c r="AP760">
        <v>0</v>
      </c>
      <c r="AQ760">
        <v>0</v>
      </c>
      <c r="AR760">
        <v>0</v>
      </c>
      <c r="AS760">
        <v>0</v>
      </c>
      <c r="AT760">
        <v>0</v>
      </c>
      <c r="AU760">
        <f t="shared" si="22"/>
        <v>0</v>
      </c>
      <c r="AV760">
        <f t="shared" si="23"/>
        <v>0</v>
      </c>
    </row>
    <row r="761" spans="1:48" x14ac:dyDescent="0.25">
      <c r="A761" t="s">
        <v>4272</v>
      </c>
      <c r="C761" t="s">
        <v>4273</v>
      </c>
      <c r="D761" t="s">
        <v>4271</v>
      </c>
      <c r="E761" t="s">
        <v>2310</v>
      </c>
      <c r="F761">
        <v>15</v>
      </c>
      <c r="G761">
        <v>15.3</v>
      </c>
      <c r="H761" t="s">
        <v>2022</v>
      </c>
      <c r="I761" s="21">
        <v>37869</v>
      </c>
      <c r="J761">
        <v>2003</v>
      </c>
      <c r="K761" s="21">
        <v>37922</v>
      </c>
      <c r="L761">
        <v>2003</v>
      </c>
      <c r="M761" s="21">
        <v>38238</v>
      </c>
      <c r="N761">
        <v>2004</v>
      </c>
      <c r="R761" s="262">
        <v>225000</v>
      </c>
      <c r="S761" t="s">
        <v>114</v>
      </c>
      <c r="T761" t="s">
        <v>114</v>
      </c>
      <c r="U761">
        <v>8</v>
      </c>
      <c r="W761">
        <v>999</v>
      </c>
      <c r="X761">
        <v>1</v>
      </c>
      <c r="Y761">
        <v>0</v>
      </c>
      <c r="Z761">
        <v>0</v>
      </c>
      <c r="AA761">
        <v>0</v>
      </c>
      <c r="AB761">
        <v>0</v>
      </c>
      <c r="AC761">
        <v>0</v>
      </c>
      <c r="AD761">
        <v>0</v>
      </c>
      <c r="AE761">
        <v>0</v>
      </c>
      <c r="AF761">
        <v>999</v>
      </c>
      <c r="AG761">
        <v>0</v>
      </c>
      <c r="AH761">
        <v>0</v>
      </c>
      <c r="AI761">
        <v>0</v>
      </c>
      <c r="AJ761">
        <v>0</v>
      </c>
      <c r="AK761">
        <v>0</v>
      </c>
      <c r="AL761">
        <v>0</v>
      </c>
      <c r="AM761">
        <v>0</v>
      </c>
      <c r="AN761">
        <v>0</v>
      </c>
      <c r="AO761">
        <v>0</v>
      </c>
      <c r="AP761">
        <v>0</v>
      </c>
      <c r="AQ761">
        <v>0</v>
      </c>
      <c r="AR761">
        <v>1</v>
      </c>
      <c r="AS761">
        <v>0</v>
      </c>
      <c r="AT761">
        <v>0</v>
      </c>
      <c r="AU761">
        <f t="shared" si="22"/>
        <v>0</v>
      </c>
      <c r="AV761">
        <f t="shared" si="23"/>
        <v>0</v>
      </c>
    </row>
    <row r="762" spans="1:48" x14ac:dyDescent="0.25">
      <c r="A762" t="s">
        <v>4274</v>
      </c>
      <c r="C762" t="s">
        <v>4275</v>
      </c>
      <c r="D762" t="s">
        <v>4276</v>
      </c>
      <c r="E762" t="s">
        <v>2310</v>
      </c>
      <c r="F762">
        <v>15</v>
      </c>
      <c r="G762">
        <v>15.3</v>
      </c>
      <c r="H762" t="s">
        <v>2022</v>
      </c>
      <c r="I762" s="21">
        <v>37869</v>
      </c>
      <c r="J762">
        <v>2003</v>
      </c>
      <c r="K762" s="21">
        <v>37922</v>
      </c>
      <c r="L762">
        <v>2003</v>
      </c>
      <c r="M762" s="21">
        <v>37922</v>
      </c>
      <c r="N762">
        <v>2003</v>
      </c>
      <c r="R762" s="262">
        <v>240000</v>
      </c>
      <c r="S762" t="s">
        <v>114</v>
      </c>
      <c r="T762" t="s">
        <v>114</v>
      </c>
      <c r="U762">
        <v>5</v>
      </c>
      <c r="W762">
        <v>2000</v>
      </c>
      <c r="X762">
        <v>0</v>
      </c>
      <c r="Y762">
        <v>0</v>
      </c>
      <c r="Z762">
        <v>0</v>
      </c>
      <c r="AA762">
        <v>0</v>
      </c>
      <c r="AB762">
        <v>0</v>
      </c>
      <c r="AC762">
        <v>2000</v>
      </c>
      <c r="AD762">
        <v>0</v>
      </c>
      <c r="AE762">
        <v>0</v>
      </c>
      <c r="AF762">
        <v>0</v>
      </c>
      <c r="AG762">
        <v>0</v>
      </c>
      <c r="AH762">
        <v>0</v>
      </c>
      <c r="AI762">
        <v>0</v>
      </c>
      <c r="AJ762">
        <v>0</v>
      </c>
      <c r="AK762">
        <v>0</v>
      </c>
      <c r="AL762">
        <v>0</v>
      </c>
      <c r="AM762">
        <v>0</v>
      </c>
      <c r="AN762">
        <v>0</v>
      </c>
      <c r="AO762">
        <v>0</v>
      </c>
      <c r="AP762">
        <v>0</v>
      </c>
      <c r="AQ762">
        <v>0</v>
      </c>
      <c r="AR762">
        <v>0</v>
      </c>
      <c r="AS762">
        <v>0</v>
      </c>
      <c r="AT762">
        <v>0</v>
      </c>
      <c r="AU762">
        <f t="shared" si="22"/>
        <v>0</v>
      </c>
      <c r="AV762">
        <f t="shared" si="23"/>
        <v>0</v>
      </c>
    </row>
    <row r="763" spans="1:48" x14ac:dyDescent="0.25">
      <c r="A763" t="s">
        <v>4277</v>
      </c>
      <c r="C763" t="s">
        <v>4278</v>
      </c>
      <c r="D763" t="s">
        <v>4279</v>
      </c>
      <c r="E763" t="s">
        <v>2310</v>
      </c>
      <c r="F763">
        <v>13</v>
      </c>
      <c r="G763">
        <v>13.3</v>
      </c>
      <c r="H763" t="s">
        <v>2017</v>
      </c>
      <c r="I763" s="21">
        <v>37869</v>
      </c>
      <c r="J763">
        <v>2003</v>
      </c>
      <c r="K763" s="21">
        <v>37890</v>
      </c>
      <c r="L763">
        <v>2003</v>
      </c>
      <c r="M763" s="21">
        <v>38519</v>
      </c>
      <c r="N763">
        <v>2005</v>
      </c>
      <c r="R763" s="262">
        <v>470000</v>
      </c>
      <c r="S763" t="s">
        <v>114</v>
      </c>
      <c r="T763" t="s">
        <v>114</v>
      </c>
      <c r="U763">
        <v>5</v>
      </c>
      <c r="W763">
        <v>2838</v>
      </c>
      <c r="X763">
        <v>0</v>
      </c>
      <c r="Y763">
        <v>0</v>
      </c>
      <c r="Z763">
        <v>0</v>
      </c>
      <c r="AA763">
        <v>0</v>
      </c>
      <c r="AB763">
        <v>0</v>
      </c>
      <c r="AC763">
        <v>2838</v>
      </c>
      <c r="AD763">
        <v>0</v>
      </c>
      <c r="AE763">
        <v>0</v>
      </c>
      <c r="AF763">
        <v>0</v>
      </c>
      <c r="AG763">
        <v>0</v>
      </c>
      <c r="AH763">
        <v>0</v>
      </c>
      <c r="AI763">
        <v>0</v>
      </c>
      <c r="AJ763">
        <v>0</v>
      </c>
      <c r="AK763">
        <v>0</v>
      </c>
      <c r="AL763">
        <v>0</v>
      </c>
      <c r="AM763">
        <v>0</v>
      </c>
      <c r="AN763">
        <v>0</v>
      </c>
      <c r="AO763">
        <v>0</v>
      </c>
      <c r="AP763">
        <v>0</v>
      </c>
      <c r="AQ763">
        <v>0</v>
      </c>
      <c r="AR763">
        <v>0</v>
      </c>
      <c r="AS763">
        <v>0</v>
      </c>
      <c r="AT763">
        <v>0</v>
      </c>
      <c r="AU763">
        <f t="shared" si="22"/>
        <v>0</v>
      </c>
      <c r="AV763">
        <f t="shared" si="23"/>
        <v>0</v>
      </c>
    </row>
    <row r="764" spans="1:48" x14ac:dyDescent="0.25">
      <c r="A764" t="s">
        <v>4280</v>
      </c>
      <c r="C764" t="s">
        <v>4281</v>
      </c>
      <c r="D764" t="s">
        <v>4282</v>
      </c>
      <c r="E764" t="s">
        <v>2310</v>
      </c>
      <c r="F764">
        <v>10</v>
      </c>
      <c r="G764">
        <v>10.1</v>
      </c>
      <c r="H764" t="s">
        <v>2323</v>
      </c>
      <c r="I764" s="21">
        <v>37869</v>
      </c>
      <c r="J764">
        <v>2003</v>
      </c>
      <c r="K764" s="21">
        <v>37904</v>
      </c>
      <c r="L764">
        <v>2003</v>
      </c>
      <c r="M764" s="21">
        <v>38798</v>
      </c>
      <c r="N764">
        <v>2006</v>
      </c>
      <c r="R764" s="262">
        <v>50000</v>
      </c>
      <c r="S764" t="s">
        <v>114</v>
      </c>
      <c r="T764" t="s">
        <v>114</v>
      </c>
      <c r="U764">
        <v>5</v>
      </c>
      <c r="W764">
        <v>1568</v>
      </c>
      <c r="X764">
        <v>0</v>
      </c>
      <c r="Y764">
        <v>0</v>
      </c>
      <c r="Z764">
        <v>0</v>
      </c>
      <c r="AA764">
        <v>0</v>
      </c>
      <c r="AB764">
        <v>0</v>
      </c>
      <c r="AC764">
        <v>1568</v>
      </c>
      <c r="AD764">
        <v>0</v>
      </c>
      <c r="AE764">
        <v>0</v>
      </c>
      <c r="AF764">
        <v>0</v>
      </c>
      <c r="AG764">
        <v>0</v>
      </c>
      <c r="AH764">
        <v>0</v>
      </c>
      <c r="AI764">
        <v>0</v>
      </c>
      <c r="AJ764">
        <v>0</v>
      </c>
      <c r="AK764">
        <v>0</v>
      </c>
      <c r="AL764">
        <v>0</v>
      </c>
      <c r="AM764">
        <v>0</v>
      </c>
      <c r="AN764">
        <v>0</v>
      </c>
      <c r="AO764">
        <v>0</v>
      </c>
      <c r="AP764">
        <v>0</v>
      </c>
      <c r="AQ764">
        <v>0</v>
      </c>
      <c r="AR764">
        <v>0</v>
      </c>
      <c r="AS764">
        <v>0</v>
      </c>
      <c r="AT764">
        <v>0</v>
      </c>
      <c r="AU764">
        <f t="shared" si="22"/>
        <v>0</v>
      </c>
      <c r="AV764">
        <f t="shared" si="23"/>
        <v>0</v>
      </c>
    </row>
    <row r="765" spans="1:48" x14ac:dyDescent="0.25">
      <c r="A765" t="s">
        <v>4283</v>
      </c>
      <c r="C765" t="s">
        <v>4284</v>
      </c>
      <c r="D765" t="s">
        <v>4285</v>
      </c>
      <c r="E765" t="s">
        <v>2310</v>
      </c>
      <c r="F765">
        <v>12</v>
      </c>
      <c r="G765">
        <v>12.3</v>
      </c>
      <c r="H765" t="s">
        <v>2017</v>
      </c>
      <c r="I765" s="21">
        <v>37871</v>
      </c>
      <c r="J765">
        <v>2003</v>
      </c>
      <c r="K765" s="21">
        <v>37901</v>
      </c>
      <c r="L765">
        <v>2003</v>
      </c>
      <c r="M765" s="21">
        <v>38587</v>
      </c>
      <c r="N765">
        <v>2005</v>
      </c>
      <c r="R765" s="262">
        <v>803000</v>
      </c>
      <c r="S765" t="s">
        <v>114</v>
      </c>
      <c r="T765" t="s">
        <v>114</v>
      </c>
      <c r="U765">
        <v>5</v>
      </c>
      <c r="W765">
        <v>4338</v>
      </c>
      <c r="X765">
        <v>1</v>
      </c>
      <c r="Y765">
        <v>0</v>
      </c>
      <c r="Z765">
        <v>0</v>
      </c>
      <c r="AA765">
        <v>0</v>
      </c>
      <c r="AB765">
        <v>0</v>
      </c>
      <c r="AC765">
        <v>4338</v>
      </c>
      <c r="AD765">
        <v>0</v>
      </c>
      <c r="AE765">
        <v>0</v>
      </c>
      <c r="AF765">
        <v>0</v>
      </c>
      <c r="AG765">
        <v>0</v>
      </c>
      <c r="AH765">
        <v>0</v>
      </c>
      <c r="AI765">
        <v>0</v>
      </c>
      <c r="AJ765">
        <v>0</v>
      </c>
      <c r="AK765">
        <v>0</v>
      </c>
      <c r="AL765">
        <v>0</v>
      </c>
      <c r="AM765">
        <v>0</v>
      </c>
      <c r="AN765">
        <v>0</v>
      </c>
      <c r="AO765">
        <v>1</v>
      </c>
      <c r="AP765">
        <v>0</v>
      </c>
      <c r="AQ765">
        <v>0</v>
      </c>
      <c r="AR765">
        <v>0</v>
      </c>
      <c r="AS765">
        <v>0</v>
      </c>
      <c r="AT765">
        <v>0</v>
      </c>
      <c r="AU765">
        <f t="shared" si="22"/>
        <v>1</v>
      </c>
      <c r="AV765">
        <f t="shared" si="23"/>
        <v>0</v>
      </c>
    </row>
    <row r="766" spans="1:48" x14ac:dyDescent="0.25">
      <c r="A766" t="s">
        <v>4286</v>
      </c>
      <c r="C766" t="s">
        <v>4287</v>
      </c>
      <c r="D766" t="s">
        <v>4288</v>
      </c>
      <c r="E766" t="s">
        <v>1663</v>
      </c>
      <c r="F766">
        <v>5</v>
      </c>
      <c r="G766">
        <v>5.0999999999999996</v>
      </c>
      <c r="H766" t="s">
        <v>2327</v>
      </c>
      <c r="I766" s="21">
        <v>37872</v>
      </c>
      <c r="J766">
        <v>2003</v>
      </c>
      <c r="K766" s="21">
        <v>37902</v>
      </c>
      <c r="L766">
        <v>2003</v>
      </c>
      <c r="M766" s="21">
        <v>38054</v>
      </c>
      <c r="N766">
        <v>2004</v>
      </c>
      <c r="Q766" s="262">
        <v>200000</v>
      </c>
      <c r="S766" t="s">
        <v>114</v>
      </c>
      <c r="T766" t="s">
        <v>114</v>
      </c>
      <c r="W766">
        <v>1500</v>
      </c>
      <c r="X766">
        <v>0</v>
      </c>
      <c r="Y766">
        <v>0</v>
      </c>
      <c r="Z766">
        <v>0</v>
      </c>
      <c r="AA766">
        <v>0</v>
      </c>
      <c r="AB766">
        <v>0</v>
      </c>
      <c r="AC766">
        <v>0</v>
      </c>
      <c r="AD766">
        <v>0</v>
      </c>
      <c r="AE766">
        <v>0</v>
      </c>
      <c r="AF766">
        <v>0</v>
      </c>
      <c r="AG766">
        <v>0</v>
      </c>
      <c r="AH766">
        <v>0</v>
      </c>
      <c r="AI766">
        <v>0</v>
      </c>
      <c r="AJ766">
        <v>0</v>
      </c>
      <c r="AK766">
        <v>0</v>
      </c>
      <c r="AL766">
        <v>1500</v>
      </c>
      <c r="AM766">
        <v>0</v>
      </c>
      <c r="AN766">
        <v>0</v>
      </c>
      <c r="AO766">
        <v>0</v>
      </c>
      <c r="AP766">
        <v>0</v>
      </c>
      <c r="AQ766">
        <v>0</v>
      </c>
      <c r="AR766">
        <v>0</v>
      </c>
      <c r="AS766">
        <v>0</v>
      </c>
      <c r="AT766">
        <v>0</v>
      </c>
      <c r="AU766">
        <f t="shared" si="22"/>
        <v>0</v>
      </c>
      <c r="AV766">
        <f t="shared" si="23"/>
        <v>1500</v>
      </c>
    </row>
    <row r="767" spans="1:48" x14ac:dyDescent="0.25">
      <c r="A767" t="s">
        <v>4289</v>
      </c>
      <c r="C767" t="s">
        <v>4290</v>
      </c>
      <c r="D767" t="s">
        <v>4291</v>
      </c>
      <c r="E767" t="s">
        <v>2310</v>
      </c>
      <c r="F767">
        <v>15</v>
      </c>
      <c r="G767">
        <v>15.3</v>
      </c>
      <c r="H767" t="s">
        <v>2022</v>
      </c>
      <c r="I767" s="21">
        <v>37874</v>
      </c>
      <c r="J767">
        <v>2003</v>
      </c>
      <c r="K767" s="21">
        <v>37903</v>
      </c>
      <c r="L767">
        <v>2003</v>
      </c>
      <c r="M767" s="21">
        <v>38436</v>
      </c>
      <c r="N767">
        <v>2005</v>
      </c>
      <c r="R767" s="262">
        <v>275000</v>
      </c>
      <c r="S767" t="s">
        <v>114</v>
      </c>
      <c r="T767" t="s">
        <v>114</v>
      </c>
      <c r="U767">
        <v>5</v>
      </c>
      <c r="W767">
        <v>1662</v>
      </c>
      <c r="X767">
        <v>1</v>
      </c>
      <c r="Y767">
        <v>0</v>
      </c>
      <c r="Z767">
        <v>0</v>
      </c>
      <c r="AA767">
        <v>0</v>
      </c>
      <c r="AB767">
        <v>0</v>
      </c>
      <c r="AC767">
        <v>1662</v>
      </c>
      <c r="AD767">
        <v>0</v>
      </c>
      <c r="AE767">
        <v>0</v>
      </c>
      <c r="AF767">
        <v>0</v>
      </c>
      <c r="AG767">
        <v>0</v>
      </c>
      <c r="AH767">
        <v>0</v>
      </c>
      <c r="AI767">
        <v>0</v>
      </c>
      <c r="AJ767">
        <v>0</v>
      </c>
      <c r="AK767">
        <v>0</v>
      </c>
      <c r="AL767">
        <v>0</v>
      </c>
      <c r="AM767">
        <v>0</v>
      </c>
      <c r="AN767">
        <v>0</v>
      </c>
      <c r="AO767">
        <v>1</v>
      </c>
      <c r="AP767">
        <v>0</v>
      </c>
      <c r="AQ767">
        <v>0</v>
      </c>
      <c r="AR767">
        <v>0</v>
      </c>
      <c r="AS767">
        <v>0</v>
      </c>
      <c r="AT767">
        <v>0</v>
      </c>
      <c r="AU767">
        <f t="shared" si="22"/>
        <v>1</v>
      </c>
      <c r="AV767">
        <f t="shared" si="23"/>
        <v>0</v>
      </c>
    </row>
    <row r="768" spans="1:48" x14ac:dyDescent="0.25">
      <c r="A768" t="s">
        <v>4292</v>
      </c>
      <c r="C768" t="s">
        <v>4293</v>
      </c>
      <c r="D768" t="s">
        <v>4294</v>
      </c>
      <c r="E768" t="s">
        <v>2310</v>
      </c>
      <c r="F768">
        <v>8</v>
      </c>
      <c r="G768">
        <v>8.1</v>
      </c>
      <c r="H768" t="s">
        <v>2323</v>
      </c>
      <c r="I768" s="21">
        <v>37874</v>
      </c>
      <c r="J768">
        <v>2003</v>
      </c>
      <c r="K768" s="21">
        <v>37909</v>
      </c>
      <c r="L768">
        <v>2003</v>
      </c>
      <c r="M768" s="21">
        <v>39101</v>
      </c>
      <c r="N768">
        <v>2007</v>
      </c>
      <c r="R768" s="262">
        <v>25000</v>
      </c>
      <c r="S768" t="s">
        <v>114</v>
      </c>
      <c r="T768" t="s">
        <v>114</v>
      </c>
      <c r="U768">
        <v>5</v>
      </c>
      <c r="W768">
        <v>720</v>
      </c>
      <c r="X768">
        <v>0</v>
      </c>
      <c r="Y768">
        <v>0</v>
      </c>
      <c r="Z768">
        <v>0</v>
      </c>
      <c r="AA768">
        <v>0</v>
      </c>
      <c r="AB768">
        <v>0</v>
      </c>
      <c r="AC768">
        <v>720</v>
      </c>
      <c r="AD768">
        <v>0</v>
      </c>
      <c r="AE768">
        <v>0</v>
      </c>
      <c r="AF768">
        <v>0</v>
      </c>
      <c r="AG768">
        <v>0</v>
      </c>
      <c r="AH768">
        <v>0</v>
      </c>
      <c r="AI768">
        <v>0</v>
      </c>
      <c r="AJ768">
        <v>0</v>
      </c>
      <c r="AK768">
        <v>0</v>
      </c>
      <c r="AL768">
        <v>0</v>
      </c>
      <c r="AM768">
        <v>0</v>
      </c>
      <c r="AN768">
        <v>0</v>
      </c>
      <c r="AO768">
        <v>0</v>
      </c>
      <c r="AP768">
        <v>0</v>
      </c>
      <c r="AQ768">
        <v>0</v>
      </c>
      <c r="AR768">
        <v>0</v>
      </c>
      <c r="AS768">
        <v>0</v>
      </c>
      <c r="AT768">
        <v>0</v>
      </c>
      <c r="AU768">
        <f t="shared" si="22"/>
        <v>0</v>
      </c>
      <c r="AV768">
        <f t="shared" si="23"/>
        <v>0</v>
      </c>
    </row>
    <row r="769" spans="1:48" x14ac:dyDescent="0.25">
      <c r="A769" t="s">
        <v>4295</v>
      </c>
      <c r="C769" t="s">
        <v>4296</v>
      </c>
      <c r="D769" t="s">
        <v>4297</v>
      </c>
      <c r="E769" t="s">
        <v>2310</v>
      </c>
      <c r="F769">
        <v>13</v>
      </c>
      <c r="G769">
        <v>13.3</v>
      </c>
      <c r="H769" t="s">
        <v>2017</v>
      </c>
      <c r="I769" s="21">
        <v>37874</v>
      </c>
      <c r="J769">
        <v>2003</v>
      </c>
      <c r="K769" s="21">
        <v>37909</v>
      </c>
      <c r="L769">
        <v>2003</v>
      </c>
      <c r="M769" s="21">
        <v>37972</v>
      </c>
      <c r="N769">
        <v>2003</v>
      </c>
      <c r="R769" s="262">
        <v>40000</v>
      </c>
      <c r="S769" t="s">
        <v>114</v>
      </c>
      <c r="T769" t="s">
        <v>114</v>
      </c>
      <c r="U769">
        <v>5</v>
      </c>
      <c r="W769">
        <v>265</v>
      </c>
      <c r="X769">
        <v>0</v>
      </c>
      <c r="Y769">
        <v>0</v>
      </c>
      <c r="Z769">
        <v>0</v>
      </c>
      <c r="AA769">
        <v>0</v>
      </c>
      <c r="AB769">
        <v>0</v>
      </c>
      <c r="AC769">
        <v>265</v>
      </c>
      <c r="AD769">
        <v>0</v>
      </c>
      <c r="AE769">
        <v>0</v>
      </c>
      <c r="AF769">
        <v>0</v>
      </c>
      <c r="AG769">
        <v>0</v>
      </c>
      <c r="AH769">
        <v>0</v>
      </c>
      <c r="AI769">
        <v>0</v>
      </c>
      <c r="AJ769">
        <v>0</v>
      </c>
      <c r="AK769">
        <v>0</v>
      </c>
      <c r="AL769">
        <v>0</v>
      </c>
      <c r="AM769">
        <v>0</v>
      </c>
      <c r="AN769">
        <v>0</v>
      </c>
      <c r="AO769">
        <v>0</v>
      </c>
      <c r="AP769">
        <v>0</v>
      </c>
      <c r="AQ769">
        <v>0</v>
      </c>
      <c r="AR769">
        <v>0</v>
      </c>
      <c r="AS769">
        <v>0</v>
      </c>
      <c r="AT769">
        <v>0</v>
      </c>
      <c r="AU769">
        <f t="shared" si="22"/>
        <v>0</v>
      </c>
      <c r="AV769">
        <f t="shared" si="23"/>
        <v>0</v>
      </c>
    </row>
    <row r="770" spans="1:48" x14ac:dyDescent="0.25">
      <c r="A770" t="s">
        <v>4298</v>
      </c>
      <c r="C770" t="s">
        <v>4299</v>
      </c>
      <c r="D770" t="s">
        <v>4300</v>
      </c>
      <c r="E770" t="s">
        <v>2310</v>
      </c>
      <c r="F770">
        <v>10</v>
      </c>
      <c r="G770">
        <v>10.1</v>
      </c>
      <c r="H770" t="s">
        <v>2323</v>
      </c>
      <c r="I770" s="21">
        <v>37874</v>
      </c>
      <c r="J770">
        <v>2003</v>
      </c>
      <c r="K770" s="21">
        <v>37911</v>
      </c>
      <c r="L770">
        <v>2003</v>
      </c>
      <c r="M770" s="21">
        <v>37911</v>
      </c>
      <c r="N770">
        <v>2003</v>
      </c>
      <c r="R770" s="262">
        <v>25000</v>
      </c>
      <c r="S770" t="s">
        <v>114</v>
      </c>
      <c r="T770" t="s">
        <v>114</v>
      </c>
      <c r="U770">
        <v>5</v>
      </c>
      <c r="W770">
        <v>665</v>
      </c>
      <c r="X770">
        <v>0</v>
      </c>
      <c r="Y770">
        <v>0</v>
      </c>
      <c r="Z770">
        <v>0</v>
      </c>
      <c r="AA770">
        <v>0</v>
      </c>
      <c r="AB770">
        <v>0</v>
      </c>
      <c r="AC770">
        <v>665</v>
      </c>
      <c r="AD770">
        <v>0</v>
      </c>
      <c r="AE770">
        <v>0</v>
      </c>
      <c r="AF770">
        <v>0</v>
      </c>
      <c r="AG770">
        <v>0</v>
      </c>
      <c r="AH770">
        <v>0</v>
      </c>
      <c r="AI770">
        <v>0</v>
      </c>
      <c r="AJ770">
        <v>0</v>
      </c>
      <c r="AK770">
        <v>0</v>
      </c>
      <c r="AL770">
        <v>0</v>
      </c>
      <c r="AM770">
        <v>0</v>
      </c>
      <c r="AN770">
        <v>0</v>
      </c>
      <c r="AO770">
        <v>0</v>
      </c>
      <c r="AP770">
        <v>0</v>
      </c>
      <c r="AQ770">
        <v>0</v>
      </c>
      <c r="AR770">
        <v>0</v>
      </c>
      <c r="AS770">
        <v>0</v>
      </c>
      <c r="AT770">
        <v>0</v>
      </c>
      <c r="AU770">
        <f t="shared" si="22"/>
        <v>0</v>
      </c>
      <c r="AV770">
        <f t="shared" si="23"/>
        <v>0</v>
      </c>
    </row>
    <row r="771" spans="1:48" x14ac:dyDescent="0.25">
      <c r="A771" t="s">
        <v>4304</v>
      </c>
      <c r="C771" t="s">
        <v>2437</v>
      </c>
      <c r="D771" t="s">
        <v>4305</v>
      </c>
      <c r="E771" t="s">
        <v>2310</v>
      </c>
      <c r="F771">
        <v>10</v>
      </c>
      <c r="G771">
        <v>10.1</v>
      </c>
      <c r="H771" t="s">
        <v>2323</v>
      </c>
      <c r="I771" s="21">
        <v>37875</v>
      </c>
      <c r="J771">
        <v>2003</v>
      </c>
      <c r="K771" s="21">
        <v>37890</v>
      </c>
      <c r="L771">
        <v>2003</v>
      </c>
      <c r="M771" s="21">
        <v>37932</v>
      </c>
      <c r="N771">
        <v>2003</v>
      </c>
      <c r="R771" s="262">
        <v>45000</v>
      </c>
      <c r="S771" t="s">
        <v>114</v>
      </c>
      <c r="T771" t="s">
        <v>114</v>
      </c>
      <c r="U771">
        <v>5</v>
      </c>
      <c r="W771">
        <v>1404</v>
      </c>
      <c r="X771">
        <v>0</v>
      </c>
      <c r="Y771">
        <v>0</v>
      </c>
      <c r="Z771">
        <v>0</v>
      </c>
      <c r="AA771">
        <v>0</v>
      </c>
      <c r="AB771">
        <v>0</v>
      </c>
      <c r="AC771">
        <v>1404</v>
      </c>
      <c r="AD771">
        <v>0</v>
      </c>
      <c r="AE771">
        <v>0</v>
      </c>
      <c r="AF771">
        <v>0</v>
      </c>
      <c r="AG771">
        <v>0</v>
      </c>
      <c r="AH771">
        <v>0</v>
      </c>
      <c r="AI771">
        <v>0</v>
      </c>
      <c r="AJ771">
        <v>0</v>
      </c>
      <c r="AK771">
        <v>0</v>
      </c>
      <c r="AL771">
        <v>0</v>
      </c>
      <c r="AM771">
        <v>0</v>
      </c>
      <c r="AN771">
        <v>0</v>
      </c>
      <c r="AO771">
        <v>0</v>
      </c>
      <c r="AP771">
        <v>0</v>
      </c>
      <c r="AQ771">
        <v>0</v>
      </c>
      <c r="AR771">
        <v>0</v>
      </c>
      <c r="AS771">
        <v>0</v>
      </c>
      <c r="AT771">
        <v>0</v>
      </c>
      <c r="AU771">
        <f t="shared" si="22"/>
        <v>0</v>
      </c>
      <c r="AV771">
        <f t="shared" si="23"/>
        <v>0</v>
      </c>
    </row>
    <row r="772" spans="1:48" x14ac:dyDescent="0.25">
      <c r="A772" t="s">
        <v>4306</v>
      </c>
      <c r="C772" t="s">
        <v>3284</v>
      </c>
      <c r="D772" t="s">
        <v>4307</v>
      </c>
      <c r="E772" t="s">
        <v>2310</v>
      </c>
      <c r="F772">
        <v>9</v>
      </c>
      <c r="G772">
        <v>9.1999999999999993</v>
      </c>
      <c r="H772" t="s">
        <v>2022</v>
      </c>
      <c r="I772" s="21">
        <v>37875</v>
      </c>
      <c r="J772">
        <v>2003</v>
      </c>
      <c r="K772" s="21">
        <v>37904</v>
      </c>
      <c r="L772">
        <v>2003</v>
      </c>
      <c r="M772" s="21">
        <v>40225.548715277801</v>
      </c>
      <c r="N772">
        <v>2010</v>
      </c>
      <c r="R772" s="262">
        <v>6000</v>
      </c>
      <c r="S772" t="s">
        <v>114</v>
      </c>
      <c r="T772" t="s">
        <v>114</v>
      </c>
      <c r="U772">
        <v>5</v>
      </c>
      <c r="W772">
        <v>2100</v>
      </c>
      <c r="X772">
        <v>0</v>
      </c>
      <c r="Y772">
        <v>0</v>
      </c>
      <c r="Z772">
        <v>0</v>
      </c>
      <c r="AA772">
        <v>0</v>
      </c>
      <c r="AB772">
        <v>0</v>
      </c>
      <c r="AC772">
        <v>2100</v>
      </c>
      <c r="AD772">
        <v>0</v>
      </c>
      <c r="AE772">
        <v>0</v>
      </c>
      <c r="AF772">
        <v>0</v>
      </c>
      <c r="AG772">
        <v>0</v>
      </c>
      <c r="AH772">
        <v>0</v>
      </c>
      <c r="AI772">
        <v>0</v>
      </c>
      <c r="AJ772">
        <v>0</v>
      </c>
      <c r="AK772">
        <v>0</v>
      </c>
      <c r="AL772">
        <v>0</v>
      </c>
      <c r="AM772">
        <v>0</v>
      </c>
      <c r="AN772">
        <v>0</v>
      </c>
      <c r="AO772">
        <v>0</v>
      </c>
      <c r="AP772">
        <v>0</v>
      </c>
      <c r="AQ772">
        <v>0</v>
      </c>
      <c r="AR772">
        <v>0</v>
      </c>
      <c r="AS772">
        <v>0</v>
      </c>
      <c r="AT772">
        <v>0</v>
      </c>
      <c r="AU772">
        <f t="shared" si="22"/>
        <v>0</v>
      </c>
      <c r="AV772">
        <f t="shared" si="23"/>
        <v>0</v>
      </c>
    </row>
    <row r="773" spans="1:48" x14ac:dyDescent="0.25">
      <c r="A773" t="s">
        <v>4308</v>
      </c>
      <c r="C773" t="s">
        <v>4309</v>
      </c>
      <c r="D773" t="s">
        <v>4310</v>
      </c>
      <c r="E773" t="s">
        <v>2310</v>
      </c>
      <c r="F773">
        <v>14</v>
      </c>
      <c r="G773">
        <v>14.1</v>
      </c>
      <c r="H773" t="s">
        <v>2022</v>
      </c>
      <c r="I773" s="21">
        <v>37875</v>
      </c>
      <c r="J773">
        <v>2003</v>
      </c>
      <c r="K773" s="21">
        <v>38169</v>
      </c>
      <c r="L773">
        <v>2004</v>
      </c>
      <c r="M773" s="21">
        <v>39639</v>
      </c>
      <c r="N773">
        <v>2008</v>
      </c>
      <c r="R773" s="262">
        <v>5000</v>
      </c>
      <c r="S773" t="s">
        <v>114</v>
      </c>
      <c r="T773" t="s">
        <v>114</v>
      </c>
      <c r="U773">
        <v>1</v>
      </c>
      <c r="W773">
        <v>2100</v>
      </c>
      <c r="X773">
        <v>0</v>
      </c>
      <c r="Y773">
        <v>2100</v>
      </c>
      <c r="Z773">
        <v>0</v>
      </c>
      <c r="AA773">
        <v>0</v>
      </c>
      <c r="AB773">
        <v>0</v>
      </c>
      <c r="AC773">
        <v>0</v>
      </c>
      <c r="AD773">
        <v>0</v>
      </c>
      <c r="AE773">
        <v>0</v>
      </c>
      <c r="AF773">
        <v>0</v>
      </c>
      <c r="AG773">
        <v>0</v>
      </c>
      <c r="AH773">
        <v>0</v>
      </c>
      <c r="AI773">
        <v>0</v>
      </c>
      <c r="AJ773">
        <v>0</v>
      </c>
      <c r="AK773">
        <v>0</v>
      </c>
      <c r="AL773">
        <v>0</v>
      </c>
      <c r="AM773">
        <v>0</v>
      </c>
      <c r="AN773">
        <v>0</v>
      </c>
      <c r="AO773">
        <v>0</v>
      </c>
      <c r="AP773">
        <v>0</v>
      </c>
      <c r="AQ773">
        <v>0</v>
      </c>
      <c r="AR773">
        <v>0</v>
      </c>
      <c r="AS773">
        <v>0</v>
      </c>
      <c r="AT773">
        <v>0</v>
      </c>
      <c r="AU773">
        <f t="shared" si="22"/>
        <v>0</v>
      </c>
      <c r="AV773">
        <f t="shared" si="23"/>
        <v>2100</v>
      </c>
    </row>
    <row r="774" spans="1:48" x14ac:dyDescent="0.25">
      <c r="A774" t="s">
        <v>4301</v>
      </c>
      <c r="C774" t="s">
        <v>4302</v>
      </c>
      <c r="D774" t="s">
        <v>4303</v>
      </c>
      <c r="E774" t="s">
        <v>1663</v>
      </c>
      <c r="F774">
        <v>2</v>
      </c>
      <c r="G774">
        <v>2.6</v>
      </c>
      <c r="H774" t="s">
        <v>2327</v>
      </c>
      <c r="I774" s="21">
        <v>37875</v>
      </c>
      <c r="J774">
        <v>2003</v>
      </c>
      <c r="K774" s="21">
        <v>37905</v>
      </c>
      <c r="L774">
        <v>2003</v>
      </c>
      <c r="M774" s="21">
        <v>38057</v>
      </c>
      <c r="N774">
        <v>2004</v>
      </c>
      <c r="Q774" s="262">
        <v>0</v>
      </c>
      <c r="S774" t="s">
        <v>114</v>
      </c>
      <c r="T774" t="s">
        <v>114</v>
      </c>
      <c r="W774">
        <v>4513</v>
      </c>
      <c r="X774">
        <v>0</v>
      </c>
      <c r="Y774">
        <v>0</v>
      </c>
      <c r="Z774">
        <v>0</v>
      </c>
      <c r="AA774">
        <v>0</v>
      </c>
      <c r="AB774">
        <v>0</v>
      </c>
      <c r="AC774">
        <v>0</v>
      </c>
      <c r="AD774">
        <v>0</v>
      </c>
      <c r="AE774">
        <v>0</v>
      </c>
      <c r="AF774">
        <v>0</v>
      </c>
      <c r="AG774">
        <v>0</v>
      </c>
      <c r="AH774">
        <v>0</v>
      </c>
      <c r="AI774">
        <v>0</v>
      </c>
      <c r="AJ774">
        <v>4513</v>
      </c>
      <c r="AK774">
        <v>0</v>
      </c>
      <c r="AL774">
        <v>0</v>
      </c>
      <c r="AM774">
        <v>0</v>
      </c>
      <c r="AN774">
        <v>0</v>
      </c>
      <c r="AO774">
        <v>0</v>
      </c>
      <c r="AP774">
        <v>0</v>
      </c>
      <c r="AQ774">
        <v>0</v>
      </c>
      <c r="AR774">
        <v>0</v>
      </c>
      <c r="AS774">
        <v>0</v>
      </c>
      <c r="AT774">
        <v>0</v>
      </c>
      <c r="AU774">
        <f t="shared" si="22"/>
        <v>0</v>
      </c>
      <c r="AV774">
        <f t="shared" si="23"/>
        <v>4513</v>
      </c>
    </row>
    <row r="775" spans="1:48" x14ac:dyDescent="0.25">
      <c r="A775" t="s">
        <v>4311</v>
      </c>
      <c r="C775" t="s">
        <v>2358</v>
      </c>
      <c r="D775" t="s">
        <v>4312</v>
      </c>
      <c r="E775" t="s">
        <v>2310</v>
      </c>
      <c r="F775">
        <v>10</v>
      </c>
      <c r="G775">
        <v>10.1</v>
      </c>
      <c r="H775" t="s">
        <v>2323</v>
      </c>
      <c r="I775" s="21">
        <v>37876</v>
      </c>
      <c r="J775">
        <v>2003</v>
      </c>
      <c r="K775" s="21">
        <v>37924</v>
      </c>
      <c r="L775">
        <v>2003</v>
      </c>
      <c r="M775" s="21">
        <v>38222</v>
      </c>
      <c r="N775">
        <v>2004</v>
      </c>
      <c r="R775" s="262">
        <v>155000</v>
      </c>
      <c r="S775" t="s">
        <v>114</v>
      </c>
      <c r="T775" t="s">
        <v>114</v>
      </c>
      <c r="U775">
        <v>5</v>
      </c>
      <c r="W775">
        <v>2062</v>
      </c>
      <c r="X775">
        <v>1</v>
      </c>
      <c r="Y775">
        <v>0</v>
      </c>
      <c r="Z775">
        <v>0</v>
      </c>
      <c r="AA775">
        <v>0</v>
      </c>
      <c r="AB775">
        <v>0</v>
      </c>
      <c r="AC775">
        <v>2062</v>
      </c>
      <c r="AD775">
        <v>0</v>
      </c>
      <c r="AE775">
        <v>0</v>
      </c>
      <c r="AF775">
        <v>0</v>
      </c>
      <c r="AG775">
        <v>0</v>
      </c>
      <c r="AH775">
        <v>0</v>
      </c>
      <c r="AI775">
        <v>0</v>
      </c>
      <c r="AJ775">
        <v>0</v>
      </c>
      <c r="AK775">
        <v>0</v>
      </c>
      <c r="AL775">
        <v>0</v>
      </c>
      <c r="AM775">
        <v>0</v>
      </c>
      <c r="AN775">
        <v>0</v>
      </c>
      <c r="AO775">
        <v>1</v>
      </c>
      <c r="AP775">
        <v>0</v>
      </c>
      <c r="AQ775">
        <v>0</v>
      </c>
      <c r="AR775">
        <v>0</v>
      </c>
      <c r="AS775">
        <v>0</v>
      </c>
      <c r="AT775">
        <v>0</v>
      </c>
      <c r="AU775">
        <f t="shared" si="22"/>
        <v>1</v>
      </c>
      <c r="AV775">
        <f t="shared" si="23"/>
        <v>0</v>
      </c>
    </row>
    <row r="776" spans="1:48" x14ac:dyDescent="0.25">
      <c r="A776" t="s">
        <v>4313</v>
      </c>
      <c r="C776" t="s">
        <v>4314</v>
      </c>
      <c r="D776" t="s">
        <v>4315</v>
      </c>
      <c r="E776" t="s">
        <v>2310</v>
      </c>
      <c r="F776">
        <v>15</v>
      </c>
      <c r="G776">
        <v>15.1</v>
      </c>
      <c r="H776" t="s">
        <v>2022</v>
      </c>
      <c r="I776" s="21">
        <v>37876</v>
      </c>
      <c r="J776">
        <v>2003</v>
      </c>
      <c r="K776" s="21">
        <v>37903</v>
      </c>
      <c r="L776">
        <v>2003</v>
      </c>
      <c r="M776" s="21">
        <v>37903</v>
      </c>
      <c r="N776">
        <v>2003</v>
      </c>
      <c r="R776" s="262">
        <v>10000</v>
      </c>
      <c r="S776" t="s">
        <v>114</v>
      </c>
      <c r="T776" t="s">
        <v>114</v>
      </c>
      <c r="U776">
        <v>10</v>
      </c>
      <c r="W776">
        <v>160</v>
      </c>
      <c r="X776">
        <v>0</v>
      </c>
      <c r="Y776">
        <v>0</v>
      </c>
      <c r="Z776">
        <v>0</v>
      </c>
      <c r="AA776">
        <v>0</v>
      </c>
      <c r="AB776">
        <v>0</v>
      </c>
      <c r="AC776">
        <v>0</v>
      </c>
      <c r="AD776">
        <v>0</v>
      </c>
      <c r="AE776">
        <v>0</v>
      </c>
      <c r="AF776">
        <v>0</v>
      </c>
      <c r="AG776">
        <v>0</v>
      </c>
      <c r="AH776">
        <v>160</v>
      </c>
      <c r="AI776">
        <v>0</v>
      </c>
      <c r="AJ776">
        <v>0</v>
      </c>
      <c r="AK776">
        <v>0</v>
      </c>
      <c r="AL776">
        <v>0</v>
      </c>
      <c r="AM776">
        <v>0</v>
      </c>
      <c r="AN776">
        <v>0</v>
      </c>
      <c r="AO776">
        <v>0</v>
      </c>
      <c r="AP776">
        <v>0</v>
      </c>
      <c r="AQ776">
        <v>0</v>
      </c>
      <c r="AR776">
        <v>0</v>
      </c>
      <c r="AS776">
        <v>0</v>
      </c>
      <c r="AT776">
        <v>0</v>
      </c>
      <c r="AU776">
        <f t="shared" si="22"/>
        <v>0</v>
      </c>
      <c r="AV776">
        <f t="shared" si="23"/>
        <v>160</v>
      </c>
    </row>
    <row r="777" spans="1:48" x14ac:dyDescent="0.25">
      <c r="A777" t="s">
        <v>4316</v>
      </c>
      <c r="C777" t="s">
        <v>4317</v>
      </c>
      <c r="D777" t="s">
        <v>3948</v>
      </c>
      <c r="E777" t="s">
        <v>2310</v>
      </c>
      <c r="F777">
        <v>9</v>
      </c>
      <c r="G777">
        <v>9.3000000000000007</v>
      </c>
      <c r="H777" t="s">
        <v>2323</v>
      </c>
      <c r="I777" s="21">
        <v>37876</v>
      </c>
      <c r="J777">
        <v>2003</v>
      </c>
      <c r="K777" s="21">
        <v>37901</v>
      </c>
      <c r="L777">
        <v>2003</v>
      </c>
      <c r="M777" s="21">
        <v>37901</v>
      </c>
      <c r="N777">
        <v>2003</v>
      </c>
      <c r="R777" s="262">
        <v>8000</v>
      </c>
      <c r="S777" t="s">
        <v>114</v>
      </c>
      <c r="T777" t="s">
        <v>114</v>
      </c>
      <c r="U777">
        <v>5</v>
      </c>
      <c r="W777">
        <v>0</v>
      </c>
      <c r="X777">
        <v>0</v>
      </c>
      <c r="Y777">
        <v>0</v>
      </c>
      <c r="Z777">
        <v>0</v>
      </c>
      <c r="AA777">
        <v>0</v>
      </c>
      <c r="AB777">
        <v>0</v>
      </c>
      <c r="AC777">
        <v>0</v>
      </c>
      <c r="AD777">
        <v>0</v>
      </c>
      <c r="AE777">
        <v>0</v>
      </c>
      <c r="AF777">
        <v>0</v>
      </c>
      <c r="AG777">
        <v>0</v>
      </c>
      <c r="AH777">
        <v>0</v>
      </c>
      <c r="AI777">
        <v>0</v>
      </c>
      <c r="AJ777">
        <v>0</v>
      </c>
      <c r="AK777">
        <v>0</v>
      </c>
      <c r="AL777">
        <v>0</v>
      </c>
      <c r="AM777">
        <v>0</v>
      </c>
      <c r="AN777">
        <v>0</v>
      </c>
      <c r="AO777">
        <v>0</v>
      </c>
      <c r="AP777">
        <v>0</v>
      </c>
      <c r="AQ777">
        <v>0</v>
      </c>
      <c r="AR777">
        <v>0</v>
      </c>
      <c r="AS777">
        <v>0</v>
      </c>
      <c r="AT777">
        <v>0</v>
      </c>
      <c r="AU777">
        <f t="shared" si="22"/>
        <v>0</v>
      </c>
      <c r="AV777">
        <f t="shared" si="23"/>
        <v>0</v>
      </c>
    </row>
    <row r="778" spans="1:48" x14ac:dyDescent="0.25">
      <c r="A778" t="s">
        <v>4318</v>
      </c>
      <c r="C778" t="s">
        <v>4319</v>
      </c>
      <c r="D778" t="s">
        <v>4320</v>
      </c>
      <c r="E778" t="s">
        <v>1663</v>
      </c>
      <c r="F778">
        <v>6</v>
      </c>
      <c r="G778">
        <v>6.1</v>
      </c>
      <c r="H778" t="s">
        <v>2017</v>
      </c>
      <c r="I778" s="21">
        <v>37879</v>
      </c>
      <c r="J778">
        <v>2003</v>
      </c>
      <c r="K778" s="21">
        <v>37909</v>
      </c>
      <c r="L778">
        <v>2003</v>
      </c>
      <c r="M778" s="21">
        <v>38061</v>
      </c>
      <c r="N778">
        <v>2004</v>
      </c>
      <c r="Q778" s="262">
        <v>44280</v>
      </c>
      <c r="S778" t="s">
        <v>114</v>
      </c>
      <c r="T778" t="s">
        <v>114</v>
      </c>
      <c r="W778">
        <v>540</v>
      </c>
      <c r="X778">
        <v>0</v>
      </c>
      <c r="Y778">
        <v>0</v>
      </c>
      <c r="Z778">
        <v>0</v>
      </c>
      <c r="AA778">
        <v>0</v>
      </c>
      <c r="AB778">
        <v>0</v>
      </c>
      <c r="AC778">
        <v>540</v>
      </c>
      <c r="AD778">
        <v>0</v>
      </c>
      <c r="AE778">
        <v>0</v>
      </c>
      <c r="AF778">
        <v>0</v>
      </c>
      <c r="AG778">
        <v>0</v>
      </c>
      <c r="AH778">
        <v>0</v>
      </c>
      <c r="AI778">
        <v>0</v>
      </c>
      <c r="AJ778">
        <v>0</v>
      </c>
      <c r="AK778">
        <v>0</v>
      </c>
      <c r="AL778">
        <v>0</v>
      </c>
      <c r="AM778">
        <v>0</v>
      </c>
      <c r="AN778">
        <v>0</v>
      </c>
      <c r="AO778">
        <v>0</v>
      </c>
      <c r="AP778">
        <v>0</v>
      </c>
      <c r="AQ778">
        <v>0</v>
      </c>
      <c r="AR778">
        <v>0</v>
      </c>
      <c r="AS778">
        <v>0</v>
      </c>
      <c r="AT778">
        <v>0</v>
      </c>
      <c r="AU778">
        <f t="shared" si="22"/>
        <v>0</v>
      </c>
      <c r="AV778">
        <f t="shared" si="23"/>
        <v>0</v>
      </c>
    </row>
    <row r="779" spans="1:48" x14ac:dyDescent="0.25">
      <c r="A779" t="s">
        <v>4321</v>
      </c>
      <c r="C779" t="s">
        <v>4322</v>
      </c>
      <c r="D779" t="s">
        <v>4323</v>
      </c>
      <c r="E779" t="s">
        <v>2310</v>
      </c>
      <c r="F779">
        <v>9</v>
      </c>
      <c r="G779">
        <v>9.3000000000000007</v>
      </c>
      <c r="H779" t="s">
        <v>2323</v>
      </c>
      <c r="I779" s="21">
        <v>37880</v>
      </c>
      <c r="J779">
        <v>2003</v>
      </c>
      <c r="K779" s="21">
        <v>37914</v>
      </c>
      <c r="L779">
        <v>2003</v>
      </c>
      <c r="M779" s="21">
        <v>37796</v>
      </c>
      <c r="N779">
        <v>2003</v>
      </c>
      <c r="R779" s="262">
        <v>380000</v>
      </c>
      <c r="S779" t="s">
        <v>114</v>
      </c>
      <c r="T779" t="s">
        <v>114</v>
      </c>
      <c r="U779">
        <v>4</v>
      </c>
      <c r="W779">
        <v>10518</v>
      </c>
      <c r="X779">
        <v>0</v>
      </c>
      <c r="Y779">
        <v>0</v>
      </c>
      <c r="Z779">
        <v>0</v>
      </c>
      <c r="AA779">
        <v>0</v>
      </c>
      <c r="AB779">
        <v>10518</v>
      </c>
      <c r="AC779">
        <v>0</v>
      </c>
      <c r="AD779">
        <v>0</v>
      </c>
      <c r="AE779">
        <v>0</v>
      </c>
      <c r="AF779">
        <v>0</v>
      </c>
      <c r="AG779">
        <v>0</v>
      </c>
      <c r="AH779">
        <v>0</v>
      </c>
      <c r="AI779">
        <v>0</v>
      </c>
      <c r="AJ779">
        <v>0</v>
      </c>
      <c r="AK779">
        <v>0</v>
      </c>
      <c r="AL779">
        <v>0</v>
      </c>
      <c r="AM779">
        <v>0</v>
      </c>
      <c r="AN779">
        <v>0</v>
      </c>
      <c r="AO779">
        <v>0</v>
      </c>
      <c r="AP779">
        <v>0</v>
      </c>
      <c r="AQ779">
        <v>0</v>
      </c>
      <c r="AR779">
        <v>0</v>
      </c>
      <c r="AS779">
        <v>0</v>
      </c>
      <c r="AT779">
        <v>0</v>
      </c>
      <c r="AU779">
        <f t="shared" si="22"/>
        <v>0</v>
      </c>
      <c r="AV779">
        <f t="shared" si="23"/>
        <v>10518</v>
      </c>
    </row>
    <row r="780" spans="1:48" x14ac:dyDescent="0.25">
      <c r="A780" t="s">
        <v>4324</v>
      </c>
      <c r="C780" t="s">
        <v>4325</v>
      </c>
      <c r="D780" t="s">
        <v>4326</v>
      </c>
      <c r="E780" t="s">
        <v>2310</v>
      </c>
      <c r="F780">
        <v>12</v>
      </c>
      <c r="G780">
        <v>12.3</v>
      </c>
      <c r="H780" t="s">
        <v>2017</v>
      </c>
      <c r="I780" s="21">
        <v>37883</v>
      </c>
      <c r="J780">
        <v>2003</v>
      </c>
      <c r="K780" s="21">
        <v>37902</v>
      </c>
      <c r="L780">
        <v>2003</v>
      </c>
      <c r="M780" s="21">
        <v>37966</v>
      </c>
      <c r="N780">
        <v>2003</v>
      </c>
      <c r="R780" s="262">
        <v>15000</v>
      </c>
      <c r="S780" t="s">
        <v>114</v>
      </c>
      <c r="T780" t="s">
        <v>114</v>
      </c>
      <c r="U780">
        <v>5</v>
      </c>
      <c r="W780">
        <v>0</v>
      </c>
      <c r="X780">
        <v>0</v>
      </c>
      <c r="Y780">
        <v>0</v>
      </c>
      <c r="Z780">
        <v>0</v>
      </c>
      <c r="AA780">
        <v>0</v>
      </c>
      <c r="AB780">
        <v>0</v>
      </c>
      <c r="AC780">
        <v>0</v>
      </c>
      <c r="AD780">
        <v>0</v>
      </c>
      <c r="AE780">
        <v>0</v>
      </c>
      <c r="AF780">
        <v>0</v>
      </c>
      <c r="AG780">
        <v>0</v>
      </c>
      <c r="AH780">
        <v>0</v>
      </c>
      <c r="AI780">
        <v>0</v>
      </c>
      <c r="AJ780">
        <v>0</v>
      </c>
      <c r="AK780">
        <v>0</v>
      </c>
      <c r="AL780">
        <v>0</v>
      </c>
      <c r="AM780">
        <v>0</v>
      </c>
      <c r="AN780">
        <v>0</v>
      </c>
      <c r="AO780">
        <v>0</v>
      </c>
      <c r="AP780">
        <v>0</v>
      </c>
      <c r="AQ780">
        <v>0</v>
      </c>
      <c r="AR780">
        <v>0</v>
      </c>
      <c r="AS780">
        <v>0</v>
      </c>
      <c r="AT780">
        <v>0</v>
      </c>
      <c r="AU780">
        <f t="shared" si="22"/>
        <v>0</v>
      </c>
      <c r="AV780">
        <f t="shared" si="23"/>
        <v>0</v>
      </c>
    </row>
    <row r="781" spans="1:48" x14ac:dyDescent="0.25">
      <c r="A781" t="s">
        <v>4327</v>
      </c>
      <c r="C781" t="s">
        <v>3383</v>
      </c>
      <c r="D781" t="s">
        <v>4328</v>
      </c>
      <c r="E781" t="s">
        <v>2310</v>
      </c>
      <c r="F781">
        <v>9</v>
      </c>
      <c r="G781">
        <v>9.4</v>
      </c>
      <c r="H781" t="s">
        <v>2323</v>
      </c>
      <c r="I781" s="21">
        <v>37887</v>
      </c>
      <c r="J781">
        <v>2003</v>
      </c>
      <c r="K781" s="21">
        <v>37938</v>
      </c>
      <c r="L781">
        <v>2003</v>
      </c>
      <c r="M781" s="21">
        <v>38383</v>
      </c>
      <c r="N781">
        <v>2005</v>
      </c>
      <c r="R781" s="262">
        <v>900000</v>
      </c>
      <c r="S781" t="s">
        <v>114</v>
      </c>
      <c r="T781" t="s">
        <v>114</v>
      </c>
      <c r="U781">
        <v>5</v>
      </c>
      <c r="W781">
        <v>4138</v>
      </c>
      <c r="X781">
        <v>1</v>
      </c>
      <c r="Y781">
        <v>0</v>
      </c>
      <c r="Z781">
        <v>0</v>
      </c>
      <c r="AA781">
        <v>0</v>
      </c>
      <c r="AB781">
        <v>0</v>
      </c>
      <c r="AC781">
        <v>4138</v>
      </c>
      <c r="AD781">
        <v>0</v>
      </c>
      <c r="AE781">
        <v>0</v>
      </c>
      <c r="AF781">
        <v>0</v>
      </c>
      <c r="AG781">
        <v>0</v>
      </c>
      <c r="AH781">
        <v>0</v>
      </c>
      <c r="AI781">
        <v>0</v>
      </c>
      <c r="AJ781">
        <v>0</v>
      </c>
      <c r="AK781">
        <v>0</v>
      </c>
      <c r="AL781">
        <v>0</v>
      </c>
      <c r="AM781">
        <v>0</v>
      </c>
      <c r="AN781">
        <v>0</v>
      </c>
      <c r="AO781">
        <v>1</v>
      </c>
      <c r="AP781">
        <v>0</v>
      </c>
      <c r="AQ781">
        <v>0</v>
      </c>
      <c r="AR781">
        <v>0</v>
      </c>
      <c r="AS781">
        <v>0</v>
      </c>
      <c r="AT781">
        <v>0</v>
      </c>
      <c r="AU781">
        <f t="shared" si="22"/>
        <v>1</v>
      </c>
      <c r="AV781">
        <f t="shared" si="23"/>
        <v>0</v>
      </c>
    </row>
    <row r="782" spans="1:48" x14ac:dyDescent="0.25">
      <c r="A782" t="s">
        <v>4329</v>
      </c>
      <c r="C782" t="s">
        <v>4330</v>
      </c>
      <c r="D782" t="s">
        <v>4331</v>
      </c>
      <c r="E782" t="s">
        <v>2310</v>
      </c>
      <c r="F782">
        <v>8</v>
      </c>
      <c r="G782">
        <v>8.1999999999999993</v>
      </c>
      <c r="H782" t="s">
        <v>2022</v>
      </c>
      <c r="I782" s="21">
        <v>37887</v>
      </c>
      <c r="J782">
        <v>2003</v>
      </c>
      <c r="K782" s="21">
        <v>37925</v>
      </c>
      <c r="L782">
        <v>2003</v>
      </c>
      <c r="M782" s="21">
        <v>38414</v>
      </c>
      <c r="N782">
        <v>2005</v>
      </c>
      <c r="R782" s="262">
        <v>200000</v>
      </c>
      <c r="S782" t="s">
        <v>114</v>
      </c>
      <c r="T782" t="s">
        <v>114</v>
      </c>
      <c r="U782">
        <v>5</v>
      </c>
      <c r="W782">
        <v>724</v>
      </c>
      <c r="X782">
        <v>0</v>
      </c>
      <c r="Y782">
        <v>0</v>
      </c>
      <c r="Z782">
        <v>0</v>
      </c>
      <c r="AA782">
        <v>0</v>
      </c>
      <c r="AB782">
        <v>0</v>
      </c>
      <c r="AC782">
        <v>724</v>
      </c>
      <c r="AD782">
        <v>0</v>
      </c>
      <c r="AE782">
        <v>0</v>
      </c>
      <c r="AF782">
        <v>0</v>
      </c>
      <c r="AG782">
        <v>0</v>
      </c>
      <c r="AH782">
        <v>0</v>
      </c>
      <c r="AI782">
        <v>0</v>
      </c>
      <c r="AJ782">
        <v>0</v>
      </c>
      <c r="AK782">
        <v>0</v>
      </c>
      <c r="AL782">
        <v>0</v>
      </c>
      <c r="AM782">
        <v>0</v>
      </c>
      <c r="AN782">
        <v>0</v>
      </c>
      <c r="AO782">
        <v>0</v>
      </c>
      <c r="AP782">
        <v>0</v>
      </c>
      <c r="AQ782">
        <v>0</v>
      </c>
      <c r="AR782">
        <v>0</v>
      </c>
      <c r="AS782">
        <v>0</v>
      </c>
      <c r="AT782">
        <v>0</v>
      </c>
      <c r="AU782">
        <f t="shared" si="22"/>
        <v>0</v>
      </c>
      <c r="AV782">
        <f t="shared" si="23"/>
        <v>0</v>
      </c>
    </row>
    <row r="783" spans="1:48" x14ac:dyDescent="0.25">
      <c r="A783" t="s">
        <v>4332</v>
      </c>
      <c r="C783" t="s">
        <v>4333</v>
      </c>
      <c r="D783" t="s">
        <v>4334</v>
      </c>
      <c r="E783" t="s">
        <v>2310</v>
      </c>
      <c r="F783">
        <v>14</v>
      </c>
      <c r="G783">
        <v>14.1</v>
      </c>
      <c r="H783" t="s">
        <v>2022</v>
      </c>
      <c r="I783" s="21">
        <v>37887</v>
      </c>
      <c r="J783">
        <v>2003</v>
      </c>
      <c r="K783" s="21">
        <v>37924</v>
      </c>
      <c r="L783">
        <v>2003</v>
      </c>
      <c r="M783" s="21">
        <v>37924</v>
      </c>
      <c r="N783">
        <v>2003</v>
      </c>
      <c r="R783" s="262">
        <v>180000</v>
      </c>
      <c r="S783" t="s">
        <v>114</v>
      </c>
      <c r="T783" t="s">
        <v>114</v>
      </c>
      <c r="U783">
        <v>5</v>
      </c>
      <c r="W783">
        <v>1872</v>
      </c>
      <c r="X783">
        <v>0</v>
      </c>
      <c r="Y783">
        <v>0</v>
      </c>
      <c r="Z783">
        <v>0</v>
      </c>
      <c r="AA783">
        <v>0</v>
      </c>
      <c r="AB783">
        <v>0</v>
      </c>
      <c r="AC783">
        <v>1872</v>
      </c>
      <c r="AD783">
        <v>0</v>
      </c>
      <c r="AE783">
        <v>0</v>
      </c>
      <c r="AF783">
        <v>0</v>
      </c>
      <c r="AG783">
        <v>0</v>
      </c>
      <c r="AH783">
        <v>0</v>
      </c>
      <c r="AI783">
        <v>0</v>
      </c>
      <c r="AJ783">
        <v>0</v>
      </c>
      <c r="AK783">
        <v>0</v>
      </c>
      <c r="AL783">
        <v>0</v>
      </c>
      <c r="AM783">
        <v>0</v>
      </c>
      <c r="AN783">
        <v>0</v>
      </c>
      <c r="AO783">
        <v>0</v>
      </c>
      <c r="AP783">
        <v>0</v>
      </c>
      <c r="AQ783">
        <v>0</v>
      </c>
      <c r="AR783">
        <v>0</v>
      </c>
      <c r="AS783">
        <v>0</v>
      </c>
      <c r="AT783">
        <v>0</v>
      </c>
      <c r="AU783">
        <f t="shared" si="22"/>
        <v>0</v>
      </c>
      <c r="AV783">
        <f t="shared" si="23"/>
        <v>0</v>
      </c>
    </row>
    <row r="784" spans="1:48" x14ac:dyDescent="0.25">
      <c r="A784" t="s">
        <v>4335</v>
      </c>
      <c r="C784" t="s">
        <v>4336</v>
      </c>
      <c r="D784" t="s">
        <v>4337</v>
      </c>
      <c r="E784" t="s">
        <v>2310</v>
      </c>
      <c r="F784">
        <v>12</v>
      </c>
      <c r="G784">
        <v>12.3</v>
      </c>
      <c r="H784" t="s">
        <v>2017</v>
      </c>
      <c r="I784" s="21">
        <v>37888</v>
      </c>
      <c r="J784">
        <v>2003</v>
      </c>
      <c r="K784" s="21">
        <v>37910</v>
      </c>
      <c r="L784">
        <v>2003</v>
      </c>
      <c r="M784" s="21">
        <v>37910</v>
      </c>
      <c r="N784">
        <v>2003</v>
      </c>
      <c r="R784" s="262">
        <v>150000</v>
      </c>
      <c r="S784" t="s">
        <v>114</v>
      </c>
      <c r="T784" t="s">
        <v>114</v>
      </c>
      <c r="U784">
        <v>5</v>
      </c>
      <c r="W784">
        <v>728</v>
      </c>
      <c r="X784">
        <v>0</v>
      </c>
      <c r="Y784">
        <v>0</v>
      </c>
      <c r="Z784">
        <v>0</v>
      </c>
      <c r="AA784">
        <v>0</v>
      </c>
      <c r="AB784">
        <v>0</v>
      </c>
      <c r="AC784">
        <v>728</v>
      </c>
      <c r="AD784">
        <v>0</v>
      </c>
      <c r="AE784">
        <v>0</v>
      </c>
      <c r="AF784">
        <v>0</v>
      </c>
      <c r="AG784">
        <v>0</v>
      </c>
      <c r="AH784">
        <v>0</v>
      </c>
      <c r="AI784">
        <v>0</v>
      </c>
      <c r="AJ784">
        <v>0</v>
      </c>
      <c r="AK784">
        <v>0</v>
      </c>
      <c r="AL784">
        <v>0</v>
      </c>
      <c r="AM784">
        <v>0</v>
      </c>
      <c r="AN784">
        <v>0</v>
      </c>
      <c r="AO784">
        <v>0</v>
      </c>
      <c r="AP784">
        <v>0</v>
      </c>
      <c r="AQ784">
        <v>0</v>
      </c>
      <c r="AR784">
        <v>0</v>
      </c>
      <c r="AS784">
        <v>0</v>
      </c>
      <c r="AT784">
        <v>0</v>
      </c>
      <c r="AU784">
        <f t="shared" si="22"/>
        <v>0</v>
      </c>
      <c r="AV784">
        <f t="shared" si="23"/>
        <v>0</v>
      </c>
    </row>
    <row r="785" spans="1:48" x14ac:dyDescent="0.25">
      <c r="A785" t="s">
        <v>4338</v>
      </c>
      <c r="C785" t="s">
        <v>4339</v>
      </c>
      <c r="D785" t="s">
        <v>4340</v>
      </c>
      <c r="E785" t="s">
        <v>2310</v>
      </c>
      <c r="F785">
        <v>8</v>
      </c>
      <c r="G785">
        <v>8.1</v>
      </c>
      <c r="H785" t="s">
        <v>2323</v>
      </c>
      <c r="I785" s="21">
        <v>37888</v>
      </c>
      <c r="J785">
        <v>2003</v>
      </c>
      <c r="K785" s="21">
        <v>37910</v>
      </c>
      <c r="L785">
        <v>2003</v>
      </c>
      <c r="M785" s="21">
        <v>38691</v>
      </c>
      <c r="N785">
        <v>2005</v>
      </c>
      <c r="R785" s="262">
        <v>475000</v>
      </c>
      <c r="S785" t="s">
        <v>114</v>
      </c>
      <c r="T785" t="s">
        <v>114</v>
      </c>
      <c r="U785">
        <v>5</v>
      </c>
      <c r="W785">
        <v>3918</v>
      </c>
      <c r="X785">
        <v>1</v>
      </c>
      <c r="Y785">
        <v>0</v>
      </c>
      <c r="Z785">
        <v>0</v>
      </c>
      <c r="AA785">
        <v>0</v>
      </c>
      <c r="AB785">
        <v>0</v>
      </c>
      <c r="AC785">
        <v>3918</v>
      </c>
      <c r="AD785">
        <v>0</v>
      </c>
      <c r="AE785">
        <v>0</v>
      </c>
      <c r="AF785">
        <v>0</v>
      </c>
      <c r="AG785">
        <v>0</v>
      </c>
      <c r="AH785">
        <v>0</v>
      </c>
      <c r="AI785">
        <v>0</v>
      </c>
      <c r="AJ785">
        <v>0</v>
      </c>
      <c r="AK785">
        <v>0</v>
      </c>
      <c r="AL785">
        <v>0</v>
      </c>
      <c r="AM785">
        <v>0</v>
      </c>
      <c r="AN785">
        <v>0</v>
      </c>
      <c r="AO785">
        <v>1</v>
      </c>
      <c r="AP785">
        <v>0</v>
      </c>
      <c r="AQ785">
        <v>0</v>
      </c>
      <c r="AR785">
        <v>0</v>
      </c>
      <c r="AS785">
        <v>0</v>
      </c>
      <c r="AT785">
        <v>0</v>
      </c>
      <c r="AU785">
        <f t="shared" si="22"/>
        <v>1</v>
      </c>
      <c r="AV785">
        <f t="shared" si="23"/>
        <v>0</v>
      </c>
    </row>
    <row r="786" spans="1:48" x14ac:dyDescent="0.25">
      <c r="A786" t="s">
        <v>4341</v>
      </c>
      <c r="C786" t="s">
        <v>4342</v>
      </c>
      <c r="D786" t="s">
        <v>3655</v>
      </c>
      <c r="E786" t="s">
        <v>2310</v>
      </c>
      <c r="F786">
        <v>15</v>
      </c>
      <c r="G786">
        <v>15.1</v>
      </c>
      <c r="H786" t="s">
        <v>2022</v>
      </c>
      <c r="I786" s="21">
        <v>37888</v>
      </c>
      <c r="J786">
        <v>2003</v>
      </c>
      <c r="K786" s="21">
        <v>37959</v>
      </c>
      <c r="L786">
        <v>2003</v>
      </c>
      <c r="M786" s="21">
        <v>38306</v>
      </c>
      <c r="N786">
        <v>2004</v>
      </c>
      <c r="R786" s="262">
        <v>250000</v>
      </c>
      <c r="S786" t="s">
        <v>114</v>
      </c>
      <c r="T786" t="s">
        <v>114</v>
      </c>
      <c r="U786">
        <v>8</v>
      </c>
      <c r="W786">
        <v>1232</v>
      </c>
      <c r="X786">
        <v>1</v>
      </c>
      <c r="Y786">
        <v>0</v>
      </c>
      <c r="Z786">
        <v>0</v>
      </c>
      <c r="AA786">
        <v>0</v>
      </c>
      <c r="AB786">
        <v>0</v>
      </c>
      <c r="AC786">
        <v>597</v>
      </c>
      <c r="AD786">
        <v>0</v>
      </c>
      <c r="AE786">
        <v>0</v>
      </c>
      <c r="AF786">
        <v>635</v>
      </c>
      <c r="AG786">
        <v>0</v>
      </c>
      <c r="AH786">
        <v>0</v>
      </c>
      <c r="AI786">
        <v>0</v>
      </c>
      <c r="AJ786">
        <v>0</v>
      </c>
      <c r="AK786">
        <v>0</v>
      </c>
      <c r="AL786">
        <v>0</v>
      </c>
      <c r="AM786">
        <v>0</v>
      </c>
      <c r="AN786">
        <v>0</v>
      </c>
      <c r="AO786">
        <v>0</v>
      </c>
      <c r="AP786">
        <v>0</v>
      </c>
      <c r="AQ786">
        <v>0</v>
      </c>
      <c r="AR786">
        <v>1</v>
      </c>
      <c r="AS786">
        <v>0</v>
      </c>
      <c r="AT786">
        <v>0</v>
      </c>
      <c r="AU786">
        <f t="shared" si="22"/>
        <v>0</v>
      </c>
      <c r="AV786">
        <f t="shared" si="23"/>
        <v>0</v>
      </c>
    </row>
    <row r="787" spans="1:48" x14ac:dyDescent="0.25">
      <c r="A787" t="s">
        <v>4343</v>
      </c>
      <c r="C787" t="s">
        <v>2847</v>
      </c>
      <c r="D787" t="s">
        <v>4344</v>
      </c>
      <c r="E787" t="s">
        <v>2310</v>
      </c>
      <c r="F787">
        <v>8</v>
      </c>
      <c r="G787">
        <v>8.1999999999999993</v>
      </c>
      <c r="H787" t="s">
        <v>2022</v>
      </c>
      <c r="I787" s="21">
        <v>37888</v>
      </c>
      <c r="J787">
        <v>2003</v>
      </c>
      <c r="K787" s="21">
        <v>37942</v>
      </c>
      <c r="L787">
        <v>2003</v>
      </c>
      <c r="M787" s="21">
        <v>38390</v>
      </c>
      <c r="N787">
        <v>2005</v>
      </c>
      <c r="R787" s="262">
        <v>1300000</v>
      </c>
      <c r="S787" t="s">
        <v>114</v>
      </c>
      <c r="T787" t="s">
        <v>114</v>
      </c>
      <c r="U787">
        <v>5</v>
      </c>
      <c r="W787">
        <v>8239</v>
      </c>
      <c r="X787">
        <v>1</v>
      </c>
      <c r="Y787">
        <v>0</v>
      </c>
      <c r="Z787">
        <v>0</v>
      </c>
      <c r="AA787">
        <v>0</v>
      </c>
      <c r="AB787">
        <v>0</v>
      </c>
      <c r="AC787">
        <v>8239</v>
      </c>
      <c r="AD787">
        <v>0</v>
      </c>
      <c r="AE787">
        <v>0</v>
      </c>
      <c r="AF787">
        <v>0</v>
      </c>
      <c r="AG787">
        <v>0</v>
      </c>
      <c r="AH787">
        <v>0</v>
      </c>
      <c r="AI787">
        <v>0</v>
      </c>
      <c r="AJ787">
        <v>0</v>
      </c>
      <c r="AK787">
        <v>0</v>
      </c>
      <c r="AL787">
        <v>0</v>
      </c>
      <c r="AM787">
        <v>0</v>
      </c>
      <c r="AN787">
        <v>0</v>
      </c>
      <c r="AO787">
        <v>1</v>
      </c>
      <c r="AP787">
        <v>0</v>
      </c>
      <c r="AQ787">
        <v>0</v>
      </c>
      <c r="AR787">
        <v>0</v>
      </c>
      <c r="AS787">
        <v>0</v>
      </c>
      <c r="AT787">
        <v>0</v>
      </c>
      <c r="AU787">
        <f t="shared" si="22"/>
        <v>1</v>
      </c>
      <c r="AV787">
        <f t="shared" si="23"/>
        <v>0</v>
      </c>
    </row>
    <row r="788" spans="1:48" x14ac:dyDescent="0.25">
      <c r="A788" t="s">
        <v>4345</v>
      </c>
      <c r="C788" t="s">
        <v>2838</v>
      </c>
      <c r="D788" t="s">
        <v>4346</v>
      </c>
      <c r="E788" t="s">
        <v>2310</v>
      </c>
      <c r="F788">
        <v>12</v>
      </c>
      <c r="G788">
        <v>12.3</v>
      </c>
      <c r="H788" t="s">
        <v>2017</v>
      </c>
      <c r="I788" s="21">
        <v>37889</v>
      </c>
      <c r="J788">
        <v>2003</v>
      </c>
      <c r="K788" s="21">
        <v>37921</v>
      </c>
      <c r="L788">
        <v>2003</v>
      </c>
      <c r="M788" s="21">
        <v>41397.6043055556</v>
      </c>
      <c r="N788">
        <v>2013</v>
      </c>
      <c r="R788" s="262">
        <v>800000</v>
      </c>
      <c r="S788" t="s">
        <v>114</v>
      </c>
      <c r="T788" t="s">
        <v>114</v>
      </c>
      <c r="U788">
        <v>5</v>
      </c>
      <c r="W788">
        <v>6994</v>
      </c>
      <c r="X788">
        <v>1</v>
      </c>
      <c r="Y788">
        <v>0</v>
      </c>
      <c r="Z788">
        <v>0</v>
      </c>
      <c r="AA788">
        <v>0</v>
      </c>
      <c r="AB788">
        <v>0</v>
      </c>
      <c r="AC788">
        <v>6994</v>
      </c>
      <c r="AD788">
        <v>0</v>
      </c>
      <c r="AE788">
        <v>0</v>
      </c>
      <c r="AF788">
        <v>0</v>
      </c>
      <c r="AG788">
        <v>0</v>
      </c>
      <c r="AH788">
        <v>0</v>
      </c>
      <c r="AI788">
        <v>0</v>
      </c>
      <c r="AJ788">
        <v>0</v>
      </c>
      <c r="AK788">
        <v>0</v>
      </c>
      <c r="AL788">
        <v>0</v>
      </c>
      <c r="AM788">
        <v>0</v>
      </c>
      <c r="AN788">
        <v>0</v>
      </c>
      <c r="AO788">
        <v>1</v>
      </c>
      <c r="AP788">
        <v>0</v>
      </c>
      <c r="AQ788">
        <v>0</v>
      </c>
      <c r="AR788">
        <v>0</v>
      </c>
      <c r="AS788">
        <v>0</v>
      </c>
      <c r="AT788">
        <v>0</v>
      </c>
      <c r="AU788">
        <f t="shared" si="22"/>
        <v>1</v>
      </c>
      <c r="AV788">
        <f t="shared" si="23"/>
        <v>0</v>
      </c>
    </row>
    <row r="789" spans="1:48" x14ac:dyDescent="0.25">
      <c r="A789" t="s">
        <v>4347</v>
      </c>
      <c r="C789" t="s">
        <v>4348</v>
      </c>
      <c r="D789" t="s">
        <v>3194</v>
      </c>
      <c r="E789" t="s">
        <v>2310</v>
      </c>
      <c r="F789">
        <v>8</v>
      </c>
      <c r="G789">
        <v>8.1999999999999993</v>
      </c>
      <c r="H789" t="s">
        <v>2022</v>
      </c>
      <c r="I789" s="21">
        <v>37889</v>
      </c>
      <c r="J789">
        <v>2003</v>
      </c>
      <c r="K789" s="21">
        <v>37924</v>
      </c>
      <c r="L789">
        <v>2003</v>
      </c>
      <c r="M789" s="21">
        <v>37930</v>
      </c>
      <c r="N789">
        <v>2003</v>
      </c>
      <c r="R789" s="262">
        <v>4000</v>
      </c>
      <c r="S789" t="s">
        <v>114</v>
      </c>
      <c r="T789" t="s">
        <v>114</v>
      </c>
      <c r="U789">
        <v>5</v>
      </c>
      <c r="W789">
        <v>165</v>
      </c>
      <c r="X789">
        <v>0</v>
      </c>
      <c r="Y789">
        <v>0</v>
      </c>
      <c r="Z789">
        <v>0</v>
      </c>
      <c r="AA789">
        <v>0</v>
      </c>
      <c r="AB789">
        <v>0</v>
      </c>
      <c r="AC789">
        <v>165</v>
      </c>
      <c r="AD789">
        <v>0</v>
      </c>
      <c r="AE789">
        <v>0</v>
      </c>
      <c r="AF789">
        <v>0</v>
      </c>
      <c r="AG789">
        <v>0</v>
      </c>
      <c r="AH789">
        <v>0</v>
      </c>
      <c r="AI789">
        <v>0</v>
      </c>
      <c r="AJ789">
        <v>0</v>
      </c>
      <c r="AK789">
        <v>0</v>
      </c>
      <c r="AL789">
        <v>0</v>
      </c>
      <c r="AM789">
        <v>0</v>
      </c>
      <c r="AN789">
        <v>0</v>
      </c>
      <c r="AO789">
        <v>0</v>
      </c>
      <c r="AP789">
        <v>0</v>
      </c>
      <c r="AQ789">
        <v>0</v>
      </c>
      <c r="AR789">
        <v>0</v>
      </c>
      <c r="AS789">
        <v>0</v>
      </c>
      <c r="AT789">
        <v>0</v>
      </c>
      <c r="AU789">
        <f t="shared" si="22"/>
        <v>0</v>
      </c>
      <c r="AV789">
        <f t="shared" si="23"/>
        <v>0</v>
      </c>
    </row>
    <row r="790" spans="1:48" x14ac:dyDescent="0.25">
      <c r="A790" t="s">
        <v>4349</v>
      </c>
      <c r="C790" t="s">
        <v>2391</v>
      </c>
      <c r="D790" t="s">
        <v>4350</v>
      </c>
      <c r="E790" t="s">
        <v>2310</v>
      </c>
      <c r="F790">
        <v>9</v>
      </c>
      <c r="G790">
        <v>9.3000000000000007</v>
      </c>
      <c r="H790" t="s">
        <v>2323</v>
      </c>
      <c r="I790" s="21">
        <v>37889</v>
      </c>
      <c r="J790">
        <v>2003</v>
      </c>
      <c r="K790" s="21">
        <v>37904</v>
      </c>
      <c r="L790">
        <v>2003</v>
      </c>
      <c r="M790" s="21">
        <v>38460</v>
      </c>
      <c r="N790">
        <v>2005</v>
      </c>
      <c r="R790" s="262">
        <v>25000</v>
      </c>
      <c r="S790" t="s">
        <v>114</v>
      </c>
      <c r="T790" t="s">
        <v>114</v>
      </c>
      <c r="U790">
        <v>5</v>
      </c>
      <c r="W790">
        <v>1440</v>
      </c>
      <c r="X790">
        <v>0</v>
      </c>
      <c r="Y790">
        <v>0</v>
      </c>
      <c r="Z790">
        <v>0</v>
      </c>
      <c r="AA790">
        <v>0</v>
      </c>
      <c r="AB790">
        <v>0</v>
      </c>
      <c r="AC790">
        <v>1440</v>
      </c>
      <c r="AD790">
        <v>0</v>
      </c>
      <c r="AE790">
        <v>0</v>
      </c>
      <c r="AF790">
        <v>0</v>
      </c>
      <c r="AG790">
        <v>0</v>
      </c>
      <c r="AH790">
        <v>0</v>
      </c>
      <c r="AI790">
        <v>0</v>
      </c>
      <c r="AJ790">
        <v>0</v>
      </c>
      <c r="AK790">
        <v>0</v>
      </c>
      <c r="AL790">
        <v>0</v>
      </c>
      <c r="AM790">
        <v>0</v>
      </c>
      <c r="AN790">
        <v>0</v>
      </c>
      <c r="AO790">
        <v>0</v>
      </c>
      <c r="AP790">
        <v>0</v>
      </c>
      <c r="AQ790">
        <v>0</v>
      </c>
      <c r="AR790">
        <v>0</v>
      </c>
      <c r="AS790">
        <v>0</v>
      </c>
      <c r="AT790">
        <v>0</v>
      </c>
      <c r="AU790">
        <f t="shared" si="22"/>
        <v>0</v>
      </c>
      <c r="AV790">
        <f t="shared" si="23"/>
        <v>0</v>
      </c>
    </row>
    <row r="791" spans="1:48" x14ac:dyDescent="0.25">
      <c r="A791" t="s">
        <v>4351</v>
      </c>
      <c r="C791" t="s">
        <v>4352</v>
      </c>
      <c r="D791" t="s">
        <v>4353</v>
      </c>
      <c r="E791" t="s">
        <v>2310</v>
      </c>
      <c r="F791">
        <v>15</v>
      </c>
      <c r="G791">
        <v>15.2</v>
      </c>
      <c r="H791" t="s">
        <v>2323</v>
      </c>
      <c r="I791" s="21">
        <v>37890</v>
      </c>
      <c r="J791">
        <v>2003</v>
      </c>
      <c r="K791" s="21">
        <v>37915</v>
      </c>
      <c r="L791">
        <v>2003</v>
      </c>
      <c r="M791" s="21">
        <v>38638</v>
      </c>
      <c r="N791">
        <v>2005</v>
      </c>
      <c r="R791" s="262">
        <v>10000</v>
      </c>
      <c r="S791" t="s">
        <v>114</v>
      </c>
      <c r="T791" t="s">
        <v>114</v>
      </c>
      <c r="U791">
        <v>5</v>
      </c>
      <c r="W791">
        <v>506</v>
      </c>
      <c r="X791">
        <v>0</v>
      </c>
      <c r="Y791">
        <v>0</v>
      </c>
      <c r="Z791">
        <v>0</v>
      </c>
      <c r="AA791">
        <v>0</v>
      </c>
      <c r="AB791">
        <v>0</v>
      </c>
      <c r="AC791">
        <v>506</v>
      </c>
      <c r="AD791">
        <v>0</v>
      </c>
      <c r="AE791">
        <v>0</v>
      </c>
      <c r="AF791">
        <v>0</v>
      </c>
      <c r="AG791">
        <v>0</v>
      </c>
      <c r="AH791">
        <v>0</v>
      </c>
      <c r="AI791">
        <v>0</v>
      </c>
      <c r="AJ791">
        <v>0</v>
      </c>
      <c r="AK791">
        <v>0</v>
      </c>
      <c r="AL791">
        <v>0</v>
      </c>
      <c r="AM791">
        <v>0</v>
      </c>
      <c r="AN791">
        <v>0</v>
      </c>
      <c r="AO791">
        <v>0</v>
      </c>
      <c r="AP791">
        <v>0</v>
      </c>
      <c r="AQ791">
        <v>0</v>
      </c>
      <c r="AR791">
        <v>0</v>
      </c>
      <c r="AS791">
        <v>0</v>
      </c>
      <c r="AT791">
        <v>0</v>
      </c>
      <c r="AU791">
        <f t="shared" si="22"/>
        <v>0</v>
      </c>
      <c r="AV791">
        <f t="shared" si="23"/>
        <v>0</v>
      </c>
    </row>
    <row r="792" spans="1:48" x14ac:dyDescent="0.25">
      <c r="A792" t="s">
        <v>4354</v>
      </c>
      <c r="C792" t="s">
        <v>4355</v>
      </c>
      <c r="D792" t="s">
        <v>4356</v>
      </c>
      <c r="E792" t="s">
        <v>2310</v>
      </c>
      <c r="F792">
        <v>15</v>
      </c>
      <c r="G792">
        <v>15.1</v>
      </c>
      <c r="H792" t="s">
        <v>2022</v>
      </c>
      <c r="I792" s="21">
        <v>37890</v>
      </c>
      <c r="J792">
        <v>2003</v>
      </c>
      <c r="K792" s="21">
        <v>38076</v>
      </c>
      <c r="L792">
        <v>2004</v>
      </c>
      <c r="M792" s="21">
        <v>40225.559699074103</v>
      </c>
      <c r="N792">
        <v>2010</v>
      </c>
      <c r="R792" s="262">
        <v>10000</v>
      </c>
      <c r="S792" t="s">
        <v>114</v>
      </c>
      <c r="T792" t="s">
        <v>114</v>
      </c>
      <c r="U792">
        <v>5</v>
      </c>
      <c r="W792">
        <v>1296</v>
      </c>
      <c r="X792">
        <v>0</v>
      </c>
      <c r="Y792">
        <v>0</v>
      </c>
      <c r="Z792">
        <v>0</v>
      </c>
      <c r="AA792">
        <v>0</v>
      </c>
      <c r="AB792">
        <v>0</v>
      </c>
      <c r="AC792">
        <v>1296</v>
      </c>
      <c r="AD792">
        <v>0</v>
      </c>
      <c r="AE792">
        <v>0</v>
      </c>
      <c r="AF792">
        <v>0</v>
      </c>
      <c r="AG792">
        <v>0</v>
      </c>
      <c r="AH792">
        <v>0</v>
      </c>
      <c r="AI792">
        <v>0</v>
      </c>
      <c r="AJ792">
        <v>0</v>
      </c>
      <c r="AK792">
        <v>0</v>
      </c>
      <c r="AL792">
        <v>0</v>
      </c>
      <c r="AM792">
        <v>0</v>
      </c>
      <c r="AN792">
        <v>0</v>
      </c>
      <c r="AO792">
        <v>0</v>
      </c>
      <c r="AP792">
        <v>0</v>
      </c>
      <c r="AQ792">
        <v>0</v>
      </c>
      <c r="AR792">
        <v>0</v>
      </c>
      <c r="AS792">
        <v>0</v>
      </c>
      <c r="AT792">
        <v>0</v>
      </c>
      <c r="AU792">
        <f t="shared" si="22"/>
        <v>0</v>
      </c>
      <c r="AV792">
        <f t="shared" si="23"/>
        <v>0</v>
      </c>
    </row>
    <row r="793" spans="1:48" x14ac:dyDescent="0.25">
      <c r="A793" t="s">
        <v>4357</v>
      </c>
      <c r="C793" t="s">
        <v>4358</v>
      </c>
      <c r="D793" t="s">
        <v>4359</v>
      </c>
      <c r="E793" t="s">
        <v>2310</v>
      </c>
      <c r="F793">
        <v>11</v>
      </c>
      <c r="G793">
        <v>11.2</v>
      </c>
      <c r="H793" t="s">
        <v>2017</v>
      </c>
      <c r="I793" s="21">
        <v>37890</v>
      </c>
      <c r="J793">
        <v>2003</v>
      </c>
      <c r="K793" s="21">
        <v>37916</v>
      </c>
      <c r="L793">
        <v>2003</v>
      </c>
      <c r="M793" s="21">
        <v>38569</v>
      </c>
      <c r="N793">
        <v>2005</v>
      </c>
      <c r="R793" s="262">
        <v>13000</v>
      </c>
      <c r="S793" t="s">
        <v>114</v>
      </c>
      <c r="T793" t="s">
        <v>114</v>
      </c>
      <c r="U793">
        <v>5</v>
      </c>
      <c r="W793">
        <v>397</v>
      </c>
      <c r="X793">
        <v>0</v>
      </c>
      <c r="Y793">
        <v>0</v>
      </c>
      <c r="Z793">
        <v>0</v>
      </c>
      <c r="AA793">
        <v>0</v>
      </c>
      <c r="AB793">
        <v>0</v>
      </c>
      <c r="AC793">
        <v>397</v>
      </c>
      <c r="AD793">
        <v>0</v>
      </c>
      <c r="AE793">
        <v>0</v>
      </c>
      <c r="AF793">
        <v>0</v>
      </c>
      <c r="AG793">
        <v>0</v>
      </c>
      <c r="AH793">
        <v>0</v>
      </c>
      <c r="AI793">
        <v>0</v>
      </c>
      <c r="AJ793">
        <v>0</v>
      </c>
      <c r="AK793">
        <v>0</v>
      </c>
      <c r="AL793">
        <v>0</v>
      </c>
      <c r="AM793">
        <v>0</v>
      </c>
      <c r="AN793">
        <v>0</v>
      </c>
      <c r="AO793">
        <v>0</v>
      </c>
      <c r="AP793">
        <v>0</v>
      </c>
      <c r="AQ793">
        <v>0</v>
      </c>
      <c r="AR793">
        <v>0</v>
      </c>
      <c r="AS793">
        <v>0</v>
      </c>
      <c r="AT793">
        <v>0</v>
      </c>
      <c r="AU793">
        <f t="shared" ref="AU793:AU856" si="24">SUM(AN793:AQ793,AS793)</f>
        <v>0</v>
      </c>
      <c r="AV793">
        <f t="shared" ref="AV793:AV856" si="25">SUM(Y793:AB793,AH793:AM793)</f>
        <v>0</v>
      </c>
    </row>
    <row r="794" spans="1:48" x14ac:dyDescent="0.25">
      <c r="A794" t="s">
        <v>4360</v>
      </c>
      <c r="C794" t="s">
        <v>4361</v>
      </c>
      <c r="D794" t="s">
        <v>4362</v>
      </c>
      <c r="E794" t="s">
        <v>2310</v>
      </c>
      <c r="F794">
        <v>12</v>
      </c>
      <c r="G794">
        <v>12.3</v>
      </c>
      <c r="H794" t="s">
        <v>2017</v>
      </c>
      <c r="I794" s="21">
        <v>37893</v>
      </c>
      <c r="J794">
        <v>2003</v>
      </c>
      <c r="K794" s="21">
        <v>37932</v>
      </c>
      <c r="L794">
        <v>2003</v>
      </c>
      <c r="M794" s="21">
        <v>37974</v>
      </c>
      <c r="N794">
        <v>2003</v>
      </c>
      <c r="R794" s="262">
        <v>85000</v>
      </c>
      <c r="S794" t="s">
        <v>114</v>
      </c>
      <c r="T794" t="s">
        <v>114</v>
      </c>
      <c r="U794">
        <v>5</v>
      </c>
      <c r="W794">
        <v>0</v>
      </c>
      <c r="X794">
        <v>0</v>
      </c>
      <c r="Y794">
        <v>0</v>
      </c>
      <c r="Z794">
        <v>0</v>
      </c>
      <c r="AA794">
        <v>0</v>
      </c>
      <c r="AB794">
        <v>0</v>
      </c>
      <c r="AC794">
        <v>0</v>
      </c>
      <c r="AD794">
        <v>0</v>
      </c>
      <c r="AE794">
        <v>0</v>
      </c>
      <c r="AF794">
        <v>0</v>
      </c>
      <c r="AG794">
        <v>0</v>
      </c>
      <c r="AH794">
        <v>0</v>
      </c>
      <c r="AI794">
        <v>0</v>
      </c>
      <c r="AJ794">
        <v>0</v>
      </c>
      <c r="AK794">
        <v>0</v>
      </c>
      <c r="AL794">
        <v>0</v>
      </c>
      <c r="AM794">
        <v>0</v>
      </c>
      <c r="AN794">
        <v>0</v>
      </c>
      <c r="AO794">
        <v>0</v>
      </c>
      <c r="AP794">
        <v>0</v>
      </c>
      <c r="AQ794">
        <v>0</v>
      </c>
      <c r="AR794">
        <v>0</v>
      </c>
      <c r="AS794">
        <v>0</v>
      </c>
      <c r="AT794">
        <v>0</v>
      </c>
      <c r="AU794">
        <f t="shared" si="24"/>
        <v>0</v>
      </c>
      <c r="AV794">
        <f t="shared" si="25"/>
        <v>0</v>
      </c>
    </row>
    <row r="795" spans="1:48" x14ac:dyDescent="0.25">
      <c r="A795" t="s">
        <v>4363</v>
      </c>
      <c r="C795" t="s">
        <v>4364</v>
      </c>
      <c r="D795" t="s">
        <v>4365</v>
      </c>
      <c r="E795" t="s">
        <v>2310</v>
      </c>
      <c r="F795">
        <v>9</v>
      </c>
      <c r="G795">
        <v>9.1</v>
      </c>
      <c r="H795" t="s">
        <v>2323</v>
      </c>
      <c r="I795" s="21">
        <v>37893</v>
      </c>
      <c r="J795">
        <v>2003</v>
      </c>
      <c r="K795" s="21">
        <v>37936</v>
      </c>
      <c r="L795">
        <v>2003</v>
      </c>
      <c r="M795" s="21">
        <v>38705</v>
      </c>
      <c r="N795">
        <v>2005</v>
      </c>
      <c r="R795" s="262">
        <v>5000000</v>
      </c>
      <c r="S795" t="s">
        <v>114</v>
      </c>
      <c r="T795" t="s">
        <v>114</v>
      </c>
      <c r="U795">
        <v>15</v>
      </c>
      <c r="W795">
        <v>58326</v>
      </c>
      <c r="X795">
        <v>0</v>
      </c>
      <c r="Y795">
        <v>0</v>
      </c>
      <c r="Z795">
        <v>0</v>
      </c>
      <c r="AA795">
        <v>0</v>
      </c>
      <c r="AB795">
        <v>0</v>
      </c>
      <c r="AC795">
        <v>0</v>
      </c>
      <c r="AD795">
        <v>0</v>
      </c>
      <c r="AE795">
        <v>0</v>
      </c>
      <c r="AF795">
        <v>0</v>
      </c>
      <c r="AG795">
        <v>0</v>
      </c>
      <c r="AH795">
        <v>0</v>
      </c>
      <c r="AI795">
        <v>0</v>
      </c>
      <c r="AJ795">
        <v>0</v>
      </c>
      <c r="AK795">
        <v>0</v>
      </c>
      <c r="AL795">
        <v>0</v>
      </c>
      <c r="AM795">
        <v>58326</v>
      </c>
      <c r="AN795">
        <v>0</v>
      </c>
      <c r="AO795">
        <v>0</v>
      </c>
      <c r="AP795">
        <v>0</v>
      </c>
      <c r="AQ795">
        <v>0</v>
      </c>
      <c r="AR795">
        <v>0</v>
      </c>
      <c r="AS795">
        <v>0</v>
      </c>
      <c r="AT795">
        <v>0</v>
      </c>
      <c r="AU795">
        <f t="shared" si="24"/>
        <v>0</v>
      </c>
      <c r="AV795">
        <f t="shared" si="25"/>
        <v>58326</v>
      </c>
    </row>
    <row r="796" spans="1:48" x14ac:dyDescent="0.25">
      <c r="A796" t="s">
        <v>4366</v>
      </c>
      <c r="C796" t="s">
        <v>4367</v>
      </c>
      <c r="D796" t="s">
        <v>3446</v>
      </c>
      <c r="E796" t="s">
        <v>2310</v>
      </c>
      <c r="F796">
        <v>13</v>
      </c>
      <c r="G796">
        <v>13.3</v>
      </c>
      <c r="H796" t="s">
        <v>2017</v>
      </c>
      <c r="I796" s="21">
        <v>37894</v>
      </c>
      <c r="J796">
        <v>2003</v>
      </c>
      <c r="K796" s="21">
        <v>37938</v>
      </c>
      <c r="L796">
        <v>2003</v>
      </c>
      <c r="M796" s="21">
        <v>39226</v>
      </c>
      <c r="N796">
        <v>2007</v>
      </c>
      <c r="R796" s="262">
        <v>25000</v>
      </c>
      <c r="S796" t="s">
        <v>114</v>
      </c>
      <c r="T796" t="s">
        <v>114</v>
      </c>
      <c r="U796">
        <v>5</v>
      </c>
      <c r="W796">
        <v>0</v>
      </c>
      <c r="X796">
        <v>0</v>
      </c>
      <c r="Y796">
        <v>0</v>
      </c>
      <c r="Z796">
        <v>0</v>
      </c>
      <c r="AA796">
        <v>0</v>
      </c>
      <c r="AB796">
        <v>0</v>
      </c>
      <c r="AC796">
        <v>0</v>
      </c>
      <c r="AD796">
        <v>0</v>
      </c>
      <c r="AE796">
        <v>0</v>
      </c>
      <c r="AF796">
        <v>0</v>
      </c>
      <c r="AG796">
        <v>0</v>
      </c>
      <c r="AH796">
        <v>0</v>
      </c>
      <c r="AI796">
        <v>0</v>
      </c>
      <c r="AJ796">
        <v>0</v>
      </c>
      <c r="AK796">
        <v>0</v>
      </c>
      <c r="AL796">
        <v>0</v>
      </c>
      <c r="AM796">
        <v>0</v>
      </c>
      <c r="AN796">
        <v>0</v>
      </c>
      <c r="AO796">
        <v>0</v>
      </c>
      <c r="AP796">
        <v>0</v>
      </c>
      <c r="AQ796">
        <v>0</v>
      </c>
      <c r="AR796">
        <v>0</v>
      </c>
      <c r="AS796">
        <v>0</v>
      </c>
      <c r="AT796">
        <v>0</v>
      </c>
      <c r="AU796">
        <f t="shared" si="24"/>
        <v>0</v>
      </c>
      <c r="AV796">
        <f t="shared" si="25"/>
        <v>0</v>
      </c>
    </row>
    <row r="797" spans="1:48" x14ac:dyDescent="0.25">
      <c r="A797" t="s">
        <v>4368</v>
      </c>
      <c r="C797" t="s">
        <v>4369</v>
      </c>
      <c r="D797" t="s">
        <v>4370</v>
      </c>
      <c r="E797" t="s">
        <v>2310</v>
      </c>
      <c r="F797">
        <v>8</v>
      </c>
      <c r="G797">
        <v>8.1999999999999993</v>
      </c>
      <c r="H797" t="s">
        <v>2022</v>
      </c>
      <c r="I797" s="21">
        <v>37895</v>
      </c>
      <c r="J797">
        <v>2003</v>
      </c>
      <c r="K797" s="21">
        <v>37965</v>
      </c>
      <c r="L797">
        <v>2003</v>
      </c>
      <c r="M797" s="21">
        <v>37973</v>
      </c>
      <c r="N797">
        <v>2003</v>
      </c>
      <c r="R797" s="262">
        <v>2000</v>
      </c>
      <c r="S797" t="s">
        <v>114</v>
      </c>
      <c r="T797" t="s">
        <v>114</v>
      </c>
      <c r="U797">
        <v>5</v>
      </c>
      <c r="W797">
        <v>0</v>
      </c>
      <c r="X797">
        <v>0</v>
      </c>
      <c r="Y797">
        <v>0</v>
      </c>
      <c r="Z797">
        <v>0</v>
      </c>
      <c r="AA797">
        <v>0</v>
      </c>
      <c r="AB797">
        <v>0</v>
      </c>
      <c r="AC797">
        <v>0</v>
      </c>
      <c r="AD797">
        <v>0</v>
      </c>
      <c r="AE797">
        <v>0</v>
      </c>
      <c r="AF797">
        <v>0</v>
      </c>
      <c r="AG797">
        <v>0</v>
      </c>
      <c r="AH797">
        <v>0</v>
      </c>
      <c r="AI797">
        <v>0</v>
      </c>
      <c r="AJ797">
        <v>0</v>
      </c>
      <c r="AK797">
        <v>0</v>
      </c>
      <c r="AL797">
        <v>0</v>
      </c>
      <c r="AM797">
        <v>0</v>
      </c>
      <c r="AN797">
        <v>0</v>
      </c>
      <c r="AO797">
        <v>0</v>
      </c>
      <c r="AP797">
        <v>0</v>
      </c>
      <c r="AQ797">
        <v>0</v>
      </c>
      <c r="AR797">
        <v>0</v>
      </c>
      <c r="AS797">
        <v>0</v>
      </c>
      <c r="AT797">
        <v>0</v>
      </c>
      <c r="AU797">
        <f t="shared" si="24"/>
        <v>0</v>
      </c>
      <c r="AV797">
        <f t="shared" si="25"/>
        <v>0</v>
      </c>
    </row>
    <row r="798" spans="1:48" x14ac:dyDescent="0.25">
      <c r="A798" t="s">
        <v>4371</v>
      </c>
      <c r="C798" t="s">
        <v>4372</v>
      </c>
      <c r="D798" t="s">
        <v>4373</v>
      </c>
      <c r="E798" t="s">
        <v>2310</v>
      </c>
      <c r="F798">
        <v>12</v>
      </c>
      <c r="G798">
        <v>12.3</v>
      </c>
      <c r="H798" t="s">
        <v>2017</v>
      </c>
      <c r="I798" s="21">
        <v>37895</v>
      </c>
      <c r="J798">
        <v>2003</v>
      </c>
      <c r="K798" s="21">
        <v>37900</v>
      </c>
      <c r="L798">
        <v>2003</v>
      </c>
      <c r="M798" s="21">
        <v>37946</v>
      </c>
      <c r="N798">
        <v>2003</v>
      </c>
      <c r="R798" s="262">
        <v>5000</v>
      </c>
      <c r="S798" t="s">
        <v>114</v>
      </c>
      <c r="T798" t="s">
        <v>114</v>
      </c>
      <c r="U798">
        <v>5</v>
      </c>
      <c r="W798">
        <v>135</v>
      </c>
      <c r="X798">
        <v>0</v>
      </c>
      <c r="Y798">
        <v>0</v>
      </c>
      <c r="Z798">
        <v>0</v>
      </c>
      <c r="AA798">
        <v>0</v>
      </c>
      <c r="AB798">
        <v>0</v>
      </c>
      <c r="AC798">
        <v>135</v>
      </c>
      <c r="AD798">
        <v>0</v>
      </c>
      <c r="AE798">
        <v>0</v>
      </c>
      <c r="AF798">
        <v>0</v>
      </c>
      <c r="AG798">
        <v>0</v>
      </c>
      <c r="AH798">
        <v>0</v>
      </c>
      <c r="AI798">
        <v>0</v>
      </c>
      <c r="AJ798">
        <v>0</v>
      </c>
      <c r="AK798">
        <v>0</v>
      </c>
      <c r="AL798">
        <v>0</v>
      </c>
      <c r="AM798">
        <v>0</v>
      </c>
      <c r="AN798">
        <v>0</v>
      </c>
      <c r="AO798">
        <v>0</v>
      </c>
      <c r="AP798">
        <v>0</v>
      </c>
      <c r="AQ798">
        <v>0</v>
      </c>
      <c r="AR798">
        <v>0</v>
      </c>
      <c r="AS798">
        <v>0</v>
      </c>
      <c r="AT798">
        <v>0</v>
      </c>
      <c r="AU798">
        <f t="shared" si="24"/>
        <v>0</v>
      </c>
      <c r="AV798">
        <f t="shared" si="25"/>
        <v>0</v>
      </c>
    </row>
    <row r="799" spans="1:48" x14ac:dyDescent="0.25">
      <c r="A799" t="s">
        <v>4374</v>
      </c>
      <c r="C799" t="s">
        <v>4375</v>
      </c>
      <c r="D799" t="s">
        <v>4376</v>
      </c>
      <c r="E799" t="s">
        <v>1663</v>
      </c>
      <c r="F799">
        <v>6</v>
      </c>
      <c r="G799">
        <v>6.1</v>
      </c>
      <c r="H799" t="s">
        <v>2017</v>
      </c>
      <c r="I799" s="21">
        <v>37897</v>
      </c>
      <c r="J799">
        <v>2003</v>
      </c>
      <c r="K799" s="21">
        <v>37928</v>
      </c>
      <c r="L799">
        <v>2003</v>
      </c>
      <c r="M799" s="21">
        <v>38080</v>
      </c>
      <c r="N799">
        <v>2004</v>
      </c>
      <c r="Q799" s="262">
        <v>420000</v>
      </c>
      <c r="S799" t="s">
        <v>114</v>
      </c>
      <c r="T799" t="s">
        <v>114</v>
      </c>
      <c r="W799">
        <v>4352</v>
      </c>
      <c r="X799">
        <v>1</v>
      </c>
      <c r="Y799">
        <v>0</v>
      </c>
      <c r="Z799">
        <v>0</v>
      </c>
      <c r="AA799">
        <v>0</v>
      </c>
      <c r="AB799">
        <v>0</v>
      </c>
      <c r="AC799">
        <v>4352</v>
      </c>
      <c r="AD799">
        <v>0</v>
      </c>
      <c r="AE799">
        <v>0</v>
      </c>
      <c r="AF799">
        <v>0</v>
      </c>
      <c r="AG799">
        <v>0</v>
      </c>
      <c r="AH799">
        <v>0</v>
      </c>
      <c r="AI799">
        <v>0</v>
      </c>
      <c r="AJ799">
        <v>0</v>
      </c>
      <c r="AK799">
        <v>0</v>
      </c>
      <c r="AL799">
        <v>0</v>
      </c>
      <c r="AM799">
        <v>0</v>
      </c>
      <c r="AN799">
        <v>0</v>
      </c>
      <c r="AO799">
        <v>1</v>
      </c>
      <c r="AP799">
        <v>0</v>
      </c>
      <c r="AQ799">
        <v>0</v>
      </c>
      <c r="AR799">
        <v>0</v>
      </c>
      <c r="AS799">
        <v>0</v>
      </c>
      <c r="AT799">
        <v>0</v>
      </c>
      <c r="AU799">
        <f t="shared" si="24"/>
        <v>1</v>
      </c>
      <c r="AV799">
        <f t="shared" si="25"/>
        <v>0</v>
      </c>
    </row>
    <row r="800" spans="1:48" x14ac:dyDescent="0.25">
      <c r="A800" t="s">
        <v>4377</v>
      </c>
      <c r="C800" t="s">
        <v>4378</v>
      </c>
      <c r="D800" t="s">
        <v>3590</v>
      </c>
      <c r="E800" t="s">
        <v>2310</v>
      </c>
      <c r="F800">
        <v>15</v>
      </c>
      <c r="G800">
        <v>15.3</v>
      </c>
      <c r="H800" t="s">
        <v>2022</v>
      </c>
      <c r="I800" s="21">
        <v>37900</v>
      </c>
      <c r="J800">
        <v>2003</v>
      </c>
      <c r="K800" s="21">
        <v>37938</v>
      </c>
      <c r="L800">
        <v>2003</v>
      </c>
      <c r="M800" s="21">
        <v>37938</v>
      </c>
      <c r="N800">
        <v>2003</v>
      </c>
      <c r="R800" s="262">
        <v>10000</v>
      </c>
      <c r="S800" t="s">
        <v>114</v>
      </c>
      <c r="T800" t="s">
        <v>114</v>
      </c>
      <c r="U800">
        <v>5</v>
      </c>
      <c r="W800">
        <v>95</v>
      </c>
      <c r="X800">
        <v>0</v>
      </c>
      <c r="Y800">
        <v>0</v>
      </c>
      <c r="Z800">
        <v>0</v>
      </c>
      <c r="AA800">
        <v>0</v>
      </c>
      <c r="AB800">
        <v>0</v>
      </c>
      <c r="AC800">
        <v>95</v>
      </c>
      <c r="AD800">
        <v>0</v>
      </c>
      <c r="AE800">
        <v>0</v>
      </c>
      <c r="AF800">
        <v>0</v>
      </c>
      <c r="AG800">
        <v>0</v>
      </c>
      <c r="AH800">
        <v>0</v>
      </c>
      <c r="AI800">
        <v>0</v>
      </c>
      <c r="AJ800">
        <v>0</v>
      </c>
      <c r="AK800">
        <v>0</v>
      </c>
      <c r="AL800">
        <v>0</v>
      </c>
      <c r="AM800">
        <v>0</v>
      </c>
      <c r="AN800">
        <v>0</v>
      </c>
      <c r="AO800">
        <v>0</v>
      </c>
      <c r="AP800">
        <v>0</v>
      </c>
      <c r="AQ800">
        <v>0</v>
      </c>
      <c r="AR800">
        <v>0</v>
      </c>
      <c r="AS800">
        <v>0</v>
      </c>
      <c r="AT800">
        <v>0</v>
      </c>
      <c r="AU800">
        <f t="shared" si="24"/>
        <v>0</v>
      </c>
      <c r="AV800">
        <f t="shared" si="25"/>
        <v>0</v>
      </c>
    </row>
    <row r="801" spans="1:48" x14ac:dyDescent="0.25">
      <c r="A801" t="s">
        <v>4379</v>
      </c>
      <c r="C801" t="s">
        <v>4380</v>
      </c>
      <c r="D801" t="s">
        <v>4381</v>
      </c>
      <c r="E801" t="s">
        <v>2310</v>
      </c>
      <c r="F801">
        <v>7</v>
      </c>
      <c r="G801">
        <v>7.1</v>
      </c>
      <c r="H801" t="s">
        <v>2017</v>
      </c>
      <c r="I801" s="21">
        <v>37900</v>
      </c>
      <c r="J801">
        <v>2003</v>
      </c>
      <c r="K801" s="21">
        <v>37925</v>
      </c>
      <c r="L801">
        <v>2003</v>
      </c>
      <c r="M801" s="21">
        <v>39226</v>
      </c>
      <c r="N801">
        <v>2007</v>
      </c>
      <c r="R801" s="262">
        <v>30000</v>
      </c>
      <c r="S801" t="s">
        <v>114</v>
      </c>
      <c r="T801" t="s">
        <v>114</v>
      </c>
      <c r="U801">
        <v>15</v>
      </c>
      <c r="W801">
        <v>116</v>
      </c>
      <c r="X801">
        <v>0</v>
      </c>
      <c r="Y801">
        <v>0</v>
      </c>
      <c r="Z801">
        <v>0</v>
      </c>
      <c r="AA801">
        <v>0</v>
      </c>
      <c r="AB801">
        <v>0</v>
      </c>
      <c r="AC801">
        <v>0</v>
      </c>
      <c r="AD801">
        <v>0</v>
      </c>
      <c r="AE801">
        <v>0</v>
      </c>
      <c r="AF801">
        <v>0</v>
      </c>
      <c r="AG801">
        <v>0</v>
      </c>
      <c r="AH801">
        <v>0</v>
      </c>
      <c r="AI801">
        <v>0</v>
      </c>
      <c r="AJ801">
        <v>0</v>
      </c>
      <c r="AK801">
        <v>0</v>
      </c>
      <c r="AL801">
        <v>0</v>
      </c>
      <c r="AM801">
        <v>116</v>
      </c>
      <c r="AN801">
        <v>0</v>
      </c>
      <c r="AO801">
        <v>0</v>
      </c>
      <c r="AP801">
        <v>0</v>
      </c>
      <c r="AQ801">
        <v>0</v>
      </c>
      <c r="AR801">
        <v>0</v>
      </c>
      <c r="AS801">
        <v>0</v>
      </c>
      <c r="AT801">
        <v>0</v>
      </c>
      <c r="AU801">
        <f t="shared" si="24"/>
        <v>0</v>
      </c>
      <c r="AV801">
        <f t="shared" si="25"/>
        <v>116</v>
      </c>
    </row>
    <row r="802" spans="1:48" x14ac:dyDescent="0.25">
      <c r="A802" t="s">
        <v>4382</v>
      </c>
      <c r="C802" t="s">
        <v>4383</v>
      </c>
      <c r="D802" t="s">
        <v>2628</v>
      </c>
      <c r="E802" t="s">
        <v>2310</v>
      </c>
      <c r="F802">
        <v>8</v>
      </c>
      <c r="G802">
        <v>8.1</v>
      </c>
      <c r="H802" t="s">
        <v>2323</v>
      </c>
      <c r="I802" s="21">
        <v>37901</v>
      </c>
      <c r="J802">
        <v>2003</v>
      </c>
      <c r="K802" s="21">
        <v>37928</v>
      </c>
      <c r="L802">
        <v>2003</v>
      </c>
      <c r="M802" s="21">
        <v>37928</v>
      </c>
      <c r="N802">
        <v>2003</v>
      </c>
      <c r="R802" s="262">
        <v>124000</v>
      </c>
      <c r="S802" t="s">
        <v>114</v>
      </c>
      <c r="T802" t="s">
        <v>114</v>
      </c>
      <c r="U802">
        <v>5</v>
      </c>
      <c r="W802">
        <v>620</v>
      </c>
      <c r="X802">
        <v>0</v>
      </c>
      <c r="Y802">
        <v>0</v>
      </c>
      <c r="Z802">
        <v>0</v>
      </c>
      <c r="AA802">
        <v>0</v>
      </c>
      <c r="AB802">
        <v>0</v>
      </c>
      <c r="AC802">
        <v>620</v>
      </c>
      <c r="AD802">
        <v>0</v>
      </c>
      <c r="AE802">
        <v>0</v>
      </c>
      <c r="AF802">
        <v>0</v>
      </c>
      <c r="AG802">
        <v>0</v>
      </c>
      <c r="AH802">
        <v>0</v>
      </c>
      <c r="AI802">
        <v>0</v>
      </c>
      <c r="AJ802">
        <v>0</v>
      </c>
      <c r="AK802">
        <v>0</v>
      </c>
      <c r="AL802">
        <v>0</v>
      </c>
      <c r="AM802">
        <v>0</v>
      </c>
      <c r="AN802">
        <v>0</v>
      </c>
      <c r="AO802">
        <v>0</v>
      </c>
      <c r="AP802">
        <v>0</v>
      </c>
      <c r="AQ802">
        <v>0</v>
      </c>
      <c r="AR802">
        <v>0</v>
      </c>
      <c r="AS802">
        <v>0</v>
      </c>
      <c r="AT802">
        <v>0</v>
      </c>
      <c r="AU802">
        <f t="shared" si="24"/>
        <v>0</v>
      </c>
      <c r="AV802">
        <f t="shared" si="25"/>
        <v>0</v>
      </c>
    </row>
    <row r="803" spans="1:48" x14ac:dyDescent="0.25">
      <c r="A803" t="s">
        <v>4384</v>
      </c>
      <c r="C803" t="s">
        <v>4385</v>
      </c>
      <c r="D803" t="s">
        <v>4386</v>
      </c>
      <c r="E803" t="s">
        <v>2310</v>
      </c>
      <c r="F803">
        <v>12</v>
      </c>
      <c r="G803">
        <v>12.3</v>
      </c>
      <c r="H803" t="s">
        <v>2017</v>
      </c>
      <c r="I803" s="21">
        <v>37901</v>
      </c>
      <c r="J803">
        <v>2003</v>
      </c>
      <c r="K803" s="21">
        <v>37928</v>
      </c>
      <c r="L803">
        <v>2003</v>
      </c>
      <c r="M803" s="21">
        <v>37928</v>
      </c>
      <c r="N803">
        <v>2003</v>
      </c>
      <c r="R803" s="262">
        <v>875000</v>
      </c>
      <c r="S803" t="s">
        <v>114</v>
      </c>
      <c r="T803" t="s">
        <v>114</v>
      </c>
      <c r="U803">
        <v>5</v>
      </c>
      <c r="W803">
        <v>1376</v>
      </c>
      <c r="X803">
        <v>0</v>
      </c>
      <c r="Y803">
        <v>0</v>
      </c>
      <c r="Z803">
        <v>0</v>
      </c>
      <c r="AA803">
        <v>0</v>
      </c>
      <c r="AB803">
        <v>0</v>
      </c>
      <c r="AC803">
        <v>1376</v>
      </c>
      <c r="AD803">
        <v>0</v>
      </c>
      <c r="AE803">
        <v>0</v>
      </c>
      <c r="AF803">
        <v>0</v>
      </c>
      <c r="AG803">
        <v>0</v>
      </c>
      <c r="AH803">
        <v>0</v>
      </c>
      <c r="AI803">
        <v>0</v>
      </c>
      <c r="AJ803">
        <v>0</v>
      </c>
      <c r="AK803">
        <v>0</v>
      </c>
      <c r="AL803">
        <v>0</v>
      </c>
      <c r="AM803">
        <v>0</v>
      </c>
      <c r="AN803">
        <v>0</v>
      </c>
      <c r="AO803">
        <v>0</v>
      </c>
      <c r="AP803">
        <v>0</v>
      </c>
      <c r="AQ803">
        <v>0</v>
      </c>
      <c r="AR803">
        <v>0</v>
      </c>
      <c r="AS803">
        <v>0</v>
      </c>
      <c r="AT803">
        <v>0</v>
      </c>
      <c r="AU803">
        <f t="shared" si="24"/>
        <v>0</v>
      </c>
      <c r="AV803">
        <f t="shared" si="25"/>
        <v>0</v>
      </c>
    </row>
    <row r="804" spans="1:48" x14ac:dyDescent="0.25">
      <c r="A804" t="s">
        <v>4387</v>
      </c>
      <c r="C804" t="s">
        <v>4388</v>
      </c>
      <c r="D804" t="s">
        <v>4389</v>
      </c>
      <c r="E804" t="s">
        <v>2310</v>
      </c>
      <c r="F804">
        <v>15</v>
      </c>
      <c r="G804">
        <v>15.2</v>
      </c>
      <c r="H804" t="s">
        <v>2323</v>
      </c>
      <c r="I804" s="21">
        <v>37902</v>
      </c>
      <c r="J804">
        <v>2003</v>
      </c>
      <c r="K804" s="21">
        <v>37928</v>
      </c>
      <c r="L804">
        <v>2003</v>
      </c>
      <c r="M804" s="21">
        <v>37928</v>
      </c>
      <c r="N804">
        <v>2003</v>
      </c>
      <c r="R804" s="262">
        <v>5000</v>
      </c>
      <c r="S804" t="s">
        <v>114</v>
      </c>
      <c r="T804" t="s">
        <v>114</v>
      </c>
      <c r="U804">
        <v>5</v>
      </c>
      <c r="W804">
        <v>2400</v>
      </c>
      <c r="X804">
        <v>0</v>
      </c>
      <c r="Y804">
        <v>0</v>
      </c>
      <c r="Z804">
        <v>0</v>
      </c>
      <c r="AA804">
        <v>0</v>
      </c>
      <c r="AB804">
        <v>0</v>
      </c>
      <c r="AC804">
        <v>2400</v>
      </c>
      <c r="AD804">
        <v>0</v>
      </c>
      <c r="AE804">
        <v>0</v>
      </c>
      <c r="AF804">
        <v>0</v>
      </c>
      <c r="AG804">
        <v>0</v>
      </c>
      <c r="AH804">
        <v>0</v>
      </c>
      <c r="AI804">
        <v>0</v>
      </c>
      <c r="AJ804">
        <v>0</v>
      </c>
      <c r="AK804">
        <v>0</v>
      </c>
      <c r="AL804">
        <v>0</v>
      </c>
      <c r="AM804">
        <v>0</v>
      </c>
      <c r="AN804">
        <v>0</v>
      </c>
      <c r="AO804">
        <v>0</v>
      </c>
      <c r="AP804">
        <v>0</v>
      </c>
      <c r="AQ804">
        <v>0</v>
      </c>
      <c r="AR804">
        <v>0</v>
      </c>
      <c r="AS804">
        <v>0</v>
      </c>
      <c r="AT804">
        <v>0</v>
      </c>
      <c r="AU804">
        <f t="shared" si="24"/>
        <v>0</v>
      </c>
      <c r="AV804">
        <f t="shared" si="25"/>
        <v>0</v>
      </c>
    </row>
    <row r="805" spans="1:48" x14ac:dyDescent="0.25">
      <c r="A805" t="s">
        <v>4390</v>
      </c>
      <c r="C805" t="s">
        <v>4391</v>
      </c>
      <c r="D805" t="s">
        <v>4392</v>
      </c>
      <c r="E805" t="s">
        <v>1663</v>
      </c>
      <c r="F805">
        <v>6</v>
      </c>
      <c r="G805">
        <v>6.1</v>
      </c>
      <c r="H805" t="s">
        <v>2017</v>
      </c>
      <c r="I805" s="21">
        <v>37903</v>
      </c>
      <c r="J805">
        <v>2003</v>
      </c>
      <c r="K805" s="21">
        <v>37934</v>
      </c>
      <c r="L805">
        <v>2003</v>
      </c>
      <c r="M805" s="21">
        <v>38086</v>
      </c>
      <c r="N805">
        <v>2004</v>
      </c>
      <c r="Q805" s="262">
        <v>0</v>
      </c>
      <c r="S805" t="s">
        <v>114</v>
      </c>
      <c r="T805" t="s">
        <v>114</v>
      </c>
      <c r="W805">
        <v>1146</v>
      </c>
      <c r="X805">
        <v>1</v>
      </c>
      <c r="Y805">
        <v>0</v>
      </c>
      <c r="Z805">
        <v>0</v>
      </c>
      <c r="AA805">
        <v>0</v>
      </c>
      <c r="AB805">
        <v>0</v>
      </c>
      <c r="AC805">
        <v>1146</v>
      </c>
      <c r="AD805">
        <v>0</v>
      </c>
      <c r="AE805">
        <v>0</v>
      </c>
      <c r="AF805">
        <v>0</v>
      </c>
      <c r="AG805">
        <v>0</v>
      </c>
      <c r="AH805">
        <v>0</v>
      </c>
      <c r="AI805">
        <v>0</v>
      </c>
      <c r="AJ805">
        <v>0</v>
      </c>
      <c r="AK805">
        <v>0</v>
      </c>
      <c r="AL805">
        <v>0</v>
      </c>
      <c r="AM805">
        <v>0</v>
      </c>
      <c r="AN805">
        <v>0</v>
      </c>
      <c r="AO805">
        <v>1</v>
      </c>
      <c r="AP805">
        <v>0</v>
      </c>
      <c r="AQ805">
        <v>0</v>
      </c>
      <c r="AR805">
        <v>0</v>
      </c>
      <c r="AS805">
        <v>0</v>
      </c>
      <c r="AT805">
        <v>0</v>
      </c>
      <c r="AU805">
        <f t="shared" si="24"/>
        <v>1</v>
      </c>
      <c r="AV805">
        <f t="shared" si="25"/>
        <v>0</v>
      </c>
    </row>
    <row r="806" spans="1:48" x14ac:dyDescent="0.25">
      <c r="A806" t="s">
        <v>4393</v>
      </c>
      <c r="C806" t="s">
        <v>4394</v>
      </c>
      <c r="D806" t="s">
        <v>4395</v>
      </c>
      <c r="E806" t="s">
        <v>1663</v>
      </c>
      <c r="F806">
        <v>3</v>
      </c>
      <c r="G806">
        <v>3.2</v>
      </c>
      <c r="H806" t="s">
        <v>2327</v>
      </c>
      <c r="I806" s="21">
        <v>37904</v>
      </c>
      <c r="J806">
        <v>2003</v>
      </c>
      <c r="K806" s="21">
        <v>37935</v>
      </c>
      <c r="L806">
        <v>2003</v>
      </c>
      <c r="M806" s="21">
        <v>38087</v>
      </c>
      <c r="N806">
        <v>2004</v>
      </c>
      <c r="Q806" s="262">
        <v>168640</v>
      </c>
      <c r="S806" t="s">
        <v>114</v>
      </c>
      <c r="T806" t="s">
        <v>114</v>
      </c>
      <c r="W806">
        <v>1984</v>
      </c>
      <c r="X806">
        <v>1</v>
      </c>
      <c r="Y806">
        <v>0</v>
      </c>
      <c r="Z806">
        <v>0</v>
      </c>
      <c r="AA806">
        <v>0</v>
      </c>
      <c r="AB806">
        <v>0</v>
      </c>
      <c r="AC806">
        <v>1984</v>
      </c>
      <c r="AD806">
        <v>0</v>
      </c>
      <c r="AE806">
        <v>0</v>
      </c>
      <c r="AF806">
        <v>0</v>
      </c>
      <c r="AG806">
        <v>0</v>
      </c>
      <c r="AH806">
        <v>0</v>
      </c>
      <c r="AI806">
        <v>0</v>
      </c>
      <c r="AJ806">
        <v>0</v>
      </c>
      <c r="AK806">
        <v>0</v>
      </c>
      <c r="AL806">
        <v>0</v>
      </c>
      <c r="AM806">
        <v>0</v>
      </c>
      <c r="AN806">
        <v>0</v>
      </c>
      <c r="AO806">
        <v>1</v>
      </c>
      <c r="AP806">
        <v>0</v>
      </c>
      <c r="AQ806">
        <v>0</v>
      </c>
      <c r="AR806">
        <v>0</v>
      </c>
      <c r="AS806">
        <v>0</v>
      </c>
      <c r="AT806">
        <v>0</v>
      </c>
      <c r="AU806">
        <f t="shared" si="24"/>
        <v>1</v>
      </c>
      <c r="AV806">
        <f t="shared" si="25"/>
        <v>0</v>
      </c>
    </row>
    <row r="807" spans="1:48" x14ac:dyDescent="0.25">
      <c r="A807" t="s">
        <v>4396</v>
      </c>
      <c r="C807" t="s">
        <v>4397</v>
      </c>
      <c r="D807" t="s">
        <v>4398</v>
      </c>
      <c r="E807" t="s">
        <v>2310</v>
      </c>
      <c r="F807">
        <v>9</v>
      </c>
      <c r="G807">
        <v>9.4</v>
      </c>
      <c r="H807" t="s">
        <v>2323</v>
      </c>
      <c r="I807" s="21">
        <v>37907</v>
      </c>
      <c r="J807">
        <v>2003</v>
      </c>
      <c r="K807" s="21">
        <v>37972</v>
      </c>
      <c r="L807">
        <v>2003</v>
      </c>
      <c r="M807" s="21">
        <v>38418</v>
      </c>
      <c r="N807">
        <v>2005</v>
      </c>
      <c r="R807" s="262">
        <v>905000</v>
      </c>
      <c r="S807" t="s">
        <v>114</v>
      </c>
      <c r="T807" t="s">
        <v>114</v>
      </c>
      <c r="U807">
        <v>5</v>
      </c>
      <c r="W807">
        <v>3770</v>
      </c>
      <c r="X807">
        <v>1</v>
      </c>
      <c r="Y807">
        <v>0</v>
      </c>
      <c r="Z807">
        <v>0</v>
      </c>
      <c r="AA807">
        <v>0</v>
      </c>
      <c r="AB807">
        <v>0</v>
      </c>
      <c r="AC807">
        <v>3770</v>
      </c>
      <c r="AD807">
        <v>0</v>
      </c>
      <c r="AE807">
        <v>0</v>
      </c>
      <c r="AF807">
        <v>0</v>
      </c>
      <c r="AG807">
        <v>0</v>
      </c>
      <c r="AH807">
        <v>0</v>
      </c>
      <c r="AI807">
        <v>0</v>
      </c>
      <c r="AJ807">
        <v>0</v>
      </c>
      <c r="AK807">
        <v>0</v>
      </c>
      <c r="AL807">
        <v>0</v>
      </c>
      <c r="AM807">
        <v>0</v>
      </c>
      <c r="AN807">
        <v>0</v>
      </c>
      <c r="AO807">
        <v>1</v>
      </c>
      <c r="AP807">
        <v>0</v>
      </c>
      <c r="AQ807">
        <v>0</v>
      </c>
      <c r="AR807">
        <v>0</v>
      </c>
      <c r="AS807">
        <v>0</v>
      </c>
      <c r="AT807">
        <v>0</v>
      </c>
      <c r="AU807">
        <f t="shared" si="24"/>
        <v>1</v>
      </c>
      <c r="AV807">
        <f t="shared" si="25"/>
        <v>0</v>
      </c>
    </row>
    <row r="808" spans="1:48" x14ac:dyDescent="0.25">
      <c r="A808" t="s">
        <v>4399</v>
      </c>
      <c r="C808" t="s">
        <v>4400</v>
      </c>
      <c r="D808" t="s">
        <v>4401</v>
      </c>
      <c r="E808" t="s">
        <v>2310</v>
      </c>
      <c r="F808">
        <v>9</v>
      </c>
      <c r="G808">
        <v>9.3000000000000007</v>
      </c>
      <c r="H808" t="s">
        <v>2323</v>
      </c>
      <c r="I808" s="21">
        <v>37907</v>
      </c>
      <c r="J808">
        <v>2003</v>
      </c>
      <c r="K808" s="21">
        <v>37950</v>
      </c>
      <c r="L808">
        <v>2003</v>
      </c>
      <c r="M808" s="21">
        <v>38331</v>
      </c>
      <c r="N808">
        <v>2004</v>
      </c>
      <c r="R808" s="262">
        <v>200000</v>
      </c>
      <c r="S808" t="s">
        <v>114</v>
      </c>
      <c r="T808" t="s">
        <v>114</v>
      </c>
      <c r="U808">
        <v>8</v>
      </c>
      <c r="W808">
        <v>1255</v>
      </c>
      <c r="X808">
        <v>1</v>
      </c>
      <c r="Y808">
        <v>0</v>
      </c>
      <c r="Z808">
        <v>0</v>
      </c>
      <c r="AA808">
        <v>0</v>
      </c>
      <c r="AB808">
        <v>0</v>
      </c>
      <c r="AC808">
        <v>256</v>
      </c>
      <c r="AD808">
        <v>0</v>
      </c>
      <c r="AE808">
        <v>0</v>
      </c>
      <c r="AF808">
        <v>999</v>
      </c>
      <c r="AG808">
        <v>0</v>
      </c>
      <c r="AH808">
        <v>0</v>
      </c>
      <c r="AI808">
        <v>0</v>
      </c>
      <c r="AJ808">
        <v>0</v>
      </c>
      <c r="AK808">
        <v>0</v>
      </c>
      <c r="AL808">
        <v>0</v>
      </c>
      <c r="AM808">
        <v>0</v>
      </c>
      <c r="AN808">
        <v>0</v>
      </c>
      <c r="AO808">
        <v>0</v>
      </c>
      <c r="AP808">
        <v>0</v>
      </c>
      <c r="AQ808">
        <v>0</v>
      </c>
      <c r="AR808">
        <v>1</v>
      </c>
      <c r="AS808">
        <v>0</v>
      </c>
      <c r="AT808">
        <v>0</v>
      </c>
      <c r="AU808">
        <f t="shared" si="24"/>
        <v>0</v>
      </c>
      <c r="AV808">
        <f t="shared" si="25"/>
        <v>0</v>
      </c>
    </row>
    <row r="809" spans="1:48" x14ac:dyDescent="0.25">
      <c r="A809" t="s">
        <v>4402</v>
      </c>
      <c r="C809" t="s">
        <v>4403</v>
      </c>
      <c r="D809" t="s">
        <v>4404</v>
      </c>
      <c r="E809" t="s">
        <v>2310</v>
      </c>
      <c r="F809">
        <v>10</v>
      </c>
      <c r="G809">
        <v>10.1</v>
      </c>
      <c r="H809" t="s">
        <v>2323</v>
      </c>
      <c r="I809" s="21">
        <v>37908</v>
      </c>
      <c r="J809">
        <v>2003</v>
      </c>
      <c r="K809" s="21">
        <v>37938</v>
      </c>
      <c r="L809">
        <v>2003</v>
      </c>
      <c r="M809" s="21">
        <v>37938</v>
      </c>
      <c r="N809">
        <v>2003</v>
      </c>
      <c r="R809" s="262">
        <v>150000</v>
      </c>
      <c r="S809" t="s">
        <v>114</v>
      </c>
      <c r="T809" t="s">
        <v>114</v>
      </c>
      <c r="U809">
        <v>5</v>
      </c>
      <c r="W809">
        <v>1480</v>
      </c>
      <c r="X809">
        <v>0</v>
      </c>
      <c r="Y809">
        <v>0</v>
      </c>
      <c r="Z809">
        <v>0</v>
      </c>
      <c r="AA809">
        <v>0</v>
      </c>
      <c r="AB809">
        <v>0</v>
      </c>
      <c r="AC809">
        <v>1480</v>
      </c>
      <c r="AD809">
        <v>0</v>
      </c>
      <c r="AE809">
        <v>0</v>
      </c>
      <c r="AF809">
        <v>0</v>
      </c>
      <c r="AG809">
        <v>0</v>
      </c>
      <c r="AH809">
        <v>0</v>
      </c>
      <c r="AI809">
        <v>0</v>
      </c>
      <c r="AJ809">
        <v>0</v>
      </c>
      <c r="AK809">
        <v>0</v>
      </c>
      <c r="AL809">
        <v>0</v>
      </c>
      <c r="AM809">
        <v>0</v>
      </c>
      <c r="AN809">
        <v>0</v>
      </c>
      <c r="AO809">
        <v>0</v>
      </c>
      <c r="AP809">
        <v>0</v>
      </c>
      <c r="AQ809">
        <v>0</v>
      </c>
      <c r="AR809">
        <v>0</v>
      </c>
      <c r="AS809">
        <v>0</v>
      </c>
      <c r="AT809">
        <v>0</v>
      </c>
      <c r="AU809">
        <f t="shared" si="24"/>
        <v>0</v>
      </c>
      <c r="AV809">
        <f t="shared" si="25"/>
        <v>0</v>
      </c>
    </row>
    <row r="810" spans="1:48" x14ac:dyDescent="0.25">
      <c r="A810" t="s">
        <v>4405</v>
      </c>
      <c r="C810" t="s">
        <v>4406</v>
      </c>
      <c r="D810" t="s">
        <v>4407</v>
      </c>
      <c r="E810" t="s">
        <v>2310</v>
      </c>
      <c r="F810">
        <v>8</v>
      </c>
      <c r="G810">
        <v>8.4</v>
      </c>
      <c r="H810" t="s">
        <v>2017</v>
      </c>
      <c r="I810" s="21">
        <v>37910</v>
      </c>
      <c r="J810">
        <v>2003</v>
      </c>
      <c r="K810" s="21">
        <v>37943</v>
      </c>
      <c r="L810">
        <v>2003</v>
      </c>
      <c r="M810" s="21">
        <v>37943</v>
      </c>
      <c r="N810">
        <v>2003</v>
      </c>
      <c r="R810" s="262">
        <v>166000</v>
      </c>
      <c r="S810" t="s">
        <v>114</v>
      </c>
      <c r="T810" t="s">
        <v>114</v>
      </c>
      <c r="U810">
        <v>5</v>
      </c>
      <c r="W810">
        <v>1659</v>
      </c>
      <c r="X810">
        <v>0</v>
      </c>
      <c r="Y810">
        <v>0</v>
      </c>
      <c r="Z810">
        <v>0</v>
      </c>
      <c r="AA810">
        <v>0</v>
      </c>
      <c r="AB810">
        <v>0</v>
      </c>
      <c r="AC810">
        <v>1659</v>
      </c>
      <c r="AD810">
        <v>0</v>
      </c>
      <c r="AE810">
        <v>0</v>
      </c>
      <c r="AF810">
        <v>0</v>
      </c>
      <c r="AG810">
        <v>0</v>
      </c>
      <c r="AH810">
        <v>0</v>
      </c>
      <c r="AI810">
        <v>0</v>
      </c>
      <c r="AJ810">
        <v>0</v>
      </c>
      <c r="AK810">
        <v>0</v>
      </c>
      <c r="AL810">
        <v>0</v>
      </c>
      <c r="AM810">
        <v>0</v>
      </c>
      <c r="AN810">
        <v>0</v>
      </c>
      <c r="AO810">
        <v>0</v>
      </c>
      <c r="AP810">
        <v>0</v>
      </c>
      <c r="AQ810">
        <v>0</v>
      </c>
      <c r="AR810">
        <v>0</v>
      </c>
      <c r="AS810">
        <v>0</v>
      </c>
      <c r="AT810">
        <v>0</v>
      </c>
      <c r="AU810">
        <f t="shared" si="24"/>
        <v>0</v>
      </c>
      <c r="AV810">
        <f t="shared" si="25"/>
        <v>0</v>
      </c>
    </row>
    <row r="811" spans="1:48" x14ac:dyDescent="0.25">
      <c r="A811" t="s">
        <v>4408</v>
      </c>
      <c r="C811" t="s">
        <v>4409</v>
      </c>
      <c r="D811" t="s">
        <v>4410</v>
      </c>
      <c r="E811" t="s">
        <v>2310</v>
      </c>
      <c r="F811">
        <v>10</v>
      </c>
      <c r="G811">
        <v>10.1</v>
      </c>
      <c r="H811" t="s">
        <v>2323</v>
      </c>
      <c r="I811" s="21">
        <v>37911</v>
      </c>
      <c r="J811">
        <v>2003</v>
      </c>
      <c r="K811" s="21">
        <v>38110</v>
      </c>
      <c r="L811">
        <v>2004</v>
      </c>
      <c r="M811" s="21">
        <v>38951</v>
      </c>
      <c r="N811">
        <v>2006</v>
      </c>
      <c r="R811" s="262">
        <v>80000</v>
      </c>
      <c r="S811" t="s">
        <v>114</v>
      </c>
      <c r="T811" t="s">
        <v>114</v>
      </c>
      <c r="U811">
        <v>5</v>
      </c>
      <c r="W811">
        <v>1461</v>
      </c>
      <c r="X811">
        <v>1</v>
      </c>
      <c r="Y811">
        <v>0</v>
      </c>
      <c r="Z811">
        <v>0</v>
      </c>
      <c r="AA811">
        <v>0</v>
      </c>
      <c r="AB811">
        <v>0</v>
      </c>
      <c r="AC811">
        <v>1461</v>
      </c>
      <c r="AD811">
        <v>0</v>
      </c>
      <c r="AE811">
        <v>0</v>
      </c>
      <c r="AF811">
        <v>0</v>
      </c>
      <c r="AG811">
        <v>0</v>
      </c>
      <c r="AH811">
        <v>0</v>
      </c>
      <c r="AI811">
        <v>0</v>
      </c>
      <c r="AJ811">
        <v>0</v>
      </c>
      <c r="AK811">
        <v>0</v>
      </c>
      <c r="AL811">
        <v>0</v>
      </c>
      <c r="AM811">
        <v>0</v>
      </c>
      <c r="AN811">
        <v>0</v>
      </c>
      <c r="AO811">
        <v>1</v>
      </c>
      <c r="AP811">
        <v>0</v>
      </c>
      <c r="AQ811">
        <v>0</v>
      </c>
      <c r="AR811">
        <v>0</v>
      </c>
      <c r="AS811">
        <v>0</v>
      </c>
      <c r="AT811">
        <v>0</v>
      </c>
      <c r="AU811">
        <f t="shared" si="24"/>
        <v>1</v>
      </c>
      <c r="AV811">
        <f t="shared" si="25"/>
        <v>0</v>
      </c>
    </row>
    <row r="812" spans="1:48" x14ac:dyDescent="0.25">
      <c r="A812" t="s">
        <v>4411</v>
      </c>
      <c r="C812" t="s">
        <v>4412</v>
      </c>
      <c r="D812" t="s">
        <v>3943</v>
      </c>
      <c r="E812" t="s">
        <v>2310</v>
      </c>
      <c r="F812">
        <v>9</v>
      </c>
      <c r="G812">
        <v>9.3000000000000007</v>
      </c>
      <c r="H812" t="s">
        <v>2323</v>
      </c>
      <c r="I812" s="21">
        <v>37911</v>
      </c>
      <c r="J812">
        <v>2003</v>
      </c>
      <c r="K812" s="21">
        <v>37925</v>
      </c>
      <c r="L812">
        <v>2003</v>
      </c>
      <c r="M812" s="21">
        <v>37960</v>
      </c>
      <c r="N812">
        <v>2003</v>
      </c>
      <c r="R812" s="262">
        <v>5000</v>
      </c>
      <c r="S812" t="s">
        <v>114</v>
      </c>
      <c r="T812" t="s">
        <v>114</v>
      </c>
      <c r="U812">
        <v>15</v>
      </c>
      <c r="W812">
        <v>0</v>
      </c>
      <c r="X812">
        <v>0</v>
      </c>
      <c r="Y812">
        <v>0</v>
      </c>
      <c r="Z812">
        <v>0</v>
      </c>
      <c r="AA812">
        <v>0</v>
      </c>
      <c r="AB812">
        <v>0</v>
      </c>
      <c r="AC812">
        <v>0</v>
      </c>
      <c r="AD812">
        <v>0</v>
      </c>
      <c r="AE812">
        <v>0</v>
      </c>
      <c r="AF812">
        <v>0</v>
      </c>
      <c r="AG812">
        <v>0</v>
      </c>
      <c r="AH812">
        <v>0</v>
      </c>
      <c r="AI812">
        <v>0</v>
      </c>
      <c r="AJ812">
        <v>0</v>
      </c>
      <c r="AK812">
        <v>0</v>
      </c>
      <c r="AL812">
        <v>0</v>
      </c>
      <c r="AM812">
        <v>0</v>
      </c>
      <c r="AN812">
        <v>0</v>
      </c>
      <c r="AO812">
        <v>0</v>
      </c>
      <c r="AP812">
        <v>0</v>
      </c>
      <c r="AQ812">
        <v>0</v>
      </c>
      <c r="AR812">
        <v>0</v>
      </c>
      <c r="AS812">
        <v>0</v>
      </c>
      <c r="AT812">
        <v>0</v>
      </c>
      <c r="AU812">
        <f t="shared" si="24"/>
        <v>0</v>
      </c>
      <c r="AV812">
        <f t="shared" si="25"/>
        <v>0</v>
      </c>
    </row>
    <row r="813" spans="1:48" x14ac:dyDescent="0.25">
      <c r="A813" t="s">
        <v>4413</v>
      </c>
      <c r="C813" t="s">
        <v>4414</v>
      </c>
      <c r="D813" t="s">
        <v>4415</v>
      </c>
      <c r="E813" t="s">
        <v>2310</v>
      </c>
      <c r="F813">
        <v>9</v>
      </c>
      <c r="G813">
        <v>9.3000000000000007</v>
      </c>
      <c r="H813" t="s">
        <v>2323</v>
      </c>
      <c r="I813" s="21">
        <v>37911</v>
      </c>
      <c r="J813">
        <v>2003</v>
      </c>
      <c r="K813" s="21">
        <v>37949</v>
      </c>
      <c r="L813">
        <v>2003</v>
      </c>
      <c r="M813" s="21">
        <v>38474</v>
      </c>
      <c r="N813">
        <v>2005</v>
      </c>
      <c r="R813" s="262">
        <v>600000</v>
      </c>
      <c r="S813" t="s">
        <v>114</v>
      </c>
      <c r="T813" t="s">
        <v>114</v>
      </c>
      <c r="U813">
        <v>5</v>
      </c>
      <c r="W813">
        <v>0</v>
      </c>
      <c r="X813">
        <v>0</v>
      </c>
      <c r="Y813">
        <v>0</v>
      </c>
      <c r="Z813">
        <v>0</v>
      </c>
      <c r="AA813">
        <v>0</v>
      </c>
      <c r="AB813">
        <v>0</v>
      </c>
      <c r="AC813">
        <v>0</v>
      </c>
      <c r="AD813">
        <v>0</v>
      </c>
      <c r="AE813">
        <v>0</v>
      </c>
      <c r="AF813">
        <v>0</v>
      </c>
      <c r="AG813">
        <v>0</v>
      </c>
      <c r="AH813">
        <v>0</v>
      </c>
      <c r="AI813">
        <v>0</v>
      </c>
      <c r="AJ813">
        <v>0</v>
      </c>
      <c r="AK813">
        <v>0</v>
      </c>
      <c r="AL813">
        <v>0</v>
      </c>
      <c r="AM813">
        <v>0</v>
      </c>
      <c r="AN813">
        <v>0</v>
      </c>
      <c r="AO813">
        <v>0</v>
      </c>
      <c r="AP813">
        <v>0</v>
      </c>
      <c r="AQ813">
        <v>0</v>
      </c>
      <c r="AR813">
        <v>0</v>
      </c>
      <c r="AS813">
        <v>0</v>
      </c>
      <c r="AT813">
        <v>0</v>
      </c>
      <c r="AU813">
        <f t="shared" si="24"/>
        <v>0</v>
      </c>
      <c r="AV813">
        <f t="shared" si="25"/>
        <v>0</v>
      </c>
    </row>
    <row r="814" spans="1:48" x14ac:dyDescent="0.25">
      <c r="A814" t="s">
        <v>4416</v>
      </c>
      <c r="C814" t="s">
        <v>4417</v>
      </c>
      <c r="D814" t="s">
        <v>4418</v>
      </c>
      <c r="E814" t="s">
        <v>1663</v>
      </c>
      <c r="F814">
        <v>6</v>
      </c>
      <c r="G814">
        <v>6.1</v>
      </c>
      <c r="H814" t="s">
        <v>2017</v>
      </c>
      <c r="I814" s="21">
        <v>37914</v>
      </c>
      <c r="J814">
        <v>2003</v>
      </c>
      <c r="K814" s="21">
        <v>37945</v>
      </c>
      <c r="L814">
        <v>2003</v>
      </c>
      <c r="M814" s="21">
        <v>38097</v>
      </c>
      <c r="N814">
        <v>2004</v>
      </c>
      <c r="Q814" s="262">
        <v>290000</v>
      </c>
      <c r="S814" t="s">
        <v>114</v>
      </c>
      <c r="T814" t="s">
        <v>114</v>
      </c>
      <c r="W814">
        <v>3492</v>
      </c>
      <c r="X814">
        <v>1</v>
      </c>
      <c r="Y814">
        <v>0</v>
      </c>
      <c r="Z814">
        <v>0</v>
      </c>
      <c r="AA814">
        <v>0</v>
      </c>
      <c r="AB814">
        <v>0</v>
      </c>
      <c r="AC814">
        <v>3492</v>
      </c>
      <c r="AD814">
        <v>0</v>
      </c>
      <c r="AE814">
        <v>0</v>
      </c>
      <c r="AF814">
        <v>0</v>
      </c>
      <c r="AG814">
        <v>0</v>
      </c>
      <c r="AH814">
        <v>0</v>
      </c>
      <c r="AI814">
        <v>0</v>
      </c>
      <c r="AJ814">
        <v>0</v>
      </c>
      <c r="AK814">
        <v>0</v>
      </c>
      <c r="AL814">
        <v>0</v>
      </c>
      <c r="AM814">
        <v>0</v>
      </c>
      <c r="AN814">
        <v>0</v>
      </c>
      <c r="AO814">
        <v>1</v>
      </c>
      <c r="AP814">
        <v>0</v>
      </c>
      <c r="AQ814">
        <v>0</v>
      </c>
      <c r="AR814">
        <v>0</v>
      </c>
      <c r="AS814">
        <v>0</v>
      </c>
      <c r="AT814">
        <v>0</v>
      </c>
      <c r="AU814">
        <f t="shared" si="24"/>
        <v>1</v>
      </c>
      <c r="AV814">
        <f t="shared" si="25"/>
        <v>0</v>
      </c>
    </row>
    <row r="815" spans="1:48" x14ac:dyDescent="0.25">
      <c r="A815" t="s">
        <v>4419</v>
      </c>
      <c r="C815" t="s">
        <v>4420</v>
      </c>
      <c r="D815" t="s">
        <v>4365</v>
      </c>
      <c r="E815" t="s">
        <v>2310</v>
      </c>
      <c r="F815">
        <v>9</v>
      </c>
      <c r="G815">
        <v>9.1</v>
      </c>
      <c r="H815" t="s">
        <v>2323</v>
      </c>
      <c r="I815" s="21">
        <v>37915</v>
      </c>
      <c r="J815">
        <v>2003</v>
      </c>
      <c r="K815" s="21">
        <v>37936</v>
      </c>
      <c r="L815">
        <v>2003</v>
      </c>
      <c r="M815" s="21">
        <v>38299</v>
      </c>
      <c r="N815">
        <v>2004</v>
      </c>
      <c r="R815" s="262">
        <v>183100</v>
      </c>
      <c r="S815" t="s">
        <v>114</v>
      </c>
      <c r="T815" t="s">
        <v>114</v>
      </c>
      <c r="U815">
        <v>15</v>
      </c>
      <c r="W815">
        <v>4464</v>
      </c>
      <c r="X815">
        <v>0</v>
      </c>
      <c r="Y815">
        <v>0</v>
      </c>
      <c r="Z815">
        <v>0</v>
      </c>
      <c r="AA815">
        <v>0</v>
      </c>
      <c r="AB815">
        <v>0</v>
      </c>
      <c r="AC815">
        <v>0</v>
      </c>
      <c r="AD815">
        <v>0</v>
      </c>
      <c r="AE815">
        <v>0</v>
      </c>
      <c r="AF815">
        <v>0</v>
      </c>
      <c r="AG815">
        <v>0</v>
      </c>
      <c r="AH815">
        <v>0</v>
      </c>
      <c r="AI815">
        <v>0</v>
      </c>
      <c r="AJ815">
        <v>0</v>
      </c>
      <c r="AK815">
        <v>0</v>
      </c>
      <c r="AL815">
        <v>0</v>
      </c>
      <c r="AM815">
        <v>4464</v>
      </c>
      <c r="AN815">
        <v>0</v>
      </c>
      <c r="AO815">
        <v>0</v>
      </c>
      <c r="AP815">
        <v>0</v>
      </c>
      <c r="AQ815">
        <v>0</v>
      </c>
      <c r="AR815">
        <v>0</v>
      </c>
      <c r="AS815">
        <v>0</v>
      </c>
      <c r="AT815">
        <v>0</v>
      </c>
      <c r="AU815">
        <f t="shared" si="24"/>
        <v>0</v>
      </c>
      <c r="AV815">
        <f t="shared" si="25"/>
        <v>4464</v>
      </c>
    </row>
    <row r="816" spans="1:48" x14ac:dyDescent="0.25">
      <c r="A816" t="s">
        <v>4421</v>
      </c>
      <c r="C816" t="s">
        <v>4422</v>
      </c>
      <c r="D816" t="s">
        <v>4423</v>
      </c>
      <c r="E816" t="s">
        <v>2310</v>
      </c>
      <c r="F816">
        <v>8</v>
      </c>
      <c r="G816">
        <v>8.1999999999999993</v>
      </c>
      <c r="H816" t="s">
        <v>2022</v>
      </c>
      <c r="I816" s="21">
        <v>37915</v>
      </c>
      <c r="J816">
        <v>2003</v>
      </c>
      <c r="K816" s="21">
        <v>37949</v>
      </c>
      <c r="L816">
        <v>2003</v>
      </c>
      <c r="M816" s="21">
        <v>37949</v>
      </c>
      <c r="N816">
        <v>2003</v>
      </c>
      <c r="R816" s="262">
        <v>75000</v>
      </c>
      <c r="S816" t="s">
        <v>114</v>
      </c>
      <c r="T816" t="s">
        <v>114</v>
      </c>
      <c r="U816">
        <v>5</v>
      </c>
      <c r="W816">
        <v>0</v>
      </c>
      <c r="X816">
        <v>0</v>
      </c>
      <c r="Y816">
        <v>0</v>
      </c>
      <c r="Z816">
        <v>0</v>
      </c>
      <c r="AA816">
        <v>0</v>
      </c>
      <c r="AB816">
        <v>0</v>
      </c>
      <c r="AC816">
        <v>0</v>
      </c>
      <c r="AD816">
        <v>0</v>
      </c>
      <c r="AE816">
        <v>0</v>
      </c>
      <c r="AF816">
        <v>0</v>
      </c>
      <c r="AG816">
        <v>0</v>
      </c>
      <c r="AH816">
        <v>0</v>
      </c>
      <c r="AI816">
        <v>0</v>
      </c>
      <c r="AJ816">
        <v>0</v>
      </c>
      <c r="AK816">
        <v>0</v>
      </c>
      <c r="AL816">
        <v>0</v>
      </c>
      <c r="AM816">
        <v>0</v>
      </c>
      <c r="AN816">
        <v>0</v>
      </c>
      <c r="AO816">
        <v>0</v>
      </c>
      <c r="AP816">
        <v>0</v>
      </c>
      <c r="AQ816">
        <v>0</v>
      </c>
      <c r="AR816">
        <v>0</v>
      </c>
      <c r="AS816">
        <v>0</v>
      </c>
      <c r="AT816">
        <v>0</v>
      </c>
      <c r="AU816">
        <f t="shared" si="24"/>
        <v>0</v>
      </c>
      <c r="AV816">
        <f t="shared" si="25"/>
        <v>0</v>
      </c>
    </row>
    <row r="817" spans="1:48" x14ac:dyDescent="0.25">
      <c r="A817" t="s">
        <v>4424</v>
      </c>
      <c r="C817" t="s">
        <v>4425</v>
      </c>
      <c r="D817" t="s">
        <v>4423</v>
      </c>
      <c r="E817" t="s">
        <v>2310</v>
      </c>
      <c r="F817">
        <v>8</v>
      </c>
      <c r="G817">
        <v>8.1999999999999993</v>
      </c>
      <c r="H817" t="s">
        <v>2022</v>
      </c>
      <c r="I817" s="21">
        <v>37915</v>
      </c>
      <c r="J817">
        <v>2003</v>
      </c>
      <c r="K817" s="21">
        <v>37949</v>
      </c>
      <c r="L817">
        <v>2003</v>
      </c>
      <c r="M817" s="21">
        <v>37949</v>
      </c>
      <c r="N817">
        <v>2003</v>
      </c>
      <c r="R817" s="262">
        <v>75000</v>
      </c>
      <c r="S817" t="s">
        <v>114</v>
      </c>
      <c r="T817" t="s">
        <v>114</v>
      </c>
      <c r="U817">
        <v>5</v>
      </c>
      <c r="W817">
        <v>967</v>
      </c>
      <c r="X817">
        <v>0</v>
      </c>
      <c r="Y817">
        <v>0</v>
      </c>
      <c r="Z817">
        <v>0</v>
      </c>
      <c r="AA817">
        <v>0</v>
      </c>
      <c r="AB817">
        <v>0</v>
      </c>
      <c r="AC817">
        <v>967</v>
      </c>
      <c r="AD817">
        <v>0</v>
      </c>
      <c r="AE817">
        <v>0</v>
      </c>
      <c r="AF817">
        <v>0</v>
      </c>
      <c r="AG817">
        <v>0</v>
      </c>
      <c r="AH817">
        <v>0</v>
      </c>
      <c r="AI817">
        <v>0</v>
      </c>
      <c r="AJ817">
        <v>0</v>
      </c>
      <c r="AK817">
        <v>0</v>
      </c>
      <c r="AL817">
        <v>0</v>
      </c>
      <c r="AM817">
        <v>0</v>
      </c>
      <c r="AN817">
        <v>0</v>
      </c>
      <c r="AO817">
        <v>0</v>
      </c>
      <c r="AP817">
        <v>0</v>
      </c>
      <c r="AQ817">
        <v>0</v>
      </c>
      <c r="AR817">
        <v>0</v>
      </c>
      <c r="AS817">
        <v>0</v>
      </c>
      <c r="AT817">
        <v>0</v>
      </c>
      <c r="AU817">
        <f t="shared" si="24"/>
        <v>0</v>
      </c>
      <c r="AV817">
        <f t="shared" si="25"/>
        <v>0</v>
      </c>
    </row>
    <row r="818" spans="1:48" x14ac:dyDescent="0.25">
      <c r="A818" t="s">
        <v>4426</v>
      </c>
      <c r="C818" t="s">
        <v>4427</v>
      </c>
      <c r="D818" t="s">
        <v>4428</v>
      </c>
      <c r="E818" t="s">
        <v>1663</v>
      </c>
      <c r="F818">
        <v>6</v>
      </c>
      <c r="G818">
        <v>6.1</v>
      </c>
      <c r="H818" t="s">
        <v>2017</v>
      </c>
      <c r="I818" s="21">
        <v>37918</v>
      </c>
      <c r="J818">
        <v>2003</v>
      </c>
      <c r="K818" s="21">
        <v>37949</v>
      </c>
      <c r="L818">
        <v>2003</v>
      </c>
      <c r="M818" s="21">
        <v>38101</v>
      </c>
      <c r="N818">
        <v>2004</v>
      </c>
      <c r="Q818" s="262">
        <v>350000</v>
      </c>
      <c r="S818" t="s">
        <v>114</v>
      </c>
      <c r="T818" t="s">
        <v>114</v>
      </c>
      <c r="W818">
        <v>4320</v>
      </c>
      <c r="X818">
        <v>1</v>
      </c>
      <c r="Y818">
        <v>0</v>
      </c>
      <c r="Z818">
        <v>0</v>
      </c>
      <c r="AA818">
        <v>0</v>
      </c>
      <c r="AB818">
        <v>0</v>
      </c>
      <c r="AC818">
        <v>4320</v>
      </c>
      <c r="AD818">
        <v>0</v>
      </c>
      <c r="AE818">
        <v>0</v>
      </c>
      <c r="AF818">
        <v>0</v>
      </c>
      <c r="AG818">
        <v>0</v>
      </c>
      <c r="AH818">
        <v>0</v>
      </c>
      <c r="AI818">
        <v>0</v>
      </c>
      <c r="AJ818">
        <v>0</v>
      </c>
      <c r="AK818">
        <v>0</v>
      </c>
      <c r="AL818">
        <v>0</v>
      </c>
      <c r="AM818">
        <v>0</v>
      </c>
      <c r="AN818">
        <v>0</v>
      </c>
      <c r="AO818">
        <v>1</v>
      </c>
      <c r="AP818">
        <v>0</v>
      </c>
      <c r="AQ818">
        <v>0</v>
      </c>
      <c r="AR818">
        <v>0</v>
      </c>
      <c r="AS818">
        <v>0</v>
      </c>
      <c r="AT818">
        <v>0</v>
      </c>
      <c r="AU818">
        <f t="shared" si="24"/>
        <v>1</v>
      </c>
      <c r="AV818">
        <f t="shared" si="25"/>
        <v>0</v>
      </c>
    </row>
    <row r="819" spans="1:48" x14ac:dyDescent="0.25">
      <c r="A819" t="s">
        <v>4452</v>
      </c>
      <c r="C819" t="s">
        <v>4453</v>
      </c>
      <c r="D819" t="s">
        <v>4454</v>
      </c>
      <c r="E819" t="s">
        <v>2310</v>
      </c>
      <c r="F819">
        <v>9</v>
      </c>
      <c r="G819">
        <v>9.3000000000000007</v>
      </c>
      <c r="H819" t="s">
        <v>2323</v>
      </c>
      <c r="I819" s="21">
        <v>37918</v>
      </c>
      <c r="J819">
        <v>2003</v>
      </c>
      <c r="K819" s="21">
        <v>37991</v>
      </c>
      <c r="L819">
        <v>2004</v>
      </c>
      <c r="M819" s="21">
        <v>38362</v>
      </c>
      <c r="N819">
        <v>2005</v>
      </c>
      <c r="R819" s="262">
        <v>10000</v>
      </c>
      <c r="S819" t="s">
        <v>114</v>
      </c>
      <c r="T819" t="s">
        <v>114</v>
      </c>
      <c r="U819">
        <v>12</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0</v>
      </c>
      <c r="AQ819">
        <v>0</v>
      </c>
      <c r="AR819">
        <v>0</v>
      </c>
      <c r="AS819">
        <v>0</v>
      </c>
      <c r="AT819">
        <v>0</v>
      </c>
      <c r="AU819">
        <f t="shared" si="24"/>
        <v>0</v>
      </c>
      <c r="AV819">
        <f t="shared" si="25"/>
        <v>0</v>
      </c>
    </row>
    <row r="820" spans="1:48" x14ac:dyDescent="0.25">
      <c r="A820" t="s">
        <v>4429</v>
      </c>
      <c r="C820" t="s">
        <v>4430</v>
      </c>
      <c r="D820" t="s">
        <v>4431</v>
      </c>
      <c r="E820" t="s">
        <v>1663</v>
      </c>
      <c r="F820">
        <v>3</v>
      </c>
      <c r="G820">
        <v>3.2</v>
      </c>
      <c r="H820" t="s">
        <v>2327</v>
      </c>
      <c r="I820" s="21">
        <v>37918</v>
      </c>
      <c r="J820">
        <v>2003</v>
      </c>
      <c r="K820" s="21">
        <v>37949</v>
      </c>
      <c r="L820">
        <v>2003</v>
      </c>
      <c r="M820" s="21">
        <v>38101</v>
      </c>
      <c r="N820">
        <v>2004</v>
      </c>
      <c r="Q820" s="262">
        <v>117998</v>
      </c>
      <c r="S820" t="s">
        <v>114</v>
      </c>
      <c r="T820" t="s">
        <v>114</v>
      </c>
      <c r="W820">
        <v>1439</v>
      </c>
      <c r="X820">
        <v>1</v>
      </c>
      <c r="Y820">
        <v>0</v>
      </c>
      <c r="Z820">
        <v>0</v>
      </c>
      <c r="AA820">
        <v>0</v>
      </c>
      <c r="AB820">
        <v>0</v>
      </c>
      <c r="AC820">
        <v>0</v>
      </c>
      <c r="AD820">
        <v>1439</v>
      </c>
      <c r="AE820">
        <v>0</v>
      </c>
      <c r="AF820">
        <v>0</v>
      </c>
      <c r="AG820">
        <v>0</v>
      </c>
      <c r="AH820">
        <v>0</v>
      </c>
      <c r="AI820">
        <v>0</v>
      </c>
      <c r="AJ820">
        <v>0</v>
      </c>
      <c r="AK820">
        <v>0</v>
      </c>
      <c r="AL820">
        <v>0</v>
      </c>
      <c r="AM820">
        <v>0</v>
      </c>
      <c r="AN820">
        <v>0</v>
      </c>
      <c r="AO820">
        <v>0</v>
      </c>
      <c r="AP820">
        <v>1</v>
      </c>
      <c r="AQ820">
        <v>0</v>
      </c>
      <c r="AR820">
        <v>0</v>
      </c>
      <c r="AS820">
        <v>0</v>
      </c>
      <c r="AT820">
        <v>0</v>
      </c>
      <c r="AU820">
        <f t="shared" si="24"/>
        <v>1</v>
      </c>
      <c r="AV820">
        <f t="shared" si="25"/>
        <v>0</v>
      </c>
    </row>
    <row r="821" spans="1:48" x14ac:dyDescent="0.25">
      <c r="A821" t="s">
        <v>4432</v>
      </c>
      <c r="C821" t="s">
        <v>4433</v>
      </c>
      <c r="D821" t="s">
        <v>4431</v>
      </c>
      <c r="E821" t="s">
        <v>1663</v>
      </c>
      <c r="F821">
        <v>3</v>
      </c>
      <c r="G821">
        <v>3.2</v>
      </c>
      <c r="H821" t="s">
        <v>2327</v>
      </c>
      <c r="I821" s="21">
        <v>37918</v>
      </c>
      <c r="J821">
        <v>2003</v>
      </c>
      <c r="K821" s="21">
        <v>37949</v>
      </c>
      <c r="L821">
        <v>2003</v>
      </c>
      <c r="M821" s="21">
        <v>38101</v>
      </c>
      <c r="N821">
        <v>2004</v>
      </c>
      <c r="Q821" s="262">
        <v>117998</v>
      </c>
      <c r="S821" t="s">
        <v>114</v>
      </c>
      <c r="T821" t="s">
        <v>114</v>
      </c>
      <c r="W821">
        <v>1439</v>
      </c>
      <c r="X821">
        <v>1</v>
      </c>
      <c r="Y821">
        <v>0</v>
      </c>
      <c r="Z821">
        <v>0</v>
      </c>
      <c r="AA821">
        <v>0</v>
      </c>
      <c r="AB821">
        <v>0</v>
      </c>
      <c r="AC821">
        <v>0</v>
      </c>
      <c r="AD821">
        <v>1439</v>
      </c>
      <c r="AE821">
        <v>0</v>
      </c>
      <c r="AF821">
        <v>0</v>
      </c>
      <c r="AG821">
        <v>0</v>
      </c>
      <c r="AH821">
        <v>0</v>
      </c>
      <c r="AI821">
        <v>0</v>
      </c>
      <c r="AJ821">
        <v>0</v>
      </c>
      <c r="AK821">
        <v>0</v>
      </c>
      <c r="AL821">
        <v>0</v>
      </c>
      <c r="AM821">
        <v>0</v>
      </c>
      <c r="AN821">
        <v>0</v>
      </c>
      <c r="AO821">
        <v>0</v>
      </c>
      <c r="AP821">
        <v>1</v>
      </c>
      <c r="AQ821">
        <v>0</v>
      </c>
      <c r="AR821">
        <v>0</v>
      </c>
      <c r="AS821">
        <v>0</v>
      </c>
      <c r="AT821">
        <v>0</v>
      </c>
      <c r="AU821">
        <f t="shared" si="24"/>
        <v>1</v>
      </c>
      <c r="AV821">
        <f t="shared" si="25"/>
        <v>0</v>
      </c>
    </row>
    <row r="822" spans="1:48" x14ac:dyDescent="0.25">
      <c r="A822" t="s">
        <v>4434</v>
      </c>
      <c r="C822" t="s">
        <v>4435</v>
      </c>
      <c r="D822" t="s">
        <v>4431</v>
      </c>
      <c r="E822" t="s">
        <v>1663</v>
      </c>
      <c r="F822">
        <v>3</v>
      </c>
      <c r="G822">
        <v>3.2</v>
      </c>
      <c r="H822" t="s">
        <v>2327</v>
      </c>
      <c r="I822" s="21">
        <v>37918</v>
      </c>
      <c r="J822">
        <v>2003</v>
      </c>
      <c r="K822" s="21">
        <v>37949</v>
      </c>
      <c r="L822">
        <v>2003</v>
      </c>
      <c r="M822" s="21">
        <v>38101</v>
      </c>
      <c r="N822">
        <v>2004</v>
      </c>
      <c r="Q822" s="262">
        <v>117998</v>
      </c>
      <c r="S822" t="s">
        <v>114</v>
      </c>
      <c r="T822" t="s">
        <v>114</v>
      </c>
      <c r="W822">
        <v>1439</v>
      </c>
      <c r="X822">
        <v>1</v>
      </c>
      <c r="Y822">
        <v>0</v>
      </c>
      <c r="Z822">
        <v>0</v>
      </c>
      <c r="AA822">
        <v>0</v>
      </c>
      <c r="AB822">
        <v>0</v>
      </c>
      <c r="AC822">
        <v>0</v>
      </c>
      <c r="AD822">
        <v>1439</v>
      </c>
      <c r="AE822">
        <v>0</v>
      </c>
      <c r="AF822">
        <v>0</v>
      </c>
      <c r="AG822">
        <v>0</v>
      </c>
      <c r="AH822">
        <v>0</v>
      </c>
      <c r="AI822">
        <v>0</v>
      </c>
      <c r="AJ822">
        <v>0</v>
      </c>
      <c r="AK822">
        <v>0</v>
      </c>
      <c r="AL822">
        <v>0</v>
      </c>
      <c r="AM822">
        <v>0</v>
      </c>
      <c r="AN822">
        <v>0</v>
      </c>
      <c r="AO822">
        <v>0</v>
      </c>
      <c r="AP822">
        <v>1</v>
      </c>
      <c r="AQ822">
        <v>0</v>
      </c>
      <c r="AR822">
        <v>0</v>
      </c>
      <c r="AS822">
        <v>0</v>
      </c>
      <c r="AT822">
        <v>0</v>
      </c>
      <c r="AU822">
        <f t="shared" si="24"/>
        <v>1</v>
      </c>
      <c r="AV822">
        <f t="shared" si="25"/>
        <v>0</v>
      </c>
    </row>
    <row r="823" spans="1:48" x14ac:dyDescent="0.25">
      <c r="A823" t="s">
        <v>4436</v>
      </c>
      <c r="C823" t="s">
        <v>4437</v>
      </c>
      <c r="D823" t="s">
        <v>4431</v>
      </c>
      <c r="E823" t="s">
        <v>1663</v>
      </c>
      <c r="F823">
        <v>3</v>
      </c>
      <c r="G823">
        <v>3.2</v>
      </c>
      <c r="H823" t="s">
        <v>2327</v>
      </c>
      <c r="I823" s="21">
        <v>37918</v>
      </c>
      <c r="J823">
        <v>2003</v>
      </c>
      <c r="K823" s="21">
        <v>37949</v>
      </c>
      <c r="L823">
        <v>2003</v>
      </c>
      <c r="M823" s="21">
        <v>38101</v>
      </c>
      <c r="N823">
        <v>2004</v>
      </c>
      <c r="Q823" s="262">
        <v>97826</v>
      </c>
      <c r="S823" t="s">
        <v>114</v>
      </c>
      <c r="T823" t="s">
        <v>114</v>
      </c>
      <c r="W823">
        <v>1439</v>
      </c>
      <c r="X823">
        <v>1</v>
      </c>
      <c r="Y823">
        <v>0</v>
      </c>
      <c r="Z823">
        <v>0</v>
      </c>
      <c r="AA823">
        <v>0</v>
      </c>
      <c r="AB823">
        <v>0</v>
      </c>
      <c r="AC823">
        <v>0</v>
      </c>
      <c r="AD823">
        <v>1439</v>
      </c>
      <c r="AE823">
        <v>0</v>
      </c>
      <c r="AF823">
        <v>0</v>
      </c>
      <c r="AG823">
        <v>0</v>
      </c>
      <c r="AH823">
        <v>0</v>
      </c>
      <c r="AI823">
        <v>0</v>
      </c>
      <c r="AJ823">
        <v>0</v>
      </c>
      <c r="AK823">
        <v>0</v>
      </c>
      <c r="AL823">
        <v>0</v>
      </c>
      <c r="AM823">
        <v>0</v>
      </c>
      <c r="AN823">
        <v>0</v>
      </c>
      <c r="AO823">
        <v>0</v>
      </c>
      <c r="AP823">
        <v>1</v>
      </c>
      <c r="AQ823">
        <v>0</v>
      </c>
      <c r="AR823">
        <v>0</v>
      </c>
      <c r="AS823">
        <v>0</v>
      </c>
      <c r="AT823">
        <v>0</v>
      </c>
      <c r="AU823">
        <f t="shared" si="24"/>
        <v>1</v>
      </c>
      <c r="AV823">
        <f t="shared" si="25"/>
        <v>0</v>
      </c>
    </row>
    <row r="824" spans="1:48" x14ac:dyDescent="0.25">
      <c r="A824" t="s">
        <v>4438</v>
      </c>
      <c r="C824" t="s">
        <v>4437</v>
      </c>
      <c r="D824" t="s">
        <v>4431</v>
      </c>
      <c r="E824" t="s">
        <v>1663</v>
      </c>
      <c r="F824">
        <v>3</v>
      </c>
      <c r="G824">
        <v>3.2</v>
      </c>
      <c r="H824" t="s">
        <v>2327</v>
      </c>
      <c r="I824" s="21">
        <v>37918</v>
      </c>
      <c r="J824">
        <v>2003</v>
      </c>
      <c r="K824" s="21">
        <v>37949</v>
      </c>
      <c r="L824">
        <v>2003</v>
      </c>
      <c r="M824" s="21">
        <v>38101</v>
      </c>
      <c r="N824">
        <v>2004</v>
      </c>
      <c r="Q824" s="262">
        <v>118080</v>
      </c>
      <c r="S824" t="s">
        <v>114</v>
      </c>
      <c r="T824" t="s">
        <v>114</v>
      </c>
      <c r="W824">
        <v>1440</v>
      </c>
      <c r="X824">
        <v>1</v>
      </c>
      <c r="Y824">
        <v>0</v>
      </c>
      <c r="Z824">
        <v>0</v>
      </c>
      <c r="AA824">
        <v>0</v>
      </c>
      <c r="AB824">
        <v>0</v>
      </c>
      <c r="AC824">
        <v>0</v>
      </c>
      <c r="AD824">
        <v>1440</v>
      </c>
      <c r="AE824">
        <v>0</v>
      </c>
      <c r="AF824">
        <v>0</v>
      </c>
      <c r="AG824">
        <v>0</v>
      </c>
      <c r="AH824">
        <v>0</v>
      </c>
      <c r="AI824">
        <v>0</v>
      </c>
      <c r="AJ824">
        <v>0</v>
      </c>
      <c r="AK824">
        <v>0</v>
      </c>
      <c r="AL824">
        <v>0</v>
      </c>
      <c r="AM824">
        <v>0</v>
      </c>
      <c r="AN824">
        <v>0</v>
      </c>
      <c r="AO824">
        <v>0</v>
      </c>
      <c r="AP824">
        <v>1</v>
      </c>
      <c r="AQ824">
        <v>0</v>
      </c>
      <c r="AR824">
        <v>0</v>
      </c>
      <c r="AS824">
        <v>0</v>
      </c>
      <c r="AT824">
        <v>0</v>
      </c>
      <c r="AU824">
        <f t="shared" si="24"/>
        <v>1</v>
      </c>
      <c r="AV824">
        <f t="shared" si="25"/>
        <v>0</v>
      </c>
    </row>
    <row r="825" spans="1:48" x14ac:dyDescent="0.25">
      <c r="A825" t="s">
        <v>4439</v>
      </c>
      <c r="C825" t="s">
        <v>4440</v>
      </c>
      <c r="D825" t="s">
        <v>4431</v>
      </c>
      <c r="E825" t="s">
        <v>1663</v>
      </c>
      <c r="F825">
        <v>3</v>
      </c>
      <c r="G825">
        <v>3.2</v>
      </c>
      <c r="H825" t="s">
        <v>2327</v>
      </c>
      <c r="I825" s="21">
        <v>37918</v>
      </c>
      <c r="J825">
        <v>2003</v>
      </c>
      <c r="K825" s="21">
        <v>37949</v>
      </c>
      <c r="L825">
        <v>2003</v>
      </c>
      <c r="M825" s="21">
        <v>38101</v>
      </c>
      <c r="N825">
        <v>2004</v>
      </c>
      <c r="Q825" s="262">
        <v>118080</v>
      </c>
      <c r="S825" t="s">
        <v>114</v>
      </c>
      <c r="T825" t="s">
        <v>114</v>
      </c>
      <c r="W825">
        <v>1440</v>
      </c>
      <c r="X825">
        <v>1</v>
      </c>
      <c r="Y825">
        <v>0</v>
      </c>
      <c r="Z825">
        <v>0</v>
      </c>
      <c r="AA825">
        <v>0</v>
      </c>
      <c r="AB825">
        <v>0</v>
      </c>
      <c r="AC825">
        <v>0</v>
      </c>
      <c r="AD825">
        <v>1440</v>
      </c>
      <c r="AE825">
        <v>0</v>
      </c>
      <c r="AF825">
        <v>0</v>
      </c>
      <c r="AG825">
        <v>0</v>
      </c>
      <c r="AH825">
        <v>0</v>
      </c>
      <c r="AI825">
        <v>0</v>
      </c>
      <c r="AJ825">
        <v>0</v>
      </c>
      <c r="AK825">
        <v>0</v>
      </c>
      <c r="AL825">
        <v>0</v>
      </c>
      <c r="AM825">
        <v>0</v>
      </c>
      <c r="AN825">
        <v>0</v>
      </c>
      <c r="AO825">
        <v>0</v>
      </c>
      <c r="AP825">
        <v>1</v>
      </c>
      <c r="AQ825">
        <v>0</v>
      </c>
      <c r="AR825">
        <v>0</v>
      </c>
      <c r="AS825">
        <v>0</v>
      </c>
      <c r="AT825">
        <v>0</v>
      </c>
      <c r="AU825">
        <f t="shared" si="24"/>
        <v>1</v>
      </c>
      <c r="AV825">
        <f t="shared" si="25"/>
        <v>0</v>
      </c>
    </row>
    <row r="826" spans="1:48" x14ac:dyDescent="0.25">
      <c r="A826" t="s">
        <v>4441</v>
      </c>
      <c r="C826" t="s">
        <v>4442</v>
      </c>
      <c r="D826" t="s">
        <v>4431</v>
      </c>
      <c r="E826" t="s">
        <v>1663</v>
      </c>
      <c r="F826">
        <v>3</v>
      </c>
      <c r="G826">
        <v>3.2</v>
      </c>
      <c r="H826" t="s">
        <v>2327</v>
      </c>
      <c r="I826" s="21">
        <v>37918</v>
      </c>
      <c r="J826">
        <v>2003</v>
      </c>
      <c r="K826" s="21">
        <v>37949</v>
      </c>
      <c r="L826">
        <v>2003</v>
      </c>
      <c r="M826" s="21">
        <v>38101</v>
      </c>
      <c r="N826">
        <v>2004</v>
      </c>
      <c r="Q826" s="262">
        <v>117998</v>
      </c>
      <c r="S826" t="s">
        <v>114</v>
      </c>
      <c r="T826" t="s">
        <v>114</v>
      </c>
      <c r="W826">
        <v>1439</v>
      </c>
      <c r="X826">
        <v>1</v>
      </c>
      <c r="Y826">
        <v>0</v>
      </c>
      <c r="Z826">
        <v>0</v>
      </c>
      <c r="AA826">
        <v>0</v>
      </c>
      <c r="AB826">
        <v>0</v>
      </c>
      <c r="AC826">
        <v>0</v>
      </c>
      <c r="AD826">
        <v>1439</v>
      </c>
      <c r="AE826">
        <v>0</v>
      </c>
      <c r="AF826">
        <v>0</v>
      </c>
      <c r="AG826">
        <v>0</v>
      </c>
      <c r="AH826">
        <v>0</v>
      </c>
      <c r="AI826">
        <v>0</v>
      </c>
      <c r="AJ826">
        <v>0</v>
      </c>
      <c r="AK826">
        <v>0</v>
      </c>
      <c r="AL826">
        <v>0</v>
      </c>
      <c r="AM826">
        <v>0</v>
      </c>
      <c r="AN826">
        <v>0</v>
      </c>
      <c r="AO826">
        <v>0</v>
      </c>
      <c r="AP826">
        <v>1</v>
      </c>
      <c r="AQ826">
        <v>0</v>
      </c>
      <c r="AR826">
        <v>0</v>
      </c>
      <c r="AS826">
        <v>0</v>
      </c>
      <c r="AT826">
        <v>0</v>
      </c>
      <c r="AU826">
        <f t="shared" si="24"/>
        <v>1</v>
      </c>
      <c r="AV826">
        <f t="shared" si="25"/>
        <v>0</v>
      </c>
    </row>
    <row r="827" spans="1:48" x14ac:dyDescent="0.25">
      <c r="A827" t="s">
        <v>4443</v>
      </c>
      <c r="C827" t="s">
        <v>4444</v>
      </c>
      <c r="D827" t="s">
        <v>4431</v>
      </c>
      <c r="E827" t="s">
        <v>1663</v>
      </c>
      <c r="F827">
        <v>3</v>
      </c>
      <c r="G827">
        <v>3.2</v>
      </c>
      <c r="H827" t="s">
        <v>2327</v>
      </c>
      <c r="I827" s="21">
        <v>37918</v>
      </c>
      <c r="J827">
        <v>2003</v>
      </c>
      <c r="K827" s="21">
        <v>37949</v>
      </c>
      <c r="L827">
        <v>2003</v>
      </c>
      <c r="M827" s="21">
        <v>38101</v>
      </c>
      <c r="N827">
        <v>2004</v>
      </c>
      <c r="Q827" s="262">
        <v>117998</v>
      </c>
      <c r="S827" t="s">
        <v>114</v>
      </c>
      <c r="T827" t="s">
        <v>114</v>
      </c>
      <c r="W827">
        <v>1439</v>
      </c>
      <c r="X827">
        <v>1</v>
      </c>
      <c r="Y827">
        <v>0</v>
      </c>
      <c r="Z827">
        <v>0</v>
      </c>
      <c r="AA827">
        <v>0</v>
      </c>
      <c r="AB827">
        <v>0</v>
      </c>
      <c r="AC827">
        <v>0</v>
      </c>
      <c r="AD827">
        <v>1439</v>
      </c>
      <c r="AE827">
        <v>0</v>
      </c>
      <c r="AF827">
        <v>0</v>
      </c>
      <c r="AG827">
        <v>0</v>
      </c>
      <c r="AH827">
        <v>0</v>
      </c>
      <c r="AI827">
        <v>0</v>
      </c>
      <c r="AJ827">
        <v>0</v>
      </c>
      <c r="AK827">
        <v>0</v>
      </c>
      <c r="AL827">
        <v>0</v>
      </c>
      <c r="AM827">
        <v>0</v>
      </c>
      <c r="AN827">
        <v>0</v>
      </c>
      <c r="AO827">
        <v>0</v>
      </c>
      <c r="AP827">
        <v>1</v>
      </c>
      <c r="AQ827">
        <v>0</v>
      </c>
      <c r="AR827">
        <v>0</v>
      </c>
      <c r="AS827">
        <v>0</v>
      </c>
      <c r="AT827">
        <v>0</v>
      </c>
      <c r="AU827">
        <f t="shared" si="24"/>
        <v>1</v>
      </c>
      <c r="AV827">
        <f t="shared" si="25"/>
        <v>0</v>
      </c>
    </row>
    <row r="828" spans="1:48" x14ac:dyDescent="0.25">
      <c r="A828" t="s">
        <v>4445</v>
      </c>
      <c r="C828" t="s">
        <v>4446</v>
      </c>
      <c r="D828" t="s">
        <v>4431</v>
      </c>
      <c r="E828" t="s">
        <v>1663</v>
      </c>
      <c r="F828">
        <v>3</v>
      </c>
      <c r="G828">
        <v>3.2</v>
      </c>
      <c r="H828" t="s">
        <v>2327</v>
      </c>
      <c r="I828" s="21">
        <v>37918</v>
      </c>
      <c r="J828">
        <v>2003</v>
      </c>
      <c r="K828" s="21">
        <v>37949</v>
      </c>
      <c r="L828">
        <v>2003</v>
      </c>
      <c r="M828" s="21">
        <v>38101</v>
      </c>
      <c r="N828">
        <v>2004</v>
      </c>
      <c r="Q828" s="262">
        <v>117998</v>
      </c>
      <c r="S828" t="s">
        <v>114</v>
      </c>
      <c r="T828" t="s">
        <v>114</v>
      </c>
      <c r="W828">
        <v>1439</v>
      </c>
      <c r="X828">
        <v>1</v>
      </c>
      <c r="Y828">
        <v>0</v>
      </c>
      <c r="Z828">
        <v>0</v>
      </c>
      <c r="AA828">
        <v>0</v>
      </c>
      <c r="AB828">
        <v>0</v>
      </c>
      <c r="AC828">
        <v>0</v>
      </c>
      <c r="AD828">
        <v>1439</v>
      </c>
      <c r="AE828">
        <v>0</v>
      </c>
      <c r="AF828">
        <v>0</v>
      </c>
      <c r="AG828">
        <v>0</v>
      </c>
      <c r="AH828">
        <v>0</v>
      </c>
      <c r="AI828">
        <v>0</v>
      </c>
      <c r="AJ828">
        <v>0</v>
      </c>
      <c r="AK828">
        <v>0</v>
      </c>
      <c r="AL828">
        <v>0</v>
      </c>
      <c r="AM828">
        <v>0</v>
      </c>
      <c r="AN828">
        <v>0</v>
      </c>
      <c r="AO828">
        <v>0</v>
      </c>
      <c r="AP828">
        <v>1</v>
      </c>
      <c r="AQ828">
        <v>0</v>
      </c>
      <c r="AR828">
        <v>0</v>
      </c>
      <c r="AS828">
        <v>0</v>
      </c>
      <c r="AT828">
        <v>0</v>
      </c>
      <c r="AU828">
        <f t="shared" si="24"/>
        <v>1</v>
      </c>
      <c r="AV828">
        <f t="shared" si="25"/>
        <v>0</v>
      </c>
    </row>
    <row r="829" spans="1:48" x14ac:dyDescent="0.25">
      <c r="A829" t="s">
        <v>4447</v>
      </c>
      <c r="C829" t="s">
        <v>4448</v>
      </c>
      <c r="D829" t="s">
        <v>4431</v>
      </c>
      <c r="E829" t="s">
        <v>1663</v>
      </c>
      <c r="F829">
        <v>3</v>
      </c>
      <c r="G829">
        <v>3.2</v>
      </c>
      <c r="H829" t="s">
        <v>2327</v>
      </c>
      <c r="I829" s="21">
        <v>37918</v>
      </c>
      <c r="J829">
        <v>2003</v>
      </c>
      <c r="K829" s="21">
        <v>37949</v>
      </c>
      <c r="L829">
        <v>2003</v>
      </c>
      <c r="M829" s="21">
        <v>38101</v>
      </c>
      <c r="N829">
        <v>2004</v>
      </c>
      <c r="Q829" s="262">
        <v>108158</v>
      </c>
      <c r="S829" t="s">
        <v>114</v>
      </c>
      <c r="T829" t="s">
        <v>114</v>
      </c>
      <c r="W829">
        <v>1319</v>
      </c>
      <c r="X829">
        <v>1</v>
      </c>
      <c r="Y829">
        <v>0</v>
      </c>
      <c r="Z829">
        <v>0</v>
      </c>
      <c r="AA829">
        <v>0</v>
      </c>
      <c r="AB829">
        <v>0</v>
      </c>
      <c r="AC829">
        <v>0</v>
      </c>
      <c r="AD829">
        <v>1319</v>
      </c>
      <c r="AE829">
        <v>0</v>
      </c>
      <c r="AF829">
        <v>0</v>
      </c>
      <c r="AG829">
        <v>0</v>
      </c>
      <c r="AH829">
        <v>0</v>
      </c>
      <c r="AI829">
        <v>0</v>
      </c>
      <c r="AJ829">
        <v>0</v>
      </c>
      <c r="AK829">
        <v>0</v>
      </c>
      <c r="AL829">
        <v>0</v>
      </c>
      <c r="AM829">
        <v>0</v>
      </c>
      <c r="AN829">
        <v>0</v>
      </c>
      <c r="AO829">
        <v>0</v>
      </c>
      <c r="AP829">
        <v>1</v>
      </c>
      <c r="AQ829">
        <v>0</v>
      </c>
      <c r="AR829">
        <v>0</v>
      </c>
      <c r="AS829">
        <v>0</v>
      </c>
      <c r="AT829">
        <v>0</v>
      </c>
      <c r="AU829">
        <f t="shared" si="24"/>
        <v>1</v>
      </c>
      <c r="AV829">
        <f t="shared" si="25"/>
        <v>0</v>
      </c>
    </row>
    <row r="830" spans="1:48" x14ac:dyDescent="0.25">
      <c r="A830" t="s">
        <v>4449</v>
      </c>
      <c r="C830" t="s">
        <v>4450</v>
      </c>
      <c r="D830" t="s">
        <v>4431</v>
      </c>
      <c r="E830" t="s">
        <v>1663</v>
      </c>
      <c r="F830">
        <v>3</v>
      </c>
      <c r="G830">
        <v>3.2</v>
      </c>
      <c r="H830" t="s">
        <v>2327</v>
      </c>
      <c r="I830" s="21">
        <v>37918</v>
      </c>
      <c r="J830">
        <v>2003</v>
      </c>
      <c r="K830" s="21">
        <v>37949</v>
      </c>
      <c r="L830">
        <v>2003</v>
      </c>
      <c r="M830" s="21">
        <v>38101</v>
      </c>
      <c r="N830">
        <v>2004</v>
      </c>
      <c r="Q830" s="262">
        <v>108158</v>
      </c>
      <c r="S830" t="s">
        <v>114</v>
      </c>
      <c r="T830" t="s">
        <v>114</v>
      </c>
      <c r="W830">
        <v>1319</v>
      </c>
      <c r="X830">
        <v>1</v>
      </c>
      <c r="Y830">
        <v>0</v>
      </c>
      <c r="Z830">
        <v>0</v>
      </c>
      <c r="AA830">
        <v>0</v>
      </c>
      <c r="AB830">
        <v>0</v>
      </c>
      <c r="AC830">
        <v>0</v>
      </c>
      <c r="AD830">
        <v>1319</v>
      </c>
      <c r="AE830">
        <v>0</v>
      </c>
      <c r="AF830">
        <v>0</v>
      </c>
      <c r="AG830">
        <v>0</v>
      </c>
      <c r="AH830">
        <v>0</v>
      </c>
      <c r="AI830">
        <v>0</v>
      </c>
      <c r="AJ830">
        <v>0</v>
      </c>
      <c r="AK830">
        <v>0</v>
      </c>
      <c r="AL830">
        <v>0</v>
      </c>
      <c r="AM830">
        <v>0</v>
      </c>
      <c r="AN830">
        <v>0</v>
      </c>
      <c r="AO830">
        <v>0</v>
      </c>
      <c r="AP830">
        <v>1</v>
      </c>
      <c r="AQ830">
        <v>0</v>
      </c>
      <c r="AR830">
        <v>0</v>
      </c>
      <c r="AS830">
        <v>0</v>
      </c>
      <c r="AT830">
        <v>0</v>
      </c>
      <c r="AU830">
        <f t="shared" si="24"/>
        <v>1</v>
      </c>
      <c r="AV830">
        <f t="shared" si="25"/>
        <v>0</v>
      </c>
    </row>
    <row r="831" spans="1:48" x14ac:dyDescent="0.25">
      <c r="A831" t="s">
        <v>4451</v>
      </c>
      <c r="C831" t="s">
        <v>4437</v>
      </c>
      <c r="D831" t="s">
        <v>4431</v>
      </c>
      <c r="E831" t="s">
        <v>1663</v>
      </c>
      <c r="F831">
        <v>3</v>
      </c>
      <c r="G831">
        <v>3.2</v>
      </c>
      <c r="H831" t="s">
        <v>2327</v>
      </c>
      <c r="I831" s="21">
        <v>37918</v>
      </c>
      <c r="J831">
        <v>2003</v>
      </c>
      <c r="K831" s="21">
        <v>37949</v>
      </c>
      <c r="L831">
        <v>2003</v>
      </c>
      <c r="M831" s="21">
        <v>38101</v>
      </c>
      <c r="N831">
        <v>2004</v>
      </c>
      <c r="Q831" s="262">
        <v>97826</v>
      </c>
      <c r="S831" t="s">
        <v>114</v>
      </c>
      <c r="T831" t="s">
        <v>114</v>
      </c>
      <c r="W831">
        <v>1319</v>
      </c>
      <c r="X831">
        <v>1</v>
      </c>
      <c r="Y831">
        <v>0</v>
      </c>
      <c r="Z831">
        <v>0</v>
      </c>
      <c r="AA831">
        <v>0</v>
      </c>
      <c r="AB831">
        <v>0</v>
      </c>
      <c r="AC831">
        <v>0</v>
      </c>
      <c r="AD831">
        <v>1319</v>
      </c>
      <c r="AE831">
        <v>0</v>
      </c>
      <c r="AF831">
        <v>0</v>
      </c>
      <c r="AG831">
        <v>0</v>
      </c>
      <c r="AH831">
        <v>0</v>
      </c>
      <c r="AI831">
        <v>0</v>
      </c>
      <c r="AJ831">
        <v>0</v>
      </c>
      <c r="AK831">
        <v>0</v>
      </c>
      <c r="AL831">
        <v>0</v>
      </c>
      <c r="AM831">
        <v>0</v>
      </c>
      <c r="AN831">
        <v>0</v>
      </c>
      <c r="AO831">
        <v>0</v>
      </c>
      <c r="AP831">
        <v>1</v>
      </c>
      <c r="AQ831">
        <v>0</v>
      </c>
      <c r="AR831">
        <v>0</v>
      </c>
      <c r="AS831">
        <v>0</v>
      </c>
      <c r="AT831">
        <v>0</v>
      </c>
      <c r="AU831">
        <f t="shared" si="24"/>
        <v>1</v>
      </c>
      <c r="AV831">
        <f t="shared" si="25"/>
        <v>0</v>
      </c>
    </row>
    <row r="832" spans="1:48" x14ac:dyDescent="0.25">
      <c r="A832" t="s">
        <v>4455</v>
      </c>
      <c r="C832" t="s">
        <v>4456</v>
      </c>
      <c r="D832" t="s">
        <v>4457</v>
      </c>
      <c r="E832" t="s">
        <v>2310</v>
      </c>
      <c r="F832">
        <v>15</v>
      </c>
      <c r="G832">
        <v>15.3</v>
      </c>
      <c r="H832" t="s">
        <v>2022</v>
      </c>
      <c r="I832" s="21">
        <v>37921</v>
      </c>
      <c r="J832">
        <v>2003</v>
      </c>
      <c r="K832" s="21">
        <v>37950</v>
      </c>
      <c r="L832">
        <v>2003</v>
      </c>
      <c r="M832" s="21">
        <v>37950</v>
      </c>
      <c r="N832">
        <v>2003</v>
      </c>
      <c r="R832" s="262">
        <v>75000</v>
      </c>
      <c r="S832" t="s">
        <v>114</v>
      </c>
      <c r="T832" t="s">
        <v>114</v>
      </c>
      <c r="U832">
        <v>1</v>
      </c>
      <c r="W832">
        <v>840</v>
      </c>
      <c r="X832">
        <v>0</v>
      </c>
      <c r="Y832">
        <v>840</v>
      </c>
      <c r="Z832">
        <v>0</v>
      </c>
      <c r="AA832">
        <v>0</v>
      </c>
      <c r="AB832">
        <v>0</v>
      </c>
      <c r="AC832">
        <v>0</v>
      </c>
      <c r="AD832">
        <v>0</v>
      </c>
      <c r="AE832">
        <v>0</v>
      </c>
      <c r="AF832">
        <v>0</v>
      </c>
      <c r="AG832">
        <v>0</v>
      </c>
      <c r="AH832">
        <v>0</v>
      </c>
      <c r="AI832">
        <v>0</v>
      </c>
      <c r="AJ832">
        <v>0</v>
      </c>
      <c r="AK832">
        <v>0</v>
      </c>
      <c r="AL832">
        <v>0</v>
      </c>
      <c r="AM832">
        <v>0</v>
      </c>
      <c r="AN832">
        <v>0</v>
      </c>
      <c r="AO832">
        <v>0</v>
      </c>
      <c r="AP832">
        <v>0</v>
      </c>
      <c r="AQ832">
        <v>0</v>
      </c>
      <c r="AR832">
        <v>0</v>
      </c>
      <c r="AS832">
        <v>0</v>
      </c>
      <c r="AT832">
        <v>0</v>
      </c>
      <c r="AU832">
        <f t="shared" si="24"/>
        <v>0</v>
      </c>
      <c r="AV832">
        <f t="shared" si="25"/>
        <v>840</v>
      </c>
    </row>
    <row r="833" spans="1:48" x14ac:dyDescent="0.25">
      <c r="A833" t="s">
        <v>4458</v>
      </c>
      <c r="C833" t="s">
        <v>4459</v>
      </c>
      <c r="D833" t="s">
        <v>4460</v>
      </c>
      <c r="E833" t="s">
        <v>2310</v>
      </c>
      <c r="F833">
        <v>8</v>
      </c>
      <c r="G833">
        <v>8.1</v>
      </c>
      <c r="H833" t="s">
        <v>2323</v>
      </c>
      <c r="I833" s="21">
        <v>37921</v>
      </c>
      <c r="J833">
        <v>2003</v>
      </c>
      <c r="K833" s="21">
        <v>37964</v>
      </c>
      <c r="L833">
        <v>2003</v>
      </c>
      <c r="M833" s="21">
        <v>38700</v>
      </c>
      <c r="N833">
        <v>2005</v>
      </c>
      <c r="R833" s="262">
        <v>1375000</v>
      </c>
      <c r="S833" t="s">
        <v>114</v>
      </c>
      <c r="T833" t="s">
        <v>114</v>
      </c>
      <c r="U833">
        <v>5</v>
      </c>
      <c r="W833">
        <v>6850</v>
      </c>
      <c r="X833">
        <v>1</v>
      </c>
      <c r="Y833">
        <v>0</v>
      </c>
      <c r="Z833">
        <v>0</v>
      </c>
      <c r="AA833">
        <v>0</v>
      </c>
      <c r="AB833">
        <v>0</v>
      </c>
      <c r="AC833">
        <v>6850</v>
      </c>
      <c r="AD833">
        <v>0</v>
      </c>
      <c r="AE833">
        <v>0</v>
      </c>
      <c r="AF833">
        <v>0</v>
      </c>
      <c r="AG833">
        <v>0</v>
      </c>
      <c r="AH833">
        <v>0</v>
      </c>
      <c r="AI833">
        <v>0</v>
      </c>
      <c r="AJ833">
        <v>0</v>
      </c>
      <c r="AK833">
        <v>0</v>
      </c>
      <c r="AL833">
        <v>0</v>
      </c>
      <c r="AM833">
        <v>0</v>
      </c>
      <c r="AN833">
        <v>0</v>
      </c>
      <c r="AO833">
        <v>1</v>
      </c>
      <c r="AP833">
        <v>0</v>
      </c>
      <c r="AQ833">
        <v>0</v>
      </c>
      <c r="AR833">
        <v>0</v>
      </c>
      <c r="AS833">
        <v>0</v>
      </c>
      <c r="AT833">
        <v>0</v>
      </c>
      <c r="AU833">
        <f t="shared" si="24"/>
        <v>1</v>
      </c>
      <c r="AV833">
        <f t="shared" si="25"/>
        <v>0</v>
      </c>
    </row>
    <row r="834" spans="1:48" x14ac:dyDescent="0.25">
      <c r="A834" t="s">
        <v>4461</v>
      </c>
      <c r="C834" t="s">
        <v>4462</v>
      </c>
      <c r="D834" t="s">
        <v>4460</v>
      </c>
      <c r="E834" t="s">
        <v>2310</v>
      </c>
      <c r="F834">
        <v>8</v>
      </c>
      <c r="G834">
        <v>8.1</v>
      </c>
      <c r="H834" t="s">
        <v>2323</v>
      </c>
      <c r="I834" s="21">
        <v>37922</v>
      </c>
      <c r="J834">
        <v>2003</v>
      </c>
      <c r="K834" s="21">
        <v>37964</v>
      </c>
      <c r="L834">
        <v>2003</v>
      </c>
      <c r="M834" s="21">
        <v>38709</v>
      </c>
      <c r="N834">
        <v>2005</v>
      </c>
      <c r="R834" s="262">
        <v>400000</v>
      </c>
      <c r="S834" t="s">
        <v>114</v>
      </c>
      <c r="T834" t="s">
        <v>114</v>
      </c>
      <c r="U834">
        <v>8</v>
      </c>
      <c r="W834">
        <v>1259</v>
      </c>
      <c r="X834">
        <v>1</v>
      </c>
      <c r="Y834">
        <v>0</v>
      </c>
      <c r="Z834">
        <v>0</v>
      </c>
      <c r="AA834">
        <v>0</v>
      </c>
      <c r="AB834">
        <v>0</v>
      </c>
      <c r="AC834">
        <v>259</v>
      </c>
      <c r="AD834">
        <v>0</v>
      </c>
      <c r="AE834">
        <v>0</v>
      </c>
      <c r="AF834">
        <v>1000</v>
      </c>
      <c r="AG834">
        <v>0</v>
      </c>
      <c r="AH834">
        <v>0</v>
      </c>
      <c r="AI834">
        <v>0</v>
      </c>
      <c r="AJ834">
        <v>0</v>
      </c>
      <c r="AK834">
        <v>0</v>
      </c>
      <c r="AL834">
        <v>0</v>
      </c>
      <c r="AM834">
        <v>0</v>
      </c>
      <c r="AN834">
        <v>0</v>
      </c>
      <c r="AO834">
        <v>0</v>
      </c>
      <c r="AP834">
        <v>0</v>
      </c>
      <c r="AQ834">
        <v>0</v>
      </c>
      <c r="AR834">
        <v>1</v>
      </c>
      <c r="AS834">
        <v>0</v>
      </c>
      <c r="AT834">
        <v>0</v>
      </c>
      <c r="AU834">
        <f t="shared" si="24"/>
        <v>0</v>
      </c>
      <c r="AV834">
        <f t="shared" si="25"/>
        <v>0</v>
      </c>
    </row>
    <row r="835" spans="1:48" x14ac:dyDescent="0.25">
      <c r="A835" t="s">
        <v>4463</v>
      </c>
      <c r="C835" t="s">
        <v>4464</v>
      </c>
      <c r="D835" t="s">
        <v>4465</v>
      </c>
      <c r="E835" t="s">
        <v>1663</v>
      </c>
      <c r="F835">
        <v>3</v>
      </c>
      <c r="G835">
        <v>3.1</v>
      </c>
      <c r="H835" t="s">
        <v>2017</v>
      </c>
      <c r="I835" s="21">
        <v>37925</v>
      </c>
      <c r="J835">
        <v>2003</v>
      </c>
      <c r="K835" s="21">
        <v>37955</v>
      </c>
      <c r="L835">
        <v>2003</v>
      </c>
      <c r="M835" s="21">
        <v>38107</v>
      </c>
      <c r="N835">
        <v>2004</v>
      </c>
      <c r="Q835" s="262">
        <v>116932</v>
      </c>
      <c r="S835" t="s">
        <v>114</v>
      </c>
      <c r="T835" t="s">
        <v>114</v>
      </c>
      <c r="W835">
        <v>1426</v>
      </c>
      <c r="X835">
        <v>1</v>
      </c>
      <c r="Y835">
        <v>0</v>
      </c>
      <c r="Z835">
        <v>0</v>
      </c>
      <c r="AA835">
        <v>0</v>
      </c>
      <c r="AB835">
        <v>0</v>
      </c>
      <c r="AC835">
        <v>0</v>
      </c>
      <c r="AD835">
        <v>1426</v>
      </c>
      <c r="AE835">
        <v>0</v>
      </c>
      <c r="AF835">
        <v>0</v>
      </c>
      <c r="AG835">
        <v>0</v>
      </c>
      <c r="AH835">
        <v>0</v>
      </c>
      <c r="AI835">
        <v>0</v>
      </c>
      <c r="AJ835">
        <v>0</v>
      </c>
      <c r="AK835">
        <v>0</v>
      </c>
      <c r="AL835">
        <v>0</v>
      </c>
      <c r="AM835">
        <v>0</v>
      </c>
      <c r="AN835">
        <v>0</v>
      </c>
      <c r="AO835">
        <v>0</v>
      </c>
      <c r="AP835">
        <v>1</v>
      </c>
      <c r="AQ835">
        <v>0</v>
      </c>
      <c r="AR835">
        <v>0</v>
      </c>
      <c r="AS835">
        <v>0</v>
      </c>
      <c r="AT835">
        <v>0</v>
      </c>
      <c r="AU835">
        <f t="shared" si="24"/>
        <v>1</v>
      </c>
      <c r="AV835">
        <f t="shared" si="25"/>
        <v>0</v>
      </c>
    </row>
    <row r="836" spans="1:48" x14ac:dyDescent="0.25">
      <c r="A836" t="s">
        <v>4466</v>
      </c>
      <c r="C836" t="s">
        <v>4464</v>
      </c>
      <c r="D836" t="s">
        <v>4465</v>
      </c>
      <c r="E836" t="s">
        <v>1663</v>
      </c>
      <c r="F836">
        <v>3</v>
      </c>
      <c r="G836">
        <v>3.1</v>
      </c>
      <c r="H836" t="s">
        <v>2017</v>
      </c>
      <c r="I836" s="21">
        <v>37925</v>
      </c>
      <c r="J836">
        <v>2003</v>
      </c>
      <c r="K836" s="21">
        <v>37955</v>
      </c>
      <c r="L836">
        <v>2003</v>
      </c>
      <c r="M836" s="21">
        <v>38107</v>
      </c>
      <c r="N836">
        <v>2004</v>
      </c>
      <c r="Q836" s="262">
        <v>114964</v>
      </c>
      <c r="S836" t="s">
        <v>114</v>
      </c>
      <c r="T836" t="s">
        <v>114</v>
      </c>
      <c r="W836">
        <v>1402</v>
      </c>
      <c r="X836">
        <v>1</v>
      </c>
      <c r="Y836">
        <v>0</v>
      </c>
      <c r="Z836">
        <v>0</v>
      </c>
      <c r="AA836">
        <v>0</v>
      </c>
      <c r="AB836">
        <v>0</v>
      </c>
      <c r="AC836">
        <v>0</v>
      </c>
      <c r="AD836">
        <v>1402</v>
      </c>
      <c r="AE836">
        <v>0</v>
      </c>
      <c r="AF836">
        <v>0</v>
      </c>
      <c r="AG836">
        <v>0</v>
      </c>
      <c r="AH836">
        <v>0</v>
      </c>
      <c r="AI836">
        <v>0</v>
      </c>
      <c r="AJ836">
        <v>0</v>
      </c>
      <c r="AK836">
        <v>0</v>
      </c>
      <c r="AL836">
        <v>0</v>
      </c>
      <c r="AM836">
        <v>0</v>
      </c>
      <c r="AN836">
        <v>0</v>
      </c>
      <c r="AO836">
        <v>0</v>
      </c>
      <c r="AP836">
        <v>1</v>
      </c>
      <c r="AQ836">
        <v>0</v>
      </c>
      <c r="AR836">
        <v>0</v>
      </c>
      <c r="AS836">
        <v>0</v>
      </c>
      <c r="AT836">
        <v>0</v>
      </c>
      <c r="AU836">
        <f t="shared" si="24"/>
        <v>1</v>
      </c>
      <c r="AV836">
        <f t="shared" si="25"/>
        <v>0</v>
      </c>
    </row>
    <row r="837" spans="1:48" x14ac:dyDescent="0.25">
      <c r="A837" t="s">
        <v>4467</v>
      </c>
      <c r="C837" t="s">
        <v>4464</v>
      </c>
      <c r="D837" t="s">
        <v>4465</v>
      </c>
      <c r="E837" t="s">
        <v>1663</v>
      </c>
      <c r="F837">
        <v>3</v>
      </c>
      <c r="G837">
        <v>3.1</v>
      </c>
      <c r="H837" t="s">
        <v>2017</v>
      </c>
      <c r="I837" s="21">
        <v>37925</v>
      </c>
      <c r="J837">
        <v>2003</v>
      </c>
      <c r="K837" s="21">
        <v>37955</v>
      </c>
      <c r="L837">
        <v>2003</v>
      </c>
      <c r="M837" s="21">
        <v>38107</v>
      </c>
      <c r="N837">
        <v>2004</v>
      </c>
      <c r="Q837" s="262">
        <v>114964</v>
      </c>
      <c r="S837" t="s">
        <v>114</v>
      </c>
      <c r="T837" t="s">
        <v>114</v>
      </c>
      <c r="W837">
        <v>1402</v>
      </c>
      <c r="X837">
        <v>1</v>
      </c>
      <c r="Y837">
        <v>0</v>
      </c>
      <c r="Z837">
        <v>0</v>
      </c>
      <c r="AA837">
        <v>0</v>
      </c>
      <c r="AB837">
        <v>0</v>
      </c>
      <c r="AC837">
        <v>0</v>
      </c>
      <c r="AD837">
        <v>1402</v>
      </c>
      <c r="AE837">
        <v>0</v>
      </c>
      <c r="AF837">
        <v>0</v>
      </c>
      <c r="AG837">
        <v>0</v>
      </c>
      <c r="AH837">
        <v>0</v>
      </c>
      <c r="AI837">
        <v>0</v>
      </c>
      <c r="AJ837">
        <v>0</v>
      </c>
      <c r="AK837">
        <v>0</v>
      </c>
      <c r="AL837">
        <v>0</v>
      </c>
      <c r="AM837">
        <v>0</v>
      </c>
      <c r="AN837">
        <v>0</v>
      </c>
      <c r="AO837">
        <v>0</v>
      </c>
      <c r="AP837">
        <v>1</v>
      </c>
      <c r="AQ837">
        <v>0</v>
      </c>
      <c r="AR837">
        <v>0</v>
      </c>
      <c r="AS837">
        <v>0</v>
      </c>
      <c r="AT837">
        <v>0</v>
      </c>
      <c r="AU837">
        <f t="shared" si="24"/>
        <v>1</v>
      </c>
      <c r="AV837">
        <f t="shared" si="25"/>
        <v>0</v>
      </c>
    </row>
    <row r="838" spans="1:48" x14ac:dyDescent="0.25">
      <c r="A838" t="s">
        <v>4468</v>
      </c>
      <c r="C838" t="s">
        <v>4469</v>
      </c>
      <c r="D838" t="s">
        <v>4465</v>
      </c>
      <c r="E838" t="s">
        <v>1663</v>
      </c>
      <c r="F838">
        <v>3</v>
      </c>
      <c r="G838">
        <v>3.1</v>
      </c>
      <c r="H838" t="s">
        <v>2017</v>
      </c>
      <c r="I838" s="21">
        <v>37925</v>
      </c>
      <c r="J838">
        <v>2003</v>
      </c>
      <c r="K838" s="21">
        <v>37955</v>
      </c>
      <c r="L838">
        <v>2003</v>
      </c>
      <c r="M838" s="21">
        <v>38107</v>
      </c>
      <c r="N838">
        <v>2004</v>
      </c>
      <c r="Q838" s="262">
        <v>116932</v>
      </c>
      <c r="S838" t="s">
        <v>114</v>
      </c>
      <c r="T838" t="s">
        <v>114</v>
      </c>
      <c r="W838">
        <v>1426</v>
      </c>
      <c r="X838">
        <v>1</v>
      </c>
      <c r="Y838">
        <v>0</v>
      </c>
      <c r="Z838">
        <v>0</v>
      </c>
      <c r="AA838">
        <v>0</v>
      </c>
      <c r="AB838">
        <v>0</v>
      </c>
      <c r="AC838">
        <v>0</v>
      </c>
      <c r="AD838">
        <v>1426</v>
      </c>
      <c r="AE838">
        <v>0</v>
      </c>
      <c r="AF838">
        <v>0</v>
      </c>
      <c r="AG838">
        <v>0</v>
      </c>
      <c r="AH838">
        <v>0</v>
      </c>
      <c r="AI838">
        <v>0</v>
      </c>
      <c r="AJ838">
        <v>0</v>
      </c>
      <c r="AK838">
        <v>0</v>
      </c>
      <c r="AL838">
        <v>0</v>
      </c>
      <c r="AM838">
        <v>0</v>
      </c>
      <c r="AN838">
        <v>0</v>
      </c>
      <c r="AO838">
        <v>0</v>
      </c>
      <c r="AP838">
        <v>1</v>
      </c>
      <c r="AQ838">
        <v>0</v>
      </c>
      <c r="AR838">
        <v>0</v>
      </c>
      <c r="AS838">
        <v>0</v>
      </c>
      <c r="AT838">
        <v>0</v>
      </c>
      <c r="AU838">
        <f t="shared" si="24"/>
        <v>1</v>
      </c>
      <c r="AV838">
        <f t="shared" si="25"/>
        <v>0</v>
      </c>
    </row>
    <row r="839" spans="1:48" x14ac:dyDescent="0.25">
      <c r="A839" t="s">
        <v>4470</v>
      </c>
      <c r="C839" t="s">
        <v>4464</v>
      </c>
      <c r="D839" t="s">
        <v>4465</v>
      </c>
      <c r="E839" t="s">
        <v>1663</v>
      </c>
      <c r="F839">
        <v>3</v>
      </c>
      <c r="G839">
        <v>3.1</v>
      </c>
      <c r="H839" t="s">
        <v>2017</v>
      </c>
      <c r="I839" s="21">
        <v>37925</v>
      </c>
      <c r="J839">
        <v>2003</v>
      </c>
      <c r="K839" s="21">
        <v>37955</v>
      </c>
      <c r="L839">
        <v>2003</v>
      </c>
      <c r="M839" s="21">
        <v>38107</v>
      </c>
      <c r="N839">
        <v>2004</v>
      </c>
      <c r="Q839" s="262">
        <v>116932</v>
      </c>
      <c r="S839" t="s">
        <v>114</v>
      </c>
      <c r="T839" t="s">
        <v>114</v>
      </c>
      <c r="W839">
        <v>1426</v>
      </c>
      <c r="X839">
        <v>1</v>
      </c>
      <c r="Y839">
        <v>0</v>
      </c>
      <c r="Z839">
        <v>0</v>
      </c>
      <c r="AA839">
        <v>0</v>
      </c>
      <c r="AB839">
        <v>0</v>
      </c>
      <c r="AC839">
        <v>0</v>
      </c>
      <c r="AD839">
        <v>1426</v>
      </c>
      <c r="AE839">
        <v>0</v>
      </c>
      <c r="AF839">
        <v>0</v>
      </c>
      <c r="AG839">
        <v>0</v>
      </c>
      <c r="AH839">
        <v>0</v>
      </c>
      <c r="AI839">
        <v>0</v>
      </c>
      <c r="AJ839">
        <v>0</v>
      </c>
      <c r="AK839">
        <v>0</v>
      </c>
      <c r="AL839">
        <v>0</v>
      </c>
      <c r="AM839">
        <v>0</v>
      </c>
      <c r="AN839">
        <v>0</v>
      </c>
      <c r="AO839">
        <v>0</v>
      </c>
      <c r="AP839">
        <v>1</v>
      </c>
      <c r="AQ839">
        <v>0</v>
      </c>
      <c r="AR839">
        <v>0</v>
      </c>
      <c r="AS839">
        <v>0</v>
      </c>
      <c r="AT839">
        <v>0</v>
      </c>
      <c r="AU839">
        <f t="shared" si="24"/>
        <v>1</v>
      </c>
      <c r="AV839">
        <f t="shared" si="25"/>
        <v>0</v>
      </c>
    </row>
    <row r="840" spans="1:48" x14ac:dyDescent="0.25">
      <c r="A840" t="s">
        <v>4471</v>
      </c>
      <c r="C840" t="s">
        <v>4472</v>
      </c>
      <c r="D840" t="s">
        <v>4465</v>
      </c>
      <c r="E840" t="s">
        <v>1663</v>
      </c>
      <c r="F840">
        <v>3</v>
      </c>
      <c r="G840">
        <v>3.1</v>
      </c>
      <c r="H840" t="s">
        <v>2017</v>
      </c>
      <c r="I840" s="21">
        <v>37925</v>
      </c>
      <c r="J840">
        <v>2003</v>
      </c>
      <c r="K840" s="21">
        <v>37955</v>
      </c>
      <c r="L840">
        <v>2003</v>
      </c>
      <c r="M840" s="21">
        <v>38107</v>
      </c>
      <c r="N840">
        <v>2004</v>
      </c>
      <c r="Q840" s="262">
        <v>116932</v>
      </c>
      <c r="S840" t="s">
        <v>114</v>
      </c>
      <c r="T840" t="s">
        <v>114</v>
      </c>
      <c r="W840">
        <v>1426</v>
      </c>
      <c r="X840">
        <v>1</v>
      </c>
      <c r="Y840">
        <v>0</v>
      </c>
      <c r="Z840">
        <v>0</v>
      </c>
      <c r="AA840">
        <v>0</v>
      </c>
      <c r="AB840">
        <v>0</v>
      </c>
      <c r="AC840">
        <v>0</v>
      </c>
      <c r="AD840">
        <v>1426</v>
      </c>
      <c r="AE840">
        <v>0</v>
      </c>
      <c r="AF840">
        <v>0</v>
      </c>
      <c r="AG840">
        <v>0</v>
      </c>
      <c r="AH840">
        <v>0</v>
      </c>
      <c r="AI840">
        <v>0</v>
      </c>
      <c r="AJ840">
        <v>0</v>
      </c>
      <c r="AK840">
        <v>0</v>
      </c>
      <c r="AL840">
        <v>0</v>
      </c>
      <c r="AM840">
        <v>0</v>
      </c>
      <c r="AN840">
        <v>0</v>
      </c>
      <c r="AO840">
        <v>0</v>
      </c>
      <c r="AP840">
        <v>1</v>
      </c>
      <c r="AQ840">
        <v>0</v>
      </c>
      <c r="AR840">
        <v>0</v>
      </c>
      <c r="AS840">
        <v>0</v>
      </c>
      <c r="AT840">
        <v>0</v>
      </c>
      <c r="AU840">
        <f t="shared" si="24"/>
        <v>1</v>
      </c>
      <c r="AV840">
        <f t="shared" si="25"/>
        <v>0</v>
      </c>
    </row>
    <row r="841" spans="1:48" x14ac:dyDescent="0.25">
      <c r="A841" t="s">
        <v>4473</v>
      </c>
      <c r="C841" t="s">
        <v>4474</v>
      </c>
      <c r="D841" t="s">
        <v>4465</v>
      </c>
      <c r="E841" t="s">
        <v>1663</v>
      </c>
      <c r="F841">
        <v>3</v>
      </c>
      <c r="G841">
        <v>3.1</v>
      </c>
      <c r="H841" t="s">
        <v>2017</v>
      </c>
      <c r="I841" s="21">
        <v>37925</v>
      </c>
      <c r="J841">
        <v>2003</v>
      </c>
      <c r="K841" s="21">
        <v>37955</v>
      </c>
      <c r="L841">
        <v>2003</v>
      </c>
      <c r="M841" s="21">
        <v>38107</v>
      </c>
      <c r="N841">
        <v>2004</v>
      </c>
      <c r="Q841" s="262">
        <v>115538</v>
      </c>
      <c r="S841" t="s">
        <v>114</v>
      </c>
      <c r="T841" t="s">
        <v>114</v>
      </c>
      <c r="W841">
        <v>1409</v>
      </c>
      <c r="X841">
        <v>1</v>
      </c>
      <c r="Y841">
        <v>0</v>
      </c>
      <c r="Z841">
        <v>0</v>
      </c>
      <c r="AA841">
        <v>0</v>
      </c>
      <c r="AB841">
        <v>0</v>
      </c>
      <c r="AC841">
        <v>0</v>
      </c>
      <c r="AD841">
        <v>1409</v>
      </c>
      <c r="AE841">
        <v>0</v>
      </c>
      <c r="AF841">
        <v>0</v>
      </c>
      <c r="AG841">
        <v>0</v>
      </c>
      <c r="AH841">
        <v>0</v>
      </c>
      <c r="AI841">
        <v>0</v>
      </c>
      <c r="AJ841">
        <v>0</v>
      </c>
      <c r="AK841">
        <v>0</v>
      </c>
      <c r="AL841">
        <v>0</v>
      </c>
      <c r="AM841">
        <v>0</v>
      </c>
      <c r="AN841">
        <v>0</v>
      </c>
      <c r="AO841">
        <v>0</v>
      </c>
      <c r="AP841">
        <v>1</v>
      </c>
      <c r="AQ841">
        <v>0</v>
      </c>
      <c r="AR841">
        <v>0</v>
      </c>
      <c r="AS841">
        <v>0</v>
      </c>
      <c r="AT841">
        <v>0</v>
      </c>
      <c r="AU841">
        <f t="shared" si="24"/>
        <v>1</v>
      </c>
      <c r="AV841">
        <f t="shared" si="25"/>
        <v>0</v>
      </c>
    </row>
    <row r="842" spans="1:48" x14ac:dyDescent="0.25">
      <c r="A842" t="s">
        <v>4475</v>
      </c>
      <c r="C842" t="s">
        <v>4476</v>
      </c>
      <c r="D842" t="s">
        <v>4465</v>
      </c>
      <c r="E842" t="s">
        <v>1663</v>
      </c>
      <c r="F842">
        <v>3</v>
      </c>
      <c r="G842">
        <v>3.1</v>
      </c>
      <c r="H842" t="s">
        <v>2017</v>
      </c>
      <c r="I842" s="21">
        <v>37925</v>
      </c>
      <c r="J842">
        <v>2003</v>
      </c>
      <c r="K842" s="21">
        <v>37955</v>
      </c>
      <c r="L842">
        <v>2003</v>
      </c>
      <c r="M842" s="21">
        <v>38107</v>
      </c>
      <c r="N842">
        <v>2004</v>
      </c>
      <c r="Q842" s="262">
        <v>115538</v>
      </c>
      <c r="S842" t="s">
        <v>114</v>
      </c>
      <c r="T842" t="s">
        <v>114</v>
      </c>
      <c r="W842">
        <v>1409</v>
      </c>
      <c r="X842">
        <v>1</v>
      </c>
      <c r="Y842">
        <v>0</v>
      </c>
      <c r="Z842">
        <v>0</v>
      </c>
      <c r="AA842">
        <v>0</v>
      </c>
      <c r="AB842">
        <v>0</v>
      </c>
      <c r="AC842">
        <v>0</v>
      </c>
      <c r="AD842">
        <v>1409</v>
      </c>
      <c r="AE842">
        <v>0</v>
      </c>
      <c r="AF842">
        <v>0</v>
      </c>
      <c r="AG842">
        <v>0</v>
      </c>
      <c r="AH842">
        <v>0</v>
      </c>
      <c r="AI842">
        <v>0</v>
      </c>
      <c r="AJ842">
        <v>0</v>
      </c>
      <c r="AK842">
        <v>0</v>
      </c>
      <c r="AL842">
        <v>0</v>
      </c>
      <c r="AM842">
        <v>0</v>
      </c>
      <c r="AN842">
        <v>0</v>
      </c>
      <c r="AO842">
        <v>0</v>
      </c>
      <c r="AP842">
        <v>1</v>
      </c>
      <c r="AQ842">
        <v>0</v>
      </c>
      <c r="AR842">
        <v>0</v>
      </c>
      <c r="AS842">
        <v>0</v>
      </c>
      <c r="AT842">
        <v>0</v>
      </c>
      <c r="AU842">
        <f t="shared" si="24"/>
        <v>1</v>
      </c>
      <c r="AV842">
        <f t="shared" si="25"/>
        <v>0</v>
      </c>
    </row>
    <row r="843" spans="1:48" x14ac:dyDescent="0.25">
      <c r="A843" t="s">
        <v>4477</v>
      </c>
      <c r="C843" t="s">
        <v>4478</v>
      </c>
      <c r="D843" t="s">
        <v>4465</v>
      </c>
      <c r="E843" t="s">
        <v>1663</v>
      </c>
      <c r="F843">
        <v>3</v>
      </c>
      <c r="G843">
        <v>3.1</v>
      </c>
      <c r="H843" t="s">
        <v>2017</v>
      </c>
      <c r="I843" s="21">
        <v>37925</v>
      </c>
      <c r="J843">
        <v>2003</v>
      </c>
      <c r="K843" s="21">
        <v>37955</v>
      </c>
      <c r="L843">
        <v>2003</v>
      </c>
      <c r="M843" s="21">
        <v>38107</v>
      </c>
      <c r="N843">
        <v>2004</v>
      </c>
      <c r="Q843" s="262">
        <v>115538</v>
      </c>
      <c r="S843" t="s">
        <v>114</v>
      </c>
      <c r="T843" t="s">
        <v>114</v>
      </c>
      <c r="W843">
        <v>1409</v>
      </c>
      <c r="X843">
        <v>1</v>
      </c>
      <c r="Y843">
        <v>0</v>
      </c>
      <c r="Z843">
        <v>0</v>
      </c>
      <c r="AA843">
        <v>0</v>
      </c>
      <c r="AB843">
        <v>0</v>
      </c>
      <c r="AC843">
        <v>0</v>
      </c>
      <c r="AD843">
        <v>1409</v>
      </c>
      <c r="AE843">
        <v>0</v>
      </c>
      <c r="AF843">
        <v>0</v>
      </c>
      <c r="AG843">
        <v>0</v>
      </c>
      <c r="AH843">
        <v>0</v>
      </c>
      <c r="AI843">
        <v>0</v>
      </c>
      <c r="AJ843">
        <v>0</v>
      </c>
      <c r="AK843">
        <v>0</v>
      </c>
      <c r="AL843">
        <v>0</v>
      </c>
      <c r="AM843">
        <v>0</v>
      </c>
      <c r="AN843">
        <v>0</v>
      </c>
      <c r="AO843">
        <v>0</v>
      </c>
      <c r="AP843">
        <v>1</v>
      </c>
      <c r="AQ843">
        <v>0</v>
      </c>
      <c r="AR843">
        <v>0</v>
      </c>
      <c r="AS843">
        <v>0</v>
      </c>
      <c r="AT843">
        <v>0</v>
      </c>
      <c r="AU843">
        <f t="shared" si="24"/>
        <v>1</v>
      </c>
      <c r="AV843">
        <f t="shared" si="25"/>
        <v>0</v>
      </c>
    </row>
    <row r="844" spans="1:48" x14ac:dyDescent="0.25">
      <c r="A844" t="s">
        <v>4479</v>
      </c>
      <c r="C844" t="s">
        <v>4480</v>
      </c>
      <c r="D844" t="s">
        <v>4465</v>
      </c>
      <c r="E844" t="s">
        <v>1663</v>
      </c>
      <c r="F844">
        <v>3</v>
      </c>
      <c r="G844">
        <v>3.1</v>
      </c>
      <c r="H844" t="s">
        <v>2017</v>
      </c>
      <c r="I844" s="21">
        <v>37925</v>
      </c>
      <c r="J844">
        <v>2003</v>
      </c>
      <c r="K844" s="21">
        <v>37955</v>
      </c>
      <c r="L844">
        <v>2003</v>
      </c>
      <c r="M844" s="21">
        <v>38107</v>
      </c>
      <c r="N844">
        <v>2004</v>
      </c>
      <c r="Q844" s="262">
        <v>115538</v>
      </c>
      <c r="S844" t="s">
        <v>114</v>
      </c>
      <c r="T844" t="s">
        <v>114</v>
      </c>
      <c r="W844">
        <v>1409</v>
      </c>
      <c r="X844">
        <v>1</v>
      </c>
      <c r="Y844">
        <v>0</v>
      </c>
      <c r="Z844">
        <v>0</v>
      </c>
      <c r="AA844">
        <v>0</v>
      </c>
      <c r="AB844">
        <v>0</v>
      </c>
      <c r="AC844">
        <v>0</v>
      </c>
      <c r="AD844">
        <v>1409</v>
      </c>
      <c r="AE844">
        <v>0</v>
      </c>
      <c r="AF844">
        <v>0</v>
      </c>
      <c r="AG844">
        <v>0</v>
      </c>
      <c r="AH844">
        <v>0</v>
      </c>
      <c r="AI844">
        <v>0</v>
      </c>
      <c r="AJ844">
        <v>0</v>
      </c>
      <c r="AK844">
        <v>0</v>
      </c>
      <c r="AL844">
        <v>0</v>
      </c>
      <c r="AM844">
        <v>0</v>
      </c>
      <c r="AN844">
        <v>0</v>
      </c>
      <c r="AO844">
        <v>0</v>
      </c>
      <c r="AP844">
        <v>1</v>
      </c>
      <c r="AQ844">
        <v>0</v>
      </c>
      <c r="AR844">
        <v>0</v>
      </c>
      <c r="AS844">
        <v>0</v>
      </c>
      <c r="AT844">
        <v>0</v>
      </c>
      <c r="AU844">
        <f t="shared" si="24"/>
        <v>1</v>
      </c>
      <c r="AV844">
        <f t="shared" si="25"/>
        <v>0</v>
      </c>
    </row>
    <row r="845" spans="1:48" x14ac:dyDescent="0.25">
      <c r="A845" t="s">
        <v>4481</v>
      </c>
      <c r="C845" t="s">
        <v>4482</v>
      </c>
      <c r="D845" t="s">
        <v>4465</v>
      </c>
      <c r="E845" t="s">
        <v>1663</v>
      </c>
      <c r="F845">
        <v>3</v>
      </c>
      <c r="G845">
        <v>3.1</v>
      </c>
      <c r="H845" t="s">
        <v>2017</v>
      </c>
      <c r="I845" s="21">
        <v>37925</v>
      </c>
      <c r="J845">
        <v>2003</v>
      </c>
      <c r="K845" s="21">
        <v>37955</v>
      </c>
      <c r="L845">
        <v>2003</v>
      </c>
      <c r="M845" s="21">
        <v>38107</v>
      </c>
      <c r="N845">
        <v>2004</v>
      </c>
      <c r="Q845" s="262">
        <v>116932</v>
      </c>
      <c r="S845" t="s">
        <v>114</v>
      </c>
      <c r="T845" t="s">
        <v>114</v>
      </c>
      <c r="W845">
        <v>1426</v>
      </c>
      <c r="X845">
        <v>1</v>
      </c>
      <c r="Y845">
        <v>0</v>
      </c>
      <c r="Z845">
        <v>0</v>
      </c>
      <c r="AA845">
        <v>0</v>
      </c>
      <c r="AB845">
        <v>0</v>
      </c>
      <c r="AC845">
        <v>0</v>
      </c>
      <c r="AD845">
        <v>1426</v>
      </c>
      <c r="AE845">
        <v>0</v>
      </c>
      <c r="AF845">
        <v>0</v>
      </c>
      <c r="AG845">
        <v>0</v>
      </c>
      <c r="AH845">
        <v>0</v>
      </c>
      <c r="AI845">
        <v>0</v>
      </c>
      <c r="AJ845">
        <v>0</v>
      </c>
      <c r="AK845">
        <v>0</v>
      </c>
      <c r="AL845">
        <v>0</v>
      </c>
      <c r="AM845">
        <v>0</v>
      </c>
      <c r="AN845">
        <v>0</v>
      </c>
      <c r="AO845">
        <v>0</v>
      </c>
      <c r="AP845">
        <v>1</v>
      </c>
      <c r="AQ845">
        <v>0</v>
      </c>
      <c r="AR845">
        <v>0</v>
      </c>
      <c r="AS845">
        <v>0</v>
      </c>
      <c r="AT845">
        <v>0</v>
      </c>
      <c r="AU845">
        <f t="shared" si="24"/>
        <v>1</v>
      </c>
      <c r="AV845">
        <f t="shared" si="25"/>
        <v>0</v>
      </c>
    </row>
    <row r="846" spans="1:48" x14ac:dyDescent="0.25">
      <c r="A846" t="s">
        <v>4483</v>
      </c>
      <c r="C846" t="s">
        <v>4484</v>
      </c>
      <c r="D846" t="s">
        <v>4465</v>
      </c>
      <c r="E846" t="s">
        <v>1663</v>
      </c>
      <c r="F846">
        <v>3</v>
      </c>
      <c r="G846">
        <v>3.1</v>
      </c>
      <c r="H846" t="s">
        <v>2017</v>
      </c>
      <c r="I846" s="21">
        <v>37925</v>
      </c>
      <c r="J846">
        <v>2003</v>
      </c>
      <c r="K846" s="21">
        <v>37955</v>
      </c>
      <c r="L846">
        <v>2003</v>
      </c>
      <c r="M846" s="21">
        <v>38107</v>
      </c>
      <c r="N846">
        <v>2004</v>
      </c>
      <c r="Q846" s="262">
        <v>116932</v>
      </c>
      <c r="S846" t="s">
        <v>114</v>
      </c>
      <c r="T846" t="s">
        <v>114</v>
      </c>
      <c r="W846">
        <v>1426</v>
      </c>
      <c r="X846">
        <v>1</v>
      </c>
      <c r="Y846">
        <v>0</v>
      </c>
      <c r="Z846">
        <v>0</v>
      </c>
      <c r="AA846">
        <v>0</v>
      </c>
      <c r="AB846">
        <v>0</v>
      </c>
      <c r="AC846">
        <v>0</v>
      </c>
      <c r="AD846">
        <v>1426</v>
      </c>
      <c r="AE846">
        <v>0</v>
      </c>
      <c r="AF846">
        <v>0</v>
      </c>
      <c r="AG846">
        <v>0</v>
      </c>
      <c r="AH846">
        <v>0</v>
      </c>
      <c r="AI846">
        <v>0</v>
      </c>
      <c r="AJ846">
        <v>0</v>
      </c>
      <c r="AK846">
        <v>0</v>
      </c>
      <c r="AL846">
        <v>0</v>
      </c>
      <c r="AM846">
        <v>0</v>
      </c>
      <c r="AN846">
        <v>0</v>
      </c>
      <c r="AO846">
        <v>0</v>
      </c>
      <c r="AP846">
        <v>1</v>
      </c>
      <c r="AQ846">
        <v>0</v>
      </c>
      <c r="AR846">
        <v>0</v>
      </c>
      <c r="AS846">
        <v>0</v>
      </c>
      <c r="AT846">
        <v>0</v>
      </c>
      <c r="AU846">
        <f t="shared" si="24"/>
        <v>1</v>
      </c>
      <c r="AV846">
        <f t="shared" si="25"/>
        <v>0</v>
      </c>
    </row>
    <row r="847" spans="1:48" x14ac:dyDescent="0.25">
      <c r="A847" t="s">
        <v>4485</v>
      </c>
      <c r="C847" t="s">
        <v>4486</v>
      </c>
      <c r="D847" t="s">
        <v>4465</v>
      </c>
      <c r="E847" t="s">
        <v>1663</v>
      </c>
      <c r="F847">
        <v>3</v>
      </c>
      <c r="G847">
        <v>3.1</v>
      </c>
      <c r="H847" t="s">
        <v>2017</v>
      </c>
      <c r="I847" s="21">
        <v>37925</v>
      </c>
      <c r="J847">
        <v>2003</v>
      </c>
      <c r="K847" s="21">
        <v>37955</v>
      </c>
      <c r="L847">
        <v>2003</v>
      </c>
      <c r="M847" s="21">
        <v>38107</v>
      </c>
      <c r="N847">
        <v>2004</v>
      </c>
      <c r="Q847" s="262">
        <v>115538</v>
      </c>
      <c r="S847" t="s">
        <v>114</v>
      </c>
      <c r="T847" t="s">
        <v>114</v>
      </c>
      <c r="W847">
        <v>1409</v>
      </c>
      <c r="X847">
        <v>1</v>
      </c>
      <c r="Y847">
        <v>0</v>
      </c>
      <c r="Z847">
        <v>0</v>
      </c>
      <c r="AA847">
        <v>0</v>
      </c>
      <c r="AB847">
        <v>0</v>
      </c>
      <c r="AC847">
        <v>0</v>
      </c>
      <c r="AD847">
        <v>1409</v>
      </c>
      <c r="AE847">
        <v>0</v>
      </c>
      <c r="AF847">
        <v>0</v>
      </c>
      <c r="AG847">
        <v>0</v>
      </c>
      <c r="AH847">
        <v>0</v>
      </c>
      <c r="AI847">
        <v>0</v>
      </c>
      <c r="AJ847">
        <v>0</v>
      </c>
      <c r="AK847">
        <v>0</v>
      </c>
      <c r="AL847">
        <v>0</v>
      </c>
      <c r="AM847">
        <v>0</v>
      </c>
      <c r="AN847">
        <v>0</v>
      </c>
      <c r="AO847">
        <v>0</v>
      </c>
      <c r="AP847">
        <v>1</v>
      </c>
      <c r="AQ847">
        <v>0</v>
      </c>
      <c r="AR847">
        <v>0</v>
      </c>
      <c r="AS847">
        <v>0</v>
      </c>
      <c r="AT847">
        <v>0</v>
      </c>
      <c r="AU847">
        <f t="shared" si="24"/>
        <v>1</v>
      </c>
      <c r="AV847">
        <f t="shared" si="25"/>
        <v>0</v>
      </c>
    </row>
    <row r="848" spans="1:48" x14ac:dyDescent="0.25">
      <c r="A848" t="s">
        <v>4487</v>
      </c>
      <c r="C848" t="s">
        <v>4469</v>
      </c>
      <c r="D848" t="s">
        <v>4465</v>
      </c>
      <c r="E848" t="s">
        <v>1663</v>
      </c>
      <c r="F848">
        <v>3</v>
      </c>
      <c r="G848">
        <v>3.1</v>
      </c>
      <c r="H848" t="s">
        <v>2017</v>
      </c>
      <c r="I848" s="21">
        <v>37925</v>
      </c>
      <c r="J848">
        <v>2003</v>
      </c>
      <c r="K848" s="21">
        <v>37955</v>
      </c>
      <c r="L848">
        <v>2003</v>
      </c>
      <c r="M848" s="21">
        <v>38107</v>
      </c>
      <c r="N848">
        <v>2004</v>
      </c>
      <c r="Q848" s="262">
        <v>115538</v>
      </c>
      <c r="S848" t="s">
        <v>114</v>
      </c>
      <c r="T848" t="s">
        <v>114</v>
      </c>
      <c r="W848">
        <v>1409</v>
      </c>
      <c r="X848">
        <v>1</v>
      </c>
      <c r="Y848">
        <v>0</v>
      </c>
      <c r="Z848">
        <v>0</v>
      </c>
      <c r="AA848">
        <v>0</v>
      </c>
      <c r="AB848">
        <v>0</v>
      </c>
      <c r="AC848">
        <v>0</v>
      </c>
      <c r="AD848">
        <v>1409</v>
      </c>
      <c r="AE848">
        <v>0</v>
      </c>
      <c r="AF848">
        <v>0</v>
      </c>
      <c r="AG848">
        <v>0</v>
      </c>
      <c r="AH848">
        <v>0</v>
      </c>
      <c r="AI848">
        <v>0</v>
      </c>
      <c r="AJ848">
        <v>0</v>
      </c>
      <c r="AK848">
        <v>0</v>
      </c>
      <c r="AL848">
        <v>0</v>
      </c>
      <c r="AM848">
        <v>0</v>
      </c>
      <c r="AN848">
        <v>0</v>
      </c>
      <c r="AO848">
        <v>0</v>
      </c>
      <c r="AP848">
        <v>1</v>
      </c>
      <c r="AQ848">
        <v>0</v>
      </c>
      <c r="AR848">
        <v>0</v>
      </c>
      <c r="AS848">
        <v>0</v>
      </c>
      <c r="AT848">
        <v>0</v>
      </c>
      <c r="AU848">
        <f t="shared" si="24"/>
        <v>1</v>
      </c>
      <c r="AV848">
        <f t="shared" si="25"/>
        <v>0</v>
      </c>
    </row>
    <row r="849" spans="1:48" x14ac:dyDescent="0.25">
      <c r="A849" t="s">
        <v>4488</v>
      </c>
      <c r="C849" t="s">
        <v>4489</v>
      </c>
      <c r="D849" t="s">
        <v>4465</v>
      </c>
      <c r="E849" t="s">
        <v>1663</v>
      </c>
      <c r="F849">
        <v>3</v>
      </c>
      <c r="G849">
        <v>3.1</v>
      </c>
      <c r="H849" t="s">
        <v>2017</v>
      </c>
      <c r="I849" s="21">
        <v>37925</v>
      </c>
      <c r="J849">
        <v>2003</v>
      </c>
      <c r="K849" s="21">
        <v>37955</v>
      </c>
      <c r="L849">
        <v>2003</v>
      </c>
      <c r="M849" s="21">
        <v>38107</v>
      </c>
      <c r="N849">
        <v>2004</v>
      </c>
      <c r="Q849" s="262">
        <v>114964</v>
      </c>
      <c r="S849" t="s">
        <v>114</v>
      </c>
      <c r="T849" t="s">
        <v>114</v>
      </c>
      <c r="W849">
        <v>1402</v>
      </c>
      <c r="X849">
        <v>1</v>
      </c>
      <c r="Y849">
        <v>0</v>
      </c>
      <c r="Z849">
        <v>0</v>
      </c>
      <c r="AA849">
        <v>0</v>
      </c>
      <c r="AB849">
        <v>0</v>
      </c>
      <c r="AC849">
        <v>0</v>
      </c>
      <c r="AD849">
        <v>1402</v>
      </c>
      <c r="AE849">
        <v>0</v>
      </c>
      <c r="AF849">
        <v>0</v>
      </c>
      <c r="AG849">
        <v>0</v>
      </c>
      <c r="AH849">
        <v>0</v>
      </c>
      <c r="AI849">
        <v>0</v>
      </c>
      <c r="AJ849">
        <v>0</v>
      </c>
      <c r="AK849">
        <v>0</v>
      </c>
      <c r="AL849">
        <v>0</v>
      </c>
      <c r="AM849">
        <v>0</v>
      </c>
      <c r="AN849">
        <v>0</v>
      </c>
      <c r="AO849">
        <v>0</v>
      </c>
      <c r="AP849">
        <v>1</v>
      </c>
      <c r="AQ849">
        <v>0</v>
      </c>
      <c r="AR849">
        <v>0</v>
      </c>
      <c r="AS849">
        <v>0</v>
      </c>
      <c r="AT849">
        <v>0</v>
      </c>
      <c r="AU849">
        <f t="shared" si="24"/>
        <v>1</v>
      </c>
      <c r="AV849">
        <f t="shared" si="25"/>
        <v>0</v>
      </c>
    </row>
    <row r="850" spans="1:48" x14ac:dyDescent="0.25">
      <c r="A850" t="s">
        <v>4490</v>
      </c>
      <c r="C850" t="s">
        <v>4491</v>
      </c>
      <c r="D850" t="s">
        <v>4465</v>
      </c>
      <c r="E850" t="s">
        <v>1663</v>
      </c>
      <c r="F850">
        <v>3</v>
      </c>
      <c r="G850">
        <v>3.1</v>
      </c>
      <c r="H850" t="s">
        <v>2017</v>
      </c>
      <c r="I850" s="21">
        <v>37925</v>
      </c>
      <c r="J850">
        <v>2003</v>
      </c>
      <c r="K850" s="21">
        <v>37955</v>
      </c>
      <c r="L850">
        <v>2003</v>
      </c>
      <c r="M850" s="21">
        <v>38107</v>
      </c>
      <c r="N850">
        <v>2004</v>
      </c>
      <c r="Q850" s="262">
        <v>114964</v>
      </c>
      <c r="S850" t="s">
        <v>114</v>
      </c>
      <c r="T850" t="s">
        <v>114</v>
      </c>
      <c r="W850">
        <v>1402</v>
      </c>
      <c r="X850">
        <v>1</v>
      </c>
      <c r="Y850">
        <v>0</v>
      </c>
      <c r="Z850">
        <v>0</v>
      </c>
      <c r="AA850">
        <v>0</v>
      </c>
      <c r="AB850">
        <v>0</v>
      </c>
      <c r="AC850">
        <v>0</v>
      </c>
      <c r="AD850">
        <v>1402</v>
      </c>
      <c r="AE850">
        <v>0</v>
      </c>
      <c r="AF850">
        <v>0</v>
      </c>
      <c r="AG850">
        <v>0</v>
      </c>
      <c r="AH850">
        <v>0</v>
      </c>
      <c r="AI850">
        <v>0</v>
      </c>
      <c r="AJ850">
        <v>0</v>
      </c>
      <c r="AK850">
        <v>0</v>
      </c>
      <c r="AL850">
        <v>0</v>
      </c>
      <c r="AM850">
        <v>0</v>
      </c>
      <c r="AN850">
        <v>0</v>
      </c>
      <c r="AO850">
        <v>0</v>
      </c>
      <c r="AP850">
        <v>1</v>
      </c>
      <c r="AQ850">
        <v>0</v>
      </c>
      <c r="AR850">
        <v>0</v>
      </c>
      <c r="AS850">
        <v>0</v>
      </c>
      <c r="AT850">
        <v>0</v>
      </c>
      <c r="AU850">
        <f t="shared" si="24"/>
        <v>1</v>
      </c>
      <c r="AV850">
        <f t="shared" si="25"/>
        <v>0</v>
      </c>
    </row>
    <row r="851" spans="1:48" x14ac:dyDescent="0.25">
      <c r="A851" t="s">
        <v>4492</v>
      </c>
      <c r="C851" t="s">
        <v>4493</v>
      </c>
      <c r="D851" t="s">
        <v>3051</v>
      </c>
      <c r="E851" t="s">
        <v>2310</v>
      </c>
      <c r="F851">
        <v>15</v>
      </c>
      <c r="G851">
        <v>15.2</v>
      </c>
      <c r="H851" t="s">
        <v>2323</v>
      </c>
      <c r="I851" s="21">
        <v>37929</v>
      </c>
      <c r="J851">
        <v>2003</v>
      </c>
      <c r="K851" s="21">
        <v>37964</v>
      </c>
      <c r="L851">
        <v>2003</v>
      </c>
      <c r="M851" s="21">
        <v>37964</v>
      </c>
      <c r="N851">
        <v>2003</v>
      </c>
      <c r="R851" s="262">
        <v>20000</v>
      </c>
      <c r="S851" t="s">
        <v>114</v>
      </c>
      <c r="T851" t="s">
        <v>114</v>
      </c>
      <c r="U851">
        <v>5</v>
      </c>
      <c r="W851">
        <v>192</v>
      </c>
      <c r="X851">
        <v>0</v>
      </c>
      <c r="Y851">
        <v>0</v>
      </c>
      <c r="Z851">
        <v>0</v>
      </c>
      <c r="AA851">
        <v>0</v>
      </c>
      <c r="AB851">
        <v>0</v>
      </c>
      <c r="AC851">
        <v>192</v>
      </c>
      <c r="AD851">
        <v>0</v>
      </c>
      <c r="AE851">
        <v>0</v>
      </c>
      <c r="AF851">
        <v>0</v>
      </c>
      <c r="AG851">
        <v>0</v>
      </c>
      <c r="AH851">
        <v>0</v>
      </c>
      <c r="AI851">
        <v>0</v>
      </c>
      <c r="AJ851">
        <v>0</v>
      </c>
      <c r="AK851">
        <v>0</v>
      </c>
      <c r="AL851">
        <v>0</v>
      </c>
      <c r="AM851">
        <v>0</v>
      </c>
      <c r="AN851">
        <v>0</v>
      </c>
      <c r="AO851">
        <v>0</v>
      </c>
      <c r="AP851">
        <v>0</v>
      </c>
      <c r="AQ851">
        <v>0</v>
      </c>
      <c r="AR851">
        <v>0</v>
      </c>
      <c r="AS851">
        <v>0</v>
      </c>
      <c r="AT851">
        <v>0</v>
      </c>
      <c r="AU851">
        <f t="shared" si="24"/>
        <v>0</v>
      </c>
      <c r="AV851">
        <f t="shared" si="25"/>
        <v>0</v>
      </c>
    </row>
    <row r="852" spans="1:48" x14ac:dyDescent="0.25">
      <c r="A852" t="s">
        <v>4494</v>
      </c>
      <c r="C852" t="s">
        <v>4495</v>
      </c>
      <c r="D852" t="s">
        <v>3557</v>
      </c>
      <c r="E852" t="s">
        <v>2310</v>
      </c>
      <c r="F852">
        <v>8</v>
      </c>
      <c r="G852">
        <v>8.3000000000000007</v>
      </c>
      <c r="H852" t="s">
        <v>2323</v>
      </c>
      <c r="I852" s="21">
        <v>37929</v>
      </c>
      <c r="J852">
        <v>2003</v>
      </c>
      <c r="K852" s="21">
        <v>38076</v>
      </c>
      <c r="L852">
        <v>2004</v>
      </c>
      <c r="M852" s="21">
        <v>38506</v>
      </c>
      <c r="N852">
        <v>2005</v>
      </c>
      <c r="R852" s="262">
        <v>8000</v>
      </c>
      <c r="S852" t="s">
        <v>114</v>
      </c>
      <c r="T852" t="s">
        <v>114</v>
      </c>
      <c r="U852">
        <v>5</v>
      </c>
      <c r="W852">
        <v>750</v>
      </c>
      <c r="X852">
        <v>0</v>
      </c>
      <c r="Y852">
        <v>0</v>
      </c>
      <c r="Z852">
        <v>0</v>
      </c>
      <c r="AA852">
        <v>0</v>
      </c>
      <c r="AB852">
        <v>0</v>
      </c>
      <c r="AC852">
        <v>750</v>
      </c>
      <c r="AD852">
        <v>0</v>
      </c>
      <c r="AE852">
        <v>0</v>
      </c>
      <c r="AF852">
        <v>0</v>
      </c>
      <c r="AG852">
        <v>0</v>
      </c>
      <c r="AH852">
        <v>0</v>
      </c>
      <c r="AI852">
        <v>0</v>
      </c>
      <c r="AJ852">
        <v>0</v>
      </c>
      <c r="AK852">
        <v>0</v>
      </c>
      <c r="AL852">
        <v>0</v>
      </c>
      <c r="AM852">
        <v>0</v>
      </c>
      <c r="AN852">
        <v>0</v>
      </c>
      <c r="AO852">
        <v>0</v>
      </c>
      <c r="AP852">
        <v>0</v>
      </c>
      <c r="AQ852">
        <v>0</v>
      </c>
      <c r="AR852">
        <v>0</v>
      </c>
      <c r="AS852">
        <v>0</v>
      </c>
      <c r="AT852">
        <v>0</v>
      </c>
      <c r="AU852">
        <f t="shared" si="24"/>
        <v>0</v>
      </c>
      <c r="AV852">
        <f t="shared" si="25"/>
        <v>0</v>
      </c>
    </row>
    <row r="853" spans="1:48" x14ac:dyDescent="0.25">
      <c r="A853" t="s">
        <v>4496</v>
      </c>
      <c r="C853" t="s">
        <v>2749</v>
      </c>
      <c r="D853" t="s">
        <v>4497</v>
      </c>
      <c r="E853" t="s">
        <v>2310</v>
      </c>
      <c r="F853">
        <v>8</v>
      </c>
      <c r="G853">
        <v>8.1</v>
      </c>
      <c r="H853" t="s">
        <v>2323</v>
      </c>
      <c r="I853" s="21">
        <v>37929</v>
      </c>
      <c r="J853">
        <v>2003</v>
      </c>
      <c r="K853" s="21">
        <v>37950</v>
      </c>
      <c r="L853">
        <v>2003</v>
      </c>
      <c r="M853" s="21">
        <v>37950</v>
      </c>
      <c r="N853">
        <v>2003</v>
      </c>
      <c r="R853" s="262">
        <v>50000</v>
      </c>
      <c r="S853" t="s">
        <v>114</v>
      </c>
      <c r="T853" t="s">
        <v>114</v>
      </c>
      <c r="U853">
        <v>5</v>
      </c>
      <c r="W853">
        <v>566</v>
      </c>
      <c r="X853">
        <v>0</v>
      </c>
      <c r="Y853">
        <v>0</v>
      </c>
      <c r="Z853">
        <v>0</v>
      </c>
      <c r="AA853">
        <v>0</v>
      </c>
      <c r="AB853">
        <v>0</v>
      </c>
      <c r="AC853">
        <v>566</v>
      </c>
      <c r="AD853">
        <v>0</v>
      </c>
      <c r="AE853">
        <v>0</v>
      </c>
      <c r="AF853">
        <v>0</v>
      </c>
      <c r="AG853">
        <v>0</v>
      </c>
      <c r="AH853">
        <v>0</v>
      </c>
      <c r="AI853">
        <v>0</v>
      </c>
      <c r="AJ853">
        <v>0</v>
      </c>
      <c r="AK853">
        <v>0</v>
      </c>
      <c r="AL853">
        <v>0</v>
      </c>
      <c r="AM853">
        <v>0</v>
      </c>
      <c r="AN853">
        <v>0</v>
      </c>
      <c r="AO853">
        <v>0</v>
      </c>
      <c r="AP853">
        <v>0</v>
      </c>
      <c r="AQ853">
        <v>0</v>
      </c>
      <c r="AR853">
        <v>0</v>
      </c>
      <c r="AS853">
        <v>0</v>
      </c>
      <c r="AT853">
        <v>0</v>
      </c>
      <c r="AU853">
        <f t="shared" si="24"/>
        <v>0</v>
      </c>
      <c r="AV853">
        <f t="shared" si="25"/>
        <v>0</v>
      </c>
    </row>
    <row r="854" spans="1:48" x14ac:dyDescent="0.25">
      <c r="A854" t="s">
        <v>4498</v>
      </c>
      <c r="C854" t="s">
        <v>4499</v>
      </c>
      <c r="D854" t="s">
        <v>4500</v>
      </c>
      <c r="E854" t="s">
        <v>2310</v>
      </c>
      <c r="F854">
        <v>13</v>
      </c>
      <c r="G854">
        <v>13.1</v>
      </c>
      <c r="H854" t="s">
        <v>2327</v>
      </c>
      <c r="I854" s="21">
        <v>37930</v>
      </c>
      <c r="J854">
        <v>2003</v>
      </c>
      <c r="K854" s="21">
        <v>38006</v>
      </c>
      <c r="L854">
        <v>2004</v>
      </c>
      <c r="M854" s="21">
        <v>38364</v>
      </c>
      <c r="N854">
        <v>2005</v>
      </c>
      <c r="R854" s="262">
        <v>22000</v>
      </c>
      <c r="S854" t="s">
        <v>114</v>
      </c>
      <c r="T854" t="s">
        <v>114</v>
      </c>
      <c r="U854">
        <v>4</v>
      </c>
      <c r="W854">
        <v>1107</v>
      </c>
      <c r="X854">
        <v>0</v>
      </c>
      <c r="Y854">
        <v>0</v>
      </c>
      <c r="Z854">
        <v>0</v>
      </c>
      <c r="AA854">
        <v>0</v>
      </c>
      <c r="AB854">
        <v>1107</v>
      </c>
      <c r="AC854">
        <v>0</v>
      </c>
      <c r="AD854">
        <v>0</v>
      </c>
      <c r="AE854">
        <v>0</v>
      </c>
      <c r="AF854">
        <v>0</v>
      </c>
      <c r="AG854">
        <v>0</v>
      </c>
      <c r="AH854">
        <v>0</v>
      </c>
      <c r="AI854">
        <v>0</v>
      </c>
      <c r="AJ854">
        <v>0</v>
      </c>
      <c r="AK854">
        <v>0</v>
      </c>
      <c r="AL854">
        <v>0</v>
      </c>
      <c r="AM854">
        <v>0</v>
      </c>
      <c r="AN854">
        <v>0</v>
      </c>
      <c r="AO854">
        <v>0</v>
      </c>
      <c r="AP854">
        <v>0</v>
      </c>
      <c r="AQ854">
        <v>0</v>
      </c>
      <c r="AR854">
        <v>0</v>
      </c>
      <c r="AS854">
        <v>0</v>
      </c>
      <c r="AT854">
        <v>0</v>
      </c>
      <c r="AU854">
        <f t="shared" si="24"/>
        <v>0</v>
      </c>
      <c r="AV854">
        <f t="shared" si="25"/>
        <v>1107</v>
      </c>
    </row>
    <row r="855" spans="1:48" x14ac:dyDescent="0.25">
      <c r="A855" t="s">
        <v>4501</v>
      </c>
      <c r="C855" t="s">
        <v>4502</v>
      </c>
      <c r="D855" t="s">
        <v>4503</v>
      </c>
      <c r="E855" t="s">
        <v>2310</v>
      </c>
      <c r="F855">
        <v>15</v>
      </c>
      <c r="G855">
        <v>15.3</v>
      </c>
      <c r="H855" t="s">
        <v>2022</v>
      </c>
      <c r="I855" s="21">
        <v>37931</v>
      </c>
      <c r="J855">
        <v>2003</v>
      </c>
      <c r="K855" s="21">
        <v>37965</v>
      </c>
      <c r="L855">
        <v>2003</v>
      </c>
      <c r="M855" s="21">
        <v>37965</v>
      </c>
      <c r="N855">
        <v>2003</v>
      </c>
      <c r="R855" s="262">
        <v>10000</v>
      </c>
      <c r="S855" t="s">
        <v>114</v>
      </c>
      <c r="T855" t="s">
        <v>114</v>
      </c>
      <c r="U855">
        <v>5</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c r="AQ855">
        <v>0</v>
      </c>
      <c r="AR855">
        <v>0</v>
      </c>
      <c r="AS855">
        <v>0</v>
      </c>
      <c r="AT855">
        <v>0</v>
      </c>
      <c r="AU855">
        <f t="shared" si="24"/>
        <v>0</v>
      </c>
      <c r="AV855">
        <f t="shared" si="25"/>
        <v>0</v>
      </c>
    </row>
    <row r="856" spans="1:48" x14ac:dyDescent="0.25">
      <c r="A856" t="s">
        <v>4504</v>
      </c>
      <c r="C856" t="s">
        <v>4505</v>
      </c>
      <c r="D856" t="s">
        <v>2397</v>
      </c>
      <c r="E856" t="s">
        <v>2310</v>
      </c>
      <c r="F856">
        <v>9</v>
      </c>
      <c r="G856">
        <v>9.3000000000000007</v>
      </c>
      <c r="H856" t="s">
        <v>2323</v>
      </c>
      <c r="I856" s="21">
        <v>37935</v>
      </c>
      <c r="J856">
        <v>2003</v>
      </c>
      <c r="K856" s="21">
        <v>37960</v>
      </c>
      <c r="L856">
        <v>2003</v>
      </c>
      <c r="M856" s="21">
        <v>37960</v>
      </c>
      <c r="N856">
        <v>2003</v>
      </c>
      <c r="R856" s="262">
        <v>200000</v>
      </c>
      <c r="S856" t="s">
        <v>114</v>
      </c>
      <c r="T856" t="s">
        <v>114</v>
      </c>
      <c r="U856">
        <v>5</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c r="AQ856">
        <v>0</v>
      </c>
      <c r="AR856">
        <v>0</v>
      </c>
      <c r="AS856">
        <v>0</v>
      </c>
      <c r="AT856">
        <v>0</v>
      </c>
      <c r="AU856">
        <f t="shared" si="24"/>
        <v>0</v>
      </c>
      <c r="AV856">
        <f t="shared" si="25"/>
        <v>0</v>
      </c>
    </row>
    <row r="857" spans="1:48" x14ac:dyDescent="0.25">
      <c r="A857" t="s">
        <v>4506</v>
      </c>
      <c r="C857" t="s">
        <v>4507</v>
      </c>
      <c r="D857" t="s">
        <v>4508</v>
      </c>
      <c r="E857" t="s">
        <v>2310</v>
      </c>
      <c r="F857">
        <v>8</v>
      </c>
      <c r="G857">
        <v>8.1</v>
      </c>
      <c r="H857" t="s">
        <v>2323</v>
      </c>
      <c r="I857" s="21">
        <v>37935</v>
      </c>
      <c r="J857">
        <v>2003</v>
      </c>
      <c r="K857" s="21">
        <v>38007</v>
      </c>
      <c r="L857">
        <v>2004</v>
      </c>
      <c r="M857" s="21">
        <v>38027</v>
      </c>
      <c r="N857">
        <v>2004</v>
      </c>
      <c r="R857" s="262">
        <v>4000</v>
      </c>
      <c r="S857" t="s">
        <v>114</v>
      </c>
      <c r="T857" t="s">
        <v>114</v>
      </c>
      <c r="U857">
        <v>5</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c r="AQ857">
        <v>0</v>
      </c>
      <c r="AR857">
        <v>0</v>
      </c>
      <c r="AS857">
        <v>0</v>
      </c>
      <c r="AT857">
        <v>0</v>
      </c>
      <c r="AU857">
        <f t="shared" ref="AU857:AU920" si="26">SUM(AN857:AQ857,AS857)</f>
        <v>0</v>
      </c>
      <c r="AV857">
        <f t="shared" ref="AV857:AV920" si="27">SUM(Y857:AB857,AH857:AM857)</f>
        <v>0</v>
      </c>
    </row>
    <row r="858" spans="1:48" x14ac:dyDescent="0.25">
      <c r="A858" t="s">
        <v>4509</v>
      </c>
      <c r="C858" t="s">
        <v>4510</v>
      </c>
      <c r="D858" t="s">
        <v>4511</v>
      </c>
      <c r="E858" t="s">
        <v>2310</v>
      </c>
      <c r="F858">
        <v>9</v>
      </c>
      <c r="G858">
        <v>9.3000000000000007</v>
      </c>
      <c r="H858" t="s">
        <v>2323</v>
      </c>
      <c r="I858" s="21">
        <v>37937</v>
      </c>
      <c r="J858">
        <v>2003</v>
      </c>
      <c r="K858" s="21">
        <v>37986</v>
      </c>
      <c r="L858">
        <v>2003</v>
      </c>
      <c r="M858" s="21">
        <v>39434</v>
      </c>
      <c r="N858">
        <v>2007</v>
      </c>
      <c r="R858" s="262">
        <v>3500000</v>
      </c>
      <c r="S858" t="s">
        <v>114</v>
      </c>
      <c r="T858" t="s">
        <v>114</v>
      </c>
      <c r="U858">
        <v>5</v>
      </c>
      <c r="W858">
        <v>9930</v>
      </c>
      <c r="X858">
        <v>1</v>
      </c>
      <c r="Y858">
        <v>0</v>
      </c>
      <c r="Z858">
        <v>0</v>
      </c>
      <c r="AA858">
        <v>0</v>
      </c>
      <c r="AB858">
        <v>0</v>
      </c>
      <c r="AC858">
        <v>9930</v>
      </c>
      <c r="AD858">
        <v>0</v>
      </c>
      <c r="AE858">
        <v>0</v>
      </c>
      <c r="AF858">
        <v>0</v>
      </c>
      <c r="AG858">
        <v>0</v>
      </c>
      <c r="AH858">
        <v>0</v>
      </c>
      <c r="AI858">
        <v>0</v>
      </c>
      <c r="AJ858">
        <v>0</v>
      </c>
      <c r="AK858">
        <v>0</v>
      </c>
      <c r="AL858">
        <v>0</v>
      </c>
      <c r="AM858">
        <v>0</v>
      </c>
      <c r="AN858">
        <v>0</v>
      </c>
      <c r="AO858">
        <v>1</v>
      </c>
      <c r="AP858">
        <v>0</v>
      </c>
      <c r="AQ858">
        <v>0</v>
      </c>
      <c r="AR858">
        <v>0</v>
      </c>
      <c r="AS858">
        <v>0</v>
      </c>
      <c r="AT858">
        <v>0</v>
      </c>
      <c r="AU858">
        <f t="shared" si="26"/>
        <v>1</v>
      </c>
      <c r="AV858">
        <f t="shared" si="27"/>
        <v>0</v>
      </c>
    </row>
    <row r="859" spans="1:48" x14ac:dyDescent="0.25">
      <c r="A859" t="s">
        <v>4512</v>
      </c>
      <c r="C859" t="s">
        <v>4513</v>
      </c>
      <c r="D859" t="s">
        <v>4514</v>
      </c>
      <c r="E859" t="s">
        <v>2310</v>
      </c>
      <c r="F859">
        <v>9</v>
      </c>
      <c r="G859">
        <v>9.3000000000000007</v>
      </c>
      <c r="H859" t="s">
        <v>2323</v>
      </c>
      <c r="I859" s="21">
        <v>37938</v>
      </c>
      <c r="J859">
        <v>2003</v>
      </c>
      <c r="K859" s="21">
        <v>37964</v>
      </c>
      <c r="L859">
        <v>2003</v>
      </c>
      <c r="M859" s="21">
        <v>37964</v>
      </c>
      <c r="N859">
        <v>2003</v>
      </c>
      <c r="R859" s="262">
        <v>20000</v>
      </c>
      <c r="S859" t="s">
        <v>114</v>
      </c>
      <c r="T859" t="s">
        <v>114</v>
      </c>
      <c r="U859">
        <v>12</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c r="AQ859">
        <v>0</v>
      </c>
      <c r="AR859">
        <v>0</v>
      </c>
      <c r="AS859">
        <v>0</v>
      </c>
      <c r="AT859">
        <v>0</v>
      </c>
      <c r="AU859">
        <f t="shared" si="26"/>
        <v>0</v>
      </c>
      <c r="AV859">
        <f t="shared" si="27"/>
        <v>0</v>
      </c>
    </row>
    <row r="860" spans="1:48" x14ac:dyDescent="0.25">
      <c r="A860" t="s">
        <v>4515</v>
      </c>
      <c r="C860" t="s">
        <v>4516</v>
      </c>
      <c r="D860" t="s">
        <v>4517</v>
      </c>
      <c r="E860" t="s">
        <v>2310</v>
      </c>
      <c r="F860">
        <v>9</v>
      </c>
      <c r="G860">
        <v>9.3000000000000007</v>
      </c>
      <c r="H860" t="s">
        <v>2323</v>
      </c>
      <c r="I860" s="21">
        <v>37938</v>
      </c>
      <c r="J860">
        <v>2003</v>
      </c>
      <c r="M860" s="21">
        <v>38055</v>
      </c>
      <c r="N860">
        <v>2004</v>
      </c>
      <c r="R860" s="262">
        <v>5000</v>
      </c>
      <c r="S860" t="s">
        <v>114</v>
      </c>
      <c r="T860" t="s">
        <v>114</v>
      </c>
      <c r="U860">
        <v>12</v>
      </c>
      <c r="W860">
        <v>0</v>
      </c>
      <c r="X860">
        <v>-1</v>
      </c>
      <c r="Y860">
        <v>0</v>
      </c>
      <c r="Z860">
        <v>0</v>
      </c>
      <c r="AA860">
        <v>0</v>
      </c>
      <c r="AB860">
        <v>0</v>
      </c>
      <c r="AC860">
        <v>-1440</v>
      </c>
      <c r="AD860">
        <v>0</v>
      </c>
      <c r="AE860">
        <v>0</v>
      </c>
      <c r="AF860">
        <v>0</v>
      </c>
      <c r="AG860">
        <v>0</v>
      </c>
      <c r="AH860">
        <v>0</v>
      </c>
      <c r="AI860">
        <v>0</v>
      </c>
      <c r="AJ860">
        <v>1440</v>
      </c>
      <c r="AK860">
        <v>0</v>
      </c>
      <c r="AL860">
        <v>0</v>
      </c>
      <c r="AM860">
        <v>0</v>
      </c>
      <c r="AN860">
        <v>0</v>
      </c>
      <c r="AO860">
        <v>-1</v>
      </c>
      <c r="AP860">
        <v>0</v>
      </c>
      <c r="AQ860">
        <v>0</v>
      </c>
      <c r="AR860">
        <v>0</v>
      </c>
      <c r="AS860">
        <v>0</v>
      </c>
      <c r="AT860">
        <v>0</v>
      </c>
      <c r="AU860">
        <f t="shared" si="26"/>
        <v>-1</v>
      </c>
      <c r="AV860">
        <f t="shared" si="27"/>
        <v>1440</v>
      </c>
    </row>
    <row r="861" spans="1:48" x14ac:dyDescent="0.25">
      <c r="A861" t="s">
        <v>4518</v>
      </c>
      <c r="C861" t="s">
        <v>4519</v>
      </c>
      <c r="D861" t="s">
        <v>4520</v>
      </c>
      <c r="E861" t="s">
        <v>2310</v>
      </c>
      <c r="F861">
        <v>11</v>
      </c>
      <c r="G861">
        <v>11.2</v>
      </c>
      <c r="H861" t="s">
        <v>2017</v>
      </c>
      <c r="I861" s="21">
        <v>37942</v>
      </c>
      <c r="J861">
        <v>2003</v>
      </c>
      <c r="K861" s="21">
        <v>37965</v>
      </c>
      <c r="L861">
        <v>2003</v>
      </c>
      <c r="M861" s="21">
        <v>38943</v>
      </c>
      <c r="N861">
        <v>2006</v>
      </c>
      <c r="R861" s="262">
        <v>15000</v>
      </c>
      <c r="S861" t="s">
        <v>114</v>
      </c>
      <c r="T861" t="s">
        <v>114</v>
      </c>
      <c r="U861">
        <v>5</v>
      </c>
      <c r="W861">
        <v>238</v>
      </c>
      <c r="X861">
        <v>0</v>
      </c>
      <c r="Y861">
        <v>0</v>
      </c>
      <c r="Z861">
        <v>0</v>
      </c>
      <c r="AA861">
        <v>0</v>
      </c>
      <c r="AB861">
        <v>0</v>
      </c>
      <c r="AC861">
        <v>238</v>
      </c>
      <c r="AD861">
        <v>0</v>
      </c>
      <c r="AE861">
        <v>0</v>
      </c>
      <c r="AF861">
        <v>0</v>
      </c>
      <c r="AG861">
        <v>0</v>
      </c>
      <c r="AH861">
        <v>0</v>
      </c>
      <c r="AI861">
        <v>0</v>
      </c>
      <c r="AJ861">
        <v>0</v>
      </c>
      <c r="AK861">
        <v>0</v>
      </c>
      <c r="AL861">
        <v>0</v>
      </c>
      <c r="AM861">
        <v>0</v>
      </c>
      <c r="AN861">
        <v>0</v>
      </c>
      <c r="AO861">
        <v>0</v>
      </c>
      <c r="AP861">
        <v>0</v>
      </c>
      <c r="AQ861">
        <v>0</v>
      </c>
      <c r="AR861">
        <v>0</v>
      </c>
      <c r="AS861">
        <v>0</v>
      </c>
      <c r="AT861">
        <v>0</v>
      </c>
      <c r="AU861">
        <f t="shared" si="26"/>
        <v>0</v>
      </c>
      <c r="AV861">
        <f t="shared" si="27"/>
        <v>0</v>
      </c>
    </row>
    <row r="862" spans="1:48" x14ac:dyDescent="0.25">
      <c r="A862" t="s">
        <v>4521</v>
      </c>
      <c r="C862" t="s">
        <v>4522</v>
      </c>
      <c r="D862" t="s">
        <v>4523</v>
      </c>
      <c r="E862" t="s">
        <v>2310</v>
      </c>
      <c r="F862">
        <v>12</v>
      </c>
      <c r="G862">
        <v>12.3</v>
      </c>
      <c r="H862" t="s">
        <v>2017</v>
      </c>
      <c r="I862" s="21">
        <v>37945</v>
      </c>
      <c r="J862">
        <v>2003</v>
      </c>
      <c r="K862" s="21">
        <v>37966</v>
      </c>
      <c r="L862">
        <v>2003</v>
      </c>
      <c r="M862" s="21">
        <v>37966</v>
      </c>
      <c r="N862">
        <v>2003</v>
      </c>
      <c r="R862" s="262">
        <v>98250</v>
      </c>
      <c r="S862" t="s">
        <v>114</v>
      </c>
      <c r="T862" t="s">
        <v>114</v>
      </c>
      <c r="U862">
        <v>5</v>
      </c>
      <c r="W862">
        <v>786</v>
      </c>
      <c r="X862">
        <v>0</v>
      </c>
      <c r="Y862">
        <v>0</v>
      </c>
      <c r="Z862">
        <v>0</v>
      </c>
      <c r="AA862">
        <v>0</v>
      </c>
      <c r="AB862">
        <v>0</v>
      </c>
      <c r="AC862">
        <v>786</v>
      </c>
      <c r="AD862">
        <v>0</v>
      </c>
      <c r="AE862">
        <v>0</v>
      </c>
      <c r="AF862">
        <v>0</v>
      </c>
      <c r="AG862">
        <v>0</v>
      </c>
      <c r="AH862">
        <v>0</v>
      </c>
      <c r="AI862">
        <v>0</v>
      </c>
      <c r="AJ862">
        <v>0</v>
      </c>
      <c r="AK862">
        <v>0</v>
      </c>
      <c r="AL862">
        <v>0</v>
      </c>
      <c r="AM862">
        <v>0</v>
      </c>
      <c r="AN862">
        <v>0</v>
      </c>
      <c r="AO862">
        <v>0</v>
      </c>
      <c r="AP862">
        <v>0</v>
      </c>
      <c r="AQ862">
        <v>0</v>
      </c>
      <c r="AR862">
        <v>0</v>
      </c>
      <c r="AS862">
        <v>0</v>
      </c>
      <c r="AT862">
        <v>0</v>
      </c>
      <c r="AU862">
        <f t="shared" si="26"/>
        <v>0</v>
      </c>
      <c r="AV862">
        <f t="shared" si="27"/>
        <v>0</v>
      </c>
    </row>
    <row r="863" spans="1:48" x14ac:dyDescent="0.25">
      <c r="A863" t="s">
        <v>4524</v>
      </c>
      <c r="C863" t="s">
        <v>4525</v>
      </c>
      <c r="D863" t="s">
        <v>4526</v>
      </c>
      <c r="E863" t="s">
        <v>2310</v>
      </c>
      <c r="F863">
        <v>9</v>
      </c>
      <c r="G863">
        <v>9.3000000000000007</v>
      </c>
      <c r="H863" t="s">
        <v>2323</v>
      </c>
      <c r="I863" s="21">
        <v>37949</v>
      </c>
      <c r="J863">
        <v>2003</v>
      </c>
      <c r="K863" s="21">
        <v>37966</v>
      </c>
      <c r="L863">
        <v>2003</v>
      </c>
      <c r="M863" s="21">
        <v>37966</v>
      </c>
      <c r="N863">
        <v>2003</v>
      </c>
      <c r="R863" s="262">
        <v>50000</v>
      </c>
      <c r="S863" t="s">
        <v>114</v>
      </c>
      <c r="T863" t="s">
        <v>114</v>
      </c>
      <c r="U863">
        <v>5</v>
      </c>
      <c r="W863">
        <v>161</v>
      </c>
      <c r="X863">
        <v>0</v>
      </c>
      <c r="Y863">
        <v>0</v>
      </c>
      <c r="Z863">
        <v>0</v>
      </c>
      <c r="AA863">
        <v>0</v>
      </c>
      <c r="AB863">
        <v>0</v>
      </c>
      <c r="AC863">
        <v>161</v>
      </c>
      <c r="AD863">
        <v>0</v>
      </c>
      <c r="AE863">
        <v>0</v>
      </c>
      <c r="AF863">
        <v>0</v>
      </c>
      <c r="AG863">
        <v>0</v>
      </c>
      <c r="AH863">
        <v>0</v>
      </c>
      <c r="AI863">
        <v>0</v>
      </c>
      <c r="AJ863">
        <v>0</v>
      </c>
      <c r="AK863">
        <v>0</v>
      </c>
      <c r="AL863">
        <v>0</v>
      </c>
      <c r="AM863">
        <v>0</v>
      </c>
      <c r="AN863">
        <v>0</v>
      </c>
      <c r="AO863">
        <v>0</v>
      </c>
      <c r="AP863">
        <v>0</v>
      </c>
      <c r="AQ863">
        <v>0</v>
      </c>
      <c r="AR863">
        <v>0</v>
      </c>
      <c r="AS863">
        <v>0</v>
      </c>
      <c r="AT863">
        <v>0</v>
      </c>
      <c r="AU863">
        <f t="shared" si="26"/>
        <v>0</v>
      </c>
      <c r="AV863">
        <f t="shared" si="27"/>
        <v>0</v>
      </c>
    </row>
    <row r="864" spans="1:48" x14ac:dyDescent="0.25">
      <c r="A864" t="s">
        <v>4527</v>
      </c>
      <c r="C864" t="s">
        <v>4528</v>
      </c>
      <c r="D864" t="s">
        <v>4529</v>
      </c>
      <c r="E864" t="s">
        <v>2310</v>
      </c>
      <c r="F864">
        <v>10</v>
      </c>
      <c r="G864">
        <v>10.1</v>
      </c>
      <c r="H864" t="s">
        <v>2323</v>
      </c>
      <c r="I864" s="21">
        <v>37950</v>
      </c>
      <c r="J864">
        <v>2003</v>
      </c>
      <c r="K864" s="21">
        <v>37978</v>
      </c>
      <c r="L864">
        <v>2003</v>
      </c>
      <c r="M864" s="21">
        <v>38258</v>
      </c>
      <c r="N864">
        <v>2004</v>
      </c>
      <c r="R864" s="262">
        <v>450000</v>
      </c>
      <c r="S864" t="s">
        <v>114</v>
      </c>
      <c r="T864" t="s">
        <v>114</v>
      </c>
      <c r="U864">
        <v>5</v>
      </c>
      <c r="W864">
        <v>5823</v>
      </c>
      <c r="X864">
        <v>1</v>
      </c>
      <c r="Y864">
        <v>0</v>
      </c>
      <c r="Z864">
        <v>0</v>
      </c>
      <c r="AA864">
        <v>0</v>
      </c>
      <c r="AB864">
        <v>0</v>
      </c>
      <c r="AC864">
        <v>5823</v>
      </c>
      <c r="AD864">
        <v>0</v>
      </c>
      <c r="AE864">
        <v>0</v>
      </c>
      <c r="AF864">
        <v>0</v>
      </c>
      <c r="AG864">
        <v>0</v>
      </c>
      <c r="AH864">
        <v>0</v>
      </c>
      <c r="AI864">
        <v>0</v>
      </c>
      <c r="AJ864">
        <v>0</v>
      </c>
      <c r="AK864">
        <v>0</v>
      </c>
      <c r="AL864">
        <v>0</v>
      </c>
      <c r="AM864">
        <v>0</v>
      </c>
      <c r="AN864">
        <v>0</v>
      </c>
      <c r="AO864">
        <v>1</v>
      </c>
      <c r="AP864">
        <v>0</v>
      </c>
      <c r="AQ864">
        <v>0</v>
      </c>
      <c r="AR864">
        <v>0</v>
      </c>
      <c r="AS864">
        <v>0</v>
      </c>
      <c r="AT864">
        <v>0</v>
      </c>
      <c r="AU864">
        <f t="shared" si="26"/>
        <v>1</v>
      </c>
      <c r="AV864">
        <f t="shared" si="27"/>
        <v>0</v>
      </c>
    </row>
    <row r="865" spans="1:48" x14ac:dyDescent="0.25">
      <c r="A865" t="s">
        <v>4530</v>
      </c>
      <c r="C865" t="s">
        <v>4531</v>
      </c>
      <c r="D865" t="s">
        <v>4532</v>
      </c>
      <c r="E865" t="s">
        <v>2310</v>
      </c>
      <c r="F865">
        <v>8</v>
      </c>
      <c r="G865">
        <v>8.1</v>
      </c>
      <c r="H865" t="s">
        <v>2323</v>
      </c>
      <c r="I865" s="21">
        <v>37950</v>
      </c>
      <c r="J865">
        <v>2003</v>
      </c>
      <c r="K865" s="21">
        <v>37972</v>
      </c>
      <c r="L865">
        <v>2003</v>
      </c>
      <c r="M865" s="21">
        <v>37972</v>
      </c>
      <c r="N865">
        <v>2003</v>
      </c>
      <c r="R865" s="262">
        <v>75000</v>
      </c>
      <c r="S865" t="s">
        <v>114</v>
      </c>
      <c r="T865" t="s">
        <v>114</v>
      </c>
      <c r="U865">
        <v>5</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c r="AQ865">
        <v>0</v>
      </c>
      <c r="AR865">
        <v>0</v>
      </c>
      <c r="AS865">
        <v>0</v>
      </c>
      <c r="AT865">
        <v>0</v>
      </c>
      <c r="AU865">
        <f t="shared" si="26"/>
        <v>0</v>
      </c>
      <c r="AV865">
        <f t="shared" si="27"/>
        <v>0</v>
      </c>
    </row>
    <row r="866" spans="1:48" x14ac:dyDescent="0.25">
      <c r="A866" t="s">
        <v>4533</v>
      </c>
      <c r="C866" t="s">
        <v>4534</v>
      </c>
      <c r="D866" t="s">
        <v>4535</v>
      </c>
      <c r="E866" t="s">
        <v>2310</v>
      </c>
      <c r="F866">
        <v>7</v>
      </c>
      <c r="G866">
        <v>7.1</v>
      </c>
      <c r="H866" t="s">
        <v>2017</v>
      </c>
      <c r="I866" s="21">
        <v>37951</v>
      </c>
      <c r="J866">
        <v>2003</v>
      </c>
      <c r="K866" s="21">
        <v>37993</v>
      </c>
      <c r="L866">
        <v>2004</v>
      </c>
      <c r="M866" s="21">
        <v>37993</v>
      </c>
      <c r="N866">
        <v>2004</v>
      </c>
      <c r="R866" s="262">
        <v>16000</v>
      </c>
      <c r="S866" t="s">
        <v>114</v>
      </c>
      <c r="T866" t="s">
        <v>114</v>
      </c>
      <c r="U866">
        <v>13</v>
      </c>
      <c r="W866">
        <v>0</v>
      </c>
      <c r="X866">
        <v>0</v>
      </c>
      <c r="Y866">
        <v>0</v>
      </c>
      <c r="Z866">
        <v>0</v>
      </c>
      <c r="AA866">
        <v>0</v>
      </c>
      <c r="AB866">
        <v>0</v>
      </c>
      <c r="AC866">
        <v>0</v>
      </c>
      <c r="AD866">
        <v>0</v>
      </c>
      <c r="AE866">
        <v>0</v>
      </c>
      <c r="AF866">
        <v>0</v>
      </c>
      <c r="AG866">
        <v>0</v>
      </c>
      <c r="AH866">
        <v>0</v>
      </c>
      <c r="AI866">
        <v>0</v>
      </c>
      <c r="AJ866">
        <v>0</v>
      </c>
      <c r="AK866">
        <v>3382</v>
      </c>
      <c r="AL866">
        <v>-3382</v>
      </c>
      <c r="AM866">
        <v>0</v>
      </c>
      <c r="AN866">
        <v>0</v>
      </c>
      <c r="AO866">
        <v>0</v>
      </c>
      <c r="AP866">
        <v>0</v>
      </c>
      <c r="AQ866">
        <v>0</v>
      </c>
      <c r="AR866">
        <v>0</v>
      </c>
      <c r="AS866">
        <v>0</v>
      </c>
      <c r="AT866">
        <v>0</v>
      </c>
      <c r="AU866">
        <f t="shared" si="26"/>
        <v>0</v>
      </c>
      <c r="AV866">
        <f t="shared" si="27"/>
        <v>0</v>
      </c>
    </row>
    <row r="867" spans="1:48" x14ac:dyDescent="0.25">
      <c r="A867" t="s">
        <v>4536</v>
      </c>
      <c r="C867" t="s">
        <v>4537</v>
      </c>
      <c r="D867" t="s">
        <v>4538</v>
      </c>
      <c r="E867" t="s">
        <v>2310</v>
      </c>
      <c r="F867">
        <v>10</v>
      </c>
      <c r="G867">
        <v>10.1</v>
      </c>
      <c r="H867" t="s">
        <v>2323</v>
      </c>
      <c r="I867" s="21">
        <v>37956</v>
      </c>
      <c r="J867">
        <v>2003</v>
      </c>
      <c r="K867" s="21">
        <v>37973</v>
      </c>
      <c r="L867">
        <v>2003</v>
      </c>
      <c r="M867" s="21">
        <v>38231</v>
      </c>
      <c r="N867">
        <v>2004</v>
      </c>
      <c r="R867" s="262">
        <v>425000</v>
      </c>
      <c r="S867" t="s">
        <v>114</v>
      </c>
      <c r="T867" t="s">
        <v>114</v>
      </c>
      <c r="U867">
        <v>5</v>
      </c>
      <c r="W867">
        <v>5022</v>
      </c>
      <c r="X867">
        <v>1</v>
      </c>
      <c r="Y867">
        <v>0</v>
      </c>
      <c r="Z867">
        <v>0</v>
      </c>
      <c r="AA867">
        <v>0</v>
      </c>
      <c r="AB867">
        <v>0</v>
      </c>
      <c r="AC867">
        <v>5022</v>
      </c>
      <c r="AD867">
        <v>0</v>
      </c>
      <c r="AE867">
        <v>0</v>
      </c>
      <c r="AF867">
        <v>0</v>
      </c>
      <c r="AG867">
        <v>0</v>
      </c>
      <c r="AH867">
        <v>0</v>
      </c>
      <c r="AI867">
        <v>0</v>
      </c>
      <c r="AJ867">
        <v>0</v>
      </c>
      <c r="AK867">
        <v>0</v>
      </c>
      <c r="AL867">
        <v>0</v>
      </c>
      <c r="AM867">
        <v>0</v>
      </c>
      <c r="AN867">
        <v>0</v>
      </c>
      <c r="AO867">
        <v>1</v>
      </c>
      <c r="AP867">
        <v>0</v>
      </c>
      <c r="AQ867">
        <v>0</v>
      </c>
      <c r="AR867">
        <v>0</v>
      </c>
      <c r="AS867">
        <v>0</v>
      </c>
      <c r="AT867">
        <v>0</v>
      </c>
      <c r="AU867">
        <f t="shared" si="26"/>
        <v>1</v>
      </c>
      <c r="AV867">
        <f t="shared" si="27"/>
        <v>0</v>
      </c>
    </row>
    <row r="868" spans="1:48" x14ac:dyDescent="0.25">
      <c r="A868" t="s">
        <v>4539</v>
      </c>
      <c r="C868" t="s">
        <v>4540</v>
      </c>
      <c r="D868" t="s">
        <v>4541</v>
      </c>
      <c r="E868" t="s">
        <v>2310</v>
      </c>
      <c r="F868">
        <v>12</v>
      </c>
      <c r="G868">
        <v>12.3</v>
      </c>
      <c r="H868" t="s">
        <v>2017</v>
      </c>
      <c r="I868" s="21">
        <v>37959</v>
      </c>
      <c r="J868">
        <v>2003</v>
      </c>
      <c r="K868" s="21">
        <v>38091</v>
      </c>
      <c r="L868">
        <v>2004</v>
      </c>
      <c r="M868" s="21">
        <v>38477</v>
      </c>
      <c r="N868">
        <v>2005</v>
      </c>
      <c r="R868" s="262">
        <v>150000</v>
      </c>
      <c r="S868" t="s">
        <v>114</v>
      </c>
      <c r="T868" t="s">
        <v>114</v>
      </c>
      <c r="U868">
        <v>11</v>
      </c>
      <c r="W868">
        <v>446</v>
      </c>
      <c r="X868">
        <v>0</v>
      </c>
      <c r="Y868">
        <v>0</v>
      </c>
      <c r="Z868">
        <v>0</v>
      </c>
      <c r="AA868">
        <v>0</v>
      </c>
      <c r="AB868">
        <v>0</v>
      </c>
      <c r="AC868">
        <v>0</v>
      </c>
      <c r="AD868">
        <v>0</v>
      </c>
      <c r="AE868">
        <v>0</v>
      </c>
      <c r="AF868">
        <v>0</v>
      </c>
      <c r="AG868">
        <v>0</v>
      </c>
      <c r="AH868">
        <v>0</v>
      </c>
      <c r="AI868">
        <v>446</v>
      </c>
      <c r="AJ868">
        <v>0</v>
      </c>
      <c r="AK868">
        <v>0</v>
      </c>
      <c r="AL868">
        <v>0</v>
      </c>
      <c r="AM868">
        <v>0</v>
      </c>
      <c r="AN868">
        <v>0</v>
      </c>
      <c r="AO868">
        <v>0</v>
      </c>
      <c r="AP868">
        <v>0</v>
      </c>
      <c r="AQ868">
        <v>0</v>
      </c>
      <c r="AR868">
        <v>0</v>
      </c>
      <c r="AS868">
        <v>0</v>
      </c>
      <c r="AT868">
        <v>0</v>
      </c>
      <c r="AU868">
        <f t="shared" si="26"/>
        <v>0</v>
      </c>
      <c r="AV868">
        <f t="shared" si="27"/>
        <v>446</v>
      </c>
    </row>
    <row r="869" spans="1:48" x14ac:dyDescent="0.25">
      <c r="A869" t="s">
        <v>4546</v>
      </c>
      <c r="C869" t="s">
        <v>4547</v>
      </c>
      <c r="D869" t="s">
        <v>4548</v>
      </c>
      <c r="E869" t="s">
        <v>2310</v>
      </c>
      <c r="F869">
        <v>5</v>
      </c>
      <c r="G869">
        <v>5.5</v>
      </c>
      <c r="H869" t="s">
        <v>2017</v>
      </c>
      <c r="I869" s="21">
        <v>37963</v>
      </c>
      <c r="J869">
        <v>2003</v>
      </c>
      <c r="K869" s="21">
        <v>37978</v>
      </c>
      <c r="L869">
        <v>2003</v>
      </c>
      <c r="M869" s="21">
        <v>38623</v>
      </c>
      <c r="N869">
        <v>2005</v>
      </c>
      <c r="R869" s="262">
        <v>55000</v>
      </c>
      <c r="S869" t="s">
        <v>114</v>
      </c>
      <c r="T869" t="s">
        <v>114</v>
      </c>
      <c r="U869">
        <v>5</v>
      </c>
      <c r="W869">
        <v>936</v>
      </c>
      <c r="X869">
        <v>0</v>
      </c>
      <c r="Y869">
        <v>0</v>
      </c>
      <c r="Z869">
        <v>0</v>
      </c>
      <c r="AA869">
        <v>0</v>
      </c>
      <c r="AB869">
        <v>0</v>
      </c>
      <c r="AC869">
        <v>936</v>
      </c>
      <c r="AD869">
        <v>0</v>
      </c>
      <c r="AE869">
        <v>0</v>
      </c>
      <c r="AF869">
        <v>0</v>
      </c>
      <c r="AG869">
        <v>0</v>
      </c>
      <c r="AH869">
        <v>0</v>
      </c>
      <c r="AI869">
        <v>0</v>
      </c>
      <c r="AJ869">
        <v>0</v>
      </c>
      <c r="AK869">
        <v>0</v>
      </c>
      <c r="AL869">
        <v>0</v>
      </c>
      <c r="AM869">
        <v>0</v>
      </c>
      <c r="AN869">
        <v>0</v>
      </c>
      <c r="AO869">
        <v>0</v>
      </c>
      <c r="AP869">
        <v>0</v>
      </c>
      <c r="AQ869">
        <v>0</v>
      </c>
      <c r="AR869">
        <v>0</v>
      </c>
      <c r="AS869">
        <v>0</v>
      </c>
      <c r="AT869">
        <v>0</v>
      </c>
      <c r="AU869">
        <f t="shared" si="26"/>
        <v>0</v>
      </c>
      <c r="AV869">
        <f t="shared" si="27"/>
        <v>0</v>
      </c>
    </row>
    <row r="870" spans="1:48" x14ac:dyDescent="0.25">
      <c r="A870" t="s">
        <v>4542</v>
      </c>
      <c r="C870" t="s">
        <v>4543</v>
      </c>
      <c r="D870" t="s">
        <v>4544</v>
      </c>
      <c r="E870" t="s">
        <v>1663</v>
      </c>
      <c r="F870">
        <v>3</v>
      </c>
      <c r="G870">
        <v>3.2</v>
      </c>
      <c r="H870" t="s">
        <v>2327</v>
      </c>
      <c r="I870" s="21">
        <v>37963</v>
      </c>
      <c r="J870">
        <v>2003</v>
      </c>
      <c r="K870" s="21">
        <v>37994</v>
      </c>
      <c r="L870">
        <v>2004</v>
      </c>
      <c r="M870" s="21">
        <v>38146</v>
      </c>
      <c r="N870">
        <v>2004</v>
      </c>
      <c r="Q870" s="262">
        <v>200000</v>
      </c>
      <c r="S870" t="s">
        <v>114</v>
      </c>
      <c r="T870" t="s">
        <v>114</v>
      </c>
      <c r="W870">
        <v>2172</v>
      </c>
      <c r="X870">
        <v>1</v>
      </c>
      <c r="Y870">
        <v>0</v>
      </c>
      <c r="Z870">
        <v>0</v>
      </c>
      <c r="AA870">
        <v>0</v>
      </c>
      <c r="AB870">
        <v>0</v>
      </c>
      <c r="AC870">
        <v>2172</v>
      </c>
      <c r="AD870">
        <v>0</v>
      </c>
      <c r="AE870">
        <v>0</v>
      </c>
      <c r="AF870">
        <v>0</v>
      </c>
      <c r="AG870">
        <v>0</v>
      </c>
      <c r="AH870">
        <v>0</v>
      </c>
      <c r="AI870">
        <v>0</v>
      </c>
      <c r="AJ870">
        <v>0</v>
      </c>
      <c r="AK870">
        <v>0</v>
      </c>
      <c r="AL870">
        <v>0</v>
      </c>
      <c r="AM870">
        <v>0</v>
      </c>
      <c r="AN870">
        <v>0</v>
      </c>
      <c r="AO870">
        <v>1</v>
      </c>
      <c r="AP870">
        <v>0</v>
      </c>
      <c r="AQ870">
        <v>0</v>
      </c>
      <c r="AR870">
        <v>0</v>
      </c>
      <c r="AS870">
        <v>0</v>
      </c>
      <c r="AT870">
        <v>0</v>
      </c>
      <c r="AU870">
        <f t="shared" si="26"/>
        <v>1</v>
      </c>
      <c r="AV870">
        <f t="shared" si="27"/>
        <v>0</v>
      </c>
    </row>
    <row r="871" spans="1:48" x14ac:dyDescent="0.25">
      <c r="A871" t="s">
        <v>4545</v>
      </c>
      <c r="C871" t="s">
        <v>2737</v>
      </c>
      <c r="D871" t="s">
        <v>4544</v>
      </c>
      <c r="E871" t="s">
        <v>1663</v>
      </c>
      <c r="F871">
        <v>3</v>
      </c>
      <c r="G871">
        <v>3.2</v>
      </c>
      <c r="H871" t="s">
        <v>2327</v>
      </c>
      <c r="I871" s="21">
        <v>37963</v>
      </c>
      <c r="J871">
        <v>2003</v>
      </c>
      <c r="K871" s="21">
        <v>37994</v>
      </c>
      <c r="L871">
        <v>2004</v>
      </c>
      <c r="M871" s="21">
        <v>38146</v>
      </c>
      <c r="N871">
        <v>2004</v>
      </c>
      <c r="Q871" s="262">
        <v>0</v>
      </c>
      <c r="S871" t="s">
        <v>114</v>
      </c>
      <c r="T871" t="s">
        <v>114</v>
      </c>
      <c r="W871">
        <v>2172</v>
      </c>
      <c r="X871">
        <v>1</v>
      </c>
      <c r="Y871">
        <v>0</v>
      </c>
      <c r="Z871">
        <v>0</v>
      </c>
      <c r="AA871">
        <v>0</v>
      </c>
      <c r="AB871">
        <v>0</v>
      </c>
      <c r="AC871">
        <v>2172</v>
      </c>
      <c r="AD871">
        <v>0</v>
      </c>
      <c r="AE871">
        <v>0</v>
      </c>
      <c r="AF871">
        <v>0</v>
      </c>
      <c r="AG871">
        <v>0</v>
      </c>
      <c r="AH871">
        <v>0</v>
      </c>
      <c r="AI871">
        <v>0</v>
      </c>
      <c r="AJ871">
        <v>0</v>
      </c>
      <c r="AK871">
        <v>0</v>
      </c>
      <c r="AL871">
        <v>0</v>
      </c>
      <c r="AM871">
        <v>0</v>
      </c>
      <c r="AN871">
        <v>0</v>
      </c>
      <c r="AO871">
        <v>1</v>
      </c>
      <c r="AP871">
        <v>0</v>
      </c>
      <c r="AQ871">
        <v>0</v>
      </c>
      <c r="AR871">
        <v>0</v>
      </c>
      <c r="AS871">
        <v>0</v>
      </c>
      <c r="AT871">
        <v>0</v>
      </c>
      <c r="AU871">
        <f t="shared" si="26"/>
        <v>1</v>
      </c>
      <c r="AV871">
        <f t="shared" si="27"/>
        <v>0</v>
      </c>
    </row>
    <row r="872" spans="1:48" x14ac:dyDescent="0.25">
      <c r="A872" t="s">
        <v>4549</v>
      </c>
      <c r="C872" t="s">
        <v>4550</v>
      </c>
      <c r="D872" t="s">
        <v>4365</v>
      </c>
      <c r="E872" t="s">
        <v>2310</v>
      </c>
      <c r="F872">
        <v>9</v>
      </c>
      <c r="G872">
        <v>9.1</v>
      </c>
      <c r="H872" t="s">
        <v>2323</v>
      </c>
      <c r="I872" s="21">
        <v>37964</v>
      </c>
      <c r="J872">
        <v>2003</v>
      </c>
      <c r="K872" s="21">
        <v>37992</v>
      </c>
      <c r="L872">
        <v>2004</v>
      </c>
      <c r="M872" s="21">
        <v>37992</v>
      </c>
      <c r="N872">
        <v>2004</v>
      </c>
      <c r="R872" s="262">
        <v>378000</v>
      </c>
      <c r="S872" t="s">
        <v>114</v>
      </c>
      <c r="T872" t="s">
        <v>114</v>
      </c>
      <c r="U872">
        <v>15</v>
      </c>
      <c r="W872">
        <v>8452</v>
      </c>
      <c r="X872">
        <v>0</v>
      </c>
      <c r="Y872">
        <v>0</v>
      </c>
      <c r="Z872">
        <v>0</v>
      </c>
      <c r="AA872">
        <v>0</v>
      </c>
      <c r="AB872">
        <v>0</v>
      </c>
      <c r="AC872">
        <v>0</v>
      </c>
      <c r="AD872">
        <v>0</v>
      </c>
      <c r="AE872">
        <v>0</v>
      </c>
      <c r="AF872">
        <v>0</v>
      </c>
      <c r="AG872">
        <v>0</v>
      </c>
      <c r="AH872">
        <v>0</v>
      </c>
      <c r="AI872">
        <v>0</v>
      </c>
      <c r="AJ872">
        <v>0</v>
      </c>
      <c r="AK872">
        <v>0</v>
      </c>
      <c r="AL872">
        <v>0</v>
      </c>
      <c r="AM872">
        <v>8452</v>
      </c>
      <c r="AN872">
        <v>0</v>
      </c>
      <c r="AO872">
        <v>0</v>
      </c>
      <c r="AP872">
        <v>0</v>
      </c>
      <c r="AQ872">
        <v>0</v>
      </c>
      <c r="AR872">
        <v>0</v>
      </c>
      <c r="AS872">
        <v>0</v>
      </c>
      <c r="AT872">
        <v>0</v>
      </c>
      <c r="AU872">
        <f t="shared" si="26"/>
        <v>0</v>
      </c>
      <c r="AV872">
        <f t="shared" si="27"/>
        <v>8452</v>
      </c>
    </row>
    <row r="873" spans="1:48" x14ac:dyDescent="0.25">
      <c r="A873" t="s">
        <v>4551</v>
      </c>
      <c r="C873" t="s">
        <v>4552</v>
      </c>
      <c r="D873" t="s">
        <v>4553</v>
      </c>
      <c r="E873" t="s">
        <v>2310</v>
      </c>
      <c r="F873">
        <v>12</v>
      </c>
      <c r="G873">
        <v>12.1</v>
      </c>
      <c r="H873" t="s">
        <v>2327</v>
      </c>
      <c r="I873" s="21">
        <v>37964</v>
      </c>
      <c r="J873">
        <v>2003</v>
      </c>
      <c r="K873" s="21">
        <v>37979</v>
      </c>
      <c r="L873">
        <v>2003</v>
      </c>
      <c r="M873" s="21">
        <v>37979</v>
      </c>
      <c r="N873">
        <v>2003</v>
      </c>
      <c r="R873" s="262">
        <v>62500</v>
      </c>
      <c r="S873" t="s">
        <v>114</v>
      </c>
      <c r="T873" t="s">
        <v>114</v>
      </c>
      <c r="U873">
        <v>12</v>
      </c>
      <c r="W873">
        <v>0</v>
      </c>
      <c r="X873">
        <v>0</v>
      </c>
      <c r="Y873">
        <v>0</v>
      </c>
      <c r="Z873">
        <v>0</v>
      </c>
      <c r="AA873">
        <v>0</v>
      </c>
      <c r="AB873">
        <v>0</v>
      </c>
      <c r="AC873">
        <v>0</v>
      </c>
      <c r="AD873">
        <v>0</v>
      </c>
      <c r="AE873">
        <v>0</v>
      </c>
      <c r="AF873">
        <v>0</v>
      </c>
      <c r="AG873">
        <v>0</v>
      </c>
      <c r="AH873">
        <v>0</v>
      </c>
      <c r="AI873">
        <v>0</v>
      </c>
      <c r="AJ873">
        <v>0</v>
      </c>
      <c r="AK873">
        <v>0</v>
      </c>
      <c r="AL873">
        <v>0</v>
      </c>
      <c r="AM873">
        <v>0</v>
      </c>
      <c r="AN873">
        <v>0</v>
      </c>
      <c r="AO873">
        <v>0</v>
      </c>
      <c r="AP873">
        <v>0</v>
      </c>
      <c r="AQ873">
        <v>0</v>
      </c>
      <c r="AR873">
        <v>0</v>
      </c>
      <c r="AS873">
        <v>0</v>
      </c>
      <c r="AT873">
        <v>0</v>
      </c>
      <c r="AU873">
        <f t="shared" si="26"/>
        <v>0</v>
      </c>
      <c r="AV873">
        <f t="shared" si="27"/>
        <v>0</v>
      </c>
    </row>
    <row r="874" spans="1:48" x14ac:dyDescent="0.25">
      <c r="A874" t="s">
        <v>4554</v>
      </c>
      <c r="C874" t="s">
        <v>4555</v>
      </c>
      <c r="D874" t="s">
        <v>4556</v>
      </c>
      <c r="E874" t="s">
        <v>2310</v>
      </c>
      <c r="F874">
        <v>10</v>
      </c>
      <c r="G874">
        <v>10.1</v>
      </c>
      <c r="H874" t="s">
        <v>2323</v>
      </c>
      <c r="I874" s="21">
        <v>37967</v>
      </c>
      <c r="J874">
        <v>2003</v>
      </c>
      <c r="K874" s="21">
        <v>37984</v>
      </c>
      <c r="L874">
        <v>2003</v>
      </c>
      <c r="M874" s="21">
        <v>38342</v>
      </c>
      <c r="N874">
        <v>2004</v>
      </c>
      <c r="R874" s="262">
        <v>475000</v>
      </c>
      <c r="S874" t="s">
        <v>114</v>
      </c>
      <c r="T874" t="s">
        <v>114</v>
      </c>
      <c r="U874">
        <v>5</v>
      </c>
      <c r="W874">
        <v>4880</v>
      </c>
      <c r="X874">
        <v>1</v>
      </c>
      <c r="Y874">
        <v>0</v>
      </c>
      <c r="Z874">
        <v>0</v>
      </c>
      <c r="AA874">
        <v>0</v>
      </c>
      <c r="AB874">
        <v>0</v>
      </c>
      <c r="AC874">
        <v>4880</v>
      </c>
      <c r="AD874">
        <v>0</v>
      </c>
      <c r="AE874">
        <v>0</v>
      </c>
      <c r="AF874">
        <v>0</v>
      </c>
      <c r="AG874">
        <v>0</v>
      </c>
      <c r="AH874">
        <v>0</v>
      </c>
      <c r="AI874">
        <v>0</v>
      </c>
      <c r="AJ874">
        <v>0</v>
      </c>
      <c r="AK874">
        <v>0</v>
      </c>
      <c r="AL874">
        <v>0</v>
      </c>
      <c r="AM874">
        <v>0</v>
      </c>
      <c r="AN874">
        <v>0</v>
      </c>
      <c r="AO874">
        <v>1</v>
      </c>
      <c r="AP874">
        <v>0</v>
      </c>
      <c r="AQ874">
        <v>0</v>
      </c>
      <c r="AR874">
        <v>0</v>
      </c>
      <c r="AS874">
        <v>0</v>
      </c>
      <c r="AT874">
        <v>0</v>
      </c>
      <c r="AU874">
        <f t="shared" si="26"/>
        <v>1</v>
      </c>
      <c r="AV874">
        <f t="shared" si="27"/>
        <v>0</v>
      </c>
    </row>
    <row r="875" spans="1:48" x14ac:dyDescent="0.25">
      <c r="A875" t="s">
        <v>4557</v>
      </c>
      <c r="C875" t="s">
        <v>4558</v>
      </c>
      <c r="D875" t="s">
        <v>4559</v>
      </c>
      <c r="E875" t="s">
        <v>2310</v>
      </c>
      <c r="F875">
        <v>11</v>
      </c>
      <c r="G875">
        <v>11.1</v>
      </c>
      <c r="H875" t="s">
        <v>2327</v>
      </c>
      <c r="I875" s="21">
        <v>37970</v>
      </c>
      <c r="J875">
        <v>2003</v>
      </c>
      <c r="K875" s="21">
        <v>38077</v>
      </c>
      <c r="L875">
        <v>2004</v>
      </c>
      <c r="M875" s="21">
        <v>38077</v>
      </c>
      <c r="N875">
        <v>2004</v>
      </c>
      <c r="R875" s="262">
        <v>96000</v>
      </c>
      <c r="S875" t="s">
        <v>114</v>
      </c>
      <c r="T875" t="s">
        <v>114</v>
      </c>
      <c r="U875">
        <v>13</v>
      </c>
      <c r="W875">
        <v>0</v>
      </c>
      <c r="X875">
        <v>0</v>
      </c>
      <c r="Y875">
        <v>0</v>
      </c>
      <c r="Z875">
        <v>0</v>
      </c>
      <c r="AA875">
        <v>0</v>
      </c>
      <c r="AB875">
        <v>0</v>
      </c>
      <c r="AC875">
        <v>0</v>
      </c>
      <c r="AD875">
        <v>0</v>
      </c>
      <c r="AE875">
        <v>0</v>
      </c>
      <c r="AF875">
        <v>0</v>
      </c>
      <c r="AG875">
        <v>0</v>
      </c>
      <c r="AH875">
        <v>0</v>
      </c>
      <c r="AI875">
        <v>0</v>
      </c>
      <c r="AJ875">
        <v>0</v>
      </c>
      <c r="AK875">
        <v>0</v>
      </c>
      <c r="AL875">
        <v>0</v>
      </c>
      <c r="AM875">
        <v>0</v>
      </c>
      <c r="AN875">
        <v>0</v>
      </c>
      <c r="AO875">
        <v>0</v>
      </c>
      <c r="AP875">
        <v>0</v>
      </c>
      <c r="AQ875">
        <v>0</v>
      </c>
      <c r="AR875">
        <v>0</v>
      </c>
      <c r="AS875">
        <v>0</v>
      </c>
      <c r="AT875">
        <v>0</v>
      </c>
      <c r="AU875">
        <f t="shared" si="26"/>
        <v>0</v>
      </c>
      <c r="AV875">
        <f t="shared" si="27"/>
        <v>0</v>
      </c>
    </row>
    <row r="876" spans="1:48" x14ac:dyDescent="0.25">
      <c r="A876" t="s">
        <v>4560</v>
      </c>
      <c r="C876" t="s">
        <v>4561</v>
      </c>
      <c r="D876" t="s">
        <v>4144</v>
      </c>
      <c r="E876" t="s">
        <v>2310</v>
      </c>
      <c r="F876">
        <v>9</v>
      </c>
      <c r="G876">
        <v>9.3000000000000007</v>
      </c>
      <c r="H876" t="s">
        <v>2323</v>
      </c>
      <c r="I876" s="21">
        <v>37971</v>
      </c>
      <c r="J876">
        <v>2003</v>
      </c>
      <c r="K876" s="21">
        <v>37985</v>
      </c>
      <c r="L876">
        <v>2003</v>
      </c>
      <c r="M876" s="21">
        <v>37985</v>
      </c>
      <c r="N876">
        <v>2003</v>
      </c>
      <c r="R876" s="262">
        <v>10000</v>
      </c>
      <c r="S876" t="s">
        <v>114</v>
      </c>
      <c r="T876" t="s">
        <v>114</v>
      </c>
      <c r="U876">
        <v>5</v>
      </c>
      <c r="W876">
        <v>360</v>
      </c>
      <c r="X876">
        <v>0</v>
      </c>
      <c r="Y876">
        <v>0</v>
      </c>
      <c r="Z876">
        <v>0</v>
      </c>
      <c r="AA876">
        <v>0</v>
      </c>
      <c r="AB876">
        <v>0</v>
      </c>
      <c r="AC876">
        <v>360</v>
      </c>
      <c r="AD876">
        <v>0</v>
      </c>
      <c r="AE876">
        <v>0</v>
      </c>
      <c r="AF876">
        <v>0</v>
      </c>
      <c r="AG876">
        <v>0</v>
      </c>
      <c r="AH876">
        <v>0</v>
      </c>
      <c r="AI876">
        <v>0</v>
      </c>
      <c r="AJ876">
        <v>0</v>
      </c>
      <c r="AK876">
        <v>0</v>
      </c>
      <c r="AL876">
        <v>0</v>
      </c>
      <c r="AM876">
        <v>0</v>
      </c>
      <c r="AN876">
        <v>0</v>
      </c>
      <c r="AO876">
        <v>0</v>
      </c>
      <c r="AP876">
        <v>0</v>
      </c>
      <c r="AQ876">
        <v>0</v>
      </c>
      <c r="AR876">
        <v>0</v>
      </c>
      <c r="AS876">
        <v>0</v>
      </c>
      <c r="AT876">
        <v>0</v>
      </c>
      <c r="AU876">
        <f t="shared" si="26"/>
        <v>0</v>
      </c>
      <c r="AV876">
        <f t="shared" si="27"/>
        <v>0</v>
      </c>
    </row>
    <row r="877" spans="1:48" x14ac:dyDescent="0.25">
      <c r="A877" t="s">
        <v>4562</v>
      </c>
      <c r="C877" t="s">
        <v>4563</v>
      </c>
      <c r="D877" t="s">
        <v>4564</v>
      </c>
      <c r="E877" t="s">
        <v>2310</v>
      </c>
      <c r="F877">
        <v>13</v>
      </c>
      <c r="G877">
        <v>13.3</v>
      </c>
      <c r="H877" t="s">
        <v>2017</v>
      </c>
      <c r="I877" s="21">
        <v>37972</v>
      </c>
      <c r="J877">
        <v>2003</v>
      </c>
      <c r="K877" s="21">
        <v>37988</v>
      </c>
      <c r="L877">
        <v>2004</v>
      </c>
      <c r="M877" s="21">
        <v>37988</v>
      </c>
      <c r="N877">
        <v>2004</v>
      </c>
      <c r="R877" s="262">
        <v>150000</v>
      </c>
      <c r="S877" t="s">
        <v>114</v>
      </c>
      <c r="T877" t="s">
        <v>114</v>
      </c>
      <c r="U877">
        <v>5</v>
      </c>
      <c r="W877">
        <v>0</v>
      </c>
      <c r="X877">
        <v>0</v>
      </c>
      <c r="Y877">
        <v>0</v>
      </c>
      <c r="Z877">
        <v>0</v>
      </c>
      <c r="AA877">
        <v>0</v>
      </c>
      <c r="AB877">
        <v>0</v>
      </c>
      <c r="AC877">
        <v>0</v>
      </c>
      <c r="AD877">
        <v>0</v>
      </c>
      <c r="AE877">
        <v>0</v>
      </c>
      <c r="AF877">
        <v>0</v>
      </c>
      <c r="AG877">
        <v>0</v>
      </c>
      <c r="AH877">
        <v>0</v>
      </c>
      <c r="AI877">
        <v>0</v>
      </c>
      <c r="AJ877">
        <v>0</v>
      </c>
      <c r="AK877">
        <v>0</v>
      </c>
      <c r="AL877">
        <v>0</v>
      </c>
      <c r="AM877">
        <v>0</v>
      </c>
      <c r="AN877">
        <v>0</v>
      </c>
      <c r="AO877">
        <v>0</v>
      </c>
      <c r="AP877">
        <v>0</v>
      </c>
      <c r="AQ877">
        <v>0</v>
      </c>
      <c r="AR877">
        <v>0</v>
      </c>
      <c r="AS877">
        <v>0</v>
      </c>
      <c r="AT877">
        <v>0</v>
      </c>
      <c r="AU877">
        <f t="shared" si="26"/>
        <v>0</v>
      </c>
      <c r="AV877">
        <f t="shared" si="27"/>
        <v>0</v>
      </c>
    </row>
    <row r="878" spans="1:48" x14ac:dyDescent="0.25">
      <c r="A878" t="s">
        <v>4565</v>
      </c>
      <c r="C878" t="s">
        <v>4566</v>
      </c>
      <c r="D878" t="s">
        <v>4567</v>
      </c>
      <c r="E878" t="s">
        <v>2310</v>
      </c>
      <c r="F878">
        <v>15</v>
      </c>
      <c r="G878">
        <v>15.2</v>
      </c>
      <c r="H878" t="s">
        <v>2323</v>
      </c>
      <c r="I878" s="21">
        <v>37974</v>
      </c>
      <c r="J878">
        <v>2003</v>
      </c>
      <c r="M878" s="21">
        <v>38419</v>
      </c>
      <c r="N878">
        <v>2005</v>
      </c>
      <c r="R878" s="262">
        <v>307000</v>
      </c>
      <c r="S878" t="s">
        <v>114</v>
      </c>
      <c r="T878" t="s">
        <v>114</v>
      </c>
      <c r="U878">
        <v>5</v>
      </c>
      <c r="W878">
        <v>1148</v>
      </c>
      <c r="X878">
        <v>0</v>
      </c>
      <c r="Y878">
        <v>0</v>
      </c>
      <c r="Z878">
        <v>0</v>
      </c>
      <c r="AA878">
        <v>0</v>
      </c>
      <c r="AB878">
        <v>0</v>
      </c>
      <c r="AC878">
        <v>1148</v>
      </c>
      <c r="AD878">
        <v>0</v>
      </c>
      <c r="AE878">
        <v>0</v>
      </c>
      <c r="AF878">
        <v>0</v>
      </c>
      <c r="AG878">
        <v>0</v>
      </c>
      <c r="AH878">
        <v>0</v>
      </c>
      <c r="AI878">
        <v>0</v>
      </c>
      <c r="AJ878">
        <v>0</v>
      </c>
      <c r="AK878">
        <v>0</v>
      </c>
      <c r="AL878">
        <v>0</v>
      </c>
      <c r="AM878">
        <v>0</v>
      </c>
      <c r="AN878">
        <v>0</v>
      </c>
      <c r="AO878">
        <v>0</v>
      </c>
      <c r="AP878">
        <v>0</v>
      </c>
      <c r="AQ878">
        <v>0</v>
      </c>
      <c r="AR878">
        <v>0</v>
      </c>
      <c r="AS878">
        <v>0</v>
      </c>
      <c r="AT878">
        <v>0</v>
      </c>
      <c r="AU878">
        <f t="shared" si="26"/>
        <v>0</v>
      </c>
      <c r="AV878">
        <f t="shared" si="27"/>
        <v>0</v>
      </c>
    </row>
    <row r="879" spans="1:48" x14ac:dyDescent="0.25">
      <c r="A879" t="s">
        <v>4568</v>
      </c>
      <c r="C879" t="s">
        <v>4569</v>
      </c>
      <c r="D879" t="s">
        <v>4570</v>
      </c>
      <c r="E879" t="s">
        <v>2310</v>
      </c>
      <c r="F879">
        <v>10</v>
      </c>
      <c r="G879">
        <v>10.1</v>
      </c>
      <c r="H879" t="s">
        <v>2323</v>
      </c>
      <c r="I879" s="21">
        <v>37977</v>
      </c>
      <c r="J879">
        <v>2003</v>
      </c>
      <c r="K879" s="21">
        <v>37992</v>
      </c>
      <c r="L879">
        <v>2004</v>
      </c>
      <c r="M879" s="21">
        <v>38954</v>
      </c>
      <c r="N879">
        <v>2006</v>
      </c>
      <c r="R879" s="262">
        <v>7000</v>
      </c>
      <c r="S879" t="s">
        <v>114</v>
      </c>
      <c r="T879" t="s">
        <v>114</v>
      </c>
      <c r="U879">
        <v>5</v>
      </c>
      <c r="W879">
        <v>0</v>
      </c>
      <c r="X879">
        <v>0</v>
      </c>
      <c r="Y879">
        <v>0</v>
      </c>
      <c r="Z879">
        <v>0</v>
      </c>
      <c r="AA879">
        <v>0</v>
      </c>
      <c r="AB879">
        <v>0</v>
      </c>
      <c r="AC879">
        <v>0</v>
      </c>
      <c r="AD879">
        <v>0</v>
      </c>
      <c r="AE879">
        <v>0</v>
      </c>
      <c r="AF879">
        <v>0</v>
      </c>
      <c r="AG879">
        <v>0</v>
      </c>
      <c r="AH879">
        <v>0</v>
      </c>
      <c r="AI879">
        <v>0</v>
      </c>
      <c r="AJ879">
        <v>0</v>
      </c>
      <c r="AK879">
        <v>0</v>
      </c>
      <c r="AL879">
        <v>0</v>
      </c>
      <c r="AM879">
        <v>0</v>
      </c>
      <c r="AN879">
        <v>0</v>
      </c>
      <c r="AO879">
        <v>0</v>
      </c>
      <c r="AP879">
        <v>0</v>
      </c>
      <c r="AQ879">
        <v>0</v>
      </c>
      <c r="AR879">
        <v>0</v>
      </c>
      <c r="AS879">
        <v>0</v>
      </c>
      <c r="AT879">
        <v>0</v>
      </c>
      <c r="AU879">
        <f t="shared" si="26"/>
        <v>0</v>
      </c>
      <c r="AV879">
        <f t="shared" si="27"/>
        <v>0</v>
      </c>
    </row>
    <row r="880" spans="1:48" x14ac:dyDescent="0.25">
      <c r="A880" t="s">
        <v>4571</v>
      </c>
      <c r="C880" t="s">
        <v>4572</v>
      </c>
      <c r="D880" t="s">
        <v>4573</v>
      </c>
      <c r="E880" t="s">
        <v>2310</v>
      </c>
      <c r="F880">
        <v>14</v>
      </c>
      <c r="G880">
        <v>14.1</v>
      </c>
      <c r="H880" t="s">
        <v>2022</v>
      </c>
      <c r="I880" s="21">
        <v>37978</v>
      </c>
      <c r="J880">
        <v>2003</v>
      </c>
      <c r="K880" s="21">
        <v>38015</v>
      </c>
      <c r="L880">
        <v>2004</v>
      </c>
      <c r="M880" s="21">
        <v>38455</v>
      </c>
      <c r="N880">
        <v>2005</v>
      </c>
      <c r="R880" s="262">
        <v>590000</v>
      </c>
      <c r="S880" t="s">
        <v>114</v>
      </c>
      <c r="T880" t="s">
        <v>114</v>
      </c>
      <c r="U880">
        <v>5</v>
      </c>
      <c r="W880">
        <v>6674</v>
      </c>
      <c r="X880">
        <v>1</v>
      </c>
      <c r="Y880">
        <v>0</v>
      </c>
      <c r="Z880">
        <v>0</v>
      </c>
      <c r="AA880">
        <v>0</v>
      </c>
      <c r="AB880">
        <v>0</v>
      </c>
      <c r="AC880">
        <v>6674</v>
      </c>
      <c r="AD880">
        <v>0</v>
      </c>
      <c r="AE880">
        <v>0</v>
      </c>
      <c r="AF880">
        <v>0</v>
      </c>
      <c r="AG880">
        <v>0</v>
      </c>
      <c r="AH880">
        <v>0</v>
      </c>
      <c r="AI880">
        <v>0</v>
      </c>
      <c r="AJ880">
        <v>0</v>
      </c>
      <c r="AK880">
        <v>0</v>
      </c>
      <c r="AL880">
        <v>0</v>
      </c>
      <c r="AM880">
        <v>0</v>
      </c>
      <c r="AN880">
        <v>0</v>
      </c>
      <c r="AO880">
        <v>1</v>
      </c>
      <c r="AP880">
        <v>0</v>
      </c>
      <c r="AQ880">
        <v>0</v>
      </c>
      <c r="AR880">
        <v>0</v>
      </c>
      <c r="AS880">
        <v>0</v>
      </c>
      <c r="AT880">
        <v>0</v>
      </c>
      <c r="AU880">
        <f t="shared" si="26"/>
        <v>1</v>
      </c>
      <c r="AV880">
        <f t="shared" si="27"/>
        <v>0</v>
      </c>
    </row>
    <row r="881" spans="1:48" x14ac:dyDescent="0.25">
      <c r="A881" t="s">
        <v>4574</v>
      </c>
      <c r="C881" t="s">
        <v>4575</v>
      </c>
      <c r="D881" t="s">
        <v>4576</v>
      </c>
      <c r="E881" t="s">
        <v>2310</v>
      </c>
      <c r="F881">
        <v>8</v>
      </c>
      <c r="G881">
        <v>8.1</v>
      </c>
      <c r="H881" t="s">
        <v>2323</v>
      </c>
      <c r="I881" s="21">
        <v>37986</v>
      </c>
      <c r="J881">
        <v>2003</v>
      </c>
      <c r="K881" s="21">
        <v>38119</v>
      </c>
      <c r="L881">
        <v>2004</v>
      </c>
      <c r="M881" s="21">
        <v>38119</v>
      </c>
      <c r="N881">
        <v>2004</v>
      </c>
      <c r="R881" s="262">
        <v>910000</v>
      </c>
      <c r="S881" t="s">
        <v>114</v>
      </c>
      <c r="T881" t="s">
        <v>114</v>
      </c>
      <c r="U881">
        <v>5</v>
      </c>
      <c r="W881">
        <v>8852</v>
      </c>
      <c r="X881">
        <v>1</v>
      </c>
      <c r="Y881">
        <v>0</v>
      </c>
      <c r="Z881">
        <v>0</v>
      </c>
      <c r="AA881">
        <v>0</v>
      </c>
      <c r="AB881">
        <v>0</v>
      </c>
      <c r="AC881">
        <v>8852</v>
      </c>
      <c r="AD881">
        <v>0</v>
      </c>
      <c r="AE881">
        <v>0</v>
      </c>
      <c r="AF881">
        <v>0</v>
      </c>
      <c r="AG881">
        <v>0</v>
      </c>
      <c r="AH881">
        <v>0</v>
      </c>
      <c r="AI881">
        <v>0</v>
      </c>
      <c r="AJ881">
        <v>0</v>
      </c>
      <c r="AK881">
        <v>0</v>
      </c>
      <c r="AL881">
        <v>0</v>
      </c>
      <c r="AM881">
        <v>0</v>
      </c>
      <c r="AN881">
        <v>0</v>
      </c>
      <c r="AO881">
        <v>1</v>
      </c>
      <c r="AP881">
        <v>0</v>
      </c>
      <c r="AQ881">
        <v>0</v>
      </c>
      <c r="AR881">
        <v>0</v>
      </c>
      <c r="AS881">
        <v>0</v>
      </c>
      <c r="AT881">
        <v>0</v>
      </c>
      <c r="AU881">
        <f t="shared" si="26"/>
        <v>1</v>
      </c>
      <c r="AV881">
        <f t="shared" si="27"/>
        <v>0</v>
      </c>
    </row>
    <row r="882" spans="1:48" x14ac:dyDescent="0.25">
      <c r="A882" t="s">
        <v>4577</v>
      </c>
      <c r="C882" t="s">
        <v>4578</v>
      </c>
      <c r="D882" t="s">
        <v>4579</v>
      </c>
      <c r="E882" t="s">
        <v>2310</v>
      </c>
      <c r="F882">
        <v>14</v>
      </c>
      <c r="G882">
        <v>14.2</v>
      </c>
      <c r="H882" t="s">
        <v>2017</v>
      </c>
      <c r="I882" s="21">
        <v>37999</v>
      </c>
      <c r="J882">
        <v>2004</v>
      </c>
      <c r="K882" s="21">
        <v>38012</v>
      </c>
      <c r="L882">
        <v>2004</v>
      </c>
      <c r="M882" s="21">
        <v>38454</v>
      </c>
      <c r="N882">
        <v>2005</v>
      </c>
      <c r="R882" s="262">
        <v>750000</v>
      </c>
      <c r="S882" t="s">
        <v>114</v>
      </c>
      <c r="T882" t="s">
        <v>114</v>
      </c>
      <c r="U882">
        <v>5</v>
      </c>
      <c r="W882">
        <v>8228</v>
      </c>
      <c r="X882">
        <v>1</v>
      </c>
      <c r="Y882">
        <v>0</v>
      </c>
      <c r="Z882">
        <v>0</v>
      </c>
      <c r="AA882">
        <v>0</v>
      </c>
      <c r="AB882">
        <v>0</v>
      </c>
      <c r="AC882">
        <v>8228</v>
      </c>
      <c r="AD882">
        <v>0</v>
      </c>
      <c r="AE882">
        <v>0</v>
      </c>
      <c r="AF882">
        <v>0</v>
      </c>
      <c r="AG882">
        <v>0</v>
      </c>
      <c r="AH882">
        <v>0</v>
      </c>
      <c r="AI882">
        <v>0</v>
      </c>
      <c r="AJ882">
        <v>0</v>
      </c>
      <c r="AK882">
        <v>0</v>
      </c>
      <c r="AL882">
        <v>0</v>
      </c>
      <c r="AM882">
        <v>0</v>
      </c>
      <c r="AN882">
        <v>0</v>
      </c>
      <c r="AO882">
        <v>1</v>
      </c>
      <c r="AP882">
        <v>0</v>
      </c>
      <c r="AQ882">
        <v>0</v>
      </c>
      <c r="AR882">
        <v>0</v>
      </c>
      <c r="AS882">
        <v>0</v>
      </c>
      <c r="AT882">
        <v>0</v>
      </c>
      <c r="AU882">
        <f t="shared" si="26"/>
        <v>1</v>
      </c>
      <c r="AV882">
        <f t="shared" si="27"/>
        <v>0</v>
      </c>
    </row>
    <row r="883" spans="1:48" x14ac:dyDescent="0.25">
      <c r="A883" t="s">
        <v>4580</v>
      </c>
      <c r="C883" t="s">
        <v>4581</v>
      </c>
      <c r="D883" t="s">
        <v>4582</v>
      </c>
      <c r="E883" t="s">
        <v>2310</v>
      </c>
      <c r="F883">
        <v>11</v>
      </c>
      <c r="G883">
        <v>11.1</v>
      </c>
      <c r="H883" t="s">
        <v>2327</v>
      </c>
      <c r="I883" s="21">
        <v>37999</v>
      </c>
      <c r="J883">
        <v>2004</v>
      </c>
      <c r="K883" s="21">
        <v>38035</v>
      </c>
      <c r="L883">
        <v>2004</v>
      </c>
      <c r="M883" s="21">
        <v>38035</v>
      </c>
      <c r="N883">
        <v>2004</v>
      </c>
      <c r="R883" s="262">
        <v>35000</v>
      </c>
      <c r="S883" t="s">
        <v>114</v>
      </c>
      <c r="T883" t="s">
        <v>114</v>
      </c>
      <c r="U883">
        <v>13</v>
      </c>
      <c r="W883">
        <v>500</v>
      </c>
      <c r="X883">
        <v>0</v>
      </c>
      <c r="Y883">
        <v>0</v>
      </c>
      <c r="Z883">
        <v>0</v>
      </c>
      <c r="AA883">
        <v>0</v>
      </c>
      <c r="AB883">
        <v>0</v>
      </c>
      <c r="AC883">
        <v>0</v>
      </c>
      <c r="AD883">
        <v>0</v>
      </c>
      <c r="AE883">
        <v>0</v>
      </c>
      <c r="AF883">
        <v>0</v>
      </c>
      <c r="AG883">
        <v>0</v>
      </c>
      <c r="AH883">
        <v>0</v>
      </c>
      <c r="AI883">
        <v>0</v>
      </c>
      <c r="AJ883">
        <v>0</v>
      </c>
      <c r="AK883">
        <v>500</v>
      </c>
      <c r="AL883">
        <v>0</v>
      </c>
      <c r="AM883">
        <v>0</v>
      </c>
      <c r="AN883">
        <v>0</v>
      </c>
      <c r="AO883">
        <v>0</v>
      </c>
      <c r="AP883">
        <v>0</v>
      </c>
      <c r="AQ883">
        <v>0</v>
      </c>
      <c r="AR883">
        <v>0</v>
      </c>
      <c r="AS883">
        <v>0</v>
      </c>
      <c r="AT883">
        <v>0</v>
      </c>
      <c r="AU883">
        <f t="shared" si="26"/>
        <v>0</v>
      </c>
      <c r="AV883">
        <f t="shared" si="27"/>
        <v>500</v>
      </c>
    </row>
    <row r="884" spans="1:48" x14ac:dyDescent="0.25">
      <c r="A884" t="s">
        <v>4583</v>
      </c>
      <c r="C884" t="s">
        <v>4584</v>
      </c>
      <c r="D884" t="s">
        <v>4585</v>
      </c>
      <c r="E884" t="s">
        <v>2310</v>
      </c>
      <c r="F884">
        <v>9</v>
      </c>
      <c r="G884">
        <v>9.1</v>
      </c>
      <c r="H884" t="s">
        <v>2323</v>
      </c>
      <c r="I884" s="21">
        <v>38000</v>
      </c>
      <c r="J884">
        <v>2004</v>
      </c>
      <c r="K884" s="21">
        <v>38022</v>
      </c>
      <c r="L884">
        <v>2004</v>
      </c>
      <c r="M884" s="21">
        <v>38251</v>
      </c>
      <c r="N884">
        <v>2004</v>
      </c>
      <c r="R884" s="262">
        <v>850000</v>
      </c>
      <c r="S884" t="s">
        <v>114</v>
      </c>
      <c r="T884" t="s">
        <v>114</v>
      </c>
      <c r="U884">
        <v>5</v>
      </c>
      <c r="W884">
        <v>3688</v>
      </c>
      <c r="X884">
        <v>1</v>
      </c>
      <c r="Y884">
        <v>0</v>
      </c>
      <c r="Z884">
        <v>0</v>
      </c>
      <c r="AA884">
        <v>0</v>
      </c>
      <c r="AB884">
        <v>0</v>
      </c>
      <c r="AC884">
        <v>3688</v>
      </c>
      <c r="AD884">
        <v>0</v>
      </c>
      <c r="AE884">
        <v>0</v>
      </c>
      <c r="AF884">
        <v>0</v>
      </c>
      <c r="AG884">
        <v>0</v>
      </c>
      <c r="AH884">
        <v>0</v>
      </c>
      <c r="AI884">
        <v>0</v>
      </c>
      <c r="AJ884">
        <v>0</v>
      </c>
      <c r="AK884">
        <v>0</v>
      </c>
      <c r="AL884">
        <v>0</v>
      </c>
      <c r="AM884">
        <v>0</v>
      </c>
      <c r="AN884">
        <v>0</v>
      </c>
      <c r="AO884">
        <v>1</v>
      </c>
      <c r="AP884">
        <v>0</v>
      </c>
      <c r="AQ884">
        <v>0</v>
      </c>
      <c r="AR884">
        <v>0</v>
      </c>
      <c r="AS884">
        <v>0</v>
      </c>
      <c r="AT884">
        <v>0</v>
      </c>
      <c r="AU884">
        <f t="shared" si="26"/>
        <v>1</v>
      </c>
      <c r="AV884">
        <f t="shared" si="27"/>
        <v>0</v>
      </c>
    </row>
    <row r="885" spans="1:48" x14ac:dyDescent="0.25">
      <c r="A885" t="s">
        <v>4586</v>
      </c>
      <c r="C885" t="s">
        <v>4587</v>
      </c>
      <c r="D885" t="s">
        <v>4588</v>
      </c>
      <c r="E885" t="s">
        <v>2310</v>
      </c>
      <c r="F885">
        <v>7</v>
      </c>
      <c r="G885">
        <v>7.2</v>
      </c>
      <c r="H885" t="s">
        <v>2017</v>
      </c>
      <c r="I885" s="21">
        <v>38001</v>
      </c>
      <c r="J885">
        <v>2004</v>
      </c>
      <c r="K885" s="21">
        <v>38030</v>
      </c>
      <c r="L885">
        <v>2004</v>
      </c>
      <c r="M885" s="21">
        <v>38030</v>
      </c>
      <c r="N885">
        <v>2004</v>
      </c>
      <c r="R885" s="262">
        <v>123801</v>
      </c>
      <c r="S885" t="s">
        <v>114</v>
      </c>
      <c r="T885" t="s">
        <v>114</v>
      </c>
      <c r="U885">
        <v>14</v>
      </c>
      <c r="W885">
        <v>3000</v>
      </c>
      <c r="X885">
        <v>0</v>
      </c>
      <c r="Y885">
        <v>0</v>
      </c>
      <c r="Z885">
        <v>0</v>
      </c>
      <c r="AA885">
        <v>0</v>
      </c>
      <c r="AB885">
        <v>0</v>
      </c>
      <c r="AC885">
        <v>0</v>
      </c>
      <c r="AD885">
        <v>0</v>
      </c>
      <c r="AE885">
        <v>0</v>
      </c>
      <c r="AF885">
        <v>0</v>
      </c>
      <c r="AG885">
        <v>0</v>
      </c>
      <c r="AH885">
        <v>0</v>
      </c>
      <c r="AI885">
        <v>0</v>
      </c>
      <c r="AJ885">
        <v>0</v>
      </c>
      <c r="AK885">
        <v>0</v>
      </c>
      <c r="AL885">
        <v>3000</v>
      </c>
      <c r="AM885">
        <v>0</v>
      </c>
      <c r="AN885">
        <v>0</v>
      </c>
      <c r="AO885">
        <v>0</v>
      </c>
      <c r="AP885">
        <v>0</v>
      </c>
      <c r="AQ885">
        <v>0</v>
      </c>
      <c r="AR885">
        <v>0</v>
      </c>
      <c r="AS885">
        <v>0</v>
      </c>
      <c r="AT885">
        <v>0</v>
      </c>
      <c r="AU885">
        <f t="shared" si="26"/>
        <v>0</v>
      </c>
      <c r="AV885">
        <f t="shared" si="27"/>
        <v>3000</v>
      </c>
    </row>
    <row r="886" spans="1:48" x14ac:dyDescent="0.25">
      <c r="A886" t="s">
        <v>4589</v>
      </c>
      <c r="C886" t="s">
        <v>4590</v>
      </c>
      <c r="D886" t="s">
        <v>4591</v>
      </c>
      <c r="E886" t="s">
        <v>2310</v>
      </c>
      <c r="F886">
        <v>9</v>
      </c>
      <c r="G886">
        <v>9.1999999999999993</v>
      </c>
      <c r="H886" t="s">
        <v>2022</v>
      </c>
      <c r="I886" s="21">
        <v>38006</v>
      </c>
      <c r="J886">
        <v>2004</v>
      </c>
      <c r="K886" s="21">
        <v>38012</v>
      </c>
      <c r="L886">
        <v>2004</v>
      </c>
      <c r="M886" s="21">
        <v>38012</v>
      </c>
      <c r="N886">
        <v>2004</v>
      </c>
      <c r="R886" s="262">
        <v>13000</v>
      </c>
      <c r="S886" t="s">
        <v>114</v>
      </c>
      <c r="T886" t="s">
        <v>114</v>
      </c>
      <c r="U886">
        <v>15</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c r="AQ886">
        <v>0</v>
      </c>
      <c r="AR886">
        <v>0</v>
      </c>
      <c r="AS886">
        <v>0</v>
      </c>
      <c r="AT886">
        <v>0</v>
      </c>
      <c r="AU886">
        <f t="shared" si="26"/>
        <v>0</v>
      </c>
      <c r="AV886">
        <f t="shared" si="27"/>
        <v>0</v>
      </c>
    </row>
    <row r="887" spans="1:48" x14ac:dyDescent="0.25">
      <c r="A887" t="s">
        <v>4592</v>
      </c>
      <c r="C887" t="s">
        <v>4593</v>
      </c>
      <c r="D887" t="s">
        <v>4594</v>
      </c>
      <c r="E887" t="s">
        <v>2310</v>
      </c>
      <c r="F887">
        <v>11</v>
      </c>
      <c r="G887">
        <v>11.2</v>
      </c>
      <c r="H887" t="s">
        <v>2017</v>
      </c>
      <c r="I887" s="21">
        <v>38006</v>
      </c>
      <c r="J887">
        <v>2004</v>
      </c>
      <c r="K887" s="21">
        <v>38012</v>
      </c>
      <c r="L887">
        <v>2004</v>
      </c>
      <c r="M887" s="21">
        <v>38376</v>
      </c>
      <c r="N887">
        <v>2005</v>
      </c>
      <c r="R887" s="262">
        <v>30000</v>
      </c>
      <c r="S887" t="s">
        <v>114</v>
      </c>
      <c r="T887" t="s">
        <v>114</v>
      </c>
      <c r="U887">
        <v>5</v>
      </c>
      <c r="W887">
        <v>0</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0</v>
      </c>
      <c r="AQ887">
        <v>0</v>
      </c>
      <c r="AR887">
        <v>0</v>
      </c>
      <c r="AS887">
        <v>0</v>
      </c>
      <c r="AT887">
        <v>0</v>
      </c>
      <c r="AU887">
        <f t="shared" si="26"/>
        <v>0</v>
      </c>
      <c r="AV887">
        <f t="shared" si="27"/>
        <v>0</v>
      </c>
    </row>
    <row r="888" spans="1:48" x14ac:dyDescent="0.25">
      <c r="A888" t="s">
        <v>4595</v>
      </c>
      <c r="C888" t="s">
        <v>4596</v>
      </c>
      <c r="D888" t="s">
        <v>4597</v>
      </c>
      <c r="E888" t="s">
        <v>1663</v>
      </c>
      <c r="F888">
        <v>6</v>
      </c>
      <c r="G888">
        <v>6.1</v>
      </c>
      <c r="H888" t="s">
        <v>2017</v>
      </c>
      <c r="I888" s="21">
        <v>38007</v>
      </c>
      <c r="J888">
        <v>2004</v>
      </c>
      <c r="K888" s="21">
        <v>38038</v>
      </c>
      <c r="L888">
        <v>2004</v>
      </c>
      <c r="M888" s="21">
        <v>38189</v>
      </c>
      <c r="N888">
        <v>2004</v>
      </c>
      <c r="Q888" s="262">
        <v>350000</v>
      </c>
      <c r="S888" t="s">
        <v>114</v>
      </c>
      <c r="T888" t="s">
        <v>114</v>
      </c>
      <c r="W888">
        <v>4296</v>
      </c>
      <c r="X888">
        <v>1</v>
      </c>
      <c r="Y888">
        <v>0</v>
      </c>
      <c r="Z888">
        <v>0</v>
      </c>
      <c r="AA888">
        <v>0</v>
      </c>
      <c r="AB888">
        <v>0</v>
      </c>
      <c r="AC888">
        <v>4296</v>
      </c>
      <c r="AD888">
        <v>0</v>
      </c>
      <c r="AE888">
        <v>0</v>
      </c>
      <c r="AF888">
        <v>0</v>
      </c>
      <c r="AG888">
        <v>0</v>
      </c>
      <c r="AH888">
        <v>0</v>
      </c>
      <c r="AI888">
        <v>0</v>
      </c>
      <c r="AJ888">
        <v>0</v>
      </c>
      <c r="AK888">
        <v>0</v>
      </c>
      <c r="AL888">
        <v>0</v>
      </c>
      <c r="AM888">
        <v>0</v>
      </c>
      <c r="AN888">
        <v>0</v>
      </c>
      <c r="AO888">
        <v>1</v>
      </c>
      <c r="AP888">
        <v>0</v>
      </c>
      <c r="AQ888">
        <v>0</v>
      </c>
      <c r="AR888">
        <v>0</v>
      </c>
      <c r="AS888">
        <v>0</v>
      </c>
      <c r="AT888">
        <v>0</v>
      </c>
      <c r="AU888">
        <f t="shared" si="26"/>
        <v>1</v>
      </c>
      <c r="AV888">
        <f t="shared" si="27"/>
        <v>0</v>
      </c>
    </row>
    <row r="889" spans="1:48" x14ac:dyDescent="0.25">
      <c r="A889" t="s">
        <v>4598</v>
      </c>
      <c r="C889" t="s">
        <v>4599</v>
      </c>
      <c r="D889" t="s">
        <v>4600</v>
      </c>
      <c r="E889" t="s">
        <v>2310</v>
      </c>
      <c r="F889">
        <v>9</v>
      </c>
      <c r="G889">
        <v>9.4</v>
      </c>
      <c r="H889" t="s">
        <v>2323</v>
      </c>
      <c r="I889" s="21">
        <v>38007</v>
      </c>
      <c r="J889">
        <v>2004</v>
      </c>
      <c r="K889" s="21">
        <v>38028</v>
      </c>
      <c r="L889">
        <v>2004</v>
      </c>
      <c r="M889" s="21">
        <v>38028</v>
      </c>
      <c r="N889">
        <v>2004</v>
      </c>
      <c r="R889" s="262">
        <v>218000</v>
      </c>
      <c r="S889" t="s">
        <v>114</v>
      </c>
      <c r="T889" t="s">
        <v>114</v>
      </c>
      <c r="U889">
        <v>5</v>
      </c>
      <c r="W889">
        <v>280</v>
      </c>
      <c r="X889">
        <v>0</v>
      </c>
      <c r="Y889">
        <v>0</v>
      </c>
      <c r="Z889">
        <v>0</v>
      </c>
      <c r="AA889">
        <v>0</v>
      </c>
      <c r="AB889">
        <v>0</v>
      </c>
      <c r="AC889">
        <v>280</v>
      </c>
      <c r="AD889">
        <v>0</v>
      </c>
      <c r="AE889">
        <v>0</v>
      </c>
      <c r="AF889">
        <v>0</v>
      </c>
      <c r="AG889">
        <v>0</v>
      </c>
      <c r="AH889">
        <v>0</v>
      </c>
      <c r="AI889">
        <v>0</v>
      </c>
      <c r="AJ889">
        <v>0</v>
      </c>
      <c r="AK889">
        <v>0</v>
      </c>
      <c r="AL889">
        <v>0</v>
      </c>
      <c r="AM889">
        <v>0</v>
      </c>
      <c r="AN889">
        <v>0</v>
      </c>
      <c r="AO889">
        <v>0</v>
      </c>
      <c r="AP889">
        <v>0</v>
      </c>
      <c r="AQ889">
        <v>0</v>
      </c>
      <c r="AR889">
        <v>0</v>
      </c>
      <c r="AS889">
        <v>0</v>
      </c>
      <c r="AT889">
        <v>0</v>
      </c>
      <c r="AU889">
        <f t="shared" si="26"/>
        <v>0</v>
      </c>
      <c r="AV889">
        <f t="shared" si="27"/>
        <v>0</v>
      </c>
    </row>
    <row r="890" spans="1:48" x14ac:dyDescent="0.25">
      <c r="A890" t="s">
        <v>4601</v>
      </c>
      <c r="C890" t="s">
        <v>4602</v>
      </c>
      <c r="D890" t="s">
        <v>4603</v>
      </c>
      <c r="E890" t="s">
        <v>2310</v>
      </c>
      <c r="F890">
        <v>9</v>
      </c>
      <c r="G890">
        <v>9.3000000000000007</v>
      </c>
      <c r="H890" t="s">
        <v>2323</v>
      </c>
      <c r="I890" s="21">
        <v>38008</v>
      </c>
      <c r="J890">
        <v>2004</v>
      </c>
      <c r="K890" s="21">
        <v>38044</v>
      </c>
      <c r="L890">
        <v>2004</v>
      </c>
      <c r="M890" s="21">
        <v>38653</v>
      </c>
      <c r="N890">
        <v>2005</v>
      </c>
      <c r="R890" s="262">
        <v>720000</v>
      </c>
      <c r="S890" t="s">
        <v>114</v>
      </c>
      <c r="T890" t="s">
        <v>114</v>
      </c>
      <c r="U890">
        <v>5</v>
      </c>
      <c r="W890">
        <v>4451</v>
      </c>
      <c r="X890">
        <v>1</v>
      </c>
      <c r="Y890">
        <v>0</v>
      </c>
      <c r="Z890">
        <v>0</v>
      </c>
      <c r="AA890">
        <v>0</v>
      </c>
      <c r="AB890">
        <v>0</v>
      </c>
      <c r="AC890">
        <v>4451</v>
      </c>
      <c r="AD890">
        <v>0</v>
      </c>
      <c r="AE890">
        <v>0</v>
      </c>
      <c r="AF890">
        <v>0</v>
      </c>
      <c r="AG890">
        <v>0</v>
      </c>
      <c r="AH890">
        <v>0</v>
      </c>
      <c r="AI890">
        <v>0</v>
      </c>
      <c r="AJ890">
        <v>0</v>
      </c>
      <c r="AK890">
        <v>0</v>
      </c>
      <c r="AL890">
        <v>0</v>
      </c>
      <c r="AM890">
        <v>0</v>
      </c>
      <c r="AN890">
        <v>0</v>
      </c>
      <c r="AO890">
        <v>1</v>
      </c>
      <c r="AP890">
        <v>0</v>
      </c>
      <c r="AQ890">
        <v>0</v>
      </c>
      <c r="AR890">
        <v>0</v>
      </c>
      <c r="AS890">
        <v>0</v>
      </c>
      <c r="AT890">
        <v>0</v>
      </c>
      <c r="AU890">
        <f t="shared" si="26"/>
        <v>1</v>
      </c>
      <c r="AV890">
        <f t="shared" si="27"/>
        <v>0</v>
      </c>
    </row>
    <row r="891" spans="1:48" x14ac:dyDescent="0.25">
      <c r="A891" t="s">
        <v>4604</v>
      </c>
      <c r="C891" t="s">
        <v>4605</v>
      </c>
      <c r="D891" t="s">
        <v>4606</v>
      </c>
      <c r="E891" t="s">
        <v>2310</v>
      </c>
      <c r="F891">
        <v>10</v>
      </c>
      <c r="G891">
        <v>10.1</v>
      </c>
      <c r="H891" t="s">
        <v>2323</v>
      </c>
      <c r="I891" s="21">
        <v>38014</v>
      </c>
      <c r="J891">
        <v>2004</v>
      </c>
      <c r="K891" s="21">
        <v>38023</v>
      </c>
      <c r="L891">
        <v>2004</v>
      </c>
      <c r="M891" s="21">
        <v>38023</v>
      </c>
      <c r="N891">
        <v>2004</v>
      </c>
      <c r="R891" s="262">
        <v>85000</v>
      </c>
      <c r="S891" t="s">
        <v>114</v>
      </c>
      <c r="T891" t="s">
        <v>114</v>
      </c>
      <c r="U891">
        <v>5</v>
      </c>
      <c r="W891">
        <v>852</v>
      </c>
      <c r="X891">
        <v>0</v>
      </c>
      <c r="Y891">
        <v>0</v>
      </c>
      <c r="Z891">
        <v>0</v>
      </c>
      <c r="AA891">
        <v>0</v>
      </c>
      <c r="AB891">
        <v>0</v>
      </c>
      <c r="AC891">
        <v>852</v>
      </c>
      <c r="AD891">
        <v>0</v>
      </c>
      <c r="AE891">
        <v>0</v>
      </c>
      <c r="AF891">
        <v>0</v>
      </c>
      <c r="AG891">
        <v>0</v>
      </c>
      <c r="AH891">
        <v>0</v>
      </c>
      <c r="AI891">
        <v>0</v>
      </c>
      <c r="AJ891">
        <v>0</v>
      </c>
      <c r="AK891">
        <v>0</v>
      </c>
      <c r="AL891">
        <v>0</v>
      </c>
      <c r="AM891">
        <v>0</v>
      </c>
      <c r="AN891">
        <v>0</v>
      </c>
      <c r="AO891">
        <v>0</v>
      </c>
      <c r="AP891">
        <v>0</v>
      </c>
      <c r="AQ891">
        <v>0</v>
      </c>
      <c r="AR891">
        <v>0</v>
      </c>
      <c r="AS891">
        <v>0</v>
      </c>
      <c r="AT891">
        <v>0</v>
      </c>
      <c r="AU891">
        <f t="shared" si="26"/>
        <v>0</v>
      </c>
      <c r="AV891">
        <f t="shared" si="27"/>
        <v>0</v>
      </c>
    </row>
    <row r="892" spans="1:48" x14ac:dyDescent="0.25">
      <c r="A892" t="s">
        <v>4607</v>
      </c>
      <c r="C892" t="s">
        <v>4608</v>
      </c>
      <c r="D892" t="s">
        <v>4609</v>
      </c>
      <c r="E892" t="s">
        <v>2310</v>
      </c>
      <c r="F892">
        <v>9</v>
      </c>
      <c r="G892">
        <v>9.3000000000000007</v>
      </c>
      <c r="H892" t="s">
        <v>2323</v>
      </c>
      <c r="I892" s="21">
        <v>38014</v>
      </c>
      <c r="J892">
        <v>2004</v>
      </c>
      <c r="K892" s="21">
        <v>38026</v>
      </c>
      <c r="L892">
        <v>2004</v>
      </c>
      <c r="M892" s="21">
        <v>39878</v>
      </c>
      <c r="N892">
        <v>2009</v>
      </c>
      <c r="R892" s="262">
        <v>8000</v>
      </c>
      <c r="S892" t="s">
        <v>114</v>
      </c>
      <c r="T892" t="s">
        <v>114</v>
      </c>
      <c r="U892">
        <v>5</v>
      </c>
      <c r="W892">
        <v>0</v>
      </c>
      <c r="X892">
        <v>0</v>
      </c>
      <c r="Y892">
        <v>0</v>
      </c>
      <c r="Z892">
        <v>0</v>
      </c>
      <c r="AA892">
        <v>0</v>
      </c>
      <c r="AB892">
        <v>0</v>
      </c>
      <c r="AC892">
        <v>0</v>
      </c>
      <c r="AD892">
        <v>0</v>
      </c>
      <c r="AE892">
        <v>0</v>
      </c>
      <c r="AF892">
        <v>0</v>
      </c>
      <c r="AG892">
        <v>0</v>
      </c>
      <c r="AH892">
        <v>0</v>
      </c>
      <c r="AI892">
        <v>0</v>
      </c>
      <c r="AJ892">
        <v>0</v>
      </c>
      <c r="AK892">
        <v>0</v>
      </c>
      <c r="AL892">
        <v>0</v>
      </c>
      <c r="AM892">
        <v>0</v>
      </c>
      <c r="AN892">
        <v>0</v>
      </c>
      <c r="AO892">
        <v>0</v>
      </c>
      <c r="AP892">
        <v>0</v>
      </c>
      <c r="AQ892">
        <v>0</v>
      </c>
      <c r="AR892">
        <v>0</v>
      </c>
      <c r="AS892">
        <v>0</v>
      </c>
      <c r="AT892">
        <v>0</v>
      </c>
      <c r="AU892">
        <f t="shared" si="26"/>
        <v>0</v>
      </c>
      <c r="AV892">
        <f t="shared" si="27"/>
        <v>0</v>
      </c>
    </row>
    <row r="893" spans="1:48" x14ac:dyDescent="0.25">
      <c r="A893" t="s">
        <v>4613</v>
      </c>
      <c r="C893" t="s">
        <v>4614</v>
      </c>
      <c r="D893" t="s">
        <v>2162</v>
      </c>
      <c r="E893" t="s">
        <v>2310</v>
      </c>
      <c r="F893">
        <v>8</v>
      </c>
      <c r="G893">
        <v>8.1999999999999993</v>
      </c>
      <c r="H893" t="s">
        <v>2022</v>
      </c>
      <c r="I893" s="21">
        <v>38015</v>
      </c>
      <c r="J893">
        <v>2004</v>
      </c>
      <c r="K893" s="21">
        <v>38485</v>
      </c>
      <c r="L893">
        <v>2005</v>
      </c>
      <c r="M893" s="21">
        <v>40522.559085648201</v>
      </c>
      <c r="N893">
        <v>2010</v>
      </c>
      <c r="R893" s="262">
        <v>3500000</v>
      </c>
      <c r="S893" t="s">
        <v>114</v>
      </c>
      <c r="T893" t="s">
        <v>114</v>
      </c>
      <c r="U893">
        <v>5</v>
      </c>
      <c r="W893">
        <v>7632</v>
      </c>
      <c r="X893">
        <v>1</v>
      </c>
      <c r="Y893">
        <v>0</v>
      </c>
      <c r="Z893">
        <v>0</v>
      </c>
      <c r="AA893">
        <v>0</v>
      </c>
      <c r="AB893">
        <v>0</v>
      </c>
      <c r="AC893">
        <v>7632</v>
      </c>
      <c r="AD893">
        <v>0</v>
      </c>
      <c r="AE893">
        <v>0</v>
      </c>
      <c r="AF893">
        <v>0</v>
      </c>
      <c r="AG893">
        <v>0</v>
      </c>
      <c r="AH893">
        <v>0</v>
      </c>
      <c r="AI893">
        <v>0</v>
      </c>
      <c r="AJ893">
        <v>0</v>
      </c>
      <c r="AK893">
        <v>0</v>
      </c>
      <c r="AL893">
        <v>0</v>
      </c>
      <c r="AM893">
        <v>0</v>
      </c>
      <c r="AN893">
        <v>0</v>
      </c>
      <c r="AO893">
        <v>1</v>
      </c>
      <c r="AP893">
        <v>0</v>
      </c>
      <c r="AQ893">
        <v>0</v>
      </c>
      <c r="AR893">
        <v>0</v>
      </c>
      <c r="AS893">
        <v>0</v>
      </c>
      <c r="AT893">
        <v>0</v>
      </c>
      <c r="AU893">
        <f t="shared" si="26"/>
        <v>1</v>
      </c>
      <c r="AV893">
        <f t="shared" si="27"/>
        <v>0</v>
      </c>
    </row>
    <row r="894" spans="1:48" x14ac:dyDescent="0.25">
      <c r="A894" t="s">
        <v>4615</v>
      </c>
      <c r="C894" t="s">
        <v>4616</v>
      </c>
      <c r="D894" t="s">
        <v>4617</v>
      </c>
      <c r="E894" t="s">
        <v>2310</v>
      </c>
      <c r="F894">
        <v>7</v>
      </c>
      <c r="G894">
        <v>7.1</v>
      </c>
      <c r="H894" t="s">
        <v>2017</v>
      </c>
      <c r="I894" s="21">
        <v>38015</v>
      </c>
      <c r="J894">
        <v>2004</v>
      </c>
      <c r="K894" s="21">
        <v>38030</v>
      </c>
      <c r="L894">
        <v>2004</v>
      </c>
      <c r="M894" s="21">
        <v>38378</v>
      </c>
      <c r="N894">
        <v>2005</v>
      </c>
      <c r="R894" s="262">
        <v>8000</v>
      </c>
      <c r="S894" t="s">
        <v>114</v>
      </c>
      <c r="T894" t="s">
        <v>114</v>
      </c>
      <c r="U894">
        <v>14</v>
      </c>
      <c r="W894">
        <v>272</v>
      </c>
      <c r="X894">
        <v>0</v>
      </c>
      <c r="Y894">
        <v>0</v>
      </c>
      <c r="Z894">
        <v>0</v>
      </c>
      <c r="AA894">
        <v>0</v>
      </c>
      <c r="AB894">
        <v>0</v>
      </c>
      <c r="AC894">
        <v>0</v>
      </c>
      <c r="AD894">
        <v>0</v>
      </c>
      <c r="AE894">
        <v>0</v>
      </c>
      <c r="AF894">
        <v>0</v>
      </c>
      <c r="AG894">
        <v>0</v>
      </c>
      <c r="AH894">
        <v>0</v>
      </c>
      <c r="AI894">
        <v>0</v>
      </c>
      <c r="AJ894">
        <v>0</v>
      </c>
      <c r="AK894">
        <v>0</v>
      </c>
      <c r="AL894">
        <v>272</v>
      </c>
      <c r="AM894">
        <v>0</v>
      </c>
      <c r="AN894">
        <v>0</v>
      </c>
      <c r="AO894">
        <v>0</v>
      </c>
      <c r="AP894">
        <v>0</v>
      </c>
      <c r="AQ894">
        <v>0</v>
      </c>
      <c r="AR894">
        <v>0</v>
      </c>
      <c r="AS894">
        <v>0</v>
      </c>
      <c r="AT894">
        <v>0</v>
      </c>
      <c r="AU894">
        <f t="shared" si="26"/>
        <v>0</v>
      </c>
      <c r="AV894">
        <f t="shared" si="27"/>
        <v>272</v>
      </c>
    </row>
    <row r="895" spans="1:48" x14ac:dyDescent="0.25">
      <c r="A895" t="s">
        <v>4610</v>
      </c>
      <c r="C895" t="s">
        <v>4611</v>
      </c>
      <c r="D895" t="s">
        <v>4612</v>
      </c>
      <c r="E895" t="s">
        <v>1663</v>
      </c>
      <c r="F895">
        <v>3</v>
      </c>
      <c r="G895">
        <v>3.2</v>
      </c>
      <c r="H895" t="s">
        <v>2327</v>
      </c>
      <c r="I895" s="21">
        <v>38015</v>
      </c>
      <c r="J895">
        <v>2004</v>
      </c>
      <c r="K895" s="21">
        <v>38046</v>
      </c>
      <c r="L895">
        <v>2004</v>
      </c>
      <c r="M895" s="21">
        <v>38197</v>
      </c>
      <c r="N895">
        <v>2004</v>
      </c>
      <c r="Q895" s="262">
        <v>180000</v>
      </c>
      <c r="S895" t="s">
        <v>114</v>
      </c>
      <c r="T895" t="s">
        <v>114</v>
      </c>
      <c r="W895">
        <v>3774</v>
      </c>
      <c r="X895">
        <v>0</v>
      </c>
      <c r="Y895">
        <v>0</v>
      </c>
      <c r="Z895">
        <v>0</v>
      </c>
      <c r="AA895">
        <v>0</v>
      </c>
      <c r="AB895">
        <v>0</v>
      </c>
      <c r="AC895">
        <v>0</v>
      </c>
      <c r="AD895">
        <v>0</v>
      </c>
      <c r="AE895">
        <v>0</v>
      </c>
      <c r="AF895">
        <v>0</v>
      </c>
      <c r="AG895">
        <v>0</v>
      </c>
      <c r="AH895">
        <v>0</v>
      </c>
      <c r="AI895">
        <v>0</v>
      </c>
      <c r="AJ895">
        <v>3774</v>
      </c>
      <c r="AK895">
        <v>0</v>
      </c>
      <c r="AL895">
        <v>0</v>
      </c>
      <c r="AM895">
        <v>0</v>
      </c>
      <c r="AN895">
        <v>0</v>
      </c>
      <c r="AO895">
        <v>0</v>
      </c>
      <c r="AP895">
        <v>0</v>
      </c>
      <c r="AQ895">
        <v>0</v>
      </c>
      <c r="AR895">
        <v>0</v>
      </c>
      <c r="AS895">
        <v>0</v>
      </c>
      <c r="AT895">
        <v>0</v>
      </c>
      <c r="AU895">
        <f t="shared" si="26"/>
        <v>0</v>
      </c>
      <c r="AV895">
        <f t="shared" si="27"/>
        <v>3774</v>
      </c>
    </row>
    <row r="896" spans="1:48" x14ac:dyDescent="0.25">
      <c r="A896" t="s">
        <v>4618</v>
      </c>
      <c r="C896" t="s">
        <v>4619</v>
      </c>
      <c r="D896" t="s">
        <v>4065</v>
      </c>
      <c r="E896" t="s">
        <v>2310</v>
      </c>
      <c r="F896">
        <v>9</v>
      </c>
      <c r="G896">
        <v>9.4</v>
      </c>
      <c r="H896" t="s">
        <v>2323</v>
      </c>
      <c r="I896" s="21">
        <v>38016</v>
      </c>
      <c r="J896">
        <v>2004</v>
      </c>
      <c r="K896" s="21">
        <v>38035</v>
      </c>
      <c r="L896">
        <v>2004</v>
      </c>
      <c r="M896" s="21">
        <v>38377</v>
      </c>
      <c r="N896">
        <v>2005</v>
      </c>
      <c r="R896" s="262">
        <v>67200</v>
      </c>
      <c r="S896" t="s">
        <v>114</v>
      </c>
      <c r="T896" t="s">
        <v>114</v>
      </c>
      <c r="U896">
        <v>5</v>
      </c>
      <c r="W896">
        <v>0</v>
      </c>
      <c r="X896">
        <v>0</v>
      </c>
      <c r="Y896">
        <v>0</v>
      </c>
      <c r="Z896">
        <v>0</v>
      </c>
      <c r="AA896">
        <v>0</v>
      </c>
      <c r="AB896">
        <v>0</v>
      </c>
      <c r="AC896">
        <v>0</v>
      </c>
      <c r="AD896">
        <v>0</v>
      </c>
      <c r="AE896">
        <v>0</v>
      </c>
      <c r="AF896">
        <v>0</v>
      </c>
      <c r="AG896">
        <v>0</v>
      </c>
      <c r="AH896">
        <v>0</v>
      </c>
      <c r="AI896">
        <v>0</v>
      </c>
      <c r="AJ896">
        <v>0</v>
      </c>
      <c r="AK896">
        <v>0</v>
      </c>
      <c r="AL896">
        <v>0</v>
      </c>
      <c r="AM896">
        <v>0</v>
      </c>
      <c r="AN896">
        <v>0</v>
      </c>
      <c r="AO896">
        <v>0</v>
      </c>
      <c r="AP896">
        <v>0</v>
      </c>
      <c r="AQ896">
        <v>0</v>
      </c>
      <c r="AR896">
        <v>0</v>
      </c>
      <c r="AS896">
        <v>0</v>
      </c>
      <c r="AT896">
        <v>0</v>
      </c>
      <c r="AU896">
        <f t="shared" si="26"/>
        <v>0</v>
      </c>
      <c r="AV896">
        <f t="shared" si="27"/>
        <v>0</v>
      </c>
    </row>
    <row r="897" spans="1:48" x14ac:dyDescent="0.25">
      <c r="A897" t="s">
        <v>4620</v>
      </c>
      <c r="C897" t="s">
        <v>4621</v>
      </c>
      <c r="D897" t="s">
        <v>2753</v>
      </c>
      <c r="E897" t="s">
        <v>2310</v>
      </c>
      <c r="F897">
        <v>13</v>
      </c>
      <c r="G897">
        <v>13.3</v>
      </c>
      <c r="H897" t="s">
        <v>2017</v>
      </c>
      <c r="I897" s="21">
        <v>38021</v>
      </c>
      <c r="J897">
        <v>2004</v>
      </c>
      <c r="K897" s="21">
        <v>38044</v>
      </c>
      <c r="L897">
        <v>2004</v>
      </c>
      <c r="M897" s="21">
        <v>38044</v>
      </c>
      <c r="N897">
        <v>2004</v>
      </c>
      <c r="R897" s="262">
        <v>80000</v>
      </c>
      <c r="S897" t="s">
        <v>114</v>
      </c>
      <c r="T897" t="s">
        <v>114</v>
      </c>
      <c r="U897">
        <v>5</v>
      </c>
      <c r="W897">
        <v>278</v>
      </c>
      <c r="X897">
        <v>0</v>
      </c>
      <c r="Y897">
        <v>0</v>
      </c>
      <c r="Z897">
        <v>0</v>
      </c>
      <c r="AA897">
        <v>0</v>
      </c>
      <c r="AB897">
        <v>0</v>
      </c>
      <c r="AC897">
        <v>278</v>
      </c>
      <c r="AD897">
        <v>0</v>
      </c>
      <c r="AE897">
        <v>0</v>
      </c>
      <c r="AF897">
        <v>0</v>
      </c>
      <c r="AG897">
        <v>0</v>
      </c>
      <c r="AH897">
        <v>0</v>
      </c>
      <c r="AI897">
        <v>0</v>
      </c>
      <c r="AJ897">
        <v>0</v>
      </c>
      <c r="AK897">
        <v>0</v>
      </c>
      <c r="AL897">
        <v>0</v>
      </c>
      <c r="AM897">
        <v>0</v>
      </c>
      <c r="AN897">
        <v>0</v>
      </c>
      <c r="AO897">
        <v>0</v>
      </c>
      <c r="AP897">
        <v>0</v>
      </c>
      <c r="AQ897">
        <v>0</v>
      </c>
      <c r="AR897">
        <v>0</v>
      </c>
      <c r="AS897">
        <v>0</v>
      </c>
      <c r="AT897">
        <v>0</v>
      </c>
      <c r="AU897">
        <f t="shared" si="26"/>
        <v>0</v>
      </c>
      <c r="AV897">
        <f t="shared" si="27"/>
        <v>0</v>
      </c>
    </row>
    <row r="898" spans="1:48" x14ac:dyDescent="0.25">
      <c r="A898" t="s">
        <v>4622</v>
      </c>
      <c r="C898" t="s">
        <v>4623</v>
      </c>
      <c r="D898" t="s">
        <v>2744</v>
      </c>
      <c r="E898" t="s">
        <v>2310</v>
      </c>
      <c r="F898">
        <v>7</v>
      </c>
      <c r="G898">
        <v>7.2</v>
      </c>
      <c r="H898" t="s">
        <v>2017</v>
      </c>
      <c r="I898" s="21">
        <v>38021</v>
      </c>
      <c r="J898">
        <v>2004</v>
      </c>
      <c r="K898" s="21">
        <v>38036</v>
      </c>
      <c r="L898">
        <v>2004</v>
      </c>
      <c r="M898" s="21">
        <v>38036</v>
      </c>
      <c r="N898">
        <v>2004</v>
      </c>
      <c r="R898" s="262">
        <v>35000</v>
      </c>
      <c r="S898" t="s">
        <v>114</v>
      </c>
      <c r="T898" t="s">
        <v>114</v>
      </c>
      <c r="U898">
        <v>5</v>
      </c>
      <c r="W898">
        <v>1684</v>
      </c>
      <c r="X898">
        <v>0</v>
      </c>
      <c r="Y898">
        <v>0</v>
      </c>
      <c r="Z898">
        <v>0</v>
      </c>
      <c r="AA898">
        <v>0</v>
      </c>
      <c r="AB898">
        <v>0</v>
      </c>
      <c r="AC898">
        <v>1684</v>
      </c>
      <c r="AD898">
        <v>0</v>
      </c>
      <c r="AE898">
        <v>0</v>
      </c>
      <c r="AF898">
        <v>0</v>
      </c>
      <c r="AG898">
        <v>0</v>
      </c>
      <c r="AH898">
        <v>0</v>
      </c>
      <c r="AI898">
        <v>0</v>
      </c>
      <c r="AJ898">
        <v>0</v>
      </c>
      <c r="AK898">
        <v>0</v>
      </c>
      <c r="AL898">
        <v>0</v>
      </c>
      <c r="AM898">
        <v>0</v>
      </c>
      <c r="AN898">
        <v>0</v>
      </c>
      <c r="AO898">
        <v>0</v>
      </c>
      <c r="AP898">
        <v>0</v>
      </c>
      <c r="AQ898">
        <v>0</v>
      </c>
      <c r="AR898">
        <v>0</v>
      </c>
      <c r="AS898">
        <v>0</v>
      </c>
      <c r="AT898">
        <v>0</v>
      </c>
      <c r="AU898">
        <f t="shared" si="26"/>
        <v>0</v>
      </c>
      <c r="AV898">
        <f t="shared" si="27"/>
        <v>0</v>
      </c>
    </row>
    <row r="899" spans="1:48" x14ac:dyDescent="0.25">
      <c r="A899" t="s">
        <v>4624</v>
      </c>
      <c r="C899" t="s">
        <v>4625</v>
      </c>
      <c r="D899" t="s">
        <v>4626</v>
      </c>
      <c r="E899" t="s">
        <v>2310</v>
      </c>
      <c r="F899">
        <v>9</v>
      </c>
      <c r="G899">
        <v>9.3000000000000007</v>
      </c>
      <c r="H899" t="s">
        <v>2323</v>
      </c>
      <c r="I899" s="21">
        <v>38021</v>
      </c>
      <c r="J899">
        <v>2004</v>
      </c>
      <c r="K899" s="21">
        <v>38058</v>
      </c>
      <c r="L899">
        <v>2004</v>
      </c>
      <c r="M899" s="21">
        <v>38385</v>
      </c>
      <c r="N899">
        <v>2005</v>
      </c>
      <c r="R899" s="262">
        <v>450000</v>
      </c>
      <c r="S899" t="s">
        <v>114</v>
      </c>
      <c r="T899" t="s">
        <v>114</v>
      </c>
      <c r="U899">
        <v>5</v>
      </c>
      <c r="W899">
        <v>3802</v>
      </c>
      <c r="X899">
        <v>1</v>
      </c>
      <c r="Y899">
        <v>0</v>
      </c>
      <c r="Z899">
        <v>0</v>
      </c>
      <c r="AA899">
        <v>0</v>
      </c>
      <c r="AB899">
        <v>0</v>
      </c>
      <c r="AC899">
        <v>3802</v>
      </c>
      <c r="AD899">
        <v>0</v>
      </c>
      <c r="AE899">
        <v>0</v>
      </c>
      <c r="AF899">
        <v>0</v>
      </c>
      <c r="AG899">
        <v>0</v>
      </c>
      <c r="AH899">
        <v>0</v>
      </c>
      <c r="AI899">
        <v>0</v>
      </c>
      <c r="AJ899">
        <v>0</v>
      </c>
      <c r="AK899">
        <v>0</v>
      </c>
      <c r="AL899">
        <v>0</v>
      </c>
      <c r="AM899">
        <v>0</v>
      </c>
      <c r="AN899">
        <v>0</v>
      </c>
      <c r="AO899">
        <v>1</v>
      </c>
      <c r="AP899">
        <v>0</v>
      </c>
      <c r="AQ899">
        <v>0</v>
      </c>
      <c r="AR899">
        <v>0</v>
      </c>
      <c r="AS899">
        <v>0</v>
      </c>
      <c r="AT899">
        <v>0</v>
      </c>
      <c r="AU899">
        <f t="shared" si="26"/>
        <v>1</v>
      </c>
      <c r="AV899">
        <f t="shared" si="27"/>
        <v>0</v>
      </c>
    </row>
    <row r="900" spans="1:48" x14ac:dyDescent="0.25">
      <c r="A900" t="s">
        <v>4627</v>
      </c>
      <c r="C900" t="s">
        <v>4628</v>
      </c>
      <c r="D900" t="s">
        <v>4629</v>
      </c>
      <c r="E900" t="s">
        <v>2310</v>
      </c>
      <c r="F900">
        <v>9</v>
      </c>
      <c r="G900">
        <v>9.4</v>
      </c>
      <c r="H900" t="s">
        <v>2323</v>
      </c>
      <c r="I900" s="21">
        <v>38023</v>
      </c>
      <c r="J900">
        <v>2004</v>
      </c>
      <c r="K900" s="21">
        <v>38055</v>
      </c>
      <c r="L900">
        <v>2004</v>
      </c>
      <c r="M900" s="21">
        <v>38205</v>
      </c>
      <c r="N900">
        <v>2004</v>
      </c>
      <c r="R900" s="262">
        <v>37000</v>
      </c>
      <c r="S900" t="s">
        <v>114</v>
      </c>
      <c r="T900" t="s">
        <v>114</v>
      </c>
      <c r="U900">
        <v>8</v>
      </c>
      <c r="W900">
        <v>0</v>
      </c>
      <c r="X900">
        <v>1</v>
      </c>
      <c r="Y900">
        <v>0</v>
      </c>
      <c r="Z900">
        <v>0</v>
      </c>
      <c r="AA900">
        <v>0</v>
      </c>
      <c r="AB900">
        <v>0</v>
      </c>
      <c r="AC900">
        <v>-742</v>
      </c>
      <c r="AD900">
        <v>0</v>
      </c>
      <c r="AE900">
        <v>0</v>
      </c>
      <c r="AF900">
        <v>742</v>
      </c>
      <c r="AG900">
        <v>0</v>
      </c>
      <c r="AH900">
        <v>0</v>
      </c>
      <c r="AI900">
        <v>0</v>
      </c>
      <c r="AJ900">
        <v>0</v>
      </c>
      <c r="AK900">
        <v>0</v>
      </c>
      <c r="AL900">
        <v>0</v>
      </c>
      <c r="AM900">
        <v>0</v>
      </c>
      <c r="AN900">
        <v>0</v>
      </c>
      <c r="AO900">
        <v>0</v>
      </c>
      <c r="AP900">
        <v>0</v>
      </c>
      <c r="AQ900">
        <v>0</v>
      </c>
      <c r="AR900">
        <v>1</v>
      </c>
      <c r="AS900">
        <v>0</v>
      </c>
      <c r="AT900">
        <v>0</v>
      </c>
      <c r="AU900">
        <f t="shared" si="26"/>
        <v>0</v>
      </c>
      <c r="AV900">
        <f t="shared" si="27"/>
        <v>0</v>
      </c>
    </row>
    <row r="901" spans="1:48" x14ac:dyDescent="0.25">
      <c r="A901" t="s">
        <v>4630</v>
      </c>
      <c r="C901" t="s">
        <v>4631</v>
      </c>
      <c r="D901" t="s">
        <v>4632</v>
      </c>
      <c r="E901" t="s">
        <v>2310</v>
      </c>
      <c r="F901">
        <v>9</v>
      </c>
      <c r="G901">
        <v>9.1</v>
      </c>
      <c r="H901" t="s">
        <v>2323</v>
      </c>
      <c r="I901" s="21">
        <v>38026</v>
      </c>
      <c r="J901">
        <v>2004</v>
      </c>
      <c r="K901" s="21">
        <v>38061</v>
      </c>
      <c r="L901">
        <v>2004</v>
      </c>
      <c r="M901" s="21">
        <v>38904</v>
      </c>
      <c r="N901">
        <v>2006</v>
      </c>
      <c r="R901" s="262">
        <v>1750000</v>
      </c>
      <c r="S901" t="s">
        <v>114</v>
      </c>
      <c r="T901" t="s">
        <v>114</v>
      </c>
      <c r="U901">
        <v>5</v>
      </c>
      <c r="W901">
        <v>9849</v>
      </c>
      <c r="X901">
        <v>1</v>
      </c>
      <c r="Y901">
        <v>0</v>
      </c>
      <c r="Z901">
        <v>0</v>
      </c>
      <c r="AA901">
        <v>0</v>
      </c>
      <c r="AB901">
        <v>0</v>
      </c>
      <c r="AC901">
        <v>9849</v>
      </c>
      <c r="AD901">
        <v>0</v>
      </c>
      <c r="AE901">
        <v>0</v>
      </c>
      <c r="AF901">
        <v>0</v>
      </c>
      <c r="AG901">
        <v>0</v>
      </c>
      <c r="AH901">
        <v>0</v>
      </c>
      <c r="AI901">
        <v>0</v>
      </c>
      <c r="AJ901">
        <v>0</v>
      </c>
      <c r="AK901">
        <v>0</v>
      </c>
      <c r="AL901">
        <v>0</v>
      </c>
      <c r="AM901">
        <v>0</v>
      </c>
      <c r="AN901">
        <v>0</v>
      </c>
      <c r="AO901">
        <v>1</v>
      </c>
      <c r="AP901">
        <v>0</v>
      </c>
      <c r="AQ901">
        <v>0</v>
      </c>
      <c r="AR901">
        <v>0</v>
      </c>
      <c r="AS901">
        <v>0</v>
      </c>
      <c r="AT901">
        <v>0</v>
      </c>
      <c r="AU901">
        <f t="shared" si="26"/>
        <v>1</v>
      </c>
      <c r="AV901">
        <f t="shared" si="27"/>
        <v>0</v>
      </c>
    </row>
    <row r="902" spans="1:48" x14ac:dyDescent="0.25">
      <c r="A902" t="s">
        <v>4633</v>
      </c>
      <c r="C902" t="s">
        <v>4634</v>
      </c>
      <c r="D902" t="s">
        <v>4635</v>
      </c>
      <c r="E902" t="s">
        <v>2310</v>
      </c>
      <c r="F902">
        <v>8</v>
      </c>
      <c r="G902">
        <v>8.1</v>
      </c>
      <c r="H902" t="s">
        <v>2323</v>
      </c>
      <c r="I902" s="21">
        <v>38027</v>
      </c>
      <c r="J902">
        <v>2004</v>
      </c>
      <c r="M902" s="21">
        <v>38145</v>
      </c>
      <c r="N902">
        <v>2004</v>
      </c>
      <c r="R902" s="262">
        <v>600000</v>
      </c>
      <c r="S902" t="s">
        <v>114</v>
      </c>
      <c r="T902" t="s">
        <v>114</v>
      </c>
      <c r="U902">
        <v>8</v>
      </c>
      <c r="W902">
        <v>2668</v>
      </c>
      <c r="X902">
        <v>1</v>
      </c>
      <c r="Y902">
        <v>0</v>
      </c>
      <c r="Z902">
        <v>0</v>
      </c>
      <c r="AA902">
        <v>0</v>
      </c>
      <c r="AB902">
        <v>0</v>
      </c>
      <c r="AC902">
        <v>1709</v>
      </c>
      <c r="AD902">
        <v>0</v>
      </c>
      <c r="AE902">
        <v>0</v>
      </c>
      <c r="AF902">
        <v>959</v>
      </c>
      <c r="AG902">
        <v>0</v>
      </c>
      <c r="AH902">
        <v>0</v>
      </c>
      <c r="AI902">
        <v>0</v>
      </c>
      <c r="AJ902">
        <v>0</v>
      </c>
      <c r="AK902">
        <v>0</v>
      </c>
      <c r="AL902">
        <v>0</v>
      </c>
      <c r="AM902">
        <v>0</v>
      </c>
      <c r="AN902">
        <v>0</v>
      </c>
      <c r="AO902">
        <v>0</v>
      </c>
      <c r="AP902">
        <v>0</v>
      </c>
      <c r="AQ902">
        <v>0</v>
      </c>
      <c r="AR902">
        <v>1</v>
      </c>
      <c r="AS902">
        <v>0</v>
      </c>
      <c r="AT902">
        <v>0</v>
      </c>
      <c r="AU902">
        <f t="shared" si="26"/>
        <v>0</v>
      </c>
      <c r="AV902">
        <f t="shared" si="27"/>
        <v>0</v>
      </c>
    </row>
    <row r="903" spans="1:48" x14ac:dyDescent="0.25">
      <c r="A903" t="s">
        <v>4636</v>
      </c>
      <c r="C903" t="s">
        <v>4637</v>
      </c>
      <c r="D903" t="s">
        <v>4638</v>
      </c>
      <c r="E903" t="s">
        <v>2310</v>
      </c>
      <c r="F903">
        <v>9</v>
      </c>
      <c r="G903">
        <v>9.1</v>
      </c>
      <c r="H903" t="s">
        <v>2323</v>
      </c>
      <c r="I903" s="21">
        <v>38028</v>
      </c>
      <c r="J903">
        <v>2004</v>
      </c>
      <c r="K903" s="21">
        <v>38056</v>
      </c>
      <c r="L903">
        <v>2004</v>
      </c>
      <c r="M903" s="21">
        <v>38709</v>
      </c>
      <c r="N903">
        <v>2005</v>
      </c>
      <c r="R903" s="262">
        <v>60000</v>
      </c>
      <c r="S903" t="s">
        <v>114</v>
      </c>
      <c r="T903" t="s">
        <v>114</v>
      </c>
      <c r="U903">
        <v>5</v>
      </c>
      <c r="W903">
        <v>0</v>
      </c>
      <c r="X903">
        <v>0</v>
      </c>
      <c r="Y903">
        <v>0</v>
      </c>
      <c r="Z903">
        <v>0</v>
      </c>
      <c r="AA903">
        <v>0</v>
      </c>
      <c r="AB903">
        <v>0</v>
      </c>
      <c r="AC903">
        <v>0</v>
      </c>
      <c r="AD903">
        <v>0</v>
      </c>
      <c r="AE903">
        <v>0</v>
      </c>
      <c r="AF903">
        <v>0</v>
      </c>
      <c r="AG903">
        <v>0</v>
      </c>
      <c r="AH903">
        <v>0</v>
      </c>
      <c r="AI903">
        <v>0</v>
      </c>
      <c r="AJ903">
        <v>0</v>
      </c>
      <c r="AK903">
        <v>0</v>
      </c>
      <c r="AL903">
        <v>0</v>
      </c>
      <c r="AM903">
        <v>0</v>
      </c>
      <c r="AN903">
        <v>0</v>
      </c>
      <c r="AO903">
        <v>0</v>
      </c>
      <c r="AP903">
        <v>0</v>
      </c>
      <c r="AQ903">
        <v>0</v>
      </c>
      <c r="AR903">
        <v>0</v>
      </c>
      <c r="AS903">
        <v>0</v>
      </c>
      <c r="AT903">
        <v>0</v>
      </c>
      <c r="AU903">
        <f t="shared" si="26"/>
        <v>0</v>
      </c>
      <c r="AV903">
        <f t="shared" si="27"/>
        <v>0</v>
      </c>
    </row>
    <row r="904" spans="1:48" x14ac:dyDescent="0.25">
      <c r="A904" t="s">
        <v>4639</v>
      </c>
      <c r="C904" t="s">
        <v>4640</v>
      </c>
      <c r="D904" t="s">
        <v>4641</v>
      </c>
      <c r="E904" t="s">
        <v>2310</v>
      </c>
      <c r="F904">
        <v>7</v>
      </c>
      <c r="G904">
        <v>7.2</v>
      </c>
      <c r="H904" t="s">
        <v>2017</v>
      </c>
      <c r="I904" s="21">
        <v>38029</v>
      </c>
      <c r="J904">
        <v>2004</v>
      </c>
      <c r="K904" s="21">
        <v>38061</v>
      </c>
      <c r="L904">
        <v>2004</v>
      </c>
      <c r="M904" s="21">
        <v>38061</v>
      </c>
      <c r="N904">
        <v>2004</v>
      </c>
      <c r="R904" s="262">
        <v>30000</v>
      </c>
      <c r="S904" t="s">
        <v>114</v>
      </c>
      <c r="T904" t="s">
        <v>114</v>
      </c>
      <c r="U904">
        <v>5</v>
      </c>
      <c r="W904">
        <v>305</v>
      </c>
      <c r="X904">
        <v>0</v>
      </c>
      <c r="Y904">
        <v>0</v>
      </c>
      <c r="Z904">
        <v>0</v>
      </c>
      <c r="AA904">
        <v>0</v>
      </c>
      <c r="AB904">
        <v>0</v>
      </c>
      <c r="AC904">
        <v>305</v>
      </c>
      <c r="AD904">
        <v>0</v>
      </c>
      <c r="AE904">
        <v>0</v>
      </c>
      <c r="AF904">
        <v>0</v>
      </c>
      <c r="AG904">
        <v>0</v>
      </c>
      <c r="AH904">
        <v>0</v>
      </c>
      <c r="AI904">
        <v>0</v>
      </c>
      <c r="AJ904">
        <v>0</v>
      </c>
      <c r="AK904">
        <v>0</v>
      </c>
      <c r="AL904">
        <v>0</v>
      </c>
      <c r="AM904">
        <v>0</v>
      </c>
      <c r="AN904">
        <v>0</v>
      </c>
      <c r="AO904">
        <v>0</v>
      </c>
      <c r="AP904">
        <v>0</v>
      </c>
      <c r="AQ904">
        <v>0</v>
      </c>
      <c r="AR904">
        <v>0</v>
      </c>
      <c r="AS904">
        <v>0</v>
      </c>
      <c r="AT904">
        <v>0</v>
      </c>
      <c r="AU904">
        <f t="shared" si="26"/>
        <v>0</v>
      </c>
      <c r="AV904">
        <f t="shared" si="27"/>
        <v>0</v>
      </c>
    </row>
    <row r="905" spans="1:48" x14ac:dyDescent="0.25">
      <c r="A905" t="s">
        <v>4642</v>
      </c>
      <c r="C905" t="s">
        <v>4643</v>
      </c>
      <c r="D905" t="s">
        <v>4331</v>
      </c>
      <c r="E905" t="s">
        <v>2310</v>
      </c>
      <c r="F905">
        <v>8</v>
      </c>
      <c r="G905">
        <v>8.1999999999999993</v>
      </c>
      <c r="H905" t="s">
        <v>2022</v>
      </c>
      <c r="I905" s="21">
        <v>38035</v>
      </c>
      <c r="J905">
        <v>2004</v>
      </c>
      <c r="K905" s="21">
        <v>38061</v>
      </c>
      <c r="L905">
        <v>2004</v>
      </c>
      <c r="M905" s="21">
        <v>38061</v>
      </c>
      <c r="N905">
        <v>2004</v>
      </c>
      <c r="R905" s="262">
        <v>40000</v>
      </c>
      <c r="S905" t="s">
        <v>114</v>
      </c>
      <c r="T905" t="s">
        <v>114</v>
      </c>
      <c r="U905">
        <v>5</v>
      </c>
      <c r="W905">
        <v>360</v>
      </c>
      <c r="X905">
        <v>0</v>
      </c>
      <c r="Y905">
        <v>0</v>
      </c>
      <c r="Z905">
        <v>0</v>
      </c>
      <c r="AA905">
        <v>0</v>
      </c>
      <c r="AB905">
        <v>0</v>
      </c>
      <c r="AC905">
        <v>360</v>
      </c>
      <c r="AD905">
        <v>0</v>
      </c>
      <c r="AE905">
        <v>0</v>
      </c>
      <c r="AF905">
        <v>0</v>
      </c>
      <c r="AG905">
        <v>0</v>
      </c>
      <c r="AH905">
        <v>0</v>
      </c>
      <c r="AI905">
        <v>0</v>
      </c>
      <c r="AJ905">
        <v>0</v>
      </c>
      <c r="AK905">
        <v>0</v>
      </c>
      <c r="AL905">
        <v>0</v>
      </c>
      <c r="AM905">
        <v>0</v>
      </c>
      <c r="AN905">
        <v>0</v>
      </c>
      <c r="AO905">
        <v>0</v>
      </c>
      <c r="AP905">
        <v>0</v>
      </c>
      <c r="AQ905">
        <v>0</v>
      </c>
      <c r="AR905">
        <v>0</v>
      </c>
      <c r="AS905">
        <v>0</v>
      </c>
      <c r="AT905">
        <v>0</v>
      </c>
      <c r="AU905">
        <f t="shared" si="26"/>
        <v>0</v>
      </c>
      <c r="AV905">
        <f t="shared" si="27"/>
        <v>0</v>
      </c>
    </row>
    <row r="906" spans="1:48" x14ac:dyDescent="0.25">
      <c r="A906" t="s">
        <v>4644</v>
      </c>
      <c r="C906" t="s">
        <v>4645</v>
      </c>
      <c r="D906" t="s">
        <v>4646</v>
      </c>
      <c r="E906" t="s">
        <v>2310</v>
      </c>
      <c r="F906">
        <v>9</v>
      </c>
      <c r="G906">
        <v>9.3000000000000007</v>
      </c>
      <c r="H906" t="s">
        <v>2323</v>
      </c>
      <c r="I906" s="21">
        <v>38040</v>
      </c>
      <c r="J906">
        <v>2004</v>
      </c>
      <c r="K906" s="21">
        <v>38063</v>
      </c>
      <c r="L906">
        <v>2004</v>
      </c>
      <c r="M906" s="21">
        <v>38616</v>
      </c>
      <c r="N906">
        <v>2005</v>
      </c>
      <c r="R906" s="262">
        <v>800000</v>
      </c>
      <c r="S906" t="s">
        <v>114</v>
      </c>
      <c r="T906" t="s">
        <v>114</v>
      </c>
      <c r="U906">
        <v>17</v>
      </c>
      <c r="W906">
        <v>6158</v>
      </c>
      <c r="X906">
        <v>2</v>
      </c>
      <c r="Y906">
        <v>0</v>
      </c>
      <c r="Z906">
        <v>0</v>
      </c>
      <c r="AA906">
        <v>0</v>
      </c>
      <c r="AB906">
        <v>0</v>
      </c>
      <c r="AC906">
        <v>0</v>
      </c>
      <c r="AD906">
        <v>5383</v>
      </c>
      <c r="AE906">
        <v>0</v>
      </c>
      <c r="AF906">
        <v>775</v>
      </c>
      <c r="AG906">
        <v>0</v>
      </c>
      <c r="AH906">
        <v>0</v>
      </c>
      <c r="AI906">
        <v>0</v>
      </c>
      <c r="AJ906">
        <v>0</v>
      </c>
      <c r="AK906">
        <v>0</v>
      </c>
      <c r="AL906">
        <v>0</v>
      </c>
      <c r="AM906">
        <v>0</v>
      </c>
      <c r="AN906">
        <v>0</v>
      </c>
      <c r="AO906">
        <v>0</v>
      </c>
      <c r="AP906">
        <v>1</v>
      </c>
      <c r="AQ906">
        <v>0</v>
      </c>
      <c r="AR906">
        <v>1</v>
      </c>
      <c r="AS906">
        <v>0</v>
      </c>
      <c r="AT906">
        <v>0</v>
      </c>
      <c r="AU906">
        <f t="shared" si="26"/>
        <v>1</v>
      </c>
      <c r="AV906">
        <f t="shared" si="27"/>
        <v>0</v>
      </c>
    </row>
    <row r="907" spans="1:48" x14ac:dyDescent="0.25">
      <c r="A907" t="s">
        <v>4647</v>
      </c>
      <c r="C907" t="s">
        <v>4648</v>
      </c>
      <c r="D907" t="s">
        <v>4649</v>
      </c>
      <c r="E907" t="s">
        <v>2310</v>
      </c>
      <c r="F907">
        <v>15</v>
      </c>
      <c r="G907">
        <v>15.2</v>
      </c>
      <c r="H907" t="s">
        <v>2323</v>
      </c>
      <c r="I907" s="21">
        <v>38043</v>
      </c>
      <c r="J907">
        <v>2004</v>
      </c>
      <c r="K907" s="21">
        <v>38064</v>
      </c>
      <c r="L907">
        <v>2004</v>
      </c>
      <c r="M907" s="21">
        <v>38064</v>
      </c>
      <c r="N907">
        <v>2004</v>
      </c>
      <c r="R907" s="262">
        <v>430000</v>
      </c>
      <c r="S907" t="s">
        <v>114</v>
      </c>
      <c r="T907" t="s">
        <v>114</v>
      </c>
      <c r="U907">
        <v>5</v>
      </c>
      <c r="W907">
        <v>1224</v>
      </c>
      <c r="X907">
        <v>0</v>
      </c>
      <c r="Y907">
        <v>0</v>
      </c>
      <c r="Z907">
        <v>0</v>
      </c>
      <c r="AA907">
        <v>0</v>
      </c>
      <c r="AB907">
        <v>0</v>
      </c>
      <c r="AC907">
        <v>1224</v>
      </c>
      <c r="AD907">
        <v>0</v>
      </c>
      <c r="AE907">
        <v>0</v>
      </c>
      <c r="AF907">
        <v>0</v>
      </c>
      <c r="AG907">
        <v>0</v>
      </c>
      <c r="AH907">
        <v>0</v>
      </c>
      <c r="AI907">
        <v>0</v>
      </c>
      <c r="AJ907">
        <v>0</v>
      </c>
      <c r="AK907">
        <v>0</v>
      </c>
      <c r="AL907">
        <v>0</v>
      </c>
      <c r="AM907">
        <v>0</v>
      </c>
      <c r="AN907">
        <v>0</v>
      </c>
      <c r="AO907">
        <v>0</v>
      </c>
      <c r="AP907">
        <v>0</v>
      </c>
      <c r="AQ907">
        <v>0</v>
      </c>
      <c r="AR907">
        <v>0</v>
      </c>
      <c r="AS907">
        <v>0</v>
      </c>
      <c r="AT907">
        <v>0</v>
      </c>
      <c r="AU907">
        <f t="shared" si="26"/>
        <v>0</v>
      </c>
      <c r="AV907">
        <f t="shared" si="27"/>
        <v>0</v>
      </c>
    </row>
    <row r="908" spans="1:48" x14ac:dyDescent="0.25">
      <c r="A908" t="s">
        <v>4650</v>
      </c>
      <c r="C908" t="s">
        <v>4651</v>
      </c>
      <c r="D908" t="s">
        <v>4652</v>
      </c>
      <c r="E908" t="s">
        <v>2310</v>
      </c>
      <c r="F908">
        <v>13</v>
      </c>
      <c r="G908">
        <v>13.2</v>
      </c>
      <c r="H908" t="s">
        <v>2327</v>
      </c>
      <c r="I908" s="21">
        <v>38043</v>
      </c>
      <c r="J908">
        <v>2004</v>
      </c>
      <c r="K908" s="21">
        <v>38068</v>
      </c>
      <c r="L908">
        <v>2004</v>
      </c>
      <c r="M908" s="21">
        <v>38068</v>
      </c>
      <c r="N908">
        <v>2004</v>
      </c>
      <c r="R908" s="262">
        <v>40000</v>
      </c>
      <c r="S908" t="s">
        <v>114</v>
      </c>
      <c r="T908" t="s">
        <v>114</v>
      </c>
      <c r="U908">
        <v>5</v>
      </c>
      <c r="W908">
        <v>0</v>
      </c>
      <c r="X908">
        <v>0</v>
      </c>
      <c r="Y908">
        <v>0</v>
      </c>
      <c r="Z908">
        <v>0</v>
      </c>
      <c r="AA908">
        <v>0</v>
      </c>
      <c r="AB908">
        <v>0</v>
      </c>
      <c r="AC908">
        <v>0</v>
      </c>
      <c r="AD908">
        <v>0</v>
      </c>
      <c r="AE908">
        <v>0</v>
      </c>
      <c r="AF908">
        <v>0</v>
      </c>
      <c r="AG908">
        <v>0</v>
      </c>
      <c r="AH908">
        <v>0</v>
      </c>
      <c r="AI908">
        <v>0</v>
      </c>
      <c r="AJ908">
        <v>0</v>
      </c>
      <c r="AK908">
        <v>0</v>
      </c>
      <c r="AL908">
        <v>0</v>
      </c>
      <c r="AM908">
        <v>0</v>
      </c>
      <c r="AN908">
        <v>0</v>
      </c>
      <c r="AO908">
        <v>0</v>
      </c>
      <c r="AP908">
        <v>0</v>
      </c>
      <c r="AQ908">
        <v>0</v>
      </c>
      <c r="AR908">
        <v>0</v>
      </c>
      <c r="AS908">
        <v>0</v>
      </c>
      <c r="AT908">
        <v>0</v>
      </c>
      <c r="AU908">
        <f t="shared" si="26"/>
        <v>0</v>
      </c>
      <c r="AV908">
        <f t="shared" si="27"/>
        <v>0</v>
      </c>
    </row>
    <row r="909" spans="1:48" x14ac:dyDescent="0.25">
      <c r="A909" t="s">
        <v>4653</v>
      </c>
      <c r="C909" t="s">
        <v>3383</v>
      </c>
      <c r="D909" t="s">
        <v>4654</v>
      </c>
      <c r="E909" t="s">
        <v>2310</v>
      </c>
      <c r="F909">
        <v>10</v>
      </c>
      <c r="G909">
        <v>10.1</v>
      </c>
      <c r="H909" t="s">
        <v>2323</v>
      </c>
      <c r="I909" s="21">
        <v>38044</v>
      </c>
      <c r="J909">
        <v>2004</v>
      </c>
      <c r="K909" s="21">
        <v>38065</v>
      </c>
      <c r="L909">
        <v>2004</v>
      </c>
      <c r="M909" s="21">
        <v>38065</v>
      </c>
      <c r="N909">
        <v>2004</v>
      </c>
      <c r="R909" s="262">
        <v>300000</v>
      </c>
      <c r="S909" t="s">
        <v>114</v>
      </c>
      <c r="T909" t="s">
        <v>114</v>
      </c>
      <c r="U909">
        <v>5</v>
      </c>
      <c r="W909">
        <v>4816</v>
      </c>
      <c r="X909">
        <v>1</v>
      </c>
      <c r="Y909">
        <v>0</v>
      </c>
      <c r="Z909">
        <v>0</v>
      </c>
      <c r="AA909">
        <v>0</v>
      </c>
      <c r="AB909">
        <v>0</v>
      </c>
      <c r="AC909">
        <v>4816</v>
      </c>
      <c r="AD909">
        <v>0</v>
      </c>
      <c r="AE909">
        <v>0</v>
      </c>
      <c r="AF909">
        <v>0</v>
      </c>
      <c r="AG909">
        <v>0</v>
      </c>
      <c r="AH909">
        <v>0</v>
      </c>
      <c r="AI909">
        <v>0</v>
      </c>
      <c r="AJ909">
        <v>0</v>
      </c>
      <c r="AK909">
        <v>0</v>
      </c>
      <c r="AL909">
        <v>0</v>
      </c>
      <c r="AM909">
        <v>0</v>
      </c>
      <c r="AN909">
        <v>0</v>
      </c>
      <c r="AO909">
        <v>1</v>
      </c>
      <c r="AP909">
        <v>0</v>
      </c>
      <c r="AQ909">
        <v>0</v>
      </c>
      <c r="AR909">
        <v>0</v>
      </c>
      <c r="AS909">
        <v>0</v>
      </c>
      <c r="AT909">
        <v>0</v>
      </c>
      <c r="AU909">
        <f t="shared" si="26"/>
        <v>1</v>
      </c>
      <c r="AV909">
        <f t="shared" si="27"/>
        <v>0</v>
      </c>
    </row>
    <row r="910" spans="1:48" x14ac:dyDescent="0.25">
      <c r="A910" t="s">
        <v>4655</v>
      </c>
      <c r="C910" t="s">
        <v>4656</v>
      </c>
      <c r="D910" t="s">
        <v>4657</v>
      </c>
      <c r="E910" t="s">
        <v>2310</v>
      </c>
      <c r="F910">
        <v>9</v>
      </c>
      <c r="G910">
        <v>9.1</v>
      </c>
      <c r="H910" t="s">
        <v>2323</v>
      </c>
      <c r="I910" s="21">
        <v>38044</v>
      </c>
      <c r="J910">
        <v>2004</v>
      </c>
      <c r="K910" s="21">
        <v>38112</v>
      </c>
      <c r="L910">
        <v>2004</v>
      </c>
      <c r="M910" s="21">
        <v>38112</v>
      </c>
      <c r="N910">
        <v>2004</v>
      </c>
      <c r="R910" s="262">
        <v>93000</v>
      </c>
      <c r="S910" t="s">
        <v>114</v>
      </c>
      <c r="T910" t="s">
        <v>114</v>
      </c>
      <c r="U910">
        <v>5</v>
      </c>
      <c r="W910">
        <v>2200</v>
      </c>
      <c r="X910">
        <v>0</v>
      </c>
      <c r="Y910">
        <v>0</v>
      </c>
      <c r="Z910">
        <v>0</v>
      </c>
      <c r="AA910">
        <v>0</v>
      </c>
      <c r="AB910">
        <v>0</v>
      </c>
      <c r="AC910">
        <v>2200</v>
      </c>
      <c r="AD910">
        <v>0</v>
      </c>
      <c r="AE910">
        <v>0</v>
      </c>
      <c r="AF910">
        <v>0</v>
      </c>
      <c r="AG910">
        <v>0</v>
      </c>
      <c r="AH910">
        <v>0</v>
      </c>
      <c r="AI910">
        <v>0</v>
      </c>
      <c r="AJ910">
        <v>0</v>
      </c>
      <c r="AK910">
        <v>0</v>
      </c>
      <c r="AL910">
        <v>0</v>
      </c>
      <c r="AM910">
        <v>0</v>
      </c>
      <c r="AN910">
        <v>0</v>
      </c>
      <c r="AO910">
        <v>0</v>
      </c>
      <c r="AP910">
        <v>0</v>
      </c>
      <c r="AQ910">
        <v>0</v>
      </c>
      <c r="AR910">
        <v>0</v>
      </c>
      <c r="AS910">
        <v>0</v>
      </c>
      <c r="AT910">
        <v>0</v>
      </c>
      <c r="AU910">
        <f t="shared" si="26"/>
        <v>0</v>
      </c>
      <c r="AV910">
        <f t="shared" si="27"/>
        <v>0</v>
      </c>
    </row>
    <row r="911" spans="1:48" x14ac:dyDescent="0.25">
      <c r="A911" t="s">
        <v>4658</v>
      </c>
      <c r="C911" t="s">
        <v>4659</v>
      </c>
      <c r="D911" t="s">
        <v>4660</v>
      </c>
      <c r="E911" t="s">
        <v>2310</v>
      </c>
      <c r="F911">
        <v>9</v>
      </c>
      <c r="G911">
        <v>9.1999999999999993</v>
      </c>
      <c r="H911" t="s">
        <v>2022</v>
      </c>
      <c r="I911" s="21">
        <v>38044</v>
      </c>
      <c r="J911">
        <v>2004</v>
      </c>
      <c r="K911" s="21">
        <v>38044</v>
      </c>
      <c r="L911">
        <v>2004</v>
      </c>
      <c r="M911" s="21">
        <v>38566</v>
      </c>
      <c r="N911">
        <v>2005</v>
      </c>
      <c r="R911" s="262">
        <v>1472735</v>
      </c>
      <c r="S911" t="s">
        <v>114</v>
      </c>
      <c r="T911" t="s">
        <v>114</v>
      </c>
      <c r="U911">
        <v>5</v>
      </c>
      <c r="W911">
        <v>9569</v>
      </c>
      <c r="X911">
        <v>1</v>
      </c>
      <c r="Y911">
        <v>0</v>
      </c>
      <c r="Z911">
        <v>0</v>
      </c>
      <c r="AA911">
        <v>0</v>
      </c>
      <c r="AB911">
        <v>0</v>
      </c>
      <c r="AC911">
        <v>9569</v>
      </c>
      <c r="AD911">
        <v>0</v>
      </c>
      <c r="AE911">
        <v>0</v>
      </c>
      <c r="AF911">
        <v>0</v>
      </c>
      <c r="AG911">
        <v>0</v>
      </c>
      <c r="AH911">
        <v>0</v>
      </c>
      <c r="AI911">
        <v>0</v>
      </c>
      <c r="AJ911">
        <v>0</v>
      </c>
      <c r="AK911">
        <v>0</v>
      </c>
      <c r="AL911">
        <v>0</v>
      </c>
      <c r="AM911">
        <v>0</v>
      </c>
      <c r="AN911">
        <v>0</v>
      </c>
      <c r="AO911">
        <v>1</v>
      </c>
      <c r="AP911">
        <v>0</v>
      </c>
      <c r="AQ911">
        <v>0</v>
      </c>
      <c r="AR911">
        <v>0</v>
      </c>
      <c r="AS911">
        <v>0</v>
      </c>
      <c r="AT911">
        <v>0</v>
      </c>
      <c r="AU911">
        <f t="shared" si="26"/>
        <v>1</v>
      </c>
      <c r="AV911">
        <f t="shared" si="27"/>
        <v>0</v>
      </c>
    </row>
    <row r="912" spans="1:48" x14ac:dyDescent="0.25">
      <c r="A912" t="s">
        <v>4661</v>
      </c>
      <c r="C912" t="s">
        <v>3383</v>
      </c>
      <c r="D912" t="s">
        <v>4662</v>
      </c>
      <c r="E912" t="s">
        <v>2310</v>
      </c>
      <c r="F912">
        <v>10</v>
      </c>
      <c r="G912">
        <v>10.1</v>
      </c>
      <c r="H912" t="s">
        <v>2323</v>
      </c>
      <c r="I912" s="21">
        <v>38044</v>
      </c>
      <c r="J912">
        <v>2004</v>
      </c>
      <c r="K912" s="21">
        <v>38077</v>
      </c>
      <c r="L912">
        <v>2004</v>
      </c>
      <c r="M912" s="21">
        <v>38441</v>
      </c>
      <c r="N912">
        <v>2005</v>
      </c>
      <c r="R912" s="262">
        <v>500000</v>
      </c>
      <c r="S912" t="s">
        <v>114</v>
      </c>
      <c r="T912" t="s">
        <v>114</v>
      </c>
      <c r="U912">
        <v>5</v>
      </c>
      <c r="W912">
        <v>4137</v>
      </c>
      <c r="X912">
        <v>1</v>
      </c>
      <c r="Y912">
        <v>0</v>
      </c>
      <c r="Z912">
        <v>0</v>
      </c>
      <c r="AA912">
        <v>0</v>
      </c>
      <c r="AB912">
        <v>0</v>
      </c>
      <c r="AC912">
        <v>4137</v>
      </c>
      <c r="AD912">
        <v>0</v>
      </c>
      <c r="AE912">
        <v>0</v>
      </c>
      <c r="AF912">
        <v>0</v>
      </c>
      <c r="AG912">
        <v>0</v>
      </c>
      <c r="AH912">
        <v>0</v>
      </c>
      <c r="AI912">
        <v>0</v>
      </c>
      <c r="AJ912">
        <v>0</v>
      </c>
      <c r="AK912">
        <v>0</v>
      </c>
      <c r="AL912">
        <v>0</v>
      </c>
      <c r="AM912">
        <v>0</v>
      </c>
      <c r="AN912">
        <v>0</v>
      </c>
      <c r="AO912">
        <v>1</v>
      </c>
      <c r="AP912">
        <v>0</v>
      </c>
      <c r="AQ912">
        <v>0</v>
      </c>
      <c r="AR912">
        <v>0</v>
      </c>
      <c r="AS912">
        <v>0</v>
      </c>
      <c r="AT912">
        <v>0</v>
      </c>
      <c r="AU912">
        <f t="shared" si="26"/>
        <v>1</v>
      </c>
      <c r="AV912">
        <f t="shared" si="27"/>
        <v>0</v>
      </c>
    </row>
    <row r="913" spans="1:48" x14ac:dyDescent="0.25">
      <c r="A913" t="s">
        <v>4663</v>
      </c>
      <c r="C913" t="s">
        <v>4664</v>
      </c>
      <c r="D913" t="s">
        <v>4665</v>
      </c>
      <c r="E913" t="s">
        <v>2310</v>
      </c>
      <c r="F913">
        <v>10</v>
      </c>
      <c r="G913">
        <v>10.1</v>
      </c>
      <c r="H913" t="s">
        <v>2323</v>
      </c>
      <c r="I913" s="21">
        <v>38054</v>
      </c>
      <c r="J913">
        <v>2004</v>
      </c>
      <c r="K913" s="21">
        <v>38085</v>
      </c>
      <c r="L913">
        <v>2004</v>
      </c>
      <c r="M913" s="21">
        <v>38222</v>
      </c>
      <c r="N913">
        <v>2004</v>
      </c>
      <c r="R913" s="262">
        <v>220000</v>
      </c>
      <c r="S913" t="s">
        <v>114</v>
      </c>
      <c r="T913" t="s">
        <v>114</v>
      </c>
      <c r="U913">
        <v>5</v>
      </c>
      <c r="W913">
        <v>3427</v>
      </c>
      <c r="X913">
        <v>1</v>
      </c>
      <c r="Y913">
        <v>0</v>
      </c>
      <c r="Z913">
        <v>0</v>
      </c>
      <c r="AA913">
        <v>0</v>
      </c>
      <c r="AB913">
        <v>0</v>
      </c>
      <c r="AC913">
        <v>3427</v>
      </c>
      <c r="AD913">
        <v>0</v>
      </c>
      <c r="AE913">
        <v>0</v>
      </c>
      <c r="AF913">
        <v>0</v>
      </c>
      <c r="AG913">
        <v>0</v>
      </c>
      <c r="AH913">
        <v>0</v>
      </c>
      <c r="AI913">
        <v>0</v>
      </c>
      <c r="AJ913">
        <v>0</v>
      </c>
      <c r="AK913">
        <v>0</v>
      </c>
      <c r="AL913">
        <v>0</v>
      </c>
      <c r="AM913">
        <v>0</v>
      </c>
      <c r="AN913">
        <v>0</v>
      </c>
      <c r="AO913">
        <v>1</v>
      </c>
      <c r="AP913">
        <v>0</v>
      </c>
      <c r="AQ913">
        <v>0</v>
      </c>
      <c r="AR913">
        <v>0</v>
      </c>
      <c r="AS913">
        <v>0</v>
      </c>
      <c r="AT913">
        <v>0</v>
      </c>
      <c r="AU913">
        <f t="shared" si="26"/>
        <v>1</v>
      </c>
      <c r="AV913">
        <f t="shared" si="27"/>
        <v>0</v>
      </c>
    </row>
    <row r="914" spans="1:48" x14ac:dyDescent="0.25">
      <c r="A914" t="s">
        <v>4666</v>
      </c>
      <c r="C914" t="s">
        <v>4667</v>
      </c>
      <c r="D914" t="s">
        <v>4668</v>
      </c>
      <c r="E914" t="s">
        <v>2310</v>
      </c>
      <c r="F914">
        <v>8</v>
      </c>
      <c r="G914">
        <v>8.3000000000000007</v>
      </c>
      <c r="H914" t="s">
        <v>2323</v>
      </c>
      <c r="I914" s="21">
        <v>38054</v>
      </c>
      <c r="J914">
        <v>2004</v>
      </c>
      <c r="K914" s="21">
        <v>38117</v>
      </c>
      <c r="L914">
        <v>2004</v>
      </c>
      <c r="M914" s="21">
        <v>38460</v>
      </c>
      <c r="N914">
        <v>2005</v>
      </c>
      <c r="R914" s="262">
        <v>172000</v>
      </c>
      <c r="S914" t="s">
        <v>114</v>
      </c>
      <c r="T914" t="s">
        <v>114</v>
      </c>
      <c r="U914">
        <v>8</v>
      </c>
      <c r="W914">
        <v>2203</v>
      </c>
      <c r="X914">
        <v>1</v>
      </c>
      <c r="Y914">
        <v>0</v>
      </c>
      <c r="Z914">
        <v>0</v>
      </c>
      <c r="AA914">
        <v>0</v>
      </c>
      <c r="AB914">
        <v>0</v>
      </c>
      <c r="AC914">
        <v>1204</v>
      </c>
      <c r="AD914">
        <v>0</v>
      </c>
      <c r="AE914">
        <v>0</v>
      </c>
      <c r="AF914">
        <v>999</v>
      </c>
      <c r="AG914">
        <v>0</v>
      </c>
      <c r="AH914">
        <v>0</v>
      </c>
      <c r="AI914">
        <v>0</v>
      </c>
      <c r="AJ914">
        <v>0</v>
      </c>
      <c r="AK914">
        <v>0</v>
      </c>
      <c r="AL914">
        <v>0</v>
      </c>
      <c r="AM914">
        <v>0</v>
      </c>
      <c r="AN914">
        <v>0</v>
      </c>
      <c r="AO914">
        <v>0</v>
      </c>
      <c r="AP914">
        <v>0</v>
      </c>
      <c r="AQ914">
        <v>0</v>
      </c>
      <c r="AR914">
        <v>1</v>
      </c>
      <c r="AS914">
        <v>0</v>
      </c>
      <c r="AT914">
        <v>0</v>
      </c>
      <c r="AU914">
        <f t="shared" si="26"/>
        <v>0</v>
      </c>
      <c r="AV914">
        <f t="shared" si="27"/>
        <v>0</v>
      </c>
    </row>
    <row r="915" spans="1:48" x14ac:dyDescent="0.25">
      <c r="A915" t="s">
        <v>4669</v>
      </c>
      <c r="C915" t="s">
        <v>4670</v>
      </c>
      <c r="D915" t="s">
        <v>4671</v>
      </c>
      <c r="E915" t="s">
        <v>2310</v>
      </c>
      <c r="F915">
        <v>9</v>
      </c>
      <c r="G915">
        <v>9.1999999999999993</v>
      </c>
      <c r="H915" t="s">
        <v>2022</v>
      </c>
      <c r="I915" s="21">
        <v>38054</v>
      </c>
      <c r="J915">
        <v>2004</v>
      </c>
      <c r="K915" s="21">
        <v>38082</v>
      </c>
      <c r="L915">
        <v>2004</v>
      </c>
      <c r="M915" s="21">
        <v>38638</v>
      </c>
      <c r="N915">
        <v>2005</v>
      </c>
      <c r="R915" s="262">
        <v>175000</v>
      </c>
      <c r="S915" t="s">
        <v>114</v>
      </c>
      <c r="T915" t="s">
        <v>114</v>
      </c>
      <c r="U915">
        <v>5</v>
      </c>
      <c r="W915">
        <v>529</v>
      </c>
      <c r="X915">
        <v>0</v>
      </c>
      <c r="Y915">
        <v>0</v>
      </c>
      <c r="Z915">
        <v>0</v>
      </c>
      <c r="AA915">
        <v>0</v>
      </c>
      <c r="AB915">
        <v>0</v>
      </c>
      <c r="AC915">
        <v>529</v>
      </c>
      <c r="AD915">
        <v>0</v>
      </c>
      <c r="AE915">
        <v>0</v>
      </c>
      <c r="AF915">
        <v>0</v>
      </c>
      <c r="AG915">
        <v>0</v>
      </c>
      <c r="AH915">
        <v>0</v>
      </c>
      <c r="AI915">
        <v>0</v>
      </c>
      <c r="AJ915">
        <v>0</v>
      </c>
      <c r="AK915">
        <v>0</v>
      </c>
      <c r="AL915">
        <v>0</v>
      </c>
      <c r="AM915">
        <v>0</v>
      </c>
      <c r="AN915">
        <v>0</v>
      </c>
      <c r="AO915">
        <v>0</v>
      </c>
      <c r="AP915">
        <v>0</v>
      </c>
      <c r="AQ915">
        <v>0</v>
      </c>
      <c r="AR915">
        <v>0</v>
      </c>
      <c r="AS915">
        <v>0</v>
      </c>
      <c r="AT915">
        <v>0</v>
      </c>
      <c r="AU915">
        <f t="shared" si="26"/>
        <v>0</v>
      </c>
      <c r="AV915">
        <f t="shared" si="27"/>
        <v>0</v>
      </c>
    </row>
    <row r="916" spans="1:48" x14ac:dyDescent="0.25">
      <c r="A916" t="s">
        <v>4672</v>
      </c>
      <c r="C916" t="s">
        <v>4673</v>
      </c>
      <c r="D916" t="s">
        <v>4674</v>
      </c>
      <c r="E916" t="s">
        <v>2310</v>
      </c>
      <c r="F916">
        <v>10</v>
      </c>
      <c r="G916">
        <v>10.1</v>
      </c>
      <c r="H916" t="s">
        <v>2323</v>
      </c>
      <c r="I916" s="21">
        <v>38054</v>
      </c>
      <c r="J916">
        <v>2004</v>
      </c>
      <c r="K916" s="21">
        <v>38110</v>
      </c>
      <c r="L916">
        <v>2004</v>
      </c>
      <c r="M916" s="21">
        <v>39373</v>
      </c>
      <c r="N916">
        <v>2007</v>
      </c>
      <c r="R916" s="262">
        <v>100000</v>
      </c>
      <c r="S916" t="s">
        <v>114</v>
      </c>
      <c r="T916" t="s">
        <v>114</v>
      </c>
      <c r="U916">
        <v>5</v>
      </c>
      <c r="W916">
        <v>2495</v>
      </c>
      <c r="X916">
        <v>0</v>
      </c>
      <c r="Y916">
        <v>0</v>
      </c>
      <c r="Z916">
        <v>0</v>
      </c>
      <c r="AA916">
        <v>0</v>
      </c>
      <c r="AB916">
        <v>0</v>
      </c>
      <c r="AC916">
        <v>2495</v>
      </c>
      <c r="AD916">
        <v>0</v>
      </c>
      <c r="AE916">
        <v>0</v>
      </c>
      <c r="AF916">
        <v>0</v>
      </c>
      <c r="AG916">
        <v>0</v>
      </c>
      <c r="AH916">
        <v>0</v>
      </c>
      <c r="AI916">
        <v>0</v>
      </c>
      <c r="AJ916">
        <v>0</v>
      </c>
      <c r="AK916">
        <v>0</v>
      </c>
      <c r="AL916">
        <v>0</v>
      </c>
      <c r="AM916">
        <v>0</v>
      </c>
      <c r="AN916">
        <v>0</v>
      </c>
      <c r="AO916">
        <v>0</v>
      </c>
      <c r="AP916">
        <v>0</v>
      </c>
      <c r="AQ916">
        <v>0</v>
      </c>
      <c r="AR916">
        <v>0</v>
      </c>
      <c r="AS916">
        <v>0</v>
      </c>
      <c r="AT916">
        <v>0</v>
      </c>
      <c r="AU916">
        <f t="shared" si="26"/>
        <v>0</v>
      </c>
      <c r="AV916">
        <f t="shared" si="27"/>
        <v>0</v>
      </c>
    </row>
    <row r="917" spans="1:48" x14ac:dyDescent="0.25">
      <c r="A917" t="s">
        <v>4675</v>
      </c>
      <c r="C917" t="s">
        <v>4676</v>
      </c>
      <c r="D917" t="s">
        <v>4677</v>
      </c>
      <c r="E917" t="s">
        <v>2310</v>
      </c>
      <c r="F917">
        <v>9</v>
      </c>
      <c r="G917">
        <v>9.3000000000000007</v>
      </c>
      <c r="H917" t="s">
        <v>2323</v>
      </c>
      <c r="I917" s="21">
        <v>38055</v>
      </c>
      <c r="J917">
        <v>2004</v>
      </c>
      <c r="R917" s="262">
        <v>41000</v>
      </c>
      <c r="S917" t="s">
        <v>114</v>
      </c>
      <c r="T917" t="s">
        <v>114</v>
      </c>
      <c r="U917">
        <v>5</v>
      </c>
      <c r="W917">
        <v>550</v>
      </c>
      <c r="X917">
        <v>0</v>
      </c>
      <c r="Y917">
        <v>0</v>
      </c>
      <c r="Z917">
        <v>0</v>
      </c>
      <c r="AA917">
        <v>0</v>
      </c>
      <c r="AB917">
        <v>0</v>
      </c>
      <c r="AC917">
        <v>550</v>
      </c>
      <c r="AD917">
        <v>0</v>
      </c>
      <c r="AE917">
        <v>0</v>
      </c>
      <c r="AF917">
        <v>0</v>
      </c>
      <c r="AG917">
        <v>0</v>
      </c>
      <c r="AH917">
        <v>0</v>
      </c>
      <c r="AI917">
        <v>0</v>
      </c>
      <c r="AJ917">
        <v>0</v>
      </c>
      <c r="AK917">
        <v>0</v>
      </c>
      <c r="AL917">
        <v>0</v>
      </c>
      <c r="AM917">
        <v>0</v>
      </c>
      <c r="AN917">
        <v>0</v>
      </c>
      <c r="AO917">
        <v>0</v>
      </c>
      <c r="AP917">
        <v>0</v>
      </c>
      <c r="AQ917">
        <v>0</v>
      </c>
      <c r="AR917">
        <v>0</v>
      </c>
      <c r="AS917">
        <v>0</v>
      </c>
      <c r="AT917">
        <v>0</v>
      </c>
      <c r="AU917">
        <f t="shared" si="26"/>
        <v>0</v>
      </c>
      <c r="AV917">
        <f t="shared" si="27"/>
        <v>0</v>
      </c>
    </row>
    <row r="918" spans="1:48" x14ac:dyDescent="0.25">
      <c r="A918" t="s">
        <v>4678</v>
      </c>
      <c r="C918" t="s">
        <v>4679</v>
      </c>
      <c r="D918" t="s">
        <v>4680</v>
      </c>
      <c r="E918" t="s">
        <v>2310</v>
      </c>
      <c r="F918">
        <v>13</v>
      </c>
      <c r="G918">
        <v>13.3</v>
      </c>
      <c r="H918" t="s">
        <v>2017</v>
      </c>
      <c r="I918" s="21">
        <v>38055</v>
      </c>
      <c r="J918">
        <v>2004</v>
      </c>
      <c r="K918" s="21">
        <v>38086</v>
      </c>
      <c r="L918">
        <v>2004</v>
      </c>
      <c r="M918" s="21">
        <v>38527</v>
      </c>
      <c r="N918">
        <v>2005</v>
      </c>
      <c r="R918" s="262">
        <v>30000</v>
      </c>
      <c r="S918" t="s">
        <v>114</v>
      </c>
      <c r="T918" t="s">
        <v>114</v>
      </c>
      <c r="U918">
        <v>5</v>
      </c>
      <c r="W918">
        <v>0</v>
      </c>
      <c r="X918">
        <v>0</v>
      </c>
      <c r="Y918">
        <v>0</v>
      </c>
      <c r="Z918">
        <v>0</v>
      </c>
      <c r="AA918">
        <v>0</v>
      </c>
      <c r="AB918">
        <v>0</v>
      </c>
      <c r="AC918">
        <v>0</v>
      </c>
      <c r="AD918">
        <v>0</v>
      </c>
      <c r="AE918">
        <v>0</v>
      </c>
      <c r="AF918">
        <v>0</v>
      </c>
      <c r="AG918">
        <v>0</v>
      </c>
      <c r="AH918">
        <v>0</v>
      </c>
      <c r="AI918">
        <v>0</v>
      </c>
      <c r="AJ918">
        <v>0</v>
      </c>
      <c r="AK918">
        <v>0</v>
      </c>
      <c r="AL918">
        <v>0</v>
      </c>
      <c r="AM918">
        <v>0</v>
      </c>
      <c r="AN918">
        <v>0</v>
      </c>
      <c r="AO918">
        <v>0</v>
      </c>
      <c r="AP918">
        <v>0</v>
      </c>
      <c r="AQ918">
        <v>0</v>
      </c>
      <c r="AR918">
        <v>0</v>
      </c>
      <c r="AS918">
        <v>0</v>
      </c>
      <c r="AT918">
        <v>0</v>
      </c>
      <c r="AU918">
        <f t="shared" si="26"/>
        <v>0</v>
      </c>
      <c r="AV918">
        <f t="shared" si="27"/>
        <v>0</v>
      </c>
    </row>
    <row r="919" spans="1:48" x14ac:dyDescent="0.25">
      <c r="A919" t="s">
        <v>4681</v>
      </c>
      <c r="C919" t="s">
        <v>4682</v>
      </c>
      <c r="D919" t="s">
        <v>4683</v>
      </c>
      <c r="E919" t="s">
        <v>1663</v>
      </c>
      <c r="F919">
        <v>2</v>
      </c>
      <c r="G919">
        <v>2.6</v>
      </c>
      <c r="H919" t="s">
        <v>2327</v>
      </c>
      <c r="I919" s="21">
        <v>38056</v>
      </c>
      <c r="J919">
        <v>2004</v>
      </c>
      <c r="K919" s="21">
        <v>38087</v>
      </c>
      <c r="L919">
        <v>2004</v>
      </c>
      <c r="M919" s="21">
        <v>38240</v>
      </c>
      <c r="N919">
        <v>2004</v>
      </c>
      <c r="Q919" s="262">
        <v>3500000</v>
      </c>
      <c r="S919" t="s">
        <v>114</v>
      </c>
      <c r="T919" t="s">
        <v>114</v>
      </c>
      <c r="W919">
        <v>10000</v>
      </c>
      <c r="X919">
        <v>0</v>
      </c>
      <c r="Y919">
        <v>0</v>
      </c>
      <c r="Z919">
        <v>0</v>
      </c>
      <c r="AA919">
        <v>0</v>
      </c>
      <c r="AB919">
        <v>0</v>
      </c>
      <c r="AC919">
        <v>0</v>
      </c>
      <c r="AD919">
        <v>0</v>
      </c>
      <c r="AE919">
        <v>0</v>
      </c>
      <c r="AF919">
        <v>0</v>
      </c>
      <c r="AG919">
        <v>0</v>
      </c>
      <c r="AH919">
        <v>0</v>
      </c>
      <c r="AI919">
        <v>0</v>
      </c>
      <c r="AJ919">
        <v>0</v>
      </c>
      <c r="AK919">
        <v>0</v>
      </c>
      <c r="AL919">
        <v>0</v>
      </c>
      <c r="AM919">
        <v>10000</v>
      </c>
      <c r="AN919">
        <v>0</v>
      </c>
      <c r="AO919">
        <v>0</v>
      </c>
      <c r="AP919">
        <v>0</v>
      </c>
      <c r="AQ919">
        <v>0</v>
      </c>
      <c r="AR919">
        <v>0</v>
      </c>
      <c r="AS919">
        <v>0</v>
      </c>
      <c r="AT919">
        <v>0</v>
      </c>
      <c r="AU919">
        <f t="shared" si="26"/>
        <v>0</v>
      </c>
      <c r="AV919">
        <f t="shared" si="27"/>
        <v>10000</v>
      </c>
    </row>
    <row r="920" spans="1:48" x14ac:dyDescent="0.25">
      <c r="A920" t="s">
        <v>4684</v>
      </c>
      <c r="C920" t="s">
        <v>4685</v>
      </c>
      <c r="D920" t="s">
        <v>4686</v>
      </c>
      <c r="E920" t="s">
        <v>1663</v>
      </c>
      <c r="F920">
        <v>2</v>
      </c>
      <c r="G920">
        <v>2.6</v>
      </c>
      <c r="H920" t="s">
        <v>2327</v>
      </c>
      <c r="I920" s="21">
        <v>38056</v>
      </c>
      <c r="J920">
        <v>2004</v>
      </c>
      <c r="K920" s="21">
        <v>38087</v>
      </c>
      <c r="L920">
        <v>2004</v>
      </c>
      <c r="M920" s="21">
        <v>38240</v>
      </c>
      <c r="N920">
        <v>2004</v>
      </c>
      <c r="Q920" s="262">
        <v>0</v>
      </c>
      <c r="S920" t="s">
        <v>114</v>
      </c>
      <c r="T920" t="s">
        <v>114</v>
      </c>
      <c r="W920">
        <v>2400</v>
      </c>
      <c r="X920">
        <v>0</v>
      </c>
      <c r="Y920">
        <v>0</v>
      </c>
      <c r="Z920">
        <v>0</v>
      </c>
      <c r="AA920">
        <v>0</v>
      </c>
      <c r="AB920">
        <v>0</v>
      </c>
      <c r="AC920">
        <v>0</v>
      </c>
      <c r="AD920">
        <v>0</v>
      </c>
      <c r="AE920">
        <v>0</v>
      </c>
      <c r="AF920">
        <v>0</v>
      </c>
      <c r="AG920">
        <v>0</v>
      </c>
      <c r="AH920">
        <v>0</v>
      </c>
      <c r="AI920">
        <v>0</v>
      </c>
      <c r="AJ920">
        <v>2400</v>
      </c>
      <c r="AK920">
        <v>0</v>
      </c>
      <c r="AL920">
        <v>0</v>
      </c>
      <c r="AM920">
        <v>0</v>
      </c>
      <c r="AN920">
        <v>0</v>
      </c>
      <c r="AO920">
        <v>0</v>
      </c>
      <c r="AP920">
        <v>0</v>
      </c>
      <c r="AQ920">
        <v>0</v>
      </c>
      <c r="AR920">
        <v>0</v>
      </c>
      <c r="AS920">
        <v>0</v>
      </c>
      <c r="AT920">
        <v>0</v>
      </c>
      <c r="AU920">
        <f t="shared" si="26"/>
        <v>0</v>
      </c>
      <c r="AV920">
        <f t="shared" si="27"/>
        <v>2400</v>
      </c>
    </row>
    <row r="921" spans="1:48" x14ac:dyDescent="0.25">
      <c r="A921" t="s">
        <v>4687</v>
      </c>
      <c r="C921" t="s">
        <v>4688</v>
      </c>
      <c r="D921" t="s">
        <v>4689</v>
      </c>
      <c r="E921" t="s">
        <v>1663</v>
      </c>
      <c r="F921">
        <v>5</v>
      </c>
      <c r="G921">
        <v>5.3</v>
      </c>
      <c r="H921" t="s">
        <v>2327</v>
      </c>
      <c r="I921" s="21">
        <v>38058</v>
      </c>
      <c r="J921">
        <v>2004</v>
      </c>
      <c r="K921" s="21">
        <v>38089</v>
      </c>
      <c r="L921">
        <v>2004</v>
      </c>
      <c r="M921" s="21">
        <v>38242</v>
      </c>
      <c r="N921">
        <v>2004</v>
      </c>
      <c r="Q921" s="262">
        <v>60000</v>
      </c>
      <c r="S921" t="s">
        <v>114</v>
      </c>
      <c r="T921" t="s">
        <v>114</v>
      </c>
      <c r="W921">
        <v>1100</v>
      </c>
      <c r="X921">
        <v>2</v>
      </c>
      <c r="Y921">
        <v>0</v>
      </c>
      <c r="Z921">
        <v>0</v>
      </c>
      <c r="AA921">
        <v>0</v>
      </c>
      <c r="AB921">
        <v>0</v>
      </c>
      <c r="AC921">
        <v>0</v>
      </c>
      <c r="AD921">
        <v>1100</v>
      </c>
      <c r="AE921">
        <v>0</v>
      </c>
      <c r="AF921">
        <v>0</v>
      </c>
      <c r="AG921">
        <v>0</v>
      </c>
      <c r="AH921">
        <v>0</v>
      </c>
      <c r="AI921">
        <v>0</v>
      </c>
      <c r="AJ921">
        <v>0</v>
      </c>
      <c r="AK921">
        <v>0</v>
      </c>
      <c r="AL921">
        <v>0</v>
      </c>
      <c r="AM921">
        <v>0</v>
      </c>
      <c r="AN921">
        <v>0</v>
      </c>
      <c r="AO921">
        <v>0</v>
      </c>
      <c r="AP921">
        <v>2</v>
      </c>
      <c r="AQ921">
        <v>0</v>
      </c>
      <c r="AR921">
        <v>0</v>
      </c>
      <c r="AS921">
        <v>0</v>
      </c>
      <c r="AT921">
        <v>0</v>
      </c>
      <c r="AU921">
        <f t="shared" ref="AU921:AU984" si="28">SUM(AN921:AQ921,AS921)</f>
        <v>2</v>
      </c>
      <c r="AV921">
        <f t="shared" ref="AV921:AV984" si="29">SUM(Y921:AB921,AH921:AM921)</f>
        <v>0</v>
      </c>
    </row>
    <row r="922" spans="1:48" x14ac:dyDescent="0.25">
      <c r="A922" t="s">
        <v>4690</v>
      </c>
      <c r="C922" t="s">
        <v>4691</v>
      </c>
      <c r="D922" t="s">
        <v>4692</v>
      </c>
      <c r="E922" t="s">
        <v>1663</v>
      </c>
      <c r="F922">
        <v>2</v>
      </c>
      <c r="G922">
        <v>2.2000000000000002</v>
      </c>
      <c r="H922" t="s">
        <v>2327</v>
      </c>
      <c r="I922" s="21">
        <v>38058</v>
      </c>
      <c r="J922">
        <v>2004</v>
      </c>
      <c r="K922" s="21">
        <v>38089</v>
      </c>
      <c r="L922">
        <v>2004</v>
      </c>
      <c r="M922" s="21">
        <v>38242</v>
      </c>
      <c r="N922">
        <v>2004</v>
      </c>
      <c r="Q922" s="262">
        <v>750000</v>
      </c>
      <c r="S922" t="s">
        <v>114</v>
      </c>
      <c r="T922" t="s">
        <v>114</v>
      </c>
      <c r="W922">
        <v>6900</v>
      </c>
      <c r="X922">
        <v>0</v>
      </c>
      <c r="Y922">
        <v>0</v>
      </c>
      <c r="Z922">
        <v>0</v>
      </c>
      <c r="AA922">
        <v>0</v>
      </c>
      <c r="AB922">
        <v>0</v>
      </c>
      <c r="AC922">
        <v>0</v>
      </c>
      <c r="AD922">
        <v>0</v>
      </c>
      <c r="AE922">
        <v>0</v>
      </c>
      <c r="AF922">
        <v>0</v>
      </c>
      <c r="AG922">
        <v>0</v>
      </c>
      <c r="AH922">
        <v>6900</v>
      </c>
      <c r="AI922">
        <v>0</v>
      </c>
      <c r="AJ922">
        <v>0</v>
      </c>
      <c r="AK922">
        <v>0</v>
      </c>
      <c r="AL922">
        <v>0</v>
      </c>
      <c r="AM922">
        <v>0</v>
      </c>
      <c r="AN922">
        <v>0</v>
      </c>
      <c r="AO922">
        <v>0</v>
      </c>
      <c r="AP922">
        <v>0</v>
      </c>
      <c r="AQ922">
        <v>0</v>
      </c>
      <c r="AR922">
        <v>0</v>
      </c>
      <c r="AS922">
        <v>0</v>
      </c>
      <c r="AT922">
        <v>0</v>
      </c>
      <c r="AU922">
        <f t="shared" si="28"/>
        <v>0</v>
      </c>
      <c r="AV922">
        <f t="shared" si="29"/>
        <v>6900</v>
      </c>
    </row>
    <row r="923" spans="1:48" x14ac:dyDescent="0.25">
      <c r="A923" t="s">
        <v>4693</v>
      </c>
      <c r="C923" t="s">
        <v>4694</v>
      </c>
      <c r="D923" t="s">
        <v>4695</v>
      </c>
      <c r="E923" t="s">
        <v>2310</v>
      </c>
      <c r="F923">
        <v>9</v>
      </c>
      <c r="G923">
        <v>9.3000000000000007</v>
      </c>
      <c r="H923" t="s">
        <v>2323</v>
      </c>
      <c r="I923" s="21">
        <v>38063</v>
      </c>
      <c r="J923">
        <v>2004</v>
      </c>
      <c r="K923" s="21">
        <v>38118</v>
      </c>
      <c r="L923">
        <v>2004</v>
      </c>
      <c r="M923" s="21">
        <v>40212.425428240698</v>
      </c>
      <c r="N923">
        <v>2010</v>
      </c>
      <c r="R923" s="262">
        <v>170000</v>
      </c>
      <c r="S923" t="s">
        <v>114</v>
      </c>
      <c r="T923" t="s">
        <v>114</v>
      </c>
      <c r="U923">
        <v>5</v>
      </c>
      <c r="W923">
        <v>2503</v>
      </c>
      <c r="X923">
        <v>1</v>
      </c>
      <c r="Y923">
        <v>0</v>
      </c>
      <c r="Z923">
        <v>0</v>
      </c>
      <c r="AA923">
        <v>0</v>
      </c>
      <c r="AB923">
        <v>0</v>
      </c>
      <c r="AC923">
        <v>2503</v>
      </c>
      <c r="AD923">
        <v>0</v>
      </c>
      <c r="AE923">
        <v>0</v>
      </c>
      <c r="AF923">
        <v>0</v>
      </c>
      <c r="AG923">
        <v>0</v>
      </c>
      <c r="AH923">
        <v>0</v>
      </c>
      <c r="AI923">
        <v>0</v>
      </c>
      <c r="AJ923">
        <v>0</v>
      </c>
      <c r="AK923">
        <v>0</v>
      </c>
      <c r="AL923">
        <v>0</v>
      </c>
      <c r="AM923">
        <v>0</v>
      </c>
      <c r="AN923">
        <v>0</v>
      </c>
      <c r="AO923">
        <v>1</v>
      </c>
      <c r="AP923">
        <v>0</v>
      </c>
      <c r="AQ923">
        <v>0</v>
      </c>
      <c r="AR923">
        <v>0</v>
      </c>
      <c r="AS923">
        <v>0</v>
      </c>
      <c r="AT923">
        <v>0</v>
      </c>
      <c r="AU923">
        <f t="shared" si="28"/>
        <v>1</v>
      </c>
      <c r="AV923">
        <f t="shared" si="29"/>
        <v>0</v>
      </c>
    </row>
    <row r="924" spans="1:48" x14ac:dyDescent="0.25">
      <c r="A924" t="s">
        <v>4696</v>
      </c>
      <c r="C924" t="s">
        <v>4697</v>
      </c>
      <c r="D924" t="s">
        <v>4698</v>
      </c>
      <c r="E924" t="s">
        <v>2310</v>
      </c>
      <c r="F924">
        <v>9</v>
      </c>
      <c r="G924">
        <v>9.4</v>
      </c>
      <c r="H924" t="s">
        <v>2323</v>
      </c>
      <c r="I924" s="21">
        <v>38068</v>
      </c>
      <c r="J924">
        <v>2004</v>
      </c>
      <c r="K924" s="21">
        <v>38131</v>
      </c>
      <c r="L924">
        <v>2004</v>
      </c>
      <c r="M924" s="21">
        <v>38665</v>
      </c>
      <c r="N924">
        <v>2005</v>
      </c>
      <c r="R924" s="262">
        <v>1084000</v>
      </c>
      <c r="S924" t="s">
        <v>114</v>
      </c>
      <c r="T924" t="s">
        <v>114</v>
      </c>
      <c r="U924">
        <v>15</v>
      </c>
      <c r="W924">
        <v>6106</v>
      </c>
      <c r="X924">
        <v>0</v>
      </c>
      <c r="Y924">
        <v>0</v>
      </c>
      <c r="Z924">
        <v>0</v>
      </c>
      <c r="AA924">
        <v>0</v>
      </c>
      <c r="AB924">
        <v>0</v>
      </c>
      <c r="AC924">
        <v>0</v>
      </c>
      <c r="AD924">
        <v>0</v>
      </c>
      <c r="AE924">
        <v>0</v>
      </c>
      <c r="AF924">
        <v>0</v>
      </c>
      <c r="AG924">
        <v>0</v>
      </c>
      <c r="AH924">
        <v>0</v>
      </c>
      <c r="AI924">
        <v>0</v>
      </c>
      <c r="AJ924">
        <v>0</v>
      </c>
      <c r="AK924">
        <v>0</v>
      </c>
      <c r="AL924">
        <v>0</v>
      </c>
      <c r="AM924">
        <v>6106</v>
      </c>
      <c r="AN924">
        <v>0</v>
      </c>
      <c r="AO924">
        <v>0</v>
      </c>
      <c r="AP924">
        <v>0</v>
      </c>
      <c r="AQ924">
        <v>0</v>
      </c>
      <c r="AR924">
        <v>0</v>
      </c>
      <c r="AS924">
        <v>0</v>
      </c>
      <c r="AT924">
        <v>0</v>
      </c>
      <c r="AU924">
        <f t="shared" si="28"/>
        <v>0</v>
      </c>
      <c r="AV924">
        <f t="shared" si="29"/>
        <v>6106</v>
      </c>
    </row>
    <row r="925" spans="1:48" x14ac:dyDescent="0.25">
      <c r="A925" t="s">
        <v>4699</v>
      </c>
      <c r="C925" t="s">
        <v>4700</v>
      </c>
      <c r="D925" t="s">
        <v>4698</v>
      </c>
      <c r="E925" t="s">
        <v>2310</v>
      </c>
      <c r="F925">
        <v>9</v>
      </c>
      <c r="G925">
        <v>9.4</v>
      </c>
      <c r="H925" t="s">
        <v>2323</v>
      </c>
      <c r="I925" s="21">
        <v>38068</v>
      </c>
      <c r="J925">
        <v>2004</v>
      </c>
      <c r="K925" s="21">
        <v>38194</v>
      </c>
      <c r="L925">
        <v>2004</v>
      </c>
      <c r="M925" s="21">
        <v>38750</v>
      </c>
      <c r="N925">
        <v>2006</v>
      </c>
      <c r="R925" s="262">
        <v>762000</v>
      </c>
      <c r="S925" t="s">
        <v>114</v>
      </c>
      <c r="T925" t="s">
        <v>114</v>
      </c>
      <c r="U925">
        <v>15</v>
      </c>
      <c r="W925">
        <v>5280</v>
      </c>
      <c r="X925">
        <v>0</v>
      </c>
      <c r="Y925">
        <v>0</v>
      </c>
      <c r="Z925">
        <v>0</v>
      </c>
      <c r="AA925">
        <v>0</v>
      </c>
      <c r="AB925">
        <v>0</v>
      </c>
      <c r="AC925">
        <v>0</v>
      </c>
      <c r="AD925">
        <v>0</v>
      </c>
      <c r="AE925">
        <v>0</v>
      </c>
      <c r="AF925">
        <v>0</v>
      </c>
      <c r="AG925">
        <v>0</v>
      </c>
      <c r="AH925">
        <v>0</v>
      </c>
      <c r="AI925">
        <v>0</v>
      </c>
      <c r="AJ925">
        <v>0</v>
      </c>
      <c r="AK925">
        <v>0</v>
      </c>
      <c r="AL925">
        <v>0</v>
      </c>
      <c r="AM925">
        <v>5280</v>
      </c>
      <c r="AN925">
        <v>0</v>
      </c>
      <c r="AO925">
        <v>0</v>
      </c>
      <c r="AP925">
        <v>0</v>
      </c>
      <c r="AQ925">
        <v>0</v>
      </c>
      <c r="AR925">
        <v>0</v>
      </c>
      <c r="AS925">
        <v>0</v>
      </c>
      <c r="AT925">
        <v>0</v>
      </c>
      <c r="AU925">
        <f t="shared" si="28"/>
        <v>0</v>
      </c>
      <c r="AV925">
        <f t="shared" si="29"/>
        <v>5280</v>
      </c>
    </row>
    <row r="926" spans="1:48" x14ac:dyDescent="0.25">
      <c r="A926" t="s">
        <v>4701</v>
      </c>
      <c r="C926" t="s">
        <v>4702</v>
      </c>
      <c r="D926" t="s">
        <v>4698</v>
      </c>
      <c r="E926" t="s">
        <v>2310</v>
      </c>
      <c r="F926">
        <v>9</v>
      </c>
      <c r="G926">
        <v>9.4</v>
      </c>
      <c r="H926" t="s">
        <v>2323</v>
      </c>
      <c r="I926" s="21">
        <v>38068</v>
      </c>
      <c r="J926">
        <v>2004</v>
      </c>
      <c r="K926" s="21">
        <v>38194</v>
      </c>
      <c r="L926">
        <v>2004</v>
      </c>
      <c r="M926" s="21">
        <v>38607</v>
      </c>
      <c r="N926">
        <v>2005</v>
      </c>
      <c r="R926" s="262">
        <v>1323000</v>
      </c>
      <c r="S926" t="s">
        <v>114</v>
      </c>
      <c r="T926" t="s">
        <v>114</v>
      </c>
      <c r="U926">
        <v>11</v>
      </c>
      <c r="W926">
        <v>8213</v>
      </c>
      <c r="X926">
        <v>0</v>
      </c>
      <c r="Y926">
        <v>0</v>
      </c>
      <c r="Z926">
        <v>0</v>
      </c>
      <c r="AA926">
        <v>0</v>
      </c>
      <c r="AB926">
        <v>0</v>
      </c>
      <c r="AC926">
        <v>0</v>
      </c>
      <c r="AD926">
        <v>0</v>
      </c>
      <c r="AE926">
        <v>0</v>
      </c>
      <c r="AF926">
        <v>0</v>
      </c>
      <c r="AG926">
        <v>0</v>
      </c>
      <c r="AH926">
        <v>0</v>
      </c>
      <c r="AI926">
        <v>8213</v>
      </c>
      <c r="AJ926">
        <v>0</v>
      </c>
      <c r="AK926">
        <v>0</v>
      </c>
      <c r="AL926">
        <v>0</v>
      </c>
      <c r="AM926">
        <v>0</v>
      </c>
      <c r="AN926">
        <v>0</v>
      </c>
      <c r="AO926">
        <v>0</v>
      </c>
      <c r="AP926">
        <v>0</v>
      </c>
      <c r="AQ926">
        <v>0</v>
      </c>
      <c r="AR926">
        <v>0</v>
      </c>
      <c r="AS926">
        <v>0</v>
      </c>
      <c r="AT926">
        <v>0</v>
      </c>
      <c r="AU926">
        <f t="shared" si="28"/>
        <v>0</v>
      </c>
      <c r="AV926">
        <f t="shared" si="29"/>
        <v>8213</v>
      </c>
    </row>
    <row r="927" spans="1:48" x14ac:dyDescent="0.25">
      <c r="A927" t="s">
        <v>4703</v>
      </c>
      <c r="C927" t="s">
        <v>4704</v>
      </c>
      <c r="D927" t="s">
        <v>4698</v>
      </c>
      <c r="E927" t="s">
        <v>2310</v>
      </c>
      <c r="F927">
        <v>9</v>
      </c>
      <c r="G927">
        <v>9.4</v>
      </c>
      <c r="H927" t="s">
        <v>2323</v>
      </c>
      <c r="I927" s="21">
        <v>38068</v>
      </c>
      <c r="J927">
        <v>2004</v>
      </c>
      <c r="K927" s="21">
        <v>38131</v>
      </c>
      <c r="L927">
        <v>2004</v>
      </c>
      <c r="M927" s="21">
        <v>38709</v>
      </c>
      <c r="N927">
        <v>2005</v>
      </c>
      <c r="R927" s="262">
        <v>1516000</v>
      </c>
      <c r="S927" t="s">
        <v>114</v>
      </c>
      <c r="T927" t="s">
        <v>114</v>
      </c>
      <c r="U927">
        <v>11</v>
      </c>
      <c r="W927">
        <v>11460</v>
      </c>
      <c r="X927">
        <v>42</v>
      </c>
      <c r="Y927">
        <v>0</v>
      </c>
      <c r="Z927">
        <v>0</v>
      </c>
      <c r="AA927">
        <v>0</v>
      </c>
      <c r="AB927">
        <v>0</v>
      </c>
      <c r="AC927">
        <v>0</v>
      </c>
      <c r="AD927">
        <v>0</v>
      </c>
      <c r="AE927">
        <v>0</v>
      </c>
      <c r="AF927">
        <v>0</v>
      </c>
      <c r="AG927">
        <v>0</v>
      </c>
      <c r="AH927">
        <v>0</v>
      </c>
      <c r="AI927">
        <v>11460</v>
      </c>
      <c r="AJ927">
        <v>0</v>
      </c>
      <c r="AK927">
        <v>0</v>
      </c>
      <c r="AL927">
        <v>0</v>
      </c>
      <c r="AM927">
        <v>0</v>
      </c>
      <c r="AN927">
        <v>0</v>
      </c>
      <c r="AO927">
        <v>0</v>
      </c>
      <c r="AP927">
        <v>0</v>
      </c>
      <c r="AQ927">
        <v>0</v>
      </c>
      <c r="AR927">
        <v>0</v>
      </c>
      <c r="AS927">
        <v>0</v>
      </c>
      <c r="AT927">
        <v>42</v>
      </c>
      <c r="AU927">
        <f t="shared" si="28"/>
        <v>0</v>
      </c>
      <c r="AV927">
        <f t="shared" si="29"/>
        <v>11460</v>
      </c>
    </row>
    <row r="928" spans="1:48" x14ac:dyDescent="0.25">
      <c r="A928" t="s">
        <v>4705</v>
      </c>
      <c r="C928" t="s">
        <v>4706</v>
      </c>
      <c r="D928" t="s">
        <v>4698</v>
      </c>
      <c r="E928" t="s">
        <v>2310</v>
      </c>
      <c r="F928">
        <v>9</v>
      </c>
      <c r="G928">
        <v>9.4</v>
      </c>
      <c r="H928" t="s">
        <v>2323</v>
      </c>
      <c r="I928" s="21">
        <v>38068</v>
      </c>
      <c r="J928">
        <v>2004</v>
      </c>
      <c r="K928" s="21">
        <v>38132</v>
      </c>
      <c r="L928">
        <v>2004</v>
      </c>
      <c r="M928" s="21">
        <v>38778</v>
      </c>
      <c r="N928">
        <v>2006</v>
      </c>
      <c r="R928" s="262">
        <v>1513000</v>
      </c>
      <c r="S928" t="s">
        <v>114</v>
      </c>
      <c r="T928" t="s">
        <v>114</v>
      </c>
      <c r="U928">
        <v>11</v>
      </c>
      <c r="W928">
        <v>11536</v>
      </c>
      <c r="X928">
        <v>43</v>
      </c>
      <c r="Y928">
        <v>0</v>
      </c>
      <c r="Z928">
        <v>0</v>
      </c>
      <c r="AA928">
        <v>0</v>
      </c>
      <c r="AB928">
        <v>0</v>
      </c>
      <c r="AC928">
        <v>0</v>
      </c>
      <c r="AD928">
        <v>0</v>
      </c>
      <c r="AE928">
        <v>0</v>
      </c>
      <c r="AF928">
        <v>0</v>
      </c>
      <c r="AG928">
        <v>0</v>
      </c>
      <c r="AH928">
        <v>0</v>
      </c>
      <c r="AI928">
        <v>11536</v>
      </c>
      <c r="AJ928">
        <v>0</v>
      </c>
      <c r="AK928">
        <v>0</v>
      </c>
      <c r="AL928">
        <v>0</v>
      </c>
      <c r="AM928">
        <v>0</v>
      </c>
      <c r="AN928">
        <v>0</v>
      </c>
      <c r="AO928">
        <v>0</v>
      </c>
      <c r="AP928">
        <v>0</v>
      </c>
      <c r="AQ928">
        <v>0</v>
      </c>
      <c r="AR928">
        <v>0</v>
      </c>
      <c r="AS928">
        <v>0</v>
      </c>
      <c r="AT928">
        <v>43</v>
      </c>
      <c r="AU928">
        <f t="shared" si="28"/>
        <v>0</v>
      </c>
      <c r="AV928">
        <f t="shared" si="29"/>
        <v>11536</v>
      </c>
    </row>
    <row r="929" spans="1:48" x14ac:dyDescent="0.25">
      <c r="A929" t="s">
        <v>4707</v>
      </c>
      <c r="C929" t="s">
        <v>4708</v>
      </c>
      <c r="D929" t="s">
        <v>4698</v>
      </c>
      <c r="E929" t="s">
        <v>2310</v>
      </c>
      <c r="F929">
        <v>9</v>
      </c>
      <c r="G929">
        <v>9.4</v>
      </c>
      <c r="H929" t="s">
        <v>2323</v>
      </c>
      <c r="I929" s="21">
        <v>38068</v>
      </c>
      <c r="J929">
        <v>2004</v>
      </c>
      <c r="K929" s="21">
        <v>38131</v>
      </c>
      <c r="L929">
        <v>2004</v>
      </c>
      <c r="M929" s="21">
        <v>38765</v>
      </c>
      <c r="N929">
        <v>2006</v>
      </c>
      <c r="R929" s="262">
        <v>717000</v>
      </c>
      <c r="S929" t="s">
        <v>114</v>
      </c>
      <c r="T929" t="s">
        <v>114</v>
      </c>
      <c r="U929">
        <v>15</v>
      </c>
      <c r="W929">
        <v>3880</v>
      </c>
      <c r="X929">
        <v>0</v>
      </c>
      <c r="Y929">
        <v>0</v>
      </c>
      <c r="Z929">
        <v>0</v>
      </c>
      <c r="AA929">
        <v>0</v>
      </c>
      <c r="AB929">
        <v>0</v>
      </c>
      <c r="AC929">
        <v>0</v>
      </c>
      <c r="AD929">
        <v>0</v>
      </c>
      <c r="AE929">
        <v>0</v>
      </c>
      <c r="AF929">
        <v>0</v>
      </c>
      <c r="AG929">
        <v>0</v>
      </c>
      <c r="AH929">
        <v>0</v>
      </c>
      <c r="AI929">
        <v>0</v>
      </c>
      <c r="AJ929">
        <v>0</v>
      </c>
      <c r="AK929">
        <v>0</v>
      </c>
      <c r="AL929">
        <v>0</v>
      </c>
      <c r="AM929">
        <v>3880</v>
      </c>
      <c r="AN929">
        <v>0</v>
      </c>
      <c r="AO929">
        <v>0</v>
      </c>
      <c r="AP929">
        <v>0</v>
      </c>
      <c r="AQ929">
        <v>0</v>
      </c>
      <c r="AR929">
        <v>0</v>
      </c>
      <c r="AS929">
        <v>0</v>
      </c>
      <c r="AT929">
        <v>0</v>
      </c>
      <c r="AU929">
        <f t="shared" si="28"/>
        <v>0</v>
      </c>
      <c r="AV929">
        <f t="shared" si="29"/>
        <v>3880</v>
      </c>
    </row>
    <row r="930" spans="1:48" x14ac:dyDescent="0.25">
      <c r="A930" t="s">
        <v>4709</v>
      </c>
      <c r="C930" t="s">
        <v>4710</v>
      </c>
      <c r="D930" t="s">
        <v>4698</v>
      </c>
      <c r="E930" t="s">
        <v>2310</v>
      </c>
      <c r="F930">
        <v>9</v>
      </c>
      <c r="G930">
        <v>9.4</v>
      </c>
      <c r="H930" t="s">
        <v>2323</v>
      </c>
      <c r="I930" s="21">
        <v>38068</v>
      </c>
      <c r="J930">
        <v>2004</v>
      </c>
      <c r="K930" s="21">
        <v>38132</v>
      </c>
      <c r="L930">
        <v>2004</v>
      </c>
      <c r="M930" s="21">
        <v>38582</v>
      </c>
      <c r="N930">
        <v>2005</v>
      </c>
      <c r="R930" s="262">
        <v>1707000</v>
      </c>
      <c r="S930" t="s">
        <v>114</v>
      </c>
      <c r="T930" t="s">
        <v>114</v>
      </c>
      <c r="U930">
        <v>15</v>
      </c>
      <c r="W930">
        <v>11167</v>
      </c>
      <c r="X930">
        <v>0</v>
      </c>
      <c r="Y930">
        <v>0</v>
      </c>
      <c r="Z930">
        <v>0</v>
      </c>
      <c r="AA930">
        <v>0</v>
      </c>
      <c r="AB930">
        <v>0</v>
      </c>
      <c r="AC930">
        <v>0</v>
      </c>
      <c r="AD930">
        <v>0</v>
      </c>
      <c r="AE930">
        <v>0</v>
      </c>
      <c r="AF930">
        <v>0</v>
      </c>
      <c r="AG930">
        <v>0</v>
      </c>
      <c r="AH930">
        <v>0</v>
      </c>
      <c r="AI930">
        <v>0</v>
      </c>
      <c r="AJ930">
        <v>0</v>
      </c>
      <c r="AK930">
        <v>0</v>
      </c>
      <c r="AL930">
        <v>0</v>
      </c>
      <c r="AM930">
        <v>11167</v>
      </c>
      <c r="AN930">
        <v>0</v>
      </c>
      <c r="AO930">
        <v>0</v>
      </c>
      <c r="AP930">
        <v>0</v>
      </c>
      <c r="AQ930">
        <v>0</v>
      </c>
      <c r="AR930">
        <v>0</v>
      </c>
      <c r="AS930">
        <v>0</v>
      </c>
      <c r="AT930">
        <v>0</v>
      </c>
      <c r="AU930">
        <f t="shared" si="28"/>
        <v>0</v>
      </c>
      <c r="AV930">
        <f t="shared" si="29"/>
        <v>11167</v>
      </c>
    </row>
    <row r="931" spans="1:48" x14ac:dyDescent="0.25">
      <c r="A931" t="s">
        <v>4711</v>
      </c>
      <c r="C931" t="s">
        <v>4712</v>
      </c>
      <c r="D931" t="s">
        <v>4698</v>
      </c>
      <c r="E931" t="s">
        <v>2310</v>
      </c>
      <c r="F931">
        <v>9</v>
      </c>
      <c r="G931">
        <v>9.4</v>
      </c>
      <c r="H931" t="s">
        <v>2323</v>
      </c>
      <c r="I931" s="21">
        <v>38068</v>
      </c>
      <c r="J931">
        <v>2004</v>
      </c>
      <c r="K931" s="21">
        <v>38132</v>
      </c>
      <c r="L931">
        <v>2004</v>
      </c>
      <c r="M931" s="21">
        <v>38587</v>
      </c>
      <c r="N931">
        <v>2005</v>
      </c>
      <c r="R931" s="262">
        <v>831000</v>
      </c>
      <c r="S931" t="s">
        <v>114</v>
      </c>
      <c r="T931" t="s">
        <v>114</v>
      </c>
      <c r="U931">
        <v>15</v>
      </c>
      <c r="W931">
        <v>4999</v>
      </c>
      <c r="X931">
        <v>0</v>
      </c>
      <c r="Y931">
        <v>0</v>
      </c>
      <c r="Z931">
        <v>0</v>
      </c>
      <c r="AA931">
        <v>0</v>
      </c>
      <c r="AB931">
        <v>0</v>
      </c>
      <c r="AC931">
        <v>0</v>
      </c>
      <c r="AD931">
        <v>0</v>
      </c>
      <c r="AE931">
        <v>0</v>
      </c>
      <c r="AF931">
        <v>0</v>
      </c>
      <c r="AG931">
        <v>0</v>
      </c>
      <c r="AH931">
        <v>0</v>
      </c>
      <c r="AI931">
        <v>0</v>
      </c>
      <c r="AJ931">
        <v>0</v>
      </c>
      <c r="AK931">
        <v>0</v>
      </c>
      <c r="AL931">
        <v>0</v>
      </c>
      <c r="AM931">
        <v>4999</v>
      </c>
      <c r="AN931">
        <v>0</v>
      </c>
      <c r="AO931">
        <v>0</v>
      </c>
      <c r="AP931">
        <v>0</v>
      </c>
      <c r="AQ931">
        <v>0</v>
      </c>
      <c r="AR931">
        <v>0</v>
      </c>
      <c r="AS931">
        <v>0</v>
      </c>
      <c r="AT931">
        <v>0</v>
      </c>
      <c r="AU931">
        <f t="shared" si="28"/>
        <v>0</v>
      </c>
      <c r="AV931">
        <f t="shared" si="29"/>
        <v>4999</v>
      </c>
    </row>
    <row r="932" spans="1:48" x14ac:dyDescent="0.25">
      <c r="A932" t="s">
        <v>4713</v>
      </c>
      <c r="C932" t="s">
        <v>4714</v>
      </c>
      <c r="D932" t="s">
        <v>4698</v>
      </c>
      <c r="E932" t="s">
        <v>2310</v>
      </c>
      <c r="F932">
        <v>9</v>
      </c>
      <c r="G932">
        <v>9.4</v>
      </c>
      <c r="H932" t="s">
        <v>2323</v>
      </c>
      <c r="I932" s="21">
        <v>38068</v>
      </c>
      <c r="J932">
        <v>2004</v>
      </c>
      <c r="K932" s="21">
        <v>38132</v>
      </c>
      <c r="L932">
        <v>2004</v>
      </c>
      <c r="M932" s="21">
        <v>38574</v>
      </c>
      <c r="N932">
        <v>2005</v>
      </c>
      <c r="R932" s="262">
        <v>1684000</v>
      </c>
      <c r="S932" t="s">
        <v>114</v>
      </c>
      <c r="T932" t="s">
        <v>114</v>
      </c>
      <c r="U932">
        <v>15</v>
      </c>
      <c r="W932">
        <v>11278</v>
      </c>
      <c r="X932">
        <v>0</v>
      </c>
      <c r="Y932">
        <v>0</v>
      </c>
      <c r="Z932">
        <v>0</v>
      </c>
      <c r="AA932">
        <v>0</v>
      </c>
      <c r="AB932">
        <v>0</v>
      </c>
      <c r="AC932">
        <v>0</v>
      </c>
      <c r="AD932">
        <v>0</v>
      </c>
      <c r="AE932">
        <v>0</v>
      </c>
      <c r="AF932">
        <v>0</v>
      </c>
      <c r="AG932">
        <v>0</v>
      </c>
      <c r="AH932">
        <v>0</v>
      </c>
      <c r="AI932">
        <v>0</v>
      </c>
      <c r="AJ932">
        <v>0</v>
      </c>
      <c r="AK932">
        <v>0</v>
      </c>
      <c r="AL932">
        <v>0</v>
      </c>
      <c r="AM932">
        <v>11278</v>
      </c>
      <c r="AN932">
        <v>0</v>
      </c>
      <c r="AO932">
        <v>0</v>
      </c>
      <c r="AP932">
        <v>0</v>
      </c>
      <c r="AQ932">
        <v>0</v>
      </c>
      <c r="AR932">
        <v>0</v>
      </c>
      <c r="AS932">
        <v>0</v>
      </c>
      <c r="AT932">
        <v>0</v>
      </c>
      <c r="AU932">
        <f t="shared" si="28"/>
        <v>0</v>
      </c>
      <c r="AV932">
        <f t="shared" si="29"/>
        <v>11278</v>
      </c>
    </row>
    <row r="933" spans="1:48" x14ac:dyDescent="0.25">
      <c r="A933" t="s">
        <v>4715</v>
      </c>
      <c r="C933" t="s">
        <v>4716</v>
      </c>
      <c r="D933" t="s">
        <v>4717</v>
      </c>
      <c r="E933" t="s">
        <v>2310</v>
      </c>
      <c r="F933">
        <v>9</v>
      </c>
      <c r="G933">
        <v>9.1999999999999993</v>
      </c>
      <c r="H933" t="s">
        <v>2022</v>
      </c>
      <c r="I933" s="21">
        <v>38068</v>
      </c>
      <c r="J933">
        <v>2004</v>
      </c>
      <c r="K933" s="21">
        <v>38120</v>
      </c>
      <c r="L933">
        <v>2004</v>
      </c>
      <c r="M933" s="21">
        <v>38810</v>
      </c>
      <c r="N933">
        <v>2006</v>
      </c>
      <c r="R933" s="262">
        <v>85000</v>
      </c>
      <c r="S933" t="s">
        <v>114</v>
      </c>
      <c r="T933" t="s">
        <v>114</v>
      </c>
      <c r="U933">
        <v>15</v>
      </c>
      <c r="W933">
        <v>563</v>
      </c>
      <c r="X933">
        <v>0</v>
      </c>
      <c r="Y933">
        <v>0</v>
      </c>
      <c r="Z933">
        <v>0</v>
      </c>
      <c r="AA933">
        <v>0</v>
      </c>
      <c r="AB933">
        <v>0</v>
      </c>
      <c r="AC933">
        <v>0</v>
      </c>
      <c r="AD933">
        <v>0</v>
      </c>
      <c r="AE933">
        <v>0</v>
      </c>
      <c r="AF933">
        <v>0</v>
      </c>
      <c r="AG933">
        <v>0</v>
      </c>
      <c r="AH933">
        <v>0</v>
      </c>
      <c r="AI933">
        <v>0</v>
      </c>
      <c r="AJ933">
        <v>0</v>
      </c>
      <c r="AK933">
        <v>0</v>
      </c>
      <c r="AL933">
        <v>0</v>
      </c>
      <c r="AM933">
        <v>563</v>
      </c>
      <c r="AN933">
        <v>0</v>
      </c>
      <c r="AO933">
        <v>0</v>
      </c>
      <c r="AP933">
        <v>0</v>
      </c>
      <c r="AQ933">
        <v>0</v>
      </c>
      <c r="AR933">
        <v>0</v>
      </c>
      <c r="AS933">
        <v>0</v>
      </c>
      <c r="AT933">
        <v>0</v>
      </c>
      <c r="AU933">
        <f t="shared" si="28"/>
        <v>0</v>
      </c>
      <c r="AV933">
        <f t="shared" si="29"/>
        <v>563</v>
      </c>
    </row>
    <row r="934" spans="1:48" x14ac:dyDescent="0.25">
      <c r="A934" t="s">
        <v>4718</v>
      </c>
      <c r="C934" t="s">
        <v>4719</v>
      </c>
      <c r="D934" t="s">
        <v>4720</v>
      </c>
      <c r="E934" t="s">
        <v>1663</v>
      </c>
      <c r="F934">
        <v>6</v>
      </c>
      <c r="G934">
        <v>6.1</v>
      </c>
      <c r="H934" t="s">
        <v>2017</v>
      </c>
      <c r="I934" s="21">
        <v>38069</v>
      </c>
      <c r="J934">
        <v>2004</v>
      </c>
      <c r="K934" s="21">
        <v>38100</v>
      </c>
      <c r="L934">
        <v>2004</v>
      </c>
      <c r="M934" s="21">
        <v>38253</v>
      </c>
      <c r="N934">
        <v>2004</v>
      </c>
      <c r="Q934" s="262">
        <v>250000</v>
      </c>
      <c r="S934" t="s">
        <v>114</v>
      </c>
      <c r="T934" t="s">
        <v>114</v>
      </c>
      <c r="W934">
        <v>380</v>
      </c>
      <c r="X934">
        <v>0</v>
      </c>
      <c r="Y934">
        <v>0</v>
      </c>
      <c r="Z934">
        <v>0</v>
      </c>
      <c r="AA934">
        <v>0</v>
      </c>
      <c r="AB934">
        <v>0</v>
      </c>
      <c r="AC934">
        <v>380</v>
      </c>
      <c r="AD934">
        <v>0</v>
      </c>
      <c r="AE934">
        <v>0</v>
      </c>
      <c r="AF934">
        <v>0</v>
      </c>
      <c r="AG934">
        <v>0</v>
      </c>
      <c r="AH934">
        <v>0</v>
      </c>
      <c r="AI934">
        <v>0</v>
      </c>
      <c r="AJ934">
        <v>0</v>
      </c>
      <c r="AK934">
        <v>0</v>
      </c>
      <c r="AL934">
        <v>0</v>
      </c>
      <c r="AM934">
        <v>0</v>
      </c>
      <c r="AN934">
        <v>0</v>
      </c>
      <c r="AO934">
        <v>0</v>
      </c>
      <c r="AP934">
        <v>0</v>
      </c>
      <c r="AQ934">
        <v>0</v>
      </c>
      <c r="AR934">
        <v>0</v>
      </c>
      <c r="AS934">
        <v>0</v>
      </c>
      <c r="AT934">
        <v>0</v>
      </c>
      <c r="AU934">
        <f t="shared" si="28"/>
        <v>0</v>
      </c>
      <c r="AV934">
        <f t="shared" si="29"/>
        <v>0</v>
      </c>
    </row>
    <row r="935" spans="1:48" x14ac:dyDescent="0.25">
      <c r="A935" t="s">
        <v>4721</v>
      </c>
      <c r="C935" t="s">
        <v>4722</v>
      </c>
      <c r="D935" t="s">
        <v>4723</v>
      </c>
      <c r="E935" t="s">
        <v>2310</v>
      </c>
      <c r="F935">
        <v>10</v>
      </c>
      <c r="G935">
        <v>10.1</v>
      </c>
      <c r="H935" t="s">
        <v>2323</v>
      </c>
      <c r="I935" s="21">
        <v>38069</v>
      </c>
      <c r="J935">
        <v>2004</v>
      </c>
      <c r="K935" s="21">
        <v>38100</v>
      </c>
      <c r="L935">
        <v>2004</v>
      </c>
      <c r="M935" s="21">
        <v>38506</v>
      </c>
      <c r="N935">
        <v>2005</v>
      </c>
      <c r="R935" s="262">
        <v>450000</v>
      </c>
      <c r="S935" t="s">
        <v>114</v>
      </c>
      <c r="T935" t="s">
        <v>114</v>
      </c>
      <c r="U935">
        <v>5</v>
      </c>
      <c r="W935">
        <v>4674</v>
      </c>
      <c r="X935">
        <v>1</v>
      </c>
      <c r="Y935">
        <v>0</v>
      </c>
      <c r="Z935">
        <v>0</v>
      </c>
      <c r="AA935">
        <v>0</v>
      </c>
      <c r="AB935">
        <v>0</v>
      </c>
      <c r="AC935">
        <v>4674</v>
      </c>
      <c r="AD935">
        <v>0</v>
      </c>
      <c r="AE935">
        <v>0</v>
      </c>
      <c r="AF935">
        <v>0</v>
      </c>
      <c r="AG935">
        <v>0</v>
      </c>
      <c r="AH935">
        <v>0</v>
      </c>
      <c r="AI935">
        <v>0</v>
      </c>
      <c r="AJ935">
        <v>0</v>
      </c>
      <c r="AK935">
        <v>0</v>
      </c>
      <c r="AL935">
        <v>0</v>
      </c>
      <c r="AM935">
        <v>0</v>
      </c>
      <c r="AN935">
        <v>0</v>
      </c>
      <c r="AO935">
        <v>1</v>
      </c>
      <c r="AP935">
        <v>0</v>
      </c>
      <c r="AQ935">
        <v>0</v>
      </c>
      <c r="AR935">
        <v>0</v>
      </c>
      <c r="AS935">
        <v>0</v>
      </c>
      <c r="AT935">
        <v>0</v>
      </c>
      <c r="AU935">
        <f t="shared" si="28"/>
        <v>1</v>
      </c>
      <c r="AV935">
        <f t="shared" si="29"/>
        <v>0</v>
      </c>
    </row>
    <row r="936" spans="1:48" x14ac:dyDescent="0.25">
      <c r="A936" t="s">
        <v>4724</v>
      </c>
      <c r="C936" t="s">
        <v>4540</v>
      </c>
      <c r="D936" t="s">
        <v>4541</v>
      </c>
      <c r="E936" t="s">
        <v>2310</v>
      </c>
      <c r="F936">
        <v>12</v>
      </c>
      <c r="G936">
        <v>12.3</v>
      </c>
      <c r="H936" t="s">
        <v>2017</v>
      </c>
      <c r="I936" s="21">
        <v>38069</v>
      </c>
      <c r="J936">
        <v>2004</v>
      </c>
      <c r="K936" s="21">
        <v>38093</v>
      </c>
      <c r="L936">
        <v>2004</v>
      </c>
      <c r="M936" s="21">
        <v>38547</v>
      </c>
      <c r="N936">
        <v>2005</v>
      </c>
      <c r="R936" s="262">
        <v>150000</v>
      </c>
      <c r="S936" t="s">
        <v>114</v>
      </c>
      <c r="T936" t="s">
        <v>114</v>
      </c>
      <c r="U936">
        <v>11</v>
      </c>
      <c r="W936">
        <v>446</v>
      </c>
      <c r="X936">
        <v>0</v>
      </c>
      <c r="Y936">
        <v>0</v>
      </c>
      <c r="Z936">
        <v>0</v>
      </c>
      <c r="AA936">
        <v>0</v>
      </c>
      <c r="AB936">
        <v>0</v>
      </c>
      <c r="AC936">
        <v>0</v>
      </c>
      <c r="AD936">
        <v>0</v>
      </c>
      <c r="AE936">
        <v>0</v>
      </c>
      <c r="AF936">
        <v>0</v>
      </c>
      <c r="AG936">
        <v>0</v>
      </c>
      <c r="AH936">
        <v>0</v>
      </c>
      <c r="AI936">
        <v>446</v>
      </c>
      <c r="AJ936">
        <v>0</v>
      </c>
      <c r="AK936">
        <v>0</v>
      </c>
      <c r="AL936">
        <v>0</v>
      </c>
      <c r="AM936">
        <v>0</v>
      </c>
      <c r="AN936">
        <v>0</v>
      </c>
      <c r="AO936">
        <v>0</v>
      </c>
      <c r="AP936">
        <v>0</v>
      </c>
      <c r="AQ936">
        <v>0</v>
      </c>
      <c r="AR936">
        <v>0</v>
      </c>
      <c r="AS936">
        <v>0</v>
      </c>
      <c r="AT936">
        <v>0</v>
      </c>
      <c r="AU936">
        <f t="shared" si="28"/>
        <v>0</v>
      </c>
      <c r="AV936">
        <f t="shared" si="29"/>
        <v>446</v>
      </c>
    </row>
    <row r="937" spans="1:48" x14ac:dyDescent="0.25">
      <c r="A937" t="s">
        <v>4725</v>
      </c>
      <c r="C937" t="s">
        <v>4540</v>
      </c>
      <c r="D937" t="s">
        <v>4541</v>
      </c>
      <c r="E937" t="s">
        <v>2310</v>
      </c>
      <c r="F937">
        <v>12</v>
      </c>
      <c r="G937">
        <v>12.3</v>
      </c>
      <c r="H937" t="s">
        <v>2017</v>
      </c>
      <c r="I937" s="21">
        <v>38069</v>
      </c>
      <c r="J937">
        <v>2004</v>
      </c>
      <c r="K937" s="21">
        <v>38093</v>
      </c>
      <c r="L937">
        <v>2004</v>
      </c>
      <c r="M937" s="21">
        <v>38093</v>
      </c>
      <c r="N937">
        <v>2004</v>
      </c>
      <c r="R937" s="262">
        <v>150000</v>
      </c>
      <c r="S937" t="s">
        <v>114</v>
      </c>
      <c r="T937" t="s">
        <v>114</v>
      </c>
      <c r="U937">
        <v>11</v>
      </c>
      <c r="W937">
        <v>446</v>
      </c>
      <c r="X937">
        <v>0</v>
      </c>
      <c r="Y937">
        <v>0</v>
      </c>
      <c r="Z937">
        <v>0</v>
      </c>
      <c r="AA937">
        <v>0</v>
      </c>
      <c r="AB937">
        <v>0</v>
      </c>
      <c r="AC937">
        <v>0</v>
      </c>
      <c r="AD937">
        <v>0</v>
      </c>
      <c r="AE937">
        <v>0</v>
      </c>
      <c r="AF937">
        <v>0</v>
      </c>
      <c r="AG937">
        <v>0</v>
      </c>
      <c r="AH937">
        <v>0</v>
      </c>
      <c r="AI937">
        <v>446</v>
      </c>
      <c r="AJ937">
        <v>0</v>
      </c>
      <c r="AK937">
        <v>0</v>
      </c>
      <c r="AL937">
        <v>0</v>
      </c>
      <c r="AM937">
        <v>0</v>
      </c>
      <c r="AN937">
        <v>0</v>
      </c>
      <c r="AO937">
        <v>0</v>
      </c>
      <c r="AP937">
        <v>0</v>
      </c>
      <c r="AQ937">
        <v>0</v>
      </c>
      <c r="AR937">
        <v>0</v>
      </c>
      <c r="AS937">
        <v>0</v>
      </c>
      <c r="AT937">
        <v>0</v>
      </c>
      <c r="AU937">
        <f t="shared" si="28"/>
        <v>0</v>
      </c>
      <c r="AV937">
        <f t="shared" si="29"/>
        <v>446</v>
      </c>
    </row>
    <row r="938" spans="1:48" x14ac:dyDescent="0.25">
      <c r="A938" t="s">
        <v>4726</v>
      </c>
      <c r="C938" t="s">
        <v>4727</v>
      </c>
      <c r="D938" t="s">
        <v>4728</v>
      </c>
      <c r="E938" t="s">
        <v>2310</v>
      </c>
      <c r="F938">
        <v>9</v>
      </c>
      <c r="G938">
        <v>9.1</v>
      </c>
      <c r="H938" t="s">
        <v>2323</v>
      </c>
      <c r="I938" s="21">
        <v>38069</v>
      </c>
      <c r="J938">
        <v>2004</v>
      </c>
      <c r="K938" s="21">
        <v>38083</v>
      </c>
      <c r="L938">
        <v>2004</v>
      </c>
      <c r="M938" s="21">
        <v>38378</v>
      </c>
      <c r="N938">
        <v>2005</v>
      </c>
      <c r="R938" s="262">
        <v>180000</v>
      </c>
      <c r="S938" t="s">
        <v>114</v>
      </c>
      <c r="T938" t="s">
        <v>114</v>
      </c>
      <c r="U938">
        <v>5</v>
      </c>
      <c r="W938">
        <v>4700</v>
      </c>
      <c r="X938">
        <v>1</v>
      </c>
      <c r="Y938">
        <v>0</v>
      </c>
      <c r="Z938">
        <v>0</v>
      </c>
      <c r="AA938">
        <v>0</v>
      </c>
      <c r="AB938">
        <v>0</v>
      </c>
      <c r="AC938">
        <v>4700</v>
      </c>
      <c r="AD938">
        <v>0</v>
      </c>
      <c r="AE938">
        <v>0</v>
      </c>
      <c r="AF938">
        <v>0</v>
      </c>
      <c r="AG938">
        <v>0</v>
      </c>
      <c r="AH938">
        <v>0</v>
      </c>
      <c r="AI938">
        <v>0</v>
      </c>
      <c r="AJ938">
        <v>0</v>
      </c>
      <c r="AK938">
        <v>0</v>
      </c>
      <c r="AL938">
        <v>0</v>
      </c>
      <c r="AM938">
        <v>0</v>
      </c>
      <c r="AN938">
        <v>0</v>
      </c>
      <c r="AO938">
        <v>1</v>
      </c>
      <c r="AP938">
        <v>0</v>
      </c>
      <c r="AQ938">
        <v>0</v>
      </c>
      <c r="AR938">
        <v>0</v>
      </c>
      <c r="AS938">
        <v>0</v>
      </c>
      <c r="AT938">
        <v>0</v>
      </c>
      <c r="AU938">
        <f t="shared" si="28"/>
        <v>1</v>
      </c>
      <c r="AV938">
        <f t="shared" si="29"/>
        <v>0</v>
      </c>
    </row>
    <row r="939" spans="1:48" x14ac:dyDescent="0.25">
      <c r="A939" t="s">
        <v>4729</v>
      </c>
      <c r="C939" t="s">
        <v>4730</v>
      </c>
      <c r="D939" t="s">
        <v>4731</v>
      </c>
      <c r="E939" t="s">
        <v>2310</v>
      </c>
      <c r="F939">
        <v>9</v>
      </c>
      <c r="G939">
        <v>9.1999999999999993</v>
      </c>
      <c r="H939" t="s">
        <v>2022</v>
      </c>
      <c r="I939" s="21">
        <v>38070</v>
      </c>
      <c r="J939">
        <v>2004</v>
      </c>
      <c r="K939" s="21">
        <v>38096</v>
      </c>
      <c r="L939">
        <v>2004</v>
      </c>
      <c r="M939" s="21">
        <v>38664</v>
      </c>
      <c r="N939">
        <v>2005</v>
      </c>
      <c r="R939" s="262">
        <v>80000</v>
      </c>
      <c r="S939" t="s">
        <v>114</v>
      </c>
      <c r="T939" t="s">
        <v>114</v>
      </c>
      <c r="U939">
        <v>5</v>
      </c>
      <c r="W939">
        <v>350</v>
      </c>
      <c r="X939">
        <v>0</v>
      </c>
      <c r="Y939">
        <v>0</v>
      </c>
      <c r="Z939">
        <v>0</v>
      </c>
      <c r="AA939">
        <v>0</v>
      </c>
      <c r="AB939">
        <v>0</v>
      </c>
      <c r="AC939">
        <v>350</v>
      </c>
      <c r="AD939">
        <v>0</v>
      </c>
      <c r="AE939">
        <v>0</v>
      </c>
      <c r="AF939">
        <v>0</v>
      </c>
      <c r="AG939">
        <v>0</v>
      </c>
      <c r="AH939">
        <v>0</v>
      </c>
      <c r="AI939">
        <v>0</v>
      </c>
      <c r="AJ939">
        <v>0</v>
      </c>
      <c r="AK939">
        <v>0</v>
      </c>
      <c r="AL939">
        <v>0</v>
      </c>
      <c r="AM939">
        <v>0</v>
      </c>
      <c r="AN939">
        <v>0</v>
      </c>
      <c r="AO939">
        <v>0</v>
      </c>
      <c r="AP939">
        <v>0</v>
      </c>
      <c r="AQ939">
        <v>0</v>
      </c>
      <c r="AR939">
        <v>0</v>
      </c>
      <c r="AS939">
        <v>0</v>
      </c>
      <c r="AT939">
        <v>0</v>
      </c>
      <c r="AU939">
        <f t="shared" si="28"/>
        <v>0</v>
      </c>
      <c r="AV939">
        <f t="shared" si="29"/>
        <v>0</v>
      </c>
    </row>
    <row r="940" spans="1:48" x14ac:dyDescent="0.25">
      <c r="A940" t="s">
        <v>4735</v>
      </c>
      <c r="C940" t="s">
        <v>4736</v>
      </c>
      <c r="D940" t="s">
        <v>3401</v>
      </c>
      <c r="E940" t="s">
        <v>2310</v>
      </c>
      <c r="F940">
        <v>12</v>
      </c>
      <c r="G940">
        <v>12.3</v>
      </c>
      <c r="H940" t="s">
        <v>2017</v>
      </c>
      <c r="I940" s="21">
        <v>38071</v>
      </c>
      <c r="J940">
        <v>2004</v>
      </c>
      <c r="K940" s="21">
        <v>38089</v>
      </c>
      <c r="L940">
        <v>2004</v>
      </c>
      <c r="M940" s="21">
        <v>38089</v>
      </c>
      <c r="N940">
        <v>2004</v>
      </c>
      <c r="R940" s="262">
        <v>55000</v>
      </c>
      <c r="S940" t="s">
        <v>114</v>
      </c>
      <c r="T940" t="s">
        <v>114</v>
      </c>
      <c r="U940">
        <v>5</v>
      </c>
      <c r="W940">
        <v>160</v>
      </c>
      <c r="X940">
        <v>0</v>
      </c>
      <c r="Y940">
        <v>0</v>
      </c>
      <c r="Z940">
        <v>0</v>
      </c>
      <c r="AA940">
        <v>0</v>
      </c>
      <c r="AB940">
        <v>0</v>
      </c>
      <c r="AC940">
        <v>160</v>
      </c>
      <c r="AD940">
        <v>0</v>
      </c>
      <c r="AE940">
        <v>0</v>
      </c>
      <c r="AF940">
        <v>0</v>
      </c>
      <c r="AG940">
        <v>0</v>
      </c>
      <c r="AH940">
        <v>0</v>
      </c>
      <c r="AI940">
        <v>0</v>
      </c>
      <c r="AJ940">
        <v>0</v>
      </c>
      <c r="AK940">
        <v>0</v>
      </c>
      <c r="AL940">
        <v>0</v>
      </c>
      <c r="AM940">
        <v>0</v>
      </c>
      <c r="AN940">
        <v>0</v>
      </c>
      <c r="AO940">
        <v>0</v>
      </c>
      <c r="AP940">
        <v>0</v>
      </c>
      <c r="AQ940">
        <v>0</v>
      </c>
      <c r="AR940">
        <v>0</v>
      </c>
      <c r="AS940">
        <v>0</v>
      </c>
      <c r="AT940">
        <v>0</v>
      </c>
      <c r="AU940">
        <f t="shared" si="28"/>
        <v>0</v>
      </c>
      <c r="AV940">
        <f t="shared" si="29"/>
        <v>0</v>
      </c>
    </row>
    <row r="941" spans="1:48" x14ac:dyDescent="0.25">
      <c r="A941" t="s">
        <v>4737</v>
      </c>
      <c r="C941" t="s">
        <v>4738</v>
      </c>
      <c r="D941" t="s">
        <v>3660</v>
      </c>
      <c r="E941" t="s">
        <v>2310</v>
      </c>
      <c r="F941">
        <v>9</v>
      </c>
      <c r="G941">
        <v>9.3000000000000007</v>
      </c>
      <c r="H941" t="s">
        <v>2323</v>
      </c>
      <c r="I941" s="21">
        <v>38071</v>
      </c>
      <c r="J941">
        <v>2004</v>
      </c>
      <c r="M941" s="21">
        <v>38832</v>
      </c>
      <c r="N941">
        <v>2006</v>
      </c>
      <c r="R941" s="262">
        <v>100000</v>
      </c>
      <c r="S941" t="s">
        <v>114</v>
      </c>
      <c r="T941" t="s">
        <v>114</v>
      </c>
      <c r="U941">
        <v>5</v>
      </c>
      <c r="W941">
        <v>1014</v>
      </c>
      <c r="X941">
        <v>0</v>
      </c>
      <c r="Y941">
        <v>0</v>
      </c>
      <c r="Z941">
        <v>0</v>
      </c>
      <c r="AA941">
        <v>0</v>
      </c>
      <c r="AB941">
        <v>0</v>
      </c>
      <c r="AC941">
        <v>1014</v>
      </c>
      <c r="AD941">
        <v>0</v>
      </c>
      <c r="AE941">
        <v>0</v>
      </c>
      <c r="AF941">
        <v>0</v>
      </c>
      <c r="AG941">
        <v>0</v>
      </c>
      <c r="AH941">
        <v>0</v>
      </c>
      <c r="AI941">
        <v>0</v>
      </c>
      <c r="AJ941">
        <v>0</v>
      </c>
      <c r="AK941">
        <v>0</v>
      </c>
      <c r="AL941">
        <v>0</v>
      </c>
      <c r="AM941">
        <v>0</v>
      </c>
      <c r="AN941">
        <v>0</v>
      </c>
      <c r="AO941">
        <v>0</v>
      </c>
      <c r="AP941">
        <v>0</v>
      </c>
      <c r="AQ941">
        <v>0</v>
      </c>
      <c r="AR941">
        <v>0</v>
      </c>
      <c r="AS941">
        <v>0</v>
      </c>
      <c r="AT941">
        <v>0</v>
      </c>
      <c r="AU941">
        <f t="shared" si="28"/>
        <v>0</v>
      </c>
      <c r="AV941">
        <f t="shared" si="29"/>
        <v>0</v>
      </c>
    </row>
    <row r="942" spans="1:48" x14ac:dyDescent="0.25">
      <c r="A942" t="s">
        <v>4739</v>
      </c>
      <c r="C942" t="s">
        <v>4740</v>
      </c>
      <c r="D942" t="s">
        <v>4741</v>
      </c>
      <c r="E942" t="s">
        <v>2310</v>
      </c>
      <c r="F942">
        <v>7</v>
      </c>
      <c r="G942">
        <v>7.1</v>
      </c>
      <c r="H942" t="s">
        <v>2017</v>
      </c>
      <c r="I942" s="21">
        <v>38071</v>
      </c>
      <c r="J942">
        <v>2004</v>
      </c>
      <c r="K942" s="21">
        <v>38084</v>
      </c>
      <c r="L942">
        <v>2004</v>
      </c>
      <c r="M942" s="21">
        <v>38124</v>
      </c>
      <c r="N942">
        <v>2004</v>
      </c>
      <c r="R942" s="262">
        <v>1600</v>
      </c>
      <c r="S942" t="s">
        <v>114</v>
      </c>
      <c r="T942" t="s">
        <v>114</v>
      </c>
      <c r="U942">
        <v>14</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c r="AP942">
        <v>0</v>
      </c>
      <c r="AQ942">
        <v>0</v>
      </c>
      <c r="AR942">
        <v>0</v>
      </c>
      <c r="AS942">
        <v>0</v>
      </c>
      <c r="AT942">
        <v>0</v>
      </c>
      <c r="AU942">
        <f t="shared" si="28"/>
        <v>0</v>
      </c>
      <c r="AV942">
        <f t="shared" si="29"/>
        <v>0</v>
      </c>
    </row>
    <row r="943" spans="1:48" x14ac:dyDescent="0.25">
      <c r="A943" t="s">
        <v>4742</v>
      </c>
      <c r="C943" t="s">
        <v>4743</v>
      </c>
      <c r="D943" t="s">
        <v>4744</v>
      </c>
      <c r="E943" t="s">
        <v>2310</v>
      </c>
      <c r="F943">
        <v>8</v>
      </c>
      <c r="G943">
        <v>8.1</v>
      </c>
      <c r="H943" t="s">
        <v>2323</v>
      </c>
      <c r="I943" s="21">
        <v>38071</v>
      </c>
      <c r="J943">
        <v>2004</v>
      </c>
      <c r="K943" s="21">
        <v>38117</v>
      </c>
      <c r="L943">
        <v>2004</v>
      </c>
      <c r="M943" s="21">
        <v>39027</v>
      </c>
      <c r="N943">
        <v>2006</v>
      </c>
      <c r="R943" s="262">
        <v>150000</v>
      </c>
      <c r="S943" t="s">
        <v>114</v>
      </c>
      <c r="T943" t="s">
        <v>114</v>
      </c>
      <c r="U943">
        <v>5</v>
      </c>
      <c r="W943">
        <v>1821</v>
      </c>
      <c r="X943">
        <v>0</v>
      </c>
      <c r="Y943">
        <v>0</v>
      </c>
      <c r="Z943">
        <v>0</v>
      </c>
      <c r="AA943">
        <v>0</v>
      </c>
      <c r="AB943">
        <v>0</v>
      </c>
      <c r="AC943">
        <v>1821</v>
      </c>
      <c r="AD943">
        <v>0</v>
      </c>
      <c r="AE943">
        <v>0</v>
      </c>
      <c r="AF943">
        <v>0</v>
      </c>
      <c r="AG943">
        <v>0</v>
      </c>
      <c r="AH943">
        <v>0</v>
      </c>
      <c r="AI943">
        <v>0</v>
      </c>
      <c r="AJ943">
        <v>0</v>
      </c>
      <c r="AK943">
        <v>0</v>
      </c>
      <c r="AL943">
        <v>0</v>
      </c>
      <c r="AM943">
        <v>0</v>
      </c>
      <c r="AN943">
        <v>0</v>
      </c>
      <c r="AO943">
        <v>0</v>
      </c>
      <c r="AP943">
        <v>0</v>
      </c>
      <c r="AQ943">
        <v>0</v>
      </c>
      <c r="AR943">
        <v>0</v>
      </c>
      <c r="AS943">
        <v>0</v>
      </c>
      <c r="AT943">
        <v>0</v>
      </c>
      <c r="AU943">
        <f t="shared" si="28"/>
        <v>0</v>
      </c>
      <c r="AV943">
        <f t="shared" si="29"/>
        <v>0</v>
      </c>
    </row>
    <row r="944" spans="1:48" x14ac:dyDescent="0.25">
      <c r="A944" t="s">
        <v>4732</v>
      </c>
      <c r="C944" t="s">
        <v>4733</v>
      </c>
      <c r="D944" t="s">
        <v>4734</v>
      </c>
      <c r="E944" t="s">
        <v>1663</v>
      </c>
      <c r="F944">
        <v>3</v>
      </c>
      <c r="G944">
        <v>3.1</v>
      </c>
      <c r="H944" t="s">
        <v>2017</v>
      </c>
      <c r="I944" s="21">
        <v>38071</v>
      </c>
      <c r="J944">
        <v>2004</v>
      </c>
      <c r="K944" s="21">
        <v>38102</v>
      </c>
      <c r="L944">
        <v>2004</v>
      </c>
      <c r="M944" s="21">
        <v>38255</v>
      </c>
      <c r="N944">
        <v>2004</v>
      </c>
      <c r="Q944" s="262">
        <v>40000</v>
      </c>
      <c r="S944" t="s">
        <v>114</v>
      </c>
      <c r="T944" t="s">
        <v>114</v>
      </c>
      <c r="W944">
        <v>324</v>
      </c>
      <c r="X944">
        <v>0</v>
      </c>
      <c r="Y944">
        <v>0</v>
      </c>
      <c r="Z944">
        <v>0</v>
      </c>
      <c r="AA944">
        <v>0</v>
      </c>
      <c r="AB944">
        <v>0</v>
      </c>
      <c r="AC944">
        <v>324</v>
      </c>
      <c r="AD944">
        <v>0</v>
      </c>
      <c r="AE944">
        <v>0</v>
      </c>
      <c r="AF944">
        <v>0</v>
      </c>
      <c r="AG944">
        <v>0</v>
      </c>
      <c r="AH944">
        <v>0</v>
      </c>
      <c r="AI944">
        <v>0</v>
      </c>
      <c r="AJ944">
        <v>0</v>
      </c>
      <c r="AK944">
        <v>0</v>
      </c>
      <c r="AL944">
        <v>0</v>
      </c>
      <c r="AM944">
        <v>0</v>
      </c>
      <c r="AN944">
        <v>0</v>
      </c>
      <c r="AO944">
        <v>0</v>
      </c>
      <c r="AP944">
        <v>0</v>
      </c>
      <c r="AQ944">
        <v>0</v>
      </c>
      <c r="AR944">
        <v>0</v>
      </c>
      <c r="AS944">
        <v>0</v>
      </c>
      <c r="AT944">
        <v>0</v>
      </c>
      <c r="AU944">
        <f t="shared" si="28"/>
        <v>0</v>
      </c>
      <c r="AV944">
        <f t="shared" si="29"/>
        <v>0</v>
      </c>
    </row>
    <row r="945" spans="1:48" x14ac:dyDescent="0.25">
      <c r="A945" t="s">
        <v>4745</v>
      </c>
      <c r="C945" t="s">
        <v>2847</v>
      </c>
      <c r="D945" t="s">
        <v>4746</v>
      </c>
      <c r="E945" t="s">
        <v>2310</v>
      </c>
      <c r="F945">
        <v>9</v>
      </c>
      <c r="G945">
        <v>9.1</v>
      </c>
      <c r="H945" t="s">
        <v>2323</v>
      </c>
      <c r="I945" s="21">
        <v>38072</v>
      </c>
      <c r="J945">
        <v>2004</v>
      </c>
      <c r="K945" s="21">
        <v>38103</v>
      </c>
      <c r="L945">
        <v>2004</v>
      </c>
      <c r="M945" s="21">
        <v>38763</v>
      </c>
      <c r="N945">
        <v>2006</v>
      </c>
      <c r="R945" s="262">
        <v>925000</v>
      </c>
      <c r="S945" t="s">
        <v>114</v>
      </c>
      <c r="T945" t="s">
        <v>114</v>
      </c>
      <c r="U945">
        <v>5</v>
      </c>
      <c r="W945">
        <v>4973</v>
      </c>
      <c r="X945">
        <v>1</v>
      </c>
      <c r="Y945">
        <v>0</v>
      </c>
      <c r="Z945">
        <v>0</v>
      </c>
      <c r="AA945">
        <v>0</v>
      </c>
      <c r="AB945">
        <v>0</v>
      </c>
      <c r="AC945">
        <v>4973</v>
      </c>
      <c r="AD945">
        <v>0</v>
      </c>
      <c r="AE945">
        <v>0</v>
      </c>
      <c r="AF945">
        <v>0</v>
      </c>
      <c r="AG945">
        <v>0</v>
      </c>
      <c r="AH945">
        <v>0</v>
      </c>
      <c r="AI945">
        <v>0</v>
      </c>
      <c r="AJ945">
        <v>0</v>
      </c>
      <c r="AK945">
        <v>0</v>
      </c>
      <c r="AL945">
        <v>0</v>
      </c>
      <c r="AM945">
        <v>0</v>
      </c>
      <c r="AN945">
        <v>0</v>
      </c>
      <c r="AO945">
        <v>1</v>
      </c>
      <c r="AP945">
        <v>0</v>
      </c>
      <c r="AQ945">
        <v>0</v>
      </c>
      <c r="AR945">
        <v>0</v>
      </c>
      <c r="AS945">
        <v>0</v>
      </c>
      <c r="AT945">
        <v>0</v>
      </c>
      <c r="AU945">
        <f t="shared" si="28"/>
        <v>1</v>
      </c>
      <c r="AV945">
        <f t="shared" si="29"/>
        <v>0</v>
      </c>
    </row>
    <row r="946" spans="1:48" x14ac:dyDescent="0.25">
      <c r="A946" t="s">
        <v>4747</v>
      </c>
      <c r="C946" t="s">
        <v>4748</v>
      </c>
      <c r="D946" t="s">
        <v>4749</v>
      </c>
      <c r="E946" t="s">
        <v>2310</v>
      </c>
      <c r="F946">
        <v>15</v>
      </c>
      <c r="G946">
        <v>15.2</v>
      </c>
      <c r="H946" t="s">
        <v>2323</v>
      </c>
      <c r="I946" s="21">
        <v>38072</v>
      </c>
      <c r="J946">
        <v>2004</v>
      </c>
      <c r="K946" s="21">
        <v>38093</v>
      </c>
      <c r="L946">
        <v>2004</v>
      </c>
      <c r="M946" s="21">
        <v>38693</v>
      </c>
      <c r="N946">
        <v>2005</v>
      </c>
      <c r="R946" s="262">
        <v>5000</v>
      </c>
      <c r="S946" t="s">
        <v>114</v>
      </c>
      <c r="T946" t="s">
        <v>114</v>
      </c>
      <c r="U946">
        <v>5</v>
      </c>
      <c r="W946">
        <v>960</v>
      </c>
      <c r="X946">
        <v>0</v>
      </c>
      <c r="Y946">
        <v>0</v>
      </c>
      <c r="Z946">
        <v>0</v>
      </c>
      <c r="AA946">
        <v>0</v>
      </c>
      <c r="AB946">
        <v>0</v>
      </c>
      <c r="AC946">
        <v>960</v>
      </c>
      <c r="AD946">
        <v>0</v>
      </c>
      <c r="AE946">
        <v>0</v>
      </c>
      <c r="AF946">
        <v>0</v>
      </c>
      <c r="AG946">
        <v>0</v>
      </c>
      <c r="AH946">
        <v>0</v>
      </c>
      <c r="AI946">
        <v>0</v>
      </c>
      <c r="AJ946">
        <v>0</v>
      </c>
      <c r="AK946">
        <v>0</v>
      </c>
      <c r="AL946">
        <v>0</v>
      </c>
      <c r="AM946">
        <v>0</v>
      </c>
      <c r="AN946">
        <v>0</v>
      </c>
      <c r="AO946">
        <v>0</v>
      </c>
      <c r="AP946">
        <v>0</v>
      </c>
      <c r="AQ946">
        <v>0</v>
      </c>
      <c r="AR946">
        <v>0</v>
      </c>
      <c r="AS946">
        <v>0</v>
      </c>
      <c r="AT946">
        <v>0</v>
      </c>
      <c r="AU946">
        <f t="shared" si="28"/>
        <v>0</v>
      </c>
      <c r="AV946">
        <f t="shared" si="29"/>
        <v>0</v>
      </c>
    </row>
    <row r="947" spans="1:48" x14ac:dyDescent="0.25">
      <c r="A947" t="s">
        <v>4750</v>
      </c>
      <c r="C947" t="s">
        <v>4751</v>
      </c>
      <c r="D947" t="s">
        <v>4752</v>
      </c>
      <c r="E947" t="s">
        <v>2310</v>
      </c>
      <c r="F947">
        <v>5</v>
      </c>
      <c r="G947">
        <v>5.4</v>
      </c>
      <c r="H947" t="s">
        <v>2017</v>
      </c>
      <c r="I947" s="21">
        <v>38075</v>
      </c>
      <c r="J947">
        <v>2004</v>
      </c>
      <c r="K947" s="21">
        <v>38103</v>
      </c>
      <c r="L947">
        <v>2004</v>
      </c>
      <c r="M947" s="21">
        <v>38103</v>
      </c>
      <c r="N947">
        <v>2004</v>
      </c>
      <c r="R947" s="262">
        <v>8000</v>
      </c>
      <c r="S947" t="s">
        <v>114</v>
      </c>
      <c r="T947" t="s">
        <v>114</v>
      </c>
      <c r="U947">
        <v>14</v>
      </c>
      <c r="W947">
        <v>240</v>
      </c>
      <c r="X947">
        <v>0</v>
      </c>
      <c r="Y947">
        <v>0</v>
      </c>
      <c r="Z947">
        <v>0</v>
      </c>
      <c r="AA947">
        <v>0</v>
      </c>
      <c r="AB947">
        <v>0</v>
      </c>
      <c r="AC947">
        <v>0</v>
      </c>
      <c r="AD947">
        <v>0</v>
      </c>
      <c r="AE947">
        <v>0</v>
      </c>
      <c r="AF947">
        <v>0</v>
      </c>
      <c r="AG947">
        <v>0</v>
      </c>
      <c r="AH947">
        <v>0</v>
      </c>
      <c r="AI947">
        <v>0</v>
      </c>
      <c r="AJ947">
        <v>0</v>
      </c>
      <c r="AK947">
        <v>0</v>
      </c>
      <c r="AL947">
        <v>240</v>
      </c>
      <c r="AM947">
        <v>0</v>
      </c>
      <c r="AN947">
        <v>0</v>
      </c>
      <c r="AO947">
        <v>0</v>
      </c>
      <c r="AP947">
        <v>0</v>
      </c>
      <c r="AQ947">
        <v>0</v>
      </c>
      <c r="AR947">
        <v>0</v>
      </c>
      <c r="AS947">
        <v>0</v>
      </c>
      <c r="AT947">
        <v>0</v>
      </c>
      <c r="AU947">
        <f t="shared" si="28"/>
        <v>0</v>
      </c>
      <c r="AV947">
        <f t="shared" si="29"/>
        <v>240</v>
      </c>
    </row>
    <row r="948" spans="1:48" x14ac:dyDescent="0.25">
      <c r="A948" t="s">
        <v>4753</v>
      </c>
      <c r="C948" t="s">
        <v>4754</v>
      </c>
      <c r="D948" t="s">
        <v>4755</v>
      </c>
      <c r="E948" t="s">
        <v>2310</v>
      </c>
      <c r="F948">
        <v>9</v>
      </c>
      <c r="G948">
        <v>9.4</v>
      </c>
      <c r="H948" t="s">
        <v>2323</v>
      </c>
      <c r="I948" s="21">
        <v>38076</v>
      </c>
      <c r="J948">
        <v>2004</v>
      </c>
      <c r="K948" s="21">
        <v>38104</v>
      </c>
      <c r="L948">
        <v>2004</v>
      </c>
      <c r="M948" s="21">
        <v>38798</v>
      </c>
      <c r="N948">
        <v>2006</v>
      </c>
      <c r="R948" s="262">
        <v>10000</v>
      </c>
      <c r="S948" t="s">
        <v>114</v>
      </c>
      <c r="T948" t="s">
        <v>114</v>
      </c>
      <c r="U948">
        <v>5</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c r="AQ948">
        <v>0</v>
      </c>
      <c r="AR948">
        <v>0</v>
      </c>
      <c r="AS948">
        <v>0</v>
      </c>
      <c r="AT948">
        <v>0</v>
      </c>
      <c r="AU948">
        <f t="shared" si="28"/>
        <v>0</v>
      </c>
      <c r="AV948">
        <f t="shared" si="29"/>
        <v>0</v>
      </c>
    </row>
    <row r="949" spans="1:48" x14ac:dyDescent="0.25">
      <c r="A949" t="s">
        <v>4756</v>
      </c>
      <c r="C949" t="s">
        <v>4757</v>
      </c>
      <c r="D949" t="s">
        <v>2867</v>
      </c>
      <c r="E949" t="s">
        <v>2310</v>
      </c>
      <c r="F949">
        <v>9</v>
      </c>
      <c r="G949">
        <v>9.1999999999999993</v>
      </c>
      <c r="H949" t="s">
        <v>2022</v>
      </c>
      <c r="I949" s="21">
        <v>38076</v>
      </c>
      <c r="J949">
        <v>2004</v>
      </c>
      <c r="K949" s="21">
        <v>38089</v>
      </c>
      <c r="L949">
        <v>2004</v>
      </c>
      <c r="M949" s="21">
        <v>38089</v>
      </c>
      <c r="N949">
        <v>2004</v>
      </c>
      <c r="R949" s="262">
        <v>35000</v>
      </c>
      <c r="S949" t="s">
        <v>114</v>
      </c>
      <c r="T949" t="s">
        <v>114</v>
      </c>
      <c r="U949">
        <v>5</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c r="AP949">
        <v>0</v>
      </c>
      <c r="AQ949">
        <v>0</v>
      </c>
      <c r="AR949">
        <v>0</v>
      </c>
      <c r="AS949">
        <v>0</v>
      </c>
      <c r="AT949">
        <v>0</v>
      </c>
      <c r="AU949">
        <f t="shared" si="28"/>
        <v>0</v>
      </c>
      <c r="AV949">
        <f t="shared" si="29"/>
        <v>0</v>
      </c>
    </row>
    <row r="950" spans="1:48" x14ac:dyDescent="0.25">
      <c r="A950" t="s">
        <v>4758</v>
      </c>
      <c r="C950" t="s">
        <v>4759</v>
      </c>
      <c r="D950" t="s">
        <v>4760</v>
      </c>
      <c r="E950" t="s">
        <v>2310</v>
      </c>
      <c r="F950">
        <v>9</v>
      </c>
      <c r="G950">
        <v>9.3000000000000007</v>
      </c>
      <c r="H950" t="s">
        <v>2323</v>
      </c>
      <c r="I950" s="21">
        <v>38078</v>
      </c>
      <c r="J950">
        <v>2004</v>
      </c>
      <c r="K950" s="21">
        <v>38170</v>
      </c>
      <c r="L950">
        <v>2004</v>
      </c>
      <c r="M950" s="21">
        <v>38785</v>
      </c>
      <c r="N950">
        <v>2006</v>
      </c>
      <c r="R950" s="262">
        <v>900000</v>
      </c>
      <c r="S950" t="s">
        <v>114</v>
      </c>
      <c r="T950" t="s">
        <v>114</v>
      </c>
      <c r="U950">
        <v>5</v>
      </c>
      <c r="W950">
        <v>6246</v>
      </c>
      <c r="X950">
        <v>1</v>
      </c>
      <c r="Y950">
        <v>0</v>
      </c>
      <c r="Z950">
        <v>0</v>
      </c>
      <c r="AA950">
        <v>0</v>
      </c>
      <c r="AB950">
        <v>0</v>
      </c>
      <c r="AC950">
        <v>6246</v>
      </c>
      <c r="AD950">
        <v>0</v>
      </c>
      <c r="AE950">
        <v>0</v>
      </c>
      <c r="AF950">
        <v>0</v>
      </c>
      <c r="AG950">
        <v>0</v>
      </c>
      <c r="AH950">
        <v>0</v>
      </c>
      <c r="AI950">
        <v>0</v>
      </c>
      <c r="AJ950">
        <v>0</v>
      </c>
      <c r="AK950">
        <v>0</v>
      </c>
      <c r="AL950">
        <v>0</v>
      </c>
      <c r="AM950">
        <v>0</v>
      </c>
      <c r="AN950">
        <v>0</v>
      </c>
      <c r="AO950">
        <v>1</v>
      </c>
      <c r="AP950">
        <v>0</v>
      </c>
      <c r="AQ950">
        <v>0</v>
      </c>
      <c r="AR950">
        <v>0</v>
      </c>
      <c r="AS950">
        <v>0</v>
      </c>
      <c r="AT950">
        <v>0</v>
      </c>
      <c r="AU950">
        <f t="shared" si="28"/>
        <v>1</v>
      </c>
      <c r="AV950">
        <f t="shared" si="29"/>
        <v>0</v>
      </c>
    </row>
    <row r="951" spans="1:48" x14ac:dyDescent="0.25">
      <c r="A951" t="s">
        <v>4761</v>
      </c>
      <c r="C951" t="s">
        <v>4762</v>
      </c>
      <c r="D951" t="s">
        <v>4763</v>
      </c>
      <c r="E951" t="s">
        <v>2310</v>
      </c>
      <c r="F951">
        <v>15</v>
      </c>
      <c r="G951">
        <v>15.2</v>
      </c>
      <c r="H951" t="s">
        <v>2323</v>
      </c>
      <c r="I951" s="21">
        <v>38078</v>
      </c>
      <c r="J951">
        <v>2004</v>
      </c>
      <c r="M951" s="21">
        <v>38512</v>
      </c>
      <c r="N951">
        <v>2005</v>
      </c>
      <c r="R951" s="262">
        <v>160000</v>
      </c>
      <c r="S951" t="s">
        <v>114</v>
      </c>
      <c r="T951" t="s">
        <v>114</v>
      </c>
      <c r="U951">
        <v>5</v>
      </c>
      <c r="W951">
        <v>1280</v>
      </c>
      <c r="X951">
        <v>0</v>
      </c>
      <c r="Y951">
        <v>0</v>
      </c>
      <c r="Z951">
        <v>0</v>
      </c>
      <c r="AA951">
        <v>0</v>
      </c>
      <c r="AB951">
        <v>0</v>
      </c>
      <c r="AC951">
        <v>1280</v>
      </c>
      <c r="AD951">
        <v>0</v>
      </c>
      <c r="AE951">
        <v>0</v>
      </c>
      <c r="AF951">
        <v>0</v>
      </c>
      <c r="AG951">
        <v>0</v>
      </c>
      <c r="AH951">
        <v>0</v>
      </c>
      <c r="AI951">
        <v>0</v>
      </c>
      <c r="AJ951">
        <v>0</v>
      </c>
      <c r="AK951">
        <v>0</v>
      </c>
      <c r="AL951">
        <v>0</v>
      </c>
      <c r="AM951">
        <v>0</v>
      </c>
      <c r="AN951">
        <v>0</v>
      </c>
      <c r="AO951">
        <v>0</v>
      </c>
      <c r="AP951">
        <v>0</v>
      </c>
      <c r="AQ951">
        <v>0</v>
      </c>
      <c r="AR951">
        <v>0</v>
      </c>
      <c r="AS951">
        <v>0</v>
      </c>
      <c r="AT951">
        <v>0</v>
      </c>
      <c r="AU951">
        <f t="shared" si="28"/>
        <v>0</v>
      </c>
      <c r="AV951">
        <f t="shared" si="29"/>
        <v>0</v>
      </c>
    </row>
    <row r="952" spans="1:48" x14ac:dyDescent="0.25">
      <c r="A952" t="s">
        <v>4764</v>
      </c>
      <c r="C952" t="s">
        <v>4765</v>
      </c>
      <c r="D952" t="s">
        <v>4766</v>
      </c>
      <c r="E952" t="s">
        <v>2310</v>
      </c>
      <c r="F952">
        <v>10</v>
      </c>
      <c r="G952">
        <v>10.1</v>
      </c>
      <c r="H952" t="s">
        <v>2323</v>
      </c>
      <c r="I952" s="21">
        <v>38078</v>
      </c>
      <c r="J952">
        <v>2004</v>
      </c>
      <c r="K952" s="21">
        <v>38105</v>
      </c>
      <c r="L952">
        <v>2004</v>
      </c>
      <c r="M952" s="21">
        <v>38105</v>
      </c>
      <c r="N952">
        <v>2004</v>
      </c>
      <c r="R952" s="262">
        <v>20000</v>
      </c>
      <c r="S952" t="s">
        <v>114</v>
      </c>
      <c r="T952" t="s">
        <v>114</v>
      </c>
      <c r="U952">
        <v>5</v>
      </c>
      <c r="W952">
        <v>565</v>
      </c>
      <c r="X952">
        <v>0</v>
      </c>
      <c r="Y952">
        <v>0</v>
      </c>
      <c r="Z952">
        <v>0</v>
      </c>
      <c r="AA952">
        <v>0</v>
      </c>
      <c r="AB952">
        <v>0</v>
      </c>
      <c r="AC952">
        <v>565</v>
      </c>
      <c r="AD952">
        <v>0</v>
      </c>
      <c r="AE952">
        <v>0</v>
      </c>
      <c r="AF952">
        <v>0</v>
      </c>
      <c r="AG952">
        <v>0</v>
      </c>
      <c r="AH952">
        <v>0</v>
      </c>
      <c r="AI952">
        <v>0</v>
      </c>
      <c r="AJ952">
        <v>0</v>
      </c>
      <c r="AK952">
        <v>0</v>
      </c>
      <c r="AL952">
        <v>0</v>
      </c>
      <c r="AM952">
        <v>0</v>
      </c>
      <c r="AN952">
        <v>0</v>
      </c>
      <c r="AO952">
        <v>0</v>
      </c>
      <c r="AP952">
        <v>0</v>
      </c>
      <c r="AQ952">
        <v>0</v>
      </c>
      <c r="AR952">
        <v>0</v>
      </c>
      <c r="AS952">
        <v>0</v>
      </c>
      <c r="AT952">
        <v>0</v>
      </c>
      <c r="AU952">
        <f t="shared" si="28"/>
        <v>0</v>
      </c>
      <c r="AV952">
        <f t="shared" si="29"/>
        <v>0</v>
      </c>
    </row>
    <row r="953" spans="1:48" x14ac:dyDescent="0.25">
      <c r="A953" t="s">
        <v>4767</v>
      </c>
      <c r="C953" t="s">
        <v>4768</v>
      </c>
      <c r="D953" t="s">
        <v>4769</v>
      </c>
      <c r="E953" t="s">
        <v>2310</v>
      </c>
      <c r="F953">
        <v>9</v>
      </c>
      <c r="G953">
        <v>9.3000000000000007</v>
      </c>
      <c r="H953" t="s">
        <v>2323</v>
      </c>
      <c r="I953" s="21">
        <v>38079</v>
      </c>
      <c r="J953">
        <v>2004</v>
      </c>
      <c r="K953" s="21">
        <v>38110</v>
      </c>
      <c r="L953">
        <v>2004</v>
      </c>
      <c r="M953" s="21">
        <v>38110</v>
      </c>
      <c r="N953">
        <v>2004</v>
      </c>
      <c r="R953" s="262">
        <v>13000</v>
      </c>
      <c r="S953" t="s">
        <v>114</v>
      </c>
      <c r="T953" t="s">
        <v>114</v>
      </c>
      <c r="U953">
        <v>5</v>
      </c>
      <c r="W953">
        <v>672</v>
      </c>
      <c r="X953">
        <v>0</v>
      </c>
      <c r="Y953">
        <v>0</v>
      </c>
      <c r="Z953">
        <v>0</v>
      </c>
      <c r="AA953">
        <v>0</v>
      </c>
      <c r="AB953">
        <v>0</v>
      </c>
      <c r="AC953">
        <v>672</v>
      </c>
      <c r="AD953">
        <v>0</v>
      </c>
      <c r="AE953">
        <v>0</v>
      </c>
      <c r="AF953">
        <v>0</v>
      </c>
      <c r="AG953">
        <v>0</v>
      </c>
      <c r="AH953">
        <v>0</v>
      </c>
      <c r="AI953">
        <v>0</v>
      </c>
      <c r="AJ953">
        <v>0</v>
      </c>
      <c r="AK953">
        <v>0</v>
      </c>
      <c r="AL953">
        <v>0</v>
      </c>
      <c r="AM953">
        <v>0</v>
      </c>
      <c r="AN953">
        <v>0</v>
      </c>
      <c r="AO953">
        <v>0</v>
      </c>
      <c r="AP953">
        <v>0</v>
      </c>
      <c r="AQ953">
        <v>0</v>
      </c>
      <c r="AR953">
        <v>0</v>
      </c>
      <c r="AS953">
        <v>0</v>
      </c>
      <c r="AT953">
        <v>0</v>
      </c>
      <c r="AU953">
        <f t="shared" si="28"/>
        <v>0</v>
      </c>
      <c r="AV953">
        <f t="shared" si="29"/>
        <v>0</v>
      </c>
    </row>
    <row r="954" spans="1:48" x14ac:dyDescent="0.25">
      <c r="A954" t="s">
        <v>4773</v>
      </c>
      <c r="C954" t="s">
        <v>2847</v>
      </c>
      <c r="D954" t="s">
        <v>4774</v>
      </c>
      <c r="E954" t="s">
        <v>2310</v>
      </c>
      <c r="F954">
        <v>9</v>
      </c>
      <c r="G954">
        <v>9.3000000000000007</v>
      </c>
      <c r="H954" t="s">
        <v>2323</v>
      </c>
      <c r="I954" s="21">
        <v>38082</v>
      </c>
      <c r="J954">
        <v>2004</v>
      </c>
      <c r="K954" s="21">
        <v>38111</v>
      </c>
      <c r="L954">
        <v>2004</v>
      </c>
      <c r="M954" s="21">
        <v>38798</v>
      </c>
      <c r="N954">
        <v>2006</v>
      </c>
      <c r="R954" s="262">
        <v>900000</v>
      </c>
      <c r="S954" t="s">
        <v>114</v>
      </c>
      <c r="T954" t="s">
        <v>114</v>
      </c>
      <c r="U954">
        <v>5</v>
      </c>
      <c r="W954">
        <v>6079</v>
      </c>
      <c r="X954">
        <v>1</v>
      </c>
      <c r="Y954">
        <v>0</v>
      </c>
      <c r="Z954">
        <v>0</v>
      </c>
      <c r="AA954">
        <v>0</v>
      </c>
      <c r="AB954">
        <v>0</v>
      </c>
      <c r="AC954">
        <v>6079</v>
      </c>
      <c r="AD954">
        <v>0</v>
      </c>
      <c r="AE954">
        <v>0</v>
      </c>
      <c r="AF954">
        <v>0</v>
      </c>
      <c r="AG954">
        <v>0</v>
      </c>
      <c r="AH954">
        <v>0</v>
      </c>
      <c r="AI954">
        <v>0</v>
      </c>
      <c r="AJ954">
        <v>0</v>
      </c>
      <c r="AK954">
        <v>0</v>
      </c>
      <c r="AL954">
        <v>0</v>
      </c>
      <c r="AM954">
        <v>0</v>
      </c>
      <c r="AN954">
        <v>0</v>
      </c>
      <c r="AO954">
        <v>1</v>
      </c>
      <c r="AP954">
        <v>0</v>
      </c>
      <c r="AQ954">
        <v>0</v>
      </c>
      <c r="AR954">
        <v>0</v>
      </c>
      <c r="AS954">
        <v>0</v>
      </c>
      <c r="AT954">
        <v>0</v>
      </c>
      <c r="AU954">
        <f t="shared" si="28"/>
        <v>1</v>
      </c>
      <c r="AV954">
        <f t="shared" si="29"/>
        <v>0</v>
      </c>
    </row>
    <row r="955" spans="1:48" x14ac:dyDescent="0.25">
      <c r="A955" t="s">
        <v>4770</v>
      </c>
      <c r="C955" t="s">
        <v>4771</v>
      </c>
      <c r="D955" t="s">
        <v>4772</v>
      </c>
      <c r="E955" t="s">
        <v>1663</v>
      </c>
      <c r="F955">
        <v>5</v>
      </c>
      <c r="G955">
        <v>5.0999999999999996</v>
      </c>
      <c r="H955" t="s">
        <v>2327</v>
      </c>
      <c r="I955" s="21">
        <v>38082</v>
      </c>
      <c r="J955">
        <v>2004</v>
      </c>
      <c r="K955" s="21">
        <v>38112</v>
      </c>
      <c r="L955">
        <v>2004</v>
      </c>
      <c r="M955" s="21">
        <v>38265</v>
      </c>
      <c r="N955">
        <v>2004</v>
      </c>
      <c r="Q955" s="262">
        <v>375000</v>
      </c>
      <c r="S955" t="s">
        <v>114</v>
      </c>
      <c r="T955" t="s">
        <v>114</v>
      </c>
      <c r="W955">
        <v>3000</v>
      </c>
      <c r="X955">
        <v>0</v>
      </c>
      <c r="Y955">
        <v>0</v>
      </c>
      <c r="Z955">
        <v>0</v>
      </c>
      <c r="AA955">
        <v>0</v>
      </c>
      <c r="AB955">
        <v>0</v>
      </c>
      <c r="AC955">
        <v>0</v>
      </c>
      <c r="AD955">
        <v>0</v>
      </c>
      <c r="AE955">
        <v>0</v>
      </c>
      <c r="AF955">
        <v>0</v>
      </c>
      <c r="AG955">
        <v>0</v>
      </c>
      <c r="AH955">
        <v>0</v>
      </c>
      <c r="AI955">
        <v>0</v>
      </c>
      <c r="AJ955">
        <v>0</v>
      </c>
      <c r="AK955">
        <v>3000</v>
      </c>
      <c r="AL955">
        <v>0</v>
      </c>
      <c r="AM955">
        <v>0</v>
      </c>
      <c r="AN955">
        <v>0</v>
      </c>
      <c r="AO955">
        <v>0</v>
      </c>
      <c r="AP955">
        <v>0</v>
      </c>
      <c r="AQ955">
        <v>0</v>
      </c>
      <c r="AR955">
        <v>0</v>
      </c>
      <c r="AS955">
        <v>0</v>
      </c>
      <c r="AT955">
        <v>0</v>
      </c>
      <c r="AU955">
        <f t="shared" si="28"/>
        <v>0</v>
      </c>
      <c r="AV955">
        <f t="shared" si="29"/>
        <v>3000</v>
      </c>
    </row>
    <row r="956" spans="1:48" x14ac:dyDescent="0.25">
      <c r="A956" t="s">
        <v>4775</v>
      </c>
      <c r="C956" t="s">
        <v>4776</v>
      </c>
      <c r="D956" t="s">
        <v>4136</v>
      </c>
      <c r="E956" t="s">
        <v>2310</v>
      </c>
      <c r="F956">
        <v>15</v>
      </c>
      <c r="G956">
        <v>15.3</v>
      </c>
      <c r="H956" t="s">
        <v>2022</v>
      </c>
      <c r="I956" s="21">
        <v>38083</v>
      </c>
      <c r="J956">
        <v>2004</v>
      </c>
      <c r="K956" s="21">
        <v>38104</v>
      </c>
      <c r="L956">
        <v>2004</v>
      </c>
      <c r="M956" s="21">
        <v>38519</v>
      </c>
      <c r="N956">
        <v>2005</v>
      </c>
      <c r="R956" s="262">
        <v>22000</v>
      </c>
      <c r="S956" t="s">
        <v>114</v>
      </c>
      <c r="T956" t="s">
        <v>114</v>
      </c>
      <c r="U956">
        <v>1</v>
      </c>
      <c r="W956">
        <v>272</v>
      </c>
      <c r="X956">
        <v>0</v>
      </c>
      <c r="Y956">
        <v>272</v>
      </c>
      <c r="Z956">
        <v>0</v>
      </c>
      <c r="AA956">
        <v>0</v>
      </c>
      <c r="AB956">
        <v>0</v>
      </c>
      <c r="AC956">
        <v>0</v>
      </c>
      <c r="AD956">
        <v>0</v>
      </c>
      <c r="AE956">
        <v>0</v>
      </c>
      <c r="AF956">
        <v>0</v>
      </c>
      <c r="AG956">
        <v>0</v>
      </c>
      <c r="AH956">
        <v>0</v>
      </c>
      <c r="AI956">
        <v>0</v>
      </c>
      <c r="AJ956">
        <v>0</v>
      </c>
      <c r="AK956">
        <v>0</v>
      </c>
      <c r="AL956">
        <v>0</v>
      </c>
      <c r="AM956">
        <v>0</v>
      </c>
      <c r="AN956">
        <v>0</v>
      </c>
      <c r="AO956">
        <v>0</v>
      </c>
      <c r="AP956">
        <v>0</v>
      </c>
      <c r="AQ956">
        <v>0</v>
      </c>
      <c r="AR956">
        <v>0</v>
      </c>
      <c r="AS956">
        <v>0</v>
      </c>
      <c r="AT956">
        <v>0</v>
      </c>
      <c r="AU956">
        <f t="shared" si="28"/>
        <v>0</v>
      </c>
      <c r="AV956">
        <f t="shared" si="29"/>
        <v>272</v>
      </c>
    </row>
    <row r="957" spans="1:48" x14ac:dyDescent="0.25">
      <c r="A957" t="s">
        <v>4777</v>
      </c>
      <c r="C957" t="s">
        <v>4778</v>
      </c>
      <c r="D957" t="s">
        <v>4779</v>
      </c>
      <c r="E957" t="s">
        <v>2310</v>
      </c>
      <c r="F957">
        <v>8</v>
      </c>
      <c r="G957">
        <v>8.1999999999999993</v>
      </c>
      <c r="H957" t="s">
        <v>2022</v>
      </c>
      <c r="I957" s="21">
        <v>38083</v>
      </c>
      <c r="J957">
        <v>2004</v>
      </c>
      <c r="R957" s="262">
        <v>12000</v>
      </c>
      <c r="S957" t="s">
        <v>114</v>
      </c>
      <c r="T957" t="s">
        <v>114</v>
      </c>
      <c r="U957">
        <v>5</v>
      </c>
      <c r="W957">
        <v>60</v>
      </c>
      <c r="X957">
        <v>0</v>
      </c>
      <c r="Y957">
        <v>0</v>
      </c>
      <c r="Z957">
        <v>0</v>
      </c>
      <c r="AA957">
        <v>0</v>
      </c>
      <c r="AB957">
        <v>0</v>
      </c>
      <c r="AC957">
        <v>60</v>
      </c>
      <c r="AD957">
        <v>0</v>
      </c>
      <c r="AE957">
        <v>0</v>
      </c>
      <c r="AF957">
        <v>0</v>
      </c>
      <c r="AG957">
        <v>0</v>
      </c>
      <c r="AH957">
        <v>0</v>
      </c>
      <c r="AI957">
        <v>0</v>
      </c>
      <c r="AJ957">
        <v>0</v>
      </c>
      <c r="AK957">
        <v>0</v>
      </c>
      <c r="AL957">
        <v>0</v>
      </c>
      <c r="AM957">
        <v>0</v>
      </c>
      <c r="AN957">
        <v>0</v>
      </c>
      <c r="AO957">
        <v>0</v>
      </c>
      <c r="AP957">
        <v>0</v>
      </c>
      <c r="AQ957">
        <v>0</v>
      </c>
      <c r="AR957">
        <v>0</v>
      </c>
      <c r="AS957">
        <v>0</v>
      </c>
      <c r="AT957">
        <v>0</v>
      </c>
      <c r="AU957">
        <f t="shared" si="28"/>
        <v>0</v>
      </c>
      <c r="AV957">
        <f t="shared" si="29"/>
        <v>0</v>
      </c>
    </row>
    <row r="958" spans="1:48" x14ac:dyDescent="0.25">
      <c r="A958" t="s">
        <v>4780</v>
      </c>
      <c r="C958" t="s">
        <v>4781</v>
      </c>
      <c r="D958" t="s">
        <v>4782</v>
      </c>
      <c r="E958" t="s">
        <v>2310</v>
      </c>
      <c r="F958">
        <v>9</v>
      </c>
      <c r="G958">
        <v>9.1999999999999993</v>
      </c>
      <c r="H958" t="s">
        <v>2022</v>
      </c>
      <c r="I958" s="21">
        <v>38083</v>
      </c>
      <c r="J958">
        <v>2004</v>
      </c>
      <c r="K958" s="21">
        <v>38155</v>
      </c>
      <c r="L958">
        <v>2004</v>
      </c>
      <c r="M958" s="21">
        <v>38967</v>
      </c>
      <c r="N958">
        <v>2006</v>
      </c>
      <c r="R958" s="262">
        <v>2075000</v>
      </c>
      <c r="S958" t="s">
        <v>114</v>
      </c>
      <c r="T958" t="s">
        <v>114</v>
      </c>
      <c r="U958">
        <v>5</v>
      </c>
      <c r="W958">
        <v>7440</v>
      </c>
      <c r="X958">
        <v>1</v>
      </c>
      <c r="Y958">
        <v>0</v>
      </c>
      <c r="Z958">
        <v>0</v>
      </c>
      <c r="AA958">
        <v>0</v>
      </c>
      <c r="AB958">
        <v>0</v>
      </c>
      <c r="AC958">
        <v>7440</v>
      </c>
      <c r="AD958">
        <v>0</v>
      </c>
      <c r="AE958">
        <v>0</v>
      </c>
      <c r="AF958">
        <v>0</v>
      </c>
      <c r="AG958">
        <v>0</v>
      </c>
      <c r="AH958">
        <v>0</v>
      </c>
      <c r="AI958">
        <v>0</v>
      </c>
      <c r="AJ958">
        <v>0</v>
      </c>
      <c r="AK958">
        <v>0</v>
      </c>
      <c r="AL958">
        <v>0</v>
      </c>
      <c r="AM958">
        <v>0</v>
      </c>
      <c r="AN958">
        <v>0</v>
      </c>
      <c r="AO958">
        <v>1</v>
      </c>
      <c r="AP958">
        <v>0</v>
      </c>
      <c r="AQ958">
        <v>0</v>
      </c>
      <c r="AR958">
        <v>0</v>
      </c>
      <c r="AS958">
        <v>0</v>
      </c>
      <c r="AT958">
        <v>0</v>
      </c>
      <c r="AU958">
        <f t="shared" si="28"/>
        <v>1</v>
      </c>
      <c r="AV958">
        <f t="shared" si="29"/>
        <v>0</v>
      </c>
    </row>
    <row r="959" spans="1:48" x14ac:dyDescent="0.25">
      <c r="A959" t="s">
        <v>4783</v>
      </c>
      <c r="C959" t="s">
        <v>4784</v>
      </c>
      <c r="D959" t="s">
        <v>4782</v>
      </c>
      <c r="E959" t="s">
        <v>2310</v>
      </c>
      <c r="F959">
        <v>9</v>
      </c>
      <c r="G959">
        <v>9.1999999999999993</v>
      </c>
      <c r="H959" t="s">
        <v>2022</v>
      </c>
      <c r="I959" s="21">
        <v>38083</v>
      </c>
      <c r="J959">
        <v>2004</v>
      </c>
      <c r="K959" s="21">
        <v>38156</v>
      </c>
      <c r="L959">
        <v>2004</v>
      </c>
      <c r="M959" s="21">
        <v>39034</v>
      </c>
      <c r="N959">
        <v>2006</v>
      </c>
      <c r="R959" s="262">
        <v>425000</v>
      </c>
      <c r="S959" t="s">
        <v>114</v>
      </c>
      <c r="T959" t="s">
        <v>114</v>
      </c>
      <c r="U959">
        <v>8</v>
      </c>
      <c r="W959">
        <v>1608</v>
      </c>
      <c r="X959">
        <v>1</v>
      </c>
      <c r="Y959">
        <v>0</v>
      </c>
      <c r="Z959">
        <v>0</v>
      </c>
      <c r="AA959">
        <v>0</v>
      </c>
      <c r="AB959">
        <v>0</v>
      </c>
      <c r="AC959">
        <v>623</v>
      </c>
      <c r="AD959">
        <v>0</v>
      </c>
      <c r="AE959">
        <v>0</v>
      </c>
      <c r="AF959">
        <v>985</v>
      </c>
      <c r="AG959">
        <v>0</v>
      </c>
      <c r="AH959">
        <v>0</v>
      </c>
      <c r="AI959">
        <v>0</v>
      </c>
      <c r="AJ959">
        <v>0</v>
      </c>
      <c r="AK959">
        <v>0</v>
      </c>
      <c r="AL959">
        <v>0</v>
      </c>
      <c r="AM959">
        <v>0</v>
      </c>
      <c r="AN959">
        <v>0</v>
      </c>
      <c r="AO959">
        <v>0</v>
      </c>
      <c r="AP959">
        <v>0</v>
      </c>
      <c r="AQ959">
        <v>0</v>
      </c>
      <c r="AR959">
        <v>1</v>
      </c>
      <c r="AS959">
        <v>0</v>
      </c>
      <c r="AT959">
        <v>0</v>
      </c>
      <c r="AU959">
        <f t="shared" si="28"/>
        <v>0</v>
      </c>
      <c r="AV959">
        <f t="shared" si="29"/>
        <v>0</v>
      </c>
    </row>
    <row r="960" spans="1:48" x14ac:dyDescent="0.25">
      <c r="A960" t="s">
        <v>4785</v>
      </c>
      <c r="C960" t="s">
        <v>4786</v>
      </c>
      <c r="D960" t="s">
        <v>4787</v>
      </c>
      <c r="E960" t="s">
        <v>2310</v>
      </c>
      <c r="F960">
        <v>9</v>
      </c>
      <c r="G960">
        <v>9.1</v>
      </c>
      <c r="H960" t="s">
        <v>2323</v>
      </c>
      <c r="I960" s="21">
        <v>38084</v>
      </c>
      <c r="J960">
        <v>2004</v>
      </c>
      <c r="K960" s="21">
        <v>38117</v>
      </c>
      <c r="L960">
        <v>2004</v>
      </c>
      <c r="M960" s="21">
        <v>38117</v>
      </c>
      <c r="N960">
        <v>2004</v>
      </c>
      <c r="R960" s="262">
        <v>4000</v>
      </c>
      <c r="S960" t="s">
        <v>114</v>
      </c>
      <c r="T960" t="s">
        <v>114</v>
      </c>
      <c r="U960">
        <v>5</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c r="AQ960">
        <v>0</v>
      </c>
      <c r="AR960">
        <v>0</v>
      </c>
      <c r="AS960">
        <v>0</v>
      </c>
      <c r="AT960">
        <v>0</v>
      </c>
      <c r="AU960">
        <f t="shared" si="28"/>
        <v>0</v>
      </c>
      <c r="AV960">
        <f t="shared" si="29"/>
        <v>0</v>
      </c>
    </row>
    <row r="961" spans="1:48" x14ac:dyDescent="0.25">
      <c r="A961" t="s">
        <v>4788</v>
      </c>
      <c r="C961" t="s">
        <v>4789</v>
      </c>
      <c r="D961" t="s">
        <v>4790</v>
      </c>
      <c r="E961" t="s">
        <v>2310</v>
      </c>
      <c r="F961">
        <v>8</v>
      </c>
      <c r="G961">
        <v>8.3000000000000007</v>
      </c>
      <c r="H961" t="s">
        <v>2323</v>
      </c>
      <c r="I961" s="21">
        <v>38084</v>
      </c>
      <c r="J961">
        <v>2004</v>
      </c>
      <c r="K961" s="21">
        <v>38140</v>
      </c>
      <c r="L961">
        <v>2004</v>
      </c>
      <c r="M961" s="21">
        <v>38308</v>
      </c>
      <c r="N961">
        <v>2004</v>
      </c>
      <c r="R961" s="262">
        <v>78000</v>
      </c>
      <c r="S961" t="s">
        <v>114</v>
      </c>
      <c r="T961" t="s">
        <v>114</v>
      </c>
      <c r="U961">
        <v>5</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c r="AQ961">
        <v>0</v>
      </c>
      <c r="AR961">
        <v>0</v>
      </c>
      <c r="AS961">
        <v>0</v>
      </c>
      <c r="AT961">
        <v>0</v>
      </c>
      <c r="AU961">
        <f t="shared" si="28"/>
        <v>0</v>
      </c>
      <c r="AV961">
        <f t="shared" si="29"/>
        <v>0</v>
      </c>
    </row>
    <row r="962" spans="1:48" x14ac:dyDescent="0.25">
      <c r="A962" t="s">
        <v>4791</v>
      </c>
      <c r="C962" t="s">
        <v>4792</v>
      </c>
      <c r="D962" t="s">
        <v>4793</v>
      </c>
      <c r="E962" t="s">
        <v>2310</v>
      </c>
      <c r="F962">
        <v>9</v>
      </c>
      <c r="G962">
        <v>9.3000000000000007</v>
      </c>
      <c r="H962" t="s">
        <v>2323</v>
      </c>
      <c r="I962" s="21">
        <v>38084</v>
      </c>
      <c r="J962">
        <v>2004</v>
      </c>
      <c r="K962" s="21">
        <v>38117</v>
      </c>
      <c r="L962">
        <v>2004</v>
      </c>
      <c r="M962" s="21">
        <v>39041</v>
      </c>
      <c r="N962">
        <v>2006</v>
      </c>
      <c r="R962" s="262">
        <v>42500</v>
      </c>
      <c r="S962" t="s">
        <v>114</v>
      </c>
      <c r="T962" t="s">
        <v>114</v>
      </c>
      <c r="U962">
        <v>5</v>
      </c>
      <c r="W962">
        <v>960</v>
      </c>
      <c r="X962">
        <v>0</v>
      </c>
      <c r="Y962">
        <v>0</v>
      </c>
      <c r="Z962">
        <v>0</v>
      </c>
      <c r="AA962">
        <v>0</v>
      </c>
      <c r="AB962">
        <v>0</v>
      </c>
      <c r="AC962">
        <v>960</v>
      </c>
      <c r="AD962">
        <v>0</v>
      </c>
      <c r="AE962">
        <v>0</v>
      </c>
      <c r="AF962">
        <v>0</v>
      </c>
      <c r="AG962">
        <v>0</v>
      </c>
      <c r="AH962">
        <v>0</v>
      </c>
      <c r="AI962">
        <v>0</v>
      </c>
      <c r="AJ962">
        <v>0</v>
      </c>
      <c r="AK962">
        <v>0</v>
      </c>
      <c r="AL962">
        <v>0</v>
      </c>
      <c r="AM962">
        <v>0</v>
      </c>
      <c r="AN962">
        <v>0</v>
      </c>
      <c r="AO962">
        <v>0</v>
      </c>
      <c r="AP962">
        <v>0</v>
      </c>
      <c r="AQ962">
        <v>0</v>
      </c>
      <c r="AR962">
        <v>0</v>
      </c>
      <c r="AS962">
        <v>0</v>
      </c>
      <c r="AT962">
        <v>0</v>
      </c>
      <c r="AU962">
        <f t="shared" si="28"/>
        <v>0</v>
      </c>
      <c r="AV962">
        <f t="shared" si="29"/>
        <v>0</v>
      </c>
    </row>
    <row r="963" spans="1:48" x14ac:dyDescent="0.25">
      <c r="A963" t="s">
        <v>4794</v>
      </c>
      <c r="C963" t="s">
        <v>4795</v>
      </c>
      <c r="D963" t="s">
        <v>4796</v>
      </c>
      <c r="E963" t="s">
        <v>2310</v>
      </c>
      <c r="F963">
        <v>15</v>
      </c>
      <c r="G963">
        <v>15.2</v>
      </c>
      <c r="H963" t="s">
        <v>2323</v>
      </c>
      <c r="I963" s="21">
        <v>38085</v>
      </c>
      <c r="J963">
        <v>2004</v>
      </c>
      <c r="K963" s="21">
        <v>38119</v>
      </c>
      <c r="L963">
        <v>2004</v>
      </c>
      <c r="M963" s="21">
        <v>38119</v>
      </c>
      <c r="N963">
        <v>2004</v>
      </c>
      <c r="R963" s="262">
        <v>100000</v>
      </c>
      <c r="S963" t="s">
        <v>114</v>
      </c>
      <c r="T963" t="s">
        <v>114</v>
      </c>
      <c r="U963">
        <v>5</v>
      </c>
      <c r="W963">
        <v>320</v>
      </c>
      <c r="X963">
        <v>0</v>
      </c>
      <c r="Y963">
        <v>0</v>
      </c>
      <c r="Z963">
        <v>0</v>
      </c>
      <c r="AA963">
        <v>0</v>
      </c>
      <c r="AB963">
        <v>0</v>
      </c>
      <c r="AC963">
        <v>320</v>
      </c>
      <c r="AD963">
        <v>0</v>
      </c>
      <c r="AE963">
        <v>0</v>
      </c>
      <c r="AF963">
        <v>0</v>
      </c>
      <c r="AG963">
        <v>0</v>
      </c>
      <c r="AH963">
        <v>0</v>
      </c>
      <c r="AI963">
        <v>0</v>
      </c>
      <c r="AJ963">
        <v>0</v>
      </c>
      <c r="AK963">
        <v>0</v>
      </c>
      <c r="AL963">
        <v>0</v>
      </c>
      <c r="AM963">
        <v>0</v>
      </c>
      <c r="AN963">
        <v>0</v>
      </c>
      <c r="AO963">
        <v>0</v>
      </c>
      <c r="AP963">
        <v>0</v>
      </c>
      <c r="AQ963">
        <v>0</v>
      </c>
      <c r="AR963">
        <v>0</v>
      </c>
      <c r="AS963">
        <v>0</v>
      </c>
      <c r="AT963">
        <v>0</v>
      </c>
      <c r="AU963">
        <f t="shared" si="28"/>
        <v>0</v>
      </c>
      <c r="AV963">
        <f t="shared" si="29"/>
        <v>0</v>
      </c>
    </row>
    <row r="964" spans="1:48" x14ac:dyDescent="0.25">
      <c r="A964" t="s">
        <v>4797</v>
      </c>
      <c r="C964" t="s">
        <v>4798</v>
      </c>
      <c r="D964" t="s">
        <v>4799</v>
      </c>
      <c r="E964" t="s">
        <v>2310</v>
      </c>
      <c r="F964">
        <v>15</v>
      </c>
      <c r="G964">
        <v>15.1</v>
      </c>
      <c r="H964" t="s">
        <v>2022</v>
      </c>
      <c r="I964" s="21">
        <v>38085</v>
      </c>
      <c r="J964">
        <v>2004</v>
      </c>
      <c r="K964" s="21">
        <v>38117</v>
      </c>
      <c r="L964">
        <v>2004</v>
      </c>
      <c r="M964" s="21">
        <v>38117</v>
      </c>
      <c r="N964">
        <v>2004</v>
      </c>
      <c r="R964" s="262">
        <v>60000</v>
      </c>
      <c r="S964" t="s">
        <v>114</v>
      </c>
      <c r="T964" t="s">
        <v>114</v>
      </c>
      <c r="U964">
        <v>10</v>
      </c>
      <c r="W964">
        <v>0</v>
      </c>
      <c r="X964">
        <v>0</v>
      </c>
      <c r="Y964">
        <v>0</v>
      </c>
      <c r="Z964">
        <v>0</v>
      </c>
      <c r="AA964">
        <v>0</v>
      </c>
      <c r="AB964">
        <v>0</v>
      </c>
      <c r="AC964">
        <v>0</v>
      </c>
      <c r="AD964">
        <v>0</v>
      </c>
      <c r="AE964">
        <v>0</v>
      </c>
      <c r="AF964">
        <v>0</v>
      </c>
      <c r="AG964">
        <v>0</v>
      </c>
      <c r="AH964">
        <v>0</v>
      </c>
      <c r="AI964">
        <v>0</v>
      </c>
      <c r="AJ964">
        <v>0</v>
      </c>
      <c r="AK964">
        <v>0</v>
      </c>
      <c r="AL964">
        <v>0</v>
      </c>
      <c r="AM964">
        <v>0</v>
      </c>
      <c r="AN964">
        <v>0</v>
      </c>
      <c r="AO964">
        <v>0</v>
      </c>
      <c r="AP964">
        <v>0</v>
      </c>
      <c r="AQ964">
        <v>0</v>
      </c>
      <c r="AR964">
        <v>0</v>
      </c>
      <c r="AS964">
        <v>0</v>
      </c>
      <c r="AT964">
        <v>0</v>
      </c>
      <c r="AU964">
        <f t="shared" si="28"/>
        <v>0</v>
      </c>
      <c r="AV964">
        <f t="shared" si="29"/>
        <v>0</v>
      </c>
    </row>
    <row r="965" spans="1:48" x14ac:dyDescent="0.25">
      <c r="A965" t="s">
        <v>4800</v>
      </c>
      <c r="C965" t="s">
        <v>4801</v>
      </c>
      <c r="D965" t="s">
        <v>4802</v>
      </c>
      <c r="E965" t="s">
        <v>2310</v>
      </c>
      <c r="F965">
        <v>11</v>
      </c>
      <c r="G965">
        <v>11.3</v>
      </c>
      <c r="H965" t="s">
        <v>2017</v>
      </c>
      <c r="I965" s="21">
        <v>38089</v>
      </c>
      <c r="J965">
        <v>2004</v>
      </c>
      <c r="K965" s="21">
        <v>38119</v>
      </c>
      <c r="L965">
        <v>2004</v>
      </c>
      <c r="M965" s="21">
        <v>38527</v>
      </c>
      <c r="N965">
        <v>2005</v>
      </c>
      <c r="R965" s="262">
        <v>24000</v>
      </c>
      <c r="S965" t="s">
        <v>114</v>
      </c>
      <c r="T965" t="s">
        <v>114</v>
      </c>
      <c r="U965">
        <v>5</v>
      </c>
      <c r="W965">
        <v>420</v>
      </c>
      <c r="X965">
        <v>0</v>
      </c>
      <c r="Y965">
        <v>0</v>
      </c>
      <c r="Z965">
        <v>0</v>
      </c>
      <c r="AA965">
        <v>0</v>
      </c>
      <c r="AB965">
        <v>0</v>
      </c>
      <c r="AC965">
        <v>420</v>
      </c>
      <c r="AD965">
        <v>0</v>
      </c>
      <c r="AE965">
        <v>0</v>
      </c>
      <c r="AF965">
        <v>0</v>
      </c>
      <c r="AG965">
        <v>0</v>
      </c>
      <c r="AH965">
        <v>0</v>
      </c>
      <c r="AI965">
        <v>0</v>
      </c>
      <c r="AJ965">
        <v>0</v>
      </c>
      <c r="AK965">
        <v>0</v>
      </c>
      <c r="AL965">
        <v>0</v>
      </c>
      <c r="AM965">
        <v>0</v>
      </c>
      <c r="AN965">
        <v>0</v>
      </c>
      <c r="AO965">
        <v>0</v>
      </c>
      <c r="AP965">
        <v>0</v>
      </c>
      <c r="AQ965">
        <v>0</v>
      </c>
      <c r="AR965">
        <v>0</v>
      </c>
      <c r="AS965">
        <v>0</v>
      </c>
      <c r="AT965">
        <v>0</v>
      </c>
      <c r="AU965">
        <f t="shared" si="28"/>
        <v>0</v>
      </c>
      <c r="AV965">
        <f t="shared" si="29"/>
        <v>0</v>
      </c>
    </row>
    <row r="966" spans="1:48" x14ac:dyDescent="0.25">
      <c r="A966" t="s">
        <v>4803</v>
      </c>
      <c r="C966" t="s">
        <v>4804</v>
      </c>
      <c r="D966" t="s">
        <v>4805</v>
      </c>
      <c r="E966" t="s">
        <v>2310</v>
      </c>
      <c r="F966">
        <v>14</v>
      </c>
      <c r="G966">
        <v>14.2</v>
      </c>
      <c r="H966" t="s">
        <v>2017</v>
      </c>
      <c r="I966" s="21">
        <v>38089</v>
      </c>
      <c r="J966">
        <v>2004</v>
      </c>
      <c r="K966" s="21">
        <v>38120</v>
      </c>
      <c r="L966">
        <v>2004</v>
      </c>
      <c r="M966" s="21">
        <v>38798</v>
      </c>
      <c r="N966">
        <v>2006</v>
      </c>
      <c r="R966" s="262">
        <v>450000</v>
      </c>
      <c r="S966" t="s">
        <v>114</v>
      </c>
      <c r="T966" t="s">
        <v>114</v>
      </c>
      <c r="U966">
        <v>5</v>
      </c>
      <c r="W966">
        <v>3820</v>
      </c>
      <c r="X966">
        <v>1</v>
      </c>
      <c r="Y966">
        <v>0</v>
      </c>
      <c r="Z966">
        <v>0</v>
      </c>
      <c r="AA966">
        <v>0</v>
      </c>
      <c r="AB966">
        <v>0</v>
      </c>
      <c r="AC966">
        <v>3820</v>
      </c>
      <c r="AD966">
        <v>0</v>
      </c>
      <c r="AE966">
        <v>0</v>
      </c>
      <c r="AF966">
        <v>0</v>
      </c>
      <c r="AG966">
        <v>0</v>
      </c>
      <c r="AH966">
        <v>0</v>
      </c>
      <c r="AI966">
        <v>0</v>
      </c>
      <c r="AJ966">
        <v>0</v>
      </c>
      <c r="AK966">
        <v>0</v>
      </c>
      <c r="AL966">
        <v>0</v>
      </c>
      <c r="AM966">
        <v>0</v>
      </c>
      <c r="AN966">
        <v>0</v>
      </c>
      <c r="AO966">
        <v>1</v>
      </c>
      <c r="AP966">
        <v>0</v>
      </c>
      <c r="AQ966">
        <v>0</v>
      </c>
      <c r="AR966">
        <v>0</v>
      </c>
      <c r="AS966">
        <v>0</v>
      </c>
      <c r="AT966">
        <v>0</v>
      </c>
      <c r="AU966">
        <f t="shared" si="28"/>
        <v>1</v>
      </c>
      <c r="AV966">
        <f t="shared" si="29"/>
        <v>0</v>
      </c>
    </row>
    <row r="967" spans="1:48" x14ac:dyDescent="0.25">
      <c r="A967" t="s">
        <v>4806</v>
      </c>
      <c r="C967" t="s">
        <v>4034</v>
      </c>
      <c r="D967" t="s">
        <v>4807</v>
      </c>
      <c r="E967" t="s">
        <v>2310</v>
      </c>
      <c r="F967">
        <v>9</v>
      </c>
      <c r="G967">
        <v>9.4</v>
      </c>
      <c r="H967" t="s">
        <v>2323</v>
      </c>
      <c r="I967" s="21">
        <v>38089</v>
      </c>
      <c r="J967">
        <v>2004</v>
      </c>
      <c r="K967" s="21">
        <v>38128</v>
      </c>
      <c r="L967">
        <v>2004</v>
      </c>
      <c r="M967" s="21">
        <v>38765</v>
      </c>
      <c r="N967">
        <v>2006</v>
      </c>
      <c r="R967" s="262">
        <v>2000000</v>
      </c>
      <c r="S967" t="s">
        <v>114</v>
      </c>
      <c r="T967" t="s">
        <v>114</v>
      </c>
      <c r="U967">
        <v>5</v>
      </c>
      <c r="W967">
        <v>9268</v>
      </c>
      <c r="X967">
        <v>1</v>
      </c>
      <c r="Y967">
        <v>0</v>
      </c>
      <c r="Z967">
        <v>0</v>
      </c>
      <c r="AA967">
        <v>0</v>
      </c>
      <c r="AB967">
        <v>0</v>
      </c>
      <c r="AC967">
        <v>9268</v>
      </c>
      <c r="AD967">
        <v>0</v>
      </c>
      <c r="AE967">
        <v>0</v>
      </c>
      <c r="AF967">
        <v>0</v>
      </c>
      <c r="AG967">
        <v>0</v>
      </c>
      <c r="AH967">
        <v>0</v>
      </c>
      <c r="AI967">
        <v>0</v>
      </c>
      <c r="AJ967">
        <v>0</v>
      </c>
      <c r="AK967">
        <v>0</v>
      </c>
      <c r="AL967">
        <v>0</v>
      </c>
      <c r="AM967">
        <v>0</v>
      </c>
      <c r="AN967">
        <v>0</v>
      </c>
      <c r="AO967">
        <v>1</v>
      </c>
      <c r="AP967">
        <v>0</v>
      </c>
      <c r="AQ967">
        <v>0</v>
      </c>
      <c r="AR967">
        <v>0</v>
      </c>
      <c r="AS967">
        <v>0</v>
      </c>
      <c r="AT967">
        <v>0</v>
      </c>
      <c r="AU967">
        <f t="shared" si="28"/>
        <v>1</v>
      </c>
      <c r="AV967">
        <f t="shared" si="29"/>
        <v>0</v>
      </c>
    </row>
    <row r="968" spans="1:48" x14ac:dyDescent="0.25">
      <c r="A968" t="s">
        <v>4808</v>
      </c>
      <c r="C968" t="s">
        <v>4809</v>
      </c>
      <c r="D968" t="s">
        <v>4810</v>
      </c>
      <c r="E968" t="s">
        <v>2310</v>
      </c>
      <c r="F968">
        <v>7</v>
      </c>
      <c r="G968">
        <v>7.2</v>
      </c>
      <c r="H968" t="s">
        <v>2017</v>
      </c>
      <c r="I968" s="21">
        <v>38089</v>
      </c>
      <c r="J968">
        <v>2004</v>
      </c>
      <c r="K968" s="21">
        <v>38105</v>
      </c>
      <c r="L968">
        <v>2004</v>
      </c>
      <c r="M968" s="21">
        <v>38271</v>
      </c>
      <c r="N968">
        <v>2004</v>
      </c>
      <c r="R968" s="262">
        <v>212276</v>
      </c>
      <c r="S968" t="s">
        <v>114</v>
      </c>
      <c r="T968" t="s">
        <v>114</v>
      </c>
      <c r="U968">
        <v>5</v>
      </c>
      <c r="W968">
        <v>3623</v>
      </c>
      <c r="X968">
        <v>1</v>
      </c>
      <c r="Y968">
        <v>0</v>
      </c>
      <c r="Z968">
        <v>0</v>
      </c>
      <c r="AA968">
        <v>0</v>
      </c>
      <c r="AB968">
        <v>0</v>
      </c>
      <c r="AC968">
        <v>3623</v>
      </c>
      <c r="AD968">
        <v>0</v>
      </c>
      <c r="AE968">
        <v>0</v>
      </c>
      <c r="AF968">
        <v>0</v>
      </c>
      <c r="AG968">
        <v>0</v>
      </c>
      <c r="AH968">
        <v>0</v>
      </c>
      <c r="AI968">
        <v>0</v>
      </c>
      <c r="AJ968">
        <v>0</v>
      </c>
      <c r="AK968">
        <v>0</v>
      </c>
      <c r="AL968">
        <v>0</v>
      </c>
      <c r="AM968">
        <v>0</v>
      </c>
      <c r="AN968">
        <v>0</v>
      </c>
      <c r="AO968">
        <v>1</v>
      </c>
      <c r="AP968">
        <v>0</v>
      </c>
      <c r="AQ968">
        <v>0</v>
      </c>
      <c r="AR968">
        <v>0</v>
      </c>
      <c r="AS968">
        <v>0</v>
      </c>
      <c r="AT968">
        <v>0</v>
      </c>
      <c r="AU968">
        <f t="shared" si="28"/>
        <v>1</v>
      </c>
      <c r="AV968">
        <f t="shared" si="29"/>
        <v>0</v>
      </c>
    </row>
    <row r="969" spans="1:48" x14ac:dyDescent="0.25">
      <c r="A969" t="s">
        <v>4811</v>
      </c>
      <c r="C969" t="s">
        <v>4812</v>
      </c>
      <c r="D969" t="s">
        <v>4813</v>
      </c>
      <c r="E969" t="s">
        <v>2310</v>
      </c>
      <c r="F969">
        <v>10</v>
      </c>
      <c r="G969">
        <v>10.1</v>
      </c>
      <c r="H969" t="s">
        <v>2323</v>
      </c>
      <c r="I969" s="21">
        <v>38089</v>
      </c>
      <c r="J969">
        <v>2004</v>
      </c>
      <c r="K969" s="21">
        <v>38117</v>
      </c>
      <c r="L969">
        <v>2004</v>
      </c>
      <c r="M969" s="21">
        <v>38117</v>
      </c>
      <c r="N969">
        <v>2004</v>
      </c>
      <c r="R969" s="262">
        <v>61400</v>
      </c>
      <c r="S969" t="s">
        <v>114</v>
      </c>
      <c r="T969" t="s">
        <v>114</v>
      </c>
      <c r="U969">
        <v>5</v>
      </c>
      <c r="W969">
        <v>744</v>
      </c>
      <c r="X969">
        <v>0</v>
      </c>
      <c r="Y969">
        <v>0</v>
      </c>
      <c r="Z969">
        <v>0</v>
      </c>
      <c r="AA969">
        <v>0</v>
      </c>
      <c r="AB969">
        <v>0</v>
      </c>
      <c r="AC969">
        <v>744</v>
      </c>
      <c r="AD969">
        <v>0</v>
      </c>
      <c r="AE969">
        <v>0</v>
      </c>
      <c r="AF969">
        <v>0</v>
      </c>
      <c r="AG969">
        <v>0</v>
      </c>
      <c r="AH969">
        <v>0</v>
      </c>
      <c r="AI969">
        <v>0</v>
      </c>
      <c r="AJ969">
        <v>0</v>
      </c>
      <c r="AK969">
        <v>0</v>
      </c>
      <c r="AL969">
        <v>0</v>
      </c>
      <c r="AM969">
        <v>0</v>
      </c>
      <c r="AN969">
        <v>0</v>
      </c>
      <c r="AO969">
        <v>0</v>
      </c>
      <c r="AP969">
        <v>0</v>
      </c>
      <c r="AQ969">
        <v>0</v>
      </c>
      <c r="AR969">
        <v>0</v>
      </c>
      <c r="AS969">
        <v>0</v>
      </c>
      <c r="AT969">
        <v>0</v>
      </c>
      <c r="AU969">
        <f t="shared" si="28"/>
        <v>0</v>
      </c>
      <c r="AV969">
        <f t="shared" si="29"/>
        <v>0</v>
      </c>
    </row>
    <row r="970" spans="1:48" x14ac:dyDescent="0.25">
      <c r="A970" t="s">
        <v>4814</v>
      </c>
      <c r="C970" t="s">
        <v>4815</v>
      </c>
      <c r="D970" t="s">
        <v>4816</v>
      </c>
      <c r="E970" t="s">
        <v>2310</v>
      </c>
      <c r="F970">
        <v>10</v>
      </c>
      <c r="G970">
        <v>10.1</v>
      </c>
      <c r="H970" t="s">
        <v>2323</v>
      </c>
      <c r="I970" s="21">
        <v>38089</v>
      </c>
      <c r="J970">
        <v>2004</v>
      </c>
      <c r="K970" s="21">
        <v>38119</v>
      </c>
      <c r="L970">
        <v>2004</v>
      </c>
      <c r="M970" s="21">
        <v>38384</v>
      </c>
      <c r="N970">
        <v>2005</v>
      </c>
      <c r="R970" s="262">
        <v>120000</v>
      </c>
      <c r="S970" t="s">
        <v>114</v>
      </c>
      <c r="T970" t="s">
        <v>114</v>
      </c>
      <c r="U970">
        <v>5</v>
      </c>
      <c r="W970">
        <v>1609</v>
      </c>
      <c r="X970">
        <v>1</v>
      </c>
      <c r="Y970">
        <v>0</v>
      </c>
      <c r="Z970">
        <v>0</v>
      </c>
      <c r="AA970">
        <v>0</v>
      </c>
      <c r="AB970">
        <v>0</v>
      </c>
      <c r="AC970">
        <v>1609</v>
      </c>
      <c r="AD970">
        <v>0</v>
      </c>
      <c r="AE970">
        <v>0</v>
      </c>
      <c r="AF970">
        <v>0</v>
      </c>
      <c r="AG970">
        <v>0</v>
      </c>
      <c r="AH970">
        <v>0</v>
      </c>
      <c r="AI970">
        <v>0</v>
      </c>
      <c r="AJ970">
        <v>0</v>
      </c>
      <c r="AK970">
        <v>0</v>
      </c>
      <c r="AL970">
        <v>0</v>
      </c>
      <c r="AM970">
        <v>0</v>
      </c>
      <c r="AN970">
        <v>0</v>
      </c>
      <c r="AO970">
        <v>1</v>
      </c>
      <c r="AP970">
        <v>0</v>
      </c>
      <c r="AQ970">
        <v>0</v>
      </c>
      <c r="AR970">
        <v>0</v>
      </c>
      <c r="AS970">
        <v>0</v>
      </c>
      <c r="AT970">
        <v>0</v>
      </c>
      <c r="AU970">
        <f t="shared" si="28"/>
        <v>1</v>
      </c>
      <c r="AV970">
        <f t="shared" si="29"/>
        <v>0</v>
      </c>
    </row>
    <row r="971" spans="1:48" x14ac:dyDescent="0.25">
      <c r="A971" t="s">
        <v>4817</v>
      </c>
      <c r="C971" t="s">
        <v>4818</v>
      </c>
      <c r="D971" t="s">
        <v>4819</v>
      </c>
      <c r="E971" t="s">
        <v>2310</v>
      </c>
      <c r="F971">
        <v>10</v>
      </c>
      <c r="G971">
        <v>10.1</v>
      </c>
      <c r="H971" t="s">
        <v>2323</v>
      </c>
      <c r="I971" s="21">
        <v>38090</v>
      </c>
      <c r="J971">
        <v>2004</v>
      </c>
      <c r="K971" s="21">
        <v>38119</v>
      </c>
      <c r="L971">
        <v>2004</v>
      </c>
      <c r="M971" s="21">
        <v>38274</v>
      </c>
      <c r="N971">
        <v>2004</v>
      </c>
      <c r="R971" s="262">
        <v>230000</v>
      </c>
      <c r="S971" t="s">
        <v>114</v>
      </c>
      <c r="T971" t="s">
        <v>114</v>
      </c>
      <c r="U971">
        <v>5</v>
      </c>
      <c r="W971">
        <v>3421</v>
      </c>
      <c r="X971">
        <v>1</v>
      </c>
      <c r="Y971">
        <v>0</v>
      </c>
      <c r="Z971">
        <v>0</v>
      </c>
      <c r="AA971">
        <v>0</v>
      </c>
      <c r="AB971">
        <v>0</v>
      </c>
      <c r="AC971">
        <v>3421</v>
      </c>
      <c r="AD971">
        <v>0</v>
      </c>
      <c r="AE971">
        <v>0</v>
      </c>
      <c r="AF971">
        <v>0</v>
      </c>
      <c r="AG971">
        <v>0</v>
      </c>
      <c r="AH971">
        <v>0</v>
      </c>
      <c r="AI971">
        <v>0</v>
      </c>
      <c r="AJ971">
        <v>0</v>
      </c>
      <c r="AK971">
        <v>0</v>
      </c>
      <c r="AL971">
        <v>0</v>
      </c>
      <c r="AM971">
        <v>0</v>
      </c>
      <c r="AN971">
        <v>0</v>
      </c>
      <c r="AO971">
        <v>1</v>
      </c>
      <c r="AP971">
        <v>0</v>
      </c>
      <c r="AQ971">
        <v>0</v>
      </c>
      <c r="AR971">
        <v>0</v>
      </c>
      <c r="AS971">
        <v>0</v>
      </c>
      <c r="AT971">
        <v>0</v>
      </c>
      <c r="AU971">
        <f t="shared" si="28"/>
        <v>1</v>
      </c>
      <c r="AV971">
        <f t="shared" si="29"/>
        <v>0</v>
      </c>
    </row>
    <row r="972" spans="1:48" x14ac:dyDescent="0.25">
      <c r="A972" t="s">
        <v>4820</v>
      </c>
      <c r="C972" t="s">
        <v>4821</v>
      </c>
      <c r="D972" t="s">
        <v>4822</v>
      </c>
      <c r="E972" t="s">
        <v>2310</v>
      </c>
      <c r="F972">
        <v>10</v>
      </c>
      <c r="G972">
        <v>10.1</v>
      </c>
      <c r="H972" t="s">
        <v>2323</v>
      </c>
      <c r="I972" s="21">
        <v>38090</v>
      </c>
      <c r="J972">
        <v>2004</v>
      </c>
      <c r="K972" s="21">
        <v>38118</v>
      </c>
      <c r="L972">
        <v>2004</v>
      </c>
      <c r="M972" s="21">
        <v>38967</v>
      </c>
      <c r="N972">
        <v>2006</v>
      </c>
      <c r="R972" s="262">
        <v>55000</v>
      </c>
      <c r="S972" t="s">
        <v>114</v>
      </c>
      <c r="T972" t="s">
        <v>114</v>
      </c>
      <c r="U972">
        <v>5</v>
      </c>
      <c r="W972">
        <v>2152</v>
      </c>
      <c r="X972">
        <v>1</v>
      </c>
      <c r="Y972">
        <v>0</v>
      </c>
      <c r="Z972">
        <v>0</v>
      </c>
      <c r="AA972">
        <v>0</v>
      </c>
      <c r="AB972">
        <v>0</v>
      </c>
      <c r="AC972">
        <v>2152</v>
      </c>
      <c r="AD972">
        <v>0</v>
      </c>
      <c r="AE972">
        <v>0</v>
      </c>
      <c r="AF972">
        <v>0</v>
      </c>
      <c r="AG972">
        <v>0</v>
      </c>
      <c r="AH972">
        <v>0</v>
      </c>
      <c r="AI972">
        <v>0</v>
      </c>
      <c r="AJ972">
        <v>0</v>
      </c>
      <c r="AK972">
        <v>0</v>
      </c>
      <c r="AL972">
        <v>0</v>
      </c>
      <c r="AM972">
        <v>0</v>
      </c>
      <c r="AN972">
        <v>0</v>
      </c>
      <c r="AO972">
        <v>1</v>
      </c>
      <c r="AP972">
        <v>0</v>
      </c>
      <c r="AQ972">
        <v>0</v>
      </c>
      <c r="AR972">
        <v>0</v>
      </c>
      <c r="AS972">
        <v>0</v>
      </c>
      <c r="AT972">
        <v>0</v>
      </c>
      <c r="AU972">
        <f t="shared" si="28"/>
        <v>1</v>
      </c>
      <c r="AV972">
        <f t="shared" si="29"/>
        <v>0</v>
      </c>
    </row>
    <row r="973" spans="1:48" x14ac:dyDescent="0.25">
      <c r="A973" t="s">
        <v>4823</v>
      </c>
      <c r="C973" t="s">
        <v>2924</v>
      </c>
      <c r="D973" t="s">
        <v>4822</v>
      </c>
      <c r="E973" t="s">
        <v>2310</v>
      </c>
      <c r="F973">
        <v>10</v>
      </c>
      <c r="G973">
        <v>10.1</v>
      </c>
      <c r="H973" t="s">
        <v>2323</v>
      </c>
      <c r="I973" s="21">
        <v>38090</v>
      </c>
      <c r="J973">
        <v>2004</v>
      </c>
      <c r="K973" s="21">
        <v>38118</v>
      </c>
      <c r="L973">
        <v>2004</v>
      </c>
      <c r="M973" s="21">
        <v>38967</v>
      </c>
      <c r="N973">
        <v>2006</v>
      </c>
      <c r="R973" s="262">
        <v>25000</v>
      </c>
      <c r="S973" t="s">
        <v>114</v>
      </c>
      <c r="T973" t="s">
        <v>114</v>
      </c>
      <c r="U973">
        <v>5</v>
      </c>
      <c r="W973">
        <v>1050</v>
      </c>
      <c r="X973">
        <v>0</v>
      </c>
      <c r="Y973">
        <v>0</v>
      </c>
      <c r="Z973">
        <v>0</v>
      </c>
      <c r="AA973">
        <v>0</v>
      </c>
      <c r="AB973">
        <v>0</v>
      </c>
      <c r="AC973">
        <v>1050</v>
      </c>
      <c r="AD973">
        <v>0</v>
      </c>
      <c r="AE973">
        <v>0</v>
      </c>
      <c r="AF973">
        <v>0</v>
      </c>
      <c r="AG973">
        <v>0</v>
      </c>
      <c r="AH973">
        <v>0</v>
      </c>
      <c r="AI973">
        <v>0</v>
      </c>
      <c r="AJ973">
        <v>0</v>
      </c>
      <c r="AK973">
        <v>0</v>
      </c>
      <c r="AL973">
        <v>0</v>
      </c>
      <c r="AM973">
        <v>0</v>
      </c>
      <c r="AN973">
        <v>0</v>
      </c>
      <c r="AO973">
        <v>0</v>
      </c>
      <c r="AP973">
        <v>0</v>
      </c>
      <c r="AQ973">
        <v>0</v>
      </c>
      <c r="AR973">
        <v>0</v>
      </c>
      <c r="AS973">
        <v>0</v>
      </c>
      <c r="AT973">
        <v>0</v>
      </c>
      <c r="AU973">
        <f t="shared" si="28"/>
        <v>0</v>
      </c>
      <c r="AV973">
        <f t="shared" si="29"/>
        <v>0</v>
      </c>
    </row>
    <row r="974" spans="1:48" x14ac:dyDescent="0.25">
      <c r="A974" t="s">
        <v>4824</v>
      </c>
      <c r="C974" t="s">
        <v>4825</v>
      </c>
      <c r="D974" t="s">
        <v>4155</v>
      </c>
      <c r="E974" t="s">
        <v>2310</v>
      </c>
      <c r="F974">
        <v>14</v>
      </c>
      <c r="G974">
        <v>14.1</v>
      </c>
      <c r="H974" t="s">
        <v>2022</v>
      </c>
      <c r="I974" s="21">
        <v>38090</v>
      </c>
      <c r="J974">
        <v>2004</v>
      </c>
      <c r="K974" s="21">
        <v>38121</v>
      </c>
      <c r="L974">
        <v>2004</v>
      </c>
      <c r="M974" s="21">
        <v>38664</v>
      </c>
      <c r="N974">
        <v>2005</v>
      </c>
      <c r="R974" s="262">
        <v>30000</v>
      </c>
      <c r="S974" t="s">
        <v>114</v>
      </c>
      <c r="T974" t="s">
        <v>114</v>
      </c>
      <c r="U974">
        <v>5</v>
      </c>
      <c r="W974">
        <v>0</v>
      </c>
      <c r="X974">
        <v>0</v>
      </c>
      <c r="Y974">
        <v>0</v>
      </c>
      <c r="Z974">
        <v>0</v>
      </c>
      <c r="AA974">
        <v>0</v>
      </c>
      <c r="AB974">
        <v>0</v>
      </c>
      <c r="AC974">
        <v>0</v>
      </c>
      <c r="AD974">
        <v>0</v>
      </c>
      <c r="AE974">
        <v>0</v>
      </c>
      <c r="AF974">
        <v>0</v>
      </c>
      <c r="AG974">
        <v>0</v>
      </c>
      <c r="AH974">
        <v>0</v>
      </c>
      <c r="AI974">
        <v>0</v>
      </c>
      <c r="AJ974">
        <v>0</v>
      </c>
      <c r="AK974">
        <v>0</v>
      </c>
      <c r="AL974">
        <v>0</v>
      </c>
      <c r="AM974">
        <v>0</v>
      </c>
      <c r="AN974">
        <v>0</v>
      </c>
      <c r="AO974">
        <v>0</v>
      </c>
      <c r="AP974">
        <v>0</v>
      </c>
      <c r="AQ974">
        <v>0</v>
      </c>
      <c r="AR974">
        <v>0</v>
      </c>
      <c r="AS974">
        <v>0</v>
      </c>
      <c r="AT974">
        <v>0</v>
      </c>
      <c r="AU974">
        <f t="shared" si="28"/>
        <v>0</v>
      </c>
      <c r="AV974">
        <f t="shared" si="29"/>
        <v>0</v>
      </c>
    </row>
    <row r="975" spans="1:48" x14ac:dyDescent="0.25">
      <c r="A975" t="s">
        <v>4826</v>
      </c>
      <c r="C975" t="s">
        <v>4827</v>
      </c>
      <c r="D975" t="s">
        <v>4828</v>
      </c>
      <c r="E975" t="s">
        <v>2310</v>
      </c>
      <c r="F975">
        <v>15</v>
      </c>
      <c r="G975">
        <v>15.3</v>
      </c>
      <c r="H975" t="s">
        <v>2022</v>
      </c>
      <c r="I975" s="21">
        <v>38091</v>
      </c>
      <c r="J975">
        <v>2004</v>
      </c>
      <c r="K975" s="21">
        <v>38120</v>
      </c>
      <c r="L975">
        <v>2004</v>
      </c>
      <c r="M975" s="21">
        <v>38120</v>
      </c>
      <c r="N975">
        <v>2004</v>
      </c>
      <c r="R975" s="262">
        <v>49350</v>
      </c>
      <c r="S975" t="s">
        <v>114</v>
      </c>
      <c r="T975" t="s">
        <v>114</v>
      </c>
      <c r="U975">
        <v>5</v>
      </c>
      <c r="W975">
        <v>894</v>
      </c>
      <c r="X975">
        <v>0</v>
      </c>
      <c r="Y975">
        <v>0</v>
      </c>
      <c r="Z975">
        <v>0</v>
      </c>
      <c r="AA975">
        <v>0</v>
      </c>
      <c r="AB975">
        <v>0</v>
      </c>
      <c r="AC975">
        <v>894</v>
      </c>
      <c r="AD975">
        <v>0</v>
      </c>
      <c r="AE975">
        <v>0</v>
      </c>
      <c r="AF975">
        <v>0</v>
      </c>
      <c r="AG975">
        <v>0</v>
      </c>
      <c r="AH975">
        <v>0</v>
      </c>
      <c r="AI975">
        <v>0</v>
      </c>
      <c r="AJ975">
        <v>0</v>
      </c>
      <c r="AK975">
        <v>0</v>
      </c>
      <c r="AL975">
        <v>0</v>
      </c>
      <c r="AM975">
        <v>0</v>
      </c>
      <c r="AN975">
        <v>0</v>
      </c>
      <c r="AO975">
        <v>0</v>
      </c>
      <c r="AP975">
        <v>0</v>
      </c>
      <c r="AQ975">
        <v>0</v>
      </c>
      <c r="AR975">
        <v>0</v>
      </c>
      <c r="AS975">
        <v>0</v>
      </c>
      <c r="AT975">
        <v>0</v>
      </c>
      <c r="AU975">
        <f t="shared" si="28"/>
        <v>0</v>
      </c>
      <c r="AV975">
        <f t="shared" si="29"/>
        <v>0</v>
      </c>
    </row>
    <row r="976" spans="1:48" x14ac:dyDescent="0.25">
      <c r="A976" t="s">
        <v>4829</v>
      </c>
      <c r="C976" t="s">
        <v>4830</v>
      </c>
      <c r="D976" t="s">
        <v>4831</v>
      </c>
      <c r="E976" t="s">
        <v>2310</v>
      </c>
      <c r="F976">
        <v>10</v>
      </c>
      <c r="G976">
        <v>10.1</v>
      </c>
      <c r="H976" t="s">
        <v>2323</v>
      </c>
      <c r="I976" s="21">
        <v>38091</v>
      </c>
      <c r="J976">
        <v>2004</v>
      </c>
      <c r="K976" s="21">
        <v>38121</v>
      </c>
      <c r="L976">
        <v>2004</v>
      </c>
      <c r="M976" s="21">
        <v>38322</v>
      </c>
      <c r="N976">
        <v>2004</v>
      </c>
      <c r="R976" s="262">
        <v>280000</v>
      </c>
      <c r="S976" t="s">
        <v>114</v>
      </c>
      <c r="T976" t="s">
        <v>114</v>
      </c>
      <c r="U976">
        <v>5</v>
      </c>
      <c r="W976">
        <v>3338</v>
      </c>
      <c r="X976">
        <v>1</v>
      </c>
      <c r="Y976">
        <v>0</v>
      </c>
      <c r="Z976">
        <v>0</v>
      </c>
      <c r="AA976">
        <v>0</v>
      </c>
      <c r="AB976">
        <v>0</v>
      </c>
      <c r="AC976">
        <v>3338</v>
      </c>
      <c r="AD976">
        <v>0</v>
      </c>
      <c r="AE976">
        <v>0</v>
      </c>
      <c r="AF976">
        <v>0</v>
      </c>
      <c r="AG976">
        <v>0</v>
      </c>
      <c r="AH976">
        <v>0</v>
      </c>
      <c r="AI976">
        <v>0</v>
      </c>
      <c r="AJ976">
        <v>0</v>
      </c>
      <c r="AK976">
        <v>0</v>
      </c>
      <c r="AL976">
        <v>0</v>
      </c>
      <c r="AM976">
        <v>0</v>
      </c>
      <c r="AN976">
        <v>0</v>
      </c>
      <c r="AO976">
        <v>1</v>
      </c>
      <c r="AP976">
        <v>0</v>
      </c>
      <c r="AQ976">
        <v>0</v>
      </c>
      <c r="AR976">
        <v>0</v>
      </c>
      <c r="AS976">
        <v>0</v>
      </c>
      <c r="AT976">
        <v>0</v>
      </c>
      <c r="AU976">
        <f t="shared" si="28"/>
        <v>1</v>
      </c>
      <c r="AV976">
        <f t="shared" si="29"/>
        <v>0</v>
      </c>
    </row>
    <row r="977" spans="1:48" x14ac:dyDescent="0.25">
      <c r="A977" t="s">
        <v>4832</v>
      </c>
      <c r="C977" t="s">
        <v>4833</v>
      </c>
      <c r="D977" t="s">
        <v>4799</v>
      </c>
      <c r="E977" t="s">
        <v>2310</v>
      </c>
      <c r="F977">
        <v>15</v>
      </c>
      <c r="G977">
        <v>15.1</v>
      </c>
      <c r="H977" t="s">
        <v>2022</v>
      </c>
      <c r="I977" s="21">
        <v>38091</v>
      </c>
      <c r="J977">
        <v>2004</v>
      </c>
      <c r="K977" s="21">
        <v>38091</v>
      </c>
      <c r="L977">
        <v>2004</v>
      </c>
      <c r="M977" s="21">
        <v>38091</v>
      </c>
      <c r="N977">
        <v>2004</v>
      </c>
      <c r="R977" s="262">
        <v>10000</v>
      </c>
      <c r="S977" t="s">
        <v>114</v>
      </c>
      <c r="T977" t="s">
        <v>114</v>
      </c>
      <c r="U977">
        <v>10</v>
      </c>
      <c r="W977">
        <v>0</v>
      </c>
      <c r="X977">
        <v>0</v>
      </c>
      <c r="Y977">
        <v>0</v>
      </c>
      <c r="Z977">
        <v>0</v>
      </c>
      <c r="AA977">
        <v>0</v>
      </c>
      <c r="AB977">
        <v>0</v>
      </c>
      <c r="AC977">
        <v>0</v>
      </c>
      <c r="AD977">
        <v>0</v>
      </c>
      <c r="AE977">
        <v>0</v>
      </c>
      <c r="AF977">
        <v>0</v>
      </c>
      <c r="AG977">
        <v>0</v>
      </c>
      <c r="AH977">
        <v>0</v>
      </c>
      <c r="AI977">
        <v>0</v>
      </c>
      <c r="AJ977">
        <v>0</v>
      </c>
      <c r="AK977">
        <v>0</v>
      </c>
      <c r="AL977">
        <v>0</v>
      </c>
      <c r="AM977">
        <v>0</v>
      </c>
      <c r="AN977">
        <v>0</v>
      </c>
      <c r="AO977">
        <v>0</v>
      </c>
      <c r="AP977">
        <v>0</v>
      </c>
      <c r="AQ977">
        <v>0</v>
      </c>
      <c r="AR977">
        <v>0</v>
      </c>
      <c r="AS977">
        <v>0</v>
      </c>
      <c r="AT977">
        <v>0</v>
      </c>
      <c r="AU977">
        <f t="shared" si="28"/>
        <v>0</v>
      </c>
      <c r="AV977">
        <f t="shared" si="29"/>
        <v>0</v>
      </c>
    </row>
    <row r="978" spans="1:48" x14ac:dyDescent="0.25">
      <c r="A978" t="s">
        <v>4834</v>
      </c>
      <c r="C978" t="s">
        <v>4835</v>
      </c>
      <c r="D978" t="s">
        <v>4836</v>
      </c>
      <c r="E978" t="s">
        <v>2310</v>
      </c>
      <c r="F978">
        <v>9</v>
      </c>
      <c r="G978">
        <v>9.1</v>
      </c>
      <c r="H978" t="s">
        <v>2323</v>
      </c>
      <c r="I978" s="21">
        <v>38091</v>
      </c>
      <c r="J978">
        <v>2004</v>
      </c>
      <c r="K978" s="21">
        <v>38147</v>
      </c>
      <c r="L978">
        <v>2004</v>
      </c>
      <c r="M978" s="21">
        <v>38757</v>
      </c>
      <c r="N978">
        <v>2006</v>
      </c>
      <c r="R978" s="262">
        <v>1200000</v>
      </c>
      <c r="S978" t="s">
        <v>114</v>
      </c>
      <c r="T978" t="s">
        <v>114</v>
      </c>
      <c r="U978">
        <v>5</v>
      </c>
      <c r="W978">
        <v>4991</v>
      </c>
      <c r="X978">
        <v>1</v>
      </c>
      <c r="Y978">
        <v>0</v>
      </c>
      <c r="Z978">
        <v>0</v>
      </c>
      <c r="AA978">
        <v>0</v>
      </c>
      <c r="AB978">
        <v>0</v>
      </c>
      <c r="AC978">
        <v>4991</v>
      </c>
      <c r="AD978">
        <v>0</v>
      </c>
      <c r="AE978">
        <v>0</v>
      </c>
      <c r="AF978">
        <v>0</v>
      </c>
      <c r="AG978">
        <v>0</v>
      </c>
      <c r="AH978">
        <v>0</v>
      </c>
      <c r="AI978">
        <v>0</v>
      </c>
      <c r="AJ978">
        <v>0</v>
      </c>
      <c r="AK978">
        <v>0</v>
      </c>
      <c r="AL978">
        <v>0</v>
      </c>
      <c r="AM978">
        <v>0</v>
      </c>
      <c r="AN978">
        <v>0</v>
      </c>
      <c r="AO978">
        <v>1</v>
      </c>
      <c r="AP978">
        <v>0</v>
      </c>
      <c r="AQ978">
        <v>0</v>
      </c>
      <c r="AR978">
        <v>0</v>
      </c>
      <c r="AS978">
        <v>0</v>
      </c>
      <c r="AT978">
        <v>0</v>
      </c>
      <c r="AU978">
        <f t="shared" si="28"/>
        <v>1</v>
      </c>
      <c r="AV978">
        <f t="shared" si="29"/>
        <v>0</v>
      </c>
    </row>
    <row r="979" spans="1:48" x14ac:dyDescent="0.25">
      <c r="A979" t="s">
        <v>4837</v>
      </c>
      <c r="C979" t="s">
        <v>4838</v>
      </c>
      <c r="D979" t="s">
        <v>4839</v>
      </c>
      <c r="E979" t="s">
        <v>2310</v>
      </c>
      <c r="F979">
        <v>13</v>
      </c>
      <c r="G979">
        <v>13.3</v>
      </c>
      <c r="H979" t="s">
        <v>2017</v>
      </c>
      <c r="I979" s="21">
        <v>38091</v>
      </c>
      <c r="J979">
        <v>2004</v>
      </c>
      <c r="K979" s="21">
        <v>38091</v>
      </c>
      <c r="L979">
        <v>2004</v>
      </c>
      <c r="M979" s="21">
        <v>38091</v>
      </c>
      <c r="N979">
        <v>2004</v>
      </c>
      <c r="R979" s="262">
        <v>2000</v>
      </c>
      <c r="S979" t="s">
        <v>114</v>
      </c>
      <c r="T979" t="s">
        <v>114</v>
      </c>
      <c r="U979">
        <v>5</v>
      </c>
      <c r="W979">
        <v>0</v>
      </c>
      <c r="X979">
        <v>0</v>
      </c>
      <c r="Y979">
        <v>0</v>
      </c>
      <c r="Z979">
        <v>0</v>
      </c>
      <c r="AA979">
        <v>0</v>
      </c>
      <c r="AB979">
        <v>0</v>
      </c>
      <c r="AC979">
        <v>0</v>
      </c>
      <c r="AD979">
        <v>0</v>
      </c>
      <c r="AE979">
        <v>0</v>
      </c>
      <c r="AF979">
        <v>0</v>
      </c>
      <c r="AG979">
        <v>0</v>
      </c>
      <c r="AH979">
        <v>0</v>
      </c>
      <c r="AI979">
        <v>0</v>
      </c>
      <c r="AJ979">
        <v>0</v>
      </c>
      <c r="AK979">
        <v>0</v>
      </c>
      <c r="AL979">
        <v>0</v>
      </c>
      <c r="AM979">
        <v>0</v>
      </c>
      <c r="AN979">
        <v>0</v>
      </c>
      <c r="AO979">
        <v>0</v>
      </c>
      <c r="AP979">
        <v>0</v>
      </c>
      <c r="AQ979">
        <v>0</v>
      </c>
      <c r="AR979">
        <v>0</v>
      </c>
      <c r="AS979">
        <v>0</v>
      </c>
      <c r="AT979">
        <v>0</v>
      </c>
      <c r="AU979">
        <f t="shared" si="28"/>
        <v>0</v>
      </c>
      <c r="AV979">
        <f t="shared" si="29"/>
        <v>0</v>
      </c>
    </row>
    <row r="980" spans="1:48" x14ac:dyDescent="0.25">
      <c r="A980" t="s">
        <v>4840</v>
      </c>
      <c r="C980" t="s">
        <v>4841</v>
      </c>
      <c r="D980" t="s">
        <v>4842</v>
      </c>
      <c r="E980" t="s">
        <v>2310</v>
      </c>
      <c r="F980">
        <v>11</v>
      </c>
      <c r="G980">
        <v>11.2</v>
      </c>
      <c r="H980" t="s">
        <v>2017</v>
      </c>
      <c r="I980" s="21">
        <v>38091</v>
      </c>
      <c r="J980">
        <v>2004</v>
      </c>
      <c r="K980" s="21">
        <v>38124</v>
      </c>
      <c r="L980">
        <v>2004</v>
      </c>
      <c r="M980" s="21">
        <v>38541</v>
      </c>
      <c r="N980">
        <v>2005</v>
      </c>
      <c r="R980" s="262">
        <v>55000</v>
      </c>
      <c r="S980" t="s">
        <v>114</v>
      </c>
      <c r="T980" t="s">
        <v>114</v>
      </c>
      <c r="U980">
        <v>5</v>
      </c>
      <c r="W980">
        <v>491</v>
      </c>
      <c r="X980">
        <v>0</v>
      </c>
      <c r="Y980">
        <v>0</v>
      </c>
      <c r="Z980">
        <v>0</v>
      </c>
      <c r="AA980">
        <v>0</v>
      </c>
      <c r="AB980">
        <v>0</v>
      </c>
      <c r="AC980">
        <v>491</v>
      </c>
      <c r="AD980">
        <v>0</v>
      </c>
      <c r="AE980">
        <v>0</v>
      </c>
      <c r="AF980">
        <v>0</v>
      </c>
      <c r="AG980">
        <v>0</v>
      </c>
      <c r="AH980">
        <v>0</v>
      </c>
      <c r="AI980">
        <v>0</v>
      </c>
      <c r="AJ980">
        <v>0</v>
      </c>
      <c r="AK980">
        <v>0</v>
      </c>
      <c r="AL980">
        <v>0</v>
      </c>
      <c r="AM980">
        <v>0</v>
      </c>
      <c r="AN980">
        <v>0</v>
      </c>
      <c r="AO980">
        <v>0</v>
      </c>
      <c r="AP980">
        <v>0</v>
      </c>
      <c r="AQ980">
        <v>0</v>
      </c>
      <c r="AR980">
        <v>0</v>
      </c>
      <c r="AS980">
        <v>0</v>
      </c>
      <c r="AT980">
        <v>0</v>
      </c>
      <c r="AU980">
        <f t="shared" si="28"/>
        <v>0</v>
      </c>
      <c r="AV980">
        <f t="shared" si="29"/>
        <v>0</v>
      </c>
    </row>
    <row r="981" spans="1:48" x14ac:dyDescent="0.25">
      <c r="A981" t="s">
        <v>4843</v>
      </c>
      <c r="C981" t="s">
        <v>4844</v>
      </c>
      <c r="D981" t="s">
        <v>4845</v>
      </c>
      <c r="E981" t="s">
        <v>2310</v>
      </c>
      <c r="F981">
        <v>15</v>
      </c>
      <c r="G981">
        <v>15.1</v>
      </c>
      <c r="H981" t="s">
        <v>2022</v>
      </c>
      <c r="I981" s="21">
        <v>38091</v>
      </c>
      <c r="J981">
        <v>2004</v>
      </c>
      <c r="K981" s="21">
        <v>38125</v>
      </c>
      <c r="L981">
        <v>2004</v>
      </c>
      <c r="M981" s="21">
        <v>38125</v>
      </c>
      <c r="N981">
        <v>2004</v>
      </c>
      <c r="R981" s="262">
        <v>1500000</v>
      </c>
      <c r="S981" t="s">
        <v>114</v>
      </c>
      <c r="T981" t="s">
        <v>114</v>
      </c>
      <c r="U981">
        <v>5</v>
      </c>
      <c r="W981">
        <v>5676</v>
      </c>
      <c r="X981">
        <v>1</v>
      </c>
      <c r="Y981">
        <v>0</v>
      </c>
      <c r="Z981">
        <v>0</v>
      </c>
      <c r="AA981">
        <v>0</v>
      </c>
      <c r="AB981">
        <v>0</v>
      </c>
      <c r="AC981">
        <v>5676</v>
      </c>
      <c r="AD981">
        <v>0</v>
      </c>
      <c r="AE981">
        <v>0</v>
      </c>
      <c r="AF981">
        <v>0</v>
      </c>
      <c r="AG981">
        <v>0</v>
      </c>
      <c r="AH981">
        <v>0</v>
      </c>
      <c r="AI981">
        <v>0</v>
      </c>
      <c r="AJ981">
        <v>0</v>
      </c>
      <c r="AK981">
        <v>0</v>
      </c>
      <c r="AL981">
        <v>0</v>
      </c>
      <c r="AM981">
        <v>0</v>
      </c>
      <c r="AN981">
        <v>0</v>
      </c>
      <c r="AO981">
        <v>1</v>
      </c>
      <c r="AP981">
        <v>0</v>
      </c>
      <c r="AQ981">
        <v>0</v>
      </c>
      <c r="AR981">
        <v>0</v>
      </c>
      <c r="AS981">
        <v>0</v>
      </c>
      <c r="AT981">
        <v>0</v>
      </c>
      <c r="AU981">
        <f t="shared" si="28"/>
        <v>1</v>
      </c>
      <c r="AV981">
        <f t="shared" si="29"/>
        <v>0</v>
      </c>
    </row>
    <row r="982" spans="1:48" x14ac:dyDescent="0.25">
      <c r="A982" t="s">
        <v>4851</v>
      </c>
      <c r="C982" t="s">
        <v>4852</v>
      </c>
      <c r="D982" t="s">
        <v>4853</v>
      </c>
      <c r="E982" t="s">
        <v>2310</v>
      </c>
      <c r="F982">
        <v>9</v>
      </c>
      <c r="G982">
        <v>9.1</v>
      </c>
      <c r="H982" t="s">
        <v>2323</v>
      </c>
      <c r="I982" s="21">
        <v>38092</v>
      </c>
      <c r="J982">
        <v>2004</v>
      </c>
      <c r="K982" s="21">
        <v>38126</v>
      </c>
      <c r="L982">
        <v>2004</v>
      </c>
      <c r="M982" s="21">
        <v>38518</v>
      </c>
      <c r="N982">
        <v>2005</v>
      </c>
      <c r="R982" s="262">
        <v>535000</v>
      </c>
      <c r="S982" t="s">
        <v>114</v>
      </c>
      <c r="T982" t="s">
        <v>114</v>
      </c>
      <c r="U982">
        <v>5</v>
      </c>
      <c r="W982">
        <v>1477</v>
      </c>
      <c r="X982">
        <v>0</v>
      </c>
      <c r="Y982">
        <v>0</v>
      </c>
      <c r="Z982">
        <v>0</v>
      </c>
      <c r="AA982">
        <v>0</v>
      </c>
      <c r="AB982">
        <v>0</v>
      </c>
      <c r="AC982">
        <v>1477</v>
      </c>
      <c r="AD982">
        <v>0</v>
      </c>
      <c r="AE982">
        <v>0</v>
      </c>
      <c r="AF982">
        <v>0</v>
      </c>
      <c r="AG982">
        <v>0</v>
      </c>
      <c r="AH982">
        <v>0</v>
      </c>
      <c r="AI982">
        <v>0</v>
      </c>
      <c r="AJ982">
        <v>0</v>
      </c>
      <c r="AK982">
        <v>0</v>
      </c>
      <c r="AL982">
        <v>0</v>
      </c>
      <c r="AM982">
        <v>0</v>
      </c>
      <c r="AN982">
        <v>0</v>
      </c>
      <c r="AO982">
        <v>0</v>
      </c>
      <c r="AP982">
        <v>0</v>
      </c>
      <c r="AQ982">
        <v>0</v>
      </c>
      <c r="AR982">
        <v>0</v>
      </c>
      <c r="AS982">
        <v>0</v>
      </c>
      <c r="AT982">
        <v>0</v>
      </c>
      <c r="AU982">
        <f t="shared" si="28"/>
        <v>0</v>
      </c>
      <c r="AV982">
        <f t="shared" si="29"/>
        <v>0</v>
      </c>
    </row>
    <row r="983" spans="1:48" x14ac:dyDescent="0.25">
      <c r="A983" t="s">
        <v>4846</v>
      </c>
      <c r="C983" t="s">
        <v>4847</v>
      </c>
      <c r="D983" t="s">
        <v>4848</v>
      </c>
      <c r="E983" t="s">
        <v>1663</v>
      </c>
      <c r="F983">
        <v>3</v>
      </c>
      <c r="G983">
        <v>3.1</v>
      </c>
      <c r="H983" t="s">
        <v>2017</v>
      </c>
      <c r="I983" s="21">
        <v>38092</v>
      </c>
      <c r="J983">
        <v>2004</v>
      </c>
      <c r="K983" s="21">
        <v>38122</v>
      </c>
      <c r="L983">
        <v>2004</v>
      </c>
      <c r="M983" s="21">
        <v>38275</v>
      </c>
      <c r="N983">
        <v>2004</v>
      </c>
      <c r="Q983" s="262">
        <v>150000</v>
      </c>
      <c r="S983" t="s">
        <v>114</v>
      </c>
      <c r="T983" t="s">
        <v>114</v>
      </c>
      <c r="W983">
        <v>1568</v>
      </c>
      <c r="X983">
        <v>2</v>
      </c>
      <c r="Y983">
        <v>0</v>
      </c>
      <c r="Z983">
        <v>0</v>
      </c>
      <c r="AA983">
        <v>0</v>
      </c>
      <c r="AB983">
        <v>0</v>
      </c>
      <c r="AC983">
        <v>0</v>
      </c>
      <c r="AD983">
        <v>1568</v>
      </c>
      <c r="AE983">
        <v>0</v>
      </c>
      <c r="AF983">
        <v>0</v>
      </c>
      <c r="AG983">
        <v>0</v>
      </c>
      <c r="AH983">
        <v>0</v>
      </c>
      <c r="AI983">
        <v>0</v>
      </c>
      <c r="AJ983">
        <v>0</v>
      </c>
      <c r="AK983">
        <v>0</v>
      </c>
      <c r="AL983">
        <v>0</v>
      </c>
      <c r="AM983">
        <v>0</v>
      </c>
      <c r="AN983">
        <v>0</v>
      </c>
      <c r="AO983">
        <v>0</v>
      </c>
      <c r="AP983">
        <v>2</v>
      </c>
      <c r="AQ983">
        <v>0</v>
      </c>
      <c r="AR983">
        <v>0</v>
      </c>
      <c r="AS983">
        <v>0</v>
      </c>
      <c r="AT983">
        <v>0</v>
      </c>
      <c r="AU983">
        <f t="shared" si="28"/>
        <v>2</v>
      </c>
      <c r="AV983">
        <f t="shared" si="29"/>
        <v>0</v>
      </c>
    </row>
    <row r="984" spans="1:48" x14ac:dyDescent="0.25">
      <c r="A984" t="s">
        <v>4849</v>
      </c>
      <c r="C984" t="s">
        <v>4850</v>
      </c>
      <c r="D984" t="s">
        <v>4848</v>
      </c>
      <c r="E984" t="s">
        <v>1663</v>
      </c>
      <c r="F984">
        <v>3</v>
      </c>
      <c r="G984">
        <v>3.1</v>
      </c>
      <c r="H984" t="s">
        <v>2017</v>
      </c>
      <c r="I984" s="21">
        <v>38092</v>
      </c>
      <c r="J984">
        <v>2004</v>
      </c>
      <c r="K984" s="21">
        <v>38122</v>
      </c>
      <c r="L984">
        <v>2004</v>
      </c>
      <c r="M984" s="21">
        <v>38275</v>
      </c>
      <c r="N984">
        <v>2004</v>
      </c>
      <c r="Q984" s="262">
        <v>150000</v>
      </c>
      <c r="S984" t="s">
        <v>114</v>
      </c>
      <c r="T984" t="s">
        <v>114</v>
      </c>
      <c r="W984">
        <v>1568</v>
      </c>
      <c r="X984">
        <v>2</v>
      </c>
      <c r="Y984">
        <v>0</v>
      </c>
      <c r="Z984">
        <v>0</v>
      </c>
      <c r="AA984">
        <v>0</v>
      </c>
      <c r="AB984">
        <v>0</v>
      </c>
      <c r="AC984">
        <v>0</v>
      </c>
      <c r="AD984">
        <v>1568</v>
      </c>
      <c r="AE984">
        <v>0</v>
      </c>
      <c r="AF984">
        <v>0</v>
      </c>
      <c r="AG984">
        <v>0</v>
      </c>
      <c r="AH984">
        <v>0</v>
      </c>
      <c r="AI984">
        <v>0</v>
      </c>
      <c r="AJ984">
        <v>0</v>
      </c>
      <c r="AK984">
        <v>0</v>
      </c>
      <c r="AL984">
        <v>0</v>
      </c>
      <c r="AM984">
        <v>0</v>
      </c>
      <c r="AN984">
        <v>0</v>
      </c>
      <c r="AO984">
        <v>0</v>
      </c>
      <c r="AP984">
        <v>2</v>
      </c>
      <c r="AQ984">
        <v>0</v>
      </c>
      <c r="AR984">
        <v>0</v>
      </c>
      <c r="AS984">
        <v>0</v>
      </c>
      <c r="AT984">
        <v>0</v>
      </c>
      <c r="AU984">
        <f t="shared" si="28"/>
        <v>2</v>
      </c>
      <c r="AV984">
        <f t="shared" si="29"/>
        <v>0</v>
      </c>
    </row>
    <row r="985" spans="1:48" x14ac:dyDescent="0.25">
      <c r="A985" t="s">
        <v>4854</v>
      </c>
      <c r="C985" t="s">
        <v>4855</v>
      </c>
      <c r="D985" t="s">
        <v>4856</v>
      </c>
      <c r="E985" t="s">
        <v>2310</v>
      </c>
      <c r="F985">
        <v>9</v>
      </c>
      <c r="G985">
        <v>9.3000000000000007</v>
      </c>
      <c r="H985" t="s">
        <v>2323</v>
      </c>
      <c r="I985" s="21">
        <v>38093</v>
      </c>
      <c r="J985">
        <v>2004</v>
      </c>
      <c r="K985" s="21">
        <v>38121</v>
      </c>
      <c r="L985">
        <v>2004</v>
      </c>
      <c r="M985" s="21">
        <v>38569</v>
      </c>
      <c r="N985">
        <v>2005</v>
      </c>
      <c r="R985" s="262">
        <v>900000</v>
      </c>
      <c r="S985" t="s">
        <v>114</v>
      </c>
      <c r="T985" t="s">
        <v>114</v>
      </c>
      <c r="U985">
        <v>5</v>
      </c>
      <c r="W985">
        <v>2745</v>
      </c>
      <c r="X985">
        <v>0</v>
      </c>
      <c r="Y985">
        <v>0</v>
      </c>
      <c r="Z985">
        <v>0</v>
      </c>
      <c r="AA985">
        <v>0</v>
      </c>
      <c r="AB985">
        <v>0</v>
      </c>
      <c r="AC985">
        <v>2745</v>
      </c>
      <c r="AD985">
        <v>0</v>
      </c>
      <c r="AE985">
        <v>0</v>
      </c>
      <c r="AF985">
        <v>0</v>
      </c>
      <c r="AG985">
        <v>0</v>
      </c>
      <c r="AH985">
        <v>0</v>
      </c>
      <c r="AI985">
        <v>0</v>
      </c>
      <c r="AJ985">
        <v>0</v>
      </c>
      <c r="AK985">
        <v>0</v>
      </c>
      <c r="AL985">
        <v>0</v>
      </c>
      <c r="AM985">
        <v>0</v>
      </c>
      <c r="AN985">
        <v>0</v>
      </c>
      <c r="AO985">
        <v>0</v>
      </c>
      <c r="AP985">
        <v>0</v>
      </c>
      <c r="AQ985">
        <v>0</v>
      </c>
      <c r="AR985">
        <v>0</v>
      </c>
      <c r="AS985">
        <v>0</v>
      </c>
      <c r="AT985">
        <v>0</v>
      </c>
      <c r="AU985">
        <f t="shared" ref="AU985:AU1048" si="30">SUM(AN985:AQ985,AS985)</f>
        <v>0</v>
      </c>
      <c r="AV985">
        <f t="shared" ref="AV985:AV1048" si="31">SUM(Y985:AB985,AH985:AM985)</f>
        <v>0</v>
      </c>
    </row>
    <row r="986" spans="1:48" x14ac:dyDescent="0.25">
      <c r="A986" t="s">
        <v>4857</v>
      </c>
      <c r="C986" t="s">
        <v>4858</v>
      </c>
      <c r="D986" t="s">
        <v>4859</v>
      </c>
      <c r="E986" t="s">
        <v>2310</v>
      </c>
      <c r="F986">
        <v>15</v>
      </c>
      <c r="G986">
        <v>15.1</v>
      </c>
      <c r="H986" t="s">
        <v>2022</v>
      </c>
      <c r="I986" s="21">
        <v>38093</v>
      </c>
      <c r="J986">
        <v>2004</v>
      </c>
      <c r="K986" s="21">
        <v>38160</v>
      </c>
      <c r="L986">
        <v>2004</v>
      </c>
      <c r="M986" s="21">
        <v>39183</v>
      </c>
      <c r="N986">
        <v>2007</v>
      </c>
      <c r="R986" s="262">
        <v>400000</v>
      </c>
      <c r="S986" t="s">
        <v>114</v>
      </c>
      <c r="T986" t="s">
        <v>114</v>
      </c>
      <c r="U986">
        <v>5</v>
      </c>
      <c r="W986">
        <v>2688</v>
      </c>
      <c r="X986">
        <v>0</v>
      </c>
      <c r="Y986">
        <v>0</v>
      </c>
      <c r="Z986">
        <v>0</v>
      </c>
      <c r="AA986">
        <v>0</v>
      </c>
      <c r="AB986">
        <v>0</v>
      </c>
      <c r="AC986">
        <v>2688</v>
      </c>
      <c r="AD986">
        <v>0</v>
      </c>
      <c r="AE986">
        <v>0</v>
      </c>
      <c r="AF986">
        <v>0</v>
      </c>
      <c r="AG986">
        <v>0</v>
      </c>
      <c r="AH986">
        <v>0</v>
      </c>
      <c r="AI986">
        <v>0</v>
      </c>
      <c r="AJ986">
        <v>0</v>
      </c>
      <c r="AK986">
        <v>0</v>
      </c>
      <c r="AL986">
        <v>0</v>
      </c>
      <c r="AM986">
        <v>0</v>
      </c>
      <c r="AN986">
        <v>0</v>
      </c>
      <c r="AO986">
        <v>0</v>
      </c>
      <c r="AP986">
        <v>0</v>
      </c>
      <c r="AQ986">
        <v>0</v>
      </c>
      <c r="AR986">
        <v>0</v>
      </c>
      <c r="AS986">
        <v>0</v>
      </c>
      <c r="AT986">
        <v>0</v>
      </c>
      <c r="AU986">
        <f t="shared" si="30"/>
        <v>0</v>
      </c>
      <c r="AV986">
        <f t="shared" si="31"/>
        <v>0</v>
      </c>
    </row>
    <row r="987" spans="1:48" x14ac:dyDescent="0.25">
      <c r="A987" t="s">
        <v>4860</v>
      </c>
      <c r="C987" t="s">
        <v>4861</v>
      </c>
      <c r="D987" t="s">
        <v>4144</v>
      </c>
      <c r="E987" t="s">
        <v>2310</v>
      </c>
      <c r="F987">
        <v>9</v>
      </c>
      <c r="G987">
        <v>9.3000000000000007</v>
      </c>
      <c r="H987" t="s">
        <v>2323</v>
      </c>
      <c r="I987" s="21">
        <v>38093</v>
      </c>
      <c r="J987">
        <v>2004</v>
      </c>
      <c r="K987" s="21">
        <v>38114</v>
      </c>
      <c r="L987">
        <v>2004</v>
      </c>
      <c r="M987" s="21">
        <v>38114</v>
      </c>
      <c r="N987">
        <v>2004</v>
      </c>
      <c r="R987" s="262">
        <v>15000</v>
      </c>
      <c r="S987" t="s">
        <v>114</v>
      </c>
      <c r="T987" t="s">
        <v>114</v>
      </c>
      <c r="U987">
        <v>5</v>
      </c>
      <c r="W987">
        <v>480</v>
      </c>
      <c r="X987">
        <v>0</v>
      </c>
      <c r="Y987">
        <v>0</v>
      </c>
      <c r="Z987">
        <v>0</v>
      </c>
      <c r="AA987">
        <v>0</v>
      </c>
      <c r="AB987">
        <v>0</v>
      </c>
      <c r="AC987">
        <v>480</v>
      </c>
      <c r="AD987">
        <v>0</v>
      </c>
      <c r="AE987">
        <v>0</v>
      </c>
      <c r="AF987">
        <v>0</v>
      </c>
      <c r="AG987">
        <v>0</v>
      </c>
      <c r="AH987">
        <v>0</v>
      </c>
      <c r="AI987">
        <v>0</v>
      </c>
      <c r="AJ987">
        <v>0</v>
      </c>
      <c r="AK987">
        <v>0</v>
      </c>
      <c r="AL987">
        <v>0</v>
      </c>
      <c r="AM987">
        <v>0</v>
      </c>
      <c r="AN987">
        <v>0</v>
      </c>
      <c r="AO987">
        <v>0</v>
      </c>
      <c r="AP987">
        <v>0</v>
      </c>
      <c r="AQ987">
        <v>0</v>
      </c>
      <c r="AR987">
        <v>0</v>
      </c>
      <c r="AS987">
        <v>0</v>
      </c>
      <c r="AT987">
        <v>0</v>
      </c>
      <c r="AU987">
        <f t="shared" si="30"/>
        <v>0</v>
      </c>
      <c r="AV987">
        <f t="shared" si="31"/>
        <v>0</v>
      </c>
    </row>
    <row r="988" spans="1:48" x14ac:dyDescent="0.25">
      <c r="A988" t="s">
        <v>4862</v>
      </c>
      <c r="C988" t="s">
        <v>4863</v>
      </c>
      <c r="D988" t="s">
        <v>3855</v>
      </c>
      <c r="E988" t="s">
        <v>2310</v>
      </c>
      <c r="F988">
        <v>8</v>
      </c>
      <c r="G988">
        <v>8.1999999999999993</v>
      </c>
      <c r="H988" t="s">
        <v>2022</v>
      </c>
      <c r="I988" s="21">
        <v>38096</v>
      </c>
      <c r="J988">
        <v>2004</v>
      </c>
      <c r="K988" s="21">
        <v>38442</v>
      </c>
      <c r="L988">
        <v>2005</v>
      </c>
      <c r="M988" s="21">
        <v>40122.631747685198</v>
      </c>
      <c r="N988">
        <v>2009</v>
      </c>
      <c r="R988" s="262">
        <v>4000000</v>
      </c>
      <c r="S988" t="s">
        <v>114</v>
      </c>
      <c r="T988" t="s">
        <v>114</v>
      </c>
      <c r="U988">
        <v>5</v>
      </c>
      <c r="W988">
        <v>16188</v>
      </c>
      <c r="X988">
        <v>1</v>
      </c>
      <c r="Y988">
        <v>0</v>
      </c>
      <c r="Z988">
        <v>0</v>
      </c>
      <c r="AA988">
        <v>0</v>
      </c>
      <c r="AB988">
        <v>0</v>
      </c>
      <c r="AC988">
        <v>16188</v>
      </c>
      <c r="AD988">
        <v>0</v>
      </c>
      <c r="AE988">
        <v>0</v>
      </c>
      <c r="AF988">
        <v>0</v>
      </c>
      <c r="AG988">
        <v>0</v>
      </c>
      <c r="AH988">
        <v>0</v>
      </c>
      <c r="AI988">
        <v>0</v>
      </c>
      <c r="AJ988">
        <v>0</v>
      </c>
      <c r="AK988">
        <v>0</v>
      </c>
      <c r="AL988">
        <v>0</v>
      </c>
      <c r="AM988">
        <v>0</v>
      </c>
      <c r="AN988">
        <v>0</v>
      </c>
      <c r="AO988">
        <v>1</v>
      </c>
      <c r="AP988">
        <v>0</v>
      </c>
      <c r="AQ988">
        <v>0</v>
      </c>
      <c r="AR988">
        <v>0</v>
      </c>
      <c r="AS988">
        <v>0</v>
      </c>
      <c r="AT988">
        <v>0</v>
      </c>
      <c r="AU988">
        <f t="shared" si="30"/>
        <v>1</v>
      </c>
      <c r="AV988">
        <f t="shared" si="31"/>
        <v>0</v>
      </c>
    </row>
    <row r="989" spans="1:48" x14ac:dyDescent="0.25">
      <c r="A989" t="s">
        <v>4864</v>
      </c>
      <c r="C989" t="s">
        <v>4865</v>
      </c>
      <c r="D989" t="s">
        <v>4866</v>
      </c>
      <c r="E989" t="s">
        <v>2310</v>
      </c>
      <c r="F989">
        <v>10</v>
      </c>
      <c r="G989">
        <v>10.1</v>
      </c>
      <c r="H989" t="s">
        <v>2323</v>
      </c>
      <c r="I989" s="21">
        <v>38097</v>
      </c>
      <c r="J989">
        <v>2004</v>
      </c>
      <c r="K989" s="21">
        <v>38128</v>
      </c>
      <c r="L989">
        <v>2004</v>
      </c>
      <c r="M989" s="21">
        <v>38449</v>
      </c>
      <c r="N989">
        <v>2005</v>
      </c>
      <c r="R989" s="262">
        <v>650000</v>
      </c>
      <c r="S989" t="s">
        <v>114</v>
      </c>
      <c r="T989" t="s">
        <v>114</v>
      </c>
      <c r="U989">
        <v>5</v>
      </c>
      <c r="W989">
        <v>4153</v>
      </c>
      <c r="X989">
        <v>1</v>
      </c>
      <c r="Y989">
        <v>0</v>
      </c>
      <c r="Z989">
        <v>0</v>
      </c>
      <c r="AA989">
        <v>0</v>
      </c>
      <c r="AB989">
        <v>0</v>
      </c>
      <c r="AC989">
        <v>4153</v>
      </c>
      <c r="AD989">
        <v>0</v>
      </c>
      <c r="AE989">
        <v>0</v>
      </c>
      <c r="AF989">
        <v>0</v>
      </c>
      <c r="AG989">
        <v>0</v>
      </c>
      <c r="AH989">
        <v>0</v>
      </c>
      <c r="AI989">
        <v>0</v>
      </c>
      <c r="AJ989">
        <v>0</v>
      </c>
      <c r="AK989">
        <v>0</v>
      </c>
      <c r="AL989">
        <v>0</v>
      </c>
      <c r="AM989">
        <v>0</v>
      </c>
      <c r="AN989">
        <v>0</v>
      </c>
      <c r="AO989">
        <v>1</v>
      </c>
      <c r="AP989">
        <v>0</v>
      </c>
      <c r="AQ989">
        <v>0</v>
      </c>
      <c r="AR989">
        <v>0</v>
      </c>
      <c r="AS989">
        <v>0</v>
      </c>
      <c r="AT989">
        <v>0</v>
      </c>
      <c r="AU989">
        <f t="shared" si="30"/>
        <v>1</v>
      </c>
      <c r="AV989">
        <f t="shared" si="31"/>
        <v>0</v>
      </c>
    </row>
    <row r="990" spans="1:48" x14ac:dyDescent="0.25">
      <c r="A990" t="s">
        <v>4867</v>
      </c>
      <c r="C990" t="s">
        <v>4868</v>
      </c>
      <c r="D990" t="s">
        <v>4869</v>
      </c>
      <c r="E990" t="s">
        <v>2310</v>
      </c>
      <c r="F990">
        <v>9</v>
      </c>
      <c r="G990">
        <v>9.3000000000000007</v>
      </c>
      <c r="H990" t="s">
        <v>2323</v>
      </c>
      <c r="I990" s="21">
        <v>38098</v>
      </c>
      <c r="J990">
        <v>2004</v>
      </c>
      <c r="R990" s="262">
        <v>11000</v>
      </c>
      <c r="S990" t="s">
        <v>114</v>
      </c>
      <c r="T990" t="s">
        <v>114</v>
      </c>
      <c r="U990">
        <v>10</v>
      </c>
      <c r="W990">
        <v>3720</v>
      </c>
      <c r="X990">
        <v>0</v>
      </c>
      <c r="Y990">
        <v>0</v>
      </c>
      <c r="Z990">
        <v>0</v>
      </c>
      <c r="AA990">
        <v>0</v>
      </c>
      <c r="AB990">
        <v>0</v>
      </c>
      <c r="AC990">
        <v>0</v>
      </c>
      <c r="AD990">
        <v>0</v>
      </c>
      <c r="AE990">
        <v>0</v>
      </c>
      <c r="AF990">
        <v>0</v>
      </c>
      <c r="AG990">
        <v>0</v>
      </c>
      <c r="AH990">
        <v>3720</v>
      </c>
      <c r="AI990">
        <v>0</v>
      </c>
      <c r="AJ990">
        <v>0</v>
      </c>
      <c r="AK990">
        <v>0</v>
      </c>
      <c r="AL990">
        <v>0</v>
      </c>
      <c r="AM990">
        <v>0</v>
      </c>
      <c r="AN990">
        <v>0</v>
      </c>
      <c r="AO990">
        <v>0</v>
      </c>
      <c r="AP990">
        <v>0</v>
      </c>
      <c r="AQ990">
        <v>0</v>
      </c>
      <c r="AR990">
        <v>0</v>
      </c>
      <c r="AS990">
        <v>0</v>
      </c>
      <c r="AT990">
        <v>0</v>
      </c>
      <c r="AU990">
        <f t="shared" si="30"/>
        <v>0</v>
      </c>
      <c r="AV990">
        <f t="shared" si="31"/>
        <v>3720</v>
      </c>
    </row>
    <row r="991" spans="1:48" x14ac:dyDescent="0.25">
      <c r="A991" t="s">
        <v>4870</v>
      </c>
      <c r="C991" t="s">
        <v>4871</v>
      </c>
      <c r="D991" t="s">
        <v>4872</v>
      </c>
      <c r="E991" t="s">
        <v>2310</v>
      </c>
      <c r="F991">
        <v>10</v>
      </c>
      <c r="G991">
        <v>10.1</v>
      </c>
      <c r="H991" t="s">
        <v>2323</v>
      </c>
      <c r="I991" s="21">
        <v>38098</v>
      </c>
      <c r="J991">
        <v>2004</v>
      </c>
      <c r="K991" s="21">
        <v>38126</v>
      </c>
      <c r="L991">
        <v>2004</v>
      </c>
      <c r="M991" s="21">
        <v>38742</v>
      </c>
      <c r="N991">
        <v>2006</v>
      </c>
      <c r="R991" s="262">
        <v>150000</v>
      </c>
      <c r="S991" t="s">
        <v>114</v>
      </c>
      <c r="T991" t="s">
        <v>114</v>
      </c>
      <c r="U991">
        <v>5</v>
      </c>
      <c r="W991">
        <v>1882</v>
      </c>
      <c r="X991">
        <v>1</v>
      </c>
      <c r="Y991">
        <v>0</v>
      </c>
      <c r="Z991">
        <v>0</v>
      </c>
      <c r="AA991">
        <v>0</v>
      </c>
      <c r="AB991">
        <v>0</v>
      </c>
      <c r="AC991">
        <v>1882</v>
      </c>
      <c r="AD991">
        <v>0</v>
      </c>
      <c r="AE991">
        <v>0</v>
      </c>
      <c r="AF991">
        <v>0</v>
      </c>
      <c r="AG991">
        <v>0</v>
      </c>
      <c r="AH991">
        <v>0</v>
      </c>
      <c r="AI991">
        <v>0</v>
      </c>
      <c r="AJ991">
        <v>0</v>
      </c>
      <c r="AK991">
        <v>0</v>
      </c>
      <c r="AL991">
        <v>0</v>
      </c>
      <c r="AM991">
        <v>0</v>
      </c>
      <c r="AN991">
        <v>0</v>
      </c>
      <c r="AO991">
        <v>1</v>
      </c>
      <c r="AP991">
        <v>0</v>
      </c>
      <c r="AQ991">
        <v>0</v>
      </c>
      <c r="AR991">
        <v>0</v>
      </c>
      <c r="AS991">
        <v>0</v>
      </c>
      <c r="AT991">
        <v>0</v>
      </c>
      <c r="AU991">
        <f t="shared" si="30"/>
        <v>1</v>
      </c>
      <c r="AV991">
        <f t="shared" si="31"/>
        <v>0</v>
      </c>
    </row>
    <row r="992" spans="1:48" x14ac:dyDescent="0.25">
      <c r="A992" t="s">
        <v>4873</v>
      </c>
      <c r="C992" t="s">
        <v>4874</v>
      </c>
      <c r="D992" t="s">
        <v>4323</v>
      </c>
      <c r="E992" t="s">
        <v>2310</v>
      </c>
      <c r="F992">
        <v>9</v>
      </c>
      <c r="G992">
        <v>9.3000000000000007</v>
      </c>
      <c r="H992" t="s">
        <v>2323</v>
      </c>
      <c r="I992" s="21">
        <v>38098</v>
      </c>
      <c r="J992">
        <v>2004</v>
      </c>
      <c r="K992" s="21">
        <v>38125</v>
      </c>
      <c r="L992">
        <v>2004</v>
      </c>
      <c r="M992" s="21">
        <v>38125</v>
      </c>
      <c r="N992">
        <v>2004</v>
      </c>
      <c r="R992" s="262">
        <v>300000</v>
      </c>
      <c r="S992" t="s">
        <v>114</v>
      </c>
      <c r="T992" t="s">
        <v>114</v>
      </c>
      <c r="U992">
        <v>3</v>
      </c>
      <c r="W992">
        <v>3300</v>
      </c>
      <c r="X992">
        <v>0</v>
      </c>
      <c r="Y992">
        <v>0</v>
      </c>
      <c r="Z992">
        <v>0</v>
      </c>
      <c r="AA992">
        <v>3300</v>
      </c>
      <c r="AB992">
        <v>0</v>
      </c>
      <c r="AC992">
        <v>0</v>
      </c>
      <c r="AD992">
        <v>0</v>
      </c>
      <c r="AE992">
        <v>0</v>
      </c>
      <c r="AF992">
        <v>0</v>
      </c>
      <c r="AG992">
        <v>0</v>
      </c>
      <c r="AH992">
        <v>0</v>
      </c>
      <c r="AI992">
        <v>0</v>
      </c>
      <c r="AJ992">
        <v>0</v>
      </c>
      <c r="AK992">
        <v>0</v>
      </c>
      <c r="AL992">
        <v>0</v>
      </c>
      <c r="AM992">
        <v>0</v>
      </c>
      <c r="AN992">
        <v>0</v>
      </c>
      <c r="AO992">
        <v>0</v>
      </c>
      <c r="AP992">
        <v>0</v>
      </c>
      <c r="AQ992">
        <v>0</v>
      </c>
      <c r="AR992">
        <v>0</v>
      </c>
      <c r="AS992">
        <v>0</v>
      </c>
      <c r="AT992">
        <v>0</v>
      </c>
      <c r="AU992">
        <f t="shared" si="30"/>
        <v>0</v>
      </c>
      <c r="AV992">
        <f t="shared" si="31"/>
        <v>3300</v>
      </c>
    </row>
    <row r="993" spans="1:48" x14ac:dyDescent="0.25">
      <c r="A993" t="s">
        <v>4875</v>
      </c>
      <c r="C993" t="s">
        <v>4876</v>
      </c>
      <c r="D993" t="s">
        <v>4877</v>
      </c>
      <c r="E993" t="s">
        <v>2310</v>
      </c>
      <c r="F993">
        <v>9</v>
      </c>
      <c r="G993">
        <v>9.3000000000000007</v>
      </c>
      <c r="H993" t="s">
        <v>2323</v>
      </c>
      <c r="I993" s="21">
        <v>38099</v>
      </c>
      <c r="J993">
        <v>2004</v>
      </c>
      <c r="K993" s="21">
        <v>38128</v>
      </c>
      <c r="L993">
        <v>2004</v>
      </c>
      <c r="M993" s="21">
        <v>38495</v>
      </c>
      <c r="N993">
        <v>2005</v>
      </c>
      <c r="R993" s="262">
        <v>15000</v>
      </c>
      <c r="S993" t="s">
        <v>114</v>
      </c>
      <c r="T993" t="s">
        <v>114</v>
      </c>
      <c r="U993">
        <v>8</v>
      </c>
      <c r="W993">
        <v>0</v>
      </c>
      <c r="X993">
        <v>1</v>
      </c>
      <c r="Y993">
        <v>0</v>
      </c>
      <c r="Z993">
        <v>0</v>
      </c>
      <c r="AA993">
        <v>0</v>
      </c>
      <c r="AB993">
        <v>0</v>
      </c>
      <c r="AC993">
        <v>-888</v>
      </c>
      <c r="AD993">
        <v>0</v>
      </c>
      <c r="AE993">
        <v>0</v>
      </c>
      <c r="AF993">
        <v>888</v>
      </c>
      <c r="AG993">
        <v>0</v>
      </c>
      <c r="AH993">
        <v>0</v>
      </c>
      <c r="AI993">
        <v>0</v>
      </c>
      <c r="AJ993">
        <v>0</v>
      </c>
      <c r="AK993">
        <v>0</v>
      </c>
      <c r="AL993">
        <v>0</v>
      </c>
      <c r="AM993">
        <v>0</v>
      </c>
      <c r="AN993">
        <v>0</v>
      </c>
      <c r="AO993">
        <v>0</v>
      </c>
      <c r="AP993">
        <v>0</v>
      </c>
      <c r="AQ993">
        <v>0</v>
      </c>
      <c r="AR993">
        <v>1</v>
      </c>
      <c r="AS993">
        <v>0</v>
      </c>
      <c r="AT993">
        <v>0</v>
      </c>
      <c r="AU993">
        <f t="shared" si="30"/>
        <v>0</v>
      </c>
      <c r="AV993">
        <f t="shared" si="31"/>
        <v>0</v>
      </c>
    </row>
    <row r="994" spans="1:48" x14ac:dyDescent="0.25">
      <c r="A994" t="s">
        <v>4878</v>
      </c>
      <c r="C994" t="s">
        <v>4879</v>
      </c>
      <c r="D994" t="s">
        <v>4880</v>
      </c>
      <c r="E994" t="s">
        <v>2310</v>
      </c>
      <c r="F994">
        <v>13</v>
      </c>
      <c r="G994">
        <v>13.3</v>
      </c>
      <c r="H994" t="s">
        <v>2017</v>
      </c>
      <c r="I994" s="21">
        <v>38099</v>
      </c>
      <c r="J994">
        <v>2004</v>
      </c>
      <c r="K994" s="21">
        <v>38128</v>
      </c>
      <c r="L994">
        <v>2004</v>
      </c>
      <c r="M994" s="21">
        <v>38349</v>
      </c>
      <c r="N994">
        <v>2004</v>
      </c>
      <c r="R994" s="262">
        <v>200000</v>
      </c>
      <c r="S994" t="s">
        <v>114</v>
      </c>
      <c r="T994" t="s">
        <v>114</v>
      </c>
      <c r="U994">
        <v>5</v>
      </c>
      <c r="W994">
        <v>981</v>
      </c>
      <c r="X994">
        <v>0</v>
      </c>
      <c r="Y994">
        <v>0</v>
      </c>
      <c r="Z994">
        <v>0</v>
      </c>
      <c r="AA994">
        <v>0</v>
      </c>
      <c r="AB994">
        <v>0</v>
      </c>
      <c r="AC994">
        <v>981</v>
      </c>
      <c r="AD994">
        <v>0</v>
      </c>
      <c r="AE994">
        <v>0</v>
      </c>
      <c r="AF994">
        <v>0</v>
      </c>
      <c r="AG994">
        <v>0</v>
      </c>
      <c r="AH994">
        <v>0</v>
      </c>
      <c r="AI994">
        <v>0</v>
      </c>
      <c r="AJ994">
        <v>0</v>
      </c>
      <c r="AK994">
        <v>0</v>
      </c>
      <c r="AL994">
        <v>0</v>
      </c>
      <c r="AM994">
        <v>0</v>
      </c>
      <c r="AN994">
        <v>0</v>
      </c>
      <c r="AO994">
        <v>0</v>
      </c>
      <c r="AP994">
        <v>0</v>
      </c>
      <c r="AQ994">
        <v>0</v>
      </c>
      <c r="AR994">
        <v>0</v>
      </c>
      <c r="AS994">
        <v>0</v>
      </c>
      <c r="AT994">
        <v>0</v>
      </c>
      <c r="AU994">
        <f t="shared" si="30"/>
        <v>0</v>
      </c>
      <c r="AV994">
        <f t="shared" si="31"/>
        <v>0</v>
      </c>
    </row>
    <row r="995" spans="1:48" x14ac:dyDescent="0.25">
      <c r="A995" t="s">
        <v>4881</v>
      </c>
      <c r="C995" t="s">
        <v>4882</v>
      </c>
      <c r="D995" t="s">
        <v>4883</v>
      </c>
      <c r="E995" t="s">
        <v>2310</v>
      </c>
      <c r="F995">
        <v>9</v>
      </c>
      <c r="G995">
        <v>9.1999999999999993</v>
      </c>
      <c r="H995" t="s">
        <v>2022</v>
      </c>
      <c r="I995" s="21">
        <v>38100</v>
      </c>
      <c r="J995">
        <v>2004</v>
      </c>
      <c r="K995" s="21">
        <v>38126</v>
      </c>
      <c r="L995">
        <v>2004</v>
      </c>
      <c r="M995" s="21">
        <v>40310.500231481499</v>
      </c>
      <c r="N995">
        <v>2010</v>
      </c>
      <c r="R995" s="262">
        <v>59000</v>
      </c>
      <c r="S995" t="s">
        <v>114</v>
      </c>
      <c r="T995" t="s">
        <v>114</v>
      </c>
      <c r="U995">
        <v>5</v>
      </c>
      <c r="W995">
        <v>68</v>
      </c>
      <c r="X995">
        <v>0</v>
      </c>
      <c r="Y995">
        <v>0</v>
      </c>
      <c r="Z995">
        <v>0</v>
      </c>
      <c r="AA995">
        <v>0</v>
      </c>
      <c r="AB995">
        <v>0</v>
      </c>
      <c r="AC995">
        <v>68</v>
      </c>
      <c r="AD995">
        <v>0</v>
      </c>
      <c r="AE995">
        <v>0</v>
      </c>
      <c r="AF995">
        <v>0</v>
      </c>
      <c r="AG995">
        <v>0</v>
      </c>
      <c r="AH995">
        <v>0</v>
      </c>
      <c r="AI995">
        <v>0</v>
      </c>
      <c r="AJ995">
        <v>0</v>
      </c>
      <c r="AK995">
        <v>0</v>
      </c>
      <c r="AL995">
        <v>0</v>
      </c>
      <c r="AM995">
        <v>0</v>
      </c>
      <c r="AN995">
        <v>0</v>
      </c>
      <c r="AO995">
        <v>0</v>
      </c>
      <c r="AP995">
        <v>0</v>
      </c>
      <c r="AQ995">
        <v>0</v>
      </c>
      <c r="AR995">
        <v>0</v>
      </c>
      <c r="AS995">
        <v>0</v>
      </c>
      <c r="AT995">
        <v>0</v>
      </c>
      <c r="AU995">
        <f t="shared" si="30"/>
        <v>0</v>
      </c>
      <c r="AV995">
        <f t="shared" si="31"/>
        <v>0</v>
      </c>
    </row>
    <row r="996" spans="1:48" x14ac:dyDescent="0.25">
      <c r="A996" t="s">
        <v>4884</v>
      </c>
      <c r="C996" t="s">
        <v>4885</v>
      </c>
      <c r="D996" t="s">
        <v>4886</v>
      </c>
      <c r="E996" t="s">
        <v>2310</v>
      </c>
      <c r="F996">
        <v>9</v>
      </c>
      <c r="G996">
        <v>9.1</v>
      </c>
      <c r="H996" t="s">
        <v>2323</v>
      </c>
      <c r="I996" s="21">
        <v>38100</v>
      </c>
      <c r="J996">
        <v>2004</v>
      </c>
      <c r="K996" s="21">
        <v>38119</v>
      </c>
      <c r="L996">
        <v>2004</v>
      </c>
      <c r="M996" s="21">
        <v>38119</v>
      </c>
      <c r="N996">
        <v>2004</v>
      </c>
      <c r="R996" s="262">
        <v>88000</v>
      </c>
      <c r="S996" t="s">
        <v>114</v>
      </c>
      <c r="T996" t="s">
        <v>114</v>
      </c>
      <c r="U996">
        <v>3</v>
      </c>
      <c r="W996">
        <v>500</v>
      </c>
      <c r="X996">
        <v>0</v>
      </c>
      <c r="Y996">
        <v>0</v>
      </c>
      <c r="Z996">
        <v>0</v>
      </c>
      <c r="AA996">
        <v>500</v>
      </c>
      <c r="AB996">
        <v>0</v>
      </c>
      <c r="AC996">
        <v>0</v>
      </c>
      <c r="AD996">
        <v>0</v>
      </c>
      <c r="AE996">
        <v>0</v>
      </c>
      <c r="AF996">
        <v>0</v>
      </c>
      <c r="AG996">
        <v>0</v>
      </c>
      <c r="AH996">
        <v>0</v>
      </c>
      <c r="AI996">
        <v>0</v>
      </c>
      <c r="AJ996">
        <v>0</v>
      </c>
      <c r="AK996">
        <v>0</v>
      </c>
      <c r="AL996">
        <v>0</v>
      </c>
      <c r="AM996">
        <v>0</v>
      </c>
      <c r="AN996">
        <v>0</v>
      </c>
      <c r="AO996">
        <v>0</v>
      </c>
      <c r="AP996">
        <v>0</v>
      </c>
      <c r="AQ996">
        <v>0</v>
      </c>
      <c r="AR996">
        <v>0</v>
      </c>
      <c r="AS996">
        <v>0</v>
      </c>
      <c r="AT996">
        <v>0</v>
      </c>
      <c r="AU996">
        <f t="shared" si="30"/>
        <v>0</v>
      </c>
      <c r="AV996">
        <f t="shared" si="31"/>
        <v>500</v>
      </c>
    </row>
    <row r="997" spans="1:48" x14ac:dyDescent="0.25">
      <c r="A997" t="s">
        <v>4887</v>
      </c>
      <c r="C997" t="s">
        <v>4888</v>
      </c>
      <c r="D997" t="s">
        <v>4889</v>
      </c>
      <c r="E997" t="s">
        <v>2310</v>
      </c>
      <c r="F997">
        <v>15</v>
      </c>
      <c r="G997">
        <v>15.2</v>
      </c>
      <c r="H997" t="s">
        <v>2323</v>
      </c>
      <c r="I997" s="21">
        <v>38103</v>
      </c>
      <c r="J997">
        <v>2004</v>
      </c>
      <c r="K997" s="21">
        <v>38128</v>
      </c>
      <c r="L997">
        <v>2004</v>
      </c>
      <c r="M997" s="21">
        <v>38194</v>
      </c>
      <c r="N997">
        <v>2004</v>
      </c>
      <c r="R997" s="262">
        <v>25000</v>
      </c>
      <c r="S997" t="s">
        <v>114</v>
      </c>
      <c r="T997" t="s">
        <v>114</v>
      </c>
      <c r="U997">
        <v>8</v>
      </c>
      <c r="W997">
        <v>1400</v>
      </c>
      <c r="X997">
        <v>1</v>
      </c>
      <c r="Y997">
        <v>0</v>
      </c>
      <c r="Z997">
        <v>0</v>
      </c>
      <c r="AA997">
        <v>0</v>
      </c>
      <c r="AB997">
        <v>0</v>
      </c>
      <c r="AC997">
        <v>752</v>
      </c>
      <c r="AD997">
        <v>0</v>
      </c>
      <c r="AE997">
        <v>0</v>
      </c>
      <c r="AF997">
        <v>648</v>
      </c>
      <c r="AG997">
        <v>0</v>
      </c>
      <c r="AH997">
        <v>0</v>
      </c>
      <c r="AI997">
        <v>0</v>
      </c>
      <c r="AJ997">
        <v>0</v>
      </c>
      <c r="AK997">
        <v>0</v>
      </c>
      <c r="AL997">
        <v>0</v>
      </c>
      <c r="AM997">
        <v>0</v>
      </c>
      <c r="AN997">
        <v>0</v>
      </c>
      <c r="AO997">
        <v>0</v>
      </c>
      <c r="AP997">
        <v>0</v>
      </c>
      <c r="AQ997">
        <v>0</v>
      </c>
      <c r="AR997">
        <v>1</v>
      </c>
      <c r="AS997">
        <v>0</v>
      </c>
      <c r="AT997">
        <v>0</v>
      </c>
      <c r="AU997">
        <f t="shared" si="30"/>
        <v>0</v>
      </c>
      <c r="AV997">
        <f t="shared" si="31"/>
        <v>0</v>
      </c>
    </row>
    <row r="998" spans="1:48" x14ac:dyDescent="0.25">
      <c r="A998" t="s">
        <v>4890</v>
      </c>
      <c r="C998" t="s">
        <v>4891</v>
      </c>
      <c r="D998" t="s">
        <v>4892</v>
      </c>
      <c r="E998" t="s">
        <v>2310</v>
      </c>
      <c r="F998">
        <v>8</v>
      </c>
      <c r="G998">
        <v>8.1</v>
      </c>
      <c r="H998" t="s">
        <v>2323</v>
      </c>
      <c r="I998" s="21">
        <v>38103</v>
      </c>
      <c r="J998">
        <v>2004</v>
      </c>
      <c r="K998" s="21">
        <v>38197</v>
      </c>
      <c r="L998">
        <v>2004</v>
      </c>
      <c r="M998" s="21">
        <v>38798</v>
      </c>
      <c r="N998">
        <v>2006</v>
      </c>
      <c r="R998" s="262">
        <v>2500000</v>
      </c>
      <c r="S998" t="s">
        <v>114</v>
      </c>
      <c r="T998" t="s">
        <v>114</v>
      </c>
      <c r="U998">
        <v>5</v>
      </c>
      <c r="W998">
        <v>8785</v>
      </c>
      <c r="X998">
        <v>1</v>
      </c>
      <c r="Y998">
        <v>0</v>
      </c>
      <c r="Z998">
        <v>0</v>
      </c>
      <c r="AA998">
        <v>0</v>
      </c>
      <c r="AB998">
        <v>0</v>
      </c>
      <c r="AC998">
        <v>8785</v>
      </c>
      <c r="AD998">
        <v>0</v>
      </c>
      <c r="AE998">
        <v>0</v>
      </c>
      <c r="AF998">
        <v>0</v>
      </c>
      <c r="AG998">
        <v>0</v>
      </c>
      <c r="AH998">
        <v>0</v>
      </c>
      <c r="AI998">
        <v>0</v>
      </c>
      <c r="AJ998">
        <v>0</v>
      </c>
      <c r="AK998">
        <v>0</v>
      </c>
      <c r="AL998">
        <v>0</v>
      </c>
      <c r="AM998">
        <v>0</v>
      </c>
      <c r="AN998">
        <v>0</v>
      </c>
      <c r="AO998">
        <v>1</v>
      </c>
      <c r="AP998">
        <v>0</v>
      </c>
      <c r="AQ998">
        <v>0</v>
      </c>
      <c r="AR998">
        <v>0</v>
      </c>
      <c r="AS998">
        <v>0</v>
      </c>
      <c r="AT998">
        <v>0</v>
      </c>
      <c r="AU998">
        <f t="shared" si="30"/>
        <v>1</v>
      </c>
      <c r="AV998">
        <f t="shared" si="31"/>
        <v>0</v>
      </c>
    </row>
    <row r="999" spans="1:48" x14ac:dyDescent="0.25">
      <c r="A999" t="s">
        <v>4895</v>
      </c>
      <c r="C999" t="s">
        <v>4896</v>
      </c>
      <c r="D999" t="s">
        <v>4897</v>
      </c>
      <c r="E999" t="s">
        <v>2310</v>
      </c>
      <c r="F999">
        <v>7</v>
      </c>
      <c r="G999">
        <v>7.2</v>
      </c>
      <c r="H999" t="s">
        <v>2017</v>
      </c>
      <c r="I999" s="21">
        <v>38104</v>
      </c>
      <c r="J999">
        <v>2004</v>
      </c>
      <c r="R999" s="262">
        <v>400</v>
      </c>
      <c r="S999" t="s">
        <v>114</v>
      </c>
      <c r="T999" t="s">
        <v>114</v>
      </c>
      <c r="U999">
        <v>5</v>
      </c>
      <c r="W999">
        <v>1200</v>
      </c>
      <c r="X999">
        <v>0</v>
      </c>
      <c r="Y999">
        <v>0</v>
      </c>
      <c r="Z999">
        <v>0</v>
      </c>
      <c r="AA999">
        <v>0</v>
      </c>
      <c r="AB999">
        <v>0</v>
      </c>
      <c r="AC999">
        <v>1200</v>
      </c>
      <c r="AD999">
        <v>0</v>
      </c>
      <c r="AE999">
        <v>0</v>
      </c>
      <c r="AF999">
        <v>0</v>
      </c>
      <c r="AG999">
        <v>0</v>
      </c>
      <c r="AH999">
        <v>0</v>
      </c>
      <c r="AI999">
        <v>0</v>
      </c>
      <c r="AJ999">
        <v>0</v>
      </c>
      <c r="AK999">
        <v>0</v>
      </c>
      <c r="AL999">
        <v>0</v>
      </c>
      <c r="AM999">
        <v>0</v>
      </c>
      <c r="AN999">
        <v>0</v>
      </c>
      <c r="AO999">
        <v>0</v>
      </c>
      <c r="AP999">
        <v>0</v>
      </c>
      <c r="AQ999">
        <v>0</v>
      </c>
      <c r="AR999">
        <v>0</v>
      </c>
      <c r="AS999">
        <v>0</v>
      </c>
      <c r="AT999">
        <v>0</v>
      </c>
      <c r="AU999">
        <f t="shared" si="30"/>
        <v>0</v>
      </c>
      <c r="AV999">
        <f t="shared" si="31"/>
        <v>0</v>
      </c>
    </row>
    <row r="1000" spans="1:48" x14ac:dyDescent="0.25">
      <c r="A1000" t="s">
        <v>4898</v>
      </c>
      <c r="C1000" t="s">
        <v>4899</v>
      </c>
      <c r="D1000" t="s">
        <v>4900</v>
      </c>
      <c r="E1000" t="s">
        <v>2310</v>
      </c>
      <c r="F1000">
        <v>8</v>
      </c>
      <c r="G1000">
        <v>8.1999999999999993</v>
      </c>
      <c r="H1000" t="s">
        <v>2022</v>
      </c>
      <c r="I1000" s="21">
        <v>38104</v>
      </c>
      <c r="J1000">
        <v>2004</v>
      </c>
      <c r="K1000" s="21">
        <v>38140</v>
      </c>
      <c r="L1000">
        <v>2004</v>
      </c>
      <c r="M1000" s="21">
        <v>38664</v>
      </c>
      <c r="N1000">
        <v>2005</v>
      </c>
      <c r="R1000" s="262">
        <v>200000</v>
      </c>
      <c r="S1000" t="s">
        <v>114</v>
      </c>
      <c r="T1000" t="s">
        <v>114</v>
      </c>
      <c r="U1000">
        <v>5</v>
      </c>
      <c r="W1000">
        <v>1467</v>
      </c>
      <c r="X1000">
        <v>0</v>
      </c>
      <c r="Y1000">
        <v>0</v>
      </c>
      <c r="Z1000">
        <v>0</v>
      </c>
      <c r="AA1000">
        <v>0</v>
      </c>
      <c r="AB1000">
        <v>0</v>
      </c>
      <c r="AC1000">
        <v>1467</v>
      </c>
      <c r="AD1000">
        <v>0</v>
      </c>
      <c r="AE1000">
        <v>0</v>
      </c>
      <c r="AF1000">
        <v>0</v>
      </c>
      <c r="AG1000">
        <v>0</v>
      </c>
      <c r="AH1000">
        <v>0</v>
      </c>
      <c r="AI1000">
        <v>0</v>
      </c>
      <c r="AJ1000">
        <v>0</v>
      </c>
      <c r="AK1000">
        <v>0</v>
      </c>
      <c r="AL1000">
        <v>0</v>
      </c>
      <c r="AM1000">
        <v>0</v>
      </c>
      <c r="AN1000">
        <v>0</v>
      </c>
      <c r="AO1000">
        <v>0</v>
      </c>
      <c r="AP1000">
        <v>0</v>
      </c>
      <c r="AQ1000">
        <v>0</v>
      </c>
      <c r="AR1000">
        <v>0</v>
      </c>
      <c r="AS1000">
        <v>0</v>
      </c>
      <c r="AT1000">
        <v>0</v>
      </c>
      <c r="AU1000">
        <f t="shared" si="30"/>
        <v>0</v>
      </c>
      <c r="AV1000">
        <f t="shared" si="31"/>
        <v>0</v>
      </c>
    </row>
    <row r="1001" spans="1:48" x14ac:dyDescent="0.25">
      <c r="A1001" t="s">
        <v>4901</v>
      </c>
      <c r="C1001" t="s">
        <v>4902</v>
      </c>
      <c r="D1001" t="s">
        <v>4900</v>
      </c>
      <c r="E1001" t="s">
        <v>2310</v>
      </c>
      <c r="F1001">
        <v>8</v>
      </c>
      <c r="G1001">
        <v>8.1999999999999993</v>
      </c>
      <c r="H1001" t="s">
        <v>2022</v>
      </c>
      <c r="I1001" s="21">
        <v>38104</v>
      </c>
      <c r="J1001">
        <v>2004</v>
      </c>
      <c r="K1001" s="21">
        <v>38142</v>
      </c>
      <c r="L1001">
        <v>2004</v>
      </c>
      <c r="M1001" s="21">
        <v>38142</v>
      </c>
      <c r="N1001">
        <v>2004</v>
      </c>
      <c r="R1001" s="262">
        <v>300000</v>
      </c>
      <c r="S1001" t="s">
        <v>114</v>
      </c>
      <c r="T1001" t="s">
        <v>114</v>
      </c>
      <c r="U1001">
        <v>5</v>
      </c>
      <c r="W1001">
        <v>996</v>
      </c>
      <c r="X1001">
        <v>1</v>
      </c>
      <c r="Y1001">
        <v>0</v>
      </c>
      <c r="Z1001">
        <v>0</v>
      </c>
      <c r="AA1001">
        <v>0</v>
      </c>
      <c r="AB1001">
        <v>0</v>
      </c>
      <c r="AC1001">
        <v>996</v>
      </c>
      <c r="AD1001">
        <v>0</v>
      </c>
      <c r="AE1001">
        <v>0</v>
      </c>
      <c r="AF1001">
        <v>0</v>
      </c>
      <c r="AG1001">
        <v>0</v>
      </c>
      <c r="AH1001">
        <v>0</v>
      </c>
      <c r="AI1001">
        <v>0</v>
      </c>
      <c r="AJ1001">
        <v>0</v>
      </c>
      <c r="AK1001">
        <v>0</v>
      </c>
      <c r="AL1001">
        <v>0</v>
      </c>
      <c r="AM1001">
        <v>0</v>
      </c>
      <c r="AN1001">
        <v>0</v>
      </c>
      <c r="AO1001">
        <v>1</v>
      </c>
      <c r="AP1001">
        <v>0</v>
      </c>
      <c r="AQ1001">
        <v>0</v>
      </c>
      <c r="AR1001">
        <v>0</v>
      </c>
      <c r="AS1001">
        <v>0</v>
      </c>
      <c r="AT1001">
        <v>0</v>
      </c>
      <c r="AU1001">
        <f t="shared" si="30"/>
        <v>1</v>
      </c>
      <c r="AV1001">
        <f t="shared" si="31"/>
        <v>0</v>
      </c>
    </row>
    <row r="1002" spans="1:48" x14ac:dyDescent="0.25">
      <c r="A1002" t="s">
        <v>4893</v>
      </c>
      <c r="C1002" t="s">
        <v>4894</v>
      </c>
      <c r="D1002" t="s">
        <v>4772</v>
      </c>
      <c r="E1002" t="s">
        <v>1663</v>
      </c>
      <c r="F1002">
        <v>5</v>
      </c>
      <c r="G1002">
        <v>5.0999999999999996</v>
      </c>
      <c r="H1002" t="s">
        <v>2327</v>
      </c>
      <c r="I1002" s="21">
        <v>38104</v>
      </c>
      <c r="J1002">
        <v>2004</v>
      </c>
      <c r="K1002" s="21">
        <v>38134</v>
      </c>
      <c r="L1002">
        <v>2004</v>
      </c>
      <c r="M1002" s="21">
        <v>38287</v>
      </c>
      <c r="N1002">
        <v>2004</v>
      </c>
      <c r="Q1002" s="262">
        <v>1200000</v>
      </c>
      <c r="S1002" t="s">
        <v>114</v>
      </c>
      <c r="T1002" t="s">
        <v>114</v>
      </c>
      <c r="W1002">
        <v>15000</v>
      </c>
      <c r="X1002">
        <v>0</v>
      </c>
      <c r="Y1002">
        <v>0</v>
      </c>
      <c r="Z1002">
        <v>0</v>
      </c>
      <c r="AA1002">
        <v>0</v>
      </c>
      <c r="AB1002">
        <v>0</v>
      </c>
      <c r="AC1002">
        <v>0</v>
      </c>
      <c r="AD1002">
        <v>0</v>
      </c>
      <c r="AE1002">
        <v>0</v>
      </c>
      <c r="AF1002">
        <v>0</v>
      </c>
      <c r="AG1002">
        <v>0</v>
      </c>
      <c r="AH1002">
        <v>0</v>
      </c>
      <c r="AI1002">
        <v>0</v>
      </c>
      <c r="AJ1002">
        <v>15000</v>
      </c>
      <c r="AK1002">
        <v>0</v>
      </c>
      <c r="AL1002">
        <v>0</v>
      </c>
      <c r="AM1002">
        <v>0</v>
      </c>
      <c r="AN1002">
        <v>0</v>
      </c>
      <c r="AO1002">
        <v>0</v>
      </c>
      <c r="AP1002">
        <v>0</v>
      </c>
      <c r="AQ1002">
        <v>0</v>
      </c>
      <c r="AR1002">
        <v>0</v>
      </c>
      <c r="AS1002">
        <v>0</v>
      </c>
      <c r="AT1002">
        <v>0</v>
      </c>
      <c r="AU1002">
        <f t="shared" si="30"/>
        <v>0</v>
      </c>
      <c r="AV1002">
        <f t="shared" si="31"/>
        <v>15000</v>
      </c>
    </row>
    <row r="1003" spans="1:48" x14ac:dyDescent="0.25">
      <c r="A1003" t="s">
        <v>4903</v>
      </c>
      <c r="C1003" t="s">
        <v>4904</v>
      </c>
      <c r="D1003" t="s">
        <v>4905</v>
      </c>
      <c r="E1003" t="s">
        <v>2310</v>
      </c>
      <c r="F1003">
        <v>13</v>
      </c>
      <c r="G1003">
        <v>13.3</v>
      </c>
      <c r="H1003" t="s">
        <v>2017</v>
      </c>
      <c r="I1003" s="21">
        <v>38106</v>
      </c>
      <c r="J1003">
        <v>2004</v>
      </c>
      <c r="K1003" s="21">
        <v>38118</v>
      </c>
      <c r="L1003">
        <v>2004</v>
      </c>
      <c r="M1003" s="21">
        <v>39287</v>
      </c>
      <c r="N1003">
        <v>2007</v>
      </c>
      <c r="R1003" s="262">
        <v>117647</v>
      </c>
      <c r="S1003" t="s">
        <v>114</v>
      </c>
      <c r="T1003" t="s">
        <v>114</v>
      </c>
      <c r="U1003">
        <v>5</v>
      </c>
      <c r="W1003">
        <v>0</v>
      </c>
      <c r="X1003">
        <v>0</v>
      </c>
      <c r="Y1003">
        <v>0</v>
      </c>
      <c r="Z1003">
        <v>0</v>
      </c>
      <c r="AA1003">
        <v>0</v>
      </c>
      <c r="AB1003">
        <v>0</v>
      </c>
      <c r="AC1003">
        <v>0</v>
      </c>
      <c r="AD1003">
        <v>0</v>
      </c>
      <c r="AE1003">
        <v>0</v>
      </c>
      <c r="AF1003">
        <v>0</v>
      </c>
      <c r="AG1003">
        <v>0</v>
      </c>
      <c r="AH1003">
        <v>0</v>
      </c>
      <c r="AI1003">
        <v>0</v>
      </c>
      <c r="AJ1003">
        <v>0</v>
      </c>
      <c r="AK1003">
        <v>0</v>
      </c>
      <c r="AL1003">
        <v>0</v>
      </c>
      <c r="AM1003">
        <v>0</v>
      </c>
      <c r="AN1003">
        <v>0</v>
      </c>
      <c r="AO1003">
        <v>0</v>
      </c>
      <c r="AP1003">
        <v>0</v>
      </c>
      <c r="AQ1003">
        <v>0</v>
      </c>
      <c r="AR1003">
        <v>0</v>
      </c>
      <c r="AS1003">
        <v>0</v>
      </c>
      <c r="AT1003">
        <v>0</v>
      </c>
      <c r="AU1003">
        <f t="shared" si="30"/>
        <v>0</v>
      </c>
      <c r="AV1003">
        <f t="shared" si="31"/>
        <v>0</v>
      </c>
    </row>
    <row r="1004" spans="1:48" x14ac:dyDescent="0.25">
      <c r="A1004" t="s">
        <v>4906</v>
      </c>
      <c r="C1004" t="s">
        <v>4907</v>
      </c>
      <c r="D1004" t="s">
        <v>4908</v>
      </c>
      <c r="E1004" t="s">
        <v>2310</v>
      </c>
      <c r="F1004">
        <v>15</v>
      </c>
      <c r="G1004">
        <v>15.2</v>
      </c>
      <c r="H1004" t="s">
        <v>2323</v>
      </c>
      <c r="I1004" s="21">
        <v>38110</v>
      </c>
      <c r="J1004">
        <v>2004</v>
      </c>
      <c r="K1004" s="21">
        <v>38152</v>
      </c>
      <c r="L1004">
        <v>2004</v>
      </c>
      <c r="M1004" s="21">
        <v>38736</v>
      </c>
      <c r="N1004">
        <v>2006</v>
      </c>
      <c r="R1004" s="262">
        <v>800000</v>
      </c>
      <c r="S1004" t="s">
        <v>114</v>
      </c>
      <c r="T1004" t="s">
        <v>114</v>
      </c>
      <c r="U1004">
        <v>5</v>
      </c>
      <c r="W1004">
        <v>4298</v>
      </c>
      <c r="X1004">
        <v>1</v>
      </c>
      <c r="Y1004">
        <v>0</v>
      </c>
      <c r="Z1004">
        <v>0</v>
      </c>
      <c r="AA1004">
        <v>0</v>
      </c>
      <c r="AB1004">
        <v>0</v>
      </c>
      <c r="AC1004">
        <v>4298</v>
      </c>
      <c r="AD1004">
        <v>0</v>
      </c>
      <c r="AE1004">
        <v>0</v>
      </c>
      <c r="AF1004">
        <v>0</v>
      </c>
      <c r="AG1004">
        <v>0</v>
      </c>
      <c r="AH1004">
        <v>0</v>
      </c>
      <c r="AI1004">
        <v>0</v>
      </c>
      <c r="AJ1004">
        <v>0</v>
      </c>
      <c r="AK1004">
        <v>0</v>
      </c>
      <c r="AL1004">
        <v>0</v>
      </c>
      <c r="AM1004">
        <v>0</v>
      </c>
      <c r="AN1004">
        <v>0</v>
      </c>
      <c r="AO1004">
        <v>1</v>
      </c>
      <c r="AP1004">
        <v>0</v>
      </c>
      <c r="AQ1004">
        <v>0</v>
      </c>
      <c r="AR1004">
        <v>0</v>
      </c>
      <c r="AS1004">
        <v>0</v>
      </c>
      <c r="AT1004">
        <v>0</v>
      </c>
      <c r="AU1004">
        <f t="shared" si="30"/>
        <v>1</v>
      </c>
      <c r="AV1004">
        <f t="shared" si="31"/>
        <v>0</v>
      </c>
    </row>
    <row r="1005" spans="1:48" x14ac:dyDescent="0.25">
      <c r="A1005" t="s">
        <v>4909</v>
      </c>
      <c r="C1005" t="s">
        <v>4910</v>
      </c>
      <c r="D1005" t="s">
        <v>4911</v>
      </c>
      <c r="E1005" t="s">
        <v>2310</v>
      </c>
      <c r="F1005">
        <v>10</v>
      </c>
      <c r="G1005">
        <v>10.1</v>
      </c>
      <c r="H1005" t="s">
        <v>2323</v>
      </c>
      <c r="I1005" s="21">
        <v>38110</v>
      </c>
      <c r="J1005">
        <v>2004</v>
      </c>
      <c r="K1005" s="21">
        <v>38132</v>
      </c>
      <c r="L1005">
        <v>2004</v>
      </c>
      <c r="M1005" s="21">
        <v>38477</v>
      </c>
      <c r="N1005">
        <v>2005</v>
      </c>
      <c r="R1005" s="262">
        <v>135000</v>
      </c>
      <c r="S1005" t="s">
        <v>114</v>
      </c>
      <c r="T1005" t="s">
        <v>114</v>
      </c>
      <c r="U1005">
        <v>5</v>
      </c>
      <c r="W1005">
        <v>1220</v>
      </c>
      <c r="X1005">
        <v>1</v>
      </c>
      <c r="Y1005">
        <v>0</v>
      </c>
      <c r="Z1005">
        <v>0</v>
      </c>
      <c r="AA1005">
        <v>0</v>
      </c>
      <c r="AB1005">
        <v>0</v>
      </c>
      <c r="AC1005">
        <v>1220</v>
      </c>
      <c r="AD1005">
        <v>0</v>
      </c>
      <c r="AE1005">
        <v>0</v>
      </c>
      <c r="AF1005">
        <v>0</v>
      </c>
      <c r="AG1005">
        <v>0</v>
      </c>
      <c r="AH1005">
        <v>0</v>
      </c>
      <c r="AI1005">
        <v>0</v>
      </c>
      <c r="AJ1005">
        <v>0</v>
      </c>
      <c r="AK1005">
        <v>0</v>
      </c>
      <c r="AL1005">
        <v>0</v>
      </c>
      <c r="AM1005">
        <v>0</v>
      </c>
      <c r="AN1005">
        <v>0</v>
      </c>
      <c r="AO1005">
        <v>1</v>
      </c>
      <c r="AP1005">
        <v>0</v>
      </c>
      <c r="AQ1005">
        <v>0</v>
      </c>
      <c r="AR1005">
        <v>0</v>
      </c>
      <c r="AS1005">
        <v>0</v>
      </c>
      <c r="AT1005">
        <v>0</v>
      </c>
      <c r="AU1005">
        <f t="shared" si="30"/>
        <v>1</v>
      </c>
      <c r="AV1005">
        <f t="shared" si="31"/>
        <v>0</v>
      </c>
    </row>
    <row r="1006" spans="1:48" x14ac:dyDescent="0.25">
      <c r="A1006" t="s">
        <v>4912</v>
      </c>
      <c r="C1006" t="s">
        <v>4913</v>
      </c>
      <c r="D1006" t="s">
        <v>3905</v>
      </c>
      <c r="E1006" t="s">
        <v>2310</v>
      </c>
      <c r="F1006">
        <v>8</v>
      </c>
      <c r="G1006">
        <v>8.1</v>
      </c>
      <c r="H1006" t="s">
        <v>2323</v>
      </c>
      <c r="I1006" s="21">
        <v>38110</v>
      </c>
      <c r="J1006">
        <v>2004</v>
      </c>
      <c r="K1006" s="21">
        <v>38149</v>
      </c>
      <c r="L1006">
        <v>2004</v>
      </c>
      <c r="M1006" s="21">
        <v>38149</v>
      </c>
      <c r="N1006">
        <v>2004</v>
      </c>
      <c r="R1006" s="262">
        <v>6000</v>
      </c>
      <c r="S1006" t="s">
        <v>114</v>
      </c>
      <c r="T1006" t="s">
        <v>114</v>
      </c>
      <c r="U1006">
        <v>15</v>
      </c>
      <c r="W1006">
        <v>0</v>
      </c>
      <c r="X1006">
        <v>0</v>
      </c>
      <c r="Y1006">
        <v>0</v>
      </c>
      <c r="Z1006">
        <v>0</v>
      </c>
      <c r="AA1006">
        <v>0</v>
      </c>
      <c r="AB1006">
        <v>0</v>
      </c>
      <c r="AC1006">
        <v>0</v>
      </c>
      <c r="AD1006">
        <v>0</v>
      </c>
      <c r="AE1006">
        <v>0</v>
      </c>
      <c r="AF1006">
        <v>0</v>
      </c>
      <c r="AG1006">
        <v>0</v>
      </c>
      <c r="AH1006">
        <v>0</v>
      </c>
      <c r="AI1006">
        <v>0</v>
      </c>
      <c r="AJ1006">
        <v>0</v>
      </c>
      <c r="AK1006">
        <v>0</v>
      </c>
      <c r="AL1006">
        <v>0</v>
      </c>
      <c r="AM1006">
        <v>0</v>
      </c>
      <c r="AN1006">
        <v>0</v>
      </c>
      <c r="AO1006">
        <v>0</v>
      </c>
      <c r="AP1006">
        <v>0</v>
      </c>
      <c r="AQ1006">
        <v>0</v>
      </c>
      <c r="AR1006">
        <v>0</v>
      </c>
      <c r="AS1006">
        <v>0</v>
      </c>
      <c r="AT1006">
        <v>0</v>
      </c>
      <c r="AU1006">
        <f t="shared" si="30"/>
        <v>0</v>
      </c>
      <c r="AV1006">
        <f t="shared" si="31"/>
        <v>0</v>
      </c>
    </row>
    <row r="1007" spans="1:48" x14ac:dyDescent="0.25">
      <c r="A1007" t="s">
        <v>4914</v>
      </c>
      <c r="C1007" t="s">
        <v>4915</v>
      </c>
      <c r="D1007" t="s">
        <v>3905</v>
      </c>
      <c r="E1007" t="s">
        <v>2310</v>
      </c>
      <c r="F1007">
        <v>8</v>
      </c>
      <c r="G1007">
        <v>8.1</v>
      </c>
      <c r="H1007" t="s">
        <v>2323</v>
      </c>
      <c r="I1007" s="21">
        <v>38110</v>
      </c>
      <c r="J1007">
        <v>2004</v>
      </c>
      <c r="K1007" s="21">
        <v>38149</v>
      </c>
      <c r="L1007">
        <v>2004</v>
      </c>
      <c r="M1007" s="21">
        <v>38149</v>
      </c>
      <c r="N1007">
        <v>2004</v>
      </c>
      <c r="R1007" s="262">
        <v>15000</v>
      </c>
      <c r="S1007" t="s">
        <v>114</v>
      </c>
      <c r="T1007" t="s">
        <v>114</v>
      </c>
      <c r="U1007">
        <v>15</v>
      </c>
      <c r="W1007">
        <v>0</v>
      </c>
      <c r="X1007">
        <v>0</v>
      </c>
      <c r="Y1007">
        <v>0</v>
      </c>
      <c r="Z1007">
        <v>0</v>
      </c>
      <c r="AA1007">
        <v>0</v>
      </c>
      <c r="AB1007">
        <v>0</v>
      </c>
      <c r="AC1007">
        <v>0</v>
      </c>
      <c r="AD1007">
        <v>0</v>
      </c>
      <c r="AE1007">
        <v>0</v>
      </c>
      <c r="AF1007">
        <v>0</v>
      </c>
      <c r="AG1007">
        <v>0</v>
      </c>
      <c r="AH1007">
        <v>0</v>
      </c>
      <c r="AI1007">
        <v>0</v>
      </c>
      <c r="AJ1007">
        <v>0</v>
      </c>
      <c r="AK1007">
        <v>0</v>
      </c>
      <c r="AL1007">
        <v>0</v>
      </c>
      <c r="AM1007">
        <v>0</v>
      </c>
      <c r="AN1007">
        <v>0</v>
      </c>
      <c r="AO1007">
        <v>0</v>
      </c>
      <c r="AP1007">
        <v>0</v>
      </c>
      <c r="AQ1007">
        <v>0</v>
      </c>
      <c r="AR1007">
        <v>0</v>
      </c>
      <c r="AS1007">
        <v>0</v>
      </c>
      <c r="AT1007">
        <v>0</v>
      </c>
      <c r="AU1007">
        <f t="shared" si="30"/>
        <v>0</v>
      </c>
      <c r="AV1007">
        <f t="shared" si="31"/>
        <v>0</v>
      </c>
    </row>
    <row r="1008" spans="1:48" x14ac:dyDescent="0.25">
      <c r="A1008" t="s">
        <v>4916</v>
      </c>
      <c r="C1008" t="s">
        <v>4917</v>
      </c>
      <c r="D1008" t="s">
        <v>3905</v>
      </c>
      <c r="E1008" t="s">
        <v>2310</v>
      </c>
      <c r="F1008">
        <v>8</v>
      </c>
      <c r="G1008">
        <v>8.1</v>
      </c>
      <c r="H1008" t="s">
        <v>2323</v>
      </c>
      <c r="I1008" s="21">
        <v>38110</v>
      </c>
      <c r="J1008">
        <v>2004</v>
      </c>
      <c r="K1008" s="21">
        <v>38149</v>
      </c>
      <c r="L1008">
        <v>2004</v>
      </c>
      <c r="M1008" s="21">
        <v>38149</v>
      </c>
      <c r="N1008">
        <v>2004</v>
      </c>
      <c r="R1008" s="262">
        <v>8000</v>
      </c>
      <c r="S1008" t="s">
        <v>114</v>
      </c>
      <c r="T1008" t="s">
        <v>114</v>
      </c>
      <c r="U1008">
        <v>15</v>
      </c>
      <c r="W1008">
        <v>0</v>
      </c>
      <c r="X1008">
        <v>0</v>
      </c>
      <c r="Y1008">
        <v>0</v>
      </c>
      <c r="Z1008">
        <v>0</v>
      </c>
      <c r="AA1008">
        <v>0</v>
      </c>
      <c r="AB1008">
        <v>0</v>
      </c>
      <c r="AC1008">
        <v>0</v>
      </c>
      <c r="AD1008">
        <v>0</v>
      </c>
      <c r="AE1008">
        <v>0</v>
      </c>
      <c r="AF1008">
        <v>0</v>
      </c>
      <c r="AG1008">
        <v>0</v>
      </c>
      <c r="AH1008">
        <v>0</v>
      </c>
      <c r="AI1008">
        <v>0</v>
      </c>
      <c r="AJ1008">
        <v>0</v>
      </c>
      <c r="AK1008">
        <v>0</v>
      </c>
      <c r="AL1008">
        <v>0</v>
      </c>
      <c r="AM1008">
        <v>0</v>
      </c>
      <c r="AN1008">
        <v>0</v>
      </c>
      <c r="AO1008">
        <v>0</v>
      </c>
      <c r="AP1008">
        <v>0</v>
      </c>
      <c r="AQ1008">
        <v>0</v>
      </c>
      <c r="AR1008">
        <v>0</v>
      </c>
      <c r="AS1008">
        <v>0</v>
      </c>
      <c r="AT1008">
        <v>0</v>
      </c>
      <c r="AU1008">
        <f t="shared" si="30"/>
        <v>0</v>
      </c>
      <c r="AV1008">
        <f t="shared" si="31"/>
        <v>0</v>
      </c>
    </row>
    <row r="1009" spans="1:48" x14ac:dyDescent="0.25">
      <c r="A1009" t="s">
        <v>4918</v>
      </c>
      <c r="C1009" t="s">
        <v>4919</v>
      </c>
      <c r="D1009" t="s">
        <v>4920</v>
      </c>
      <c r="E1009" t="s">
        <v>2310</v>
      </c>
      <c r="F1009">
        <v>8</v>
      </c>
      <c r="G1009">
        <v>8.1</v>
      </c>
      <c r="H1009" t="s">
        <v>2323</v>
      </c>
      <c r="I1009" s="21">
        <v>38110</v>
      </c>
      <c r="J1009">
        <v>2004</v>
      </c>
      <c r="K1009" s="21">
        <v>38156</v>
      </c>
      <c r="L1009">
        <v>2004</v>
      </c>
      <c r="M1009" s="21">
        <v>38156</v>
      </c>
      <c r="N1009">
        <v>2004</v>
      </c>
      <c r="R1009" s="262">
        <v>75000</v>
      </c>
      <c r="S1009" t="s">
        <v>114</v>
      </c>
      <c r="T1009" t="s">
        <v>114</v>
      </c>
      <c r="U1009">
        <v>5</v>
      </c>
      <c r="W1009">
        <v>391</v>
      </c>
      <c r="X1009">
        <v>0</v>
      </c>
      <c r="Y1009">
        <v>0</v>
      </c>
      <c r="Z1009">
        <v>0</v>
      </c>
      <c r="AA1009">
        <v>0</v>
      </c>
      <c r="AB1009">
        <v>0</v>
      </c>
      <c r="AC1009">
        <v>391</v>
      </c>
      <c r="AD1009">
        <v>0</v>
      </c>
      <c r="AE1009">
        <v>0</v>
      </c>
      <c r="AF1009">
        <v>0</v>
      </c>
      <c r="AG1009">
        <v>0</v>
      </c>
      <c r="AH1009">
        <v>0</v>
      </c>
      <c r="AI1009">
        <v>0</v>
      </c>
      <c r="AJ1009">
        <v>0</v>
      </c>
      <c r="AK1009">
        <v>0</v>
      </c>
      <c r="AL1009">
        <v>0</v>
      </c>
      <c r="AM1009">
        <v>0</v>
      </c>
      <c r="AN1009">
        <v>0</v>
      </c>
      <c r="AO1009">
        <v>0</v>
      </c>
      <c r="AP1009">
        <v>0</v>
      </c>
      <c r="AQ1009">
        <v>0</v>
      </c>
      <c r="AR1009">
        <v>0</v>
      </c>
      <c r="AS1009">
        <v>0</v>
      </c>
      <c r="AT1009">
        <v>0</v>
      </c>
      <c r="AU1009">
        <f t="shared" si="30"/>
        <v>0</v>
      </c>
      <c r="AV1009">
        <f t="shared" si="31"/>
        <v>0</v>
      </c>
    </row>
    <row r="1010" spans="1:48" x14ac:dyDescent="0.25">
      <c r="A1010" t="s">
        <v>4921</v>
      </c>
      <c r="C1010" t="s">
        <v>4922</v>
      </c>
      <c r="D1010" t="s">
        <v>4923</v>
      </c>
      <c r="E1010" t="s">
        <v>2310</v>
      </c>
      <c r="F1010">
        <v>15</v>
      </c>
      <c r="G1010">
        <v>15.2</v>
      </c>
      <c r="H1010" t="s">
        <v>2323</v>
      </c>
      <c r="I1010" s="21">
        <v>38111</v>
      </c>
      <c r="J1010">
        <v>2004</v>
      </c>
      <c r="K1010" s="21">
        <v>38156</v>
      </c>
      <c r="L1010">
        <v>2004</v>
      </c>
      <c r="M1010" s="21">
        <v>38943</v>
      </c>
      <c r="N1010">
        <v>2006</v>
      </c>
      <c r="R1010" s="262">
        <v>203000</v>
      </c>
      <c r="S1010" t="s">
        <v>114</v>
      </c>
      <c r="T1010" t="s">
        <v>114</v>
      </c>
      <c r="U1010">
        <v>5</v>
      </c>
      <c r="W1010">
        <v>1074</v>
      </c>
      <c r="X1010">
        <v>0</v>
      </c>
      <c r="Y1010">
        <v>0</v>
      </c>
      <c r="Z1010">
        <v>0</v>
      </c>
      <c r="AA1010">
        <v>0</v>
      </c>
      <c r="AB1010">
        <v>0</v>
      </c>
      <c r="AC1010">
        <v>1074</v>
      </c>
      <c r="AD1010">
        <v>0</v>
      </c>
      <c r="AE1010">
        <v>0</v>
      </c>
      <c r="AF1010">
        <v>0</v>
      </c>
      <c r="AG1010">
        <v>0</v>
      </c>
      <c r="AH1010">
        <v>0</v>
      </c>
      <c r="AI1010">
        <v>0</v>
      </c>
      <c r="AJ1010">
        <v>0</v>
      </c>
      <c r="AK1010">
        <v>0</v>
      </c>
      <c r="AL1010">
        <v>0</v>
      </c>
      <c r="AM1010">
        <v>0</v>
      </c>
      <c r="AN1010">
        <v>0</v>
      </c>
      <c r="AO1010">
        <v>0</v>
      </c>
      <c r="AP1010">
        <v>0</v>
      </c>
      <c r="AQ1010">
        <v>0</v>
      </c>
      <c r="AR1010">
        <v>0</v>
      </c>
      <c r="AS1010">
        <v>0</v>
      </c>
      <c r="AT1010">
        <v>0</v>
      </c>
      <c r="AU1010">
        <f t="shared" si="30"/>
        <v>0</v>
      </c>
      <c r="AV1010">
        <f t="shared" si="31"/>
        <v>0</v>
      </c>
    </row>
    <row r="1011" spans="1:48" x14ac:dyDescent="0.25">
      <c r="A1011" t="s">
        <v>4924</v>
      </c>
      <c r="C1011" t="s">
        <v>4925</v>
      </c>
      <c r="D1011" t="s">
        <v>4926</v>
      </c>
      <c r="E1011" t="s">
        <v>2310</v>
      </c>
      <c r="F1011">
        <v>15</v>
      </c>
      <c r="G1011">
        <v>15.3</v>
      </c>
      <c r="H1011" t="s">
        <v>2022</v>
      </c>
      <c r="I1011" s="21">
        <v>38111</v>
      </c>
      <c r="J1011">
        <v>2004</v>
      </c>
      <c r="K1011" s="21">
        <v>38162</v>
      </c>
      <c r="L1011">
        <v>2004</v>
      </c>
      <c r="M1011" s="21">
        <v>38638</v>
      </c>
      <c r="N1011">
        <v>2005</v>
      </c>
      <c r="R1011" s="262">
        <v>475000</v>
      </c>
      <c r="S1011" t="s">
        <v>114</v>
      </c>
      <c r="T1011" t="s">
        <v>114</v>
      </c>
      <c r="U1011">
        <v>5</v>
      </c>
      <c r="W1011">
        <v>3360</v>
      </c>
      <c r="X1011">
        <v>1</v>
      </c>
      <c r="Y1011">
        <v>0</v>
      </c>
      <c r="Z1011">
        <v>0</v>
      </c>
      <c r="AA1011">
        <v>0</v>
      </c>
      <c r="AB1011">
        <v>0</v>
      </c>
      <c r="AC1011">
        <v>3360</v>
      </c>
      <c r="AD1011">
        <v>0</v>
      </c>
      <c r="AE1011">
        <v>0</v>
      </c>
      <c r="AF1011">
        <v>0</v>
      </c>
      <c r="AG1011">
        <v>0</v>
      </c>
      <c r="AH1011">
        <v>0</v>
      </c>
      <c r="AI1011">
        <v>0</v>
      </c>
      <c r="AJ1011">
        <v>0</v>
      </c>
      <c r="AK1011">
        <v>0</v>
      </c>
      <c r="AL1011">
        <v>0</v>
      </c>
      <c r="AM1011">
        <v>0</v>
      </c>
      <c r="AN1011">
        <v>0</v>
      </c>
      <c r="AO1011">
        <v>1</v>
      </c>
      <c r="AP1011">
        <v>0</v>
      </c>
      <c r="AQ1011">
        <v>0</v>
      </c>
      <c r="AR1011">
        <v>0</v>
      </c>
      <c r="AS1011">
        <v>0</v>
      </c>
      <c r="AT1011">
        <v>0</v>
      </c>
      <c r="AU1011">
        <f t="shared" si="30"/>
        <v>1</v>
      </c>
      <c r="AV1011">
        <f t="shared" si="31"/>
        <v>0</v>
      </c>
    </row>
    <row r="1012" spans="1:48" x14ac:dyDescent="0.25">
      <c r="A1012" t="s">
        <v>4927</v>
      </c>
      <c r="C1012" t="s">
        <v>4928</v>
      </c>
      <c r="D1012" t="s">
        <v>4929</v>
      </c>
      <c r="E1012" t="s">
        <v>2310</v>
      </c>
      <c r="F1012">
        <v>8</v>
      </c>
      <c r="G1012">
        <v>8.1999999999999993</v>
      </c>
      <c r="H1012" t="s">
        <v>2022</v>
      </c>
      <c r="I1012" s="21">
        <v>38111</v>
      </c>
      <c r="J1012">
        <v>2004</v>
      </c>
      <c r="K1012" s="21">
        <v>38183</v>
      </c>
      <c r="L1012">
        <v>2004</v>
      </c>
      <c r="M1012" s="21">
        <v>39359</v>
      </c>
      <c r="N1012">
        <v>2007</v>
      </c>
      <c r="R1012" s="262">
        <v>2100000</v>
      </c>
      <c r="S1012" t="s">
        <v>114</v>
      </c>
      <c r="T1012" t="s">
        <v>114</v>
      </c>
      <c r="U1012">
        <v>5</v>
      </c>
      <c r="W1012">
        <v>9144</v>
      </c>
      <c r="X1012">
        <v>1</v>
      </c>
      <c r="Y1012">
        <v>0</v>
      </c>
      <c r="Z1012">
        <v>0</v>
      </c>
      <c r="AA1012">
        <v>0</v>
      </c>
      <c r="AB1012">
        <v>0</v>
      </c>
      <c r="AC1012">
        <v>9144</v>
      </c>
      <c r="AD1012">
        <v>0</v>
      </c>
      <c r="AE1012">
        <v>0</v>
      </c>
      <c r="AF1012">
        <v>0</v>
      </c>
      <c r="AG1012">
        <v>0</v>
      </c>
      <c r="AH1012">
        <v>0</v>
      </c>
      <c r="AI1012">
        <v>0</v>
      </c>
      <c r="AJ1012">
        <v>0</v>
      </c>
      <c r="AK1012">
        <v>0</v>
      </c>
      <c r="AL1012">
        <v>0</v>
      </c>
      <c r="AM1012">
        <v>0</v>
      </c>
      <c r="AN1012">
        <v>0</v>
      </c>
      <c r="AO1012">
        <v>1</v>
      </c>
      <c r="AP1012">
        <v>0</v>
      </c>
      <c r="AQ1012">
        <v>0</v>
      </c>
      <c r="AR1012">
        <v>0</v>
      </c>
      <c r="AS1012">
        <v>0</v>
      </c>
      <c r="AT1012">
        <v>0</v>
      </c>
      <c r="AU1012">
        <f t="shared" si="30"/>
        <v>1</v>
      </c>
      <c r="AV1012">
        <f t="shared" si="31"/>
        <v>0</v>
      </c>
    </row>
    <row r="1013" spans="1:48" x14ac:dyDescent="0.25">
      <c r="A1013" t="s">
        <v>4930</v>
      </c>
      <c r="C1013" t="s">
        <v>4931</v>
      </c>
      <c r="D1013" t="s">
        <v>4932</v>
      </c>
      <c r="E1013" t="s">
        <v>2310</v>
      </c>
      <c r="F1013">
        <v>9</v>
      </c>
      <c r="G1013">
        <v>9.3000000000000007</v>
      </c>
      <c r="H1013" t="s">
        <v>2323</v>
      </c>
      <c r="I1013" s="21">
        <v>38112</v>
      </c>
      <c r="J1013">
        <v>2004</v>
      </c>
      <c r="K1013" s="21">
        <v>38146</v>
      </c>
      <c r="L1013">
        <v>2004</v>
      </c>
      <c r="M1013" s="21">
        <v>40212.419236111098</v>
      </c>
      <c r="N1013">
        <v>2010</v>
      </c>
      <c r="R1013" s="262">
        <v>130000</v>
      </c>
      <c r="S1013" t="s">
        <v>114</v>
      </c>
      <c r="T1013" t="s">
        <v>114</v>
      </c>
      <c r="U1013">
        <v>8</v>
      </c>
      <c r="W1013">
        <v>1412</v>
      </c>
      <c r="X1013">
        <v>1</v>
      </c>
      <c r="Y1013">
        <v>0</v>
      </c>
      <c r="Z1013">
        <v>0</v>
      </c>
      <c r="AA1013">
        <v>0</v>
      </c>
      <c r="AB1013">
        <v>0</v>
      </c>
      <c r="AC1013">
        <v>517</v>
      </c>
      <c r="AD1013">
        <v>0</v>
      </c>
      <c r="AE1013">
        <v>0</v>
      </c>
      <c r="AF1013">
        <v>895</v>
      </c>
      <c r="AG1013">
        <v>0</v>
      </c>
      <c r="AH1013">
        <v>0</v>
      </c>
      <c r="AI1013">
        <v>0</v>
      </c>
      <c r="AJ1013">
        <v>0</v>
      </c>
      <c r="AK1013">
        <v>0</v>
      </c>
      <c r="AL1013">
        <v>0</v>
      </c>
      <c r="AM1013">
        <v>0</v>
      </c>
      <c r="AN1013">
        <v>0</v>
      </c>
      <c r="AO1013">
        <v>0</v>
      </c>
      <c r="AP1013">
        <v>0</v>
      </c>
      <c r="AQ1013">
        <v>0</v>
      </c>
      <c r="AR1013">
        <v>1</v>
      </c>
      <c r="AS1013">
        <v>0</v>
      </c>
      <c r="AT1013">
        <v>0</v>
      </c>
      <c r="AU1013">
        <f t="shared" si="30"/>
        <v>0</v>
      </c>
      <c r="AV1013">
        <f t="shared" si="31"/>
        <v>0</v>
      </c>
    </row>
    <row r="1014" spans="1:48" x14ac:dyDescent="0.25">
      <c r="A1014" t="s">
        <v>4933</v>
      </c>
      <c r="C1014" t="s">
        <v>4934</v>
      </c>
      <c r="D1014" t="s">
        <v>4932</v>
      </c>
      <c r="E1014" t="s">
        <v>2310</v>
      </c>
      <c r="F1014">
        <v>9</v>
      </c>
      <c r="G1014">
        <v>9.3000000000000007</v>
      </c>
      <c r="H1014" t="s">
        <v>2323</v>
      </c>
      <c r="I1014" s="21">
        <v>38112</v>
      </c>
      <c r="J1014">
        <v>2004</v>
      </c>
      <c r="K1014" s="21">
        <v>38146</v>
      </c>
      <c r="L1014">
        <v>2004</v>
      </c>
      <c r="M1014" s="21">
        <v>38742</v>
      </c>
      <c r="N1014">
        <v>2006</v>
      </c>
      <c r="R1014" s="262">
        <v>70000</v>
      </c>
      <c r="S1014" t="s">
        <v>114</v>
      </c>
      <c r="T1014" t="s">
        <v>114</v>
      </c>
      <c r="U1014">
        <v>5</v>
      </c>
      <c r="W1014">
        <v>1200</v>
      </c>
      <c r="X1014">
        <v>0</v>
      </c>
      <c r="Y1014">
        <v>0</v>
      </c>
      <c r="Z1014">
        <v>0</v>
      </c>
      <c r="AA1014">
        <v>0</v>
      </c>
      <c r="AB1014">
        <v>0</v>
      </c>
      <c r="AC1014">
        <v>1200</v>
      </c>
      <c r="AD1014">
        <v>0</v>
      </c>
      <c r="AE1014">
        <v>0</v>
      </c>
      <c r="AF1014">
        <v>0</v>
      </c>
      <c r="AG1014">
        <v>0</v>
      </c>
      <c r="AH1014">
        <v>0</v>
      </c>
      <c r="AI1014">
        <v>0</v>
      </c>
      <c r="AJ1014">
        <v>0</v>
      </c>
      <c r="AK1014">
        <v>0</v>
      </c>
      <c r="AL1014">
        <v>0</v>
      </c>
      <c r="AM1014">
        <v>0</v>
      </c>
      <c r="AN1014">
        <v>0</v>
      </c>
      <c r="AO1014">
        <v>0</v>
      </c>
      <c r="AP1014">
        <v>0</v>
      </c>
      <c r="AQ1014">
        <v>0</v>
      </c>
      <c r="AR1014">
        <v>0</v>
      </c>
      <c r="AS1014">
        <v>0</v>
      </c>
      <c r="AT1014">
        <v>0</v>
      </c>
      <c r="AU1014">
        <f t="shared" si="30"/>
        <v>0</v>
      </c>
      <c r="AV1014">
        <f t="shared" si="31"/>
        <v>0</v>
      </c>
    </row>
    <row r="1015" spans="1:48" x14ac:dyDescent="0.25">
      <c r="A1015" t="s">
        <v>4935</v>
      </c>
      <c r="C1015" t="s">
        <v>4936</v>
      </c>
      <c r="D1015" t="s">
        <v>4937</v>
      </c>
      <c r="E1015" t="s">
        <v>2310</v>
      </c>
      <c r="F1015">
        <v>9</v>
      </c>
      <c r="G1015">
        <v>9.1</v>
      </c>
      <c r="H1015" t="s">
        <v>2323</v>
      </c>
      <c r="I1015" s="21">
        <v>38112</v>
      </c>
      <c r="J1015">
        <v>2004</v>
      </c>
      <c r="K1015" s="21">
        <v>38147</v>
      </c>
      <c r="L1015">
        <v>2004</v>
      </c>
      <c r="M1015" s="21">
        <v>38798</v>
      </c>
      <c r="N1015">
        <v>2006</v>
      </c>
      <c r="R1015" s="262">
        <v>750000</v>
      </c>
      <c r="S1015" t="s">
        <v>114</v>
      </c>
      <c r="T1015" t="s">
        <v>114</v>
      </c>
      <c r="U1015">
        <v>5</v>
      </c>
      <c r="W1015">
        <v>4753</v>
      </c>
      <c r="X1015">
        <v>1</v>
      </c>
      <c r="Y1015">
        <v>0</v>
      </c>
      <c r="Z1015">
        <v>0</v>
      </c>
      <c r="AA1015">
        <v>0</v>
      </c>
      <c r="AB1015">
        <v>0</v>
      </c>
      <c r="AC1015">
        <v>4753</v>
      </c>
      <c r="AD1015">
        <v>0</v>
      </c>
      <c r="AE1015">
        <v>0</v>
      </c>
      <c r="AF1015">
        <v>0</v>
      </c>
      <c r="AG1015">
        <v>0</v>
      </c>
      <c r="AH1015">
        <v>0</v>
      </c>
      <c r="AI1015">
        <v>0</v>
      </c>
      <c r="AJ1015">
        <v>0</v>
      </c>
      <c r="AK1015">
        <v>0</v>
      </c>
      <c r="AL1015">
        <v>0</v>
      </c>
      <c r="AM1015">
        <v>0</v>
      </c>
      <c r="AN1015">
        <v>0</v>
      </c>
      <c r="AO1015">
        <v>1</v>
      </c>
      <c r="AP1015">
        <v>0</v>
      </c>
      <c r="AQ1015">
        <v>0</v>
      </c>
      <c r="AR1015">
        <v>0</v>
      </c>
      <c r="AS1015">
        <v>0</v>
      </c>
      <c r="AT1015">
        <v>0</v>
      </c>
      <c r="AU1015">
        <f t="shared" si="30"/>
        <v>1</v>
      </c>
      <c r="AV1015">
        <f t="shared" si="31"/>
        <v>0</v>
      </c>
    </row>
    <row r="1016" spans="1:48" x14ac:dyDescent="0.25">
      <c r="A1016" t="s">
        <v>4938</v>
      </c>
      <c r="C1016" t="s">
        <v>4939</v>
      </c>
      <c r="D1016" t="s">
        <v>2698</v>
      </c>
      <c r="E1016" t="s">
        <v>1663</v>
      </c>
      <c r="F1016">
        <v>3</v>
      </c>
      <c r="G1016">
        <v>3.1</v>
      </c>
      <c r="H1016" t="s">
        <v>2017</v>
      </c>
      <c r="I1016" s="21">
        <v>38113</v>
      </c>
      <c r="J1016">
        <v>2004</v>
      </c>
      <c r="K1016" s="21">
        <v>38144</v>
      </c>
      <c r="L1016">
        <v>2004</v>
      </c>
      <c r="M1016" s="21">
        <v>38297</v>
      </c>
      <c r="N1016">
        <v>2004</v>
      </c>
      <c r="Q1016" s="262">
        <v>50000</v>
      </c>
      <c r="S1016" t="s">
        <v>114</v>
      </c>
      <c r="T1016" t="s">
        <v>114</v>
      </c>
      <c r="W1016">
        <v>814</v>
      </c>
      <c r="X1016">
        <v>0</v>
      </c>
      <c r="Y1016">
        <v>0</v>
      </c>
      <c r="Z1016">
        <v>0</v>
      </c>
      <c r="AA1016">
        <v>0</v>
      </c>
      <c r="AB1016">
        <v>0</v>
      </c>
      <c r="AC1016">
        <v>814</v>
      </c>
      <c r="AD1016">
        <v>0</v>
      </c>
      <c r="AE1016">
        <v>0</v>
      </c>
      <c r="AF1016">
        <v>0</v>
      </c>
      <c r="AG1016">
        <v>0</v>
      </c>
      <c r="AH1016">
        <v>0</v>
      </c>
      <c r="AI1016">
        <v>0</v>
      </c>
      <c r="AJ1016">
        <v>0</v>
      </c>
      <c r="AK1016">
        <v>0</v>
      </c>
      <c r="AL1016">
        <v>0</v>
      </c>
      <c r="AM1016">
        <v>0</v>
      </c>
      <c r="AN1016">
        <v>0</v>
      </c>
      <c r="AO1016">
        <v>0</v>
      </c>
      <c r="AP1016">
        <v>0</v>
      </c>
      <c r="AQ1016">
        <v>0</v>
      </c>
      <c r="AR1016">
        <v>0</v>
      </c>
      <c r="AS1016">
        <v>0</v>
      </c>
      <c r="AT1016">
        <v>0</v>
      </c>
      <c r="AU1016">
        <f t="shared" si="30"/>
        <v>0</v>
      </c>
      <c r="AV1016">
        <f t="shared" si="31"/>
        <v>0</v>
      </c>
    </row>
    <row r="1017" spans="1:48" x14ac:dyDescent="0.25">
      <c r="A1017" t="s">
        <v>4940</v>
      </c>
      <c r="C1017" t="s">
        <v>4941</v>
      </c>
      <c r="D1017" t="s">
        <v>4942</v>
      </c>
      <c r="E1017" t="s">
        <v>2310</v>
      </c>
      <c r="F1017">
        <v>12</v>
      </c>
      <c r="G1017">
        <v>12.3</v>
      </c>
      <c r="H1017" t="s">
        <v>2017</v>
      </c>
      <c r="I1017" s="21">
        <v>38114</v>
      </c>
      <c r="J1017">
        <v>2004</v>
      </c>
      <c r="K1017" s="21">
        <v>38128</v>
      </c>
      <c r="L1017">
        <v>2004</v>
      </c>
      <c r="M1017" s="21">
        <v>38128</v>
      </c>
      <c r="N1017">
        <v>2004</v>
      </c>
      <c r="R1017" s="262">
        <v>20799</v>
      </c>
      <c r="S1017" t="s">
        <v>114</v>
      </c>
      <c r="T1017" t="s">
        <v>114</v>
      </c>
      <c r="U1017">
        <v>5</v>
      </c>
      <c r="W1017">
        <v>0</v>
      </c>
      <c r="X1017">
        <v>0</v>
      </c>
      <c r="Y1017">
        <v>0</v>
      </c>
      <c r="Z1017">
        <v>0</v>
      </c>
      <c r="AA1017">
        <v>0</v>
      </c>
      <c r="AB1017">
        <v>0</v>
      </c>
      <c r="AC1017">
        <v>0</v>
      </c>
      <c r="AD1017">
        <v>0</v>
      </c>
      <c r="AE1017">
        <v>0</v>
      </c>
      <c r="AF1017">
        <v>0</v>
      </c>
      <c r="AG1017">
        <v>0</v>
      </c>
      <c r="AH1017">
        <v>0</v>
      </c>
      <c r="AI1017">
        <v>0</v>
      </c>
      <c r="AJ1017">
        <v>0</v>
      </c>
      <c r="AK1017">
        <v>0</v>
      </c>
      <c r="AL1017">
        <v>0</v>
      </c>
      <c r="AM1017">
        <v>0</v>
      </c>
      <c r="AN1017">
        <v>0</v>
      </c>
      <c r="AO1017">
        <v>0</v>
      </c>
      <c r="AP1017">
        <v>0</v>
      </c>
      <c r="AQ1017">
        <v>0</v>
      </c>
      <c r="AR1017">
        <v>0</v>
      </c>
      <c r="AS1017">
        <v>0</v>
      </c>
      <c r="AT1017">
        <v>0</v>
      </c>
      <c r="AU1017">
        <f t="shared" si="30"/>
        <v>0</v>
      </c>
      <c r="AV1017">
        <f t="shared" si="31"/>
        <v>0</v>
      </c>
    </row>
    <row r="1018" spans="1:48" x14ac:dyDescent="0.25">
      <c r="A1018" t="s">
        <v>4943</v>
      </c>
      <c r="C1018" t="s">
        <v>4944</v>
      </c>
      <c r="D1018" t="s">
        <v>4365</v>
      </c>
      <c r="E1018" t="s">
        <v>2310</v>
      </c>
      <c r="F1018">
        <v>9</v>
      </c>
      <c r="G1018">
        <v>9.1</v>
      </c>
      <c r="H1018" t="s">
        <v>2323</v>
      </c>
      <c r="I1018" s="21">
        <v>38117</v>
      </c>
      <c r="J1018">
        <v>2004</v>
      </c>
      <c r="K1018" s="21">
        <v>38120</v>
      </c>
      <c r="L1018">
        <v>2004</v>
      </c>
      <c r="M1018" s="21">
        <v>38699</v>
      </c>
      <c r="N1018">
        <v>2005</v>
      </c>
      <c r="R1018" s="262">
        <v>1000000</v>
      </c>
      <c r="S1018" t="s">
        <v>114</v>
      </c>
      <c r="T1018" t="s">
        <v>114</v>
      </c>
      <c r="U1018">
        <v>18</v>
      </c>
      <c r="W1018">
        <v>0</v>
      </c>
      <c r="X1018">
        <v>0</v>
      </c>
      <c r="Y1018">
        <v>0</v>
      </c>
      <c r="Z1018">
        <v>0</v>
      </c>
      <c r="AA1018">
        <v>0</v>
      </c>
      <c r="AB1018">
        <v>0</v>
      </c>
      <c r="AC1018">
        <v>0</v>
      </c>
      <c r="AD1018">
        <v>0</v>
      </c>
      <c r="AE1018">
        <v>0</v>
      </c>
      <c r="AF1018">
        <v>0</v>
      </c>
      <c r="AG1018">
        <v>0</v>
      </c>
      <c r="AH1018">
        <v>0</v>
      </c>
      <c r="AI1018">
        <v>0</v>
      </c>
      <c r="AJ1018">
        <v>0</v>
      </c>
      <c r="AK1018">
        <v>0</v>
      </c>
      <c r="AL1018">
        <v>0</v>
      </c>
      <c r="AM1018">
        <v>0</v>
      </c>
      <c r="AN1018">
        <v>0</v>
      </c>
      <c r="AO1018">
        <v>0</v>
      </c>
      <c r="AP1018">
        <v>0</v>
      </c>
      <c r="AQ1018">
        <v>0</v>
      </c>
      <c r="AR1018">
        <v>0</v>
      </c>
      <c r="AS1018">
        <v>0</v>
      </c>
      <c r="AT1018">
        <v>0</v>
      </c>
      <c r="AU1018">
        <f t="shared" si="30"/>
        <v>0</v>
      </c>
      <c r="AV1018">
        <f t="shared" si="31"/>
        <v>0</v>
      </c>
    </row>
    <row r="1019" spans="1:48" x14ac:dyDescent="0.25">
      <c r="A1019" t="s">
        <v>4945</v>
      </c>
      <c r="C1019" t="s">
        <v>4946</v>
      </c>
      <c r="D1019" t="s">
        <v>4947</v>
      </c>
      <c r="E1019" t="s">
        <v>2310</v>
      </c>
      <c r="F1019">
        <v>9</v>
      </c>
      <c r="G1019">
        <v>9.1</v>
      </c>
      <c r="H1019" t="s">
        <v>2323</v>
      </c>
      <c r="I1019" s="21">
        <v>38117</v>
      </c>
      <c r="J1019">
        <v>2004</v>
      </c>
      <c r="K1019" s="21">
        <v>38147</v>
      </c>
      <c r="L1019">
        <v>2004</v>
      </c>
      <c r="M1019" s="21">
        <v>38147</v>
      </c>
      <c r="N1019">
        <v>2004</v>
      </c>
      <c r="R1019" s="262">
        <v>55000</v>
      </c>
      <c r="S1019" t="s">
        <v>114</v>
      </c>
      <c r="T1019" t="s">
        <v>114</v>
      </c>
      <c r="U1019">
        <v>5</v>
      </c>
      <c r="W1019">
        <v>981</v>
      </c>
      <c r="X1019">
        <v>0</v>
      </c>
      <c r="Y1019">
        <v>0</v>
      </c>
      <c r="Z1019">
        <v>0</v>
      </c>
      <c r="AA1019">
        <v>0</v>
      </c>
      <c r="AB1019">
        <v>0</v>
      </c>
      <c r="AC1019">
        <v>981</v>
      </c>
      <c r="AD1019">
        <v>0</v>
      </c>
      <c r="AE1019">
        <v>0</v>
      </c>
      <c r="AF1019">
        <v>0</v>
      </c>
      <c r="AG1019">
        <v>0</v>
      </c>
      <c r="AH1019">
        <v>0</v>
      </c>
      <c r="AI1019">
        <v>0</v>
      </c>
      <c r="AJ1019">
        <v>0</v>
      </c>
      <c r="AK1019">
        <v>0</v>
      </c>
      <c r="AL1019">
        <v>0</v>
      </c>
      <c r="AM1019">
        <v>0</v>
      </c>
      <c r="AN1019">
        <v>0</v>
      </c>
      <c r="AO1019">
        <v>0</v>
      </c>
      <c r="AP1019">
        <v>0</v>
      </c>
      <c r="AQ1019">
        <v>0</v>
      </c>
      <c r="AR1019">
        <v>0</v>
      </c>
      <c r="AS1019">
        <v>0</v>
      </c>
      <c r="AT1019">
        <v>0</v>
      </c>
      <c r="AU1019">
        <f t="shared" si="30"/>
        <v>0</v>
      </c>
      <c r="AV1019">
        <f t="shared" si="31"/>
        <v>0</v>
      </c>
    </row>
    <row r="1020" spans="1:48" x14ac:dyDescent="0.25">
      <c r="A1020" t="s">
        <v>4948</v>
      </c>
      <c r="C1020" t="s">
        <v>4949</v>
      </c>
      <c r="D1020" t="s">
        <v>4950</v>
      </c>
      <c r="E1020" t="s">
        <v>2310</v>
      </c>
      <c r="F1020">
        <v>15</v>
      </c>
      <c r="G1020">
        <v>15.2</v>
      </c>
      <c r="H1020" t="s">
        <v>2323</v>
      </c>
      <c r="I1020" s="21">
        <v>38117</v>
      </c>
      <c r="J1020">
        <v>2004</v>
      </c>
      <c r="K1020" s="21">
        <v>38153</v>
      </c>
      <c r="L1020">
        <v>2004</v>
      </c>
      <c r="M1020" s="21">
        <v>38518</v>
      </c>
      <c r="N1020">
        <v>2005</v>
      </c>
      <c r="R1020" s="262">
        <v>325000</v>
      </c>
      <c r="S1020" t="s">
        <v>114</v>
      </c>
      <c r="T1020" t="s">
        <v>114</v>
      </c>
      <c r="U1020">
        <v>5</v>
      </c>
      <c r="W1020">
        <v>4546</v>
      </c>
      <c r="X1020">
        <v>1</v>
      </c>
      <c r="Y1020">
        <v>0</v>
      </c>
      <c r="Z1020">
        <v>0</v>
      </c>
      <c r="AA1020">
        <v>0</v>
      </c>
      <c r="AB1020">
        <v>0</v>
      </c>
      <c r="AC1020">
        <v>4546</v>
      </c>
      <c r="AD1020">
        <v>0</v>
      </c>
      <c r="AE1020">
        <v>0</v>
      </c>
      <c r="AF1020">
        <v>0</v>
      </c>
      <c r="AG1020">
        <v>0</v>
      </c>
      <c r="AH1020">
        <v>0</v>
      </c>
      <c r="AI1020">
        <v>0</v>
      </c>
      <c r="AJ1020">
        <v>0</v>
      </c>
      <c r="AK1020">
        <v>0</v>
      </c>
      <c r="AL1020">
        <v>0</v>
      </c>
      <c r="AM1020">
        <v>0</v>
      </c>
      <c r="AN1020">
        <v>0</v>
      </c>
      <c r="AO1020">
        <v>1</v>
      </c>
      <c r="AP1020">
        <v>0</v>
      </c>
      <c r="AQ1020">
        <v>0</v>
      </c>
      <c r="AR1020">
        <v>0</v>
      </c>
      <c r="AS1020">
        <v>0</v>
      </c>
      <c r="AT1020">
        <v>0</v>
      </c>
      <c r="AU1020">
        <f t="shared" si="30"/>
        <v>1</v>
      </c>
      <c r="AV1020">
        <f t="shared" si="31"/>
        <v>0</v>
      </c>
    </row>
    <row r="1021" spans="1:48" x14ac:dyDescent="0.25">
      <c r="A1021" t="s">
        <v>4951</v>
      </c>
      <c r="C1021" t="s">
        <v>4952</v>
      </c>
      <c r="D1021" t="s">
        <v>4953</v>
      </c>
      <c r="E1021" t="s">
        <v>2310</v>
      </c>
      <c r="F1021">
        <v>8</v>
      </c>
      <c r="G1021">
        <v>8.1</v>
      </c>
      <c r="H1021" t="s">
        <v>2323</v>
      </c>
      <c r="I1021" s="21">
        <v>38117</v>
      </c>
      <c r="J1021">
        <v>2004</v>
      </c>
      <c r="K1021" s="21">
        <v>38153</v>
      </c>
      <c r="L1021">
        <v>2004</v>
      </c>
      <c r="M1021" s="21">
        <v>38664</v>
      </c>
      <c r="N1021">
        <v>2005</v>
      </c>
      <c r="R1021" s="262">
        <v>40000</v>
      </c>
      <c r="S1021" t="s">
        <v>114</v>
      </c>
      <c r="T1021" t="s">
        <v>114</v>
      </c>
      <c r="U1021">
        <v>5</v>
      </c>
      <c r="W1021">
        <v>263</v>
      </c>
      <c r="X1021">
        <v>0</v>
      </c>
      <c r="Y1021">
        <v>0</v>
      </c>
      <c r="Z1021">
        <v>0</v>
      </c>
      <c r="AA1021">
        <v>0</v>
      </c>
      <c r="AB1021">
        <v>0</v>
      </c>
      <c r="AC1021">
        <v>263</v>
      </c>
      <c r="AD1021">
        <v>0</v>
      </c>
      <c r="AE1021">
        <v>0</v>
      </c>
      <c r="AF1021">
        <v>0</v>
      </c>
      <c r="AG1021">
        <v>0</v>
      </c>
      <c r="AH1021">
        <v>0</v>
      </c>
      <c r="AI1021">
        <v>0</v>
      </c>
      <c r="AJ1021">
        <v>0</v>
      </c>
      <c r="AK1021">
        <v>0</v>
      </c>
      <c r="AL1021">
        <v>0</v>
      </c>
      <c r="AM1021">
        <v>0</v>
      </c>
      <c r="AN1021">
        <v>0</v>
      </c>
      <c r="AO1021">
        <v>0</v>
      </c>
      <c r="AP1021">
        <v>0</v>
      </c>
      <c r="AQ1021">
        <v>0</v>
      </c>
      <c r="AR1021">
        <v>0</v>
      </c>
      <c r="AS1021">
        <v>0</v>
      </c>
      <c r="AT1021">
        <v>0</v>
      </c>
      <c r="AU1021">
        <f t="shared" si="30"/>
        <v>0</v>
      </c>
      <c r="AV1021">
        <f t="shared" si="31"/>
        <v>0</v>
      </c>
    </row>
    <row r="1022" spans="1:48" x14ac:dyDescent="0.25">
      <c r="A1022" t="s">
        <v>4954</v>
      </c>
      <c r="C1022" t="s">
        <v>2924</v>
      </c>
      <c r="D1022" t="s">
        <v>4955</v>
      </c>
      <c r="E1022" t="s">
        <v>2310</v>
      </c>
      <c r="F1022">
        <v>15</v>
      </c>
      <c r="G1022">
        <v>15.2</v>
      </c>
      <c r="H1022" t="s">
        <v>2323</v>
      </c>
      <c r="I1022" s="21">
        <v>38117</v>
      </c>
      <c r="J1022">
        <v>2004</v>
      </c>
      <c r="K1022" s="21">
        <v>38154</v>
      </c>
      <c r="L1022">
        <v>2004</v>
      </c>
      <c r="M1022" s="21">
        <v>38544</v>
      </c>
      <c r="N1022">
        <v>2005</v>
      </c>
      <c r="R1022" s="262">
        <v>40000</v>
      </c>
      <c r="S1022" t="s">
        <v>114</v>
      </c>
      <c r="T1022" t="s">
        <v>114</v>
      </c>
      <c r="U1022">
        <v>5</v>
      </c>
      <c r="W1022">
        <v>780</v>
      </c>
      <c r="X1022">
        <v>0</v>
      </c>
      <c r="Y1022">
        <v>0</v>
      </c>
      <c r="Z1022">
        <v>0</v>
      </c>
      <c r="AA1022">
        <v>0</v>
      </c>
      <c r="AB1022">
        <v>0</v>
      </c>
      <c r="AC1022">
        <v>780</v>
      </c>
      <c r="AD1022">
        <v>0</v>
      </c>
      <c r="AE1022">
        <v>0</v>
      </c>
      <c r="AF1022">
        <v>0</v>
      </c>
      <c r="AG1022">
        <v>0</v>
      </c>
      <c r="AH1022">
        <v>0</v>
      </c>
      <c r="AI1022">
        <v>0</v>
      </c>
      <c r="AJ1022">
        <v>0</v>
      </c>
      <c r="AK1022">
        <v>0</v>
      </c>
      <c r="AL1022">
        <v>0</v>
      </c>
      <c r="AM1022">
        <v>0</v>
      </c>
      <c r="AN1022">
        <v>0</v>
      </c>
      <c r="AO1022">
        <v>0</v>
      </c>
      <c r="AP1022">
        <v>0</v>
      </c>
      <c r="AQ1022">
        <v>0</v>
      </c>
      <c r="AR1022">
        <v>0</v>
      </c>
      <c r="AS1022">
        <v>0</v>
      </c>
      <c r="AT1022">
        <v>0</v>
      </c>
      <c r="AU1022">
        <f t="shared" si="30"/>
        <v>0</v>
      </c>
      <c r="AV1022">
        <f t="shared" si="31"/>
        <v>0</v>
      </c>
    </row>
    <row r="1023" spans="1:48" x14ac:dyDescent="0.25">
      <c r="A1023" t="s">
        <v>4956</v>
      </c>
      <c r="C1023" t="s">
        <v>4957</v>
      </c>
      <c r="D1023" t="s">
        <v>4958</v>
      </c>
      <c r="E1023" t="s">
        <v>2310</v>
      </c>
      <c r="F1023">
        <v>12</v>
      </c>
      <c r="G1023">
        <v>12.3</v>
      </c>
      <c r="H1023" t="s">
        <v>2017</v>
      </c>
      <c r="I1023" s="21">
        <v>38118</v>
      </c>
      <c r="J1023">
        <v>2004</v>
      </c>
      <c r="K1023" s="21">
        <v>38166</v>
      </c>
      <c r="L1023">
        <v>2004</v>
      </c>
      <c r="M1023" s="21">
        <v>38166</v>
      </c>
      <c r="N1023">
        <v>2004</v>
      </c>
      <c r="R1023" s="262">
        <v>25000</v>
      </c>
      <c r="S1023" t="s">
        <v>114</v>
      </c>
      <c r="T1023" t="s">
        <v>114</v>
      </c>
      <c r="U1023">
        <v>5</v>
      </c>
      <c r="W1023">
        <v>92</v>
      </c>
      <c r="X1023">
        <v>0</v>
      </c>
      <c r="Y1023">
        <v>0</v>
      </c>
      <c r="Z1023">
        <v>0</v>
      </c>
      <c r="AA1023">
        <v>0</v>
      </c>
      <c r="AB1023">
        <v>0</v>
      </c>
      <c r="AC1023">
        <v>92</v>
      </c>
      <c r="AD1023">
        <v>0</v>
      </c>
      <c r="AE1023">
        <v>0</v>
      </c>
      <c r="AF1023">
        <v>0</v>
      </c>
      <c r="AG1023">
        <v>0</v>
      </c>
      <c r="AH1023">
        <v>0</v>
      </c>
      <c r="AI1023">
        <v>0</v>
      </c>
      <c r="AJ1023">
        <v>0</v>
      </c>
      <c r="AK1023">
        <v>0</v>
      </c>
      <c r="AL1023">
        <v>0</v>
      </c>
      <c r="AM1023">
        <v>0</v>
      </c>
      <c r="AN1023">
        <v>0</v>
      </c>
      <c r="AO1023">
        <v>0</v>
      </c>
      <c r="AP1023">
        <v>0</v>
      </c>
      <c r="AQ1023">
        <v>0</v>
      </c>
      <c r="AR1023">
        <v>0</v>
      </c>
      <c r="AS1023">
        <v>0</v>
      </c>
      <c r="AT1023">
        <v>0</v>
      </c>
      <c r="AU1023">
        <f t="shared" si="30"/>
        <v>0</v>
      </c>
      <c r="AV1023">
        <f t="shared" si="31"/>
        <v>0</v>
      </c>
    </row>
    <row r="1024" spans="1:48" x14ac:dyDescent="0.25">
      <c r="A1024" t="s">
        <v>4959</v>
      </c>
      <c r="C1024" t="s">
        <v>4768</v>
      </c>
      <c r="D1024" t="s">
        <v>4960</v>
      </c>
      <c r="E1024" t="s">
        <v>2310</v>
      </c>
      <c r="F1024">
        <v>9</v>
      </c>
      <c r="G1024">
        <v>9.1</v>
      </c>
      <c r="H1024" t="s">
        <v>2323</v>
      </c>
      <c r="I1024" s="21">
        <v>38118</v>
      </c>
      <c r="J1024">
        <v>2004</v>
      </c>
      <c r="K1024" s="21">
        <v>38158</v>
      </c>
      <c r="L1024">
        <v>2004</v>
      </c>
      <c r="M1024" s="21">
        <v>38158</v>
      </c>
      <c r="N1024">
        <v>2004</v>
      </c>
      <c r="R1024" s="262">
        <v>30000</v>
      </c>
      <c r="S1024" t="s">
        <v>114</v>
      </c>
      <c r="T1024" t="s">
        <v>114</v>
      </c>
      <c r="U1024">
        <v>5</v>
      </c>
      <c r="W1024">
        <v>780</v>
      </c>
      <c r="X1024">
        <v>0</v>
      </c>
      <c r="Y1024">
        <v>0</v>
      </c>
      <c r="Z1024">
        <v>0</v>
      </c>
      <c r="AA1024">
        <v>0</v>
      </c>
      <c r="AB1024">
        <v>0</v>
      </c>
      <c r="AC1024">
        <v>780</v>
      </c>
      <c r="AD1024">
        <v>0</v>
      </c>
      <c r="AE1024">
        <v>0</v>
      </c>
      <c r="AF1024">
        <v>0</v>
      </c>
      <c r="AG1024">
        <v>0</v>
      </c>
      <c r="AH1024">
        <v>0</v>
      </c>
      <c r="AI1024">
        <v>0</v>
      </c>
      <c r="AJ1024">
        <v>0</v>
      </c>
      <c r="AK1024">
        <v>0</v>
      </c>
      <c r="AL1024">
        <v>0</v>
      </c>
      <c r="AM1024">
        <v>0</v>
      </c>
      <c r="AN1024">
        <v>0</v>
      </c>
      <c r="AO1024">
        <v>0</v>
      </c>
      <c r="AP1024">
        <v>0</v>
      </c>
      <c r="AQ1024">
        <v>0</v>
      </c>
      <c r="AR1024">
        <v>0</v>
      </c>
      <c r="AS1024">
        <v>0</v>
      </c>
      <c r="AT1024">
        <v>0</v>
      </c>
      <c r="AU1024">
        <f t="shared" si="30"/>
        <v>0</v>
      </c>
      <c r="AV1024">
        <f t="shared" si="31"/>
        <v>0</v>
      </c>
    </row>
    <row r="1025" spans="1:48" x14ac:dyDescent="0.25">
      <c r="A1025" t="s">
        <v>4961</v>
      </c>
      <c r="C1025" t="s">
        <v>4789</v>
      </c>
      <c r="D1025" t="s">
        <v>4962</v>
      </c>
      <c r="E1025" t="s">
        <v>2310</v>
      </c>
      <c r="F1025">
        <v>8</v>
      </c>
      <c r="G1025">
        <v>8.1</v>
      </c>
      <c r="H1025" t="s">
        <v>2323</v>
      </c>
      <c r="I1025" s="21">
        <v>38119</v>
      </c>
      <c r="J1025">
        <v>2004</v>
      </c>
      <c r="K1025" s="21">
        <v>38169</v>
      </c>
      <c r="L1025">
        <v>2004</v>
      </c>
      <c r="M1025" s="21">
        <v>38169</v>
      </c>
      <c r="N1025">
        <v>2004</v>
      </c>
      <c r="R1025" s="262">
        <v>700000</v>
      </c>
      <c r="S1025" t="s">
        <v>114</v>
      </c>
      <c r="T1025" t="s">
        <v>114</v>
      </c>
      <c r="U1025">
        <v>5</v>
      </c>
      <c r="W1025">
        <v>0</v>
      </c>
      <c r="X1025">
        <v>0</v>
      </c>
      <c r="Y1025">
        <v>0</v>
      </c>
      <c r="Z1025">
        <v>0</v>
      </c>
      <c r="AA1025">
        <v>0</v>
      </c>
      <c r="AB1025">
        <v>0</v>
      </c>
      <c r="AC1025">
        <v>0</v>
      </c>
      <c r="AD1025">
        <v>0</v>
      </c>
      <c r="AE1025">
        <v>0</v>
      </c>
      <c r="AF1025">
        <v>0</v>
      </c>
      <c r="AG1025">
        <v>0</v>
      </c>
      <c r="AH1025">
        <v>0</v>
      </c>
      <c r="AI1025">
        <v>0</v>
      </c>
      <c r="AJ1025">
        <v>0</v>
      </c>
      <c r="AK1025">
        <v>0</v>
      </c>
      <c r="AL1025">
        <v>0</v>
      </c>
      <c r="AM1025">
        <v>0</v>
      </c>
      <c r="AN1025">
        <v>0</v>
      </c>
      <c r="AO1025">
        <v>0</v>
      </c>
      <c r="AP1025">
        <v>0</v>
      </c>
      <c r="AQ1025">
        <v>0</v>
      </c>
      <c r="AR1025">
        <v>0</v>
      </c>
      <c r="AS1025">
        <v>0</v>
      </c>
      <c r="AT1025">
        <v>0</v>
      </c>
      <c r="AU1025">
        <f t="shared" si="30"/>
        <v>0</v>
      </c>
      <c r="AV1025">
        <f t="shared" si="31"/>
        <v>0</v>
      </c>
    </row>
    <row r="1026" spans="1:48" x14ac:dyDescent="0.25">
      <c r="A1026" t="s">
        <v>4963</v>
      </c>
      <c r="C1026" t="s">
        <v>4964</v>
      </c>
      <c r="D1026" t="s">
        <v>4965</v>
      </c>
      <c r="E1026" t="s">
        <v>2310</v>
      </c>
      <c r="F1026">
        <v>9</v>
      </c>
      <c r="G1026">
        <v>9.1999999999999993</v>
      </c>
      <c r="H1026" t="s">
        <v>2022</v>
      </c>
      <c r="I1026" s="21">
        <v>38120</v>
      </c>
      <c r="J1026">
        <v>2004</v>
      </c>
      <c r="K1026" s="21">
        <v>38188</v>
      </c>
      <c r="L1026">
        <v>2004</v>
      </c>
      <c r="M1026" s="21">
        <v>38833</v>
      </c>
      <c r="N1026">
        <v>2006</v>
      </c>
      <c r="R1026" s="262">
        <v>75255</v>
      </c>
      <c r="S1026" t="s">
        <v>114</v>
      </c>
      <c r="T1026" t="s">
        <v>114</v>
      </c>
      <c r="U1026">
        <v>5</v>
      </c>
      <c r="W1026">
        <v>728</v>
      </c>
      <c r="X1026">
        <v>0</v>
      </c>
      <c r="Y1026">
        <v>0</v>
      </c>
      <c r="Z1026">
        <v>0</v>
      </c>
      <c r="AA1026">
        <v>0</v>
      </c>
      <c r="AB1026">
        <v>0</v>
      </c>
      <c r="AC1026">
        <v>728</v>
      </c>
      <c r="AD1026">
        <v>0</v>
      </c>
      <c r="AE1026">
        <v>0</v>
      </c>
      <c r="AF1026">
        <v>0</v>
      </c>
      <c r="AG1026">
        <v>0</v>
      </c>
      <c r="AH1026">
        <v>0</v>
      </c>
      <c r="AI1026">
        <v>0</v>
      </c>
      <c r="AJ1026">
        <v>0</v>
      </c>
      <c r="AK1026">
        <v>0</v>
      </c>
      <c r="AL1026">
        <v>0</v>
      </c>
      <c r="AM1026">
        <v>0</v>
      </c>
      <c r="AN1026">
        <v>0</v>
      </c>
      <c r="AO1026">
        <v>0</v>
      </c>
      <c r="AP1026">
        <v>0</v>
      </c>
      <c r="AQ1026">
        <v>0</v>
      </c>
      <c r="AR1026">
        <v>0</v>
      </c>
      <c r="AS1026">
        <v>0</v>
      </c>
      <c r="AT1026">
        <v>0</v>
      </c>
      <c r="AU1026">
        <f t="shared" si="30"/>
        <v>0</v>
      </c>
      <c r="AV1026">
        <f t="shared" si="31"/>
        <v>0</v>
      </c>
    </row>
    <row r="1027" spans="1:48" x14ac:dyDescent="0.25">
      <c r="A1027" t="s">
        <v>4966</v>
      </c>
      <c r="C1027" t="s">
        <v>4967</v>
      </c>
      <c r="D1027" t="s">
        <v>4965</v>
      </c>
      <c r="E1027" t="s">
        <v>2310</v>
      </c>
      <c r="F1027">
        <v>9</v>
      </c>
      <c r="G1027">
        <v>9.1999999999999993</v>
      </c>
      <c r="H1027" t="s">
        <v>2022</v>
      </c>
      <c r="I1027" s="21">
        <v>38120</v>
      </c>
      <c r="J1027">
        <v>2004</v>
      </c>
      <c r="K1027" s="21">
        <v>38188</v>
      </c>
      <c r="L1027">
        <v>2004</v>
      </c>
      <c r="M1027" s="21">
        <v>38833</v>
      </c>
      <c r="N1027">
        <v>2006</v>
      </c>
      <c r="R1027" s="262">
        <v>72974</v>
      </c>
      <c r="S1027" t="s">
        <v>114</v>
      </c>
      <c r="T1027" t="s">
        <v>114</v>
      </c>
      <c r="U1027">
        <v>5</v>
      </c>
      <c r="W1027">
        <v>962</v>
      </c>
      <c r="X1027">
        <v>0</v>
      </c>
      <c r="Y1027">
        <v>0</v>
      </c>
      <c r="Z1027">
        <v>0</v>
      </c>
      <c r="AA1027">
        <v>0</v>
      </c>
      <c r="AB1027">
        <v>0</v>
      </c>
      <c r="AC1027">
        <v>962</v>
      </c>
      <c r="AD1027">
        <v>0</v>
      </c>
      <c r="AE1027">
        <v>0</v>
      </c>
      <c r="AF1027">
        <v>0</v>
      </c>
      <c r="AG1027">
        <v>0</v>
      </c>
      <c r="AH1027">
        <v>0</v>
      </c>
      <c r="AI1027">
        <v>0</v>
      </c>
      <c r="AJ1027">
        <v>0</v>
      </c>
      <c r="AK1027">
        <v>0</v>
      </c>
      <c r="AL1027">
        <v>0</v>
      </c>
      <c r="AM1027">
        <v>0</v>
      </c>
      <c r="AN1027">
        <v>0</v>
      </c>
      <c r="AO1027">
        <v>0</v>
      </c>
      <c r="AP1027">
        <v>0</v>
      </c>
      <c r="AQ1027">
        <v>0</v>
      </c>
      <c r="AR1027">
        <v>0</v>
      </c>
      <c r="AS1027">
        <v>0</v>
      </c>
      <c r="AT1027">
        <v>0</v>
      </c>
      <c r="AU1027">
        <f t="shared" si="30"/>
        <v>0</v>
      </c>
      <c r="AV1027">
        <f t="shared" si="31"/>
        <v>0</v>
      </c>
    </row>
    <row r="1028" spans="1:48" x14ac:dyDescent="0.25">
      <c r="A1028" t="s">
        <v>4968</v>
      </c>
      <c r="C1028" t="s">
        <v>4969</v>
      </c>
      <c r="D1028" t="s">
        <v>4965</v>
      </c>
      <c r="E1028" t="s">
        <v>2310</v>
      </c>
      <c r="F1028">
        <v>9</v>
      </c>
      <c r="G1028">
        <v>9.1999999999999993</v>
      </c>
      <c r="H1028" t="s">
        <v>2022</v>
      </c>
      <c r="I1028" s="21">
        <v>38120</v>
      </c>
      <c r="J1028">
        <v>2004</v>
      </c>
      <c r="K1028" s="21">
        <v>38198</v>
      </c>
      <c r="L1028">
        <v>2004</v>
      </c>
      <c r="M1028" s="21">
        <v>38833</v>
      </c>
      <c r="N1028">
        <v>2006</v>
      </c>
      <c r="R1028" s="262">
        <v>108322</v>
      </c>
      <c r="S1028" t="s">
        <v>114</v>
      </c>
      <c r="T1028" t="s">
        <v>114</v>
      </c>
      <c r="U1028">
        <v>5</v>
      </c>
      <c r="W1028">
        <v>1357</v>
      </c>
      <c r="X1028">
        <v>0</v>
      </c>
      <c r="Y1028">
        <v>0</v>
      </c>
      <c r="Z1028">
        <v>0</v>
      </c>
      <c r="AA1028">
        <v>0</v>
      </c>
      <c r="AB1028">
        <v>0</v>
      </c>
      <c r="AC1028">
        <v>1357</v>
      </c>
      <c r="AD1028">
        <v>0</v>
      </c>
      <c r="AE1028">
        <v>0</v>
      </c>
      <c r="AF1028">
        <v>0</v>
      </c>
      <c r="AG1028">
        <v>0</v>
      </c>
      <c r="AH1028">
        <v>0</v>
      </c>
      <c r="AI1028">
        <v>0</v>
      </c>
      <c r="AJ1028">
        <v>0</v>
      </c>
      <c r="AK1028">
        <v>0</v>
      </c>
      <c r="AL1028">
        <v>0</v>
      </c>
      <c r="AM1028">
        <v>0</v>
      </c>
      <c r="AN1028">
        <v>0</v>
      </c>
      <c r="AO1028">
        <v>0</v>
      </c>
      <c r="AP1028">
        <v>0</v>
      </c>
      <c r="AQ1028">
        <v>0</v>
      </c>
      <c r="AR1028">
        <v>0</v>
      </c>
      <c r="AS1028">
        <v>0</v>
      </c>
      <c r="AT1028">
        <v>0</v>
      </c>
      <c r="AU1028">
        <f t="shared" si="30"/>
        <v>0</v>
      </c>
      <c r="AV1028">
        <f t="shared" si="31"/>
        <v>0</v>
      </c>
    </row>
    <row r="1029" spans="1:48" x14ac:dyDescent="0.25">
      <c r="A1029" t="s">
        <v>4970</v>
      </c>
      <c r="C1029" t="s">
        <v>4971</v>
      </c>
      <c r="D1029" t="s">
        <v>4965</v>
      </c>
      <c r="E1029" t="s">
        <v>2310</v>
      </c>
      <c r="F1029">
        <v>9</v>
      </c>
      <c r="G1029">
        <v>9.1999999999999993</v>
      </c>
      <c r="H1029" t="s">
        <v>2022</v>
      </c>
      <c r="I1029" s="21">
        <v>38120</v>
      </c>
      <c r="J1029">
        <v>2004</v>
      </c>
      <c r="K1029" s="21">
        <v>38198</v>
      </c>
      <c r="L1029">
        <v>2004</v>
      </c>
      <c r="M1029" s="21">
        <v>38833</v>
      </c>
      <c r="N1029">
        <v>2006</v>
      </c>
      <c r="R1029" s="262">
        <v>134547</v>
      </c>
      <c r="S1029" t="s">
        <v>114</v>
      </c>
      <c r="T1029" t="s">
        <v>114</v>
      </c>
      <c r="U1029">
        <v>5</v>
      </c>
      <c r="W1029">
        <v>1815</v>
      </c>
      <c r="X1029">
        <v>0</v>
      </c>
      <c r="Y1029">
        <v>0</v>
      </c>
      <c r="Z1029">
        <v>0</v>
      </c>
      <c r="AA1029">
        <v>0</v>
      </c>
      <c r="AB1029">
        <v>0</v>
      </c>
      <c r="AC1029">
        <v>1815</v>
      </c>
      <c r="AD1029">
        <v>0</v>
      </c>
      <c r="AE1029">
        <v>0</v>
      </c>
      <c r="AF1029">
        <v>0</v>
      </c>
      <c r="AG1029">
        <v>0</v>
      </c>
      <c r="AH1029">
        <v>0</v>
      </c>
      <c r="AI1029">
        <v>0</v>
      </c>
      <c r="AJ1029">
        <v>0</v>
      </c>
      <c r="AK1029">
        <v>0</v>
      </c>
      <c r="AL1029">
        <v>0</v>
      </c>
      <c r="AM1029">
        <v>0</v>
      </c>
      <c r="AN1029">
        <v>0</v>
      </c>
      <c r="AO1029">
        <v>0</v>
      </c>
      <c r="AP1029">
        <v>0</v>
      </c>
      <c r="AQ1029">
        <v>0</v>
      </c>
      <c r="AR1029">
        <v>0</v>
      </c>
      <c r="AS1029">
        <v>0</v>
      </c>
      <c r="AT1029">
        <v>0</v>
      </c>
      <c r="AU1029">
        <f t="shared" si="30"/>
        <v>0</v>
      </c>
      <c r="AV1029">
        <f t="shared" si="31"/>
        <v>0</v>
      </c>
    </row>
    <row r="1030" spans="1:48" x14ac:dyDescent="0.25">
      <c r="A1030" t="s">
        <v>4972</v>
      </c>
      <c r="C1030" t="s">
        <v>4973</v>
      </c>
      <c r="D1030" t="s">
        <v>4974</v>
      </c>
      <c r="E1030" t="s">
        <v>2310</v>
      </c>
      <c r="F1030">
        <v>9</v>
      </c>
      <c r="G1030">
        <v>9.1999999999999993</v>
      </c>
      <c r="H1030" t="s">
        <v>2022</v>
      </c>
      <c r="I1030" s="21">
        <v>38120</v>
      </c>
      <c r="J1030">
        <v>2004</v>
      </c>
      <c r="K1030" s="21">
        <v>38188</v>
      </c>
      <c r="L1030">
        <v>2004</v>
      </c>
      <c r="M1030" s="21">
        <v>38833</v>
      </c>
      <c r="N1030">
        <v>2006</v>
      </c>
      <c r="R1030" s="262">
        <v>47890</v>
      </c>
      <c r="S1030" t="s">
        <v>114</v>
      </c>
      <c r="T1030" t="s">
        <v>114</v>
      </c>
      <c r="U1030">
        <v>5</v>
      </c>
      <c r="W1030">
        <v>302</v>
      </c>
      <c r="X1030">
        <v>1</v>
      </c>
      <c r="Y1030">
        <v>0</v>
      </c>
      <c r="Z1030">
        <v>0</v>
      </c>
      <c r="AA1030">
        <v>0</v>
      </c>
      <c r="AB1030">
        <v>0</v>
      </c>
      <c r="AC1030">
        <v>302</v>
      </c>
      <c r="AD1030">
        <v>0</v>
      </c>
      <c r="AE1030">
        <v>0</v>
      </c>
      <c r="AF1030">
        <v>0</v>
      </c>
      <c r="AG1030">
        <v>0</v>
      </c>
      <c r="AH1030">
        <v>0</v>
      </c>
      <c r="AI1030">
        <v>0</v>
      </c>
      <c r="AJ1030">
        <v>0</v>
      </c>
      <c r="AK1030">
        <v>0</v>
      </c>
      <c r="AL1030">
        <v>0</v>
      </c>
      <c r="AM1030">
        <v>0</v>
      </c>
      <c r="AN1030">
        <v>0</v>
      </c>
      <c r="AO1030">
        <v>1</v>
      </c>
      <c r="AP1030">
        <v>0</v>
      </c>
      <c r="AQ1030">
        <v>0</v>
      </c>
      <c r="AR1030">
        <v>0</v>
      </c>
      <c r="AS1030">
        <v>0</v>
      </c>
      <c r="AT1030">
        <v>0</v>
      </c>
      <c r="AU1030">
        <f t="shared" si="30"/>
        <v>1</v>
      </c>
      <c r="AV1030">
        <f t="shared" si="31"/>
        <v>0</v>
      </c>
    </row>
    <row r="1031" spans="1:48" x14ac:dyDescent="0.25">
      <c r="A1031" t="s">
        <v>4975</v>
      </c>
      <c r="C1031" t="s">
        <v>4976</v>
      </c>
      <c r="D1031" t="s">
        <v>4965</v>
      </c>
      <c r="E1031" t="s">
        <v>2310</v>
      </c>
      <c r="F1031">
        <v>9</v>
      </c>
      <c r="G1031">
        <v>9.1999999999999993</v>
      </c>
      <c r="H1031" t="s">
        <v>2022</v>
      </c>
      <c r="I1031" s="21">
        <v>38120</v>
      </c>
      <c r="J1031">
        <v>2004</v>
      </c>
      <c r="K1031" s="21">
        <v>38194</v>
      </c>
      <c r="L1031">
        <v>2004</v>
      </c>
      <c r="M1031" s="21">
        <v>38833</v>
      </c>
      <c r="N1031">
        <v>2006</v>
      </c>
      <c r="R1031" s="262">
        <v>41048</v>
      </c>
      <c r="S1031" t="s">
        <v>114</v>
      </c>
      <c r="T1031" t="s">
        <v>114</v>
      </c>
      <c r="U1031">
        <v>5</v>
      </c>
      <c r="W1031">
        <v>244</v>
      </c>
      <c r="X1031">
        <v>0</v>
      </c>
      <c r="Y1031">
        <v>0</v>
      </c>
      <c r="Z1031">
        <v>0</v>
      </c>
      <c r="AA1031">
        <v>0</v>
      </c>
      <c r="AB1031">
        <v>0</v>
      </c>
      <c r="AC1031">
        <v>244</v>
      </c>
      <c r="AD1031">
        <v>0</v>
      </c>
      <c r="AE1031">
        <v>0</v>
      </c>
      <c r="AF1031">
        <v>0</v>
      </c>
      <c r="AG1031">
        <v>0</v>
      </c>
      <c r="AH1031">
        <v>0</v>
      </c>
      <c r="AI1031">
        <v>0</v>
      </c>
      <c r="AJ1031">
        <v>0</v>
      </c>
      <c r="AK1031">
        <v>0</v>
      </c>
      <c r="AL1031">
        <v>0</v>
      </c>
      <c r="AM1031">
        <v>0</v>
      </c>
      <c r="AN1031">
        <v>0</v>
      </c>
      <c r="AO1031">
        <v>0</v>
      </c>
      <c r="AP1031">
        <v>0</v>
      </c>
      <c r="AQ1031">
        <v>0</v>
      </c>
      <c r="AR1031">
        <v>0</v>
      </c>
      <c r="AS1031">
        <v>0</v>
      </c>
      <c r="AT1031">
        <v>0</v>
      </c>
      <c r="AU1031">
        <f t="shared" si="30"/>
        <v>0</v>
      </c>
      <c r="AV1031">
        <f t="shared" si="31"/>
        <v>0</v>
      </c>
    </row>
    <row r="1032" spans="1:48" x14ac:dyDescent="0.25">
      <c r="A1032" t="s">
        <v>4977</v>
      </c>
      <c r="C1032" t="s">
        <v>4978</v>
      </c>
      <c r="D1032" t="s">
        <v>4965</v>
      </c>
      <c r="E1032" t="s">
        <v>2310</v>
      </c>
      <c r="F1032">
        <v>9</v>
      </c>
      <c r="G1032">
        <v>9.1999999999999993</v>
      </c>
      <c r="H1032" t="s">
        <v>2022</v>
      </c>
      <c r="I1032" s="21">
        <v>38120</v>
      </c>
      <c r="J1032">
        <v>2004</v>
      </c>
      <c r="K1032" s="21">
        <v>38194</v>
      </c>
      <c r="L1032">
        <v>2004</v>
      </c>
      <c r="M1032" s="21">
        <v>38833</v>
      </c>
      <c r="N1032">
        <v>2006</v>
      </c>
      <c r="R1032" s="262">
        <v>47890</v>
      </c>
      <c r="S1032" t="s">
        <v>114</v>
      </c>
      <c r="T1032" t="s">
        <v>114</v>
      </c>
      <c r="U1032">
        <v>5</v>
      </c>
      <c r="W1032">
        <v>517</v>
      </c>
      <c r="X1032">
        <v>1</v>
      </c>
      <c r="Y1032">
        <v>0</v>
      </c>
      <c r="Z1032">
        <v>0</v>
      </c>
      <c r="AA1032">
        <v>0</v>
      </c>
      <c r="AB1032">
        <v>0</v>
      </c>
      <c r="AC1032">
        <v>517</v>
      </c>
      <c r="AD1032">
        <v>0</v>
      </c>
      <c r="AE1032">
        <v>0</v>
      </c>
      <c r="AF1032">
        <v>0</v>
      </c>
      <c r="AG1032">
        <v>0</v>
      </c>
      <c r="AH1032">
        <v>0</v>
      </c>
      <c r="AI1032">
        <v>0</v>
      </c>
      <c r="AJ1032">
        <v>0</v>
      </c>
      <c r="AK1032">
        <v>0</v>
      </c>
      <c r="AL1032">
        <v>0</v>
      </c>
      <c r="AM1032">
        <v>0</v>
      </c>
      <c r="AN1032">
        <v>0</v>
      </c>
      <c r="AO1032">
        <v>1</v>
      </c>
      <c r="AP1032">
        <v>0</v>
      </c>
      <c r="AQ1032">
        <v>0</v>
      </c>
      <c r="AR1032">
        <v>0</v>
      </c>
      <c r="AS1032">
        <v>0</v>
      </c>
      <c r="AT1032">
        <v>0</v>
      </c>
      <c r="AU1032">
        <f t="shared" si="30"/>
        <v>1</v>
      </c>
      <c r="AV1032">
        <f t="shared" si="31"/>
        <v>0</v>
      </c>
    </row>
    <row r="1033" spans="1:48" x14ac:dyDescent="0.25">
      <c r="A1033" t="s">
        <v>4979</v>
      </c>
      <c r="C1033" t="s">
        <v>4980</v>
      </c>
      <c r="D1033" t="s">
        <v>4965</v>
      </c>
      <c r="E1033" t="s">
        <v>2310</v>
      </c>
      <c r="F1033">
        <v>9</v>
      </c>
      <c r="G1033">
        <v>9.1999999999999993</v>
      </c>
      <c r="H1033" t="s">
        <v>2022</v>
      </c>
      <c r="I1033" s="21">
        <v>38120</v>
      </c>
      <c r="J1033">
        <v>2004</v>
      </c>
      <c r="K1033" s="21">
        <v>38194</v>
      </c>
      <c r="L1033">
        <v>2004</v>
      </c>
      <c r="M1033" s="21">
        <v>38833</v>
      </c>
      <c r="N1033">
        <v>2006</v>
      </c>
      <c r="R1033" s="262">
        <v>58152</v>
      </c>
      <c r="S1033" t="s">
        <v>114</v>
      </c>
      <c r="T1033" t="s">
        <v>114</v>
      </c>
      <c r="U1033">
        <v>5</v>
      </c>
      <c r="W1033">
        <v>545</v>
      </c>
      <c r="X1033">
        <v>1</v>
      </c>
      <c r="Y1033">
        <v>0</v>
      </c>
      <c r="Z1033">
        <v>0</v>
      </c>
      <c r="AA1033">
        <v>0</v>
      </c>
      <c r="AB1033">
        <v>0</v>
      </c>
      <c r="AC1033">
        <v>545</v>
      </c>
      <c r="AD1033">
        <v>0</v>
      </c>
      <c r="AE1033">
        <v>0</v>
      </c>
      <c r="AF1033">
        <v>0</v>
      </c>
      <c r="AG1033">
        <v>0</v>
      </c>
      <c r="AH1033">
        <v>0</v>
      </c>
      <c r="AI1033">
        <v>0</v>
      </c>
      <c r="AJ1033">
        <v>0</v>
      </c>
      <c r="AK1033">
        <v>0</v>
      </c>
      <c r="AL1033">
        <v>0</v>
      </c>
      <c r="AM1033">
        <v>0</v>
      </c>
      <c r="AN1033">
        <v>0</v>
      </c>
      <c r="AO1033">
        <v>1</v>
      </c>
      <c r="AP1033">
        <v>0</v>
      </c>
      <c r="AQ1033">
        <v>0</v>
      </c>
      <c r="AR1033">
        <v>0</v>
      </c>
      <c r="AS1033">
        <v>0</v>
      </c>
      <c r="AT1033">
        <v>0</v>
      </c>
      <c r="AU1033">
        <f t="shared" si="30"/>
        <v>1</v>
      </c>
      <c r="AV1033">
        <f t="shared" si="31"/>
        <v>0</v>
      </c>
    </row>
    <row r="1034" spans="1:48" x14ac:dyDescent="0.25">
      <c r="A1034" t="s">
        <v>4981</v>
      </c>
      <c r="C1034" t="s">
        <v>4982</v>
      </c>
      <c r="D1034" t="s">
        <v>4965</v>
      </c>
      <c r="E1034" t="s">
        <v>2310</v>
      </c>
      <c r="F1034">
        <v>9</v>
      </c>
      <c r="G1034">
        <v>9.1999999999999993</v>
      </c>
      <c r="H1034" t="s">
        <v>2022</v>
      </c>
      <c r="I1034" s="21">
        <v>38120</v>
      </c>
      <c r="J1034">
        <v>2004</v>
      </c>
      <c r="K1034" s="21">
        <v>38194</v>
      </c>
      <c r="L1034">
        <v>2004</v>
      </c>
      <c r="M1034" s="21">
        <v>38833</v>
      </c>
      <c r="N1034">
        <v>2006</v>
      </c>
      <c r="R1034" s="262">
        <v>39908</v>
      </c>
      <c r="S1034" t="s">
        <v>114</v>
      </c>
      <c r="T1034" t="s">
        <v>114</v>
      </c>
      <c r="U1034">
        <v>5</v>
      </c>
      <c r="W1034">
        <v>180</v>
      </c>
      <c r="X1034">
        <v>1</v>
      </c>
      <c r="Y1034">
        <v>0</v>
      </c>
      <c r="Z1034">
        <v>0</v>
      </c>
      <c r="AA1034">
        <v>0</v>
      </c>
      <c r="AB1034">
        <v>0</v>
      </c>
      <c r="AC1034">
        <v>180</v>
      </c>
      <c r="AD1034">
        <v>0</v>
      </c>
      <c r="AE1034">
        <v>0</v>
      </c>
      <c r="AF1034">
        <v>0</v>
      </c>
      <c r="AG1034">
        <v>0</v>
      </c>
      <c r="AH1034">
        <v>0</v>
      </c>
      <c r="AI1034">
        <v>0</v>
      </c>
      <c r="AJ1034">
        <v>0</v>
      </c>
      <c r="AK1034">
        <v>0</v>
      </c>
      <c r="AL1034">
        <v>0</v>
      </c>
      <c r="AM1034">
        <v>0</v>
      </c>
      <c r="AN1034">
        <v>0</v>
      </c>
      <c r="AO1034">
        <v>1</v>
      </c>
      <c r="AP1034">
        <v>0</v>
      </c>
      <c r="AQ1034">
        <v>0</v>
      </c>
      <c r="AR1034">
        <v>0</v>
      </c>
      <c r="AS1034">
        <v>0</v>
      </c>
      <c r="AT1034">
        <v>0</v>
      </c>
      <c r="AU1034">
        <f t="shared" si="30"/>
        <v>1</v>
      </c>
      <c r="AV1034">
        <f t="shared" si="31"/>
        <v>0</v>
      </c>
    </row>
    <row r="1035" spans="1:48" x14ac:dyDescent="0.25">
      <c r="A1035" t="s">
        <v>4983</v>
      </c>
      <c r="C1035" t="s">
        <v>4984</v>
      </c>
      <c r="D1035" t="s">
        <v>4965</v>
      </c>
      <c r="E1035" t="s">
        <v>2310</v>
      </c>
      <c r="F1035">
        <v>9</v>
      </c>
      <c r="G1035">
        <v>9.1999999999999993</v>
      </c>
      <c r="H1035" t="s">
        <v>2022</v>
      </c>
      <c r="I1035" s="21">
        <v>38120</v>
      </c>
      <c r="J1035">
        <v>2004</v>
      </c>
      <c r="K1035" s="21">
        <v>38197</v>
      </c>
      <c r="L1035">
        <v>2004</v>
      </c>
      <c r="M1035" s="21">
        <v>38833</v>
      </c>
      <c r="N1035">
        <v>2006</v>
      </c>
      <c r="R1035" s="262">
        <v>66133</v>
      </c>
      <c r="S1035" t="s">
        <v>114</v>
      </c>
      <c r="T1035" t="s">
        <v>114</v>
      </c>
      <c r="U1035">
        <v>5</v>
      </c>
      <c r="W1035">
        <v>382</v>
      </c>
      <c r="X1035">
        <v>1</v>
      </c>
      <c r="Y1035">
        <v>0</v>
      </c>
      <c r="Z1035">
        <v>0</v>
      </c>
      <c r="AA1035">
        <v>0</v>
      </c>
      <c r="AB1035">
        <v>0</v>
      </c>
      <c r="AC1035">
        <v>382</v>
      </c>
      <c r="AD1035">
        <v>0</v>
      </c>
      <c r="AE1035">
        <v>0</v>
      </c>
      <c r="AF1035">
        <v>0</v>
      </c>
      <c r="AG1035">
        <v>0</v>
      </c>
      <c r="AH1035">
        <v>0</v>
      </c>
      <c r="AI1035">
        <v>0</v>
      </c>
      <c r="AJ1035">
        <v>0</v>
      </c>
      <c r="AK1035">
        <v>0</v>
      </c>
      <c r="AL1035">
        <v>0</v>
      </c>
      <c r="AM1035">
        <v>0</v>
      </c>
      <c r="AN1035">
        <v>0</v>
      </c>
      <c r="AO1035">
        <v>1</v>
      </c>
      <c r="AP1035">
        <v>0</v>
      </c>
      <c r="AQ1035">
        <v>0</v>
      </c>
      <c r="AR1035">
        <v>0</v>
      </c>
      <c r="AS1035">
        <v>0</v>
      </c>
      <c r="AT1035">
        <v>0</v>
      </c>
      <c r="AU1035">
        <f t="shared" si="30"/>
        <v>1</v>
      </c>
      <c r="AV1035">
        <f t="shared" si="31"/>
        <v>0</v>
      </c>
    </row>
    <row r="1036" spans="1:48" x14ac:dyDescent="0.25">
      <c r="A1036" t="s">
        <v>4985</v>
      </c>
      <c r="C1036" t="s">
        <v>4986</v>
      </c>
      <c r="D1036" t="s">
        <v>4965</v>
      </c>
      <c r="E1036" t="s">
        <v>2310</v>
      </c>
      <c r="F1036">
        <v>9</v>
      </c>
      <c r="G1036">
        <v>9.1999999999999993</v>
      </c>
      <c r="H1036" t="s">
        <v>2022</v>
      </c>
      <c r="I1036" s="21">
        <v>38120</v>
      </c>
      <c r="J1036">
        <v>2004</v>
      </c>
      <c r="K1036" s="21">
        <v>38198</v>
      </c>
      <c r="L1036">
        <v>2004</v>
      </c>
      <c r="M1036" s="21">
        <v>38833</v>
      </c>
      <c r="N1036">
        <v>2006</v>
      </c>
      <c r="R1036" s="262">
        <v>180157</v>
      </c>
      <c r="S1036" t="s">
        <v>114</v>
      </c>
      <c r="T1036" t="s">
        <v>114</v>
      </c>
      <c r="U1036">
        <v>5</v>
      </c>
      <c r="W1036">
        <v>1560</v>
      </c>
      <c r="X1036">
        <v>0</v>
      </c>
      <c r="Y1036">
        <v>0</v>
      </c>
      <c r="Z1036">
        <v>0</v>
      </c>
      <c r="AA1036">
        <v>0</v>
      </c>
      <c r="AB1036">
        <v>0</v>
      </c>
      <c r="AC1036">
        <v>1560</v>
      </c>
      <c r="AD1036">
        <v>0</v>
      </c>
      <c r="AE1036">
        <v>0</v>
      </c>
      <c r="AF1036">
        <v>0</v>
      </c>
      <c r="AG1036">
        <v>0</v>
      </c>
      <c r="AH1036">
        <v>0</v>
      </c>
      <c r="AI1036">
        <v>0</v>
      </c>
      <c r="AJ1036">
        <v>0</v>
      </c>
      <c r="AK1036">
        <v>0</v>
      </c>
      <c r="AL1036">
        <v>0</v>
      </c>
      <c r="AM1036">
        <v>0</v>
      </c>
      <c r="AN1036">
        <v>0</v>
      </c>
      <c r="AO1036">
        <v>0</v>
      </c>
      <c r="AP1036">
        <v>0</v>
      </c>
      <c r="AQ1036">
        <v>0</v>
      </c>
      <c r="AR1036">
        <v>0</v>
      </c>
      <c r="AS1036">
        <v>0</v>
      </c>
      <c r="AT1036">
        <v>0</v>
      </c>
      <c r="AU1036">
        <f t="shared" si="30"/>
        <v>0</v>
      </c>
      <c r="AV1036">
        <f t="shared" si="31"/>
        <v>0</v>
      </c>
    </row>
    <row r="1037" spans="1:48" x14ac:dyDescent="0.25">
      <c r="A1037" t="s">
        <v>4987</v>
      </c>
      <c r="C1037" t="s">
        <v>4988</v>
      </c>
      <c r="D1037" t="s">
        <v>4965</v>
      </c>
      <c r="E1037" t="s">
        <v>2310</v>
      </c>
      <c r="F1037">
        <v>9</v>
      </c>
      <c r="G1037">
        <v>9.1999999999999993</v>
      </c>
      <c r="H1037" t="s">
        <v>2022</v>
      </c>
      <c r="I1037" s="21">
        <v>38120</v>
      </c>
      <c r="J1037">
        <v>2004</v>
      </c>
      <c r="K1037" s="21">
        <v>38197</v>
      </c>
      <c r="L1037">
        <v>2004</v>
      </c>
      <c r="M1037" s="21">
        <v>38951</v>
      </c>
      <c r="N1037">
        <v>2006</v>
      </c>
      <c r="R1037" s="262">
        <v>62713</v>
      </c>
      <c r="S1037" t="s">
        <v>114</v>
      </c>
      <c r="T1037" t="s">
        <v>114</v>
      </c>
      <c r="U1037">
        <v>5</v>
      </c>
      <c r="W1037">
        <v>189</v>
      </c>
      <c r="X1037">
        <v>0</v>
      </c>
      <c r="Y1037">
        <v>0</v>
      </c>
      <c r="Z1037">
        <v>0</v>
      </c>
      <c r="AA1037">
        <v>0</v>
      </c>
      <c r="AB1037">
        <v>0</v>
      </c>
      <c r="AC1037">
        <v>189</v>
      </c>
      <c r="AD1037">
        <v>0</v>
      </c>
      <c r="AE1037">
        <v>0</v>
      </c>
      <c r="AF1037">
        <v>0</v>
      </c>
      <c r="AG1037">
        <v>0</v>
      </c>
      <c r="AH1037">
        <v>0</v>
      </c>
      <c r="AI1037">
        <v>0</v>
      </c>
      <c r="AJ1037">
        <v>0</v>
      </c>
      <c r="AK1037">
        <v>0</v>
      </c>
      <c r="AL1037">
        <v>0</v>
      </c>
      <c r="AM1037">
        <v>0</v>
      </c>
      <c r="AN1037">
        <v>0</v>
      </c>
      <c r="AO1037">
        <v>0</v>
      </c>
      <c r="AP1037">
        <v>0</v>
      </c>
      <c r="AQ1037">
        <v>0</v>
      </c>
      <c r="AR1037">
        <v>0</v>
      </c>
      <c r="AS1037">
        <v>0</v>
      </c>
      <c r="AT1037">
        <v>0</v>
      </c>
      <c r="AU1037">
        <f t="shared" si="30"/>
        <v>0</v>
      </c>
      <c r="AV1037">
        <f t="shared" si="31"/>
        <v>0</v>
      </c>
    </row>
    <row r="1038" spans="1:48" x14ac:dyDescent="0.25">
      <c r="A1038" t="s">
        <v>4989</v>
      </c>
      <c r="C1038" t="s">
        <v>4990</v>
      </c>
      <c r="D1038" t="s">
        <v>4965</v>
      </c>
      <c r="E1038" t="s">
        <v>2310</v>
      </c>
      <c r="F1038">
        <v>9</v>
      </c>
      <c r="G1038">
        <v>9.1999999999999993</v>
      </c>
      <c r="H1038" t="s">
        <v>2022</v>
      </c>
      <c r="I1038" s="21">
        <v>38120</v>
      </c>
      <c r="J1038">
        <v>2004</v>
      </c>
      <c r="K1038" s="21">
        <v>38198</v>
      </c>
      <c r="L1038">
        <v>2004</v>
      </c>
      <c r="M1038" s="21">
        <v>38951</v>
      </c>
      <c r="N1038">
        <v>2006</v>
      </c>
      <c r="R1038" s="262">
        <v>61572</v>
      </c>
      <c r="S1038" t="s">
        <v>114</v>
      </c>
      <c r="T1038" t="s">
        <v>114</v>
      </c>
      <c r="U1038">
        <v>5</v>
      </c>
      <c r="W1038">
        <v>516</v>
      </c>
      <c r="X1038">
        <v>0</v>
      </c>
      <c r="Y1038">
        <v>0</v>
      </c>
      <c r="Z1038">
        <v>0</v>
      </c>
      <c r="AA1038">
        <v>0</v>
      </c>
      <c r="AB1038">
        <v>0</v>
      </c>
      <c r="AC1038">
        <v>516</v>
      </c>
      <c r="AD1038">
        <v>0</v>
      </c>
      <c r="AE1038">
        <v>0</v>
      </c>
      <c r="AF1038">
        <v>0</v>
      </c>
      <c r="AG1038">
        <v>0</v>
      </c>
      <c r="AH1038">
        <v>0</v>
      </c>
      <c r="AI1038">
        <v>0</v>
      </c>
      <c r="AJ1038">
        <v>0</v>
      </c>
      <c r="AK1038">
        <v>0</v>
      </c>
      <c r="AL1038">
        <v>0</v>
      </c>
      <c r="AM1038">
        <v>0</v>
      </c>
      <c r="AN1038">
        <v>0</v>
      </c>
      <c r="AO1038">
        <v>0</v>
      </c>
      <c r="AP1038">
        <v>0</v>
      </c>
      <c r="AQ1038">
        <v>0</v>
      </c>
      <c r="AR1038">
        <v>0</v>
      </c>
      <c r="AS1038">
        <v>0</v>
      </c>
      <c r="AT1038">
        <v>0</v>
      </c>
      <c r="AU1038">
        <f t="shared" si="30"/>
        <v>0</v>
      </c>
      <c r="AV1038">
        <f t="shared" si="31"/>
        <v>0</v>
      </c>
    </row>
    <row r="1039" spans="1:48" x14ac:dyDescent="0.25">
      <c r="A1039" t="s">
        <v>4991</v>
      </c>
      <c r="C1039" t="s">
        <v>4992</v>
      </c>
      <c r="D1039" t="s">
        <v>4974</v>
      </c>
      <c r="E1039" t="s">
        <v>2310</v>
      </c>
      <c r="F1039">
        <v>9</v>
      </c>
      <c r="G1039">
        <v>9.1999999999999993</v>
      </c>
      <c r="H1039" t="s">
        <v>2022</v>
      </c>
      <c r="I1039" s="21">
        <v>38120</v>
      </c>
      <c r="J1039">
        <v>2004</v>
      </c>
      <c r="K1039" s="21">
        <v>38189</v>
      </c>
      <c r="L1039">
        <v>2004</v>
      </c>
      <c r="M1039" s="21">
        <v>38951</v>
      </c>
      <c r="N1039">
        <v>2006</v>
      </c>
      <c r="R1039" s="262">
        <v>82098</v>
      </c>
      <c r="S1039" t="s">
        <v>114</v>
      </c>
      <c r="T1039" t="s">
        <v>114</v>
      </c>
      <c r="U1039">
        <v>5</v>
      </c>
      <c r="W1039">
        <v>1120</v>
      </c>
      <c r="X1039">
        <v>0</v>
      </c>
      <c r="Y1039">
        <v>0</v>
      </c>
      <c r="Z1039">
        <v>0</v>
      </c>
      <c r="AA1039">
        <v>0</v>
      </c>
      <c r="AB1039">
        <v>0</v>
      </c>
      <c r="AC1039">
        <v>1120</v>
      </c>
      <c r="AD1039">
        <v>0</v>
      </c>
      <c r="AE1039">
        <v>0</v>
      </c>
      <c r="AF1039">
        <v>0</v>
      </c>
      <c r="AG1039">
        <v>0</v>
      </c>
      <c r="AH1039">
        <v>0</v>
      </c>
      <c r="AI1039">
        <v>0</v>
      </c>
      <c r="AJ1039">
        <v>0</v>
      </c>
      <c r="AK1039">
        <v>0</v>
      </c>
      <c r="AL1039">
        <v>0</v>
      </c>
      <c r="AM1039">
        <v>0</v>
      </c>
      <c r="AN1039">
        <v>0</v>
      </c>
      <c r="AO1039">
        <v>0</v>
      </c>
      <c r="AP1039">
        <v>0</v>
      </c>
      <c r="AQ1039">
        <v>0</v>
      </c>
      <c r="AR1039">
        <v>0</v>
      </c>
      <c r="AS1039">
        <v>0</v>
      </c>
      <c r="AT1039">
        <v>0</v>
      </c>
      <c r="AU1039">
        <f t="shared" si="30"/>
        <v>0</v>
      </c>
      <c r="AV1039">
        <f t="shared" si="31"/>
        <v>0</v>
      </c>
    </row>
    <row r="1040" spans="1:48" x14ac:dyDescent="0.25">
      <c r="A1040" t="s">
        <v>4993</v>
      </c>
      <c r="C1040" t="s">
        <v>4994</v>
      </c>
      <c r="D1040" t="s">
        <v>4965</v>
      </c>
      <c r="E1040" t="s">
        <v>2310</v>
      </c>
      <c r="F1040">
        <v>9</v>
      </c>
      <c r="G1040">
        <v>9.1999999999999993</v>
      </c>
      <c r="H1040" t="s">
        <v>2022</v>
      </c>
      <c r="I1040" s="21">
        <v>38120</v>
      </c>
      <c r="J1040">
        <v>2004</v>
      </c>
      <c r="K1040" s="21">
        <v>38188</v>
      </c>
      <c r="L1040">
        <v>2004</v>
      </c>
      <c r="M1040" s="21">
        <v>38951</v>
      </c>
      <c r="N1040">
        <v>2006</v>
      </c>
      <c r="R1040" s="262">
        <v>61572</v>
      </c>
      <c r="S1040" t="s">
        <v>114</v>
      </c>
      <c r="T1040" t="s">
        <v>114</v>
      </c>
      <c r="U1040">
        <v>5</v>
      </c>
      <c r="W1040">
        <v>325</v>
      </c>
      <c r="X1040">
        <v>0</v>
      </c>
      <c r="Y1040">
        <v>0</v>
      </c>
      <c r="Z1040">
        <v>0</v>
      </c>
      <c r="AA1040">
        <v>0</v>
      </c>
      <c r="AB1040">
        <v>0</v>
      </c>
      <c r="AC1040">
        <v>325</v>
      </c>
      <c r="AD1040">
        <v>0</v>
      </c>
      <c r="AE1040">
        <v>0</v>
      </c>
      <c r="AF1040">
        <v>0</v>
      </c>
      <c r="AG1040">
        <v>0</v>
      </c>
      <c r="AH1040">
        <v>0</v>
      </c>
      <c r="AI1040">
        <v>0</v>
      </c>
      <c r="AJ1040">
        <v>0</v>
      </c>
      <c r="AK1040">
        <v>0</v>
      </c>
      <c r="AL1040">
        <v>0</v>
      </c>
      <c r="AM1040">
        <v>0</v>
      </c>
      <c r="AN1040">
        <v>0</v>
      </c>
      <c r="AO1040">
        <v>0</v>
      </c>
      <c r="AP1040">
        <v>0</v>
      </c>
      <c r="AQ1040">
        <v>0</v>
      </c>
      <c r="AR1040">
        <v>0</v>
      </c>
      <c r="AS1040">
        <v>0</v>
      </c>
      <c r="AT1040">
        <v>0</v>
      </c>
      <c r="AU1040">
        <f t="shared" si="30"/>
        <v>0</v>
      </c>
      <c r="AV1040">
        <f t="shared" si="31"/>
        <v>0</v>
      </c>
    </row>
    <row r="1041" spans="1:48" x14ac:dyDescent="0.25">
      <c r="A1041" t="s">
        <v>4995</v>
      </c>
      <c r="C1041" t="s">
        <v>4996</v>
      </c>
      <c r="D1041" t="s">
        <v>4965</v>
      </c>
      <c r="E1041" t="s">
        <v>2310</v>
      </c>
      <c r="F1041">
        <v>9</v>
      </c>
      <c r="G1041">
        <v>9.1999999999999993</v>
      </c>
      <c r="H1041" t="s">
        <v>2022</v>
      </c>
      <c r="I1041" s="21">
        <v>38120</v>
      </c>
      <c r="J1041">
        <v>2004</v>
      </c>
      <c r="K1041" s="21">
        <v>38210</v>
      </c>
      <c r="L1041">
        <v>2004</v>
      </c>
      <c r="M1041" s="21">
        <v>38819</v>
      </c>
      <c r="N1041">
        <v>2006</v>
      </c>
      <c r="R1041" s="262">
        <v>225000</v>
      </c>
      <c r="S1041" t="s">
        <v>114</v>
      </c>
      <c r="T1041" t="s">
        <v>114</v>
      </c>
      <c r="U1041">
        <v>5</v>
      </c>
      <c r="W1041">
        <v>1000</v>
      </c>
      <c r="X1041">
        <v>1</v>
      </c>
      <c r="Y1041">
        <v>0</v>
      </c>
      <c r="Z1041">
        <v>0</v>
      </c>
      <c r="AA1041">
        <v>0</v>
      </c>
      <c r="AB1041">
        <v>0</v>
      </c>
      <c r="AC1041">
        <v>1000</v>
      </c>
      <c r="AD1041">
        <v>0</v>
      </c>
      <c r="AE1041">
        <v>0</v>
      </c>
      <c r="AF1041">
        <v>0</v>
      </c>
      <c r="AG1041">
        <v>0</v>
      </c>
      <c r="AH1041">
        <v>0</v>
      </c>
      <c r="AI1041">
        <v>0</v>
      </c>
      <c r="AJ1041">
        <v>0</v>
      </c>
      <c r="AK1041">
        <v>0</v>
      </c>
      <c r="AL1041">
        <v>0</v>
      </c>
      <c r="AM1041">
        <v>0</v>
      </c>
      <c r="AN1041">
        <v>0</v>
      </c>
      <c r="AO1041">
        <v>1</v>
      </c>
      <c r="AP1041">
        <v>0</v>
      </c>
      <c r="AQ1041">
        <v>0</v>
      </c>
      <c r="AR1041">
        <v>0</v>
      </c>
      <c r="AS1041">
        <v>0</v>
      </c>
      <c r="AT1041">
        <v>0</v>
      </c>
      <c r="AU1041">
        <f t="shared" si="30"/>
        <v>1</v>
      </c>
      <c r="AV1041">
        <f t="shared" si="31"/>
        <v>0</v>
      </c>
    </row>
    <row r="1042" spans="1:48" x14ac:dyDescent="0.25">
      <c r="A1042" t="s">
        <v>4997</v>
      </c>
      <c r="C1042" t="s">
        <v>4998</v>
      </c>
      <c r="D1042" t="s">
        <v>4965</v>
      </c>
      <c r="E1042" t="s">
        <v>2310</v>
      </c>
      <c r="F1042">
        <v>9</v>
      </c>
      <c r="G1042">
        <v>9.1999999999999993</v>
      </c>
      <c r="H1042" t="s">
        <v>2022</v>
      </c>
      <c r="I1042" s="21">
        <v>38120</v>
      </c>
      <c r="J1042">
        <v>2004</v>
      </c>
      <c r="K1042" s="21">
        <v>38210</v>
      </c>
      <c r="L1042">
        <v>2004</v>
      </c>
      <c r="M1042" s="21">
        <v>38819</v>
      </c>
      <c r="N1042">
        <v>2006</v>
      </c>
      <c r="R1042" s="262">
        <v>131000</v>
      </c>
      <c r="S1042" t="s">
        <v>114</v>
      </c>
      <c r="T1042" t="s">
        <v>114</v>
      </c>
      <c r="U1042">
        <v>5</v>
      </c>
      <c r="W1042">
        <v>518</v>
      </c>
      <c r="X1042">
        <v>1</v>
      </c>
      <c r="Y1042">
        <v>0</v>
      </c>
      <c r="Z1042">
        <v>0</v>
      </c>
      <c r="AA1042">
        <v>0</v>
      </c>
      <c r="AB1042">
        <v>0</v>
      </c>
      <c r="AC1042">
        <v>518</v>
      </c>
      <c r="AD1042">
        <v>0</v>
      </c>
      <c r="AE1042">
        <v>0</v>
      </c>
      <c r="AF1042">
        <v>0</v>
      </c>
      <c r="AG1042">
        <v>0</v>
      </c>
      <c r="AH1042">
        <v>0</v>
      </c>
      <c r="AI1042">
        <v>0</v>
      </c>
      <c r="AJ1042">
        <v>0</v>
      </c>
      <c r="AK1042">
        <v>0</v>
      </c>
      <c r="AL1042">
        <v>0</v>
      </c>
      <c r="AM1042">
        <v>0</v>
      </c>
      <c r="AN1042">
        <v>0</v>
      </c>
      <c r="AO1042">
        <v>1</v>
      </c>
      <c r="AP1042">
        <v>0</v>
      </c>
      <c r="AQ1042">
        <v>0</v>
      </c>
      <c r="AR1042">
        <v>0</v>
      </c>
      <c r="AS1042">
        <v>0</v>
      </c>
      <c r="AT1042">
        <v>0</v>
      </c>
      <c r="AU1042">
        <f t="shared" si="30"/>
        <v>1</v>
      </c>
      <c r="AV1042">
        <f t="shared" si="31"/>
        <v>0</v>
      </c>
    </row>
    <row r="1043" spans="1:48" x14ac:dyDescent="0.25">
      <c r="A1043" t="s">
        <v>4999</v>
      </c>
      <c r="C1043" t="s">
        <v>5000</v>
      </c>
      <c r="D1043" t="s">
        <v>4965</v>
      </c>
      <c r="E1043" t="s">
        <v>2310</v>
      </c>
      <c r="F1043">
        <v>9</v>
      </c>
      <c r="G1043">
        <v>9.1999999999999993</v>
      </c>
      <c r="H1043" t="s">
        <v>2022</v>
      </c>
      <c r="I1043" s="21">
        <v>38120</v>
      </c>
      <c r="J1043">
        <v>2004</v>
      </c>
      <c r="K1043" s="21">
        <v>38211</v>
      </c>
      <c r="L1043">
        <v>2004</v>
      </c>
      <c r="M1043" s="21">
        <v>38951</v>
      </c>
      <c r="N1043">
        <v>2006</v>
      </c>
      <c r="R1043" s="262">
        <v>84440</v>
      </c>
      <c r="S1043" t="s">
        <v>114</v>
      </c>
      <c r="T1043" t="s">
        <v>114</v>
      </c>
      <c r="U1043">
        <v>5</v>
      </c>
      <c r="W1043">
        <v>566</v>
      </c>
      <c r="X1043">
        <v>0</v>
      </c>
      <c r="Y1043">
        <v>0</v>
      </c>
      <c r="Z1043">
        <v>0</v>
      </c>
      <c r="AA1043">
        <v>0</v>
      </c>
      <c r="AB1043">
        <v>0</v>
      </c>
      <c r="AC1043">
        <v>566</v>
      </c>
      <c r="AD1043">
        <v>0</v>
      </c>
      <c r="AE1043">
        <v>0</v>
      </c>
      <c r="AF1043">
        <v>0</v>
      </c>
      <c r="AG1043">
        <v>0</v>
      </c>
      <c r="AH1043">
        <v>0</v>
      </c>
      <c r="AI1043">
        <v>0</v>
      </c>
      <c r="AJ1043">
        <v>0</v>
      </c>
      <c r="AK1043">
        <v>0</v>
      </c>
      <c r="AL1043">
        <v>0</v>
      </c>
      <c r="AM1043">
        <v>0</v>
      </c>
      <c r="AN1043">
        <v>0</v>
      </c>
      <c r="AO1043">
        <v>0</v>
      </c>
      <c r="AP1043">
        <v>0</v>
      </c>
      <c r="AQ1043">
        <v>0</v>
      </c>
      <c r="AR1043">
        <v>0</v>
      </c>
      <c r="AS1043">
        <v>0</v>
      </c>
      <c r="AT1043">
        <v>0</v>
      </c>
      <c r="AU1043">
        <f t="shared" si="30"/>
        <v>0</v>
      </c>
      <c r="AV1043">
        <f t="shared" si="31"/>
        <v>0</v>
      </c>
    </row>
    <row r="1044" spans="1:48" x14ac:dyDescent="0.25">
      <c r="A1044" t="s">
        <v>5001</v>
      </c>
      <c r="C1044" t="s">
        <v>5002</v>
      </c>
      <c r="D1044" t="s">
        <v>5003</v>
      </c>
      <c r="E1044" t="s">
        <v>2310</v>
      </c>
      <c r="F1044">
        <v>8</v>
      </c>
      <c r="G1044">
        <v>8.1</v>
      </c>
      <c r="H1044" t="s">
        <v>2323</v>
      </c>
      <c r="I1044" s="21">
        <v>38121</v>
      </c>
      <c r="J1044">
        <v>2004</v>
      </c>
      <c r="K1044" s="21">
        <v>38160</v>
      </c>
      <c r="L1044">
        <v>2004</v>
      </c>
      <c r="M1044" s="21">
        <v>38160</v>
      </c>
      <c r="N1044">
        <v>2004</v>
      </c>
      <c r="R1044" s="262">
        <v>125000</v>
      </c>
      <c r="S1044" t="s">
        <v>114</v>
      </c>
      <c r="T1044" t="s">
        <v>114</v>
      </c>
      <c r="U1044">
        <v>5</v>
      </c>
      <c r="W1044">
        <v>1001</v>
      </c>
      <c r="X1044">
        <v>0</v>
      </c>
      <c r="Y1044">
        <v>0</v>
      </c>
      <c r="Z1044">
        <v>0</v>
      </c>
      <c r="AA1044">
        <v>0</v>
      </c>
      <c r="AB1044">
        <v>0</v>
      </c>
      <c r="AC1044">
        <v>1001</v>
      </c>
      <c r="AD1044">
        <v>0</v>
      </c>
      <c r="AE1044">
        <v>0</v>
      </c>
      <c r="AF1044">
        <v>0</v>
      </c>
      <c r="AG1044">
        <v>0</v>
      </c>
      <c r="AH1044">
        <v>0</v>
      </c>
      <c r="AI1044">
        <v>0</v>
      </c>
      <c r="AJ1044">
        <v>0</v>
      </c>
      <c r="AK1044">
        <v>0</v>
      </c>
      <c r="AL1044">
        <v>0</v>
      </c>
      <c r="AM1044">
        <v>0</v>
      </c>
      <c r="AN1044">
        <v>0</v>
      </c>
      <c r="AO1044">
        <v>0</v>
      </c>
      <c r="AP1044">
        <v>0</v>
      </c>
      <c r="AQ1044">
        <v>0</v>
      </c>
      <c r="AR1044">
        <v>0</v>
      </c>
      <c r="AS1044">
        <v>0</v>
      </c>
      <c r="AT1044">
        <v>0</v>
      </c>
      <c r="AU1044">
        <f t="shared" si="30"/>
        <v>0</v>
      </c>
      <c r="AV1044">
        <f t="shared" si="31"/>
        <v>0</v>
      </c>
    </row>
    <row r="1045" spans="1:48" x14ac:dyDescent="0.25">
      <c r="A1045" t="s">
        <v>5004</v>
      </c>
      <c r="C1045" t="s">
        <v>5005</v>
      </c>
      <c r="D1045" t="s">
        <v>5006</v>
      </c>
      <c r="E1045" t="s">
        <v>2310</v>
      </c>
      <c r="F1045">
        <v>9</v>
      </c>
      <c r="G1045">
        <v>9.1999999999999993</v>
      </c>
      <c r="H1045" t="s">
        <v>2022</v>
      </c>
      <c r="I1045" s="21">
        <v>38121</v>
      </c>
      <c r="J1045">
        <v>2004</v>
      </c>
      <c r="K1045" s="21">
        <v>38182</v>
      </c>
      <c r="L1045">
        <v>2004</v>
      </c>
      <c r="M1045" s="21">
        <v>38182</v>
      </c>
      <c r="N1045">
        <v>2004</v>
      </c>
      <c r="R1045" s="262">
        <v>250000</v>
      </c>
      <c r="S1045" t="s">
        <v>114</v>
      </c>
      <c r="T1045" t="s">
        <v>114</v>
      </c>
      <c r="U1045">
        <v>5</v>
      </c>
      <c r="W1045">
        <v>998</v>
      </c>
      <c r="X1045">
        <v>1</v>
      </c>
      <c r="Y1045">
        <v>0</v>
      </c>
      <c r="Z1045">
        <v>0</v>
      </c>
      <c r="AA1045">
        <v>0</v>
      </c>
      <c r="AB1045">
        <v>0</v>
      </c>
      <c r="AC1045">
        <v>998</v>
      </c>
      <c r="AD1045">
        <v>0</v>
      </c>
      <c r="AE1045">
        <v>0</v>
      </c>
      <c r="AF1045">
        <v>0</v>
      </c>
      <c r="AG1045">
        <v>0</v>
      </c>
      <c r="AH1045">
        <v>0</v>
      </c>
      <c r="AI1045">
        <v>0</v>
      </c>
      <c r="AJ1045">
        <v>0</v>
      </c>
      <c r="AK1045">
        <v>0</v>
      </c>
      <c r="AL1045">
        <v>0</v>
      </c>
      <c r="AM1045">
        <v>0</v>
      </c>
      <c r="AN1045">
        <v>0</v>
      </c>
      <c r="AO1045">
        <v>1</v>
      </c>
      <c r="AP1045">
        <v>0</v>
      </c>
      <c r="AQ1045">
        <v>0</v>
      </c>
      <c r="AR1045">
        <v>0</v>
      </c>
      <c r="AS1045">
        <v>0</v>
      </c>
      <c r="AT1045">
        <v>0</v>
      </c>
      <c r="AU1045">
        <f t="shared" si="30"/>
        <v>1</v>
      </c>
      <c r="AV1045">
        <f t="shared" si="31"/>
        <v>0</v>
      </c>
    </row>
    <row r="1046" spans="1:48" x14ac:dyDescent="0.25">
      <c r="A1046" t="s">
        <v>5007</v>
      </c>
      <c r="C1046" t="s">
        <v>5008</v>
      </c>
      <c r="D1046" t="s">
        <v>4805</v>
      </c>
      <c r="E1046" t="s">
        <v>2310</v>
      </c>
      <c r="F1046">
        <v>14</v>
      </c>
      <c r="G1046">
        <v>14.2</v>
      </c>
      <c r="H1046" t="s">
        <v>2017</v>
      </c>
      <c r="I1046" s="21">
        <v>38121</v>
      </c>
      <c r="J1046">
        <v>2004</v>
      </c>
      <c r="K1046" s="21">
        <v>38121</v>
      </c>
      <c r="L1046">
        <v>2004</v>
      </c>
      <c r="M1046" s="21">
        <v>38798</v>
      </c>
      <c r="N1046">
        <v>2006</v>
      </c>
      <c r="R1046" s="262">
        <v>100000</v>
      </c>
      <c r="S1046" t="s">
        <v>114</v>
      </c>
      <c r="T1046" t="s">
        <v>114</v>
      </c>
      <c r="U1046">
        <v>5</v>
      </c>
      <c r="W1046">
        <v>1720</v>
      </c>
      <c r="X1046">
        <v>0</v>
      </c>
      <c r="Y1046">
        <v>0</v>
      </c>
      <c r="Z1046">
        <v>0</v>
      </c>
      <c r="AA1046">
        <v>0</v>
      </c>
      <c r="AB1046">
        <v>0</v>
      </c>
      <c r="AC1046">
        <v>1720</v>
      </c>
      <c r="AD1046">
        <v>0</v>
      </c>
      <c r="AE1046">
        <v>0</v>
      </c>
      <c r="AF1046">
        <v>0</v>
      </c>
      <c r="AG1046">
        <v>0</v>
      </c>
      <c r="AH1046">
        <v>0</v>
      </c>
      <c r="AI1046">
        <v>0</v>
      </c>
      <c r="AJ1046">
        <v>0</v>
      </c>
      <c r="AK1046">
        <v>0</v>
      </c>
      <c r="AL1046">
        <v>0</v>
      </c>
      <c r="AM1046">
        <v>0</v>
      </c>
      <c r="AN1046">
        <v>0</v>
      </c>
      <c r="AO1046">
        <v>0</v>
      </c>
      <c r="AP1046">
        <v>0</v>
      </c>
      <c r="AQ1046">
        <v>0</v>
      </c>
      <c r="AR1046">
        <v>0</v>
      </c>
      <c r="AS1046">
        <v>0</v>
      </c>
      <c r="AT1046">
        <v>0</v>
      </c>
      <c r="AU1046">
        <f t="shared" si="30"/>
        <v>0</v>
      </c>
      <c r="AV1046">
        <f t="shared" si="31"/>
        <v>0</v>
      </c>
    </row>
    <row r="1047" spans="1:48" x14ac:dyDescent="0.25">
      <c r="A1047" t="s">
        <v>5009</v>
      </c>
      <c r="C1047" t="s">
        <v>5010</v>
      </c>
      <c r="D1047" t="s">
        <v>5011</v>
      </c>
      <c r="E1047" t="s">
        <v>2310</v>
      </c>
      <c r="F1047">
        <v>15</v>
      </c>
      <c r="G1047">
        <v>15.2</v>
      </c>
      <c r="H1047" t="s">
        <v>2323</v>
      </c>
      <c r="I1047" s="21">
        <v>38121</v>
      </c>
      <c r="J1047">
        <v>2004</v>
      </c>
      <c r="K1047" s="21">
        <v>38167</v>
      </c>
      <c r="L1047">
        <v>2004</v>
      </c>
      <c r="M1047" s="21">
        <v>38848</v>
      </c>
      <c r="N1047">
        <v>2006</v>
      </c>
      <c r="R1047" s="262">
        <v>1371000</v>
      </c>
      <c r="S1047" t="s">
        <v>114</v>
      </c>
      <c r="T1047" t="s">
        <v>114</v>
      </c>
      <c r="U1047">
        <v>5</v>
      </c>
      <c r="W1047">
        <v>4930</v>
      </c>
      <c r="X1047">
        <v>1</v>
      </c>
      <c r="Y1047">
        <v>0</v>
      </c>
      <c r="Z1047">
        <v>0</v>
      </c>
      <c r="AA1047">
        <v>0</v>
      </c>
      <c r="AB1047">
        <v>0</v>
      </c>
      <c r="AC1047">
        <v>4930</v>
      </c>
      <c r="AD1047">
        <v>0</v>
      </c>
      <c r="AE1047">
        <v>0</v>
      </c>
      <c r="AF1047">
        <v>0</v>
      </c>
      <c r="AG1047">
        <v>0</v>
      </c>
      <c r="AH1047">
        <v>0</v>
      </c>
      <c r="AI1047">
        <v>0</v>
      </c>
      <c r="AJ1047">
        <v>0</v>
      </c>
      <c r="AK1047">
        <v>0</v>
      </c>
      <c r="AL1047">
        <v>0</v>
      </c>
      <c r="AM1047">
        <v>0</v>
      </c>
      <c r="AN1047">
        <v>0</v>
      </c>
      <c r="AO1047">
        <v>1</v>
      </c>
      <c r="AP1047">
        <v>0</v>
      </c>
      <c r="AQ1047">
        <v>0</v>
      </c>
      <c r="AR1047">
        <v>0</v>
      </c>
      <c r="AS1047">
        <v>0</v>
      </c>
      <c r="AT1047">
        <v>0</v>
      </c>
      <c r="AU1047">
        <f t="shared" si="30"/>
        <v>1</v>
      </c>
      <c r="AV1047">
        <f t="shared" si="31"/>
        <v>0</v>
      </c>
    </row>
    <row r="1048" spans="1:48" x14ac:dyDescent="0.25">
      <c r="A1048" t="s">
        <v>5012</v>
      </c>
      <c r="C1048" t="s">
        <v>5013</v>
      </c>
      <c r="D1048" t="s">
        <v>5014</v>
      </c>
      <c r="E1048" t="s">
        <v>2310</v>
      </c>
      <c r="F1048">
        <v>15</v>
      </c>
      <c r="G1048">
        <v>15.2</v>
      </c>
      <c r="H1048" t="s">
        <v>2323</v>
      </c>
      <c r="I1048" s="21">
        <v>38121</v>
      </c>
      <c r="J1048">
        <v>2004</v>
      </c>
      <c r="K1048" s="21">
        <v>38167</v>
      </c>
      <c r="L1048">
        <v>2004</v>
      </c>
      <c r="M1048" s="21">
        <v>38167</v>
      </c>
      <c r="N1048">
        <v>2004</v>
      </c>
      <c r="R1048" s="262">
        <v>2500</v>
      </c>
      <c r="S1048" t="s">
        <v>114</v>
      </c>
      <c r="T1048" t="s">
        <v>114</v>
      </c>
      <c r="U1048">
        <v>5</v>
      </c>
      <c r="W1048">
        <v>0</v>
      </c>
      <c r="X1048">
        <v>0</v>
      </c>
      <c r="Y1048">
        <v>0</v>
      </c>
      <c r="Z1048">
        <v>0</v>
      </c>
      <c r="AA1048">
        <v>0</v>
      </c>
      <c r="AB1048">
        <v>0</v>
      </c>
      <c r="AC1048">
        <v>0</v>
      </c>
      <c r="AD1048">
        <v>0</v>
      </c>
      <c r="AE1048">
        <v>0</v>
      </c>
      <c r="AF1048">
        <v>0</v>
      </c>
      <c r="AG1048">
        <v>0</v>
      </c>
      <c r="AH1048">
        <v>0</v>
      </c>
      <c r="AI1048">
        <v>0</v>
      </c>
      <c r="AJ1048">
        <v>0</v>
      </c>
      <c r="AK1048">
        <v>0</v>
      </c>
      <c r="AL1048">
        <v>0</v>
      </c>
      <c r="AM1048">
        <v>0</v>
      </c>
      <c r="AN1048">
        <v>0</v>
      </c>
      <c r="AO1048">
        <v>0</v>
      </c>
      <c r="AP1048">
        <v>0</v>
      </c>
      <c r="AQ1048">
        <v>0</v>
      </c>
      <c r="AR1048">
        <v>0</v>
      </c>
      <c r="AS1048">
        <v>0</v>
      </c>
      <c r="AT1048">
        <v>0</v>
      </c>
      <c r="AU1048">
        <f t="shared" si="30"/>
        <v>0</v>
      </c>
      <c r="AV1048">
        <f t="shared" si="31"/>
        <v>0</v>
      </c>
    </row>
    <row r="1049" spans="1:48" x14ac:dyDescent="0.25">
      <c r="A1049" t="s">
        <v>5015</v>
      </c>
      <c r="C1049" t="s">
        <v>5016</v>
      </c>
      <c r="D1049" t="s">
        <v>5017</v>
      </c>
      <c r="E1049" t="s">
        <v>2310</v>
      </c>
      <c r="F1049">
        <v>10</v>
      </c>
      <c r="G1049">
        <v>10.1</v>
      </c>
      <c r="H1049" t="s">
        <v>2323</v>
      </c>
      <c r="I1049" s="21">
        <v>38124</v>
      </c>
      <c r="J1049">
        <v>2004</v>
      </c>
      <c r="K1049" s="21">
        <v>38161</v>
      </c>
      <c r="L1049">
        <v>2004</v>
      </c>
      <c r="M1049" s="21">
        <v>38544</v>
      </c>
      <c r="N1049">
        <v>2005</v>
      </c>
      <c r="R1049" s="262">
        <v>250000</v>
      </c>
      <c r="S1049" t="s">
        <v>114</v>
      </c>
      <c r="T1049" t="s">
        <v>114</v>
      </c>
      <c r="U1049">
        <v>5</v>
      </c>
      <c r="W1049">
        <v>3347</v>
      </c>
      <c r="X1049">
        <v>1</v>
      </c>
      <c r="Y1049">
        <v>0</v>
      </c>
      <c r="Z1049">
        <v>0</v>
      </c>
      <c r="AA1049">
        <v>0</v>
      </c>
      <c r="AB1049">
        <v>0</v>
      </c>
      <c r="AC1049">
        <v>3347</v>
      </c>
      <c r="AD1049">
        <v>0</v>
      </c>
      <c r="AE1049">
        <v>0</v>
      </c>
      <c r="AF1049">
        <v>0</v>
      </c>
      <c r="AG1049">
        <v>0</v>
      </c>
      <c r="AH1049">
        <v>0</v>
      </c>
      <c r="AI1049">
        <v>0</v>
      </c>
      <c r="AJ1049">
        <v>0</v>
      </c>
      <c r="AK1049">
        <v>0</v>
      </c>
      <c r="AL1049">
        <v>0</v>
      </c>
      <c r="AM1049">
        <v>0</v>
      </c>
      <c r="AN1049">
        <v>0</v>
      </c>
      <c r="AO1049">
        <v>1</v>
      </c>
      <c r="AP1049">
        <v>0</v>
      </c>
      <c r="AQ1049">
        <v>0</v>
      </c>
      <c r="AR1049">
        <v>0</v>
      </c>
      <c r="AS1049">
        <v>0</v>
      </c>
      <c r="AT1049">
        <v>0</v>
      </c>
      <c r="AU1049">
        <f t="shared" ref="AU1049:AU1112" si="32">SUM(AN1049:AQ1049,AS1049)</f>
        <v>1</v>
      </c>
      <c r="AV1049">
        <f t="shared" ref="AV1049:AV1112" si="33">SUM(Y1049:AB1049,AH1049:AM1049)</f>
        <v>0</v>
      </c>
    </row>
    <row r="1050" spans="1:48" x14ac:dyDescent="0.25">
      <c r="A1050" t="s">
        <v>5018</v>
      </c>
      <c r="C1050" t="s">
        <v>5019</v>
      </c>
      <c r="D1050" t="s">
        <v>5020</v>
      </c>
      <c r="E1050" t="s">
        <v>2310</v>
      </c>
      <c r="F1050">
        <v>15</v>
      </c>
      <c r="G1050">
        <v>15.2</v>
      </c>
      <c r="H1050" t="s">
        <v>2323</v>
      </c>
      <c r="I1050" s="21">
        <v>38124</v>
      </c>
      <c r="J1050">
        <v>2004</v>
      </c>
      <c r="K1050" s="21">
        <v>38161</v>
      </c>
      <c r="L1050">
        <v>2004</v>
      </c>
      <c r="M1050" s="21">
        <v>38888</v>
      </c>
      <c r="N1050">
        <v>2006</v>
      </c>
      <c r="R1050" s="262">
        <v>100000</v>
      </c>
      <c r="S1050" t="s">
        <v>114</v>
      </c>
      <c r="T1050" t="s">
        <v>114</v>
      </c>
      <c r="U1050">
        <v>5</v>
      </c>
      <c r="W1050">
        <v>2048</v>
      </c>
      <c r="X1050">
        <v>0</v>
      </c>
      <c r="Y1050">
        <v>0</v>
      </c>
      <c r="Z1050">
        <v>0</v>
      </c>
      <c r="AA1050">
        <v>0</v>
      </c>
      <c r="AB1050">
        <v>0</v>
      </c>
      <c r="AC1050">
        <v>2048</v>
      </c>
      <c r="AD1050">
        <v>0</v>
      </c>
      <c r="AE1050">
        <v>0</v>
      </c>
      <c r="AF1050">
        <v>0</v>
      </c>
      <c r="AG1050">
        <v>0</v>
      </c>
      <c r="AH1050">
        <v>0</v>
      </c>
      <c r="AI1050">
        <v>0</v>
      </c>
      <c r="AJ1050">
        <v>0</v>
      </c>
      <c r="AK1050">
        <v>0</v>
      </c>
      <c r="AL1050">
        <v>0</v>
      </c>
      <c r="AM1050">
        <v>0</v>
      </c>
      <c r="AN1050">
        <v>0</v>
      </c>
      <c r="AO1050">
        <v>0</v>
      </c>
      <c r="AP1050">
        <v>0</v>
      </c>
      <c r="AQ1050">
        <v>0</v>
      </c>
      <c r="AR1050">
        <v>0</v>
      </c>
      <c r="AS1050">
        <v>0</v>
      </c>
      <c r="AT1050">
        <v>0</v>
      </c>
      <c r="AU1050">
        <f t="shared" si="32"/>
        <v>0</v>
      </c>
      <c r="AV1050">
        <f t="shared" si="33"/>
        <v>0</v>
      </c>
    </row>
    <row r="1051" spans="1:48" x14ac:dyDescent="0.25">
      <c r="A1051" t="s">
        <v>5021</v>
      </c>
      <c r="C1051" t="s">
        <v>5022</v>
      </c>
      <c r="D1051" t="s">
        <v>5023</v>
      </c>
      <c r="E1051" t="s">
        <v>2310</v>
      </c>
      <c r="F1051">
        <v>15</v>
      </c>
      <c r="G1051">
        <v>15.3</v>
      </c>
      <c r="H1051" t="s">
        <v>2022</v>
      </c>
      <c r="I1051" s="21">
        <v>38124</v>
      </c>
      <c r="J1051">
        <v>2004</v>
      </c>
      <c r="K1051" s="21">
        <v>38167</v>
      </c>
      <c r="L1051">
        <v>2004</v>
      </c>
      <c r="M1051" s="21">
        <v>38383</v>
      </c>
      <c r="N1051">
        <v>2005</v>
      </c>
      <c r="R1051" s="262">
        <v>250000</v>
      </c>
      <c r="S1051" t="s">
        <v>114</v>
      </c>
      <c r="T1051" t="s">
        <v>114</v>
      </c>
      <c r="U1051">
        <v>5</v>
      </c>
      <c r="W1051">
        <v>768</v>
      </c>
      <c r="X1051">
        <v>0</v>
      </c>
      <c r="Y1051">
        <v>0</v>
      </c>
      <c r="Z1051">
        <v>0</v>
      </c>
      <c r="AA1051">
        <v>0</v>
      </c>
      <c r="AB1051">
        <v>0</v>
      </c>
      <c r="AC1051">
        <v>768</v>
      </c>
      <c r="AD1051">
        <v>0</v>
      </c>
      <c r="AE1051">
        <v>0</v>
      </c>
      <c r="AF1051">
        <v>0</v>
      </c>
      <c r="AG1051">
        <v>0</v>
      </c>
      <c r="AH1051">
        <v>0</v>
      </c>
      <c r="AI1051">
        <v>0</v>
      </c>
      <c r="AJ1051">
        <v>0</v>
      </c>
      <c r="AK1051">
        <v>0</v>
      </c>
      <c r="AL1051">
        <v>0</v>
      </c>
      <c r="AM1051">
        <v>0</v>
      </c>
      <c r="AN1051">
        <v>0</v>
      </c>
      <c r="AO1051">
        <v>0</v>
      </c>
      <c r="AP1051">
        <v>0</v>
      </c>
      <c r="AQ1051">
        <v>0</v>
      </c>
      <c r="AR1051">
        <v>0</v>
      </c>
      <c r="AS1051">
        <v>0</v>
      </c>
      <c r="AT1051">
        <v>0</v>
      </c>
      <c r="AU1051">
        <f t="shared" si="32"/>
        <v>0</v>
      </c>
      <c r="AV1051">
        <f t="shared" si="33"/>
        <v>0</v>
      </c>
    </row>
    <row r="1052" spans="1:48" x14ac:dyDescent="0.25">
      <c r="A1052" t="s">
        <v>5024</v>
      </c>
      <c r="C1052" t="s">
        <v>5025</v>
      </c>
      <c r="D1052" t="s">
        <v>5026</v>
      </c>
      <c r="E1052" t="s">
        <v>2310</v>
      </c>
      <c r="F1052">
        <v>7</v>
      </c>
      <c r="G1052">
        <v>7.1</v>
      </c>
      <c r="H1052" t="s">
        <v>2017</v>
      </c>
      <c r="I1052" s="21">
        <v>38124</v>
      </c>
      <c r="J1052">
        <v>2004</v>
      </c>
      <c r="K1052" s="21">
        <v>38168</v>
      </c>
      <c r="L1052">
        <v>2004</v>
      </c>
      <c r="M1052" s="21">
        <v>38603</v>
      </c>
      <c r="N1052">
        <v>2005</v>
      </c>
      <c r="R1052" s="262">
        <v>15000</v>
      </c>
      <c r="S1052" t="s">
        <v>114</v>
      </c>
      <c r="T1052" t="s">
        <v>114</v>
      </c>
      <c r="U1052">
        <v>14</v>
      </c>
      <c r="W1052">
        <v>0</v>
      </c>
      <c r="X1052">
        <v>0</v>
      </c>
      <c r="Y1052">
        <v>0</v>
      </c>
      <c r="Z1052">
        <v>0</v>
      </c>
      <c r="AA1052">
        <v>0</v>
      </c>
      <c r="AB1052">
        <v>0</v>
      </c>
      <c r="AC1052">
        <v>0</v>
      </c>
      <c r="AD1052">
        <v>0</v>
      </c>
      <c r="AE1052">
        <v>0</v>
      </c>
      <c r="AF1052">
        <v>0</v>
      </c>
      <c r="AG1052">
        <v>0</v>
      </c>
      <c r="AH1052">
        <v>0</v>
      </c>
      <c r="AI1052">
        <v>0</v>
      </c>
      <c r="AJ1052">
        <v>0</v>
      </c>
      <c r="AK1052">
        <v>0</v>
      </c>
      <c r="AL1052">
        <v>0</v>
      </c>
      <c r="AM1052">
        <v>0</v>
      </c>
      <c r="AN1052">
        <v>0</v>
      </c>
      <c r="AO1052">
        <v>0</v>
      </c>
      <c r="AP1052">
        <v>0</v>
      </c>
      <c r="AQ1052">
        <v>0</v>
      </c>
      <c r="AR1052">
        <v>0</v>
      </c>
      <c r="AS1052">
        <v>0</v>
      </c>
      <c r="AT1052">
        <v>0</v>
      </c>
      <c r="AU1052">
        <f t="shared" si="32"/>
        <v>0</v>
      </c>
      <c r="AV1052">
        <f t="shared" si="33"/>
        <v>0</v>
      </c>
    </row>
    <row r="1053" spans="1:48" x14ac:dyDescent="0.25">
      <c r="A1053" t="s">
        <v>5027</v>
      </c>
      <c r="C1053" t="s">
        <v>5028</v>
      </c>
      <c r="D1053" t="s">
        <v>5029</v>
      </c>
      <c r="E1053" t="s">
        <v>2310</v>
      </c>
      <c r="F1053">
        <v>11</v>
      </c>
      <c r="G1053">
        <v>11.2</v>
      </c>
      <c r="H1053" t="s">
        <v>2017</v>
      </c>
      <c r="I1053" s="21">
        <v>38126</v>
      </c>
      <c r="J1053">
        <v>2004</v>
      </c>
      <c r="K1053" s="21">
        <v>38162</v>
      </c>
      <c r="L1053">
        <v>2004</v>
      </c>
      <c r="M1053" s="21">
        <v>38162</v>
      </c>
      <c r="N1053">
        <v>2004</v>
      </c>
      <c r="R1053" s="262">
        <v>225000</v>
      </c>
      <c r="S1053" t="s">
        <v>114</v>
      </c>
      <c r="T1053" t="s">
        <v>114</v>
      </c>
      <c r="U1053">
        <v>5</v>
      </c>
      <c r="W1053">
        <v>1970</v>
      </c>
      <c r="X1053">
        <v>1</v>
      </c>
      <c r="Y1053">
        <v>0</v>
      </c>
      <c r="Z1053">
        <v>0</v>
      </c>
      <c r="AA1053">
        <v>0</v>
      </c>
      <c r="AB1053">
        <v>0</v>
      </c>
      <c r="AC1053">
        <v>1970</v>
      </c>
      <c r="AD1053">
        <v>0</v>
      </c>
      <c r="AE1053">
        <v>0</v>
      </c>
      <c r="AF1053">
        <v>0</v>
      </c>
      <c r="AG1053">
        <v>0</v>
      </c>
      <c r="AH1053">
        <v>0</v>
      </c>
      <c r="AI1053">
        <v>0</v>
      </c>
      <c r="AJ1053">
        <v>0</v>
      </c>
      <c r="AK1053">
        <v>0</v>
      </c>
      <c r="AL1053">
        <v>0</v>
      </c>
      <c r="AM1053">
        <v>0</v>
      </c>
      <c r="AN1053">
        <v>0</v>
      </c>
      <c r="AO1053">
        <v>1</v>
      </c>
      <c r="AP1053">
        <v>0</v>
      </c>
      <c r="AQ1053">
        <v>0</v>
      </c>
      <c r="AR1053">
        <v>0</v>
      </c>
      <c r="AS1053">
        <v>0</v>
      </c>
      <c r="AT1053">
        <v>0</v>
      </c>
      <c r="AU1053">
        <f t="shared" si="32"/>
        <v>1</v>
      </c>
      <c r="AV1053">
        <f t="shared" si="33"/>
        <v>0</v>
      </c>
    </row>
    <row r="1054" spans="1:48" x14ac:dyDescent="0.25">
      <c r="A1054" t="s">
        <v>5030</v>
      </c>
      <c r="C1054" t="s">
        <v>5031</v>
      </c>
      <c r="D1054" t="s">
        <v>5029</v>
      </c>
      <c r="E1054" t="s">
        <v>2310</v>
      </c>
      <c r="F1054">
        <v>11</v>
      </c>
      <c r="G1054">
        <v>11.2</v>
      </c>
      <c r="H1054" t="s">
        <v>2017</v>
      </c>
      <c r="I1054" s="21">
        <v>38126</v>
      </c>
      <c r="J1054">
        <v>2004</v>
      </c>
      <c r="K1054" s="21">
        <v>38162</v>
      </c>
      <c r="L1054">
        <v>2004</v>
      </c>
      <c r="M1054" s="21">
        <v>38439</v>
      </c>
      <c r="N1054">
        <v>2005</v>
      </c>
      <c r="R1054" s="262">
        <v>25000</v>
      </c>
      <c r="S1054" t="s">
        <v>114</v>
      </c>
      <c r="T1054" t="s">
        <v>114</v>
      </c>
      <c r="U1054">
        <v>5</v>
      </c>
      <c r="W1054">
        <v>576</v>
      </c>
      <c r="X1054">
        <v>0</v>
      </c>
      <c r="Y1054">
        <v>0</v>
      </c>
      <c r="Z1054">
        <v>0</v>
      </c>
      <c r="AA1054">
        <v>0</v>
      </c>
      <c r="AB1054">
        <v>0</v>
      </c>
      <c r="AC1054">
        <v>576</v>
      </c>
      <c r="AD1054">
        <v>0</v>
      </c>
      <c r="AE1054">
        <v>0</v>
      </c>
      <c r="AF1054">
        <v>0</v>
      </c>
      <c r="AG1054">
        <v>0</v>
      </c>
      <c r="AH1054">
        <v>0</v>
      </c>
      <c r="AI1054">
        <v>0</v>
      </c>
      <c r="AJ1054">
        <v>0</v>
      </c>
      <c r="AK1054">
        <v>0</v>
      </c>
      <c r="AL1054">
        <v>0</v>
      </c>
      <c r="AM1054">
        <v>0</v>
      </c>
      <c r="AN1054">
        <v>0</v>
      </c>
      <c r="AO1054">
        <v>0</v>
      </c>
      <c r="AP1054">
        <v>0</v>
      </c>
      <c r="AQ1054">
        <v>0</v>
      </c>
      <c r="AR1054">
        <v>0</v>
      </c>
      <c r="AS1054">
        <v>0</v>
      </c>
      <c r="AT1054">
        <v>0</v>
      </c>
      <c r="AU1054">
        <f t="shared" si="32"/>
        <v>0</v>
      </c>
      <c r="AV1054">
        <f t="shared" si="33"/>
        <v>0</v>
      </c>
    </row>
    <row r="1055" spans="1:48" x14ac:dyDescent="0.25">
      <c r="A1055" t="s">
        <v>5032</v>
      </c>
      <c r="C1055" t="s">
        <v>5033</v>
      </c>
      <c r="D1055" t="s">
        <v>5034</v>
      </c>
      <c r="E1055" t="s">
        <v>2310</v>
      </c>
      <c r="F1055">
        <v>9</v>
      </c>
      <c r="G1055">
        <v>9.1</v>
      </c>
      <c r="H1055" t="s">
        <v>2323</v>
      </c>
      <c r="I1055" s="21">
        <v>38126</v>
      </c>
      <c r="J1055">
        <v>2004</v>
      </c>
      <c r="K1055" s="21">
        <v>38166</v>
      </c>
      <c r="L1055">
        <v>2004</v>
      </c>
      <c r="M1055" s="21">
        <v>38582</v>
      </c>
      <c r="N1055">
        <v>2005</v>
      </c>
      <c r="R1055" s="262">
        <v>509000</v>
      </c>
      <c r="S1055" t="s">
        <v>114</v>
      </c>
      <c r="T1055" t="s">
        <v>114</v>
      </c>
      <c r="U1055">
        <v>5</v>
      </c>
      <c r="W1055">
        <v>0</v>
      </c>
      <c r="X1055">
        <v>0</v>
      </c>
      <c r="Y1055">
        <v>0</v>
      </c>
      <c r="Z1055">
        <v>0</v>
      </c>
      <c r="AA1055">
        <v>0</v>
      </c>
      <c r="AB1055">
        <v>0</v>
      </c>
      <c r="AC1055">
        <v>0</v>
      </c>
      <c r="AD1055">
        <v>0</v>
      </c>
      <c r="AE1055">
        <v>0</v>
      </c>
      <c r="AF1055">
        <v>0</v>
      </c>
      <c r="AG1055">
        <v>0</v>
      </c>
      <c r="AH1055">
        <v>0</v>
      </c>
      <c r="AI1055">
        <v>0</v>
      </c>
      <c r="AJ1055">
        <v>0</v>
      </c>
      <c r="AK1055">
        <v>0</v>
      </c>
      <c r="AL1055">
        <v>0</v>
      </c>
      <c r="AM1055">
        <v>0</v>
      </c>
      <c r="AN1055">
        <v>0</v>
      </c>
      <c r="AO1055">
        <v>0</v>
      </c>
      <c r="AP1055">
        <v>0</v>
      </c>
      <c r="AQ1055">
        <v>0</v>
      </c>
      <c r="AR1055">
        <v>0</v>
      </c>
      <c r="AS1055">
        <v>0</v>
      </c>
      <c r="AT1055">
        <v>0</v>
      </c>
      <c r="AU1055">
        <f t="shared" si="32"/>
        <v>0</v>
      </c>
      <c r="AV1055">
        <f t="shared" si="33"/>
        <v>0</v>
      </c>
    </row>
    <row r="1056" spans="1:48" x14ac:dyDescent="0.25">
      <c r="A1056" t="s">
        <v>5035</v>
      </c>
      <c r="C1056" t="s">
        <v>5036</v>
      </c>
      <c r="D1056" t="s">
        <v>5037</v>
      </c>
      <c r="E1056" t="s">
        <v>2310</v>
      </c>
      <c r="F1056">
        <v>9</v>
      </c>
      <c r="G1056">
        <v>9.1999999999999993</v>
      </c>
      <c r="H1056" t="s">
        <v>2022</v>
      </c>
      <c r="I1056" s="21">
        <v>38127</v>
      </c>
      <c r="J1056">
        <v>2004</v>
      </c>
      <c r="K1056" s="21">
        <v>38166</v>
      </c>
      <c r="L1056">
        <v>2004</v>
      </c>
      <c r="M1056" s="21">
        <v>38426</v>
      </c>
      <c r="N1056">
        <v>2005</v>
      </c>
      <c r="R1056" s="262">
        <v>180000</v>
      </c>
      <c r="S1056" t="s">
        <v>114</v>
      </c>
      <c r="T1056" t="s">
        <v>114</v>
      </c>
      <c r="U1056">
        <v>5</v>
      </c>
      <c r="W1056">
        <v>0</v>
      </c>
      <c r="X1056">
        <v>0</v>
      </c>
      <c r="Y1056">
        <v>0</v>
      </c>
      <c r="Z1056">
        <v>0</v>
      </c>
      <c r="AA1056">
        <v>0</v>
      </c>
      <c r="AB1056">
        <v>0</v>
      </c>
      <c r="AC1056">
        <v>0</v>
      </c>
      <c r="AD1056">
        <v>0</v>
      </c>
      <c r="AE1056">
        <v>0</v>
      </c>
      <c r="AF1056">
        <v>0</v>
      </c>
      <c r="AG1056">
        <v>0</v>
      </c>
      <c r="AH1056">
        <v>0</v>
      </c>
      <c r="AI1056">
        <v>0</v>
      </c>
      <c r="AJ1056">
        <v>0</v>
      </c>
      <c r="AK1056">
        <v>0</v>
      </c>
      <c r="AL1056">
        <v>0</v>
      </c>
      <c r="AM1056">
        <v>0</v>
      </c>
      <c r="AN1056">
        <v>0</v>
      </c>
      <c r="AO1056">
        <v>0</v>
      </c>
      <c r="AP1056">
        <v>0</v>
      </c>
      <c r="AQ1056">
        <v>0</v>
      </c>
      <c r="AR1056">
        <v>0</v>
      </c>
      <c r="AS1056">
        <v>0</v>
      </c>
      <c r="AT1056">
        <v>0</v>
      </c>
      <c r="AU1056">
        <f t="shared" si="32"/>
        <v>0</v>
      </c>
      <c r="AV1056">
        <f t="shared" si="33"/>
        <v>0</v>
      </c>
    </row>
    <row r="1057" spans="1:48" x14ac:dyDescent="0.25">
      <c r="A1057" t="s">
        <v>5038</v>
      </c>
      <c r="C1057" t="s">
        <v>5039</v>
      </c>
      <c r="D1057" t="s">
        <v>5040</v>
      </c>
      <c r="E1057" t="s">
        <v>2310</v>
      </c>
      <c r="F1057">
        <v>10</v>
      </c>
      <c r="G1057">
        <v>10.1</v>
      </c>
      <c r="H1057" t="s">
        <v>2323</v>
      </c>
      <c r="I1057" s="21">
        <v>38127</v>
      </c>
      <c r="J1057">
        <v>2004</v>
      </c>
      <c r="K1057" s="21">
        <v>38158</v>
      </c>
      <c r="L1057">
        <v>2004</v>
      </c>
      <c r="M1057" s="21">
        <v>38365</v>
      </c>
      <c r="N1057">
        <v>2005</v>
      </c>
      <c r="R1057" s="262">
        <v>245000</v>
      </c>
      <c r="S1057" t="s">
        <v>114</v>
      </c>
      <c r="T1057" t="s">
        <v>114</v>
      </c>
      <c r="U1057">
        <v>5</v>
      </c>
      <c r="W1057">
        <v>4296</v>
      </c>
      <c r="X1057">
        <v>1</v>
      </c>
      <c r="Y1057">
        <v>0</v>
      </c>
      <c r="Z1057">
        <v>0</v>
      </c>
      <c r="AA1057">
        <v>0</v>
      </c>
      <c r="AB1057">
        <v>0</v>
      </c>
      <c r="AC1057">
        <v>4296</v>
      </c>
      <c r="AD1057">
        <v>0</v>
      </c>
      <c r="AE1057">
        <v>0</v>
      </c>
      <c r="AF1057">
        <v>0</v>
      </c>
      <c r="AG1057">
        <v>0</v>
      </c>
      <c r="AH1057">
        <v>0</v>
      </c>
      <c r="AI1057">
        <v>0</v>
      </c>
      <c r="AJ1057">
        <v>0</v>
      </c>
      <c r="AK1057">
        <v>0</v>
      </c>
      <c r="AL1057">
        <v>0</v>
      </c>
      <c r="AM1057">
        <v>0</v>
      </c>
      <c r="AN1057">
        <v>0</v>
      </c>
      <c r="AO1057">
        <v>1</v>
      </c>
      <c r="AP1057">
        <v>0</v>
      </c>
      <c r="AQ1057">
        <v>0</v>
      </c>
      <c r="AR1057">
        <v>0</v>
      </c>
      <c r="AS1057">
        <v>0</v>
      </c>
      <c r="AT1057">
        <v>0</v>
      </c>
      <c r="AU1057">
        <f t="shared" si="32"/>
        <v>1</v>
      </c>
      <c r="AV1057">
        <f t="shared" si="33"/>
        <v>0</v>
      </c>
    </row>
    <row r="1058" spans="1:48" x14ac:dyDescent="0.25">
      <c r="A1058" t="s">
        <v>5044</v>
      </c>
      <c r="C1058" t="s">
        <v>5045</v>
      </c>
      <c r="D1058" t="s">
        <v>5046</v>
      </c>
      <c r="E1058" t="s">
        <v>2310</v>
      </c>
      <c r="F1058">
        <v>9</v>
      </c>
      <c r="G1058">
        <v>9.1999999999999993</v>
      </c>
      <c r="H1058" t="s">
        <v>2022</v>
      </c>
      <c r="I1058" s="21">
        <v>38128</v>
      </c>
      <c r="J1058">
        <v>2004</v>
      </c>
      <c r="K1058" s="21">
        <v>38169</v>
      </c>
      <c r="L1058">
        <v>2004</v>
      </c>
      <c r="M1058" s="21">
        <v>38169</v>
      </c>
      <c r="N1058">
        <v>2004</v>
      </c>
      <c r="R1058" s="262">
        <v>10000</v>
      </c>
      <c r="S1058" t="s">
        <v>114</v>
      </c>
      <c r="T1058" t="s">
        <v>114</v>
      </c>
      <c r="U1058">
        <v>5</v>
      </c>
      <c r="W1058">
        <v>140</v>
      </c>
      <c r="X1058">
        <v>0</v>
      </c>
      <c r="Y1058">
        <v>0</v>
      </c>
      <c r="Z1058">
        <v>0</v>
      </c>
      <c r="AA1058">
        <v>0</v>
      </c>
      <c r="AB1058">
        <v>0</v>
      </c>
      <c r="AC1058">
        <v>140</v>
      </c>
      <c r="AD1058">
        <v>0</v>
      </c>
      <c r="AE1058">
        <v>0</v>
      </c>
      <c r="AF1058">
        <v>0</v>
      </c>
      <c r="AG1058">
        <v>0</v>
      </c>
      <c r="AH1058">
        <v>0</v>
      </c>
      <c r="AI1058">
        <v>0</v>
      </c>
      <c r="AJ1058">
        <v>0</v>
      </c>
      <c r="AK1058">
        <v>0</v>
      </c>
      <c r="AL1058">
        <v>0</v>
      </c>
      <c r="AM1058">
        <v>0</v>
      </c>
      <c r="AN1058">
        <v>0</v>
      </c>
      <c r="AO1058">
        <v>0</v>
      </c>
      <c r="AP1058">
        <v>0</v>
      </c>
      <c r="AQ1058">
        <v>0</v>
      </c>
      <c r="AR1058">
        <v>0</v>
      </c>
      <c r="AS1058">
        <v>0</v>
      </c>
      <c r="AT1058">
        <v>0</v>
      </c>
      <c r="AU1058">
        <f t="shared" si="32"/>
        <v>0</v>
      </c>
      <c r="AV1058">
        <f t="shared" si="33"/>
        <v>0</v>
      </c>
    </row>
    <row r="1059" spans="1:48" x14ac:dyDescent="0.25">
      <c r="A1059" t="s">
        <v>5047</v>
      </c>
      <c r="C1059" t="s">
        <v>5048</v>
      </c>
      <c r="D1059" t="s">
        <v>5049</v>
      </c>
      <c r="E1059" t="s">
        <v>2310</v>
      </c>
      <c r="F1059">
        <v>9</v>
      </c>
      <c r="G1059">
        <v>9.1</v>
      </c>
      <c r="H1059" t="s">
        <v>2323</v>
      </c>
      <c r="I1059" s="21">
        <v>38128</v>
      </c>
      <c r="J1059">
        <v>2004</v>
      </c>
      <c r="K1059" s="21">
        <v>38169</v>
      </c>
      <c r="L1059">
        <v>2004</v>
      </c>
      <c r="M1059" s="21">
        <v>38428</v>
      </c>
      <c r="N1059">
        <v>2005</v>
      </c>
      <c r="R1059" s="262">
        <v>50000</v>
      </c>
      <c r="S1059" t="s">
        <v>114</v>
      </c>
      <c r="T1059" t="s">
        <v>114</v>
      </c>
      <c r="U1059">
        <v>5</v>
      </c>
      <c r="W1059">
        <v>0</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0</v>
      </c>
      <c r="AR1059">
        <v>0</v>
      </c>
      <c r="AS1059">
        <v>0</v>
      </c>
      <c r="AT1059">
        <v>0</v>
      </c>
      <c r="AU1059">
        <f t="shared" si="32"/>
        <v>0</v>
      </c>
      <c r="AV1059">
        <f t="shared" si="33"/>
        <v>0</v>
      </c>
    </row>
    <row r="1060" spans="1:48" x14ac:dyDescent="0.25">
      <c r="A1060" t="s">
        <v>5050</v>
      </c>
      <c r="C1060" t="s">
        <v>2860</v>
      </c>
      <c r="D1060" t="s">
        <v>5051</v>
      </c>
      <c r="E1060" t="s">
        <v>2310</v>
      </c>
      <c r="F1060">
        <v>10</v>
      </c>
      <c r="G1060">
        <v>10.1</v>
      </c>
      <c r="H1060" t="s">
        <v>2323</v>
      </c>
      <c r="I1060" s="21">
        <v>38128</v>
      </c>
      <c r="J1060">
        <v>2004</v>
      </c>
      <c r="K1060" s="21">
        <v>38168</v>
      </c>
      <c r="L1060">
        <v>2004</v>
      </c>
      <c r="M1060" s="21">
        <v>38553</v>
      </c>
      <c r="N1060">
        <v>2005</v>
      </c>
      <c r="R1060" s="262">
        <v>140000</v>
      </c>
      <c r="S1060" t="s">
        <v>114</v>
      </c>
      <c r="T1060" t="s">
        <v>114</v>
      </c>
      <c r="U1060">
        <v>5</v>
      </c>
      <c r="W1060">
        <v>1936</v>
      </c>
      <c r="X1060">
        <v>1</v>
      </c>
      <c r="Y1060">
        <v>0</v>
      </c>
      <c r="Z1060">
        <v>0</v>
      </c>
      <c r="AA1060">
        <v>0</v>
      </c>
      <c r="AB1060">
        <v>0</v>
      </c>
      <c r="AC1060">
        <v>1936</v>
      </c>
      <c r="AD1060">
        <v>0</v>
      </c>
      <c r="AE1060">
        <v>0</v>
      </c>
      <c r="AF1060">
        <v>0</v>
      </c>
      <c r="AG1060">
        <v>0</v>
      </c>
      <c r="AH1060">
        <v>0</v>
      </c>
      <c r="AI1060">
        <v>0</v>
      </c>
      <c r="AJ1060">
        <v>0</v>
      </c>
      <c r="AK1060">
        <v>0</v>
      </c>
      <c r="AL1060">
        <v>0</v>
      </c>
      <c r="AM1060">
        <v>0</v>
      </c>
      <c r="AN1060">
        <v>0</v>
      </c>
      <c r="AO1060">
        <v>1</v>
      </c>
      <c r="AP1060">
        <v>0</v>
      </c>
      <c r="AQ1060">
        <v>0</v>
      </c>
      <c r="AR1060">
        <v>0</v>
      </c>
      <c r="AS1060">
        <v>0</v>
      </c>
      <c r="AT1060">
        <v>0</v>
      </c>
      <c r="AU1060">
        <f t="shared" si="32"/>
        <v>1</v>
      </c>
      <c r="AV1060">
        <f t="shared" si="33"/>
        <v>0</v>
      </c>
    </row>
    <row r="1061" spans="1:48" x14ac:dyDescent="0.25">
      <c r="A1061" t="s">
        <v>5052</v>
      </c>
      <c r="C1061" t="s">
        <v>5053</v>
      </c>
      <c r="D1061" t="s">
        <v>1632</v>
      </c>
      <c r="E1061" t="s">
        <v>2310</v>
      </c>
      <c r="F1061">
        <v>15</v>
      </c>
      <c r="G1061">
        <v>15.3</v>
      </c>
      <c r="H1061" t="s">
        <v>2022</v>
      </c>
      <c r="I1061" s="21">
        <v>38128</v>
      </c>
      <c r="J1061">
        <v>2004</v>
      </c>
      <c r="K1061" s="21">
        <v>38174</v>
      </c>
      <c r="L1061">
        <v>2004</v>
      </c>
      <c r="M1061" s="21">
        <v>38174</v>
      </c>
      <c r="N1061">
        <v>2004</v>
      </c>
      <c r="R1061" s="262">
        <v>25000</v>
      </c>
      <c r="S1061" t="s">
        <v>114</v>
      </c>
      <c r="T1061" t="s">
        <v>114</v>
      </c>
      <c r="U1061">
        <v>13</v>
      </c>
      <c r="W1061">
        <v>0</v>
      </c>
      <c r="X1061">
        <v>0</v>
      </c>
      <c r="Y1061">
        <v>0</v>
      </c>
      <c r="Z1061">
        <v>0</v>
      </c>
      <c r="AA1061">
        <v>0</v>
      </c>
      <c r="AB1061">
        <v>0</v>
      </c>
      <c r="AC1061">
        <v>0</v>
      </c>
      <c r="AD1061">
        <v>0</v>
      </c>
      <c r="AE1061">
        <v>0</v>
      </c>
      <c r="AF1061">
        <v>0</v>
      </c>
      <c r="AG1061">
        <v>0</v>
      </c>
      <c r="AH1061">
        <v>0</v>
      </c>
      <c r="AI1061">
        <v>0</v>
      </c>
      <c r="AJ1061">
        <v>0</v>
      </c>
      <c r="AK1061">
        <v>0</v>
      </c>
      <c r="AL1061">
        <v>0</v>
      </c>
      <c r="AM1061">
        <v>0</v>
      </c>
      <c r="AN1061">
        <v>0</v>
      </c>
      <c r="AO1061">
        <v>0</v>
      </c>
      <c r="AP1061">
        <v>0</v>
      </c>
      <c r="AQ1061">
        <v>0</v>
      </c>
      <c r="AR1061">
        <v>0</v>
      </c>
      <c r="AS1061">
        <v>0</v>
      </c>
      <c r="AT1061">
        <v>0</v>
      </c>
      <c r="AU1061">
        <f t="shared" si="32"/>
        <v>0</v>
      </c>
      <c r="AV1061">
        <f t="shared" si="33"/>
        <v>0</v>
      </c>
    </row>
    <row r="1062" spans="1:48" x14ac:dyDescent="0.25">
      <c r="A1062" t="s">
        <v>5041</v>
      </c>
      <c r="C1062" t="s">
        <v>5042</v>
      </c>
      <c r="D1062" t="s">
        <v>5043</v>
      </c>
      <c r="E1062" t="s">
        <v>1663</v>
      </c>
      <c r="F1062">
        <v>2</v>
      </c>
      <c r="G1062">
        <v>2.6</v>
      </c>
      <c r="H1062" t="s">
        <v>2327</v>
      </c>
      <c r="I1062" s="21">
        <v>38128</v>
      </c>
      <c r="J1062">
        <v>2004</v>
      </c>
      <c r="K1062" s="21">
        <v>38159</v>
      </c>
      <c r="L1062">
        <v>2004</v>
      </c>
      <c r="M1062" s="21">
        <v>38312</v>
      </c>
      <c r="N1062">
        <v>2004</v>
      </c>
      <c r="Q1062" s="262">
        <v>300000</v>
      </c>
      <c r="S1062" t="s">
        <v>114</v>
      </c>
      <c r="T1062" t="s">
        <v>114</v>
      </c>
      <c r="W1062">
        <v>3366</v>
      </c>
      <c r="X1062">
        <v>3</v>
      </c>
      <c r="Y1062">
        <v>0</v>
      </c>
      <c r="Z1062">
        <v>0</v>
      </c>
      <c r="AA1062">
        <v>0</v>
      </c>
      <c r="AB1062">
        <v>0</v>
      </c>
      <c r="AC1062">
        <v>0</v>
      </c>
      <c r="AD1062">
        <v>3366</v>
      </c>
      <c r="AE1062">
        <v>0</v>
      </c>
      <c r="AF1062">
        <v>0</v>
      </c>
      <c r="AG1062">
        <v>0</v>
      </c>
      <c r="AH1062">
        <v>0</v>
      </c>
      <c r="AI1062">
        <v>0</v>
      </c>
      <c r="AJ1062">
        <v>0</v>
      </c>
      <c r="AK1062">
        <v>0</v>
      </c>
      <c r="AL1062">
        <v>0</v>
      </c>
      <c r="AM1062">
        <v>0</v>
      </c>
      <c r="AN1062">
        <v>0</v>
      </c>
      <c r="AO1062">
        <v>0</v>
      </c>
      <c r="AP1062">
        <v>3</v>
      </c>
      <c r="AQ1062">
        <v>0</v>
      </c>
      <c r="AR1062">
        <v>0</v>
      </c>
      <c r="AS1062">
        <v>0</v>
      </c>
      <c r="AT1062">
        <v>0</v>
      </c>
      <c r="AU1062">
        <f t="shared" si="32"/>
        <v>3</v>
      </c>
      <c r="AV1062">
        <f t="shared" si="33"/>
        <v>0</v>
      </c>
    </row>
    <row r="1063" spans="1:48" x14ac:dyDescent="0.25">
      <c r="A1063" t="s">
        <v>5054</v>
      </c>
      <c r="C1063" t="s">
        <v>5055</v>
      </c>
      <c r="D1063" t="s">
        <v>5056</v>
      </c>
      <c r="E1063" t="s">
        <v>2310</v>
      </c>
      <c r="F1063">
        <v>14</v>
      </c>
      <c r="G1063">
        <v>14.2</v>
      </c>
      <c r="H1063" t="s">
        <v>2017</v>
      </c>
      <c r="I1063" s="21">
        <v>38132</v>
      </c>
      <c r="J1063">
        <v>2004</v>
      </c>
      <c r="K1063" s="21">
        <v>38182</v>
      </c>
      <c r="L1063">
        <v>2004</v>
      </c>
      <c r="M1063" s="21">
        <v>38182</v>
      </c>
      <c r="N1063">
        <v>2004</v>
      </c>
      <c r="R1063" s="262">
        <v>440000</v>
      </c>
      <c r="S1063" t="s">
        <v>114</v>
      </c>
      <c r="T1063" t="s">
        <v>114</v>
      </c>
      <c r="U1063">
        <v>15</v>
      </c>
      <c r="W1063">
        <v>9156</v>
      </c>
      <c r="X1063">
        <v>0</v>
      </c>
      <c r="Y1063">
        <v>0</v>
      </c>
      <c r="Z1063">
        <v>0</v>
      </c>
      <c r="AA1063">
        <v>0</v>
      </c>
      <c r="AB1063">
        <v>0</v>
      </c>
      <c r="AC1063">
        <v>0</v>
      </c>
      <c r="AD1063">
        <v>0</v>
      </c>
      <c r="AE1063">
        <v>0</v>
      </c>
      <c r="AF1063">
        <v>0</v>
      </c>
      <c r="AG1063">
        <v>0</v>
      </c>
      <c r="AH1063">
        <v>0</v>
      </c>
      <c r="AI1063">
        <v>0</v>
      </c>
      <c r="AJ1063">
        <v>0</v>
      </c>
      <c r="AK1063">
        <v>0</v>
      </c>
      <c r="AL1063">
        <v>0</v>
      </c>
      <c r="AM1063">
        <v>9156</v>
      </c>
      <c r="AN1063">
        <v>0</v>
      </c>
      <c r="AO1063">
        <v>0</v>
      </c>
      <c r="AP1063">
        <v>0</v>
      </c>
      <c r="AQ1063">
        <v>0</v>
      </c>
      <c r="AR1063">
        <v>0</v>
      </c>
      <c r="AS1063">
        <v>0</v>
      </c>
      <c r="AT1063">
        <v>0</v>
      </c>
      <c r="AU1063">
        <f t="shared" si="32"/>
        <v>0</v>
      </c>
      <c r="AV1063">
        <f t="shared" si="33"/>
        <v>9156</v>
      </c>
    </row>
    <row r="1064" spans="1:48" x14ac:dyDescent="0.25">
      <c r="A1064" t="s">
        <v>5057</v>
      </c>
      <c r="C1064" t="s">
        <v>5058</v>
      </c>
      <c r="D1064" t="s">
        <v>5059</v>
      </c>
      <c r="E1064" t="s">
        <v>2310</v>
      </c>
      <c r="F1064">
        <v>9</v>
      </c>
      <c r="G1064">
        <v>9.3000000000000007</v>
      </c>
      <c r="H1064" t="s">
        <v>2323</v>
      </c>
      <c r="I1064" s="21">
        <v>38132</v>
      </c>
      <c r="J1064">
        <v>2004</v>
      </c>
      <c r="K1064" s="21">
        <v>38168</v>
      </c>
      <c r="L1064">
        <v>2004</v>
      </c>
      <c r="M1064" s="21">
        <v>38722</v>
      </c>
      <c r="N1064">
        <v>2006</v>
      </c>
      <c r="R1064" s="262">
        <v>365000</v>
      </c>
      <c r="S1064" t="s">
        <v>114</v>
      </c>
      <c r="T1064" t="s">
        <v>114</v>
      </c>
      <c r="U1064">
        <v>5</v>
      </c>
      <c r="W1064">
        <v>3880</v>
      </c>
      <c r="X1064">
        <v>1</v>
      </c>
      <c r="Y1064">
        <v>0</v>
      </c>
      <c r="Z1064">
        <v>0</v>
      </c>
      <c r="AA1064">
        <v>0</v>
      </c>
      <c r="AB1064">
        <v>0</v>
      </c>
      <c r="AC1064">
        <v>3880</v>
      </c>
      <c r="AD1064">
        <v>0</v>
      </c>
      <c r="AE1064">
        <v>0</v>
      </c>
      <c r="AF1064">
        <v>0</v>
      </c>
      <c r="AG1064">
        <v>0</v>
      </c>
      <c r="AH1064">
        <v>0</v>
      </c>
      <c r="AI1064">
        <v>0</v>
      </c>
      <c r="AJ1064">
        <v>0</v>
      </c>
      <c r="AK1064">
        <v>0</v>
      </c>
      <c r="AL1064">
        <v>0</v>
      </c>
      <c r="AM1064">
        <v>0</v>
      </c>
      <c r="AN1064">
        <v>0</v>
      </c>
      <c r="AO1064">
        <v>1</v>
      </c>
      <c r="AP1064">
        <v>0</v>
      </c>
      <c r="AQ1064">
        <v>0</v>
      </c>
      <c r="AR1064">
        <v>0</v>
      </c>
      <c r="AS1064">
        <v>0</v>
      </c>
      <c r="AT1064">
        <v>0</v>
      </c>
      <c r="AU1064">
        <f t="shared" si="32"/>
        <v>1</v>
      </c>
      <c r="AV1064">
        <f t="shared" si="33"/>
        <v>0</v>
      </c>
    </row>
    <row r="1065" spans="1:48" x14ac:dyDescent="0.25">
      <c r="A1065" t="s">
        <v>5060</v>
      </c>
      <c r="C1065" t="s">
        <v>5061</v>
      </c>
      <c r="D1065" t="s">
        <v>5062</v>
      </c>
      <c r="E1065" t="s">
        <v>2310</v>
      </c>
      <c r="F1065">
        <v>8</v>
      </c>
      <c r="G1065">
        <v>8.1</v>
      </c>
      <c r="H1065" t="s">
        <v>2323</v>
      </c>
      <c r="I1065" s="21">
        <v>38133</v>
      </c>
      <c r="J1065">
        <v>2004</v>
      </c>
      <c r="K1065" s="21">
        <v>38175</v>
      </c>
      <c r="L1065">
        <v>2004</v>
      </c>
      <c r="M1065" s="21">
        <v>38603</v>
      </c>
      <c r="N1065">
        <v>2005</v>
      </c>
      <c r="R1065" s="262">
        <v>400000</v>
      </c>
      <c r="S1065" t="s">
        <v>114</v>
      </c>
      <c r="T1065" t="s">
        <v>114</v>
      </c>
      <c r="U1065">
        <v>5</v>
      </c>
      <c r="W1065">
        <v>520</v>
      </c>
      <c r="X1065">
        <v>0</v>
      </c>
      <c r="Y1065">
        <v>0</v>
      </c>
      <c r="Z1065">
        <v>0</v>
      </c>
      <c r="AA1065">
        <v>0</v>
      </c>
      <c r="AB1065">
        <v>0</v>
      </c>
      <c r="AC1065">
        <v>520</v>
      </c>
      <c r="AD1065">
        <v>0</v>
      </c>
      <c r="AE1065">
        <v>0</v>
      </c>
      <c r="AF1065">
        <v>0</v>
      </c>
      <c r="AG1065">
        <v>0</v>
      </c>
      <c r="AH1065">
        <v>0</v>
      </c>
      <c r="AI1065">
        <v>0</v>
      </c>
      <c r="AJ1065">
        <v>0</v>
      </c>
      <c r="AK1065">
        <v>0</v>
      </c>
      <c r="AL1065">
        <v>0</v>
      </c>
      <c r="AM1065">
        <v>0</v>
      </c>
      <c r="AN1065">
        <v>0</v>
      </c>
      <c r="AO1065">
        <v>0</v>
      </c>
      <c r="AP1065">
        <v>0</v>
      </c>
      <c r="AQ1065">
        <v>0</v>
      </c>
      <c r="AR1065">
        <v>0</v>
      </c>
      <c r="AS1065">
        <v>0</v>
      </c>
      <c r="AT1065">
        <v>0</v>
      </c>
      <c r="AU1065">
        <f t="shared" si="32"/>
        <v>0</v>
      </c>
      <c r="AV1065">
        <f t="shared" si="33"/>
        <v>0</v>
      </c>
    </row>
    <row r="1066" spans="1:48" x14ac:dyDescent="0.25">
      <c r="A1066" t="s">
        <v>5063</v>
      </c>
      <c r="C1066" t="s">
        <v>5064</v>
      </c>
      <c r="D1066" t="s">
        <v>5065</v>
      </c>
      <c r="E1066" t="s">
        <v>1663</v>
      </c>
      <c r="F1066">
        <v>6</v>
      </c>
      <c r="G1066">
        <v>6.1</v>
      </c>
      <c r="H1066" t="s">
        <v>2017</v>
      </c>
      <c r="I1066" s="21">
        <v>38135</v>
      </c>
      <c r="J1066">
        <v>2004</v>
      </c>
      <c r="K1066" s="21">
        <v>38166</v>
      </c>
      <c r="L1066">
        <v>2004</v>
      </c>
      <c r="M1066" s="21">
        <v>38319</v>
      </c>
      <c r="N1066">
        <v>2004</v>
      </c>
      <c r="Q1066" s="262">
        <v>375000</v>
      </c>
      <c r="S1066" t="s">
        <v>114</v>
      </c>
      <c r="T1066" t="s">
        <v>114</v>
      </c>
      <c r="W1066">
        <v>3536</v>
      </c>
      <c r="X1066">
        <v>1</v>
      </c>
      <c r="Y1066">
        <v>0</v>
      </c>
      <c r="Z1066">
        <v>0</v>
      </c>
      <c r="AA1066">
        <v>0</v>
      </c>
      <c r="AB1066">
        <v>0</v>
      </c>
      <c r="AC1066">
        <v>3536</v>
      </c>
      <c r="AD1066">
        <v>0</v>
      </c>
      <c r="AE1066">
        <v>0</v>
      </c>
      <c r="AF1066">
        <v>0</v>
      </c>
      <c r="AG1066">
        <v>0</v>
      </c>
      <c r="AH1066">
        <v>0</v>
      </c>
      <c r="AI1066">
        <v>0</v>
      </c>
      <c r="AJ1066">
        <v>0</v>
      </c>
      <c r="AK1066">
        <v>0</v>
      </c>
      <c r="AL1066">
        <v>0</v>
      </c>
      <c r="AM1066">
        <v>0</v>
      </c>
      <c r="AN1066">
        <v>0</v>
      </c>
      <c r="AO1066">
        <v>1</v>
      </c>
      <c r="AP1066">
        <v>0</v>
      </c>
      <c r="AQ1066">
        <v>0</v>
      </c>
      <c r="AR1066">
        <v>0</v>
      </c>
      <c r="AS1066">
        <v>0</v>
      </c>
      <c r="AT1066">
        <v>0</v>
      </c>
      <c r="AU1066">
        <f t="shared" si="32"/>
        <v>1</v>
      </c>
      <c r="AV1066">
        <f t="shared" si="33"/>
        <v>0</v>
      </c>
    </row>
    <row r="1067" spans="1:48" x14ac:dyDescent="0.25">
      <c r="A1067" t="s">
        <v>5066</v>
      </c>
      <c r="C1067" t="s">
        <v>3383</v>
      </c>
      <c r="D1067" t="s">
        <v>5067</v>
      </c>
      <c r="E1067" t="s">
        <v>2310</v>
      </c>
      <c r="F1067">
        <v>9</v>
      </c>
      <c r="G1067">
        <v>9.3000000000000007</v>
      </c>
      <c r="H1067" t="s">
        <v>2323</v>
      </c>
      <c r="I1067" s="21">
        <v>38135</v>
      </c>
      <c r="J1067">
        <v>2004</v>
      </c>
      <c r="K1067" s="21">
        <v>38189</v>
      </c>
      <c r="L1067">
        <v>2004</v>
      </c>
      <c r="M1067" s="21">
        <v>38589</v>
      </c>
      <c r="N1067">
        <v>2005</v>
      </c>
      <c r="R1067" s="262">
        <v>1380000</v>
      </c>
      <c r="S1067" t="s">
        <v>114</v>
      </c>
      <c r="T1067" t="s">
        <v>114</v>
      </c>
      <c r="U1067">
        <v>5</v>
      </c>
      <c r="W1067">
        <v>5115</v>
      </c>
      <c r="X1067">
        <v>1</v>
      </c>
      <c r="Y1067">
        <v>0</v>
      </c>
      <c r="Z1067">
        <v>0</v>
      </c>
      <c r="AA1067">
        <v>0</v>
      </c>
      <c r="AB1067">
        <v>0</v>
      </c>
      <c r="AC1067">
        <v>5115</v>
      </c>
      <c r="AD1067">
        <v>0</v>
      </c>
      <c r="AE1067">
        <v>0</v>
      </c>
      <c r="AF1067">
        <v>0</v>
      </c>
      <c r="AG1067">
        <v>0</v>
      </c>
      <c r="AH1067">
        <v>0</v>
      </c>
      <c r="AI1067">
        <v>0</v>
      </c>
      <c r="AJ1067">
        <v>0</v>
      </c>
      <c r="AK1067">
        <v>0</v>
      </c>
      <c r="AL1067">
        <v>0</v>
      </c>
      <c r="AM1067">
        <v>0</v>
      </c>
      <c r="AN1067">
        <v>0</v>
      </c>
      <c r="AO1067">
        <v>1</v>
      </c>
      <c r="AP1067">
        <v>0</v>
      </c>
      <c r="AQ1067">
        <v>0</v>
      </c>
      <c r="AR1067">
        <v>0</v>
      </c>
      <c r="AS1067">
        <v>0</v>
      </c>
      <c r="AT1067">
        <v>0</v>
      </c>
      <c r="AU1067">
        <f t="shared" si="32"/>
        <v>1</v>
      </c>
      <c r="AV1067">
        <f t="shared" si="33"/>
        <v>0</v>
      </c>
    </row>
    <row r="1068" spans="1:48" x14ac:dyDescent="0.25">
      <c r="A1068" t="s">
        <v>5068</v>
      </c>
      <c r="C1068" t="s">
        <v>5069</v>
      </c>
      <c r="D1068" t="s">
        <v>5070</v>
      </c>
      <c r="E1068" t="s">
        <v>2310</v>
      </c>
      <c r="F1068">
        <v>9</v>
      </c>
      <c r="G1068">
        <v>9.3000000000000007</v>
      </c>
      <c r="H1068" t="s">
        <v>2323</v>
      </c>
      <c r="I1068" s="21">
        <v>38135</v>
      </c>
      <c r="J1068">
        <v>2004</v>
      </c>
      <c r="K1068" s="21">
        <v>38189</v>
      </c>
      <c r="L1068">
        <v>2004</v>
      </c>
      <c r="M1068" s="21">
        <v>38602</v>
      </c>
      <c r="N1068">
        <v>2005</v>
      </c>
      <c r="R1068" s="262">
        <v>1380000</v>
      </c>
      <c r="S1068" t="s">
        <v>114</v>
      </c>
      <c r="T1068" t="s">
        <v>114</v>
      </c>
      <c r="U1068">
        <v>5</v>
      </c>
      <c r="W1068">
        <v>5115</v>
      </c>
      <c r="X1068">
        <v>1</v>
      </c>
      <c r="Y1068">
        <v>0</v>
      </c>
      <c r="Z1068">
        <v>0</v>
      </c>
      <c r="AA1068">
        <v>0</v>
      </c>
      <c r="AB1068">
        <v>0</v>
      </c>
      <c r="AC1068">
        <v>5115</v>
      </c>
      <c r="AD1068">
        <v>0</v>
      </c>
      <c r="AE1068">
        <v>0</v>
      </c>
      <c r="AF1068">
        <v>0</v>
      </c>
      <c r="AG1068">
        <v>0</v>
      </c>
      <c r="AH1068">
        <v>0</v>
      </c>
      <c r="AI1068">
        <v>0</v>
      </c>
      <c r="AJ1068">
        <v>0</v>
      </c>
      <c r="AK1068">
        <v>0</v>
      </c>
      <c r="AL1068">
        <v>0</v>
      </c>
      <c r="AM1068">
        <v>0</v>
      </c>
      <c r="AN1068">
        <v>0</v>
      </c>
      <c r="AO1068">
        <v>1</v>
      </c>
      <c r="AP1068">
        <v>0</v>
      </c>
      <c r="AQ1068">
        <v>0</v>
      </c>
      <c r="AR1068">
        <v>0</v>
      </c>
      <c r="AS1068">
        <v>0</v>
      </c>
      <c r="AT1068">
        <v>0</v>
      </c>
      <c r="AU1068">
        <f t="shared" si="32"/>
        <v>1</v>
      </c>
      <c r="AV1068">
        <f t="shared" si="33"/>
        <v>0</v>
      </c>
    </row>
    <row r="1069" spans="1:48" x14ac:dyDescent="0.25">
      <c r="A1069" t="s">
        <v>5071</v>
      </c>
      <c r="C1069" t="s">
        <v>4189</v>
      </c>
      <c r="D1069" t="s">
        <v>5072</v>
      </c>
      <c r="E1069" t="s">
        <v>2310</v>
      </c>
      <c r="F1069">
        <v>9</v>
      </c>
      <c r="G1069">
        <v>9.3000000000000007</v>
      </c>
      <c r="H1069" t="s">
        <v>2323</v>
      </c>
      <c r="I1069" s="21">
        <v>38135</v>
      </c>
      <c r="J1069">
        <v>2004</v>
      </c>
      <c r="K1069" s="21">
        <v>38190</v>
      </c>
      <c r="L1069">
        <v>2004</v>
      </c>
      <c r="M1069" s="21">
        <v>38762</v>
      </c>
      <c r="N1069">
        <v>2006</v>
      </c>
      <c r="R1069" s="262">
        <v>1380000</v>
      </c>
      <c r="S1069" t="s">
        <v>114</v>
      </c>
      <c r="T1069" t="s">
        <v>114</v>
      </c>
      <c r="U1069">
        <v>5</v>
      </c>
      <c r="W1069">
        <v>5115</v>
      </c>
      <c r="X1069">
        <v>1</v>
      </c>
      <c r="Y1069">
        <v>0</v>
      </c>
      <c r="Z1069">
        <v>0</v>
      </c>
      <c r="AA1069">
        <v>0</v>
      </c>
      <c r="AB1069">
        <v>0</v>
      </c>
      <c r="AC1069">
        <v>5115</v>
      </c>
      <c r="AD1069">
        <v>0</v>
      </c>
      <c r="AE1069">
        <v>0</v>
      </c>
      <c r="AF1069">
        <v>0</v>
      </c>
      <c r="AG1069">
        <v>0</v>
      </c>
      <c r="AH1069">
        <v>0</v>
      </c>
      <c r="AI1069">
        <v>0</v>
      </c>
      <c r="AJ1069">
        <v>0</v>
      </c>
      <c r="AK1069">
        <v>0</v>
      </c>
      <c r="AL1069">
        <v>0</v>
      </c>
      <c r="AM1069">
        <v>0</v>
      </c>
      <c r="AN1069">
        <v>0</v>
      </c>
      <c r="AO1069">
        <v>1</v>
      </c>
      <c r="AP1069">
        <v>0</v>
      </c>
      <c r="AQ1069">
        <v>0</v>
      </c>
      <c r="AR1069">
        <v>0</v>
      </c>
      <c r="AS1069">
        <v>0</v>
      </c>
      <c r="AT1069">
        <v>0</v>
      </c>
      <c r="AU1069">
        <f t="shared" si="32"/>
        <v>1</v>
      </c>
      <c r="AV1069">
        <f t="shared" si="33"/>
        <v>0</v>
      </c>
    </row>
    <row r="1070" spans="1:48" x14ac:dyDescent="0.25">
      <c r="A1070" t="s">
        <v>5073</v>
      </c>
      <c r="C1070" t="s">
        <v>5074</v>
      </c>
      <c r="D1070" t="s">
        <v>5075</v>
      </c>
      <c r="E1070" t="s">
        <v>2310</v>
      </c>
      <c r="F1070">
        <v>9</v>
      </c>
      <c r="G1070">
        <v>9.3000000000000007</v>
      </c>
      <c r="H1070" t="s">
        <v>2323</v>
      </c>
      <c r="I1070" s="21">
        <v>38135</v>
      </c>
      <c r="J1070">
        <v>2004</v>
      </c>
      <c r="K1070" s="21">
        <v>38190</v>
      </c>
      <c r="L1070">
        <v>2004</v>
      </c>
      <c r="M1070" s="21">
        <v>38574</v>
      </c>
      <c r="N1070">
        <v>2005</v>
      </c>
      <c r="R1070" s="262">
        <v>1380000</v>
      </c>
      <c r="S1070" t="s">
        <v>114</v>
      </c>
      <c r="T1070" t="s">
        <v>114</v>
      </c>
      <c r="U1070">
        <v>5</v>
      </c>
      <c r="W1070">
        <v>4775</v>
      </c>
      <c r="X1070">
        <v>1</v>
      </c>
      <c r="Y1070">
        <v>0</v>
      </c>
      <c r="Z1070">
        <v>0</v>
      </c>
      <c r="AA1070">
        <v>0</v>
      </c>
      <c r="AB1070">
        <v>0</v>
      </c>
      <c r="AC1070">
        <v>4775</v>
      </c>
      <c r="AD1070">
        <v>0</v>
      </c>
      <c r="AE1070">
        <v>0</v>
      </c>
      <c r="AF1070">
        <v>0</v>
      </c>
      <c r="AG1070">
        <v>0</v>
      </c>
      <c r="AH1070">
        <v>0</v>
      </c>
      <c r="AI1070">
        <v>0</v>
      </c>
      <c r="AJ1070">
        <v>0</v>
      </c>
      <c r="AK1070">
        <v>0</v>
      </c>
      <c r="AL1070">
        <v>0</v>
      </c>
      <c r="AM1070">
        <v>0</v>
      </c>
      <c r="AN1070">
        <v>0</v>
      </c>
      <c r="AO1070">
        <v>1</v>
      </c>
      <c r="AP1070">
        <v>0</v>
      </c>
      <c r="AQ1070">
        <v>0</v>
      </c>
      <c r="AR1070">
        <v>0</v>
      </c>
      <c r="AS1070">
        <v>0</v>
      </c>
      <c r="AT1070">
        <v>0</v>
      </c>
      <c r="AU1070">
        <f t="shared" si="32"/>
        <v>1</v>
      </c>
      <c r="AV1070">
        <f t="shared" si="33"/>
        <v>0</v>
      </c>
    </row>
    <row r="1071" spans="1:48" x14ac:dyDescent="0.25">
      <c r="A1071" t="s">
        <v>5076</v>
      </c>
      <c r="C1071" t="s">
        <v>4189</v>
      </c>
      <c r="D1071" t="s">
        <v>5077</v>
      </c>
      <c r="E1071" t="s">
        <v>2310</v>
      </c>
      <c r="F1071">
        <v>9</v>
      </c>
      <c r="G1071">
        <v>9.3000000000000007</v>
      </c>
      <c r="H1071" t="s">
        <v>2323</v>
      </c>
      <c r="I1071" s="21">
        <v>38135</v>
      </c>
      <c r="J1071">
        <v>2004</v>
      </c>
      <c r="K1071" s="21">
        <v>38190</v>
      </c>
      <c r="L1071">
        <v>2004</v>
      </c>
      <c r="M1071" s="21">
        <v>38671</v>
      </c>
      <c r="N1071">
        <v>2005</v>
      </c>
      <c r="R1071" s="262">
        <v>1380000</v>
      </c>
      <c r="S1071" t="s">
        <v>114</v>
      </c>
      <c r="T1071" t="s">
        <v>114</v>
      </c>
      <c r="U1071">
        <v>5</v>
      </c>
      <c r="W1071">
        <v>5115</v>
      </c>
      <c r="X1071">
        <v>1</v>
      </c>
      <c r="Y1071">
        <v>0</v>
      </c>
      <c r="Z1071">
        <v>0</v>
      </c>
      <c r="AA1071">
        <v>0</v>
      </c>
      <c r="AB1071">
        <v>0</v>
      </c>
      <c r="AC1071">
        <v>5115</v>
      </c>
      <c r="AD1071">
        <v>0</v>
      </c>
      <c r="AE1071">
        <v>0</v>
      </c>
      <c r="AF1071">
        <v>0</v>
      </c>
      <c r="AG1071">
        <v>0</v>
      </c>
      <c r="AH1071">
        <v>0</v>
      </c>
      <c r="AI1071">
        <v>0</v>
      </c>
      <c r="AJ1071">
        <v>0</v>
      </c>
      <c r="AK1071">
        <v>0</v>
      </c>
      <c r="AL1071">
        <v>0</v>
      </c>
      <c r="AM1071">
        <v>0</v>
      </c>
      <c r="AN1071">
        <v>0</v>
      </c>
      <c r="AO1071">
        <v>1</v>
      </c>
      <c r="AP1071">
        <v>0</v>
      </c>
      <c r="AQ1071">
        <v>0</v>
      </c>
      <c r="AR1071">
        <v>0</v>
      </c>
      <c r="AS1071">
        <v>0</v>
      </c>
      <c r="AT1071">
        <v>0</v>
      </c>
      <c r="AU1071">
        <f t="shared" si="32"/>
        <v>1</v>
      </c>
      <c r="AV1071">
        <f t="shared" si="33"/>
        <v>0</v>
      </c>
    </row>
    <row r="1072" spans="1:48" x14ac:dyDescent="0.25">
      <c r="A1072" t="s">
        <v>5078</v>
      </c>
      <c r="C1072" t="s">
        <v>5079</v>
      </c>
      <c r="D1072" t="s">
        <v>5080</v>
      </c>
      <c r="E1072" t="s">
        <v>2310</v>
      </c>
      <c r="F1072">
        <v>9</v>
      </c>
      <c r="G1072">
        <v>9.3000000000000007</v>
      </c>
      <c r="H1072" t="s">
        <v>2323</v>
      </c>
      <c r="I1072" s="21">
        <v>38135</v>
      </c>
      <c r="J1072">
        <v>2004</v>
      </c>
      <c r="K1072" s="21">
        <v>38190</v>
      </c>
      <c r="L1072">
        <v>2004</v>
      </c>
      <c r="M1072" s="21">
        <v>38755</v>
      </c>
      <c r="N1072">
        <v>2006</v>
      </c>
      <c r="R1072" s="262">
        <v>1380000</v>
      </c>
      <c r="S1072" t="s">
        <v>114</v>
      </c>
      <c r="T1072" t="s">
        <v>114</v>
      </c>
      <c r="U1072">
        <v>5</v>
      </c>
      <c r="W1072">
        <v>5115</v>
      </c>
      <c r="X1072">
        <v>1</v>
      </c>
      <c r="Y1072">
        <v>0</v>
      </c>
      <c r="Z1072">
        <v>0</v>
      </c>
      <c r="AA1072">
        <v>0</v>
      </c>
      <c r="AB1072">
        <v>0</v>
      </c>
      <c r="AC1072">
        <v>5115</v>
      </c>
      <c r="AD1072">
        <v>0</v>
      </c>
      <c r="AE1072">
        <v>0</v>
      </c>
      <c r="AF1072">
        <v>0</v>
      </c>
      <c r="AG1072">
        <v>0</v>
      </c>
      <c r="AH1072">
        <v>0</v>
      </c>
      <c r="AI1072">
        <v>0</v>
      </c>
      <c r="AJ1072">
        <v>0</v>
      </c>
      <c r="AK1072">
        <v>0</v>
      </c>
      <c r="AL1072">
        <v>0</v>
      </c>
      <c r="AM1072">
        <v>0</v>
      </c>
      <c r="AN1072">
        <v>0</v>
      </c>
      <c r="AO1072">
        <v>1</v>
      </c>
      <c r="AP1072">
        <v>0</v>
      </c>
      <c r="AQ1072">
        <v>0</v>
      </c>
      <c r="AR1072">
        <v>0</v>
      </c>
      <c r="AS1072">
        <v>0</v>
      </c>
      <c r="AT1072">
        <v>0</v>
      </c>
      <c r="AU1072">
        <f t="shared" si="32"/>
        <v>1</v>
      </c>
      <c r="AV1072">
        <f t="shared" si="33"/>
        <v>0</v>
      </c>
    </row>
    <row r="1073" spans="1:48" x14ac:dyDescent="0.25">
      <c r="A1073" t="s">
        <v>5081</v>
      </c>
      <c r="C1073" t="s">
        <v>2847</v>
      </c>
      <c r="D1073" t="s">
        <v>5082</v>
      </c>
      <c r="E1073" t="s">
        <v>2310</v>
      </c>
      <c r="F1073">
        <v>10</v>
      </c>
      <c r="G1073">
        <v>10.1</v>
      </c>
      <c r="H1073" t="s">
        <v>2323</v>
      </c>
      <c r="I1073" s="21">
        <v>38140</v>
      </c>
      <c r="J1073">
        <v>2004</v>
      </c>
      <c r="K1073" s="21">
        <v>38170</v>
      </c>
      <c r="L1073">
        <v>2004</v>
      </c>
      <c r="M1073" s="21">
        <v>38170</v>
      </c>
      <c r="N1073">
        <v>2004</v>
      </c>
      <c r="R1073" s="262">
        <v>152000</v>
      </c>
      <c r="S1073" t="s">
        <v>114</v>
      </c>
      <c r="T1073" t="s">
        <v>114</v>
      </c>
      <c r="U1073">
        <v>5</v>
      </c>
      <c r="W1073">
        <v>1872</v>
      </c>
      <c r="X1073">
        <v>1</v>
      </c>
      <c r="Y1073">
        <v>0</v>
      </c>
      <c r="Z1073">
        <v>0</v>
      </c>
      <c r="AA1073">
        <v>0</v>
      </c>
      <c r="AB1073">
        <v>0</v>
      </c>
      <c r="AC1073">
        <v>1872</v>
      </c>
      <c r="AD1073">
        <v>0</v>
      </c>
      <c r="AE1073">
        <v>0</v>
      </c>
      <c r="AF1073">
        <v>0</v>
      </c>
      <c r="AG1073">
        <v>0</v>
      </c>
      <c r="AH1073">
        <v>0</v>
      </c>
      <c r="AI1073">
        <v>0</v>
      </c>
      <c r="AJ1073">
        <v>0</v>
      </c>
      <c r="AK1073">
        <v>0</v>
      </c>
      <c r="AL1073">
        <v>0</v>
      </c>
      <c r="AM1073">
        <v>0</v>
      </c>
      <c r="AN1073">
        <v>0</v>
      </c>
      <c r="AO1073">
        <v>1</v>
      </c>
      <c r="AP1073">
        <v>0</v>
      </c>
      <c r="AQ1073">
        <v>0</v>
      </c>
      <c r="AR1073">
        <v>0</v>
      </c>
      <c r="AS1073">
        <v>0</v>
      </c>
      <c r="AT1073">
        <v>0</v>
      </c>
      <c r="AU1073">
        <f t="shared" si="32"/>
        <v>1</v>
      </c>
      <c r="AV1073">
        <f t="shared" si="33"/>
        <v>0</v>
      </c>
    </row>
    <row r="1074" spans="1:48" x14ac:dyDescent="0.25">
      <c r="A1074" t="s">
        <v>5083</v>
      </c>
      <c r="C1074" t="s">
        <v>5084</v>
      </c>
      <c r="D1074" t="s">
        <v>4886</v>
      </c>
      <c r="E1074" t="s">
        <v>2310</v>
      </c>
      <c r="F1074">
        <v>9</v>
      </c>
      <c r="G1074">
        <v>9.1</v>
      </c>
      <c r="H1074" t="s">
        <v>2323</v>
      </c>
      <c r="I1074" s="21">
        <v>38140</v>
      </c>
      <c r="J1074">
        <v>2004</v>
      </c>
      <c r="K1074" s="21">
        <v>38145</v>
      </c>
      <c r="L1074">
        <v>2004</v>
      </c>
      <c r="M1074" s="21">
        <v>38929</v>
      </c>
      <c r="N1074">
        <v>2006</v>
      </c>
      <c r="R1074" s="262">
        <v>65000</v>
      </c>
      <c r="S1074" t="s">
        <v>114</v>
      </c>
      <c r="T1074" t="s">
        <v>114</v>
      </c>
      <c r="U1074">
        <v>4</v>
      </c>
      <c r="W1074">
        <v>315</v>
      </c>
      <c r="X1074">
        <v>0</v>
      </c>
      <c r="Y1074">
        <v>0</v>
      </c>
      <c r="Z1074">
        <v>0</v>
      </c>
      <c r="AA1074">
        <v>0</v>
      </c>
      <c r="AB1074">
        <v>315</v>
      </c>
      <c r="AC1074">
        <v>0</v>
      </c>
      <c r="AD1074">
        <v>0</v>
      </c>
      <c r="AE1074">
        <v>0</v>
      </c>
      <c r="AF1074">
        <v>0</v>
      </c>
      <c r="AG1074">
        <v>0</v>
      </c>
      <c r="AH1074">
        <v>0</v>
      </c>
      <c r="AI1074">
        <v>0</v>
      </c>
      <c r="AJ1074">
        <v>0</v>
      </c>
      <c r="AK1074">
        <v>0</v>
      </c>
      <c r="AL1074">
        <v>0</v>
      </c>
      <c r="AM1074">
        <v>0</v>
      </c>
      <c r="AN1074">
        <v>0</v>
      </c>
      <c r="AO1074">
        <v>0</v>
      </c>
      <c r="AP1074">
        <v>0</v>
      </c>
      <c r="AQ1074">
        <v>0</v>
      </c>
      <c r="AR1074">
        <v>0</v>
      </c>
      <c r="AS1074">
        <v>0</v>
      </c>
      <c r="AT1074">
        <v>0</v>
      </c>
      <c r="AU1074">
        <f t="shared" si="32"/>
        <v>0</v>
      </c>
      <c r="AV1074">
        <f t="shared" si="33"/>
        <v>315</v>
      </c>
    </row>
    <row r="1075" spans="1:48" x14ac:dyDescent="0.25">
      <c r="A1075" t="s">
        <v>5085</v>
      </c>
      <c r="C1075" t="s">
        <v>5084</v>
      </c>
      <c r="D1075" t="s">
        <v>4886</v>
      </c>
      <c r="E1075" t="s">
        <v>2310</v>
      </c>
      <c r="F1075">
        <v>9</v>
      </c>
      <c r="G1075">
        <v>9.1</v>
      </c>
      <c r="H1075" t="s">
        <v>2323</v>
      </c>
      <c r="I1075" s="21">
        <v>38140</v>
      </c>
      <c r="J1075">
        <v>2004</v>
      </c>
      <c r="K1075" s="21">
        <v>38174</v>
      </c>
      <c r="L1075">
        <v>2004</v>
      </c>
      <c r="M1075" s="21">
        <v>38848</v>
      </c>
      <c r="N1075">
        <v>2006</v>
      </c>
      <c r="R1075" s="262">
        <v>65000</v>
      </c>
      <c r="S1075" t="s">
        <v>114</v>
      </c>
      <c r="T1075" t="s">
        <v>114</v>
      </c>
      <c r="U1075">
        <v>4</v>
      </c>
      <c r="W1075">
        <v>315</v>
      </c>
      <c r="X1075">
        <v>0</v>
      </c>
      <c r="Y1075">
        <v>0</v>
      </c>
      <c r="Z1075">
        <v>0</v>
      </c>
      <c r="AA1075">
        <v>0</v>
      </c>
      <c r="AB1075">
        <v>315</v>
      </c>
      <c r="AC1075">
        <v>0</v>
      </c>
      <c r="AD1075">
        <v>0</v>
      </c>
      <c r="AE1075">
        <v>0</v>
      </c>
      <c r="AF1075">
        <v>0</v>
      </c>
      <c r="AG1075">
        <v>0</v>
      </c>
      <c r="AH1075">
        <v>0</v>
      </c>
      <c r="AI1075">
        <v>0</v>
      </c>
      <c r="AJ1075">
        <v>0</v>
      </c>
      <c r="AK1075">
        <v>0</v>
      </c>
      <c r="AL1075">
        <v>0</v>
      </c>
      <c r="AM1075">
        <v>0</v>
      </c>
      <c r="AN1075">
        <v>0</v>
      </c>
      <c r="AO1075">
        <v>0</v>
      </c>
      <c r="AP1075">
        <v>0</v>
      </c>
      <c r="AQ1075">
        <v>0</v>
      </c>
      <c r="AR1075">
        <v>0</v>
      </c>
      <c r="AS1075">
        <v>0</v>
      </c>
      <c r="AT1075">
        <v>0</v>
      </c>
      <c r="AU1075">
        <f t="shared" si="32"/>
        <v>0</v>
      </c>
      <c r="AV1075">
        <f t="shared" si="33"/>
        <v>315</v>
      </c>
    </row>
    <row r="1076" spans="1:48" x14ac:dyDescent="0.25">
      <c r="A1076" t="s">
        <v>5086</v>
      </c>
      <c r="C1076" t="s">
        <v>5028</v>
      </c>
      <c r="D1076" t="s">
        <v>5087</v>
      </c>
      <c r="E1076" t="s">
        <v>2310</v>
      </c>
      <c r="F1076">
        <v>11</v>
      </c>
      <c r="G1076">
        <v>11.3</v>
      </c>
      <c r="H1076" t="s">
        <v>2017</v>
      </c>
      <c r="I1076" s="21">
        <v>38145</v>
      </c>
      <c r="J1076">
        <v>2004</v>
      </c>
      <c r="K1076" s="21">
        <v>38251</v>
      </c>
      <c r="L1076">
        <v>2004</v>
      </c>
      <c r="M1076" s="21">
        <v>38918</v>
      </c>
      <c r="N1076">
        <v>2006</v>
      </c>
      <c r="R1076" s="262">
        <v>400000</v>
      </c>
      <c r="S1076" t="s">
        <v>114</v>
      </c>
      <c r="T1076" t="s">
        <v>114</v>
      </c>
      <c r="U1076">
        <v>5</v>
      </c>
      <c r="W1076">
        <v>3041</v>
      </c>
      <c r="X1076">
        <v>1</v>
      </c>
      <c r="Y1076">
        <v>0</v>
      </c>
      <c r="Z1076">
        <v>0</v>
      </c>
      <c r="AA1076">
        <v>0</v>
      </c>
      <c r="AB1076">
        <v>0</v>
      </c>
      <c r="AC1076">
        <v>3041</v>
      </c>
      <c r="AD1076">
        <v>0</v>
      </c>
      <c r="AE1076">
        <v>0</v>
      </c>
      <c r="AF1076">
        <v>0</v>
      </c>
      <c r="AG1076">
        <v>0</v>
      </c>
      <c r="AH1076">
        <v>0</v>
      </c>
      <c r="AI1076">
        <v>0</v>
      </c>
      <c r="AJ1076">
        <v>0</v>
      </c>
      <c r="AK1076">
        <v>0</v>
      </c>
      <c r="AL1076">
        <v>0</v>
      </c>
      <c r="AM1076">
        <v>0</v>
      </c>
      <c r="AN1076">
        <v>0</v>
      </c>
      <c r="AO1076">
        <v>1</v>
      </c>
      <c r="AP1076">
        <v>0</v>
      </c>
      <c r="AQ1076">
        <v>0</v>
      </c>
      <c r="AR1076">
        <v>0</v>
      </c>
      <c r="AS1076">
        <v>0</v>
      </c>
      <c r="AT1076">
        <v>0</v>
      </c>
      <c r="AU1076">
        <f t="shared" si="32"/>
        <v>1</v>
      </c>
      <c r="AV1076">
        <f t="shared" si="33"/>
        <v>0</v>
      </c>
    </row>
    <row r="1077" spans="1:48" x14ac:dyDescent="0.25">
      <c r="A1077" t="s">
        <v>5088</v>
      </c>
      <c r="C1077" t="s">
        <v>3870</v>
      </c>
      <c r="D1077" t="s">
        <v>5087</v>
      </c>
      <c r="E1077" t="s">
        <v>2310</v>
      </c>
      <c r="F1077">
        <v>11</v>
      </c>
      <c r="G1077">
        <v>11.3</v>
      </c>
      <c r="H1077" t="s">
        <v>2017</v>
      </c>
      <c r="I1077" s="21">
        <v>38145</v>
      </c>
      <c r="J1077">
        <v>2004</v>
      </c>
      <c r="K1077" s="21">
        <v>38251</v>
      </c>
      <c r="L1077">
        <v>2004</v>
      </c>
      <c r="M1077" s="21">
        <v>38251</v>
      </c>
      <c r="N1077">
        <v>2004</v>
      </c>
      <c r="R1077" s="262">
        <v>100000</v>
      </c>
      <c r="S1077" t="s">
        <v>114</v>
      </c>
      <c r="T1077" t="s">
        <v>114</v>
      </c>
      <c r="U1077">
        <v>5</v>
      </c>
      <c r="W1077">
        <v>842</v>
      </c>
      <c r="X1077">
        <v>0</v>
      </c>
      <c r="Y1077">
        <v>0</v>
      </c>
      <c r="Z1077">
        <v>0</v>
      </c>
      <c r="AA1077">
        <v>0</v>
      </c>
      <c r="AB1077">
        <v>0</v>
      </c>
      <c r="AC1077">
        <v>842</v>
      </c>
      <c r="AD1077">
        <v>0</v>
      </c>
      <c r="AE1077">
        <v>0</v>
      </c>
      <c r="AF1077">
        <v>0</v>
      </c>
      <c r="AG1077">
        <v>0</v>
      </c>
      <c r="AH1077">
        <v>0</v>
      </c>
      <c r="AI1077">
        <v>0</v>
      </c>
      <c r="AJ1077">
        <v>0</v>
      </c>
      <c r="AK1077">
        <v>0</v>
      </c>
      <c r="AL1077">
        <v>0</v>
      </c>
      <c r="AM1077">
        <v>0</v>
      </c>
      <c r="AN1077">
        <v>0</v>
      </c>
      <c r="AO1077">
        <v>0</v>
      </c>
      <c r="AP1077">
        <v>0</v>
      </c>
      <c r="AQ1077">
        <v>0</v>
      </c>
      <c r="AR1077">
        <v>0</v>
      </c>
      <c r="AS1077">
        <v>0</v>
      </c>
      <c r="AT1077">
        <v>0</v>
      </c>
      <c r="AU1077">
        <f t="shared" si="32"/>
        <v>0</v>
      </c>
      <c r="AV1077">
        <f t="shared" si="33"/>
        <v>0</v>
      </c>
    </row>
    <row r="1078" spans="1:48" x14ac:dyDescent="0.25">
      <c r="A1078" t="s">
        <v>5089</v>
      </c>
      <c r="C1078" t="s">
        <v>5090</v>
      </c>
      <c r="D1078" t="s">
        <v>5091</v>
      </c>
      <c r="E1078" t="s">
        <v>2310</v>
      </c>
      <c r="F1078">
        <v>8</v>
      </c>
      <c r="G1078">
        <v>8.3000000000000007</v>
      </c>
      <c r="H1078" t="s">
        <v>2323</v>
      </c>
      <c r="I1078" s="21">
        <v>38145</v>
      </c>
      <c r="J1078">
        <v>2004</v>
      </c>
      <c r="K1078" s="21">
        <v>38176</v>
      </c>
      <c r="L1078">
        <v>2004</v>
      </c>
      <c r="M1078" s="21">
        <v>38952</v>
      </c>
      <c r="N1078">
        <v>2006</v>
      </c>
      <c r="R1078" s="262">
        <v>375000</v>
      </c>
      <c r="S1078" t="s">
        <v>114</v>
      </c>
      <c r="T1078" t="s">
        <v>114</v>
      </c>
      <c r="U1078">
        <v>5</v>
      </c>
      <c r="W1078">
        <v>1406</v>
      </c>
      <c r="X1078">
        <v>0</v>
      </c>
      <c r="Y1078">
        <v>0</v>
      </c>
      <c r="Z1078">
        <v>0</v>
      </c>
      <c r="AA1078">
        <v>0</v>
      </c>
      <c r="AB1078">
        <v>0</v>
      </c>
      <c r="AC1078">
        <v>1406</v>
      </c>
      <c r="AD1078">
        <v>0</v>
      </c>
      <c r="AE1078">
        <v>0</v>
      </c>
      <c r="AF1078">
        <v>0</v>
      </c>
      <c r="AG1078">
        <v>0</v>
      </c>
      <c r="AH1078">
        <v>0</v>
      </c>
      <c r="AI1078">
        <v>0</v>
      </c>
      <c r="AJ1078">
        <v>0</v>
      </c>
      <c r="AK1078">
        <v>0</v>
      </c>
      <c r="AL1078">
        <v>0</v>
      </c>
      <c r="AM1078">
        <v>0</v>
      </c>
      <c r="AN1078">
        <v>0</v>
      </c>
      <c r="AO1078">
        <v>0</v>
      </c>
      <c r="AP1078">
        <v>0</v>
      </c>
      <c r="AQ1078">
        <v>0</v>
      </c>
      <c r="AR1078">
        <v>0</v>
      </c>
      <c r="AS1078">
        <v>0</v>
      </c>
      <c r="AT1078">
        <v>0</v>
      </c>
      <c r="AU1078">
        <f t="shared" si="32"/>
        <v>0</v>
      </c>
      <c r="AV1078">
        <f t="shared" si="33"/>
        <v>0</v>
      </c>
    </row>
    <row r="1079" spans="1:48" x14ac:dyDescent="0.25">
      <c r="A1079" t="s">
        <v>5172</v>
      </c>
      <c r="C1079" t="s">
        <v>5173</v>
      </c>
      <c r="D1079" t="s">
        <v>5174</v>
      </c>
      <c r="E1079" t="s">
        <v>2310</v>
      </c>
      <c r="F1079">
        <v>8</v>
      </c>
      <c r="G1079">
        <v>8.1999999999999993</v>
      </c>
      <c r="H1079" t="s">
        <v>2022</v>
      </c>
      <c r="I1079" s="21">
        <v>38146</v>
      </c>
      <c r="J1079">
        <v>2004</v>
      </c>
      <c r="K1079" s="21">
        <v>38176</v>
      </c>
      <c r="L1079">
        <v>2004</v>
      </c>
      <c r="M1079" s="21">
        <v>38350</v>
      </c>
      <c r="N1079">
        <v>2004</v>
      </c>
      <c r="R1079" s="262">
        <v>170000</v>
      </c>
      <c r="S1079" t="s">
        <v>114</v>
      </c>
      <c r="T1079" t="s">
        <v>114</v>
      </c>
      <c r="U1079">
        <v>5</v>
      </c>
      <c r="W1079">
        <v>1045</v>
      </c>
      <c r="X1079">
        <v>0</v>
      </c>
      <c r="Y1079">
        <v>0</v>
      </c>
      <c r="Z1079">
        <v>0</v>
      </c>
      <c r="AA1079">
        <v>0</v>
      </c>
      <c r="AB1079">
        <v>0</v>
      </c>
      <c r="AC1079">
        <v>1045</v>
      </c>
      <c r="AD1079">
        <v>0</v>
      </c>
      <c r="AE1079">
        <v>0</v>
      </c>
      <c r="AF1079">
        <v>0</v>
      </c>
      <c r="AG1079">
        <v>0</v>
      </c>
      <c r="AH1079">
        <v>0</v>
      </c>
      <c r="AI1079">
        <v>0</v>
      </c>
      <c r="AJ1079">
        <v>0</v>
      </c>
      <c r="AK1079">
        <v>0</v>
      </c>
      <c r="AL1079">
        <v>0</v>
      </c>
      <c r="AM1079">
        <v>0</v>
      </c>
      <c r="AN1079">
        <v>0</v>
      </c>
      <c r="AO1079">
        <v>0</v>
      </c>
      <c r="AP1079">
        <v>0</v>
      </c>
      <c r="AQ1079">
        <v>0</v>
      </c>
      <c r="AR1079">
        <v>0</v>
      </c>
      <c r="AS1079">
        <v>0</v>
      </c>
      <c r="AT1079">
        <v>0</v>
      </c>
      <c r="AU1079">
        <f t="shared" si="32"/>
        <v>0</v>
      </c>
      <c r="AV1079">
        <f t="shared" si="33"/>
        <v>0</v>
      </c>
    </row>
    <row r="1080" spans="1:48" x14ac:dyDescent="0.25">
      <c r="A1080" t="s">
        <v>5175</v>
      </c>
      <c r="C1080" t="s">
        <v>5176</v>
      </c>
      <c r="D1080" t="s">
        <v>5177</v>
      </c>
      <c r="E1080" t="s">
        <v>2310</v>
      </c>
      <c r="F1080">
        <v>14</v>
      </c>
      <c r="G1080">
        <v>14.2</v>
      </c>
      <c r="H1080" t="s">
        <v>2017</v>
      </c>
      <c r="I1080" s="21">
        <v>38146</v>
      </c>
      <c r="J1080">
        <v>2004</v>
      </c>
      <c r="K1080" s="21">
        <v>38176</v>
      </c>
      <c r="L1080">
        <v>2004</v>
      </c>
      <c r="M1080" s="21">
        <v>38176</v>
      </c>
      <c r="N1080">
        <v>2004</v>
      </c>
      <c r="R1080" s="262">
        <v>48000</v>
      </c>
      <c r="S1080" t="s">
        <v>114</v>
      </c>
      <c r="T1080" t="s">
        <v>114</v>
      </c>
      <c r="U1080">
        <v>5</v>
      </c>
      <c r="W1080">
        <v>2866</v>
      </c>
      <c r="X1080">
        <v>0</v>
      </c>
      <c r="Y1080">
        <v>0</v>
      </c>
      <c r="Z1080">
        <v>0</v>
      </c>
      <c r="AA1080">
        <v>0</v>
      </c>
      <c r="AB1080">
        <v>0</v>
      </c>
      <c r="AC1080">
        <v>2866</v>
      </c>
      <c r="AD1080">
        <v>0</v>
      </c>
      <c r="AE1080">
        <v>0</v>
      </c>
      <c r="AF1080">
        <v>0</v>
      </c>
      <c r="AG1080">
        <v>0</v>
      </c>
      <c r="AH1080">
        <v>0</v>
      </c>
      <c r="AI1080">
        <v>0</v>
      </c>
      <c r="AJ1080">
        <v>0</v>
      </c>
      <c r="AK1080">
        <v>0</v>
      </c>
      <c r="AL1080">
        <v>0</v>
      </c>
      <c r="AM1080">
        <v>0</v>
      </c>
      <c r="AN1080">
        <v>0</v>
      </c>
      <c r="AO1080">
        <v>0</v>
      </c>
      <c r="AP1080">
        <v>0</v>
      </c>
      <c r="AQ1080">
        <v>0</v>
      </c>
      <c r="AR1080">
        <v>0</v>
      </c>
      <c r="AS1080">
        <v>0</v>
      </c>
      <c r="AT1080">
        <v>0</v>
      </c>
      <c r="AU1080">
        <f t="shared" si="32"/>
        <v>0</v>
      </c>
      <c r="AV1080">
        <f t="shared" si="33"/>
        <v>0</v>
      </c>
    </row>
    <row r="1081" spans="1:48" x14ac:dyDescent="0.25">
      <c r="A1081" t="s">
        <v>5178</v>
      </c>
      <c r="C1081" t="s">
        <v>5179</v>
      </c>
      <c r="D1081" t="s">
        <v>5180</v>
      </c>
      <c r="E1081" t="s">
        <v>2310</v>
      </c>
      <c r="F1081">
        <v>14</v>
      </c>
      <c r="G1081">
        <v>14.1</v>
      </c>
      <c r="H1081" t="s">
        <v>2022</v>
      </c>
      <c r="I1081" s="21">
        <v>38146</v>
      </c>
      <c r="J1081">
        <v>2004</v>
      </c>
      <c r="K1081" s="21">
        <v>38197</v>
      </c>
      <c r="L1081">
        <v>2004</v>
      </c>
      <c r="M1081" s="21">
        <v>38293</v>
      </c>
      <c r="N1081">
        <v>2004</v>
      </c>
      <c r="R1081" s="262">
        <v>95000</v>
      </c>
      <c r="S1081" t="s">
        <v>114</v>
      </c>
      <c r="T1081" t="s">
        <v>114</v>
      </c>
      <c r="U1081">
        <v>8</v>
      </c>
      <c r="W1081">
        <v>1248</v>
      </c>
      <c r="X1081">
        <v>1</v>
      </c>
      <c r="Y1081">
        <v>0</v>
      </c>
      <c r="Z1081">
        <v>0</v>
      </c>
      <c r="AA1081">
        <v>0</v>
      </c>
      <c r="AB1081">
        <v>0</v>
      </c>
      <c r="AC1081">
        <v>676</v>
      </c>
      <c r="AD1081">
        <v>0</v>
      </c>
      <c r="AE1081">
        <v>0</v>
      </c>
      <c r="AF1081">
        <v>572</v>
      </c>
      <c r="AG1081">
        <v>0</v>
      </c>
      <c r="AH1081">
        <v>0</v>
      </c>
      <c r="AI1081">
        <v>0</v>
      </c>
      <c r="AJ1081">
        <v>0</v>
      </c>
      <c r="AK1081">
        <v>0</v>
      </c>
      <c r="AL1081">
        <v>0</v>
      </c>
      <c r="AM1081">
        <v>0</v>
      </c>
      <c r="AN1081">
        <v>0</v>
      </c>
      <c r="AO1081">
        <v>0</v>
      </c>
      <c r="AP1081">
        <v>0</v>
      </c>
      <c r="AQ1081">
        <v>0</v>
      </c>
      <c r="AR1081">
        <v>1</v>
      </c>
      <c r="AS1081">
        <v>0</v>
      </c>
      <c r="AT1081">
        <v>0</v>
      </c>
      <c r="AU1081">
        <f t="shared" si="32"/>
        <v>0</v>
      </c>
      <c r="AV1081">
        <f t="shared" si="33"/>
        <v>0</v>
      </c>
    </row>
    <row r="1082" spans="1:48" x14ac:dyDescent="0.25">
      <c r="A1082" t="s">
        <v>5092</v>
      </c>
      <c r="C1082" t="s">
        <v>5093</v>
      </c>
      <c r="D1082" t="s">
        <v>5094</v>
      </c>
      <c r="E1082" t="s">
        <v>1663</v>
      </c>
      <c r="F1082">
        <v>4</v>
      </c>
      <c r="G1082">
        <v>4.4000000000000004</v>
      </c>
      <c r="H1082" t="s">
        <v>2017</v>
      </c>
      <c r="I1082" s="21">
        <v>38146</v>
      </c>
      <c r="J1082">
        <v>2004</v>
      </c>
      <c r="K1082" s="21">
        <v>38176</v>
      </c>
      <c r="L1082">
        <v>2004</v>
      </c>
      <c r="M1082" s="21">
        <v>38329</v>
      </c>
      <c r="N1082">
        <v>2004</v>
      </c>
      <c r="Q1082" s="262">
        <v>0</v>
      </c>
      <c r="S1082" t="s">
        <v>114</v>
      </c>
      <c r="T1082" t="s">
        <v>114</v>
      </c>
      <c r="W1082">
        <v>1768</v>
      </c>
      <c r="X1082">
        <v>1</v>
      </c>
      <c r="Y1082">
        <v>0</v>
      </c>
      <c r="Z1082">
        <v>0</v>
      </c>
      <c r="AA1082">
        <v>0</v>
      </c>
      <c r="AB1082">
        <v>0</v>
      </c>
      <c r="AC1082">
        <v>0</v>
      </c>
      <c r="AD1082">
        <v>1768</v>
      </c>
      <c r="AE1082">
        <v>0</v>
      </c>
      <c r="AF1082">
        <v>0</v>
      </c>
      <c r="AG1082">
        <v>0</v>
      </c>
      <c r="AH1082">
        <v>0</v>
      </c>
      <c r="AI1082">
        <v>0</v>
      </c>
      <c r="AJ1082">
        <v>0</v>
      </c>
      <c r="AK1082">
        <v>0</v>
      </c>
      <c r="AL1082">
        <v>0</v>
      </c>
      <c r="AM1082">
        <v>0</v>
      </c>
      <c r="AN1082">
        <v>0</v>
      </c>
      <c r="AO1082">
        <v>0</v>
      </c>
      <c r="AP1082">
        <v>1</v>
      </c>
      <c r="AQ1082">
        <v>0</v>
      </c>
      <c r="AR1082">
        <v>0</v>
      </c>
      <c r="AS1082">
        <v>0</v>
      </c>
      <c r="AT1082">
        <v>0</v>
      </c>
      <c r="AU1082">
        <f t="shared" si="32"/>
        <v>1</v>
      </c>
      <c r="AV1082">
        <f t="shared" si="33"/>
        <v>0</v>
      </c>
    </row>
    <row r="1083" spans="1:48" x14ac:dyDescent="0.25">
      <c r="A1083" t="s">
        <v>5095</v>
      </c>
      <c r="C1083" t="s">
        <v>5096</v>
      </c>
      <c r="D1083" t="s">
        <v>5094</v>
      </c>
      <c r="E1083" t="s">
        <v>1663</v>
      </c>
      <c r="F1083">
        <v>4</v>
      </c>
      <c r="G1083">
        <v>4.4000000000000004</v>
      </c>
      <c r="H1083" t="s">
        <v>2017</v>
      </c>
      <c r="I1083" s="21">
        <v>38146</v>
      </c>
      <c r="J1083">
        <v>2004</v>
      </c>
      <c r="K1083" s="21">
        <v>38176</v>
      </c>
      <c r="L1083">
        <v>2004</v>
      </c>
      <c r="M1083" s="21">
        <v>38329</v>
      </c>
      <c r="N1083">
        <v>2004</v>
      </c>
      <c r="Q1083" s="262">
        <v>0</v>
      </c>
      <c r="S1083" t="s">
        <v>114</v>
      </c>
      <c r="T1083" t="s">
        <v>114</v>
      </c>
      <c r="W1083">
        <v>1596</v>
      </c>
      <c r="X1083">
        <v>1</v>
      </c>
      <c r="Y1083">
        <v>0</v>
      </c>
      <c r="Z1083">
        <v>0</v>
      </c>
      <c r="AA1083">
        <v>0</v>
      </c>
      <c r="AB1083">
        <v>0</v>
      </c>
      <c r="AC1083">
        <v>0</v>
      </c>
      <c r="AD1083">
        <v>1596</v>
      </c>
      <c r="AE1083">
        <v>0</v>
      </c>
      <c r="AF1083">
        <v>0</v>
      </c>
      <c r="AG1083">
        <v>0</v>
      </c>
      <c r="AH1083">
        <v>0</v>
      </c>
      <c r="AI1083">
        <v>0</v>
      </c>
      <c r="AJ1083">
        <v>0</v>
      </c>
      <c r="AK1083">
        <v>0</v>
      </c>
      <c r="AL1083">
        <v>0</v>
      </c>
      <c r="AM1083">
        <v>0</v>
      </c>
      <c r="AN1083">
        <v>0</v>
      </c>
      <c r="AO1083">
        <v>0</v>
      </c>
      <c r="AP1083">
        <v>1</v>
      </c>
      <c r="AQ1083">
        <v>0</v>
      </c>
      <c r="AR1083">
        <v>0</v>
      </c>
      <c r="AS1083">
        <v>0</v>
      </c>
      <c r="AT1083">
        <v>0</v>
      </c>
      <c r="AU1083">
        <f t="shared" si="32"/>
        <v>1</v>
      </c>
      <c r="AV1083">
        <f t="shared" si="33"/>
        <v>0</v>
      </c>
    </row>
    <row r="1084" spans="1:48" x14ac:dyDescent="0.25">
      <c r="A1084" t="s">
        <v>5097</v>
      </c>
      <c r="C1084" t="s">
        <v>5098</v>
      </c>
      <c r="D1084" t="s">
        <v>5094</v>
      </c>
      <c r="E1084" t="s">
        <v>1663</v>
      </c>
      <c r="F1084">
        <v>4</v>
      </c>
      <c r="G1084">
        <v>4.4000000000000004</v>
      </c>
      <c r="H1084" t="s">
        <v>2017</v>
      </c>
      <c r="I1084" s="21">
        <v>38146</v>
      </c>
      <c r="J1084">
        <v>2004</v>
      </c>
      <c r="K1084" s="21">
        <v>38176</v>
      </c>
      <c r="L1084">
        <v>2004</v>
      </c>
      <c r="M1084" s="21">
        <v>38329</v>
      </c>
      <c r="N1084">
        <v>2004</v>
      </c>
      <c r="Q1084" s="262">
        <v>0</v>
      </c>
      <c r="S1084" t="s">
        <v>114</v>
      </c>
      <c r="T1084" t="s">
        <v>114</v>
      </c>
      <c r="W1084">
        <v>1400</v>
      </c>
      <c r="X1084">
        <v>1</v>
      </c>
      <c r="Y1084">
        <v>0</v>
      </c>
      <c r="Z1084">
        <v>0</v>
      </c>
      <c r="AA1084">
        <v>0</v>
      </c>
      <c r="AB1084">
        <v>0</v>
      </c>
      <c r="AC1084">
        <v>0</v>
      </c>
      <c r="AD1084">
        <v>1400</v>
      </c>
      <c r="AE1084">
        <v>0</v>
      </c>
      <c r="AF1084">
        <v>0</v>
      </c>
      <c r="AG1084">
        <v>0</v>
      </c>
      <c r="AH1084">
        <v>0</v>
      </c>
      <c r="AI1084">
        <v>0</v>
      </c>
      <c r="AJ1084">
        <v>0</v>
      </c>
      <c r="AK1084">
        <v>0</v>
      </c>
      <c r="AL1084">
        <v>0</v>
      </c>
      <c r="AM1084">
        <v>0</v>
      </c>
      <c r="AN1084">
        <v>0</v>
      </c>
      <c r="AO1084">
        <v>0</v>
      </c>
      <c r="AP1084">
        <v>1</v>
      </c>
      <c r="AQ1084">
        <v>0</v>
      </c>
      <c r="AR1084">
        <v>0</v>
      </c>
      <c r="AS1084">
        <v>0</v>
      </c>
      <c r="AT1084">
        <v>0</v>
      </c>
      <c r="AU1084">
        <f t="shared" si="32"/>
        <v>1</v>
      </c>
      <c r="AV1084">
        <f t="shared" si="33"/>
        <v>0</v>
      </c>
    </row>
    <row r="1085" spans="1:48" x14ac:dyDescent="0.25">
      <c r="A1085" t="s">
        <v>5099</v>
      </c>
      <c r="C1085" t="s">
        <v>5100</v>
      </c>
      <c r="D1085" t="s">
        <v>5094</v>
      </c>
      <c r="E1085" t="s">
        <v>1663</v>
      </c>
      <c r="F1085">
        <v>4</v>
      </c>
      <c r="G1085">
        <v>4.4000000000000004</v>
      </c>
      <c r="H1085" t="s">
        <v>2017</v>
      </c>
      <c r="I1085" s="21">
        <v>38146</v>
      </c>
      <c r="J1085">
        <v>2004</v>
      </c>
      <c r="K1085" s="21">
        <v>38176</v>
      </c>
      <c r="L1085">
        <v>2004</v>
      </c>
      <c r="M1085" s="21">
        <v>38329</v>
      </c>
      <c r="N1085">
        <v>2004</v>
      </c>
      <c r="Q1085" s="262">
        <v>0</v>
      </c>
      <c r="S1085" t="s">
        <v>114</v>
      </c>
      <c r="T1085" t="s">
        <v>114</v>
      </c>
      <c r="W1085">
        <v>1400</v>
      </c>
      <c r="X1085">
        <v>1</v>
      </c>
      <c r="Y1085">
        <v>0</v>
      </c>
      <c r="Z1085">
        <v>0</v>
      </c>
      <c r="AA1085">
        <v>0</v>
      </c>
      <c r="AB1085">
        <v>0</v>
      </c>
      <c r="AC1085">
        <v>0</v>
      </c>
      <c r="AD1085">
        <v>1400</v>
      </c>
      <c r="AE1085">
        <v>0</v>
      </c>
      <c r="AF1085">
        <v>0</v>
      </c>
      <c r="AG1085">
        <v>0</v>
      </c>
      <c r="AH1085">
        <v>0</v>
      </c>
      <c r="AI1085">
        <v>0</v>
      </c>
      <c r="AJ1085">
        <v>0</v>
      </c>
      <c r="AK1085">
        <v>0</v>
      </c>
      <c r="AL1085">
        <v>0</v>
      </c>
      <c r="AM1085">
        <v>0</v>
      </c>
      <c r="AN1085">
        <v>0</v>
      </c>
      <c r="AO1085">
        <v>0</v>
      </c>
      <c r="AP1085">
        <v>1</v>
      </c>
      <c r="AQ1085">
        <v>0</v>
      </c>
      <c r="AR1085">
        <v>0</v>
      </c>
      <c r="AS1085">
        <v>0</v>
      </c>
      <c r="AT1085">
        <v>0</v>
      </c>
      <c r="AU1085">
        <f t="shared" si="32"/>
        <v>1</v>
      </c>
      <c r="AV1085">
        <f t="shared" si="33"/>
        <v>0</v>
      </c>
    </row>
    <row r="1086" spans="1:48" x14ac:dyDescent="0.25">
      <c r="A1086" t="s">
        <v>5101</v>
      </c>
      <c r="C1086" t="s">
        <v>5102</v>
      </c>
      <c r="D1086" t="s">
        <v>5094</v>
      </c>
      <c r="E1086" t="s">
        <v>1663</v>
      </c>
      <c r="F1086">
        <v>4</v>
      </c>
      <c r="G1086">
        <v>4.4000000000000004</v>
      </c>
      <c r="H1086" t="s">
        <v>2017</v>
      </c>
      <c r="I1086" s="21">
        <v>38146</v>
      </c>
      <c r="J1086">
        <v>2004</v>
      </c>
      <c r="K1086" s="21">
        <v>38176</v>
      </c>
      <c r="L1086">
        <v>2004</v>
      </c>
      <c r="M1086" s="21">
        <v>38329</v>
      </c>
      <c r="N1086">
        <v>2004</v>
      </c>
      <c r="Q1086" s="262">
        <v>0</v>
      </c>
      <c r="S1086" t="s">
        <v>114</v>
      </c>
      <c r="T1086" t="s">
        <v>114</v>
      </c>
      <c r="W1086">
        <v>1596</v>
      </c>
      <c r="X1086">
        <v>1</v>
      </c>
      <c r="Y1086">
        <v>0</v>
      </c>
      <c r="Z1086">
        <v>0</v>
      </c>
      <c r="AA1086">
        <v>0</v>
      </c>
      <c r="AB1086">
        <v>0</v>
      </c>
      <c r="AC1086">
        <v>0</v>
      </c>
      <c r="AD1086">
        <v>1596</v>
      </c>
      <c r="AE1086">
        <v>0</v>
      </c>
      <c r="AF1086">
        <v>0</v>
      </c>
      <c r="AG1086">
        <v>0</v>
      </c>
      <c r="AH1086">
        <v>0</v>
      </c>
      <c r="AI1086">
        <v>0</v>
      </c>
      <c r="AJ1086">
        <v>0</v>
      </c>
      <c r="AK1086">
        <v>0</v>
      </c>
      <c r="AL1086">
        <v>0</v>
      </c>
      <c r="AM1086">
        <v>0</v>
      </c>
      <c r="AN1086">
        <v>0</v>
      </c>
      <c r="AO1086">
        <v>0</v>
      </c>
      <c r="AP1086">
        <v>1</v>
      </c>
      <c r="AQ1086">
        <v>0</v>
      </c>
      <c r="AR1086">
        <v>0</v>
      </c>
      <c r="AS1086">
        <v>0</v>
      </c>
      <c r="AT1086">
        <v>0</v>
      </c>
      <c r="AU1086">
        <f t="shared" si="32"/>
        <v>1</v>
      </c>
      <c r="AV1086">
        <f t="shared" si="33"/>
        <v>0</v>
      </c>
    </row>
    <row r="1087" spans="1:48" x14ac:dyDescent="0.25">
      <c r="A1087" t="s">
        <v>5103</v>
      </c>
      <c r="C1087" t="s">
        <v>5104</v>
      </c>
      <c r="D1087" t="s">
        <v>5094</v>
      </c>
      <c r="E1087" t="s">
        <v>1663</v>
      </c>
      <c r="F1087">
        <v>4</v>
      </c>
      <c r="G1087">
        <v>4.4000000000000004</v>
      </c>
      <c r="H1087" t="s">
        <v>2017</v>
      </c>
      <c r="I1087" s="21">
        <v>38146</v>
      </c>
      <c r="J1087">
        <v>2004</v>
      </c>
      <c r="K1087" s="21">
        <v>38176</v>
      </c>
      <c r="L1087">
        <v>2004</v>
      </c>
      <c r="M1087" s="21">
        <v>38329</v>
      </c>
      <c r="N1087">
        <v>2004</v>
      </c>
      <c r="Q1087" s="262">
        <v>0</v>
      </c>
      <c r="S1087" t="s">
        <v>114</v>
      </c>
      <c r="T1087" t="s">
        <v>114</v>
      </c>
      <c r="W1087">
        <v>1596</v>
      </c>
      <c r="X1087">
        <v>1</v>
      </c>
      <c r="Y1087">
        <v>0</v>
      </c>
      <c r="Z1087">
        <v>0</v>
      </c>
      <c r="AA1087">
        <v>0</v>
      </c>
      <c r="AB1087">
        <v>0</v>
      </c>
      <c r="AC1087">
        <v>0</v>
      </c>
      <c r="AD1087">
        <v>1596</v>
      </c>
      <c r="AE1087">
        <v>0</v>
      </c>
      <c r="AF1087">
        <v>0</v>
      </c>
      <c r="AG1087">
        <v>0</v>
      </c>
      <c r="AH1087">
        <v>0</v>
      </c>
      <c r="AI1087">
        <v>0</v>
      </c>
      <c r="AJ1087">
        <v>0</v>
      </c>
      <c r="AK1087">
        <v>0</v>
      </c>
      <c r="AL1087">
        <v>0</v>
      </c>
      <c r="AM1087">
        <v>0</v>
      </c>
      <c r="AN1087">
        <v>0</v>
      </c>
      <c r="AO1087">
        <v>0</v>
      </c>
      <c r="AP1087">
        <v>1</v>
      </c>
      <c r="AQ1087">
        <v>0</v>
      </c>
      <c r="AR1087">
        <v>0</v>
      </c>
      <c r="AS1087">
        <v>0</v>
      </c>
      <c r="AT1087">
        <v>0</v>
      </c>
      <c r="AU1087">
        <f t="shared" si="32"/>
        <v>1</v>
      </c>
      <c r="AV1087">
        <f t="shared" si="33"/>
        <v>0</v>
      </c>
    </row>
    <row r="1088" spans="1:48" x14ac:dyDescent="0.25">
      <c r="A1088" t="s">
        <v>5105</v>
      </c>
      <c r="C1088" t="s">
        <v>5106</v>
      </c>
      <c r="D1088" t="s">
        <v>5094</v>
      </c>
      <c r="E1088" t="s">
        <v>1663</v>
      </c>
      <c r="F1088">
        <v>4</v>
      </c>
      <c r="G1088">
        <v>4.4000000000000004</v>
      </c>
      <c r="H1088" t="s">
        <v>2017</v>
      </c>
      <c r="I1088" s="21">
        <v>38146</v>
      </c>
      <c r="J1088">
        <v>2004</v>
      </c>
      <c r="K1088" s="21">
        <v>38176</v>
      </c>
      <c r="L1088">
        <v>2004</v>
      </c>
      <c r="M1088" s="21">
        <v>38329</v>
      </c>
      <c r="N1088">
        <v>2004</v>
      </c>
      <c r="Q1088" s="262">
        <v>0</v>
      </c>
      <c r="S1088" t="s">
        <v>114</v>
      </c>
      <c r="T1088" t="s">
        <v>114</v>
      </c>
      <c r="W1088">
        <v>1400</v>
      </c>
      <c r="X1088">
        <v>1</v>
      </c>
      <c r="Y1088">
        <v>0</v>
      </c>
      <c r="Z1088">
        <v>0</v>
      </c>
      <c r="AA1088">
        <v>0</v>
      </c>
      <c r="AB1088">
        <v>0</v>
      </c>
      <c r="AC1088">
        <v>0</v>
      </c>
      <c r="AD1088">
        <v>1400</v>
      </c>
      <c r="AE1088">
        <v>0</v>
      </c>
      <c r="AF1088">
        <v>0</v>
      </c>
      <c r="AG1088">
        <v>0</v>
      </c>
      <c r="AH1088">
        <v>0</v>
      </c>
      <c r="AI1088">
        <v>0</v>
      </c>
      <c r="AJ1088">
        <v>0</v>
      </c>
      <c r="AK1088">
        <v>0</v>
      </c>
      <c r="AL1088">
        <v>0</v>
      </c>
      <c r="AM1088">
        <v>0</v>
      </c>
      <c r="AN1088">
        <v>0</v>
      </c>
      <c r="AO1088">
        <v>0</v>
      </c>
      <c r="AP1088">
        <v>1</v>
      </c>
      <c r="AQ1088">
        <v>0</v>
      </c>
      <c r="AR1088">
        <v>0</v>
      </c>
      <c r="AS1088">
        <v>0</v>
      </c>
      <c r="AT1088">
        <v>0</v>
      </c>
      <c r="AU1088">
        <f t="shared" si="32"/>
        <v>1</v>
      </c>
      <c r="AV1088">
        <f t="shared" si="33"/>
        <v>0</v>
      </c>
    </row>
    <row r="1089" spans="1:48" x14ac:dyDescent="0.25">
      <c r="A1089" t="s">
        <v>5107</v>
      </c>
      <c r="C1089" t="s">
        <v>5108</v>
      </c>
      <c r="D1089" t="s">
        <v>5094</v>
      </c>
      <c r="E1089" t="s">
        <v>1663</v>
      </c>
      <c r="F1089">
        <v>4</v>
      </c>
      <c r="G1089">
        <v>4.4000000000000004</v>
      </c>
      <c r="H1089" t="s">
        <v>2017</v>
      </c>
      <c r="I1089" s="21">
        <v>38146</v>
      </c>
      <c r="J1089">
        <v>2004</v>
      </c>
      <c r="K1089" s="21">
        <v>38176</v>
      </c>
      <c r="L1089">
        <v>2004</v>
      </c>
      <c r="M1089" s="21">
        <v>38329</v>
      </c>
      <c r="N1089">
        <v>2004</v>
      </c>
      <c r="Q1089" s="262">
        <v>0</v>
      </c>
      <c r="S1089" t="s">
        <v>114</v>
      </c>
      <c r="T1089" t="s">
        <v>114</v>
      </c>
      <c r="W1089">
        <v>1400</v>
      </c>
      <c r="X1089">
        <v>1</v>
      </c>
      <c r="Y1089">
        <v>0</v>
      </c>
      <c r="Z1089">
        <v>0</v>
      </c>
      <c r="AA1089">
        <v>0</v>
      </c>
      <c r="AB1089">
        <v>0</v>
      </c>
      <c r="AC1089">
        <v>0</v>
      </c>
      <c r="AD1089">
        <v>1400</v>
      </c>
      <c r="AE1089">
        <v>0</v>
      </c>
      <c r="AF1089">
        <v>0</v>
      </c>
      <c r="AG1089">
        <v>0</v>
      </c>
      <c r="AH1089">
        <v>0</v>
      </c>
      <c r="AI1089">
        <v>0</v>
      </c>
      <c r="AJ1089">
        <v>0</v>
      </c>
      <c r="AK1089">
        <v>0</v>
      </c>
      <c r="AL1089">
        <v>0</v>
      </c>
      <c r="AM1089">
        <v>0</v>
      </c>
      <c r="AN1089">
        <v>0</v>
      </c>
      <c r="AO1089">
        <v>0</v>
      </c>
      <c r="AP1089">
        <v>1</v>
      </c>
      <c r="AQ1089">
        <v>0</v>
      </c>
      <c r="AR1089">
        <v>0</v>
      </c>
      <c r="AS1089">
        <v>0</v>
      </c>
      <c r="AT1089">
        <v>0</v>
      </c>
      <c r="AU1089">
        <f t="shared" si="32"/>
        <v>1</v>
      </c>
      <c r="AV1089">
        <f t="shared" si="33"/>
        <v>0</v>
      </c>
    </row>
    <row r="1090" spans="1:48" x14ac:dyDescent="0.25">
      <c r="A1090" t="s">
        <v>5109</v>
      </c>
      <c r="C1090" t="s">
        <v>5110</v>
      </c>
      <c r="D1090" t="s">
        <v>5094</v>
      </c>
      <c r="E1090" t="s">
        <v>1663</v>
      </c>
      <c r="F1090">
        <v>4</v>
      </c>
      <c r="G1090">
        <v>4.4000000000000004</v>
      </c>
      <c r="H1090" t="s">
        <v>2017</v>
      </c>
      <c r="I1090" s="21">
        <v>38146</v>
      </c>
      <c r="J1090">
        <v>2004</v>
      </c>
      <c r="K1090" s="21">
        <v>38176</v>
      </c>
      <c r="L1090">
        <v>2004</v>
      </c>
      <c r="M1090" s="21">
        <v>38329</v>
      </c>
      <c r="N1090">
        <v>2004</v>
      </c>
      <c r="Q1090" s="262">
        <v>0</v>
      </c>
      <c r="S1090" t="s">
        <v>114</v>
      </c>
      <c r="T1090" t="s">
        <v>114</v>
      </c>
      <c r="W1090">
        <v>1596</v>
      </c>
      <c r="X1090">
        <v>1</v>
      </c>
      <c r="Y1090">
        <v>0</v>
      </c>
      <c r="Z1090">
        <v>0</v>
      </c>
      <c r="AA1090">
        <v>0</v>
      </c>
      <c r="AB1090">
        <v>0</v>
      </c>
      <c r="AC1090">
        <v>0</v>
      </c>
      <c r="AD1090">
        <v>1596</v>
      </c>
      <c r="AE1090">
        <v>0</v>
      </c>
      <c r="AF1090">
        <v>0</v>
      </c>
      <c r="AG1090">
        <v>0</v>
      </c>
      <c r="AH1090">
        <v>0</v>
      </c>
      <c r="AI1090">
        <v>0</v>
      </c>
      <c r="AJ1090">
        <v>0</v>
      </c>
      <c r="AK1090">
        <v>0</v>
      </c>
      <c r="AL1090">
        <v>0</v>
      </c>
      <c r="AM1090">
        <v>0</v>
      </c>
      <c r="AN1090">
        <v>0</v>
      </c>
      <c r="AO1090">
        <v>0</v>
      </c>
      <c r="AP1090">
        <v>1</v>
      </c>
      <c r="AQ1090">
        <v>0</v>
      </c>
      <c r="AR1090">
        <v>0</v>
      </c>
      <c r="AS1090">
        <v>0</v>
      </c>
      <c r="AT1090">
        <v>0</v>
      </c>
      <c r="AU1090">
        <f t="shared" si="32"/>
        <v>1</v>
      </c>
      <c r="AV1090">
        <f t="shared" si="33"/>
        <v>0</v>
      </c>
    </row>
    <row r="1091" spans="1:48" x14ac:dyDescent="0.25">
      <c r="A1091" t="s">
        <v>5111</v>
      </c>
      <c r="C1091" t="s">
        <v>5112</v>
      </c>
      <c r="D1091" t="s">
        <v>5094</v>
      </c>
      <c r="E1091" t="s">
        <v>1663</v>
      </c>
      <c r="F1091">
        <v>4</v>
      </c>
      <c r="G1091">
        <v>4.4000000000000004</v>
      </c>
      <c r="H1091" t="s">
        <v>2017</v>
      </c>
      <c r="I1091" s="21">
        <v>38146</v>
      </c>
      <c r="J1091">
        <v>2004</v>
      </c>
      <c r="K1091" s="21">
        <v>38176</v>
      </c>
      <c r="L1091">
        <v>2004</v>
      </c>
      <c r="M1091" s="21">
        <v>38329</v>
      </c>
      <c r="N1091">
        <v>2004</v>
      </c>
      <c r="Q1091" s="262">
        <v>0</v>
      </c>
      <c r="S1091" t="s">
        <v>114</v>
      </c>
      <c r="T1091" t="s">
        <v>114</v>
      </c>
      <c r="W1091">
        <v>1768</v>
      </c>
      <c r="X1091">
        <v>1</v>
      </c>
      <c r="Y1091">
        <v>0</v>
      </c>
      <c r="Z1091">
        <v>0</v>
      </c>
      <c r="AA1091">
        <v>0</v>
      </c>
      <c r="AB1091">
        <v>0</v>
      </c>
      <c r="AC1091">
        <v>0</v>
      </c>
      <c r="AD1091">
        <v>1768</v>
      </c>
      <c r="AE1091">
        <v>0</v>
      </c>
      <c r="AF1091">
        <v>0</v>
      </c>
      <c r="AG1091">
        <v>0</v>
      </c>
      <c r="AH1091">
        <v>0</v>
      </c>
      <c r="AI1091">
        <v>0</v>
      </c>
      <c r="AJ1091">
        <v>0</v>
      </c>
      <c r="AK1091">
        <v>0</v>
      </c>
      <c r="AL1091">
        <v>0</v>
      </c>
      <c r="AM1091">
        <v>0</v>
      </c>
      <c r="AN1091">
        <v>0</v>
      </c>
      <c r="AO1091">
        <v>0</v>
      </c>
      <c r="AP1091">
        <v>1</v>
      </c>
      <c r="AQ1091">
        <v>0</v>
      </c>
      <c r="AR1091">
        <v>0</v>
      </c>
      <c r="AS1091">
        <v>0</v>
      </c>
      <c r="AT1091">
        <v>0</v>
      </c>
      <c r="AU1091">
        <f t="shared" si="32"/>
        <v>1</v>
      </c>
      <c r="AV1091">
        <f t="shared" si="33"/>
        <v>0</v>
      </c>
    </row>
    <row r="1092" spans="1:48" x14ac:dyDescent="0.25">
      <c r="A1092" t="s">
        <v>5113</v>
      </c>
      <c r="C1092" t="s">
        <v>5114</v>
      </c>
      <c r="D1092" t="s">
        <v>5094</v>
      </c>
      <c r="E1092" t="s">
        <v>1663</v>
      </c>
      <c r="F1092">
        <v>4</v>
      </c>
      <c r="G1092">
        <v>4.4000000000000004</v>
      </c>
      <c r="H1092" t="s">
        <v>2017</v>
      </c>
      <c r="I1092" s="21">
        <v>38146</v>
      </c>
      <c r="J1092">
        <v>2004</v>
      </c>
      <c r="K1092" s="21">
        <v>38176</v>
      </c>
      <c r="L1092">
        <v>2004</v>
      </c>
      <c r="M1092" s="21">
        <v>38329</v>
      </c>
      <c r="N1092">
        <v>2004</v>
      </c>
      <c r="Q1092" s="262">
        <v>0</v>
      </c>
      <c r="S1092" t="s">
        <v>114</v>
      </c>
      <c r="T1092" t="s">
        <v>114</v>
      </c>
      <c r="W1092">
        <v>1768</v>
      </c>
      <c r="X1092">
        <v>1</v>
      </c>
      <c r="Y1092">
        <v>0</v>
      </c>
      <c r="Z1092">
        <v>0</v>
      </c>
      <c r="AA1092">
        <v>0</v>
      </c>
      <c r="AB1092">
        <v>0</v>
      </c>
      <c r="AC1092">
        <v>0</v>
      </c>
      <c r="AD1092">
        <v>1768</v>
      </c>
      <c r="AE1092">
        <v>0</v>
      </c>
      <c r="AF1092">
        <v>0</v>
      </c>
      <c r="AG1092">
        <v>0</v>
      </c>
      <c r="AH1092">
        <v>0</v>
      </c>
      <c r="AI1092">
        <v>0</v>
      </c>
      <c r="AJ1092">
        <v>0</v>
      </c>
      <c r="AK1092">
        <v>0</v>
      </c>
      <c r="AL1092">
        <v>0</v>
      </c>
      <c r="AM1092">
        <v>0</v>
      </c>
      <c r="AN1092">
        <v>0</v>
      </c>
      <c r="AO1092">
        <v>0</v>
      </c>
      <c r="AP1092">
        <v>1</v>
      </c>
      <c r="AQ1092">
        <v>0</v>
      </c>
      <c r="AR1092">
        <v>0</v>
      </c>
      <c r="AS1092">
        <v>0</v>
      </c>
      <c r="AT1092">
        <v>0</v>
      </c>
      <c r="AU1092">
        <f t="shared" si="32"/>
        <v>1</v>
      </c>
      <c r="AV1092">
        <f t="shared" si="33"/>
        <v>0</v>
      </c>
    </row>
    <row r="1093" spans="1:48" x14ac:dyDescent="0.25">
      <c r="A1093" t="s">
        <v>5115</v>
      </c>
      <c r="C1093" t="s">
        <v>5093</v>
      </c>
      <c r="D1093" t="s">
        <v>5094</v>
      </c>
      <c r="E1093" t="s">
        <v>1663</v>
      </c>
      <c r="F1093">
        <v>4</v>
      </c>
      <c r="G1093">
        <v>4.4000000000000004</v>
      </c>
      <c r="H1093" t="s">
        <v>2017</v>
      </c>
      <c r="I1093" s="21">
        <v>38146</v>
      </c>
      <c r="J1093">
        <v>2004</v>
      </c>
      <c r="K1093" s="21">
        <v>38176</v>
      </c>
      <c r="L1093">
        <v>2004</v>
      </c>
      <c r="M1093" s="21">
        <v>38329</v>
      </c>
      <c r="N1093">
        <v>2004</v>
      </c>
      <c r="Q1093" s="262">
        <v>0</v>
      </c>
      <c r="S1093" t="s">
        <v>114</v>
      </c>
      <c r="T1093" t="s">
        <v>114</v>
      </c>
      <c r="W1093">
        <v>1596</v>
      </c>
      <c r="X1093">
        <v>1</v>
      </c>
      <c r="Y1093">
        <v>0</v>
      </c>
      <c r="Z1093">
        <v>0</v>
      </c>
      <c r="AA1093">
        <v>0</v>
      </c>
      <c r="AB1093">
        <v>0</v>
      </c>
      <c r="AC1093">
        <v>0</v>
      </c>
      <c r="AD1093">
        <v>1596</v>
      </c>
      <c r="AE1093">
        <v>0</v>
      </c>
      <c r="AF1093">
        <v>0</v>
      </c>
      <c r="AG1093">
        <v>0</v>
      </c>
      <c r="AH1093">
        <v>0</v>
      </c>
      <c r="AI1093">
        <v>0</v>
      </c>
      <c r="AJ1093">
        <v>0</v>
      </c>
      <c r="AK1093">
        <v>0</v>
      </c>
      <c r="AL1093">
        <v>0</v>
      </c>
      <c r="AM1093">
        <v>0</v>
      </c>
      <c r="AN1093">
        <v>0</v>
      </c>
      <c r="AO1093">
        <v>0</v>
      </c>
      <c r="AP1093">
        <v>1</v>
      </c>
      <c r="AQ1093">
        <v>0</v>
      </c>
      <c r="AR1093">
        <v>0</v>
      </c>
      <c r="AS1093">
        <v>0</v>
      </c>
      <c r="AT1093">
        <v>0</v>
      </c>
      <c r="AU1093">
        <f t="shared" si="32"/>
        <v>1</v>
      </c>
      <c r="AV1093">
        <f t="shared" si="33"/>
        <v>0</v>
      </c>
    </row>
    <row r="1094" spans="1:48" x14ac:dyDescent="0.25">
      <c r="A1094" t="s">
        <v>5116</v>
      </c>
      <c r="C1094" t="s">
        <v>5117</v>
      </c>
      <c r="D1094" t="s">
        <v>5094</v>
      </c>
      <c r="E1094" t="s">
        <v>1663</v>
      </c>
      <c r="F1094">
        <v>4</v>
      </c>
      <c r="G1094">
        <v>4.4000000000000004</v>
      </c>
      <c r="H1094" t="s">
        <v>2017</v>
      </c>
      <c r="I1094" s="21">
        <v>38146</v>
      </c>
      <c r="J1094">
        <v>2004</v>
      </c>
      <c r="K1094" s="21">
        <v>38176</v>
      </c>
      <c r="L1094">
        <v>2004</v>
      </c>
      <c r="M1094" s="21">
        <v>38329</v>
      </c>
      <c r="N1094">
        <v>2004</v>
      </c>
      <c r="Q1094" s="262">
        <v>0</v>
      </c>
      <c r="S1094" t="s">
        <v>114</v>
      </c>
      <c r="T1094" t="s">
        <v>114</v>
      </c>
      <c r="W1094">
        <v>1400</v>
      </c>
      <c r="X1094">
        <v>1</v>
      </c>
      <c r="Y1094">
        <v>0</v>
      </c>
      <c r="Z1094">
        <v>0</v>
      </c>
      <c r="AA1094">
        <v>0</v>
      </c>
      <c r="AB1094">
        <v>0</v>
      </c>
      <c r="AC1094">
        <v>0</v>
      </c>
      <c r="AD1094">
        <v>1400</v>
      </c>
      <c r="AE1094">
        <v>0</v>
      </c>
      <c r="AF1094">
        <v>0</v>
      </c>
      <c r="AG1094">
        <v>0</v>
      </c>
      <c r="AH1094">
        <v>0</v>
      </c>
      <c r="AI1094">
        <v>0</v>
      </c>
      <c r="AJ1094">
        <v>0</v>
      </c>
      <c r="AK1094">
        <v>0</v>
      </c>
      <c r="AL1094">
        <v>0</v>
      </c>
      <c r="AM1094">
        <v>0</v>
      </c>
      <c r="AN1094">
        <v>0</v>
      </c>
      <c r="AO1094">
        <v>0</v>
      </c>
      <c r="AP1094">
        <v>1</v>
      </c>
      <c r="AQ1094">
        <v>0</v>
      </c>
      <c r="AR1094">
        <v>0</v>
      </c>
      <c r="AS1094">
        <v>0</v>
      </c>
      <c r="AT1094">
        <v>0</v>
      </c>
      <c r="AU1094">
        <f t="shared" si="32"/>
        <v>1</v>
      </c>
      <c r="AV1094">
        <f t="shared" si="33"/>
        <v>0</v>
      </c>
    </row>
    <row r="1095" spans="1:48" x14ac:dyDescent="0.25">
      <c r="A1095" t="s">
        <v>5118</v>
      </c>
      <c r="C1095" t="s">
        <v>5110</v>
      </c>
      <c r="D1095" t="s">
        <v>5094</v>
      </c>
      <c r="E1095" t="s">
        <v>1663</v>
      </c>
      <c r="F1095">
        <v>4</v>
      </c>
      <c r="G1095">
        <v>4.4000000000000004</v>
      </c>
      <c r="H1095" t="s">
        <v>2017</v>
      </c>
      <c r="I1095" s="21">
        <v>38146</v>
      </c>
      <c r="J1095">
        <v>2004</v>
      </c>
      <c r="K1095" s="21">
        <v>38176</v>
      </c>
      <c r="L1095">
        <v>2004</v>
      </c>
      <c r="M1095" s="21">
        <v>38329</v>
      </c>
      <c r="N1095">
        <v>2004</v>
      </c>
      <c r="Q1095" s="262">
        <v>0</v>
      </c>
      <c r="S1095" t="s">
        <v>114</v>
      </c>
      <c r="T1095" t="s">
        <v>114</v>
      </c>
      <c r="W1095">
        <v>1400</v>
      </c>
      <c r="X1095">
        <v>1</v>
      </c>
      <c r="Y1095">
        <v>0</v>
      </c>
      <c r="Z1095">
        <v>0</v>
      </c>
      <c r="AA1095">
        <v>0</v>
      </c>
      <c r="AB1095">
        <v>0</v>
      </c>
      <c r="AC1095">
        <v>0</v>
      </c>
      <c r="AD1095">
        <v>1400</v>
      </c>
      <c r="AE1095">
        <v>0</v>
      </c>
      <c r="AF1095">
        <v>0</v>
      </c>
      <c r="AG1095">
        <v>0</v>
      </c>
      <c r="AH1095">
        <v>0</v>
      </c>
      <c r="AI1095">
        <v>0</v>
      </c>
      <c r="AJ1095">
        <v>0</v>
      </c>
      <c r="AK1095">
        <v>0</v>
      </c>
      <c r="AL1095">
        <v>0</v>
      </c>
      <c r="AM1095">
        <v>0</v>
      </c>
      <c r="AN1095">
        <v>0</v>
      </c>
      <c r="AO1095">
        <v>0</v>
      </c>
      <c r="AP1095">
        <v>1</v>
      </c>
      <c r="AQ1095">
        <v>0</v>
      </c>
      <c r="AR1095">
        <v>0</v>
      </c>
      <c r="AS1095">
        <v>0</v>
      </c>
      <c r="AT1095">
        <v>0</v>
      </c>
      <c r="AU1095">
        <f t="shared" si="32"/>
        <v>1</v>
      </c>
      <c r="AV1095">
        <f t="shared" si="33"/>
        <v>0</v>
      </c>
    </row>
    <row r="1096" spans="1:48" x14ac:dyDescent="0.25">
      <c r="A1096" t="s">
        <v>5119</v>
      </c>
      <c r="C1096" t="s">
        <v>5120</v>
      </c>
      <c r="D1096" t="s">
        <v>5094</v>
      </c>
      <c r="E1096" t="s">
        <v>1663</v>
      </c>
      <c r="F1096">
        <v>4</v>
      </c>
      <c r="G1096">
        <v>4.4000000000000004</v>
      </c>
      <c r="H1096" t="s">
        <v>2017</v>
      </c>
      <c r="I1096" s="21">
        <v>38146</v>
      </c>
      <c r="J1096">
        <v>2004</v>
      </c>
      <c r="K1096" s="21">
        <v>38176</v>
      </c>
      <c r="L1096">
        <v>2004</v>
      </c>
      <c r="M1096" s="21">
        <v>38329</v>
      </c>
      <c r="N1096">
        <v>2004</v>
      </c>
      <c r="Q1096" s="262">
        <v>0</v>
      </c>
      <c r="S1096" t="s">
        <v>114</v>
      </c>
      <c r="T1096" t="s">
        <v>114</v>
      </c>
      <c r="W1096">
        <v>1596</v>
      </c>
      <c r="X1096">
        <v>1</v>
      </c>
      <c r="Y1096">
        <v>0</v>
      </c>
      <c r="Z1096">
        <v>0</v>
      </c>
      <c r="AA1096">
        <v>0</v>
      </c>
      <c r="AB1096">
        <v>0</v>
      </c>
      <c r="AC1096">
        <v>0</v>
      </c>
      <c r="AD1096">
        <v>1596</v>
      </c>
      <c r="AE1096">
        <v>0</v>
      </c>
      <c r="AF1096">
        <v>0</v>
      </c>
      <c r="AG1096">
        <v>0</v>
      </c>
      <c r="AH1096">
        <v>0</v>
      </c>
      <c r="AI1096">
        <v>0</v>
      </c>
      <c r="AJ1096">
        <v>0</v>
      </c>
      <c r="AK1096">
        <v>0</v>
      </c>
      <c r="AL1096">
        <v>0</v>
      </c>
      <c r="AM1096">
        <v>0</v>
      </c>
      <c r="AN1096">
        <v>0</v>
      </c>
      <c r="AO1096">
        <v>0</v>
      </c>
      <c r="AP1096">
        <v>1</v>
      </c>
      <c r="AQ1096">
        <v>0</v>
      </c>
      <c r="AR1096">
        <v>0</v>
      </c>
      <c r="AS1096">
        <v>0</v>
      </c>
      <c r="AT1096">
        <v>0</v>
      </c>
      <c r="AU1096">
        <f t="shared" si="32"/>
        <v>1</v>
      </c>
      <c r="AV1096">
        <f t="shared" si="33"/>
        <v>0</v>
      </c>
    </row>
    <row r="1097" spans="1:48" x14ac:dyDescent="0.25">
      <c r="A1097" t="s">
        <v>5121</v>
      </c>
      <c r="C1097" t="s">
        <v>5110</v>
      </c>
      <c r="D1097" t="s">
        <v>5094</v>
      </c>
      <c r="E1097" t="s">
        <v>1663</v>
      </c>
      <c r="F1097">
        <v>4</v>
      </c>
      <c r="G1097">
        <v>4.4000000000000004</v>
      </c>
      <c r="H1097" t="s">
        <v>2017</v>
      </c>
      <c r="I1097" s="21">
        <v>38146</v>
      </c>
      <c r="J1097">
        <v>2004</v>
      </c>
      <c r="K1097" s="21">
        <v>38176</v>
      </c>
      <c r="L1097">
        <v>2004</v>
      </c>
      <c r="M1097" s="21">
        <v>38329</v>
      </c>
      <c r="N1097">
        <v>2004</v>
      </c>
      <c r="Q1097" s="262">
        <v>0</v>
      </c>
      <c r="S1097" t="s">
        <v>114</v>
      </c>
      <c r="T1097" t="s">
        <v>114</v>
      </c>
      <c r="W1097">
        <v>1596</v>
      </c>
      <c r="X1097">
        <v>1</v>
      </c>
      <c r="Y1097">
        <v>0</v>
      </c>
      <c r="Z1097">
        <v>0</v>
      </c>
      <c r="AA1097">
        <v>0</v>
      </c>
      <c r="AB1097">
        <v>0</v>
      </c>
      <c r="AC1097">
        <v>0</v>
      </c>
      <c r="AD1097">
        <v>1596</v>
      </c>
      <c r="AE1097">
        <v>0</v>
      </c>
      <c r="AF1097">
        <v>0</v>
      </c>
      <c r="AG1097">
        <v>0</v>
      </c>
      <c r="AH1097">
        <v>0</v>
      </c>
      <c r="AI1097">
        <v>0</v>
      </c>
      <c r="AJ1097">
        <v>0</v>
      </c>
      <c r="AK1097">
        <v>0</v>
      </c>
      <c r="AL1097">
        <v>0</v>
      </c>
      <c r="AM1097">
        <v>0</v>
      </c>
      <c r="AN1097">
        <v>0</v>
      </c>
      <c r="AO1097">
        <v>0</v>
      </c>
      <c r="AP1097">
        <v>1</v>
      </c>
      <c r="AQ1097">
        <v>0</v>
      </c>
      <c r="AR1097">
        <v>0</v>
      </c>
      <c r="AS1097">
        <v>0</v>
      </c>
      <c r="AT1097">
        <v>0</v>
      </c>
      <c r="AU1097">
        <f t="shared" si="32"/>
        <v>1</v>
      </c>
      <c r="AV1097">
        <f t="shared" si="33"/>
        <v>0</v>
      </c>
    </row>
    <row r="1098" spans="1:48" x14ac:dyDescent="0.25">
      <c r="A1098" t="s">
        <v>5122</v>
      </c>
      <c r="C1098" t="s">
        <v>5123</v>
      </c>
      <c r="D1098" t="s">
        <v>5094</v>
      </c>
      <c r="E1098" t="s">
        <v>1663</v>
      </c>
      <c r="F1098">
        <v>4</v>
      </c>
      <c r="G1098">
        <v>4.4000000000000004</v>
      </c>
      <c r="H1098" t="s">
        <v>2017</v>
      </c>
      <c r="I1098" s="21">
        <v>38146</v>
      </c>
      <c r="J1098">
        <v>2004</v>
      </c>
      <c r="K1098" s="21">
        <v>38176</v>
      </c>
      <c r="L1098">
        <v>2004</v>
      </c>
      <c r="M1098" s="21">
        <v>38329</v>
      </c>
      <c r="N1098">
        <v>2004</v>
      </c>
      <c r="Q1098" s="262">
        <v>0</v>
      </c>
      <c r="S1098" t="s">
        <v>114</v>
      </c>
      <c r="T1098" t="s">
        <v>114</v>
      </c>
      <c r="W1098">
        <v>1400</v>
      </c>
      <c r="X1098">
        <v>1</v>
      </c>
      <c r="Y1098">
        <v>0</v>
      </c>
      <c r="Z1098">
        <v>0</v>
      </c>
      <c r="AA1098">
        <v>0</v>
      </c>
      <c r="AB1098">
        <v>0</v>
      </c>
      <c r="AC1098">
        <v>0</v>
      </c>
      <c r="AD1098">
        <v>1400</v>
      </c>
      <c r="AE1098">
        <v>0</v>
      </c>
      <c r="AF1098">
        <v>0</v>
      </c>
      <c r="AG1098">
        <v>0</v>
      </c>
      <c r="AH1098">
        <v>0</v>
      </c>
      <c r="AI1098">
        <v>0</v>
      </c>
      <c r="AJ1098">
        <v>0</v>
      </c>
      <c r="AK1098">
        <v>0</v>
      </c>
      <c r="AL1098">
        <v>0</v>
      </c>
      <c r="AM1098">
        <v>0</v>
      </c>
      <c r="AN1098">
        <v>0</v>
      </c>
      <c r="AO1098">
        <v>0</v>
      </c>
      <c r="AP1098">
        <v>1</v>
      </c>
      <c r="AQ1098">
        <v>0</v>
      </c>
      <c r="AR1098">
        <v>0</v>
      </c>
      <c r="AS1098">
        <v>0</v>
      </c>
      <c r="AT1098">
        <v>0</v>
      </c>
      <c r="AU1098">
        <f t="shared" si="32"/>
        <v>1</v>
      </c>
      <c r="AV1098">
        <f t="shared" si="33"/>
        <v>0</v>
      </c>
    </row>
    <row r="1099" spans="1:48" x14ac:dyDescent="0.25">
      <c r="A1099" t="s">
        <v>5124</v>
      </c>
      <c r="C1099" t="s">
        <v>5125</v>
      </c>
      <c r="D1099" t="s">
        <v>5094</v>
      </c>
      <c r="E1099" t="s">
        <v>1663</v>
      </c>
      <c r="F1099">
        <v>4</v>
      </c>
      <c r="G1099">
        <v>4.4000000000000004</v>
      </c>
      <c r="H1099" t="s">
        <v>2017</v>
      </c>
      <c r="I1099" s="21">
        <v>38146</v>
      </c>
      <c r="J1099">
        <v>2004</v>
      </c>
      <c r="K1099" s="21">
        <v>38176</v>
      </c>
      <c r="L1099">
        <v>2004</v>
      </c>
      <c r="M1099" s="21">
        <v>38329</v>
      </c>
      <c r="N1099">
        <v>2004</v>
      </c>
      <c r="Q1099" s="262">
        <v>0</v>
      </c>
      <c r="S1099" t="s">
        <v>114</v>
      </c>
      <c r="T1099" t="s">
        <v>114</v>
      </c>
      <c r="W1099">
        <v>1639</v>
      </c>
      <c r="X1099">
        <v>1</v>
      </c>
      <c r="Y1099">
        <v>0</v>
      </c>
      <c r="Z1099">
        <v>0</v>
      </c>
      <c r="AA1099">
        <v>0</v>
      </c>
      <c r="AB1099">
        <v>0</v>
      </c>
      <c r="AC1099">
        <v>0</v>
      </c>
      <c r="AD1099">
        <v>1639</v>
      </c>
      <c r="AE1099">
        <v>0</v>
      </c>
      <c r="AF1099">
        <v>0</v>
      </c>
      <c r="AG1099">
        <v>0</v>
      </c>
      <c r="AH1099">
        <v>0</v>
      </c>
      <c r="AI1099">
        <v>0</v>
      </c>
      <c r="AJ1099">
        <v>0</v>
      </c>
      <c r="AK1099">
        <v>0</v>
      </c>
      <c r="AL1099">
        <v>0</v>
      </c>
      <c r="AM1099">
        <v>0</v>
      </c>
      <c r="AN1099">
        <v>0</v>
      </c>
      <c r="AO1099">
        <v>0</v>
      </c>
      <c r="AP1099">
        <v>1</v>
      </c>
      <c r="AQ1099">
        <v>0</v>
      </c>
      <c r="AR1099">
        <v>0</v>
      </c>
      <c r="AS1099">
        <v>0</v>
      </c>
      <c r="AT1099">
        <v>0</v>
      </c>
      <c r="AU1099">
        <f t="shared" si="32"/>
        <v>1</v>
      </c>
      <c r="AV1099">
        <f t="shared" si="33"/>
        <v>0</v>
      </c>
    </row>
    <row r="1100" spans="1:48" x14ac:dyDescent="0.25">
      <c r="A1100" t="s">
        <v>5126</v>
      </c>
      <c r="C1100" t="s">
        <v>5127</v>
      </c>
      <c r="D1100" t="s">
        <v>5094</v>
      </c>
      <c r="E1100" t="s">
        <v>1663</v>
      </c>
      <c r="F1100">
        <v>4</v>
      </c>
      <c r="G1100">
        <v>4.4000000000000004</v>
      </c>
      <c r="H1100" t="s">
        <v>2017</v>
      </c>
      <c r="I1100" s="21">
        <v>38146</v>
      </c>
      <c r="J1100">
        <v>2004</v>
      </c>
      <c r="K1100" s="21">
        <v>38176</v>
      </c>
      <c r="L1100">
        <v>2004</v>
      </c>
      <c r="M1100" s="21">
        <v>38329</v>
      </c>
      <c r="N1100">
        <v>2004</v>
      </c>
      <c r="Q1100" s="262">
        <v>0</v>
      </c>
      <c r="S1100" t="s">
        <v>114</v>
      </c>
      <c r="T1100" t="s">
        <v>114</v>
      </c>
      <c r="W1100">
        <v>1639</v>
      </c>
      <c r="X1100">
        <v>1</v>
      </c>
      <c r="Y1100">
        <v>0</v>
      </c>
      <c r="Z1100">
        <v>0</v>
      </c>
      <c r="AA1100">
        <v>0</v>
      </c>
      <c r="AB1100">
        <v>0</v>
      </c>
      <c r="AC1100">
        <v>0</v>
      </c>
      <c r="AD1100">
        <v>1639</v>
      </c>
      <c r="AE1100">
        <v>0</v>
      </c>
      <c r="AF1100">
        <v>0</v>
      </c>
      <c r="AG1100">
        <v>0</v>
      </c>
      <c r="AH1100">
        <v>0</v>
      </c>
      <c r="AI1100">
        <v>0</v>
      </c>
      <c r="AJ1100">
        <v>0</v>
      </c>
      <c r="AK1100">
        <v>0</v>
      </c>
      <c r="AL1100">
        <v>0</v>
      </c>
      <c r="AM1100">
        <v>0</v>
      </c>
      <c r="AN1100">
        <v>0</v>
      </c>
      <c r="AO1100">
        <v>0</v>
      </c>
      <c r="AP1100">
        <v>1</v>
      </c>
      <c r="AQ1100">
        <v>0</v>
      </c>
      <c r="AR1100">
        <v>0</v>
      </c>
      <c r="AS1100">
        <v>0</v>
      </c>
      <c r="AT1100">
        <v>0</v>
      </c>
      <c r="AU1100">
        <f t="shared" si="32"/>
        <v>1</v>
      </c>
      <c r="AV1100">
        <f t="shared" si="33"/>
        <v>0</v>
      </c>
    </row>
    <row r="1101" spans="1:48" x14ac:dyDescent="0.25">
      <c r="A1101" t="s">
        <v>5128</v>
      </c>
      <c r="C1101" t="s">
        <v>5110</v>
      </c>
      <c r="D1101" t="s">
        <v>5094</v>
      </c>
      <c r="E1101" t="s">
        <v>1663</v>
      </c>
      <c r="F1101">
        <v>4</v>
      </c>
      <c r="G1101">
        <v>4.4000000000000004</v>
      </c>
      <c r="H1101" t="s">
        <v>2017</v>
      </c>
      <c r="I1101" s="21">
        <v>38146</v>
      </c>
      <c r="J1101">
        <v>2004</v>
      </c>
      <c r="K1101" s="21">
        <v>38176</v>
      </c>
      <c r="L1101">
        <v>2004</v>
      </c>
      <c r="M1101" s="21">
        <v>38329</v>
      </c>
      <c r="N1101">
        <v>2004</v>
      </c>
      <c r="Q1101" s="262">
        <v>0</v>
      </c>
      <c r="S1101" t="s">
        <v>114</v>
      </c>
      <c r="T1101" t="s">
        <v>114</v>
      </c>
      <c r="W1101">
        <v>1400</v>
      </c>
      <c r="X1101">
        <v>1</v>
      </c>
      <c r="Y1101">
        <v>0</v>
      </c>
      <c r="Z1101">
        <v>0</v>
      </c>
      <c r="AA1101">
        <v>0</v>
      </c>
      <c r="AB1101">
        <v>0</v>
      </c>
      <c r="AC1101">
        <v>0</v>
      </c>
      <c r="AD1101">
        <v>1400</v>
      </c>
      <c r="AE1101">
        <v>0</v>
      </c>
      <c r="AF1101">
        <v>0</v>
      </c>
      <c r="AG1101">
        <v>0</v>
      </c>
      <c r="AH1101">
        <v>0</v>
      </c>
      <c r="AI1101">
        <v>0</v>
      </c>
      <c r="AJ1101">
        <v>0</v>
      </c>
      <c r="AK1101">
        <v>0</v>
      </c>
      <c r="AL1101">
        <v>0</v>
      </c>
      <c r="AM1101">
        <v>0</v>
      </c>
      <c r="AN1101">
        <v>0</v>
      </c>
      <c r="AO1101">
        <v>0</v>
      </c>
      <c r="AP1101">
        <v>1</v>
      </c>
      <c r="AQ1101">
        <v>0</v>
      </c>
      <c r="AR1101">
        <v>0</v>
      </c>
      <c r="AS1101">
        <v>0</v>
      </c>
      <c r="AT1101">
        <v>0</v>
      </c>
      <c r="AU1101">
        <f t="shared" si="32"/>
        <v>1</v>
      </c>
      <c r="AV1101">
        <f t="shared" si="33"/>
        <v>0</v>
      </c>
    </row>
    <row r="1102" spans="1:48" x14ac:dyDescent="0.25">
      <c r="A1102" t="s">
        <v>5129</v>
      </c>
      <c r="C1102" t="s">
        <v>5093</v>
      </c>
      <c r="D1102" t="s">
        <v>5094</v>
      </c>
      <c r="E1102" t="s">
        <v>1663</v>
      </c>
      <c r="F1102">
        <v>4</v>
      </c>
      <c r="G1102">
        <v>4.4000000000000004</v>
      </c>
      <c r="H1102" t="s">
        <v>2017</v>
      </c>
      <c r="I1102" s="21">
        <v>38146</v>
      </c>
      <c r="J1102">
        <v>2004</v>
      </c>
      <c r="K1102" s="21">
        <v>38176</v>
      </c>
      <c r="L1102">
        <v>2004</v>
      </c>
      <c r="M1102" s="21">
        <v>38329</v>
      </c>
      <c r="N1102">
        <v>2004</v>
      </c>
      <c r="Q1102" s="262">
        <v>0</v>
      </c>
      <c r="S1102" t="s">
        <v>114</v>
      </c>
      <c r="T1102" t="s">
        <v>114</v>
      </c>
      <c r="W1102">
        <v>1639</v>
      </c>
      <c r="X1102">
        <v>1</v>
      </c>
      <c r="Y1102">
        <v>0</v>
      </c>
      <c r="Z1102">
        <v>0</v>
      </c>
      <c r="AA1102">
        <v>0</v>
      </c>
      <c r="AB1102">
        <v>0</v>
      </c>
      <c r="AC1102">
        <v>0</v>
      </c>
      <c r="AD1102">
        <v>1639</v>
      </c>
      <c r="AE1102">
        <v>0</v>
      </c>
      <c r="AF1102">
        <v>0</v>
      </c>
      <c r="AG1102">
        <v>0</v>
      </c>
      <c r="AH1102">
        <v>0</v>
      </c>
      <c r="AI1102">
        <v>0</v>
      </c>
      <c r="AJ1102">
        <v>0</v>
      </c>
      <c r="AK1102">
        <v>0</v>
      </c>
      <c r="AL1102">
        <v>0</v>
      </c>
      <c r="AM1102">
        <v>0</v>
      </c>
      <c r="AN1102">
        <v>0</v>
      </c>
      <c r="AO1102">
        <v>0</v>
      </c>
      <c r="AP1102">
        <v>1</v>
      </c>
      <c r="AQ1102">
        <v>0</v>
      </c>
      <c r="AR1102">
        <v>0</v>
      </c>
      <c r="AS1102">
        <v>0</v>
      </c>
      <c r="AT1102">
        <v>0</v>
      </c>
      <c r="AU1102">
        <f t="shared" si="32"/>
        <v>1</v>
      </c>
      <c r="AV1102">
        <f t="shared" si="33"/>
        <v>0</v>
      </c>
    </row>
    <row r="1103" spans="1:48" x14ac:dyDescent="0.25">
      <c r="A1103" t="s">
        <v>5130</v>
      </c>
      <c r="C1103" t="s">
        <v>5093</v>
      </c>
      <c r="D1103" t="s">
        <v>5094</v>
      </c>
      <c r="E1103" t="s">
        <v>1663</v>
      </c>
      <c r="F1103">
        <v>4</v>
      </c>
      <c r="G1103">
        <v>4.4000000000000004</v>
      </c>
      <c r="H1103" t="s">
        <v>2017</v>
      </c>
      <c r="I1103" s="21">
        <v>38146</v>
      </c>
      <c r="J1103">
        <v>2004</v>
      </c>
      <c r="K1103" s="21">
        <v>38176</v>
      </c>
      <c r="L1103">
        <v>2004</v>
      </c>
      <c r="M1103" s="21">
        <v>38329</v>
      </c>
      <c r="N1103">
        <v>2004</v>
      </c>
      <c r="Q1103" s="262">
        <v>0</v>
      </c>
      <c r="S1103" t="s">
        <v>114</v>
      </c>
      <c r="T1103" t="s">
        <v>114</v>
      </c>
      <c r="W1103">
        <v>2750</v>
      </c>
      <c r="X1103">
        <v>1</v>
      </c>
      <c r="Y1103">
        <v>0</v>
      </c>
      <c r="Z1103">
        <v>0</v>
      </c>
      <c r="AA1103">
        <v>0</v>
      </c>
      <c r="AB1103">
        <v>0</v>
      </c>
      <c r="AC1103">
        <v>0</v>
      </c>
      <c r="AD1103">
        <v>2750</v>
      </c>
      <c r="AE1103">
        <v>0</v>
      </c>
      <c r="AF1103">
        <v>0</v>
      </c>
      <c r="AG1103">
        <v>0</v>
      </c>
      <c r="AH1103">
        <v>0</v>
      </c>
      <c r="AI1103">
        <v>0</v>
      </c>
      <c r="AJ1103">
        <v>0</v>
      </c>
      <c r="AK1103">
        <v>0</v>
      </c>
      <c r="AL1103">
        <v>0</v>
      </c>
      <c r="AM1103">
        <v>0</v>
      </c>
      <c r="AN1103">
        <v>0</v>
      </c>
      <c r="AO1103">
        <v>0</v>
      </c>
      <c r="AP1103">
        <v>1</v>
      </c>
      <c r="AQ1103">
        <v>0</v>
      </c>
      <c r="AR1103">
        <v>0</v>
      </c>
      <c r="AS1103">
        <v>0</v>
      </c>
      <c r="AT1103">
        <v>0</v>
      </c>
      <c r="AU1103">
        <f t="shared" si="32"/>
        <v>1</v>
      </c>
      <c r="AV1103">
        <f t="shared" si="33"/>
        <v>0</v>
      </c>
    </row>
    <row r="1104" spans="1:48" x14ac:dyDescent="0.25">
      <c r="A1104" t="s">
        <v>5131</v>
      </c>
      <c r="C1104" t="s">
        <v>5112</v>
      </c>
      <c r="D1104" t="s">
        <v>5094</v>
      </c>
      <c r="E1104" t="s">
        <v>1663</v>
      </c>
      <c r="F1104">
        <v>4</v>
      </c>
      <c r="G1104">
        <v>4.4000000000000004</v>
      </c>
      <c r="H1104" t="s">
        <v>2017</v>
      </c>
      <c r="I1104" s="21">
        <v>38146</v>
      </c>
      <c r="J1104">
        <v>2004</v>
      </c>
      <c r="K1104" s="21">
        <v>38176</v>
      </c>
      <c r="L1104">
        <v>2004</v>
      </c>
      <c r="M1104" s="21">
        <v>38329</v>
      </c>
      <c r="N1104">
        <v>2004</v>
      </c>
      <c r="Q1104" s="262">
        <v>0</v>
      </c>
      <c r="S1104" t="s">
        <v>114</v>
      </c>
      <c r="T1104" t="s">
        <v>114</v>
      </c>
      <c r="W1104">
        <v>2750</v>
      </c>
      <c r="X1104">
        <v>1</v>
      </c>
      <c r="Y1104">
        <v>0</v>
      </c>
      <c r="Z1104">
        <v>0</v>
      </c>
      <c r="AA1104">
        <v>0</v>
      </c>
      <c r="AB1104">
        <v>0</v>
      </c>
      <c r="AC1104">
        <v>0</v>
      </c>
      <c r="AD1104">
        <v>2750</v>
      </c>
      <c r="AE1104">
        <v>0</v>
      </c>
      <c r="AF1104">
        <v>0</v>
      </c>
      <c r="AG1104">
        <v>0</v>
      </c>
      <c r="AH1104">
        <v>0</v>
      </c>
      <c r="AI1104">
        <v>0</v>
      </c>
      <c r="AJ1104">
        <v>0</v>
      </c>
      <c r="AK1104">
        <v>0</v>
      </c>
      <c r="AL1104">
        <v>0</v>
      </c>
      <c r="AM1104">
        <v>0</v>
      </c>
      <c r="AN1104">
        <v>0</v>
      </c>
      <c r="AO1104">
        <v>0</v>
      </c>
      <c r="AP1104">
        <v>1</v>
      </c>
      <c r="AQ1104">
        <v>0</v>
      </c>
      <c r="AR1104">
        <v>0</v>
      </c>
      <c r="AS1104">
        <v>0</v>
      </c>
      <c r="AT1104">
        <v>0</v>
      </c>
      <c r="AU1104">
        <f t="shared" si="32"/>
        <v>1</v>
      </c>
      <c r="AV1104">
        <f t="shared" si="33"/>
        <v>0</v>
      </c>
    </row>
    <row r="1105" spans="1:48" x14ac:dyDescent="0.25">
      <c r="A1105" t="s">
        <v>5132</v>
      </c>
      <c r="C1105" t="s">
        <v>5110</v>
      </c>
      <c r="D1105" t="s">
        <v>5094</v>
      </c>
      <c r="E1105" t="s">
        <v>1663</v>
      </c>
      <c r="F1105">
        <v>4</v>
      </c>
      <c r="G1105">
        <v>4.4000000000000004</v>
      </c>
      <c r="H1105" t="s">
        <v>2017</v>
      </c>
      <c r="I1105" s="21">
        <v>38146</v>
      </c>
      <c r="J1105">
        <v>2004</v>
      </c>
      <c r="K1105" s="21">
        <v>38176</v>
      </c>
      <c r="L1105">
        <v>2004</v>
      </c>
      <c r="M1105" s="21">
        <v>38329</v>
      </c>
      <c r="N1105">
        <v>2004</v>
      </c>
      <c r="Q1105" s="262">
        <v>0</v>
      </c>
      <c r="S1105" t="s">
        <v>114</v>
      </c>
      <c r="T1105" t="s">
        <v>114</v>
      </c>
      <c r="W1105">
        <v>2750</v>
      </c>
      <c r="X1105">
        <v>1</v>
      </c>
      <c r="Y1105">
        <v>0</v>
      </c>
      <c r="Z1105">
        <v>0</v>
      </c>
      <c r="AA1105">
        <v>0</v>
      </c>
      <c r="AB1105">
        <v>0</v>
      </c>
      <c r="AC1105">
        <v>0</v>
      </c>
      <c r="AD1105">
        <v>2750</v>
      </c>
      <c r="AE1105">
        <v>0</v>
      </c>
      <c r="AF1105">
        <v>0</v>
      </c>
      <c r="AG1105">
        <v>0</v>
      </c>
      <c r="AH1105">
        <v>0</v>
      </c>
      <c r="AI1105">
        <v>0</v>
      </c>
      <c r="AJ1105">
        <v>0</v>
      </c>
      <c r="AK1105">
        <v>0</v>
      </c>
      <c r="AL1105">
        <v>0</v>
      </c>
      <c r="AM1105">
        <v>0</v>
      </c>
      <c r="AN1105">
        <v>0</v>
      </c>
      <c r="AO1105">
        <v>0</v>
      </c>
      <c r="AP1105">
        <v>1</v>
      </c>
      <c r="AQ1105">
        <v>0</v>
      </c>
      <c r="AR1105">
        <v>0</v>
      </c>
      <c r="AS1105">
        <v>0</v>
      </c>
      <c r="AT1105">
        <v>0</v>
      </c>
      <c r="AU1105">
        <f t="shared" si="32"/>
        <v>1</v>
      </c>
      <c r="AV1105">
        <f t="shared" si="33"/>
        <v>0</v>
      </c>
    </row>
    <row r="1106" spans="1:48" x14ac:dyDescent="0.25">
      <c r="A1106" t="s">
        <v>5133</v>
      </c>
      <c r="C1106" t="s">
        <v>5134</v>
      </c>
      <c r="D1106" t="s">
        <v>5094</v>
      </c>
      <c r="E1106" t="s">
        <v>1663</v>
      </c>
      <c r="F1106">
        <v>4</v>
      </c>
      <c r="G1106">
        <v>4.4000000000000004</v>
      </c>
      <c r="H1106" t="s">
        <v>2017</v>
      </c>
      <c r="I1106" s="21">
        <v>38146</v>
      </c>
      <c r="J1106">
        <v>2004</v>
      </c>
      <c r="K1106" s="21">
        <v>38176</v>
      </c>
      <c r="L1106">
        <v>2004</v>
      </c>
      <c r="M1106" s="21">
        <v>38329</v>
      </c>
      <c r="N1106">
        <v>2004</v>
      </c>
      <c r="Q1106" s="262">
        <v>0</v>
      </c>
      <c r="S1106" t="s">
        <v>114</v>
      </c>
      <c r="T1106" t="s">
        <v>114</v>
      </c>
      <c r="W1106">
        <v>2750</v>
      </c>
      <c r="X1106">
        <v>1</v>
      </c>
      <c r="Y1106">
        <v>0</v>
      </c>
      <c r="Z1106">
        <v>0</v>
      </c>
      <c r="AA1106">
        <v>0</v>
      </c>
      <c r="AB1106">
        <v>0</v>
      </c>
      <c r="AC1106">
        <v>0</v>
      </c>
      <c r="AD1106">
        <v>2750</v>
      </c>
      <c r="AE1106">
        <v>0</v>
      </c>
      <c r="AF1106">
        <v>0</v>
      </c>
      <c r="AG1106">
        <v>0</v>
      </c>
      <c r="AH1106">
        <v>0</v>
      </c>
      <c r="AI1106">
        <v>0</v>
      </c>
      <c r="AJ1106">
        <v>0</v>
      </c>
      <c r="AK1106">
        <v>0</v>
      </c>
      <c r="AL1106">
        <v>0</v>
      </c>
      <c r="AM1106">
        <v>0</v>
      </c>
      <c r="AN1106">
        <v>0</v>
      </c>
      <c r="AO1106">
        <v>0</v>
      </c>
      <c r="AP1106">
        <v>1</v>
      </c>
      <c r="AQ1106">
        <v>0</v>
      </c>
      <c r="AR1106">
        <v>0</v>
      </c>
      <c r="AS1106">
        <v>0</v>
      </c>
      <c r="AT1106">
        <v>0</v>
      </c>
      <c r="AU1106">
        <f t="shared" si="32"/>
        <v>1</v>
      </c>
      <c r="AV1106">
        <f t="shared" si="33"/>
        <v>0</v>
      </c>
    </row>
    <row r="1107" spans="1:48" x14ac:dyDescent="0.25">
      <c r="A1107" t="s">
        <v>5135</v>
      </c>
      <c r="C1107" t="s">
        <v>5110</v>
      </c>
      <c r="D1107" t="s">
        <v>5094</v>
      </c>
      <c r="E1107" t="s">
        <v>1663</v>
      </c>
      <c r="F1107">
        <v>4</v>
      </c>
      <c r="G1107">
        <v>4.4000000000000004</v>
      </c>
      <c r="H1107" t="s">
        <v>2017</v>
      </c>
      <c r="I1107" s="21">
        <v>38146</v>
      </c>
      <c r="J1107">
        <v>2004</v>
      </c>
      <c r="K1107" s="21">
        <v>38176</v>
      </c>
      <c r="L1107">
        <v>2004</v>
      </c>
      <c r="M1107" s="21">
        <v>38329</v>
      </c>
      <c r="N1107">
        <v>2004</v>
      </c>
      <c r="Q1107" s="262">
        <v>0</v>
      </c>
      <c r="S1107" t="s">
        <v>114</v>
      </c>
      <c r="T1107" t="s">
        <v>114</v>
      </c>
      <c r="W1107">
        <v>2750</v>
      </c>
      <c r="X1107">
        <v>1</v>
      </c>
      <c r="Y1107">
        <v>0</v>
      </c>
      <c r="Z1107">
        <v>0</v>
      </c>
      <c r="AA1107">
        <v>0</v>
      </c>
      <c r="AB1107">
        <v>0</v>
      </c>
      <c r="AC1107">
        <v>0</v>
      </c>
      <c r="AD1107">
        <v>2750</v>
      </c>
      <c r="AE1107">
        <v>0</v>
      </c>
      <c r="AF1107">
        <v>0</v>
      </c>
      <c r="AG1107">
        <v>0</v>
      </c>
      <c r="AH1107">
        <v>0</v>
      </c>
      <c r="AI1107">
        <v>0</v>
      </c>
      <c r="AJ1107">
        <v>0</v>
      </c>
      <c r="AK1107">
        <v>0</v>
      </c>
      <c r="AL1107">
        <v>0</v>
      </c>
      <c r="AM1107">
        <v>0</v>
      </c>
      <c r="AN1107">
        <v>0</v>
      </c>
      <c r="AO1107">
        <v>0</v>
      </c>
      <c r="AP1107">
        <v>1</v>
      </c>
      <c r="AQ1107">
        <v>0</v>
      </c>
      <c r="AR1107">
        <v>0</v>
      </c>
      <c r="AS1107">
        <v>0</v>
      </c>
      <c r="AT1107">
        <v>0</v>
      </c>
      <c r="AU1107">
        <f t="shared" si="32"/>
        <v>1</v>
      </c>
      <c r="AV1107">
        <f t="shared" si="33"/>
        <v>0</v>
      </c>
    </row>
    <row r="1108" spans="1:48" x14ac:dyDescent="0.25">
      <c r="A1108" t="s">
        <v>5136</v>
      </c>
      <c r="C1108" t="s">
        <v>5110</v>
      </c>
      <c r="D1108" t="s">
        <v>5094</v>
      </c>
      <c r="E1108" t="s">
        <v>1663</v>
      </c>
      <c r="F1108">
        <v>4</v>
      </c>
      <c r="G1108">
        <v>4.4000000000000004</v>
      </c>
      <c r="H1108" t="s">
        <v>2017</v>
      </c>
      <c r="I1108" s="21">
        <v>38146</v>
      </c>
      <c r="J1108">
        <v>2004</v>
      </c>
      <c r="K1108" s="21">
        <v>38176</v>
      </c>
      <c r="L1108">
        <v>2004</v>
      </c>
      <c r="M1108" s="21">
        <v>38329</v>
      </c>
      <c r="N1108">
        <v>2004</v>
      </c>
      <c r="Q1108" s="262">
        <v>0</v>
      </c>
      <c r="S1108" t="s">
        <v>114</v>
      </c>
      <c r="T1108" t="s">
        <v>114</v>
      </c>
      <c r="W1108">
        <v>2750</v>
      </c>
      <c r="X1108">
        <v>1</v>
      </c>
      <c r="Y1108">
        <v>0</v>
      </c>
      <c r="Z1108">
        <v>0</v>
      </c>
      <c r="AA1108">
        <v>0</v>
      </c>
      <c r="AB1108">
        <v>0</v>
      </c>
      <c r="AC1108">
        <v>0</v>
      </c>
      <c r="AD1108">
        <v>2750</v>
      </c>
      <c r="AE1108">
        <v>0</v>
      </c>
      <c r="AF1108">
        <v>0</v>
      </c>
      <c r="AG1108">
        <v>0</v>
      </c>
      <c r="AH1108">
        <v>0</v>
      </c>
      <c r="AI1108">
        <v>0</v>
      </c>
      <c r="AJ1108">
        <v>0</v>
      </c>
      <c r="AK1108">
        <v>0</v>
      </c>
      <c r="AL1108">
        <v>0</v>
      </c>
      <c r="AM1108">
        <v>0</v>
      </c>
      <c r="AN1108">
        <v>0</v>
      </c>
      <c r="AO1108">
        <v>0</v>
      </c>
      <c r="AP1108">
        <v>1</v>
      </c>
      <c r="AQ1108">
        <v>0</v>
      </c>
      <c r="AR1108">
        <v>0</v>
      </c>
      <c r="AS1108">
        <v>0</v>
      </c>
      <c r="AT1108">
        <v>0</v>
      </c>
      <c r="AU1108">
        <f t="shared" si="32"/>
        <v>1</v>
      </c>
      <c r="AV1108">
        <f t="shared" si="33"/>
        <v>0</v>
      </c>
    </row>
    <row r="1109" spans="1:48" x14ac:dyDescent="0.25">
      <c r="A1109" t="s">
        <v>5137</v>
      </c>
      <c r="C1109" t="s">
        <v>5110</v>
      </c>
      <c r="D1109" t="s">
        <v>5094</v>
      </c>
      <c r="E1109" t="s">
        <v>1663</v>
      </c>
      <c r="F1109">
        <v>4</v>
      </c>
      <c r="G1109">
        <v>4.4000000000000004</v>
      </c>
      <c r="H1109" t="s">
        <v>2017</v>
      </c>
      <c r="I1109" s="21">
        <v>38146</v>
      </c>
      <c r="J1109">
        <v>2004</v>
      </c>
      <c r="K1109" s="21">
        <v>38176</v>
      </c>
      <c r="L1109">
        <v>2004</v>
      </c>
      <c r="M1109" s="21">
        <v>38329</v>
      </c>
      <c r="N1109">
        <v>2004</v>
      </c>
      <c r="Q1109" s="262">
        <v>0</v>
      </c>
      <c r="S1109" t="s">
        <v>114</v>
      </c>
      <c r="T1109" t="s">
        <v>114</v>
      </c>
      <c r="W1109">
        <v>2750</v>
      </c>
      <c r="X1109">
        <v>1</v>
      </c>
      <c r="Y1109">
        <v>0</v>
      </c>
      <c r="Z1109">
        <v>0</v>
      </c>
      <c r="AA1109">
        <v>0</v>
      </c>
      <c r="AB1109">
        <v>0</v>
      </c>
      <c r="AC1109">
        <v>0</v>
      </c>
      <c r="AD1109">
        <v>2750</v>
      </c>
      <c r="AE1109">
        <v>0</v>
      </c>
      <c r="AF1109">
        <v>0</v>
      </c>
      <c r="AG1109">
        <v>0</v>
      </c>
      <c r="AH1109">
        <v>0</v>
      </c>
      <c r="AI1109">
        <v>0</v>
      </c>
      <c r="AJ1109">
        <v>0</v>
      </c>
      <c r="AK1109">
        <v>0</v>
      </c>
      <c r="AL1109">
        <v>0</v>
      </c>
      <c r="AM1109">
        <v>0</v>
      </c>
      <c r="AN1109">
        <v>0</v>
      </c>
      <c r="AO1109">
        <v>0</v>
      </c>
      <c r="AP1109">
        <v>1</v>
      </c>
      <c r="AQ1109">
        <v>0</v>
      </c>
      <c r="AR1109">
        <v>0</v>
      </c>
      <c r="AS1109">
        <v>0</v>
      </c>
      <c r="AT1109">
        <v>0</v>
      </c>
      <c r="AU1109">
        <f t="shared" si="32"/>
        <v>1</v>
      </c>
      <c r="AV1109">
        <f t="shared" si="33"/>
        <v>0</v>
      </c>
    </row>
    <row r="1110" spans="1:48" x14ac:dyDescent="0.25">
      <c r="A1110" t="s">
        <v>5138</v>
      </c>
      <c r="C1110" t="s">
        <v>5139</v>
      </c>
      <c r="D1110" t="s">
        <v>5094</v>
      </c>
      <c r="E1110" t="s">
        <v>1663</v>
      </c>
      <c r="F1110">
        <v>4</v>
      </c>
      <c r="G1110">
        <v>4.4000000000000004</v>
      </c>
      <c r="H1110" t="s">
        <v>2017</v>
      </c>
      <c r="I1110" s="21">
        <v>38146</v>
      </c>
      <c r="J1110">
        <v>2004</v>
      </c>
      <c r="K1110" s="21">
        <v>38176</v>
      </c>
      <c r="L1110">
        <v>2004</v>
      </c>
      <c r="M1110" s="21">
        <v>38329</v>
      </c>
      <c r="N1110">
        <v>2004</v>
      </c>
      <c r="Q1110" s="262">
        <v>0</v>
      </c>
      <c r="S1110" t="s">
        <v>114</v>
      </c>
      <c r="T1110" t="s">
        <v>114</v>
      </c>
      <c r="W1110">
        <v>2750</v>
      </c>
      <c r="X1110">
        <v>1</v>
      </c>
      <c r="Y1110">
        <v>0</v>
      </c>
      <c r="Z1110">
        <v>0</v>
      </c>
      <c r="AA1110">
        <v>0</v>
      </c>
      <c r="AB1110">
        <v>0</v>
      </c>
      <c r="AC1110">
        <v>0</v>
      </c>
      <c r="AD1110">
        <v>2750</v>
      </c>
      <c r="AE1110">
        <v>0</v>
      </c>
      <c r="AF1110">
        <v>0</v>
      </c>
      <c r="AG1110">
        <v>0</v>
      </c>
      <c r="AH1110">
        <v>0</v>
      </c>
      <c r="AI1110">
        <v>0</v>
      </c>
      <c r="AJ1110">
        <v>0</v>
      </c>
      <c r="AK1110">
        <v>0</v>
      </c>
      <c r="AL1110">
        <v>0</v>
      </c>
      <c r="AM1110">
        <v>0</v>
      </c>
      <c r="AN1110">
        <v>0</v>
      </c>
      <c r="AO1110">
        <v>0</v>
      </c>
      <c r="AP1110">
        <v>1</v>
      </c>
      <c r="AQ1110">
        <v>0</v>
      </c>
      <c r="AR1110">
        <v>0</v>
      </c>
      <c r="AS1110">
        <v>0</v>
      </c>
      <c r="AT1110">
        <v>0</v>
      </c>
      <c r="AU1110">
        <f t="shared" si="32"/>
        <v>1</v>
      </c>
      <c r="AV1110">
        <f t="shared" si="33"/>
        <v>0</v>
      </c>
    </row>
    <row r="1111" spans="1:48" x14ac:dyDescent="0.25">
      <c r="A1111" t="s">
        <v>5140</v>
      </c>
      <c r="C1111" t="s">
        <v>5141</v>
      </c>
      <c r="D1111" t="s">
        <v>5094</v>
      </c>
      <c r="E1111" t="s">
        <v>1663</v>
      </c>
      <c r="F1111">
        <v>4</v>
      </c>
      <c r="G1111">
        <v>4.4000000000000004</v>
      </c>
      <c r="H1111" t="s">
        <v>2017</v>
      </c>
      <c r="I1111" s="21">
        <v>38146</v>
      </c>
      <c r="J1111">
        <v>2004</v>
      </c>
      <c r="K1111" s="21">
        <v>38176</v>
      </c>
      <c r="L1111">
        <v>2004</v>
      </c>
      <c r="M1111" s="21">
        <v>38329</v>
      </c>
      <c r="N1111">
        <v>2004</v>
      </c>
      <c r="Q1111" s="262">
        <v>0</v>
      </c>
      <c r="S1111" t="s">
        <v>114</v>
      </c>
      <c r="T1111" t="s">
        <v>114</v>
      </c>
      <c r="W1111">
        <v>2750</v>
      </c>
      <c r="X1111">
        <v>1</v>
      </c>
      <c r="Y1111">
        <v>0</v>
      </c>
      <c r="Z1111">
        <v>0</v>
      </c>
      <c r="AA1111">
        <v>0</v>
      </c>
      <c r="AB1111">
        <v>0</v>
      </c>
      <c r="AC1111">
        <v>0</v>
      </c>
      <c r="AD1111">
        <v>2750</v>
      </c>
      <c r="AE1111">
        <v>0</v>
      </c>
      <c r="AF1111">
        <v>0</v>
      </c>
      <c r="AG1111">
        <v>0</v>
      </c>
      <c r="AH1111">
        <v>0</v>
      </c>
      <c r="AI1111">
        <v>0</v>
      </c>
      <c r="AJ1111">
        <v>0</v>
      </c>
      <c r="AK1111">
        <v>0</v>
      </c>
      <c r="AL1111">
        <v>0</v>
      </c>
      <c r="AM1111">
        <v>0</v>
      </c>
      <c r="AN1111">
        <v>0</v>
      </c>
      <c r="AO1111">
        <v>0</v>
      </c>
      <c r="AP1111">
        <v>1</v>
      </c>
      <c r="AQ1111">
        <v>0</v>
      </c>
      <c r="AR1111">
        <v>0</v>
      </c>
      <c r="AS1111">
        <v>0</v>
      </c>
      <c r="AT1111">
        <v>0</v>
      </c>
      <c r="AU1111">
        <f t="shared" si="32"/>
        <v>1</v>
      </c>
      <c r="AV1111">
        <f t="shared" si="33"/>
        <v>0</v>
      </c>
    </row>
    <row r="1112" spans="1:48" x14ac:dyDescent="0.25">
      <c r="A1112" t="s">
        <v>5142</v>
      </c>
      <c r="C1112" t="s">
        <v>5093</v>
      </c>
      <c r="D1112" t="s">
        <v>5094</v>
      </c>
      <c r="E1112" t="s">
        <v>1663</v>
      </c>
      <c r="F1112">
        <v>4</v>
      </c>
      <c r="G1112">
        <v>4.4000000000000004</v>
      </c>
      <c r="H1112" t="s">
        <v>2017</v>
      </c>
      <c r="I1112" s="21">
        <v>38146</v>
      </c>
      <c r="J1112">
        <v>2004</v>
      </c>
      <c r="K1112" s="21">
        <v>38176</v>
      </c>
      <c r="L1112">
        <v>2004</v>
      </c>
      <c r="M1112" s="21">
        <v>38329</v>
      </c>
      <c r="N1112">
        <v>2004</v>
      </c>
      <c r="Q1112" s="262">
        <v>0</v>
      </c>
      <c r="S1112" t="s">
        <v>114</v>
      </c>
      <c r="T1112" t="s">
        <v>114</v>
      </c>
      <c r="W1112">
        <v>2750</v>
      </c>
      <c r="X1112">
        <v>1</v>
      </c>
      <c r="Y1112">
        <v>0</v>
      </c>
      <c r="Z1112">
        <v>0</v>
      </c>
      <c r="AA1112">
        <v>0</v>
      </c>
      <c r="AB1112">
        <v>0</v>
      </c>
      <c r="AC1112">
        <v>0</v>
      </c>
      <c r="AD1112">
        <v>2750</v>
      </c>
      <c r="AE1112">
        <v>0</v>
      </c>
      <c r="AF1112">
        <v>0</v>
      </c>
      <c r="AG1112">
        <v>0</v>
      </c>
      <c r="AH1112">
        <v>0</v>
      </c>
      <c r="AI1112">
        <v>0</v>
      </c>
      <c r="AJ1112">
        <v>0</v>
      </c>
      <c r="AK1112">
        <v>0</v>
      </c>
      <c r="AL1112">
        <v>0</v>
      </c>
      <c r="AM1112">
        <v>0</v>
      </c>
      <c r="AN1112">
        <v>0</v>
      </c>
      <c r="AO1112">
        <v>0</v>
      </c>
      <c r="AP1112">
        <v>1</v>
      </c>
      <c r="AQ1112">
        <v>0</v>
      </c>
      <c r="AR1112">
        <v>0</v>
      </c>
      <c r="AS1112">
        <v>0</v>
      </c>
      <c r="AT1112">
        <v>0</v>
      </c>
      <c r="AU1112">
        <f t="shared" si="32"/>
        <v>1</v>
      </c>
      <c r="AV1112">
        <f t="shared" si="33"/>
        <v>0</v>
      </c>
    </row>
    <row r="1113" spans="1:48" x14ac:dyDescent="0.25">
      <c r="A1113" t="s">
        <v>5143</v>
      </c>
      <c r="C1113" t="s">
        <v>5110</v>
      </c>
      <c r="D1113" t="s">
        <v>5094</v>
      </c>
      <c r="E1113" t="s">
        <v>1663</v>
      </c>
      <c r="F1113">
        <v>4</v>
      </c>
      <c r="G1113">
        <v>4.4000000000000004</v>
      </c>
      <c r="H1113" t="s">
        <v>2017</v>
      </c>
      <c r="I1113" s="21">
        <v>38146</v>
      </c>
      <c r="J1113">
        <v>2004</v>
      </c>
      <c r="K1113" s="21">
        <v>38176</v>
      </c>
      <c r="L1113">
        <v>2004</v>
      </c>
      <c r="M1113" s="21">
        <v>38329</v>
      </c>
      <c r="N1113">
        <v>2004</v>
      </c>
      <c r="Q1113" s="262">
        <v>0</v>
      </c>
      <c r="S1113" t="s">
        <v>114</v>
      </c>
      <c r="T1113" t="s">
        <v>114</v>
      </c>
      <c r="W1113">
        <v>2750</v>
      </c>
      <c r="X1113">
        <v>1</v>
      </c>
      <c r="Y1113">
        <v>0</v>
      </c>
      <c r="Z1113">
        <v>0</v>
      </c>
      <c r="AA1113">
        <v>0</v>
      </c>
      <c r="AB1113">
        <v>0</v>
      </c>
      <c r="AC1113">
        <v>0</v>
      </c>
      <c r="AD1113">
        <v>2750</v>
      </c>
      <c r="AE1113">
        <v>0</v>
      </c>
      <c r="AF1113">
        <v>0</v>
      </c>
      <c r="AG1113">
        <v>0</v>
      </c>
      <c r="AH1113">
        <v>0</v>
      </c>
      <c r="AI1113">
        <v>0</v>
      </c>
      <c r="AJ1113">
        <v>0</v>
      </c>
      <c r="AK1113">
        <v>0</v>
      </c>
      <c r="AL1113">
        <v>0</v>
      </c>
      <c r="AM1113">
        <v>0</v>
      </c>
      <c r="AN1113">
        <v>0</v>
      </c>
      <c r="AO1113">
        <v>0</v>
      </c>
      <c r="AP1113">
        <v>1</v>
      </c>
      <c r="AQ1113">
        <v>0</v>
      </c>
      <c r="AR1113">
        <v>0</v>
      </c>
      <c r="AS1113">
        <v>0</v>
      </c>
      <c r="AT1113">
        <v>0</v>
      </c>
      <c r="AU1113">
        <f t="shared" ref="AU1113:AU1176" si="34">SUM(AN1113:AQ1113,AS1113)</f>
        <v>1</v>
      </c>
      <c r="AV1113">
        <f t="shared" ref="AV1113:AV1176" si="35">SUM(Y1113:AB1113,AH1113:AM1113)</f>
        <v>0</v>
      </c>
    </row>
    <row r="1114" spans="1:48" x14ac:dyDescent="0.25">
      <c r="A1114" t="s">
        <v>5144</v>
      </c>
      <c r="C1114" t="s">
        <v>5110</v>
      </c>
      <c r="D1114" t="s">
        <v>5094</v>
      </c>
      <c r="E1114" t="s">
        <v>1663</v>
      </c>
      <c r="F1114">
        <v>4</v>
      </c>
      <c r="G1114">
        <v>4.4000000000000004</v>
      </c>
      <c r="H1114" t="s">
        <v>2017</v>
      </c>
      <c r="I1114" s="21">
        <v>38146</v>
      </c>
      <c r="J1114">
        <v>2004</v>
      </c>
      <c r="K1114" s="21">
        <v>38176</v>
      </c>
      <c r="L1114">
        <v>2004</v>
      </c>
      <c r="M1114" s="21">
        <v>38329</v>
      </c>
      <c r="N1114">
        <v>2004</v>
      </c>
      <c r="Q1114" s="262">
        <v>0</v>
      </c>
      <c r="S1114" t="s">
        <v>114</v>
      </c>
      <c r="T1114" t="s">
        <v>114</v>
      </c>
      <c r="W1114">
        <v>2750</v>
      </c>
      <c r="X1114">
        <v>1</v>
      </c>
      <c r="Y1114">
        <v>0</v>
      </c>
      <c r="Z1114">
        <v>0</v>
      </c>
      <c r="AA1114">
        <v>0</v>
      </c>
      <c r="AB1114">
        <v>0</v>
      </c>
      <c r="AC1114">
        <v>0</v>
      </c>
      <c r="AD1114">
        <v>2750</v>
      </c>
      <c r="AE1114">
        <v>0</v>
      </c>
      <c r="AF1114">
        <v>0</v>
      </c>
      <c r="AG1114">
        <v>0</v>
      </c>
      <c r="AH1114">
        <v>0</v>
      </c>
      <c r="AI1114">
        <v>0</v>
      </c>
      <c r="AJ1114">
        <v>0</v>
      </c>
      <c r="AK1114">
        <v>0</v>
      </c>
      <c r="AL1114">
        <v>0</v>
      </c>
      <c r="AM1114">
        <v>0</v>
      </c>
      <c r="AN1114">
        <v>0</v>
      </c>
      <c r="AO1114">
        <v>0</v>
      </c>
      <c r="AP1114">
        <v>1</v>
      </c>
      <c r="AQ1114">
        <v>0</v>
      </c>
      <c r="AR1114">
        <v>0</v>
      </c>
      <c r="AS1114">
        <v>0</v>
      </c>
      <c r="AT1114">
        <v>0</v>
      </c>
      <c r="AU1114">
        <f t="shared" si="34"/>
        <v>1</v>
      </c>
      <c r="AV1114">
        <f t="shared" si="35"/>
        <v>0</v>
      </c>
    </row>
    <row r="1115" spans="1:48" x14ac:dyDescent="0.25">
      <c r="A1115" t="s">
        <v>5145</v>
      </c>
      <c r="C1115" t="s">
        <v>5134</v>
      </c>
      <c r="D1115" t="s">
        <v>5094</v>
      </c>
      <c r="E1115" t="s">
        <v>1663</v>
      </c>
      <c r="F1115">
        <v>4</v>
      </c>
      <c r="G1115">
        <v>4.4000000000000004</v>
      </c>
      <c r="H1115" t="s">
        <v>2017</v>
      </c>
      <c r="I1115" s="21">
        <v>38146</v>
      </c>
      <c r="J1115">
        <v>2004</v>
      </c>
      <c r="K1115" s="21">
        <v>38176</v>
      </c>
      <c r="L1115">
        <v>2004</v>
      </c>
      <c r="M1115" s="21">
        <v>38329</v>
      </c>
      <c r="N1115">
        <v>2004</v>
      </c>
      <c r="Q1115" s="262">
        <v>0</v>
      </c>
      <c r="S1115" t="s">
        <v>114</v>
      </c>
      <c r="T1115" t="s">
        <v>114</v>
      </c>
      <c r="W1115">
        <v>2750</v>
      </c>
      <c r="X1115">
        <v>1</v>
      </c>
      <c r="Y1115">
        <v>0</v>
      </c>
      <c r="Z1115">
        <v>0</v>
      </c>
      <c r="AA1115">
        <v>0</v>
      </c>
      <c r="AB1115">
        <v>0</v>
      </c>
      <c r="AC1115">
        <v>0</v>
      </c>
      <c r="AD1115">
        <v>2750</v>
      </c>
      <c r="AE1115">
        <v>0</v>
      </c>
      <c r="AF1115">
        <v>0</v>
      </c>
      <c r="AG1115">
        <v>0</v>
      </c>
      <c r="AH1115">
        <v>0</v>
      </c>
      <c r="AI1115">
        <v>0</v>
      </c>
      <c r="AJ1115">
        <v>0</v>
      </c>
      <c r="AK1115">
        <v>0</v>
      </c>
      <c r="AL1115">
        <v>0</v>
      </c>
      <c r="AM1115">
        <v>0</v>
      </c>
      <c r="AN1115">
        <v>0</v>
      </c>
      <c r="AO1115">
        <v>0</v>
      </c>
      <c r="AP1115">
        <v>1</v>
      </c>
      <c r="AQ1115">
        <v>0</v>
      </c>
      <c r="AR1115">
        <v>0</v>
      </c>
      <c r="AS1115">
        <v>0</v>
      </c>
      <c r="AT1115">
        <v>0</v>
      </c>
      <c r="AU1115">
        <f t="shared" si="34"/>
        <v>1</v>
      </c>
      <c r="AV1115">
        <f t="shared" si="35"/>
        <v>0</v>
      </c>
    </row>
    <row r="1116" spans="1:48" x14ac:dyDescent="0.25">
      <c r="A1116" t="s">
        <v>5146</v>
      </c>
      <c r="C1116" t="s">
        <v>5093</v>
      </c>
      <c r="D1116" t="s">
        <v>5094</v>
      </c>
      <c r="E1116" t="s">
        <v>1663</v>
      </c>
      <c r="F1116">
        <v>4</v>
      </c>
      <c r="G1116">
        <v>4.4000000000000004</v>
      </c>
      <c r="H1116" t="s">
        <v>2017</v>
      </c>
      <c r="I1116" s="21">
        <v>38146</v>
      </c>
      <c r="J1116">
        <v>2004</v>
      </c>
      <c r="K1116" s="21">
        <v>38176</v>
      </c>
      <c r="L1116">
        <v>2004</v>
      </c>
      <c r="M1116" s="21">
        <v>38329</v>
      </c>
      <c r="N1116">
        <v>2004</v>
      </c>
      <c r="Q1116" s="262">
        <v>0</v>
      </c>
      <c r="S1116" t="s">
        <v>114</v>
      </c>
      <c r="T1116" t="s">
        <v>114</v>
      </c>
      <c r="W1116">
        <v>2750</v>
      </c>
      <c r="X1116">
        <v>1</v>
      </c>
      <c r="Y1116">
        <v>0</v>
      </c>
      <c r="Z1116">
        <v>0</v>
      </c>
      <c r="AA1116">
        <v>0</v>
      </c>
      <c r="AB1116">
        <v>0</v>
      </c>
      <c r="AC1116">
        <v>0</v>
      </c>
      <c r="AD1116">
        <v>2750</v>
      </c>
      <c r="AE1116">
        <v>0</v>
      </c>
      <c r="AF1116">
        <v>0</v>
      </c>
      <c r="AG1116">
        <v>0</v>
      </c>
      <c r="AH1116">
        <v>0</v>
      </c>
      <c r="AI1116">
        <v>0</v>
      </c>
      <c r="AJ1116">
        <v>0</v>
      </c>
      <c r="AK1116">
        <v>0</v>
      </c>
      <c r="AL1116">
        <v>0</v>
      </c>
      <c r="AM1116">
        <v>0</v>
      </c>
      <c r="AN1116">
        <v>0</v>
      </c>
      <c r="AO1116">
        <v>0</v>
      </c>
      <c r="AP1116">
        <v>1</v>
      </c>
      <c r="AQ1116">
        <v>0</v>
      </c>
      <c r="AR1116">
        <v>0</v>
      </c>
      <c r="AS1116">
        <v>0</v>
      </c>
      <c r="AT1116">
        <v>0</v>
      </c>
      <c r="AU1116">
        <f t="shared" si="34"/>
        <v>1</v>
      </c>
      <c r="AV1116">
        <f t="shared" si="35"/>
        <v>0</v>
      </c>
    </row>
    <row r="1117" spans="1:48" x14ac:dyDescent="0.25">
      <c r="A1117" t="s">
        <v>5147</v>
      </c>
      <c r="C1117" t="s">
        <v>5104</v>
      </c>
      <c r="D1117" t="s">
        <v>5094</v>
      </c>
      <c r="E1117" t="s">
        <v>1663</v>
      </c>
      <c r="F1117">
        <v>4</v>
      </c>
      <c r="G1117">
        <v>4.4000000000000004</v>
      </c>
      <c r="H1117" t="s">
        <v>2017</v>
      </c>
      <c r="I1117" s="21">
        <v>38146</v>
      </c>
      <c r="J1117">
        <v>2004</v>
      </c>
      <c r="K1117" s="21">
        <v>38176</v>
      </c>
      <c r="L1117">
        <v>2004</v>
      </c>
      <c r="M1117" s="21">
        <v>38329</v>
      </c>
      <c r="N1117">
        <v>2004</v>
      </c>
      <c r="Q1117" s="262">
        <v>0</v>
      </c>
      <c r="S1117" t="s">
        <v>114</v>
      </c>
      <c r="T1117" t="s">
        <v>114</v>
      </c>
      <c r="W1117">
        <v>1768</v>
      </c>
      <c r="X1117">
        <v>1</v>
      </c>
      <c r="Y1117">
        <v>0</v>
      </c>
      <c r="Z1117">
        <v>0</v>
      </c>
      <c r="AA1117">
        <v>0</v>
      </c>
      <c r="AB1117">
        <v>0</v>
      </c>
      <c r="AC1117">
        <v>0</v>
      </c>
      <c r="AD1117">
        <v>1768</v>
      </c>
      <c r="AE1117">
        <v>0</v>
      </c>
      <c r="AF1117">
        <v>0</v>
      </c>
      <c r="AG1117">
        <v>0</v>
      </c>
      <c r="AH1117">
        <v>0</v>
      </c>
      <c r="AI1117">
        <v>0</v>
      </c>
      <c r="AJ1117">
        <v>0</v>
      </c>
      <c r="AK1117">
        <v>0</v>
      </c>
      <c r="AL1117">
        <v>0</v>
      </c>
      <c r="AM1117">
        <v>0</v>
      </c>
      <c r="AN1117">
        <v>0</v>
      </c>
      <c r="AO1117">
        <v>0</v>
      </c>
      <c r="AP1117">
        <v>1</v>
      </c>
      <c r="AQ1117">
        <v>0</v>
      </c>
      <c r="AR1117">
        <v>0</v>
      </c>
      <c r="AS1117">
        <v>0</v>
      </c>
      <c r="AT1117">
        <v>0</v>
      </c>
      <c r="AU1117">
        <f t="shared" si="34"/>
        <v>1</v>
      </c>
      <c r="AV1117">
        <f t="shared" si="35"/>
        <v>0</v>
      </c>
    </row>
    <row r="1118" spans="1:48" x14ac:dyDescent="0.25">
      <c r="A1118" t="s">
        <v>5148</v>
      </c>
      <c r="C1118" t="s">
        <v>5149</v>
      </c>
      <c r="D1118" t="s">
        <v>5150</v>
      </c>
      <c r="E1118" t="s">
        <v>1663</v>
      </c>
      <c r="F1118">
        <v>3</v>
      </c>
      <c r="G1118">
        <v>3.1</v>
      </c>
      <c r="H1118" t="s">
        <v>2017</v>
      </c>
      <c r="I1118" s="21">
        <v>38146</v>
      </c>
      <c r="J1118">
        <v>2004</v>
      </c>
      <c r="K1118" s="21">
        <v>38176</v>
      </c>
      <c r="L1118">
        <v>2004</v>
      </c>
      <c r="M1118" s="21">
        <v>38329</v>
      </c>
      <c r="N1118">
        <v>2004</v>
      </c>
      <c r="Q1118" s="262">
        <v>0</v>
      </c>
      <c r="S1118" t="s">
        <v>114</v>
      </c>
      <c r="T1118" t="s">
        <v>114</v>
      </c>
      <c r="W1118">
        <v>2499</v>
      </c>
      <c r="X1118">
        <v>1</v>
      </c>
      <c r="Y1118">
        <v>0</v>
      </c>
      <c r="Z1118">
        <v>0</v>
      </c>
      <c r="AA1118">
        <v>0</v>
      </c>
      <c r="AB1118">
        <v>0</v>
      </c>
      <c r="AC1118">
        <v>0</v>
      </c>
      <c r="AD1118">
        <v>2499</v>
      </c>
      <c r="AE1118">
        <v>0</v>
      </c>
      <c r="AF1118">
        <v>0</v>
      </c>
      <c r="AG1118">
        <v>0</v>
      </c>
      <c r="AH1118">
        <v>0</v>
      </c>
      <c r="AI1118">
        <v>0</v>
      </c>
      <c r="AJ1118">
        <v>0</v>
      </c>
      <c r="AK1118">
        <v>0</v>
      </c>
      <c r="AL1118">
        <v>0</v>
      </c>
      <c r="AM1118">
        <v>0</v>
      </c>
      <c r="AN1118">
        <v>0</v>
      </c>
      <c r="AO1118">
        <v>0</v>
      </c>
      <c r="AP1118">
        <v>1</v>
      </c>
      <c r="AQ1118">
        <v>0</v>
      </c>
      <c r="AR1118">
        <v>0</v>
      </c>
      <c r="AS1118">
        <v>0</v>
      </c>
      <c r="AT1118">
        <v>0</v>
      </c>
      <c r="AU1118">
        <f t="shared" si="34"/>
        <v>1</v>
      </c>
      <c r="AV1118">
        <f t="shared" si="35"/>
        <v>0</v>
      </c>
    </row>
    <row r="1119" spans="1:48" x14ac:dyDescent="0.25">
      <c r="A1119" t="s">
        <v>5151</v>
      </c>
      <c r="C1119" t="s">
        <v>5152</v>
      </c>
      <c r="D1119" t="s">
        <v>5153</v>
      </c>
      <c r="E1119" t="s">
        <v>1663</v>
      </c>
      <c r="F1119">
        <v>3</v>
      </c>
      <c r="G1119">
        <v>3.1</v>
      </c>
      <c r="H1119" t="s">
        <v>2017</v>
      </c>
      <c r="I1119" s="21">
        <v>38146</v>
      </c>
      <c r="J1119">
        <v>2004</v>
      </c>
      <c r="K1119" s="21">
        <v>38176</v>
      </c>
      <c r="L1119">
        <v>2004</v>
      </c>
      <c r="M1119" s="21">
        <v>38329</v>
      </c>
      <c r="N1119">
        <v>2004</v>
      </c>
      <c r="Q1119" s="262">
        <v>0</v>
      </c>
      <c r="S1119" t="s">
        <v>114</v>
      </c>
      <c r="T1119" t="s">
        <v>114</v>
      </c>
      <c r="W1119">
        <v>2492</v>
      </c>
      <c r="X1119">
        <v>3</v>
      </c>
      <c r="Y1119">
        <v>0</v>
      </c>
      <c r="Z1119">
        <v>0</v>
      </c>
      <c r="AA1119">
        <v>0</v>
      </c>
      <c r="AB1119">
        <v>0</v>
      </c>
      <c r="AC1119">
        <v>0</v>
      </c>
      <c r="AD1119">
        <v>2492</v>
      </c>
      <c r="AE1119">
        <v>0</v>
      </c>
      <c r="AF1119">
        <v>0</v>
      </c>
      <c r="AG1119">
        <v>0</v>
      </c>
      <c r="AH1119">
        <v>0</v>
      </c>
      <c r="AI1119">
        <v>0</v>
      </c>
      <c r="AJ1119">
        <v>0</v>
      </c>
      <c r="AK1119">
        <v>0</v>
      </c>
      <c r="AL1119">
        <v>0</v>
      </c>
      <c r="AM1119">
        <v>0</v>
      </c>
      <c r="AN1119">
        <v>0</v>
      </c>
      <c r="AO1119">
        <v>0</v>
      </c>
      <c r="AP1119">
        <v>3</v>
      </c>
      <c r="AQ1119">
        <v>0</v>
      </c>
      <c r="AR1119">
        <v>0</v>
      </c>
      <c r="AS1119">
        <v>0</v>
      </c>
      <c r="AT1119">
        <v>0</v>
      </c>
      <c r="AU1119">
        <f t="shared" si="34"/>
        <v>3</v>
      </c>
      <c r="AV1119">
        <f t="shared" si="35"/>
        <v>0</v>
      </c>
    </row>
    <row r="1120" spans="1:48" x14ac:dyDescent="0.25">
      <c r="A1120" t="s">
        <v>5154</v>
      </c>
      <c r="C1120" t="s">
        <v>5155</v>
      </c>
      <c r="D1120" t="s">
        <v>5156</v>
      </c>
      <c r="E1120" t="s">
        <v>1663</v>
      </c>
      <c r="F1120">
        <v>3</v>
      </c>
      <c r="G1120">
        <v>3.1</v>
      </c>
      <c r="H1120" t="s">
        <v>2017</v>
      </c>
      <c r="I1120" s="21">
        <v>38146</v>
      </c>
      <c r="J1120">
        <v>2004</v>
      </c>
      <c r="K1120" s="21">
        <v>38176</v>
      </c>
      <c r="L1120">
        <v>2004</v>
      </c>
      <c r="M1120" s="21">
        <v>38329</v>
      </c>
      <c r="N1120">
        <v>2004</v>
      </c>
      <c r="Q1120" s="262">
        <v>0</v>
      </c>
      <c r="S1120" t="s">
        <v>114</v>
      </c>
      <c r="T1120" t="s">
        <v>114</v>
      </c>
      <c r="W1120">
        <v>2499</v>
      </c>
      <c r="X1120">
        <v>1</v>
      </c>
      <c r="Y1120">
        <v>0</v>
      </c>
      <c r="Z1120">
        <v>0</v>
      </c>
      <c r="AA1120">
        <v>0</v>
      </c>
      <c r="AB1120">
        <v>0</v>
      </c>
      <c r="AC1120">
        <v>0</v>
      </c>
      <c r="AD1120">
        <v>2499</v>
      </c>
      <c r="AE1120">
        <v>0</v>
      </c>
      <c r="AF1120">
        <v>0</v>
      </c>
      <c r="AG1120">
        <v>0</v>
      </c>
      <c r="AH1120">
        <v>0</v>
      </c>
      <c r="AI1120">
        <v>0</v>
      </c>
      <c r="AJ1120">
        <v>0</v>
      </c>
      <c r="AK1120">
        <v>0</v>
      </c>
      <c r="AL1120">
        <v>0</v>
      </c>
      <c r="AM1120">
        <v>0</v>
      </c>
      <c r="AN1120">
        <v>0</v>
      </c>
      <c r="AO1120">
        <v>0</v>
      </c>
      <c r="AP1120">
        <v>1</v>
      </c>
      <c r="AQ1120">
        <v>0</v>
      </c>
      <c r="AR1120">
        <v>0</v>
      </c>
      <c r="AS1120">
        <v>0</v>
      </c>
      <c r="AT1120">
        <v>0</v>
      </c>
      <c r="AU1120">
        <f t="shared" si="34"/>
        <v>1</v>
      </c>
      <c r="AV1120">
        <f t="shared" si="35"/>
        <v>0</v>
      </c>
    </row>
    <row r="1121" spans="1:48" x14ac:dyDescent="0.25">
      <c r="A1121" t="s">
        <v>5157</v>
      </c>
      <c r="C1121" t="s">
        <v>5158</v>
      </c>
      <c r="D1121" t="s">
        <v>5159</v>
      </c>
      <c r="E1121" t="s">
        <v>1663</v>
      </c>
      <c r="F1121">
        <v>3</v>
      </c>
      <c r="G1121">
        <v>3.1</v>
      </c>
      <c r="H1121" t="s">
        <v>2017</v>
      </c>
      <c r="I1121" s="21">
        <v>38146</v>
      </c>
      <c r="J1121">
        <v>2004</v>
      </c>
      <c r="K1121" s="21">
        <v>38176</v>
      </c>
      <c r="L1121">
        <v>2004</v>
      </c>
      <c r="M1121" s="21">
        <v>38329</v>
      </c>
      <c r="N1121">
        <v>2004</v>
      </c>
      <c r="Q1121" s="262">
        <v>0</v>
      </c>
      <c r="S1121" t="s">
        <v>114</v>
      </c>
      <c r="T1121" t="s">
        <v>114</v>
      </c>
      <c r="W1121">
        <v>2499</v>
      </c>
      <c r="X1121">
        <v>1</v>
      </c>
      <c r="Y1121">
        <v>0</v>
      </c>
      <c r="Z1121">
        <v>0</v>
      </c>
      <c r="AA1121">
        <v>0</v>
      </c>
      <c r="AB1121">
        <v>0</v>
      </c>
      <c r="AC1121">
        <v>0</v>
      </c>
      <c r="AD1121">
        <v>2499</v>
      </c>
      <c r="AE1121">
        <v>0</v>
      </c>
      <c r="AF1121">
        <v>0</v>
      </c>
      <c r="AG1121">
        <v>0</v>
      </c>
      <c r="AH1121">
        <v>0</v>
      </c>
      <c r="AI1121">
        <v>0</v>
      </c>
      <c r="AJ1121">
        <v>0</v>
      </c>
      <c r="AK1121">
        <v>0</v>
      </c>
      <c r="AL1121">
        <v>0</v>
      </c>
      <c r="AM1121">
        <v>0</v>
      </c>
      <c r="AN1121">
        <v>0</v>
      </c>
      <c r="AO1121">
        <v>0</v>
      </c>
      <c r="AP1121">
        <v>1</v>
      </c>
      <c r="AQ1121">
        <v>0</v>
      </c>
      <c r="AR1121">
        <v>0</v>
      </c>
      <c r="AS1121">
        <v>0</v>
      </c>
      <c r="AT1121">
        <v>0</v>
      </c>
      <c r="AU1121">
        <f t="shared" si="34"/>
        <v>1</v>
      </c>
      <c r="AV1121">
        <f t="shared" si="35"/>
        <v>0</v>
      </c>
    </row>
    <row r="1122" spans="1:48" x14ac:dyDescent="0.25">
      <c r="A1122" t="s">
        <v>5160</v>
      </c>
      <c r="C1122" t="s">
        <v>5161</v>
      </c>
      <c r="D1122" t="s">
        <v>5162</v>
      </c>
      <c r="E1122" t="s">
        <v>1663</v>
      </c>
      <c r="F1122">
        <v>3</v>
      </c>
      <c r="G1122">
        <v>3.1</v>
      </c>
      <c r="H1122" t="s">
        <v>2017</v>
      </c>
      <c r="I1122" s="21">
        <v>38146</v>
      </c>
      <c r="J1122">
        <v>2004</v>
      </c>
      <c r="K1122" s="21">
        <v>38176</v>
      </c>
      <c r="L1122">
        <v>2004</v>
      </c>
      <c r="M1122" s="21">
        <v>38329</v>
      </c>
      <c r="N1122">
        <v>2004</v>
      </c>
      <c r="Q1122" s="262">
        <v>0</v>
      </c>
      <c r="S1122" t="s">
        <v>114</v>
      </c>
      <c r="T1122" t="s">
        <v>114</v>
      </c>
      <c r="W1122">
        <v>2496</v>
      </c>
      <c r="X1122">
        <v>1</v>
      </c>
      <c r="Y1122">
        <v>0</v>
      </c>
      <c r="Z1122">
        <v>0</v>
      </c>
      <c r="AA1122">
        <v>0</v>
      </c>
      <c r="AB1122">
        <v>0</v>
      </c>
      <c r="AC1122">
        <v>0</v>
      </c>
      <c r="AD1122">
        <v>2496</v>
      </c>
      <c r="AE1122">
        <v>0</v>
      </c>
      <c r="AF1122">
        <v>0</v>
      </c>
      <c r="AG1122">
        <v>0</v>
      </c>
      <c r="AH1122">
        <v>0</v>
      </c>
      <c r="AI1122">
        <v>0</v>
      </c>
      <c r="AJ1122">
        <v>0</v>
      </c>
      <c r="AK1122">
        <v>0</v>
      </c>
      <c r="AL1122">
        <v>0</v>
      </c>
      <c r="AM1122">
        <v>0</v>
      </c>
      <c r="AN1122">
        <v>0</v>
      </c>
      <c r="AO1122">
        <v>0</v>
      </c>
      <c r="AP1122">
        <v>1</v>
      </c>
      <c r="AQ1122">
        <v>0</v>
      </c>
      <c r="AR1122">
        <v>0</v>
      </c>
      <c r="AS1122">
        <v>0</v>
      </c>
      <c r="AT1122">
        <v>0</v>
      </c>
      <c r="AU1122">
        <f t="shared" si="34"/>
        <v>1</v>
      </c>
      <c r="AV1122">
        <f t="shared" si="35"/>
        <v>0</v>
      </c>
    </row>
    <row r="1123" spans="1:48" x14ac:dyDescent="0.25">
      <c r="A1123" t="s">
        <v>5163</v>
      </c>
      <c r="C1123" t="s">
        <v>5164</v>
      </c>
      <c r="D1123" t="s">
        <v>5165</v>
      </c>
      <c r="E1123" t="s">
        <v>1663</v>
      </c>
      <c r="F1123">
        <v>3</v>
      </c>
      <c r="G1123">
        <v>3.1</v>
      </c>
      <c r="H1123" t="s">
        <v>2017</v>
      </c>
      <c r="I1123" s="21">
        <v>38146</v>
      </c>
      <c r="J1123">
        <v>2004</v>
      </c>
      <c r="K1123" s="21">
        <v>38176</v>
      </c>
      <c r="L1123">
        <v>2004</v>
      </c>
      <c r="M1123" s="21">
        <v>38329</v>
      </c>
      <c r="N1123">
        <v>2004</v>
      </c>
      <c r="Q1123" s="262">
        <v>0</v>
      </c>
      <c r="S1123" t="s">
        <v>114</v>
      </c>
      <c r="T1123" t="s">
        <v>114</v>
      </c>
      <c r="W1123">
        <v>2496</v>
      </c>
      <c r="X1123">
        <v>1</v>
      </c>
      <c r="Y1123">
        <v>0</v>
      </c>
      <c r="Z1123">
        <v>0</v>
      </c>
      <c r="AA1123">
        <v>0</v>
      </c>
      <c r="AB1123">
        <v>0</v>
      </c>
      <c r="AC1123">
        <v>0</v>
      </c>
      <c r="AD1123">
        <v>2496</v>
      </c>
      <c r="AE1123">
        <v>0</v>
      </c>
      <c r="AF1123">
        <v>0</v>
      </c>
      <c r="AG1123">
        <v>0</v>
      </c>
      <c r="AH1123">
        <v>0</v>
      </c>
      <c r="AI1123">
        <v>0</v>
      </c>
      <c r="AJ1123">
        <v>0</v>
      </c>
      <c r="AK1123">
        <v>0</v>
      </c>
      <c r="AL1123">
        <v>0</v>
      </c>
      <c r="AM1123">
        <v>0</v>
      </c>
      <c r="AN1123">
        <v>0</v>
      </c>
      <c r="AO1123">
        <v>0</v>
      </c>
      <c r="AP1123">
        <v>1</v>
      </c>
      <c r="AQ1123">
        <v>0</v>
      </c>
      <c r="AR1123">
        <v>0</v>
      </c>
      <c r="AS1123">
        <v>0</v>
      </c>
      <c r="AT1123">
        <v>0</v>
      </c>
      <c r="AU1123">
        <f t="shared" si="34"/>
        <v>1</v>
      </c>
      <c r="AV1123">
        <f t="shared" si="35"/>
        <v>0</v>
      </c>
    </row>
    <row r="1124" spans="1:48" x14ac:dyDescent="0.25">
      <c r="A1124" t="s">
        <v>5166</v>
      </c>
      <c r="C1124" t="s">
        <v>5167</v>
      </c>
      <c r="D1124" t="s">
        <v>5168</v>
      </c>
      <c r="E1124" t="s">
        <v>1663</v>
      </c>
      <c r="F1124">
        <v>3</v>
      </c>
      <c r="G1124">
        <v>3.1</v>
      </c>
      <c r="H1124" t="s">
        <v>2017</v>
      </c>
      <c r="I1124" s="21">
        <v>38146</v>
      </c>
      <c r="J1124">
        <v>2004</v>
      </c>
      <c r="K1124" s="21">
        <v>38176</v>
      </c>
      <c r="L1124">
        <v>2004</v>
      </c>
      <c r="M1124" s="21">
        <v>38329</v>
      </c>
      <c r="N1124">
        <v>2004</v>
      </c>
      <c r="Q1124" s="262">
        <v>0</v>
      </c>
      <c r="S1124" t="s">
        <v>114</v>
      </c>
      <c r="T1124" t="s">
        <v>114</v>
      </c>
      <c r="W1124">
        <v>2496</v>
      </c>
      <c r="X1124">
        <v>1</v>
      </c>
      <c r="Y1124">
        <v>0</v>
      </c>
      <c r="Z1124">
        <v>0</v>
      </c>
      <c r="AA1124">
        <v>0</v>
      </c>
      <c r="AB1124">
        <v>0</v>
      </c>
      <c r="AC1124">
        <v>0</v>
      </c>
      <c r="AD1124">
        <v>2496</v>
      </c>
      <c r="AE1124">
        <v>0</v>
      </c>
      <c r="AF1124">
        <v>0</v>
      </c>
      <c r="AG1124">
        <v>0</v>
      </c>
      <c r="AH1124">
        <v>0</v>
      </c>
      <c r="AI1124">
        <v>0</v>
      </c>
      <c r="AJ1124">
        <v>0</v>
      </c>
      <c r="AK1124">
        <v>0</v>
      </c>
      <c r="AL1124">
        <v>0</v>
      </c>
      <c r="AM1124">
        <v>0</v>
      </c>
      <c r="AN1124">
        <v>0</v>
      </c>
      <c r="AO1124">
        <v>0</v>
      </c>
      <c r="AP1124">
        <v>1</v>
      </c>
      <c r="AQ1124">
        <v>0</v>
      </c>
      <c r="AR1124">
        <v>0</v>
      </c>
      <c r="AS1124">
        <v>0</v>
      </c>
      <c r="AT1124">
        <v>0</v>
      </c>
      <c r="AU1124">
        <f t="shared" si="34"/>
        <v>1</v>
      </c>
      <c r="AV1124">
        <f t="shared" si="35"/>
        <v>0</v>
      </c>
    </row>
    <row r="1125" spans="1:48" x14ac:dyDescent="0.25">
      <c r="A1125" t="s">
        <v>5169</v>
      </c>
      <c r="C1125" t="s">
        <v>5170</v>
      </c>
      <c r="D1125" t="s">
        <v>5171</v>
      </c>
      <c r="E1125" t="s">
        <v>1663</v>
      </c>
      <c r="F1125">
        <v>3</v>
      </c>
      <c r="G1125">
        <v>3.1</v>
      </c>
      <c r="H1125" t="s">
        <v>2017</v>
      </c>
      <c r="I1125" s="21">
        <v>38146</v>
      </c>
      <c r="J1125">
        <v>2004</v>
      </c>
      <c r="K1125" s="21">
        <v>38176</v>
      </c>
      <c r="L1125">
        <v>2004</v>
      </c>
      <c r="M1125" s="21">
        <v>38329</v>
      </c>
      <c r="N1125">
        <v>2004</v>
      </c>
      <c r="Q1125" s="262">
        <v>0</v>
      </c>
      <c r="S1125" t="s">
        <v>114</v>
      </c>
      <c r="T1125" t="s">
        <v>114</v>
      </c>
      <c r="W1125">
        <v>2496</v>
      </c>
      <c r="X1125">
        <v>1</v>
      </c>
      <c r="Y1125">
        <v>0</v>
      </c>
      <c r="Z1125">
        <v>0</v>
      </c>
      <c r="AA1125">
        <v>0</v>
      </c>
      <c r="AB1125">
        <v>0</v>
      </c>
      <c r="AC1125">
        <v>0</v>
      </c>
      <c r="AD1125">
        <v>2496</v>
      </c>
      <c r="AE1125">
        <v>0</v>
      </c>
      <c r="AF1125">
        <v>0</v>
      </c>
      <c r="AG1125">
        <v>0</v>
      </c>
      <c r="AH1125">
        <v>0</v>
      </c>
      <c r="AI1125">
        <v>0</v>
      </c>
      <c r="AJ1125">
        <v>0</v>
      </c>
      <c r="AK1125">
        <v>0</v>
      </c>
      <c r="AL1125">
        <v>0</v>
      </c>
      <c r="AM1125">
        <v>0</v>
      </c>
      <c r="AN1125">
        <v>0</v>
      </c>
      <c r="AO1125">
        <v>0</v>
      </c>
      <c r="AP1125">
        <v>1</v>
      </c>
      <c r="AQ1125">
        <v>0</v>
      </c>
      <c r="AR1125">
        <v>0</v>
      </c>
      <c r="AS1125">
        <v>0</v>
      </c>
      <c r="AT1125">
        <v>0</v>
      </c>
      <c r="AU1125">
        <f t="shared" si="34"/>
        <v>1</v>
      </c>
      <c r="AV1125">
        <f t="shared" si="35"/>
        <v>0</v>
      </c>
    </row>
    <row r="1126" spans="1:48" x14ac:dyDescent="0.25">
      <c r="A1126" t="s">
        <v>5181</v>
      </c>
      <c r="C1126" t="s">
        <v>5182</v>
      </c>
      <c r="D1126" t="s">
        <v>5183</v>
      </c>
      <c r="E1126" t="s">
        <v>2310</v>
      </c>
      <c r="F1126">
        <v>15</v>
      </c>
      <c r="G1126">
        <v>15.2</v>
      </c>
      <c r="H1126" t="s">
        <v>2323</v>
      </c>
      <c r="I1126" s="21">
        <v>38147</v>
      </c>
      <c r="J1126">
        <v>2004</v>
      </c>
      <c r="K1126" s="21">
        <v>38177</v>
      </c>
      <c r="L1126">
        <v>2004</v>
      </c>
      <c r="M1126" s="21">
        <v>38764</v>
      </c>
      <c r="N1126">
        <v>2006</v>
      </c>
      <c r="R1126" s="262">
        <v>200000</v>
      </c>
      <c r="S1126" t="s">
        <v>114</v>
      </c>
      <c r="T1126" t="s">
        <v>114</v>
      </c>
      <c r="U1126">
        <v>5</v>
      </c>
      <c r="W1126">
        <v>1020</v>
      </c>
      <c r="X1126">
        <v>0</v>
      </c>
      <c r="Y1126">
        <v>0</v>
      </c>
      <c r="Z1126">
        <v>0</v>
      </c>
      <c r="AA1126">
        <v>0</v>
      </c>
      <c r="AB1126">
        <v>0</v>
      </c>
      <c r="AC1126">
        <v>1020</v>
      </c>
      <c r="AD1126">
        <v>0</v>
      </c>
      <c r="AE1126">
        <v>0</v>
      </c>
      <c r="AF1126">
        <v>0</v>
      </c>
      <c r="AG1126">
        <v>0</v>
      </c>
      <c r="AH1126">
        <v>0</v>
      </c>
      <c r="AI1126">
        <v>0</v>
      </c>
      <c r="AJ1126">
        <v>0</v>
      </c>
      <c r="AK1126">
        <v>0</v>
      </c>
      <c r="AL1126">
        <v>0</v>
      </c>
      <c r="AM1126">
        <v>0</v>
      </c>
      <c r="AN1126">
        <v>0</v>
      </c>
      <c r="AO1126">
        <v>0</v>
      </c>
      <c r="AP1126">
        <v>0</v>
      </c>
      <c r="AQ1126">
        <v>0</v>
      </c>
      <c r="AR1126">
        <v>0</v>
      </c>
      <c r="AS1126">
        <v>0</v>
      </c>
      <c r="AT1126">
        <v>0</v>
      </c>
      <c r="AU1126">
        <f t="shared" si="34"/>
        <v>0</v>
      </c>
      <c r="AV1126">
        <f t="shared" si="35"/>
        <v>0</v>
      </c>
    </row>
    <row r="1127" spans="1:48" x14ac:dyDescent="0.25">
      <c r="A1127" t="s">
        <v>5187</v>
      </c>
      <c r="C1127" t="s">
        <v>5188</v>
      </c>
      <c r="D1127" t="s">
        <v>4731</v>
      </c>
      <c r="E1127" t="s">
        <v>2310</v>
      </c>
      <c r="F1127">
        <v>9</v>
      </c>
      <c r="G1127">
        <v>9.1999999999999993</v>
      </c>
      <c r="H1127" t="s">
        <v>2022</v>
      </c>
      <c r="I1127" s="21">
        <v>38148</v>
      </c>
      <c r="J1127">
        <v>2004</v>
      </c>
      <c r="K1127" s="21">
        <v>38180</v>
      </c>
      <c r="L1127">
        <v>2004</v>
      </c>
      <c r="M1127" s="21">
        <v>38664</v>
      </c>
      <c r="N1127">
        <v>2005</v>
      </c>
      <c r="R1127" s="262">
        <v>10000</v>
      </c>
      <c r="S1127" t="s">
        <v>114</v>
      </c>
      <c r="T1127" t="s">
        <v>114</v>
      </c>
      <c r="U1127">
        <v>5</v>
      </c>
      <c r="W1127">
        <v>198</v>
      </c>
      <c r="X1127">
        <v>0</v>
      </c>
      <c r="Y1127">
        <v>0</v>
      </c>
      <c r="Z1127">
        <v>0</v>
      </c>
      <c r="AA1127">
        <v>0</v>
      </c>
      <c r="AB1127">
        <v>0</v>
      </c>
      <c r="AC1127">
        <v>198</v>
      </c>
      <c r="AD1127">
        <v>0</v>
      </c>
      <c r="AE1127">
        <v>0</v>
      </c>
      <c r="AF1127">
        <v>0</v>
      </c>
      <c r="AG1127">
        <v>0</v>
      </c>
      <c r="AH1127">
        <v>0</v>
      </c>
      <c r="AI1127">
        <v>0</v>
      </c>
      <c r="AJ1127">
        <v>0</v>
      </c>
      <c r="AK1127">
        <v>0</v>
      </c>
      <c r="AL1127">
        <v>0</v>
      </c>
      <c r="AM1127">
        <v>0</v>
      </c>
      <c r="AN1127">
        <v>0</v>
      </c>
      <c r="AO1127">
        <v>0</v>
      </c>
      <c r="AP1127">
        <v>0</v>
      </c>
      <c r="AQ1127">
        <v>0</v>
      </c>
      <c r="AR1127">
        <v>0</v>
      </c>
      <c r="AS1127">
        <v>0</v>
      </c>
      <c r="AT1127">
        <v>0</v>
      </c>
      <c r="AU1127">
        <f t="shared" si="34"/>
        <v>0</v>
      </c>
      <c r="AV1127">
        <f t="shared" si="35"/>
        <v>0</v>
      </c>
    </row>
    <row r="1128" spans="1:48" x14ac:dyDescent="0.25">
      <c r="A1128" t="s">
        <v>5189</v>
      </c>
      <c r="C1128" t="s">
        <v>5190</v>
      </c>
      <c r="D1128" t="s">
        <v>5191</v>
      </c>
      <c r="E1128" t="s">
        <v>2310</v>
      </c>
      <c r="F1128">
        <v>14</v>
      </c>
      <c r="G1128">
        <v>14.1</v>
      </c>
      <c r="H1128" t="s">
        <v>2022</v>
      </c>
      <c r="I1128" s="21">
        <v>38148</v>
      </c>
      <c r="J1128">
        <v>2004</v>
      </c>
      <c r="K1128" s="21">
        <v>38205</v>
      </c>
      <c r="L1128">
        <v>2004</v>
      </c>
      <c r="M1128" s="21">
        <v>38380</v>
      </c>
      <c r="N1128">
        <v>2005</v>
      </c>
      <c r="R1128" s="262">
        <v>200000</v>
      </c>
      <c r="S1128" t="s">
        <v>114</v>
      </c>
      <c r="T1128" t="s">
        <v>114</v>
      </c>
      <c r="U1128">
        <v>5</v>
      </c>
      <c r="W1128">
        <v>1929</v>
      </c>
      <c r="X1128">
        <v>1</v>
      </c>
      <c r="Y1128">
        <v>0</v>
      </c>
      <c r="Z1128">
        <v>0</v>
      </c>
      <c r="AA1128">
        <v>0</v>
      </c>
      <c r="AB1128">
        <v>0</v>
      </c>
      <c r="AC1128">
        <v>1929</v>
      </c>
      <c r="AD1128">
        <v>0</v>
      </c>
      <c r="AE1128">
        <v>0</v>
      </c>
      <c r="AF1128">
        <v>0</v>
      </c>
      <c r="AG1128">
        <v>0</v>
      </c>
      <c r="AH1128">
        <v>0</v>
      </c>
      <c r="AI1128">
        <v>0</v>
      </c>
      <c r="AJ1128">
        <v>0</v>
      </c>
      <c r="AK1128">
        <v>0</v>
      </c>
      <c r="AL1128">
        <v>0</v>
      </c>
      <c r="AM1128">
        <v>0</v>
      </c>
      <c r="AN1128">
        <v>0</v>
      </c>
      <c r="AO1128">
        <v>1</v>
      </c>
      <c r="AP1128">
        <v>0</v>
      </c>
      <c r="AQ1128">
        <v>0</v>
      </c>
      <c r="AR1128">
        <v>0</v>
      </c>
      <c r="AS1128">
        <v>0</v>
      </c>
      <c r="AT1128">
        <v>0</v>
      </c>
      <c r="AU1128">
        <f t="shared" si="34"/>
        <v>1</v>
      </c>
      <c r="AV1128">
        <f t="shared" si="35"/>
        <v>0</v>
      </c>
    </row>
    <row r="1129" spans="1:48" x14ac:dyDescent="0.25">
      <c r="A1129" t="s">
        <v>5192</v>
      </c>
      <c r="C1129" t="s">
        <v>5193</v>
      </c>
      <c r="D1129" t="s">
        <v>5194</v>
      </c>
      <c r="E1129" t="s">
        <v>2310</v>
      </c>
      <c r="F1129">
        <v>15</v>
      </c>
      <c r="G1129">
        <v>15.3</v>
      </c>
      <c r="H1129" t="s">
        <v>2022</v>
      </c>
      <c r="I1129" s="21">
        <v>38148</v>
      </c>
      <c r="J1129">
        <v>2004</v>
      </c>
      <c r="K1129" s="21">
        <v>38212</v>
      </c>
      <c r="L1129">
        <v>2004</v>
      </c>
      <c r="M1129" s="21">
        <v>38212</v>
      </c>
      <c r="N1129">
        <v>2004</v>
      </c>
      <c r="R1129" s="262">
        <v>825000</v>
      </c>
      <c r="S1129" t="s">
        <v>114</v>
      </c>
      <c r="T1129" t="s">
        <v>114</v>
      </c>
      <c r="U1129">
        <v>5</v>
      </c>
      <c r="W1129">
        <v>4456</v>
      </c>
      <c r="X1129">
        <v>1</v>
      </c>
      <c r="Y1129">
        <v>0</v>
      </c>
      <c r="Z1129">
        <v>0</v>
      </c>
      <c r="AA1129">
        <v>0</v>
      </c>
      <c r="AB1129">
        <v>0</v>
      </c>
      <c r="AC1129">
        <v>4456</v>
      </c>
      <c r="AD1129">
        <v>0</v>
      </c>
      <c r="AE1129">
        <v>0</v>
      </c>
      <c r="AF1129">
        <v>0</v>
      </c>
      <c r="AG1129">
        <v>0</v>
      </c>
      <c r="AH1129">
        <v>0</v>
      </c>
      <c r="AI1129">
        <v>0</v>
      </c>
      <c r="AJ1129">
        <v>0</v>
      </c>
      <c r="AK1129">
        <v>0</v>
      </c>
      <c r="AL1129">
        <v>0</v>
      </c>
      <c r="AM1129">
        <v>0</v>
      </c>
      <c r="AN1129">
        <v>0</v>
      </c>
      <c r="AO1129">
        <v>1</v>
      </c>
      <c r="AP1129">
        <v>0</v>
      </c>
      <c r="AQ1129">
        <v>0</v>
      </c>
      <c r="AR1129">
        <v>0</v>
      </c>
      <c r="AS1129">
        <v>0</v>
      </c>
      <c r="AT1129">
        <v>0</v>
      </c>
      <c r="AU1129">
        <f t="shared" si="34"/>
        <v>1</v>
      </c>
      <c r="AV1129">
        <f t="shared" si="35"/>
        <v>0</v>
      </c>
    </row>
    <row r="1130" spans="1:48" x14ac:dyDescent="0.25">
      <c r="A1130" t="s">
        <v>5184</v>
      </c>
      <c r="C1130" t="s">
        <v>5185</v>
      </c>
      <c r="D1130" t="s">
        <v>5186</v>
      </c>
      <c r="E1130" t="s">
        <v>1663</v>
      </c>
      <c r="F1130">
        <v>5</v>
      </c>
      <c r="G1130">
        <v>5.5</v>
      </c>
      <c r="H1130" t="s">
        <v>2017</v>
      </c>
      <c r="I1130" s="21">
        <v>38148</v>
      </c>
      <c r="J1130">
        <v>2004</v>
      </c>
      <c r="K1130" s="21">
        <v>38178</v>
      </c>
      <c r="L1130">
        <v>2004</v>
      </c>
      <c r="M1130" s="21">
        <v>38331</v>
      </c>
      <c r="N1130">
        <v>2004</v>
      </c>
      <c r="Q1130" s="262">
        <v>25000</v>
      </c>
      <c r="S1130" t="s">
        <v>114</v>
      </c>
      <c r="T1130" t="s">
        <v>114</v>
      </c>
      <c r="W1130">
        <v>221</v>
      </c>
      <c r="X1130">
        <v>0</v>
      </c>
      <c r="Y1130">
        <v>0</v>
      </c>
      <c r="Z1130">
        <v>0</v>
      </c>
      <c r="AA1130">
        <v>0</v>
      </c>
      <c r="AB1130">
        <v>0</v>
      </c>
      <c r="AC1130">
        <v>221</v>
      </c>
      <c r="AD1130">
        <v>0</v>
      </c>
      <c r="AE1130">
        <v>0</v>
      </c>
      <c r="AF1130">
        <v>0</v>
      </c>
      <c r="AG1130">
        <v>0</v>
      </c>
      <c r="AH1130">
        <v>0</v>
      </c>
      <c r="AI1130">
        <v>0</v>
      </c>
      <c r="AJ1130">
        <v>0</v>
      </c>
      <c r="AK1130">
        <v>0</v>
      </c>
      <c r="AL1130">
        <v>0</v>
      </c>
      <c r="AM1130">
        <v>0</v>
      </c>
      <c r="AN1130">
        <v>0</v>
      </c>
      <c r="AO1130">
        <v>0</v>
      </c>
      <c r="AP1130">
        <v>0</v>
      </c>
      <c r="AQ1130">
        <v>0</v>
      </c>
      <c r="AR1130">
        <v>0</v>
      </c>
      <c r="AS1130">
        <v>0</v>
      </c>
      <c r="AT1130">
        <v>0</v>
      </c>
      <c r="AU1130">
        <f t="shared" si="34"/>
        <v>0</v>
      </c>
      <c r="AV1130">
        <f t="shared" si="35"/>
        <v>0</v>
      </c>
    </row>
    <row r="1131" spans="1:48" x14ac:dyDescent="0.25">
      <c r="A1131" t="s">
        <v>5195</v>
      </c>
      <c r="C1131" t="s">
        <v>5196</v>
      </c>
      <c r="D1131" t="s">
        <v>5197</v>
      </c>
      <c r="E1131" t="s">
        <v>1663</v>
      </c>
      <c r="F1131">
        <v>2</v>
      </c>
      <c r="G1131">
        <v>2.6</v>
      </c>
      <c r="H1131" t="s">
        <v>2327</v>
      </c>
      <c r="I1131" s="21">
        <v>38153</v>
      </c>
      <c r="J1131">
        <v>2004</v>
      </c>
      <c r="K1131" s="21">
        <v>38183</v>
      </c>
      <c r="L1131">
        <v>2004</v>
      </c>
      <c r="M1131" s="21">
        <v>38336</v>
      </c>
      <c r="N1131">
        <v>2004</v>
      </c>
      <c r="Q1131" s="262">
        <v>130000</v>
      </c>
      <c r="S1131" t="s">
        <v>114</v>
      </c>
      <c r="T1131" t="s">
        <v>114</v>
      </c>
      <c r="W1131">
        <v>1680</v>
      </c>
      <c r="X1131">
        <v>2</v>
      </c>
      <c r="Y1131">
        <v>0</v>
      </c>
      <c r="Z1131">
        <v>0</v>
      </c>
      <c r="AA1131">
        <v>0</v>
      </c>
      <c r="AB1131">
        <v>0</v>
      </c>
      <c r="AC1131">
        <v>0</v>
      </c>
      <c r="AD1131">
        <v>0</v>
      </c>
      <c r="AE1131">
        <v>1680</v>
      </c>
      <c r="AF1131">
        <v>0</v>
      </c>
      <c r="AG1131">
        <v>0</v>
      </c>
      <c r="AH1131">
        <v>0</v>
      </c>
      <c r="AI1131">
        <v>0</v>
      </c>
      <c r="AJ1131">
        <v>0</v>
      </c>
      <c r="AK1131">
        <v>0</v>
      </c>
      <c r="AL1131">
        <v>0</v>
      </c>
      <c r="AM1131">
        <v>0</v>
      </c>
      <c r="AN1131">
        <v>0</v>
      </c>
      <c r="AO1131">
        <v>0</v>
      </c>
      <c r="AP1131">
        <v>0</v>
      </c>
      <c r="AQ1131">
        <v>2</v>
      </c>
      <c r="AR1131">
        <v>0</v>
      </c>
      <c r="AS1131">
        <v>0</v>
      </c>
      <c r="AT1131">
        <v>0</v>
      </c>
      <c r="AU1131">
        <f t="shared" si="34"/>
        <v>2</v>
      </c>
      <c r="AV1131">
        <f t="shared" si="35"/>
        <v>0</v>
      </c>
    </row>
    <row r="1132" spans="1:48" x14ac:dyDescent="0.25">
      <c r="A1132" t="s">
        <v>5198</v>
      </c>
      <c r="C1132" t="s">
        <v>5199</v>
      </c>
      <c r="D1132" t="s">
        <v>5200</v>
      </c>
      <c r="E1132" t="s">
        <v>2310</v>
      </c>
      <c r="F1132">
        <v>12</v>
      </c>
      <c r="G1132">
        <v>12.1</v>
      </c>
      <c r="H1132" t="s">
        <v>2327</v>
      </c>
      <c r="I1132" s="21">
        <v>38154</v>
      </c>
      <c r="J1132">
        <v>2004</v>
      </c>
      <c r="K1132" s="21">
        <v>38213</v>
      </c>
      <c r="L1132">
        <v>2004</v>
      </c>
      <c r="M1132" s="21">
        <v>38348</v>
      </c>
      <c r="N1132">
        <v>2004</v>
      </c>
      <c r="R1132" s="262">
        <v>100000</v>
      </c>
      <c r="S1132" t="s">
        <v>114</v>
      </c>
      <c r="T1132" t="s">
        <v>114</v>
      </c>
      <c r="U1132">
        <v>10</v>
      </c>
      <c r="W1132">
        <v>0</v>
      </c>
      <c r="X1132">
        <v>0</v>
      </c>
      <c r="Y1132">
        <v>0</v>
      </c>
      <c r="Z1132">
        <v>0</v>
      </c>
      <c r="AA1132">
        <v>0</v>
      </c>
      <c r="AB1132">
        <v>0</v>
      </c>
      <c r="AC1132">
        <v>0</v>
      </c>
      <c r="AD1132">
        <v>0</v>
      </c>
      <c r="AE1132">
        <v>0</v>
      </c>
      <c r="AF1132">
        <v>0</v>
      </c>
      <c r="AG1132">
        <v>0</v>
      </c>
      <c r="AH1132">
        <v>1088</v>
      </c>
      <c r="AI1132">
        <v>0</v>
      </c>
      <c r="AJ1132">
        <v>-1088</v>
      </c>
      <c r="AK1132">
        <v>0</v>
      </c>
      <c r="AL1132">
        <v>0</v>
      </c>
      <c r="AM1132">
        <v>0</v>
      </c>
      <c r="AN1132">
        <v>0</v>
      </c>
      <c r="AO1132">
        <v>0</v>
      </c>
      <c r="AP1132">
        <v>0</v>
      </c>
      <c r="AQ1132">
        <v>0</v>
      </c>
      <c r="AR1132">
        <v>0</v>
      </c>
      <c r="AS1132">
        <v>0</v>
      </c>
      <c r="AT1132">
        <v>0</v>
      </c>
      <c r="AU1132">
        <f t="shared" si="34"/>
        <v>0</v>
      </c>
      <c r="AV1132">
        <f t="shared" si="35"/>
        <v>0</v>
      </c>
    </row>
    <row r="1133" spans="1:48" x14ac:dyDescent="0.25">
      <c r="A1133" t="s">
        <v>5201</v>
      </c>
      <c r="C1133" t="s">
        <v>5202</v>
      </c>
      <c r="D1133" t="s">
        <v>5203</v>
      </c>
      <c r="E1133" t="s">
        <v>2310</v>
      </c>
      <c r="F1133">
        <v>10</v>
      </c>
      <c r="G1133">
        <v>10.1</v>
      </c>
      <c r="H1133" t="s">
        <v>2323</v>
      </c>
      <c r="I1133" s="21">
        <v>38154</v>
      </c>
      <c r="J1133">
        <v>2004</v>
      </c>
      <c r="K1133" s="21">
        <v>38181</v>
      </c>
      <c r="L1133">
        <v>2004</v>
      </c>
      <c r="M1133" s="21">
        <v>38890</v>
      </c>
      <c r="N1133">
        <v>2006</v>
      </c>
      <c r="R1133" s="262">
        <v>420000</v>
      </c>
      <c r="S1133" t="s">
        <v>114</v>
      </c>
      <c r="T1133" t="s">
        <v>114</v>
      </c>
      <c r="U1133">
        <v>5</v>
      </c>
      <c r="W1133">
        <v>3558</v>
      </c>
      <c r="X1133">
        <v>1</v>
      </c>
      <c r="Y1133">
        <v>0</v>
      </c>
      <c r="Z1133">
        <v>0</v>
      </c>
      <c r="AA1133">
        <v>0</v>
      </c>
      <c r="AB1133">
        <v>0</v>
      </c>
      <c r="AC1133">
        <v>3558</v>
      </c>
      <c r="AD1133">
        <v>0</v>
      </c>
      <c r="AE1133">
        <v>0</v>
      </c>
      <c r="AF1133">
        <v>0</v>
      </c>
      <c r="AG1133">
        <v>0</v>
      </c>
      <c r="AH1133">
        <v>0</v>
      </c>
      <c r="AI1133">
        <v>0</v>
      </c>
      <c r="AJ1133">
        <v>0</v>
      </c>
      <c r="AK1133">
        <v>0</v>
      </c>
      <c r="AL1133">
        <v>0</v>
      </c>
      <c r="AM1133">
        <v>0</v>
      </c>
      <c r="AN1133">
        <v>0</v>
      </c>
      <c r="AO1133">
        <v>1</v>
      </c>
      <c r="AP1133">
        <v>0</v>
      </c>
      <c r="AQ1133">
        <v>0</v>
      </c>
      <c r="AR1133">
        <v>0</v>
      </c>
      <c r="AS1133">
        <v>0</v>
      </c>
      <c r="AT1133">
        <v>0</v>
      </c>
      <c r="AU1133">
        <f t="shared" si="34"/>
        <v>1</v>
      </c>
      <c r="AV1133">
        <f t="shared" si="35"/>
        <v>0</v>
      </c>
    </row>
    <row r="1134" spans="1:48" x14ac:dyDescent="0.25">
      <c r="A1134" t="s">
        <v>5204</v>
      </c>
      <c r="C1134" t="s">
        <v>4936</v>
      </c>
      <c r="D1134" t="s">
        <v>5205</v>
      </c>
      <c r="E1134" t="s">
        <v>2310</v>
      </c>
      <c r="F1134">
        <v>9</v>
      </c>
      <c r="G1134">
        <v>9.1</v>
      </c>
      <c r="H1134" t="s">
        <v>2323</v>
      </c>
      <c r="I1134" s="21">
        <v>38155</v>
      </c>
      <c r="J1134">
        <v>2004</v>
      </c>
      <c r="K1134" s="21">
        <v>38243</v>
      </c>
      <c r="L1134">
        <v>2004</v>
      </c>
      <c r="M1134" s="21">
        <v>39080</v>
      </c>
      <c r="N1134">
        <v>2006</v>
      </c>
      <c r="R1134" s="262">
        <v>412190</v>
      </c>
      <c r="S1134" t="s">
        <v>114</v>
      </c>
      <c r="T1134" t="s">
        <v>114</v>
      </c>
      <c r="U1134">
        <v>5</v>
      </c>
      <c r="W1134">
        <v>7356</v>
      </c>
      <c r="X1134">
        <v>1</v>
      </c>
      <c r="Y1134">
        <v>0</v>
      </c>
      <c r="Z1134">
        <v>0</v>
      </c>
      <c r="AA1134">
        <v>0</v>
      </c>
      <c r="AB1134">
        <v>0</v>
      </c>
      <c r="AC1134">
        <v>7356</v>
      </c>
      <c r="AD1134">
        <v>0</v>
      </c>
      <c r="AE1134">
        <v>0</v>
      </c>
      <c r="AF1134">
        <v>0</v>
      </c>
      <c r="AG1134">
        <v>0</v>
      </c>
      <c r="AH1134">
        <v>0</v>
      </c>
      <c r="AI1134">
        <v>0</v>
      </c>
      <c r="AJ1134">
        <v>0</v>
      </c>
      <c r="AK1134">
        <v>0</v>
      </c>
      <c r="AL1134">
        <v>0</v>
      </c>
      <c r="AM1134">
        <v>0</v>
      </c>
      <c r="AN1134">
        <v>0</v>
      </c>
      <c r="AO1134">
        <v>1</v>
      </c>
      <c r="AP1134">
        <v>0</v>
      </c>
      <c r="AQ1134">
        <v>0</v>
      </c>
      <c r="AR1134">
        <v>0</v>
      </c>
      <c r="AS1134">
        <v>0</v>
      </c>
      <c r="AT1134">
        <v>0</v>
      </c>
      <c r="AU1134">
        <f t="shared" si="34"/>
        <v>1</v>
      </c>
      <c r="AV1134">
        <f t="shared" si="35"/>
        <v>0</v>
      </c>
    </row>
    <row r="1135" spans="1:48" x14ac:dyDescent="0.25">
      <c r="A1135" t="s">
        <v>5206</v>
      </c>
      <c r="C1135" t="s">
        <v>5207</v>
      </c>
      <c r="D1135" t="s">
        <v>5208</v>
      </c>
      <c r="E1135" t="s">
        <v>2310</v>
      </c>
      <c r="F1135">
        <v>9</v>
      </c>
      <c r="G1135">
        <v>9.4</v>
      </c>
      <c r="H1135" t="s">
        <v>2323</v>
      </c>
      <c r="I1135" s="21">
        <v>38156</v>
      </c>
      <c r="J1135">
        <v>2004</v>
      </c>
      <c r="K1135" s="21">
        <v>38464</v>
      </c>
      <c r="L1135">
        <v>2005</v>
      </c>
      <c r="M1135" s="21">
        <v>39041</v>
      </c>
      <c r="N1135">
        <v>2006</v>
      </c>
      <c r="R1135" s="262">
        <v>1044000</v>
      </c>
      <c r="S1135" t="s">
        <v>114</v>
      </c>
      <c r="T1135" t="s">
        <v>114</v>
      </c>
      <c r="U1135">
        <v>5</v>
      </c>
      <c r="W1135">
        <v>6782</v>
      </c>
      <c r="X1135">
        <v>1</v>
      </c>
      <c r="Y1135">
        <v>0</v>
      </c>
      <c r="Z1135">
        <v>0</v>
      </c>
      <c r="AA1135">
        <v>0</v>
      </c>
      <c r="AB1135">
        <v>0</v>
      </c>
      <c r="AC1135">
        <v>6782</v>
      </c>
      <c r="AD1135">
        <v>0</v>
      </c>
      <c r="AE1135">
        <v>0</v>
      </c>
      <c r="AF1135">
        <v>0</v>
      </c>
      <c r="AG1135">
        <v>0</v>
      </c>
      <c r="AH1135">
        <v>0</v>
      </c>
      <c r="AI1135">
        <v>0</v>
      </c>
      <c r="AJ1135">
        <v>0</v>
      </c>
      <c r="AK1135">
        <v>0</v>
      </c>
      <c r="AL1135">
        <v>0</v>
      </c>
      <c r="AM1135">
        <v>0</v>
      </c>
      <c r="AN1135">
        <v>0</v>
      </c>
      <c r="AO1135">
        <v>1</v>
      </c>
      <c r="AP1135">
        <v>0</v>
      </c>
      <c r="AQ1135">
        <v>0</v>
      </c>
      <c r="AR1135">
        <v>0</v>
      </c>
      <c r="AS1135">
        <v>0</v>
      </c>
      <c r="AT1135">
        <v>0</v>
      </c>
      <c r="AU1135">
        <f t="shared" si="34"/>
        <v>1</v>
      </c>
      <c r="AV1135">
        <f t="shared" si="35"/>
        <v>0</v>
      </c>
    </row>
    <row r="1136" spans="1:48" x14ac:dyDescent="0.25">
      <c r="A1136" t="s">
        <v>5209</v>
      </c>
      <c r="C1136" t="s">
        <v>5210</v>
      </c>
      <c r="D1136" t="s">
        <v>5211</v>
      </c>
      <c r="E1136" t="s">
        <v>2310</v>
      </c>
      <c r="F1136">
        <v>14</v>
      </c>
      <c r="G1136">
        <v>14.2</v>
      </c>
      <c r="H1136" t="s">
        <v>2017</v>
      </c>
      <c r="I1136" s="21">
        <v>38156</v>
      </c>
      <c r="J1136">
        <v>2004</v>
      </c>
      <c r="K1136" s="21">
        <v>38184</v>
      </c>
      <c r="L1136">
        <v>2004</v>
      </c>
      <c r="M1136" s="21">
        <v>38547</v>
      </c>
      <c r="N1136">
        <v>2005</v>
      </c>
      <c r="R1136" s="262">
        <v>200000</v>
      </c>
      <c r="S1136" t="s">
        <v>114</v>
      </c>
      <c r="T1136" t="s">
        <v>114</v>
      </c>
      <c r="U1136">
        <v>5</v>
      </c>
      <c r="W1136">
        <v>3467</v>
      </c>
      <c r="X1136">
        <v>1</v>
      </c>
      <c r="Y1136">
        <v>0</v>
      </c>
      <c r="Z1136">
        <v>0</v>
      </c>
      <c r="AA1136">
        <v>0</v>
      </c>
      <c r="AB1136">
        <v>0</v>
      </c>
      <c r="AC1136">
        <v>3467</v>
      </c>
      <c r="AD1136">
        <v>0</v>
      </c>
      <c r="AE1136">
        <v>0</v>
      </c>
      <c r="AF1136">
        <v>0</v>
      </c>
      <c r="AG1136">
        <v>0</v>
      </c>
      <c r="AH1136">
        <v>0</v>
      </c>
      <c r="AI1136">
        <v>0</v>
      </c>
      <c r="AJ1136">
        <v>0</v>
      </c>
      <c r="AK1136">
        <v>0</v>
      </c>
      <c r="AL1136">
        <v>0</v>
      </c>
      <c r="AM1136">
        <v>0</v>
      </c>
      <c r="AN1136">
        <v>0</v>
      </c>
      <c r="AO1136">
        <v>1</v>
      </c>
      <c r="AP1136">
        <v>0</v>
      </c>
      <c r="AQ1136">
        <v>0</v>
      </c>
      <c r="AR1136">
        <v>0</v>
      </c>
      <c r="AS1136">
        <v>0</v>
      </c>
      <c r="AT1136">
        <v>0</v>
      </c>
      <c r="AU1136">
        <f t="shared" si="34"/>
        <v>1</v>
      </c>
      <c r="AV1136">
        <f t="shared" si="35"/>
        <v>0</v>
      </c>
    </row>
    <row r="1137" spans="1:48" x14ac:dyDescent="0.25">
      <c r="A1137" t="s">
        <v>5212</v>
      </c>
      <c r="C1137" t="s">
        <v>5213</v>
      </c>
      <c r="D1137" t="s">
        <v>5214</v>
      </c>
      <c r="E1137" t="s">
        <v>1663</v>
      </c>
      <c r="F1137">
        <v>2</v>
      </c>
      <c r="G1137">
        <v>2.1</v>
      </c>
      <c r="H1137" t="s">
        <v>2327</v>
      </c>
      <c r="I1137" s="21">
        <v>38161</v>
      </c>
      <c r="J1137">
        <v>2004</v>
      </c>
      <c r="K1137" s="21">
        <v>38191</v>
      </c>
      <c r="L1137">
        <v>2004</v>
      </c>
      <c r="M1137" s="21">
        <v>38344</v>
      </c>
      <c r="N1137">
        <v>2004</v>
      </c>
      <c r="Q1137" s="262">
        <v>0</v>
      </c>
      <c r="S1137" t="s">
        <v>114</v>
      </c>
      <c r="T1137" t="s">
        <v>114</v>
      </c>
      <c r="W1137">
        <v>13001</v>
      </c>
      <c r="X1137">
        <v>4</v>
      </c>
      <c r="Y1137">
        <v>0</v>
      </c>
      <c r="Z1137">
        <v>0</v>
      </c>
      <c r="AA1137">
        <v>0</v>
      </c>
      <c r="AB1137">
        <v>0</v>
      </c>
      <c r="AC1137">
        <v>0</v>
      </c>
      <c r="AD1137">
        <v>0</v>
      </c>
      <c r="AE1137">
        <v>0</v>
      </c>
      <c r="AF1137">
        <v>0</v>
      </c>
      <c r="AG1137">
        <v>0</v>
      </c>
      <c r="AH1137">
        <v>0</v>
      </c>
      <c r="AI1137">
        <v>13001</v>
      </c>
      <c r="AJ1137">
        <v>0</v>
      </c>
      <c r="AK1137">
        <v>0</v>
      </c>
      <c r="AL1137">
        <v>0</v>
      </c>
      <c r="AM1137">
        <v>0</v>
      </c>
      <c r="AN1137">
        <v>0</v>
      </c>
      <c r="AO1137">
        <v>0</v>
      </c>
      <c r="AP1137">
        <v>0</v>
      </c>
      <c r="AQ1137">
        <v>0</v>
      </c>
      <c r="AR1137">
        <v>0</v>
      </c>
      <c r="AS1137">
        <v>0</v>
      </c>
      <c r="AT1137">
        <v>4</v>
      </c>
      <c r="AU1137">
        <f t="shared" si="34"/>
        <v>0</v>
      </c>
      <c r="AV1137">
        <f t="shared" si="35"/>
        <v>13001</v>
      </c>
    </row>
    <row r="1138" spans="1:48" x14ac:dyDescent="0.25">
      <c r="A1138" t="s">
        <v>5215</v>
      </c>
      <c r="C1138" t="s">
        <v>5216</v>
      </c>
      <c r="D1138" t="s">
        <v>5214</v>
      </c>
      <c r="E1138" t="s">
        <v>1663</v>
      </c>
      <c r="F1138">
        <v>2</v>
      </c>
      <c r="G1138">
        <v>2.1</v>
      </c>
      <c r="H1138" t="s">
        <v>2327</v>
      </c>
      <c r="I1138" s="21">
        <v>38161</v>
      </c>
      <c r="J1138">
        <v>2004</v>
      </c>
      <c r="K1138" s="21">
        <v>38191</v>
      </c>
      <c r="L1138">
        <v>2004</v>
      </c>
      <c r="M1138" s="21">
        <v>38344</v>
      </c>
      <c r="N1138">
        <v>2004</v>
      </c>
      <c r="Q1138" s="262">
        <v>0</v>
      </c>
      <c r="S1138" t="s">
        <v>114</v>
      </c>
      <c r="T1138" t="s">
        <v>114</v>
      </c>
      <c r="W1138">
        <v>13001</v>
      </c>
      <c r="X1138">
        <v>4</v>
      </c>
      <c r="Y1138">
        <v>0</v>
      </c>
      <c r="Z1138">
        <v>0</v>
      </c>
      <c r="AA1138">
        <v>0</v>
      </c>
      <c r="AB1138">
        <v>0</v>
      </c>
      <c r="AC1138">
        <v>0</v>
      </c>
      <c r="AD1138">
        <v>0</v>
      </c>
      <c r="AE1138">
        <v>0</v>
      </c>
      <c r="AF1138">
        <v>0</v>
      </c>
      <c r="AG1138">
        <v>0</v>
      </c>
      <c r="AH1138">
        <v>0</v>
      </c>
      <c r="AI1138">
        <v>13001</v>
      </c>
      <c r="AJ1138">
        <v>0</v>
      </c>
      <c r="AK1138">
        <v>0</v>
      </c>
      <c r="AL1138">
        <v>0</v>
      </c>
      <c r="AM1138">
        <v>0</v>
      </c>
      <c r="AN1138">
        <v>0</v>
      </c>
      <c r="AO1138">
        <v>0</v>
      </c>
      <c r="AP1138">
        <v>0</v>
      </c>
      <c r="AQ1138">
        <v>0</v>
      </c>
      <c r="AR1138">
        <v>0</v>
      </c>
      <c r="AS1138">
        <v>0</v>
      </c>
      <c r="AT1138">
        <v>4</v>
      </c>
      <c r="AU1138">
        <f t="shared" si="34"/>
        <v>0</v>
      </c>
      <c r="AV1138">
        <f t="shared" si="35"/>
        <v>13001</v>
      </c>
    </row>
    <row r="1139" spans="1:48" x14ac:dyDescent="0.25">
      <c r="A1139" t="s">
        <v>5220</v>
      </c>
      <c r="C1139" t="s">
        <v>5221</v>
      </c>
      <c r="D1139" t="s">
        <v>4365</v>
      </c>
      <c r="E1139" t="s">
        <v>2310</v>
      </c>
      <c r="F1139">
        <v>9</v>
      </c>
      <c r="G1139">
        <v>9.1</v>
      </c>
      <c r="H1139" t="s">
        <v>2323</v>
      </c>
      <c r="I1139" s="21">
        <v>38162</v>
      </c>
      <c r="J1139">
        <v>2004</v>
      </c>
      <c r="K1139" s="21">
        <v>38195</v>
      </c>
      <c r="L1139">
        <v>2004</v>
      </c>
      <c r="M1139" s="21">
        <v>38482</v>
      </c>
      <c r="N1139">
        <v>2005</v>
      </c>
      <c r="R1139" s="262">
        <v>189300</v>
      </c>
      <c r="S1139" t="s">
        <v>114</v>
      </c>
      <c r="T1139" t="s">
        <v>114</v>
      </c>
      <c r="U1139">
        <v>14</v>
      </c>
      <c r="W1139">
        <v>0</v>
      </c>
      <c r="X1139">
        <v>0</v>
      </c>
      <c r="Y1139">
        <v>0</v>
      </c>
      <c r="Z1139">
        <v>0</v>
      </c>
      <c r="AA1139">
        <v>0</v>
      </c>
      <c r="AB1139">
        <v>0</v>
      </c>
      <c r="AC1139">
        <v>0</v>
      </c>
      <c r="AD1139">
        <v>0</v>
      </c>
      <c r="AE1139">
        <v>0</v>
      </c>
      <c r="AF1139">
        <v>0</v>
      </c>
      <c r="AG1139">
        <v>0</v>
      </c>
      <c r="AH1139">
        <v>0</v>
      </c>
      <c r="AI1139">
        <v>0</v>
      </c>
      <c r="AJ1139">
        <v>0</v>
      </c>
      <c r="AK1139">
        <v>0</v>
      </c>
      <c r="AL1139">
        <v>0</v>
      </c>
      <c r="AM1139">
        <v>0</v>
      </c>
      <c r="AN1139">
        <v>0</v>
      </c>
      <c r="AO1139">
        <v>0</v>
      </c>
      <c r="AP1139">
        <v>0</v>
      </c>
      <c r="AQ1139">
        <v>0</v>
      </c>
      <c r="AR1139">
        <v>0</v>
      </c>
      <c r="AS1139">
        <v>0</v>
      </c>
      <c r="AT1139">
        <v>0</v>
      </c>
      <c r="AU1139">
        <f t="shared" si="34"/>
        <v>0</v>
      </c>
      <c r="AV1139">
        <f t="shared" si="35"/>
        <v>0</v>
      </c>
    </row>
    <row r="1140" spans="1:48" x14ac:dyDescent="0.25">
      <c r="A1140" t="s">
        <v>5217</v>
      </c>
      <c r="C1140" t="s">
        <v>5218</v>
      </c>
      <c r="D1140" t="s">
        <v>5219</v>
      </c>
      <c r="E1140" t="s">
        <v>1663</v>
      </c>
      <c r="F1140">
        <v>3</v>
      </c>
      <c r="G1140">
        <v>3.4</v>
      </c>
      <c r="H1140" t="s">
        <v>2017</v>
      </c>
      <c r="I1140" s="21">
        <v>38162</v>
      </c>
      <c r="J1140">
        <v>2004</v>
      </c>
      <c r="K1140" s="21">
        <v>38192</v>
      </c>
      <c r="L1140">
        <v>2004</v>
      </c>
      <c r="M1140" s="21">
        <v>38345</v>
      </c>
      <c r="N1140">
        <v>2004</v>
      </c>
      <c r="Q1140" s="262">
        <v>0</v>
      </c>
      <c r="S1140" t="s">
        <v>114</v>
      </c>
      <c r="T1140" t="s">
        <v>114</v>
      </c>
      <c r="W1140">
        <v>15000</v>
      </c>
      <c r="X1140">
        <v>25</v>
      </c>
      <c r="Y1140">
        <v>0</v>
      </c>
      <c r="Z1140">
        <v>0</v>
      </c>
      <c r="AA1140">
        <v>0</v>
      </c>
      <c r="AB1140">
        <v>0</v>
      </c>
      <c r="AC1140">
        <v>0</v>
      </c>
      <c r="AD1140">
        <v>0</v>
      </c>
      <c r="AE1140">
        <v>15000</v>
      </c>
      <c r="AF1140">
        <v>0</v>
      </c>
      <c r="AG1140">
        <v>0</v>
      </c>
      <c r="AH1140">
        <v>0</v>
      </c>
      <c r="AI1140">
        <v>0</v>
      </c>
      <c r="AJ1140">
        <v>0</v>
      </c>
      <c r="AK1140">
        <v>0</v>
      </c>
      <c r="AL1140">
        <v>0</v>
      </c>
      <c r="AM1140">
        <v>0</v>
      </c>
      <c r="AN1140">
        <v>0</v>
      </c>
      <c r="AO1140">
        <v>0</v>
      </c>
      <c r="AP1140">
        <v>0</v>
      </c>
      <c r="AQ1140">
        <v>25</v>
      </c>
      <c r="AR1140">
        <v>0</v>
      </c>
      <c r="AS1140">
        <v>0</v>
      </c>
      <c r="AT1140">
        <v>0</v>
      </c>
      <c r="AU1140">
        <f t="shared" si="34"/>
        <v>25</v>
      </c>
      <c r="AV1140">
        <f t="shared" si="35"/>
        <v>0</v>
      </c>
    </row>
    <row r="1141" spans="1:48" x14ac:dyDescent="0.25">
      <c r="A1141" t="s">
        <v>5222</v>
      </c>
      <c r="C1141" t="s">
        <v>5223</v>
      </c>
      <c r="D1141" t="s">
        <v>5224</v>
      </c>
      <c r="E1141" t="s">
        <v>2310</v>
      </c>
      <c r="F1141">
        <v>12</v>
      </c>
      <c r="G1141">
        <v>12.2</v>
      </c>
      <c r="H1141" t="s">
        <v>2017</v>
      </c>
      <c r="I1141" s="21">
        <v>38166</v>
      </c>
      <c r="J1141">
        <v>2004</v>
      </c>
      <c r="K1141" s="21">
        <v>38310</v>
      </c>
      <c r="L1141">
        <v>2004</v>
      </c>
      <c r="M1141" s="21">
        <v>38862</v>
      </c>
      <c r="N1141">
        <v>2006</v>
      </c>
      <c r="R1141" s="262">
        <v>1000</v>
      </c>
      <c r="S1141" t="s">
        <v>114</v>
      </c>
      <c r="T1141" t="s">
        <v>114</v>
      </c>
      <c r="U1141">
        <v>5</v>
      </c>
      <c r="W1141">
        <v>0</v>
      </c>
      <c r="X1141">
        <v>0</v>
      </c>
      <c r="Y1141">
        <v>0</v>
      </c>
      <c r="Z1141">
        <v>0</v>
      </c>
      <c r="AA1141">
        <v>0</v>
      </c>
      <c r="AB1141">
        <v>0</v>
      </c>
      <c r="AC1141">
        <v>0</v>
      </c>
      <c r="AD1141">
        <v>0</v>
      </c>
      <c r="AE1141">
        <v>0</v>
      </c>
      <c r="AF1141">
        <v>0</v>
      </c>
      <c r="AG1141">
        <v>0</v>
      </c>
      <c r="AH1141">
        <v>0</v>
      </c>
      <c r="AI1141">
        <v>0</v>
      </c>
      <c r="AJ1141">
        <v>0</v>
      </c>
      <c r="AK1141">
        <v>0</v>
      </c>
      <c r="AL1141">
        <v>0</v>
      </c>
      <c r="AM1141">
        <v>0</v>
      </c>
      <c r="AN1141">
        <v>0</v>
      </c>
      <c r="AO1141">
        <v>0</v>
      </c>
      <c r="AP1141">
        <v>0</v>
      </c>
      <c r="AQ1141">
        <v>0</v>
      </c>
      <c r="AR1141">
        <v>0</v>
      </c>
      <c r="AS1141">
        <v>0</v>
      </c>
      <c r="AT1141">
        <v>0</v>
      </c>
      <c r="AU1141">
        <f t="shared" si="34"/>
        <v>0</v>
      </c>
      <c r="AV1141">
        <f t="shared" si="35"/>
        <v>0</v>
      </c>
    </row>
    <row r="1142" spans="1:48" x14ac:dyDescent="0.25">
      <c r="A1142" t="s">
        <v>5225</v>
      </c>
      <c r="C1142" t="s">
        <v>2924</v>
      </c>
      <c r="D1142" t="s">
        <v>5226</v>
      </c>
      <c r="E1142" t="s">
        <v>2310</v>
      </c>
      <c r="F1142">
        <v>14</v>
      </c>
      <c r="G1142">
        <v>14.1</v>
      </c>
      <c r="H1142" t="s">
        <v>2022</v>
      </c>
      <c r="I1142" s="21">
        <v>38168</v>
      </c>
      <c r="J1142">
        <v>2004</v>
      </c>
      <c r="K1142" s="21">
        <v>38205</v>
      </c>
      <c r="L1142">
        <v>2004</v>
      </c>
      <c r="M1142" s="21">
        <v>38380</v>
      </c>
      <c r="N1142">
        <v>2005</v>
      </c>
      <c r="R1142" s="262">
        <v>20000</v>
      </c>
      <c r="S1142" t="s">
        <v>114</v>
      </c>
      <c r="T1142" t="s">
        <v>114</v>
      </c>
      <c r="U1142">
        <v>5</v>
      </c>
      <c r="W1142">
        <v>896</v>
      </c>
      <c r="X1142">
        <v>0</v>
      </c>
      <c r="Y1142">
        <v>0</v>
      </c>
      <c r="Z1142">
        <v>0</v>
      </c>
      <c r="AA1142">
        <v>0</v>
      </c>
      <c r="AB1142">
        <v>0</v>
      </c>
      <c r="AC1142">
        <v>896</v>
      </c>
      <c r="AD1142">
        <v>0</v>
      </c>
      <c r="AE1142">
        <v>0</v>
      </c>
      <c r="AF1142">
        <v>0</v>
      </c>
      <c r="AG1142">
        <v>0</v>
      </c>
      <c r="AH1142">
        <v>0</v>
      </c>
      <c r="AI1142">
        <v>0</v>
      </c>
      <c r="AJ1142">
        <v>0</v>
      </c>
      <c r="AK1142">
        <v>0</v>
      </c>
      <c r="AL1142">
        <v>0</v>
      </c>
      <c r="AM1142">
        <v>0</v>
      </c>
      <c r="AN1142">
        <v>0</v>
      </c>
      <c r="AO1142">
        <v>0</v>
      </c>
      <c r="AP1142">
        <v>0</v>
      </c>
      <c r="AQ1142">
        <v>0</v>
      </c>
      <c r="AR1142">
        <v>0</v>
      </c>
      <c r="AS1142">
        <v>0</v>
      </c>
      <c r="AT1142">
        <v>0</v>
      </c>
      <c r="AU1142">
        <f t="shared" si="34"/>
        <v>0</v>
      </c>
      <c r="AV1142">
        <f t="shared" si="35"/>
        <v>0</v>
      </c>
    </row>
    <row r="1143" spans="1:48" x14ac:dyDescent="0.25">
      <c r="A1143" t="s">
        <v>5227</v>
      </c>
      <c r="C1143" t="s">
        <v>5228</v>
      </c>
      <c r="D1143" t="s">
        <v>5229</v>
      </c>
      <c r="E1143" t="s">
        <v>2310</v>
      </c>
      <c r="F1143">
        <v>9</v>
      </c>
      <c r="G1143">
        <v>9.1</v>
      </c>
      <c r="H1143" t="s">
        <v>2323</v>
      </c>
      <c r="I1143" s="21">
        <v>38168</v>
      </c>
      <c r="J1143">
        <v>2004</v>
      </c>
      <c r="K1143" s="21">
        <v>38191</v>
      </c>
      <c r="L1143">
        <v>2004</v>
      </c>
      <c r="M1143" s="21">
        <v>38191</v>
      </c>
      <c r="N1143">
        <v>2004</v>
      </c>
      <c r="R1143" s="262">
        <v>3000</v>
      </c>
      <c r="S1143" t="s">
        <v>114</v>
      </c>
      <c r="T1143" t="s">
        <v>114</v>
      </c>
      <c r="U1143">
        <v>5</v>
      </c>
      <c r="W1143">
        <v>60</v>
      </c>
      <c r="X1143">
        <v>0</v>
      </c>
      <c r="Y1143">
        <v>0</v>
      </c>
      <c r="Z1143">
        <v>0</v>
      </c>
      <c r="AA1143">
        <v>0</v>
      </c>
      <c r="AB1143">
        <v>0</v>
      </c>
      <c r="AC1143">
        <v>60</v>
      </c>
      <c r="AD1143">
        <v>0</v>
      </c>
      <c r="AE1143">
        <v>0</v>
      </c>
      <c r="AF1143">
        <v>0</v>
      </c>
      <c r="AG1143">
        <v>0</v>
      </c>
      <c r="AH1143">
        <v>0</v>
      </c>
      <c r="AI1143">
        <v>0</v>
      </c>
      <c r="AJ1143">
        <v>0</v>
      </c>
      <c r="AK1143">
        <v>0</v>
      </c>
      <c r="AL1143">
        <v>0</v>
      </c>
      <c r="AM1143">
        <v>0</v>
      </c>
      <c r="AN1143">
        <v>0</v>
      </c>
      <c r="AO1143">
        <v>0</v>
      </c>
      <c r="AP1143">
        <v>0</v>
      </c>
      <c r="AQ1143">
        <v>0</v>
      </c>
      <c r="AR1143">
        <v>0</v>
      </c>
      <c r="AS1143">
        <v>0</v>
      </c>
      <c r="AT1143">
        <v>0</v>
      </c>
      <c r="AU1143">
        <f t="shared" si="34"/>
        <v>0</v>
      </c>
      <c r="AV1143">
        <f t="shared" si="35"/>
        <v>0</v>
      </c>
    </row>
    <row r="1144" spans="1:48" x14ac:dyDescent="0.25">
      <c r="A1144" t="s">
        <v>5230</v>
      </c>
      <c r="C1144" t="s">
        <v>3216</v>
      </c>
      <c r="D1144" t="s">
        <v>5231</v>
      </c>
      <c r="E1144" t="s">
        <v>2310</v>
      </c>
      <c r="F1144">
        <v>10</v>
      </c>
      <c r="G1144">
        <v>10.1</v>
      </c>
      <c r="H1144" t="s">
        <v>2323</v>
      </c>
      <c r="I1144" s="21">
        <v>38169</v>
      </c>
      <c r="J1144">
        <v>2004</v>
      </c>
      <c r="K1144" s="21">
        <v>38191</v>
      </c>
      <c r="L1144">
        <v>2004</v>
      </c>
      <c r="M1144" s="21">
        <v>38779</v>
      </c>
      <c r="N1144">
        <v>2006</v>
      </c>
      <c r="R1144" s="262">
        <v>342000</v>
      </c>
      <c r="S1144" t="s">
        <v>114</v>
      </c>
      <c r="T1144" t="s">
        <v>114</v>
      </c>
      <c r="U1144">
        <v>5</v>
      </c>
      <c r="W1144">
        <v>3412</v>
      </c>
      <c r="X1144">
        <v>1</v>
      </c>
      <c r="Y1144">
        <v>0</v>
      </c>
      <c r="Z1144">
        <v>0</v>
      </c>
      <c r="AA1144">
        <v>0</v>
      </c>
      <c r="AB1144">
        <v>0</v>
      </c>
      <c r="AC1144">
        <v>3412</v>
      </c>
      <c r="AD1144">
        <v>0</v>
      </c>
      <c r="AE1144">
        <v>0</v>
      </c>
      <c r="AF1144">
        <v>0</v>
      </c>
      <c r="AG1144">
        <v>0</v>
      </c>
      <c r="AH1144">
        <v>0</v>
      </c>
      <c r="AI1144">
        <v>0</v>
      </c>
      <c r="AJ1144">
        <v>0</v>
      </c>
      <c r="AK1144">
        <v>0</v>
      </c>
      <c r="AL1144">
        <v>0</v>
      </c>
      <c r="AM1144">
        <v>0</v>
      </c>
      <c r="AN1144">
        <v>0</v>
      </c>
      <c r="AO1144">
        <v>1</v>
      </c>
      <c r="AP1144">
        <v>0</v>
      </c>
      <c r="AQ1144">
        <v>0</v>
      </c>
      <c r="AR1144">
        <v>0</v>
      </c>
      <c r="AS1144">
        <v>0</v>
      </c>
      <c r="AT1144">
        <v>0</v>
      </c>
      <c r="AU1144">
        <f t="shared" si="34"/>
        <v>1</v>
      </c>
      <c r="AV1144">
        <f t="shared" si="35"/>
        <v>0</v>
      </c>
    </row>
    <row r="1145" spans="1:48" x14ac:dyDescent="0.25">
      <c r="A1145" t="s">
        <v>5232</v>
      </c>
      <c r="C1145" t="s">
        <v>5233</v>
      </c>
      <c r="D1145" t="s">
        <v>5234</v>
      </c>
      <c r="E1145" t="s">
        <v>2310</v>
      </c>
      <c r="F1145">
        <v>9</v>
      </c>
      <c r="G1145">
        <v>9.3000000000000007</v>
      </c>
      <c r="H1145" t="s">
        <v>2323</v>
      </c>
      <c r="I1145" s="21">
        <v>38169</v>
      </c>
      <c r="J1145">
        <v>2004</v>
      </c>
      <c r="K1145" s="21">
        <v>38230</v>
      </c>
      <c r="L1145">
        <v>2004</v>
      </c>
      <c r="M1145" s="21">
        <v>38230</v>
      </c>
      <c r="N1145">
        <v>2004</v>
      </c>
      <c r="R1145" s="262">
        <v>1950000</v>
      </c>
      <c r="S1145" t="s">
        <v>114</v>
      </c>
      <c r="T1145" t="s">
        <v>114</v>
      </c>
      <c r="U1145">
        <v>17</v>
      </c>
      <c r="W1145">
        <v>10121</v>
      </c>
      <c r="X1145">
        <v>2</v>
      </c>
      <c r="Y1145">
        <v>0</v>
      </c>
      <c r="Z1145">
        <v>0</v>
      </c>
      <c r="AA1145">
        <v>0</v>
      </c>
      <c r="AB1145">
        <v>0</v>
      </c>
      <c r="AC1145">
        <v>0</v>
      </c>
      <c r="AD1145">
        <v>9121</v>
      </c>
      <c r="AE1145">
        <v>0</v>
      </c>
      <c r="AF1145">
        <v>1000</v>
      </c>
      <c r="AG1145">
        <v>0</v>
      </c>
      <c r="AH1145">
        <v>0</v>
      </c>
      <c r="AI1145">
        <v>0</v>
      </c>
      <c r="AJ1145">
        <v>0</v>
      </c>
      <c r="AK1145">
        <v>0</v>
      </c>
      <c r="AL1145">
        <v>0</v>
      </c>
      <c r="AM1145">
        <v>0</v>
      </c>
      <c r="AN1145">
        <v>0</v>
      </c>
      <c r="AO1145">
        <v>0</v>
      </c>
      <c r="AP1145">
        <v>1</v>
      </c>
      <c r="AQ1145">
        <v>0</v>
      </c>
      <c r="AR1145">
        <v>1</v>
      </c>
      <c r="AS1145">
        <v>0</v>
      </c>
      <c r="AT1145">
        <v>0</v>
      </c>
      <c r="AU1145">
        <f t="shared" si="34"/>
        <v>1</v>
      </c>
      <c r="AV1145">
        <f t="shared" si="35"/>
        <v>0</v>
      </c>
    </row>
    <row r="1146" spans="1:48" x14ac:dyDescent="0.25">
      <c r="A1146" t="s">
        <v>5235</v>
      </c>
      <c r="C1146" t="s">
        <v>3509</v>
      </c>
      <c r="D1146" t="s">
        <v>5236</v>
      </c>
      <c r="E1146" t="s">
        <v>2310</v>
      </c>
      <c r="F1146">
        <v>9</v>
      </c>
      <c r="G1146">
        <v>9.1</v>
      </c>
      <c r="H1146" t="s">
        <v>2323</v>
      </c>
      <c r="I1146" s="21">
        <v>38170</v>
      </c>
      <c r="J1146">
        <v>2004</v>
      </c>
      <c r="K1146" s="21">
        <v>38195</v>
      </c>
      <c r="L1146">
        <v>2004</v>
      </c>
      <c r="M1146" s="21">
        <v>38566</v>
      </c>
      <c r="N1146">
        <v>2005</v>
      </c>
      <c r="R1146" s="262">
        <v>535000</v>
      </c>
      <c r="S1146" t="s">
        <v>114</v>
      </c>
      <c r="T1146" t="s">
        <v>114</v>
      </c>
      <c r="U1146">
        <v>5</v>
      </c>
      <c r="W1146">
        <v>3726</v>
      </c>
      <c r="X1146">
        <v>1</v>
      </c>
      <c r="Y1146">
        <v>0</v>
      </c>
      <c r="Z1146">
        <v>0</v>
      </c>
      <c r="AA1146">
        <v>0</v>
      </c>
      <c r="AB1146">
        <v>0</v>
      </c>
      <c r="AC1146">
        <v>3726</v>
      </c>
      <c r="AD1146">
        <v>0</v>
      </c>
      <c r="AE1146">
        <v>0</v>
      </c>
      <c r="AF1146">
        <v>0</v>
      </c>
      <c r="AG1146">
        <v>0</v>
      </c>
      <c r="AH1146">
        <v>0</v>
      </c>
      <c r="AI1146">
        <v>0</v>
      </c>
      <c r="AJ1146">
        <v>0</v>
      </c>
      <c r="AK1146">
        <v>0</v>
      </c>
      <c r="AL1146">
        <v>0</v>
      </c>
      <c r="AM1146">
        <v>0</v>
      </c>
      <c r="AN1146">
        <v>0</v>
      </c>
      <c r="AO1146">
        <v>1</v>
      </c>
      <c r="AP1146">
        <v>0</v>
      </c>
      <c r="AQ1146">
        <v>0</v>
      </c>
      <c r="AR1146">
        <v>0</v>
      </c>
      <c r="AS1146">
        <v>0</v>
      </c>
      <c r="AT1146">
        <v>0</v>
      </c>
      <c r="AU1146">
        <f t="shared" si="34"/>
        <v>1</v>
      </c>
      <c r="AV1146">
        <f t="shared" si="35"/>
        <v>0</v>
      </c>
    </row>
    <row r="1147" spans="1:48" x14ac:dyDescent="0.25">
      <c r="A1147" t="s">
        <v>5237</v>
      </c>
      <c r="C1147" t="s">
        <v>5238</v>
      </c>
      <c r="D1147" t="s">
        <v>5239</v>
      </c>
      <c r="E1147" t="s">
        <v>2310</v>
      </c>
      <c r="F1147">
        <v>15</v>
      </c>
      <c r="G1147">
        <v>15.2</v>
      </c>
      <c r="H1147" t="s">
        <v>2323</v>
      </c>
      <c r="I1147" s="21">
        <v>38170</v>
      </c>
      <c r="J1147">
        <v>2004</v>
      </c>
      <c r="K1147" s="21">
        <v>38196</v>
      </c>
      <c r="L1147">
        <v>2004</v>
      </c>
      <c r="M1147" s="21">
        <v>38330</v>
      </c>
      <c r="N1147">
        <v>2004</v>
      </c>
      <c r="R1147" s="262">
        <v>90000</v>
      </c>
      <c r="S1147" t="s">
        <v>114</v>
      </c>
      <c r="T1147" t="s">
        <v>114</v>
      </c>
      <c r="U1147">
        <v>5</v>
      </c>
      <c r="W1147">
        <v>1560</v>
      </c>
      <c r="X1147">
        <v>1</v>
      </c>
      <c r="Y1147">
        <v>0</v>
      </c>
      <c r="Z1147">
        <v>0</v>
      </c>
      <c r="AA1147">
        <v>0</v>
      </c>
      <c r="AB1147">
        <v>0</v>
      </c>
      <c r="AC1147">
        <v>1560</v>
      </c>
      <c r="AD1147">
        <v>0</v>
      </c>
      <c r="AE1147">
        <v>0</v>
      </c>
      <c r="AF1147">
        <v>0</v>
      </c>
      <c r="AG1147">
        <v>0</v>
      </c>
      <c r="AH1147">
        <v>0</v>
      </c>
      <c r="AI1147">
        <v>0</v>
      </c>
      <c r="AJ1147">
        <v>0</v>
      </c>
      <c r="AK1147">
        <v>0</v>
      </c>
      <c r="AL1147">
        <v>0</v>
      </c>
      <c r="AM1147">
        <v>0</v>
      </c>
      <c r="AN1147">
        <v>0</v>
      </c>
      <c r="AO1147">
        <v>1</v>
      </c>
      <c r="AP1147">
        <v>0</v>
      </c>
      <c r="AQ1147">
        <v>0</v>
      </c>
      <c r="AR1147">
        <v>0</v>
      </c>
      <c r="AS1147">
        <v>0</v>
      </c>
      <c r="AT1147">
        <v>0</v>
      </c>
      <c r="AU1147">
        <f t="shared" si="34"/>
        <v>1</v>
      </c>
      <c r="AV1147">
        <f t="shared" si="35"/>
        <v>0</v>
      </c>
    </row>
    <row r="1148" spans="1:48" x14ac:dyDescent="0.25">
      <c r="A1148" t="s">
        <v>5240</v>
      </c>
      <c r="C1148" t="s">
        <v>3383</v>
      </c>
      <c r="D1148" t="s">
        <v>5241</v>
      </c>
      <c r="E1148" t="s">
        <v>2310</v>
      </c>
      <c r="F1148">
        <v>9</v>
      </c>
      <c r="G1148">
        <v>9.3000000000000007</v>
      </c>
      <c r="H1148" t="s">
        <v>2323</v>
      </c>
      <c r="I1148" s="21">
        <v>38170</v>
      </c>
      <c r="J1148">
        <v>2004</v>
      </c>
      <c r="K1148" s="21">
        <v>38224</v>
      </c>
      <c r="L1148">
        <v>2004</v>
      </c>
      <c r="M1148" s="21">
        <v>38574</v>
      </c>
      <c r="N1148">
        <v>2005</v>
      </c>
      <c r="R1148" s="262">
        <v>750000</v>
      </c>
      <c r="S1148" t="s">
        <v>114</v>
      </c>
      <c r="T1148" t="s">
        <v>114</v>
      </c>
      <c r="U1148">
        <v>5</v>
      </c>
      <c r="W1148">
        <v>5591</v>
      </c>
      <c r="X1148">
        <v>1</v>
      </c>
      <c r="Y1148">
        <v>0</v>
      </c>
      <c r="Z1148">
        <v>0</v>
      </c>
      <c r="AA1148">
        <v>0</v>
      </c>
      <c r="AB1148">
        <v>0</v>
      </c>
      <c r="AC1148">
        <v>5591</v>
      </c>
      <c r="AD1148">
        <v>0</v>
      </c>
      <c r="AE1148">
        <v>0</v>
      </c>
      <c r="AF1148">
        <v>0</v>
      </c>
      <c r="AG1148">
        <v>0</v>
      </c>
      <c r="AH1148">
        <v>0</v>
      </c>
      <c r="AI1148">
        <v>0</v>
      </c>
      <c r="AJ1148">
        <v>0</v>
      </c>
      <c r="AK1148">
        <v>0</v>
      </c>
      <c r="AL1148">
        <v>0</v>
      </c>
      <c r="AM1148">
        <v>0</v>
      </c>
      <c r="AN1148">
        <v>0</v>
      </c>
      <c r="AO1148">
        <v>1</v>
      </c>
      <c r="AP1148">
        <v>0</v>
      </c>
      <c r="AQ1148">
        <v>0</v>
      </c>
      <c r="AR1148">
        <v>0</v>
      </c>
      <c r="AS1148">
        <v>0</v>
      </c>
      <c r="AT1148">
        <v>0</v>
      </c>
      <c r="AU1148">
        <f t="shared" si="34"/>
        <v>1</v>
      </c>
      <c r="AV1148">
        <f t="shared" si="35"/>
        <v>0</v>
      </c>
    </row>
    <row r="1149" spans="1:48" x14ac:dyDescent="0.25">
      <c r="A1149" t="s">
        <v>5242</v>
      </c>
      <c r="C1149" t="s">
        <v>3383</v>
      </c>
      <c r="D1149" t="s">
        <v>5243</v>
      </c>
      <c r="E1149" t="s">
        <v>2310</v>
      </c>
      <c r="F1149">
        <v>9</v>
      </c>
      <c r="G1149">
        <v>9.3000000000000007</v>
      </c>
      <c r="H1149" t="s">
        <v>2323</v>
      </c>
      <c r="I1149" s="21">
        <v>38170</v>
      </c>
      <c r="J1149">
        <v>2004</v>
      </c>
      <c r="K1149" s="21">
        <v>38225</v>
      </c>
      <c r="L1149">
        <v>2004</v>
      </c>
      <c r="M1149" s="21">
        <v>38574</v>
      </c>
      <c r="N1149">
        <v>2005</v>
      </c>
      <c r="R1149" s="262">
        <v>700000</v>
      </c>
      <c r="S1149" t="s">
        <v>114</v>
      </c>
      <c r="T1149" t="s">
        <v>114</v>
      </c>
      <c r="U1149">
        <v>5</v>
      </c>
      <c r="W1149">
        <v>5123</v>
      </c>
      <c r="X1149">
        <v>1</v>
      </c>
      <c r="Y1149">
        <v>0</v>
      </c>
      <c r="Z1149">
        <v>0</v>
      </c>
      <c r="AA1149">
        <v>0</v>
      </c>
      <c r="AB1149">
        <v>0</v>
      </c>
      <c r="AC1149">
        <v>5123</v>
      </c>
      <c r="AD1149">
        <v>0</v>
      </c>
      <c r="AE1149">
        <v>0</v>
      </c>
      <c r="AF1149">
        <v>0</v>
      </c>
      <c r="AG1149">
        <v>0</v>
      </c>
      <c r="AH1149">
        <v>0</v>
      </c>
      <c r="AI1149">
        <v>0</v>
      </c>
      <c r="AJ1149">
        <v>0</v>
      </c>
      <c r="AK1149">
        <v>0</v>
      </c>
      <c r="AL1149">
        <v>0</v>
      </c>
      <c r="AM1149">
        <v>0</v>
      </c>
      <c r="AN1149">
        <v>0</v>
      </c>
      <c r="AO1149">
        <v>1</v>
      </c>
      <c r="AP1149">
        <v>0</v>
      </c>
      <c r="AQ1149">
        <v>0</v>
      </c>
      <c r="AR1149">
        <v>0</v>
      </c>
      <c r="AS1149">
        <v>0</v>
      </c>
      <c r="AT1149">
        <v>0</v>
      </c>
      <c r="AU1149">
        <f t="shared" si="34"/>
        <v>1</v>
      </c>
      <c r="AV1149">
        <f t="shared" si="35"/>
        <v>0</v>
      </c>
    </row>
    <row r="1150" spans="1:48" x14ac:dyDescent="0.25">
      <c r="A1150" t="s">
        <v>5244</v>
      </c>
      <c r="C1150" t="s">
        <v>5245</v>
      </c>
      <c r="D1150" t="s">
        <v>5246</v>
      </c>
      <c r="E1150" t="s">
        <v>2310</v>
      </c>
      <c r="F1150">
        <v>8</v>
      </c>
      <c r="G1150">
        <v>8.1</v>
      </c>
      <c r="H1150" t="s">
        <v>2323</v>
      </c>
      <c r="I1150" s="21">
        <v>38174</v>
      </c>
      <c r="J1150">
        <v>2004</v>
      </c>
      <c r="K1150" s="21">
        <v>38196</v>
      </c>
      <c r="L1150">
        <v>2004</v>
      </c>
      <c r="M1150" s="21">
        <v>38509</v>
      </c>
      <c r="N1150">
        <v>2005</v>
      </c>
      <c r="R1150" s="262">
        <v>150000</v>
      </c>
      <c r="S1150" t="s">
        <v>114</v>
      </c>
      <c r="T1150" t="s">
        <v>114</v>
      </c>
      <c r="U1150">
        <v>8</v>
      </c>
      <c r="W1150">
        <v>2038</v>
      </c>
      <c r="X1150">
        <v>1</v>
      </c>
      <c r="Y1150">
        <v>0</v>
      </c>
      <c r="Z1150">
        <v>0</v>
      </c>
      <c r="AA1150">
        <v>0</v>
      </c>
      <c r="AB1150">
        <v>0</v>
      </c>
      <c r="AC1150">
        <v>1174</v>
      </c>
      <c r="AD1150">
        <v>0</v>
      </c>
      <c r="AE1150">
        <v>0</v>
      </c>
      <c r="AF1150">
        <v>864</v>
      </c>
      <c r="AG1150">
        <v>0</v>
      </c>
      <c r="AH1150">
        <v>0</v>
      </c>
      <c r="AI1150">
        <v>0</v>
      </c>
      <c r="AJ1150">
        <v>0</v>
      </c>
      <c r="AK1150">
        <v>0</v>
      </c>
      <c r="AL1150">
        <v>0</v>
      </c>
      <c r="AM1150">
        <v>0</v>
      </c>
      <c r="AN1150">
        <v>0</v>
      </c>
      <c r="AO1150">
        <v>0</v>
      </c>
      <c r="AP1150">
        <v>0</v>
      </c>
      <c r="AQ1150">
        <v>0</v>
      </c>
      <c r="AR1150">
        <v>1</v>
      </c>
      <c r="AS1150">
        <v>0</v>
      </c>
      <c r="AT1150">
        <v>0</v>
      </c>
      <c r="AU1150">
        <f t="shared" si="34"/>
        <v>0</v>
      </c>
      <c r="AV1150">
        <f t="shared" si="35"/>
        <v>0</v>
      </c>
    </row>
    <row r="1151" spans="1:48" x14ac:dyDescent="0.25">
      <c r="A1151" t="s">
        <v>5247</v>
      </c>
      <c r="C1151" t="s">
        <v>5248</v>
      </c>
      <c r="D1151" t="s">
        <v>3655</v>
      </c>
      <c r="E1151" t="s">
        <v>2310</v>
      </c>
      <c r="F1151">
        <v>15</v>
      </c>
      <c r="G1151">
        <v>15.1</v>
      </c>
      <c r="H1151" t="s">
        <v>2022</v>
      </c>
      <c r="I1151" s="21">
        <v>38175</v>
      </c>
      <c r="J1151">
        <v>2004</v>
      </c>
      <c r="K1151" s="21">
        <v>38195</v>
      </c>
      <c r="L1151">
        <v>2004</v>
      </c>
      <c r="M1151" s="21">
        <v>38306</v>
      </c>
      <c r="N1151">
        <v>2004</v>
      </c>
      <c r="R1151" s="262">
        <v>40000</v>
      </c>
      <c r="S1151" t="s">
        <v>114</v>
      </c>
      <c r="T1151" t="s">
        <v>114</v>
      </c>
      <c r="U1151">
        <v>5</v>
      </c>
      <c r="W1151">
        <v>422</v>
      </c>
      <c r="X1151">
        <v>0</v>
      </c>
      <c r="Y1151">
        <v>0</v>
      </c>
      <c r="Z1151">
        <v>0</v>
      </c>
      <c r="AA1151">
        <v>0</v>
      </c>
      <c r="AB1151">
        <v>0</v>
      </c>
      <c r="AC1151">
        <v>422</v>
      </c>
      <c r="AD1151">
        <v>0</v>
      </c>
      <c r="AE1151">
        <v>0</v>
      </c>
      <c r="AF1151">
        <v>0</v>
      </c>
      <c r="AG1151">
        <v>0</v>
      </c>
      <c r="AH1151">
        <v>0</v>
      </c>
      <c r="AI1151">
        <v>0</v>
      </c>
      <c r="AJ1151">
        <v>0</v>
      </c>
      <c r="AK1151">
        <v>0</v>
      </c>
      <c r="AL1151">
        <v>0</v>
      </c>
      <c r="AM1151">
        <v>0</v>
      </c>
      <c r="AN1151">
        <v>0</v>
      </c>
      <c r="AO1151">
        <v>0</v>
      </c>
      <c r="AP1151">
        <v>0</v>
      </c>
      <c r="AQ1151">
        <v>0</v>
      </c>
      <c r="AR1151">
        <v>0</v>
      </c>
      <c r="AS1151">
        <v>0</v>
      </c>
      <c r="AT1151">
        <v>0</v>
      </c>
      <c r="AU1151">
        <f t="shared" si="34"/>
        <v>0</v>
      </c>
      <c r="AV1151">
        <f t="shared" si="35"/>
        <v>0</v>
      </c>
    </row>
    <row r="1152" spans="1:48" x14ac:dyDescent="0.25">
      <c r="A1152" t="s">
        <v>5249</v>
      </c>
      <c r="C1152" t="s">
        <v>5064</v>
      </c>
      <c r="D1152" t="s">
        <v>5250</v>
      </c>
      <c r="E1152" t="s">
        <v>1663</v>
      </c>
      <c r="F1152">
        <v>6</v>
      </c>
      <c r="G1152">
        <v>6.1</v>
      </c>
      <c r="H1152" t="s">
        <v>2017</v>
      </c>
      <c r="I1152" s="21">
        <v>38176</v>
      </c>
      <c r="J1152">
        <v>2004</v>
      </c>
      <c r="K1152" s="21">
        <v>38207</v>
      </c>
      <c r="L1152">
        <v>2004</v>
      </c>
      <c r="M1152" s="21">
        <v>38360</v>
      </c>
      <c r="N1152">
        <v>2005</v>
      </c>
      <c r="Q1152" s="262">
        <v>0</v>
      </c>
      <c r="S1152" t="s">
        <v>114</v>
      </c>
      <c r="T1152" t="s">
        <v>114</v>
      </c>
      <c r="W1152">
        <v>3988</v>
      </c>
      <c r="X1152">
        <v>1</v>
      </c>
      <c r="Y1152">
        <v>0</v>
      </c>
      <c r="Z1152">
        <v>0</v>
      </c>
      <c r="AA1152">
        <v>0</v>
      </c>
      <c r="AB1152">
        <v>0</v>
      </c>
      <c r="AC1152">
        <v>3988</v>
      </c>
      <c r="AD1152">
        <v>0</v>
      </c>
      <c r="AE1152">
        <v>0</v>
      </c>
      <c r="AF1152">
        <v>0</v>
      </c>
      <c r="AG1152">
        <v>0</v>
      </c>
      <c r="AH1152">
        <v>0</v>
      </c>
      <c r="AI1152">
        <v>0</v>
      </c>
      <c r="AJ1152">
        <v>0</v>
      </c>
      <c r="AK1152">
        <v>0</v>
      </c>
      <c r="AL1152">
        <v>0</v>
      </c>
      <c r="AM1152">
        <v>0</v>
      </c>
      <c r="AN1152">
        <v>0</v>
      </c>
      <c r="AO1152">
        <v>1</v>
      </c>
      <c r="AP1152">
        <v>0</v>
      </c>
      <c r="AQ1152">
        <v>0</v>
      </c>
      <c r="AR1152">
        <v>0</v>
      </c>
      <c r="AS1152">
        <v>0</v>
      </c>
      <c r="AT1152">
        <v>0</v>
      </c>
      <c r="AU1152">
        <f t="shared" si="34"/>
        <v>1</v>
      </c>
      <c r="AV1152">
        <f t="shared" si="35"/>
        <v>0</v>
      </c>
    </row>
    <row r="1153" spans="1:48" x14ac:dyDescent="0.25">
      <c r="A1153" t="s">
        <v>5251</v>
      </c>
      <c r="C1153" t="s">
        <v>5252</v>
      </c>
      <c r="D1153" t="s">
        <v>5253</v>
      </c>
      <c r="E1153" t="s">
        <v>1663</v>
      </c>
      <c r="F1153">
        <v>6</v>
      </c>
      <c r="G1153">
        <v>6.1</v>
      </c>
      <c r="H1153" t="s">
        <v>2017</v>
      </c>
      <c r="I1153" s="21">
        <v>38176</v>
      </c>
      <c r="J1153">
        <v>2004</v>
      </c>
      <c r="K1153" s="21">
        <v>38207</v>
      </c>
      <c r="L1153">
        <v>2004</v>
      </c>
      <c r="M1153" s="21">
        <v>38360</v>
      </c>
      <c r="N1153">
        <v>2005</v>
      </c>
      <c r="Q1153" s="262">
        <v>0</v>
      </c>
      <c r="S1153" t="s">
        <v>114</v>
      </c>
      <c r="T1153" t="s">
        <v>114</v>
      </c>
      <c r="W1153">
        <v>3988</v>
      </c>
      <c r="X1153">
        <v>1</v>
      </c>
      <c r="Y1153">
        <v>0</v>
      </c>
      <c r="Z1153">
        <v>0</v>
      </c>
      <c r="AA1153">
        <v>0</v>
      </c>
      <c r="AB1153">
        <v>0</v>
      </c>
      <c r="AC1153">
        <v>3988</v>
      </c>
      <c r="AD1153">
        <v>0</v>
      </c>
      <c r="AE1153">
        <v>0</v>
      </c>
      <c r="AF1153">
        <v>0</v>
      </c>
      <c r="AG1153">
        <v>0</v>
      </c>
      <c r="AH1153">
        <v>0</v>
      </c>
      <c r="AI1153">
        <v>0</v>
      </c>
      <c r="AJ1153">
        <v>0</v>
      </c>
      <c r="AK1153">
        <v>0</v>
      </c>
      <c r="AL1153">
        <v>0</v>
      </c>
      <c r="AM1153">
        <v>0</v>
      </c>
      <c r="AN1153">
        <v>0</v>
      </c>
      <c r="AO1153">
        <v>1</v>
      </c>
      <c r="AP1153">
        <v>0</v>
      </c>
      <c r="AQ1153">
        <v>0</v>
      </c>
      <c r="AR1153">
        <v>0</v>
      </c>
      <c r="AS1153">
        <v>0</v>
      </c>
      <c r="AT1153">
        <v>0</v>
      </c>
      <c r="AU1153">
        <f t="shared" si="34"/>
        <v>1</v>
      </c>
      <c r="AV1153">
        <f t="shared" si="35"/>
        <v>0</v>
      </c>
    </row>
    <row r="1154" spans="1:48" x14ac:dyDescent="0.25">
      <c r="A1154" t="s">
        <v>5254</v>
      </c>
      <c r="C1154" t="s">
        <v>5255</v>
      </c>
      <c r="D1154" t="s">
        <v>5256</v>
      </c>
      <c r="E1154" t="s">
        <v>2310</v>
      </c>
      <c r="F1154">
        <v>9</v>
      </c>
      <c r="G1154">
        <v>9.1</v>
      </c>
      <c r="H1154" t="s">
        <v>2323</v>
      </c>
      <c r="I1154" s="21">
        <v>38176</v>
      </c>
      <c r="J1154">
        <v>2004</v>
      </c>
      <c r="K1154" s="21">
        <v>38211</v>
      </c>
      <c r="L1154">
        <v>2004</v>
      </c>
      <c r="M1154" s="21">
        <v>38672</v>
      </c>
      <c r="N1154">
        <v>2005</v>
      </c>
      <c r="R1154" s="262">
        <v>340000</v>
      </c>
      <c r="S1154" t="s">
        <v>114</v>
      </c>
      <c r="T1154" t="s">
        <v>114</v>
      </c>
      <c r="U1154">
        <v>11</v>
      </c>
      <c r="W1154">
        <v>1867</v>
      </c>
      <c r="X1154">
        <v>0</v>
      </c>
      <c r="Y1154">
        <v>0</v>
      </c>
      <c r="Z1154">
        <v>0</v>
      </c>
      <c r="AA1154">
        <v>0</v>
      </c>
      <c r="AB1154">
        <v>0</v>
      </c>
      <c r="AC1154">
        <v>0</v>
      </c>
      <c r="AD1154">
        <v>0</v>
      </c>
      <c r="AE1154">
        <v>0</v>
      </c>
      <c r="AF1154">
        <v>0</v>
      </c>
      <c r="AG1154">
        <v>0</v>
      </c>
      <c r="AH1154">
        <v>0</v>
      </c>
      <c r="AI1154">
        <v>1867</v>
      </c>
      <c r="AJ1154">
        <v>0</v>
      </c>
      <c r="AK1154">
        <v>0</v>
      </c>
      <c r="AL1154">
        <v>0</v>
      </c>
      <c r="AM1154">
        <v>0</v>
      </c>
      <c r="AN1154">
        <v>0</v>
      </c>
      <c r="AO1154">
        <v>0</v>
      </c>
      <c r="AP1154">
        <v>0</v>
      </c>
      <c r="AQ1154">
        <v>0</v>
      </c>
      <c r="AR1154">
        <v>0</v>
      </c>
      <c r="AS1154">
        <v>0</v>
      </c>
      <c r="AT1154">
        <v>0</v>
      </c>
      <c r="AU1154">
        <f t="shared" si="34"/>
        <v>0</v>
      </c>
      <c r="AV1154">
        <f t="shared" si="35"/>
        <v>1867</v>
      </c>
    </row>
    <row r="1155" spans="1:48" x14ac:dyDescent="0.25">
      <c r="A1155" t="s">
        <v>5257</v>
      </c>
      <c r="C1155" t="s">
        <v>5258</v>
      </c>
      <c r="D1155" t="s">
        <v>5259</v>
      </c>
      <c r="E1155" t="s">
        <v>2310</v>
      </c>
      <c r="F1155">
        <v>9</v>
      </c>
      <c r="G1155">
        <v>9.3000000000000007</v>
      </c>
      <c r="H1155" t="s">
        <v>2323</v>
      </c>
      <c r="I1155" s="21">
        <v>38176</v>
      </c>
      <c r="J1155">
        <v>2004</v>
      </c>
      <c r="K1155" s="21">
        <v>38196</v>
      </c>
      <c r="L1155">
        <v>2004</v>
      </c>
      <c r="M1155" s="21">
        <v>40211.651956018497</v>
      </c>
      <c r="N1155">
        <v>2010</v>
      </c>
      <c r="R1155" s="262">
        <v>45000</v>
      </c>
      <c r="S1155" t="s">
        <v>114</v>
      </c>
      <c r="T1155" t="s">
        <v>114</v>
      </c>
      <c r="U1155">
        <v>5</v>
      </c>
      <c r="W1155">
        <v>0</v>
      </c>
      <c r="X1155">
        <v>0</v>
      </c>
      <c r="Y1155">
        <v>0</v>
      </c>
      <c r="Z1155">
        <v>0</v>
      </c>
      <c r="AA1155">
        <v>0</v>
      </c>
      <c r="AB1155">
        <v>0</v>
      </c>
      <c r="AC1155">
        <v>0</v>
      </c>
      <c r="AD1155">
        <v>0</v>
      </c>
      <c r="AE1155">
        <v>0</v>
      </c>
      <c r="AF1155">
        <v>0</v>
      </c>
      <c r="AG1155">
        <v>0</v>
      </c>
      <c r="AH1155">
        <v>0</v>
      </c>
      <c r="AI1155">
        <v>0</v>
      </c>
      <c r="AJ1155">
        <v>0</v>
      </c>
      <c r="AK1155">
        <v>0</v>
      </c>
      <c r="AL1155">
        <v>0</v>
      </c>
      <c r="AM1155">
        <v>0</v>
      </c>
      <c r="AN1155">
        <v>0</v>
      </c>
      <c r="AO1155">
        <v>0</v>
      </c>
      <c r="AP1155">
        <v>0</v>
      </c>
      <c r="AQ1155">
        <v>0</v>
      </c>
      <c r="AR1155">
        <v>0</v>
      </c>
      <c r="AS1155">
        <v>0</v>
      </c>
      <c r="AT1155">
        <v>0</v>
      </c>
      <c r="AU1155">
        <f t="shared" si="34"/>
        <v>0</v>
      </c>
      <c r="AV1155">
        <f t="shared" si="35"/>
        <v>0</v>
      </c>
    </row>
    <row r="1156" spans="1:48" x14ac:dyDescent="0.25">
      <c r="A1156" t="s">
        <v>5260</v>
      </c>
      <c r="C1156" t="s">
        <v>5261</v>
      </c>
      <c r="D1156" t="s">
        <v>5259</v>
      </c>
      <c r="E1156" t="s">
        <v>2310</v>
      </c>
      <c r="F1156">
        <v>9</v>
      </c>
      <c r="G1156">
        <v>9.3000000000000007</v>
      </c>
      <c r="H1156" t="s">
        <v>2323</v>
      </c>
      <c r="I1156" s="21">
        <v>38176</v>
      </c>
      <c r="J1156">
        <v>2004</v>
      </c>
      <c r="K1156" s="21">
        <v>38196</v>
      </c>
      <c r="L1156">
        <v>2004</v>
      </c>
      <c r="M1156" s="21">
        <v>38196</v>
      </c>
      <c r="N1156">
        <v>2004</v>
      </c>
      <c r="R1156" s="262">
        <v>40000</v>
      </c>
      <c r="S1156" t="s">
        <v>114</v>
      </c>
      <c r="T1156" t="s">
        <v>114</v>
      </c>
      <c r="U1156">
        <v>5</v>
      </c>
      <c r="W1156">
        <v>936</v>
      </c>
      <c r="X1156">
        <v>0</v>
      </c>
      <c r="Y1156">
        <v>0</v>
      </c>
      <c r="Z1156">
        <v>0</v>
      </c>
      <c r="AA1156">
        <v>0</v>
      </c>
      <c r="AB1156">
        <v>0</v>
      </c>
      <c r="AC1156">
        <v>936</v>
      </c>
      <c r="AD1156">
        <v>0</v>
      </c>
      <c r="AE1156">
        <v>0</v>
      </c>
      <c r="AF1156">
        <v>0</v>
      </c>
      <c r="AG1156">
        <v>0</v>
      </c>
      <c r="AH1156">
        <v>0</v>
      </c>
      <c r="AI1156">
        <v>0</v>
      </c>
      <c r="AJ1156">
        <v>0</v>
      </c>
      <c r="AK1156">
        <v>0</v>
      </c>
      <c r="AL1156">
        <v>0</v>
      </c>
      <c r="AM1156">
        <v>0</v>
      </c>
      <c r="AN1156">
        <v>0</v>
      </c>
      <c r="AO1156">
        <v>0</v>
      </c>
      <c r="AP1156">
        <v>0</v>
      </c>
      <c r="AQ1156">
        <v>0</v>
      </c>
      <c r="AR1156">
        <v>0</v>
      </c>
      <c r="AS1156">
        <v>0</v>
      </c>
      <c r="AT1156">
        <v>0</v>
      </c>
      <c r="AU1156">
        <f t="shared" si="34"/>
        <v>0</v>
      </c>
      <c r="AV1156">
        <f t="shared" si="35"/>
        <v>0</v>
      </c>
    </row>
    <row r="1157" spans="1:48" x14ac:dyDescent="0.25">
      <c r="A1157" t="s">
        <v>5264</v>
      </c>
      <c r="C1157" t="s">
        <v>5265</v>
      </c>
      <c r="D1157" t="s">
        <v>5266</v>
      </c>
      <c r="E1157" t="s">
        <v>2310</v>
      </c>
      <c r="F1157">
        <v>8</v>
      </c>
      <c r="G1157">
        <v>8.1</v>
      </c>
      <c r="H1157" t="s">
        <v>2323</v>
      </c>
      <c r="I1157" s="21">
        <v>38180</v>
      </c>
      <c r="J1157">
        <v>2004</v>
      </c>
      <c r="K1157" s="21">
        <v>38205</v>
      </c>
      <c r="L1157">
        <v>2004</v>
      </c>
      <c r="M1157" s="21">
        <v>38205</v>
      </c>
      <c r="N1157">
        <v>2004</v>
      </c>
      <c r="R1157" s="262">
        <v>45000</v>
      </c>
      <c r="S1157" t="s">
        <v>114</v>
      </c>
      <c r="T1157" t="s">
        <v>114</v>
      </c>
      <c r="U1157">
        <v>5</v>
      </c>
      <c r="W1157">
        <v>120</v>
      </c>
      <c r="X1157">
        <v>0</v>
      </c>
      <c r="Y1157">
        <v>0</v>
      </c>
      <c r="Z1157">
        <v>0</v>
      </c>
      <c r="AA1157">
        <v>0</v>
      </c>
      <c r="AB1157">
        <v>0</v>
      </c>
      <c r="AC1157">
        <v>120</v>
      </c>
      <c r="AD1157">
        <v>0</v>
      </c>
      <c r="AE1157">
        <v>0</v>
      </c>
      <c r="AF1157">
        <v>0</v>
      </c>
      <c r="AG1157">
        <v>0</v>
      </c>
      <c r="AH1157">
        <v>0</v>
      </c>
      <c r="AI1157">
        <v>0</v>
      </c>
      <c r="AJ1157">
        <v>0</v>
      </c>
      <c r="AK1157">
        <v>0</v>
      </c>
      <c r="AL1157">
        <v>0</v>
      </c>
      <c r="AM1157">
        <v>0</v>
      </c>
      <c r="AN1157">
        <v>0</v>
      </c>
      <c r="AO1157">
        <v>0</v>
      </c>
      <c r="AP1157">
        <v>0</v>
      </c>
      <c r="AQ1157">
        <v>0</v>
      </c>
      <c r="AR1157">
        <v>0</v>
      </c>
      <c r="AS1157">
        <v>0</v>
      </c>
      <c r="AT1157">
        <v>0</v>
      </c>
      <c r="AU1157">
        <f t="shared" si="34"/>
        <v>0</v>
      </c>
      <c r="AV1157">
        <f t="shared" si="35"/>
        <v>0</v>
      </c>
    </row>
    <row r="1158" spans="1:48" x14ac:dyDescent="0.25">
      <c r="A1158" t="s">
        <v>5267</v>
      </c>
      <c r="C1158" t="s">
        <v>3216</v>
      </c>
      <c r="D1158" t="s">
        <v>5268</v>
      </c>
      <c r="E1158" t="s">
        <v>2310</v>
      </c>
      <c r="F1158">
        <v>9</v>
      </c>
      <c r="G1158">
        <v>9.3000000000000007</v>
      </c>
      <c r="H1158" t="s">
        <v>2323</v>
      </c>
      <c r="I1158" s="21">
        <v>38180</v>
      </c>
      <c r="J1158">
        <v>2004</v>
      </c>
      <c r="K1158" s="21">
        <v>38226</v>
      </c>
      <c r="L1158">
        <v>2004</v>
      </c>
      <c r="M1158" s="21">
        <v>38812</v>
      </c>
      <c r="N1158">
        <v>2006</v>
      </c>
      <c r="R1158" s="262">
        <v>1353000</v>
      </c>
      <c r="S1158" t="s">
        <v>114</v>
      </c>
      <c r="T1158" t="s">
        <v>114</v>
      </c>
      <c r="U1158">
        <v>5</v>
      </c>
      <c r="W1158">
        <v>4999</v>
      </c>
      <c r="X1158">
        <v>1</v>
      </c>
      <c r="Y1158">
        <v>0</v>
      </c>
      <c r="Z1158">
        <v>0</v>
      </c>
      <c r="AA1158">
        <v>0</v>
      </c>
      <c r="AB1158">
        <v>0</v>
      </c>
      <c r="AC1158">
        <v>4999</v>
      </c>
      <c r="AD1158">
        <v>0</v>
      </c>
      <c r="AE1158">
        <v>0</v>
      </c>
      <c r="AF1158">
        <v>0</v>
      </c>
      <c r="AG1158">
        <v>0</v>
      </c>
      <c r="AH1158">
        <v>0</v>
      </c>
      <c r="AI1158">
        <v>0</v>
      </c>
      <c r="AJ1158">
        <v>0</v>
      </c>
      <c r="AK1158">
        <v>0</v>
      </c>
      <c r="AL1158">
        <v>0</v>
      </c>
      <c r="AM1158">
        <v>0</v>
      </c>
      <c r="AN1158">
        <v>0</v>
      </c>
      <c r="AO1158">
        <v>1</v>
      </c>
      <c r="AP1158">
        <v>0</v>
      </c>
      <c r="AQ1158">
        <v>0</v>
      </c>
      <c r="AR1158">
        <v>0</v>
      </c>
      <c r="AS1158">
        <v>0</v>
      </c>
      <c r="AT1158">
        <v>0</v>
      </c>
      <c r="AU1158">
        <f t="shared" si="34"/>
        <v>1</v>
      </c>
      <c r="AV1158">
        <f t="shared" si="35"/>
        <v>0</v>
      </c>
    </row>
    <row r="1159" spans="1:48" x14ac:dyDescent="0.25">
      <c r="A1159" t="s">
        <v>5269</v>
      </c>
      <c r="C1159" t="s">
        <v>5270</v>
      </c>
      <c r="D1159" t="s">
        <v>5271</v>
      </c>
      <c r="E1159" t="s">
        <v>2310</v>
      </c>
      <c r="F1159">
        <v>15</v>
      </c>
      <c r="G1159">
        <v>15.1</v>
      </c>
      <c r="H1159" t="s">
        <v>2022</v>
      </c>
      <c r="I1159" s="21">
        <v>38180</v>
      </c>
      <c r="J1159">
        <v>2004</v>
      </c>
      <c r="K1159" s="21">
        <v>38205</v>
      </c>
      <c r="L1159">
        <v>2004</v>
      </c>
      <c r="M1159" s="21">
        <v>38205</v>
      </c>
      <c r="N1159">
        <v>2004</v>
      </c>
      <c r="R1159" s="262">
        <v>15000</v>
      </c>
      <c r="S1159" t="s">
        <v>114</v>
      </c>
      <c r="T1159" t="s">
        <v>114</v>
      </c>
      <c r="U1159">
        <v>5</v>
      </c>
      <c r="W1159">
        <v>74</v>
      </c>
      <c r="X1159">
        <v>0</v>
      </c>
      <c r="Y1159">
        <v>0</v>
      </c>
      <c r="Z1159">
        <v>0</v>
      </c>
      <c r="AA1159">
        <v>0</v>
      </c>
      <c r="AB1159">
        <v>0</v>
      </c>
      <c r="AC1159">
        <v>74</v>
      </c>
      <c r="AD1159">
        <v>0</v>
      </c>
      <c r="AE1159">
        <v>0</v>
      </c>
      <c r="AF1159">
        <v>0</v>
      </c>
      <c r="AG1159">
        <v>0</v>
      </c>
      <c r="AH1159">
        <v>0</v>
      </c>
      <c r="AI1159">
        <v>0</v>
      </c>
      <c r="AJ1159">
        <v>0</v>
      </c>
      <c r="AK1159">
        <v>0</v>
      </c>
      <c r="AL1159">
        <v>0</v>
      </c>
      <c r="AM1159">
        <v>0</v>
      </c>
      <c r="AN1159">
        <v>0</v>
      </c>
      <c r="AO1159">
        <v>0</v>
      </c>
      <c r="AP1159">
        <v>0</v>
      </c>
      <c r="AQ1159">
        <v>0</v>
      </c>
      <c r="AR1159">
        <v>0</v>
      </c>
      <c r="AS1159">
        <v>0</v>
      </c>
      <c r="AT1159">
        <v>0</v>
      </c>
      <c r="AU1159">
        <f t="shared" si="34"/>
        <v>0</v>
      </c>
      <c r="AV1159">
        <f t="shared" si="35"/>
        <v>0</v>
      </c>
    </row>
    <row r="1160" spans="1:48" x14ac:dyDescent="0.25">
      <c r="A1160" t="s">
        <v>5262</v>
      </c>
      <c r="C1160" t="s">
        <v>5263</v>
      </c>
      <c r="D1160" t="s">
        <v>2524</v>
      </c>
      <c r="E1160" t="s">
        <v>1663</v>
      </c>
      <c r="F1160">
        <v>5</v>
      </c>
      <c r="G1160">
        <v>5.4</v>
      </c>
      <c r="H1160" t="s">
        <v>2017</v>
      </c>
      <c r="I1160" s="21">
        <v>38180</v>
      </c>
      <c r="J1160">
        <v>2004</v>
      </c>
      <c r="K1160" s="21">
        <v>38211</v>
      </c>
      <c r="L1160">
        <v>2004</v>
      </c>
      <c r="M1160" s="21">
        <v>38364</v>
      </c>
      <c r="N1160">
        <v>2005</v>
      </c>
      <c r="Q1160" s="262">
        <v>0</v>
      </c>
      <c r="S1160" t="s">
        <v>114</v>
      </c>
      <c r="T1160" t="s">
        <v>114</v>
      </c>
      <c r="W1160">
        <v>2500</v>
      </c>
      <c r="X1160">
        <v>0</v>
      </c>
      <c r="Y1160">
        <v>0</v>
      </c>
      <c r="Z1160">
        <v>0</v>
      </c>
      <c r="AA1160">
        <v>0</v>
      </c>
      <c r="AB1160">
        <v>0</v>
      </c>
      <c r="AC1160">
        <v>0</v>
      </c>
      <c r="AD1160">
        <v>0</v>
      </c>
      <c r="AE1160">
        <v>0</v>
      </c>
      <c r="AF1160">
        <v>0</v>
      </c>
      <c r="AG1160">
        <v>0</v>
      </c>
      <c r="AH1160">
        <v>0</v>
      </c>
      <c r="AI1160">
        <v>0</v>
      </c>
      <c r="AJ1160">
        <v>0</v>
      </c>
      <c r="AK1160">
        <v>0</v>
      </c>
      <c r="AL1160">
        <v>0</v>
      </c>
      <c r="AM1160">
        <v>2500</v>
      </c>
      <c r="AN1160">
        <v>0</v>
      </c>
      <c r="AO1160">
        <v>0</v>
      </c>
      <c r="AP1160">
        <v>0</v>
      </c>
      <c r="AQ1160">
        <v>0</v>
      </c>
      <c r="AR1160">
        <v>0</v>
      </c>
      <c r="AS1160">
        <v>0</v>
      </c>
      <c r="AT1160">
        <v>0</v>
      </c>
      <c r="AU1160">
        <f t="shared" si="34"/>
        <v>0</v>
      </c>
      <c r="AV1160">
        <f t="shared" si="35"/>
        <v>2500</v>
      </c>
    </row>
    <row r="1161" spans="1:48" x14ac:dyDescent="0.25">
      <c r="A1161" t="s">
        <v>5272</v>
      </c>
      <c r="C1161" t="s">
        <v>5273</v>
      </c>
      <c r="D1161" t="s">
        <v>5274</v>
      </c>
      <c r="E1161" t="s">
        <v>2310</v>
      </c>
      <c r="F1161">
        <v>9</v>
      </c>
      <c r="G1161">
        <v>9.3000000000000007</v>
      </c>
      <c r="H1161" t="s">
        <v>2323</v>
      </c>
      <c r="I1161" s="21">
        <v>38181</v>
      </c>
      <c r="J1161">
        <v>2004</v>
      </c>
      <c r="K1161" s="21">
        <v>38205</v>
      </c>
      <c r="L1161">
        <v>2004</v>
      </c>
      <c r="M1161" s="21">
        <v>38322</v>
      </c>
      <c r="N1161">
        <v>2004</v>
      </c>
      <c r="R1161" s="262">
        <v>136000</v>
      </c>
      <c r="S1161" t="s">
        <v>114</v>
      </c>
      <c r="T1161" t="s">
        <v>114</v>
      </c>
      <c r="U1161">
        <v>5</v>
      </c>
      <c r="W1161">
        <v>2518</v>
      </c>
      <c r="X1161">
        <v>1</v>
      </c>
      <c r="Y1161">
        <v>0</v>
      </c>
      <c r="Z1161">
        <v>0</v>
      </c>
      <c r="AA1161">
        <v>0</v>
      </c>
      <c r="AB1161">
        <v>0</v>
      </c>
      <c r="AC1161">
        <v>2518</v>
      </c>
      <c r="AD1161">
        <v>0</v>
      </c>
      <c r="AE1161">
        <v>0</v>
      </c>
      <c r="AF1161">
        <v>0</v>
      </c>
      <c r="AG1161">
        <v>0</v>
      </c>
      <c r="AH1161">
        <v>0</v>
      </c>
      <c r="AI1161">
        <v>0</v>
      </c>
      <c r="AJ1161">
        <v>0</v>
      </c>
      <c r="AK1161">
        <v>0</v>
      </c>
      <c r="AL1161">
        <v>0</v>
      </c>
      <c r="AM1161">
        <v>0</v>
      </c>
      <c r="AN1161">
        <v>0</v>
      </c>
      <c r="AO1161">
        <v>1</v>
      </c>
      <c r="AP1161">
        <v>0</v>
      </c>
      <c r="AQ1161">
        <v>0</v>
      </c>
      <c r="AR1161">
        <v>0</v>
      </c>
      <c r="AS1161">
        <v>0</v>
      </c>
      <c r="AT1161">
        <v>0</v>
      </c>
      <c r="AU1161">
        <f t="shared" si="34"/>
        <v>1</v>
      </c>
      <c r="AV1161">
        <f t="shared" si="35"/>
        <v>0</v>
      </c>
    </row>
    <row r="1162" spans="1:48" x14ac:dyDescent="0.25">
      <c r="A1162" t="s">
        <v>5275</v>
      </c>
      <c r="C1162" t="s">
        <v>2924</v>
      </c>
      <c r="D1162" t="s">
        <v>5276</v>
      </c>
      <c r="E1162" t="s">
        <v>2310</v>
      </c>
      <c r="F1162">
        <v>15</v>
      </c>
      <c r="G1162">
        <v>15.2</v>
      </c>
      <c r="H1162" t="s">
        <v>2323</v>
      </c>
      <c r="I1162" s="21">
        <v>38181</v>
      </c>
      <c r="J1162">
        <v>2004</v>
      </c>
      <c r="K1162" s="21">
        <v>38205</v>
      </c>
      <c r="L1162">
        <v>2004</v>
      </c>
      <c r="M1162" s="21">
        <v>39050</v>
      </c>
      <c r="N1162">
        <v>2006</v>
      </c>
      <c r="R1162" s="262">
        <v>30000</v>
      </c>
      <c r="S1162" t="s">
        <v>114</v>
      </c>
      <c r="T1162" t="s">
        <v>114</v>
      </c>
      <c r="U1162">
        <v>5</v>
      </c>
      <c r="W1162">
        <v>676</v>
      </c>
      <c r="X1162">
        <v>0</v>
      </c>
      <c r="Y1162">
        <v>0</v>
      </c>
      <c r="Z1162">
        <v>0</v>
      </c>
      <c r="AA1162">
        <v>0</v>
      </c>
      <c r="AB1162">
        <v>0</v>
      </c>
      <c r="AC1162">
        <v>676</v>
      </c>
      <c r="AD1162">
        <v>0</v>
      </c>
      <c r="AE1162">
        <v>0</v>
      </c>
      <c r="AF1162">
        <v>0</v>
      </c>
      <c r="AG1162">
        <v>0</v>
      </c>
      <c r="AH1162">
        <v>0</v>
      </c>
      <c r="AI1162">
        <v>0</v>
      </c>
      <c r="AJ1162">
        <v>0</v>
      </c>
      <c r="AK1162">
        <v>0</v>
      </c>
      <c r="AL1162">
        <v>0</v>
      </c>
      <c r="AM1162">
        <v>0</v>
      </c>
      <c r="AN1162">
        <v>0</v>
      </c>
      <c r="AO1162">
        <v>0</v>
      </c>
      <c r="AP1162">
        <v>0</v>
      </c>
      <c r="AQ1162">
        <v>0</v>
      </c>
      <c r="AR1162">
        <v>0</v>
      </c>
      <c r="AS1162">
        <v>0</v>
      </c>
      <c r="AT1162">
        <v>0</v>
      </c>
      <c r="AU1162">
        <f t="shared" si="34"/>
        <v>0</v>
      </c>
      <c r="AV1162">
        <f t="shared" si="35"/>
        <v>0</v>
      </c>
    </row>
    <row r="1163" spans="1:48" x14ac:dyDescent="0.25">
      <c r="A1163" t="s">
        <v>5277</v>
      </c>
      <c r="C1163" t="s">
        <v>5278</v>
      </c>
      <c r="D1163" t="s">
        <v>5279</v>
      </c>
      <c r="E1163" t="s">
        <v>2310</v>
      </c>
      <c r="F1163">
        <v>9</v>
      </c>
      <c r="G1163">
        <v>9.3000000000000007</v>
      </c>
      <c r="H1163" t="s">
        <v>2323</v>
      </c>
      <c r="I1163" s="21">
        <v>38182</v>
      </c>
      <c r="J1163">
        <v>2004</v>
      </c>
      <c r="K1163" s="21">
        <v>38245</v>
      </c>
      <c r="L1163">
        <v>2004</v>
      </c>
      <c r="M1163" s="21">
        <v>38580</v>
      </c>
      <c r="N1163">
        <v>2005</v>
      </c>
      <c r="R1163" s="262">
        <v>1400000</v>
      </c>
      <c r="S1163" t="s">
        <v>114</v>
      </c>
      <c r="T1163" t="s">
        <v>114</v>
      </c>
      <c r="U1163">
        <v>5</v>
      </c>
      <c r="W1163">
        <v>5297</v>
      </c>
      <c r="X1163">
        <v>1</v>
      </c>
      <c r="Y1163">
        <v>0</v>
      </c>
      <c r="Z1163">
        <v>0</v>
      </c>
      <c r="AA1163">
        <v>0</v>
      </c>
      <c r="AB1163">
        <v>0</v>
      </c>
      <c r="AC1163">
        <v>5297</v>
      </c>
      <c r="AD1163">
        <v>0</v>
      </c>
      <c r="AE1163">
        <v>0</v>
      </c>
      <c r="AF1163">
        <v>0</v>
      </c>
      <c r="AG1163">
        <v>0</v>
      </c>
      <c r="AH1163">
        <v>0</v>
      </c>
      <c r="AI1163">
        <v>0</v>
      </c>
      <c r="AJ1163">
        <v>0</v>
      </c>
      <c r="AK1163">
        <v>0</v>
      </c>
      <c r="AL1163">
        <v>0</v>
      </c>
      <c r="AM1163">
        <v>0</v>
      </c>
      <c r="AN1163">
        <v>0</v>
      </c>
      <c r="AO1163">
        <v>1</v>
      </c>
      <c r="AP1163">
        <v>0</v>
      </c>
      <c r="AQ1163">
        <v>0</v>
      </c>
      <c r="AR1163">
        <v>0</v>
      </c>
      <c r="AS1163">
        <v>0</v>
      </c>
      <c r="AT1163">
        <v>0</v>
      </c>
      <c r="AU1163">
        <f t="shared" si="34"/>
        <v>1</v>
      </c>
      <c r="AV1163">
        <f t="shared" si="35"/>
        <v>0</v>
      </c>
    </row>
    <row r="1164" spans="1:48" x14ac:dyDescent="0.25">
      <c r="A1164" t="s">
        <v>5280</v>
      </c>
      <c r="C1164" t="s">
        <v>5281</v>
      </c>
      <c r="D1164" t="s">
        <v>5282</v>
      </c>
      <c r="E1164" t="s">
        <v>2310</v>
      </c>
      <c r="F1164">
        <v>8</v>
      </c>
      <c r="G1164">
        <v>8.1</v>
      </c>
      <c r="H1164" t="s">
        <v>2323</v>
      </c>
      <c r="I1164" s="21">
        <v>38182</v>
      </c>
      <c r="J1164">
        <v>2004</v>
      </c>
      <c r="K1164" s="21">
        <v>38223</v>
      </c>
      <c r="L1164">
        <v>2004</v>
      </c>
      <c r="M1164" s="21">
        <v>38776</v>
      </c>
      <c r="N1164">
        <v>2006</v>
      </c>
      <c r="R1164" s="262">
        <v>1150000</v>
      </c>
      <c r="S1164" t="s">
        <v>114</v>
      </c>
      <c r="T1164" t="s">
        <v>114</v>
      </c>
      <c r="U1164">
        <v>5</v>
      </c>
      <c r="W1164">
        <v>7528</v>
      </c>
      <c r="X1164">
        <v>1</v>
      </c>
      <c r="Y1164">
        <v>0</v>
      </c>
      <c r="Z1164">
        <v>0</v>
      </c>
      <c r="AA1164">
        <v>0</v>
      </c>
      <c r="AB1164">
        <v>0</v>
      </c>
      <c r="AC1164">
        <v>7528</v>
      </c>
      <c r="AD1164">
        <v>0</v>
      </c>
      <c r="AE1164">
        <v>0</v>
      </c>
      <c r="AF1164">
        <v>0</v>
      </c>
      <c r="AG1164">
        <v>0</v>
      </c>
      <c r="AH1164">
        <v>0</v>
      </c>
      <c r="AI1164">
        <v>0</v>
      </c>
      <c r="AJ1164">
        <v>0</v>
      </c>
      <c r="AK1164">
        <v>0</v>
      </c>
      <c r="AL1164">
        <v>0</v>
      </c>
      <c r="AM1164">
        <v>0</v>
      </c>
      <c r="AN1164">
        <v>0</v>
      </c>
      <c r="AO1164">
        <v>1</v>
      </c>
      <c r="AP1164">
        <v>0</v>
      </c>
      <c r="AQ1164">
        <v>0</v>
      </c>
      <c r="AR1164">
        <v>0</v>
      </c>
      <c r="AS1164">
        <v>0</v>
      </c>
      <c r="AT1164">
        <v>0</v>
      </c>
      <c r="AU1164">
        <f t="shared" si="34"/>
        <v>1</v>
      </c>
      <c r="AV1164">
        <f t="shared" si="35"/>
        <v>0</v>
      </c>
    </row>
    <row r="1165" spans="1:48" x14ac:dyDescent="0.25">
      <c r="A1165" t="s">
        <v>5283</v>
      </c>
      <c r="C1165" t="s">
        <v>5284</v>
      </c>
      <c r="D1165" t="s">
        <v>5285</v>
      </c>
      <c r="E1165" t="s">
        <v>2310</v>
      </c>
      <c r="F1165">
        <v>12</v>
      </c>
      <c r="G1165">
        <v>12.3</v>
      </c>
      <c r="H1165" t="s">
        <v>2017</v>
      </c>
      <c r="I1165" s="21">
        <v>38183</v>
      </c>
      <c r="J1165">
        <v>2004</v>
      </c>
      <c r="K1165" s="21">
        <v>38386</v>
      </c>
      <c r="L1165">
        <v>2005</v>
      </c>
      <c r="M1165" s="21">
        <v>38798</v>
      </c>
      <c r="N1165">
        <v>2006</v>
      </c>
      <c r="R1165" s="262">
        <v>3000</v>
      </c>
      <c r="S1165" t="s">
        <v>114</v>
      </c>
      <c r="T1165" t="s">
        <v>114</v>
      </c>
      <c r="U1165">
        <v>5</v>
      </c>
      <c r="W1165">
        <v>0</v>
      </c>
      <c r="X1165">
        <v>0</v>
      </c>
      <c r="Y1165">
        <v>0</v>
      </c>
      <c r="Z1165">
        <v>0</v>
      </c>
      <c r="AA1165">
        <v>0</v>
      </c>
      <c r="AB1165">
        <v>0</v>
      </c>
      <c r="AC1165">
        <v>0</v>
      </c>
      <c r="AD1165">
        <v>0</v>
      </c>
      <c r="AE1165">
        <v>0</v>
      </c>
      <c r="AF1165">
        <v>0</v>
      </c>
      <c r="AG1165">
        <v>0</v>
      </c>
      <c r="AH1165">
        <v>0</v>
      </c>
      <c r="AI1165">
        <v>0</v>
      </c>
      <c r="AJ1165">
        <v>0</v>
      </c>
      <c r="AK1165">
        <v>0</v>
      </c>
      <c r="AL1165">
        <v>0</v>
      </c>
      <c r="AM1165">
        <v>0</v>
      </c>
      <c r="AN1165">
        <v>0</v>
      </c>
      <c r="AO1165">
        <v>0</v>
      </c>
      <c r="AP1165">
        <v>0</v>
      </c>
      <c r="AQ1165">
        <v>0</v>
      </c>
      <c r="AR1165">
        <v>0</v>
      </c>
      <c r="AS1165">
        <v>0</v>
      </c>
      <c r="AT1165">
        <v>0</v>
      </c>
      <c r="AU1165">
        <f t="shared" si="34"/>
        <v>0</v>
      </c>
      <c r="AV1165">
        <f t="shared" si="35"/>
        <v>0</v>
      </c>
    </row>
    <row r="1166" spans="1:48" x14ac:dyDescent="0.25">
      <c r="A1166" t="s">
        <v>5286</v>
      </c>
      <c r="C1166" t="s">
        <v>4189</v>
      </c>
      <c r="D1166" t="s">
        <v>5287</v>
      </c>
      <c r="E1166" t="s">
        <v>2310</v>
      </c>
      <c r="F1166">
        <v>8</v>
      </c>
      <c r="G1166">
        <v>8.1999999999999993</v>
      </c>
      <c r="H1166" t="s">
        <v>2022</v>
      </c>
      <c r="I1166" s="21">
        <v>38183</v>
      </c>
      <c r="J1166">
        <v>2004</v>
      </c>
      <c r="K1166" s="21">
        <v>38238</v>
      </c>
      <c r="L1166">
        <v>2004</v>
      </c>
      <c r="M1166" s="21">
        <v>38922</v>
      </c>
      <c r="N1166">
        <v>2006</v>
      </c>
      <c r="R1166" s="262">
        <v>2800000</v>
      </c>
      <c r="S1166" t="s">
        <v>114</v>
      </c>
      <c r="T1166" t="s">
        <v>114</v>
      </c>
      <c r="U1166">
        <v>5</v>
      </c>
      <c r="W1166">
        <v>9515</v>
      </c>
      <c r="X1166">
        <v>1</v>
      </c>
      <c r="Y1166">
        <v>0</v>
      </c>
      <c r="Z1166">
        <v>0</v>
      </c>
      <c r="AA1166">
        <v>0</v>
      </c>
      <c r="AB1166">
        <v>0</v>
      </c>
      <c r="AC1166">
        <v>9515</v>
      </c>
      <c r="AD1166">
        <v>0</v>
      </c>
      <c r="AE1166">
        <v>0</v>
      </c>
      <c r="AF1166">
        <v>0</v>
      </c>
      <c r="AG1166">
        <v>0</v>
      </c>
      <c r="AH1166">
        <v>0</v>
      </c>
      <c r="AI1166">
        <v>0</v>
      </c>
      <c r="AJ1166">
        <v>0</v>
      </c>
      <c r="AK1166">
        <v>0</v>
      </c>
      <c r="AL1166">
        <v>0</v>
      </c>
      <c r="AM1166">
        <v>0</v>
      </c>
      <c r="AN1166">
        <v>0</v>
      </c>
      <c r="AO1166">
        <v>1</v>
      </c>
      <c r="AP1166">
        <v>0</v>
      </c>
      <c r="AQ1166">
        <v>0</v>
      </c>
      <c r="AR1166">
        <v>0</v>
      </c>
      <c r="AS1166">
        <v>0</v>
      </c>
      <c r="AT1166">
        <v>0</v>
      </c>
      <c r="AU1166">
        <f t="shared" si="34"/>
        <v>1</v>
      </c>
      <c r="AV1166">
        <f t="shared" si="35"/>
        <v>0</v>
      </c>
    </row>
    <row r="1167" spans="1:48" x14ac:dyDescent="0.25">
      <c r="A1167" t="s">
        <v>5288</v>
      </c>
      <c r="C1167" t="s">
        <v>5289</v>
      </c>
      <c r="D1167" t="s">
        <v>5287</v>
      </c>
      <c r="E1167" t="s">
        <v>2310</v>
      </c>
      <c r="F1167">
        <v>8</v>
      </c>
      <c r="G1167">
        <v>8.1999999999999993</v>
      </c>
      <c r="H1167" t="s">
        <v>2022</v>
      </c>
      <c r="I1167" s="21">
        <v>38183</v>
      </c>
      <c r="J1167">
        <v>2004</v>
      </c>
      <c r="K1167" s="21">
        <v>38238</v>
      </c>
      <c r="L1167">
        <v>2004</v>
      </c>
      <c r="M1167" s="21">
        <v>39206</v>
      </c>
      <c r="N1167">
        <v>2007</v>
      </c>
      <c r="R1167" s="262">
        <v>200000</v>
      </c>
      <c r="S1167" t="s">
        <v>114</v>
      </c>
      <c r="T1167" t="s">
        <v>114</v>
      </c>
      <c r="U1167">
        <v>8</v>
      </c>
      <c r="W1167">
        <v>468</v>
      </c>
      <c r="X1167">
        <v>1</v>
      </c>
      <c r="Y1167">
        <v>0</v>
      </c>
      <c r="Z1167">
        <v>0</v>
      </c>
      <c r="AA1167">
        <v>0</v>
      </c>
      <c r="AB1167">
        <v>0</v>
      </c>
      <c r="AC1167">
        <v>0</v>
      </c>
      <c r="AD1167">
        <v>0</v>
      </c>
      <c r="AE1167">
        <v>0</v>
      </c>
      <c r="AF1167">
        <v>468</v>
      </c>
      <c r="AG1167">
        <v>0</v>
      </c>
      <c r="AH1167">
        <v>0</v>
      </c>
      <c r="AI1167">
        <v>0</v>
      </c>
      <c r="AJ1167">
        <v>0</v>
      </c>
      <c r="AK1167">
        <v>0</v>
      </c>
      <c r="AL1167">
        <v>0</v>
      </c>
      <c r="AM1167">
        <v>0</v>
      </c>
      <c r="AN1167">
        <v>0</v>
      </c>
      <c r="AO1167">
        <v>0</v>
      </c>
      <c r="AP1167">
        <v>0</v>
      </c>
      <c r="AQ1167">
        <v>0</v>
      </c>
      <c r="AR1167">
        <v>1</v>
      </c>
      <c r="AS1167">
        <v>0</v>
      </c>
      <c r="AT1167">
        <v>0</v>
      </c>
      <c r="AU1167">
        <f t="shared" si="34"/>
        <v>0</v>
      </c>
      <c r="AV1167">
        <f t="shared" si="35"/>
        <v>0</v>
      </c>
    </row>
    <row r="1168" spans="1:48" x14ac:dyDescent="0.25">
      <c r="A1168" t="s">
        <v>5290</v>
      </c>
      <c r="C1168" t="s">
        <v>2847</v>
      </c>
      <c r="D1168" t="s">
        <v>5291</v>
      </c>
      <c r="E1168" t="s">
        <v>2310</v>
      </c>
      <c r="F1168">
        <v>10</v>
      </c>
      <c r="G1168">
        <v>10.1</v>
      </c>
      <c r="H1168" t="s">
        <v>2323</v>
      </c>
      <c r="I1168" s="21">
        <v>38187</v>
      </c>
      <c r="J1168">
        <v>2004</v>
      </c>
      <c r="K1168" s="21">
        <v>38212</v>
      </c>
      <c r="L1168">
        <v>2004</v>
      </c>
      <c r="M1168" s="21">
        <v>38408</v>
      </c>
      <c r="N1168">
        <v>2005</v>
      </c>
      <c r="R1168" s="262">
        <v>234000</v>
      </c>
      <c r="S1168" t="s">
        <v>114</v>
      </c>
      <c r="T1168" t="s">
        <v>114</v>
      </c>
      <c r="U1168">
        <v>5</v>
      </c>
      <c r="W1168">
        <v>2456</v>
      </c>
      <c r="X1168">
        <v>1</v>
      </c>
      <c r="Y1168">
        <v>0</v>
      </c>
      <c r="Z1168">
        <v>0</v>
      </c>
      <c r="AA1168">
        <v>0</v>
      </c>
      <c r="AB1168">
        <v>0</v>
      </c>
      <c r="AC1168">
        <v>2456</v>
      </c>
      <c r="AD1168">
        <v>0</v>
      </c>
      <c r="AE1168">
        <v>0</v>
      </c>
      <c r="AF1168">
        <v>0</v>
      </c>
      <c r="AG1168">
        <v>0</v>
      </c>
      <c r="AH1168">
        <v>0</v>
      </c>
      <c r="AI1168">
        <v>0</v>
      </c>
      <c r="AJ1168">
        <v>0</v>
      </c>
      <c r="AK1168">
        <v>0</v>
      </c>
      <c r="AL1168">
        <v>0</v>
      </c>
      <c r="AM1168">
        <v>0</v>
      </c>
      <c r="AN1168">
        <v>0</v>
      </c>
      <c r="AO1168">
        <v>1</v>
      </c>
      <c r="AP1168">
        <v>0</v>
      </c>
      <c r="AQ1168">
        <v>0</v>
      </c>
      <c r="AR1168">
        <v>0</v>
      </c>
      <c r="AS1168">
        <v>0</v>
      </c>
      <c r="AT1168">
        <v>0</v>
      </c>
      <c r="AU1168">
        <f t="shared" si="34"/>
        <v>1</v>
      </c>
      <c r="AV1168">
        <f t="shared" si="35"/>
        <v>0</v>
      </c>
    </row>
    <row r="1169" spans="1:48" x14ac:dyDescent="0.25">
      <c r="A1169" t="s">
        <v>5292</v>
      </c>
      <c r="C1169" t="s">
        <v>5293</v>
      </c>
      <c r="D1169" t="s">
        <v>5246</v>
      </c>
      <c r="E1169" t="s">
        <v>2310</v>
      </c>
      <c r="F1169">
        <v>8</v>
      </c>
      <c r="G1169">
        <v>8.1</v>
      </c>
      <c r="H1169" t="s">
        <v>2323</v>
      </c>
      <c r="I1169" s="21">
        <v>38188</v>
      </c>
      <c r="J1169">
        <v>2004</v>
      </c>
      <c r="K1169" s="21">
        <v>38196</v>
      </c>
      <c r="L1169">
        <v>2004</v>
      </c>
      <c r="M1169" s="21">
        <v>38509</v>
      </c>
      <c r="N1169">
        <v>2005</v>
      </c>
      <c r="R1169" s="262">
        <v>50000</v>
      </c>
      <c r="S1169" t="s">
        <v>114</v>
      </c>
      <c r="T1169" t="s">
        <v>114</v>
      </c>
      <c r="U1169">
        <v>5</v>
      </c>
      <c r="W1169">
        <v>0</v>
      </c>
      <c r="X1169">
        <v>0</v>
      </c>
      <c r="Y1169">
        <v>0</v>
      </c>
      <c r="Z1169">
        <v>0</v>
      </c>
      <c r="AA1169">
        <v>0</v>
      </c>
      <c r="AB1169">
        <v>0</v>
      </c>
      <c r="AC1169">
        <v>0</v>
      </c>
      <c r="AD1169">
        <v>0</v>
      </c>
      <c r="AE1169">
        <v>0</v>
      </c>
      <c r="AF1169">
        <v>0</v>
      </c>
      <c r="AG1169">
        <v>0</v>
      </c>
      <c r="AH1169">
        <v>0</v>
      </c>
      <c r="AI1169">
        <v>0</v>
      </c>
      <c r="AJ1169">
        <v>0</v>
      </c>
      <c r="AK1169">
        <v>0</v>
      </c>
      <c r="AL1169">
        <v>0</v>
      </c>
      <c r="AM1169">
        <v>0</v>
      </c>
      <c r="AN1169">
        <v>0</v>
      </c>
      <c r="AO1169">
        <v>0</v>
      </c>
      <c r="AP1169">
        <v>0</v>
      </c>
      <c r="AQ1169">
        <v>0</v>
      </c>
      <c r="AR1169">
        <v>0</v>
      </c>
      <c r="AS1169">
        <v>0</v>
      </c>
      <c r="AT1169">
        <v>0</v>
      </c>
      <c r="AU1169">
        <f t="shared" si="34"/>
        <v>0</v>
      </c>
      <c r="AV1169">
        <f t="shared" si="35"/>
        <v>0</v>
      </c>
    </row>
    <row r="1170" spans="1:48" x14ac:dyDescent="0.25">
      <c r="A1170" t="s">
        <v>5294</v>
      </c>
      <c r="C1170" t="s">
        <v>2924</v>
      </c>
      <c r="D1170" t="s">
        <v>4291</v>
      </c>
      <c r="E1170" t="s">
        <v>2310</v>
      </c>
      <c r="F1170">
        <v>15</v>
      </c>
      <c r="G1170">
        <v>15.3</v>
      </c>
      <c r="H1170" t="s">
        <v>2022</v>
      </c>
      <c r="I1170" s="21">
        <v>38188</v>
      </c>
      <c r="J1170">
        <v>2004</v>
      </c>
      <c r="K1170" s="21">
        <v>38223</v>
      </c>
      <c r="L1170">
        <v>2004</v>
      </c>
      <c r="M1170" s="21">
        <v>38223</v>
      </c>
      <c r="N1170">
        <v>2004</v>
      </c>
      <c r="R1170" s="262">
        <v>52000</v>
      </c>
      <c r="S1170" t="s">
        <v>114</v>
      </c>
      <c r="T1170" t="s">
        <v>114</v>
      </c>
      <c r="U1170">
        <v>5</v>
      </c>
      <c r="W1170">
        <v>384</v>
      </c>
      <c r="X1170">
        <v>0</v>
      </c>
      <c r="Y1170">
        <v>0</v>
      </c>
      <c r="Z1170">
        <v>0</v>
      </c>
      <c r="AA1170">
        <v>0</v>
      </c>
      <c r="AB1170">
        <v>0</v>
      </c>
      <c r="AC1170">
        <v>384</v>
      </c>
      <c r="AD1170">
        <v>0</v>
      </c>
      <c r="AE1170">
        <v>0</v>
      </c>
      <c r="AF1170">
        <v>0</v>
      </c>
      <c r="AG1170">
        <v>0</v>
      </c>
      <c r="AH1170">
        <v>0</v>
      </c>
      <c r="AI1170">
        <v>0</v>
      </c>
      <c r="AJ1170">
        <v>0</v>
      </c>
      <c r="AK1170">
        <v>0</v>
      </c>
      <c r="AL1170">
        <v>0</v>
      </c>
      <c r="AM1170">
        <v>0</v>
      </c>
      <c r="AN1170">
        <v>0</v>
      </c>
      <c r="AO1170">
        <v>0</v>
      </c>
      <c r="AP1170">
        <v>0</v>
      </c>
      <c r="AQ1170">
        <v>0</v>
      </c>
      <c r="AR1170">
        <v>0</v>
      </c>
      <c r="AS1170">
        <v>0</v>
      </c>
      <c r="AT1170">
        <v>0</v>
      </c>
      <c r="AU1170">
        <f t="shared" si="34"/>
        <v>0</v>
      </c>
      <c r="AV1170">
        <f t="shared" si="35"/>
        <v>0</v>
      </c>
    </row>
    <row r="1171" spans="1:48" x14ac:dyDescent="0.25">
      <c r="A1171" t="s">
        <v>5295</v>
      </c>
      <c r="C1171" t="s">
        <v>4934</v>
      </c>
      <c r="D1171" t="s">
        <v>5296</v>
      </c>
      <c r="E1171" t="s">
        <v>2310</v>
      </c>
      <c r="F1171">
        <v>15</v>
      </c>
      <c r="G1171">
        <v>15.2</v>
      </c>
      <c r="H1171" t="s">
        <v>2323</v>
      </c>
      <c r="I1171" s="21">
        <v>38189</v>
      </c>
      <c r="J1171">
        <v>2004</v>
      </c>
      <c r="K1171" s="21">
        <v>38239</v>
      </c>
      <c r="L1171">
        <v>2004</v>
      </c>
      <c r="M1171" s="21">
        <v>38566</v>
      </c>
      <c r="N1171">
        <v>2005</v>
      </c>
      <c r="R1171" s="262">
        <v>575000</v>
      </c>
      <c r="S1171" t="s">
        <v>114</v>
      </c>
      <c r="T1171" t="s">
        <v>114</v>
      </c>
      <c r="U1171">
        <v>5</v>
      </c>
      <c r="W1171">
        <v>5946</v>
      </c>
      <c r="X1171">
        <v>0</v>
      </c>
      <c r="Y1171">
        <v>0</v>
      </c>
      <c r="Z1171">
        <v>0</v>
      </c>
      <c r="AA1171">
        <v>0</v>
      </c>
      <c r="AB1171">
        <v>0</v>
      </c>
      <c r="AC1171">
        <v>5946</v>
      </c>
      <c r="AD1171">
        <v>0</v>
      </c>
      <c r="AE1171">
        <v>0</v>
      </c>
      <c r="AF1171">
        <v>0</v>
      </c>
      <c r="AG1171">
        <v>0</v>
      </c>
      <c r="AH1171">
        <v>0</v>
      </c>
      <c r="AI1171">
        <v>0</v>
      </c>
      <c r="AJ1171">
        <v>0</v>
      </c>
      <c r="AK1171">
        <v>0</v>
      </c>
      <c r="AL1171">
        <v>0</v>
      </c>
      <c r="AM1171">
        <v>0</v>
      </c>
      <c r="AN1171">
        <v>0</v>
      </c>
      <c r="AO1171">
        <v>0</v>
      </c>
      <c r="AP1171">
        <v>0</v>
      </c>
      <c r="AQ1171">
        <v>0</v>
      </c>
      <c r="AR1171">
        <v>0</v>
      </c>
      <c r="AS1171">
        <v>0</v>
      </c>
      <c r="AT1171">
        <v>0</v>
      </c>
      <c r="AU1171">
        <f t="shared" si="34"/>
        <v>0</v>
      </c>
      <c r="AV1171">
        <f t="shared" si="35"/>
        <v>0</v>
      </c>
    </row>
    <row r="1172" spans="1:48" x14ac:dyDescent="0.25">
      <c r="A1172" t="s">
        <v>5297</v>
      </c>
      <c r="C1172" t="s">
        <v>5298</v>
      </c>
      <c r="D1172" t="s">
        <v>5299</v>
      </c>
      <c r="E1172" t="s">
        <v>2310</v>
      </c>
      <c r="F1172">
        <v>12</v>
      </c>
      <c r="G1172">
        <v>12.2</v>
      </c>
      <c r="H1172" t="s">
        <v>2017</v>
      </c>
      <c r="I1172" s="21">
        <v>38194</v>
      </c>
      <c r="J1172">
        <v>2004</v>
      </c>
      <c r="K1172" s="21">
        <v>38279</v>
      </c>
      <c r="L1172">
        <v>2004</v>
      </c>
      <c r="M1172" s="21">
        <v>38603</v>
      </c>
      <c r="N1172">
        <v>2005</v>
      </c>
      <c r="R1172" s="262">
        <v>120000</v>
      </c>
      <c r="S1172" t="s">
        <v>114</v>
      </c>
      <c r="T1172" t="s">
        <v>114</v>
      </c>
      <c r="U1172">
        <v>5</v>
      </c>
      <c r="W1172">
        <v>2280</v>
      </c>
      <c r="X1172">
        <v>0</v>
      </c>
      <c r="Y1172">
        <v>0</v>
      </c>
      <c r="Z1172">
        <v>0</v>
      </c>
      <c r="AA1172">
        <v>0</v>
      </c>
      <c r="AB1172">
        <v>0</v>
      </c>
      <c r="AC1172">
        <v>2280</v>
      </c>
      <c r="AD1172">
        <v>0</v>
      </c>
      <c r="AE1172">
        <v>0</v>
      </c>
      <c r="AF1172">
        <v>0</v>
      </c>
      <c r="AG1172">
        <v>0</v>
      </c>
      <c r="AH1172">
        <v>0</v>
      </c>
      <c r="AI1172">
        <v>0</v>
      </c>
      <c r="AJ1172">
        <v>0</v>
      </c>
      <c r="AK1172">
        <v>0</v>
      </c>
      <c r="AL1172">
        <v>0</v>
      </c>
      <c r="AM1172">
        <v>0</v>
      </c>
      <c r="AN1172">
        <v>0</v>
      </c>
      <c r="AO1172">
        <v>0</v>
      </c>
      <c r="AP1172">
        <v>0</v>
      </c>
      <c r="AQ1172">
        <v>0</v>
      </c>
      <c r="AR1172">
        <v>0</v>
      </c>
      <c r="AS1172">
        <v>0</v>
      </c>
      <c r="AT1172">
        <v>0</v>
      </c>
      <c r="AU1172">
        <f t="shared" si="34"/>
        <v>0</v>
      </c>
      <c r="AV1172">
        <f t="shared" si="35"/>
        <v>0</v>
      </c>
    </row>
    <row r="1173" spans="1:48" x14ac:dyDescent="0.25">
      <c r="A1173" t="s">
        <v>5300</v>
      </c>
      <c r="C1173" t="s">
        <v>5301</v>
      </c>
      <c r="D1173" t="s">
        <v>5302</v>
      </c>
      <c r="E1173" t="s">
        <v>2310</v>
      </c>
      <c r="F1173">
        <v>9</v>
      </c>
      <c r="G1173">
        <v>9.1999999999999993</v>
      </c>
      <c r="H1173" t="s">
        <v>2022</v>
      </c>
      <c r="I1173" s="21">
        <v>38196</v>
      </c>
      <c r="J1173">
        <v>2004</v>
      </c>
      <c r="K1173" s="21">
        <v>38215</v>
      </c>
      <c r="L1173">
        <v>2004</v>
      </c>
      <c r="M1173" s="21">
        <v>38705</v>
      </c>
      <c r="N1173">
        <v>2005</v>
      </c>
      <c r="R1173" s="262">
        <v>130000</v>
      </c>
      <c r="S1173" t="s">
        <v>114</v>
      </c>
      <c r="T1173" t="s">
        <v>114</v>
      </c>
      <c r="U1173">
        <v>5</v>
      </c>
      <c r="W1173">
        <v>108</v>
      </c>
      <c r="X1173">
        <v>0</v>
      </c>
      <c r="Y1173">
        <v>0</v>
      </c>
      <c r="Z1173">
        <v>0</v>
      </c>
      <c r="AA1173">
        <v>0</v>
      </c>
      <c r="AB1173">
        <v>0</v>
      </c>
      <c r="AC1173">
        <v>108</v>
      </c>
      <c r="AD1173">
        <v>0</v>
      </c>
      <c r="AE1173">
        <v>0</v>
      </c>
      <c r="AF1173">
        <v>0</v>
      </c>
      <c r="AG1173">
        <v>0</v>
      </c>
      <c r="AH1173">
        <v>0</v>
      </c>
      <c r="AI1173">
        <v>0</v>
      </c>
      <c r="AJ1173">
        <v>0</v>
      </c>
      <c r="AK1173">
        <v>0</v>
      </c>
      <c r="AL1173">
        <v>0</v>
      </c>
      <c r="AM1173">
        <v>0</v>
      </c>
      <c r="AN1173">
        <v>0</v>
      </c>
      <c r="AO1173">
        <v>0</v>
      </c>
      <c r="AP1173">
        <v>0</v>
      </c>
      <c r="AQ1173">
        <v>0</v>
      </c>
      <c r="AR1173">
        <v>0</v>
      </c>
      <c r="AS1173">
        <v>0</v>
      </c>
      <c r="AT1173">
        <v>0</v>
      </c>
      <c r="AU1173">
        <f t="shared" si="34"/>
        <v>0</v>
      </c>
      <c r="AV1173">
        <f t="shared" si="35"/>
        <v>0</v>
      </c>
    </row>
    <row r="1174" spans="1:48" x14ac:dyDescent="0.25">
      <c r="A1174" t="s">
        <v>5303</v>
      </c>
      <c r="C1174" t="s">
        <v>5304</v>
      </c>
      <c r="D1174" t="s">
        <v>5305</v>
      </c>
      <c r="E1174" t="s">
        <v>2310</v>
      </c>
      <c r="F1174">
        <v>10</v>
      </c>
      <c r="G1174">
        <v>10.1</v>
      </c>
      <c r="H1174" t="s">
        <v>2323</v>
      </c>
      <c r="I1174" s="21">
        <v>38197</v>
      </c>
      <c r="J1174">
        <v>2004</v>
      </c>
      <c r="K1174" s="21">
        <v>38219</v>
      </c>
      <c r="L1174">
        <v>2004</v>
      </c>
      <c r="M1174" s="21">
        <v>38373</v>
      </c>
      <c r="N1174">
        <v>2005</v>
      </c>
      <c r="R1174" s="262">
        <v>425000</v>
      </c>
      <c r="S1174" t="s">
        <v>114</v>
      </c>
      <c r="T1174" t="s">
        <v>114</v>
      </c>
      <c r="U1174">
        <v>5</v>
      </c>
      <c r="W1174">
        <v>2918</v>
      </c>
      <c r="X1174">
        <v>1</v>
      </c>
      <c r="Y1174">
        <v>0</v>
      </c>
      <c r="Z1174">
        <v>0</v>
      </c>
      <c r="AA1174">
        <v>0</v>
      </c>
      <c r="AB1174">
        <v>0</v>
      </c>
      <c r="AC1174">
        <v>2918</v>
      </c>
      <c r="AD1174">
        <v>0</v>
      </c>
      <c r="AE1174">
        <v>0</v>
      </c>
      <c r="AF1174">
        <v>0</v>
      </c>
      <c r="AG1174">
        <v>0</v>
      </c>
      <c r="AH1174">
        <v>0</v>
      </c>
      <c r="AI1174">
        <v>0</v>
      </c>
      <c r="AJ1174">
        <v>0</v>
      </c>
      <c r="AK1174">
        <v>0</v>
      </c>
      <c r="AL1174">
        <v>0</v>
      </c>
      <c r="AM1174">
        <v>0</v>
      </c>
      <c r="AN1174">
        <v>0</v>
      </c>
      <c r="AO1174">
        <v>1</v>
      </c>
      <c r="AP1174">
        <v>0</v>
      </c>
      <c r="AQ1174">
        <v>0</v>
      </c>
      <c r="AR1174">
        <v>0</v>
      </c>
      <c r="AS1174">
        <v>0</v>
      </c>
      <c r="AT1174">
        <v>0</v>
      </c>
      <c r="AU1174">
        <f t="shared" si="34"/>
        <v>1</v>
      </c>
      <c r="AV1174">
        <f t="shared" si="35"/>
        <v>0</v>
      </c>
    </row>
    <row r="1175" spans="1:48" x14ac:dyDescent="0.25">
      <c r="A1175" t="s">
        <v>5306</v>
      </c>
      <c r="C1175" t="s">
        <v>5307</v>
      </c>
      <c r="D1175" t="s">
        <v>5308</v>
      </c>
      <c r="E1175" t="s">
        <v>2310</v>
      </c>
      <c r="F1175">
        <v>10</v>
      </c>
      <c r="G1175">
        <v>10.1</v>
      </c>
      <c r="H1175" t="s">
        <v>2323</v>
      </c>
      <c r="I1175" s="21">
        <v>38201</v>
      </c>
      <c r="J1175">
        <v>2004</v>
      </c>
      <c r="K1175" s="21">
        <v>38233</v>
      </c>
      <c r="L1175">
        <v>2004</v>
      </c>
      <c r="M1175" s="21">
        <v>38674</v>
      </c>
      <c r="N1175">
        <v>2005</v>
      </c>
      <c r="R1175" s="262">
        <v>64000</v>
      </c>
      <c r="S1175" t="s">
        <v>114</v>
      </c>
      <c r="T1175" t="s">
        <v>114</v>
      </c>
      <c r="U1175">
        <v>3</v>
      </c>
      <c r="W1175">
        <v>640</v>
      </c>
      <c r="X1175">
        <v>0</v>
      </c>
      <c r="Y1175">
        <v>0</v>
      </c>
      <c r="Z1175">
        <v>0</v>
      </c>
      <c r="AA1175">
        <v>640</v>
      </c>
      <c r="AB1175">
        <v>0</v>
      </c>
      <c r="AC1175">
        <v>0</v>
      </c>
      <c r="AD1175">
        <v>0</v>
      </c>
      <c r="AE1175">
        <v>0</v>
      </c>
      <c r="AF1175">
        <v>0</v>
      </c>
      <c r="AG1175">
        <v>0</v>
      </c>
      <c r="AH1175">
        <v>0</v>
      </c>
      <c r="AI1175">
        <v>0</v>
      </c>
      <c r="AJ1175">
        <v>0</v>
      </c>
      <c r="AK1175">
        <v>0</v>
      </c>
      <c r="AL1175">
        <v>0</v>
      </c>
      <c r="AM1175">
        <v>0</v>
      </c>
      <c r="AN1175">
        <v>0</v>
      </c>
      <c r="AO1175">
        <v>0</v>
      </c>
      <c r="AP1175">
        <v>0</v>
      </c>
      <c r="AQ1175">
        <v>0</v>
      </c>
      <c r="AR1175">
        <v>0</v>
      </c>
      <c r="AS1175">
        <v>0</v>
      </c>
      <c r="AT1175">
        <v>0</v>
      </c>
      <c r="AU1175">
        <f t="shared" si="34"/>
        <v>0</v>
      </c>
      <c r="AV1175">
        <f t="shared" si="35"/>
        <v>640</v>
      </c>
    </row>
    <row r="1176" spans="1:48" x14ac:dyDescent="0.25">
      <c r="A1176" t="s">
        <v>5309</v>
      </c>
      <c r="C1176" t="s">
        <v>5310</v>
      </c>
      <c r="D1176" t="s">
        <v>5311</v>
      </c>
      <c r="E1176" t="s">
        <v>2310</v>
      </c>
      <c r="F1176">
        <v>14</v>
      </c>
      <c r="G1176">
        <v>14.1</v>
      </c>
      <c r="H1176" t="s">
        <v>2022</v>
      </c>
      <c r="I1176" s="21">
        <v>38201</v>
      </c>
      <c r="J1176">
        <v>2004</v>
      </c>
      <c r="K1176" s="21">
        <v>38219</v>
      </c>
      <c r="L1176">
        <v>2004</v>
      </c>
      <c r="M1176" s="21">
        <v>38219</v>
      </c>
      <c r="N1176">
        <v>2004</v>
      </c>
      <c r="R1176" s="262">
        <v>11000</v>
      </c>
      <c r="S1176" t="s">
        <v>114</v>
      </c>
      <c r="T1176" t="s">
        <v>114</v>
      </c>
      <c r="U1176">
        <v>5</v>
      </c>
      <c r="W1176">
        <v>0</v>
      </c>
      <c r="X1176">
        <v>0</v>
      </c>
      <c r="Y1176">
        <v>0</v>
      </c>
      <c r="Z1176">
        <v>0</v>
      </c>
      <c r="AA1176">
        <v>0</v>
      </c>
      <c r="AB1176">
        <v>0</v>
      </c>
      <c r="AC1176">
        <v>0</v>
      </c>
      <c r="AD1176">
        <v>0</v>
      </c>
      <c r="AE1176">
        <v>0</v>
      </c>
      <c r="AF1176">
        <v>0</v>
      </c>
      <c r="AG1176">
        <v>0</v>
      </c>
      <c r="AH1176">
        <v>0</v>
      </c>
      <c r="AI1176">
        <v>0</v>
      </c>
      <c r="AJ1176">
        <v>0</v>
      </c>
      <c r="AK1176">
        <v>0</v>
      </c>
      <c r="AL1176">
        <v>0</v>
      </c>
      <c r="AM1176">
        <v>0</v>
      </c>
      <c r="AN1176">
        <v>0</v>
      </c>
      <c r="AO1176">
        <v>0</v>
      </c>
      <c r="AP1176">
        <v>0</v>
      </c>
      <c r="AQ1176">
        <v>0</v>
      </c>
      <c r="AR1176">
        <v>0</v>
      </c>
      <c r="AS1176">
        <v>0</v>
      </c>
      <c r="AT1176">
        <v>0</v>
      </c>
      <c r="AU1176">
        <f t="shared" si="34"/>
        <v>0</v>
      </c>
      <c r="AV1176">
        <f t="shared" si="35"/>
        <v>0</v>
      </c>
    </row>
    <row r="1177" spans="1:48" x14ac:dyDescent="0.25">
      <c r="A1177" t="s">
        <v>5312</v>
      </c>
      <c r="C1177" t="s">
        <v>5313</v>
      </c>
      <c r="D1177" t="s">
        <v>5314</v>
      </c>
      <c r="E1177" t="s">
        <v>2310</v>
      </c>
      <c r="F1177">
        <v>9</v>
      </c>
      <c r="G1177">
        <v>9.4</v>
      </c>
      <c r="H1177" t="s">
        <v>2323</v>
      </c>
      <c r="I1177" s="21">
        <v>38201</v>
      </c>
      <c r="J1177">
        <v>2004</v>
      </c>
      <c r="K1177" s="21">
        <v>38245</v>
      </c>
      <c r="L1177">
        <v>2004</v>
      </c>
      <c r="M1177" s="21">
        <v>38700</v>
      </c>
      <c r="N1177">
        <v>2005</v>
      </c>
      <c r="R1177" s="262">
        <v>140000</v>
      </c>
      <c r="S1177" t="s">
        <v>114</v>
      </c>
      <c r="T1177" t="s">
        <v>114</v>
      </c>
      <c r="U1177">
        <v>5</v>
      </c>
      <c r="W1177">
        <v>450</v>
      </c>
      <c r="X1177">
        <v>0</v>
      </c>
      <c r="Y1177">
        <v>0</v>
      </c>
      <c r="Z1177">
        <v>0</v>
      </c>
      <c r="AA1177">
        <v>0</v>
      </c>
      <c r="AB1177">
        <v>0</v>
      </c>
      <c r="AC1177">
        <v>450</v>
      </c>
      <c r="AD1177">
        <v>0</v>
      </c>
      <c r="AE1177">
        <v>0</v>
      </c>
      <c r="AF1177">
        <v>0</v>
      </c>
      <c r="AG1177">
        <v>0</v>
      </c>
      <c r="AH1177">
        <v>0</v>
      </c>
      <c r="AI1177">
        <v>0</v>
      </c>
      <c r="AJ1177">
        <v>0</v>
      </c>
      <c r="AK1177">
        <v>0</v>
      </c>
      <c r="AL1177">
        <v>0</v>
      </c>
      <c r="AM1177">
        <v>0</v>
      </c>
      <c r="AN1177">
        <v>0</v>
      </c>
      <c r="AO1177">
        <v>0</v>
      </c>
      <c r="AP1177">
        <v>0</v>
      </c>
      <c r="AQ1177">
        <v>0</v>
      </c>
      <c r="AR1177">
        <v>0</v>
      </c>
      <c r="AS1177">
        <v>0</v>
      </c>
      <c r="AT1177">
        <v>0</v>
      </c>
      <c r="AU1177">
        <f t="shared" ref="AU1177:AU1240" si="36">SUM(AN1177:AQ1177,AS1177)</f>
        <v>0</v>
      </c>
      <c r="AV1177">
        <f t="shared" ref="AV1177:AV1240" si="37">SUM(Y1177:AB1177,AH1177:AM1177)</f>
        <v>0</v>
      </c>
    </row>
    <row r="1178" spans="1:48" x14ac:dyDescent="0.25">
      <c r="A1178" t="s">
        <v>5315</v>
      </c>
      <c r="C1178" t="s">
        <v>5316</v>
      </c>
      <c r="D1178" t="s">
        <v>5317</v>
      </c>
      <c r="E1178" t="s">
        <v>2310</v>
      </c>
      <c r="F1178">
        <v>8</v>
      </c>
      <c r="G1178">
        <v>8.1</v>
      </c>
      <c r="H1178" t="s">
        <v>2323</v>
      </c>
      <c r="I1178" s="21">
        <v>38202</v>
      </c>
      <c r="J1178">
        <v>2004</v>
      </c>
      <c r="K1178" s="21">
        <v>38217</v>
      </c>
      <c r="L1178">
        <v>2004</v>
      </c>
      <c r="M1178" s="21">
        <v>38912</v>
      </c>
      <c r="N1178">
        <v>2006</v>
      </c>
      <c r="R1178" s="262">
        <v>417350</v>
      </c>
      <c r="S1178" t="s">
        <v>114</v>
      </c>
      <c r="T1178" t="s">
        <v>114</v>
      </c>
      <c r="U1178">
        <v>5</v>
      </c>
      <c r="W1178">
        <v>2206</v>
      </c>
      <c r="X1178">
        <v>0</v>
      </c>
      <c r="Y1178">
        <v>0</v>
      </c>
      <c r="Z1178">
        <v>0</v>
      </c>
      <c r="AA1178">
        <v>0</v>
      </c>
      <c r="AB1178">
        <v>0</v>
      </c>
      <c r="AC1178">
        <v>2206</v>
      </c>
      <c r="AD1178">
        <v>0</v>
      </c>
      <c r="AE1178">
        <v>0</v>
      </c>
      <c r="AF1178">
        <v>0</v>
      </c>
      <c r="AG1178">
        <v>0</v>
      </c>
      <c r="AH1178">
        <v>0</v>
      </c>
      <c r="AI1178">
        <v>0</v>
      </c>
      <c r="AJ1178">
        <v>0</v>
      </c>
      <c r="AK1178">
        <v>0</v>
      </c>
      <c r="AL1178">
        <v>0</v>
      </c>
      <c r="AM1178">
        <v>0</v>
      </c>
      <c r="AN1178">
        <v>0</v>
      </c>
      <c r="AO1178">
        <v>0</v>
      </c>
      <c r="AP1178">
        <v>0</v>
      </c>
      <c r="AQ1178">
        <v>0</v>
      </c>
      <c r="AR1178">
        <v>0</v>
      </c>
      <c r="AS1178">
        <v>0</v>
      </c>
      <c r="AT1178">
        <v>0</v>
      </c>
      <c r="AU1178">
        <f t="shared" si="36"/>
        <v>0</v>
      </c>
      <c r="AV1178">
        <f t="shared" si="37"/>
        <v>0</v>
      </c>
    </row>
    <row r="1179" spans="1:48" x14ac:dyDescent="0.25">
      <c r="A1179" t="s">
        <v>5318</v>
      </c>
      <c r="C1179" t="s">
        <v>5319</v>
      </c>
      <c r="D1179" t="s">
        <v>5320</v>
      </c>
      <c r="E1179" t="s">
        <v>2310</v>
      </c>
      <c r="F1179">
        <v>9</v>
      </c>
      <c r="G1179">
        <v>9.3000000000000007</v>
      </c>
      <c r="H1179" t="s">
        <v>2323</v>
      </c>
      <c r="I1179" s="21">
        <v>38203</v>
      </c>
      <c r="J1179">
        <v>2004</v>
      </c>
      <c r="K1179" s="21">
        <v>38289</v>
      </c>
      <c r="L1179">
        <v>2004</v>
      </c>
      <c r="M1179" s="21">
        <v>39652</v>
      </c>
      <c r="N1179">
        <v>2008</v>
      </c>
      <c r="R1179" s="262">
        <v>2200000</v>
      </c>
      <c r="S1179" t="s">
        <v>114</v>
      </c>
      <c r="T1179" t="s">
        <v>114</v>
      </c>
      <c r="U1179">
        <v>5</v>
      </c>
      <c r="W1179">
        <v>6881</v>
      </c>
      <c r="X1179">
        <v>1</v>
      </c>
      <c r="Y1179">
        <v>0</v>
      </c>
      <c r="Z1179">
        <v>0</v>
      </c>
      <c r="AA1179">
        <v>0</v>
      </c>
      <c r="AB1179">
        <v>0</v>
      </c>
      <c r="AC1179">
        <v>6881</v>
      </c>
      <c r="AD1179">
        <v>0</v>
      </c>
      <c r="AE1179">
        <v>0</v>
      </c>
      <c r="AF1179">
        <v>0</v>
      </c>
      <c r="AG1179">
        <v>0</v>
      </c>
      <c r="AH1179">
        <v>0</v>
      </c>
      <c r="AI1179">
        <v>0</v>
      </c>
      <c r="AJ1179">
        <v>0</v>
      </c>
      <c r="AK1179">
        <v>0</v>
      </c>
      <c r="AL1179">
        <v>0</v>
      </c>
      <c r="AM1179">
        <v>0</v>
      </c>
      <c r="AN1179">
        <v>0</v>
      </c>
      <c r="AO1179">
        <v>1</v>
      </c>
      <c r="AP1179">
        <v>0</v>
      </c>
      <c r="AQ1179">
        <v>0</v>
      </c>
      <c r="AR1179">
        <v>0</v>
      </c>
      <c r="AS1179">
        <v>0</v>
      </c>
      <c r="AT1179">
        <v>0</v>
      </c>
      <c r="AU1179">
        <f t="shared" si="36"/>
        <v>1</v>
      </c>
      <c r="AV1179">
        <f t="shared" si="37"/>
        <v>0</v>
      </c>
    </row>
    <row r="1180" spans="1:48" x14ac:dyDescent="0.25">
      <c r="A1180" t="s">
        <v>5321</v>
      </c>
      <c r="C1180" t="s">
        <v>5322</v>
      </c>
      <c r="D1180" t="s">
        <v>5323</v>
      </c>
      <c r="E1180" t="s">
        <v>2310</v>
      </c>
      <c r="F1180">
        <v>10</v>
      </c>
      <c r="G1180">
        <v>10.1</v>
      </c>
      <c r="H1180" t="s">
        <v>2323</v>
      </c>
      <c r="I1180" s="21">
        <v>38203</v>
      </c>
      <c r="J1180">
        <v>2004</v>
      </c>
      <c r="K1180" s="21">
        <v>38219</v>
      </c>
      <c r="L1180">
        <v>2004</v>
      </c>
      <c r="M1180" s="21">
        <v>38406</v>
      </c>
      <c r="N1180">
        <v>2005</v>
      </c>
      <c r="R1180" s="262">
        <v>225000</v>
      </c>
      <c r="S1180" t="s">
        <v>114</v>
      </c>
      <c r="T1180" t="s">
        <v>114</v>
      </c>
      <c r="U1180">
        <v>5</v>
      </c>
      <c r="W1180">
        <v>2608</v>
      </c>
      <c r="X1180">
        <v>1</v>
      </c>
      <c r="Y1180">
        <v>0</v>
      </c>
      <c r="Z1180">
        <v>0</v>
      </c>
      <c r="AA1180">
        <v>0</v>
      </c>
      <c r="AB1180">
        <v>0</v>
      </c>
      <c r="AC1180">
        <v>2608</v>
      </c>
      <c r="AD1180">
        <v>0</v>
      </c>
      <c r="AE1180">
        <v>0</v>
      </c>
      <c r="AF1180">
        <v>0</v>
      </c>
      <c r="AG1180">
        <v>0</v>
      </c>
      <c r="AH1180">
        <v>0</v>
      </c>
      <c r="AI1180">
        <v>0</v>
      </c>
      <c r="AJ1180">
        <v>0</v>
      </c>
      <c r="AK1180">
        <v>0</v>
      </c>
      <c r="AL1180">
        <v>0</v>
      </c>
      <c r="AM1180">
        <v>0</v>
      </c>
      <c r="AN1180">
        <v>0</v>
      </c>
      <c r="AO1180">
        <v>1</v>
      </c>
      <c r="AP1180">
        <v>0</v>
      </c>
      <c r="AQ1180">
        <v>0</v>
      </c>
      <c r="AR1180">
        <v>0</v>
      </c>
      <c r="AS1180">
        <v>0</v>
      </c>
      <c r="AT1180">
        <v>0</v>
      </c>
      <c r="AU1180">
        <f t="shared" si="36"/>
        <v>1</v>
      </c>
      <c r="AV1180">
        <f t="shared" si="37"/>
        <v>0</v>
      </c>
    </row>
    <row r="1181" spans="1:48" x14ac:dyDescent="0.25">
      <c r="A1181" t="s">
        <v>5324</v>
      </c>
      <c r="C1181" t="s">
        <v>5325</v>
      </c>
      <c r="D1181" t="s">
        <v>5326</v>
      </c>
      <c r="E1181" t="s">
        <v>2310</v>
      </c>
      <c r="F1181">
        <v>9</v>
      </c>
      <c r="G1181">
        <v>9.4</v>
      </c>
      <c r="H1181" t="s">
        <v>2323</v>
      </c>
      <c r="I1181" s="21">
        <v>38203</v>
      </c>
      <c r="J1181">
        <v>2004</v>
      </c>
      <c r="K1181" s="21">
        <v>38226</v>
      </c>
      <c r="L1181">
        <v>2004</v>
      </c>
      <c r="M1181" s="21">
        <v>38582</v>
      </c>
      <c r="N1181">
        <v>2005</v>
      </c>
      <c r="R1181" s="262">
        <v>100000</v>
      </c>
      <c r="S1181" t="s">
        <v>114</v>
      </c>
      <c r="T1181" t="s">
        <v>114</v>
      </c>
      <c r="U1181">
        <v>5</v>
      </c>
      <c r="W1181">
        <v>0</v>
      </c>
      <c r="X1181">
        <v>0</v>
      </c>
      <c r="Y1181">
        <v>0</v>
      </c>
      <c r="Z1181">
        <v>0</v>
      </c>
      <c r="AA1181">
        <v>0</v>
      </c>
      <c r="AB1181">
        <v>0</v>
      </c>
      <c r="AC1181">
        <v>0</v>
      </c>
      <c r="AD1181">
        <v>0</v>
      </c>
      <c r="AE1181">
        <v>0</v>
      </c>
      <c r="AF1181">
        <v>0</v>
      </c>
      <c r="AG1181">
        <v>0</v>
      </c>
      <c r="AH1181">
        <v>0</v>
      </c>
      <c r="AI1181">
        <v>0</v>
      </c>
      <c r="AJ1181">
        <v>0</v>
      </c>
      <c r="AK1181">
        <v>0</v>
      </c>
      <c r="AL1181">
        <v>0</v>
      </c>
      <c r="AM1181">
        <v>0</v>
      </c>
      <c r="AN1181">
        <v>0</v>
      </c>
      <c r="AO1181">
        <v>0</v>
      </c>
      <c r="AP1181">
        <v>0</v>
      </c>
      <c r="AQ1181">
        <v>0</v>
      </c>
      <c r="AR1181">
        <v>0</v>
      </c>
      <c r="AS1181">
        <v>0</v>
      </c>
      <c r="AT1181">
        <v>0</v>
      </c>
      <c r="AU1181">
        <f t="shared" si="36"/>
        <v>0</v>
      </c>
      <c r="AV1181">
        <f t="shared" si="37"/>
        <v>0</v>
      </c>
    </row>
    <row r="1182" spans="1:48" x14ac:dyDescent="0.25">
      <c r="A1182" t="s">
        <v>5327</v>
      </c>
      <c r="C1182" t="s">
        <v>5328</v>
      </c>
      <c r="D1182" t="s">
        <v>5329</v>
      </c>
      <c r="E1182" t="s">
        <v>2310</v>
      </c>
      <c r="F1182">
        <v>9</v>
      </c>
      <c r="G1182">
        <v>9.1</v>
      </c>
      <c r="H1182" t="s">
        <v>2323</v>
      </c>
      <c r="I1182" s="21">
        <v>38203</v>
      </c>
      <c r="J1182">
        <v>2004</v>
      </c>
      <c r="K1182" s="21">
        <v>38224</v>
      </c>
      <c r="L1182">
        <v>2004</v>
      </c>
      <c r="M1182" s="21">
        <v>38489</v>
      </c>
      <c r="N1182">
        <v>2005</v>
      </c>
      <c r="R1182" s="262">
        <v>477000</v>
      </c>
      <c r="S1182" t="s">
        <v>114</v>
      </c>
      <c r="T1182" t="s">
        <v>114</v>
      </c>
      <c r="U1182">
        <v>5</v>
      </c>
      <c r="W1182">
        <v>3080</v>
      </c>
      <c r="X1182">
        <v>1</v>
      </c>
      <c r="Y1182">
        <v>0</v>
      </c>
      <c r="Z1182">
        <v>0</v>
      </c>
      <c r="AA1182">
        <v>0</v>
      </c>
      <c r="AB1182">
        <v>0</v>
      </c>
      <c r="AC1182">
        <v>3080</v>
      </c>
      <c r="AD1182">
        <v>0</v>
      </c>
      <c r="AE1182">
        <v>0</v>
      </c>
      <c r="AF1182">
        <v>0</v>
      </c>
      <c r="AG1182">
        <v>0</v>
      </c>
      <c r="AH1182">
        <v>0</v>
      </c>
      <c r="AI1182">
        <v>0</v>
      </c>
      <c r="AJ1182">
        <v>0</v>
      </c>
      <c r="AK1182">
        <v>0</v>
      </c>
      <c r="AL1182">
        <v>0</v>
      </c>
      <c r="AM1182">
        <v>0</v>
      </c>
      <c r="AN1182">
        <v>0</v>
      </c>
      <c r="AO1182">
        <v>1</v>
      </c>
      <c r="AP1182">
        <v>0</v>
      </c>
      <c r="AQ1182">
        <v>0</v>
      </c>
      <c r="AR1182">
        <v>0</v>
      </c>
      <c r="AS1182">
        <v>0</v>
      </c>
      <c r="AT1182">
        <v>0</v>
      </c>
      <c r="AU1182">
        <f t="shared" si="36"/>
        <v>1</v>
      </c>
      <c r="AV1182">
        <f t="shared" si="37"/>
        <v>0</v>
      </c>
    </row>
    <row r="1183" spans="1:48" x14ac:dyDescent="0.25">
      <c r="A1183" t="s">
        <v>5330</v>
      </c>
      <c r="C1183" t="s">
        <v>5331</v>
      </c>
      <c r="D1183" t="s">
        <v>5332</v>
      </c>
      <c r="E1183" t="s">
        <v>1663</v>
      </c>
      <c r="F1183">
        <v>6</v>
      </c>
      <c r="G1183">
        <v>6.2</v>
      </c>
      <c r="H1183" t="s">
        <v>2017</v>
      </c>
      <c r="I1183" s="21">
        <v>38204</v>
      </c>
      <c r="J1183">
        <v>2004</v>
      </c>
      <c r="K1183" s="21">
        <v>38235</v>
      </c>
      <c r="L1183">
        <v>2004</v>
      </c>
      <c r="M1183" s="21">
        <v>38388</v>
      </c>
      <c r="N1183">
        <v>2005</v>
      </c>
      <c r="Q1183" s="262">
        <v>0</v>
      </c>
      <c r="S1183" t="s">
        <v>114</v>
      </c>
      <c r="T1183" t="s">
        <v>114</v>
      </c>
      <c r="W1183">
        <v>900</v>
      </c>
      <c r="X1183">
        <v>0</v>
      </c>
      <c r="Y1183">
        <v>0</v>
      </c>
      <c r="Z1183">
        <v>0</v>
      </c>
      <c r="AA1183">
        <v>0</v>
      </c>
      <c r="AB1183">
        <v>0</v>
      </c>
      <c r="AC1183">
        <v>900</v>
      </c>
      <c r="AD1183">
        <v>0</v>
      </c>
      <c r="AE1183">
        <v>0</v>
      </c>
      <c r="AF1183">
        <v>0</v>
      </c>
      <c r="AG1183">
        <v>0</v>
      </c>
      <c r="AH1183">
        <v>0</v>
      </c>
      <c r="AI1183">
        <v>0</v>
      </c>
      <c r="AJ1183">
        <v>0</v>
      </c>
      <c r="AK1183">
        <v>0</v>
      </c>
      <c r="AL1183">
        <v>0</v>
      </c>
      <c r="AM1183">
        <v>0</v>
      </c>
      <c r="AN1183">
        <v>0</v>
      </c>
      <c r="AO1183">
        <v>0</v>
      </c>
      <c r="AP1183">
        <v>0</v>
      </c>
      <c r="AQ1183">
        <v>0</v>
      </c>
      <c r="AR1183">
        <v>0</v>
      </c>
      <c r="AS1183">
        <v>0</v>
      </c>
      <c r="AT1183">
        <v>0</v>
      </c>
      <c r="AU1183">
        <f t="shared" si="36"/>
        <v>0</v>
      </c>
      <c r="AV1183">
        <f t="shared" si="37"/>
        <v>0</v>
      </c>
    </row>
    <row r="1184" spans="1:48" x14ac:dyDescent="0.25">
      <c r="A1184" t="s">
        <v>5333</v>
      </c>
      <c r="C1184" t="s">
        <v>5334</v>
      </c>
      <c r="D1184" t="s">
        <v>5335</v>
      </c>
      <c r="E1184" t="s">
        <v>2310</v>
      </c>
      <c r="F1184">
        <v>9</v>
      </c>
      <c r="G1184">
        <v>9.1</v>
      </c>
      <c r="H1184" t="s">
        <v>2323</v>
      </c>
      <c r="I1184" s="21">
        <v>38205</v>
      </c>
      <c r="J1184">
        <v>2004</v>
      </c>
      <c r="K1184" s="21">
        <v>38586</v>
      </c>
      <c r="L1184">
        <v>2005</v>
      </c>
      <c r="M1184" s="21">
        <v>39878</v>
      </c>
      <c r="N1184">
        <v>2009</v>
      </c>
      <c r="R1184" s="262">
        <v>142000</v>
      </c>
      <c r="S1184" t="s">
        <v>114</v>
      </c>
      <c r="T1184" t="s">
        <v>114</v>
      </c>
      <c r="U1184">
        <v>5</v>
      </c>
      <c r="W1184">
        <v>2584</v>
      </c>
      <c r="X1184">
        <v>0</v>
      </c>
      <c r="Y1184">
        <v>0</v>
      </c>
      <c r="Z1184">
        <v>0</v>
      </c>
      <c r="AA1184">
        <v>0</v>
      </c>
      <c r="AB1184">
        <v>0</v>
      </c>
      <c r="AC1184">
        <v>2584</v>
      </c>
      <c r="AD1184">
        <v>0</v>
      </c>
      <c r="AE1184">
        <v>0</v>
      </c>
      <c r="AF1184">
        <v>0</v>
      </c>
      <c r="AG1184">
        <v>0</v>
      </c>
      <c r="AH1184">
        <v>0</v>
      </c>
      <c r="AI1184">
        <v>0</v>
      </c>
      <c r="AJ1184">
        <v>0</v>
      </c>
      <c r="AK1184">
        <v>0</v>
      </c>
      <c r="AL1184">
        <v>0</v>
      </c>
      <c r="AM1184">
        <v>0</v>
      </c>
      <c r="AN1184">
        <v>0</v>
      </c>
      <c r="AO1184">
        <v>0</v>
      </c>
      <c r="AP1184">
        <v>0</v>
      </c>
      <c r="AQ1184">
        <v>0</v>
      </c>
      <c r="AR1184">
        <v>0</v>
      </c>
      <c r="AS1184">
        <v>0</v>
      </c>
      <c r="AT1184">
        <v>0</v>
      </c>
      <c r="AU1184">
        <f t="shared" si="36"/>
        <v>0</v>
      </c>
      <c r="AV1184">
        <f t="shared" si="37"/>
        <v>0</v>
      </c>
    </row>
    <row r="1185" spans="1:48" x14ac:dyDescent="0.25">
      <c r="A1185" t="s">
        <v>5336</v>
      </c>
      <c r="C1185" t="s">
        <v>5337</v>
      </c>
      <c r="D1185" t="s">
        <v>5335</v>
      </c>
      <c r="E1185" t="s">
        <v>2310</v>
      </c>
      <c r="F1185">
        <v>9</v>
      </c>
      <c r="G1185">
        <v>9.1</v>
      </c>
      <c r="H1185" t="s">
        <v>2323</v>
      </c>
      <c r="I1185" s="21">
        <v>38205</v>
      </c>
      <c r="J1185">
        <v>2004</v>
      </c>
      <c r="K1185" s="21">
        <v>38544</v>
      </c>
      <c r="L1185">
        <v>2005</v>
      </c>
      <c r="M1185" s="21">
        <v>40192.445706018501</v>
      </c>
      <c r="N1185">
        <v>2010</v>
      </c>
      <c r="R1185" s="262">
        <v>193000</v>
      </c>
      <c r="S1185" t="s">
        <v>114</v>
      </c>
      <c r="T1185" t="s">
        <v>114</v>
      </c>
      <c r="U1185">
        <v>8</v>
      </c>
      <c r="W1185">
        <v>5200</v>
      </c>
      <c r="X1185">
        <v>1</v>
      </c>
      <c r="Y1185">
        <v>0</v>
      </c>
      <c r="Z1185">
        <v>0</v>
      </c>
      <c r="AA1185">
        <v>0</v>
      </c>
      <c r="AB1185">
        <v>0</v>
      </c>
      <c r="AC1185">
        <v>4230</v>
      </c>
      <c r="AD1185">
        <v>0</v>
      </c>
      <c r="AE1185">
        <v>0</v>
      </c>
      <c r="AF1185">
        <v>970</v>
      </c>
      <c r="AG1185">
        <v>0</v>
      </c>
      <c r="AH1185">
        <v>0</v>
      </c>
      <c r="AI1185">
        <v>0</v>
      </c>
      <c r="AJ1185">
        <v>0</v>
      </c>
      <c r="AK1185">
        <v>0</v>
      </c>
      <c r="AL1185">
        <v>0</v>
      </c>
      <c r="AM1185">
        <v>0</v>
      </c>
      <c r="AN1185">
        <v>0</v>
      </c>
      <c r="AO1185">
        <v>0</v>
      </c>
      <c r="AP1185">
        <v>0</v>
      </c>
      <c r="AQ1185">
        <v>0</v>
      </c>
      <c r="AR1185">
        <v>1</v>
      </c>
      <c r="AS1185">
        <v>0</v>
      </c>
      <c r="AT1185">
        <v>0</v>
      </c>
      <c r="AU1185">
        <f t="shared" si="36"/>
        <v>0</v>
      </c>
      <c r="AV1185">
        <f t="shared" si="37"/>
        <v>0</v>
      </c>
    </row>
    <row r="1186" spans="1:48" x14ac:dyDescent="0.25">
      <c r="A1186" t="s">
        <v>5338</v>
      </c>
      <c r="C1186" t="s">
        <v>2538</v>
      </c>
      <c r="D1186" t="s">
        <v>5339</v>
      </c>
      <c r="E1186" t="s">
        <v>2310</v>
      </c>
      <c r="F1186">
        <v>8</v>
      </c>
      <c r="G1186">
        <v>8.3000000000000007</v>
      </c>
      <c r="H1186" t="s">
        <v>2323</v>
      </c>
      <c r="I1186" s="21">
        <v>38205</v>
      </c>
      <c r="J1186">
        <v>2004</v>
      </c>
      <c r="R1186" s="262">
        <v>7000</v>
      </c>
      <c r="S1186" t="s">
        <v>114</v>
      </c>
      <c r="T1186" t="s">
        <v>114</v>
      </c>
      <c r="U1186">
        <v>5</v>
      </c>
      <c r="W1186">
        <v>0</v>
      </c>
      <c r="X1186">
        <v>0</v>
      </c>
      <c r="Y1186">
        <v>0</v>
      </c>
      <c r="Z1186">
        <v>0</v>
      </c>
      <c r="AA1186">
        <v>0</v>
      </c>
      <c r="AB1186">
        <v>0</v>
      </c>
      <c r="AC1186">
        <v>0</v>
      </c>
      <c r="AD1186">
        <v>0</v>
      </c>
      <c r="AE1186">
        <v>0</v>
      </c>
      <c r="AF1186">
        <v>0</v>
      </c>
      <c r="AG1186">
        <v>0</v>
      </c>
      <c r="AH1186">
        <v>0</v>
      </c>
      <c r="AI1186">
        <v>0</v>
      </c>
      <c r="AJ1186">
        <v>0</v>
      </c>
      <c r="AK1186">
        <v>0</v>
      </c>
      <c r="AL1186">
        <v>0</v>
      </c>
      <c r="AM1186">
        <v>0</v>
      </c>
      <c r="AN1186">
        <v>0</v>
      </c>
      <c r="AO1186">
        <v>0</v>
      </c>
      <c r="AP1186">
        <v>0</v>
      </c>
      <c r="AQ1186">
        <v>0</v>
      </c>
      <c r="AR1186">
        <v>0</v>
      </c>
      <c r="AS1186">
        <v>0</v>
      </c>
      <c r="AT1186">
        <v>0</v>
      </c>
      <c r="AU1186">
        <f t="shared" si="36"/>
        <v>0</v>
      </c>
      <c r="AV1186">
        <f t="shared" si="37"/>
        <v>0</v>
      </c>
    </row>
    <row r="1187" spans="1:48" x14ac:dyDescent="0.25">
      <c r="A1187" t="s">
        <v>5340</v>
      </c>
      <c r="C1187" t="s">
        <v>5039</v>
      </c>
      <c r="D1187" t="s">
        <v>5341</v>
      </c>
      <c r="E1187" t="s">
        <v>2310</v>
      </c>
      <c r="F1187">
        <v>8</v>
      </c>
      <c r="G1187">
        <v>8.1999999999999993</v>
      </c>
      <c r="H1187" t="s">
        <v>2022</v>
      </c>
      <c r="I1187" s="21">
        <v>38209</v>
      </c>
      <c r="J1187">
        <v>2004</v>
      </c>
      <c r="K1187" s="21">
        <v>38239</v>
      </c>
      <c r="L1187">
        <v>2004</v>
      </c>
      <c r="M1187" s="21">
        <v>38943</v>
      </c>
      <c r="N1187">
        <v>2006</v>
      </c>
      <c r="R1187" s="262">
        <v>1750000</v>
      </c>
      <c r="S1187" t="s">
        <v>114</v>
      </c>
      <c r="T1187" t="s">
        <v>114</v>
      </c>
      <c r="U1187">
        <v>5</v>
      </c>
      <c r="W1187">
        <v>5576</v>
      </c>
      <c r="X1187">
        <v>1</v>
      </c>
      <c r="Y1187">
        <v>0</v>
      </c>
      <c r="Z1187">
        <v>0</v>
      </c>
      <c r="AA1187">
        <v>0</v>
      </c>
      <c r="AB1187">
        <v>0</v>
      </c>
      <c r="AC1187">
        <v>5576</v>
      </c>
      <c r="AD1187">
        <v>0</v>
      </c>
      <c r="AE1187">
        <v>0</v>
      </c>
      <c r="AF1187">
        <v>0</v>
      </c>
      <c r="AG1187">
        <v>0</v>
      </c>
      <c r="AH1187">
        <v>0</v>
      </c>
      <c r="AI1187">
        <v>0</v>
      </c>
      <c r="AJ1187">
        <v>0</v>
      </c>
      <c r="AK1187">
        <v>0</v>
      </c>
      <c r="AL1187">
        <v>0</v>
      </c>
      <c r="AM1187">
        <v>0</v>
      </c>
      <c r="AN1187">
        <v>0</v>
      </c>
      <c r="AO1187">
        <v>1</v>
      </c>
      <c r="AP1187">
        <v>0</v>
      </c>
      <c r="AQ1187">
        <v>0</v>
      </c>
      <c r="AR1187">
        <v>0</v>
      </c>
      <c r="AS1187">
        <v>0</v>
      </c>
      <c r="AT1187">
        <v>0</v>
      </c>
      <c r="AU1187">
        <f t="shared" si="36"/>
        <v>1</v>
      </c>
      <c r="AV1187">
        <f t="shared" si="37"/>
        <v>0</v>
      </c>
    </row>
    <row r="1188" spans="1:48" x14ac:dyDescent="0.25">
      <c r="A1188" t="s">
        <v>5342</v>
      </c>
      <c r="C1188" t="s">
        <v>4825</v>
      </c>
      <c r="D1188" t="s">
        <v>5343</v>
      </c>
      <c r="E1188" t="s">
        <v>2310</v>
      </c>
      <c r="F1188">
        <v>9</v>
      </c>
      <c r="G1188">
        <v>9.4</v>
      </c>
      <c r="H1188" t="s">
        <v>2323</v>
      </c>
      <c r="I1188" s="21">
        <v>38209</v>
      </c>
      <c r="J1188">
        <v>2004</v>
      </c>
      <c r="K1188" s="21">
        <v>38222</v>
      </c>
      <c r="L1188">
        <v>2004</v>
      </c>
      <c r="M1188" s="21">
        <v>38583</v>
      </c>
      <c r="N1188">
        <v>2005</v>
      </c>
      <c r="R1188" s="262">
        <v>350000</v>
      </c>
      <c r="S1188" t="s">
        <v>114</v>
      </c>
      <c r="T1188" t="s">
        <v>114</v>
      </c>
      <c r="U1188">
        <v>5</v>
      </c>
      <c r="W1188">
        <v>0</v>
      </c>
      <c r="X1188">
        <v>0</v>
      </c>
      <c r="Y1188">
        <v>0</v>
      </c>
      <c r="Z1188">
        <v>0</v>
      </c>
      <c r="AA1188">
        <v>0</v>
      </c>
      <c r="AB1188">
        <v>0</v>
      </c>
      <c r="AC1188">
        <v>0</v>
      </c>
      <c r="AD1188">
        <v>0</v>
      </c>
      <c r="AE1188">
        <v>0</v>
      </c>
      <c r="AF1188">
        <v>0</v>
      </c>
      <c r="AG1188">
        <v>0</v>
      </c>
      <c r="AH1188">
        <v>0</v>
      </c>
      <c r="AI1188">
        <v>0</v>
      </c>
      <c r="AJ1188">
        <v>0</v>
      </c>
      <c r="AK1188">
        <v>0</v>
      </c>
      <c r="AL1188">
        <v>0</v>
      </c>
      <c r="AM1188">
        <v>0</v>
      </c>
      <c r="AN1188">
        <v>0</v>
      </c>
      <c r="AO1188">
        <v>0</v>
      </c>
      <c r="AP1188">
        <v>0</v>
      </c>
      <c r="AQ1188">
        <v>0</v>
      </c>
      <c r="AR1188">
        <v>0</v>
      </c>
      <c r="AS1188">
        <v>0</v>
      </c>
      <c r="AT1188">
        <v>0</v>
      </c>
      <c r="AU1188">
        <f t="shared" si="36"/>
        <v>0</v>
      </c>
      <c r="AV1188">
        <f t="shared" si="37"/>
        <v>0</v>
      </c>
    </row>
    <row r="1189" spans="1:48" x14ac:dyDescent="0.25">
      <c r="A1189" t="s">
        <v>5344</v>
      </c>
      <c r="C1189" t="s">
        <v>5345</v>
      </c>
      <c r="D1189" t="s">
        <v>5346</v>
      </c>
      <c r="E1189" t="s">
        <v>2310</v>
      </c>
      <c r="F1189">
        <v>9</v>
      </c>
      <c r="G1189">
        <v>9.1</v>
      </c>
      <c r="H1189" t="s">
        <v>2323</v>
      </c>
      <c r="I1189" s="21">
        <v>38209</v>
      </c>
      <c r="J1189">
        <v>2004</v>
      </c>
      <c r="K1189" s="21">
        <v>38258</v>
      </c>
      <c r="L1189">
        <v>2004</v>
      </c>
      <c r="M1189" s="21">
        <v>38912</v>
      </c>
      <c r="N1189">
        <v>2006</v>
      </c>
      <c r="R1189" s="262">
        <v>4250000</v>
      </c>
      <c r="S1189" t="s">
        <v>114</v>
      </c>
      <c r="T1189" t="s">
        <v>114</v>
      </c>
      <c r="U1189">
        <v>5</v>
      </c>
      <c r="W1189">
        <v>13208</v>
      </c>
      <c r="X1189">
        <v>1</v>
      </c>
      <c r="Y1189">
        <v>0</v>
      </c>
      <c r="Z1189">
        <v>0</v>
      </c>
      <c r="AA1189">
        <v>0</v>
      </c>
      <c r="AB1189">
        <v>0</v>
      </c>
      <c r="AC1189">
        <v>13208</v>
      </c>
      <c r="AD1189">
        <v>0</v>
      </c>
      <c r="AE1189">
        <v>0</v>
      </c>
      <c r="AF1189">
        <v>0</v>
      </c>
      <c r="AG1189">
        <v>0</v>
      </c>
      <c r="AH1189">
        <v>0</v>
      </c>
      <c r="AI1189">
        <v>0</v>
      </c>
      <c r="AJ1189">
        <v>0</v>
      </c>
      <c r="AK1189">
        <v>0</v>
      </c>
      <c r="AL1189">
        <v>0</v>
      </c>
      <c r="AM1189">
        <v>0</v>
      </c>
      <c r="AN1189">
        <v>0</v>
      </c>
      <c r="AO1189">
        <v>1</v>
      </c>
      <c r="AP1189">
        <v>0</v>
      </c>
      <c r="AQ1189">
        <v>0</v>
      </c>
      <c r="AR1189">
        <v>0</v>
      </c>
      <c r="AS1189">
        <v>0</v>
      </c>
      <c r="AT1189">
        <v>0</v>
      </c>
      <c r="AU1189">
        <f t="shared" si="36"/>
        <v>1</v>
      </c>
      <c r="AV1189">
        <f t="shared" si="37"/>
        <v>0</v>
      </c>
    </row>
    <row r="1190" spans="1:48" x14ac:dyDescent="0.25">
      <c r="A1190" t="s">
        <v>5347</v>
      </c>
      <c r="C1190" t="s">
        <v>5348</v>
      </c>
      <c r="D1190" t="s">
        <v>5349</v>
      </c>
      <c r="E1190" t="s">
        <v>2310</v>
      </c>
      <c r="F1190">
        <v>11</v>
      </c>
      <c r="G1190">
        <v>11.2</v>
      </c>
      <c r="H1190" t="s">
        <v>2017</v>
      </c>
      <c r="I1190" s="21">
        <v>38211</v>
      </c>
      <c r="J1190">
        <v>2004</v>
      </c>
      <c r="K1190" s="21">
        <v>38259</v>
      </c>
      <c r="L1190">
        <v>2004</v>
      </c>
      <c r="M1190" s="21">
        <v>38918</v>
      </c>
      <c r="N1190">
        <v>2006</v>
      </c>
      <c r="R1190" s="262">
        <v>60000</v>
      </c>
      <c r="S1190" t="s">
        <v>114</v>
      </c>
      <c r="T1190" t="s">
        <v>114</v>
      </c>
      <c r="U1190">
        <v>5</v>
      </c>
      <c r="W1190">
        <v>0</v>
      </c>
      <c r="X1190">
        <v>0</v>
      </c>
      <c r="Y1190">
        <v>0</v>
      </c>
      <c r="Z1190">
        <v>0</v>
      </c>
      <c r="AA1190">
        <v>0</v>
      </c>
      <c r="AB1190">
        <v>0</v>
      </c>
      <c r="AC1190">
        <v>0</v>
      </c>
      <c r="AD1190">
        <v>0</v>
      </c>
      <c r="AE1190">
        <v>0</v>
      </c>
      <c r="AF1190">
        <v>0</v>
      </c>
      <c r="AG1190">
        <v>0</v>
      </c>
      <c r="AH1190">
        <v>0</v>
      </c>
      <c r="AI1190">
        <v>0</v>
      </c>
      <c r="AJ1190">
        <v>0</v>
      </c>
      <c r="AK1190">
        <v>0</v>
      </c>
      <c r="AL1190">
        <v>0</v>
      </c>
      <c r="AM1190">
        <v>0</v>
      </c>
      <c r="AN1190">
        <v>0</v>
      </c>
      <c r="AO1190">
        <v>0</v>
      </c>
      <c r="AP1190">
        <v>0</v>
      </c>
      <c r="AQ1190">
        <v>0</v>
      </c>
      <c r="AR1190">
        <v>0</v>
      </c>
      <c r="AS1190">
        <v>0</v>
      </c>
      <c r="AT1190">
        <v>0</v>
      </c>
      <c r="AU1190">
        <f t="shared" si="36"/>
        <v>0</v>
      </c>
      <c r="AV1190">
        <f t="shared" si="37"/>
        <v>0</v>
      </c>
    </row>
    <row r="1191" spans="1:48" x14ac:dyDescent="0.25">
      <c r="A1191" t="s">
        <v>5350</v>
      </c>
      <c r="C1191" t="s">
        <v>5351</v>
      </c>
      <c r="D1191" t="s">
        <v>5352</v>
      </c>
      <c r="E1191" t="s">
        <v>2310</v>
      </c>
      <c r="F1191">
        <v>9</v>
      </c>
      <c r="G1191">
        <v>9.3000000000000007</v>
      </c>
      <c r="H1191" t="s">
        <v>2323</v>
      </c>
      <c r="I1191" s="21">
        <v>38211</v>
      </c>
      <c r="J1191">
        <v>2004</v>
      </c>
      <c r="K1191" s="21">
        <v>38253</v>
      </c>
      <c r="L1191">
        <v>2004</v>
      </c>
      <c r="M1191" s="21">
        <v>38531</v>
      </c>
      <c r="N1191">
        <v>2005</v>
      </c>
      <c r="R1191" s="262">
        <v>450000</v>
      </c>
      <c r="S1191" t="s">
        <v>114</v>
      </c>
      <c r="T1191" t="s">
        <v>114</v>
      </c>
      <c r="U1191">
        <v>4</v>
      </c>
      <c r="W1191">
        <v>820</v>
      </c>
      <c r="X1191">
        <v>0</v>
      </c>
      <c r="Y1191">
        <v>0</v>
      </c>
      <c r="Z1191">
        <v>0</v>
      </c>
      <c r="AA1191">
        <v>0</v>
      </c>
      <c r="AB1191">
        <v>820</v>
      </c>
      <c r="AC1191">
        <v>0</v>
      </c>
      <c r="AD1191">
        <v>0</v>
      </c>
      <c r="AE1191">
        <v>0</v>
      </c>
      <c r="AF1191">
        <v>0</v>
      </c>
      <c r="AG1191">
        <v>0</v>
      </c>
      <c r="AH1191">
        <v>0</v>
      </c>
      <c r="AI1191">
        <v>0</v>
      </c>
      <c r="AJ1191">
        <v>0</v>
      </c>
      <c r="AK1191">
        <v>0</v>
      </c>
      <c r="AL1191">
        <v>0</v>
      </c>
      <c r="AM1191">
        <v>0</v>
      </c>
      <c r="AN1191">
        <v>0</v>
      </c>
      <c r="AO1191">
        <v>0</v>
      </c>
      <c r="AP1191">
        <v>0</v>
      </c>
      <c r="AQ1191">
        <v>0</v>
      </c>
      <c r="AR1191">
        <v>0</v>
      </c>
      <c r="AS1191">
        <v>0</v>
      </c>
      <c r="AT1191">
        <v>0</v>
      </c>
      <c r="AU1191">
        <f t="shared" si="36"/>
        <v>0</v>
      </c>
      <c r="AV1191">
        <f t="shared" si="37"/>
        <v>820</v>
      </c>
    </row>
    <row r="1192" spans="1:48" x14ac:dyDescent="0.25">
      <c r="A1192" t="s">
        <v>5353</v>
      </c>
      <c r="C1192" t="s">
        <v>5354</v>
      </c>
      <c r="D1192" t="s">
        <v>3096</v>
      </c>
      <c r="E1192" t="s">
        <v>2310</v>
      </c>
      <c r="F1192">
        <v>10</v>
      </c>
      <c r="G1192">
        <v>10.1</v>
      </c>
      <c r="H1192" t="s">
        <v>2323</v>
      </c>
      <c r="I1192" s="21">
        <v>38211</v>
      </c>
      <c r="J1192">
        <v>2004</v>
      </c>
      <c r="K1192" s="21">
        <v>38229</v>
      </c>
      <c r="L1192">
        <v>2004</v>
      </c>
      <c r="M1192" s="21">
        <v>38229</v>
      </c>
      <c r="N1192">
        <v>2004</v>
      </c>
      <c r="R1192" s="262">
        <v>32000</v>
      </c>
      <c r="S1192" t="s">
        <v>114</v>
      </c>
      <c r="T1192" t="s">
        <v>114</v>
      </c>
      <c r="U1192">
        <v>5</v>
      </c>
      <c r="W1192">
        <v>358</v>
      </c>
      <c r="X1192">
        <v>0</v>
      </c>
      <c r="Y1192">
        <v>0</v>
      </c>
      <c r="Z1192">
        <v>0</v>
      </c>
      <c r="AA1192">
        <v>0</v>
      </c>
      <c r="AB1192">
        <v>0</v>
      </c>
      <c r="AC1192">
        <v>358</v>
      </c>
      <c r="AD1192">
        <v>0</v>
      </c>
      <c r="AE1192">
        <v>0</v>
      </c>
      <c r="AF1192">
        <v>0</v>
      </c>
      <c r="AG1192">
        <v>0</v>
      </c>
      <c r="AH1192">
        <v>0</v>
      </c>
      <c r="AI1192">
        <v>0</v>
      </c>
      <c r="AJ1192">
        <v>0</v>
      </c>
      <c r="AK1192">
        <v>0</v>
      </c>
      <c r="AL1192">
        <v>0</v>
      </c>
      <c r="AM1192">
        <v>0</v>
      </c>
      <c r="AN1192">
        <v>0</v>
      </c>
      <c r="AO1192">
        <v>0</v>
      </c>
      <c r="AP1192">
        <v>0</v>
      </c>
      <c r="AQ1192">
        <v>0</v>
      </c>
      <c r="AR1192">
        <v>0</v>
      </c>
      <c r="AS1192">
        <v>0</v>
      </c>
      <c r="AT1192">
        <v>0</v>
      </c>
      <c r="AU1192">
        <f t="shared" si="36"/>
        <v>0</v>
      </c>
      <c r="AV1192">
        <f t="shared" si="37"/>
        <v>0</v>
      </c>
    </row>
    <row r="1193" spans="1:48" x14ac:dyDescent="0.25">
      <c r="A1193" t="s">
        <v>5355</v>
      </c>
      <c r="C1193" t="s">
        <v>5356</v>
      </c>
      <c r="D1193" t="s">
        <v>5357</v>
      </c>
      <c r="E1193" t="s">
        <v>2310</v>
      </c>
      <c r="F1193">
        <v>13</v>
      </c>
      <c r="G1193">
        <v>13.3</v>
      </c>
      <c r="H1193" t="s">
        <v>2017</v>
      </c>
      <c r="I1193" s="21">
        <v>38211</v>
      </c>
      <c r="J1193">
        <v>2004</v>
      </c>
      <c r="K1193" s="21">
        <v>38250</v>
      </c>
      <c r="L1193">
        <v>2004</v>
      </c>
      <c r="M1193" s="21">
        <v>38348</v>
      </c>
      <c r="N1193">
        <v>2004</v>
      </c>
      <c r="R1193" s="262">
        <v>32561</v>
      </c>
      <c r="S1193" t="s">
        <v>114</v>
      </c>
      <c r="T1193" t="s">
        <v>114</v>
      </c>
      <c r="U1193">
        <v>5</v>
      </c>
      <c r="W1193">
        <v>436</v>
      </c>
      <c r="X1193">
        <v>0</v>
      </c>
      <c r="Y1193">
        <v>0</v>
      </c>
      <c r="Z1193">
        <v>0</v>
      </c>
      <c r="AA1193">
        <v>0</v>
      </c>
      <c r="AB1193">
        <v>0</v>
      </c>
      <c r="AC1193">
        <v>436</v>
      </c>
      <c r="AD1193">
        <v>0</v>
      </c>
      <c r="AE1193">
        <v>0</v>
      </c>
      <c r="AF1193">
        <v>0</v>
      </c>
      <c r="AG1193">
        <v>0</v>
      </c>
      <c r="AH1193">
        <v>0</v>
      </c>
      <c r="AI1193">
        <v>0</v>
      </c>
      <c r="AJ1193">
        <v>0</v>
      </c>
      <c r="AK1193">
        <v>0</v>
      </c>
      <c r="AL1193">
        <v>0</v>
      </c>
      <c r="AM1193">
        <v>0</v>
      </c>
      <c r="AN1193">
        <v>0</v>
      </c>
      <c r="AO1193">
        <v>0</v>
      </c>
      <c r="AP1193">
        <v>0</v>
      </c>
      <c r="AQ1193">
        <v>0</v>
      </c>
      <c r="AR1193">
        <v>0</v>
      </c>
      <c r="AS1193">
        <v>0</v>
      </c>
      <c r="AT1193">
        <v>0</v>
      </c>
      <c r="AU1193">
        <f t="shared" si="36"/>
        <v>0</v>
      </c>
      <c r="AV1193">
        <f t="shared" si="37"/>
        <v>0</v>
      </c>
    </row>
    <row r="1194" spans="1:48" x14ac:dyDescent="0.25">
      <c r="A1194" t="s">
        <v>5358</v>
      </c>
      <c r="C1194" t="s">
        <v>5359</v>
      </c>
      <c r="D1194" t="s">
        <v>5360</v>
      </c>
      <c r="E1194" t="s">
        <v>2310</v>
      </c>
      <c r="F1194">
        <v>9</v>
      </c>
      <c r="G1194">
        <v>9.1999999999999993</v>
      </c>
      <c r="H1194" t="s">
        <v>2022</v>
      </c>
      <c r="I1194" s="21">
        <v>38211</v>
      </c>
      <c r="J1194">
        <v>2004</v>
      </c>
      <c r="K1194" s="21">
        <v>38258</v>
      </c>
      <c r="L1194">
        <v>2004</v>
      </c>
      <c r="M1194" s="21">
        <v>38995</v>
      </c>
      <c r="N1194">
        <v>2006</v>
      </c>
      <c r="R1194" s="262">
        <v>410000</v>
      </c>
      <c r="S1194" t="s">
        <v>114</v>
      </c>
      <c r="T1194" t="s">
        <v>114</v>
      </c>
      <c r="U1194">
        <v>5</v>
      </c>
      <c r="W1194">
        <v>4237</v>
      </c>
      <c r="X1194">
        <v>1</v>
      </c>
      <c r="Y1194">
        <v>0</v>
      </c>
      <c r="Z1194">
        <v>0</v>
      </c>
      <c r="AA1194">
        <v>0</v>
      </c>
      <c r="AB1194">
        <v>0</v>
      </c>
      <c r="AC1194">
        <v>4237</v>
      </c>
      <c r="AD1194">
        <v>0</v>
      </c>
      <c r="AE1194">
        <v>0</v>
      </c>
      <c r="AF1194">
        <v>0</v>
      </c>
      <c r="AG1194">
        <v>0</v>
      </c>
      <c r="AH1194">
        <v>0</v>
      </c>
      <c r="AI1194">
        <v>0</v>
      </c>
      <c r="AJ1194">
        <v>0</v>
      </c>
      <c r="AK1194">
        <v>0</v>
      </c>
      <c r="AL1194">
        <v>0</v>
      </c>
      <c r="AM1194">
        <v>0</v>
      </c>
      <c r="AN1194">
        <v>0</v>
      </c>
      <c r="AO1194">
        <v>1</v>
      </c>
      <c r="AP1194">
        <v>0</v>
      </c>
      <c r="AQ1194">
        <v>0</v>
      </c>
      <c r="AR1194">
        <v>0</v>
      </c>
      <c r="AS1194">
        <v>0</v>
      </c>
      <c r="AT1194">
        <v>0</v>
      </c>
      <c r="AU1194">
        <f t="shared" si="36"/>
        <v>1</v>
      </c>
      <c r="AV1194">
        <f t="shared" si="37"/>
        <v>0</v>
      </c>
    </row>
    <row r="1195" spans="1:48" x14ac:dyDescent="0.25">
      <c r="A1195" t="s">
        <v>5361</v>
      </c>
      <c r="C1195" t="s">
        <v>5362</v>
      </c>
      <c r="D1195" t="s">
        <v>5363</v>
      </c>
      <c r="E1195" t="s">
        <v>2310</v>
      </c>
      <c r="F1195">
        <v>15</v>
      </c>
      <c r="G1195">
        <v>15.2</v>
      </c>
      <c r="H1195" t="s">
        <v>2323</v>
      </c>
      <c r="I1195" s="21">
        <v>38211</v>
      </c>
      <c r="J1195">
        <v>2004</v>
      </c>
      <c r="K1195" s="21">
        <v>38215</v>
      </c>
      <c r="L1195">
        <v>2004</v>
      </c>
      <c r="M1195" s="21">
        <v>38419</v>
      </c>
      <c r="N1195">
        <v>2005</v>
      </c>
      <c r="R1195" s="262">
        <v>50000</v>
      </c>
      <c r="S1195" t="s">
        <v>114</v>
      </c>
      <c r="T1195" t="s">
        <v>114</v>
      </c>
      <c r="U1195">
        <v>5</v>
      </c>
      <c r="W1195">
        <v>408</v>
      </c>
      <c r="X1195">
        <v>0</v>
      </c>
      <c r="Y1195">
        <v>0</v>
      </c>
      <c r="Z1195">
        <v>0</v>
      </c>
      <c r="AA1195">
        <v>0</v>
      </c>
      <c r="AB1195">
        <v>0</v>
      </c>
      <c r="AC1195">
        <v>408</v>
      </c>
      <c r="AD1195">
        <v>0</v>
      </c>
      <c r="AE1195">
        <v>0</v>
      </c>
      <c r="AF1195">
        <v>0</v>
      </c>
      <c r="AG1195">
        <v>0</v>
      </c>
      <c r="AH1195">
        <v>0</v>
      </c>
      <c r="AI1195">
        <v>0</v>
      </c>
      <c r="AJ1195">
        <v>0</v>
      </c>
      <c r="AK1195">
        <v>0</v>
      </c>
      <c r="AL1195">
        <v>0</v>
      </c>
      <c r="AM1195">
        <v>0</v>
      </c>
      <c r="AN1195">
        <v>0</v>
      </c>
      <c r="AO1195">
        <v>0</v>
      </c>
      <c r="AP1195">
        <v>0</v>
      </c>
      <c r="AQ1195">
        <v>0</v>
      </c>
      <c r="AR1195">
        <v>0</v>
      </c>
      <c r="AS1195">
        <v>0</v>
      </c>
      <c r="AT1195">
        <v>0</v>
      </c>
      <c r="AU1195">
        <f t="shared" si="36"/>
        <v>0</v>
      </c>
      <c r="AV1195">
        <f t="shared" si="37"/>
        <v>0</v>
      </c>
    </row>
    <row r="1196" spans="1:48" x14ac:dyDescent="0.25">
      <c r="A1196" t="s">
        <v>5364</v>
      </c>
      <c r="C1196" t="s">
        <v>3216</v>
      </c>
      <c r="D1196" t="s">
        <v>5365</v>
      </c>
      <c r="E1196" t="s">
        <v>2310</v>
      </c>
      <c r="F1196">
        <v>8</v>
      </c>
      <c r="G1196">
        <v>8.1999999999999993</v>
      </c>
      <c r="H1196" t="s">
        <v>2022</v>
      </c>
      <c r="I1196" s="21">
        <v>38215</v>
      </c>
      <c r="J1196">
        <v>2004</v>
      </c>
      <c r="K1196" s="21">
        <v>38254</v>
      </c>
      <c r="L1196">
        <v>2004</v>
      </c>
      <c r="M1196" s="21">
        <v>38587</v>
      </c>
      <c r="N1196">
        <v>2005</v>
      </c>
      <c r="R1196" s="262">
        <v>600000</v>
      </c>
      <c r="S1196" t="s">
        <v>114</v>
      </c>
      <c r="T1196" t="s">
        <v>114</v>
      </c>
      <c r="U1196">
        <v>5</v>
      </c>
      <c r="W1196">
        <v>3983</v>
      </c>
      <c r="X1196">
        <v>1</v>
      </c>
      <c r="Y1196">
        <v>0</v>
      </c>
      <c r="Z1196">
        <v>0</v>
      </c>
      <c r="AA1196">
        <v>0</v>
      </c>
      <c r="AB1196">
        <v>0</v>
      </c>
      <c r="AC1196">
        <v>3983</v>
      </c>
      <c r="AD1196">
        <v>0</v>
      </c>
      <c r="AE1196">
        <v>0</v>
      </c>
      <c r="AF1196">
        <v>0</v>
      </c>
      <c r="AG1196">
        <v>0</v>
      </c>
      <c r="AH1196">
        <v>0</v>
      </c>
      <c r="AI1196">
        <v>0</v>
      </c>
      <c r="AJ1196">
        <v>0</v>
      </c>
      <c r="AK1196">
        <v>0</v>
      </c>
      <c r="AL1196">
        <v>0</v>
      </c>
      <c r="AM1196">
        <v>0</v>
      </c>
      <c r="AN1196">
        <v>0</v>
      </c>
      <c r="AO1196">
        <v>1</v>
      </c>
      <c r="AP1196">
        <v>0</v>
      </c>
      <c r="AQ1196">
        <v>0</v>
      </c>
      <c r="AR1196">
        <v>0</v>
      </c>
      <c r="AS1196">
        <v>0</v>
      </c>
      <c r="AT1196">
        <v>0</v>
      </c>
      <c r="AU1196">
        <f t="shared" si="36"/>
        <v>1</v>
      </c>
      <c r="AV1196">
        <f t="shared" si="37"/>
        <v>0</v>
      </c>
    </row>
    <row r="1197" spans="1:48" x14ac:dyDescent="0.25">
      <c r="A1197" t="s">
        <v>5366</v>
      </c>
      <c r="C1197" t="s">
        <v>5367</v>
      </c>
      <c r="D1197" t="s">
        <v>5368</v>
      </c>
      <c r="E1197" t="s">
        <v>2310</v>
      </c>
      <c r="F1197">
        <v>15</v>
      </c>
      <c r="G1197">
        <v>15.1</v>
      </c>
      <c r="H1197" t="s">
        <v>2022</v>
      </c>
      <c r="I1197" s="21">
        <v>38215</v>
      </c>
      <c r="J1197">
        <v>2004</v>
      </c>
      <c r="K1197" s="21">
        <v>38222</v>
      </c>
      <c r="L1197">
        <v>2004</v>
      </c>
      <c r="M1197" s="21">
        <v>38901</v>
      </c>
      <c r="N1197">
        <v>2006</v>
      </c>
      <c r="R1197" s="262">
        <v>10300</v>
      </c>
      <c r="S1197" t="s">
        <v>114</v>
      </c>
      <c r="T1197" t="s">
        <v>114</v>
      </c>
      <c r="U1197">
        <v>11</v>
      </c>
      <c r="W1197">
        <v>196</v>
      </c>
      <c r="X1197">
        <v>0</v>
      </c>
      <c r="Y1197">
        <v>0</v>
      </c>
      <c r="Z1197">
        <v>0</v>
      </c>
      <c r="AA1197">
        <v>0</v>
      </c>
      <c r="AB1197">
        <v>0</v>
      </c>
      <c r="AC1197">
        <v>0</v>
      </c>
      <c r="AD1197">
        <v>0</v>
      </c>
      <c r="AE1197">
        <v>0</v>
      </c>
      <c r="AF1197">
        <v>0</v>
      </c>
      <c r="AG1197">
        <v>0</v>
      </c>
      <c r="AH1197">
        <v>0</v>
      </c>
      <c r="AI1197">
        <v>196</v>
      </c>
      <c r="AJ1197">
        <v>0</v>
      </c>
      <c r="AK1197">
        <v>0</v>
      </c>
      <c r="AL1197">
        <v>0</v>
      </c>
      <c r="AM1197">
        <v>0</v>
      </c>
      <c r="AN1197">
        <v>0</v>
      </c>
      <c r="AO1197">
        <v>0</v>
      </c>
      <c r="AP1197">
        <v>0</v>
      </c>
      <c r="AQ1197">
        <v>0</v>
      </c>
      <c r="AR1197">
        <v>0</v>
      </c>
      <c r="AS1197">
        <v>0</v>
      </c>
      <c r="AT1197">
        <v>0</v>
      </c>
      <c r="AU1197">
        <f t="shared" si="36"/>
        <v>0</v>
      </c>
      <c r="AV1197">
        <f t="shared" si="37"/>
        <v>196</v>
      </c>
    </row>
    <row r="1198" spans="1:48" x14ac:dyDescent="0.25">
      <c r="A1198" t="s">
        <v>5369</v>
      </c>
      <c r="C1198" t="s">
        <v>5370</v>
      </c>
      <c r="D1198" t="s">
        <v>5371</v>
      </c>
      <c r="E1198" t="s">
        <v>2310</v>
      </c>
      <c r="F1198">
        <v>10</v>
      </c>
      <c r="G1198">
        <v>10.1</v>
      </c>
      <c r="H1198" t="s">
        <v>2323</v>
      </c>
      <c r="I1198" s="21">
        <v>38216</v>
      </c>
      <c r="J1198">
        <v>2004</v>
      </c>
      <c r="K1198" s="21">
        <v>38244</v>
      </c>
      <c r="L1198">
        <v>2004</v>
      </c>
      <c r="M1198" s="21">
        <v>38433</v>
      </c>
      <c r="N1198">
        <v>2005</v>
      </c>
      <c r="R1198" s="262">
        <v>5000</v>
      </c>
      <c r="S1198" t="s">
        <v>114</v>
      </c>
      <c r="T1198" t="s">
        <v>114</v>
      </c>
      <c r="U1198">
        <v>5</v>
      </c>
      <c r="W1198">
        <v>0</v>
      </c>
      <c r="X1198">
        <v>0</v>
      </c>
      <c r="Y1198">
        <v>0</v>
      </c>
      <c r="Z1198">
        <v>0</v>
      </c>
      <c r="AA1198">
        <v>0</v>
      </c>
      <c r="AB1198">
        <v>0</v>
      </c>
      <c r="AC1198">
        <v>0</v>
      </c>
      <c r="AD1198">
        <v>0</v>
      </c>
      <c r="AE1198">
        <v>0</v>
      </c>
      <c r="AF1198">
        <v>0</v>
      </c>
      <c r="AG1198">
        <v>0</v>
      </c>
      <c r="AH1198">
        <v>0</v>
      </c>
      <c r="AI1198">
        <v>0</v>
      </c>
      <c r="AJ1198">
        <v>0</v>
      </c>
      <c r="AK1198">
        <v>0</v>
      </c>
      <c r="AL1198">
        <v>0</v>
      </c>
      <c r="AM1198">
        <v>0</v>
      </c>
      <c r="AN1198">
        <v>0</v>
      </c>
      <c r="AO1198">
        <v>0</v>
      </c>
      <c r="AP1198">
        <v>0</v>
      </c>
      <c r="AQ1198">
        <v>0</v>
      </c>
      <c r="AR1198">
        <v>0</v>
      </c>
      <c r="AS1198">
        <v>0</v>
      </c>
      <c r="AT1198">
        <v>0</v>
      </c>
      <c r="AU1198">
        <f t="shared" si="36"/>
        <v>0</v>
      </c>
      <c r="AV1198">
        <f t="shared" si="37"/>
        <v>0</v>
      </c>
    </row>
    <row r="1199" spans="1:48" x14ac:dyDescent="0.25">
      <c r="A1199" t="s">
        <v>5372</v>
      </c>
      <c r="C1199" t="s">
        <v>5373</v>
      </c>
      <c r="D1199" t="s">
        <v>5374</v>
      </c>
      <c r="E1199" t="s">
        <v>2310</v>
      </c>
      <c r="F1199">
        <v>9</v>
      </c>
      <c r="G1199">
        <v>9.4</v>
      </c>
      <c r="H1199" t="s">
        <v>2323</v>
      </c>
      <c r="I1199" s="21">
        <v>38216</v>
      </c>
      <c r="J1199">
        <v>2004</v>
      </c>
      <c r="K1199" s="21">
        <v>38247</v>
      </c>
      <c r="L1199">
        <v>2004</v>
      </c>
      <c r="M1199" s="21">
        <v>38377</v>
      </c>
      <c r="N1199">
        <v>2005</v>
      </c>
      <c r="R1199" s="262">
        <v>30000</v>
      </c>
      <c r="S1199" t="s">
        <v>114</v>
      </c>
      <c r="T1199" t="s">
        <v>114</v>
      </c>
      <c r="U1199">
        <v>5</v>
      </c>
      <c r="W1199">
        <v>218</v>
      </c>
      <c r="X1199">
        <v>0</v>
      </c>
      <c r="Y1199">
        <v>0</v>
      </c>
      <c r="Z1199">
        <v>0</v>
      </c>
      <c r="AA1199">
        <v>0</v>
      </c>
      <c r="AB1199">
        <v>0</v>
      </c>
      <c r="AC1199">
        <v>218</v>
      </c>
      <c r="AD1199">
        <v>0</v>
      </c>
      <c r="AE1199">
        <v>0</v>
      </c>
      <c r="AF1199">
        <v>0</v>
      </c>
      <c r="AG1199">
        <v>0</v>
      </c>
      <c r="AH1199">
        <v>0</v>
      </c>
      <c r="AI1199">
        <v>0</v>
      </c>
      <c r="AJ1199">
        <v>0</v>
      </c>
      <c r="AK1199">
        <v>0</v>
      </c>
      <c r="AL1199">
        <v>0</v>
      </c>
      <c r="AM1199">
        <v>0</v>
      </c>
      <c r="AN1199">
        <v>0</v>
      </c>
      <c r="AO1199">
        <v>0</v>
      </c>
      <c r="AP1199">
        <v>0</v>
      </c>
      <c r="AQ1199">
        <v>0</v>
      </c>
      <c r="AR1199">
        <v>0</v>
      </c>
      <c r="AS1199">
        <v>0</v>
      </c>
      <c r="AT1199">
        <v>0</v>
      </c>
      <c r="AU1199">
        <f t="shared" si="36"/>
        <v>0</v>
      </c>
      <c r="AV1199">
        <f t="shared" si="37"/>
        <v>0</v>
      </c>
    </row>
    <row r="1200" spans="1:48" x14ac:dyDescent="0.25">
      <c r="A1200" t="s">
        <v>5375</v>
      </c>
      <c r="C1200" t="s">
        <v>5376</v>
      </c>
      <c r="D1200" t="s">
        <v>5377</v>
      </c>
      <c r="E1200" t="s">
        <v>2310</v>
      </c>
      <c r="F1200">
        <v>9</v>
      </c>
      <c r="G1200">
        <v>9.1999999999999993</v>
      </c>
      <c r="H1200" t="s">
        <v>2022</v>
      </c>
      <c r="I1200" s="21">
        <v>38218</v>
      </c>
      <c r="J1200">
        <v>2004</v>
      </c>
      <c r="K1200" s="21">
        <v>38254</v>
      </c>
      <c r="L1200">
        <v>2004</v>
      </c>
      <c r="M1200" s="21">
        <v>38450</v>
      </c>
      <c r="N1200">
        <v>2005</v>
      </c>
      <c r="R1200" s="262">
        <v>90000</v>
      </c>
      <c r="S1200" t="s">
        <v>114</v>
      </c>
      <c r="T1200" t="s">
        <v>114</v>
      </c>
      <c r="U1200">
        <v>5</v>
      </c>
      <c r="W1200">
        <v>1680</v>
      </c>
      <c r="X1200">
        <v>1</v>
      </c>
      <c r="Y1200">
        <v>0</v>
      </c>
      <c r="Z1200">
        <v>0</v>
      </c>
      <c r="AA1200">
        <v>0</v>
      </c>
      <c r="AB1200">
        <v>0</v>
      </c>
      <c r="AC1200">
        <v>1680</v>
      </c>
      <c r="AD1200">
        <v>0</v>
      </c>
      <c r="AE1200">
        <v>0</v>
      </c>
      <c r="AF1200">
        <v>0</v>
      </c>
      <c r="AG1200">
        <v>0</v>
      </c>
      <c r="AH1200">
        <v>0</v>
      </c>
      <c r="AI1200">
        <v>0</v>
      </c>
      <c r="AJ1200">
        <v>0</v>
      </c>
      <c r="AK1200">
        <v>0</v>
      </c>
      <c r="AL1200">
        <v>0</v>
      </c>
      <c r="AM1200">
        <v>0</v>
      </c>
      <c r="AN1200">
        <v>0</v>
      </c>
      <c r="AO1200">
        <v>1</v>
      </c>
      <c r="AP1200">
        <v>0</v>
      </c>
      <c r="AQ1200">
        <v>0</v>
      </c>
      <c r="AR1200">
        <v>0</v>
      </c>
      <c r="AS1200">
        <v>0</v>
      </c>
      <c r="AT1200">
        <v>0</v>
      </c>
      <c r="AU1200">
        <f t="shared" si="36"/>
        <v>1</v>
      </c>
      <c r="AV1200">
        <f t="shared" si="37"/>
        <v>0</v>
      </c>
    </row>
    <row r="1201" spans="1:48" x14ac:dyDescent="0.25">
      <c r="A1201" t="s">
        <v>5378</v>
      </c>
      <c r="C1201" t="s">
        <v>5379</v>
      </c>
      <c r="D1201" t="s">
        <v>5380</v>
      </c>
      <c r="E1201" t="s">
        <v>2310</v>
      </c>
      <c r="F1201">
        <v>12</v>
      </c>
      <c r="G1201">
        <v>12.3</v>
      </c>
      <c r="H1201" t="s">
        <v>2017</v>
      </c>
      <c r="I1201" s="21">
        <v>38218</v>
      </c>
      <c r="J1201">
        <v>2004</v>
      </c>
      <c r="K1201" s="21">
        <v>38246</v>
      </c>
      <c r="L1201">
        <v>2004</v>
      </c>
      <c r="M1201" s="21">
        <v>38246</v>
      </c>
      <c r="N1201">
        <v>2004</v>
      </c>
      <c r="R1201" s="262">
        <v>6400</v>
      </c>
      <c r="S1201" t="s">
        <v>114</v>
      </c>
      <c r="T1201" t="s">
        <v>114</v>
      </c>
      <c r="U1201">
        <v>5</v>
      </c>
      <c r="W1201">
        <v>0</v>
      </c>
      <c r="X1201">
        <v>0</v>
      </c>
      <c r="Y1201">
        <v>0</v>
      </c>
      <c r="Z1201">
        <v>0</v>
      </c>
      <c r="AA1201">
        <v>0</v>
      </c>
      <c r="AB1201">
        <v>0</v>
      </c>
      <c r="AC1201">
        <v>0</v>
      </c>
      <c r="AD1201">
        <v>0</v>
      </c>
      <c r="AE1201">
        <v>0</v>
      </c>
      <c r="AF1201">
        <v>0</v>
      </c>
      <c r="AG1201">
        <v>0</v>
      </c>
      <c r="AH1201">
        <v>0</v>
      </c>
      <c r="AI1201">
        <v>0</v>
      </c>
      <c r="AJ1201">
        <v>0</v>
      </c>
      <c r="AK1201">
        <v>0</v>
      </c>
      <c r="AL1201">
        <v>0</v>
      </c>
      <c r="AM1201">
        <v>0</v>
      </c>
      <c r="AN1201">
        <v>0</v>
      </c>
      <c r="AO1201">
        <v>0</v>
      </c>
      <c r="AP1201">
        <v>0</v>
      </c>
      <c r="AQ1201">
        <v>0</v>
      </c>
      <c r="AR1201">
        <v>0</v>
      </c>
      <c r="AS1201">
        <v>0</v>
      </c>
      <c r="AT1201">
        <v>0</v>
      </c>
      <c r="AU1201">
        <f t="shared" si="36"/>
        <v>0</v>
      </c>
      <c r="AV1201">
        <f t="shared" si="37"/>
        <v>0</v>
      </c>
    </row>
    <row r="1202" spans="1:48" x14ac:dyDescent="0.25">
      <c r="A1202" t="s">
        <v>5383</v>
      </c>
      <c r="C1202" t="s">
        <v>5384</v>
      </c>
      <c r="D1202" t="s">
        <v>5385</v>
      </c>
      <c r="E1202" t="s">
        <v>1663</v>
      </c>
      <c r="F1202">
        <v>6</v>
      </c>
      <c r="G1202">
        <v>6.2</v>
      </c>
      <c r="H1202" t="s">
        <v>2017</v>
      </c>
      <c r="I1202" s="21">
        <v>38222</v>
      </c>
      <c r="J1202">
        <v>2004</v>
      </c>
      <c r="K1202" s="21">
        <v>38253</v>
      </c>
      <c r="L1202">
        <v>2004</v>
      </c>
      <c r="M1202" s="21">
        <v>38406</v>
      </c>
      <c r="N1202">
        <v>2005</v>
      </c>
      <c r="Q1202" s="262">
        <v>0</v>
      </c>
      <c r="S1202" t="s">
        <v>114</v>
      </c>
      <c r="T1202" t="s">
        <v>114</v>
      </c>
      <c r="W1202">
        <v>6678</v>
      </c>
      <c r="X1202">
        <v>1</v>
      </c>
      <c r="Y1202">
        <v>0</v>
      </c>
      <c r="Z1202">
        <v>0</v>
      </c>
      <c r="AA1202">
        <v>0</v>
      </c>
      <c r="AB1202">
        <v>0</v>
      </c>
      <c r="AC1202">
        <v>6678</v>
      </c>
      <c r="AD1202">
        <v>0</v>
      </c>
      <c r="AE1202">
        <v>0</v>
      </c>
      <c r="AF1202">
        <v>0</v>
      </c>
      <c r="AG1202">
        <v>0</v>
      </c>
      <c r="AH1202">
        <v>0</v>
      </c>
      <c r="AI1202">
        <v>0</v>
      </c>
      <c r="AJ1202">
        <v>0</v>
      </c>
      <c r="AK1202">
        <v>0</v>
      </c>
      <c r="AL1202">
        <v>0</v>
      </c>
      <c r="AM1202">
        <v>0</v>
      </c>
      <c r="AN1202">
        <v>0</v>
      </c>
      <c r="AO1202">
        <v>1</v>
      </c>
      <c r="AP1202">
        <v>0</v>
      </c>
      <c r="AQ1202">
        <v>0</v>
      </c>
      <c r="AR1202">
        <v>0</v>
      </c>
      <c r="AS1202">
        <v>0</v>
      </c>
      <c r="AT1202">
        <v>0</v>
      </c>
      <c r="AU1202">
        <f t="shared" si="36"/>
        <v>1</v>
      </c>
      <c r="AV1202">
        <f t="shared" si="37"/>
        <v>0</v>
      </c>
    </row>
    <row r="1203" spans="1:48" x14ac:dyDescent="0.25">
      <c r="A1203" t="s">
        <v>5386</v>
      </c>
      <c r="C1203" t="s">
        <v>5387</v>
      </c>
      <c r="D1203" t="s">
        <v>5388</v>
      </c>
      <c r="E1203" t="s">
        <v>2310</v>
      </c>
      <c r="F1203">
        <v>9</v>
      </c>
      <c r="G1203">
        <v>9.1</v>
      </c>
      <c r="H1203" t="s">
        <v>2323</v>
      </c>
      <c r="I1203" s="21">
        <v>38222</v>
      </c>
      <c r="J1203">
        <v>2004</v>
      </c>
      <c r="K1203" s="21">
        <v>38251</v>
      </c>
      <c r="L1203">
        <v>2004</v>
      </c>
      <c r="M1203" s="21">
        <v>38663</v>
      </c>
      <c r="N1203">
        <v>2005</v>
      </c>
      <c r="R1203" s="262">
        <v>355775</v>
      </c>
      <c r="S1203" t="s">
        <v>114</v>
      </c>
      <c r="T1203" t="s">
        <v>114</v>
      </c>
      <c r="U1203">
        <v>11</v>
      </c>
      <c r="W1203">
        <v>2374</v>
      </c>
      <c r="X1203">
        <v>1</v>
      </c>
      <c r="Y1203">
        <v>0</v>
      </c>
      <c r="Z1203">
        <v>0</v>
      </c>
      <c r="AA1203">
        <v>0</v>
      </c>
      <c r="AB1203">
        <v>0</v>
      </c>
      <c r="AC1203">
        <v>0</v>
      </c>
      <c r="AD1203">
        <v>0</v>
      </c>
      <c r="AE1203">
        <v>0</v>
      </c>
      <c r="AF1203">
        <v>0</v>
      </c>
      <c r="AG1203">
        <v>0</v>
      </c>
      <c r="AH1203">
        <v>0</v>
      </c>
      <c r="AI1203">
        <v>2374</v>
      </c>
      <c r="AJ1203">
        <v>0</v>
      </c>
      <c r="AK1203">
        <v>0</v>
      </c>
      <c r="AL1203">
        <v>0</v>
      </c>
      <c r="AM1203">
        <v>0</v>
      </c>
      <c r="AN1203">
        <v>0</v>
      </c>
      <c r="AO1203">
        <v>0</v>
      </c>
      <c r="AP1203">
        <v>0</v>
      </c>
      <c r="AQ1203">
        <v>0</v>
      </c>
      <c r="AR1203">
        <v>0</v>
      </c>
      <c r="AS1203">
        <v>0</v>
      </c>
      <c r="AT1203">
        <v>1</v>
      </c>
      <c r="AU1203">
        <f t="shared" si="36"/>
        <v>0</v>
      </c>
      <c r="AV1203">
        <f t="shared" si="37"/>
        <v>2374</v>
      </c>
    </row>
    <row r="1204" spans="1:48" x14ac:dyDescent="0.25">
      <c r="A1204" t="s">
        <v>5381</v>
      </c>
      <c r="C1204" t="s">
        <v>5382</v>
      </c>
      <c r="D1204" t="s">
        <v>4612</v>
      </c>
      <c r="E1204" t="s">
        <v>1663</v>
      </c>
      <c r="F1204">
        <v>3</v>
      </c>
      <c r="G1204">
        <v>3.2</v>
      </c>
      <c r="H1204" t="s">
        <v>2327</v>
      </c>
      <c r="I1204" s="21">
        <v>38222</v>
      </c>
      <c r="J1204">
        <v>2004</v>
      </c>
      <c r="K1204" s="21">
        <v>38253</v>
      </c>
      <c r="L1204">
        <v>2004</v>
      </c>
      <c r="M1204" s="21">
        <v>38406</v>
      </c>
      <c r="N1204">
        <v>2005</v>
      </c>
      <c r="Q1204" s="262">
        <v>0</v>
      </c>
      <c r="S1204" t="s">
        <v>114</v>
      </c>
      <c r="T1204" t="s">
        <v>114</v>
      </c>
      <c r="W1204">
        <v>600</v>
      </c>
      <c r="X1204">
        <v>1</v>
      </c>
      <c r="Y1204">
        <v>0</v>
      </c>
      <c r="Z1204">
        <v>0</v>
      </c>
      <c r="AA1204">
        <v>0</v>
      </c>
      <c r="AB1204">
        <v>0</v>
      </c>
      <c r="AC1204">
        <v>0</v>
      </c>
      <c r="AD1204">
        <v>0</v>
      </c>
      <c r="AE1204">
        <v>600</v>
      </c>
      <c r="AF1204">
        <v>0</v>
      </c>
      <c r="AG1204">
        <v>0</v>
      </c>
      <c r="AH1204">
        <v>0</v>
      </c>
      <c r="AI1204">
        <v>0</v>
      </c>
      <c r="AJ1204">
        <v>0</v>
      </c>
      <c r="AK1204">
        <v>0</v>
      </c>
      <c r="AL1204">
        <v>0</v>
      </c>
      <c r="AM1204">
        <v>0</v>
      </c>
      <c r="AN1204">
        <v>0</v>
      </c>
      <c r="AO1204">
        <v>0</v>
      </c>
      <c r="AP1204">
        <v>0</v>
      </c>
      <c r="AQ1204">
        <v>1</v>
      </c>
      <c r="AR1204">
        <v>0</v>
      </c>
      <c r="AS1204">
        <v>0</v>
      </c>
      <c r="AT1204">
        <v>0</v>
      </c>
      <c r="AU1204">
        <f t="shared" si="36"/>
        <v>1</v>
      </c>
      <c r="AV1204">
        <f t="shared" si="37"/>
        <v>0</v>
      </c>
    </row>
    <row r="1205" spans="1:48" x14ac:dyDescent="0.25">
      <c r="A1205" t="s">
        <v>5391</v>
      </c>
      <c r="C1205" t="s">
        <v>5392</v>
      </c>
      <c r="D1205" t="s">
        <v>5393</v>
      </c>
      <c r="E1205" t="s">
        <v>2310</v>
      </c>
      <c r="F1205">
        <v>9</v>
      </c>
      <c r="G1205">
        <v>9.1</v>
      </c>
      <c r="H1205" t="s">
        <v>2323</v>
      </c>
      <c r="I1205" s="21">
        <v>38223</v>
      </c>
      <c r="J1205">
        <v>2004</v>
      </c>
      <c r="K1205" s="21">
        <v>38251</v>
      </c>
      <c r="L1205">
        <v>2004</v>
      </c>
      <c r="M1205" s="21">
        <v>38672</v>
      </c>
      <c r="N1205">
        <v>2005</v>
      </c>
      <c r="R1205" s="262">
        <v>355775</v>
      </c>
      <c r="S1205" t="s">
        <v>114</v>
      </c>
      <c r="T1205" t="s">
        <v>114</v>
      </c>
      <c r="U1205">
        <v>11</v>
      </c>
      <c r="W1205">
        <v>2374</v>
      </c>
      <c r="X1205">
        <v>1</v>
      </c>
      <c r="Y1205">
        <v>0</v>
      </c>
      <c r="Z1205">
        <v>0</v>
      </c>
      <c r="AA1205">
        <v>0</v>
      </c>
      <c r="AB1205">
        <v>0</v>
      </c>
      <c r="AC1205">
        <v>0</v>
      </c>
      <c r="AD1205">
        <v>0</v>
      </c>
      <c r="AE1205">
        <v>0</v>
      </c>
      <c r="AF1205">
        <v>0</v>
      </c>
      <c r="AG1205">
        <v>0</v>
      </c>
      <c r="AH1205">
        <v>0</v>
      </c>
      <c r="AI1205">
        <v>2374</v>
      </c>
      <c r="AJ1205">
        <v>0</v>
      </c>
      <c r="AK1205">
        <v>0</v>
      </c>
      <c r="AL1205">
        <v>0</v>
      </c>
      <c r="AM1205">
        <v>0</v>
      </c>
      <c r="AN1205">
        <v>0</v>
      </c>
      <c r="AO1205">
        <v>0</v>
      </c>
      <c r="AP1205">
        <v>0</v>
      </c>
      <c r="AQ1205">
        <v>0</v>
      </c>
      <c r="AR1205">
        <v>0</v>
      </c>
      <c r="AS1205">
        <v>0</v>
      </c>
      <c r="AT1205">
        <v>1</v>
      </c>
      <c r="AU1205">
        <f t="shared" si="36"/>
        <v>0</v>
      </c>
      <c r="AV1205">
        <f t="shared" si="37"/>
        <v>2374</v>
      </c>
    </row>
    <row r="1206" spans="1:48" x14ac:dyDescent="0.25">
      <c r="A1206" t="s">
        <v>5394</v>
      </c>
      <c r="C1206" t="s">
        <v>5395</v>
      </c>
      <c r="D1206" t="s">
        <v>5396</v>
      </c>
      <c r="E1206" t="s">
        <v>2310</v>
      </c>
      <c r="F1206">
        <v>9</v>
      </c>
      <c r="G1206">
        <v>9.1</v>
      </c>
      <c r="H1206" t="s">
        <v>2323</v>
      </c>
      <c r="I1206" s="21">
        <v>38223</v>
      </c>
      <c r="J1206">
        <v>2004</v>
      </c>
      <c r="K1206" s="21">
        <v>38251</v>
      </c>
      <c r="L1206">
        <v>2004</v>
      </c>
      <c r="M1206" s="21">
        <v>38672</v>
      </c>
      <c r="N1206">
        <v>2005</v>
      </c>
      <c r="R1206" s="262">
        <v>355775</v>
      </c>
      <c r="S1206" t="s">
        <v>114</v>
      </c>
      <c r="T1206" t="s">
        <v>114</v>
      </c>
      <c r="U1206">
        <v>11</v>
      </c>
      <c r="W1206">
        <v>2374</v>
      </c>
      <c r="X1206">
        <v>1</v>
      </c>
      <c r="Y1206">
        <v>0</v>
      </c>
      <c r="Z1206">
        <v>0</v>
      </c>
      <c r="AA1206">
        <v>0</v>
      </c>
      <c r="AB1206">
        <v>0</v>
      </c>
      <c r="AC1206">
        <v>0</v>
      </c>
      <c r="AD1206">
        <v>0</v>
      </c>
      <c r="AE1206">
        <v>0</v>
      </c>
      <c r="AF1206">
        <v>0</v>
      </c>
      <c r="AG1206">
        <v>0</v>
      </c>
      <c r="AH1206">
        <v>0</v>
      </c>
      <c r="AI1206">
        <v>2374</v>
      </c>
      <c r="AJ1206">
        <v>0</v>
      </c>
      <c r="AK1206">
        <v>0</v>
      </c>
      <c r="AL1206">
        <v>0</v>
      </c>
      <c r="AM1206">
        <v>0</v>
      </c>
      <c r="AN1206">
        <v>0</v>
      </c>
      <c r="AO1206">
        <v>0</v>
      </c>
      <c r="AP1206">
        <v>0</v>
      </c>
      <c r="AQ1206">
        <v>0</v>
      </c>
      <c r="AR1206">
        <v>0</v>
      </c>
      <c r="AS1206">
        <v>0</v>
      </c>
      <c r="AT1206">
        <v>1</v>
      </c>
      <c r="AU1206">
        <f t="shared" si="36"/>
        <v>0</v>
      </c>
      <c r="AV1206">
        <f t="shared" si="37"/>
        <v>2374</v>
      </c>
    </row>
    <row r="1207" spans="1:48" x14ac:dyDescent="0.25">
      <c r="A1207" t="s">
        <v>5397</v>
      </c>
      <c r="C1207" t="s">
        <v>5398</v>
      </c>
      <c r="D1207" t="s">
        <v>5399</v>
      </c>
      <c r="E1207" t="s">
        <v>2310</v>
      </c>
      <c r="F1207">
        <v>10</v>
      </c>
      <c r="G1207">
        <v>10.1</v>
      </c>
      <c r="H1207" t="s">
        <v>2323</v>
      </c>
      <c r="I1207" s="21">
        <v>38223</v>
      </c>
      <c r="J1207">
        <v>2004</v>
      </c>
      <c r="K1207" s="21">
        <v>38246</v>
      </c>
      <c r="L1207">
        <v>2004</v>
      </c>
      <c r="M1207" s="21">
        <v>38671</v>
      </c>
      <c r="N1207">
        <v>2005</v>
      </c>
      <c r="R1207" s="262">
        <v>18000</v>
      </c>
      <c r="S1207" t="s">
        <v>114</v>
      </c>
      <c r="T1207" t="s">
        <v>114</v>
      </c>
      <c r="U1207">
        <v>5</v>
      </c>
      <c r="W1207">
        <v>107</v>
      </c>
      <c r="X1207">
        <v>0</v>
      </c>
      <c r="Y1207">
        <v>0</v>
      </c>
      <c r="Z1207">
        <v>0</v>
      </c>
      <c r="AA1207">
        <v>0</v>
      </c>
      <c r="AB1207">
        <v>0</v>
      </c>
      <c r="AC1207">
        <v>107</v>
      </c>
      <c r="AD1207">
        <v>0</v>
      </c>
      <c r="AE1207">
        <v>0</v>
      </c>
      <c r="AF1207">
        <v>0</v>
      </c>
      <c r="AG1207">
        <v>0</v>
      </c>
      <c r="AH1207">
        <v>0</v>
      </c>
      <c r="AI1207">
        <v>0</v>
      </c>
      <c r="AJ1207">
        <v>0</v>
      </c>
      <c r="AK1207">
        <v>0</v>
      </c>
      <c r="AL1207">
        <v>0</v>
      </c>
      <c r="AM1207">
        <v>0</v>
      </c>
      <c r="AN1207">
        <v>0</v>
      </c>
      <c r="AO1207">
        <v>0</v>
      </c>
      <c r="AP1207">
        <v>0</v>
      </c>
      <c r="AQ1207">
        <v>0</v>
      </c>
      <c r="AR1207">
        <v>0</v>
      </c>
      <c r="AS1207">
        <v>0</v>
      </c>
      <c r="AT1207">
        <v>0</v>
      </c>
      <c r="AU1207">
        <f t="shared" si="36"/>
        <v>0</v>
      </c>
      <c r="AV1207">
        <f t="shared" si="37"/>
        <v>0</v>
      </c>
    </row>
    <row r="1208" spans="1:48" x14ac:dyDescent="0.25">
      <c r="A1208" t="s">
        <v>5389</v>
      </c>
      <c r="C1208" t="s">
        <v>2878</v>
      </c>
      <c r="D1208" t="s">
        <v>5390</v>
      </c>
      <c r="E1208" t="s">
        <v>1663</v>
      </c>
      <c r="F1208">
        <v>5</v>
      </c>
      <c r="G1208">
        <v>5.5</v>
      </c>
      <c r="H1208" t="s">
        <v>2017</v>
      </c>
      <c r="I1208" s="21">
        <v>38223</v>
      </c>
      <c r="J1208">
        <v>2004</v>
      </c>
      <c r="K1208" s="21">
        <v>38254</v>
      </c>
      <c r="L1208">
        <v>2004</v>
      </c>
      <c r="M1208" s="21">
        <v>38407</v>
      </c>
      <c r="N1208">
        <v>2005</v>
      </c>
      <c r="Q1208" s="262">
        <v>50000</v>
      </c>
      <c r="S1208" t="s">
        <v>114</v>
      </c>
      <c r="T1208" t="s">
        <v>114</v>
      </c>
      <c r="W1208">
        <v>489</v>
      </c>
      <c r="X1208">
        <v>0</v>
      </c>
      <c r="Y1208">
        <v>0</v>
      </c>
      <c r="Z1208">
        <v>0</v>
      </c>
      <c r="AA1208">
        <v>0</v>
      </c>
      <c r="AB1208">
        <v>0</v>
      </c>
      <c r="AC1208">
        <v>489</v>
      </c>
      <c r="AD1208">
        <v>0</v>
      </c>
      <c r="AE1208">
        <v>0</v>
      </c>
      <c r="AF1208">
        <v>0</v>
      </c>
      <c r="AG1208">
        <v>0</v>
      </c>
      <c r="AH1208">
        <v>0</v>
      </c>
      <c r="AI1208">
        <v>0</v>
      </c>
      <c r="AJ1208">
        <v>0</v>
      </c>
      <c r="AK1208">
        <v>0</v>
      </c>
      <c r="AL1208">
        <v>0</v>
      </c>
      <c r="AM1208">
        <v>0</v>
      </c>
      <c r="AN1208">
        <v>0</v>
      </c>
      <c r="AO1208">
        <v>0</v>
      </c>
      <c r="AP1208">
        <v>0</v>
      </c>
      <c r="AQ1208">
        <v>0</v>
      </c>
      <c r="AR1208">
        <v>0</v>
      </c>
      <c r="AS1208">
        <v>0</v>
      </c>
      <c r="AT1208">
        <v>0</v>
      </c>
      <c r="AU1208">
        <f t="shared" si="36"/>
        <v>0</v>
      </c>
      <c r="AV1208">
        <f t="shared" si="37"/>
        <v>0</v>
      </c>
    </row>
    <row r="1209" spans="1:48" x14ac:dyDescent="0.25">
      <c r="A1209" t="s">
        <v>5400</v>
      </c>
      <c r="C1209" t="s">
        <v>5401</v>
      </c>
      <c r="D1209" t="s">
        <v>5402</v>
      </c>
      <c r="E1209" t="s">
        <v>2310</v>
      </c>
      <c r="F1209">
        <v>8</v>
      </c>
      <c r="G1209">
        <v>8.1</v>
      </c>
      <c r="H1209" t="s">
        <v>2323</v>
      </c>
      <c r="I1209" s="21">
        <v>38224</v>
      </c>
      <c r="J1209">
        <v>2004</v>
      </c>
      <c r="K1209" s="21">
        <v>38247</v>
      </c>
      <c r="L1209">
        <v>2004</v>
      </c>
      <c r="M1209" s="21">
        <v>38380</v>
      </c>
      <c r="N1209">
        <v>2005</v>
      </c>
      <c r="R1209" s="262">
        <v>35000</v>
      </c>
      <c r="S1209" t="s">
        <v>114</v>
      </c>
      <c r="T1209" t="s">
        <v>114</v>
      </c>
      <c r="U1209">
        <v>8</v>
      </c>
      <c r="W1209">
        <v>0</v>
      </c>
      <c r="X1209">
        <v>1</v>
      </c>
      <c r="Y1209">
        <v>0</v>
      </c>
      <c r="Z1209">
        <v>0</v>
      </c>
      <c r="AA1209">
        <v>0</v>
      </c>
      <c r="AB1209">
        <v>0</v>
      </c>
      <c r="AC1209">
        <v>-900</v>
      </c>
      <c r="AD1209">
        <v>0</v>
      </c>
      <c r="AE1209">
        <v>0</v>
      </c>
      <c r="AF1209">
        <v>900</v>
      </c>
      <c r="AG1209">
        <v>0</v>
      </c>
      <c r="AH1209">
        <v>0</v>
      </c>
      <c r="AI1209">
        <v>0</v>
      </c>
      <c r="AJ1209">
        <v>0</v>
      </c>
      <c r="AK1209">
        <v>0</v>
      </c>
      <c r="AL1209">
        <v>0</v>
      </c>
      <c r="AM1209">
        <v>0</v>
      </c>
      <c r="AN1209">
        <v>0</v>
      </c>
      <c r="AO1209">
        <v>0</v>
      </c>
      <c r="AP1209">
        <v>0</v>
      </c>
      <c r="AQ1209">
        <v>0</v>
      </c>
      <c r="AR1209">
        <v>1</v>
      </c>
      <c r="AS1209">
        <v>0</v>
      </c>
      <c r="AT1209">
        <v>0</v>
      </c>
      <c r="AU1209">
        <f t="shared" si="36"/>
        <v>0</v>
      </c>
      <c r="AV1209">
        <f t="shared" si="37"/>
        <v>0</v>
      </c>
    </row>
    <row r="1210" spans="1:48" x14ac:dyDescent="0.25">
      <c r="A1210" t="s">
        <v>5403</v>
      </c>
      <c r="C1210" t="s">
        <v>5404</v>
      </c>
      <c r="D1210" t="s">
        <v>5405</v>
      </c>
      <c r="E1210" t="s">
        <v>2310</v>
      </c>
      <c r="F1210">
        <v>9</v>
      </c>
      <c r="G1210">
        <v>9.1</v>
      </c>
      <c r="H1210" t="s">
        <v>2323</v>
      </c>
      <c r="I1210" s="21">
        <v>38224</v>
      </c>
      <c r="J1210">
        <v>2004</v>
      </c>
      <c r="K1210" s="21">
        <v>38251</v>
      </c>
      <c r="L1210">
        <v>2004</v>
      </c>
      <c r="M1210" s="21">
        <v>38663</v>
      </c>
      <c r="N1210">
        <v>2005</v>
      </c>
      <c r="R1210" s="262">
        <v>340000</v>
      </c>
      <c r="S1210" t="s">
        <v>114</v>
      </c>
      <c r="T1210" t="s">
        <v>114</v>
      </c>
      <c r="U1210">
        <v>11</v>
      </c>
      <c r="W1210">
        <v>1867</v>
      </c>
      <c r="X1210">
        <v>1</v>
      </c>
      <c r="Y1210">
        <v>0</v>
      </c>
      <c r="Z1210">
        <v>0</v>
      </c>
      <c r="AA1210">
        <v>0</v>
      </c>
      <c r="AB1210">
        <v>0</v>
      </c>
      <c r="AC1210">
        <v>0</v>
      </c>
      <c r="AD1210">
        <v>0</v>
      </c>
      <c r="AE1210">
        <v>0</v>
      </c>
      <c r="AF1210">
        <v>0</v>
      </c>
      <c r="AG1210">
        <v>0</v>
      </c>
      <c r="AH1210">
        <v>0</v>
      </c>
      <c r="AI1210">
        <v>1867</v>
      </c>
      <c r="AJ1210">
        <v>0</v>
      </c>
      <c r="AK1210">
        <v>0</v>
      </c>
      <c r="AL1210">
        <v>0</v>
      </c>
      <c r="AM1210">
        <v>0</v>
      </c>
      <c r="AN1210">
        <v>0</v>
      </c>
      <c r="AO1210">
        <v>0</v>
      </c>
      <c r="AP1210">
        <v>0</v>
      </c>
      <c r="AQ1210">
        <v>0</v>
      </c>
      <c r="AR1210">
        <v>0</v>
      </c>
      <c r="AS1210">
        <v>0</v>
      </c>
      <c r="AT1210">
        <v>1</v>
      </c>
      <c r="AU1210">
        <f t="shared" si="36"/>
        <v>0</v>
      </c>
      <c r="AV1210">
        <f t="shared" si="37"/>
        <v>1867</v>
      </c>
    </row>
    <row r="1211" spans="1:48" x14ac:dyDescent="0.25">
      <c r="A1211" t="s">
        <v>5406</v>
      </c>
      <c r="C1211" t="s">
        <v>5407</v>
      </c>
      <c r="D1211" t="s">
        <v>5408</v>
      </c>
      <c r="E1211" t="s">
        <v>2310</v>
      </c>
      <c r="F1211">
        <v>9</v>
      </c>
      <c r="G1211">
        <v>9.1</v>
      </c>
      <c r="H1211" t="s">
        <v>2323</v>
      </c>
      <c r="I1211" s="21">
        <v>38224</v>
      </c>
      <c r="J1211">
        <v>2004</v>
      </c>
      <c r="K1211" s="21">
        <v>38252</v>
      </c>
      <c r="L1211">
        <v>2004</v>
      </c>
      <c r="M1211" s="21">
        <v>38663</v>
      </c>
      <c r="N1211">
        <v>2005</v>
      </c>
      <c r="R1211" s="262">
        <v>340000</v>
      </c>
      <c r="S1211" t="s">
        <v>114</v>
      </c>
      <c r="T1211" t="s">
        <v>114</v>
      </c>
      <c r="U1211">
        <v>11</v>
      </c>
      <c r="W1211">
        <v>1867</v>
      </c>
      <c r="X1211">
        <v>1</v>
      </c>
      <c r="Y1211">
        <v>0</v>
      </c>
      <c r="Z1211">
        <v>0</v>
      </c>
      <c r="AA1211">
        <v>0</v>
      </c>
      <c r="AB1211">
        <v>0</v>
      </c>
      <c r="AC1211">
        <v>0</v>
      </c>
      <c r="AD1211">
        <v>0</v>
      </c>
      <c r="AE1211">
        <v>0</v>
      </c>
      <c r="AF1211">
        <v>0</v>
      </c>
      <c r="AG1211">
        <v>0</v>
      </c>
      <c r="AH1211">
        <v>0</v>
      </c>
      <c r="AI1211">
        <v>1867</v>
      </c>
      <c r="AJ1211">
        <v>0</v>
      </c>
      <c r="AK1211">
        <v>0</v>
      </c>
      <c r="AL1211">
        <v>0</v>
      </c>
      <c r="AM1211">
        <v>0</v>
      </c>
      <c r="AN1211">
        <v>0</v>
      </c>
      <c r="AO1211">
        <v>0</v>
      </c>
      <c r="AP1211">
        <v>0</v>
      </c>
      <c r="AQ1211">
        <v>0</v>
      </c>
      <c r="AR1211">
        <v>0</v>
      </c>
      <c r="AS1211">
        <v>0</v>
      </c>
      <c r="AT1211">
        <v>1</v>
      </c>
      <c r="AU1211">
        <f t="shared" si="36"/>
        <v>0</v>
      </c>
      <c r="AV1211">
        <f t="shared" si="37"/>
        <v>1867</v>
      </c>
    </row>
    <row r="1212" spans="1:48" x14ac:dyDescent="0.25">
      <c r="A1212" t="s">
        <v>5409</v>
      </c>
      <c r="C1212" t="s">
        <v>5410</v>
      </c>
      <c r="D1212" t="s">
        <v>5411</v>
      </c>
      <c r="E1212" t="s">
        <v>2310</v>
      </c>
      <c r="F1212">
        <v>9</v>
      </c>
      <c r="G1212">
        <v>9.1</v>
      </c>
      <c r="H1212" t="s">
        <v>2323</v>
      </c>
      <c r="I1212" s="21">
        <v>38224</v>
      </c>
      <c r="J1212">
        <v>2004</v>
      </c>
      <c r="K1212" s="21">
        <v>38252</v>
      </c>
      <c r="L1212">
        <v>2004</v>
      </c>
      <c r="M1212" s="21">
        <v>38672</v>
      </c>
      <c r="N1212">
        <v>2005</v>
      </c>
      <c r="R1212" s="262">
        <v>340000</v>
      </c>
      <c r="S1212" t="s">
        <v>114</v>
      </c>
      <c r="T1212" t="s">
        <v>114</v>
      </c>
      <c r="U1212">
        <v>11</v>
      </c>
      <c r="W1212">
        <v>1867</v>
      </c>
      <c r="X1212">
        <v>1</v>
      </c>
      <c r="Y1212">
        <v>0</v>
      </c>
      <c r="Z1212">
        <v>0</v>
      </c>
      <c r="AA1212">
        <v>0</v>
      </c>
      <c r="AB1212">
        <v>0</v>
      </c>
      <c r="AC1212">
        <v>0</v>
      </c>
      <c r="AD1212">
        <v>0</v>
      </c>
      <c r="AE1212">
        <v>0</v>
      </c>
      <c r="AF1212">
        <v>0</v>
      </c>
      <c r="AG1212">
        <v>0</v>
      </c>
      <c r="AH1212">
        <v>0</v>
      </c>
      <c r="AI1212">
        <v>1867</v>
      </c>
      <c r="AJ1212">
        <v>0</v>
      </c>
      <c r="AK1212">
        <v>0</v>
      </c>
      <c r="AL1212">
        <v>0</v>
      </c>
      <c r="AM1212">
        <v>0</v>
      </c>
      <c r="AN1212">
        <v>0</v>
      </c>
      <c r="AO1212">
        <v>0</v>
      </c>
      <c r="AP1212">
        <v>0</v>
      </c>
      <c r="AQ1212">
        <v>0</v>
      </c>
      <c r="AR1212">
        <v>0</v>
      </c>
      <c r="AS1212">
        <v>0</v>
      </c>
      <c r="AT1212">
        <v>1</v>
      </c>
      <c r="AU1212">
        <f t="shared" si="36"/>
        <v>0</v>
      </c>
      <c r="AV1212">
        <f t="shared" si="37"/>
        <v>1867</v>
      </c>
    </row>
    <row r="1213" spans="1:48" x14ac:dyDescent="0.25">
      <c r="A1213" t="s">
        <v>5412</v>
      </c>
      <c r="C1213" t="s">
        <v>3383</v>
      </c>
      <c r="D1213" t="s">
        <v>5413</v>
      </c>
      <c r="E1213" t="s">
        <v>2310</v>
      </c>
      <c r="F1213">
        <v>8</v>
      </c>
      <c r="G1213">
        <v>8.1</v>
      </c>
      <c r="H1213" t="s">
        <v>2323</v>
      </c>
      <c r="I1213" s="21">
        <v>38225</v>
      </c>
      <c r="J1213">
        <v>2004</v>
      </c>
      <c r="K1213" s="21">
        <v>38260</v>
      </c>
      <c r="L1213">
        <v>2004</v>
      </c>
      <c r="M1213" s="21">
        <v>38657</v>
      </c>
      <c r="N1213">
        <v>2005</v>
      </c>
      <c r="R1213" s="262">
        <v>1000000</v>
      </c>
      <c r="S1213" t="s">
        <v>114</v>
      </c>
      <c r="T1213" t="s">
        <v>114</v>
      </c>
      <c r="U1213">
        <v>5</v>
      </c>
      <c r="W1213">
        <v>6110</v>
      </c>
      <c r="X1213">
        <v>1</v>
      </c>
      <c r="Y1213">
        <v>0</v>
      </c>
      <c r="Z1213">
        <v>0</v>
      </c>
      <c r="AA1213">
        <v>0</v>
      </c>
      <c r="AB1213">
        <v>0</v>
      </c>
      <c r="AC1213">
        <v>6110</v>
      </c>
      <c r="AD1213">
        <v>0</v>
      </c>
      <c r="AE1213">
        <v>0</v>
      </c>
      <c r="AF1213">
        <v>0</v>
      </c>
      <c r="AG1213">
        <v>0</v>
      </c>
      <c r="AH1213">
        <v>0</v>
      </c>
      <c r="AI1213">
        <v>0</v>
      </c>
      <c r="AJ1213">
        <v>0</v>
      </c>
      <c r="AK1213">
        <v>0</v>
      </c>
      <c r="AL1213">
        <v>0</v>
      </c>
      <c r="AM1213">
        <v>0</v>
      </c>
      <c r="AN1213">
        <v>0</v>
      </c>
      <c r="AO1213">
        <v>1</v>
      </c>
      <c r="AP1213">
        <v>0</v>
      </c>
      <c r="AQ1213">
        <v>0</v>
      </c>
      <c r="AR1213">
        <v>0</v>
      </c>
      <c r="AS1213">
        <v>0</v>
      </c>
      <c r="AT1213">
        <v>0</v>
      </c>
      <c r="AU1213">
        <f t="shared" si="36"/>
        <v>1</v>
      </c>
      <c r="AV1213">
        <f t="shared" si="37"/>
        <v>0</v>
      </c>
    </row>
    <row r="1214" spans="1:48" x14ac:dyDescent="0.25">
      <c r="A1214" t="s">
        <v>5414</v>
      </c>
      <c r="C1214" t="s">
        <v>5415</v>
      </c>
      <c r="D1214" t="s">
        <v>5416</v>
      </c>
      <c r="E1214" t="s">
        <v>2310</v>
      </c>
      <c r="F1214">
        <v>7</v>
      </c>
      <c r="G1214">
        <v>7.2</v>
      </c>
      <c r="H1214" t="s">
        <v>2017</v>
      </c>
      <c r="I1214" s="21">
        <v>38225</v>
      </c>
      <c r="J1214">
        <v>2004</v>
      </c>
      <c r="K1214" s="21">
        <v>38254</v>
      </c>
      <c r="L1214">
        <v>2004</v>
      </c>
      <c r="M1214" s="21">
        <v>38901</v>
      </c>
      <c r="N1214">
        <v>2006</v>
      </c>
      <c r="R1214" s="262">
        <v>5000</v>
      </c>
      <c r="S1214" t="s">
        <v>114</v>
      </c>
      <c r="T1214" t="s">
        <v>114</v>
      </c>
      <c r="U1214">
        <v>5</v>
      </c>
      <c r="W1214">
        <v>240</v>
      </c>
      <c r="X1214">
        <v>0</v>
      </c>
      <c r="Y1214">
        <v>0</v>
      </c>
      <c r="Z1214">
        <v>0</v>
      </c>
      <c r="AA1214">
        <v>0</v>
      </c>
      <c r="AB1214">
        <v>0</v>
      </c>
      <c r="AC1214">
        <v>240</v>
      </c>
      <c r="AD1214">
        <v>0</v>
      </c>
      <c r="AE1214">
        <v>0</v>
      </c>
      <c r="AF1214">
        <v>0</v>
      </c>
      <c r="AG1214">
        <v>0</v>
      </c>
      <c r="AH1214">
        <v>0</v>
      </c>
      <c r="AI1214">
        <v>0</v>
      </c>
      <c r="AJ1214">
        <v>0</v>
      </c>
      <c r="AK1214">
        <v>0</v>
      </c>
      <c r="AL1214">
        <v>0</v>
      </c>
      <c r="AM1214">
        <v>0</v>
      </c>
      <c r="AN1214">
        <v>0</v>
      </c>
      <c r="AO1214">
        <v>0</v>
      </c>
      <c r="AP1214">
        <v>0</v>
      </c>
      <c r="AQ1214">
        <v>0</v>
      </c>
      <c r="AR1214">
        <v>0</v>
      </c>
      <c r="AS1214">
        <v>0</v>
      </c>
      <c r="AT1214">
        <v>0</v>
      </c>
      <c r="AU1214">
        <f t="shared" si="36"/>
        <v>0</v>
      </c>
      <c r="AV1214">
        <f t="shared" si="37"/>
        <v>0</v>
      </c>
    </row>
    <row r="1215" spans="1:48" x14ac:dyDescent="0.25">
      <c r="A1215" t="s">
        <v>5417</v>
      </c>
      <c r="C1215" t="s">
        <v>5418</v>
      </c>
      <c r="D1215" t="s">
        <v>4779</v>
      </c>
      <c r="E1215" t="s">
        <v>2310</v>
      </c>
      <c r="F1215">
        <v>8</v>
      </c>
      <c r="G1215">
        <v>8.1999999999999993</v>
      </c>
      <c r="H1215" t="s">
        <v>2022</v>
      </c>
      <c r="I1215" s="21">
        <v>38225</v>
      </c>
      <c r="J1215">
        <v>2004</v>
      </c>
      <c r="K1215" s="21">
        <v>38264</v>
      </c>
      <c r="L1215">
        <v>2004</v>
      </c>
      <c r="M1215" s="21">
        <v>38888</v>
      </c>
      <c r="N1215">
        <v>2006</v>
      </c>
      <c r="R1215" s="262">
        <v>456000</v>
      </c>
      <c r="S1215" t="s">
        <v>114</v>
      </c>
      <c r="T1215" t="s">
        <v>114</v>
      </c>
      <c r="U1215">
        <v>5</v>
      </c>
      <c r="W1215">
        <v>3069</v>
      </c>
      <c r="X1215">
        <v>0</v>
      </c>
      <c r="Y1215">
        <v>0</v>
      </c>
      <c r="Z1215">
        <v>0</v>
      </c>
      <c r="AA1215">
        <v>0</v>
      </c>
      <c r="AB1215">
        <v>0</v>
      </c>
      <c r="AC1215">
        <v>3069</v>
      </c>
      <c r="AD1215">
        <v>0</v>
      </c>
      <c r="AE1215">
        <v>0</v>
      </c>
      <c r="AF1215">
        <v>0</v>
      </c>
      <c r="AG1215">
        <v>0</v>
      </c>
      <c r="AH1215">
        <v>0</v>
      </c>
      <c r="AI1215">
        <v>0</v>
      </c>
      <c r="AJ1215">
        <v>0</v>
      </c>
      <c r="AK1215">
        <v>0</v>
      </c>
      <c r="AL1215">
        <v>0</v>
      </c>
      <c r="AM1215">
        <v>0</v>
      </c>
      <c r="AN1215">
        <v>0</v>
      </c>
      <c r="AO1215">
        <v>0</v>
      </c>
      <c r="AP1215">
        <v>0</v>
      </c>
      <c r="AQ1215">
        <v>0</v>
      </c>
      <c r="AR1215">
        <v>0</v>
      </c>
      <c r="AS1215">
        <v>0</v>
      </c>
      <c r="AT1215">
        <v>0</v>
      </c>
      <c r="AU1215">
        <f t="shared" si="36"/>
        <v>0</v>
      </c>
      <c r="AV1215">
        <f t="shared" si="37"/>
        <v>0</v>
      </c>
    </row>
    <row r="1216" spans="1:48" x14ac:dyDescent="0.25">
      <c r="A1216" t="s">
        <v>5422</v>
      </c>
      <c r="C1216" t="s">
        <v>5423</v>
      </c>
      <c r="D1216" t="s">
        <v>5424</v>
      </c>
      <c r="E1216" t="s">
        <v>2310</v>
      </c>
      <c r="F1216">
        <v>9</v>
      </c>
      <c r="G1216">
        <v>9.1</v>
      </c>
      <c r="H1216" t="s">
        <v>2323</v>
      </c>
      <c r="I1216" s="21">
        <v>38226</v>
      </c>
      <c r="J1216">
        <v>2004</v>
      </c>
      <c r="K1216" s="21">
        <v>38264</v>
      </c>
      <c r="L1216">
        <v>2004</v>
      </c>
      <c r="M1216" s="21">
        <v>38798</v>
      </c>
      <c r="N1216">
        <v>2006</v>
      </c>
      <c r="R1216" s="262">
        <v>600000</v>
      </c>
      <c r="S1216" t="s">
        <v>114</v>
      </c>
      <c r="T1216" t="s">
        <v>114</v>
      </c>
      <c r="U1216">
        <v>5</v>
      </c>
      <c r="W1216">
        <v>4028</v>
      </c>
      <c r="X1216">
        <v>1</v>
      </c>
      <c r="Y1216">
        <v>0</v>
      </c>
      <c r="Z1216">
        <v>0</v>
      </c>
      <c r="AA1216">
        <v>0</v>
      </c>
      <c r="AB1216">
        <v>0</v>
      </c>
      <c r="AC1216">
        <v>4028</v>
      </c>
      <c r="AD1216">
        <v>0</v>
      </c>
      <c r="AE1216">
        <v>0</v>
      </c>
      <c r="AF1216">
        <v>0</v>
      </c>
      <c r="AG1216">
        <v>0</v>
      </c>
      <c r="AH1216">
        <v>0</v>
      </c>
      <c r="AI1216">
        <v>0</v>
      </c>
      <c r="AJ1216">
        <v>0</v>
      </c>
      <c r="AK1216">
        <v>0</v>
      </c>
      <c r="AL1216">
        <v>0</v>
      </c>
      <c r="AM1216">
        <v>0</v>
      </c>
      <c r="AN1216">
        <v>0</v>
      </c>
      <c r="AO1216">
        <v>1</v>
      </c>
      <c r="AP1216">
        <v>0</v>
      </c>
      <c r="AQ1216">
        <v>0</v>
      </c>
      <c r="AR1216">
        <v>0</v>
      </c>
      <c r="AS1216">
        <v>0</v>
      </c>
      <c r="AT1216">
        <v>0</v>
      </c>
      <c r="AU1216">
        <f t="shared" si="36"/>
        <v>1</v>
      </c>
      <c r="AV1216">
        <f t="shared" si="37"/>
        <v>0</v>
      </c>
    </row>
    <row r="1217" spans="1:48" x14ac:dyDescent="0.25">
      <c r="A1217" t="s">
        <v>5419</v>
      </c>
      <c r="C1217" t="s">
        <v>5420</v>
      </c>
      <c r="D1217" t="s">
        <v>5421</v>
      </c>
      <c r="E1217" t="s">
        <v>1663</v>
      </c>
      <c r="F1217">
        <v>5</v>
      </c>
      <c r="G1217">
        <v>5.5</v>
      </c>
      <c r="H1217" t="s">
        <v>2017</v>
      </c>
      <c r="I1217" s="21">
        <v>38226</v>
      </c>
      <c r="J1217">
        <v>2004</v>
      </c>
      <c r="K1217" s="21">
        <v>38257</v>
      </c>
      <c r="L1217">
        <v>2004</v>
      </c>
      <c r="M1217" s="21">
        <v>38410</v>
      </c>
      <c r="N1217">
        <v>2005</v>
      </c>
      <c r="Q1217" s="262">
        <v>0</v>
      </c>
      <c r="S1217" t="s">
        <v>114</v>
      </c>
      <c r="T1217" t="s">
        <v>114</v>
      </c>
      <c r="W1217">
        <v>200</v>
      </c>
      <c r="X1217">
        <v>0</v>
      </c>
      <c r="Y1217">
        <v>0</v>
      </c>
      <c r="Z1217">
        <v>0</v>
      </c>
      <c r="AA1217">
        <v>0</v>
      </c>
      <c r="AB1217">
        <v>0</v>
      </c>
      <c r="AC1217">
        <v>200</v>
      </c>
      <c r="AD1217">
        <v>0</v>
      </c>
      <c r="AE1217">
        <v>0</v>
      </c>
      <c r="AF1217">
        <v>0</v>
      </c>
      <c r="AG1217">
        <v>0</v>
      </c>
      <c r="AH1217">
        <v>0</v>
      </c>
      <c r="AI1217">
        <v>0</v>
      </c>
      <c r="AJ1217">
        <v>0</v>
      </c>
      <c r="AK1217">
        <v>0</v>
      </c>
      <c r="AL1217">
        <v>0</v>
      </c>
      <c r="AM1217">
        <v>0</v>
      </c>
      <c r="AN1217">
        <v>0</v>
      </c>
      <c r="AO1217">
        <v>0</v>
      </c>
      <c r="AP1217">
        <v>0</v>
      </c>
      <c r="AQ1217">
        <v>0</v>
      </c>
      <c r="AR1217">
        <v>0</v>
      </c>
      <c r="AS1217">
        <v>0</v>
      </c>
      <c r="AT1217">
        <v>0</v>
      </c>
      <c r="AU1217">
        <f t="shared" si="36"/>
        <v>0</v>
      </c>
      <c r="AV1217">
        <f t="shared" si="37"/>
        <v>0</v>
      </c>
    </row>
    <row r="1218" spans="1:48" x14ac:dyDescent="0.25">
      <c r="A1218" t="s">
        <v>5425</v>
      </c>
      <c r="C1218" t="s">
        <v>5426</v>
      </c>
      <c r="D1218" t="s">
        <v>5427</v>
      </c>
      <c r="E1218" t="s">
        <v>2310</v>
      </c>
      <c r="F1218">
        <v>8</v>
      </c>
      <c r="G1218">
        <v>8.3000000000000007</v>
      </c>
      <c r="H1218" t="s">
        <v>2323</v>
      </c>
      <c r="I1218" s="21">
        <v>38229</v>
      </c>
      <c r="J1218">
        <v>2004</v>
      </c>
      <c r="K1218" s="21">
        <v>38293</v>
      </c>
      <c r="L1218">
        <v>2004</v>
      </c>
      <c r="M1218" s="21">
        <v>39344</v>
      </c>
      <c r="N1218">
        <v>2007</v>
      </c>
      <c r="R1218" s="262">
        <v>700000</v>
      </c>
      <c r="S1218" t="s">
        <v>114</v>
      </c>
      <c r="T1218" t="s">
        <v>114</v>
      </c>
      <c r="U1218">
        <v>5</v>
      </c>
      <c r="W1218">
        <v>5315</v>
      </c>
      <c r="X1218">
        <v>1</v>
      </c>
      <c r="Y1218">
        <v>0</v>
      </c>
      <c r="Z1218">
        <v>0</v>
      </c>
      <c r="AA1218">
        <v>0</v>
      </c>
      <c r="AB1218">
        <v>0</v>
      </c>
      <c r="AC1218">
        <v>5315</v>
      </c>
      <c r="AD1218">
        <v>0</v>
      </c>
      <c r="AE1218">
        <v>0</v>
      </c>
      <c r="AF1218">
        <v>0</v>
      </c>
      <c r="AG1218">
        <v>0</v>
      </c>
      <c r="AH1218">
        <v>0</v>
      </c>
      <c r="AI1218">
        <v>0</v>
      </c>
      <c r="AJ1218">
        <v>0</v>
      </c>
      <c r="AK1218">
        <v>0</v>
      </c>
      <c r="AL1218">
        <v>0</v>
      </c>
      <c r="AM1218">
        <v>0</v>
      </c>
      <c r="AN1218">
        <v>0</v>
      </c>
      <c r="AO1218">
        <v>1</v>
      </c>
      <c r="AP1218">
        <v>0</v>
      </c>
      <c r="AQ1218">
        <v>0</v>
      </c>
      <c r="AR1218">
        <v>0</v>
      </c>
      <c r="AS1218">
        <v>0</v>
      </c>
      <c r="AT1218">
        <v>0</v>
      </c>
      <c r="AU1218">
        <f t="shared" si="36"/>
        <v>1</v>
      </c>
      <c r="AV1218">
        <f t="shared" si="37"/>
        <v>0</v>
      </c>
    </row>
    <row r="1219" spans="1:48" x14ac:dyDescent="0.25">
      <c r="A1219" t="s">
        <v>5428</v>
      </c>
      <c r="C1219" t="s">
        <v>5429</v>
      </c>
      <c r="D1219" t="s">
        <v>5430</v>
      </c>
      <c r="E1219" t="s">
        <v>2310</v>
      </c>
      <c r="F1219">
        <v>9</v>
      </c>
      <c r="G1219">
        <v>9.1</v>
      </c>
      <c r="H1219" t="s">
        <v>2323</v>
      </c>
      <c r="I1219" s="21">
        <v>38229</v>
      </c>
      <c r="J1219">
        <v>2004</v>
      </c>
      <c r="M1219" s="21">
        <v>38672</v>
      </c>
      <c r="N1219">
        <v>2005</v>
      </c>
      <c r="R1219" s="262">
        <v>455400</v>
      </c>
      <c r="S1219" t="s">
        <v>114</v>
      </c>
      <c r="T1219" t="s">
        <v>114</v>
      </c>
      <c r="U1219">
        <v>11</v>
      </c>
      <c r="W1219">
        <v>2372</v>
      </c>
      <c r="X1219">
        <v>1</v>
      </c>
      <c r="Y1219">
        <v>0</v>
      </c>
      <c r="Z1219">
        <v>0</v>
      </c>
      <c r="AA1219">
        <v>0</v>
      </c>
      <c r="AB1219">
        <v>0</v>
      </c>
      <c r="AC1219">
        <v>0</v>
      </c>
      <c r="AD1219">
        <v>0</v>
      </c>
      <c r="AE1219">
        <v>0</v>
      </c>
      <c r="AF1219">
        <v>0</v>
      </c>
      <c r="AG1219">
        <v>0</v>
      </c>
      <c r="AH1219">
        <v>0</v>
      </c>
      <c r="AI1219">
        <v>2372</v>
      </c>
      <c r="AJ1219">
        <v>0</v>
      </c>
      <c r="AK1219">
        <v>0</v>
      </c>
      <c r="AL1219">
        <v>0</v>
      </c>
      <c r="AM1219">
        <v>0</v>
      </c>
      <c r="AN1219">
        <v>0</v>
      </c>
      <c r="AO1219">
        <v>0</v>
      </c>
      <c r="AP1219">
        <v>0</v>
      </c>
      <c r="AQ1219">
        <v>0</v>
      </c>
      <c r="AR1219">
        <v>0</v>
      </c>
      <c r="AS1219">
        <v>0</v>
      </c>
      <c r="AT1219">
        <v>1</v>
      </c>
      <c r="AU1219">
        <f t="shared" si="36"/>
        <v>0</v>
      </c>
      <c r="AV1219">
        <f t="shared" si="37"/>
        <v>2372</v>
      </c>
    </row>
    <row r="1220" spans="1:48" x14ac:dyDescent="0.25">
      <c r="A1220" t="s">
        <v>5431</v>
      </c>
      <c r="C1220" t="s">
        <v>5432</v>
      </c>
      <c r="D1220" t="s">
        <v>5433</v>
      </c>
      <c r="E1220" t="s">
        <v>2310</v>
      </c>
      <c r="F1220">
        <v>9</v>
      </c>
      <c r="G1220">
        <v>9.1</v>
      </c>
      <c r="H1220" t="s">
        <v>2323</v>
      </c>
      <c r="I1220" s="21">
        <v>38229</v>
      </c>
      <c r="J1220">
        <v>2004</v>
      </c>
      <c r="K1220" s="21">
        <v>38252</v>
      </c>
      <c r="L1220">
        <v>2004</v>
      </c>
      <c r="M1220" s="21">
        <v>38672</v>
      </c>
      <c r="N1220">
        <v>2005</v>
      </c>
      <c r="R1220" s="262">
        <v>455400</v>
      </c>
      <c r="S1220" t="s">
        <v>114</v>
      </c>
      <c r="T1220" t="s">
        <v>114</v>
      </c>
      <c r="U1220">
        <v>11</v>
      </c>
      <c r="W1220">
        <v>2372</v>
      </c>
      <c r="X1220">
        <v>1</v>
      </c>
      <c r="Y1220">
        <v>0</v>
      </c>
      <c r="Z1220">
        <v>0</v>
      </c>
      <c r="AA1220">
        <v>0</v>
      </c>
      <c r="AB1220">
        <v>0</v>
      </c>
      <c r="AC1220">
        <v>0</v>
      </c>
      <c r="AD1220">
        <v>0</v>
      </c>
      <c r="AE1220">
        <v>0</v>
      </c>
      <c r="AF1220">
        <v>0</v>
      </c>
      <c r="AG1220">
        <v>0</v>
      </c>
      <c r="AH1220">
        <v>0</v>
      </c>
      <c r="AI1220">
        <v>2372</v>
      </c>
      <c r="AJ1220">
        <v>0</v>
      </c>
      <c r="AK1220">
        <v>0</v>
      </c>
      <c r="AL1220">
        <v>0</v>
      </c>
      <c r="AM1220">
        <v>0</v>
      </c>
      <c r="AN1220">
        <v>0</v>
      </c>
      <c r="AO1220">
        <v>0</v>
      </c>
      <c r="AP1220">
        <v>0</v>
      </c>
      <c r="AQ1220">
        <v>0</v>
      </c>
      <c r="AR1220">
        <v>0</v>
      </c>
      <c r="AS1220">
        <v>0</v>
      </c>
      <c r="AT1220">
        <v>1</v>
      </c>
      <c r="AU1220">
        <f t="shared" si="36"/>
        <v>0</v>
      </c>
      <c r="AV1220">
        <f t="shared" si="37"/>
        <v>2372</v>
      </c>
    </row>
    <row r="1221" spans="1:48" x14ac:dyDescent="0.25">
      <c r="A1221" t="s">
        <v>5434</v>
      </c>
      <c r="C1221" t="s">
        <v>5435</v>
      </c>
      <c r="D1221" t="s">
        <v>5436</v>
      </c>
      <c r="E1221" t="s">
        <v>2310</v>
      </c>
      <c r="F1221">
        <v>9</v>
      </c>
      <c r="G1221">
        <v>9.1</v>
      </c>
      <c r="H1221" t="s">
        <v>2323</v>
      </c>
      <c r="I1221" s="21">
        <v>38229</v>
      </c>
      <c r="J1221">
        <v>2004</v>
      </c>
      <c r="K1221" s="21">
        <v>38252</v>
      </c>
      <c r="L1221">
        <v>2004</v>
      </c>
      <c r="M1221" s="21">
        <v>38663</v>
      </c>
      <c r="N1221">
        <v>2005</v>
      </c>
      <c r="R1221" s="262">
        <v>45600</v>
      </c>
      <c r="S1221" t="s">
        <v>114</v>
      </c>
      <c r="T1221" t="s">
        <v>114</v>
      </c>
      <c r="U1221">
        <v>11</v>
      </c>
      <c r="W1221">
        <v>2372</v>
      </c>
      <c r="X1221">
        <v>1</v>
      </c>
      <c r="Y1221">
        <v>0</v>
      </c>
      <c r="Z1221">
        <v>0</v>
      </c>
      <c r="AA1221">
        <v>0</v>
      </c>
      <c r="AB1221">
        <v>0</v>
      </c>
      <c r="AC1221">
        <v>0</v>
      </c>
      <c r="AD1221">
        <v>0</v>
      </c>
      <c r="AE1221">
        <v>0</v>
      </c>
      <c r="AF1221">
        <v>0</v>
      </c>
      <c r="AG1221">
        <v>0</v>
      </c>
      <c r="AH1221">
        <v>0</v>
      </c>
      <c r="AI1221">
        <v>2372</v>
      </c>
      <c r="AJ1221">
        <v>0</v>
      </c>
      <c r="AK1221">
        <v>0</v>
      </c>
      <c r="AL1221">
        <v>0</v>
      </c>
      <c r="AM1221">
        <v>0</v>
      </c>
      <c r="AN1221">
        <v>0</v>
      </c>
      <c r="AO1221">
        <v>0</v>
      </c>
      <c r="AP1221">
        <v>0</v>
      </c>
      <c r="AQ1221">
        <v>0</v>
      </c>
      <c r="AR1221">
        <v>0</v>
      </c>
      <c r="AS1221">
        <v>0</v>
      </c>
      <c r="AT1221">
        <v>1</v>
      </c>
      <c r="AU1221">
        <f t="shared" si="36"/>
        <v>0</v>
      </c>
      <c r="AV1221">
        <f t="shared" si="37"/>
        <v>2372</v>
      </c>
    </row>
    <row r="1222" spans="1:48" x14ac:dyDescent="0.25">
      <c r="A1222" t="s">
        <v>5437</v>
      </c>
      <c r="C1222" t="s">
        <v>5438</v>
      </c>
      <c r="D1222" t="s">
        <v>5439</v>
      </c>
      <c r="E1222" t="s">
        <v>2310</v>
      </c>
      <c r="F1222">
        <v>9</v>
      </c>
      <c r="G1222">
        <v>9.1</v>
      </c>
      <c r="H1222" t="s">
        <v>2323</v>
      </c>
      <c r="I1222" s="21">
        <v>38229</v>
      </c>
      <c r="J1222">
        <v>2004</v>
      </c>
      <c r="K1222" s="21">
        <v>38252</v>
      </c>
      <c r="L1222">
        <v>2004</v>
      </c>
      <c r="M1222" s="21">
        <v>38663</v>
      </c>
      <c r="N1222">
        <v>2005</v>
      </c>
      <c r="R1222" s="262">
        <v>342000</v>
      </c>
      <c r="S1222" t="s">
        <v>114</v>
      </c>
      <c r="T1222" t="s">
        <v>114</v>
      </c>
      <c r="U1222">
        <v>11</v>
      </c>
      <c r="W1222">
        <v>1865</v>
      </c>
      <c r="X1222">
        <v>1</v>
      </c>
      <c r="Y1222">
        <v>0</v>
      </c>
      <c r="Z1222">
        <v>0</v>
      </c>
      <c r="AA1222">
        <v>0</v>
      </c>
      <c r="AB1222">
        <v>0</v>
      </c>
      <c r="AC1222">
        <v>0</v>
      </c>
      <c r="AD1222">
        <v>0</v>
      </c>
      <c r="AE1222">
        <v>0</v>
      </c>
      <c r="AF1222">
        <v>0</v>
      </c>
      <c r="AG1222">
        <v>0</v>
      </c>
      <c r="AH1222">
        <v>0</v>
      </c>
      <c r="AI1222">
        <v>1865</v>
      </c>
      <c r="AJ1222">
        <v>0</v>
      </c>
      <c r="AK1222">
        <v>0</v>
      </c>
      <c r="AL1222">
        <v>0</v>
      </c>
      <c r="AM1222">
        <v>0</v>
      </c>
      <c r="AN1222">
        <v>0</v>
      </c>
      <c r="AO1222">
        <v>0</v>
      </c>
      <c r="AP1222">
        <v>0</v>
      </c>
      <c r="AQ1222">
        <v>0</v>
      </c>
      <c r="AR1222">
        <v>0</v>
      </c>
      <c r="AS1222">
        <v>0</v>
      </c>
      <c r="AT1222">
        <v>1</v>
      </c>
      <c r="AU1222">
        <f t="shared" si="36"/>
        <v>0</v>
      </c>
      <c r="AV1222">
        <f t="shared" si="37"/>
        <v>1865</v>
      </c>
    </row>
    <row r="1223" spans="1:48" x14ac:dyDescent="0.25">
      <c r="A1223" t="s">
        <v>5440</v>
      </c>
      <c r="C1223" t="s">
        <v>5441</v>
      </c>
      <c r="D1223" t="s">
        <v>5442</v>
      </c>
      <c r="E1223" t="s">
        <v>2310</v>
      </c>
      <c r="F1223">
        <v>9</v>
      </c>
      <c r="G1223">
        <v>9.1</v>
      </c>
      <c r="H1223" t="s">
        <v>2323</v>
      </c>
      <c r="I1223" s="21">
        <v>38230</v>
      </c>
      <c r="J1223">
        <v>2004</v>
      </c>
      <c r="K1223" s="21">
        <v>38272</v>
      </c>
      <c r="L1223">
        <v>2004</v>
      </c>
      <c r="M1223" s="21">
        <v>38672</v>
      </c>
      <c r="N1223">
        <v>2005</v>
      </c>
      <c r="R1223" s="262">
        <v>342000</v>
      </c>
      <c r="S1223" t="s">
        <v>114</v>
      </c>
      <c r="T1223" t="s">
        <v>114</v>
      </c>
      <c r="U1223">
        <v>11</v>
      </c>
      <c r="W1223">
        <v>1865</v>
      </c>
      <c r="X1223">
        <v>1</v>
      </c>
      <c r="Y1223">
        <v>0</v>
      </c>
      <c r="Z1223">
        <v>0</v>
      </c>
      <c r="AA1223">
        <v>0</v>
      </c>
      <c r="AB1223">
        <v>0</v>
      </c>
      <c r="AC1223">
        <v>0</v>
      </c>
      <c r="AD1223">
        <v>0</v>
      </c>
      <c r="AE1223">
        <v>0</v>
      </c>
      <c r="AF1223">
        <v>0</v>
      </c>
      <c r="AG1223">
        <v>0</v>
      </c>
      <c r="AH1223">
        <v>0</v>
      </c>
      <c r="AI1223">
        <v>1865</v>
      </c>
      <c r="AJ1223">
        <v>0</v>
      </c>
      <c r="AK1223">
        <v>0</v>
      </c>
      <c r="AL1223">
        <v>0</v>
      </c>
      <c r="AM1223">
        <v>0</v>
      </c>
      <c r="AN1223">
        <v>0</v>
      </c>
      <c r="AO1223">
        <v>0</v>
      </c>
      <c r="AP1223">
        <v>0</v>
      </c>
      <c r="AQ1223">
        <v>0</v>
      </c>
      <c r="AR1223">
        <v>0</v>
      </c>
      <c r="AS1223">
        <v>0</v>
      </c>
      <c r="AT1223">
        <v>1</v>
      </c>
      <c r="AU1223">
        <f t="shared" si="36"/>
        <v>0</v>
      </c>
      <c r="AV1223">
        <f t="shared" si="37"/>
        <v>1865</v>
      </c>
    </row>
    <row r="1224" spans="1:48" x14ac:dyDescent="0.25">
      <c r="A1224" t="s">
        <v>5443</v>
      </c>
      <c r="C1224" t="s">
        <v>5444</v>
      </c>
      <c r="D1224" t="s">
        <v>5445</v>
      </c>
      <c r="E1224" t="s">
        <v>2310</v>
      </c>
      <c r="F1224">
        <v>9</v>
      </c>
      <c r="G1224">
        <v>9.1</v>
      </c>
      <c r="H1224" t="s">
        <v>2323</v>
      </c>
      <c r="I1224" s="21">
        <v>38230</v>
      </c>
      <c r="J1224">
        <v>2004</v>
      </c>
      <c r="K1224" s="21">
        <v>38260</v>
      </c>
      <c r="L1224">
        <v>2004</v>
      </c>
      <c r="M1224" s="21">
        <v>38798</v>
      </c>
      <c r="N1224">
        <v>2006</v>
      </c>
      <c r="R1224" s="262">
        <v>265500</v>
      </c>
      <c r="S1224" t="s">
        <v>114</v>
      </c>
      <c r="T1224" t="s">
        <v>114</v>
      </c>
      <c r="U1224">
        <v>5</v>
      </c>
      <c r="W1224">
        <v>2411</v>
      </c>
      <c r="X1224">
        <v>0</v>
      </c>
      <c r="Y1224">
        <v>0</v>
      </c>
      <c r="Z1224">
        <v>0</v>
      </c>
      <c r="AA1224">
        <v>0</v>
      </c>
      <c r="AB1224">
        <v>0</v>
      </c>
      <c r="AC1224">
        <v>2411</v>
      </c>
      <c r="AD1224">
        <v>0</v>
      </c>
      <c r="AE1224">
        <v>0</v>
      </c>
      <c r="AF1224">
        <v>0</v>
      </c>
      <c r="AG1224">
        <v>0</v>
      </c>
      <c r="AH1224">
        <v>0</v>
      </c>
      <c r="AI1224">
        <v>0</v>
      </c>
      <c r="AJ1224">
        <v>0</v>
      </c>
      <c r="AK1224">
        <v>0</v>
      </c>
      <c r="AL1224">
        <v>0</v>
      </c>
      <c r="AM1224">
        <v>0</v>
      </c>
      <c r="AN1224">
        <v>0</v>
      </c>
      <c r="AO1224">
        <v>0</v>
      </c>
      <c r="AP1224">
        <v>0</v>
      </c>
      <c r="AQ1224">
        <v>0</v>
      </c>
      <c r="AR1224">
        <v>0</v>
      </c>
      <c r="AS1224">
        <v>0</v>
      </c>
      <c r="AT1224">
        <v>0</v>
      </c>
      <c r="AU1224">
        <f t="shared" si="36"/>
        <v>0</v>
      </c>
      <c r="AV1224">
        <f t="shared" si="37"/>
        <v>0</v>
      </c>
    </row>
    <row r="1225" spans="1:48" x14ac:dyDescent="0.25">
      <c r="A1225" t="s">
        <v>5446</v>
      </c>
      <c r="C1225" t="s">
        <v>5447</v>
      </c>
      <c r="D1225" t="s">
        <v>5448</v>
      </c>
      <c r="E1225" t="s">
        <v>2310</v>
      </c>
      <c r="F1225">
        <v>9</v>
      </c>
      <c r="G1225">
        <v>9.4</v>
      </c>
      <c r="H1225" t="s">
        <v>2323</v>
      </c>
      <c r="I1225" s="21">
        <v>38231</v>
      </c>
      <c r="J1225">
        <v>2004</v>
      </c>
      <c r="K1225" s="21">
        <v>38264</v>
      </c>
      <c r="L1225">
        <v>2004</v>
      </c>
      <c r="M1225" s="21">
        <v>38400</v>
      </c>
      <c r="N1225">
        <v>2005</v>
      </c>
      <c r="R1225" s="262">
        <v>63000</v>
      </c>
      <c r="S1225" t="s">
        <v>114</v>
      </c>
      <c r="T1225" t="s">
        <v>114</v>
      </c>
      <c r="U1225">
        <v>5</v>
      </c>
      <c r="W1225">
        <v>100</v>
      </c>
      <c r="X1225">
        <v>0</v>
      </c>
      <c r="Y1225">
        <v>0</v>
      </c>
      <c r="Z1225">
        <v>0</v>
      </c>
      <c r="AA1225">
        <v>0</v>
      </c>
      <c r="AB1225">
        <v>0</v>
      </c>
      <c r="AC1225">
        <v>100</v>
      </c>
      <c r="AD1225">
        <v>0</v>
      </c>
      <c r="AE1225">
        <v>0</v>
      </c>
      <c r="AF1225">
        <v>0</v>
      </c>
      <c r="AG1225">
        <v>0</v>
      </c>
      <c r="AH1225">
        <v>0</v>
      </c>
      <c r="AI1225">
        <v>0</v>
      </c>
      <c r="AJ1225">
        <v>0</v>
      </c>
      <c r="AK1225">
        <v>0</v>
      </c>
      <c r="AL1225">
        <v>0</v>
      </c>
      <c r="AM1225">
        <v>0</v>
      </c>
      <c r="AN1225">
        <v>0</v>
      </c>
      <c r="AO1225">
        <v>0</v>
      </c>
      <c r="AP1225">
        <v>0</v>
      </c>
      <c r="AQ1225">
        <v>0</v>
      </c>
      <c r="AR1225">
        <v>0</v>
      </c>
      <c r="AS1225">
        <v>0</v>
      </c>
      <c r="AT1225">
        <v>0</v>
      </c>
      <c r="AU1225">
        <f t="shared" si="36"/>
        <v>0</v>
      </c>
      <c r="AV1225">
        <f t="shared" si="37"/>
        <v>0</v>
      </c>
    </row>
    <row r="1226" spans="1:48" x14ac:dyDescent="0.25">
      <c r="A1226" t="s">
        <v>5449</v>
      </c>
      <c r="C1226" t="s">
        <v>4061</v>
      </c>
      <c r="D1226" t="s">
        <v>5450</v>
      </c>
      <c r="E1226" t="s">
        <v>2310</v>
      </c>
      <c r="F1226">
        <v>10</v>
      </c>
      <c r="G1226">
        <v>10.1</v>
      </c>
      <c r="H1226" t="s">
        <v>2323</v>
      </c>
      <c r="I1226" s="21">
        <v>38237</v>
      </c>
      <c r="J1226">
        <v>2004</v>
      </c>
      <c r="K1226" s="21">
        <v>38264</v>
      </c>
      <c r="L1226">
        <v>2004</v>
      </c>
      <c r="M1226" s="21">
        <v>38951</v>
      </c>
      <c r="N1226">
        <v>2006</v>
      </c>
      <c r="R1226" s="262">
        <v>55000</v>
      </c>
      <c r="S1226" t="s">
        <v>114</v>
      </c>
      <c r="T1226" t="s">
        <v>114</v>
      </c>
      <c r="U1226">
        <v>5</v>
      </c>
      <c r="W1226">
        <v>1216</v>
      </c>
      <c r="X1226">
        <v>1</v>
      </c>
      <c r="Y1226">
        <v>0</v>
      </c>
      <c r="Z1226">
        <v>0</v>
      </c>
      <c r="AA1226">
        <v>0</v>
      </c>
      <c r="AB1226">
        <v>0</v>
      </c>
      <c r="AC1226">
        <v>1216</v>
      </c>
      <c r="AD1226">
        <v>0</v>
      </c>
      <c r="AE1226">
        <v>0</v>
      </c>
      <c r="AF1226">
        <v>0</v>
      </c>
      <c r="AG1226">
        <v>0</v>
      </c>
      <c r="AH1226">
        <v>0</v>
      </c>
      <c r="AI1226">
        <v>0</v>
      </c>
      <c r="AJ1226">
        <v>0</v>
      </c>
      <c r="AK1226">
        <v>0</v>
      </c>
      <c r="AL1226">
        <v>0</v>
      </c>
      <c r="AM1226">
        <v>0</v>
      </c>
      <c r="AN1226">
        <v>0</v>
      </c>
      <c r="AO1226">
        <v>1</v>
      </c>
      <c r="AP1226">
        <v>0</v>
      </c>
      <c r="AQ1226">
        <v>0</v>
      </c>
      <c r="AR1226">
        <v>0</v>
      </c>
      <c r="AS1226">
        <v>0</v>
      </c>
      <c r="AT1226">
        <v>0</v>
      </c>
      <c r="AU1226">
        <f t="shared" si="36"/>
        <v>1</v>
      </c>
      <c r="AV1226">
        <f t="shared" si="37"/>
        <v>0</v>
      </c>
    </row>
    <row r="1227" spans="1:48" x14ac:dyDescent="0.25">
      <c r="A1227" t="s">
        <v>5451</v>
      </c>
      <c r="C1227" t="s">
        <v>5452</v>
      </c>
      <c r="D1227" t="s">
        <v>5453</v>
      </c>
      <c r="E1227" t="s">
        <v>2310</v>
      </c>
      <c r="F1227">
        <v>13</v>
      </c>
      <c r="G1227">
        <v>13.3</v>
      </c>
      <c r="H1227" t="s">
        <v>2017</v>
      </c>
      <c r="I1227" s="21">
        <v>38238</v>
      </c>
      <c r="J1227">
        <v>2004</v>
      </c>
      <c r="K1227" s="21">
        <v>38264</v>
      </c>
      <c r="L1227">
        <v>2004</v>
      </c>
      <c r="M1227" s="21">
        <v>38471</v>
      </c>
      <c r="N1227">
        <v>2005</v>
      </c>
      <c r="R1227" s="262">
        <v>200000</v>
      </c>
      <c r="S1227" t="s">
        <v>114</v>
      </c>
      <c r="T1227" t="s">
        <v>114</v>
      </c>
      <c r="U1227">
        <v>5</v>
      </c>
      <c r="W1227">
        <v>600</v>
      </c>
      <c r="X1227">
        <v>0</v>
      </c>
      <c r="Y1227">
        <v>0</v>
      </c>
      <c r="Z1227">
        <v>0</v>
      </c>
      <c r="AA1227">
        <v>0</v>
      </c>
      <c r="AB1227">
        <v>0</v>
      </c>
      <c r="AC1227">
        <v>600</v>
      </c>
      <c r="AD1227">
        <v>0</v>
      </c>
      <c r="AE1227">
        <v>0</v>
      </c>
      <c r="AF1227">
        <v>0</v>
      </c>
      <c r="AG1227">
        <v>0</v>
      </c>
      <c r="AH1227">
        <v>0</v>
      </c>
      <c r="AI1227">
        <v>0</v>
      </c>
      <c r="AJ1227">
        <v>0</v>
      </c>
      <c r="AK1227">
        <v>0</v>
      </c>
      <c r="AL1227">
        <v>0</v>
      </c>
      <c r="AM1227">
        <v>0</v>
      </c>
      <c r="AN1227">
        <v>0</v>
      </c>
      <c r="AO1227">
        <v>0</v>
      </c>
      <c r="AP1227">
        <v>0</v>
      </c>
      <c r="AQ1227">
        <v>0</v>
      </c>
      <c r="AR1227">
        <v>0</v>
      </c>
      <c r="AS1227">
        <v>0</v>
      </c>
      <c r="AT1227">
        <v>0</v>
      </c>
      <c r="AU1227">
        <f t="shared" si="36"/>
        <v>0</v>
      </c>
      <c r="AV1227">
        <f t="shared" si="37"/>
        <v>0</v>
      </c>
    </row>
    <row r="1228" spans="1:48" x14ac:dyDescent="0.25">
      <c r="A1228" t="s">
        <v>5454</v>
      </c>
      <c r="C1228" t="s">
        <v>4891</v>
      </c>
      <c r="D1228" t="s">
        <v>5455</v>
      </c>
      <c r="E1228" t="s">
        <v>2310</v>
      </c>
      <c r="F1228">
        <v>9</v>
      </c>
      <c r="G1228">
        <v>9.3000000000000007</v>
      </c>
      <c r="H1228" t="s">
        <v>2323</v>
      </c>
      <c r="I1228" s="21">
        <v>38238</v>
      </c>
      <c r="J1228">
        <v>2004</v>
      </c>
      <c r="K1228" s="21">
        <v>38273</v>
      </c>
      <c r="L1228">
        <v>2004</v>
      </c>
      <c r="M1228" s="21">
        <v>39414</v>
      </c>
      <c r="N1228">
        <v>2007</v>
      </c>
      <c r="R1228" s="262">
        <v>3000000</v>
      </c>
      <c r="S1228" t="s">
        <v>114</v>
      </c>
      <c r="T1228" t="s">
        <v>114</v>
      </c>
      <c r="U1228">
        <v>5</v>
      </c>
      <c r="W1228">
        <v>7944</v>
      </c>
      <c r="X1228">
        <v>1</v>
      </c>
      <c r="Y1228">
        <v>0</v>
      </c>
      <c r="Z1228">
        <v>0</v>
      </c>
      <c r="AA1228">
        <v>0</v>
      </c>
      <c r="AB1228">
        <v>0</v>
      </c>
      <c r="AC1228">
        <v>7944</v>
      </c>
      <c r="AD1228">
        <v>0</v>
      </c>
      <c r="AE1228">
        <v>0</v>
      </c>
      <c r="AF1228">
        <v>0</v>
      </c>
      <c r="AG1228">
        <v>0</v>
      </c>
      <c r="AH1228">
        <v>0</v>
      </c>
      <c r="AI1228">
        <v>0</v>
      </c>
      <c r="AJ1228">
        <v>0</v>
      </c>
      <c r="AK1228">
        <v>0</v>
      </c>
      <c r="AL1228">
        <v>0</v>
      </c>
      <c r="AM1228">
        <v>0</v>
      </c>
      <c r="AN1228">
        <v>0</v>
      </c>
      <c r="AO1228">
        <v>1</v>
      </c>
      <c r="AP1228">
        <v>0</v>
      </c>
      <c r="AQ1228">
        <v>0</v>
      </c>
      <c r="AR1228">
        <v>0</v>
      </c>
      <c r="AS1228">
        <v>0</v>
      </c>
      <c r="AT1228">
        <v>0</v>
      </c>
      <c r="AU1228">
        <f t="shared" si="36"/>
        <v>1</v>
      </c>
      <c r="AV1228">
        <f t="shared" si="37"/>
        <v>0</v>
      </c>
    </row>
    <row r="1229" spans="1:48" x14ac:dyDescent="0.25">
      <c r="A1229" t="s">
        <v>5456</v>
      </c>
      <c r="C1229" t="s">
        <v>5457</v>
      </c>
      <c r="D1229" t="s">
        <v>5455</v>
      </c>
      <c r="E1229" t="s">
        <v>2310</v>
      </c>
      <c r="F1229">
        <v>9</v>
      </c>
      <c r="G1229">
        <v>9.3000000000000007</v>
      </c>
      <c r="H1229" t="s">
        <v>2323</v>
      </c>
      <c r="I1229" s="21">
        <v>38238</v>
      </c>
      <c r="J1229">
        <v>2004</v>
      </c>
      <c r="K1229" s="21">
        <v>38274</v>
      </c>
      <c r="L1229">
        <v>2004</v>
      </c>
      <c r="M1229" s="21">
        <v>39414</v>
      </c>
      <c r="N1229">
        <v>2007</v>
      </c>
      <c r="R1229" s="262">
        <v>200000</v>
      </c>
      <c r="S1229" t="s">
        <v>114</v>
      </c>
      <c r="T1229" t="s">
        <v>114</v>
      </c>
      <c r="U1229">
        <v>5</v>
      </c>
      <c r="W1229">
        <v>1142</v>
      </c>
      <c r="X1229">
        <v>0</v>
      </c>
      <c r="Y1229">
        <v>0</v>
      </c>
      <c r="Z1229">
        <v>0</v>
      </c>
      <c r="AA1229">
        <v>0</v>
      </c>
      <c r="AB1229">
        <v>0</v>
      </c>
      <c r="AC1229">
        <v>1142</v>
      </c>
      <c r="AD1229">
        <v>0</v>
      </c>
      <c r="AE1229">
        <v>0</v>
      </c>
      <c r="AF1229">
        <v>0</v>
      </c>
      <c r="AG1229">
        <v>0</v>
      </c>
      <c r="AH1229">
        <v>0</v>
      </c>
      <c r="AI1229">
        <v>0</v>
      </c>
      <c r="AJ1229">
        <v>0</v>
      </c>
      <c r="AK1229">
        <v>0</v>
      </c>
      <c r="AL1229">
        <v>0</v>
      </c>
      <c r="AM1229">
        <v>0</v>
      </c>
      <c r="AN1229">
        <v>0</v>
      </c>
      <c r="AO1229">
        <v>0</v>
      </c>
      <c r="AP1229">
        <v>0</v>
      </c>
      <c r="AQ1229">
        <v>0</v>
      </c>
      <c r="AR1229">
        <v>0</v>
      </c>
      <c r="AS1229">
        <v>0</v>
      </c>
      <c r="AT1229">
        <v>0</v>
      </c>
      <c r="AU1229">
        <f t="shared" si="36"/>
        <v>0</v>
      </c>
      <c r="AV1229">
        <f t="shared" si="37"/>
        <v>0</v>
      </c>
    </row>
    <row r="1230" spans="1:48" x14ac:dyDescent="0.25">
      <c r="A1230" t="s">
        <v>5458</v>
      </c>
      <c r="C1230" t="s">
        <v>5459</v>
      </c>
      <c r="D1230" t="s">
        <v>5455</v>
      </c>
      <c r="E1230" t="s">
        <v>2310</v>
      </c>
      <c r="F1230">
        <v>9</v>
      </c>
      <c r="G1230">
        <v>9.3000000000000007</v>
      </c>
      <c r="H1230" t="s">
        <v>2323</v>
      </c>
      <c r="I1230" s="21">
        <v>38238</v>
      </c>
      <c r="J1230">
        <v>2004</v>
      </c>
      <c r="K1230" s="21">
        <v>38274</v>
      </c>
      <c r="L1230">
        <v>2004</v>
      </c>
      <c r="M1230" s="21">
        <v>39507</v>
      </c>
      <c r="N1230">
        <v>2008</v>
      </c>
      <c r="R1230" s="262">
        <v>60000</v>
      </c>
      <c r="S1230" t="s">
        <v>114</v>
      </c>
      <c r="T1230" t="s">
        <v>114</v>
      </c>
      <c r="U1230">
        <v>5</v>
      </c>
      <c r="W1230">
        <v>1490</v>
      </c>
      <c r="X1230">
        <v>0</v>
      </c>
      <c r="Y1230">
        <v>0</v>
      </c>
      <c r="Z1230">
        <v>0</v>
      </c>
      <c r="AA1230">
        <v>0</v>
      </c>
      <c r="AB1230">
        <v>0</v>
      </c>
      <c r="AC1230">
        <v>1490</v>
      </c>
      <c r="AD1230">
        <v>0</v>
      </c>
      <c r="AE1230">
        <v>0</v>
      </c>
      <c r="AF1230">
        <v>0</v>
      </c>
      <c r="AG1230">
        <v>0</v>
      </c>
      <c r="AH1230">
        <v>0</v>
      </c>
      <c r="AI1230">
        <v>0</v>
      </c>
      <c r="AJ1230">
        <v>0</v>
      </c>
      <c r="AK1230">
        <v>0</v>
      </c>
      <c r="AL1230">
        <v>0</v>
      </c>
      <c r="AM1230">
        <v>0</v>
      </c>
      <c r="AN1230">
        <v>0</v>
      </c>
      <c r="AO1230">
        <v>0</v>
      </c>
      <c r="AP1230">
        <v>0</v>
      </c>
      <c r="AQ1230">
        <v>0</v>
      </c>
      <c r="AR1230">
        <v>0</v>
      </c>
      <c r="AS1230">
        <v>0</v>
      </c>
      <c r="AT1230">
        <v>0</v>
      </c>
      <c r="AU1230">
        <f t="shared" si="36"/>
        <v>0</v>
      </c>
      <c r="AV1230">
        <f t="shared" si="37"/>
        <v>0</v>
      </c>
    </row>
    <row r="1231" spans="1:48" x14ac:dyDescent="0.25">
      <c r="A1231" t="s">
        <v>5460</v>
      </c>
      <c r="C1231" t="s">
        <v>2389</v>
      </c>
      <c r="D1231" t="s">
        <v>5455</v>
      </c>
      <c r="E1231" t="s">
        <v>2310</v>
      </c>
      <c r="F1231">
        <v>9</v>
      </c>
      <c r="G1231">
        <v>9.3000000000000007</v>
      </c>
      <c r="H1231" t="s">
        <v>2323</v>
      </c>
      <c r="I1231" s="21">
        <v>38238</v>
      </c>
      <c r="J1231">
        <v>2004</v>
      </c>
      <c r="K1231" s="21">
        <v>38274</v>
      </c>
      <c r="L1231">
        <v>2004</v>
      </c>
      <c r="M1231" s="21">
        <v>39507</v>
      </c>
      <c r="N1231">
        <v>2008</v>
      </c>
      <c r="R1231" s="262">
        <v>50000</v>
      </c>
      <c r="S1231" t="s">
        <v>114</v>
      </c>
      <c r="T1231" t="s">
        <v>114</v>
      </c>
      <c r="U1231">
        <v>5</v>
      </c>
      <c r="W1231">
        <v>1277</v>
      </c>
      <c r="X1231">
        <v>0</v>
      </c>
      <c r="Y1231">
        <v>0</v>
      </c>
      <c r="Z1231">
        <v>0</v>
      </c>
      <c r="AA1231">
        <v>0</v>
      </c>
      <c r="AB1231">
        <v>0</v>
      </c>
      <c r="AC1231">
        <v>1277</v>
      </c>
      <c r="AD1231">
        <v>0</v>
      </c>
      <c r="AE1231">
        <v>0</v>
      </c>
      <c r="AF1231">
        <v>0</v>
      </c>
      <c r="AG1231">
        <v>0</v>
      </c>
      <c r="AH1231">
        <v>0</v>
      </c>
      <c r="AI1231">
        <v>0</v>
      </c>
      <c r="AJ1231">
        <v>0</v>
      </c>
      <c r="AK1231">
        <v>0</v>
      </c>
      <c r="AL1231">
        <v>0</v>
      </c>
      <c r="AM1231">
        <v>0</v>
      </c>
      <c r="AN1231">
        <v>0</v>
      </c>
      <c r="AO1231">
        <v>0</v>
      </c>
      <c r="AP1231">
        <v>0</v>
      </c>
      <c r="AQ1231">
        <v>0</v>
      </c>
      <c r="AR1231">
        <v>0</v>
      </c>
      <c r="AS1231">
        <v>0</v>
      </c>
      <c r="AT1231">
        <v>0</v>
      </c>
      <c r="AU1231">
        <f t="shared" si="36"/>
        <v>0</v>
      </c>
      <c r="AV1231">
        <f t="shared" si="37"/>
        <v>0</v>
      </c>
    </row>
    <row r="1232" spans="1:48" x14ac:dyDescent="0.25">
      <c r="A1232" t="s">
        <v>5461</v>
      </c>
      <c r="C1232" t="s">
        <v>5462</v>
      </c>
      <c r="D1232" t="s">
        <v>5463</v>
      </c>
      <c r="E1232" t="s">
        <v>1663</v>
      </c>
      <c r="F1232">
        <v>5</v>
      </c>
      <c r="G1232">
        <v>5.5</v>
      </c>
      <c r="H1232" t="s">
        <v>2017</v>
      </c>
      <c r="I1232" s="21">
        <v>38243</v>
      </c>
      <c r="J1232">
        <v>2004</v>
      </c>
      <c r="K1232" s="21">
        <v>38273</v>
      </c>
      <c r="L1232">
        <v>2004</v>
      </c>
      <c r="M1232" s="21">
        <v>38424</v>
      </c>
      <c r="N1232">
        <v>2005</v>
      </c>
      <c r="Q1232" s="262">
        <v>0</v>
      </c>
      <c r="S1232" t="s">
        <v>114</v>
      </c>
      <c r="T1232" t="s">
        <v>114</v>
      </c>
      <c r="W1232">
        <v>528</v>
      </c>
      <c r="X1232">
        <v>0</v>
      </c>
      <c r="Y1232">
        <v>0</v>
      </c>
      <c r="Z1232">
        <v>0</v>
      </c>
      <c r="AA1232">
        <v>0</v>
      </c>
      <c r="AB1232">
        <v>0</v>
      </c>
      <c r="AC1232">
        <v>528</v>
      </c>
      <c r="AD1232">
        <v>0</v>
      </c>
      <c r="AE1232">
        <v>0</v>
      </c>
      <c r="AF1232">
        <v>0</v>
      </c>
      <c r="AG1232">
        <v>0</v>
      </c>
      <c r="AH1232">
        <v>0</v>
      </c>
      <c r="AI1232">
        <v>0</v>
      </c>
      <c r="AJ1232">
        <v>0</v>
      </c>
      <c r="AK1232">
        <v>0</v>
      </c>
      <c r="AL1232">
        <v>0</v>
      </c>
      <c r="AM1232">
        <v>0</v>
      </c>
      <c r="AN1232">
        <v>0</v>
      </c>
      <c r="AO1232">
        <v>0</v>
      </c>
      <c r="AP1232">
        <v>0</v>
      </c>
      <c r="AQ1232">
        <v>0</v>
      </c>
      <c r="AR1232">
        <v>0</v>
      </c>
      <c r="AS1232">
        <v>0</v>
      </c>
      <c r="AT1232">
        <v>0</v>
      </c>
      <c r="AU1232">
        <f t="shared" si="36"/>
        <v>0</v>
      </c>
      <c r="AV1232">
        <f t="shared" si="37"/>
        <v>0</v>
      </c>
    </row>
    <row r="1233" spans="1:48" x14ac:dyDescent="0.25">
      <c r="A1233" t="s">
        <v>5464</v>
      </c>
      <c r="C1233" t="s">
        <v>5465</v>
      </c>
      <c r="D1233" t="s">
        <v>3343</v>
      </c>
      <c r="E1233" t="s">
        <v>2310</v>
      </c>
      <c r="F1233">
        <v>11</v>
      </c>
      <c r="G1233">
        <v>11.2</v>
      </c>
      <c r="H1233" t="s">
        <v>2017</v>
      </c>
      <c r="I1233" s="21">
        <v>38244</v>
      </c>
      <c r="J1233">
        <v>2004</v>
      </c>
      <c r="K1233" s="21">
        <v>38261</v>
      </c>
      <c r="L1233">
        <v>2004</v>
      </c>
      <c r="M1233" s="21">
        <v>38399</v>
      </c>
      <c r="N1233">
        <v>2005</v>
      </c>
      <c r="R1233" s="262">
        <v>25000</v>
      </c>
      <c r="S1233" t="s">
        <v>114</v>
      </c>
      <c r="T1233" t="s">
        <v>114</v>
      </c>
      <c r="U1233">
        <v>15</v>
      </c>
      <c r="W1233">
        <v>0</v>
      </c>
      <c r="X1233">
        <v>0</v>
      </c>
      <c r="Y1233">
        <v>0</v>
      </c>
      <c r="Z1233">
        <v>0</v>
      </c>
      <c r="AA1233">
        <v>0</v>
      </c>
      <c r="AB1233">
        <v>0</v>
      </c>
      <c r="AC1233">
        <v>0</v>
      </c>
      <c r="AD1233">
        <v>0</v>
      </c>
      <c r="AE1233">
        <v>0</v>
      </c>
      <c r="AF1233">
        <v>0</v>
      </c>
      <c r="AG1233">
        <v>0</v>
      </c>
      <c r="AH1233">
        <v>0</v>
      </c>
      <c r="AI1233">
        <v>0</v>
      </c>
      <c r="AJ1233">
        <v>0</v>
      </c>
      <c r="AK1233">
        <v>0</v>
      </c>
      <c r="AL1233">
        <v>0</v>
      </c>
      <c r="AM1233">
        <v>0</v>
      </c>
      <c r="AN1233">
        <v>0</v>
      </c>
      <c r="AO1233">
        <v>0</v>
      </c>
      <c r="AP1233">
        <v>0</v>
      </c>
      <c r="AQ1233">
        <v>0</v>
      </c>
      <c r="AR1233">
        <v>0</v>
      </c>
      <c r="AS1233">
        <v>0</v>
      </c>
      <c r="AT1233">
        <v>0</v>
      </c>
      <c r="AU1233">
        <f t="shared" si="36"/>
        <v>0</v>
      </c>
      <c r="AV1233">
        <f t="shared" si="37"/>
        <v>0</v>
      </c>
    </row>
    <row r="1234" spans="1:48" x14ac:dyDescent="0.25">
      <c r="A1234" t="s">
        <v>5466</v>
      </c>
      <c r="C1234" t="s">
        <v>5467</v>
      </c>
      <c r="D1234" t="s">
        <v>5468</v>
      </c>
      <c r="E1234" t="s">
        <v>2310</v>
      </c>
      <c r="F1234">
        <v>7</v>
      </c>
      <c r="G1234">
        <v>7.1</v>
      </c>
      <c r="H1234" t="s">
        <v>2017</v>
      </c>
      <c r="I1234" s="21">
        <v>38244</v>
      </c>
      <c r="J1234">
        <v>2004</v>
      </c>
      <c r="M1234" s="21">
        <v>38665</v>
      </c>
      <c r="N1234">
        <v>2005</v>
      </c>
      <c r="R1234" s="262">
        <v>38000</v>
      </c>
      <c r="S1234" t="s">
        <v>114</v>
      </c>
      <c r="T1234" t="s">
        <v>114</v>
      </c>
      <c r="U1234">
        <v>14</v>
      </c>
      <c r="W1234">
        <v>0</v>
      </c>
      <c r="X1234">
        <v>0</v>
      </c>
      <c r="Y1234">
        <v>0</v>
      </c>
      <c r="Z1234">
        <v>0</v>
      </c>
      <c r="AA1234">
        <v>0</v>
      </c>
      <c r="AB1234">
        <v>0</v>
      </c>
      <c r="AC1234">
        <v>0</v>
      </c>
      <c r="AD1234">
        <v>0</v>
      </c>
      <c r="AE1234">
        <v>0</v>
      </c>
      <c r="AF1234">
        <v>0</v>
      </c>
      <c r="AG1234">
        <v>0</v>
      </c>
      <c r="AH1234">
        <v>0</v>
      </c>
      <c r="AI1234">
        <v>0</v>
      </c>
      <c r="AJ1234">
        <v>0</v>
      </c>
      <c r="AK1234">
        <v>0</v>
      </c>
      <c r="AL1234">
        <v>0</v>
      </c>
      <c r="AM1234">
        <v>0</v>
      </c>
      <c r="AN1234">
        <v>0</v>
      </c>
      <c r="AO1234">
        <v>0</v>
      </c>
      <c r="AP1234">
        <v>0</v>
      </c>
      <c r="AQ1234">
        <v>0</v>
      </c>
      <c r="AR1234">
        <v>0</v>
      </c>
      <c r="AS1234">
        <v>0</v>
      </c>
      <c r="AT1234">
        <v>0</v>
      </c>
      <c r="AU1234">
        <f t="shared" si="36"/>
        <v>0</v>
      </c>
      <c r="AV1234">
        <f t="shared" si="37"/>
        <v>0</v>
      </c>
    </row>
    <row r="1235" spans="1:48" x14ac:dyDescent="0.25">
      <c r="A1235" t="s">
        <v>5469</v>
      </c>
      <c r="C1235" t="s">
        <v>5470</v>
      </c>
      <c r="D1235" t="s">
        <v>5471</v>
      </c>
      <c r="E1235" t="s">
        <v>2310</v>
      </c>
      <c r="F1235">
        <v>15</v>
      </c>
      <c r="G1235">
        <v>15.2</v>
      </c>
      <c r="H1235" t="s">
        <v>2323</v>
      </c>
      <c r="I1235" s="21">
        <v>38244</v>
      </c>
      <c r="J1235">
        <v>2004</v>
      </c>
      <c r="K1235" s="21">
        <v>38245</v>
      </c>
      <c r="L1235">
        <v>2004</v>
      </c>
      <c r="M1235" s="21">
        <v>38245</v>
      </c>
      <c r="N1235">
        <v>2004</v>
      </c>
      <c r="R1235" s="262">
        <v>10000</v>
      </c>
      <c r="S1235" t="s">
        <v>114</v>
      </c>
      <c r="T1235" t="s">
        <v>114</v>
      </c>
      <c r="U1235">
        <v>5</v>
      </c>
      <c r="W1235">
        <v>0</v>
      </c>
      <c r="X1235">
        <v>0</v>
      </c>
      <c r="Y1235">
        <v>0</v>
      </c>
      <c r="Z1235">
        <v>0</v>
      </c>
      <c r="AA1235">
        <v>0</v>
      </c>
      <c r="AB1235">
        <v>0</v>
      </c>
      <c r="AC1235">
        <v>0</v>
      </c>
      <c r="AD1235">
        <v>0</v>
      </c>
      <c r="AE1235">
        <v>0</v>
      </c>
      <c r="AF1235">
        <v>0</v>
      </c>
      <c r="AG1235">
        <v>0</v>
      </c>
      <c r="AH1235">
        <v>0</v>
      </c>
      <c r="AI1235">
        <v>0</v>
      </c>
      <c r="AJ1235">
        <v>0</v>
      </c>
      <c r="AK1235">
        <v>0</v>
      </c>
      <c r="AL1235">
        <v>0</v>
      </c>
      <c r="AM1235">
        <v>0</v>
      </c>
      <c r="AN1235">
        <v>0</v>
      </c>
      <c r="AO1235">
        <v>0</v>
      </c>
      <c r="AP1235">
        <v>0</v>
      </c>
      <c r="AQ1235">
        <v>0</v>
      </c>
      <c r="AR1235">
        <v>0</v>
      </c>
      <c r="AS1235">
        <v>0</v>
      </c>
      <c r="AT1235">
        <v>0</v>
      </c>
      <c r="AU1235">
        <f t="shared" si="36"/>
        <v>0</v>
      </c>
      <c r="AV1235">
        <f t="shared" si="37"/>
        <v>0</v>
      </c>
    </row>
    <row r="1236" spans="1:48" x14ac:dyDescent="0.25">
      <c r="A1236" t="s">
        <v>5472</v>
      </c>
      <c r="C1236" t="s">
        <v>5473</v>
      </c>
      <c r="D1236" t="s">
        <v>3678</v>
      </c>
      <c r="E1236" t="s">
        <v>2310</v>
      </c>
      <c r="F1236">
        <v>9</v>
      </c>
      <c r="G1236">
        <v>9.1</v>
      </c>
      <c r="H1236" t="s">
        <v>2323</v>
      </c>
      <c r="I1236" s="21">
        <v>38246</v>
      </c>
      <c r="J1236">
        <v>2004</v>
      </c>
      <c r="K1236" s="21">
        <v>38265</v>
      </c>
      <c r="L1236">
        <v>2004</v>
      </c>
      <c r="M1236" s="21">
        <v>38901</v>
      </c>
      <c r="N1236">
        <v>2006</v>
      </c>
      <c r="R1236" s="262">
        <v>350000</v>
      </c>
      <c r="S1236" t="s">
        <v>114</v>
      </c>
      <c r="T1236" t="s">
        <v>114</v>
      </c>
      <c r="U1236">
        <v>5</v>
      </c>
      <c r="W1236">
        <v>2635</v>
      </c>
      <c r="X1236">
        <v>0</v>
      </c>
      <c r="Y1236">
        <v>0</v>
      </c>
      <c r="Z1236">
        <v>0</v>
      </c>
      <c r="AA1236">
        <v>0</v>
      </c>
      <c r="AB1236">
        <v>0</v>
      </c>
      <c r="AC1236">
        <v>2635</v>
      </c>
      <c r="AD1236">
        <v>0</v>
      </c>
      <c r="AE1236">
        <v>0</v>
      </c>
      <c r="AF1236">
        <v>0</v>
      </c>
      <c r="AG1236">
        <v>0</v>
      </c>
      <c r="AH1236">
        <v>0</v>
      </c>
      <c r="AI1236">
        <v>0</v>
      </c>
      <c r="AJ1236">
        <v>0</v>
      </c>
      <c r="AK1236">
        <v>0</v>
      </c>
      <c r="AL1236">
        <v>0</v>
      </c>
      <c r="AM1236">
        <v>0</v>
      </c>
      <c r="AN1236">
        <v>0</v>
      </c>
      <c r="AO1236">
        <v>0</v>
      </c>
      <c r="AP1236">
        <v>0</v>
      </c>
      <c r="AQ1236">
        <v>0</v>
      </c>
      <c r="AR1236">
        <v>0</v>
      </c>
      <c r="AS1236">
        <v>0</v>
      </c>
      <c r="AT1236">
        <v>0</v>
      </c>
      <c r="AU1236">
        <f t="shared" si="36"/>
        <v>0</v>
      </c>
      <c r="AV1236">
        <f t="shared" si="37"/>
        <v>0</v>
      </c>
    </row>
    <row r="1237" spans="1:48" x14ac:dyDescent="0.25">
      <c r="A1237" t="s">
        <v>5474</v>
      </c>
      <c r="C1237" t="s">
        <v>5475</v>
      </c>
      <c r="D1237" t="s">
        <v>5476</v>
      </c>
      <c r="E1237" t="s">
        <v>2310</v>
      </c>
      <c r="F1237">
        <v>12</v>
      </c>
      <c r="G1237">
        <v>12.1</v>
      </c>
      <c r="H1237" t="s">
        <v>2327</v>
      </c>
      <c r="I1237" s="21">
        <v>38246</v>
      </c>
      <c r="J1237">
        <v>2004</v>
      </c>
      <c r="K1237" s="21">
        <v>38266</v>
      </c>
      <c r="L1237">
        <v>2004</v>
      </c>
      <c r="M1237" s="21">
        <v>38266</v>
      </c>
      <c r="N1237">
        <v>2004</v>
      </c>
      <c r="R1237" s="262">
        <v>15000</v>
      </c>
      <c r="S1237" t="s">
        <v>114</v>
      </c>
      <c r="T1237" t="s">
        <v>114</v>
      </c>
      <c r="U1237">
        <v>12</v>
      </c>
      <c r="W1237">
        <v>0</v>
      </c>
      <c r="X1237">
        <v>0</v>
      </c>
      <c r="Y1237">
        <v>0</v>
      </c>
      <c r="Z1237">
        <v>0</v>
      </c>
      <c r="AA1237">
        <v>0</v>
      </c>
      <c r="AB1237">
        <v>0</v>
      </c>
      <c r="AC1237">
        <v>0</v>
      </c>
      <c r="AD1237">
        <v>0</v>
      </c>
      <c r="AE1237">
        <v>0</v>
      </c>
      <c r="AF1237">
        <v>0</v>
      </c>
      <c r="AG1237">
        <v>0</v>
      </c>
      <c r="AH1237">
        <v>0</v>
      </c>
      <c r="AI1237">
        <v>0</v>
      </c>
      <c r="AJ1237">
        <v>0</v>
      </c>
      <c r="AK1237">
        <v>0</v>
      </c>
      <c r="AL1237">
        <v>0</v>
      </c>
      <c r="AM1237">
        <v>0</v>
      </c>
      <c r="AN1237">
        <v>0</v>
      </c>
      <c r="AO1237">
        <v>0</v>
      </c>
      <c r="AP1237">
        <v>0</v>
      </c>
      <c r="AQ1237">
        <v>0</v>
      </c>
      <c r="AR1237">
        <v>0</v>
      </c>
      <c r="AS1237">
        <v>0</v>
      </c>
      <c r="AT1237">
        <v>0</v>
      </c>
      <c r="AU1237">
        <f t="shared" si="36"/>
        <v>0</v>
      </c>
      <c r="AV1237">
        <f t="shared" si="37"/>
        <v>0</v>
      </c>
    </row>
    <row r="1238" spans="1:48" x14ac:dyDescent="0.25">
      <c r="A1238" t="s">
        <v>5477</v>
      </c>
      <c r="C1238" t="s">
        <v>5478</v>
      </c>
      <c r="D1238" t="s">
        <v>5479</v>
      </c>
      <c r="E1238" t="s">
        <v>2310</v>
      </c>
      <c r="F1238">
        <v>9</v>
      </c>
      <c r="G1238">
        <v>9.3000000000000007</v>
      </c>
      <c r="H1238" t="s">
        <v>2323</v>
      </c>
      <c r="I1238" s="21">
        <v>38247</v>
      </c>
      <c r="J1238">
        <v>2004</v>
      </c>
      <c r="K1238" s="21">
        <v>38282</v>
      </c>
      <c r="L1238">
        <v>2004</v>
      </c>
      <c r="M1238" s="21">
        <v>38742</v>
      </c>
      <c r="N1238">
        <v>2006</v>
      </c>
      <c r="R1238" s="262">
        <v>1380000</v>
      </c>
      <c r="S1238" t="s">
        <v>114</v>
      </c>
      <c r="T1238" t="s">
        <v>114</v>
      </c>
      <c r="U1238">
        <v>5</v>
      </c>
      <c r="W1238">
        <v>5303</v>
      </c>
      <c r="X1238">
        <v>1</v>
      </c>
      <c r="Y1238">
        <v>0</v>
      </c>
      <c r="Z1238">
        <v>0</v>
      </c>
      <c r="AA1238">
        <v>0</v>
      </c>
      <c r="AB1238">
        <v>0</v>
      </c>
      <c r="AC1238">
        <v>5303</v>
      </c>
      <c r="AD1238">
        <v>0</v>
      </c>
      <c r="AE1238">
        <v>0</v>
      </c>
      <c r="AF1238">
        <v>0</v>
      </c>
      <c r="AG1238">
        <v>0</v>
      </c>
      <c r="AH1238">
        <v>0</v>
      </c>
      <c r="AI1238">
        <v>0</v>
      </c>
      <c r="AJ1238">
        <v>0</v>
      </c>
      <c r="AK1238">
        <v>0</v>
      </c>
      <c r="AL1238">
        <v>0</v>
      </c>
      <c r="AM1238">
        <v>0</v>
      </c>
      <c r="AN1238">
        <v>0</v>
      </c>
      <c r="AO1238">
        <v>1</v>
      </c>
      <c r="AP1238">
        <v>0</v>
      </c>
      <c r="AQ1238">
        <v>0</v>
      </c>
      <c r="AR1238">
        <v>0</v>
      </c>
      <c r="AS1238">
        <v>0</v>
      </c>
      <c r="AT1238">
        <v>0</v>
      </c>
      <c r="AU1238">
        <f t="shared" si="36"/>
        <v>1</v>
      </c>
      <c r="AV1238">
        <f t="shared" si="37"/>
        <v>0</v>
      </c>
    </row>
    <row r="1239" spans="1:48" x14ac:dyDescent="0.25">
      <c r="A1239" t="s">
        <v>5480</v>
      </c>
      <c r="C1239" t="s">
        <v>3383</v>
      </c>
      <c r="D1239" t="s">
        <v>5481</v>
      </c>
      <c r="E1239" t="s">
        <v>2310</v>
      </c>
      <c r="F1239">
        <v>9</v>
      </c>
      <c r="G1239">
        <v>9.3000000000000007</v>
      </c>
      <c r="H1239" t="s">
        <v>2323</v>
      </c>
      <c r="I1239" s="21">
        <v>38247</v>
      </c>
      <c r="J1239">
        <v>2004</v>
      </c>
      <c r="K1239" s="21">
        <v>38247</v>
      </c>
      <c r="L1239">
        <v>2004</v>
      </c>
      <c r="M1239" s="21">
        <v>38804</v>
      </c>
      <c r="N1239">
        <v>2006</v>
      </c>
      <c r="R1239" s="262">
        <v>1380000</v>
      </c>
      <c r="S1239" t="s">
        <v>114</v>
      </c>
      <c r="T1239" t="s">
        <v>114</v>
      </c>
      <c r="U1239">
        <v>5</v>
      </c>
      <c r="W1239">
        <v>5303</v>
      </c>
      <c r="X1239">
        <v>1</v>
      </c>
      <c r="Y1239">
        <v>0</v>
      </c>
      <c r="Z1239">
        <v>0</v>
      </c>
      <c r="AA1239">
        <v>0</v>
      </c>
      <c r="AB1239">
        <v>0</v>
      </c>
      <c r="AC1239">
        <v>5303</v>
      </c>
      <c r="AD1239">
        <v>0</v>
      </c>
      <c r="AE1239">
        <v>0</v>
      </c>
      <c r="AF1239">
        <v>0</v>
      </c>
      <c r="AG1239">
        <v>0</v>
      </c>
      <c r="AH1239">
        <v>0</v>
      </c>
      <c r="AI1239">
        <v>0</v>
      </c>
      <c r="AJ1239">
        <v>0</v>
      </c>
      <c r="AK1239">
        <v>0</v>
      </c>
      <c r="AL1239">
        <v>0</v>
      </c>
      <c r="AM1239">
        <v>0</v>
      </c>
      <c r="AN1239">
        <v>0</v>
      </c>
      <c r="AO1239">
        <v>1</v>
      </c>
      <c r="AP1239">
        <v>0</v>
      </c>
      <c r="AQ1239">
        <v>0</v>
      </c>
      <c r="AR1239">
        <v>0</v>
      </c>
      <c r="AS1239">
        <v>0</v>
      </c>
      <c r="AT1239">
        <v>0</v>
      </c>
      <c r="AU1239">
        <f t="shared" si="36"/>
        <v>1</v>
      </c>
      <c r="AV1239">
        <f t="shared" si="37"/>
        <v>0</v>
      </c>
    </row>
    <row r="1240" spans="1:48" x14ac:dyDescent="0.25">
      <c r="A1240" t="s">
        <v>5482</v>
      </c>
      <c r="C1240" t="s">
        <v>5483</v>
      </c>
      <c r="D1240" t="s">
        <v>5484</v>
      </c>
      <c r="E1240" t="s">
        <v>2310</v>
      </c>
      <c r="F1240">
        <v>10</v>
      </c>
      <c r="G1240">
        <v>10.1</v>
      </c>
      <c r="H1240" t="s">
        <v>2323</v>
      </c>
      <c r="I1240" s="21">
        <v>38247</v>
      </c>
      <c r="J1240">
        <v>2004</v>
      </c>
      <c r="K1240" s="21">
        <v>38278</v>
      </c>
      <c r="L1240">
        <v>2004</v>
      </c>
      <c r="M1240" s="21">
        <v>38603</v>
      </c>
      <c r="N1240">
        <v>2005</v>
      </c>
      <c r="R1240" s="262">
        <v>10000</v>
      </c>
      <c r="S1240" t="s">
        <v>114</v>
      </c>
      <c r="T1240" t="s">
        <v>114</v>
      </c>
      <c r="U1240">
        <v>5</v>
      </c>
      <c r="W1240">
        <v>105</v>
      </c>
      <c r="X1240">
        <v>0</v>
      </c>
      <c r="Y1240">
        <v>0</v>
      </c>
      <c r="Z1240">
        <v>0</v>
      </c>
      <c r="AA1240">
        <v>0</v>
      </c>
      <c r="AB1240">
        <v>0</v>
      </c>
      <c r="AC1240">
        <v>105</v>
      </c>
      <c r="AD1240">
        <v>0</v>
      </c>
      <c r="AE1240">
        <v>0</v>
      </c>
      <c r="AF1240">
        <v>0</v>
      </c>
      <c r="AG1240">
        <v>0</v>
      </c>
      <c r="AH1240">
        <v>0</v>
      </c>
      <c r="AI1240">
        <v>0</v>
      </c>
      <c r="AJ1240">
        <v>0</v>
      </c>
      <c r="AK1240">
        <v>0</v>
      </c>
      <c r="AL1240">
        <v>0</v>
      </c>
      <c r="AM1240">
        <v>0</v>
      </c>
      <c r="AN1240">
        <v>0</v>
      </c>
      <c r="AO1240">
        <v>0</v>
      </c>
      <c r="AP1240">
        <v>0</v>
      </c>
      <c r="AQ1240">
        <v>0</v>
      </c>
      <c r="AR1240">
        <v>0</v>
      </c>
      <c r="AS1240">
        <v>0</v>
      </c>
      <c r="AT1240">
        <v>0</v>
      </c>
      <c r="AU1240">
        <f t="shared" si="36"/>
        <v>0</v>
      </c>
      <c r="AV1240">
        <f t="shared" si="37"/>
        <v>0</v>
      </c>
    </row>
    <row r="1241" spans="1:48" x14ac:dyDescent="0.25">
      <c r="A1241" t="s">
        <v>5485</v>
      </c>
      <c r="C1241" t="s">
        <v>3383</v>
      </c>
      <c r="D1241" t="s">
        <v>5486</v>
      </c>
      <c r="E1241" t="s">
        <v>2310</v>
      </c>
      <c r="F1241">
        <v>9</v>
      </c>
      <c r="G1241">
        <v>9.3000000000000007</v>
      </c>
      <c r="H1241" t="s">
        <v>2323</v>
      </c>
      <c r="I1241" s="21">
        <v>38250</v>
      </c>
      <c r="J1241">
        <v>2004</v>
      </c>
      <c r="K1241" s="21">
        <v>38282</v>
      </c>
      <c r="L1241">
        <v>2004</v>
      </c>
      <c r="M1241" s="21">
        <v>38754</v>
      </c>
      <c r="N1241">
        <v>2006</v>
      </c>
      <c r="R1241" s="262">
        <v>1380000</v>
      </c>
      <c r="S1241" t="s">
        <v>114</v>
      </c>
      <c r="T1241" t="s">
        <v>114</v>
      </c>
      <c r="U1241">
        <v>5</v>
      </c>
      <c r="W1241">
        <v>5303</v>
      </c>
      <c r="X1241">
        <v>1</v>
      </c>
      <c r="Y1241">
        <v>0</v>
      </c>
      <c r="Z1241">
        <v>0</v>
      </c>
      <c r="AA1241">
        <v>0</v>
      </c>
      <c r="AB1241">
        <v>0</v>
      </c>
      <c r="AC1241">
        <v>5303</v>
      </c>
      <c r="AD1241">
        <v>0</v>
      </c>
      <c r="AE1241">
        <v>0</v>
      </c>
      <c r="AF1241">
        <v>0</v>
      </c>
      <c r="AG1241">
        <v>0</v>
      </c>
      <c r="AH1241">
        <v>0</v>
      </c>
      <c r="AI1241">
        <v>0</v>
      </c>
      <c r="AJ1241">
        <v>0</v>
      </c>
      <c r="AK1241">
        <v>0</v>
      </c>
      <c r="AL1241">
        <v>0</v>
      </c>
      <c r="AM1241">
        <v>0</v>
      </c>
      <c r="AN1241">
        <v>0</v>
      </c>
      <c r="AO1241">
        <v>1</v>
      </c>
      <c r="AP1241">
        <v>0</v>
      </c>
      <c r="AQ1241">
        <v>0</v>
      </c>
      <c r="AR1241">
        <v>0</v>
      </c>
      <c r="AS1241">
        <v>0</v>
      </c>
      <c r="AT1241">
        <v>0</v>
      </c>
      <c r="AU1241">
        <f t="shared" ref="AU1241:AU1304" si="38">SUM(AN1241:AQ1241,AS1241)</f>
        <v>1</v>
      </c>
      <c r="AV1241">
        <f t="shared" ref="AV1241:AV1304" si="39">SUM(Y1241:AB1241,AH1241:AM1241)</f>
        <v>0</v>
      </c>
    </row>
    <row r="1242" spans="1:48" x14ac:dyDescent="0.25">
      <c r="A1242" t="s">
        <v>5487</v>
      </c>
      <c r="C1242" t="s">
        <v>5488</v>
      </c>
      <c r="D1242" t="s">
        <v>5489</v>
      </c>
      <c r="E1242" t="s">
        <v>2310</v>
      </c>
      <c r="F1242">
        <v>14</v>
      </c>
      <c r="G1242">
        <v>14.2</v>
      </c>
      <c r="H1242" t="s">
        <v>2017</v>
      </c>
      <c r="I1242" s="21">
        <v>38250</v>
      </c>
      <c r="J1242">
        <v>2004</v>
      </c>
      <c r="K1242" s="21">
        <v>38301</v>
      </c>
      <c r="L1242">
        <v>2004</v>
      </c>
      <c r="M1242" s="21">
        <v>39136</v>
      </c>
      <c r="N1242">
        <v>2007</v>
      </c>
      <c r="R1242" s="262">
        <v>463000</v>
      </c>
      <c r="S1242" t="s">
        <v>114</v>
      </c>
      <c r="T1242" t="s">
        <v>114</v>
      </c>
      <c r="U1242">
        <v>5</v>
      </c>
      <c r="W1242">
        <v>6401</v>
      </c>
      <c r="X1242">
        <v>1</v>
      </c>
      <c r="Y1242">
        <v>0</v>
      </c>
      <c r="Z1242">
        <v>0</v>
      </c>
      <c r="AA1242">
        <v>0</v>
      </c>
      <c r="AB1242">
        <v>0</v>
      </c>
      <c r="AC1242">
        <v>6401</v>
      </c>
      <c r="AD1242">
        <v>0</v>
      </c>
      <c r="AE1242">
        <v>0</v>
      </c>
      <c r="AF1242">
        <v>0</v>
      </c>
      <c r="AG1242">
        <v>0</v>
      </c>
      <c r="AH1242">
        <v>0</v>
      </c>
      <c r="AI1242">
        <v>0</v>
      </c>
      <c r="AJ1242">
        <v>0</v>
      </c>
      <c r="AK1242">
        <v>0</v>
      </c>
      <c r="AL1242">
        <v>0</v>
      </c>
      <c r="AM1242">
        <v>0</v>
      </c>
      <c r="AN1242">
        <v>0</v>
      </c>
      <c r="AO1242">
        <v>1</v>
      </c>
      <c r="AP1242">
        <v>0</v>
      </c>
      <c r="AQ1242">
        <v>0</v>
      </c>
      <c r="AR1242">
        <v>0</v>
      </c>
      <c r="AS1242">
        <v>0</v>
      </c>
      <c r="AT1242">
        <v>0</v>
      </c>
      <c r="AU1242">
        <f t="shared" si="38"/>
        <v>1</v>
      </c>
      <c r="AV1242">
        <f t="shared" si="39"/>
        <v>0</v>
      </c>
    </row>
    <row r="1243" spans="1:48" x14ac:dyDescent="0.25">
      <c r="A1243" t="s">
        <v>5490</v>
      </c>
      <c r="C1243" t="s">
        <v>5491</v>
      </c>
      <c r="D1243" t="s">
        <v>5492</v>
      </c>
      <c r="E1243" t="s">
        <v>2310</v>
      </c>
      <c r="F1243">
        <v>9</v>
      </c>
      <c r="G1243">
        <v>9.3000000000000007</v>
      </c>
      <c r="H1243" t="s">
        <v>2323</v>
      </c>
      <c r="I1243" s="21">
        <v>38250</v>
      </c>
      <c r="J1243">
        <v>2004</v>
      </c>
      <c r="K1243" s="21">
        <v>38289</v>
      </c>
      <c r="L1243">
        <v>2004</v>
      </c>
      <c r="M1243" s="21">
        <v>38505</v>
      </c>
      <c r="N1243">
        <v>2005</v>
      </c>
      <c r="R1243" s="262">
        <v>110000</v>
      </c>
      <c r="S1243" t="s">
        <v>114</v>
      </c>
      <c r="T1243" t="s">
        <v>114</v>
      </c>
      <c r="U1243">
        <v>3</v>
      </c>
      <c r="W1243">
        <v>576</v>
      </c>
      <c r="X1243">
        <v>0</v>
      </c>
      <c r="Y1243">
        <v>0</v>
      </c>
      <c r="Z1243">
        <v>0</v>
      </c>
      <c r="AA1243">
        <v>576</v>
      </c>
      <c r="AB1243">
        <v>0</v>
      </c>
      <c r="AC1243">
        <v>0</v>
      </c>
      <c r="AD1243">
        <v>0</v>
      </c>
      <c r="AE1243">
        <v>0</v>
      </c>
      <c r="AF1243">
        <v>0</v>
      </c>
      <c r="AG1243">
        <v>0</v>
      </c>
      <c r="AH1243">
        <v>0</v>
      </c>
      <c r="AI1243">
        <v>0</v>
      </c>
      <c r="AJ1243">
        <v>0</v>
      </c>
      <c r="AK1243">
        <v>0</v>
      </c>
      <c r="AL1243">
        <v>0</v>
      </c>
      <c r="AM1243">
        <v>0</v>
      </c>
      <c r="AN1243">
        <v>0</v>
      </c>
      <c r="AO1243">
        <v>0</v>
      </c>
      <c r="AP1243">
        <v>0</v>
      </c>
      <c r="AQ1243">
        <v>0</v>
      </c>
      <c r="AR1243">
        <v>0</v>
      </c>
      <c r="AS1243">
        <v>0</v>
      </c>
      <c r="AT1243">
        <v>0</v>
      </c>
      <c r="AU1243">
        <f t="shared" si="38"/>
        <v>0</v>
      </c>
      <c r="AV1243">
        <f t="shared" si="39"/>
        <v>576</v>
      </c>
    </row>
    <row r="1244" spans="1:48" x14ac:dyDescent="0.25">
      <c r="A1244" t="s">
        <v>5493</v>
      </c>
      <c r="C1244" t="s">
        <v>5494</v>
      </c>
      <c r="D1244" t="s">
        <v>4323</v>
      </c>
      <c r="E1244" t="s">
        <v>2310</v>
      </c>
      <c r="F1244">
        <v>9</v>
      </c>
      <c r="G1244">
        <v>9.3000000000000007</v>
      </c>
      <c r="H1244" t="s">
        <v>2323</v>
      </c>
      <c r="I1244" s="21">
        <v>38250</v>
      </c>
      <c r="J1244">
        <v>2004</v>
      </c>
      <c r="M1244" s="21">
        <v>38700</v>
      </c>
      <c r="N1244">
        <v>2005</v>
      </c>
      <c r="R1244" s="262">
        <v>40000</v>
      </c>
      <c r="S1244" t="s">
        <v>114</v>
      </c>
      <c r="T1244" t="s">
        <v>114</v>
      </c>
      <c r="U1244">
        <v>3</v>
      </c>
      <c r="W1244">
        <v>0</v>
      </c>
      <c r="X1244">
        <v>0</v>
      </c>
      <c r="Y1244">
        <v>0</v>
      </c>
      <c r="Z1244">
        <v>0</v>
      </c>
      <c r="AA1244">
        <v>0</v>
      </c>
      <c r="AB1244">
        <v>0</v>
      </c>
      <c r="AC1244">
        <v>0</v>
      </c>
      <c r="AD1244">
        <v>0</v>
      </c>
      <c r="AE1244">
        <v>0</v>
      </c>
      <c r="AF1244">
        <v>0</v>
      </c>
      <c r="AG1244">
        <v>0</v>
      </c>
      <c r="AH1244">
        <v>0</v>
      </c>
      <c r="AI1244">
        <v>0</v>
      </c>
      <c r="AJ1244">
        <v>0</v>
      </c>
      <c r="AK1244">
        <v>0</v>
      </c>
      <c r="AL1244">
        <v>0</v>
      </c>
      <c r="AM1244">
        <v>0</v>
      </c>
      <c r="AN1244">
        <v>0</v>
      </c>
      <c r="AO1244">
        <v>0</v>
      </c>
      <c r="AP1244">
        <v>0</v>
      </c>
      <c r="AQ1244">
        <v>0</v>
      </c>
      <c r="AR1244">
        <v>0</v>
      </c>
      <c r="AS1244">
        <v>0</v>
      </c>
      <c r="AT1244">
        <v>0</v>
      </c>
      <c r="AU1244">
        <f t="shared" si="38"/>
        <v>0</v>
      </c>
      <c r="AV1244">
        <f t="shared" si="39"/>
        <v>0</v>
      </c>
    </row>
    <row r="1245" spans="1:48" x14ac:dyDescent="0.25">
      <c r="A1245" t="s">
        <v>5495</v>
      </c>
      <c r="C1245" t="s">
        <v>5496</v>
      </c>
      <c r="D1245" t="s">
        <v>5317</v>
      </c>
      <c r="E1245" t="s">
        <v>2310</v>
      </c>
      <c r="F1245">
        <v>8</v>
      </c>
      <c r="G1245">
        <v>8.1</v>
      </c>
      <c r="H1245" t="s">
        <v>2323</v>
      </c>
      <c r="I1245" s="21">
        <v>38250</v>
      </c>
      <c r="J1245">
        <v>2004</v>
      </c>
      <c r="K1245" s="21">
        <v>38265</v>
      </c>
      <c r="L1245">
        <v>2004</v>
      </c>
      <c r="M1245" s="21">
        <v>38771</v>
      </c>
      <c r="N1245">
        <v>2006</v>
      </c>
      <c r="R1245" s="262">
        <v>12000</v>
      </c>
      <c r="S1245" t="s">
        <v>114</v>
      </c>
      <c r="T1245" t="s">
        <v>114</v>
      </c>
      <c r="U1245">
        <v>5</v>
      </c>
      <c r="W1245">
        <v>402</v>
      </c>
      <c r="X1245">
        <v>0</v>
      </c>
      <c r="Y1245">
        <v>0</v>
      </c>
      <c r="Z1245">
        <v>0</v>
      </c>
      <c r="AA1245">
        <v>0</v>
      </c>
      <c r="AB1245">
        <v>0</v>
      </c>
      <c r="AC1245">
        <v>402</v>
      </c>
      <c r="AD1245">
        <v>0</v>
      </c>
      <c r="AE1245">
        <v>0</v>
      </c>
      <c r="AF1245">
        <v>0</v>
      </c>
      <c r="AG1245">
        <v>0</v>
      </c>
      <c r="AH1245">
        <v>0</v>
      </c>
      <c r="AI1245">
        <v>0</v>
      </c>
      <c r="AJ1245">
        <v>0</v>
      </c>
      <c r="AK1245">
        <v>0</v>
      </c>
      <c r="AL1245">
        <v>0</v>
      </c>
      <c r="AM1245">
        <v>0</v>
      </c>
      <c r="AN1245">
        <v>0</v>
      </c>
      <c r="AO1245">
        <v>0</v>
      </c>
      <c r="AP1245">
        <v>0</v>
      </c>
      <c r="AQ1245">
        <v>0</v>
      </c>
      <c r="AR1245">
        <v>0</v>
      </c>
      <c r="AS1245">
        <v>0</v>
      </c>
      <c r="AT1245">
        <v>0</v>
      </c>
      <c r="AU1245">
        <f t="shared" si="38"/>
        <v>0</v>
      </c>
      <c r="AV1245">
        <f t="shared" si="39"/>
        <v>0</v>
      </c>
    </row>
    <row r="1246" spans="1:48" x14ac:dyDescent="0.25">
      <c r="A1246" t="s">
        <v>5497</v>
      </c>
      <c r="C1246" t="s">
        <v>5498</v>
      </c>
      <c r="D1246" t="s">
        <v>5499</v>
      </c>
      <c r="E1246" t="s">
        <v>2310</v>
      </c>
      <c r="F1246">
        <v>9</v>
      </c>
      <c r="G1246">
        <v>9.1999999999999993</v>
      </c>
      <c r="H1246" t="s">
        <v>2022</v>
      </c>
      <c r="I1246" s="21">
        <v>38251</v>
      </c>
      <c r="J1246">
        <v>2004</v>
      </c>
      <c r="K1246" s="21">
        <v>38266</v>
      </c>
      <c r="L1246">
        <v>2004</v>
      </c>
      <c r="M1246" s="21">
        <v>38691</v>
      </c>
      <c r="N1246">
        <v>2005</v>
      </c>
      <c r="R1246" s="262">
        <v>25000</v>
      </c>
      <c r="S1246" t="s">
        <v>114</v>
      </c>
      <c r="T1246" t="s">
        <v>114</v>
      </c>
      <c r="U1246">
        <v>5</v>
      </c>
      <c r="W1246">
        <v>360</v>
      </c>
      <c r="X1246">
        <v>0</v>
      </c>
      <c r="Y1246">
        <v>0</v>
      </c>
      <c r="Z1246">
        <v>0</v>
      </c>
      <c r="AA1246">
        <v>0</v>
      </c>
      <c r="AB1246">
        <v>0</v>
      </c>
      <c r="AC1246">
        <v>360</v>
      </c>
      <c r="AD1246">
        <v>0</v>
      </c>
      <c r="AE1246">
        <v>0</v>
      </c>
      <c r="AF1246">
        <v>0</v>
      </c>
      <c r="AG1246">
        <v>0</v>
      </c>
      <c r="AH1246">
        <v>0</v>
      </c>
      <c r="AI1246">
        <v>0</v>
      </c>
      <c r="AJ1246">
        <v>0</v>
      </c>
      <c r="AK1246">
        <v>0</v>
      </c>
      <c r="AL1246">
        <v>0</v>
      </c>
      <c r="AM1246">
        <v>0</v>
      </c>
      <c r="AN1246">
        <v>0</v>
      </c>
      <c r="AO1246">
        <v>0</v>
      </c>
      <c r="AP1246">
        <v>0</v>
      </c>
      <c r="AQ1246">
        <v>0</v>
      </c>
      <c r="AR1246">
        <v>0</v>
      </c>
      <c r="AS1246">
        <v>0</v>
      </c>
      <c r="AT1246">
        <v>0</v>
      </c>
      <c r="AU1246">
        <f t="shared" si="38"/>
        <v>0</v>
      </c>
      <c r="AV1246">
        <f t="shared" si="39"/>
        <v>0</v>
      </c>
    </row>
    <row r="1247" spans="1:48" x14ac:dyDescent="0.25">
      <c r="A1247" t="s">
        <v>5500</v>
      </c>
      <c r="C1247" t="s">
        <v>5501</v>
      </c>
      <c r="D1247" t="s">
        <v>5371</v>
      </c>
      <c r="E1247" t="s">
        <v>2310</v>
      </c>
      <c r="F1247">
        <v>10</v>
      </c>
      <c r="G1247">
        <v>10.1</v>
      </c>
      <c r="H1247" t="s">
        <v>2323</v>
      </c>
      <c r="I1247" s="21">
        <v>38251</v>
      </c>
      <c r="J1247">
        <v>2004</v>
      </c>
      <c r="K1247" s="21">
        <v>38281</v>
      </c>
      <c r="L1247">
        <v>2004</v>
      </c>
      <c r="M1247" s="21">
        <v>38433</v>
      </c>
      <c r="N1247">
        <v>2005</v>
      </c>
      <c r="R1247" s="262">
        <v>15000</v>
      </c>
      <c r="S1247" t="s">
        <v>114</v>
      </c>
      <c r="T1247" t="s">
        <v>114</v>
      </c>
      <c r="U1247">
        <v>5</v>
      </c>
      <c r="W1247">
        <v>82</v>
      </c>
      <c r="X1247">
        <v>0</v>
      </c>
      <c r="Y1247">
        <v>0</v>
      </c>
      <c r="Z1247">
        <v>0</v>
      </c>
      <c r="AA1247">
        <v>0</v>
      </c>
      <c r="AB1247">
        <v>0</v>
      </c>
      <c r="AC1247">
        <v>82</v>
      </c>
      <c r="AD1247">
        <v>0</v>
      </c>
      <c r="AE1247">
        <v>0</v>
      </c>
      <c r="AF1247">
        <v>0</v>
      </c>
      <c r="AG1247">
        <v>0</v>
      </c>
      <c r="AH1247">
        <v>0</v>
      </c>
      <c r="AI1247">
        <v>0</v>
      </c>
      <c r="AJ1247">
        <v>0</v>
      </c>
      <c r="AK1247">
        <v>0</v>
      </c>
      <c r="AL1247">
        <v>0</v>
      </c>
      <c r="AM1247">
        <v>0</v>
      </c>
      <c r="AN1247">
        <v>0</v>
      </c>
      <c r="AO1247">
        <v>0</v>
      </c>
      <c r="AP1247">
        <v>0</v>
      </c>
      <c r="AQ1247">
        <v>0</v>
      </c>
      <c r="AR1247">
        <v>0</v>
      </c>
      <c r="AS1247">
        <v>0</v>
      </c>
      <c r="AT1247">
        <v>0</v>
      </c>
      <c r="AU1247">
        <f t="shared" si="38"/>
        <v>0</v>
      </c>
      <c r="AV1247">
        <f t="shared" si="39"/>
        <v>0</v>
      </c>
    </row>
    <row r="1248" spans="1:48" x14ac:dyDescent="0.25">
      <c r="A1248" t="s">
        <v>5502</v>
      </c>
      <c r="C1248" t="s">
        <v>3419</v>
      </c>
      <c r="D1248" t="s">
        <v>5503</v>
      </c>
      <c r="E1248" t="s">
        <v>2310</v>
      </c>
      <c r="F1248">
        <v>14</v>
      </c>
      <c r="G1248">
        <v>14.1</v>
      </c>
      <c r="H1248" t="s">
        <v>2022</v>
      </c>
      <c r="I1248" s="21">
        <v>38253</v>
      </c>
      <c r="J1248">
        <v>2004</v>
      </c>
      <c r="K1248" s="21">
        <v>38286</v>
      </c>
      <c r="L1248">
        <v>2004</v>
      </c>
      <c r="M1248" s="21">
        <v>38884</v>
      </c>
      <c r="N1248">
        <v>2006</v>
      </c>
      <c r="R1248" s="262">
        <v>600000</v>
      </c>
      <c r="S1248" t="s">
        <v>114</v>
      </c>
      <c r="T1248" t="s">
        <v>114</v>
      </c>
      <c r="U1248">
        <v>5</v>
      </c>
      <c r="W1248">
        <v>3869</v>
      </c>
      <c r="X1248">
        <v>1</v>
      </c>
      <c r="Y1248">
        <v>0</v>
      </c>
      <c r="Z1248">
        <v>0</v>
      </c>
      <c r="AA1248">
        <v>0</v>
      </c>
      <c r="AB1248">
        <v>0</v>
      </c>
      <c r="AC1248">
        <v>3869</v>
      </c>
      <c r="AD1248">
        <v>0</v>
      </c>
      <c r="AE1248">
        <v>0</v>
      </c>
      <c r="AF1248">
        <v>0</v>
      </c>
      <c r="AG1248">
        <v>0</v>
      </c>
      <c r="AH1248">
        <v>0</v>
      </c>
      <c r="AI1248">
        <v>0</v>
      </c>
      <c r="AJ1248">
        <v>0</v>
      </c>
      <c r="AK1248">
        <v>0</v>
      </c>
      <c r="AL1248">
        <v>0</v>
      </c>
      <c r="AM1248">
        <v>0</v>
      </c>
      <c r="AN1248">
        <v>0</v>
      </c>
      <c r="AO1248">
        <v>1</v>
      </c>
      <c r="AP1248">
        <v>0</v>
      </c>
      <c r="AQ1248">
        <v>0</v>
      </c>
      <c r="AR1248">
        <v>0</v>
      </c>
      <c r="AS1248">
        <v>0</v>
      </c>
      <c r="AT1248">
        <v>0</v>
      </c>
      <c r="AU1248">
        <f t="shared" si="38"/>
        <v>1</v>
      </c>
      <c r="AV1248">
        <f t="shared" si="39"/>
        <v>0</v>
      </c>
    </row>
    <row r="1249" spans="1:48" x14ac:dyDescent="0.25">
      <c r="A1249" t="s">
        <v>5504</v>
      </c>
      <c r="C1249" t="s">
        <v>5505</v>
      </c>
      <c r="D1249" t="s">
        <v>4965</v>
      </c>
      <c r="E1249" t="s">
        <v>2310</v>
      </c>
      <c r="F1249">
        <v>9</v>
      </c>
      <c r="G1249">
        <v>9.1999999999999993</v>
      </c>
      <c r="H1249" t="s">
        <v>2022</v>
      </c>
      <c r="I1249" s="21">
        <v>38257</v>
      </c>
      <c r="J1249">
        <v>2004</v>
      </c>
      <c r="K1249" s="21">
        <v>38292</v>
      </c>
      <c r="L1249">
        <v>2004</v>
      </c>
      <c r="M1249" s="21">
        <v>38951</v>
      </c>
      <c r="N1249">
        <v>2006</v>
      </c>
      <c r="R1249" s="262">
        <v>75000</v>
      </c>
      <c r="S1249" t="s">
        <v>114</v>
      </c>
      <c r="T1249" t="s">
        <v>114</v>
      </c>
      <c r="U1249">
        <v>5</v>
      </c>
      <c r="W1249">
        <v>0</v>
      </c>
      <c r="X1249">
        <v>0</v>
      </c>
      <c r="Y1249">
        <v>0</v>
      </c>
      <c r="Z1249">
        <v>0</v>
      </c>
      <c r="AA1249">
        <v>0</v>
      </c>
      <c r="AB1249">
        <v>0</v>
      </c>
      <c r="AC1249">
        <v>0</v>
      </c>
      <c r="AD1249">
        <v>0</v>
      </c>
      <c r="AE1249">
        <v>0</v>
      </c>
      <c r="AF1249">
        <v>0</v>
      </c>
      <c r="AG1249">
        <v>0</v>
      </c>
      <c r="AH1249">
        <v>0</v>
      </c>
      <c r="AI1249">
        <v>0</v>
      </c>
      <c r="AJ1249">
        <v>0</v>
      </c>
      <c r="AK1249">
        <v>0</v>
      </c>
      <c r="AL1249">
        <v>0</v>
      </c>
      <c r="AM1249">
        <v>0</v>
      </c>
      <c r="AN1249">
        <v>0</v>
      </c>
      <c r="AO1249">
        <v>0</v>
      </c>
      <c r="AP1249">
        <v>0</v>
      </c>
      <c r="AQ1249">
        <v>0</v>
      </c>
      <c r="AR1249">
        <v>0</v>
      </c>
      <c r="AS1249">
        <v>0</v>
      </c>
      <c r="AT1249">
        <v>0</v>
      </c>
      <c r="AU1249">
        <f t="shared" si="38"/>
        <v>0</v>
      </c>
      <c r="AV1249">
        <f t="shared" si="39"/>
        <v>0</v>
      </c>
    </row>
    <row r="1250" spans="1:48" x14ac:dyDescent="0.25">
      <c r="A1250" t="s">
        <v>5506</v>
      </c>
      <c r="C1250" t="s">
        <v>5507</v>
      </c>
      <c r="D1250" t="s">
        <v>4965</v>
      </c>
      <c r="E1250" t="s">
        <v>2310</v>
      </c>
      <c r="F1250">
        <v>9</v>
      </c>
      <c r="G1250">
        <v>9.1999999999999993</v>
      </c>
      <c r="H1250" t="s">
        <v>2022</v>
      </c>
      <c r="I1250" s="21">
        <v>38257</v>
      </c>
      <c r="J1250">
        <v>2004</v>
      </c>
      <c r="K1250" s="21">
        <v>38293</v>
      </c>
      <c r="L1250">
        <v>2004</v>
      </c>
      <c r="M1250" s="21">
        <v>38951</v>
      </c>
      <c r="N1250">
        <v>2006</v>
      </c>
      <c r="R1250" s="262">
        <v>25000</v>
      </c>
      <c r="S1250" t="s">
        <v>114</v>
      </c>
      <c r="T1250" t="s">
        <v>114</v>
      </c>
      <c r="U1250">
        <v>5</v>
      </c>
      <c r="W1250">
        <v>117</v>
      </c>
      <c r="X1250">
        <v>0</v>
      </c>
      <c r="Y1250">
        <v>0</v>
      </c>
      <c r="Z1250">
        <v>0</v>
      </c>
      <c r="AA1250">
        <v>0</v>
      </c>
      <c r="AB1250">
        <v>0</v>
      </c>
      <c r="AC1250">
        <v>117</v>
      </c>
      <c r="AD1250">
        <v>0</v>
      </c>
      <c r="AE1250">
        <v>0</v>
      </c>
      <c r="AF1250">
        <v>0</v>
      </c>
      <c r="AG1250">
        <v>0</v>
      </c>
      <c r="AH1250">
        <v>0</v>
      </c>
      <c r="AI1250">
        <v>0</v>
      </c>
      <c r="AJ1250">
        <v>0</v>
      </c>
      <c r="AK1250">
        <v>0</v>
      </c>
      <c r="AL1250">
        <v>0</v>
      </c>
      <c r="AM1250">
        <v>0</v>
      </c>
      <c r="AN1250">
        <v>0</v>
      </c>
      <c r="AO1250">
        <v>0</v>
      </c>
      <c r="AP1250">
        <v>0</v>
      </c>
      <c r="AQ1250">
        <v>0</v>
      </c>
      <c r="AR1250">
        <v>0</v>
      </c>
      <c r="AS1250">
        <v>0</v>
      </c>
      <c r="AT1250">
        <v>0</v>
      </c>
      <c r="AU1250">
        <f t="shared" si="38"/>
        <v>0</v>
      </c>
      <c r="AV1250">
        <f t="shared" si="39"/>
        <v>0</v>
      </c>
    </row>
    <row r="1251" spans="1:48" x14ac:dyDescent="0.25">
      <c r="A1251" t="s">
        <v>5508</v>
      </c>
      <c r="C1251" t="s">
        <v>5509</v>
      </c>
      <c r="D1251" t="s">
        <v>5510</v>
      </c>
      <c r="E1251" t="s">
        <v>2310</v>
      </c>
      <c r="F1251">
        <v>15</v>
      </c>
      <c r="G1251">
        <v>15.1</v>
      </c>
      <c r="H1251" t="s">
        <v>2022</v>
      </c>
      <c r="I1251" s="21">
        <v>38257</v>
      </c>
      <c r="J1251">
        <v>2004</v>
      </c>
      <c r="K1251" s="21">
        <v>38414</v>
      </c>
      <c r="L1251">
        <v>2005</v>
      </c>
      <c r="M1251" s="21">
        <v>39008</v>
      </c>
      <c r="N1251">
        <v>2006</v>
      </c>
      <c r="R1251" s="262">
        <v>39500</v>
      </c>
      <c r="S1251" t="s">
        <v>114</v>
      </c>
      <c r="T1251" t="s">
        <v>114</v>
      </c>
      <c r="U1251">
        <v>5</v>
      </c>
      <c r="W1251">
        <v>525</v>
      </c>
      <c r="X1251">
        <v>1</v>
      </c>
      <c r="Y1251">
        <v>0</v>
      </c>
      <c r="Z1251">
        <v>0</v>
      </c>
      <c r="AA1251">
        <v>0</v>
      </c>
      <c r="AB1251">
        <v>0</v>
      </c>
      <c r="AC1251">
        <v>525</v>
      </c>
      <c r="AD1251">
        <v>0</v>
      </c>
      <c r="AE1251">
        <v>0</v>
      </c>
      <c r="AF1251">
        <v>0</v>
      </c>
      <c r="AG1251">
        <v>0</v>
      </c>
      <c r="AH1251">
        <v>0</v>
      </c>
      <c r="AI1251">
        <v>0</v>
      </c>
      <c r="AJ1251">
        <v>0</v>
      </c>
      <c r="AK1251">
        <v>0</v>
      </c>
      <c r="AL1251">
        <v>0</v>
      </c>
      <c r="AM1251">
        <v>0</v>
      </c>
      <c r="AN1251">
        <v>0</v>
      </c>
      <c r="AO1251">
        <v>1</v>
      </c>
      <c r="AP1251">
        <v>0</v>
      </c>
      <c r="AQ1251">
        <v>0</v>
      </c>
      <c r="AR1251">
        <v>0</v>
      </c>
      <c r="AS1251">
        <v>0</v>
      </c>
      <c r="AT1251">
        <v>0</v>
      </c>
      <c r="AU1251">
        <f t="shared" si="38"/>
        <v>1</v>
      </c>
      <c r="AV1251">
        <f t="shared" si="39"/>
        <v>0</v>
      </c>
    </row>
    <row r="1252" spans="1:48" x14ac:dyDescent="0.25">
      <c r="A1252" t="s">
        <v>5511</v>
      </c>
      <c r="C1252" t="s">
        <v>5512</v>
      </c>
      <c r="D1252" t="s">
        <v>5513</v>
      </c>
      <c r="E1252" t="s">
        <v>2310</v>
      </c>
      <c r="F1252">
        <v>14</v>
      </c>
      <c r="G1252">
        <v>14.1</v>
      </c>
      <c r="H1252" t="s">
        <v>2022</v>
      </c>
      <c r="I1252" s="21">
        <v>38258</v>
      </c>
      <c r="J1252">
        <v>2004</v>
      </c>
      <c r="K1252" s="21">
        <v>38258</v>
      </c>
      <c r="L1252">
        <v>2004</v>
      </c>
      <c r="M1252" s="21">
        <v>38978</v>
      </c>
      <c r="N1252">
        <v>2006</v>
      </c>
      <c r="R1252" s="262">
        <v>290000</v>
      </c>
      <c r="S1252" t="s">
        <v>114</v>
      </c>
      <c r="T1252" t="s">
        <v>114</v>
      </c>
      <c r="U1252">
        <v>5</v>
      </c>
      <c r="W1252">
        <v>4109</v>
      </c>
      <c r="X1252">
        <v>1</v>
      </c>
      <c r="Y1252">
        <v>0</v>
      </c>
      <c r="Z1252">
        <v>0</v>
      </c>
      <c r="AA1252">
        <v>0</v>
      </c>
      <c r="AB1252">
        <v>0</v>
      </c>
      <c r="AC1252">
        <v>4109</v>
      </c>
      <c r="AD1252">
        <v>0</v>
      </c>
      <c r="AE1252">
        <v>0</v>
      </c>
      <c r="AF1252">
        <v>0</v>
      </c>
      <c r="AG1252">
        <v>0</v>
      </c>
      <c r="AH1252">
        <v>0</v>
      </c>
      <c r="AI1252">
        <v>0</v>
      </c>
      <c r="AJ1252">
        <v>0</v>
      </c>
      <c r="AK1252">
        <v>0</v>
      </c>
      <c r="AL1252">
        <v>0</v>
      </c>
      <c r="AM1252">
        <v>0</v>
      </c>
      <c r="AN1252">
        <v>0</v>
      </c>
      <c r="AO1252">
        <v>1</v>
      </c>
      <c r="AP1252">
        <v>0</v>
      </c>
      <c r="AQ1252">
        <v>0</v>
      </c>
      <c r="AR1252">
        <v>0</v>
      </c>
      <c r="AS1252">
        <v>0</v>
      </c>
      <c r="AT1252">
        <v>0</v>
      </c>
      <c r="AU1252">
        <f t="shared" si="38"/>
        <v>1</v>
      </c>
      <c r="AV1252">
        <f t="shared" si="39"/>
        <v>0</v>
      </c>
    </row>
    <row r="1253" spans="1:48" x14ac:dyDescent="0.25">
      <c r="A1253" t="s">
        <v>5514</v>
      </c>
      <c r="C1253" t="s">
        <v>5515</v>
      </c>
      <c r="D1253" t="s">
        <v>5516</v>
      </c>
      <c r="E1253" t="s">
        <v>2310</v>
      </c>
      <c r="F1253">
        <v>9</v>
      </c>
      <c r="G1253">
        <v>9.1</v>
      </c>
      <c r="H1253" t="s">
        <v>2323</v>
      </c>
      <c r="I1253" s="21">
        <v>38258</v>
      </c>
      <c r="J1253">
        <v>2004</v>
      </c>
      <c r="K1253" s="21">
        <v>38280</v>
      </c>
      <c r="L1253">
        <v>2004</v>
      </c>
      <c r="M1253" s="21">
        <v>39359</v>
      </c>
      <c r="N1253">
        <v>2007</v>
      </c>
      <c r="R1253" s="262">
        <v>341325</v>
      </c>
      <c r="S1253" t="s">
        <v>114</v>
      </c>
      <c r="T1253" t="s">
        <v>114</v>
      </c>
      <c r="U1253">
        <v>11</v>
      </c>
      <c r="W1253">
        <v>1858</v>
      </c>
      <c r="X1253">
        <v>1</v>
      </c>
      <c r="Y1253">
        <v>0</v>
      </c>
      <c r="Z1253">
        <v>0</v>
      </c>
      <c r="AA1253">
        <v>0</v>
      </c>
      <c r="AB1253">
        <v>0</v>
      </c>
      <c r="AC1253">
        <v>0</v>
      </c>
      <c r="AD1253">
        <v>0</v>
      </c>
      <c r="AE1253">
        <v>0</v>
      </c>
      <c r="AF1253">
        <v>0</v>
      </c>
      <c r="AG1253">
        <v>0</v>
      </c>
      <c r="AH1253">
        <v>0</v>
      </c>
      <c r="AI1253">
        <v>1858</v>
      </c>
      <c r="AJ1253">
        <v>0</v>
      </c>
      <c r="AK1253">
        <v>0</v>
      </c>
      <c r="AL1253">
        <v>0</v>
      </c>
      <c r="AM1253">
        <v>0</v>
      </c>
      <c r="AN1253">
        <v>0</v>
      </c>
      <c r="AO1253">
        <v>0</v>
      </c>
      <c r="AP1253">
        <v>0</v>
      </c>
      <c r="AQ1253">
        <v>0</v>
      </c>
      <c r="AR1253">
        <v>0</v>
      </c>
      <c r="AS1253">
        <v>0</v>
      </c>
      <c r="AT1253">
        <v>1</v>
      </c>
      <c r="AU1253">
        <f t="shared" si="38"/>
        <v>0</v>
      </c>
      <c r="AV1253">
        <f t="shared" si="39"/>
        <v>1858</v>
      </c>
    </row>
    <row r="1254" spans="1:48" x14ac:dyDescent="0.25">
      <c r="A1254" t="s">
        <v>5517</v>
      </c>
      <c r="C1254" t="s">
        <v>5518</v>
      </c>
      <c r="D1254" t="s">
        <v>5519</v>
      </c>
      <c r="E1254" t="s">
        <v>2310</v>
      </c>
      <c r="F1254">
        <v>9</v>
      </c>
      <c r="G1254">
        <v>9.1</v>
      </c>
      <c r="H1254" t="s">
        <v>2323</v>
      </c>
      <c r="I1254" s="21">
        <v>38258</v>
      </c>
      <c r="J1254">
        <v>2004</v>
      </c>
      <c r="K1254" s="21">
        <v>38280</v>
      </c>
      <c r="L1254">
        <v>2004</v>
      </c>
      <c r="M1254" s="21">
        <v>39378</v>
      </c>
      <c r="N1254">
        <v>2007</v>
      </c>
      <c r="R1254" s="262">
        <v>455400</v>
      </c>
      <c r="S1254" t="s">
        <v>114</v>
      </c>
      <c r="T1254" t="s">
        <v>114</v>
      </c>
      <c r="U1254">
        <v>11</v>
      </c>
      <c r="W1254">
        <v>2365</v>
      </c>
      <c r="X1254">
        <v>1</v>
      </c>
      <c r="Y1254">
        <v>0</v>
      </c>
      <c r="Z1254">
        <v>0</v>
      </c>
      <c r="AA1254">
        <v>0</v>
      </c>
      <c r="AB1254">
        <v>0</v>
      </c>
      <c r="AC1254">
        <v>0</v>
      </c>
      <c r="AD1254">
        <v>0</v>
      </c>
      <c r="AE1254">
        <v>0</v>
      </c>
      <c r="AF1254">
        <v>0</v>
      </c>
      <c r="AG1254">
        <v>0</v>
      </c>
      <c r="AH1254">
        <v>0</v>
      </c>
      <c r="AI1254">
        <v>2365</v>
      </c>
      <c r="AJ1254">
        <v>0</v>
      </c>
      <c r="AK1254">
        <v>0</v>
      </c>
      <c r="AL1254">
        <v>0</v>
      </c>
      <c r="AM1254">
        <v>0</v>
      </c>
      <c r="AN1254">
        <v>0</v>
      </c>
      <c r="AO1254">
        <v>0</v>
      </c>
      <c r="AP1254">
        <v>0</v>
      </c>
      <c r="AQ1254">
        <v>0</v>
      </c>
      <c r="AR1254">
        <v>0</v>
      </c>
      <c r="AS1254">
        <v>0</v>
      </c>
      <c r="AT1254">
        <v>1</v>
      </c>
      <c r="AU1254">
        <f t="shared" si="38"/>
        <v>0</v>
      </c>
      <c r="AV1254">
        <f t="shared" si="39"/>
        <v>2365</v>
      </c>
    </row>
    <row r="1255" spans="1:48" x14ac:dyDescent="0.25">
      <c r="A1255" t="s">
        <v>5520</v>
      </c>
      <c r="C1255" t="s">
        <v>5521</v>
      </c>
      <c r="D1255" t="s">
        <v>5522</v>
      </c>
      <c r="E1255" t="s">
        <v>2310</v>
      </c>
      <c r="F1255">
        <v>9</v>
      </c>
      <c r="G1255">
        <v>9.1</v>
      </c>
      <c r="H1255" t="s">
        <v>2323</v>
      </c>
      <c r="I1255" s="21">
        <v>38258</v>
      </c>
      <c r="J1255">
        <v>2004</v>
      </c>
      <c r="K1255" s="21">
        <v>38280</v>
      </c>
      <c r="L1255">
        <v>2004</v>
      </c>
      <c r="M1255" s="21">
        <v>39378</v>
      </c>
      <c r="N1255">
        <v>2007</v>
      </c>
      <c r="R1255" s="262">
        <v>455400</v>
      </c>
      <c r="S1255" t="s">
        <v>114</v>
      </c>
      <c r="T1255" t="s">
        <v>114</v>
      </c>
      <c r="U1255">
        <v>11</v>
      </c>
      <c r="W1255">
        <v>2365</v>
      </c>
      <c r="X1255">
        <v>1</v>
      </c>
      <c r="Y1255">
        <v>0</v>
      </c>
      <c r="Z1255">
        <v>0</v>
      </c>
      <c r="AA1255">
        <v>0</v>
      </c>
      <c r="AB1255">
        <v>0</v>
      </c>
      <c r="AC1255">
        <v>0</v>
      </c>
      <c r="AD1255">
        <v>0</v>
      </c>
      <c r="AE1255">
        <v>0</v>
      </c>
      <c r="AF1255">
        <v>0</v>
      </c>
      <c r="AG1255">
        <v>0</v>
      </c>
      <c r="AH1255">
        <v>0</v>
      </c>
      <c r="AI1255">
        <v>2365</v>
      </c>
      <c r="AJ1255">
        <v>0</v>
      </c>
      <c r="AK1255">
        <v>0</v>
      </c>
      <c r="AL1255">
        <v>0</v>
      </c>
      <c r="AM1255">
        <v>0</v>
      </c>
      <c r="AN1255">
        <v>0</v>
      </c>
      <c r="AO1255">
        <v>0</v>
      </c>
      <c r="AP1255">
        <v>0</v>
      </c>
      <c r="AQ1255">
        <v>0</v>
      </c>
      <c r="AR1255">
        <v>0</v>
      </c>
      <c r="AS1255">
        <v>0</v>
      </c>
      <c r="AT1255">
        <v>1</v>
      </c>
      <c r="AU1255">
        <f t="shared" si="38"/>
        <v>0</v>
      </c>
      <c r="AV1255">
        <f t="shared" si="39"/>
        <v>2365</v>
      </c>
    </row>
    <row r="1256" spans="1:48" x14ac:dyDescent="0.25">
      <c r="A1256" t="s">
        <v>5523</v>
      </c>
      <c r="C1256" t="s">
        <v>5524</v>
      </c>
      <c r="D1256" t="s">
        <v>5525</v>
      </c>
      <c r="E1256" t="s">
        <v>2310</v>
      </c>
      <c r="F1256">
        <v>9</v>
      </c>
      <c r="G1256">
        <v>9.1</v>
      </c>
      <c r="H1256" t="s">
        <v>2323</v>
      </c>
      <c r="I1256" s="21">
        <v>38258</v>
      </c>
      <c r="J1256">
        <v>2004</v>
      </c>
      <c r="K1256" s="21">
        <v>38280</v>
      </c>
      <c r="L1256">
        <v>2004</v>
      </c>
      <c r="M1256" s="21">
        <v>39378</v>
      </c>
      <c r="N1256">
        <v>2007</v>
      </c>
      <c r="R1256" s="262">
        <v>455400</v>
      </c>
      <c r="S1256" t="s">
        <v>114</v>
      </c>
      <c r="T1256" t="s">
        <v>114</v>
      </c>
      <c r="U1256">
        <v>11</v>
      </c>
      <c r="W1256">
        <v>2365</v>
      </c>
      <c r="X1256">
        <v>1</v>
      </c>
      <c r="Y1256">
        <v>0</v>
      </c>
      <c r="Z1256">
        <v>0</v>
      </c>
      <c r="AA1256">
        <v>0</v>
      </c>
      <c r="AB1256">
        <v>0</v>
      </c>
      <c r="AC1256">
        <v>0</v>
      </c>
      <c r="AD1256">
        <v>0</v>
      </c>
      <c r="AE1256">
        <v>0</v>
      </c>
      <c r="AF1256">
        <v>0</v>
      </c>
      <c r="AG1256">
        <v>0</v>
      </c>
      <c r="AH1256">
        <v>0</v>
      </c>
      <c r="AI1256">
        <v>2365</v>
      </c>
      <c r="AJ1256">
        <v>0</v>
      </c>
      <c r="AK1256">
        <v>0</v>
      </c>
      <c r="AL1256">
        <v>0</v>
      </c>
      <c r="AM1256">
        <v>0</v>
      </c>
      <c r="AN1256">
        <v>0</v>
      </c>
      <c r="AO1256">
        <v>0</v>
      </c>
      <c r="AP1256">
        <v>0</v>
      </c>
      <c r="AQ1256">
        <v>0</v>
      </c>
      <c r="AR1256">
        <v>0</v>
      </c>
      <c r="AS1256">
        <v>0</v>
      </c>
      <c r="AT1256">
        <v>1</v>
      </c>
      <c r="AU1256">
        <f t="shared" si="38"/>
        <v>0</v>
      </c>
      <c r="AV1256">
        <f t="shared" si="39"/>
        <v>2365</v>
      </c>
    </row>
    <row r="1257" spans="1:48" x14ac:dyDescent="0.25">
      <c r="A1257" t="s">
        <v>5526</v>
      </c>
      <c r="C1257" t="s">
        <v>5527</v>
      </c>
      <c r="D1257" t="s">
        <v>5522</v>
      </c>
      <c r="E1257" t="s">
        <v>2310</v>
      </c>
      <c r="F1257">
        <v>9</v>
      </c>
      <c r="G1257">
        <v>9.1</v>
      </c>
      <c r="H1257" t="s">
        <v>2323</v>
      </c>
      <c r="I1257" s="21">
        <v>38258</v>
      </c>
      <c r="J1257">
        <v>2004</v>
      </c>
      <c r="K1257" s="21">
        <v>38280</v>
      </c>
      <c r="L1257">
        <v>2004</v>
      </c>
      <c r="M1257" s="21">
        <v>39363</v>
      </c>
      <c r="N1257">
        <v>2007</v>
      </c>
      <c r="R1257" s="262">
        <v>341325</v>
      </c>
      <c r="S1257" t="s">
        <v>114</v>
      </c>
      <c r="T1257" t="s">
        <v>114</v>
      </c>
      <c r="U1257">
        <v>11</v>
      </c>
      <c r="W1257">
        <v>1858</v>
      </c>
      <c r="X1257">
        <v>1</v>
      </c>
      <c r="Y1257">
        <v>0</v>
      </c>
      <c r="Z1257">
        <v>0</v>
      </c>
      <c r="AA1257">
        <v>0</v>
      </c>
      <c r="AB1257">
        <v>0</v>
      </c>
      <c r="AC1257">
        <v>0</v>
      </c>
      <c r="AD1257">
        <v>0</v>
      </c>
      <c r="AE1257">
        <v>0</v>
      </c>
      <c r="AF1257">
        <v>0</v>
      </c>
      <c r="AG1257">
        <v>0</v>
      </c>
      <c r="AH1257">
        <v>0</v>
      </c>
      <c r="AI1257">
        <v>1858</v>
      </c>
      <c r="AJ1257">
        <v>0</v>
      </c>
      <c r="AK1257">
        <v>0</v>
      </c>
      <c r="AL1257">
        <v>0</v>
      </c>
      <c r="AM1257">
        <v>0</v>
      </c>
      <c r="AN1257">
        <v>0</v>
      </c>
      <c r="AO1257">
        <v>0</v>
      </c>
      <c r="AP1257">
        <v>0</v>
      </c>
      <c r="AQ1257">
        <v>0</v>
      </c>
      <c r="AR1257">
        <v>0</v>
      </c>
      <c r="AS1257">
        <v>0</v>
      </c>
      <c r="AT1257">
        <v>1</v>
      </c>
      <c r="AU1257">
        <f t="shared" si="38"/>
        <v>0</v>
      </c>
      <c r="AV1257">
        <f t="shared" si="39"/>
        <v>1858</v>
      </c>
    </row>
    <row r="1258" spans="1:48" x14ac:dyDescent="0.25">
      <c r="A1258" t="s">
        <v>5528</v>
      </c>
      <c r="C1258" t="s">
        <v>5529</v>
      </c>
      <c r="D1258" t="s">
        <v>5530</v>
      </c>
      <c r="E1258" t="s">
        <v>2310</v>
      </c>
      <c r="F1258">
        <v>9</v>
      </c>
      <c r="G1258">
        <v>9.1</v>
      </c>
      <c r="H1258" t="s">
        <v>2323</v>
      </c>
      <c r="I1258" s="21">
        <v>38258</v>
      </c>
      <c r="J1258">
        <v>2004</v>
      </c>
      <c r="K1258" s="21">
        <v>38280</v>
      </c>
      <c r="L1258">
        <v>2004</v>
      </c>
      <c r="M1258" s="21">
        <v>39363</v>
      </c>
      <c r="N1258">
        <v>2007</v>
      </c>
      <c r="R1258" s="262">
        <v>455400</v>
      </c>
      <c r="S1258" t="s">
        <v>114</v>
      </c>
      <c r="T1258" t="s">
        <v>114</v>
      </c>
      <c r="U1258">
        <v>11</v>
      </c>
      <c r="W1258">
        <v>2365</v>
      </c>
      <c r="X1258">
        <v>1</v>
      </c>
      <c r="Y1258">
        <v>0</v>
      </c>
      <c r="Z1258">
        <v>0</v>
      </c>
      <c r="AA1258">
        <v>0</v>
      </c>
      <c r="AB1258">
        <v>0</v>
      </c>
      <c r="AC1258">
        <v>0</v>
      </c>
      <c r="AD1258">
        <v>0</v>
      </c>
      <c r="AE1258">
        <v>0</v>
      </c>
      <c r="AF1258">
        <v>0</v>
      </c>
      <c r="AG1258">
        <v>0</v>
      </c>
      <c r="AH1258">
        <v>0</v>
      </c>
      <c r="AI1258">
        <v>2365</v>
      </c>
      <c r="AJ1258">
        <v>0</v>
      </c>
      <c r="AK1258">
        <v>0</v>
      </c>
      <c r="AL1258">
        <v>0</v>
      </c>
      <c r="AM1258">
        <v>0</v>
      </c>
      <c r="AN1258">
        <v>0</v>
      </c>
      <c r="AO1258">
        <v>0</v>
      </c>
      <c r="AP1258">
        <v>0</v>
      </c>
      <c r="AQ1258">
        <v>0</v>
      </c>
      <c r="AR1258">
        <v>0</v>
      </c>
      <c r="AS1258">
        <v>0</v>
      </c>
      <c r="AT1258">
        <v>1</v>
      </c>
      <c r="AU1258">
        <f t="shared" si="38"/>
        <v>0</v>
      </c>
      <c r="AV1258">
        <f t="shared" si="39"/>
        <v>2365</v>
      </c>
    </row>
    <row r="1259" spans="1:48" x14ac:dyDescent="0.25">
      <c r="A1259" t="s">
        <v>5531</v>
      </c>
      <c r="C1259" t="s">
        <v>2798</v>
      </c>
      <c r="D1259" t="s">
        <v>5532</v>
      </c>
      <c r="E1259" t="s">
        <v>2310</v>
      </c>
      <c r="F1259">
        <v>15</v>
      </c>
      <c r="G1259">
        <v>15.2</v>
      </c>
      <c r="H1259" t="s">
        <v>2323</v>
      </c>
      <c r="I1259" s="21">
        <v>38258</v>
      </c>
      <c r="J1259">
        <v>2004</v>
      </c>
      <c r="K1259" s="21">
        <v>38285</v>
      </c>
      <c r="L1259">
        <v>2004</v>
      </c>
      <c r="M1259" s="21">
        <v>38692</v>
      </c>
      <c r="N1259">
        <v>2005</v>
      </c>
      <c r="R1259" s="262">
        <v>295000</v>
      </c>
      <c r="S1259" t="s">
        <v>114</v>
      </c>
      <c r="T1259" t="s">
        <v>114</v>
      </c>
      <c r="U1259">
        <v>5</v>
      </c>
      <c r="W1259">
        <v>2648</v>
      </c>
      <c r="X1259">
        <v>1</v>
      </c>
      <c r="Y1259">
        <v>0</v>
      </c>
      <c r="Z1259">
        <v>0</v>
      </c>
      <c r="AA1259">
        <v>0</v>
      </c>
      <c r="AB1259">
        <v>0</v>
      </c>
      <c r="AC1259">
        <v>2648</v>
      </c>
      <c r="AD1259">
        <v>0</v>
      </c>
      <c r="AE1259">
        <v>0</v>
      </c>
      <c r="AF1259">
        <v>0</v>
      </c>
      <c r="AG1259">
        <v>0</v>
      </c>
      <c r="AH1259">
        <v>0</v>
      </c>
      <c r="AI1259">
        <v>0</v>
      </c>
      <c r="AJ1259">
        <v>0</v>
      </c>
      <c r="AK1259">
        <v>0</v>
      </c>
      <c r="AL1259">
        <v>0</v>
      </c>
      <c r="AM1259">
        <v>0</v>
      </c>
      <c r="AN1259">
        <v>0</v>
      </c>
      <c r="AO1259">
        <v>1</v>
      </c>
      <c r="AP1259">
        <v>0</v>
      </c>
      <c r="AQ1259">
        <v>0</v>
      </c>
      <c r="AR1259">
        <v>0</v>
      </c>
      <c r="AS1259">
        <v>0</v>
      </c>
      <c r="AT1259">
        <v>0</v>
      </c>
      <c r="AU1259">
        <f t="shared" si="38"/>
        <v>1</v>
      </c>
      <c r="AV1259">
        <f t="shared" si="39"/>
        <v>0</v>
      </c>
    </row>
    <row r="1260" spans="1:48" x14ac:dyDescent="0.25">
      <c r="A1260" t="s">
        <v>5533</v>
      </c>
      <c r="C1260" t="s">
        <v>5534</v>
      </c>
      <c r="D1260" t="s">
        <v>5535</v>
      </c>
      <c r="E1260" t="s">
        <v>2310</v>
      </c>
      <c r="F1260">
        <v>14</v>
      </c>
      <c r="G1260">
        <v>14.2</v>
      </c>
      <c r="H1260" t="s">
        <v>2017</v>
      </c>
      <c r="I1260" s="21">
        <v>38258</v>
      </c>
      <c r="J1260">
        <v>2004</v>
      </c>
      <c r="K1260" s="21">
        <v>38296</v>
      </c>
      <c r="L1260">
        <v>2004</v>
      </c>
      <c r="M1260" s="21">
        <v>38912</v>
      </c>
      <c r="N1260">
        <v>2006</v>
      </c>
      <c r="R1260" s="262">
        <v>400000</v>
      </c>
      <c r="S1260" t="s">
        <v>114</v>
      </c>
      <c r="T1260" t="s">
        <v>114</v>
      </c>
      <c r="U1260">
        <v>5</v>
      </c>
      <c r="W1260">
        <v>4805</v>
      </c>
      <c r="X1260">
        <v>1</v>
      </c>
      <c r="Y1260">
        <v>0</v>
      </c>
      <c r="Z1260">
        <v>0</v>
      </c>
      <c r="AA1260">
        <v>0</v>
      </c>
      <c r="AB1260">
        <v>0</v>
      </c>
      <c r="AC1260">
        <v>4805</v>
      </c>
      <c r="AD1260">
        <v>0</v>
      </c>
      <c r="AE1260">
        <v>0</v>
      </c>
      <c r="AF1260">
        <v>0</v>
      </c>
      <c r="AG1260">
        <v>0</v>
      </c>
      <c r="AH1260">
        <v>0</v>
      </c>
      <c r="AI1260">
        <v>0</v>
      </c>
      <c r="AJ1260">
        <v>0</v>
      </c>
      <c r="AK1260">
        <v>0</v>
      </c>
      <c r="AL1260">
        <v>0</v>
      </c>
      <c r="AM1260">
        <v>0</v>
      </c>
      <c r="AN1260">
        <v>0</v>
      </c>
      <c r="AO1260">
        <v>1</v>
      </c>
      <c r="AP1260">
        <v>0</v>
      </c>
      <c r="AQ1260">
        <v>0</v>
      </c>
      <c r="AR1260">
        <v>0</v>
      </c>
      <c r="AS1260">
        <v>0</v>
      </c>
      <c r="AT1260">
        <v>0</v>
      </c>
      <c r="AU1260">
        <f t="shared" si="38"/>
        <v>1</v>
      </c>
      <c r="AV1260">
        <f t="shared" si="39"/>
        <v>0</v>
      </c>
    </row>
    <row r="1261" spans="1:48" x14ac:dyDescent="0.25">
      <c r="A1261" t="s">
        <v>5536</v>
      </c>
      <c r="C1261" t="s">
        <v>5537</v>
      </c>
      <c r="D1261" t="s">
        <v>5522</v>
      </c>
      <c r="E1261" t="s">
        <v>2310</v>
      </c>
      <c r="F1261">
        <v>9</v>
      </c>
      <c r="G1261">
        <v>9.1</v>
      </c>
      <c r="H1261" t="s">
        <v>2323</v>
      </c>
      <c r="I1261" s="21">
        <v>38260</v>
      </c>
      <c r="J1261">
        <v>2004</v>
      </c>
      <c r="K1261" s="21">
        <v>38280</v>
      </c>
      <c r="L1261">
        <v>2004</v>
      </c>
      <c r="M1261" s="21">
        <v>39359</v>
      </c>
      <c r="N1261">
        <v>2007</v>
      </c>
      <c r="R1261" s="262">
        <v>455400</v>
      </c>
      <c r="S1261" t="s">
        <v>114</v>
      </c>
      <c r="T1261" t="s">
        <v>114</v>
      </c>
      <c r="U1261">
        <v>11</v>
      </c>
      <c r="W1261">
        <v>2365</v>
      </c>
      <c r="X1261">
        <v>1</v>
      </c>
      <c r="Y1261">
        <v>0</v>
      </c>
      <c r="Z1261">
        <v>0</v>
      </c>
      <c r="AA1261">
        <v>0</v>
      </c>
      <c r="AB1261">
        <v>0</v>
      </c>
      <c r="AC1261">
        <v>0</v>
      </c>
      <c r="AD1261">
        <v>0</v>
      </c>
      <c r="AE1261">
        <v>0</v>
      </c>
      <c r="AF1261">
        <v>0</v>
      </c>
      <c r="AG1261">
        <v>0</v>
      </c>
      <c r="AH1261">
        <v>0</v>
      </c>
      <c r="AI1261">
        <v>2365</v>
      </c>
      <c r="AJ1261">
        <v>0</v>
      </c>
      <c r="AK1261">
        <v>0</v>
      </c>
      <c r="AL1261">
        <v>0</v>
      </c>
      <c r="AM1261">
        <v>0</v>
      </c>
      <c r="AN1261">
        <v>0</v>
      </c>
      <c r="AO1261">
        <v>0</v>
      </c>
      <c r="AP1261">
        <v>0</v>
      </c>
      <c r="AQ1261">
        <v>0</v>
      </c>
      <c r="AR1261">
        <v>0</v>
      </c>
      <c r="AS1261">
        <v>0</v>
      </c>
      <c r="AT1261">
        <v>1</v>
      </c>
      <c r="AU1261">
        <f t="shared" si="38"/>
        <v>0</v>
      </c>
      <c r="AV1261">
        <f t="shared" si="39"/>
        <v>2365</v>
      </c>
    </row>
    <row r="1262" spans="1:48" x14ac:dyDescent="0.25">
      <c r="A1262" t="s">
        <v>5538</v>
      </c>
      <c r="C1262" t="s">
        <v>5539</v>
      </c>
      <c r="D1262" t="s">
        <v>5522</v>
      </c>
      <c r="E1262" t="s">
        <v>2310</v>
      </c>
      <c r="F1262">
        <v>9</v>
      </c>
      <c r="G1262">
        <v>9.1</v>
      </c>
      <c r="H1262" t="s">
        <v>2323</v>
      </c>
      <c r="I1262" s="21">
        <v>38260</v>
      </c>
      <c r="J1262">
        <v>2004</v>
      </c>
      <c r="K1262" s="21">
        <v>38280</v>
      </c>
      <c r="L1262">
        <v>2004</v>
      </c>
      <c r="M1262" s="21">
        <v>39386</v>
      </c>
      <c r="N1262">
        <v>2007</v>
      </c>
      <c r="R1262" s="262">
        <v>341325</v>
      </c>
      <c r="S1262" t="s">
        <v>114</v>
      </c>
      <c r="T1262" t="s">
        <v>114</v>
      </c>
      <c r="U1262">
        <v>11</v>
      </c>
      <c r="W1262">
        <v>1865</v>
      </c>
      <c r="X1262">
        <v>1</v>
      </c>
      <c r="Y1262">
        <v>0</v>
      </c>
      <c r="Z1262">
        <v>0</v>
      </c>
      <c r="AA1262">
        <v>0</v>
      </c>
      <c r="AB1262">
        <v>0</v>
      </c>
      <c r="AC1262">
        <v>0</v>
      </c>
      <c r="AD1262">
        <v>0</v>
      </c>
      <c r="AE1262">
        <v>0</v>
      </c>
      <c r="AF1262">
        <v>0</v>
      </c>
      <c r="AG1262">
        <v>0</v>
      </c>
      <c r="AH1262">
        <v>0</v>
      </c>
      <c r="AI1262">
        <v>1865</v>
      </c>
      <c r="AJ1262">
        <v>0</v>
      </c>
      <c r="AK1262">
        <v>0</v>
      </c>
      <c r="AL1262">
        <v>0</v>
      </c>
      <c r="AM1262">
        <v>0</v>
      </c>
      <c r="AN1262">
        <v>0</v>
      </c>
      <c r="AO1262">
        <v>0</v>
      </c>
      <c r="AP1262">
        <v>0</v>
      </c>
      <c r="AQ1262">
        <v>0</v>
      </c>
      <c r="AR1262">
        <v>0</v>
      </c>
      <c r="AS1262">
        <v>0</v>
      </c>
      <c r="AT1262">
        <v>1</v>
      </c>
      <c r="AU1262">
        <f t="shared" si="38"/>
        <v>0</v>
      </c>
      <c r="AV1262">
        <f t="shared" si="39"/>
        <v>1865</v>
      </c>
    </row>
    <row r="1263" spans="1:48" x14ac:dyDescent="0.25">
      <c r="A1263" t="s">
        <v>5540</v>
      </c>
      <c r="C1263" t="s">
        <v>5541</v>
      </c>
      <c r="D1263" t="s">
        <v>5542</v>
      </c>
      <c r="E1263" t="s">
        <v>2310</v>
      </c>
      <c r="F1263">
        <v>9</v>
      </c>
      <c r="G1263">
        <v>9.1</v>
      </c>
      <c r="H1263" t="s">
        <v>2323</v>
      </c>
      <c r="I1263" s="21">
        <v>38260</v>
      </c>
      <c r="J1263">
        <v>2004</v>
      </c>
      <c r="K1263" s="21">
        <v>38280</v>
      </c>
      <c r="L1263">
        <v>2004</v>
      </c>
      <c r="M1263" s="21">
        <v>39386</v>
      </c>
      <c r="N1263">
        <v>2007</v>
      </c>
      <c r="R1263" s="262">
        <v>455400</v>
      </c>
      <c r="S1263" t="s">
        <v>114</v>
      </c>
      <c r="T1263" t="s">
        <v>114</v>
      </c>
      <c r="U1263">
        <v>11</v>
      </c>
      <c r="W1263">
        <v>2372</v>
      </c>
      <c r="X1263">
        <v>1</v>
      </c>
      <c r="Y1263">
        <v>0</v>
      </c>
      <c r="Z1263">
        <v>0</v>
      </c>
      <c r="AA1263">
        <v>0</v>
      </c>
      <c r="AB1263">
        <v>0</v>
      </c>
      <c r="AC1263">
        <v>0</v>
      </c>
      <c r="AD1263">
        <v>0</v>
      </c>
      <c r="AE1263">
        <v>0</v>
      </c>
      <c r="AF1263">
        <v>0</v>
      </c>
      <c r="AG1263">
        <v>0</v>
      </c>
      <c r="AH1263">
        <v>0</v>
      </c>
      <c r="AI1263">
        <v>2372</v>
      </c>
      <c r="AJ1263">
        <v>0</v>
      </c>
      <c r="AK1263">
        <v>0</v>
      </c>
      <c r="AL1263">
        <v>0</v>
      </c>
      <c r="AM1263">
        <v>0</v>
      </c>
      <c r="AN1263">
        <v>0</v>
      </c>
      <c r="AO1263">
        <v>0</v>
      </c>
      <c r="AP1263">
        <v>0</v>
      </c>
      <c r="AQ1263">
        <v>0</v>
      </c>
      <c r="AR1263">
        <v>0</v>
      </c>
      <c r="AS1263">
        <v>0</v>
      </c>
      <c r="AT1263">
        <v>1</v>
      </c>
      <c r="AU1263">
        <f t="shared" si="38"/>
        <v>0</v>
      </c>
      <c r="AV1263">
        <f t="shared" si="39"/>
        <v>2372</v>
      </c>
    </row>
    <row r="1264" spans="1:48" x14ac:dyDescent="0.25">
      <c r="A1264" t="s">
        <v>5543</v>
      </c>
      <c r="C1264" t="s">
        <v>5544</v>
      </c>
      <c r="D1264" t="s">
        <v>5522</v>
      </c>
      <c r="E1264" t="s">
        <v>2310</v>
      </c>
      <c r="F1264">
        <v>9</v>
      </c>
      <c r="G1264">
        <v>9.1</v>
      </c>
      <c r="H1264" t="s">
        <v>2323</v>
      </c>
      <c r="I1264" s="21">
        <v>38260</v>
      </c>
      <c r="J1264">
        <v>2004</v>
      </c>
      <c r="K1264" s="21">
        <v>38280</v>
      </c>
      <c r="L1264">
        <v>2004</v>
      </c>
      <c r="M1264" s="21">
        <v>39386</v>
      </c>
      <c r="N1264">
        <v>2007</v>
      </c>
      <c r="R1264" s="262">
        <v>455400</v>
      </c>
      <c r="S1264" t="s">
        <v>114</v>
      </c>
      <c r="T1264" t="s">
        <v>114</v>
      </c>
      <c r="U1264">
        <v>11</v>
      </c>
      <c r="W1264">
        <v>2372</v>
      </c>
      <c r="X1264">
        <v>1</v>
      </c>
      <c r="Y1264">
        <v>0</v>
      </c>
      <c r="Z1264">
        <v>0</v>
      </c>
      <c r="AA1264">
        <v>0</v>
      </c>
      <c r="AB1264">
        <v>0</v>
      </c>
      <c r="AC1264">
        <v>0</v>
      </c>
      <c r="AD1264">
        <v>0</v>
      </c>
      <c r="AE1264">
        <v>0</v>
      </c>
      <c r="AF1264">
        <v>0</v>
      </c>
      <c r="AG1264">
        <v>0</v>
      </c>
      <c r="AH1264">
        <v>0</v>
      </c>
      <c r="AI1264">
        <v>2372</v>
      </c>
      <c r="AJ1264">
        <v>0</v>
      </c>
      <c r="AK1264">
        <v>0</v>
      </c>
      <c r="AL1264">
        <v>0</v>
      </c>
      <c r="AM1264">
        <v>0</v>
      </c>
      <c r="AN1264">
        <v>0</v>
      </c>
      <c r="AO1264">
        <v>0</v>
      </c>
      <c r="AP1264">
        <v>0</v>
      </c>
      <c r="AQ1264">
        <v>0</v>
      </c>
      <c r="AR1264">
        <v>0</v>
      </c>
      <c r="AS1264">
        <v>0</v>
      </c>
      <c r="AT1264">
        <v>1</v>
      </c>
      <c r="AU1264">
        <f t="shared" si="38"/>
        <v>0</v>
      </c>
      <c r="AV1264">
        <f t="shared" si="39"/>
        <v>2372</v>
      </c>
    </row>
    <row r="1265" spans="1:48" x14ac:dyDescent="0.25">
      <c r="A1265" t="s">
        <v>5545</v>
      </c>
      <c r="C1265" t="s">
        <v>5546</v>
      </c>
      <c r="D1265" t="s">
        <v>5547</v>
      </c>
      <c r="E1265" t="s">
        <v>2310</v>
      </c>
      <c r="F1265">
        <v>9</v>
      </c>
      <c r="G1265">
        <v>9.1</v>
      </c>
      <c r="H1265" t="s">
        <v>2323</v>
      </c>
      <c r="I1265" s="21">
        <v>38260</v>
      </c>
      <c r="J1265">
        <v>2004</v>
      </c>
      <c r="K1265" s="21">
        <v>38280</v>
      </c>
      <c r="L1265">
        <v>2004</v>
      </c>
      <c r="M1265" s="21">
        <v>39386</v>
      </c>
      <c r="N1265">
        <v>2007</v>
      </c>
      <c r="R1265" s="262">
        <v>455400</v>
      </c>
      <c r="S1265" t="s">
        <v>114</v>
      </c>
      <c r="T1265" t="s">
        <v>114</v>
      </c>
      <c r="U1265">
        <v>11</v>
      </c>
      <c r="W1265">
        <v>2372</v>
      </c>
      <c r="X1265">
        <v>1</v>
      </c>
      <c r="Y1265">
        <v>0</v>
      </c>
      <c r="Z1265">
        <v>0</v>
      </c>
      <c r="AA1265">
        <v>0</v>
      </c>
      <c r="AB1265">
        <v>0</v>
      </c>
      <c r="AC1265">
        <v>0</v>
      </c>
      <c r="AD1265">
        <v>0</v>
      </c>
      <c r="AE1265">
        <v>0</v>
      </c>
      <c r="AF1265">
        <v>0</v>
      </c>
      <c r="AG1265">
        <v>0</v>
      </c>
      <c r="AH1265">
        <v>0</v>
      </c>
      <c r="AI1265">
        <v>2372</v>
      </c>
      <c r="AJ1265">
        <v>0</v>
      </c>
      <c r="AK1265">
        <v>0</v>
      </c>
      <c r="AL1265">
        <v>0</v>
      </c>
      <c r="AM1265">
        <v>0</v>
      </c>
      <c r="AN1265">
        <v>0</v>
      </c>
      <c r="AO1265">
        <v>0</v>
      </c>
      <c r="AP1265">
        <v>0</v>
      </c>
      <c r="AQ1265">
        <v>0</v>
      </c>
      <c r="AR1265">
        <v>0</v>
      </c>
      <c r="AS1265">
        <v>0</v>
      </c>
      <c r="AT1265">
        <v>1</v>
      </c>
      <c r="AU1265">
        <f t="shared" si="38"/>
        <v>0</v>
      </c>
      <c r="AV1265">
        <f t="shared" si="39"/>
        <v>2372</v>
      </c>
    </row>
    <row r="1266" spans="1:48" x14ac:dyDescent="0.25">
      <c r="A1266" t="s">
        <v>5548</v>
      </c>
      <c r="C1266" t="s">
        <v>5549</v>
      </c>
      <c r="D1266" t="s">
        <v>5550</v>
      </c>
      <c r="E1266" t="s">
        <v>2310</v>
      </c>
      <c r="F1266">
        <v>13</v>
      </c>
      <c r="G1266">
        <v>13.3</v>
      </c>
      <c r="H1266" t="s">
        <v>2017</v>
      </c>
      <c r="I1266" s="21">
        <v>38261</v>
      </c>
      <c r="J1266">
        <v>2004</v>
      </c>
      <c r="K1266" s="21">
        <v>38294</v>
      </c>
      <c r="L1266">
        <v>2004</v>
      </c>
      <c r="M1266" s="21">
        <v>38597</v>
      </c>
      <c r="N1266">
        <v>2005</v>
      </c>
      <c r="R1266" s="262">
        <v>250000</v>
      </c>
      <c r="S1266" t="s">
        <v>114</v>
      </c>
      <c r="T1266" t="s">
        <v>114</v>
      </c>
      <c r="U1266">
        <v>5</v>
      </c>
      <c r="W1266">
        <v>1020</v>
      </c>
      <c r="X1266">
        <v>0</v>
      </c>
      <c r="Y1266">
        <v>0</v>
      </c>
      <c r="Z1266">
        <v>0</v>
      </c>
      <c r="AA1266">
        <v>0</v>
      </c>
      <c r="AB1266">
        <v>0</v>
      </c>
      <c r="AC1266">
        <v>1020</v>
      </c>
      <c r="AD1266">
        <v>0</v>
      </c>
      <c r="AE1266">
        <v>0</v>
      </c>
      <c r="AF1266">
        <v>0</v>
      </c>
      <c r="AG1266">
        <v>0</v>
      </c>
      <c r="AH1266">
        <v>0</v>
      </c>
      <c r="AI1266">
        <v>0</v>
      </c>
      <c r="AJ1266">
        <v>0</v>
      </c>
      <c r="AK1266">
        <v>0</v>
      </c>
      <c r="AL1266">
        <v>0</v>
      </c>
      <c r="AM1266">
        <v>0</v>
      </c>
      <c r="AN1266">
        <v>0</v>
      </c>
      <c r="AO1266">
        <v>0</v>
      </c>
      <c r="AP1266">
        <v>0</v>
      </c>
      <c r="AQ1266">
        <v>0</v>
      </c>
      <c r="AR1266">
        <v>0</v>
      </c>
      <c r="AS1266">
        <v>0</v>
      </c>
      <c r="AT1266">
        <v>0</v>
      </c>
      <c r="AU1266">
        <f t="shared" si="38"/>
        <v>0</v>
      </c>
      <c r="AV1266">
        <f t="shared" si="39"/>
        <v>0</v>
      </c>
    </row>
    <row r="1267" spans="1:48" x14ac:dyDescent="0.25">
      <c r="A1267" t="s">
        <v>5551</v>
      </c>
      <c r="C1267" t="s">
        <v>5552</v>
      </c>
      <c r="D1267" t="s">
        <v>5553</v>
      </c>
      <c r="E1267" t="s">
        <v>2310</v>
      </c>
      <c r="F1267">
        <v>9</v>
      </c>
      <c r="G1267">
        <v>9.1</v>
      </c>
      <c r="H1267" t="s">
        <v>2323</v>
      </c>
      <c r="I1267" s="21">
        <v>38261</v>
      </c>
      <c r="J1267">
        <v>2004</v>
      </c>
      <c r="K1267" s="21">
        <v>38296</v>
      </c>
      <c r="L1267">
        <v>2004</v>
      </c>
      <c r="M1267" s="21">
        <v>38709</v>
      </c>
      <c r="N1267">
        <v>2005</v>
      </c>
      <c r="R1267" s="262">
        <v>375000</v>
      </c>
      <c r="S1267" t="s">
        <v>114</v>
      </c>
      <c r="T1267" t="s">
        <v>114</v>
      </c>
      <c r="U1267">
        <v>17</v>
      </c>
      <c r="W1267">
        <v>4580</v>
      </c>
      <c r="X1267">
        <v>2</v>
      </c>
      <c r="Y1267">
        <v>0</v>
      </c>
      <c r="Z1267">
        <v>0</v>
      </c>
      <c r="AA1267">
        <v>0</v>
      </c>
      <c r="AB1267">
        <v>0</v>
      </c>
      <c r="AC1267">
        <v>0</v>
      </c>
      <c r="AD1267">
        <v>3720</v>
      </c>
      <c r="AE1267">
        <v>0</v>
      </c>
      <c r="AF1267">
        <v>860</v>
      </c>
      <c r="AG1267">
        <v>0</v>
      </c>
      <c r="AH1267">
        <v>0</v>
      </c>
      <c r="AI1267">
        <v>0</v>
      </c>
      <c r="AJ1267">
        <v>0</v>
      </c>
      <c r="AK1267">
        <v>0</v>
      </c>
      <c r="AL1267">
        <v>0</v>
      </c>
      <c r="AM1267">
        <v>0</v>
      </c>
      <c r="AN1267">
        <v>0</v>
      </c>
      <c r="AO1267">
        <v>0</v>
      </c>
      <c r="AP1267">
        <v>1</v>
      </c>
      <c r="AQ1267">
        <v>0</v>
      </c>
      <c r="AR1267">
        <v>1</v>
      </c>
      <c r="AS1267">
        <v>0</v>
      </c>
      <c r="AT1267">
        <v>0</v>
      </c>
      <c r="AU1267">
        <f t="shared" si="38"/>
        <v>1</v>
      </c>
      <c r="AV1267">
        <f t="shared" si="39"/>
        <v>0</v>
      </c>
    </row>
    <row r="1268" spans="1:48" x14ac:dyDescent="0.25">
      <c r="A1268" t="s">
        <v>5554</v>
      </c>
      <c r="C1268" t="s">
        <v>5555</v>
      </c>
      <c r="D1268" t="s">
        <v>5556</v>
      </c>
      <c r="E1268" t="s">
        <v>2310</v>
      </c>
      <c r="F1268">
        <v>13</v>
      </c>
      <c r="G1268">
        <v>13.1</v>
      </c>
      <c r="H1268" t="s">
        <v>2327</v>
      </c>
      <c r="I1268" s="21">
        <v>38261</v>
      </c>
      <c r="J1268">
        <v>2004</v>
      </c>
      <c r="R1268" s="262">
        <v>90000</v>
      </c>
      <c r="S1268" t="s">
        <v>114</v>
      </c>
      <c r="T1268" t="s">
        <v>114</v>
      </c>
      <c r="U1268">
        <v>12</v>
      </c>
      <c r="W1268">
        <v>0</v>
      </c>
      <c r="X1268">
        <v>-1</v>
      </c>
      <c r="Y1268">
        <v>0</v>
      </c>
      <c r="Z1268">
        <v>0</v>
      </c>
      <c r="AA1268">
        <v>0</v>
      </c>
      <c r="AB1268">
        <v>0</v>
      </c>
      <c r="AC1268">
        <v>0</v>
      </c>
      <c r="AD1268">
        <v>0</v>
      </c>
      <c r="AE1268">
        <v>0</v>
      </c>
      <c r="AF1268">
        <v>0</v>
      </c>
      <c r="AG1268">
        <v>0</v>
      </c>
      <c r="AH1268">
        <v>0</v>
      </c>
      <c r="AI1268">
        <v>-1035</v>
      </c>
      <c r="AJ1268">
        <v>1035</v>
      </c>
      <c r="AK1268">
        <v>0</v>
      </c>
      <c r="AL1268">
        <v>0</v>
      </c>
      <c r="AM1268">
        <v>0</v>
      </c>
      <c r="AN1268">
        <v>0</v>
      </c>
      <c r="AO1268">
        <v>0</v>
      </c>
      <c r="AP1268">
        <v>0</v>
      </c>
      <c r="AQ1268">
        <v>0</v>
      </c>
      <c r="AR1268">
        <v>0</v>
      </c>
      <c r="AS1268">
        <v>0</v>
      </c>
      <c r="AT1268">
        <v>-1</v>
      </c>
      <c r="AU1268">
        <f t="shared" si="38"/>
        <v>0</v>
      </c>
      <c r="AV1268">
        <f t="shared" si="39"/>
        <v>0</v>
      </c>
    </row>
    <row r="1269" spans="1:48" x14ac:dyDescent="0.25">
      <c r="A1269" t="s">
        <v>5557</v>
      </c>
      <c r="C1269" t="s">
        <v>5558</v>
      </c>
      <c r="D1269" t="s">
        <v>5559</v>
      </c>
      <c r="E1269" t="s">
        <v>2310</v>
      </c>
      <c r="F1269">
        <v>9</v>
      </c>
      <c r="G1269">
        <v>9.4</v>
      </c>
      <c r="H1269" t="s">
        <v>2323</v>
      </c>
      <c r="I1269" s="21">
        <v>38264</v>
      </c>
      <c r="J1269">
        <v>2004</v>
      </c>
      <c r="K1269" s="21">
        <v>38330</v>
      </c>
      <c r="L1269">
        <v>2004</v>
      </c>
      <c r="M1269" s="21">
        <v>38943</v>
      </c>
      <c r="N1269">
        <v>2006</v>
      </c>
      <c r="R1269" s="262">
        <v>850000</v>
      </c>
      <c r="S1269" t="s">
        <v>114</v>
      </c>
      <c r="T1269" t="s">
        <v>114</v>
      </c>
      <c r="U1269">
        <v>5</v>
      </c>
      <c r="W1269">
        <v>4962</v>
      </c>
      <c r="X1269">
        <v>1</v>
      </c>
      <c r="Y1269">
        <v>0</v>
      </c>
      <c r="Z1269">
        <v>0</v>
      </c>
      <c r="AA1269">
        <v>0</v>
      </c>
      <c r="AB1269">
        <v>0</v>
      </c>
      <c r="AC1269">
        <v>4962</v>
      </c>
      <c r="AD1269">
        <v>0</v>
      </c>
      <c r="AE1269">
        <v>0</v>
      </c>
      <c r="AF1269">
        <v>0</v>
      </c>
      <c r="AG1269">
        <v>0</v>
      </c>
      <c r="AH1269">
        <v>0</v>
      </c>
      <c r="AI1269">
        <v>0</v>
      </c>
      <c r="AJ1269">
        <v>0</v>
      </c>
      <c r="AK1269">
        <v>0</v>
      </c>
      <c r="AL1269">
        <v>0</v>
      </c>
      <c r="AM1269">
        <v>0</v>
      </c>
      <c r="AN1269">
        <v>0</v>
      </c>
      <c r="AO1269">
        <v>1</v>
      </c>
      <c r="AP1269">
        <v>0</v>
      </c>
      <c r="AQ1269">
        <v>0</v>
      </c>
      <c r="AR1269">
        <v>0</v>
      </c>
      <c r="AS1269">
        <v>0</v>
      </c>
      <c r="AT1269">
        <v>0</v>
      </c>
      <c r="AU1269">
        <f t="shared" si="38"/>
        <v>1</v>
      </c>
      <c r="AV1269">
        <f t="shared" si="39"/>
        <v>0</v>
      </c>
    </row>
    <row r="1270" spans="1:48" x14ac:dyDescent="0.25">
      <c r="A1270" t="s">
        <v>5560</v>
      </c>
      <c r="C1270" t="s">
        <v>5561</v>
      </c>
      <c r="D1270" t="s">
        <v>5562</v>
      </c>
      <c r="E1270" t="s">
        <v>2310</v>
      </c>
      <c r="F1270">
        <v>9</v>
      </c>
      <c r="G1270">
        <v>9.3000000000000007</v>
      </c>
      <c r="H1270" t="s">
        <v>2323</v>
      </c>
      <c r="I1270" s="21">
        <v>38264</v>
      </c>
      <c r="J1270">
        <v>2004</v>
      </c>
      <c r="K1270" s="21">
        <v>38300</v>
      </c>
      <c r="L1270">
        <v>2004</v>
      </c>
      <c r="M1270" s="21">
        <v>39036</v>
      </c>
      <c r="N1270">
        <v>2006</v>
      </c>
      <c r="R1270" s="262">
        <v>18000</v>
      </c>
      <c r="S1270" t="s">
        <v>114</v>
      </c>
      <c r="T1270" t="s">
        <v>114</v>
      </c>
      <c r="U1270">
        <v>5</v>
      </c>
      <c r="W1270">
        <v>0</v>
      </c>
      <c r="X1270">
        <v>0</v>
      </c>
      <c r="Y1270">
        <v>0</v>
      </c>
      <c r="Z1270">
        <v>0</v>
      </c>
      <c r="AA1270">
        <v>0</v>
      </c>
      <c r="AB1270">
        <v>0</v>
      </c>
      <c r="AC1270">
        <v>0</v>
      </c>
      <c r="AD1270">
        <v>0</v>
      </c>
      <c r="AE1270">
        <v>0</v>
      </c>
      <c r="AF1270">
        <v>0</v>
      </c>
      <c r="AG1270">
        <v>0</v>
      </c>
      <c r="AH1270">
        <v>0</v>
      </c>
      <c r="AI1270">
        <v>0</v>
      </c>
      <c r="AJ1270">
        <v>0</v>
      </c>
      <c r="AK1270">
        <v>0</v>
      </c>
      <c r="AL1270">
        <v>0</v>
      </c>
      <c r="AM1270">
        <v>0</v>
      </c>
      <c r="AN1270">
        <v>0</v>
      </c>
      <c r="AO1270">
        <v>0</v>
      </c>
      <c r="AP1270">
        <v>0</v>
      </c>
      <c r="AQ1270">
        <v>0</v>
      </c>
      <c r="AR1270">
        <v>0</v>
      </c>
      <c r="AS1270">
        <v>0</v>
      </c>
      <c r="AT1270">
        <v>0</v>
      </c>
      <c r="AU1270">
        <f t="shared" si="38"/>
        <v>0</v>
      </c>
      <c r="AV1270">
        <f t="shared" si="39"/>
        <v>0</v>
      </c>
    </row>
    <row r="1271" spans="1:48" x14ac:dyDescent="0.25">
      <c r="A1271" t="s">
        <v>5563</v>
      </c>
      <c r="C1271" t="s">
        <v>5564</v>
      </c>
      <c r="D1271" t="s">
        <v>5565</v>
      </c>
      <c r="E1271" t="s">
        <v>2310</v>
      </c>
      <c r="F1271">
        <v>8</v>
      </c>
      <c r="G1271">
        <v>8.3000000000000007</v>
      </c>
      <c r="H1271" t="s">
        <v>2323</v>
      </c>
      <c r="I1271" s="21">
        <v>38266</v>
      </c>
      <c r="J1271">
        <v>2004</v>
      </c>
      <c r="K1271" s="21">
        <v>38300</v>
      </c>
      <c r="L1271">
        <v>2004</v>
      </c>
      <c r="M1271" s="21">
        <v>38594</v>
      </c>
      <c r="N1271">
        <v>2005</v>
      </c>
      <c r="R1271" s="262">
        <v>650000</v>
      </c>
      <c r="S1271" t="s">
        <v>114</v>
      </c>
      <c r="T1271" t="s">
        <v>114</v>
      </c>
      <c r="U1271">
        <v>5</v>
      </c>
      <c r="W1271">
        <v>3778</v>
      </c>
      <c r="X1271">
        <v>1</v>
      </c>
      <c r="Y1271">
        <v>0</v>
      </c>
      <c r="Z1271">
        <v>0</v>
      </c>
      <c r="AA1271">
        <v>0</v>
      </c>
      <c r="AB1271">
        <v>0</v>
      </c>
      <c r="AC1271">
        <v>3778</v>
      </c>
      <c r="AD1271">
        <v>0</v>
      </c>
      <c r="AE1271">
        <v>0</v>
      </c>
      <c r="AF1271">
        <v>0</v>
      </c>
      <c r="AG1271">
        <v>0</v>
      </c>
      <c r="AH1271">
        <v>0</v>
      </c>
      <c r="AI1271">
        <v>0</v>
      </c>
      <c r="AJ1271">
        <v>0</v>
      </c>
      <c r="AK1271">
        <v>0</v>
      </c>
      <c r="AL1271">
        <v>0</v>
      </c>
      <c r="AM1271">
        <v>0</v>
      </c>
      <c r="AN1271">
        <v>0</v>
      </c>
      <c r="AO1271">
        <v>1</v>
      </c>
      <c r="AP1271">
        <v>0</v>
      </c>
      <c r="AQ1271">
        <v>0</v>
      </c>
      <c r="AR1271">
        <v>0</v>
      </c>
      <c r="AS1271">
        <v>0</v>
      </c>
      <c r="AT1271">
        <v>0</v>
      </c>
      <c r="AU1271">
        <f t="shared" si="38"/>
        <v>1</v>
      </c>
      <c r="AV1271">
        <f t="shared" si="39"/>
        <v>0</v>
      </c>
    </row>
    <row r="1272" spans="1:48" x14ac:dyDescent="0.25">
      <c r="A1272" t="s">
        <v>5566</v>
      </c>
      <c r="C1272" t="s">
        <v>5567</v>
      </c>
      <c r="D1272" t="s">
        <v>5455</v>
      </c>
      <c r="E1272" t="s">
        <v>2310</v>
      </c>
      <c r="F1272">
        <v>9</v>
      </c>
      <c r="G1272">
        <v>9.3000000000000007</v>
      </c>
      <c r="H1272" t="s">
        <v>2323</v>
      </c>
      <c r="I1272" s="21">
        <v>38266</v>
      </c>
      <c r="J1272">
        <v>2004</v>
      </c>
      <c r="K1272" s="21">
        <v>38287</v>
      </c>
      <c r="L1272">
        <v>2004</v>
      </c>
      <c r="M1272" s="21">
        <v>40219.362152777801</v>
      </c>
      <c r="N1272">
        <v>2010</v>
      </c>
      <c r="R1272" s="262">
        <v>35000</v>
      </c>
      <c r="S1272" t="s">
        <v>114</v>
      </c>
      <c r="T1272" t="s">
        <v>114</v>
      </c>
      <c r="U1272">
        <v>5</v>
      </c>
      <c r="W1272">
        <v>0</v>
      </c>
      <c r="X1272">
        <v>0</v>
      </c>
      <c r="Y1272">
        <v>0</v>
      </c>
      <c r="Z1272">
        <v>0</v>
      </c>
      <c r="AA1272">
        <v>0</v>
      </c>
      <c r="AB1272">
        <v>0</v>
      </c>
      <c r="AC1272">
        <v>0</v>
      </c>
      <c r="AD1272">
        <v>0</v>
      </c>
      <c r="AE1272">
        <v>0</v>
      </c>
      <c r="AF1272">
        <v>0</v>
      </c>
      <c r="AG1272">
        <v>0</v>
      </c>
      <c r="AH1272">
        <v>0</v>
      </c>
      <c r="AI1272">
        <v>0</v>
      </c>
      <c r="AJ1272">
        <v>0</v>
      </c>
      <c r="AK1272">
        <v>0</v>
      </c>
      <c r="AL1272">
        <v>0</v>
      </c>
      <c r="AM1272">
        <v>0</v>
      </c>
      <c r="AN1272">
        <v>0</v>
      </c>
      <c r="AO1272">
        <v>0</v>
      </c>
      <c r="AP1272">
        <v>0</v>
      </c>
      <c r="AQ1272">
        <v>0</v>
      </c>
      <c r="AR1272">
        <v>0</v>
      </c>
      <c r="AS1272">
        <v>0</v>
      </c>
      <c r="AT1272">
        <v>0</v>
      </c>
      <c r="AU1272">
        <f t="shared" si="38"/>
        <v>0</v>
      </c>
      <c r="AV1272">
        <f t="shared" si="39"/>
        <v>0</v>
      </c>
    </row>
    <row r="1273" spans="1:48" x14ac:dyDescent="0.25">
      <c r="A1273" t="s">
        <v>5568</v>
      </c>
      <c r="C1273" t="s">
        <v>5569</v>
      </c>
      <c r="D1273" t="s">
        <v>5034</v>
      </c>
      <c r="E1273" t="s">
        <v>2310</v>
      </c>
      <c r="F1273">
        <v>9</v>
      </c>
      <c r="G1273">
        <v>9.1</v>
      </c>
      <c r="H1273" t="s">
        <v>2323</v>
      </c>
      <c r="I1273" s="21">
        <v>38267</v>
      </c>
      <c r="J1273">
        <v>2004</v>
      </c>
      <c r="K1273" s="21">
        <v>38300</v>
      </c>
      <c r="L1273">
        <v>2004</v>
      </c>
      <c r="M1273" s="21">
        <v>38575</v>
      </c>
      <c r="N1273">
        <v>2005</v>
      </c>
      <c r="R1273" s="262">
        <v>85000</v>
      </c>
      <c r="S1273" t="s">
        <v>114</v>
      </c>
      <c r="T1273" t="s">
        <v>114</v>
      </c>
      <c r="U1273">
        <v>5</v>
      </c>
      <c r="W1273">
        <v>1040</v>
      </c>
      <c r="X1273">
        <v>0</v>
      </c>
      <c r="Y1273">
        <v>0</v>
      </c>
      <c r="Z1273">
        <v>0</v>
      </c>
      <c r="AA1273">
        <v>0</v>
      </c>
      <c r="AB1273">
        <v>0</v>
      </c>
      <c r="AC1273">
        <v>1040</v>
      </c>
      <c r="AD1273">
        <v>0</v>
      </c>
      <c r="AE1273">
        <v>0</v>
      </c>
      <c r="AF1273">
        <v>0</v>
      </c>
      <c r="AG1273">
        <v>0</v>
      </c>
      <c r="AH1273">
        <v>0</v>
      </c>
      <c r="AI1273">
        <v>0</v>
      </c>
      <c r="AJ1273">
        <v>0</v>
      </c>
      <c r="AK1273">
        <v>0</v>
      </c>
      <c r="AL1273">
        <v>0</v>
      </c>
      <c r="AM1273">
        <v>0</v>
      </c>
      <c r="AN1273">
        <v>0</v>
      </c>
      <c r="AO1273">
        <v>0</v>
      </c>
      <c r="AP1273">
        <v>0</v>
      </c>
      <c r="AQ1273">
        <v>0</v>
      </c>
      <c r="AR1273">
        <v>0</v>
      </c>
      <c r="AS1273">
        <v>0</v>
      </c>
      <c r="AT1273">
        <v>0</v>
      </c>
      <c r="AU1273">
        <f t="shared" si="38"/>
        <v>0</v>
      </c>
      <c r="AV1273">
        <f t="shared" si="39"/>
        <v>0</v>
      </c>
    </row>
    <row r="1274" spans="1:48" x14ac:dyDescent="0.25">
      <c r="A1274" t="s">
        <v>5570</v>
      </c>
      <c r="C1274" t="s">
        <v>5571</v>
      </c>
      <c r="D1274" t="s">
        <v>5572</v>
      </c>
      <c r="E1274" t="s">
        <v>2310</v>
      </c>
      <c r="F1274">
        <v>10</v>
      </c>
      <c r="G1274">
        <v>10.1</v>
      </c>
      <c r="H1274" t="s">
        <v>2323</v>
      </c>
      <c r="I1274" s="21">
        <v>38268</v>
      </c>
      <c r="J1274">
        <v>2004</v>
      </c>
      <c r="K1274" s="21">
        <v>38288</v>
      </c>
      <c r="L1274">
        <v>2004</v>
      </c>
      <c r="M1274" s="21">
        <v>38567</v>
      </c>
      <c r="N1274">
        <v>2005</v>
      </c>
      <c r="R1274" s="262">
        <v>270000</v>
      </c>
      <c r="S1274" t="s">
        <v>114</v>
      </c>
      <c r="T1274" t="s">
        <v>114</v>
      </c>
      <c r="U1274">
        <v>5</v>
      </c>
      <c r="W1274">
        <v>4131</v>
      </c>
      <c r="X1274">
        <v>1</v>
      </c>
      <c r="Y1274">
        <v>0</v>
      </c>
      <c r="Z1274">
        <v>0</v>
      </c>
      <c r="AA1274">
        <v>0</v>
      </c>
      <c r="AB1274">
        <v>0</v>
      </c>
      <c r="AC1274">
        <v>4131</v>
      </c>
      <c r="AD1274">
        <v>0</v>
      </c>
      <c r="AE1274">
        <v>0</v>
      </c>
      <c r="AF1274">
        <v>0</v>
      </c>
      <c r="AG1274">
        <v>0</v>
      </c>
      <c r="AH1274">
        <v>0</v>
      </c>
      <c r="AI1274">
        <v>0</v>
      </c>
      <c r="AJ1274">
        <v>0</v>
      </c>
      <c r="AK1274">
        <v>0</v>
      </c>
      <c r="AL1274">
        <v>0</v>
      </c>
      <c r="AM1274">
        <v>0</v>
      </c>
      <c r="AN1274">
        <v>0</v>
      </c>
      <c r="AO1274">
        <v>1</v>
      </c>
      <c r="AP1274">
        <v>0</v>
      </c>
      <c r="AQ1274">
        <v>0</v>
      </c>
      <c r="AR1274">
        <v>0</v>
      </c>
      <c r="AS1274">
        <v>0</v>
      </c>
      <c r="AT1274">
        <v>0</v>
      </c>
      <c r="AU1274">
        <f t="shared" si="38"/>
        <v>1</v>
      </c>
      <c r="AV1274">
        <f t="shared" si="39"/>
        <v>0</v>
      </c>
    </row>
    <row r="1275" spans="1:48" x14ac:dyDescent="0.25">
      <c r="A1275" t="s">
        <v>5573</v>
      </c>
      <c r="C1275" t="s">
        <v>5574</v>
      </c>
      <c r="D1275" t="s">
        <v>5575</v>
      </c>
      <c r="E1275" t="s">
        <v>2310</v>
      </c>
      <c r="F1275">
        <v>5</v>
      </c>
      <c r="G1275">
        <v>5.5</v>
      </c>
      <c r="H1275" t="s">
        <v>2017</v>
      </c>
      <c r="I1275" s="21">
        <v>38271</v>
      </c>
      <c r="J1275">
        <v>2004</v>
      </c>
      <c r="K1275" s="21">
        <v>38306</v>
      </c>
      <c r="L1275">
        <v>2004</v>
      </c>
      <c r="M1275" s="21">
        <v>38505</v>
      </c>
      <c r="N1275">
        <v>2005</v>
      </c>
      <c r="R1275" s="262">
        <v>105000</v>
      </c>
      <c r="S1275" t="s">
        <v>114</v>
      </c>
      <c r="T1275" t="s">
        <v>114</v>
      </c>
      <c r="U1275">
        <v>8</v>
      </c>
      <c r="W1275">
        <v>1848</v>
      </c>
      <c r="X1275">
        <v>1</v>
      </c>
      <c r="Y1275">
        <v>0</v>
      </c>
      <c r="Z1275">
        <v>0</v>
      </c>
      <c r="AA1275">
        <v>0</v>
      </c>
      <c r="AB1275">
        <v>0</v>
      </c>
      <c r="AC1275">
        <v>1064</v>
      </c>
      <c r="AD1275">
        <v>0</v>
      </c>
      <c r="AE1275">
        <v>0</v>
      </c>
      <c r="AF1275">
        <v>784</v>
      </c>
      <c r="AG1275">
        <v>0</v>
      </c>
      <c r="AH1275">
        <v>0</v>
      </c>
      <c r="AI1275">
        <v>0</v>
      </c>
      <c r="AJ1275">
        <v>0</v>
      </c>
      <c r="AK1275">
        <v>0</v>
      </c>
      <c r="AL1275">
        <v>0</v>
      </c>
      <c r="AM1275">
        <v>0</v>
      </c>
      <c r="AN1275">
        <v>0</v>
      </c>
      <c r="AO1275">
        <v>0</v>
      </c>
      <c r="AP1275">
        <v>0</v>
      </c>
      <c r="AQ1275">
        <v>0</v>
      </c>
      <c r="AR1275">
        <v>1</v>
      </c>
      <c r="AS1275">
        <v>0</v>
      </c>
      <c r="AT1275">
        <v>0</v>
      </c>
      <c r="AU1275">
        <f t="shared" si="38"/>
        <v>0</v>
      </c>
      <c r="AV1275">
        <f t="shared" si="39"/>
        <v>0</v>
      </c>
    </row>
    <row r="1276" spans="1:48" x14ac:dyDescent="0.25">
      <c r="A1276" t="s">
        <v>5576</v>
      </c>
      <c r="C1276" t="s">
        <v>5577</v>
      </c>
      <c r="D1276" t="s">
        <v>5578</v>
      </c>
      <c r="E1276" t="s">
        <v>2310</v>
      </c>
      <c r="F1276">
        <v>9</v>
      </c>
      <c r="G1276">
        <v>9.3000000000000007</v>
      </c>
      <c r="H1276" t="s">
        <v>2323</v>
      </c>
      <c r="I1276" s="21">
        <v>38271</v>
      </c>
      <c r="J1276">
        <v>2004</v>
      </c>
      <c r="K1276" s="21">
        <v>38310</v>
      </c>
      <c r="L1276">
        <v>2004</v>
      </c>
      <c r="M1276" s="21">
        <v>38912</v>
      </c>
      <c r="N1276">
        <v>2006</v>
      </c>
      <c r="R1276" s="262">
        <v>21000</v>
      </c>
      <c r="S1276" t="s">
        <v>114</v>
      </c>
      <c r="T1276" t="s">
        <v>114</v>
      </c>
      <c r="U1276">
        <v>5</v>
      </c>
      <c r="W1276">
        <v>0</v>
      </c>
      <c r="X1276">
        <v>0</v>
      </c>
      <c r="Y1276">
        <v>0</v>
      </c>
      <c r="Z1276">
        <v>0</v>
      </c>
      <c r="AA1276">
        <v>0</v>
      </c>
      <c r="AB1276">
        <v>0</v>
      </c>
      <c r="AC1276">
        <v>0</v>
      </c>
      <c r="AD1276">
        <v>0</v>
      </c>
      <c r="AE1276">
        <v>0</v>
      </c>
      <c r="AF1276">
        <v>0</v>
      </c>
      <c r="AG1276">
        <v>0</v>
      </c>
      <c r="AH1276">
        <v>0</v>
      </c>
      <c r="AI1276">
        <v>0</v>
      </c>
      <c r="AJ1276">
        <v>0</v>
      </c>
      <c r="AK1276">
        <v>0</v>
      </c>
      <c r="AL1276">
        <v>0</v>
      </c>
      <c r="AM1276">
        <v>0</v>
      </c>
      <c r="AN1276">
        <v>0</v>
      </c>
      <c r="AO1276">
        <v>0</v>
      </c>
      <c r="AP1276">
        <v>0</v>
      </c>
      <c r="AQ1276">
        <v>0</v>
      </c>
      <c r="AR1276">
        <v>0</v>
      </c>
      <c r="AS1276">
        <v>0</v>
      </c>
      <c r="AT1276">
        <v>0</v>
      </c>
      <c r="AU1276">
        <f t="shared" si="38"/>
        <v>0</v>
      </c>
      <c r="AV1276">
        <f t="shared" si="39"/>
        <v>0</v>
      </c>
    </row>
    <row r="1277" spans="1:48" x14ac:dyDescent="0.25">
      <c r="A1277" t="s">
        <v>5579</v>
      </c>
      <c r="C1277" t="s">
        <v>5580</v>
      </c>
      <c r="D1277" t="s">
        <v>5581</v>
      </c>
      <c r="E1277" t="s">
        <v>2310</v>
      </c>
      <c r="F1277">
        <v>8</v>
      </c>
      <c r="G1277">
        <v>8.1</v>
      </c>
      <c r="H1277" t="s">
        <v>2323</v>
      </c>
      <c r="I1277" s="21">
        <v>38273</v>
      </c>
      <c r="J1277">
        <v>2004</v>
      </c>
      <c r="K1277" s="21">
        <v>38376</v>
      </c>
      <c r="L1277">
        <v>2005</v>
      </c>
      <c r="M1277" s="21">
        <v>38785</v>
      </c>
      <c r="N1277">
        <v>2006</v>
      </c>
      <c r="R1277" s="262">
        <v>50000</v>
      </c>
      <c r="S1277" t="s">
        <v>114</v>
      </c>
      <c r="T1277" t="s">
        <v>114</v>
      </c>
      <c r="U1277">
        <v>5</v>
      </c>
      <c r="W1277">
        <v>1296</v>
      </c>
      <c r="X1277">
        <v>0</v>
      </c>
      <c r="Y1277">
        <v>0</v>
      </c>
      <c r="Z1277">
        <v>0</v>
      </c>
      <c r="AA1277">
        <v>0</v>
      </c>
      <c r="AB1277">
        <v>0</v>
      </c>
      <c r="AC1277">
        <v>1296</v>
      </c>
      <c r="AD1277">
        <v>0</v>
      </c>
      <c r="AE1277">
        <v>0</v>
      </c>
      <c r="AF1277">
        <v>0</v>
      </c>
      <c r="AG1277">
        <v>0</v>
      </c>
      <c r="AH1277">
        <v>0</v>
      </c>
      <c r="AI1277">
        <v>0</v>
      </c>
      <c r="AJ1277">
        <v>0</v>
      </c>
      <c r="AK1277">
        <v>0</v>
      </c>
      <c r="AL1277">
        <v>0</v>
      </c>
      <c r="AM1277">
        <v>0</v>
      </c>
      <c r="AN1277">
        <v>0</v>
      </c>
      <c r="AO1277">
        <v>0</v>
      </c>
      <c r="AP1277">
        <v>0</v>
      </c>
      <c r="AQ1277">
        <v>0</v>
      </c>
      <c r="AR1277">
        <v>0</v>
      </c>
      <c r="AS1277">
        <v>0</v>
      </c>
      <c r="AT1277">
        <v>0</v>
      </c>
      <c r="AU1277">
        <f t="shared" si="38"/>
        <v>0</v>
      </c>
      <c r="AV1277">
        <f t="shared" si="39"/>
        <v>0</v>
      </c>
    </row>
    <row r="1278" spans="1:48" x14ac:dyDescent="0.25">
      <c r="A1278" t="s">
        <v>5585</v>
      </c>
      <c r="C1278" t="s">
        <v>2847</v>
      </c>
      <c r="D1278" t="s">
        <v>5586</v>
      </c>
      <c r="E1278" t="s">
        <v>2310</v>
      </c>
      <c r="F1278">
        <v>9</v>
      </c>
      <c r="G1278">
        <v>9.1</v>
      </c>
      <c r="H1278" t="s">
        <v>2323</v>
      </c>
      <c r="I1278" s="21">
        <v>38274</v>
      </c>
      <c r="J1278">
        <v>2004</v>
      </c>
      <c r="K1278" s="21">
        <v>38303</v>
      </c>
      <c r="L1278">
        <v>2004</v>
      </c>
      <c r="M1278" s="21">
        <v>38762</v>
      </c>
      <c r="N1278">
        <v>2006</v>
      </c>
      <c r="R1278" s="262">
        <v>750000</v>
      </c>
      <c r="S1278" t="s">
        <v>114</v>
      </c>
      <c r="T1278" t="s">
        <v>114</v>
      </c>
      <c r="U1278">
        <v>5</v>
      </c>
      <c r="W1278">
        <v>4340</v>
      </c>
      <c r="X1278">
        <v>1</v>
      </c>
      <c r="Y1278">
        <v>0</v>
      </c>
      <c r="Z1278">
        <v>0</v>
      </c>
      <c r="AA1278">
        <v>0</v>
      </c>
      <c r="AB1278">
        <v>0</v>
      </c>
      <c r="AC1278">
        <v>4340</v>
      </c>
      <c r="AD1278">
        <v>0</v>
      </c>
      <c r="AE1278">
        <v>0</v>
      </c>
      <c r="AF1278">
        <v>0</v>
      </c>
      <c r="AG1278">
        <v>0</v>
      </c>
      <c r="AH1278">
        <v>0</v>
      </c>
      <c r="AI1278">
        <v>0</v>
      </c>
      <c r="AJ1278">
        <v>0</v>
      </c>
      <c r="AK1278">
        <v>0</v>
      </c>
      <c r="AL1278">
        <v>0</v>
      </c>
      <c r="AM1278">
        <v>0</v>
      </c>
      <c r="AN1278">
        <v>0</v>
      </c>
      <c r="AO1278">
        <v>1</v>
      </c>
      <c r="AP1278">
        <v>0</v>
      </c>
      <c r="AQ1278">
        <v>0</v>
      </c>
      <c r="AR1278">
        <v>0</v>
      </c>
      <c r="AS1278">
        <v>0</v>
      </c>
      <c r="AT1278">
        <v>0</v>
      </c>
      <c r="AU1278">
        <f t="shared" si="38"/>
        <v>1</v>
      </c>
      <c r="AV1278">
        <f t="shared" si="39"/>
        <v>0</v>
      </c>
    </row>
    <row r="1279" spans="1:48" x14ac:dyDescent="0.25">
      <c r="A1279" t="s">
        <v>5582</v>
      </c>
      <c r="C1279" t="s">
        <v>5583</v>
      </c>
      <c r="D1279" t="s">
        <v>5584</v>
      </c>
      <c r="E1279" t="s">
        <v>1663</v>
      </c>
      <c r="F1279">
        <v>3</v>
      </c>
      <c r="G1279">
        <v>3.1</v>
      </c>
      <c r="H1279" t="s">
        <v>2017</v>
      </c>
      <c r="I1279" s="21">
        <v>38274</v>
      </c>
      <c r="J1279">
        <v>2004</v>
      </c>
      <c r="K1279" s="21">
        <v>38305</v>
      </c>
      <c r="L1279">
        <v>2004</v>
      </c>
      <c r="M1279" s="21">
        <v>38456</v>
      </c>
      <c r="N1279">
        <v>2005</v>
      </c>
      <c r="Q1279" s="262">
        <v>0</v>
      </c>
      <c r="S1279" t="s">
        <v>114</v>
      </c>
      <c r="T1279" t="s">
        <v>114</v>
      </c>
      <c r="W1279">
        <v>880</v>
      </c>
      <c r="X1279">
        <v>0</v>
      </c>
      <c r="Y1279">
        <v>0</v>
      </c>
      <c r="Z1279">
        <v>0</v>
      </c>
      <c r="AA1279">
        <v>0</v>
      </c>
      <c r="AB1279">
        <v>0</v>
      </c>
      <c r="AC1279">
        <v>880</v>
      </c>
      <c r="AD1279">
        <v>0</v>
      </c>
      <c r="AE1279">
        <v>0</v>
      </c>
      <c r="AF1279">
        <v>0</v>
      </c>
      <c r="AG1279">
        <v>0</v>
      </c>
      <c r="AH1279">
        <v>0</v>
      </c>
      <c r="AI1279">
        <v>0</v>
      </c>
      <c r="AJ1279">
        <v>0</v>
      </c>
      <c r="AK1279">
        <v>0</v>
      </c>
      <c r="AL1279">
        <v>0</v>
      </c>
      <c r="AM1279">
        <v>0</v>
      </c>
      <c r="AN1279">
        <v>0</v>
      </c>
      <c r="AO1279">
        <v>0</v>
      </c>
      <c r="AP1279">
        <v>0</v>
      </c>
      <c r="AQ1279">
        <v>0</v>
      </c>
      <c r="AR1279">
        <v>0</v>
      </c>
      <c r="AS1279">
        <v>0</v>
      </c>
      <c r="AT1279">
        <v>0</v>
      </c>
      <c r="AU1279">
        <f t="shared" si="38"/>
        <v>0</v>
      </c>
      <c r="AV1279">
        <f t="shared" si="39"/>
        <v>0</v>
      </c>
    </row>
    <row r="1280" spans="1:48" x14ac:dyDescent="0.25">
      <c r="A1280" t="s">
        <v>5587</v>
      </c>
      <c r="C1280" t="s">
        <v>5588</v>
      </c>
      <c r="D1280" t="s">
        <v>5589</v>
      </c>
      <c r="E1280" t="s">
        <v>1663</v>
      </c>
      <c r="F1280">
        <v>4</v>
      </c>
      <c r="G1280">
        <v>4.3</v>
      </c>
      <c r="H1280" t="s">
        <v>2327</v>
      </c>
      <c r="I1280" s="21">
        <v>38278</v>
      </c>
      <c r="J1280">
        <v>2004</v>
      </c>
      <c r="K1280" s="21">
        <v>38309</v>
      </c>
      <c r="L1280">
        <v>2004</v>
      </c>
      <c r="M1280" s="21">
        <v>38460</v>
      </c>
      <c r="N1280">
        <v>2005</v>
      </c>
      <c r="Q1280" s="262">
        <v>0</v>
      </c>
      <c r="S1280" t="s">
        <v>114</v>
      </c>
      <c r="T1280" t="s">
        <v>114</v>
      </c>
      <c r="W1280">
        <v>16500</v>
      </c>
      <c r="X1280">
        <v>0</v>
      </c>
      <c r="Y1280">
        <v>0</v>
      </c>
      <c r="Z1280">
        <v>0</v>
      </c>
      <c r="AA1280">
        <v>0</v>
      </c>
      <c r="AB1280">
        <v>0</v>
      </c>
      <c r="AC1280">
        <v>0</v>
      </c>
      <c r="AD1280">
        <v>0</v>
      </c>
      <c r="AE1280">
        <v>0</v>
      </c>
      <c r="AF1280">
        <v>0</v>
      </c>
      <c r="AG1280">
        <v>0</v>
      </c>
      <c r="AH1280">
        <v>0</v>
      </c>
      <c r="AI1280">
        <v>0</v>
      </c>
      <c r="AJ1280">
        <v>8250</v>
      </c>
      <c r="AK1280">
        <v>8250</v>
      </c>
      <c r="AL1280">
        <v>0</v>
      </c>
      <c r="AM1280">
        <v>0</v>
      </c>
      <c r="AN1280">
        <v>0</v>
      </c>
      <c r="AO1280">
        <v>0</v>
      </c>
      <c r="AP1280">
        <v>0</v>
      </c>
      <c r="AQ1280">
        <v>0</v>
      </c>
      <c r="AR1280">
        <v>0</v>
      </c>
      <c r="AS1280">
        <v>0</v>
      </c>
      <c r="AT1280">
        <v>0</v>
      </c>
      <c r="AU1280">
        <f t="shared" si="38"/>
        <v>0</v>
      </c>
      <c r="AV1280">
        <f t="shared" si="39"/>
        <v>16500</v>
      </c>
    </row>
    <row r="1281" spans="1:48" x14ac:dyDescent="0.25">
      <c r="A1281" t="s">
        <v>5590</v>
      </c>
      <c r="C1281" t="s">
        <v>5591</v>
      </c>
      <c r="D1281" t="s">
        <v>5592</v>
      </c>
      <c r="E1281" t="s">
        <v>2310</v>
      </c>
      <c r="F1281">
        <v>9</v>
      </c>
      <c r="G1281">
        <v>9.3000000000000007</v>
      </c>
      <c r="H1281" t="s">
        <v>2323</v>
      </c>
      <c r="I1281" s="21">
        <v>38285</v>
      </c>
      <c r="J1281">
        <v>2004</v>
      </c>
      <c r="K1281" s="21">
        <v>38307</v>
      </c>
      <c r="L1281">
        <v>2004</v>
      </c>
      <c r="M1281" s="21">
        <v>38629</v>
      </c>
      <c r="N1281">
        <v>2005</v>
      </c>
      <c r="R1281" s="262">
        <v>200000</v>
      </c>
      <c r="S1281" t="s">
        <v>114</v>
      </c>
      <c r="T1281" t="s">
        <v>114</v>
      </c>
      <c r="U1281">
        <v>8</v>
      </c>
      <c r="W1281">
        <v>1324</v>
      </c>
      <c r="X1281">
        <v>1</v>
      </c>
      <c r="Y1281">
        <v>0</v>
      </c>
      <c r="Z1281">
        <v>0</v>
      </c>
      <c r="AA1281">
        <v>0</v>
      </c>
      <c r="AB1281">
        <v>0</v>
      </c>
      <c r="AC1281">
        <v>340</v>
      </c>
      <c r="AD1281">
        <v>0</v>
      </c>
      <c r="AE1281">
        <v>0</v>
      </c>
      <c r="AF1281">
        <v>984</v>
      </c>
      <c r="AG1281">
        <v>0</v>
      </c>
      <c r="AH1281">
        <v>0</v>
      </c>
      <c r="AI1281">
        <v>0</v>
      </c>
      <c r="AJ1281">
        <v>0</v>
      </c>
      <c r="AK1281">
        <v>0</v>
      </c>
      <c r="AL1281">
        <v>0</v>
      </c>
      <c r="AM1281">
        <v>0</v>
      </c>
      <c r="AN1281">
        <v>0</v>
      </c>
      <c r="AO1281">
        <v>0</v>
      </c>
      <c r="AP1281">
        <v>0</v>
      </c>
      <c r="AQ1281">
        <v>0</v>
      </c>
      <c r="AR1281">
        <v>1</v>
      </c>
      <c r="AS1281">
        <v>0</v>
      </c>
      <c r="AT1281">
        <v>0</v>
      </c>
      <c r="AU1281">
        <f t="shared" si="38"/>
        <v>0</v>
      </c>
      <c r="AV1281">
        <f t="shared" si="39"/>
        <v>0</v>
      </c>
    </row>
    <row r="1282" spans="1:48" x14ac:dyDescent="0.25">
      <c r="A1282" t="s">
        <v>5593</v>
      </c>
      <c r="C1282" t="s">
        <v>5594</v>
      </c>
      <c r="D1282" t="s">
        <v>5595</v>
      </c>
      <c r="E1282" t="s">
        <v>2310</v>
      </c>
      <c r="F1282">
        <v>8</v>
      </c>
      <c r="G1282">
        <v>8.1999999999999993</v>
      </c>
      <c r="H1282" t="s">
        <v>2022</v>
      </c>
      <c r="I1282" s="21">
        <v>38285</v>
      </c>
      <c r="J1282">
        <v>2004</v>
      </c>
      <c r="K1282" s="21">
        <v>38307</v>
      </c>
      <c r="L1282">
        <v>2004</v>
      </c>
      <c r="M1282" s="21">
        <v>38519</v>
      </c>
      <c r="N1282">
        <v>2005</v>
      </c>
      <c r="R1282" s="262">
        <v>100000</v>
      </c>
      <c r="S1282" t="s">
        <v>114</v>
      </c>
      <c r="T1282" t="s">
        <v>114</v>
      </c>
      <c r="U1282">
        <v>5</v>
      </c>
      <c r="W1282">
        <v>772</v>
      </c>
      <c r="X1282">
        <v>0</v>
      </c>
      <c r="Y1282">
        <v>0</v>
      </c>
      <c r="Z1282">
        <v>0</v>
      </c>
      <c r="AA1282">
        <v>0</v>
      </c>
      <c r="AB1282">
        <v>0</v>
      </c>
      <c r="AC1282">
        <v>772</v>
      </c>
      <c r="AD1282">
        <v>0</v>
      </c>
      <c r="AE1282">
        <v>0</v>
      </c>
      <c r="AF1282">
        <v>0</v>
      </c>
      <c r="AG1282">
        <v>0</v>
      </c>
      <c r="AH1282">
        <v>0</v>
      </c>
      <c r="AI1282">
        <v>0</v>
      </c>
      <c r="AJ1282">
        <v>0</v>
      </c>
      <c r="AK1282">
        <v>0</v>
      </c>
      <c r="AL1282">
        <v>0</v>
      </c>
      <c r="AM1282">
        <v>0</v>
      </c>
      <c r="AN1282">
        <v>0</v>
      </c>
      <c r="AO1282">
        <v>0</v>
      </c>
      <c r="AP1282">
        <v>0</v>
      </c>
      <c r="AQ1282">
        <v>0</v>
      </c>
      <c r="AR1282">
        <v>0</v>
      </c>
      <c r="AS1282">
        <v>0</v>
      </c>
      <c r="AT1282">
        <v>0</v>
      </c>
      <c r="AU1282">
        <f t="shared" si="38"/>
        <v>0</v>
      </c>
      <c r="AV1282">
        <f t="shared" si="39"/>
        <v>0</v>
      </c>
    </row>
    <row r="1283" spans="1:48" x14ac:dyDescent="0.25">
      <c r="A1283" t="s">
        <v>5596</v>
      </c>
      <c r="C1283" t="s">
        <v>5597</v>
      </c>
      <c r="D1283" t="s">
        <v>4965</v>
      </c>
      <c r="E1283" t="s">
        <v>2310</v>
      </c>
      <c r="F1283">
        <v>9</v>
      </c>
      <c r="G1283">
        <v>9.1999999999999993</v>
      </c>
      <c r="H1283" t="s">
        <v>2022</v>
      </c>
      <c r="I1283" s="21">
        <v>38288</v>
      </c>
      <c r="J1283">
        <v>2004</v>
      </c>
      <c r="M1283" s="21">
        <v>38951</v>
      </c>
      <c r="N1283">
        <v>2006</v>
      </c>
      <c r="R1283" s="262">
        <v>10000</v>
      </c>
      <c r="S1283" t="s">
        <v>114</v>
      </c>
      <c r="T1283" t="s">
        <v>114</v>
      </c>
      <c r="U1283">
        <v>5</v>
      </c>
      <c r="W1283">
        <v>0</v>
      </c>
      <c r="X1283">
        <v>0</v>
      </c>
      <c r="Y1283">
        <v>0</v>
      </c>
      <c r="Z1283">
        <v>0</v>
      </c>
      <c r="AA1283">
        <v>0</v>
      </c>
      <c r="AB1283">
        <v>0</v>
      </c>
      <c r="AC1283">
        <v>0</v>
      </c>
      <c r="AD1283">
        <v>0</v>
      </c>
      <c r="AE1283">
        <v>0</v>
      </c>
      <c r="AF1283">
        <v>0</v>
      </c>
      <c r="AG1283">
        <v>0</v>
      </c>
      <c r="AH1283">
        <v>0</v>
      </c>
      <c r="AI1283">
        <v>0</v>
      </c>
      <c r="AJ1283">
        <v>0</v>
      </c>
      <c r="AK1283">
        <v>0</v>
      </c>
      <c r="AL1283">
        <v>0</v>
      </c>
      <c r="AM1283">
        <v>0</v>
      </c>
      <c r="AN1283">
        <v>0</v>
      </c>
      <c r="AO1283">
        <v>0</v>
      </c>
      <c r="AP1283">
        <v>0</v>
      </c>
      <c r="AQ1283">
        <v>0</v>
      </c>
      <c r="AR1283">
        <v>0</v>
      </c>
      <c r="AS1283">
        <v>0</v>
      </c>
      <c r="AT1283">
        <v>0</v>
      </c>
      <c r="AU1283">
        <f t="shared" si="38"/>
        <v>0</v>
      </c>
      <c r="AV1283">
        <f t="shared" si="39"/>
        <v>0</v>
      </c>
    </row>
    <row r="1284" spans="1:48" x14ac:dyDescent="0.25">
      <c r="A1284" t="s">
        <v>5598</v>
      </c>
      <c r="C1284" t="s">
        <v>5599</v>
      </c>
      <c r="D1284" t="s">
        <v>4365</v>
      </c>
      <c r="E1284" t="s">
        <v>2310</v>
      </c>
      <c r="F1284">
        <v>9</v>
      </c>
      <c r="G1284">
        <v>9.1</v>
      </c>
      <c r="H1284" t="s">
        <v>2323</v>
      </c>
      <c r="I1284" s="21">
        <v>38289</v>
      </c>
      <c r="J1284">
        <v>2004</v>
      </c>
      <c r="M1284" s="21">
        <v>38748</v>
      </c>
      <c r="N1284">
        <v>2006</v>
      </c>
      <c r="R1284" s="262">
        <v>225000</v>
      </c>
      <c r="S1284" t="s">
        <v>114</v>
      </c>
      <c r="T1284" t="s">
        <v>114</v>
      </c>
      <c r="U1284">
        <v>15</v>
      </c>
      <c r="W1284">
        <v>0</v>
      </c>
      <c r="X1284">
        <v>0</v>
      </c>
      <c r="Y1284">
        <v>0</v>
      </c>
      <c r="Z1284">
        <v>0</v>
      </c>
      <c r="AA1284">
        <v>0</v>
      </c>
      <c r="AB1284">
        <v>0</v>
      </c>
      <c r="AC1284">
        <v>0</v>
      </c>
      <c r="AD1284">
        <v>0</v>
      </c>
      <c r="AE1284">
        <v>0</v>
      </c>
      <c r="AF1284">
        <v>0</v>
      </c>
      <c r="AG1284">
        <v>0</v>
      </c>
      <c r="AH1284">
        <v>0</v>
      </c>
      <c r="AI1284">
        <v>0</v>
      </c>
      <c r="AJ1284">
        <v>0</v>
      </c>
      <c r="AK1284">
        <v>0</v>
      </c>
      <c r="AL1284">
        <v>0</v>
      </c>
      <c r="AM1284">
        <v>0</v>
      </c>
      <c r="AN1284">
        <v>0</v>
      </c>
      <c r="AO1284">
        <v>0</v>
      </c>
      <c r="AP1284">
        <v>0</v>
      </c>
      <c r="AQ1284">
        <v>0</v>
      </c>
      <c r="AR1284">
        <v>0</v>
      </c>
      <c r="AS1284">
        <v>0</v>
      </c>
      <c r="AT1284">
        <v>0</v>
      </c>
      <c r="AU1284">
        <f t="shared" si="38"/>
        <v>0</v>
      </c>
      <c r="AV1284">
        <f t="shared" si="39"/>
        <v>0</v>
      </c>
    </row>
    <row r="1285" spans="1:48" x14ac:dyDescent="0.25">
      <c r="A1285" t="s">
        <v>5600</v>
      </c>
      <c r="C1285" t="s">
        <v>5601</v>
      </c>
      <c r="D1285" t="s">
        <v>5602</v>
      </c>
      <c r="E1285" t="s">
        <v>2310</v>
      </c>
      <c r="F1285">
        <v>9</v>
      </c>
      <c r="G1285">
        <v>9.3000000000000007</v>
      </c>
      <c r="H1285" t="s">
        <v>2323</v>
      </c>
      <c r="I1285" s="21">
        <v>38289</v>
      </c>
      <c r="J1285">
        <v>2004</v>
      </c>
      <c r="K1285" s="21">
        <v>38321</v>
      </c>
      <c r="L1285">
        <v>2004</v>
      </c>
      <c r="M1285" s="21">
        <v>38804</v>
      </c>
      <c r="N1285">
        <v>2006</v>
      </c>
      <c r="R1285" s="262">
        <v>1500000</v>
      </c>
      <c r="S1285" t="s">
        <v>114</v>
      </c>
      <c r="T1285" t="s">
        <v>114</v>
      </c>
      <c r="U1285">
        <v>5</v>
      </c>
      <c r="W1285">
        <v>5334</v>
      </c>
      <c r="X1285">
        <v>1</v>
      </c>
      <c r="Y1285">
        <v>0</v>
      </c>
      <c r="Z1285">
        <v>0</v>
      </c>
      <c r="AA1285">
        <v>0</v>
      </c>
      <c r="AB1285">
        <v>0</v>
      </c>
      <c r="AC1285">
        <v>5334</v>
      </c>
      <c r="AD1285">
        <v>0</v>
      </c>
      <c r="AE1285">
        <v>0</v>
      </c>
      <c r="AF1285">
        <v>0</v>
      </c>
      <c r="AG1285">
        <v>0</v>
      </c>
      <c r="AH1285">
        <v>0</v>
      </c>
      <c r="AI1285">
        <v>0</v>
      </c>
      <c r="AJ1285">
        <v>0</v>
      </c>
      <c r="AK1285">
        <v>0</v>
      </c>
      <c r="AL1285">
        <v>0</v>
      </c>
      <c r="AM1285">
        <v>0</v>
      </c>
      <c r="AN1285">
        <v>0</v>
      </c>
      <c r="AO1285">
        <v>1</v>
      </c>
      <c r="AP1285">
        <v>0</v>
      </c>
      <c r="AQ1285">
        <v>0</v>
      </c>
      <c r="AR1285">
        <v>0</v>
      </c>
      <c r="AS1285">
        <v>0</v>
      </c>
      <c r="AT1285">
        <v>0</v>
      </c>
      <c r="AU1285">
        <f t="shared" si="38"/>
        <v>1</v>
      </c>
      <c r="AV1285">
        <f t="shared" si="39"/>
        <v>0</v>
      </c>
    </row>
    <row r="1286" spans="1:48" x14ac:dyDescent="0.25">
      <c r="A1286" t="s">
        <v>5606</v>
      </c>
      <c r="C1286" t="s">
        <v>5607</v>
      </c>
      <c r="D1286" t="s">
        <v>5608</v>
      </c>
      <c r="E1286" t="s">
        <v>2310</v>
      </c>
      <c r="F1286">
        <v>9</v>
      </c>
      <c r="G1286">
        <v>9.1999999999999993</v>
      </c>
      <c r="H1286" t="s">
        <v>2022</v>
      </c>
      <c r="I1286" s="21">
        <v>38292</v>
      </c>
      <c r="J1286">
        <v>2004</v>
      </c>
      <c r="K1286" s="21">
        <v>38307</v>
      </c>
      <c r="L1286">
        <v>2004</v>
      </c>
      <c r="M1286" s="21">
        <v>40212.339953703697</v>
      </c>
      <c r="N1286">
        <v>2010</v>
      </c>
      <c r="R1286" s="262">
        <v>30000</v>
      </c>
      <c r="S1286" t="s">
        <v>114</v>
      </c>
      <c r="T1286" t="s">
        <v>114</v>
      </c>
      <c r="U1286">
        <v>5</v>
      </c>
      <c r="W1286">
        <v>256</v>
      </c>
      <c r="X1286">
        <v>0</v>
      </c>
      <c r="Y1286">
        <v>0</v>
      </c>
      <c r="Z1286">
        <v>0</v>
      </c>
      <c r="AA1286">
        <v>0</v>
      </c>
      <c r="AB1286">
        <v>0</v>
      </c>
      <c r="AC1286">
        <v>256</v>
      </c>
      <c r="AD1286">
        <v>0</v>
      </c>
      <c r="AE1286">
        <v>0</v>
      </c>
      <c r="AF1286">
        <v>0</v>
      </c>
      <c r="AG1286">
        <v>0</v>
      </c>
      <c r="AH1286">
        <v>0</v>
      </c>
      <c r="AI1286">
        <v>0</v>
      </c>
      <c r="AJ1286">
        <v>0</v>
      </c>
      <c r="AK1286">
        <v>0</v>
      </c>
      <c r="AL1286">
        <v>0</v>
      </c>
      <c r="AM1286">
        <v>0</v>
      </c>
      <c r="AN1286">
        <v>0</v>
      </c>
      <c r="AO1286">
        <v>0</v>
      </c>
      <c r="AP1286">
        <v>0</v>
      </c>
      <c r="AQ1286">
        <v>0</v>
      </c>
      <c r="AR1286">
        <v>0</v>
      </c>
      <c r="AS1286">
        <v>0</v>
      </c>
      <c r="AT1286">
        <v>0</v>
      </c>
      <c r="AU1286">
        <f t="shared" si="38"/>
        <v>0</v>
      </c>
      <c r="AV1286">
        <f t="shared" si="39"/>
        <v>0</v>
      </c>
    </row>
    <row r="1287" spans="1:48" x14ac:dyDescent="0.25">
      <c r="A1287" t="s">
        <v>5603</v>
      </c>
      <c r="C1287" t="s">
        <v>5604</v>
      </c>
      <c r="D1287" t="s">
        <v>5605</v>
      </c>
      <c r="E1287" t="s">
        <v>1663</v>
      </c>
      <c r="F1287">
        <v>5</v>
      </c>
      <c r="G1287">
        <v>5.0999999999999996</v>
      </c>
      <c r="H1287" t="s">
        <v>2327</v>
      </c>
      <c r="I1287" s="21">
        <v>38292</v>
      </c>
      <c r="J1287">
        <v>2004</v>
      </c>
      <c r="K1287" s="21">
        <v>38322</v>
      </c>
      <c r="L1287">
        <v>2004</v>
      </c>
      <c r="M1287" s="21">
        <v>38473</v>
      </c>
      <c r="N1287">
        <v>2005</v>
      </c>
      <c r="Q1287" s="262">
        <v>0</v>
      </c>
      <c r="S1287" t="s">
        <v>114</v>
      </c>
      <c r="T1287" t="s">
        <v>114</v>
      </c>
      <c r="W1287">
        <v>3450</v>
      </c>
      <c r="X1287">
        <v>0</v>
      </c>
      <c r="Y1287">
        <v>0</v>
      </c>
      <c r="Z1287">
        <v>0</v>
      </c>
      <c r="AA1287">
        <v>0</v>
      </c>
      <c r="AB1287">
        <v>0</v>
      </c>
      <c r="AC1287">
        <v>0</v>
      </c>
      <c r="AD1287">
        <v>0</v>
      </c>
      <c r="AE1287">
        <v>0</v>
      </c>
      <c r="AF1287">
        <v>0</v>
      </c>
      <c r="AG1287">
        <v>0</v>
      </c>
      <c r="AH1287">
        <v>0</v>
      </c>
      <c r="AI1287">
        <v>0</v>
      </c>
      <c r="AJ1287">
        <v>0</v>
      </c>
      <c r="AK1287">
        <v>0</v>
      </c>
      <c r="AL1287">
        <v>3450</v>
      </c>
      <c r="AM1287">
        <v>0</v>
      </c>
      <c r="AN1287">
        <v>0</v>
      </c>
      <c r="AO1287">
        <v>0</v>
      </c>
      <c r="AP1287">
        <v>0</v>
      </c>
      <c r="AQ1287">
        <v>0</v>
      </c>
      <c r="AR1287">
        <v>0</v>
      </c>
      <c r="AS1287">
        <v>0</v>
      </c>
      <c r="AT1287">
        <v>0</v>
      </c>
      <c r="AU1287">
        <f t="shared" si="38"/>
        <v>0</v>
      </c>
      <c r="AV1287">
        <f t="shared" si="39"/>
        <v>3450</v>
      </c>
    </row>
    <row r="1288" spans="1:48" x14ac:dyDescent="0.25">
      <c r="A1288" t="s">
        <v>5609</v>
      </c>
      <c r="C1288" t="s">
        <v>5610</v>
      </c>
      <c r="D1288" t="s">
        <v>5611</v>
      </c>
      <c r="E1288" t="s">
        <v>1663</v>
      </c>
      <c r="F1288">
        <v>2</v>
      </c>
      <c r="G1288">
        <v>2.1</v>
      </c>
      <c r="H1288" t="s">
        <v>2327</v>
      </c>
      <c r="I1288" s="21">
        <v>38293</v>
      </c>
      <c r="J1288">
        <v>2004</v>
      </c>
      <c r="K1288" s="21">
        <v>38323</v>
      </c>
      <c r="L1288">
        <v>2004</v>
      </c>
      <c r="M1288" s="21">
        <v>38474</v>
      </c>
      <c r="N1288">
        <v>2005</v>
      </c>
      <c r="Q1288" s="262">
        <v>0</v>
      </c>
      <c r="S1288" t="s">
        <v>114</v>
      </c>
      <c r="T1288" t="s">
        <v>114</v>
      </c>
      <c r="W1288">
        <v>13739</v>
      </c>
      <c r="X1288">
        <v>4</v>
      </c>
      <c r="Y1288">
        <v>0</v>
      </c>
      <c r="Z1288">
        <v>0</v>
      </c>
      <c r="AA1288">
        <v>0</v>
      </c>
      <c r="AB1288">
        <v>0</v>
      </c>
      <c r="AC1288">
        <v>0</v>
      </c>
      <c r="AD1288">
        <v>0</v>
      </c>
      <c r="AE1288">
        <v>0</v>
      </c>
      <c r="AF1288">
        <v>0</v>
      </c>
      <c r="AG1288">
        <v>0</v>
      </c>
      <c r="AH1288">
        <v>0</v>
      </c>
      <c r="AI1288">
        <v>13739</v>
      </c>
      <c r="AJ1288">
        <v>0</v>
      </c>
      <c r="AK1288">
        <v>0</v>
      </c>
      <c r="AL1288">
        <v>0</v>
      </c>
      <c r="AM1288">
        <v>0</v>
      </c>
      <c r="AN1288">
        <v>0</v>
      </c>
      <c r="AO1288">
        <v>0</v>
      </c>
      <c r="AP1288">
        <v>0</v>
      </c>
      <c r="AQ1288">
        <v>0</v>
      </c>
      <c r="AR1288">
        <v>0</v>
      </c>
      <c r="AS1288">
        <v>0</v>
      </c>
      <c r="AT1288">
        <v>4</v>
      </c>
      <c r="AU1288">
        <f t="shared" si="38"/>
        <v>0</v>
      </c>
      <c r="AV1288">
        <f t="shared" si="39"/>
        <v>13739</v>
      </c>
    </row>
    <row r="1289" spans="1:48" x14ac:dyDescent="0.25">
      <c r="A1289" t="s">
        <v>5612</v>
      </c>
      <c r="C1289" t="s">
        <v>5613</v>
      </c>
      <c r="D1289" t="s">
        <v>5614</v>
      </c>
      <c r="E1289" t="s">
        <v>1663</v>
      </c>
      <c r="F1289">
        <v>2</v>
      </c>
      <c r="G1289">
        <v>2.1</v>
      </c>
      <c r="H1289" t="s">
        <v>2327</v>
      </c>
      <c r="I1289" s="21">
        <v>38293</v>
      </c>
      <c r="J1289">
        <v>2004</v>
      </c>
      <c r="K1289" s="21">
        <v>38323</v>
      </c>
      <c r="L1289">
        <v>2004</v>
      </c>
      <c r="M1289" s="21">
        <v>38474</v>
      </c>
      <c r="N1289">
        <v>2005</v>
      </c>
      <c r="Q1289" s="262">
        <v>0</v>
      </c>
      <c r="S1289" t="s">
        <v>114</v>
      </c>
      <c r="T1289" t="s">
        <v>114</v>
      </c>
      <c r="W1289">
        <v>13739</v>
      </c>
      <c r="X1289">
        <v>4</v>
      </c>
      <c r="Y1289">
        <v>0</v>
      </c>
      <c r="Z1289">
        <v>0</v>
      </c>
      <c r="AA1289">
        <v>0</v>
      </c>
      <c r="AB1289">
        <v>0</v>
      </c>
      <c r="AC1289">
        <v>0</v>
      </c>
      <c r="AD1289">
        <v>0</v>
      </c>
      <c r="AE1289">
        <v>0</v>
      </c>
      <c r="AF1289">
        <v>0</v>
      </c>
      <c r="AG1289">
        <v>0</v>
      </c>
      <c r="AH1289">
        <v>0</v>
      </c>
      <c r="AI1289">
        <v>13739</v>
      </c>
      <c r="AJ1289">
        <v>0</v>
      </c>
      <c r="AK1289">
        <v>0</v>
      </c>
      <c r="AL1289">
        <v>0</v>
      </c>
      <c r="AM1289">
        <v>0</v>
      </c>
      <c r="AN1289">
        <v>0</v>
      </c>
      <c r="AO1289">
        <v>0</v>
      </c>
      <c r="AP1289">
        <v>0</v>
      </c>
      <c r="AQ1289">
        <v>0</v>
      </c>
      <c r="AR1289">
        <v>0</v>
      </c>
      <c r="AS1289">
        <v>0</v>
      </c>
      <c r="AT1289">
        <v>4</v>
      </c>
      <c r="AU1289">
        <f t="shared" si="38"/>
        <v>0</v>
      </c>
      <c r="AV1289">
        <f t="shared" si="39"/>
        <v>13739</v>
      </c>
    </row>
    <row r="1290" spans="1:48" x14ac:dyDescent="0.25">
      <c r="A1290" t="s">
        <v>5615</v>
      </c>
      <c r="C1290" t="s">
        <v>2737</v>
      </c>
      <c r="D1290" t="s">
        <v>5616</v>
      </c>
      <c r="E1290" t="s">
        <v>1663</v>
      </c>
      <c r="F1290">
        <v>6</v>
      </c>
      <c r="G1290">
        <v>6.2</v>
      </c>
      <c r="H1290" t="s">
        <v>2017</v>
      </c>
      <c r="I1290" s="21">
        <v>38295</v>
      </c>
      <c r="J1290">
        <v>2004</v>
      </c>
      <c r="K1290" s="21">
        <v>38325</v>
      </c>
      <c r="L1290">
        <v>2004</v>
      </c>
      <c r="M1290" s="21">
        <v>38476</v>
      </c>
      <c r="N1290">
        <v>2005</v>
      </c>
      <c r="Q1290" s="262">
        <v>500000</v>
      </c>
      <c r="S1290" t="s">
        <v>114</v>
      </c>
      <c r="T1290" t="s">
        <v>114</v>
      </c>
      <c r="W1290">
        <v>5973</v>
      </c>
      <c r="X1290">
        <v>1</v>
      </c>
      <c r="Y1290">
        <v>0</v>
      </c>
      <c r="Z1290">
        <v>0</v>
      </c>
      <c r="AA1290">
        <v>0</v>
      </c>
      <c r="AB1290">
        <v>0</v>
      </c>
      <c r="AC1290">
        <v>5973</v>
      </c>
      <c r="AD1290">
        <v>0</v>
      </c>
      <c r="AE1290">
        <v>0</v>
      </c>
      <c r="AF1290">
        <v>0</v>
      </c>
      <c r="AG1290">
        <v>0</v>
      </c>
      <c r="AH1290">
        <v>0</v>
      </c>
      <c r="AI1290">
        <v>0</v>
      </c>
      <c r="AJ1290">
        <v>0</v>
      </c>
      <c r="AK1290">
        <v>0</v>
      </c>
      <c r="AL1290">
        <v>0</v>
      </c>
      <c r="AM1290">
        <v>0</v>
      </c>
      <c r="AN1290">
        <v>0</v>
      </c>
      <c r="AO1290">
        <v>1</v>
      </c>
      <c r="AP1290">
        <v>0</v>
      </c>
      <c r="AQ1290">
        <v>0</v>
      </c>
      <c r="AR1290">
        <v>0</v>
      </c>
      <c r="AS1290">
        <v>0</v>
      </c>
      <c r="AT1290">
        <v>0</v>
      </c>
      <c r="AU1290">
        <f t="shared" si="38"/>
        <v>1</v>
      </c>
      <c r="AV1290">
        <f t="shared" si="39"/>
        <v>0</v>
      </c>
    </row>
    <row r="1291" spans="1:48" x14ac:dyDescent="0.25">
      <c r="A1291" t="s">
        <v>5617</v>
      </c>
      <c r="C1291" t="s">
        <v>5618</v>
      </c>
      <c r="D1291" t="s">
        <v>5619</v>
      </c>
      <c r="E1291" t="s">
        <v>2310</v>
      </c>
      <c r="F1291">
        <v>7</v>
      </c>
      <c r="G1291">
        <v>7.1</v>
      </c>
      <c r="H1291" t="s">
        <v>2017</v>
      </c>
      <c r="I1291" s="21">
        <v>38295</v>
      </c>
      <c r="J1291">
        <v>2004</v>
      </c>
      <c r="R1291" s="262">
        <v>650000</v>
      </c>
      <c r="S1291" t="s">
        <v>114</v>
      </c>
      <c r="T1291" t="s">
        <v>114</v>
      </c>
      <c r="U1291">
        <v>14</v>
      </c>
      <c r="W1291">
        <v>9375</v>
      </c>
      <c r="X1291">
        <v>0</v>
      </c>
      <c r="Y1291">
        <v>0</v>
      </c>
      <c r="Z1291">
        <v>0</v>
      </c>
      <c r="AA1291">
        <v>0</v>
      </c>
      <c r="AB1291">
        <v>0</v>
      </c>
      <c r="AC1291">
        <v>0</v>
      </c>
      <c r="AD1291">
        <v>0</v>
      </c>
      <c r="AE1291">
        <v>0</v>
      </c>
      <c r="AF1291">
        <v>0</v>
      </c>
      <c r="AG1291">
        <v>0</v>
      </c>
      <c r="AH1291">
        <v>0</v>
      </c>
      <c r="AI1291">
        <v>0</v>
      </c>
      <c r="AJ1291">
        <v>0</v>
      </c>
      <c r="AK1291">
        <v>0</v>
      </c>
      <c r="AL1291">
        <v>9375</v>
      </c>
      <c r="AM1291">
        <v>0</v>
      </c>
      <c r="AN1291">
        <v>0</v>
      </c>
      <c r="AO1291">
        <v>0</v>
      </c>
      <c r="AP1291">
        <v>0</v>
      </c>
      <c r="AQ1291">
        <v>0</v>
      </c>
      <c r="AR1291">
        <v>0</v>
      </c>
      <c r="AS1291">
        <v>0</v>
      </c>
      <c r="AT1291">
        <v>0</v>
      </c>
      <c r="AU1291">
        <f t="shared" si="38"/>
        <v>0</v>
      </c>
      <c r="AV1291">
        <f t="shared" si="39"/>
        <v>9375</v>
      </c>
    </row>
    <row r="1292" spans="1:48" x14ac:dyDescent="0.25">
      <c r="A1292" t="s">
        <v>5620</v>
      </c>
      <c r="C1292" t="s">
        <v>5621</v>
      </c>
      <c r="D1292" t="s">
        <v>2744</v>
      </c>
      <c r="E1292" t="s">
        <v>2310</v>
      </c>
      <c r="F1292">
        <v>7</v>
      </c>
      <c r="G1292">
        <v>7.2</v>
      </c>
      <c r="H1292" t="s">
        <v>2017</v>
      </c>
      <c r="I1292" s="21">
        <v>38299</v>
      </c>
      <c r="J1292">
        <v>2004</v>
      </c>
      <c r="K1292" s="21">
        <v>38313</v>
      </c>
      <c r="L1292">
        <v>2004</v>
      </c>
      <c r="M1292" s="21">
        <v>39359</v>
      </c>
      <c r="N1292">
        <v>2007</v>
      </c>
      <c r="R1292" s="262">
        <v>2000</v>
      </c>
      <c r="S1292" t="s">
        <v>114</v>
      </c>
      <c r="T1292" t="s">
        <v>114</v>
      </c>
      <c r="U1292">
        <v>5</v>
      </c>
      <c r="W1292">
        <v>650</v>
      </c>
      <c r="X1292">
        <v>0</v>
      </c>
      <c r="Y1292">
        <v>0</v>
      </c>
      <c r="Z1292">
        <v>0</v>
      </c>
      <c r="AA1292">
        <v>0</v>
      </c>
      <c r="AB1292">
        <v>0</v>
      </c>
      <c r="AC1292">
        <v>650</v>
      </c>
      <c r="AD1292">
        <v>0</v>
      </c>
      <c r="AE1292">
        <v>0</v>
      </c>
      <c r="AF1292">
        <v>0</v>
      </c>
      <c r="AG1292">
        <v>0</v>
      </c>
      <c r="AH1292">
        <v>0</v>
      </c>
      <c r="AI1292">
        <v>0</v>
      </c>
      <c r="AJ1292">
        <v>0</v>
      </c>
      <c r="AK1292">
        <v>0</v>
      </c>
      <c r="AL1292">
        <v>0</v>
      </c>
      <c r="AM1292">
        <v>0</v>
      </c>
      <c r="AN1292">
        <v>0</v>
      </c>
      <c r="AO1292">
        <v>0</v>
      </c>
      <c r="AP1292">
        <v>0</v>
      </c>
      <c r="AQ1292">
        <v>0</v>
      </c>
      <c r="AR1292">
        <v>0</v>
      </c>
      <c r="AS1292">
        <v>0</v>
      </c>
      <c r="AT1292">
        <v>0</v>
      </c>
      <c r="AU1292">
        <f t="shared" si="38"/>
        <v>0</v>
      </c>
      <c r="AV1292">
        <f t="shared" si="39"/>
        <v>0</v>
      </c>
    </row>
    <row r="1293" spans="1:48" x14ac:dyDescent="0.25">
      <c r="A1293" t="s">
        <v>5622</v>
      </c>
      <c r="C1293" t="s">
        <v>5623</v>
      </c>
      <c r="D1293" t="s">
        <v>5624</v>
      </c>
      <c r="E1293" t="s">
        <v>1663</v>
      </c>
      <c r="F1293">
        <v>5</v>
      </c>
      <c r="G1293">
        <v>5.2</v>
      </c>
      <c r="H1293" t="s">
        <v>2327</v>
      </c>
      <c r="I1293" s="21">
        <v>38302</v>
      </c>
      <c r="J1293">
        <v>2004</v>
      </c>
      <c r="K1293" s="21">
        <v>38332</v>
      </c>
      <c r="L1293">
        <v>2004</v>
      </c>
      <c r="M1293" s="21">
        <v>38483</v>
      </c>
      <c r="N1293">
        <v>2005</v>
      </c>
      <c r="Q1293" s="262">
        <v>0</v>
      </c>
      <c r="S1293" t="s">
        <v>114</v>
      </c>
      <c r="T1293" t="s">
        <v>114</v>
      </c>
      <c r="W1293">
        <v>2748</v>
      </c>
      <c r="X1293">
        <v>2</v>
      </c>
      <c r="Y1293">
        <v>0</v>
      </c>
      <c r="Z1293">
        <v>0</v>
      </c>
      <c r="AA1293">
        <v>0</v>
      </c>
      <c r="AB1293">
        <v>0</v>
      </c>
      <c r="AC1293">
        <v>0</v>
      </c>
      <c r="AD1293">
        <v>0</v>
      </c>
      <c r="AE1293">
        <v>1374</v>
      </c>
      <c r="AF1293">
        <v>0</v>
      </c>
      <c r="AG1293">
        <v>0</v>
      </c>
      <c r="AH1293">
        <v>0</v>
      </c>
      <c r="AI1293">
        <v>0</v>
      </c>
      <c r="AJ1293">
        <v>0</v>
      </c>
      <c r="AK1293">
        <v>0</v>
      </c>
      <c r="AL1293">
        <v>1374</v>
      </c>
      <c r="AM1293">
        <v>0</v>
      </c>
      <c r="AN1293">
        <v>0</v>
      </c>
      <c r="AO1293">
        <v>0</v>
      </c>
      <c r="AP1293">
        <v>0</v>
      </c>
      <c r="AQ1293">
        <v>2</v>
      </c>
      <c r="AR1293">
        <v>0</v>
      </c>
      <c r="AS1293">
        <v>0</v>
      </c>
      <c r="AT1293">
        <v>0</v>
      </c>
      <c r="AU1293">
        <f t="shared" si="38"/>
        <v>2</v>
      </c>
      <c r="AV1293">
        <f t="shared" si="39"/>
        <v>1374</v>
      </c>
    </row>
    <row r="1294" spans="1:48" x14ac:dyDescent="0.25">
      <c r="A1294" t="s">
        <v>5625</v>
      </c>
      <c r="C1294" t="s">
        <v>5626</v>
      </c>
      <c r="D1294" t="s">
        <v>5627</v>
      </c>
      <c r="E1294" t="s">
        <v>1663</v>
      </c>
      <c r="F1294">
        <v>5</v>
      </c>
      <c r="G1294">
        <v>5.2</v>
      </c>
      <c r="H1294" t="s">
        <v>2327</v>
      </c>
      <c r="I1294" s="21">
        <v>38302</v>
      </c>
      <c r="J1294">
        <v>2004</v>
      </c>
      <c r="K1294" s="21">
        <v>38332</v>
      </c>
      <c r="L1294">
        <v>2004</v>
      </c>
      <c r="M1294" s="21">
        <v>38483</v>
      </c>
      <c r="N1294">
        <v>2005</v>
      </c>
      <c r="Q1294" s="262">
        <v>0</v>
      </c>
      <c r="S1294" t="s">
        <v>114</v>
      </c>
      <c r="T1294" t="s">
        <v>114</v>
      </c>
      <c r="W1294">
        <v>2748</v>
      </c>
      <c r="X1294">
        <v>2</v>
      </c>
      <c r="Y1294">
        <v>0</v>
      </c>
      <c r="Z1294">
        <v>0</v>
      </c>
      <c r="AA1294">
        <v>0</v>
      </c>
      <c r="AB1294">
        <v>0</v>
      </c>
      <c r="AC1294">
        <v>0</v>
      </c>
      <c r="AD1294">
        <v>0</v>
      </c>
      <c r="AE1294">
        <v>1374</v>
      </c>
      <c r="AF1294">
        <v>0</v>
      </c>
      <c r="AG1294">
        <v>0</v>
      </c>
      <c r="AH1294">
        <v>0</v>
      </c>
      <c r="AI1294">
        <v>0</v>
      </c>
      <c r="AJ1294">
        <v>0</v>
      </c>
      <c r="AK1294">
        <v>0</v>
      </c>
      <c r="AL1294">
        <v>1374</v>
      </c>
      <c r="AM1294">
        <v>0</v>
      </c>
      <c r="AN1294">
        <v>0</v>
      </c>
      <c r="AO1294">
        <v>0</v>
      </c>
      <c r="AP1294">
        <v>0</v>
      </c>
      <c r="AQ1294">
        <v>2</v>
      </c>
      <c r="AR1294">
        <v>0</v>
      </c>
      <c r="AS1294">
        <v>0</v>
      </c>
      <c r="AT1294">
        <v>0</v>
      </c>
      <c r="AU1294">
        <f t="shared" si="38"/>
        <v>2</v>
      </c>
      <c r="AV1294">
        <f t="shared" si="39"/>
        <v>1374</v>
      </c>
    </row>
    <row r="1295" spans="1:48" x14ac:dyDescent="0.25">
      <c r="A1295" t="s">
        <v>5628</v>
      </c>
      <c r="C1295" t="s">
        <v>5629</v>
      </c>
      <c r="D1295" t="s">
        <v>5630</v>
      </c>
      <c r="E1295" t="s">
        <v>1663</v>
      </c>
      <c r="F1295">
        <v>5</v>
      </c>
      <c r="G1295">
        <v>5.2</v>
      </c>
      <c r="H1295" t="s">
        <v>2327</v>
      </c>
      <c r="I1295" s="21">
        <v>38302</v>
      </c>
      <c r="J1295">
        <v>2004</v>
      </c>
      <c r="K1295" s="21">
        <v>38332</v>
      </c>
      <c r="L1295">
        <v>2004</v>
      </c>
      <c r="M1295" s="21">
        <v>38483</v>
      </c>
      <c r="N1295">
        <v>2005</v>
      </c>
      <c r="Q1295" s="262">
        <v>0</v>
      </c>
      <c r="S1295" t="s">
        <v>114</v>
      </c>
      <c r="T1295" t="s">
        <v>114</v>
      </c>
      <c r="W1295">
        <v>2748</v>
      </c>
      <c r="X1295">
        <v>2</v>
      </c>
      <c r="Y1295">
        <v>0</v>
      </c>
      <c r="Z1295">
        <v>0</v>
      </c>
      <c r="AA1295">
        <v>0</v>
      </c>
      <c r="AB1295">
        <v>0</v>
      </c>
      <c r="AC1295">
        <v>0</v>
      </c>
      <c r="AD1295">
        <v>0</v>
      </c>
      <c r="AE1295">
        <v>1374</v>
      </c>
      <c r="AF1295">
        <v>0</v>
      </c>
      <c r="AG1295">
        <v>0</v>
      </c>
      <c r="AH1295">
        <v>0</v>
      </c>
      <c r="AI1295">
        <v>0</v>
      </c>
      <c r="AJ1295">
        <v>0</v>
      </c>
      <c r="AK1295">
        <v>0</v>
      </c>
      <c r="AL1295">
        <v>1374</v>
      </c>
      <c r="AM1295">
        <v>0</v>
      </c>
      <c r="AN1295">
        <v>0</v>
      </c>
      <c r="AO1295">
        <v>0</v>
      </c>
      <c r="AP1295">
        <v>0</v>
      </c>
      <c r="AQ1295">
        <v>2</v>
      </c>
      <c r="AR1295">
        <v>0</v>
      </c>
      <c r="AS1295">
        <v>0</v>
      </c>
      <c r="AT1295">
        <v>0</v>
      </c>
      <c r="AU1295">
        <f t="shared" si="38"/>
        <v>2</v>
      </c>
      <c r="AV1295">
        <f t="shared" si="39"/>
        <v>1374</v>
      </c>
    </row>
    <row r="1296" spans="1:48" x14ac:dyDescent="0.25">
      <c r="A1296" t="s">
        <v>5631</v>
      </c>
      <c r="C1296" t="s">
        <v>5632</v>
      </c>
      <c r="D1296" t="s">
        <v>3716</v>
      </c>
      <c r="E1296" t="s">
        <v>2310</v>
      </c>
      <c r="F1296">
        <v>15</v>
      </c>
      <c r="G1296">
        <v>15.1</v>
      </c>
      <c r="H1296" t="s">
        <v>2022</v>
      </c>
      <c r="I1296" s="21">
        <v>38306</v>
      </c>
      <c r="J1296">
        <v>2004</v>
      </c>
      <c r="K1296" s="21">
        <v>38324</v>
      </c>
      <c r="L1296">
        <v>2004</v>
      </c>
      <c r="M1296" s="21">
        <v>38324</v>
      </c>
      <c r="N1296">
        <v>2004</v>
      </c>
      <c r="R1296" s="262">
        <v>3000</v>
      </c>
      <c r="S1296" t="s">
        <v>114</v>
      </c>
      <c r="T1296" t="s">
        <v>114</v>
      </c>
      <c r="U1296">
        <v>5</v>
      </c>
      <c r="W1296">
        <v>0</v>
      </c>
      <c r="X1296">
        <v>0</v>
      </c>
      <c r="Y1296">
        <v>0</v>
      </c>
      <c r="Z1296">
        <v>0</v>
      </c>
      <c r="AA1296">
        <v>0</v>
      </c>
      <c r="AB1296">
        <v>0</v>
      </c>
      <c r="AC1296">
        <v>0</v>
      </c>
      <c r="AD1296">
        <v>0</v>
      </c>
      <c r="AE1296">
        <v>0</v>
      </c>
      <c r="AF1296">
        <v>0</v>
      </c>
      <c r="AG1296">
        <v>0</v>
      </c>
      <c r="AH1296">
        <v>0</v>
      </c>
      <c r="AI1296">
        <v>0</v>
      </c>
      <c r="AJ1296">
        <v>0</v>
      </c>
      <c r="AK1296">
        <v>0</v>
      </c>
      <c r="AL1296">
        <v>0</v>
      </c>
      <c r="AM1296">
        <v>0</v>
      </c>
      <c r="AN1296">
        <v>0</v>
      </c>
      <c r="AO1296">
        <v>0</v>
      </c>
      <c r="AP1296">
        <v>0</v>
      </c>
      <c r="AQ1296">
        <v>0</v>
      </c>
      <c r="AR1296">
        <v>0</v>
      </c>
      <c r="AS1296">
        <v>0</v>
      </c>
      <c r="AT1296">
        <v>0</v>
      </c>
      <c r="AU1296">
        <f t="shared" si="38"/>
        <v>0</v>
      </c>
      <c r="AV1296">
        <f t="shared" si="39"/>
        <v>0</v>
      </c>
    </row>
    <row r="1297" spans="1:48" x14ac:dyDescent="0.25">
      <c r="A1297" t="s">
        <v>5633</v>
      </c>
      <c r="C1297" t="s">
        <v>5634</v>
      </c>
      <c r="D1297" t="s">
        <v>5635</v>
      </c>
      <c r="E1297" t="s">
        <v>2310</v>
      </c>
      <c r="F1297">
        <v>15</v>
      </c>
      <c r="G1297">
        <v>15.3</v>
      </c>
      <c r="H1297" t="s">
        <v>2022</v>
      </c>
      <c r="I1297" s="21">
        <v>38307</v>
      </c>
      <c r="J1297">
        <v>2004</v>
      </c>
      <c r="K1297" s="21">
        <v>38320</v>
      </c>
      <c r="L1297">
        <v>2004</v>
      </c>
      <c r="M1297" s="21">
        <v>38547</v>
      </c>
      <c r="N1297">
        <v>2005</v>
      </c>
      <c r="R1297" s="262">
        <v>75000</v>
      </c>
      <c r="S1297" t="s">
        <v>114</v>
      </c>
      <c r="T1297" t="s">
        <v>114</v>
      </c>
      <c r="U1297">
        <v>5</v>
      </c>
      <c r="W1297">
        <v>0</v>
      </c>
      <c r="X1297">
        <v>0</v>
      </c>
      <c r="Y1297">
        <v>0</v>
      </c>
      <c r="Z1297">
        <v>0</v>
      </c>
      <c r="AA1297">
        <v>0</v>
      </c>
      <c r="AB1297">
        <v>0</v>
      </c>
      <c r="AC1297">
        <v>0</v>
      </c>
      <c r="AD1297">
        <v>0</v>
      </c>
      <c r="AE1297">
        <v>0</v>
      </c>
      <c r="AF1297">
        <v>0</v>
      </c>
      <c r="AG1297">
        <v>0</v>
      </c>
      <c r="AH1297">
        <v>0</v>
      </c>
      <c r="AI1297">
        <v>0</v>
      </c>
      <c r="AJ1297">
        <v>0</v>
      </c>
      <c r="AK1297">
        <v>0</v>
      </c>
      <c r="AL1297">
        <v>0</v>
      </c>
      <c r="AM1297">
        <v>0</v>
      </c>
      <c r="AN1297">
        <v>0</v>
      </c>
      <c r="AO1297">
        <v>0</v>
      </c>
      <c r="AP1297">
        <v>0</v>
      </c>
      <c r="AQ1297">
        <v>0</v>
      </c>
      <c r="AR1297">
        <v>0</v>
      </c>
      <c r="AS1297">
        <v>0</v>
      </c>
      <c r="AT1297">
        <v>0</v>
      </c>
      <c r="AU1297">
        <f t="shared" si="38"/>
        <v>0</v>
      </c>
      <c r="AV1297">
        <f t="shared" si="39"/>
        <v>0</v>
      </c>
    </row>
    <row r="1298" spans="1:48" x14ac:dyDescent="0.25">
      <c r="A1298" t="s">
        <v>5636</v>
      </c>
      <c r="C1298" t="s">
        <v>5637</v>
      </c>
      <c r="D1298" t="s">
        <v>5034</v>
      </c>
      <c r="E1298" t="s">
        <v>2310</v>
      </c>
      <c r="F1298">
        <v>9</v>
      </c>
      <c r="G1298">
        <v>9.1</v>
      </c>
      <c r="H1298" t="s">
        <v>2323</v>
      </c>
      <c r="I1298" s="21">
        <v>38307</v>
      </c>
      <c r="J1298">
        <v>2004</v>
      </c>
      <c r="K1298" s="21">
        <v>38313</v>
      </c>
      <c r="L1298">
        <v>2004</v>
      </c>
      <c r="M1298" s="21">
        <v>38575</v>
      </c>
      <c r="N1298">
        <v>2005</v>
      </c>
      <c r="R1298" s="262">
        <v>9000</v>
      </c>
      <c r="S1298" t="s">
        <v>114</v>
      </c>
      <c r="T1298" t="s">
        <v>114</v>
      </c>
      <c r="U1298">
        <v>5</v>
      </c>
      <c r="W1298">
        <v>0</v>
      </c>
      <c r="X1298">
        <v>0</v>
      </c>
      <c r="Y1298">
        <v>0</v>
      </c>
      <c r="Z1298">
        <v>0</v>
      </c>
      <c r="AA1298">
        <v>0</v>
      </c>
      <c r="AB1298">
        <v>0</v>
      </c>
      <c r="AC1298">
        <v>0</v>
      </c>
      <c r="AD1298">
        <v>0</v>
      </c>
      <c r="AE1298">
        <v>0</v>
      </c>
      <c r="AF1298">
        <v>0</v>
      </c>
      <c r="AG1298">
        <v>0</v>
      </c>
      <c r="AH1298">
        <v>0</v>
      </c>
      <c r="AI1298">
        <v>0</v>
      </c>
      <c r="AJ1298">
        <v>0</v>
      </c>
      <c r="AK1298">
        <v>0</v>
      </c>
      <c r="AL1298">
        <v>0</v>
      </c>
      <c r="AM1298">
        <v>0</v>
      </c>
      <c r="AN1298">
        <v>0</v>
      </c>
      <c r="AO1298">
        <v>0</v>
      </c>
      <c r="AP1298">
        <v>0</v>
      </c>
      <c r="AQ1298">
        <v>0</v>
      </c>
      <c r="AR1298">
        <v>0</v>
      </c>
      <c r="AS1298">
        <v>0</v>
      </c>
      <c r="AT1298">
        <v>0</v>
      </c>
      <c r="AU1298">
        <f t="shared" si="38"/>
        <v>0</v>
      </c>
      <c r="AV1298">
        <f t="shared" si="39"/>
        <v>0</v>
      </c>
    </row>
    <row r="1299" spans="1:48" x14ac:dyDescent="0.25">
      <c r="A1299" t="s">
        <v>5638</v>
      </c>
      <c r="C1299" t="s">
        <v>5639</v>
      </c>
      <c r="D1299" t="s">
        <v>5640</v>
      </c>
      <c r="E1299" t="s">
        <v>2310</v>
      </c>
      <c r="F1299">
        <v>11</v>
      </c>
      <c r="G1299">
        <v>11.4</v>
      </c>
      <c r="H1299" t="s">
        <v>2017</v>
      </c>
      <c r="I1299" s="21">
        <v>38308</v>
      </c>
      <c r="J1299">
        <v>2004</v>
      </c>
      <c r="K1299" s="21">
        <v>38336</v>
      </c>
      <c r="L1299">
        <v>2004</v>
      </c>
      <c r="M1299" s="21">
        <v>38685</v>
      </c>
      <c r="N1299">
        <v>2005</v>
      </c>
      <c r="R1299" s="262">
        <v>150000</v>
      </c>
      <c r="S1299" t="s">
        <v>114</v>
      </c>
      <c r="T1299" t="s">
        <v>114</v>
      </c>
      <c r="U1299">
        <v>5</v>
      </c>
      <c r="W1299">
        <v>1812</v>
      </c>
      <c r="X1299">
        <v>1</v>
      </c>
      <c r="Y1299">
        <v>0</v>
      </c>
      <c r="Z1299">
        <v>0</v>
      </c>
      <c r="AA1299">
        <v>0</v>
      </c>
      <c r="AB1299">
        <v>0</v>
      </c>
      <c r="AC1299">
        <v>1812</v>
      </c>
      <c r="AD1299">
        <v>0</v>
      </c>
      <c r="AE1299">
        <v>0</v>
      </c>
      <c r="AF1299">
        <v>0</v>
      </c>
      <c r="AG1299">
        <v>0</v>
      </c>
      <c r="AH1299">
        <v>0</v>
      </c>
      <c r="AI1299">
        <v>0</v>
      </c>
      <c r="AJ1299">
        <v>0</v>
      </c>
      <c r="AK1299">
        <v>0</v>
      </c>
      <c r="AL1299">
        <v>0</v>
      </c>
      <c r="AM1299">
        <v>0</v>
      </c>
      <c r="AN1299">
        <v>0</v>
      </c>
      <c r="AO1299">
        <v>1</v>
      </c>
      <c r="AP1299">
        <v>0</v>
      </c>
      <c r="AQ1299">
        <v>0</v>
      </c>
      <c r="AR1299">
        <v>0</v>
      </c>
      <c r="AS1299">
        <v>0</v>
      </c>
      <c r="AT1299">
        <v>0</v>
      </c>
      <c r="AU1299">
        <f t="shared" si="38"/>
        <v>1</v>
      </c>
      <c r="AV1299">
        <f t="shared" si="39"/>
        <v>0</v>
      </c>
    </row>
    <row r="1300" spans="1:48" x14ac:dyDescent="0.25">
      <c r="A1300" t="s">
        <v>5641</v>
      </c>
      <c r="C1300" t="s">
        <v>5642</v>
      </c>
      <c r="D1300" t="s">
        <v>5640</v>
      </c>
      <c r="E1300" t="s">
        <v>2310</v>
      </c>
      <c r="F1300">
        <v>11</v>
      </c>
      <c r="G1300">
        <v>11.4</v>
      </c>
      <c r="H1300" t="s">
        <v>2017</v>
      </c>
      <c r="I1300" s="21">
        <v>38308</v>
      </c>
      <c r="J1300">
        <v>2004</v>
      </c>
      <c r="K1300" s="21">
        <v>38336</v>
      </c>
      <c r="L1300">
        <v>2004</v>
      </c>
      <c r="M1300" s="21">
        <v>38685</v>
      </c>
      <c r="N1300">
        <v>2005</v>
      </c>
      <c r="R1300" s="262">
        <v>50000</v>
      </c>
      <c r="S1300" t="s">
        <v>114</v>
      </c>
      <c r="T1300" t="s">
        <v>114</v>
      </c>
      <c r="U1300">
        <v>5</v>
      </c>
      <c r="W1300">
        <v>750</v>
      </c>
      <c r="X1300">
        <v>0</v>
      </c>
      <c r="Y1300">
        <v>0</v>
      </c>
      <c r="Z1300">
        <v>0</v>
      </c>
      <c r="AA1300">
        <v>0</v>
      </c>
      <c r="AB1300">
        <v>0</v>
      </c>
      <c r="AC1300">
        <v>750</v>
      </c>
      <c r="AD1300">
        <v>0</v>
      </c>
      <c r="AE1300">
        <v>0</v>
      </c>
      <c r="AF1300">
        <v>0</v>
      </c>
      <c r="AG1300">
        <v>0</v>
      </c>
      <c r="AH1300">
        <v>0</v>
      </c>
      <c r="AI1300">
        <v>0</v>
      </c>
      <c r="AJ1300">
        <v>0</v>
      </c>
      <c r="AK1300">
        <v>0</v>
      </c>
      <c r="AL1300">
        <v>0</v>
      </c>
      <c r="AM1300">
        <v>0</v>
      </c>
      <c r="AN1300">
        <v>0</v>
      </c>
      <c r="AO1300">
        <v>0</v>
      </c>
      <c r="AP1300">
        <v>0</v>
      </c>
      <c r="AQ1300">
        <v>0</v>
      </c>
      <c r="AR1300">
        <v>0</v>
      </c>
      <c r="AS1300">
        <v>0</v>
      </c>
      <c r="AT1300">
        <v>0</v>
      </c>
      <c r="AU1300">
        <f t="shared" si="38"/>
        <v>0</v>
      </c>
      <c r="AV1300">
        <f t="shared" si="39"/>
        <v>0</v>
      </c>
    </row>
    <row r="1301" spans="1:48" x14ac:dyDescent="0.25">
      <c r="A1301" t="s">
        <v>5643</v>
      </c>
      <c r="C1301" t="s">
        <v>5644</v>
      </c>
      <c r="D1301" t="s">
        <v>5645</v>
      </c>
      <c r="E1301" t="s">
        <v>2310</v>
      </c>
      <c r="F1301">
        <v>8</v>
      </c>
      <c r="G1301">
        <v>8.3000000000000007</v>
      </c>
      <c r="H1301" t="s">
        <v>2323</v>
      </c>
      <c r="I1301" s="21">
        <v>38310</v>
      </c>
      <c r="J1301">
        <v>2004</v>
      </c>
      <c r="K1301" s="21">
        <v>38434</v>
      </c>
      <c r="L1301">
        <v>2005</v>
      </c>
      <c r="M1301" s="21">
        <v>39148</v>
      </c>
      <c r="N1301">
        <v>2007</v>
      </c>
      <c r="R1301" s="262">
        <v>1000000</v>
      </c>
      <c r="S1301" t="s">
        <v>114</v>
      </c>
      <c r="T1301" t="s">
        <v>114</v>
      </c>
      <c r="U1301">
        <v>5</v>
      </c>
      <c r="W1301">
        <v>7706</v>
      </c>
      <c r="X1301">
        <v>1</v>
      </c>
      <c r="Y1301">
        <v>0</v>
      </c>
      <c r="Z1301">
        <v>0</v>
      </c>
      <c r="AA1301">
        <v>0</v>
      </c>
      <c r="AB1301">
        <v>0</v>
      </c>
      <c r="AC1301">
        <v>7706</v>
      </c>
      <c r="AD1301">
        <v>0</v>
      </c>
      <c r="AE1301">
        <v>0</v>
      </c>
      <c r="AF1301">
        <v>0</v>
      </c>
      <c r="AG1301">
        <v>0</v>
      </c>
      <c r="AH1301">
        <v>0</v>
      </c>
      <c r="AI1301">
        <v>0</v>
      </c>
      <c r="AJ1301">
        <v>0</v>
      </c>
      <c r="AK1301">
        <v>0</v>
      </c>
      <c r="AL1301">
        <v>0</v>
      </c>
      <c r="AM1301">
        <v>0</v>
      </c>
      <c r="AN1301">
        <v>0</v>
      </c>
      <c r="AO1301">
        <v>1</v>
      </c>
      <c r="AP1301">
        <v>0</v>
      </c>
      <c r="AQ1301">
        <v>0</v>
      </c>
      <c r="AR1301">
        <v>0</v>
      </c>
      <c r="AS1301">
        <v>0</v>
      </c>
      <c r="AT1301">
        <v>0</v>
      </c>
      <c r="AU1301">
        <f t="shared" si="38"/>
        <v>1</v>
      </c>
      <c r="AV1301">
        <f t="shared" si="39"/>
        <v>0</v>
      </c>
    </row>
    <row r="1302" spans="1:48" x14ac:dyDescent="0.25">
      <c r="A1302" t="s">
        <v>5646</v>
      </c>
      <c r="C1302" t="s">
        <v>5647</v>
      </c>
      <c r="D1302" t="s">
        <v>5648</v>
      </c>
      <c r="E1302" t="s">
        <v>2310</v>
      </c>
      <c r="F1302">
        <v>13</v>
      </c>
      <c r="G1302">
        <v>13.3</v>
      </c>
      <c r="H1302" t="s">
        <v>2017</v>
      </c>
      <c r="I1302" s="21">
        <v>38310</v>
      </c>
      <c r="J1302">
        <v>2004</v>
      </c>
      <c r="K1302" s="21">
        <v>38321</v>
      </c>
      <c r="L1302">
        <v>2004</v>
      </c>
      <c r="M1302" s="21">
        <v>38833</v>
      </c>
      <c r="N1302">
        <v>2006</v>
      </c>
      <c r="R1302" s="262">
        <v>400000</v>
      </c>
      <c r="S1302" t="s">
        <v>114</v>
      </c>
      <c r="T1302" t="s">
        <v>114</v>
      </c>
      <c r="U1302">
        <v>5</v>
      </c>
      <c r="W1302">
        <v>533</v>
      </c>
      <c r="X1302">
        <v>1</v>
      </c>
      <c r="Y1302">
        <v>0</v>
      </c>
      <c r="Z1302">
        <v>0</v>
      </c>
      <c r="AA1302">
        <v>0</v>
      </c>
      <c r="AB1302">
        <v>0</v>
      </c>
      <c r="AC1302">
        <v>533</v>
      </c>
      <c r="AD1302">
        <v>0</v>
      </c>
      <c r="AE1302">
        <v>0</v>
      </c>
      <c r="AF1302">
        <v>0</v>
      </c>
      <c r="AG1302">
        <v>0</v>
      </c>
      <c r="AH1302">
        <v>0</v>
      </c>
      <c r="AI1302">
        <v>0</v>
      </c>
      <c r="AJ1302">
        <v>0</v>
      </c>
      <c r="AK1302">
        <v>0</v>
      </c>
      <c r="AL1302">
        <v>0</v>
      </c>
      <c r="AM1302">
        <v>0</v>
      </c>
      <c r="AN1302">
        <v>0</v>
      </c>
      <c r="AO1302">
        <v>1</v>
      </c>
      <c r="AP1302">
        <v>0</v>
      </c>
      <c r="AQ1302">
        <v>0</v>
      </c>
      <c r="AR1302">
        <v>0</v>
      </c>
      <c r="AS1302">
        <v>0</v>
      </c>
      <c r="AT1302">
        <v>0</v>
      </c>
      <c r="AU1302">
        <f t="shared" si="38"/>
        <v>1</v>
      </c>
      <c r="AV1302">
        <f t="shared" si="39"/>
        <v>0</v>
      </c>
    </row>
    <row r="1303" spans="1:48" x14ac:dyDescent="0.25">
      <c r="A1303" t="s">
        <v>5649</v>
      </c>
      <c r="C1303" t="s">
        <v>5650</v>
      </c>
      <c r="D1303" t="s">
        <v>4279</v>
      </c>
      <c r="E1303" t="s">
        <v>2310</v>
      </c>
      <c r="F1303">
        <v>13</v>
      </c>
      <c r="G1303">
        <v>13.3</v>
      </c>
      <c r="H1303" t="s">
        <v>2017</v>
      </c>
      <c r="I1303" s="21">
        <v>38314</v>
      </c>
      <c r="J1303">
        <v>2004</v>
      </c>
      <c r="K1303" s="21">
        <v>38320</v>
      </c>
      <c r="L1303">
        <v>2004</v>
      </c>
      <c r="M1303" s="21">
        <v>38320</v>
      </c>
      <c r="N1303">
        <v>2004</v>
      </c>
      <c r="R1303" s="262">
        <v>100000</v>
      </c>
      <c r="S1303" t="s">
        <v>114</v>
      </c>
      <c r="T1303" t="s">
        <v>114</v>
      </c>
      <c r="U1303">
        <v>5</v>
      </c>
      <c r="W1303">
        <v>0</v>
      </c>
      <c r="X1303">
        <v>0</v>
      </c>
      <c r="Y1303">
        <v>0</v>
      </c>
      <c r="Z1303">
        <v>0</v>
      </c>
      <c r="AA1303">
        <v>0</v>
      </c>
      <c r="AB1303">
        <v>0</v>
      </c>
      <c r="AC1303">
        <v>0</v>
      </c>
      <c r="AD1303">
        <v>0</v>
      </c>
      <c r="AE1303">
        <v>0</v>
      </c>
      <c r="AF1303">
        <v>0</v>
      </c>
      <c r="AG1303">
        <v>0</v>
      </c>
      <c r="AH1303">
        <v>0</v>
      </c>
      <c r="AI1303">
        <v>0</v>
      </c>
      <c r="AJ1303">
        <v>0</v>
      </c>
      <c r="AK1303">
        <v>0</v>
      </c>
      <c r="AL1303">
        <v>0</v>
      </c>
      <c r="AM1303">
        <v>0</v>
      </c>
      <c r="AN1303">
        <v>0</v>
      </c>
      <c r="AO1303">
        <v>0</v>
      </c>
      <c r="AP1303">
        <v>0</v>
      </c>
      <c r="AQ1303">
        <v>0</v>
      </c>
      <c r="AR1303">
        <v>0</v>
      </c>
      <c r="AS1303">
        <v>0</v>
      </c>
      <c r="AT1303">
        <v>0</v>
      </c>
      <c r="AU1303">
        <f t="shared" si="38"/>
        <v>0</v>
      </c>
      <c r="AV1303">
        <f t="shared" si="39"/>
        <v>0</v>
      </c>
    </row>
    <row r="1304" spans="1:48" x14ac:dyDescent="0.25">
      <c r="A1304" t="s">
        <v>5651</v>
      </c>
      <c r="C1304" t="s">
        <v>5652</v>
      </c>
      <c r="D1304" t="s">
        <v>5653</v>
      </c>
      <c r="E1304" t="s">
        <v>2310</v>
      </c>
      <c r="F1304">
        <v>10</v>
      </c>
      <c r="G1304">
        <v>10.1</v>
      </c>
      <c r="H1304" t="s">
        <v>2323</v>
      </c>
      <c r="I1304" s="21">
        <v>38314</v>
      </c>
      <c r="J1304">
        <v>2004</v>
      </c>
      <c r="K1304" s="21">
        <v>38329</v>
      </c>
      <c r="L1304">
        <v>2004</v>
      </c>
      <c r="M1304" s="21">
        <v>38581</v>
      </c>
      <c r="N1304">
        <v>2005</v>
      </c>
      <c r="R1304" s="262">
        <v>345000</v>
      </c>
      <c r="S1304" t="s">
        <v>114</v>
      </c>
      <c r="T1304" t="s">
        <v>114</v>
      </c>
      <c r="U1304">
        <v>5</v>
      </c>
      <c r="W1304">
        <v>3786</v>
      </c>
      <c r="X1304">
        <v>1</v>
      </c>
      <c r="Y1304">
        <v>0</v>
      </c>
      <c r="Z1304">
        <v>0</v>
      </c>
      <c r="AA1304">
        <v>0</v>
      </c>
      <c r="AB1304">
        <v>0</v>
      </c>
      <c r="AC1304">
        <v>3786</v>
      </c>
      <c r="AD1304">
        <v>0</v>
      </c>
      <c r="AE1304">
        <v>0</v>
      </c>
      <c r="AF1304">
        <v>0</v>
      </c>
      <c r="AG1304">
        <v>0</v>
      </c>
      <c r="AH1304">
        <v>0</v>
      </c>
      <c r="AI1304">
        <v>0</v>
      </c>
      <c r="AJ1304">
        <v>0</v>
      </c>
      <c r="AK1304">
        <v>0</v>
      </c>
      <c r="AL1304">
        <v>0</v>
      </c>
      <c r="AM1304">
        <v>0</v>
      </c>
      <c r="AN1304">
        <v>0</v>
      </c>
      <c r="AO1304">
        <v>1</v>
      </c>
      <c r="AP1304">
        <v>0</v>
      </c>
      <c r="AQ1304">
        <v>0</v>
      </c>
      <c r="AR1304">
        <v>0</v>
      </c>
      <c r="AS1304">
        <v>0</v>
      </c>
      <c r="AT1304">
        <v>0</v>
      </c>
      <c r="AU1304">
        <f t="shared" si="38"/>
        <v>1</v>
      </c>
      <c r="AV1304">
        <f t="shared" si="39"/>
        <v>0</v>
      </c>
    </row>
    <row r="1305" spans="1:48" x14ac:dyDescent="0.25">
      <c r="A1305" t="s">
        <v>5654</v>
      </c>
      <c r="C1305" t="s">
        <v>5655</v>
      </c>
      <c r="D1305" t="s">
        <v>5656</v>
      </c>
      <c r="E1305" t="s">
        <v>2310</v>
      </c>
      <c r="F1305">
        <v>11</v>
      </c>
      <c r="G1305">
        <v>11.2</v>
      </c>
      <c r="H1305" t="s">
        <v>2017</v>
      </c>
      <c r="I1305" s="21">
        <v>38315</v>
      </c>
      <c r="J1305">
        <v>2004</v>
      </c>
      <c r="K1305" s="21">
        <v>38372</v>
      </c>
      <c r="L1305">
        <v>2005</v>
      </c>
      <c r="M1305" s="21">
        <v>38785</v>
      </c>
      <c r="N1305">
        <v>2006</v>
      </c>
      <c r="R1305" s="262">
        <v>275000</v>
      </c>
      <c r="S1305" t="s">
        <v>114</v>
      </c>
      <c r="T1305" t="s">
        <v>114</v>
      </c>
      <c r="U1305">
        <v>5</v>
      </c>
      <c r="W1305">
        <v>3034</v>
      </c>
      <c r="X1305">
        <v>1</v>
      </c>
      <c r="Y1305">
        <v>0</v>
      </c>
      <c r="Z1305">
        <v>0</v>
      </c>
      <c r="AA1305">
        <v>0</v>
      </c>
      <c r="AB1305">
        <v>0</v>
      </c>
      <c r="AC1305">
        <v>3034</v>
      </c>
      <c r="AD1305">
        <v>0</v>
      </c>
      <c r="AE1305">
        <v>0</v>
      </c>
      <c r="AF1305">
        <v>0</v>
      </c>
      <c r="AG1305">
        <v>0</v>
      </c>
      <c r="AH1305">
        <v>0</v>
      </c>
      <c r="AI1305">
        <v>0</v>
      </c>
      <c r="AJ1305">
        <v>0</v>
      </c>
      <c r="AK1305">
        <v>0</v>
      </c>
      <c r="AL1305">
        <v>0</v>
      </c>
      <c r="AM1305">
        <v>0</v>
      </c>
      <c r="AN1305">
        <v>0</v>
      </c>
      <c r="AO1305">
        <v>1</v>
      </c>
      <c r="AP1305">
        <v>0</v>
      </c>
      <c r="AQ1305">
        <v>0</v>
      </c>
      <c r="AR1305">
        <v>0</v>
      </c>
      <c r="AS1305">
        <v>0</v>
      </c>
      <c r="AT1305">
        <v>0</v>
      </c>
      <c r="AU1305">
        <f t="shared" ref="AU1305:AU1368" si="40">SUM(AN1305:AQ1305,AS1305)</f>
        <v>1</v>
      </c>
      <c r="AV1305">
        <f t="shared" ref="AV1305:AV1368" si="41">SUM(Y1305:AB1305,AH1305:AM1305)</f>
        <v>0</v>
      </c>
    </row>
    <row r="1306" spans="1:48" x14ac:dyDescent="0.25">
      <c r="A1306" t="s">
        <v>5657</v>
      </c>
      <c r="C1306" t="s">
        <v>5658</v>
      </c>
      <c r="D1306" t="s">
        <v>5659</v>
      </c>
      <c r="E1306" t="s">
        <v>2310</v>
      </c>
      <c r="F1306">
        <v>8</v>
      </c>
      <c r="G1306">
        <v>8.1999999999999993</v>
      </c>
      <c r="H1306" t="s">
        <v>2022</v>
      </c>
      <c r="I1306" s="21">
        <v>38315</v>
      </c>
      <c r="J1306">
        <v>2004</v>
      </c>
      <c r="K1306" s="21">
        <v>38329</v>
      </c>
      <c r="L1306">
        <v>2004</v>
      </c>
      <c r="M1306" s="21">
        <v>38567</v>
      </c>
      <c r="N1306">
        <v>2005</v>
      </c>
      <c r="R1306" s="262">
        <v>180000</v>
      </c>
      <c r="S1306" t="s">
        <v>114</v>
      </c>
      <c r="T1306" t="s">
        <v>114</v>
      </c>
      <c r="U1306">
        <v>5</v>
      </c>
      <c r="W1306">
        <v>9</v>
      </c>
      <c r="X1306">
        <v>0</v>
      </c>
      <c r="Y1306">
        <v>0</v>
      </c>
      <c r="Z1306">
        <v>0</v>
      </c>
      <c r="AA1306">
        <v>0</v>
      </c>
      <c r="AB1306">
        <v>0</v>
      </c>
      <c r="AC1306">
        <v>9</v>
      </c>
      <c r="AD1306">
        <v>0</v>
      </c>
      <c r="AE1306">
        <v>0</v>
      </c>
      <c r="AF1306">
        <v>0</v>
      </c>
      <c r="AG1306">
        <v>0</v>
      </c>
      <c r="AH1306">
        <v>0</v>
      </c>
      <c r="AI1306">
        <v>0</v>
      </c>
      <c r="AJ1306">
        <v>0</v>
      </c>
      <c r="AK1306">
        <v>0</v>
      </c>
      <c r="AL1306">
        <v>0</v>
      </c>
      <c r="AM1306">
        <v>0</v>
      </c>
      <c r="AN1306">
        <v>0</v>
      </c>
      <c r="AO1306">
        <v>0</v>
      </c>
      <c r="AP1306">
        <v>0</v>
      </c>
      <c r="AQ1306">
        <v>0</v>
      </c>
      <c r="AR1306">
        <v>0</v>
      </c>
      <c r="AS1306">
        <v>0</v>
      </c>
      <c r="AT1306">
        <v>0</v>
      </c>
      <c r="AU1306">
        <f t="shared" si="40"/>
        <v>0</v>
      </c>
      <c r="AV1306">
        <f t="shared" si="41"/>
        <v>0</v>
      </c>
    </row>
    <row r="1307" spans="1:48" x14ac:dyDescent="0.25">
      <c r="A1307" t="s">
        <v>5660</v>
      </c>
      <c r="C1307" t="s">
        <v>5661</v>
      </c>
      <c r="D1307" t="s">
        <v>5659</v>
      </c>
      <c r="E1307" t="s">
        <v>2310</v>
      </c>
      <c r="F1307">
        <v>8</v>
      </c>
      <c r="G1307">
        <v>8.1999999999999993</v>
      </c>
      <c r="H1307" t="s">
        <v>2022</v>
      </c>
      <c r="I1307" s="21">
        <v>38315</v>
      </c>
      <c r="J1307">
        <v>2004</v>
      </c>
      <c r="K1307" s="21">
        <v>38329</v>
      </c>
      <c r="L1307">
        <v>2004</v>
      </c>
      <c r="M1307" s="21">
        <v>38567</v>
      </c>
      <c r="N1307">
        <v>2005</v>
      </c>
      <c r="R1307" s="262">
        <v>46000</v>
      </c>
      <c r="S1307" t="s">
        <v>114</v>
      </c>
      <c r="T1307" t="s">
        <v>114</v>
      </c>
      <c r="U1307">
        <v>5</v>
      </c>
      <c r="W1307">
        <v>1441</v>
      </c>
      <c r="X1307">
        <v>0</v>
      </c>
      <c r="Y1307">
        <v>0</v>
      </c>
      <c r="Z1307">
        <v>0</v>
      </c>
      <c r="AA1307">
        <v>0</v>
      </c>
      <c r="AB1307">
        <v>0</v>
      </c>
      <c r="AC1307">
        <v>1441</v>
      </c>
      <c r="AD1307">
        <v>0</v>
      </c>
      <c r="AE1307">
        <v>0</v>
      </c>
      <c r="AF1307">
        <v>0</v>
      </c>
      <c r="AG1307">
        <v>0</v>
      </c>
      <c r="AH1307">
        <v>0</v>
      </c>
      <c r="AI1307">
        <v>0</v>
      </c>
      <c r="AJ1307">
        <v>0</v>
      </c>
      <c r="AK1307">
        <v>0</v>
      </c>
      <c r="AL1307">
        <v>0</v>
      </c>
      <c r="AM1307">
        <v>0</v>
      </c>
      <c r="AN1307">
        <v>0</v>
      </c>
      <c r="AO1307">
        <v>0</v>
      </c>
      <c r="AP1307">
        <v>0</v>
      </c>
      <c r="AQ1307">
        <v>0</v>
      </c>
      <c r="AR1307">
        <v>0</v>
      </c>
      <c r="AS1307">
        <v>0</v>
      </c>
      <c r="AT1307">
        <v>0</v>
      </c>
      <c r="AU1307">
        <f t="shared" si="40"/>
        <v>0</v>
      </c>
      <c r="AV1307">
        <f t="shared" si="41"/>
        <v>0</v>
      </c>
    </row>
    <row r="1308" spans="1:48" x14ac:dyDescent="0.25">
      <c r="A1308" t="s">
        <v>5662</v>
      </c>
      <c r="C1308" t="s">
        <v>4825</v>
      </c>
      <c r="D1308" t="s">
        <v>5349</v>
      </c>
      <c r="E1308" t="s">
        <v>2310</v>
      </c>
      <c r="F1308">
        <v>11</v>
      </c>
      <c r="G1308">
        <v>11.2</v>
      </c>
      <c r="H1308" t="s">
        <v>2017</v>
      </c>
      <c r="I1308" s="21">
        <v>38328</v>
      </c>
      <c r="J1308">
        <v>2004</v>
      </c>
      <c r="K1308" s="21">
        <v>38338</v>
      </c>
      <c r="L1308">
        <v>2004</v>
      </c>
      <c r="M1308" s="21">
        <v>38918</v>
      </c>
      <c r="N1308">
        <v>2006</v>
      </c>
      <c r="R1308" s="262">
        <v>400000</v>
      </c>
      <c r="S1308" t="s">
        <v>114</v>
      </c>
      <c r="T1308" t="s">
        <v>114</v>
      </c>
      <c r="U1308">
        <v>5</v>
      </c>
      <c r="W1308">
        <v>0</v>
      </c>
      <c r="X1308">
        <v>0</v>
      </c>
      <c r="Y1308">
        <v>0</v>
      </c>
      <c r="Z1308">
        <v>0</v>
      </c>
      <c r="AA1308">
        <v>0</v>
      </c>
      <c r="AB1308">
        <v>0</v>
      </c>
      <c r="AC1308">
        <v>0</v>
      </c>
      <c r="AD1308">
        <v>0</v>
      </c>
      <c r="AE1308">
        <v>0</v>
      </c>
      <c r="AF1308">
        <v>0</v>
      </c>
      <c r="AG1308">
        <v>0</v>
      </c>
      <c r="AH1308">
        <v>0</v>
      </c>
      <c r="AI1308">
        <v>0</v>
      </c>
      <c r="AJ1308">
        <v>0</v>
      </c>
      <c r="AK1308">
        <v>0</v>
      </c>
      <c r="AL1308">
        <v>0</v>
      </c>
      <c r="AM1308">
        <v>0</v>
      </c>
      <c r="AN1308">
        <v>0</v>
      </c>
      <c r="AO1308">
        <v>0</v>
      </c>
      <c r="AP1308">
        <v>0</v>
      </c>
      <c r="AQ1308">
        <v>0</v>
      </c>
      <c r="AR1308">
        <v>0</v>
      </c>
      <c r="AS1308">
        <v>0</v>
      </c>
      <c r="AT1308">
        <v>0</v>
      </c>
      <c r="AU1308">
        <f t="shared" si="40"/>
        <v>0</v>
      </c>
      <c r="AV1308">
        <f t="shared" si="41"/>
        <v>0</v>
      </c>
    </row>
    <row r="1309" spans="1:48" x14ac:dyDescent="0.25">
      <c r="A1309" t="s">
        <v>5671</v>
      </c>
      <c r="C1309" t="s">
        <v>5672</v>
      </c>
      <c r="D1309" t="s">
        <v>5673</v>
      </c>
      <c r="E1309" t="s">
        <v>2310</v>
      </c>
      <c r="F1309">
        <v>9</v>
      </c>
      <c r="G1309">
        <v>9.1</v>
      </c>
      <c r="H1309" t="s">
        <v>2323</v>
      </c>
      <c r="I1309" s="21">
        <v>38330</v>
      </c>
      <c r="J1309">
        <v>2004</v>
      </c>
      <c r="K1309" s="21">
        <v>38337</v>
      </c>
      <c r="L1309">
        <v>2004</v>
      </c>
      <c r="M1309" s="21">
        <v>38896</v>
      </c>
      <c r="N1309">
        <v>2006</v>
      </c>
      <c r="R1309" s="262">
        <v>94300</v>
      </c>
      <c r="S1309" t="s">
        <v>114</v>
      </c>
      <c r="T1309" t="s">
        <v>114</v>
      </c>
      <c r="U1309">
        <v>5</v>
      </c>
      <c r="W1309">
        <v>1010</v>
      </c>
      <c r="X1309">
        <v>0</v>
      </c>
      <c r="Y1309">
        <v>0</v>
      </c>
      <c r="Z1309">
        <v>0</v>
      </c>
      <c r="AA1309">
        <v>0</v>
      </c>
      <c r="AB1309">
        <v>0</v>
      </c>
      <c r="AC1309">
        <v>1010</v>
      </c>
      <c r="AD1309">
        <v>0</v>
      </c>
      <c r="AE1309">
        <v>0</v>
      </c>
      <c r="AF1309">
        <v>0</v>
      </c>
      <c r="AG1309">
        <v>0</v>
      </c>
      <c r="AH1309">
        <v>0</v>
      </c>
      <c r="AI1309">
        <v>0</v>
      </c>
      <c r="AJ1309">
        <v>0</v>
      </c>
      <c r="AK1309">
        <v>0</v>
      </c>
      <c r="AL1309">
        <v>0</v>
      </c>
      <c r="AM1309">
        <v>0</v>
      </c>
      <c r="AN1309">
        <v>0</v>
      </c>
      <c r="AO1309">
        <v>0</v>
      </c>
      <c r="AP1309">
        <v>0</v>
      </c>
      <c r="AQ1309">
        <v>0</v>
      </c>
      <c r="AR1309">
        <v>0</v>
      </c>
      <c r="AS1309">
        <v>0</v>
      </c>
      <c r="AT1309">
        <v>0</v>
      </c>
      <c r="AU1309">
        <f t="shared" si="40"/>
        <v>0</v>
      </c>
      <c r="AV1309">
        <f t="shared" si="41"/>
        <v>0</v>
      </c>
    </row>
    <row r="1310" spans="1:48" x14ac:dyDescent="0.25">
      <c r="A1310" t="s">
        <v>5663</v>
      </c>
      <c r="C1310" t="s">
        <v>5664</v>
      </c>
      <c r="D1310" t="s">
        <v>3958</v>
      </c>
      <c r="E1310" t="s">
        <v>1663</v>
      </c>
      <c r="F1310">
        <v>5</v>
      </c>
      <c r="G1310">
        <v>5.5</v>
      </c>
      <c r="H1310" t="s">
        <v>2017</v>
      </c>
      <c r="I1310" s="21">
        <v>38330</v>
      </c>
      <c r="J1310">
        <v>2004</v>
      </c>
      <c r="K1310" s="21">
        <v>38361</v>
      </c>
      <c r="L1310">
        <v>2005</v>
      </c>
      <c r="M1310" s="21">
        <v>38512</v>
      </c>
      <c r="N1310">
        <v>2005</v>
      </c>
      <c r="Q1310" s="262">
        <v>0</v>
      </c>
      <c r="S1310" t="s">
        <v>114</v>
      </c>
      <c r="T1310" t="s">
        <v>114</v>
      </c>
      <c r="W1310">
        <v>12000</v>
      </c>
      <c r="X1310">
        <v>14</v>
      </c>
      <c r="Y1310">
        <v>0</v>
      </c>
      <c r="Z1310">
        <v>0</v>
      </c>
      <c r="AA1310">
        <v>0</v>
      </c>
      <c r="AB1310">
        <v>0</v>
      </c>
      <c r="AC1310">
        <v>0</v>
      </c>
      <c r="AD1310">
        <v>0</v>
      </c>
      <c r="AE1310">
        <v>12000</v>
      </c>
      <c r="AF1310">
        <v>0</v>
      </c>
      <c r="AG1310">
        <v>0</v>
      </c>
      <c r="AH1310">
        <v>0</v>
      </c>
      <c r="AI1310">
        <v>0</v>
      </c>
      <c r="AJ1310">
        <v>0</v>
      </c>
      <c r="AK1310">
        <v>0</v>
      </c>
      <c r="AL1310">
        <v>0</v>
      </c>
      <c r="AM1310">
        <v>0</v>
      </c>
      <c r="AN1310">
        <v>0</v>
      </c>
      <c r="AO1310">
        <v>0</v>
      </c>
      <c r="AP1310">
        <v>0</v>
      </c>
      <c r="AQ1310">
        <v>14</v>
      </c>
      <c r="AR1310">
        <v>0</v>
      </c>
      <c r="AS1310">
        <v>0</v>
      </c>
      <c r="AT1310">
        <v>0</v>
      </c>
      <c r="AU1310">
        <f t="shared" si="40"/>
        <v>14</v>
      </c>
      <c r="AV1310">
        <f t="shared" si="41"/>
        <v>0</v>
      </c>
    </row>
    <row r="1311" spans="1:48" x14ac:dyDescent="0.25">
      <c r="A1311" t="s">
        <v>5665</v>
      </c>
      <c r="C1311" t="s">
        <v>5666</v>
      </c>
      <c r="D1311" t="s">
        <v>3958</v>
      </c>
      <c r="E1311" t="s">
        <v>1663</v>
      </c>
      <c r="F1311">
        <v>5</v>
      </c>
      <c r="G1311">
        <v>5.5</v>
      </c>
      <c r="H1311" t="s">
        <v>2017</v>
      </c>
      <c r="I1311" s="21">
        <v>38330</v>
      </c>
      <c r="J1311">
        <v>2004</v>
      </c>
      <c r="K1311" s="21">
        <v>38361</v>
      </c>
      <c r="L1311">
        <v>2005</v>
      </c>
      <c r="M1311" s="21">
        <v>38512</v>
      </c>
      <c r="N1311">
        <v>2005</v>
      </c>
      <c r="Q1311" s="262">
        <v>0</v>
      </c>
      <c r="S1311" t="s">
        <v>114</v>
      </c>
      <c r="T1311" t="s">
        <v>114</v>
      </c>
      <c r="W1311">
        <v>11000</v>
      </c>
      <c r="X1311">
        <v>11</v>
      </c>
      <c r="Y1311">
        <v>0</v>
      </c>
      <c r="Z1311">
        <v>0</v>
      </c>
      <c r="AA1311">
        <v>0</v>
      </c>
      <c r="AB1311">
        <v>0</v>
      </c>
      <c r="AC1311">
        <v>0</v>
      </c>
      <c r="AD1311">
        <v>0</v>
      </c>
      <c r="AE1311">
        <v>11000</v>
      </c>
      <c r="AF1311">
        <v>0</v>
      </c>
      <c r="AG1311">
        <v>0</v>
      </c>
      <c r="AH1311">
        <v>0</v>
      </c>
      <c r="AI1311">
        <v>0</v>
      </c>
      <c r="AJ1311">
        <v>0</v>
      </c>
      <c r="AK1311">
        <v>0</v>
      </c>
      <c r="AL1311">
        <v>0</v>
      </c>
      <c r="AM1311">
        <v>0</v>
      </c>
      <c r="AN1311">
        <v>0</v>
      </c>
      <c r="AO1311">
        <v>0</v>
      </c>
      <c r="AP1311">
        <v>0</v>
      </c>
      <c r="AQ1311">
        <v>11</v>
      </c>
      <c r="AR1311">
        <v>0</v>
      </c>
      <c r="AS1311">
        <v>0</v>
      </c>
      <c r="AT1311">
        <v>0</v>
      </c>
      <c r="AU1311">
        <f t="shared" si="40"/>
        <v>11</v>
      </c>
      <c r="AV1311">
        <f t="shared" si="41"/>
        <v>0</v>
      </c>
    </row>
    <row r="1312" spans="1:48" x14ac:dyDescent="0.25">
      <c r="A1312" t="s">
        <v>5667</v>
      </c>
      <c r="C1312" t="s">
        <v>5668</v>
      </c>
      <c r="D1312" t="s">
        <v>3958</v>
      </c>
      <c r="E1312" t="s">
        <v>1663</v>
      </c>
      <c r="F1312">
        <v>5</v>
      </c>
      <c r="G1312">
        <v>5.5</v>
      </c>
      <c r="H1312" t="s">
        <v>2017</v>
      </c>
      <c r="I1312" s="21">
        <v>38330</v>
      </c>
      <c r="J1312">
        <v>2004</v>
      </c>
      <c r="K1312" s="21">
        <v>38361</v>
      </c>
      <c r="L1312">
        <v>2005</v>
      </c>
      <c r="M1312" s="21">
        <v>38512</v>
      </c>
      <c r="N1312">
        <v>2005</v>
      </c>
      <c r="Q1312" s="262">
        <v>0</v>
      </c>
      <c r="S1312" t="s">
        <v>114</v>
      </c>
      <c r="T1312" t="s">
        <v>114</v>
      </c>
      <c r="W1312">
        <v>1200</v>
      </c>
      <c r="X1312">
        <v>14</v>
      </c>
      <c r="Y1312">
        <v>0</v>
      </c>
      <c r="Z1312">
        <v>0</v>
      </c>
      <c r="AA1312">
        <v>0</v>
      </c>
      <c r="AB1312">
        <v>0</v>
      </c>
      <c r="AC1312">
        <v>0</v>
      </c>
      <c r="AD1312">
        <v>0</v>
      </c>
      <c r="AE1312">
        <v>1200</v>
      </c>
      <c r="AF1312">
        <v>0</v>
      </c>
      <c r="AG1312">
        <v>0</v>
      </c>
      <c r="AH1312">
        <v>0</v>
      </c>
      <c r="AI1312">
        <v>0</v>
      </c>
      <c r="AJ1312">
        <v>0</v>
      </c>
      <c r="AK1312">
        <v>0</v>
      </c>
      <c r="AL1312">
        <v>0</v>
      </c>
      <c r="AM1312">
        <v>0</v>
      </c>
      <c r="AN1312">
        <v>0</v>
      </c>
      <c r="AO1312">
        <v>0</v>
      </c>
      <c r="AP1312">
        <v>0</v>
      </c>
      <c r="AQ1312">
        <v>14</v>
      </c>
      <c r="AR1312">
        <v>0</v>
      </c>
      <c r="AS1312">
        <v>0</v>
      </c>
      <c r="AT1312">
        <v>0</v>
      </c>
      <c r="AU1312">
        <f t="shared" si="40"/>
        <v>14</v>
      </c>
      <c r="AV1312">
        <f t="shared" si="41"/>
        <v>0</v>
      </c>
    </row>
    <row r="1313" spans="1:48" x14ac:dyDescent="0.25">
      <c r="A1313" t="s">
        <v>5669</v>
      </c>
      <c r="C1313" t="s">
        <v>5670</v>
      </c>
      <c r="D1313" t="s">
        <v>3958</v>
      </c>
      <c r="E1313" t="s">
        <v>1663</v>
      </c>
      <c r="F1313">
        <v>5</v>
      </c>
      <c r="G1313">
        <v>5.5</v>
      </c>
      <c r="H1313" t="s">
        <v>2017</v>
      </c>
      <c r="I1313" s="21">
        <v>38330</v>
      </c>
      <c r="J1313">
        <v>2004</v>
      </c>
      <c r="K1313" s="21">
        <v>38361</v>
      </c>
      <c r="L1313">
        <v>2005</v>
      </c>
      <c r="M1313" s="21">
        <v>38512</v>
      </c>
      <c r="N1313">
        <v>2005</v>
      </c>
      <c r="Q1313" s="262">
        <v>0</v>
      </c>
      <c r="S1313" t="s">
        <v>114</v>
      </c>
      <c r="T1313" t="s">
        <v>114</v>
      </c>
      <c r="W1313">
        <v>8000</v>
      </c>
      <c r="X1313">
        <v>8</v>
      </c>
      <c r="Y1313">
        <v>0</v>
      </c>
      <c r="Z1313">
        <v>0</v>
      </c>
      <c r="AA1313">
        <v>0</v>
      </c>
      <c r="AB1313">
        <v>0</v>
      </c>
      <c r="AC1313">
        <v>0</v>
      </c>
      <c r="AD1313">
        <v>0</v>
      </c>
      <c r="AE1313">
        <v>8000</v>
      </c>
      <c r="AF1313">
        <v>0</v>
      </c>
      <c r="AG1313">
        <v>0</v>
      </c>
      <c r="AH1313">
        <v>0</v>
      </c>
      <c r="AI1313">
        <v>0</v>
      </c>
      <c r="AJ1313">
        <v>0</v>
      </c>
      <c r="AK1313">
        <v>0</v>
      </c>
      <c r="AL1313">
        <v>0</v>
      </c>
      <c r="AM1313">
        <v>0</v>
      </c>
      <c r="AN1313">
        <v>0</v>
      </c>
      <c r="AO1313">
        <v>0</v>
      </c>
      <c r="AP1313">
        <v>0</v>
      </c>
      <c r="AQ1313">
        <v>8</v>
      </c>
      <c r="AR1313">
        <v>0</v>
      </c>
      <c r="AS1313">
        <v>0</v>
      </c>
      <c r="AT1313">
        <v>0</v>
      </c>
      <c r="AU1313">
        <f t="shared" si="40"/>
        <v>8</v>
      </c>
      <c r="AV1313">
        <f t="shared" si="41"/>
        <v>0</v>
      </c>
    </row>
    <row r="1314" spans="1:48" x14ac:dyDescent="0.25">
      <c r="A1314" t="s">
        <v>5674</v>
      </c>
      <c r="C1314" t="s">
        <v>5675</v>
      </c>
      <c r="D1314" t="s">
        <v>5676</v>
      </c>
      <c r="E1314" t="s">
        <v>2310</v>
      </c>
      <c r="F1314">
        <v>15</v>
      </c>
      <c r="G1314">
        <v>15.1</v>
      </c>
      <c r="H1314" t="s">
        <v>2022</v>
      </c>
      <c r="I1314" s="21">
        <v>38338</v>
      </c>
      <c r="J1314">
        <v>2004</v>
      </c>
      <c r="K1314" s="21">
        <v>38356</v>
      </c>
      <c r="L1314">
        <v>2005</v>
      </c>
      <c r="M1314" s="21">
        <v>38553</v>
      </c>
      <c r="N1314">
        <v>2005</v>
      </c>
      <c r="R1314" s="262">
        <v>65000</v>
      </c>
      <c r="S1314" t="s">
        <v>114</v>
      </c>
      <c r="T1314" t="s">
        <v>114</v>
      </c>
      <c r="U1314">
        <v>5</v>
      </c>
      <c r="W1314">
        <v>297</v>
      </c>
      <c r="X1314">
        <v>0</v>
      </c>
      <c r="Y1314">
        <v>0</v>
      </c>
      <c r="Z1314">
        <v>0</v>
      </c>
      <c r="AA1314">
        <v>0</v>
      </c>
      <c r="AB1314">
        <v>0</v>
      </c>
      <c r="AC1314">
        <v>297</v>
      </c>
      <c r="AD1314">
        <v>0</v>
      </c>
      <c r="AE1314">
        <v>0</v>
      </c>
      <c r="AF1314">
        <v>0</v>
      </c>
      <c r="AG1314">
        <v>0</v>
      </c>
      <c r="AH1314">
        <v>0</v>
      </c>
      <c r="AI1314">
        <v>0</v>
      </c>
      <c r="AJ1314">
        <v>0</v>
      </c>
      <c r="AK1314">
        <v>0</v>
      </c>
      <c r="AL1314">
        <v>0</v>
      </c>
      <c r="AM1314">
        <v>0</v>
      </c>
      <c r="AN1314">
        <v>0</v>
      </c>
      <c r="AO1314">
        <v>0</v>
      </c>
      <c r="AP1314">
        <v>0</v>
      </c>
      <c r="AQ1314">
        <v>0</v>
      </c>
      <c r="AR1314">
        <v>0</v>
      </c>
      <c r="AS1314">
        <v>0</v>
      </c>
      <c r="AT1314">
        <v>0</v>
      </c>
      <c r="AU1314">
        <f t="shared" si="40"/>
        <v>0</v>
      </c>
      <c r="AV1314">
        <f t="shared" si="41"/>
        <v>0</v>
      </c>
    </row>
    <row r="1315" spans="1:48" x14ac:dyDescent="0.25">
      <c r="A1315" t="s">
        <v>5677</v>
      </c>
      <c r="C1315" t="s">
        <v>5678</v>
      </c>
      <c r="D1315" t="s">
        <v>5679</v>
      </c>
      <c r="E1315" t="s">
        <v>2310</v>
      </c>
      <c r="F1315">
        <v>7</v>
      </c>
      <c r="G1315">
        <v>7.1</v>
      </c>
      <c r="H1315" t="s">
        <v>2017</v>
      </c>
      <c r="I1315" s="21">
        <v>38342</v>
      </c>
      <c r="J1315">
        <v>2004</v>
      </c>
      <c r="K1315" s="21">
        <v>38359</v>
      </c>
      <c r="L1315">
        <v>2005</v>
      </c>
      <c r="M1315" s="21">
        <v>38377</v>
      </c>
      <c r="N1315">
        <v>2005</v>
      </c>
      <c r="R1315" s="262">
        <v>23000</v>
      </c>
      <c r="S1315" t="s">
        <v>114</v>
      </c>
      <c r="T1315" t="s">
        <v>114</v>
      </c>
      <c r="U1315">
        <v>14</v>
      </c>
      <c r="W1315">
        <v>0</v>
      </c>
      <c r="X1315">
        <v>0</v>
      </c>
      <c r="Y1315">
        <v>0</v>
      </c>
      <c r="Z1315">
        <v>0</v>
      </c>
      <c r="AA1315">
        <v>0</v>
      </c>
      <c r="AB1315">
        <v>0</v>
      </c>
      <c r="AC1315">
        <v>0</v>
      </c>
      <c r="AD1315">
        <v>0</v>
      </c>
      <c r="AE1315">
        <v>0</v>
      </c>
      <c r="AF1315">
        <v>0</v>
      </c>
      <c r="AG1315">
        <v>0</v>
      </c>
      <c r="AH1315">
        <v>0</v>
      </c>
      <c r="AI1315">
        <v>0</v>
      </c>
      <c r="AJ1315">
        <v>0</v>
      </c>
      <c r="AK1315">
        <v>0</v>
      </c>
      <c r="AL1315">
        <v>0</v>
      </c>
      <c r="AM1315">
        <v>0</v>
      </c>
      <c r="AN1315">
        <v>0</v>
      </c>
      <c r="AO1315">
        <v>0</v>
      </c>
      <c r="AP1315">
        <v>0</v>
      </c>
      <c r="AQ1315">
        <v>0</v>
      </c>
      <c r="AR1315">
        <v>0</v>
      </c>
      <c r="AS1315">
        <v>0</v>
      </c>
      <c r="AT1315">
        <v>0</v>
      </c>
      <c r="AU1315">
        <f t="shared" si="40"/>
        <v>0</v>
      </c>
      <c r="AV1315">
        <f t="shared" si="41"/>
        <v>0</v>
      </c>
    </row>
    <row r="1316" spans="1:48" x14ac:dyDescent="0.25">
      <c r="A1316" t="s">
        <v>5680</v>
      </c>
      <c r="C1316" t="s">
        <v>5681</v>
      </c>
      <c r="D1316" t="s">
        <v>5682</v>
      </c>
      <c r="E1316" t="s">
        <v>2310</v>
      </c>
      <c r="F1316">
        <v>12</v>
      </c>
      <c r="G1316">
        <v>12.3</v>
      </c>
      <c r="H1316" t="s">
        <v>2017</v>
      </c>
      <c r="I1316" s="21">
        <v>38350</v>
      </c>
      <c r="J1316">
        <v>2004</v>
      </c>
      <c r="K1316" s="21">
        <v>38358</v>
      </c>
      <c r="L1316">
        <v>2005</v>
      </c>
      <c r="M1316" s="21">
        <v>38629</v>
      </c>
      <c r="N1316">
        <v>2005</v>
      </c>
      <c r="R1316" s="262">
        <v>51000</v>
      </c>
      <c r="S1316" t="s">
        <v>114</v>
      </c>
      <c r="T1316" t="s">
        <v>114</v>
      </c>
      <c r="U1316">
        <v>5</v>
      </c>
      <c r="W1316">
        <v>670</v>
      </c>
      <c r="X1316">
        <v>0</v>
      </c>
      <c r="Y1316">
        <v>0</v>
      </c>
      <c r="Z1316">
        <v>0</v>
      </c>
      <c r="AA1316">
        <v>0</v>
      </c>
      <c r="AB1316">
        <v>0</v>
      </c>
      <c r="AC1316">
        <v>670</v>
      </c>
      <c r="AD1316">
        <v>0</v>
      </c>
      <c r="AE1316">
        <v>0</v>
      </c>
      <c r="AF1316">
        <v>0</v>
      </c>
      <c r="AG1316">
        <v>0</v>
      </c>
      <c r="AH1316">
        <v>0</v>
      </c>
      <c r="AI1316">
        <v>0</v>
      </c>
      <c r="AJ1316">
        <v>0</v>
      </c>
      <c r="AK1316">
        <v>0</v>
      </c>
      <c r="AL1316">
        <v>0</v>
      </c>
      <c r="AM1316">
        <v>0</v>
      </c>
      <c r="AN1316">
        <v>0</v>
      </c>
      <c r="AO1316">
        <v>0</v>
      </c>
      <c r="AP1316">
        <v>0</v>
      </c>
      <c r="AQ1316">
        <v>0</v>
      </c>
      <c r="AR1316">
        <v>0</v>
      </c>
      <c r="AS1316">
        <v>0</v>
      </c>
      <c r="AT1316">
        <v>0</v>
      </c>
      <c r="AU1316">
        <f t="shared" si="40"/>
        <v>0</v>
      </c>
      <c r="AV1316">
        <f t="shared" si="41"/>
        <v>0</v>
      </c>
    </row>
    <row r="1317" spans="1:48" x14ac:dyDescent="0.25">
      <c r="A1317" t="s">
        <v>5683</v>
      </c>
      <c r="C1317" t="s">
        <v>5684</v>
      </c>
      <c r="D1317" t="s">
        <v>5685</v>
      </c>
      <c r="E1317" t="s">
        <v>2310</v>
      </c>
      <c r="F1317">
        <v>9</v>
      </c>
      <c r="G1317">
        <v>9.1</v>
      </c>
      <c r="H1317" t="s">
        <v>2323</v>
      </c>
      <c r="I1317" s="21">
        <v>38350</v>
      </c>
      <c r="J1317">
        <v>2004</v>
      </c>
      <c r="K1317" s="21">
        <v>38378</v>
      </c>
      <c r="L1317">
        <v>2005</v>
      </c>
      <c r="M1317" s="21">
        <v>38769</v>
      </c>
      <c r="N1317">
        <v>2006</v>
      </c>
      <c r="R1317" s="262">
        <v>150000</v>
      </c>
      <c r="S1317" t="s">
        <v>114</v>
      </c>
      <c r="T1317" t="s">
        <v>114</v>
      </c>
      <c r="U1317">
        <v>5</v>
      </c>
      <c r="W1317">
        <v>0</v>
      </c>
      <c r="X1317">
        <v>0</v>
      </c>
      <c r="Y1317">
        <v>0</v>
      </c>
      <c r="Z1317">
        <v>0</v>
      </c>
      <c r="AA1317">
        <v>0</v>
      </c>
      <c r="AB1317">
        <v>0</v>
      </c>
      <c r="AC1317">
        <v>0</v>
      </c>
      <c r="AD1317">
        <v>0</v>
      </c>
      <c r="AE1317">
        <v>0</v>
      </c>
      <c r="AF1317">
        <v>0</v>
      </c>
      <c r="AG1317">
        <v>0</v>
      </c>
      <c r="AH1317">
        <v>0</v>
      </c>
      <c r="AI1317">
        <v>0</v>
      </c>
      <c r="AJ1317">
        <v>0</v>
      </c>
      <c r="AK1317">
        <v>0</v>
      </c>
      <c r="AL1317">
        <v>0</v>
      </c>
      <c r="AM1317">
        <v>0</v>
      </c>
      <c r="AN1317">
        <v>0</v>
      </c>
      <c r="AO1317">
        <v>0</v>
      </c>
      <c r="AP1317">
        <v>0</v>
      </c>
      <c r="AQ1317">
        <v>0</v>
      </c>
      <c r="AR1317">
        <v>0</v>
      </c>
      <c r="AS1317">
        <v>0</v>
      </c>
      <c r="AT1317">
        <v>0</v>
      </c>
      <c r="AU1317">
        <f t="shared" si="40"/>
        <v>0</v>
      </c>
      <c r="AV1317">
        <f t="shared" si="41"/>
        <v>0</v>
      </c>
    </row>
    <row r="1318" spans="1:48" x14ac:dyDescent="0.25">
      <c r="A1318" t="s">
        <v>5686</v>
      </c>
      <c r="C1318" t="s">
        <v>5687</v>
      </c>
      <c r="D1318" t="s">
        <v>5476</v>
      </c>
      <c r="E1318" t="s">
        <v>2310</v>
      </c>
      <c r="F1318">
        <v>12</v>
      </c>
      <c r="G1318">
        <v>12.1</v>
      </c>
      <c r="H1318" t="s">
        <v>2327</v>
      </c>
      <c r="I1318" s="21">
        <v>38359</v>
      </c>
      <c r="J1318">
        <v>2005</v>
      </c>
      <c r="K1318" s="21">
        <v>38366</v>
      </c>
      <c r="L1318">
        <v>2005</v>
      </c>
      <c r="M1318" s="21">
        <v>38443</v>
      </c>
      <c r="N1318">
        <v>2005</v>
      </c>
      <c r="R1318" s="262">
        <v>10000</v>
      </c>
      <c r="S1318" t="s">
        <v>114</v>
      </c>
      <c r="T1318" t="s">
        <v>114</v>
      </c>
      <c r="U1318">
        <v>10</v>
      </c>
      <c r="W1318">
        <v>0</v>
      </c>
      <c r="X1318">
        <v>0</v>
      </c>
      <c r="Y1318">
        <v>0</v>
      </c>
      <c r="Z1318">
        <v>0</v>
      </c>
      <c r="AA1318">
        <v>0</v>
      </c>
      <c r="AB1318">
        <v>0</v>
      </c>
      <c r="AC1318">
        <v>0</v>
      </c>
      <c r="AD1318">
        <v>0</v>
      </c>
      <c r="AE1318">
        <v>0</v>
      </c>
      <c r="AF1318">
        <v>0</v>
      </c>
      <c r="AG1318">
        <v>0</v>
      </c>
      <c r="AH1318">
        <v>0</v>
      </c>
      <c r="AI1318">
        <v>0</v>
      </c>
      <c r="AJ1318">
        <v>0</v>
      </c>
      <c r="AK1318">
        <v>0</v>
      </c>
      <c r="AL1318">
        <v>0</v>
      </c>
      <c r="AM1318">
        <v>0</v>
      </c>
      <c r="AN1318">
        <v>0</v>
      </c>
      <c r="AO1318">
        <v>0</v>
      </c>
      <c r="AP1318">
        <v>0</v>
      </c>
      <c r="AQ1318">
        <v>0</v>
      </c>
      <c r="AR1318">
        <v>0</v>
      </c>
      <c r="AS1318">
        <v>0</v>
      </c>
      <c r="AT1318">
        <v>0</v>
      </c>
      <c r="AU1318">
        <f t="shared" si="40"/>
        <v>0</v>
      </c>
      <c r="AV1318">
        <f t="shared" si="41"/>
        <v>0</v>
      </c>
    </row>
    <row r="1319" spans="1:48" x14ac:dyDescent="0.25">
      <c r="A1319" t="s">
        <v>5688</v>
      </c>
      <c r="C1319" t="s">
        <v>5689</v>
      </c>
      <c r="D1319" t="s">
        <v>5690</v>
      </c>
      <c r="E1319" t="s">
        <v>2310</v>
      </c>
      <c r="F1319">
        <v>14</v>
      </c>
      <c r="G1319">
        <v>14.1</v>
      </c>
      <c r="H1319" t="s">
        <v>2022</v>
      </c>
      <c r="I1319" s="21">
        <v>38364</v>
      </c>
      <c r="J1319">
        <v>2005</v>
      </c>
      <c r="K1319" s="21">
        <v>38379</v>
      </c>
      <c r="L1319">
        <v>2005</v>
      </c>
      <c r="M1319" s="21">
        <v>38779</v>
      </c>
      <c r="N1319">
        <v>2006</v>
      </c>
      <c r="R1319" s="262">
        <v>450000</v>
      </c>
      <c r="S1319" t="s">
        <v>114</v>
      </c>
      <c r="T1319" t="s">
        <v>114</v>
      </c>
      <c r="U1319">
        <v>5</v>
      </c>
      <c r="W1319">
        <v>5836</v>
      </c>
      <c r="X1319">
        <v>1</v>
      </c>
      <c r="Y1319">
        <v>0</v>
      </c>
      <c r="Z1319">
        <v>0</v>
      </c>
      <c r="AA1319">
        <v>0</v>
      </c>
      <c r="AB1319">
        <v>0</v>
      </c>
      <c r="AC1319">
        <v>5836</v>
      </c>
      <c r="AD1319">
        <v>0</v>
      </c>
      <c r="AE1319">
        <v>0</v>
      </c>
      <c r="AF1319">
        <v>0</v>
      </c>
      <c r="AG1319">
        <v>0</v>
      </c>
      <c r="AH1319">
        <v>0</v>
      </c>
      <c r="AI1319">
        <v>0</v>
      </c>
      <c r="AJ1319">
        <v>0</v>
      </c>
      <c r="AK1319">
        <v>0</v>
      </c>
      <c r="AL1319">
        <v>0</v>
      </c>
      <c r="AM1319">
        <v>0</v>
      </c>
      <c r="AN1319">
        <v>0</v>
      </c>
      <c r="AO1319">
        <v>1</v>
      </c>
      <c r="AP1319">
        <v>0</v>
      </c>
      <c r="AQ1319">
        <v>0</v>
      </c>
      <c r="AR1319">
        <v>0</v>
      </c>
      <c r="AS1319">
        <v>0</v>
      </c>
      <c r="AT1319">
        <v>0</v>
      </c>
      <c r="AU1319">
        <f t="shared" si="40"/>
        <v>1</v>
      </c>
      <c r="AV1319">
        <f t="shared" si="41"/>
        <v>0</v>
      </c>
    </row>
    <row r="1320" spans="1:48" x14ac:dyDescent="0.25">
      <c r="A1320" t="s">
        <v>5691</v>
      </c>
      <c r="C1320" t="s">
        <v>5692</v>
      </c>
      <c r="D1320" t="s">
        <v>5693</v>
      </c>
      <c r="E1320" t="s">
        <v>2310</v>
      </c>
      <c r="F1320">
        <v>10</v>
      </c>
      <c r="G1320">
        <v>10.1</v>
      </c>
      <c r="H1320" t="s">
        <v>2323</v>
      </c>
      <c r="I1320" s="21">
        <v>38366</v>
      </c>
      <c r="J1320">
        <v>2005</v>
      </c>
      <c r="K1320" s="21">
        <v>38386</v>
      </c>
      <c r="L1320">
        <v>2005</v>
      </c>
      <c r="M1320" s="21">
        <v>38609</v>
      </c>
      <c r="N1320">
        <v>2005</v>
      </c>
      <c r="R1320" s="262">
        <v>312000</v>
      </c>
      <c r="S1320" t="s">
        <v>114</v>
      </c>
      <c r="T1320" t="s">
        <v>114</v>
      </c>
      <c r="U1320">
        <v>5</v>
      </c>
      <c r="W1320">
        <v>3912</v>
      </c>
      <c r="X1320">
        <v>1</v>
      </c>
      <c r="Y1320">
        <v>0</v>
      </c>
      <c r="Z1320">
        <v>0</v>
      </c>
      <c r="AA1320">
        <v>0</v>
      </c>
      <c r="AB1320">
        <v>0</v>
      </c>
      <c r="AC1320">
        <v>3912</v>
      </c>
      <c r="AD1320">
        <v>0</v>
      </c>
      <c r="AE1320">
        <v>0</v>
      </c>
      <c r="AF1320">
        <v>0</v>
      </c>
      <c r="AG1320">
        <v>0</v>
      </c>
      <c r="AH1320">
        <v>0</v>
      </c>
      <c r="AI1320">
        <v>0</v>
      </c>
      <c r="AJ1320">
        <v>0</v>
      </c>
      <c r="AK1320">
        <v>0</v>
      </c>
      <c r="AL1320">
        <v>0</v>
      </c>
      <c r="AM1320">
        <v>0</v>
      </c>
      <c r="AN1320">
        <v>0</v>
      </c>
      <c r="AO1320">
        <v>1</v>
      </c>
      <c r="AP1320">
        <v>0</v>
      </c>
      <c r="AQ1320">
        <v>0</v>
      </c>
      <c r="AR1320">
        <v>0</v>
      </c>
      <c r="AS1320">
        <v>0</v>
      </c>
      <c r="AT1320">
        <v>0</v>
      </c>
      <c r="AU1320">
        <f t="shared" si="40"/>
        <v>1</v>
      </c>
      <c r="AV1320">
        <f t="shared" si="41"/>
        <v>0</v>
      </c>
    </row>
    <row r="1321" spans="1:48" x14ac:dyDescent="0.25">
      <c r="A1321" t="s">
        <v>5694</v>
      </c>
      <c r="C1321" t="s">
        <v>5695</v>
      </c>
      <c r="D1321" t="s">
        <v>5696</v>
      </c>
      <c r="E1321" t="s">
        <v>2310</v>
      </c>
      <c r="F1321">
        <v>12</v>
      </c>
      <c r="G1321">
        <v>12.3</v>
      </c>
      <c r="H1321" t="s">
        <v>2017</v>
      </c>
      <c r="I1321" s="21">
        <v>38366</v>
      </c>
      <c r="J1321">
        <v>2005</v>
      </c>
      <c r="K1321" s="21">
        <v>38421</v>
      </c>
      <c r="L1321">
        <v>2005</v>
      </c>
      <c r="M1321" s="21">
        <v>38421</v>
      </c>
      <c r="N1321">
        <v>2005</v>
      </c>
      <c r="R1321" s="262">
        <v>300000</v>
      </c>
      <c r="S1321" t="s">
        <v>114</v>
      </c>
      <c r="T1321" t="s">
        <v>114</v>
      </c>
      <c r="U1321">
        <v>5</v>
      </c>
      <c r="W1321">
        <v>345</v>
      </c>
      <c r="X1321">
        <v>0</v>
      </c>
      <c r="Y1321">
        <v>0</v>
      </c>
      <c r="Z1321">
        <v>0</v>
      </c>
      <c r="AA1321">
        <v>0</v>
      </c>
      <c r="AB1321">
        <v>0</v>
      </c>
      <c r="AC1321">
        <v>345</v>
      </c>
      <c r="AD1321">
        <v>0</v>
      </c>
      <c r="AE1321">
        <v>0</v>
      </c>
      <c r="AF1321">
        <v>0</v>
      </c>
      <c r="AG1321">
        <v>0</v>
      </c>
      <c r="AH1321">
        <v>0</v>
      </c>
      <c r="AI1321">
        <v>0</v>
      </c>
      <c r="AJ1321">
        <v>0</v>
      </c>
      <c r="AK1321">
        <v>0</v>
      </c>
      <c r="AL1321">
        <v>0</v>
      </c>
      <c r="AM1321">
        <v>0</v>
      </c>
      <c r="AN1321">
        <v>0</v>
      </c>
      <c r="AO1321">
        <v>0</v>
      </c>
      <c r="AP1321">
        <v>0</v>
      </c>
      <c r="AQ1321">
        <v>0</v>
      </c>
      <c r="AR1321">
        <v>0</v>
      </c>
      <c r="AS1321">
        <v>0</v>
      </c>
      <c r="AT1321">
        <v>0</v>
      </c>
      <c r="AU1321">
        <f t="shared" si="40"/>
        <v>0</v>
      </c>
      <c r="AV1321">
        <f t="shared" si="41"/>
        <v>0</v>
      </c>
    </row>
    <row r="1322" spans="1:48" x14ac:dyDescent="0.25">
      <c r="A1322" t="s">
        <v>5697</v>
      </c>
      <c r="C1322" t="s">
        <v>5698</v>
      </c>
      <c r="D1322" t="s">
        <v>5699</v>
      </c>
      <c r="E1322" t="s">
        <v>2310</v>
      </c>
      <c r="F1322">
        <v>9</v>
      </c>
      <c r="G1322">
        <v>9.1</v>
      </c>
      <c r="H1322" t="s">
        <v>2323</v>
      </c>
      <c r="I1322" s="21">
        <v>38376</v>
      </c>
      <c r="J1322">
        <v>2005</v>
      </c>
      <c r="K1322" s="21">
        <v>38413</v>
      </c>
      <c r="L1322">
        <v>2005</v>
      </c>
      <c r="M1322" s="21">
        <v>38589</v>
      </c>
      <c r="N1322">
        <v>2005</v>
      </c>
      <c r="R1322" s="262">
        <v>150000</v>
      </c>
      <c r="S1322" t="s">
        <v>114</v>
      </c>
      <c r="T1322" t="s">
        <v>114</v>
      </c>
      <c r="U1322">
        <v>8</v>
      </c>
      <c r="W1322">
        <v>1000</v>
      </c>
      <c r="X1322">
        <v>1</v>
      </c>
      <c r="Y1322">
        <v>0</v>
      </c>
      <c r="Z1322">
        <v>0</v>
      </c>
      <c r="AA1322">
        <v>0</v>
      </c>
      <c r="AB1322">
        <v>0</v>
      </c>
      <c r="AC1322">
        <v>0</v>
      </c>
      <c r="AD1322">
        <v>0</v>
      </c>
      <c r="AE1322">
        <v>0</v>
      </c>
      <c r="AF1322">
        <v>1000</v>
      </c>
      <c r="AG1322">
        <v>0</v>
      </c>
      <c r="AH1322">
        <v>0</v>
      </c>
      <c r="AI1322">
        <v>0</v>
      </c>
      <c r="AJ1322">
        <v>0</v>
      </c>
      <c r="AK1322">
        <v>0</v>
      </c>
      <c r="AL1322">
        <v>0</v>
      </c>
      <c r="AM1322">
        <v>0</v>
      </c>
      <c r="AN1322">
        <v>0</v>
      </c>
      <c r="AO1322">
        <v>0</v>
      </c>
      <c r="AP1322">
        <v>0</v>
      </c>
      <c r="AQ1322">
        <v>0</v>
      </c>
      <c r="AR1322">
        <v>1</v>
      </c>
      <c r="AS1322">
        <v>0</v>
      </c>
      <c r="AT1322">
        <v>0</v>
      </c>
      <c r="AU1322">
        <f t="shared" si="40"/>
        <v>0</v>
      </c>
      <c r="AV1322">
        <f t="shared" si="41"/>
        <v>0</v>
      </c>
    </row>
    <row r="1323" spans="1:48" x14ac:dyDescent="0.25">
      <c r="A1323" t="s">
        <v>5700</v>
      </c>
      <c r="C1323" t="s">
        <v>5701</v>
      </c>
      <c r="D1323" t="s">
        <v>5352</v>
      </c>
      <c r="E1323" t="s">
        <v>2310</v>
      </c>
      <c r="F1323">
        <v>9</v>
      </c>
      <c r="G1323">
        <v>9.3000000000000007</v>
      </c>
      <c r="H1323" t="s">
        <v>2323</v>
      </c>
      <c r="I1323" s="21">
        <v>38387</v>
      </c>
      <c r="J1323">
        <v>2005</v>
      </c>
      <c r="K1323" s="21">
        <v>38427</v>
      </c>
      <c r="L1323">
        <v>2005</v>
      </c>
      <c r="M1323" s="21">
        <v>38355</v>
      </c>
      <c r="N1323">
        <v>2005</v>
      </c>
      <c r="R1323" s="262">
        <v>100000</v>
      </c>
      <c r="S1323" t="s">
        <v>114</v>
      </c>
      <c r="T1323" t="s">
        <v>114</v>
      </c>
      <c r="U1323">
        <v>4</v>
      </c>
      <c r="W1323">
        <v>480</v>
      </c>
      <c r="X1323">
        <v>0</v>
      </c>
      <c r="Y1323">
        <v>0</v>
      </c>
      <c r="Z1323">
        <v>0</v>
      </c>
      <c r="AA1323">
        <v>0</v>
      </c>
      <c r="AB1323">
        <v>480</v>
      </c>
      <c r="AC1323">
        <v>0</v>
      </c>
      <c r="AD1323">
        <v>0</v>
      </c>
      <c r="AE1323">
        <v>0</v>
      </c>
      <c r="AF1323">
        <v>0</v>
      </c>
      <c r="AG1323">
        <v>0</v>
      </c>
      <c r="AH1323">
        <v>0</v>
      </c>
      <c r="AI1323">
        <v>0</v>
      </c>
      <c r="AJ1323">
        <v>0</v>
      </c>
      <c r="AK1323">
        <v>0</v>
      </c>
      <c r="AL1323">
        <v>0</v>
      </c>
      <c r="AM1323">
        <v>0</v>
      </c>
      <c r="AN1323">
        <v>0</v>
      </c>
      <c r="AO1323">
        <v>0</v>
      </c>
      <c r="AP1323">
        <v>0</v>
      </c>
      <c r="AQ1323">
        <v>0</v>
      </c>
      <c r="AR1323">
        <v>0</v>
      </c>
      <c r="AS1323">
        <v>0</v>
      </c>
      <c r="AT1323">
        <v>0</v>
      </c>
      <c r="AU1323">
        <f t="shared" si="40"/>
        <v>0</v>
      </c>
      <c r="AV1323">
        <f t="shared" si="41"/>
        <v>480</v>
      </c>
    </row>
    <row r="1324" spans="1:48" x14ac:dyDescent="0.25">
      <c r="A1324" t="s">
        <v>5702</v>
      </c>
      <c r="C1324" t="s">
        <v>5703</v>
      </c>
      <c r="D1324" t="s">
        <v>5704</v>
      </c>
      <c r="E1324" t="s">
        <v>2310</v>
      </c>
      <c r="F1324">
        <v>9</v>
      </c>
      <c r="G1324">
        <v>9.4</v>
      </c>
      <c r="H1324" t="s">
        <v>2323</v>
      </c>
      <c r="I1324" s="21">
        <v>38390</v>
      </c>
      <c r="J1324">
        <v>2005</v>
      </c>
      <c r="K1324" s="21">
        <v>38414</v>
      </c>
      <c r="L1324">
        <v>2005</v>
      </c>
      <c r="M1324" s="21">
        <v>38608</v>
      </c>
      <c r="N1324">
        <v>2005</v>
      </c>
      <c r="R1324" s="262">
        <v>83000</v>
      </c>
      <c r="S1324" t="s">
        <v>114</v>
      </c>
      <c r="T1324" t="s">
        <v>114</v>
      </c>
      <c r="U1324">
        <v>8</v>
      </c>
      <c r="W1324">
        <v>0</v>
      </c>
      <c r="X1324">
        <v>1</v>
      </c>
      <c r="Y1324">
        <v>0</v>
      </c>
      <c r="Z1324">
        <v>0</v>
      </c>
      <c r="AA1324">
        <v>0</v>
      </c>
      <c r="AB1324">
        <v>0</v>
      </c>
      <c r="AC1324">
        <v>-896</v>
      </c>
      <c r="AD1324">
        <v>0</v>
      </c>
      <c r="AE1324">
        <v>0</v>
      </c>
      <c r="AF1324">
        <v>896</v>
      </c>
      <c r="AG1324">
        <v>0</v>
      </c>
      <c r="AH1324">
        <v>0</v>
      </c>
      <c r="AI1324">
        <v>0</v>
      </c>
      <c r="AJ1324">
        <v>0</v>
      </c>
      <c r="AK1324">
        <v>0</v>
      </c>
      <c r="AL1324">
        <v>0</v>
      </c>
      <c r="AM1324">
        <v>0</v>
      </c>
      <c r="AN1324">
        <v>0</v>
      </c>
      <c r="AO1324">
        <v>0</v>
      </c>
      <c r="AP1324">
        <v>0</v>
      </c>
      <c r="AQ1324">
        <v>0</v>
      </c>
      <c r="AR1324">
        <v>1</v>
      </c>
      <c r="AS1324">
        <v>0</v>
      </c>
      <c r="AT1324">
        <v>0</v>
      </c>
      <c r="AU1324">
        <f t="shared" si="40"/>
        <v>0</v>
      </c>
      <c r="AV1324">
        <f t="shared" si="41"/>
        <v>0</v>
      </c>
    </row>
    <row r="1325" spans="1:48" x14ac:dyDescent="0.25">
      <c r="A1325" t="s">
        <v>5705</v>
      </c>
      <c r="C1325" t="s">
        <v>5706</v>
      </c>
      <c r="D1325" t="s">
        <v>5707</v>
      </c>
      <c r="E1325" t="s">
        <v>2310</v>
      </c>
      <c r="F1325">
        <v>12</v>
      </c>
      <c r="G1325">
        <v>12.3</v>
      </c>
      <c r="H1325" t="s">
        <v>2017</v>
      </c>
      <c r="I1325" s="21">
        <v>38390</v>
      </c>
      <c r="J1325">
        <v>2005</v>
      </c>
      <c r="K1325" s="21">
        <v>38415</v>
      </c>
      <c r="L1325">
        <v>2005</v>
      </c>
      <c r="M1325" s="21">
        <v>38582</v>
      </c>
      <c r="N1325">
        <v>2005</v>
      </c>
      <c r="R1325" s="262">
        <v>50000</v>
      </c>
      <c r="S1325" t="s">
        <v>114</v>
      </c>
      <c r="T1325" t="s">
        <v>114</v>
      </c>
      <c r="U1325">
        <v>5</v>
      </c>
      <c r="W1325">
        <v>544</v>
      </c>
      <c r="X1325">
        <v>0</v>
      </c>
      <c r="Y1325">
        <v>0</v>
      </c>
      <c r="Z1325">
        <v>0</v>
      </c>
      <c r="AA1325">
        <v>0</v>
      </c>
      <c r="AB1325">
        <v>0</v>
      </c>
      <c r="AC1325">
        <v>544</v>
      </c>
      <c r="AD1325">
        <v>0</v>
      </c>
      <c r="AE1325">
        <v>0</v>
      </c>
      <c r="AF1325">
        <v>0</v>
      </c>
      <c r="AG1325">
        <v>0</v>
      </c>
      <c r="AH1325">
        <v>0</v>
      </c>
      <c r="AI1325">
        <v>0</v>
      </c>
      <c r="AJ1325">
        <v>0</v>
      </c>
      <c r="AK1325">
        <v>0</v>
      </c>
      <c r="AL1325">
        <v>0</v>
      </c>
      <c r="AM1325">
        <v>0</v>
      </c>
      <c r="AN1325">
        <v>0</v>
      </c>
      <c r="AO1325">
        <v>0</v>
      </c>
      <c r="AP1325">
        <v>0</v>
      </c>
      <c r="AQ1325">
        <v>0</v>
      </c>
      <c r="AR1325">
        <v>0</v>
      </c>
      <c r="AS1325">
        <v>0</v>
      </c>
      <c r="AT1325">
        <v>0</v>
      </c>
      <c r="AU1325">
        <f t="shared" si="40"/>
        <v>0</v>
      </c>
      <c r="AV1325">
        <f t="shared" si="41"/>
        <v>0</v>
      </c>
    </row>
    <row r="1326" spans="1:48" x14ac:dyDescent="0.25">
      <c r="A1326" t="s">
        <v>5708</v>
      </c>
      <c r="C1326" t="s">
        <v>5709</v>
      </c>
      <c r="D1326" t="s">
        <v>5710</v>
      </c>
      <c r="E1326" t="s">
        <v>2310</v>
      </c>
      <c r="F1326">
        <v>10</v>
      </c>
      <c r="G1326">
        <v>10.1</v>
      </c>
      <c r="H1326" t="s">
        <v>2323</v>
      </c>
      <c r="I1326" s="21">
        <v>38392</v>
      </c>
      <c r="J1326">
        <v>2005</v>
      </c>
      <c r="K1326" s="21">
        <v>38415</v>
      </c>
      <c r="L1326">
        <v>2005</v>
      </c>
      <c r="M1326" s="21">
        <v>39057</v>
      </c>
      <c r="N1326">
        <v>2006</v>
      </c>
      <c r="R1326" s="262">
        <v>34000</v>
      </c>
      <c r="S1326" t="s">
        <v>114</v>
      </c>
      <c r="T1326" t="s">
        <v>114</v>
      </c>
      <c r="U1326">
        <v>5</v>
      </c>
      <c r="W1326">
        <v>337</v>
      </c>
      <c r="X1326">
        <v>0</v>
      </c>
      <c r="Y1326">
        <v>0</v>
      </c>
      <c r="Z1326">
        <v>0</v>
      </c>
      <c r="AA1326">
        <v>0</v>
      </c>
      <c r="AB1326">
        <v>0</v>
      </c>
      <c r="AC1326">
        <v>337</v>
      </c>
      <c r="AD1326">
        <v>0</v>
      </c>
      <c r="AE1326">
        <v>0</v>
      </c>
      <c r="AF1326">
        <v>0</v>
      </c>
      <c r="AG1326">
        <v>0</v>
      </c>
      <c r="AH1326">
        <v>0</v>
      </c>
      <c r="AI1326">
        <v>0</v>
      </c>
      <c r="AJ1326">
        <v>0</v>
      </c>
      <c r="AK1326">
        <v>0</v>
      </c>
      <c r="AL1326">
        <v>0</v>
      </c>
      <c r="AM1326">
        <v>0</v>
      </c>
      <c r="AN1326">
        <v>0</v>
      </c>
      <c r="AO1326">
        <v>0</v>
      </c>
      <c r="AP1326">
        <v>0</v>
      </c>
      <c r="AQ1326">
        <v>0</v>
      </c>
      <c r="AR1326">
        <v>0</v>
      </c>
      <c r="AS1326">
        <v>0</v>
      </c>
      <c r="AT1326">
        <v>0</v>
      </c>
      <c r="AU1326">
        <f t="shared" si="40"/>
        <v>0</v>
      </c>
      <c r="AV1326">
        <f t="shared" si="41"/>
        <v>0</v>
      </c>
    </row>
    <row r="1327" spans="1:48" x14ac:dyDescent="0.25">
      <c r="A1327" t="s">
        <v>5711</v>
      </c>
      <c r="C1327" t="s">
        <v>5712</v>
      </c>
      <c r="D1327" t="s">
        <v>5713</v>
      </c>
      <c r="E1327" t="s">
        <v>2310</v>
      </c>
      <c r="F1327">
        <v>7</v>
      </c>
      <c r="G1327">
        <v>7.2</v>
      </c>
      <c r="H1327" t="s">
        <v>2017</v>
      </c>
      <c r="I1327" s="21">
        <v>38394</v>
      </c>
      <c r="J1327">
        <v>2005</v>
      </c>
      <c r="K1327" s="21">
        <v>38432</v>
      </c>
      <c r="L1327">
        <v>2005</v>
      </c>
      <c r="M1327" s="21">
        <v>38653</v>
      </c>
      <c r="N1327">
        <v>2005</v>
      </c>
      <c r="R1327" s="262">
        <v>150000</v>
      </c>
      <c r="S1327" t="s">
        <v>114</v>
      </c>
      <c r="T1327" t="s">
        <v>114</v>
      </c>
      <c r="U1327">
        <v>5</v>
      </c>
      <c r="W1327">
        <v>3116</v>
      </c>
      <c r="X1327">
        <v>1</v>
      </c>
      <c r="Y1327">
        <v>0</v>
      </c>
      <c r="Z1327">
        <v>0</v>
      </c>
      <c r="AA1327">
        <v>0</v>
      </c>
      <c r="AB1327">
        <v>0</v>
      </c>
      <c r="AC1327">
        <v>3116</v>
      </c>
      <c r="AD1327">
        <v>0</v>
      </c>
      <c r="AE1327">
        <v>0</v>
      </c>
      <c r="AF1327">
        <v>0</v>
      </c>
      <c r="AG1327">
        <v>0</v>
      </c>
      <c r="AH1327">
        <v>0</v>
      </c>
      <c r="AI1327">
        <v>0</v>
      </c>
      <c r="AJ1327">
        <v>0</v>
      </c>
      <c r="AK1327">
        <v>0</v>
      </c>
      <c r="AL1327">
        <v>0</v>
      </c>
      <c r="AM1327">
        <v>0</v>
      </c>
      <c r="AN1327">
        <v>0</v>
      </c>
      <c r="AO1327">
        <v>1</v>
      </c>
      <c r="AP1327">
        <v>0</v>
      </c>
      <c r="AQ1327">
        <v>0</v>
      </c>
      <c r="AR1327">
        <v>0</v>
      </c>
      <c r="AS1327">
        <v>0</v>
      </c>
      <c r="AT1327">
        <v>0</v>
      </c>
      <c r="AU1327">
        <f t="shared" si="40"/>
        <v>1</v>
      </c>
      <c r="AV1327">
        <f t="shared" si="41"/>
        <v>0</v>
      </c>
    </row>
    <row r="1328" spans="1:48" x14ac:dyDescent="0.25">
      <c r="A1328" t="s">
        <v>5714</v>
      </c>
      <c r="C1328" t="s">
        <v>5715</v>
      </c>
      <c r="D1328" t="s">
        <v>5716</v>
      </c>
      <c r="E1328" t="s">
        <v>2310</v>
      </c>
      <c r="F1328">
        <v>9</v>
      </c>
      <c r="G1328">
        <v>9.4</v>
      </c>
      <c r="H1328" t="s">
        <v>2323</v>
      </c>
      <c r="I1328" s="21">
        <v>38397</v>
      </c>
      <c r="J1328">
        <v>2005</v>
      </c>
      <c r="K1328" s="21">
        <v>38422</v>
      </c>
      <c r="L1328">
        <v>2005</v>
      </c>
      <c r="M1328" s="21">
        <v>38884</v>
      </c>
      <c r="N1328">
        <v>2006</v>
      </c>
      <c r="R1328" s="262">
        <v>900000</v>
      </c>
      <c r="S1328" t="s">
        <v>114</v>
      </c>
      <c r="T1328" t="s">
        <v>114</v>
      </c>
      <c r="U1328">
        <v>5</v>
      </c>
      <c r="W1328">
        <v>4076</v>
      </c>
      <c r="X1328">
        <v>1</v>
      </c>
      <c r="Y1328">
        <v>0</v>
      </c>
      <c r="Z1328">
        <v>0</v>
      </c>
      <c r="AA1328">
        <v>0</v>
      </c>
      <c r="AB1328">
        <v>0</v>
      </c>
      <c r="AC1328">
        <v>4076</v>
      </c>
      <c r="AD1328">
        <v>0</v>
      </c>
      <c r="AE1328">
        <v>0</v>
      </c>
      <c r="AF1328">
        <v>0</v>
      </c>
      <c r="AG1328">
        <v>0</v>
      </c>
      <c r="AH1328">
        <v>0</v>
      </c>
      <c r="AI1328">
        <v>0</v>
      </c>
      <c r="AJ1328">
        <v>0</v>
      </c>
      <c r="AK1328">
        <v>0</v>
      </c>
      <c r="AL1328">
        <v>0</v>
      </c>
      <c r="AM1328">
        <v>0</v>
      </c>
      <c r="AN1328">
        <v>0</v>
      </c>
      <c r="AO1328">
        <v>1</v>
      </c>
      <c r="AP1328">
        <v>0</v>
      </c>
      <c r="AQ1328">
        <v>0</v>
      </c>
      <c r="AR1328">
        <v>0</v>
      </c>
      <c r="AS1328">
        <v>0</v>
      </c>
      <c r="AT1328">
        <v>0</v>
      </c>
      <c r="AU1328">
        <f t="shared" si="40"/>
        <v>1</v>
      </c>
      <c r="AV1328">
        <f t="shared" si="41"/>
        <v>0</v>
      </c>
    </row>
    <row r="1329" spans="1:48" x14ac:dyDescent="0.25">
      <c r="A1329" t="s">
        <v>5717</v>
      </c>
      <c r="C1329" t="s">
        <v>5718</v>
      </c>
      <c r="D1329" t="s">
        <v>5719</v>
      </c>
      <c r="E1329" t="s">
        <v>1663</v>
      </c>
      <c r="F1329">
        <v>6</v>
      </c>
      <c r="G1329">
        <v>6.2</v>
      </c>
      <c r="H1329" t="s">
        <v>2017</v>
      </c>
      <c r="I1329" s="21">
        <v>38401</v>
      </c>
      <c r="J1329">
        <v>2005</v>
      </c>
      <c r="K1329" s="21">
        <v>38429</v>
      </c>
      <c r="L1329">
        <v>2005</v>
      </c>
      <c r="M1329" s="21">
        <v>38582</v>
      </c>
      <c r="N1329">
        <v>2005</v>
      </c>
      <c r="Q1329" s="262">
        <v>0</v>
      </c>
      <c r="S1329" t="s">
        <v>114</v>
      </c>
      <c r="T1329" t="s">
        <v>114</v>
      </c>
      <c r="W1329">
        <v>396</v>
      </c>
      <c r="X1329">
        <v>0</v>
      </c>
      <c r="Y1329">
        <v>0</v>
      </c>
      <c r="Z1329">
        <v>0</v>
      </c>
      <c r="AA1329">
        <v>0</v>
      </c>
      <c r="AB1329">
        <v>0</v>
      </c>
      <c r="AC1329">
        <v>396</v>
      </c>
      <c r="AD1329">
        <v>0</v>
      </c>
      <c r="AE1329">
        <v>0</v>
      </c>
      <c r="AF1329">
        <v>0</v>
      </c>
      <c r="AG1329">
        <v>0</v>
      </c>
      <c r="AH1329">
        <v>0</v>
      </c>
      <c r="AI1329">
        <v>0</v>
      </c>
      <c r="AJ1329">
        <v>0</v>
      </c>
      <c r="AK1329">
        <v>0</v>
      </c>
      <c r="AL1329">
        <v>0</v>
      </c>
      <c r="AM1329">
        <v>0</v>
      </c>
      <c r="AN1329">
        <v>0</v>
      </c>
      <c r="AO1329">
        <v>0</v>
      </c>
      <c r="AP1329">
        <v>0</v>
      </c>
      <c r="AQ1329">
        <v>0</v>
      </c>
      <c r="AR1329">
        <v>0</v>
      </c>
      <c r="AS1329">
        <v>0</v>
      </c>
      <c r="AT1329">
        <v>0</v>
      </c>
      <c r="AU1329">
        <f t="shared" si="40"/>
        <v>0</v>
      </c>
      <c r="AV1329">
        <f t="shared" si="41"/>
        <v>0</v>
      </c>
    </row>
    <row r="1330" spans="1:48" x14ac:dyDescent="0.25">
      <c r="A1330" t="s">
        <v>5720</v>
      </c>
      <c r="C1330" t="s">
        <v>5721</v>
      </c>
      <c r="D1330" t="s">
        <v>5722</v>
      </c>
      <c r="E1330" t="s">
        <v>2310</v>
      </c>
      <c r="F1330">
        <v>10</v>
      </c>
      <c r="G1330">
        <v>10.1</v>
      </c>
      <c r="H1330" t="s">
        <v>2323</v>
      </c>
      <c r="I1330" s="21">
        <v>38401</v>
      </c>
      <c r="J1330">
        <v>2005</v>
      </c>
      <c r="K1330" s="21">
        <v>38419</v>
      </c>
      <c r="L1330">
        <v>2005</v>
      </c>
      <c r="M1330" s="21">
        <v>38804</v>
      </c>
      <c r="N1330">
        <v>2006</v>
      </c>
      <c r="R1330" s="262">
        <v>100000</v>
      </c>
      <c r="S1330" t="s">
        <v>114</v>
      </c>
      <c r="T1330" t="s">
        <v>114</v>
      </c>
      <c r="U1330">
        <v>5</v>
      </c>
      <c r="W1330">
        <v>652</v>
      </c>
      <c r="X1330">
        <v>0</v>
      </c>
      <c r="Y1330">
        <v>0</v>
      </c>
      <c r="Z1330">
        <v>0</v>
      </c>
      <c r="AA1330">
        <v>0</v>
      </c>
      <c r="AB1330">
        <v>0</v>
      </c>
      <c r="AC1330">
        <v>652</v>
      </c>
      <c r="AD1330">
        <v>0</v>
      </c>
      <c r="AE1330">
        <v>0</v>
      </c>
      <c r="AF1330">
        <v>0</v>
      </c>
      <c r="AG1330">
        <v>0</v>
      </c>
      <c r="AH1330">
        <v>0</v>
      </c>
      <c r="AI1330">
        <v>0</v>
      </c>
      <c r="AJ1330">
        <v>0</v>
      </c>
      <c r="AK1330">
        <v>0</v>
      </c>
      <c r="AL1330">
        <v>0</v>
      </c>
      <c r="AM1330">
        <v>0</v>
      </c>
      <c r="AN1330">
        <v>0</v>
      </c>
      <c r="AO1330">
        <v>0</v>
      </c>
      <c r="AP1330">
        <v>0</v>
      </c>
      <c r="AQ1330">
        <v>0</v>
      </c>
      <c r="AR1330">
        <v>0</v>
      </c>
      <c r="AS1330">
        <v>0</v>
      </c>
      <c r="AT1330">
        <v>0</v>
      </c>
      <c r="AU1330">
        <f t="shared" si="40"/>
        <v>0</v>
      </c>
      <c r="AV1330">
        <f t="shared" si="41"/>
        <v>0</v>
      </c>
    </row>
    <row r="1331" spans="1:48" x14ac:dyDescent="0.25">
      <c r="A1331" t="s">
        <v>5723</v>
      </c>
      <c r="C1331" t="s">
        <v>5724</v>
      </c>
      <c r="D1331" t="s">
        <v>4567</v>
      </c>
      <c r="E1331" t="s">
        <v>2310</v>
      </c>
      <c r="F1331">
        <v>15</v>
      </c>
      <c r="G1331">
        <v>15.2</v>
      </c>
      <c r="H1331" t="s">
        <v>2323</v>
      </c>
      <c r="I1331" s="21">
        <v>38405</v>
      </c>
      <c r="J1331">
        <v>2005</v>
      </c>
      <c r="K1331" s="21">
        <v>38426</v>
      </c>
      <c r="L1331">
        <v>2005</v>
      </c>
      <c r="M1331" s="21">
        <v>38735</v>
      </c>
      <c r="N1331">
        <v>2006</v>
      </c>
      <c r="R1331" s="262">
        <v>125000</v>
      </c>
      <c r="S1331" t="s">
        <v>114</v>
      </c>
      <c r="T1331" t="s">
        <v>114</v>
      </c>
      <c r="U1331">
        <v>5</v>
      </c>
      <c r="W1331">
        <v>281</v>
      </c>
      <c r="X1331">
        <v>0</v>
      </c>
      <c r="Y1331">
        <v>0</v>
      </c>
      <c r="Z1331">
        <v>0</v>
      </c>
      <c r="AA1331">
        <v>0</v>
      </c>
      <c r="AB1331">
        <v>0</v>
      </c>
      <c r="AC1331">
        <v>281</v>
      </c>
      <c r="AD1331">
        <v>0</v>
      </c>
      <c r="AE1331">
        <v>0</v>
      </c>
      <c r="AF1331">
        <v>0</v>
      </c>
      <c r="AG1331">
        <v>0</v>
      </c>
      <c r="AH1331">
        <v>0</v>
      </c>
      <c r="AI1331">
        <v>0</v>
      </c>
      <c r="AJ1331">
        <v>0</v>
      </c>
      <c r="AK1331">
        <v>0</v>
      </c>
      <c r="AL1331">
        <v>0</v>
      </c>
      <c r="AM1331">
        <v>0</v>
      </c>
      <c r="AN1331">
        <v>0</v>
      </c>
      <c r="AO1331">
        <v>0</v>
      </c>
      <c r="AP1331">
        <v>0</v>
      </c>
      <c r="AQ1331">
        <v>0</v>
      </c>
      <c r="AR1331">
        <v>0</v>
      </c>
      <c r="AS1331">
        <v>0</v>
      </c>
      <c r="AT1331">
        <v>0</v>
      </c>
      <c r="AU1331">
        <f t="shared" si="40"/>
        <v>0</v>
      </c>
      <c r="AV1331">
        <f t="shared" si="41"/>
        <v>0</v>
      </c>
    </row>
    <row r="1332" spans="1:48" x14ac:dyDescent="0.25">
      <c r="A1332" t="s">
        <v>5725</v>
      </c>
      <c r="C1332" t="s">
        <v>4614</v>
      </c>
      <c r="D1332" t="s">
        <v>5726</v>
      </c>
      <c r="E1332" t="s">
        <v>2310</v>
      </c>
      <c r="F1332">
        <v>10</v>
      </c>
      <c r="G1332">
        <v>10.1</v>
      </c>
      <c r="H1332" t="s">
        <v>2323</v>
      </c>
      <c r="I1332" s="21">
        <v>38405</v>
      </c>
      <c r="J1332">
        <v>2005</v>
      </c>
      <c r="K1332" s="21">
        <v>38449</v>
      </c>
      <c r="L1332">
        <v>2005</v>
      </c>
      <c r="M1332" s="21">
        <v>38782</v>
      </c>
      <c r="N1332">
        <v>2006</v>
      </c>
      <c r="R1332" s="262">
        <v>475000</v>
      </c>
      <c r="S1332" t="s">
        <v>114</v>
      </c>
      <c r="T1332" t="s">
        <v>114</v>
      </c>
      <c r="U1332">
        <v>5</v>
      </c>
      <c r="W1332">
        <v>4605</v>
      </c>
      <c r="X1332">
        <v>1</v>
      </c>
      <c r="Y1332">
        <v>0</v>
      </c>
      <c r="Z1332">
        <v>0</v>
      </c>
      <c r="AA1332">
        <v>0</v>
      </c>
      <c r="AB1332">
        <v>0</v>
      </c>
      <c r="AC1332">
        <v>4605</v>
      </c>
      <c r="AD1332">
        <v>0</v>
      </c>
      <c r="AE1332">
        <v>0</v>
      </c>
      <c r="AF1332">
        <v>0</v>
      </c>
      <c r="AG1332">
        <v>0</v>
      </c>
      <c r="AH1332">
        <v>0</v>
      </c>
      <c r="AI1332">
        <v>0</v>
      </c>
      <c r="AJ1332">
        <v>0</v>
      </c>
      <c r="AK1332">
        <v>0</v>
      </c>
      <c r="AL1332">
        <v>0</v>
      </c>
      <c r="AM1332">
        <v>0</v>
      </c>
      <c r="AN1332">
        <v>0</v>
      </c>
      <c r="AO1332">
        <v>1</v>
      </c>
      <c r="AP1332">
        <v>0</v>
      </c>
      <c r="AQ1332">
        <v>0</v>
      </c>
      <c r="AR1332">
        <v>0</v>
      </c>
      <c r="AS1332">
        <v>0</v>
      </c>
      <c r="AT1332">
        <v>0</v>
      </c>
      <c r="AU1332">
        <f t="shared" si="40"/>
        <v>1</v>
      </c>
      <c r="AV1332">
        <f t="shared" si="41"/>
        <v>0</v>
      </c>
    </row>
    <row r="1333" spans="1:48" x14ac:dyDescent="0.25">
      <c r="A1333" t="s">
        <v>5727</v>
      </c>
      <c r="C1333" t="s">
        <v>5728</v>
      </c>
      <c r="D1333" t="s">
        <v>5729</v>
      </c>
      <c r="E1333" t="s">
        <v>2310</v>
      </c>
      <c r="F1333">
        <v>13</v>
      </c>
      <c r="G1333">
        <v>13.3</v>
      </c>
      <c r="H1333" t="s">
        <v>2017</v>
      </c>
      <c r="I1333" s="21">
        <v>38406</v>
      </c>
      <c r="J1333">
        <v>2005</v>
      </c>
      <c r="K1333" s="21">
        <v>38436</v>
      </c>
      <c r="L1333">
        <v>2005</v>
      </c>
      <c r="M1333" s="21">
        <v>38978</v>
      </c>
      <c r="N1333">
        <v>2006</v>
      </c>
      <c r="R1333" s="262">
        <v>20000</v>
      </c>
      <c r="S1333" t="s">
        <v>114</v>
      </c>
      <c r="T1333" t="s">
        <v>114</v>
      </c>
      <c r="U1333">
        <v>5</v>
      </c>
      <c r="W1333">
        <v>131</v>
      </c>
      <c r="X1333">
        <v>0</v>
      </c>
      <c r="Y1333">
        <v>0</v>
      </c>
      <c r="Z1333">
        <v>0</v>
      </c>
      <c r="AA1333">
        <v>0</v>
      </c>
      <c r="AB1333">
        <v>0</v>
      </c>
      <c r="AC1333">
        <v>131</v>
      </c>
      <c r="AD1333">
        <v>0</v>
      </c>
      <c r="AE1333">
        <v>0</v>
      </c>
      <c r="AF1333">
        <v>0</v>
      </c>
      <c r="AG1333">
        <v>0</v>
      </c>
      <c r="AH1333">
        <v>0</v>
      </c>
      <c r="AI1333">
        <v>0</v>
      </c>
      <c r="AJ1333">
        <v>0</v>
      </c>
      <c r="AK1333">
        <v>0</v>
      </c>
      <c r="AL1333">
        <v>0</v>
      </c>
      <c r="AM1333">
        <v>0</v>
      </c>
      <c r="AN1333">
        <v>0</v>
      </c>
      <c r="AO1333">
        <v>0</v>
      </c>
      <c r="AP1333">
        <v>0</v>
      </c>
      <c r="AQ1333">
        <v>0</v>
      </c>
      <c r="AR1333">
        <v>0</v>
      </c>
      <c r="AS1333">
        <v>0</v>
      </c>
      <c r="AT1333">
        <v>0</v>
      </c>
      <c r="AU1333">
        <f t="shared" si="40"/>
        <v>0</v>
      </c>
      <c r="AV1333">
        <f t="shared" si="41"/>
        <v>0</v>
      </c>
    </row>
    <row r="1334" spans="1:48" x14ac:dyDescent="0.25">
      <c r="A1334" t="s">
        <v>5730</v>
      </c>
      <c r="C1334" t="s">
        <v>5731</v>
      </c>
      <c r="D1334" t="s">
        <v>5732</v>
      </c>
      <c r="E1334" t="s">
        <v>2310</v>
      </c>
      <c r="F1334">
        <v>9</v>
      </c>
      <c r="G1334">
        <v>9.3000000000000007</v>
      </c>
      <c r="H1334" t="s">
        <v>2323</v>
      </c>
      <c r="I1334" s="21">
        <v>38407</v>
      </c>
      <c r="J1334">
        <v>2005</v>
      </c>
      <c r="K1334" s="21">
        <v>38467</v>
      </c>
      <c r="L1334">
        <v>2005</v>
      </c>
      <c r="M1334" s="21">
        <v>39148</v>
      </c>
      <c r="N1334">
        <v>2007</v>
      </c>
      <c r="R1334" s="262">
        <v>1341300</v>
      </c>
      <c r="S1334" t="s">
        <v>114</v>
      </c>
      <c r="T1334" t="s">
        <v>114</v>
      </c>
      <c r="U1334">
        <v>5</v>
      </c>
      <c r="W1334">
        <v>6483</v>
      </c>
      <c r="X1334">
        <v>1</v>
      </c>
      <c r="Y1334">
        <v>0</v>
      </c>
      <c r="Z1334">
        <v>0</v>
      </c>
      <c r="AA1334">
        <v>0</v>
      </c>
      <c r="AB1334">
        <v>0</v>
      </c>
      <c r="AC1334">
        <v>6483</v>
      </c>
      <c r="AD1334">
        <v>0</v>
      </c>
      <c r="AE1334">
        <v>0</v>
      </c>
      <c r="AF1334">
        <v>0</v>
      </c>
      <c r="AG1334">
        <v>0</v>
      </c>
      <c r="AH1334">
        <v>0</v>
      </c>
      <c r="AI1334">
        <v>0</v>
      </c>
      <c r="AJ1334">
        <v>0</v>
      </c>
      <c r="AK1334">
        <v>0</v>
      </c>
      <c r="AL1334">
        <v>0</v>
      </c>
      <c r="AM1334">
        <v>0</v>
      </c>
      <c r="AN1334">
        <v>0</v>
      </c>
      <c r="AO1334">
        <v>1</v>
      </c>
      <c r="AP1334">
        <v>0</v>
      </c>
      <c r="AQ1334">
        <v>0</v>
      </c>
      <c r="AR1334">
        <v>0</v>
      </c>
      <c r="AS1334">
        <v>0</v>
      </c>
      <c r="AT1334">
        <v>0</v>
      </c>
      <c r="AU1334">
        <f t="shared" si="40"/>
        <v>1</v>
      </c>
      <c r="AV1334">
        <f t="shared" si="41"/>
        <v>0</v>
      </c>
    </row>
    <row r="1335" spans="1:48" x14ac:dyDescent="0.25">
      <c r="A1335" t="s">
        <v>5733</v>
      </c>
      <c r="C1335" t="s">
        <v>5734</v>
      </c>
      <c r="D1335" t="s">
        <v>5735</v>
      </c>
      <c r="E1335" t="s">
        <v>2310</v>
      </c>
      <c r="F1335">
        <v>11</v>
      </c>
      <c r="G1335">
        <v>11.2</v>
      </c>
      <c r="H1335" t="s">
        <v>2017</v>
      </c>
      <c r="I1335" s="21">
        <v>38408</v>
      </c>
      <c r="J1335">
        <v>2005</v>
      </c>
      <c r="K1335" s="21">
        <v>38428</v>
      </c>
      <c r="L1335">
        <v>2005</v>
      </c>
      <c r="M1335" s="21">
        <v>38691</v>
      </c>
      <c r="N1335">
        <v>2005</v>
      </c>
      <c r="R1335" s="262">
        <v>175000</v>
      </c>
      <c r="S1335" t="s">
        <v>114</v>
      </c>
      <c r="T1335" t="s">
        <v>114</v>
      </c>
      <c r="U1335">
        <v>5</v>
      </c>
      <c r="W1335">
        <v>2100</v>
      </c>
      <c r="X1335">
        <v>1</v>
      </c>
      <c r="Y1335">
        <v>0</v>
      </c>
      <c r="Z1335">
        <v>0</v>
      </c>
      <c r="AA1335">
        <v>0</v>
      </c>
      <c r="AB1335">
        <v>0</v>
      </c>
      <c r="AC1335">
        <v>2100</v>
      </c>
      <c r="AD1335">
        <v>0</v>
      </c>
      <c r="AE1335">
        <v>0</v>
      </c>
      <c r="AF1335">
        <v>0</v>
      </c>
      <c r="AG1335">
        <v>0</v>
      </c>
      <c r="AH1335">
        <v>0</v>
      </c>
      <c r="AI1335">
        <v>0</v>
      </c>
      <c r="AJ1335">
        <v>0</v>
      </c>
      <c r="AK1335">
        <v>0</v>
      </c>
      <c r="AL1335">
        <v>0</v>
      </c>
      <c r="AM1335">
        <v>0</v>
      </c>
      <c r="AN1335">
        <v>0</v>
      </c>
      <c r="AO1335">
        <v>1</v>
      </c>
      <c r="AP1335">
        <v>0</v>
      </c>
      <c r="AQ1335">
        <v>0</v>
      </c>
      <c r="AR1335">
        <v>0</v>
      </c>
      <c r="AS1335">
        <v>0</v>
      </c>
      <c r="AT1335">
        <v>0</v>
      </c>
      <c r="AU1335">
        <f t="shared" si="40"/>
        <v>1</v>
      </c>
      <c r="AV1335">
        <f t="shared" si="41"/>
        <v>0</v>
      </c>
    </row>
    <row r="1336" spans="1:48" x14ac:dyDescent="0.25">
      <c r="A1336" t="s">
        <v>5736</v>
      </c>
      <c r="C1336" t="s">
        <v>5737</v>
      </c>
      <c r="D1336" t="s">
        <v>5738</v>
      </c>
      <c r="E1336" t="s">
        <v>2310</v>
      </c>
      <c r="F1336">
        <v>8</v>
      </c>
      <c r="G1336">
        <v>8.1999999999999993</v>
      </c>
      <c r="H1336" t="s">
        <v>2022</v>
      </c>
      <c r="I1336" s="21">
        <v>38413</v>
      </c>
      <c r="J1336">
        <v>2005</v>
      </c>
      <c r="K1336" s="21">
        <v>38428</v>
      </c>
      <c r="L1336">
        <v>2005</v>
      </c>
      <c r="M1336" s="21">
        <v>38428</v>
      </c>
      <c r="N1336">
        <v>2005</v>
      </c>
      <c r="R1336" s="262">
        <v>2700000</v>
      </c>
      <c r="S1336" t="s">
        <v>114</v>
      </c>
      <c r="T1336" t="s">
        <v>114</v>
      </c>
      <c r="U1336">
        <v>5</v>
      </c>
      <c r="W1336">
        <v>6367</v>
      </c>
      <c r="X1336">
        <v>1</v>
      </c>
      <c r="Y1336">
        <v>0</v>
      </c>
      <c r="Z1336">
        <v>0</v>
      </c>
      <c r="AA1336">
        <v>0</v>
      </c>
      <c r="AB1336">
        <v>0</v>
      </c>
      <c r="AC1336">
        <v>6367</v>
      </c>
      <c r="AD1336">
        <v>0</v>
      </c>
      <c r="AE1336">
        <v>0</v>
      </c>
      <c r="AF1336">
        <v>0</v>
      </c>
      <c r="AG1336">
        <v>0</v>
      </c>
      <c r="AH1336">
        <v>0</v>
      </c>
      <c r="AI1336">
        <v>0</v>
      </c>
      <c r="AJ1336">
        <v>0</v>
      </c>
      <c r="AK1336">
        <v>0</v>
      </c>
      <c r="AL1336">
        <v>0</v>
      </c>
      <c r="AM1336">
        <v>0</v>
      </c>
      <c r="AN1336">
        <v>0</v>
      </c>
      <c r="AO1336">
        <v>1</v>
      </c>
      <c r="AP1336">
        <v>0</v>
      </c>
      <c r="AQ1336">
        <v>0</v>
      </c>
      <c r="AR1336">
        <v>0</v>
      </c>
      <c r="AS1336">
        <v>0</v>
      </c>
      <c r="AT1336">
        <v>0</v>
      </c>
      <c r="AU1336">
        <f t="shared" si="40"/>
        <v>1</v>
      </c>
      <c r="AV1336">
        <f t="shared" si="41"/>
        <v>0</v>
      </c>
    </row>
    <row r="1337" spans="1:48" x14ac:dyDescent="0.25">
      <c r="A1337" t="s">
        <v>5739</v>
      </c>
      <c r="C1337" t="s">
        <v>5740</v>
      </c>
      <c r="D1337" t="s">
        <v>5741</v>
      </c>
      <c r="E1337" t="s">
        <v>2310</v>
      </c>
      <c r="F1337">
        <v>9</v>
      </c>
      <c r="G1337">
        <v>9.3000000000000007</v>
      </c>
      <c r="H1337" t="s">
        <v>2323</v>
      </c>
      <c r="I1337" s="21">
        <v>38413</v>
      </c>
      <c r="J1337">
        <v>2005</v>
      </c>
      <c r="K1337" s="21">
        <v>38435</v>
      </c>
      <c r="L1337">
        <v>2005</v>
      </c>
      <c r="M1337" s="21">
        <v>38833</v>
      </c>
      <c r="N1337">
        <v>2006</v>
      </c>
      <c r="R1337" s="262">
        <v>275000</v>
      </c>
      <c r="S1337" t="s">
        <v>114</v>
      </c>
      <c r="T1337" t="s">
        <v>114</v>
      </c>
      <c r="U1337">
        <v>8</v>
      </c>
      <c r="W1337">
        <v>2066</v>
      </c>
      <c r="X1337">
        <v>1</v>
      </c>
      <c r="Y1337">
        <v>0</v>
      </c>
      <c r="Z1337">
        <v>0</v>
      </c>
      <c r="AA1337">
        <v>0</v>
      </c>
      <c r="AB1337">
        <v>0</v>
      </c>
      <c r="AC1337">
        <v>1157</v>
      </c>
      <c r="AD1337">
        <v>0</v>
      </c>
      <c r="AE1337">
        <v>0</v>
      </c>
      <c r="AF1337">
        <v>909</v>
      </c>
      <c r="AG1337">
        <v>0</v>
      </c>
      <c r="AH1337">
        <v>0</v>
      </c>
      <c r="AI1337">
        <v>0</v>
      </c>
      <c r="AJ1337">
        <v>0</v>
      </c>
      <c r="AK1337">
        <v>0</v>
      </c>
      <c r="AL1337">
        <v>0</v>
      </c>
      <c r="AM1337">
        <v>0</v>
      </c>
      <c r="AN1337">
        <v>0</v>
      </c>
      <c r="AO1337">
        <v>0</v>
      </c>
      <c r="AP1337">
        <v>0</v>
      </c>
      <c r="AQ1337">
        <v>0</v>
      </c>
      <c r="AR1337">
        <v>1</v>
      </c>
      <c r="AS1337">
        <v>0</v>
      </c>
      <c r="AT1337">
        <v>0</v>
      </c>
      <c r="AU1337">
        <f t="shared" si="40"/>
        <v>0</v>
      </c>
      <c r="AV1337">
        <f t="shared" si="41"/>
        <v>0</v>
      </c>
    </row>
    <row r="1338" spans="1:48" x14ac:dyDescent="0.25">
      <c r="A1338" t="s">
        <v>5742</v>
      </c>
      <c r="C1338" t="s">
        <v>5743</v>
      </c>
      <c r="D1338" t="s">
        <v>5499</v>
      </c>
      <c r="E1338" t="s">
        <v>2310</v>
      </c>
      <c r="F1338">
        <v>9</v>
      </c>
      <c r="G1338">
        <v>9.1999999999999993</v>
      </c>
      <c r="H1338" t="s">
        <v>2022</v>
      </c>
      <c r="I1338" s="21">
        <v>38414</v>
      </c>
      <c r="J1338">
        <v>2005</v>
      </c>
      <c r="K1338" s="21">
        <v>38432</v>
      </c>
      <c r="L1338">
        <v>2005</v>
      </c>
      <c r="M1338" s="21">
        <v>38432</v>
      </c>
      <c r="N1338">
        <v>2005</v>
      </c>
      <c r="R1338" s="262">
        <v>75000</v>
      </c>
      <c r="S1338" t="s">
        <v>114</v>
      </c>
      <c r="T1338" t="s">
        <v>114</v>
      </c>
      <c r="U1338">
        <v>5</v>
      </c>
      <c r="W1338">
        <v>1152</v>
      </c>
      <c r="X1338">
        <v>0</v>
      </c>
      <c r="Y1338">
        <v>0</v>
      </c>
      <c r="Z1338">
        <v>0</v>
      </c>
      <c r="AA1338">
        <v>0</v>
      </c>
      <c r="AB1338">
        <v>0</v>
      </c>
      <c r="AC1338">
        <v>1152</v>
      </c>
      <c r="AD1338">
        <v>0</v>
      </c>
      <c r="AE1338">
        <v>0</v>
      </c>
      <c r="AF1338">
        <v>0</v>
      </c>
      <c r="AG1338">
        <v>0</v>
      </c>
      <c r="AH1338">
        <v>0</v>
      </c>
      <c r="AI1338">
        <v>0</v>
      </c>
      <c r="AJ1338">
        <v>0</v>
      </c>
      <c r="AK1338">
        <v>0</v>
      </c>
      <c r="AL1338">
        <v>0</v>
      </c>
      <c r="AM1338">
        <v>0</v>
      </c>
      <c r="AN1338">
        <v>0</v>
      </c>
      <c r="AO1338">
        <v>0</v>
      </c>
      <c r="AP1338">
        <v>0</v>
      </c>
      <c r="AQ1338">
        <v>0</v>
      </c>
      <c r="AR1338">
        <v>0</v>
      </c>
      <c r="AS1338">
        <v>0</v>
      </c>
      <c r="AT1338">
        <v>0</v>
      </c>
      <c r="AU1338">
        <f t="shared" si="40"/>
        <v>0</v>
      </c>
      <c r="AV1338">
        <f t="shared" si="41"/>
        <v>0</v>
      </c>
    </row>
    <row r="1339" spans="1:48" x14ac:dyDescent="0.25">
      <c r="A1339" t="s">
        <v>5744</v>
      </c>
      <c r="C1339" t="s">
        <v>5745</v>
      </c>
      <c r="D1339" t="s">
        <v>5191</v>
      </c>
      <c r="E1339" t="s">
        <v>2310</v>
      </c>
      <c r="F1339">
        <v>14</v>
      </c>
      <c r="G1339">
        <v>14.1</v>
      </c>
      <c r="H1339" t="s">
        <v>2022</v>
      </c>
      <c r="I1339" s="21">
        <v>38418</v>
      </c>
      <c r="J1339">
        <v>2005</v>
      </c>
      <c r="K1339" s="21">
        <v>38439</v>
      </c>
      <c r="L1339">
        <v>2005</v>
      </c>
      <c r="M1339" s="21">
        <v>38439</v>
      </c>
      <c r="N1339">
        <v>2005</v>
      </c>
      <c r="R1339" s="262">
        <v>8000</v>
      </c>
      <c r="S1339" t="s">
        <v>114</v>
      </c>
      <c r="T1339" t="s">
        <v>114</v>
      </c>
      <c r="U1339">
        <v>5</v>
      </c>
      <c r="W1339">
        <v>0</v>
      </c>
      <c r="X1339">
        <v>0</v>
      </c>
      <c r="Y1339">
        <v>0</v>
      </c>
      <c r="Z1339">
        <v>0</v>
      </c>
      <c r="AA1339">
        <v>0</v>
      </c>
      <c r="AB1339">
        <v>0</v>
      </c>
      <c r="AC1339">
        <v>0</v>
      </c>
      <c r="AD1339">
        <v>0</v>
      </c>
      <c r="AE1339">
        <v>0</v>
      </c>
      <c r="AF1339">
        <v>0</v>
      </c>
      <c r="AG1339">
        <v>0</v>
      </c>
      <c r="AH1339">
        <v>0</v>
      </c>
      <c r="AI1339">
        <v>0</v>
      </c>
      <c r="AJ1339">
        <v>0</v>
      </c>
      <c r="AK1339">
        <v>0</v>
      </c>
      <c r="AL1339">
        <v>0</v>
      </c>
      <c r="AM1339">
        <v>0</v>
      </c>
      <c r="AN1339">
        <v>0</v>
      </c>
      <c r="AO1339">
        <v>0</v>
      </c>
      <c r="AP1339">
        <v>0</v>
      </c>
      <c r="AQ1339">
        <v>0</v>
      </c>
      <c r="AR1339">
        <v>0</v>
      </c>
      <c r="AS1339">
        <v>0</v>
      </c>
      <c r="AT1339">
        <v>0</v>
      </c>
      <c r="AU1339">
        <f t="shared" si="40"/>
        <v>0</v>
      </c>
      <c r="AV1339">
        <f t="shared" si="41"/>
        <v>0</v>
      </c>
    </row>
    <row r="1340" spans="1:48" x14ac:dyDescent="0.25">
      <c r="A1340" t="s">
        <v>5746</v>
      </c>
      <c r="C1340" t="s">
        <v>5747</v>
      </c>
      <c r="D1340" t="s">
        <v>5748</v>
      </c>
      <c r="E1340" t="s">
        <v>2310</v>
      </c>
      <c r="F1340">
        <v>15</v>
      </c>
      <c r="G1340">
        <v>15.3</v>
      </c>
      <c r="H1340" t="s">
        <v>2022</v>
      </c>
      <c r="I1340" s="21">
        <v>38419</v>
      </c>
      <c r="J1340">
        <v>2005</v>
      </c>
      <c r="K1340" s="21">
        <v>38436</v>
      </c>
      <c r="L1340">
        <v>2005</v>
      </c>
      <c r="M1340" s="21">
        <v>38896</v>
      </c>
      <c r="N1340">
        <v>2006</v>
      </c>
      <c r="R1340" s="262">
        <v>800000</v>
      </c>
      <c r="S1340" t="s">
        <v>114</v>
      </c>
      <c r="T1340" t="s">
        <v>114</v>
      </c>
      <c r="U1340">
        <v>5</v>
      </c>
      <c r="W1340">
        <v>4876</v>
      </c>
      <c r="X1340">
        <v>1</v>
      </c>
      <c r="Y1340">
        <v>0</v>
      </c>
      <c r="Z1340">
        <v>0</v>
      </c>
      <c r="AA1340">
        <v>0</v>
      </c>
      <c r="AB1340">
        <v>0</v>
      </c>
      <c r="AC1340">
        <v>4876</v>
      </c>
      <c r="AD1340">
        <v>0</v>
      </c>
      <c r="AE1340">
        <v>0</v>
      </c>
      <c r="AF1340">
        <v>0</v>
      </c>
      <c r="AG1340">
        <v>0</v>
      </c>
      <c r="AH1340">
        <v>0</v>
      </c>
      <c r="AI1340">
        <v>0</v>
      </c>
      <c r="AJ1340">
        <v>0</v>
      </c>
      <c r="AK1340">
        <v>0</v>
      </c>
      <c r="AL1340">
        <v>0</v>
      </c>
      <c r="AM1340">
        <v>0</v>
      </c>
      <c r="AN1340">
        <v>0</v>
      </c>
      <c r="AO1340">
        <v>1</v>
      </c>
      <c r="AP1340">
        <v>0</v>
      </c>
      <c r="AQ1340">
        <v>0</v>
      </c>
      <c r="AR1340">
        <v>0</v>
      </c>
      <c r="AS1340">
        <v>0</v>
      </c>
      <c r="AT1340">
        <v>0</v>
      </c>
      <c r="AU1340">
        <f t="shared" si="40"/>
        <v>1</v>
      </c>
      <c r="AV1340">
        <f t="shared" si="41"/>
        <v>0</v>
      </c>
    </row>
    <row r="1341" spans="1:48" x14ac:dyDescent="0.25">
      <c r="A1341" t="s">
        <v>5749</v>
      </c>
      <c r="C1341" t="s">
        <v>5750</v>
      </c>
      <c r="D1341" t="s">
        <v>5751</v>
      </c>
      <c r="E1341" t="s">
        <v>2310</v>
      </c>
      <c r="F1341">
        <v>8</v>
      </c>
      <c r="G1341">
        <v>8.1999999999999993</v>
      </c>
      <c r="H1341" t="s">
        <v>2022</v>
      </c>
      <c r="I1341" s="21">
        <v>38419</v>
      </c>
      <c r="J1341">
        <v>2005</v>
      </c>
      <c r="K1341" s="21">
        <v>38433</v>
      </c>
      <c r="L1341">
        <v>2005</v>
      </c>
      <c r="M1341" s="21">
        <v>38433</v>
      </c>
      <c r="N1341">
        <v>2005</v>
      </c>
      <c r="R1341" s="262">
        <v>5000</v>
      </c>
      <c r="S1341" t="s">
        <v>114</v>
      </c>
      <c r="T1341" t="s">
        <v>114</v>
      </c>
      <c r="U1341">
        <v>5</v>
      </c>
      <c r="W1341">
        <v>0</v>
      </c>
      <c r="X1341">
        <v>0</v>
      </c>
      <c r="Y1341">
        <v>0</v>
      </c>
      <c r="Z1341">
        <v>0</v>
      </c>
      <c r="AA1341">
        <v>0</v>
      </c>
      <c r="AB1341">
        <v>0</v>
      </c>
      <c r="AC1341">
        <v>0</v>
      </c>
      <c r="AD1341">
        <v>0</v>
      </c>
      <c r="AE1341">
        <v>0</v>
      </c>
      <c r="AF1341">
        <v>0</v>
      </c>
      <c r="AG1341">
        <v>0</v>
      </c>
      <c r="AH1341">
        <v>0</v>
      </c>
      <c r="AI1341">
        <v>0</v>
      </c>
      <c r="AJ1341">
        <v>0</v>
      </c>
      <c r="AK1341">
        <v>0</v>
      </c>
      <c r="AL1341">
        <v>0</v>
      </c>
      <c r="AM1341">
        <v>0</v>
      </c>
      <c r="AN1341">
        <v>0</v>
      </c>
      <c r="AO1341">
        <v>0</v>
      </c>
      <c r="AP1341">
        <v>0</v>
      </c>
      <c r="AQ1341">
        <v>0</v>
      </c>
      <c r="AR1341">
        <v>0</v>
      </c>
      <c r="AS1341">
        <v>0</v>
      </c>
      <c r="AT1341">
        <v>0</v>
      </c>
      <c r="AU1341">
        <f t="shared" si="40"/>
        <v>0</v>
      </c>
      <c r="AV1341">
        <f t="shared" si="41"/>
        <v>0</v>
      </c>
    </row>
    <row r="1342" spans="1:48" x14ac:dyDescent="0.25">
      <c r="A1342" t="s">
        <v>5752</v>
      </c>
      <c r="C1342" t="s">
        <v>5753</v>
      </c>
      <c r="D1342" t="s">
        <v>5754</v>
      </c>
      <c r="E1342" t="s">
        <v>2310</v>
      </c>
      <c r="F1342">
        <v>9</v>
      </c>
      <c r="G1342">
        <v>9.1</v>
      </c>
      <c r="H1342" t="s">
        <v>2323</v>
      </c>
      <c r="I1342" s="21">
        <v>38420</v>
      </c>
      <c r="J1342">
        <v>2005</v>
      </c>
      <c r="K1342" s="21">
        <v>38433</v>
      </c>
      <c r="L1342">
        <v>2005</v>
      </c>
      <c r="M1342" s="21">
        <v>38609</v>
      </c>
      <c r="N1342">
        <v>2005</v>
      </c>
      <c r="R1342" s="262">
        <v>400000</v>
      </c>
      <c r="S1342" t="s">
        <v>114</v>
      </c>
      <c r="T1342" t="s">
        <v>114</v>
      </c>
      <c r="U1342">
        <v>8</v>
      </c>
      <c r="W1342">
        <v>2726</v>
      </c>
      <c r="X1342">
        <v>1</v>
      </c>
      <c r="Y1342">
        <v>0</v>
      </c>
      <c r="Z1342">
        <v>0</v>
      </c>
      <c r="AA1342">
        <v>0</v>
      </c>
      <c r="AB1342">
        <v>0</v>
      </c>
      <c r="AC1342">
        <v>2112</v>
      </c>
      <c r="AD1342">
        <v>0</v>
      </c>
      <c r="AE1342">
        <v>0</v>
      </c>
      <c r="AF1342">
        <v>614</v>
      </c>
      <c r="AG1342">
        <v>0</v>
      </c>
      <c r="AH1342">
        <v>0</v>
      </c>
      <c r="AI1342">
        <v>0</v>
      </c>
      <c r="AJ1342">
        <v>0</v>
      </c>
      <c r="AK1342">
        <v>0</v>
      </c>
      <c r="AL1342">
        <v>0</v>
      </c>
      <c r="AM1342">
        <v>0</v>
      </c>
      <c r="AN1342">
        <v>0</v>
      </c>
      <c r="AO1342">
        <v>0</v>
      </c>
      <c r="AP1342">
        <v>0</v>
      </c>
      <c r="AQ1342">
        <v>0</v>
      </c>
      <c r="AR1342">
        <v>1</v>
      </c>
      <c r="AS1342">
        <v>0</v>
      </c>
      <c r="AT1342">
        <v>0</v>
      </c>
      <c r="AU1342">
        <f t="shared" si="40"/>
        <v>0</v>
      </c>
      <c r="AV1342">
        <f t="shared" si="41"/>
        <v>0</v>
      </c>
    </row>
    <row r="1343" spans="1:48" x14ac:dyDescent="0.25">
      <c r="A1343" t="s">
        <v>5758</v>
      </c>
      <c r="C1343" t="s">
        <v>5759</v>
      </c>
      <c r="D1343" t="s">
        <v>5760</v>
      </c>
      <c r="E1343" t="s">
        <v>2310</v>
      </c>
      <c r="F1343">
        <v>12</v>
      </c>
      <c r="G1343">
        <v>12.3</v>
      </c>
      <c r="H1343" t="s">
        <v>2017</v>
      </c>
      <c r="I1343" s="21">
        <v>38421</v>
      </c>
      <c r="J1343">
        <v>2005</v>
      </c>
      <c r="K1343" s="21">
        <v>38439</v>
      </c>
      <c r="L1343">
        <v>2005</v>
      </c>
      <c r="M1343" s="21">
        <v>38544</v>
      </c>
      <c r="N1343">
        <v>2005</v>
      </c>
      <c r="R1343" s="262">
        <v>18000</v>
      </c>
      <c r="S1343" t="s">
        <v>114</v>
      </c>
      <c r="T1343" t="s">
        <v>114</v>
      </c>
      <c r="U1343">
        <v>5</v>
      </c>
      <c r="W1343">
        <v>0</v>
      </c>
      <c r="X1343">
        <v>0</v>
      </c>
      <c r="Y1343">
        <v>0</v>
      </c>
      <c r="Z1343">
        <v>0</v>
      </c>
      <c r="AA1343">
        <v>0</v>
      </c>
      <c r="AB1343">
        <v>0</v>
      </c>
      <c r="AC1343">
        <v>0</v>
      </c>
      <c r="AD1343">
        <v>0</v>
      </c>
      <c r="AE1343">
        <v>0</v>
      </c>
      <c r="AF1343">
        <v>0</v>
      </c>
      <c r="AG1343">
        <v>0</v>
      </c>
      <c r="AH1343">
        <v>0</v>
      </c>
      <c r="AI1343">
        <v>0</v>
      </c>
      <c r="AJ1343">
        <v>0</v>
      </c>
      <c r="AK1343">
        <v>0</v>
      </c>
      <c r="AL1343">
        <v>0</v>
      </c>
      <c r="AM1343">
        <v>0</v>
      </c>
      <c r="AN1343">
        <v>0</v>
      </c>
      <c r="AO1343">
        <v>0</v>
      </c>
      <c r="AP1343">
        <v>0</v>
      </c>
      <c r="AQ1343">
        <v>0</v>
      </c>
      <c r="AR1343">
        <v>0</v>
      </c>
      <c r="AS1343">
        <v>0</v>
      </c>
      <c r="AT1343">
        <v>0</v>
      </c>
      <c r="AU1343">
        <f t="shared" si="40"/>
        <v>0</v>
      </c>
      <c r="AV1343">
        <f t="shared" si="41"/>
        <v>0</v>
      </c>
    </row>
    <row r="1344" spans="1:48" x14ac:dyDescent="0.25">
      <c r="A1344" t="s">
        <v>5761</v>
      </c>
      <c r="C1344" t="s">
        <v>5762</v>
      </c>
      <c r="D1344" t="s">
        <v>5763</v>
      </c>
      <c r="E1344" t="s">
        <v>2310</v>
      </c>
      <c r="F1344">
        <v>11</v>
      </c>
      <c r="G1344">
        <v>11.2</v>
      </c>
      <c r="H1344" t="s">
        <v>2017</v>
      </c>
      <c r="I1344" s="21">
        <v>38421</v>
      </c>
      <c r="J1344">
        <v>2005</v>
      </c>
      <c r="K1344" s="21">
        <v>38489</v>
      </c>
      <c r="L1344">
        <v>2005</v>
      </c>
      <c r="M1344" s="21">
        <v>38785</v>
      </c>
      <c r="N1344">
        <v>2006</v>
      </c>
      <c r="R1344" s="262">
        <v>127000</v>
      </c>
      <c r="S1344" t="s">
        <v>114</v>
      </c>
      <c r="T1344" t="s">
        <v>114</v>
      </c>
      <c r="U1344">
        <v>8</v>
      </c>
      <c r="W1344">
        <v>1152</v>
      </c>
      <c r="X1344">
        <v>1</v>
      </c>
      <c r="Y1344">
        <v>0</v>
      </c>
      <c r="Z1344">
        <v>0</v>
      </c>
      <c r="AA1344">
        <v>0</v>
      </c>
      <c r="AB1344">
        <v>0</v>
      </c>
      <c r="AC1344">
        <v>576</v>
      </c>
      <c r="AD1344">
        <v>0</v>
      </c>
      <c r="AE1344">
        <v>0</v>
      </c>
      <c r="AF1344">
        <v>576</v>
      </c>
      <c r="AG1344">
        <v>0</v>
      </c>
      <c r="AH1344">
        <v>0</v>
      </c>
      <c r="AI1344">
        <v>0</v>
      </c>
      <c r="AJ1344">
        <v>0</v>
      </c>
      <c r="AK1344">
        <v>0</v>
      </c>
      <c r="AL1344">
        <v>0</v>
      </c>
      <c r="AM1344">
        <v>0</v>
      </c>
      <c r="AN1344">
        <v>0</v>
      </c>
      <c r="AO1344">
        <v>0</v>
      </c>
      <c r="AP1344">
        <v>0</v>
      </c>
      <c r="AQ1344">
        <v>0</v>
      </c>
      <c r="AR1344">
        <v>1</v>
      </c>
      <c r="AS1344">
        <v>0</v>
      </c>
      <c r="AT1344">
        <v>0</v>
      </c>
      <c r="AU1344">
        <f t="shared" si="40"/>
        <v>0</v>
      </c>
      <c r="AV1344">
        <f t="shared" si="41"/>
        <v>0</v>
      </c>
    </row>
    <row r="1345" spans="1:48" x14ac:dyDescent="0.25">
      <c r="A1345" t="s">
        <v>5755</v>
      </c>
      <c r="C1345" t="s">
        <v>5756</v>
      </c>
      <c r="D1345" t="s">
        <v>5757</v>
      </c>
      <c r="E1345" t="s">
        <v>1663</v>
      </c>
      <c r="F1345">
        <v>2</v>
      </c>
      <c r="G1345">
        <v>2.2999999999999998</v>
      </c>
      <c r="H1345" t="s">
        <v>2327</v>
      </c>
      <c r="I1345" s="21">
        <v>38421</v>
      </c>
      <c r="J1345">
        <v>2005</v>
      </c>
      <c r="K1345" s="21">
        <v>38452</v>
      </c>
      <c r="L1345">
        <v>2005</v>
      </c>
      <c r="M1345" s="21">
        <v>38605</v>
      </c>
      <c r="N1345">
        <v>2005</v>
      </c>
      <c r="Q1345" s="262">
        <v>0</v>
      </c>
      <c r="S1345" t="s">
        <v>114</v>
      </c>
      <c r="T1345" t="s">
        <v>114</v>
      </c>
      <c r="W1345">
        <v>1862</v>
      </c>
      <c r="X1345">
        <v>0</v>
      </c>
      <c r="Y1345">
        <v>0</v>
      </c>
      <c r="Z1345">
        <v>0</v>
      </c>
      <c r="AA1345">
        <v>0</v>
      </c>
      <c r="AB1345">
        <v>0</v>
      </c>
      <c r="AC1345">
        <v>0</v>
      </c>
      <c r="AD1345">
        <v>0</v>
      </c>
      <c r="AE1345">
        <v>0</v>
      </c>
      <c r="AF1345">
        <v>0</v>
      </c>
      <c r="AG1345">
        <v>0</v>
      </c>
      <c r="AH1345">
        <v>0</v>
      </c>
      <c r="AI1345">
        <v>0</v>
      </c>
      <c r="AJ1345">
        <v>1862</v>
      </c>
      <c r="AK1345">
        <v>0</v>
      </c>
      <c r="AL1345">
        <v>0</v>
      </c>
      <c r="AM1345">
        <v>0</v>
      </c>
      <c r="AN1345">
        <v>0</v>
      </c>
      <c r="AO1345">
        <v>0</v>
      </c>
      <c r="AP1345">
        <v>0</v>
      </c>
      <c r="AQ1345">
        <v>0</v>
      </c>
      <c r="AR1345">
        <v>0</v>
      </c>
      <c r="AS1345">
        <v>0</v>
      </c>
      <c r="AT1345">
        <v>0</v>
      </c>
      <c r="AU1345">
        <f t="shared" si="40"/>
        <v>0</v>
      </c>
      <c r="AV1345">
        <f t="shared" si="41"/>
        <v>1862</v>
      </c>
    </row>
    <row r="1346" spans="1:48" x14ac:dyDescent="0.25">
      <c r="A1346" t="s">
        <v>5764</v>
      </c>
      <c r="C1346" t="s">
        <v>5765</v>
      </c>
      <c r="D1346" t="s">
        <v>5766</v>
      </c>
      <c r="E1346" t="s">
        <v>1663</v>
      </c>
      <c r="F1346">
        <v>6</v>
      </c>
      <c r="G1346">
        <v>6.1</v>
      </c>
      <c r="H1346" t="s">
        <v>2017</v>
      </c>
      <c r="I1346" s="21">
        <v>38422</v>
      </c>
      <c r="J1346">
        <v>2005</v>
      </c>
      <c r="K1346" s="21">
        <v>38453</v>
      </c>
      <c r="L1346">
        <v>2005</v>
      </c>
      <c r="M1346" s="21">
        <v>38606</v>
      </c>
      <c r="N1346">
        <v>2005</v>
      </c>
      <c r="Q1346" s="262">
        <v>0</v>
      </c>
      <c r="S1346" t="s">
        <v>114</v>
      </c>
      <c r="T1346" t="s">
        <v>114</v>
      </c>
      <c r="W1346">
        <v>576</v>
      </c>
      <c r="X1346">
        <v>0</v>
      </c>
      <c r="Y1346">
        <v>0</v>
      </c>
      <c r="Z1346">
        <v>0</v>
      </c>
      <c r="AA1346">
        <v>0</v>
      </c>
      <c r="AB1346">
        <v>0</v>
      </c>
      <c r="AC1346">
        <v>576</v>
      </c>
      <c r="AD1346">
        <v>0</v>
      </c>
      <c r="AE1346">
        <v>0</v>
      </c>
      <c r="AF1346">
        <v>0</v>
      </c>
      <c r="AG1346">
        <v>0</v>
      </c>
      <c r="AH1346">
        <v>0</v>
      </c>
      <c r="AI1346">
        <v>0</v>
      </c>
      <c r="AJ1346">
        <v>0</v>
      </c>
      <c r="AK1346">
        <v>0</v>
      </c>
      <c r="AL1346">
        <v>0</v>
      </c>
      <c r="AM1346">
        <v>0</v>
      </c>
      <c r="AN1346">
        <v>0</v>
      </c>
      <c r="AO1346">
        <v>0</v>
      </c>
      <c r="AP1346">
        <v>0</v>
      </c>
      <c r="AQ1346">
        <v>0</v>
      </c>
      <c r="AR1346">
        <v>0</v>
      </c>
      <c r="AS1346">
        <v>0</v>
      </c>
      <c r="AT1346">
        <v>0</v>
      </c>
      <c r="AU1346">
        <f t="shared" si="40"/>
        <v>0</v>
      </c>
      <c r="AV1346">
        <f t="shared" si="41"/>
        <v>0</v>
      </c>
    </row>
    <row r="1347" spans="1:48" x14ac:dyDescent="0.25">
      <c r="A1347" t="s">
        <v>5767</v>
      </c>
      <c r="C1347" t="s">
        <v>4614</v>
      </c>
      <c r="D1347" t="s">
        <v>5768</v>
      </c>
      <c r="E1347" t="s">
        <v>2310</v>
      </c>
      <c r="F1347">
        <v>10</v>
      </c>
      <c r="G1347">
        <v>10.1</v>
      </c>
      <c r="H1347" t="s">
        <v>2323</v>
      </c>
      <c r="I1347" s="21">
        <v>38425</v>
      </c>
      <c r="J1347">
        <v>2005</v>
      </c>
      <c r="K1347" s="21">
        <v>38442</v>
      </c>
      <c r="L1347">
        <v>2005</v>
      </c>
      <c r="M1347" s="21">
        <v>38442</v>
      </c>
      <c r="N1347">
        <v>2005</v>
      </c>
      <c r="R1347" s="262">
        <v>650000</v>
      </c>
      <c r="S1347" t="s">
        <v>114</v>
      </c>
      <c r="T1347" t="s">
        <v>114</v>
      </c>
      <c r="U1347">
        <v>5</v>
      </c>
      <c r="W1347">
        <v>4381</v>
      </c>
      <c r="X1347">
        <v>1</v>
      </c>
      <c r="Y1347">
        <v>0</v>
      </c>
      <c r="Z1347">
        <v>0</v>
      </c>
      <c r="AA1347">
        <v>0</v>
      </c>
      <c r="AB1347">
        <v>0</v>
      </c>
      <c r="AC1347">
        <v>4381</v>
      </c>
      <c r="AD1347">
        <v>0</v>
      </c>
      <c r="AE1347">
        <v>0</v>
      </c>
      <c r="AF1347">
        <v>0</v>
      </c>
      <c r="AG1347">
        <v>0</v>
      </c>
      <c r="AH1347">
        <v>0</v>
      </c>
      <c r="AI1347">
        <v>0</v>
      </c>
      <c r="AJ1347">
        <v>0</v>
      </c>
      <c r="AK1347">
        <v>0</v>
      </c>
      <c r="AL1347">
        <v>0</v>
      </c>
      <c r="AM1347">
        <v>0</v>
      </c>
      <c r="AN1347">
        <v>0</v>
      </c>
      <c r="AO1347">
        <v>1</v>
      </c>
      <c r="AP1347">
        <v>0</v>
      </c>
      <c r="AQ1347">
        <v>0</v>
      </c>
      <c r="AR1347">
        <v>0</v>
      </c>
      <c r="AS1347">
        <v>0</v>
      </c>
      <c r="AT1347">
        <v>0</v>
      </c>
      <c r="AU1347">
        <f t="shared" si="40"/>
        <v>1</v>
      </c>
      <c r="AV1347">
        <f t="shared" si="41"/>
        <v>0</v>
      </c>
    </row>
    <row r="1348" spans="1:48" x14ac:dyDescent="0.25">
      <c r="A1348" t="s">
        <v>5769</v>
      </c>
      <c r="C1348" t="s">
        <v>5770</v>
      </c>
      <c r="D1348" t="s">
        <v>5049</v>
      </c>
      <c r="E1348" t="s">
        <v>2310</v>
      </c>
      <c r="F1348">
        <v>9</v>
      </c>
      <c r="G1348">
        <v>9.1</v>
      </c>
      <c r="H1348" t="s">
        <v>2323</v>
      </c>
      <c r="I1348" s="21">
        <v>38425</v>
      </c>
      <c r="J1348">
        <v>2005</v>
      </c>
      <c r="K1348" s="21">
        <v>38439</v>
      </c>
      <c r="L1348">
        <v>2005</v>
      </c>
      <c r="M1348" s="21">
        <v>39286</v>
      </c>
      <c r="N1348">
        <v>2007</v>
      </c>
      <c r="R1348" s="262">
        <v>60000</v>
      </c>
      <c r="S1348" t="s">
        <v>114</v>
      </c>
      <c r="T1348" t="s">
        <v>114</v>
      </c>
      <c r="U1348">
        <v>5</v>
      </c>
      <c r="W1348">
        <v>0</v>
      </c>
      <c r="X1348">
        <v>0</v>
      </c>
      <c r="Y1348">
        <v>0</v>
      </c>
      <c r="Z1348">
        <v>0</v>
      </c>
      <c r="AA1348">
        <v>0</v>
      </c>
      <c r="AB1348">
        <v>0</v>
      </c>
      <c r="AC1348">
        <v>0</v>
      </c>
      <c r="AD1348">
        <v>0</v>
      </c>
      <c r="AE1348">
        <v>0</v>
      </c>
      <c r="AF1348">
        <v>0</v>
      </c>
      <c r="AG1348">
        <v>0</v>
      </c>
      <c r="AH1348">
        <v>0</v>
      </c>
      <c r="AI1348">
        <v>0</v>
      </c>
      <c r="AJ1348">
        <v>0</v>
      </c>
      <c r="AK1348">
        <v>0</v>
      </c>
      <c r="AL1348">
        <v>0</v>
      </c>
      <c r="AM1348">
        <v>0</v>
      </c>
      <c r="AN1348">
        <v>0</v>
      </c>
      <c r="AO1348">
        <v>0</v>
      </c>
      <c r="AP1348">
        <v>0</v>
      </c>
      <c r="AQ1348">
        <v>0</v>
      </c>
      <c r="AR1348">
        <v>0</v>
      </c>
      <c r="AS1348">
        <v>0</v>
      </c>
      <c r="AT1348">
        <v>0</v>
      </c>
      <c r="AU1348">
        <f t="shared" si="40"/>
        <v>0</v>
      </c>
      <c r="AV1348">
        <f t="shared" si="41"/>
        <v>0</v>
      </c>
    </row>
    <row r="1349" spans="1:48" x14ac:dyDescent="0.25">
      <c r="A1349" t="s">
        <v>5771</v>
      </c>
      <c r="C1349" t="s">
        <v>5423</v>
      </c>
      <c r="D1349" t="s">
        <v>5772</v>
      </c>
      <c r="E1349" t="s">
        <v>2310</v>
      </c>
      <c r="F1349">
        <v>10</v>
      </c>
      <c r="G1349">
        <v>10.1</v>
      </c>
      <c r="H1349" t="s">
        <v>2323</v>
      </c>
      <c r="I1349" s="21">
        <v>38425</v>
      </c>
      <c r="J1349">
        <v>2005</v>
      </c>
      <c r="K1349" s="21">
        <v>38439</v>
      </c>
      <c r="L1349">
        <v>2005</v>
      </c>
      <c r="M1349" s="21">
        <v>38674</v>
      </c>
      <c r="N1349">
        <v>2005</v>
      </c>
      <c r="R1349" s="262">
        <v>400000</v>
      </c>
      <c r="S1349" t="s">
        <v>114</v>
      </c>
      <c r="T1349" t="s">
        <v>114</v>
      </c>
      <c r="U1349">
        <v>5</v>
      </c>
      <c r="W1349">
        <v>3577</v>
      </c>
      <c r="X1349">
        <v>1</v>
      </c>
      <c r="Y1349">
        <v>0</v>
      </c>
      <c r="Z1349">
        <v>0</v>
      </c>
      <c r="AA1349">
        <v>0</v>
      </c>
      <c r="AB1349">
        <v>0</v>
      </c>
      <c r="AC1349">
        <v>3577</v>
      </c>
      <c r="AD1349">
        <v>0</v>
      </c>
      <c r="AE1349">
        <v>0</v>
      </c>
      <c r="AF1349">
        <v>0</v>
      </c>
      <c r="AG1349">
        <v>0</v>
      </c>
      <c r="AH1349">
        <v>0</v>
      </c>
      <c r="AI1349">
        <v>0</v>
      </c>
      <c r="AJ1349">
        <v>0</v>
      </c>
      <c r="AK1349">
        <v>0</v>
      </c>
      <c r="AL1349">
        <v>0</v>
      </c>
      <c r="AM1349">
        <v>0</v>
      </c>
      <c r="AN1349">
        <v>0</v>
      </c>
      <c r="AO1349">
        <v>1</v>
      </c>
      <c r="AP1349">
        <v>0</v>
      </c>
      <c r="AQ1349">
        <v>0</v>
      </c>
      <c r="AR1349">
        <v>0</v>
      </c>
      <c r="AS1349">
        <v>0</v>
      </c>
      <c r="AT1349">
        <v>0</v>
      </c>
      <c r="AU1349">
        <f t="shared" si="40"/>
        <v>1</v>
      </c>
      <c r="AV1349">
        <f t="shared" si="41"/>
        <v>0</v>
      </c>
    </row>
    <row r="1350" spans="1:48" x14ac:dyDescent="0.25">
      <c r="A1350" t="s">
        <v>5773</v>
      </c>
      <c r="C1350" t="s">
        <v>5774</v>
      </c>
      <c r="D1350" t="s">
        <v>5775</v>
      </c>
      <c r="E1350" t="s">
        <v>2310</v>
      </c>
      <c r="F1350">
        <v>10</v>
      </c>
      <c r="G1350">
        <v>10.1</v>
      </c>
      <c r="H1350" t="s">
        <v>2323</v>
      </c>
      <c r="I1350" s="21">
        <v>38426</v>
      </c>
      <c r="J1350">
        <v>2005</v>
      </c>
      <c r="K1350" s="21">
        <v>38440</v>
      </c>
      <c r="L1350">
        <v>2005</v>
      </c>
      <c r="M1350" s="21">
        <v>38860</v>
      </c>
      <c r="N1350">
        <v>2006</v>
      </c>
      <c r="R1350" s="262">
        <v>500000</v>
      </c>
      <c r="S1350" t="s">
        <v>114</v>
      </c>
      <c r="T1350" t="s">
        <v>114</v>
      </c>
      <c r="U1350">
        <v>5</v>
      </c>
      <c r="W1350">
        <v>5061</v>
      </c>
      <c r="X1350">
        <v>1</v>
      </c>
      <c r="Y1350">
        <v>0</v>
      </c>
      <c r="Z1350">
        <v>0</v>
      </c>
      <c r="AA1350">
        <v>0</v>
      </c>
      <c r="AB1350">
        <v>0</v>
      </c>
      <c r="AC1350">
        <v>5061</v>
      </c>
      <c r="AD1350">
        <v>0</v>
      </c>
      <c r="AE1350">
        <v>0</v>
      </c>
      <c r="AF1350">
        <v>0</v>
      </c>
      <c r="AG1350">
        <v>0</v>
      </c>
      <c r="AH1350">
        <v>0</v>
      </c>
      <c r="AI1350">
        <v>0</v>
      </c>
      <c r="AJ1350">
        <v>0</v>
      </c>
      <c r="AK1350">
        <v>0</v>
      </c>
      <c r="AL1350">
        <v>0</v>
      </c>
      <c r="AM1350">
        <v>0</v>
      </c>
      <c r="AN1350">
        <v>0</v>
      </c>
      <c r="AO1350">
        <v>1</v>
      </c>
      <c r="AP1350">
        <v>0</v>
      </c>
      <c r="AQ1350">
        <v>0</v>
      </c>
      <c r="AR1350">
        <v>0</v>
      </c>
      <c r="AS1350">
        <v>0</v>
      </c>
      <c r="AT1350">
        <v>0</v>
      </c>
      <c r="AU1350">
        <f t="shared" si="40"/>
        <v>1</v>
      </c>
      <c r="AV1350">
        <f t="shared" si="41"/>
        <v>0</v>
      </c>
    </row>
    <row r="1351" spans="1:48" x14ac:dyDescent="0.25">
      <c r="A1351" t="s">
        <v>5776</v>
      </c>
      <c r="C1351" t="s">
        <v>5777</v>
      </c>
      <c r="D1351" t="s">
        <v>5778</v>
      </c>
      <c r="E1351" t="s">
        <v>2310</v>
      </c>
      <c r="F1351">
        <v>10</v>
      </c>
      <c r="G1351">
        <v>10.1</v>
      </c>
      <c r="H1351" t="s">
        <v>2323</v>
      </c>
      <c r="I1351" s="21">
        <v>38427</v>
      </c>
      <c r="J1351">
        <v>2005</v>
      </c>
      <c r="K1351" s="21">
        <v>38440</v>
      </c>
      <c r="L1351">
        <v>2005</v>
      </c>
      <c r="M1351" s="21">
        <v>38693</v>
      </c>
      <c r="N1351">
        <v>2005</v>
      </c>
      <c r="R1351" s="262">
        <v>300000</v>
      </c>
      <c r="S1351" t="s">
        <v>114</v>
      </c>
      <c r="T1351" t="s">
        <v>114</v>
      </c>
      <c r="U1351">
        <v>5</v>
      </c>
      <c r="W1351">
        <v>3016</v>
      </c>
      <c r="X1351">
        <v>1</v>
      </c>
      <c r="Y1351">
        <v>0</v>
      </c>
      <c r="Z1351">
        <v>0</v>
      </c>
      <c r="AA1351">
        <v>0</v>
      </c>
      <c r="AB1351">
        <v>0</v>
      </c>
      <c r="AC1351">
        <v>3016</v>
      </c>
      <c r="AD1351">
        <v>0</v>
      </c>
      <c r="AE1351">
        <v>0</v>
      </c>
      <c r="AF1351">
        <v>0</v>
      </c>
      <c r="AG1351">
        <v>0</v>
      </c>
      <c r="AH1351">
        <v>0</v>
      </c>
      <c r="AI1351">
        <v>0</v>
      </c>
      <c r="AJ1351">
        <v>0</v>
      </c>
      <c r="AK1351">
        <v>0</v>
      </c>
      <c r="AL1351">
        <v>0</v>
      </c>
      <c r="AM1351">
        <v>0</v>
      </c>
      <c r="AN1351">
        <v>0</v>
      </c>
      <c r="AO1351">
        <v>1</v>
      </c>
      <c r="AP1351">
        <v>0</v>
      </c>
      <c r="AQ1351">
        <v>0</v>
      </c>
      <c r="AR1351">
        <v>0</v>
      </c>
      <c r="AS1351">
        <v>0</v>
      </c>
      <c r="AT1351">
        <v>0</v>
      </c>
      <c r="AU1351">
        <f t="shared" si="40"/>
        <v>1</v>
      </c>
      <c r="AV1351">
        <f t="shared" si="41"/>
        <v>0</v>
      </c>
    </row>
    <row r="1352" spans="1:48" x14ac:dyDescent="0.25">
      <c r="A1352" t="s">
        <v>5779</v>
      </c>
      <c r="C1352" t="s">
        <v>5780</v>
      </c>
      <c r="D1352" t="s">
        <v>5781</v>
      </c>
      <c r="E1352" t="s">
        <v>2310</v>
      </c>
      <c r="F1352">
        <v>9</v>
      </c>
      <c r="G1352">
        <v>9.1999999999999993</v>
      </c>
      <c r="H1352" t="s">
        <v>2022</v>
      </c>
      <c r="I1352" s="21">
        <v>38427</v>
      </c>
      <c r="J1352">
        <v>2005</v>
      </c>
      <c r="K1352" s="21">
        <v>38532</v>
      </c>
      <c r="L1352">
        <v>2005</v>
      </c>
      <c r="M1352" s="21">
        <v>39395</v>
      </c>
      <c r="N1352">
        <v>2007</v>
      </c>
      <c r="R1352" s="262">
        <v>300000</v>
      </c>
      <c r="S1352" t="s">
        <v>114</v>
      </c>
      <c r="T1352" t="s">
        <v>114</v>
      </c>
      <c r="U1352">
        <v>5</v>
      </c>
      <c r="W1352">
        <v>4095</v>
      </c>
      <c r="X1352">
        <v>0</v>
      </c>
      <c r="Y1352">
        <v>0</v>
      </c>
      <c r="Z1352">
        <v>0</v>
      </c>
      <c r="AA1352">
        <v>0</v>
      </c>
      <c r="AB1352">
        <v>0</v>
      </c>
      <c r="AC1352">
        <v>4095</v>
      </c>
      <c r="AD1352">
        <v>0</v>
      </c>
      <c r="AE1352">
        <v>0</v>
      </c>
      <c r="AF1352">
        <v>0</v>
      </c>
      <c r="AG1352">
        <v>0</v>
      </c>
      <c r="AH1352">
        <v>0</v>
      </c>
      <c r="AI1352">
        <v>0</v>
      </c>
      <c r="AJ1352">
        <v>0</v>
      </c>
      <c r="AK1352">
        <v>0</v>
      </c>
      <c r="AL1352">
        <v>0</v>
      </c>
      <c r="AM1352">
        <v>0</v>
      </c>
      <c r="AN1352">
        <v>0</v>
      </c>
      <c r="AO1352">
        <v>0</v>
      </c>
      <c r="AP1352">
        <v>0</v>
      </c>
      <c r="AQ1352">
        <v>0</v>
      </c>
      <c r="AR1352">
        <v>0</v>
      </c>
      <c r="AS1352">
        <v>0</v>
      </c>
      <c r="AT1352">
        <v>0</v>
      </c>
      <c r="AU1352">
        <f t="shared" si="40"/>
        <v>0</v>
      </c>
      <c r="AV1352">
        <f t="shared" si="41"/>
        <v>0</v>
      </c>
    </row>
    <row r="1353" spans="1:48" x14ac:dyDescent="0.25">
      <c r="A1353" t="s">
        <v>5782</v>
      </c>
      <c r="C1353" t="s">
        <v>5783</v>
      </c>
      <c r="D1353" t="s">
        <v>5784</v>
      </c>
      <c r="E1353" t="s">
        <v>2310</v>
      </c>
      <c r="F1353">
        <v>9</v>
      </c>
      <c r="G1353">
        <v>9.3000000000000007</v>
      </c>
      <c r="H1353" t="s">
        <v>2323</v>
      </c>
      <c r="I1353" s="21">
        <v>38427</v>
      </c>
      <c r="J1353">
        <v>2005</v>
      </c>
      <c r="K1353" s="21">
        <v>38447</v>
      </c>
      <c r="L1353">
        <v>2005</v>
      </c>
      <c r="M1353" s="21">
        <v>38888</v>
      </c>
      <c r="N1353">
        <v>2006</v>
      </c>
      <c r="R1353" s="262">
        <v>500000</v>
      </c>
      <c r="S1353" t="s">
        <v>114</v>
      </c>
      <c r="T1353" t="s">
        <v>114</v>
      </c>
      <c r="U1353">
        <v>5</v>
      </c>
      <c r="W1353">
        <v>3468</v>
      </c>
      <c r="X1353">
        <v>0</v>
      </c>
      <c r="Y1353">
        <v>0</v>
      </c>
      <c r="Z1353">
        <v>0</v>
      </c>
      <c r="AA1353">
        <v>0</v>
      </c>
      <c r="AB1353">
        <v>0</v>
      </c>
      <c r="AC1353">
        <v>3468</v>
      </c>
      <c r="AD1353">
        <v>0</v>
      </c>
      <c r="AE1353">
        <v>0</v>
      </c>
      <c r="AF1353">
        <v>0</v>
      </c>
      <c r="AG1353">
        <v>0</v>
      </c>
      <c r="AH1353">
        <v>0</v>
      </c>
      <c r="AI1353">
        <v>0</v>
      </c>
      <c r="AJ1353">
        <v>0</v>
      </c>
      <c r="AK1353">
        <v>0</v>
      </c>
      <c r="AL1353">
        <v>0</v>
      </c>
      <c r="AM1353">
        <v>0</v>
      </c>
      <c r="AN1353">
        <v>0</v>
      </c>
      <c r="AO1353">
        <v>0</v>
      </c>
      <c r="AP1353">
        <v>0</v>
      </c>
      <c r="AQ1353">
        <v>0</v>
      </c>
      <c r="AR1353">
        <v>0</v>
      </c>
      <c r="AS1353">
        <v>0</v>
      </c>
      <c r="AT1353">
        <v>0</v>
      </c>
      <c r="AU1353">
        <f t="shared" si="40"/>
        <v>0</v>
      </c>
      <c r="AV1353">
        <f t="shared" si="41"/>
        <v>0</v>
      </c>
    </row>
    <row r="1354" spans="1:48" x14ac:dyDescent="0.25">
      <c r="A1354" t="s">
        <v>5785</v>
      </c>
      <c r="C1354" t="s">
        <v>5786</v>
      </c>
      <c r="D1354" t="s">
        <v>5787</v>
      </c>
      <c r="E1354" t="s">
        <v>1663</v>
      </c>
      <c r="F1354">
        <v>6</v>
      </c>
      <c r="G1354">
        <v>6.1</v>
      </c>
      <c r="H1354" t="s">
        <v>2017</v>
      </c>
      <c r="I1354" s="21">
        <v>38428</v>
      </c>
      <c r="J1354">
        <v>2005</v>
      </c>
      <c r="K1354" s="21">
        <v>38459</v>
      </c>
      <c r="L1354">
        <v>2005</v>
      </c>
      <c r="M1354" s="21">
        <v>38612</v>
      </c>
      <c r="N1354">
        <v>2005</v>
      </c>
      <c r="Q1354" s="262">
        <v>0</v>
      </c>
      <c r="S1354" t="s">
        <v>114</v>
      </c>
      <c r="T1354" t="s">
        <v>114</v>
      </c>
      <c r="W1354">
        <v>7354</v>
      </c>
      <c r="X1354">
        <v>1</v>
      </c>
      <c r="Y1354">
        <v>0</v>
      </c>
      <c r="Z1354">
        <v>0</v>
      </c>
      <c r="AA1354">
        <v>0</v>
      </c>
      <c r="AB1354">
        <v>0</v>
      </c>
      <c r="AC1354">
        <v>7354</v>
      </c>
      <c r="AD1354">
        <v>0</v>
      </c>
      <c r="AE1354">
        <v>0</v>
      </c>
      <c r="AF1354">
        <v>0</v>
      </c>
      <c r="AG1354">
        <v>0</v>
      </c>
      <c r="AH1354">
        <v>0</v>
      </c>
      <c r="AI1354">
        <v>0</v>
      </c>
      <c r="AJ1354">
        <v>0</v>
      </c>
      <c r="AK1354">
        <v>0</v>
      </c>
      <c r="AL1354">
        <v>0</v>
      </c>
      <c r="AM1354">
        <v>0</v>
      </c>
      <c r="AN1354">
        <v>0</v>
      </c>
      <c r="AO1354">
        <v>1</v>
      </c>
      <c r="AP1354">
        <v>0</v>
      </c>
      <c r="AQ1354">
        <v>0</v>
      </c>
      <c r="AR1354">
        <v>0</v>
      </c>
      <c r="AS1354">
        <v>0</v>
      </c>
      <c r="AT1354">
        <v>0</v>
      </c>
      <c r="AU1354">
        <f t="shared" si="40"/>
        <v>1</v>
      </c>
      <c r="AV1354">
        <f t="shared" si="41"/>
        <v>0</v>
      </c>
    </row>
    <row r="1355" spans="1:48" x14ac:dyDescent="0.25">
      <c r="A1355" t="s">
        <v>5788</v>
      </c>
      <c r="C1355" t="s">
        <v>5789</v>
      </c>
      <c r="D1355" t="s">
        <v>5790</v>
      </c>
      <c r="E1355" t="s">
        <v>2310</v>
      </c>
      <c r="F1355">
        <v>9</v>
      </c>
      <c r="G1355">
        <v>9.3000000000000007</v>
      </c>
      <c r="H1355" t="s">
        <v>2323</v>
      </c>
      <c r="I1355" s="21">
        <v>38428</v>
      </c>
      <c r="J1355">
        <v>2005</v>
      </c>
      <c r="K1355" s="21">
        <v>38449</v>
      </c>
      <c r="L1355">
        <v>2005</v>
      </c>
      <c r="M1355" s="21">
        <v>38776</v>
      </c>
      <c r="N1355">
        <v>2006</v>
      </c>
      <c r="R1355" s="262">
        <v>400000</v>
      </c>
      <c r="S1355" t="s">
        <v>114</v>
      </c>
      <c r="T1355" t="s">
        <v>114</v>
      </c>
      <c r="U1355">
        <v>5</v>
      </c>
      <c r="W1355">
        <v>1246</v>
      </c>
      <c r="X1355">
        <v>0</v>
      </c>
      <c r="Y1355">
        <v>0</v>
      </c>
      <c r="Z1355">
        <v>0</v>
      </c>
      <c r="AA1355">
        <v>0</v>
      </c>
      <c r="AB1355">
        <v>0</v>
      </c>
      <c r="AC1355">
        <v>1246</v>
      </c>
      <c r="AD1355">
        <v>0</v>
      </c>
      <c r="AE1355">
        <v>0</v>
      </c>
      <c r="AF1355">
        <v>0</v>
      </c>
      <c r="AG1355">
        <v>0</v>
      </c>
      <c r="AH1355">
        <v>0</v>
      </c>
      <c r="AI1355">
        <v>0</v>
      </c>
      <c r="AJ1355">
        <v>0</v>
      </c>
      <c r="AK1355">
        <v>0</v>
      </c>
      <c r="AL1355">
        <v>0</v>
      </c>
      <c r="AM1355">
        <v>0</v>
      </c>
      <c r="AN1355">
        <v>0</v>
      </c>
      <c r="AO1355">
        <v>0</v>
      </c>
      <c r="AP1355">
        <v>0</v>
      </c>
      <c r="AQ1355">
        <v>0</v>
      </c>
      <c r="AR1355">
        <v>0</v>
      </c>
      <c r="AS1355">
        <v>0</v>
      </c>
      <c r="AT1355">
        <v>0</v>
      </c>
      <c r="AU1355">
        <f t="shared" si="40"/>
        <v>0</v>
      </c>
      <c r="AV1355">
        <f t="shared" si="41"/>
        <v>0</v>
      </c>
    </row>
    <row r="1356" spans="1:48" x14ac:dyDescent="0.25">
      <c r="A1356" t="s">
        <v>5791</v>
      </c>
      <c r="C1356" t="s">
        <v>5792</v>
      </c>
      <c r="D1356" t="s">
        <v>5793</v>
      </c>
      <c r="E1356" t="s">
        <v>2310</v>
      </c>
      <c r="F1356">
        <v>9</v>
      </c>
      <c r="G1356">
        <v>9.4</v>
      </c>
      <c r="H1356" t="s">
        <v>2323</v>
      </c>
      <c r="I1356" s="21">
        <v>38428</v>
      </c>
      <c r="J1356">
        <v>2005</v>
      </c>
      <c r="K1356" s="21">
        <v>38454</v>
      </c>
      <c r="L1356">
        <v>2005</v>
      </c>
      <c r="M1356" s="21">
        <v>38952</v>
      </c>
      <c r="N1356">
        <v>2006</v>
      </c>
      <c r="R1356" s="262">
        <v>218000</v>
      </c>
      <c r="S1356" t="s">
        <v>114</v>
      </c>
      <c r="T1356" t="s">
        <v>114</v>
      </c>
      <c r="U1356">
        <v>5</v>
      </c>
      <c r="W1356">
        <v>1255</v>
      </c>
      <c r="X1356">
        <v>0</v>
      </c>
      <c r="Y1356">
        <v>0</v>
      </c>
      <c r="Z1356">
        <v>0</v>
      </c>
      <c r="AA1356">
        <v>0</v>
      </c>
      <c r="AB1356">
        <v>0</v>
      </c>
      <c r="AC1356">
        <v>1255</v>
      </c>
      <c r="AD1356">
        <v>0</v>
      </c>
      <c r="AE1356">
        <v>0</v>
      </c>
      <c r="AF1356">
        <v>0</v>
      </c>
      <c r="AG1356">
        <v>0</v>
      </c>
      <c r="AH1356">
        <v>0</v>
      </c>
      <c r="AI1356">
        <v>0</v>
      </c>
      <c r="AJ1356">
        <v>0</v>
      </c>
      <c r="AK1356">
        <v>0</v>
      </c>
      <c r="AL1356">
        <v>0</v>
      </c>
      <c r="AM1356">
        <v>0</v>
      </c>
      <c r="AN1356">
        <v>0</v>
      </c>
      <c r="AO1356">
        <v>0</v>
      </c>
      <c r="AP1356">
        <v>0</v>
      </c>
      <c r="AQ1356">
        <v>0</v>
      </c>
      <c r="AR1356">
        <v>0</v>
      </c>
      <c r="AS1356">
        <v>0</v>
      </c>
      <c r="AT1356">
        <v>0</v>
      </c>
      <c r="AU1356">
        <f t="shared" si="40"/>
        <v>0</v>
      </c>
      <c r="AV1356">
        <f t="shared" si="41"/>
        <v>0</v>
      </c>
    </row>
    <row r="1357" spans="1:48" x14ac:dyDescent="0.25">
      <c r="A1357" t="s">
        <v>5794</v>
      </c>
      <c r="C1357" t="s">
        <v>5795</v>
      </c>
      <c r="D1357" t="s">
        <v>5796</v>
      </c>
      <c r="E1357" t="s">
        <v>2310</v>
      </c>
      <c r="F1357">
        <v>9</v>
      </c>
      <c r="G1357">
        <v>9.3000000000000007</v>
      </c>
      <c r="H1357" t="s">
        <v>2323</v>
      </c>
      <c r="I1357" s="21">
        <v>38432</v>
      </c>
      <c r="J1357">
        <v>2005</v>
      </c>
      <c r="K1357" s="21">
        <v>38435</v>
      </c>
      <c r="L1357">
        <v>2005</v>
      </c>
      <c r="M1357" s="21">
        <v>38615</v>
      </c>
      <c r="N1357">
        <v>2005</v>
      </c>
      <c r="R1357" s="262">
        <v>32000</v>
      </c>
      <c r="S1357" t="s">
        <v>114</v>
      </c>
      <c r="T1357" t="s">
        <v>114</v>
      </c>
      <c r="U1357">
        <v>5</v>
      </c>
      <c r="W1357">
        <v>960</v>
      </c>
      <c r="X1357">
        <v>0</v>
      </c>
      <c r="Y1357">
        <v>0</v>
      </c>
      <c r="Z1357">
        <v>0</v>
      </c>
      <c r="AA1357">
        <v>0</v>
      </c>
      <c r="AB1357">
        <v>0</v>
      </c>
      <c r="AC1357">
        <v>960</v>
      </c>
      <c r="AD1357">
        <v>0</v>
      </c>
      <c r="AE1357">
        <v>0</v>
      </c>
      <c r="AF1357">
        <v>0</v>
      </c>
      <c r="AG1357">
        <v>0</v>
      </c>
      <c r="AH1357">
        <v>0</v>
      </c>
      <c r="AI1357">
        <v>0</v>
      </c>
      <c r="AJ1357">
        <v>0</v>
      </c>
      <c r="AK1357">
        <v>0</v>
      </c>
      <c r="AL1357">
        <v>0</v>
      </c>
      <c r="AM1357">
        <v>0</v>
      </c>
      <c r="AN1357">
        <v>0</v>
      </c>
      <c r="AO1357">
        <v>0</v>
      </c>
      <c r="AP1357">
        <v>0</v>
      </c>
      <c r="AQ1357">
        <v>0</v>
      </c>
      <c r="AR1357">
        <v>0</v>
      </c>
      <c r="AS1357">
        <v>0</v>
      </c>
      <c r="AT1357">
        <v>0</v>
      </c>
      <c r="AU1357">
        <f t="shared" si="40"/>
        <v>0</v>
      </c>
      <c r="AV1357">
        <f t="shared" si="41"/>
        <v>0</v>
      </c>
    </row>
    <row r="1358" spans="1:48" x14ac:dyDescent="0.25">
      <c r="A1358" t="s">
        <v>5797</v>
      </c>
      <c r="C1358" t="s">
        <v>5798</v>
      </c>
      <c r="D1358" t="s">
        <v>5799</v>
      </c>
      <c r="E1358" t="s">
        <v>2310</v>
      </c>
      <c r="F1358">
        <v>14</v>
      </c>
      <c r="G1358">
        <v>14.1</v>
      </c>
      <c r="H1358" t="s">
        <v>2022</v>
      </c>
      <c r="I1358" s="21">
        <v>38432</v>
      </c>
      <c r="J1358">
        <v>2005</v>
      </c>
      <c r="K1358" s="21">
        <v>38449</v>
      </c>
      <c r="L1358">
        <v>2005</v>
      </c>
      <c r="M1358" s="21">
        <v>38825</v>
      </c>
      <c r="N1358">
        <v>2006</v>
      </c>
      <c r="R1358" s="262">
        <v>85000</v>
      </c>
      <c r="S1358" t="s">
        <v>114</v>
      </c>
      <c r="T1358" t="s">
        <v>114</v>
      </c>
      <c r="U1358">
        <v>8</v>
      </c>
      <c r="W1358">
        <v>0</v>
      </c>
      <c r="X1358">
        <v>0</v>
      </c>
      <c r="Y1358">
        <v>0</v>
      </c>
      <c r="Z1358">
        <v>0</v>
      </c>
      <c r="AA1358">
        <v>0</v>
      </c>
      <c r="AB1358">
        <v>0</v>
      </c>
      <c r="AC1358">
        <v>0</v>
      </c>
      <c r="AD1358">
        <v>0</v>
      </c>
      <c r="AE1358">
        <v>0</v>
      </c>
      <c r="AF1358">
        <v>0</v>
      </c>
      <c r="AG1358">
        <v>0</v>
      </c>
      <c r="AH1358">
        <v>0</v>
      </c>
      <c r="AI1358">
        <v>0</v>
      </c>
      <c r="AJ1358">
        <v>0</v>
      </c>
      <c r="AK1358">
        <v>0</v>
      </c>
      <c r="AL1358">
        <v>0</v>
      </c>
      <c r="AM1358">
        <v>0</v>
      </c>
      <c r="AN1358">
        <v>0</v>
      </c>
      <c r="AO1358">
        <v>0</v>
      </c>
      <c r="AP1358">
        <v>0</v>
      </c>
      <c r="AQ1358">
        <v>0</v>
      </c>
      <c r="AR1358">
        <v>0</v>
      </c>
      <c r="AS1358">
        <v>0</v>
      </c>
      <c r="AT1358">
        <v>0</v>
      </c>
      <c r="AU1358">
        <f t="shared" si="40"/>
        <v>0</v>
      </c>
      <c r="AV1358">
        <f t="shared" si="41"/>
        <v>0</v>
      </c>
    </row>
    <row r="1359" spans="1:48" x14ac:dyDescent="0.25">
      <c r="A1359" t="s">
        <v>5800</v>
      </c>
      <c r="C1359" t="s">
        <v>5801</v>
      </c>
      <c r="D1359" t="s">
        <v>5802</v>
      </c>
      <c r="E1359" t="s">
        <v>2310</v>
      </c>
      <c r="F1359">
        <v>13</v>
      </c>
      <c r="G1359">
        <v>13.1</v>
      </c>
      <c r="H1359" t="s">
        <v>2327</v>
      </c>
      <c r="I1359" s="21">
        <v>38433</v>
      </c>
      <c r="J1359">
        <v>2005</v>
      </c>
      <c r="K1359" s="21">
        <v>38488</v>
      </c>
      <c r="L1359">
        <v>2005</v>
      </c>
      <c r="M1359" s="21">
        <v>39258</v>
      </c>
      <c r="N1359">
        <v>2007</v>
      </c>
      <c r="R1359" s="262">
        <v>352000</v>
      </c>
      <c r="S1359" t="s">
        <v>114</v>
      </c>
      <c r="T1359" t="s">
        <v>114</v>
      </c>
      <c r="U1359">
        <v>10</v>
      </c>
      <c r="W1359">
        <v>0</v>
      </c>
      <c r="X1359">
        <v>0</v>
      </c>
      <c r="Y1359">
        <v>0</v>
      </c>
      <c r="Z1359">
        <v>0</v>
      </c>
      <c r="AA1359">
        <v>0</v>
      </c>
      <c r="AB1359">
        <v>0</v>
      </c>
      <c r="AC1359">
        <v>0</v>
      </c>
      <c r="AD1359">
        <v>0</v>
      </c>
      <c r="AE1359">
        <v>0</v>
      </c>
      <c r="AF1359">
        <v>0</v>
      </c>
      <c r="AG1359">
        <v>0</v>
      </c>
      <c r="AH1359">
        <v>2450</v>
      </c>
      <c r="AI1359">
        <v>-2450</v>
      </c>
      <c r="AJ1359">
        <v>0</v>
      </c>
      <c r="AK1359">
        <v>0</v>
      </c>
      <c r="AL1359">
        <v>0</v>
      </c>
      <c r="AM1359">
        <v>0</v>
      </c>
      <c r="AN1359">
        <v>0</v>
      </c>
      <c r="AO1359">
        <v>0</v>
      </c>
      <c r="AP1359">
        <v>0</v>
      </c>
      <c r="AQ1359">
        <v>0</v>
      </c>
      <c r="AR1359">
        <v>0</v>
      </c>
      <c r="AS1359">
        <v>0</v>
      </c>
      <c r="AT1359">
        <v>0</v>
      </c>
      <c r="AU1359">
        <f t="shared" si="40"/>
        <v>0</v>
      </c>
      <c r="AV1359">
        <f t="shared" si="41"/>
        <v>0</v>
      </c>
    </row>
    <row r="1360" spans="1:48" x14ac:dyDescent="0.25">
      <c r="A1360" t="s">
        <v>5803</v>
      </c>
      <c r="C1360" t="s">
        <v>5804</v>
      </c>
      <c r="D1360" t="s">
        <v>5805</v>
      </c>
      <c r="E1360" t="s">
        <v>2310</v>
      </c>
      <c r="F1360">
        <v>12</v>
      </c>
      <c r="G1360">
        <v>12.3</v>
      </c>
      <c r="H1360" t="s">
        <v>2017</v>
      </c>
      <c r="I1360" s="21">
        <v>38433</v>
      </c>
      <c r="J1360">
        <v>2005</v>
      </c>
      <c r="K1360" s="21">
        <v>38441</v>
      </c>
      <c r="L1360">
        <v>2005</v>
      </c>
      <c r="M1360" s="21">
        <v>38441</v>
      </c>
      <c r="N1360">
        <v>2005</v>
      </c>
      <c r="R1360" s="262">
        <v>7000</v>
      </c>
      <c r="S1360" t="s">
        <v>114</v>
      </c>
      <c r="T1360" t="s">
        <v>114</v>
      </c>
      <c r="U1360">
        <v>5</v>
      </c>
      <c r="W1360">
        <v>1350</v>
      </c>
      <c r="X1360">
        <v>0</v>
      </c>
      <c r="Y1360">
        <v>0</v>
      </c>
      <c r="Z1360">
        <v>0</v>
      </c>
      <c r="AA1360">
        <v>0</v>
      </c>
      <c r="AB1360">
        <v>0</v>
      </c>
      <c r="AC1360">
        <v>1350</v>
      </c>
      <c r="AD1360">
        <v>0</v>
      </c>
      <c r="AE1360">
        <v>0</v>
      </c>
      <c r="AF1360">
        <v>0</v>
      </c>
      <c r="AG1360">
        <v>0</v>
      </c>
      <c r="AH1360">
        <v>0</v>
      </c>
      <c r="AI1360">
        <v>0</v>
      </c>
      <c r="AJ1360">
        <v>0</v>
      </c>
      <c r="AK1360">
        <v>0</v>
      </c>
      <c r="AL1360">
        <v>0</v>
      </c>
      <c r="AM1360">
        <v>0</v>
      </c>
      <c r="AN1360">
        <v>0</v>
      </c>
      <c r="AO1360">
        <v>0</v>
      </c>
      <c r="AP1360">
        <v>0</v>
      </c>
      <c r="AQ1360">
        <v>0</v>
      </c>
      <c r="AR1360">
        <v>0</v>
      </c>
      <c r="AS1360">
        <v>0</v>
      </c>
      <c r="AT1360">
        <v>0</v>
      </c>
      <c r="AU1360">
        <f t="shared" si="40"/>
        <v>0</v>
      </c>
      <c r="AV1360">
        <f t="shared" si="41"/>
        <v>0</v>
      </c>
    </row>
    <row r="1361" spans="1:48" x14ac:dyDescent="0.25">
      <c r="A1361" t="s">
        <v>5806</v>
      </c>
      <c r="C1361" t="s">
        <v>5807</v>
      </c>
      <c r="D1361" t="s">
        <v>5808</v>
      </c>
      <c r="E1361" t="s">
        <v>2310</v>
      </c>
      <c r="F1361">
        <v>9</v>
      </c>
      <c r="G1361">
        <v>9.4</v>
      </c>
      <c r="H1361" t="s">
        <v>2323</v>
      </c>
      <c r="I1361" s="21">
        <v>38433</v>
      </c>
      <c r="J1361">
        <v>2005</v>
      </c>
      <c r="K1361" s="21">
        <v>38462</v>
      </c>
      <c r="L1361">
        <v>2005</v>
      </c>
      <c r="M1361" s="21">
        <v>39265</v>
      </c>
      <c r="N1361">
        <v>2007</v>
      </c>
      <c r="R1361" s="262">
        <v>100000</v>
      </c>
      <c r="S1361" t="s">
        <v>114</v>
      </c>
      <c r="T1361" t="s">
        <v>114</v>
      </c>
      <c r="U1361">
        <v>5</v>
      </c>
      <c r="W1361">
        <v>-22</v>
      </c>
      <c r="X1361">
        <v>0</v>
      </c>
      <c r="Y1361">
        <v>0</v>
      </c>
      <c r="Z1361">
        <v>0</v>
      </c>
      <c r="AA1361">
        <v>0</v>
      </c>
      <c r="AB1361">
        <v>0</v>
      </c>
      <c r="AC1361">
        <v>-22</v>
      </c>
      <c r="AD1361">
        <v>0</v>
      </c>
      <c r="AE1361">
        <v>0</v>
      </c>
      <c r="AF1361">
        <v>0</v>
      </c>
      <c r="AG1361">
        <v>0</v>
      </c>
      <c r="AH1361">
        <v>0</v>
      </c>
      <c r="AI1361">
        <v>0</v>
      </c>
      <c r="AJ1361">
        <v>0</v>
      </c>
      <c r="AK1361">
        <v>0</v>
      </c>
      <c r="AL1361">
        <v>0</v>
      </c>
      <c r="AM1361">
        <v>0</v>
      </c>
      <c r="AN1361">
        <v>0</v>
      </c>
      <c r="AO1361">
        <v>0</v>
      </c>
      <c r="AP1361">
        <v>0</v>
      </c>
      <c r="AQ1361">
        <v>0</v>
      </c>
      <c r="AR1361">
        <v>0</v>
      </c>
      <c r="AS1361">
        <v>0</v>
      </c>
      <c r="AT1361">
        <v>0</v>
      </c>
      <c r="AU1361">
        <f t="shared" si="40"/>
        <v>0</v>
      </c>
      <c r="AV1361">
        <f t="shared" si="41"/>
        <v>0</v>
      </c>
    </row>
    <row r="1362" spans="1:48" x14ac:dyDescent="0.25">
      <c r="A1362" t="s">
        <v>5809</v>
      </c>
      <c r="C1362" t="s">
        <v>5810</v>
      </c>
      <c r="D1362" t="s">
        <v>5811</v>
      </c>
      <c r="E1362" t="s">
        <v>2310</v>
      </c>
      <c r="F1362">
        <v>12</v>
      </c>
      <c r="G1362">
        <v>12.3</v>
      </c>
      <c r="H1362" t="s">
        <v>2017</v>
      </c>
      <c r="I1362" s="21">
        <v>38434</v>
      </c>
      <c r="J1362">
        <v>2005</v>
      </c>
      <c r="K1362" s="21">
        <v>38471</v>
      </c>
      <c r="L1362">
        <v>2005</v>
      </c>
      <c r="M1362" s="21">
        <v>38471</v>
      </c>
      <c r="N1362">
        <v>2005</v>
      </c>
      <c r="R1362" s="262">
        <v>150000</v>
      </c>
      <c r="S1362" t="s">
        <v>114</v>
      </c>
      <c r="T1362" t="s">
        <v>114</v>
      </c>
      <c r="U1362">
        <v>5</v>
      </c>
      <c r="W1362">
        <v>444</v>
      </c>
      <c r="X1362">
        <v>0</v>
      </c>
      <c r="Y1362">
        <v>0</v>
      </c>
      <c r="Z1362">
        <v>0</v>
      </c>
      <c r="AA1362">
        <v>0</v>
      </c>
      <c r="AB1362">
        <v>0</v>
      </c>
      <c r="AC1362">
        <v>444</v>
      </c>
      <c r="AD1362">
        <v>0</v>
      </c>
      <c r="AE1362">
        <v>0</v>
      </c>
      <c r="AF1362">
        <v>0</v>
      </c>
      <c r="AG1362">
        <v>0</v>
      </c>
      <c r="AH1362">
        <v>0</v>
      </c>
      <c r="AI1362">
        <v>0</v>
      </c>
      <c r="AJ1362">
        <v>0</v>
      </c>
      <c r="AK1362">
        <v>0</v>
      </c>
      <c r="AL1362">
        <v>0</v>
      </c>
      <c r="AM1362">
        <v>0</v>
      </c>
      <c r="AN1362">
        <v>0</v>
      </c>
      <c r="AO1362">
        <v>0</v>
      </c>
      <c r="AP1362">
        <v>0</v>
      </c>
      <c r="AQ1362">
        <v>0</v>
      </c>
      <c r="AR1362">
        <v>0</v>
      </c>
      <c r="AS1362">
        <v>0</v>
      </c>
      <c r="AT1362">
        <v>0</v>
      </c>
      <c r="AU1362">
        <f t="shared" si="40"/>
        <v>0</v>
      </c>
      <c r="AV1362">
        <f t="shared" si="41"/>
        <v>0</v>
      </c>
    </row>
    <row r="1363" spans="1:48" x14ac:dyDescent="0.25">
      <c r="A1363" t="s">
        <v>5812</v>
      </c>
      <c r="C1363" t="s">
        <v>5813</v>
      </c>
      <c r="D1363" t="s">
        <v>4632</v>
      </c>
      <c r="E1363" t="s">
        <v>2310</v>
      </c>
      <c r="F1363">
        <v>9</v>
      </c>
      <c r="G1363">
        <v>9.1</v>
      </c>
      <c r="H1363" t="s">
        <v>2323</v>
      </c>
      <c r="I1363" s="21">
        <v>38434</v>
      </c>
      <c r="J1363">
        <v>2005</v>
      </c>
      <c r="K1363" s="21">
        <v>38467</v>
      </c>
      <c r="L1363">
        <v>2005</v>
      </c>
      <c r="M1363" s="21">
        <v>38467</v>
      </c>
      <c r="N1363">
        <v>2005</v>
      </c>
      <c r="R1363" s="262">
        <v>12000</v>
      </c>
      <c r="S1363" t="s">
        <v>114</v>
      </c>
      <c r="T1363" t="s">
        <v>114</v>
      </c>
      <c r="U1363">
        <v>5</v>
      </c>
      <c r="W1363">
        <v>194</v>
      </c>
      <c r="X1363">
        <v>0</v>
      </c>
      <c r="Y1363">
        <v>0</v>
      </c>
      <c r="Z1363">
        <v>0</v>
      </c>
      <c r="AA1363">
        <v>0</v>
      </c>
      <c r="AB1363">
        <v>0</v>
      </c>
      <c r="AC1363">
        <v>194</v>
      </c>
      <c r="AD1363">
        <v>0</v>
      </c>
      <c r="AE1363">
        <v>0</v>
      </c>
      <c r="AF1363">
        <v>0</v>
      </c>
      <c r="AG1363">
        <v>0</v>
      </c>
      <c r="AH1363">
        <v>0</v>
      </c>
      <c r="AI1363">
        <v>0</v>
      </c>
      <c r="AJ1363">
        <v>0</v>
      </c>
      <c r="AK1363">
        <v>0</v>
      </c>
      <c r="AL1363">
        <v>0</v>
      </c>
      <c r="AM1363">
        <v>0</v>
      </c>
      <c r="AN1363">
        <v>0</v>
      </c>
      <c r="AO1363">
        <v>0</v>
      </c>
      <c r="AP1363">
        <v>0</v>
      </c>
      <c r="AQ1363">
        <v>0</v>
      </c>
      <c r="AR1363">
        <v>0</v>
      </c>
      <c r="AS1363">
        <v>0</v>
      </c>
      <c r="AT1363">
        <v>0</v>
      </c>
      <c r="AU1363">
        <f t="shared" si="40"/>
        <v>0</v>
      </c>
      <c r="AV1363">
        <f t="shared" si="41"/>
        <v>0</v>
      </c>
    </row>
    <row r="1364" spans="1:48" x14ac:dyDescent="0.25">
      <c r="A1364" t="s">
        <v>5814</v>
      </c>
      <c r="C1364" t="s">
        <v>5815</v>
      </c>
      <c r="D1364" t="s">
        <v>5816</v>
      </c>
      <c r="E1364" t="s">
        <v>2310</v>
      </c>
      <c r="F1364">
        <v>9</v>
      </c>
      <c r="G1364">
        <v>9.4</v>
      </c>
      <c r="H1364" t="s">
        <v>2323</v>
      </c>
      <c r="I1364" s="21">
        <v>38434</v>
      </c>
      <c r="J1364">
        <v>2005</v>
      </c>
      <c r="K1364" s="21">
        <v>38491</v>
      </c>
      <c r="L1364">
        <v>2005</v>
      </c>
      <c r="M1364" s="21">
        <v>39217</v>
      </c>
      <c r="N1364">
        <v>2007</v>
      </c>
      <c r="R1364" s="262">
        <v>2900000</v>
      </c>
      <c r="S1364" t="s">
        <v>114</v>
      </c>
      <c r="T1364" t="s">
        <v>114</v>
      </c>
      <c r="U1364">
        <v>5</v>
      </c>
      <c r="W1364">
        <v>6275</v>
      </c>
      <c r="X1364">
        <v>1</v>
      </c>
      <c r="Y1364">
        <v>0</v>
      </c>
      <c r="Z1364">
        <v>0</v>
      </c>
      <c r="AA1364">
        <v>0</v>
      </c>
      <c r="AB1364">
        <v>0</v>
      </c>
      <c r="AC1364">
        <v>6275</v>
      </c>
      <c r="AD1364">
        <v>0</v>
      </c>
      <c r="AE1364">
        <v>0</v>
      </c>
      <c r="AF1364">
        <v>0</v>
      </c>
      <c r="AG1364">
        <v>0</v>
      </c>
      <c r="AH1364">
        <v>0</v>
      </c>
      <c r="AI1364">
        <v>0</v>
      </c>
      <c r="AJ1364">
        <v>0</v>
      </c>
      <c r="AK1364">
        <v>0</v>
      </c>
      <c r="AL1364">
        <v>0</v>
      </c>
      <c r="AM1364">
        <v>0</v>
      </c>
      <c r="AN1364">
        <v>0</v>
      </c>
      <c r="AO1364">
        <v>1</v>
      </c>
      <c r="AP1364">
        <v>0</v>
      </c>
      <c r="AQ1364">
        <v>0</v>
      </c>
      <c r="AR1364">
        <v>0</v>
      </c>
      <c r="AS1364">
        <v>0</v>
      </c>
      <c r="AT1364">
        <v>0</v>
      </c>
      <c r="AU1364">
        <f t="shared" si="40"/>
        <v>1</v>
      </c>
      <c r="AV1364">
        <f t="shared" si="41"/>
        <v>0</v>
      </c>
    </row>
    <row r="1365" spans="1:48" x14ac:dyDescent="0.25">
      <c r="A1365" t="s">
        <v>5817</v>
      </c>
      <c r="C1365" t="s">
        <v>5818</v>
      </c>
      <c r="D1365" t="s">
        <v>5819</v>
      </c>
      <c r="E1365" t="s">
        <v>2310</v>
      </c>
      <c r="F1365">
        <v>9</v>
      </c>
      <c r="G1365">
        <v>9.4</v>
      </c>
      <c r="H1365" t="s">
        <v>2323</v>
      </c>
      <c r="I1365" s="21">
        <v>38434</v>
      </c>
      <c r="J1365">
        <v>2005</v>
      </c>
      <c r="K1365" s="21">
        <v>38490</v>
      </c>
      <c r="L1365">
        <v>2005</v>
      </c>
      <c r="M1365" s="21">
        <v>38736</v>
      </c>
      <c r="N1365">
        <v>2006</v>
      </c>
      <c r="R1365" s="262">
        <v>2400000</v>
      </c>
      <c r="S1365" t="s">
        <v>114</v>
      </c>
      <c r="T1365" t="s">
        <v>114</v>
      </c>
      <c r="U1365">
        <v>5</v>
      </c>
      <c r="W1365">
        <v>5944</v>
      </c>
      <c r="X1365">
        <v>1</v>
      </c>
      <c r="Y1365">
        <v>0</v>
      </c>
      <c r="Z1365">
        <v>0</v>
      </c>
      <c r="AA1365">
        <v>0</v>
      </c>
      <c r="AB1365">
        <v>0</v>
      </c>
      <c r="AC1365">
        <v>5944</v>
      </c>
      <c r="AD1365">
        <v>0</v>
      </c>
      <c r="AE1365">
        <v>0</v>
      </c>
      <c r="AF1365">
        <v>0</v>
      </c>
      <c r="AG1365">
        <v>0</v>
      </c>
      <c r="AH1365">
        <v>0</v>
      </c>
      <c r="AI1365">
        <v>0</v>
      </c>
      <c r="AJ1365">
        <v>0</v>
      </c>
      <c r="AK1365">
        <v>0</v>
      </c>
      <c r="AL1365">
        <v>0</v>
      </c>
      <c r="AM1365">
        <v>0</v>
      </c>
      <c r="AN1365">
        <v>0</v>
      </c>
      <c r="AO1365">
        <v>1</v>
      </c>
      <c r="AP1365">
        <v>0</v>
      </c>
      <c r="AQ1365">
        <v>0</v>
      </c>
      <c r="AR1365">
        <v>0</v>
      </c>
      <c r="AS1365">
        <v>0</v>
      </c>
      <c r="AT1365">
        <v>0</v>
      </c>
      <c r="AU1365">
        <f t="shared" si="40"/>
        <v>1</v>
      </c>
      <c r="AV1365">
        <f t="shared" si="41"/>
        <v>0</v>
      </c>
    </row>
    <row r="1366" spans="1:48" x14ac:dyDescent="0.25">
      <c r="A1366" t="s">
        <v>5820</v>
      </c>
      <c r="C1366" t="s">
        <v>5821</v>
      </c>
      <c r="D1366" t="s">
        <v>5822</v>
      </c>
      <c r="E1366" t="s">
        <v>2310</v>
      </c>
      <c r="F1366">
        <v>8</v>
      </c>
      <c r="G1366">
        <v>8.1999999999999993</v>
      </c>
      <c r="H1366" t="s">
        <v>2022</v>
      </c>
      <c r="I1366" s="21">
        <v>38435</v>
      </c>
      <c r="J1366">
        <v>2005</v>
      </c>
      <c r="K1366" s="21">
        <v>38453</v>
      </c>
      <c r="L1366">
        <v>2005</v>
      </c>
      <c r="M1366" s="21">
        <v>38603</v>
      </c>
      <c r="N1366">
        <v>2005</v>
      </c>
      <c r="R1366" s="262">
        <v>250000</v>
      </c>
      <c r="S1366" t="s">
        <v>114</v>
      </c>
      <c r="T1366" t="s">
        <v>114</v>
      </c>
      <c r="U1366">
        <v>5</v>
      </c>
      <c r="W1366">
        <v>732</v>
      </c>
      <c r="X1366">
        <v>0</v>
      </c>
      <c r="Y1366">
        <v>0</v>
      </c>
      <c r="Z1366">
        <v>0</v>
      </c>
      <c r="AA1366">
        <v>0</v>
      </c>
      <c r="AB1366">
        <v>0</v>
      </c>
      <c r="AC1366">
        <v>732</v>
      </c>
      <c r="AD1366">
        <v>0</v>
      </c>
      <c r="AE1366">
        <v>0</v>
      </c>
      <c r="AF1366">
        <v>0</v>
      </c>
      <c r="AG1366">
        <v>0</v>
      </c>
      <c r="AH1366">
        <v>0</v>
      </c>
      <c r="AI1366">
        <v>0</v>
      </c>
      <c r="AJ1366">
        <v>0</v>
      </c>
      <c r="AK1366">
        <v>0</v>
      </c>
      <c r="AL1366">
        <v>0</v>
      </c>
      <c r="AM1366">
        <v>0</v>
      </c>
      <c r="AN1366">
        <v>0</v>
      </c>
      <c r="AO1366">
        <v>0</v>
      </c>
      <c r="AP1366">
        <v>0</v>
      </c>
      <c r="AQ1366">
        <v>0</v>
      </c>
      <c r="AR1366">
        <v>0</v>
      </c>
      <c r="AS1366">
        <v>0</v>
      </c>
      <c r="AT1366">
        <v>0</v>
      </c>
      <c r="AU1366">
        <f t="shared" si="40"/>
        <v>0</v>
      </c>
      <c r="AV1366">
        <f t="shared" si="41"/>
        <v>0</v>
      </c>
    </row>
    <row r="1367" spans="1:48" x14ac:dyDescent="0.25">
      <c r="A1367" t="s">
        <v>5823</v>
      </c>
      <c r="C1367" t="s">
        <v>5824</v>
      </c>
      <c r="D1367" t="s">
        <v>5825</v>
      </c>
      <c r="E1367" t="s">
        <v>2310</v>
      </c>
      <c r="F1367">
        <v>9</v>
      </c>
      <c r="G1367">
        <v>9.4</v>
      </c>
      <c r="H1367" t="s">
        <v>2323</v>
      </c>
      <c r="I1367" s="21">
        <v>38435</v>
      </c>
      <c r="J1367">
        <v>2005</v>
      </c>
      <c r="K1367" s="21">
        <v>38455</v>
      </c>
      <c r="L1367">
        <v>2005</v>
      </c>
      <c r="M1367" s="21">
        <v>39008</v>
      </c>
      <c r="N1367">
        <v>2006</v>
      </c>
      <c r="R1367" s="262">
        <v>1200000</v>
      </c>
      <c r="S1367" t="s">
        <v>114</v>
      </c>
      <c r="T1367" t="s">
        <v>114</v>
      </c>
      <c r="U1367">
        <v>5</v>
      </c>
      <c r="W1367">
        <v>4913</v>
      </c>
      <c r="X1367">
        <v>1</v>
      </c>
      <c r="Y1367">
        <v>0</v>
      </c>
      <c r="Z1367">
        <v>0</v>
      </c>
      <c r="AA1367">
        <v>0</v>
      </c>
      <c r="AB1367">
        <v>0</v>
      </c>
      <c r="AC1367">
        <v>4913</v>
      </c>
      <c r="AD1367">
        <v>0</v>
      </c>
      <c r="AE1367">
        <v>0</v>
      </c>
      <c r="AF1367">
        <v>0</v>
      </c>
      <c r="AG1367">
        <v>0</v>
      </c>
      <c r="AH1367">
        <v>0</v>
      </c>
      <c r="AI1367">
        <v>0</v>
      </c>
      <c r="AJ1367">
        <v>0</v>
      </c>
      <c r="AK1367">
        <v>0</v>
      </c>
      <c r="AL1367">
        <v>0</v>
      </c>
      <c r="AM1367">
        <v>0</v>
      </c>
      <c r="AN1367">
        <v>0</v>
      </c>
      <c r="AO1367">
        <v>1</v>
      </c>
      <c r="AP1367">
        <v>0</v>
      </c>
      <c r="AQ1367">
        <v>0</v>
      </c>
      <c r="AR1367">
        <v>0</v>
      </c>
      <c r="AS1367">
        <v>0</v>
      </c>
      <c r="AT1367">
        <v>0</v>
      </c>
      <c r="AU1367">
        <f t="shared" si="40"/>
        <v>1</v>
      </c>
      <c r="AV1367">
        <f t="shared" si="41"/>
        <v>0</v>
      </c>
    </row>
    <row r="1368" spans="1:48" x14ac:dyDescent="0.25">
      <c r="A1368" t="s">
        <v>5826</v>
      </c>
      <c r="C1368" t="s">
        <v>5827</v>
      </c>
      <c r="D1368" t="s">
        <v>4932</v>
      </c>
      <c r="E1368" t="s">
        <v>2310</v>
      </c>
      <c r="F1368">
        <v>9</v>
      </c>
      <c r="G1368">
        <v>9.3000000000000007</v>
      </c>
      <c r="H1368" t="s">
        <v>2323</v>
      </c>
      <c r="I1368" s="21">
        <v>38435</v>
      </c>
      <c r="J1368">
        <v>2005</v>
      </c>
      <c r="K1368" s="21">
        <v>38467</v>
      </c>
      <c r="L1368">
        <v>2005</v>
      </c>
      <c r="M1368" s="21">
        <v>39059</v>
      </c>
      <c r="N1368">
        <v>2006</v>
      </c>
      <c r="R1368" s="262">
        <v>800000</v>
      </c>
      <c r="S1368" t="s">
        <v>114</v>
      </c>
      <c r="T1368" t="s">
        <v>114</v>
      </c>
      <c r="U1368">
        <v>5</v>
      </c>
      <c r="W1368">
        <v>4960</v>
      </c>
      <c r="X1368">
        <v>1</v>
      </c>
      <c r="Y1368">
        <v>0</v>
      </c>
      <c r="Z1368">
        <v>0</v>
      </c>
      <c r="AA1368">
        <v>0</v>
      </c>
      <c r="AB1368">
        <v>0</v>
      </c>
      <c r="AC1368">
        <v>4960</v>
      </c>
      <c r="AD1368">
        <v>0</v>
      </c>
      <c r="AE1368">
        <v>0</v>
      </c>
      <c r="AF1368">
        <v>0</v>
      </c>
      <c r="AG1368">
        <v>0</v>
      </c>
      <c r="AH1368">
        <v>0</v>
      </c>
      <c r="AI1368">
        <v>0</v>
      </c>
      <c r="AJ1368">
        <v>0</v>
      </c>
      <c r="AK1368">
        <v>0</v>
      </c>
      <c r="AL1368">
        <v>0</v>
      </c>
      <c r="AM1368">
        <v>0</v>
      </c>
      <c r="AN1368">
        <v>0</v>
      </c>
      <c r="AO1368">
        <v>1</v>
      </c>
      <c r="AP1368">
        <v>0</v>
      </c>
      <c r="AQ1368">
        <v>0</v>
      </c>
      <c r="AR1368">
        <v>0</v>
      </c>
      <c r="AS1368">
        <v>0</v>
      </c>
      <c r="AT1368">
        <v>0</v>
      </c>
      <c r="AU1368">
        <f t="shared" si="40"/>
        <v>1</v>
      </c>
      <c r="AV1368">
        <f t="shared" si="41"/>
        <v>0</v>
      </c>
    </row>
    <row r="1369" spans="1:48" x14ac:dyDescent="0.25">
      <c r="A1369" t="s">
        <v>5828</v>
      </c>
      <c r="C1369" t="s">
        <v>5829</v>
      </c>
      <c r="D1369" t="s">
        <v>5830</v>
      </c>
      <c r="E1369" t="s">
        <v>1663</v>
      </c>
      <c r="F1369">
        <v>3</v>
      </c>
      <c r="G1369">
        <v>3.1</v>
      </c>
      <c r="H1369" t="s">
        <v>2017</v>
      </c>
      <c r="I1369" s="21">
        <v>38436</v>
      </c>
      <c r="J1369">
        <v>2005</v>
      </c>
      <c r="K1369" s="21">
        <v>38467</v>
      </c>
      <c r="L1369">
        <v>2005</v>
      </c>
      <c r="M1369" s="21">
        <v>38620</v>
      </c>
      <c r="N1369">
        <v>2005</v>
      </c>
      <c r="Q1369" s="262">
        <v>0</v>
      </c>
      <c r="S1369" t="s">
        <v>114</v>
      </c>
      <c r="T1369" t="s">
        <v>114</v>
      </c>
      <c r="W1369">
        <v>4190</v>
      </c>
      <c r="X1369">
        <v>1</v>
      </c>
      <c r="Y1369">
        <v>0</v>
      </c>
      <c r="Z1369">
        <v>0</v>
      </c>
      <c r="AA1369">
        <v>0</v>
      </c>
      <c r="AB1369">
        <v>0</v>
      </c>
      <c r="AC1369">
        <v>4190</v>
      </c>
      <c r="AD1369">
        <v>0</v>
      </c>
      <c r="AE1369">
        <v>0</v>
      </c>
      <c r="AF1369">
        <v>0</v>
      </c>
      <c r="AG1369">
        <v>0</v>
      </c>
      <c r="AH1369">
        <v>0</v>
      </c>
      <c r="AI1369">
        <v>0</v>
      </c>
      <c r="AJ1369">
        <v>0</v>
      </c>
      <c r="AK1369">
        <v>0</v>
      </c>
      <c r="AL1369">
        <v>0</v>
      </c>
      <c r="AM1369">
        <v>0</v>
      </c>
      <c r="AN1369">
        <v>0</v>
      </c>
      <c r="AO1369">
        <v>1</v>
      </c>
      <c r="AP1369">
        <v>0</v>
      </c>
      <c r="AQ1369">
        <v>0</v>
      </c>
      <c r="AR1369">
        <v>0</v>
      </c>
      <c r="AS1369">
        <v>0</v>
      </c>
      <c r="AT1369">
        <v>0</v>
      </c>
      <c r="AU1369">
        <f t="shared" ref="AU1369:AU1432" si="42">SUM(AN1369:AQ1369,AS1369)</f>
        <v>1</v>
      </c>
      <c r="AV1369">
        <f t="shared" ref="AV1369:AV1432" si="43">SUM(Y1369:AB1369,AH1369:AM1369)</f>
        <v>0</v>
      </c>
    </row>
    <row r="1370" spans="1:48" x14ac:dyDescent="0.25">
      <c r="A1370" t="s">
        <v>5831</v>
      </c>
      <c r="C1370" t="s">
        <v>5832</v>
      </c>
      <c r="D1370" t="s">
        <v>5833</v>
      </c>
      <c r="E1370" t="s">
        <v>1663</v>
      </c>
      <c r="F1370">
        <v>2</v>
      </c>
      <c r="G1370">
        <v>2.1</v>
      </c>
      <c r="H1370" t="s">
        <v>2327</v>
      </c>
      <c r="I1370" s="21">
        <v>38436</v>
      </c>
      <c r="J1370">
        <v>2005</v>
      </c>
      <c r="K1370" s="21">
        <v>38467</v>
      </c>
      <c r="L1370">
        <v>2005</v>
      </c>
      <c r="M1370" s="21">
        <v>38620</v>
      </c>
      <c r="N1370">
        <v>2005</v>
      </c>
      <c r="Q1370" s="262">
        <v>0</v>
      </c>
      <c r="S1370" t="s">
        <v>114</v>
      </c>
      <c r="T1370" t="s">
        <v>114</v>
      </c>
      <c r="W1370">
        <v>45214</v>
      </c>
      <c r="X1370">
        <v>5</v>
      </c>
      <c r="Y1370">
        <v>0</v>
      </c>
      <c r="Z1370">
        <v>0</v>
      </c>
      <c r="AA1370">
        <v>0</v>
      </c>
      <c r="AB1370">
        <v>0</v>
      </c>
      <c r="AC1370">
        <v>0</v>
      </c>
      <c r="AD1370">
        <v>0</v>
      </c>
      <c r="AE1370">
        <v>0</v>
      </c>
      <c r="AF1370">
        <v>0</v>
      </c>
      <c r="AG1370">
        <v>0</v>
      </c>
      <c r="AH1370">
        <v>0</v>
      </c>
      <c r="AI1370">
        <v>45214</v>
      </c>
      <c r="AJ1370">
        <v>0</v>
      </c>
      <c r="AK1370">
        <v>0</v>
      </c>
      <c r="AL1370">
        <v>0</v>
      </c>
      <c r="AM1370">
        <v>0</v>
      </c>
      <c r="AN1370">
        <v>0</v>
      </c>
      <c r="AO1370">
        <v>0</v>
      </c>
      <c r="AP1370">
        <v>0</v>
      </c>
      <c r="AQ1370">
        <v>0</v>
      </c>
      <c r="AR1370">
        <v>0</v>
      </c>
      <c r="AS1370">
        <v>0</v>
      </c>
      <c r="AT1370">
        <v>5</v>
      </c>
      <c r="AU1370">
        <f t="shared" si="42"/>
        <v>0</v>
      </c>
      <c r="AV1370">
        <f t="shared" si="43"/>
        <v>45214</v>
      </c>
    </row>
    <row r="1371" spans="1:48" x14ac:dyDescent="0.25">
      <c r="A1371" t="s">
        <v>5834</v>
      </c>
      <c r="C1371" t="s">
        <v>5207</v>
      </c>
      <c r="D1371" t="s">
        <v>5835</v>
      </c>
      <c r="E1371" t="s">
        <v>2310</v>
      </c>
      <c r="F1371">
        <v>13</v>
      </c>
      <c r="G1371">
        <v>13.3</v>
      </c>
      <c r="H1371" t="s">
        <v>2017</v>
      </c>
      <c r="I1371" s="21">
        <v>38439</v>
      </c>
      <c r="J1371">
        <v>2005</v>
      </c>
      <c r="K1371" s="21">
        <v>38463</v>
      </c>
      <c r="L1371">
        <v>2005</v>
      </c>
      <c r="M1371" s="21">
        <v>39085</v>
      </c>
      <c r="N1371">
        <v>2007</v>
      </c>
      <c r="R1371" s="262">
        <v>1350000</v>
      </c>
      <c r="S1371" t="s">
        <v>114</v>
      </c>
      <c r="T1371" t="s">
        <v>114</v>
      </c>
      <c r="U1371">
        <v>5</v>
      </c>
      <c r="W1371">
        <v>6822</v>
      </c>
      <c r="X1371">
        <v>1</v>
      </c>
      <c r="Y1371">
        <v>0</v>
      </c>
      <c r="Z1371">
        <v>0</v>
      </c>
      <c r="AA1371">
        <v>0</v>
      </c>
      <c r="AB1371">
        <v>0</v>
      </c>
      <c r="AC1371">
        <v>6822</v>
      </c>
      <c r="AD1371">
        <v>0</v>
      </c>
      <c r="AE1371">
        <v>0</v>
      </c>
      <c r="AF1371">
        <v>0</v>
      </c>
      <c r="AG1371">
        <v>0</v>
      </c>
      <c r="AH1371">
        <v>0</v>
      </c>
      <c r="AI1371">
        <v>0</v>
      </c>
      <c r="AJ1371">
        <v>0</v>
      </c>
      <c r="AK1371">
        <v>0</v>
      </c>
      <c r="AL1371">
        <v>0</v>
      </c>
      <c r="AM1371">
        <v>0</v>
      </c>
      <c r="AN1371">
        <v>0</v>
      </c>
      <c r="AO1371">
        <v>1</v>
      </c>
      <c r="AP1371">
        <v>0</v>
      </c>
      <c r="AQ1371">
        <v>0</v>
      </c>
      <c r="AR1371">
        <v>0</v>
      </c>
      <c r="AS1371">
        <v>0</v>
      </c>
      <c r="AT1371">
        <v>0</v>
      </c>
      <c r="AU1371">
        <f t="shared" si="42"/>
        <v>1</v>
      </c>
      <c r="AV1371">
        <f t="shared" si="43"/>
        <v>0</v>
      </c>
    </row>
    <row r="1372" spans="1:48" x14ac:dyDescent="0.25">
      <c r="A1372" t="s">
        <v>5836</v>
      </c>
      <c r="C1372" t="s">
        <v>5837</v>
      </c>
      <c r="D1372" t="s">
        <v>5838</v>
      </c>
      <c r="E1372" t="s">
        <v>2310</v>
      </c>
      <c r="F1372">
        <v>8</v>
      </c>
      <c r="G1372">
        <v>8.1</v>
      </c>
      <c r="H1372" t="s">
        <v>2323</v>
      </c>
      <c r="I1372" s="21">
        <v>38439</v>
      </c>
      <c r="J1372">
        <v>2005</v>
      </c>
      <c r="K1372" s="21">
        <v>38468</v>
      </c>
      <c r="L1372">
        <v>2005</v>
      </c>
      <c r="M1372" s="21">
        <v>38945</v>
      </c>
      <c r="N1372">
        <v>2006</v>
      </c>
      <c r="R1372" s="262">
        <v>2063000</v>
      </c>
      <c r="S1372" t="s">
        <v>114</v>
      </c>
      <c r="T1372" t="s">
        <v>114</v>
      </c>
      <c r="U1372">
        <v>17</v>
      </c>
      <c r="W1372">
        <v>8738</v>
      </c>
      <c r="X1372">
        <v>2</v>
      </c>
      <c r="Y1372">
        <v>0</v>
      </c>
      <c r="Z1372">
        <v>0</v>
      </c>
      <c r="AA1372">
        <v>0</v>
      </c>
      <c r="AB1372">
        <v>0</v>
      </c>
      <c r="AC1372">
        <v>0</v>
      </c>
      <c r="AD1372">
        <v>7738</v>
      </c>
      <c r="AE1372">
        <v>0</v>
      </c>
      <c r="AF1372">
        <v>1000</v>
      </c>
      <c r="AG1372">
        <v>0</v>
      </c>
      <c r="AH1372">
        <v>0</v>
      </c>
      <c r="AI1372">
        <v>0</v>
      </c>
      <c r="AJ1372">
        <v>0</v>
      </c>
      <c r="AK1372">
        <v>0</v>
      </c>
      <c r="AL1372">
        <v>0</v>
      </c>
      <c r="AM1372">
        <v>0</v>
      </c>
      <c r="AN1372">
        <v>0</v>
      </c>
      <c r="AO1372">
        <v>0</v>
      </c>
      <c r="AP1372">
        <v>1</v>
      </c>
      <c r="AQ1372">
        <v>0</v>
      </c>
      <c r="AR1372">
        <v>1</v>
      </c>
      <c r="AS1372">
        <v>0</v>
      </c>
      <c r="AT1372">
        <v>0</v>
      </c>
      <c r="AU1372">
        <f t="shared" si="42"/>
        <v>1</v>
      </c>
      <c r="AV1372">
        <f t="shared" si="43"/>
        <v>0</v>
      </c>
    </row>
    <row r="1373" spans="1:48" x14ac:dyDescent="0.25">
      <c r="A1373" t="s">
        <v>5839</v>
      </c>
      <c r="C1373" t="s">
        <v>5840</v>
      </c>
      <c r="D1373" t="s">
        <v>5841</v>
      </c>
      <c r="E1373" t="s">
        <v>2310</v>
      </c>
      <c r="F1373">
        <v>11</v>
      </c>
      <c r="G1373">
        <v>11.3</v>
      </c>
      <c r="H1373" t="s">
        <v>2017</v>
      </c>
      <c r="I1373" s="21">
        <v>38440</v>
      </c>
      <c r="J1373">
        <v>2005</v>
      </c>
      <c r="K1373" s="21">
        <v>38461</v>
      </c>
      <c r="L1373">
        <v>2005</v>
      </c>
      <c r="M1373" s="21">
        <v>38607</v>
      </c>
      <c r="N1373">
        <v>2005</v>
      </c>
      <c r="R1373" s="262">
        <v>243000</v>
      </c>
      <c r="S1373" t="s">
        <v>114</v>
      </c>
      <c r="T1373" t="s">
        <v>114</v>
      </c>
      <c r="U1373">
        <v>5</v>
      </c>
      <c r="W1373">
        <v>3060</v>
      </c>
      <c r="X1373">
        <v>1</v>
      </c>
      <c r="Y1373">
        <v>0</v>
      </c>
      <c r="Z1373">
        <v>0</v>
      </c>
      <c r="AA1373">
        <v>0</v>
      </c>
      <c r="AB1373">
        <v>0</v>
      </c>
      <c r="AC1373">
        <v>3060</v>
      </c>
      <c r="AD1373">
        <v>0</v>
      </c>
      <c r="AE1373">
        <v>0</v>
      </c>
      <c r="AF1373">
        <v>0</v>
      </c>
      <c r="AG1373">
        <v>0</v>
      </c>
      <c r="AH1373">
        <v>0</v>
      </c>
      <c r="AI1373">
        <v>0</v>
      </c>
      <c r="AJ1373">
        <v>0</v>
      </c>
      <c r="AK1373">
        <v>0</v>
      </c>
      <c r="AL1373">
        <v>0</v>
      </c>
      <c r="AM1373">
        <v>0</v>
      </c>
      <c r="AN1373">
        <v>0</v>
      </c>
      <c r="AO1373">
        <v>1</v>
      </c>
      <c r="AP1373">
        <v>0</v>
      </c>
      <c r="AQ1373">
        <v>0</v>
      </c>
      <c r="AR1373">
        <v>0</v>
      </c>
      <c r="AS1373">
        <v>0</v>
      </c>
      <c r="AT1373">
        <v>0</v>
      </c>
      <c r="AU1373">
        <f t="shared" si="42"/>
        <v>1</v>
      </c>
      <c r="AV1373">
        <f t="shared" si="43"/>
        <v>0</v>
      </c>
    </row>
    <row r="1374" spans="1:48" x14ac:dyDescent="0.25">
      <c r="A1374" t="s">
        <v>5842</v>
      </c>
      <c r="C1374" t="s">
        <v>5843</v>
      </c>
      <c r="D1374" t="s">
        <v>4050</v>
      </c>
      <c r="E1374" t="s">
        <v>2310</v>
      </c>
      <c r="F1374">
        <v>9</v>
      </c>
      <c r="G1374">
        <v>9.1999999999999993</v>
      </c>
      <c r="H1374" t="s">
        <v>2022</v>
      </c>
      <c r="I1374" s="21">
        <v>38440</v>
      </c>
      <c r="J1374">
        <v>2005</v>
      </c>
      <c r="K1374" s="21">
        <v>38469</v>
      </c>
      <c r="L1374">
        <v>2005</v>
      </c>
      <c r="M1374" s="21">
        <v>38709</v>
      </c>
      <c r="N1374">
        <v>2005</v>
      </c>
      <c r="R1374" s="262">
        <v>300000</v>
      </c>
      <c r="S1374" t="s">
        <v>114</v>
      </c>
      <c r="T1374" t="s">
        <v>114</v>
      </c>
      <c r="U1374">
        <v>5</v>
      </c>
      <c r="W1374">
        <v>1720</v>
      </c>
      <c r="X1374">
        <v>0</v>
      </c>
      <c r="Y1374">
        <v>0</v>
      </c>
      <c r="Z1374">
        <v>0</v>
      </c>
      <c r="AA1374">
        <v>0</v>
      </c>
      <c r="AB1374">
        <v>0</v>
      </c>
      <c r="AC1374">
        <v>1720</v>
      </c>
      <c r="AD1374">
        <v>0</v>
      </c>
      <c r="AE1374">
        <v>0</v>
      </c>
      <c r="AF1374">
        <v>0</v>
      </c>
      <c r="AG1374">
        <v>0</v>
      </c>
      <c r="AH1374">
        <v>0</v>
      </c>
      <c r="AI1374">
        <v>0</v>
      </c>
      <c r="AJ1374">
        <v>0</v>
      </c>
      <c r="AK1374">
        <v>0</v>
      </c>
      <c r="AL1374">
        <v>0</v>
      </c>
      <c r="AM1374">
        <v>0</v>
      </c>
      <c r="AN1374">
        <v>0</v>
      </c>
      <c r="AO1374">
        <v>0</v>
      </c>
      <c r="AP1374">
        <v>0</v>
      </c>
      <c r="AQ1374">
        <v>0</v>
      </c>
      <c r="AR1374">
        <v>0</v>
      </c>
      <c r="AS1374">
        <v>0</v>
      </c>
      <c r="AT1374">
        <v>0</v>
      </c>
      <c r="AU1374">
        <f t="shared" si="42"/>
        <v>0</v>
      </c>
      <c r="AV1374">
        <f t="shared" si="43"/>
        <v>0</v>
      </c>
    </row>
    <row r="1375" spans="1:48" x14ac:dyDescent="0.25">
      <c r="A1375" t="s">
        <v>5844</v>
      </c>
      <c r="C1375" t="s">
        <v>5845</v>
      </c>
      <c r="D1375" t="s">
        <v>5846</v>
      </c>
      <c r="E1375" t="s">
        <v>2310</v>
      </c>
      <c r="F1375">
        <v>8</v>
      </c>
      <c r="G1375">
        <v>8.4</v>
      </c>
      <c r="H1375" t="s">
        <v>2017</v>
      </c>
      <c r="I1375" s="21">
        <v>38441</v>
      </c>
      <c r="J1375">
        <v>2005</v>
      </c>
      <c r="K1375" s="21">
        <v>38453</v>
      </c>
      <c r="L1375">
        <v>2005</v>
      </c>
      <c r="M1375" s="21">
        <v>38453</v>
      </c>
      <c r="N1375">
        <v>2005</v>
      </c>
      <c r="R1375" s="262">
        <v>1500</v>
      </c>
      <c r="S1375" t="s">
        <v>114</v>
      </c>
      <c r="T1375" t="s">
        <v>114</v>
      </c>
      <c r="U1375">
        <v>13</v>
      </c>
      <c r="W1375">
        <v>0</v>
      </c>
      <c r="X1375">
        <v>0</v>
      </c>
      <c r="Y1375">
        <v>0</v>
      </c>
      <c r="Z1375">
        <v>0</v>
      </c>
      <c r="AA1375">
        <v>0</v>
      </c>
      <c r="AB1375">
        <v>0</v>
      </c>
      <c r="AC1375">
        <v>0</v>
      </c>
      <c r="AD1375">
        <v>0</v>
      </c>
      <c r="AE1375">
        <v>0</v>
      </c>
      <c r="AF1375">
        <v>0</v>
      </c>
      <c r="AG1375">
        <v>0</v>
      </c>
      <c r="AH1375">
        <v>0</v>
      </c>
      <c r="AI1375">
        <v>0</v>
      </c>
      <c r="AJ1375">
        <v>0</v>
      </c>
      <c r="AK1375">
        <v>0</v>
      </c>
      <c r="AL1375">
        <v>0</v>
      </c>
      <c r="AM1375">
        <v>0</v>
      </c>
      <c r="AN1375">
        <v>0</v>
      </c>
      <c r="AO1375">
        <v>0</v>
      </c>
      <c r="AP1375">
        <v>0</v>
      </c>
      <c r="AQ1375">
        <v>0</v>
      </c>
      <c r="AR1375">
        <v>0</v>
      </c>
      <c r="AS1375">
        <v>0</v>
      </c>
      <c r="AT1375">
        <v>0</v>
      </c>
      <c r="AU1375">
        <f t="shared" si="42"/>
        <v>0</v>
      </c>
      <c r="AV1375">
        <f t="shared" si="43"/>
        <v>0</v>
      </c>
    </row>
    <row r="1376" spans="1:48" x14ac:dyDescent="0.25">
      <c r="A1376" t="s">
        <v>5847</v>
      </c>
      <c r="C1376" t="s">
        <v>5848</v>
      </c>
      <c r="D1376" t="s">
        <v>5849</v>
      </c>
      <c r="E1376" t="s">
        <v>2310</v>
      </c>
      <c r="F1376">
        <v>14</v>
      </c>
      <c r="G1376">
        <v>14.1</v>
      </c>
      <c r="H1376" t="s">
        <v>2022</v>
      </c>
      <c r="I1376" s="21">
        <v>38442</v>
      </c>
      <c r="J1376">
        <v>2005</v>
      </c>
      <c r="K1376" s="21">
        <v>38503</v>
      </c>
      <c r="L1376">
        <v>2005</v>
      </c>
      <c r="M1376" s="21">
        <v>38765</v>
      </c>
      <c r="N1376">
        <v>2006</v>
      </c>
      <c r="R1376" s="262">
        <v>700000</v>
      </c>
      <c r="S1376" t="s">
        <v>114</v>
      </c>
      <c r="T1376" t="s">
        <v>114</v>
      </c>
      <c r="U1376">
        <v>5</v>
      </c>
      <c r="W1376">
        <v>6070</v>
      </c>
      <c r="X1376">
        <v>1</v>
      </c>
      <c r="Y1376">
        <v>0</v>
      </c>
      <c r="Z1376">
        <v>0</v>
      </c>
      <c r="AA1376">
        <v>0</v>
      </c>
      <c r="AB1376">
        <v>0</v>
      </c>
      <c r="AC1376">
        <v>6070</v>
      </c>
      <c r="AD1376">
        <v>0</v>
      </c>
      <c r="AE1376">
        <v>0</v>
      </c>
      <c r="AF1376">
        <v>0</v>
      </c>
      <c r="AG1376">
        <v>0</v>
      </c>
      <c r="AH1376">
        <v>0</v>
      </c>
      <c r="AI1376">
        <v>0</v>
      </c>
      <c r="AJ1376">
        <v>0</v>
      </c>
      <c r="AK1376">
        <v>0</v>
      </c>
      <c r="AL1376">
        <v>0</v>
      </c>
      <c r="AM1376">
        <v>0</v>
      </c>
      <c r="AN1376">
        <v>0</v>
      </c>
      <c r="AO1376">
        <v>1</v>
      </c>
      <c r="AP1376">
        <v>0</v>
      </c>
      <c r="AQ1376">
        <v>0</v>
      </c>
      <c r="AR1376">
        <v>0</v>
      </c>
      <c r="AS1376">
        <v>0</v>
      </c>
      <c r="AT1376">
        <v>0</v>
      </c>
      <c r="AU1376">
        <f t="shared" si="42"/>
        <v>1</v>
      </c>
      <c r="AV1376">
        <f t="shared" si="43"/>
        <v>0</v>
      </c>
    </row>
    <row r="1377" spans="1:48" x14ac:dyDescent="0.25">
      <c r="A1377" t="s">
        <v>5850</v>
      </c>
      <c r="C1377" t="s">
        <v>3383</v>
      </c>
      <c r="D1377" t="s">
        <v>5851</v>
      </c>
      <c r="E1377" t="s">
        <v>2310</v>
      </c>
      <c r="F1377">
        <v>9</v>
      </c>
      <c r="G1377">
        <v>9.3000000000000007</v>
      </c>
      <c r="H1377" t="s">
        <v>2323</v>
      </c>
      <c r="I1377" s="21">
        <v>38442</v>
      </c>
      <c r="J1377">
        <v>2005</v>
      </c>
      <c r="K1377" s="21">
        <v>38474</v>
      </c>
      <c r="L1377">
        <v>2005</v>
      </c>
      <c r="M1377" s="21">
        <v>38812</v>
      </c>
      <c r="N1377">
        <v>2006</v>
      </c>
      <c r="R1377" s="262">
        <v>600000</v>
      </c>
      <c r="S1377" t="s">
        <v>114</v>
      </c>
      <c r="T1377" t="s">
        <v>114</v>
      </c>
      <c r="U1377">
        <v>5</v>
      </c>
      <c r="W1377">
        <v>5180</v>
      </c>
      <c r="X1377">
        <v>1</v>
      </c>
      <c r="Y1377">
        <v>0</v>
      </c>
      <c r="Z1377">
        <v>0</v>
      </c>
      <c r="AA1377">
        <v>0</v>
      </c>
      <c r="AB1377">
        <v>0</v>
      </c>
      <c r="AC1377">
        <v>5180</v>
      </c>
      <c r="AD1377">
        <v>0</v>
      </c>
      <c r="AE1377">
        <v>0</v>
      </c>
      <c r="AF1377">
        <v>0</v>
      </c>
      <c r="AG1377">
        <v>0</v>
      </c>
      <c r="AH1377">
        <v>0</v>
      </c>
      <c r="AI1377">
        <v>0</v>
      </c>
      <c r="AJ1377">
        <v>0</v>
      </c>
      <c r="AK1377">
        <v>0</v>
      </c>
      <c r="AL1377">
        <v>0</v>
      </c>
      <c r="AM1377">
        <v>0</v>
      </c>
      <c r="AN1377">
        <v>0</v>
      </c>
      <c r="AO1377">
        <v>1</v>
      </c>
      <c r="AP1377">
        <v>0</v>
      </c>
      <c r="AQ1377">
        <v>0</v>
      </c>
      <c r="AR1377">
        <v>0</v>
      </c>
      <c r="AS1377">
        <v>0</v>
      </c>
      <c r="AT1377">
        <v>0</v>
      </c>
      <c r="AU1377">
        <f t="shared" si="42"/>
        <v>1</v>
      </c>
      <c r="AV1377">
        <f t="shared" si="43"/>
        <v>0</v>
      </c>
    </row>
    <row r="1378" spans="1:48" x14ac:dyDescent="0.25">
      <c r="A1378" t="s">
        <v>5855</v>
      </c>
      <c r="C1378" t="s">
        <v>3216</v>
      </c>
      <c r="D1378" t="s">
        <v>5856</v>
      </c>
      <c r="E1378" t="s">
        <v>2310</v>
      </c>
      <c r="F1378">
        <v>12</v>
      </c>
      <c r="G1378">
        <v>12.3</v>
      </c>
      <c r="H1378" t="s">
        <v>2017</v>
      </c>
      <c r="I1378" s="21">
        <v>38446</v>
      </c>
      <c r="J1378">
        <v>2005</v>
      </c>
      <c r="K1378" s="21">
        <v>38470</v>
      </c>
      <c r="L1378">
        <v>2005</v>
      </c>
      <c r="M1378" s="21">
        <v>38960</v>
      </c>
      <c r="N1378">
        <v>2006</v>
      </c>
      <c r="R1378" s="262">
        <v>750000</v>
      </c>
      <c r="S1378" t="s">
        <v>114</v>
      </c>
      <c r="T1378" t="s">
        <v>114</v>
      </c>
      <c r="U1378">
        <v>5</v>
      </c>
      <c r="W1378">
        <v>4885</v>
      </c>
      <c r="X1378">
        <v>1</v>
      </c>
      <c r="Y1378">
        <v>0</v>
      </c>
      <c r="Z1378">
        <v>0</v>
      </c>
      <c r="AA1378">
        <v>0</v>
      </c>
      <c r="AB1378">
        <v>0</v>
      </c>
      <c r="AC1378">
        <v>4885</v>
      </c>
      <c r="AD1378">
        <v>0</v>
      </c>
      <c r="AE1378">
        <v>0</v>
      </c>
      <c r="AF1378">
        <v>0</v>
      </c>
      <c r="AG1378">
        <v>0</v>
      </c>
      <c r="AH1378">
        <v>0</v>
      </c>
      <c r="AI1378">
        <v>0</v>
      </c>
      <c r="AJ1378">
        <v>0</v>
      </c>
      <c r="AK1378">
        <v>0</v>
      </c>
      <c r="AL1378">
        <v>0</v>
      </c>
      <c r="AM1378">
        <v>0</v>
      </c>
      <c r="AN1378">
        <v>0</v>
      </c>
      <c r="AO1378">
        <v>1</v>
      </c>
      <c r="AP1378">
        <v>0</v>
      </c>
      <c r="AQ1378">
        <v>0</v>
      </c>
      <c r="AR1378">
        <v>0</v>
      </c>
      <c r="AS1378">
        <v>0</v>
      </c>
      <c r="AT1378">
        <v>0</v>
      </c>
      <c r="AU1378">
        <f t="shared" si="42"/>
        <v>1</v>
      </c>
      <c r="AV1378">
        <f t="shared" si="43"/>
        <v>0</v>
      </c>
    </row>
    <row r="1379" spans="1:48" x14ac:dyDescent="0.25">
      <c r="A1379" t="s">
        <v>5852</v>
      </c>
      <c r="C1379" t="s">
        <v>5853</v>
      </c>
      <c r="D1379" t="s">
        <v>5854</v>
      </c>
      <c r="E1379" t="s">
        <v>1663</v>
      </c>
      <c r="F1379">
        <v>3</v>
      </c>
      <c r="G1379">
        <v>3.1</v>
      </c>
      <c r="H1379" t="s">
        <v>2017</v>
      </c>
      <c r="I1379" s="21">
        <v>38446</v>
      </c>
      <c r="J1379">
        <v>2005</v>
      </c>
      <c r="K1379" s="21">
        <v>38476</v>
      </c>
      <c r="L1379">
        <v>2005</v>
      </c>
      <c r="M1379" s="21">
        <v>38629</v>
      </c>
      <c r="N1379">
        <v>2005</v>
      </c>
      <c r="Q1379" s="262">
        <v>0</v>
      </c>
      <c r="S1379" t="s">
        <v>114</v>
      </c>
      <c r="T1379" t="s">
        <v>114</v>
      </c>
      <c r="W1379">
        <v>1684</v>
      </c>
      <c r="X1379">
        <v>0</v>
      </c>
      <c r="Y1379">
        <v>0</v>
      </c>
      <c r="Z1379">
        <v>0</v>
      </c>
      <c r="AA1379">
        <v>0</v>
      </c>
      <c r="AB1379">
        <v>0</v>
      </c>
      <c r="AC1379">
        <v>1684</v>
      </c>
      <c r="AD1379">
        <v>0</v>
      </c>
      <c r="AE1379">
        <v>0</v>
      </c>
      <c r="AF1379">
        <v>0</v>
      </c>
      <c r="AG1379">
        <v>0</v>
      </c>
      <c r="AH1379">
        <v>0</v>
      </c>
      <c r="AI1379">
        <v>0</v>
      </c>
      <c r="AJ1379">
        <v>0</v>
      </c>
      <c r="AK1379">
        <v>0</v>
      </c>
      <c r="AL1379">
        <v>0</v>
      </c>
      <c r="AM1379">
        <v>0</v>
      </c>
      <c r="AN1379">
        <v>0</v>
      </c>
      <c r="AO1379">
        <v>0</v>
      </c>
      <c r="AP1379">
        <v>0</v>
      </c>
      <c r="AQ1379">
        <v>0</v>
      </c>
      <c r="AR1379">
        <v>0</v>
      </c>
      <c r="AS1379">
        <v>0</v>
      </c>
      <c r="AT1379">
        <v>0</v>
      </c>
      <c r="AU1379">
        <f t="shared" si="42"/>
        <v>0</v>
      </c>
      <c r="AV1379">
        <f t="shared" si="43"/>
        <v>0</v>
      </c>
    </row>
    <row r="1380" spans="1:48" x14ac:dyDescent="0.25">
      <c r="A1380" t="s">
        <v>5857</v>
      </c>
      <c r="C1380" t="s">
        <v>5858</v>
      </c>
      <c r="D1380" t="s">
        <v>5859</v>
      </c>
      <c r="E1380" t="s">
        <v>1663</v>
      </c>
      <c r="F1380">
        <v>6</v>
      </c>
      <c r="G1380">
        <v>6.2</v>
      </c>
      <c r="H1380" t="s">
        <v>2017</v>
      </c>
      <c r="I1380" s="21">
        <v>38448</v>
      </c>
      <c r="J1380">
        <v>2005</v>
      </c>
      <c r="K1380" s="21">
        <v>38478</v>
      </c>
      <c r="L1380">
        <v>2005</v>
      </c>
      <c r="M1380" s="21">
        <v>38631</v>
      </c>
      <c r="N1380">
        <v>2005</v>
      </c>
      <c r="Q1380" s="262">
        <v>0</v>
      </c>
      <c r="S1380" t="s">
        <v>114</v>
      </c>
      <c r="T1380" t="s">
        <v>114</v>
      </c>
      <c r="W1380">
        <v>4680</v>
      </c>
      <c r="X1380">
        <v>1</v>
      </c>
      <c r="Y1380">
        <v>0</v>
      </c>
      <c r="Z1380">
        <v>0</v>
      </c>
      <c r="AA1380">
        <v>0</v>
      </c>
      <c r="AB1380">
        <v>0</v>
      </c>
      <c r="AC1380">
        <v>4680</v>
      </c>
      <c r="AD1380">
        <v>0</v>
      </c>
      <c r="AE1380">
        <v>0</v>
      </c>
      <c r="AF1380">
        <v>0</v>
      </c>
      <c r="AG1380">
        <v>0</v>
      </c>
      <c r="AH1380">
        <v>0</v>
      </c>
      <c r="AI1380">
        <v>0</v>
      </c>
      <c r="AJ1380">
        <v>0</v>
      </c>
      <c r="AK1380">
        <v>0</v>
      </c>
      <c r="AL1380">
        <v>0</v>
      </c>
      <c r="AM1380">
        <v>0</v>
      </c>
      <c r="AN1380">
        <v>0</v>
      </c>
      <c r="AO1380">
        <v>1</v>
      </c>
      <c r="AP1380">
        <v>0</v>
      </c>
      <c r="AQ1380">
        <v>0</v>
      </c>
      <c r="AR1380">
        <v>0</v>
      </c>
      <c r="AS1380">
        <v>0</v>
      </c>
      <c r="AT1380">
        <v>0</v>
      </c>
      <c r="AU1380">
        <f t="shared" si="42"/>
        <v>1</v>
      </c>
      <c r="AV1380">
        <f t="shared" si="43"/>
        <v>0</v>
      </c>
    </row>
    <row r="1381" spans="1:48" x14ac:dyDescent="0.25">
      <c r="A1381" t="s">
        <v>5863</v>
      </c>
      <c r="C1381" t="s">
        <v>5864</v>
      </c>
      <c r="D1381" t="s">
        <v>5865</v>
      </c>
      <c r="E1381" t="s">
        <v>1663</v>
      </c>
      <c r="F1381">
        <v>6</v>
      </c>
      <c r="G1381">
        <v>6.2</v>
      </c>
      <c r="H1381" t="s">
        <v>2017</v>
      </c>
      <c r="I1381" s="21">
        <v>38448</v>
      </c>
      <c r="J1381">
        <v>2005</v>
      </c>
      <c r="K1381" s="21">
        <v>38478</v>
      </c>
      <c r="L1381">
        <v>2005</v>
      </c>
      <c r="M1381" s="21">
        <v>38631</v>
      </c>
      <c r="N1381">
        <v>2005</v>
      </c>
      <c r="Q1381" s="262">
        <v>0</v>
      </c>
      <c r="S1381" t="s">
        <v>114</v>
      </c>
      <c r="T1381" t="s">
        <v>114</v>
      </c>
      <c r="W1381">
        <v>2220</v>
      </c>
      <c r="X1381">
        <v>1</v>
      </c>
      <c r="Y1381">
        <v>0</v>
      </c>
      <c r="Z1381">
        <v>0</v>
      </c>
      <c r="AA1381">
        <v>0</v>
      </c>
      <c r="AB1381">
        <v>0</v>
      </c>
      <c r="AC1381">
        <v>2220</v>
      </c>
      <c r="AD1381">
        <v>0</v>
      </c>
      <c r="AE1381">
        <v>0</v>
      </c>
      <c r="AF1381">
        <v>0</v>
      </c>
      <c r="AG1381">
        <v>0</v>
      </c>
      <c r="AH1381">
        <v>0</v>
      </c>
      <c r="AI1381">
        <v>0</v>
      </c>
      <c r="AJ1381">
        <v>0</v>
      </c>
      <c r="AK1381">
        <v>0</v>
      </c>
      <c r="AL1381">
        <v>0</v>
      </c>
      <c r="AM1381">
        <v>0</v>
      </c>
      <c r="AN1381">
        <v>0</v>
      </c>
      <c r="AO1381">
        <v>1</v>
      </c>
      <c r="AP1381">
        <v>0</v>
      </c>
      <c r="AQ1381">
        <v>0</v>
      </c>
      <c r="AR1381">
        <v>0</v>
      </c>
      <c r="AS1381">
        <v>0</v>
      </c>
      <c r="AT1381">
        <v>0</v>
      </c>
      <c r="AU1381">
        <f t="shared" si="42"/>
        <v>1</v>
      </c>
      <c r="AV1381">
        <f t="shared" si="43"/>
        <v>0</v>
      </c>
    </row>
    <row r="1382" spans="1:48" x14ac:dyDescent="0.25">
      <c r="A1382" t="s">
        <v>5866</v>
      </c>
      <c r="C1382" t="s">
        <v>4614</v>
      </c>
      <c r="D1382" t="s">
        <v>5867</v>
      </c>
      <c r="E1382" t="s">
        <v>2310</v>
      </c>
      <c r="F1382">
        <v>9</v>
      </c>
      <c r="G1382">
        <v>9.3000000000000007</v>
      </c>
      <c r="H1382" t="s">
        <v>2323</v>
      </c>
      <c r="I1382" s="21">
        <v>38448</v>
      </c>
      <c r="J1382">
        <v>2005</v>
      </c>
      <c r="K1382" s="21">
        <v>38492</v>
      </c>
      <c r="L1382">
        <v>2005</v>
      </c>
      <c r="M1382" s="21">
        <v>39241</v>
      </c>
      <c r="N1382">
        <v>2007</v>
      </c>
      <c r="R1382" s="262">
        <v>1039000</v>
      </c>
      <c r="S1382" t="s">
        <v>114</v>
      </c>
      <c r="T1382" t="s">
        <v>114</v>
      </c>
      <c r="U1382">
        <v>5</v>
      </c>
      <c r="W1382">
        <v>4882</v>
      </c>
      <c r="X1382">
        <v>1</v>
      </c>
      <c r="Y1382">
        <v>0</v>
      </c>
      <c r="Z1382">
        <v>0</v>
      </c>
      <c r="AA1382">
        <v>0</v>
      </c>
      <c r="AB1382">
        <v>0</v>
      </c>
      <c r="AC1382">
        <v>4882</v>
      </c>
      <c r="AD1382">
        <v>0</v>
      </c>
      <c r="AE1382">
        <v>0</v>
      </c>
      <c r="AF1382">
        <v>0</v>
      </c>
      <c r="AG1382">
        <v>0</v>
      </c>
      <c r="AH1382">
        <v>0</v>
      </c>
      <c r="AI1382">
        <v>0</v>
      </c>
      <c r="AJ1382">
        <v>0</v>
      </c>
      <c r="AK1382">
        <v>0</v>
      </c>
      <c r="AL1382">
        <v>0</v>
      </c>
      <c r="AM1382">
        <v>0</v>
      </c>
      <c r="AN1382">
        <v>0</v>
      </c>
      <c r="AO1382">
        <v>1</v>
      </c>
      <c r="AP1382">
        <v>0</v>
      </c>
      <c r="AQ1382">
        <v>0</v>
      </c>
      <c r="AR1382">
        <v>0</v>
      </c>
      <c r="AS1382">
        <v>0</v>
      </c>
      <c r="AT1382">
        <v>0</v>
      </c>
      <c r="AU1382">
        <f t="shared" si="42"/>
        <v>1</v>
      </c>
      <c r="AV1382">
        <f t="shared" si="43"/>
        <v>0</v>
      </c>
    </row>
    <row r="1383" spans="1:48" x14ac:dyDescent="0.25">
      <c r="A1383" t="s">
        <v>5868</v>
      </c>
      <c r="C1383" t="s">
        <v>5207</v>
      </c>
      <c r="D1383" t="s">
        <v>5869</v>
      </c>
      <c r="E1383" t="s">
        <v>2310</v>
      </c>
      <c r="F1383">
        <v>10</v>
      </c>
      <c r="G1383">
        <v>10.1</v>
      </c>
      <c r="H1383" t="s">
        <v>2323</v>
      </c>
      <c r="I1383" s="21">
        <v>38448</v>
      </c>
      <c r="J1383">
        <v>2005</v>
      </c>
      <c r="K1383" s="21">
        <v>38463</v>
      </c>
      <c r="L1383">
        <v>2005</v>
      </c>
      <c r="M1383" s="21">
        <v>38862</v>
      </c>
      <c r="N1383">
        <v>2006</v>
      </c>
      <c r="R1383" s="262">
        <v>400000</v>
      </c>
      <c r="S1383" t="s">
        <v>114</v>
      </c>
      <c r="T1383" t="s">
        <v>114</v>
      </c>
      <c r="U1383">
        <v>5</v>
      </c>
      <c r="W1383">
        <v>3814</v>
      </c>
      <c r="X1383">
        <v>1</v>
      </c>
      <c r="Y1383">
        <v>0</v>
      </c>
      <c r="Z1383">
        <v>0</v>
      </c>
      <c r="AA1383">
        <v>0</v>
      </c>
      <c r="AB1383">
        <v>0</v>
      </c>
      <c r="AC1383">
        <v>3814</v>
      </c>
      <c r="AD1383">
        <v>0</v>
      </c>
      <c r="AE1383">
        <v>0</v>
      </c>
      <c r="AF1383">
        <v>0</v>
      </c>
      <c r="AG1383">
        <v>0</v>
      </c>
      <c r="AH1383">
        <v>0</v>
      </c>
      <c r="AI1383">
        <v>0</v>
      </c>
      <c r="AJ1383">
        <v>0</v>
      </c>
      <c r="AK1383">
        <v>0</v>
      </c>
      <c r="AL1383">
        <v>0</v>
      </c>
      <c r="AM1383">
        <v>0</v>
      </c>
      <c r="AN1383">
        <v>0</v>
      </c>
      <c r="AO1383">
        <v>1</v>
      </c>
      <c r="AP1383">
        <v>0</v>
      </c>
      <c r="AQ1383">
        <v>0</v>
      </c>
      <c r="AR1383">
        <v>0</v>
      </c>
      <c r="AS1383">
        <v>0</v>
      </c>
      <c r="AT1383">
        <v>0</v>
      </c>
      <c r="AU1383">
        <f t="shared" si="42"/>
        <v>1</v>
      </c>
      <c r="AV1383">
        <f t="shared" si="43"/>
        <v>0</v>
      </c>
    </row>
    <row r="1384" spans="1:48" x14ac:dyDescent="0.25">
      <c r="A1384" t="s">
        <v>5870</v>
      </c>
      <c r="C1384" t="s">
        <v>5871</v>
      </c>
      <c r="D1384" t="s">
        <v>5872</v>
      </c>
      <c r="E1384" t="s">
        <v>2310</v>
      </c>
      <c r="F1384">
        <v>8</v>
      </c>
      <c r="G1384">
        <v>8.1999999999999993</v>
      </c>
      <c r="H1384" t="s">
        <v>2022</v>
      </c>
      <c r="I1384" s="21">
        <v>38448</v>
      </c>
      <c r="J1384">
        <v>2005</v>
      </c>
      <c r="K1384" s="21">
        <v>38510</v>
      </c>
      <c r="L1384">
        <v>2005</v>
      </c>
      <c r="M1384" s="21">
        <v>39377</v>
      </c>
      <c r="N1384">
        <v>2007</v>
      </c>
      <c r="R1384" s="262">
        <v>3000000</v>
      </c>
      <c r="S1384" t="s">
        <v>114</v>
      </c>
      <c r="T1384" t="s">
        <v>114</v>
      </c>
      <c r="U1384">
        <v>17</v>
      </c>
      <c r="W1384">
        <v>9094</v>
      </c>
      <c r="X1384">
        <v>2</v>
      </c>
      <c r="Y1384">
        <v>0</v>
      </c>
      <c r="Z1384">
        <v>0</v>
      </c>
      <c r="AA1384">
        <v>0</v>
      </c>
      <c r="AB1384">
        <v>0</v>
      </c>
      <c r="AC1384">
        <v>0</v>
      </c>
      <c r="AD1384">
        <v>8156</v>
      </c>
      <c r="AE1384">
        <v>0</v>
      </c>
      <c r="AF1384">
        <v>938</v>
      </c>
      <c r="AG1384">
        <v>0</v>
      </c>
      <c r="AH1384">
        <v>0</v>
      </c>
      <c r="AI1384">
        <v>0</v>
      </c>
      <c r="AJ1384">
        <v>0</v>
      </c>
      <c r="AK1384">
        <v>0</v>
      </c>
      <c r="AL1384">
        <v>0</v>
      </c>
      <c r="AM1384">
        <v>0</v>
      </c>
      <c r="AN1384">
        <v>0</v>
      </c>
      <c r="AO1384">
        <v>0</v>
      </c>
      <c r="AP1384">
        <v>1</v>
      </c>
      <c r="AQ1384">
        <v>0</v>
      </c>
      <c r="AR1384">
        <v>1</v>
      </c>
      <c r="AS1384">
        <v>0</v>
      </c>
      <c r="AT1384">
        <v>0</v>
      </c>
      <c r="AU1384">
        <f t="shared" si="42"/>
        <v>1</v>
      </c>
      <c r="AV1384">
        <f t="shared" si="43"/>
        <v>0</v>
      </c>
    </row>
    <row r="1385" spans="1:48" x14ac:dyDescent="0.25">
      <c r="A1385" t="s">
        <v>5860</v>
      </c>
      <c r="C1385" t="s">
        <v>5861</v>
      </c>
      <c r="D1385" t="s">
        <v>5862</v>
      </c>
      <c r="E1385" t="s">
        <v>1663</v>
      </c>
      <c r="F1385">
        <v>2</v>
      </c>
      <c r="G1385">
        <v>2.6</v>
      </c>
      <c r="H1385" t="s">
        <v>2327</v>
      </c>
      <c r="I1385" s="21">
        <v>38448</v>
      </c>
      <c r="J1385">
        <v>2005</v>
      </c>
      <c r="K1385" s="21">
        <v>38478</v>
      </c>
      <c r="L1385">
        <v>2005</v>
      </c>
      <c r="M1385" s="21">
        <v>38631</v>
      </c>
      <c r="N1385">
        <v>2005</v>
      </c>
      <c r="Q1385" s="262">
        <v>0</v>
      </c>
      <c r="S1385" t="s">
        <v>114</v>
      </c>
      <c r="T1385" t="s">
        <v>114</v>
      </c>
      <c r="W1385">
        <v>743</v>
      </c>
      <c r="X1385">
        <v>0</v>
      </c>
      <c r="Y1385">
        <v>0</v>
      </c>
      <c r="Z1385">
        <v>0</v>
      </c>
      <c r="AA1385">
        <v>0</v>
      </c>
      <c r="AB1385">
        <v>0</v>
      </c>
      <c r="AC1385">
        <v>743</v>
      </c>
      <c r="AD1385">
        <v>0</v>
      </c>
      <c r="AE1385">
        <v>0</v>
      </c>
      <c r="AF1385">
        <v>0</v>
      </c>
      <c r="AG1385">
        <v>0</v>
      </c>
      <c r="AH1385">
        <v>0</v>
      </c>
      <c r="AI1385">
        <v>0</v>
      </c>
      <c r="AJ1385">
        <v>0</v>
      </c>
      <c r="AK1385">
        <v>0</v>
      </c>
      <c r="AL1385">
        <v>0</v>
      </c>
      <c r="AM1385">
        <v>0</v>
      </c>
      <c r="AN1385">
        <v>0</v>
      </c>
      <c r="AO1385">
        <v>0</v>
      </c>
      <c r="AP1385">
        <v>0</v>
      </c>
      <c r="AQ1385">
        <v>0</v>
      </c>
      <c r="AR1385">
        <v>0</v>
      </c>
      <c r="AS1385">
        <v>0</v>
      </c>
      <c r="AT1385">
        <v>0</v>
      </c>
      <c r="AU1385">
        <f t="shared" si="42"/>
        <v>0</v>
      </c>
      <c r="AV1385">
        <f t="shared" si="43"/>
        <v>0</v>
      </c>
    </row>
    <row r="1386" spans="1:48" x14ac:dyDescent="0.25">
      <c r="A1386" t="s">
        <v>5873</v>
      </c>
      <c r="C1386" t="s">
        <v>3216</v>
      </c>
      <c r="D1386" t="s">
        <v>5874</v>
      </c>
      <c r="E1386" t="s">
        <v>2310</v>
      </c>
      <c r="F1386">
        <v>9</v>
      </c>
      <c r="G1386">
        <v>9.3000000000000007</v>
      </c>
      <c r="H1386" t="s">
        <v>2323</v>
      </c>
      <c r="I1386" s="21">
        <v>38450</v>
      </c>
      <c r="J1386">
        <v>2005</v>
      </c>
      <c r="K1386" s="21">
        <v>38470</v>
      </c>
      <c r="L1386">
        <v>2005</v>
      </c>
      <c r="M1386" s="21">
        <v>39057</v>
      </c>
      <c r="N1386">
        <v>2006</v>
      </c>
      <c r="R1386" s="262">
        <v>1250000</v>
      </c>
      <c r="S1386" t="s">
        <v>114</v>
      </c>
      <c r="T1386" t="s">
        <v>114</v>
      </c>
      <c r="U1386">
        <v>5</v>
      </c>
      <c r="W1386">
        <v>4990</v>
      </c>
      <c r="X1386">
        <v>1</v>
      </c>
      <c r="Y1386">
        <v>0</v>
      </c>
      <c r="Z1386">
        <v>0</v>
      </c>
      <c r="AA1386">
        <v>0</v>
      </c>
      <c r="AB1386">
        <v>0</v>
      </c>
      <c r="AC1386">
        <v>4990</v>
      </c>
      <c r="AD1386">
        <v>0</v>
      </c>
      <c r="AE1386">
        <v>0</v>
      </c>
      <c r="AF1386">
        <v>0</v>
      </c>
      <c r="AG1386">
        <v>0</v>
      </c>
      <c r="AH1386">
        <v>0</v>
      </c>
      <c r="AI1386">
        <v>0</v>
      </c>
      <c r="AJ1386">
        <v>0</v>
      </c>
      <c r="AK1386">
        <v>0</v>
      </c>
      <c r="AL1386">
        <v>0</v>
      </c>
      <c r="AM1386">
        <v>0</v>
      </c>
      <c r="AN1386">
        <v>0</v>
      </c>
      <c r="AO1386">
        <v>1</v>
      </c>
      <c r="AP1386">
        <v>0</v>
      </c>
      <c r="AQ1386">
        <v>0</v>
      </c>
      <c r="AR1386">
        <v>0</v>
      </c>
      <c r="AS1386">
        <v>0</v>
      </c>
      <c r="AT1386">
        <v>0</v>
      </c>
      <c r="AU1386">
        <f t="shared" si="42"/>
        <v>1</v>
      </c>
      <c r="AV1386">
        <f t="shared" si="43"/>
        <v>0</v>
      </c>
    </row>
    <row r="1387" spans="1:48" x14ac:dyDescent="0.25">
      <c r="A1387" t="s">
        <v>5875</v>
      </c>
      <c r="C1387" t="s">
        <v>5876</v>
      </c>
      <c r="D1387" t="s">
        <v>5877</v>
      </c>
      <c r="E1387" t="s">
        <v>1663</v>
      </c>
      <c r="F1387">
        <v>6</v>
      </c>
      <c r="G1387">
        <v>6.1</v>
      </c>
      <c r="H1387" t="s">
        <v>2017</v>
      </c>
      <c r="I1387" s="21">
        <v>38453</v>
      </c>
      <c r="J1387">
        <v>2005</v>
      </c>
      <c r="K1387" s="21">
        <v>38483</v>
      </c>
      <c r="L1387">
        <v>2005</v>
      </c>
      <c r="M1387" s="21">
        <v>38636</v>
      </c>
      <c r="N1387">
        <v>2005</v>
      </c>
      <c r="Q1387" s="262">
        <v>0</v>
      </c>
      <c r="S1387" t="s">
        <v>114</v>
      </c>
      <c r="T1387" t="s">
        <v>114</v>
      </c>
      <c r="W1387">
        <v>4897</v>
      </c>
      <c r="X1387">
        <v>1</v>
      </c>
      <c r="Y1387">
        <v>0</v>
      </c>
      <c r="Z1387">
        <v>0</v>
      </c>
      <c r="AA1387">
        <v>0</v>
      </c>
      <c r="AB1387">
        <v>0</v>
      </c>
      <c r="AC1387">
        <v>4897</v>
      </c>
      <c r="AD1387">
        <v>0</v>
      </c>
      <c r="AE1387">
        <v>0</v>
      </c>
      <c r="AF1387">
        <v>0</v>
      </c>
      <c r="AG1387">
        <v>0</v>
      </c>
      <c r="AH1387">
        <v>0</v>
      </c>
      <c r="AI1387">
        <v>0</v>
      </c>
      <c r="AJ1387">
        <v>0</v>
      </c>
      <c r="AK1387">
        <v>0</v>
      </c>
      <c r="AL1387">
        <v>0</v>
      </c>
      <c r="AM1387">
        <v>0</v>
      </c>
      <c r="AN1387">
        <v>0</v>
      </c>
      <c r="AO1387">
        <v>1</v>
      </c>
      <c r="AP1387">
        <v>0</v>
      </c>
      <c r="AQ1387">
        <v>0</v>
      </c>
      <c r="AR1387">
        <v>0</v>
      </c>
      <c r="AS1387">
        <v>0</v>
      </c>
      <c r="AT1387">
        <v>0</v>
      </c>
      <c r="AU1387">
        <f t="shared" si="42"/>
        <v>1</v>
      </c>
      <c r="AV1387">
        <f t="shared" si="43"/>
        <v>0</v>
      </c>
    </row>
    <row r="1388" spans="1:48" x14ac:dyDescent="0.25">
      <c r="A1388" t="s">
        <v>5878</v>
      </c>
      <c r="C1388" t="s">
        <v>5879</v>
      </c>
      <c r="D1388" t="s">
        <v>5880</v>
      </c>
      <c r="E1388" t="s">
        <v>2310</v>
      </c>
      <c r="F1388">
        <v>9</v>
      </c>
      <c r="G1388">
        <v>9.1999999999999993</v>
      </c>
      <c r="H1388" t="s">
        <v>2022</v>
      </c>
      <c r="I1388" s="21">
        <v>38453</v>
      </c>
      <c r="J1388">
        <v>2005</v>
      </c>
      <c r="K1388" s="21">
        <v>38505</v>
      </c>
      <c r="L1388">
        <v>2005</v>
      </c>
      <c r="M1388" s="21">
        <v>38656</v>
      </c>
      <c r="N1388">
        <v>2005</v>
      </c>
      <c r="R1388" s="262">
        <v>84000</v>
      </c>
      <c r="S1388" t="s">
        <v>114</v>
      </c>
      <c r="T1388" t="s">
        <v>114</v>
      </c>
      <c r="U1388">
        <v>8</v>
      </c>
      <c r="W1388">
        <v>608</v>
      </c>
      <c r="X1388">
        <v>1</v>
      </c>
      <c r="Y1388">
        <v>0</v>
      </c>
      <c r="Z1388">
        <v>0</v>
      </c>
      <c r="AA1388">
        <v>0</v>
      </c>
      <c r="AB1388">
        <v>0</v>
      </c>
      <c r="AC1388">
        <v>0</v>
      </c>
      <c r="AD1388">
        <v>0</v>
      </c>
      <c r="AE1388">
        <v>0</v>
      </c>
      <c r="AF1388">
        <v>608</v>
      </c>
      <c r="AG1388">
        <v>0</v>
      </c>
      <c r="AH1388">
        <v>0</v>
      </c>
      <c r="AI1388">
        <v>0</v>
      </c>
      <c r="AJ1388">
        <v>0</v>
      </c>
      <c r="AK1388">
        <v>0</v>
      </c>
      <c r="AL1388">
        <v>0</v>
      </c>
      <c r="AM1388">
        <v>0</v>
      </c>
      <c r="AN1388">
        <v>0</v>
      </c>
      <c r="AO1388">
        <v>0</v>
      </c>
      <c r="AP1388">
        <v>0</v>
      </c>
      <c r="AQ1388">
        <v>0</v>
      </c>
      <c r="AR1388">
        <v>1</v>
      </c>
      <c r="AS1388">
        <v>0</v>
      </c>
      <c r="AT1388">
        <v>0</v>
      </c>
      <c r="AU1388">
        <f t="shared" si="42"/>
        <v>0</v>
      </c>
      <c r="AV1388">
        <f t="shared" si="43"/>
        <v>0</v>
      </c>
    </row>
    <row r="1389" spans="1:48" x14ac:dyDescent="0.25">
      <c r="A1389" t="s">
        <v>5881</v>
      </c>
      <c r="C1389" t="s">
        <v>3383</v>
      </c>
      <c r="D1389" t="s">
        <v>5882</v>
      </c>
      <c r="E1389" t="s">
        <v>2310</v>
      </c>
      <c r="F1389">
        <v>9</v>
      </c>
      <c r="G1389">
        <v>9.3000000000000007</v>
      </c>
      <c r="H1389" t="s">
        <v>2323</v>
      </c>
      <c r="I1389" s="21">
        <v>38453</v>
      </c>
      <c r="J1389">
        <v>2005</v>
      </c>
      <c r="K1389" s="21">
        <v>38471</v>
      </c>
      <c r="L1389">
        <v>2005</v>
      </c>
      <c r="M1389" s="21">
        <v>39041</v>
      </c>
      <c r="N1389">
        <v>2006</v>
      </c>
      <c r="R1389" s="262">
        <v>1400000</v>
      </c>
      <c r="S1389" t="s">
        <v>114</v>
      </c>
      <c r="T1389" t="s">
        <v>114</v>
      </c>
      <c r="U1389">
        <v>5</v>
      </c>
      <c r="W1389">
        <v>5570</v>
      </c>
      <c r="X1389">
        <v>1</v>
      </c>
      <c r="Y1389">
        <v>0</v>
      </c>
      <c r="Z1389">
        <v>0</v>
      </c>
      <c r="AA1389">
        <v>0</v>
      </c>
      <c r="AB1389">
        <v>0</v>
      </c>
      <c r="AC1389">
        <v>5570</v>
      </c>
      <c r="AD1389">
        <v>0</v>
      </c>
      <c r="AE1389">
        <v>0</v>
      </c>
      <c r="AF1389">
        <v>0</v>
      </c>
      <c r="AG1389">
        <v>0</v>
      </c>
      <c r="AH1389">
        <v>0</v>
      </c>
      <c r="AI1389">
        <v>0</v>
      </c>
      <c r="AJ1389">
        <v>0</v>
      </c>
      <c r="AK1389">
        <v>0</v>
      </c>
      <c r="AL1389">
        <v>0</v>
      </c>
      <c r="AM1389">
        <v>0</v>
      </c>
      <c r="AN1389">
        <v>0</v>
      </c>
      <c r="AO1389">
        <v>1</v>
      </c>
      <c r="AP1389">
        <v>0</v>
      </c>
      <c r="AQ1389">
        <v>0</v>
      </c>
      <c r="AR1389">
        <v>0</v>
      </c>
      <c r="AS1389">
        <v>0</v>
      </c>
      <c r="AT1389">
        <v>0</v>
      </c>
      <c r="AU1389">
        <f t="shared" si="42"/>
        <v>1</v>
      </c>
      <c r="AV1389">
        <f t="shared" si="43"/>
        <v>0</v>
      </c>
    </row>
    <row r="1390" spans="1:48" x14ac:dyDescent="0.25">
      <c r="A1390" t="s">
        <v>5883</v>
      </c>
      <c r="C1390" t="s">
        <v>5884</v>
      </c>
      <c r="D1390" t="s">
        <v>5885</v>
      </c>
      <c r="E1390" t="s">
        <v>2310</v>
      </c>
      <c r="F1390">
        <v>11</v>
      </c>
      <c r="G1390">
        <v>11.2</v>
      </c>
      <c r="H1390" t="s">
        <v>2017</v>
      </c>
      <c r="I1390" s="21">
        <v>38453</v>
      </c>
      <c r="J1390">
        <v>2005</v>
      </c>
      <c r="K1390" s="21">
        <v>38492</v>
      </c>
      <c r="L1390">
        <v>2005</v>
      </c>
      <c r="M1390" s="21">
        <v>38722</v>
      </c>
      <c r="N1390">
        <v>2006</v>
      </c>
      <c r="R1390" s="262">
        <v>150000</v>
      </c>
      <c r="S1390" t="s">
        <v>114</v>
      </c>
      <c r="T1390" t="s">
        <v>114</v>
      </c>
      <c r="U1390">
        <v>8</v>
      </c>
      <c r="W1390">
        <v>1722</v>
      </c>
      <c r="X1390">
        <v>1</v>
      </c>
      <c r="Y1390">
        <v>0</v>
      </c>
      <c r="Z1390">
        <v>0</v>
      </c>
      <c r="AA1390">
        <v>0</v>
      </c>
      <c r="AB1390">
        <v>0</v>
      </c>
      <c r="AC1390">
        <v>1068</v>
      </c>
      <c r="AD1390">
        <v>0</v>
      </c>
      <c r="AE1390">
        <v>0</v>
      </c>
      <c r="AF1390">
        <v>654</v>
      </c>
      <c r="AG1390">
        <v>0</v>
      </c>
      <c r="AH1390">
        <v>0</v>
      </c>
      <c r="AI1390">
        <v>0</v>
      </c>
      <c r="AJ1390">
        <v>0</v>
      </c>
      <c r="AK1390">
        <v>0</v>
      </c>
      <c r="AL1390">
        <v>0</v>
      </c>
      <c r="AM1390">
        <v>0</v>
      </c>
      <c r="AN1390">
        <v>0</v>
      </c>
      <c r="AO1390">
        <v>0</v>
      </c>
      <c r="AP1390">
        <v>0</v>
      </c>
      <c r="AQ1390">
        <v>0</v>
      </c>
      <c r="AR1390">
        <v>1</v>
      </c>
      <c r="AS1390">
        <v>0</v>
      </c>
      <c r="AT1390">
        <v>0</v>
      </c>
      <c r="AU1390">
        <f t="shared" si="42"/>
        <v>0</v>
      </c>
      <c r="AV1390">
        <f t="shared" si="43"/>
        <v>0</v>
      </c>
    </row>
    <row r="1391" spans="1:48" x14ac:dyDescent="0.25">
      <c r="A1391" t="s">
        <v>5886</v>
      </c>
      <c r="C1391" t="s">
        <v>5887</v>
      </c>
      <c r="D1391" t="s">
        <v>5888</v>
      </c>
      <c r="E1391" t="s">
        <v>2310</v>
      </c>
      <c r="F1391">
        <v>9</v>
      </c>
      <c r="G1391">
        <v>9.3000000000000007</v>
      </c>
      <c r="H1391" t="s">
        <v>2323</v>
      </c>
      <c r="I1391" s="21">
        <v>38454</v>
      </c>
      <c r="J1391">
        <v>2005</v>
      </c>
      <c r="K1391" s="21">
        <v>38506</v>
      </c>
      <c r="L1391">
        <v>2005</v>
      </c>
      <c r="M1391" s="21">
        <v>39624</v>
      </c>
      <c r="N1391">
        <v>2008</v>
      </c>
      <c r="R1391" s="262">
        <v>400000</v>
      </c>
      <c r="S1391" t="s">
        <v>114</v>
      </c>
      <c r="T1391" t="s">
        <v>114</v>
      </c>
      <c r="U1391">
        <v>5</v>
      </c>
      <c r="W1391">
        <v>835</v>
      </c>
      <c r="X1391">
        <v>0</v>
      </c>
      <c r="Y1391">
        <v>0</v>
      </c>
      <c r="Z1391">
        <v>0</v>
      </c>
      <c r="AA1391">
        <v>0</v>
      </c>
      <c r="AB1391">
        <v>0</v>
      </c>
      <c r="AC1391">
        <v>835</v>
      </c>
      <c r="AD1391">
        <v>0</v>
      </c>
      <c r="AE1391">
        <v>0</v>
      </c>
      <c r="AF1391">
        <v>0</v>
      </c>
      <c r="AG1391">
        <v>0</v>
      </c>
      <c r="AH1391">
        <v>0</v>
      </c>
      <c r="AI1391">
        <v>0</v>
      </c>
      <c r="AJ1391">
        <v>0</v>
      </c>
      <c r="AK1391">
        <v>0</v>
      </c>
      <c r="AL1391">
        <v>0</v>
      </c>
      <c r="AM1391">
        <v>0</v>
      </c>
      <c r="AN1391">
        <v>0</v>
      </c>
      <c r="AO1391">
        <v>0</v>
      </c>
      <c r="AP1391">
        <v>0</v>
      </c>
      <c r="AQ1391">
        <v>0</v>
      </c>
      <c r="AR1391">
        <v>0</v>
      </c>
      <c r="AS1391">
        <v>0</v>
      </c>
      <c r="AT1391">
        <v>0</v>
      </c>
      <c r="AU1391">
        <f t="shared" si="42"/>
        <v>0</v>
      </c>
      <c r="AV1391">
        <f t="shared" si="43"/>
        <v>0</v>
      </c>
    </row>
    <row r="1392" spans="1:48" x14ac:dyDescent="0.25">
      <c r="A1392" t="s">
        <v>5889</v>
      </c>
      <c r="C1392" t="s">
        <v>5890</v>
      </c>
      <c r="D1392" t="s">
        <v>5891</v>
      </c>
      <c r="E1392" t="s">
        <v>2310</v>
      </c>
      <c r="F1392">
        <v>9</v>
      </c>
      <c r="G1392">
        <v>9.4</v>
      </c>
      <c r="H1392" t="s">
        <v>2323</v>
      </c>
      <c r="I1392" s="21">
        <v>38455</v>
      </c>
      <c r="J1392">
        <v>2005</v>
      </c>
      <c r="K1392" s="21">
        <v>38489</v>
      </c>
      <c r="L1392">
        <v>2005</v>
      </c>
      <c r="M1392" s="21">
        <v>38519</v>
      </c>
      <c r="N1392">
        <v>2005</v>
      </c>
      <c r="R1392" s="262">
        <v>15000</v>
      </c>
      <c r="S1392" t="s">
        <v>114</v>
      </c>
      <c r="T1392" t="s">
        <v>114</v>
      </c>
      <c r="U1392">
        <v>11</v>
      </c>
      <c r="W1392">
        <v>0</v>
      </c>
      <c r="X1392">
        <v>0</v>
      </c>
      <c r="Y1392">
        <v>0</v>
      </c>
      <c r="Z1392">
        <v>0</v>
      </c>
      <c r="AA1392">
        <v>0</v>
      </c>
      <c r="AB1392">
        <v>0</v>
      </c>
      <c r="AC1392">
        <v>0</v>
      </c>
      <c r="AD1392">
        <v>0</v>
      </c>
      <c r="AE1392">
        <v>0</v>
      </c>
      <c r="AF1392">
        <v>0</v>
      </c>
      <c r="AG1392">
        <v>0</v>
      </c>
      <c r="AH1392">
        <v>0</v>
      </c>
      <c r="AI1392">
        <v>0</v>
      </c>
      <c r="AJ1392">
        <v>0</v>
      </c>
      <c r="AK1392">
        <v>0</v>
      </c>
      <c r="AL1392">
        <v>0</v>
      </c>
      <c r="AM1392">
        <v>0</v>
      </c>
      <c r="AN1392">
        <v>0</v>
      </c>
      <c r="AO1392">
        <v>0</v>
      </c>
      <c r="AP1392">
        <v>0</v>
      </c>
      <c r="AQ1392">
        <v>0</v>
      </c>
      <c r="AR1392">
        <v>0</v>
      </c>
      <c r="AS1392">
        <v>0</v>
      </c>
      <c r="AT1392">
        <v>0</v>
      </c>
      <c r="AU1392">
        <f t="shared" si="42"/>
        <v>0</v>
      </c>
      <c r="AV1392">
        <f t="shared" si="43"/>
        <v>0</v>
      </c>
    </row>
    <row r="1393" spans="1:48" x14ac:dyDescent="0.25">
      <c r="A1393" t="s">
        <v>5895</v>
      </c>
      <c r="C1393" t="s">
        <v>5896</v>
      </c>
      <c r="D1393" t="s">
        <v>5897</v>
      </c>
      <c r="E1393" t="s">
        <v>2310</v>
      </c>
      <c r="F1393">
        <v>9</v>
      </c>
      <c r="G1393">
        <v>9.3000000000000007</v>
      </c>
      <c r="H1393" t="s">
        <v>2323</v>
      </c>
      <c r="I1393" s="21">
        <v>38456</v>
      </c>
      <c r="J1393">
        <v>2005</v>
      </c>
      <c r="K1393" s="21">
        <v>38504</v>
      </c>
      <c r="L1393">
        <v>2005</v>
      </c>
      <c r="M1393" s="21">
        <v>40491.364791666703</v>
      </c>
      <c r="N1393">
        <v>2010</v>
      </c>
      <c r="R1393" s="262">
        <v>132000</v>
      </c>
      <c r="S1393" t="s">
        <v>114</v>
      </c>
      <c r="T1393" t="s">
        <v>114</v>
      </c>
      <c r="U1393">
        <v>8</v>
      </c>
      <c r="W1393">
        <v>2095</v>
      </c>
      <c r="X1393">
        <v>1</v>
      </c>
      <c r="Y1393">
        <v>0</v>
      </c>
      <c r="Z1393">
        <v>0</v>
      </c>
      <c r="AA1393">
        <v>0</v>
      </c>
      <c r="AB1393">
        <v>0</v>
      </c>
      <c r="AC1393">
        <v>1190</v>
      </c>
      <c r="AD1393">
        <v>0</v>
      </c>
      <c r="AE1393">
        <v>0</v>
      </c>
      <c r="AF1393">
        <v>905</v>
      </c>
      <c r="AG1393">
        <v>0</v>
      </c>
      <c r="AH1393">
        <v>0</v>
      </c>
      <c r="AI1393">
        <v>0</v>
      </c>
      <c r="AJ1393">
        <v>0</v>
      </c>
      <c r="AK1393">
        <v>0</v>
      </c>
      <c r="AL1393">
        <v>0</v>
      </c>
      <c r="AM1393">
        <v>0</v>
      </c>
      <c r="AN1393">
        <v>0</v>
      </c>
      <c r="AO1393">
        <v>0</v>
      </c>
      <c r="AP1393">
        <v>0</v>
      </c>
      <c r="AQ1393">
        <v>0</v>
      </c>
      <c r="AR1393">
        <v>1</v>
      </c>
      <c r="AS1393">
        <v>0</v>
      </c>
      <c r="AT1393">
        <v>0</v>
      </c>
      <c r="AU1393">
        <f t="shared" si="42"/>
        <v>0</v>
      </c>
      <c r="AV1393">
        <f t="shared" si="43"/>
        <v>0</v>
      </c>
    </row>
    <row r="1394" spans="1:48" x14ac:dyDescent="0.25">
      <c r="A1394" t="s">
        <v>5892</v>
      </c>
      <c r="C1394" t="s">
        <v>5893</v>
      </c>
      <c r="D1394" t="s">
        <v>5894</v>
      </c>
      <c r="E1394" t="s">
        <v>1663</v>
      </c>
      <c r="F1394">
        <v>2</v>
      </c>
      <c r="G1394">
        <v>2.2999999999999998</v>
      </c>
      <c r="H1394" t="s">
        <v>2327</v>
      </c>
      <c r="I1394" s="21">
        <v>38456</v>
      </c>
      <c r="J1394">
        <v>2005</v>
      </c>
      <c r="K1394" s="21">
        <v>38486</v>
      </c>
      <c r="L1394">
        <v>2005</v>
      </c>
      <c r="M1394" s="21">
        <v>38639</v>
      </c>
      <c r="N1394">
        <v>2005</v>
      </c>
      <c r="Q1394" s="262">
        <v>0</v>
      </c>
      <c r="S1394" t="s">
        <v>114</v>
      </c>
      <c r="T1394" t="s">
        <v>114</v>
      </c>
      <c r="W1394">
        <v>6506</v>
      </c>
      <c r="X1394">
        <v>8</v>
      </c>
      <c r="Y1394">
        <v>0</v>
      </c>
      <c r="Z1394">
        <v>0</v>
      </c>
      <c r="AA1394">
        <v>0</v>
      </c>
      <c r="AB1394">
        <v>0</v>
      </c>
      <c r="AC1394">
        <v>0</v>
      </c>
      <c r="AD1394">
        <v>0</v>
      </c>
      <c r="AE1394">
        <v>0</v>
      </c>
      <c r="AF1394">
        <v>0</v>
      </c>
      <c r="AG1394">
        <v>0</v>
      </c>
      <c r="AH1394">
        <v>0</v>
      </c>
      <c r="AI1394">
        <v>6506</v>
      </c>
      <c r="AJ1394">
        <v>0</v>
      </c>
      <c r="AK1394">
        <v>0</v>
      </c>
      <c r="AL1394">
        <v>0</v>
      </c>
      <c r="AM1394">
        <v>0</v>
      </c>
      <c r="AN1394">
        <v>0</v>
      </c>
      <c r="AO1394">
        <v>0</v>
      </c>
      <c r="AP1394">
        <v>0</v>
      </c>
      <c r="AQ1394">
        <v>0</v>
      </c>
      <c r="AR1394">
        <v>0</v>
      </c>
      <c r="AS1394">
        <v>0</v>
      </c>
      <c r="AT1394">
        <v>8</v>
      </c>
      <c r="AU1394">
        <f t="shared" si="42"/>
        <v>0</v>
      </c>
      <c r="AV1394">
        <f t="shared" si="43"/>
        <v>6506</v>
      </c>
    </row>
    <row r="1395" spans="1:48" x14ac:dyDescent="0.25">
      <c r="A1395" t="s">
        <v>5898</v>
      </c>
      <c r="C1395" t="s">
        <v>5899</v>
      </c>
      <c r="D1395" t="s">
        <v>5900</v>
      </c>
      <c r="E1395" t="s">
        <v>2310</v>
      </c>
      <c r="F1395">
        <v>15</v>
      </c>
      <c r="G1395">
        <v>15.2</v>
      </c>
      <c r="H1395" t="s">
        <v>2323</v>
      </c>
      <c r="I1395" s="21">
        <v>38457</v>
      </c>
      <c r="J1395">
        <v>2005</v>
      </c>
      <c r="K1395" s="21">
        <v>38499</v>
      </c>
      <c r="L1395">
        <v>2005</v>
      </c>
      <c r="M1395" s="21">
        <v>40505.608854166698</v>
      </c>
      <c r="N1395">
        <v>2010</v>
      </c>
      <c r="R1395" s="262">
        <v>128000</v>
      </c>
      <c r="S1395" t="s">
        <v>114</v>
      </c>
      <c r="T1395" t="s">
        <v>114</v>
      </c>
      <c r="U1395">
        <v>5</v>
      </c>
      <c r="W1395">
        <v>641</v>
      </c>
      <c r="X1395">
        <v>0</v>
      </c>
      <c r="Y1395">
        <v>0</v>
      </c>
      <c r="Z1395">
        <v>0</v>
      </c>
      <c r="AA1395">
        <v>0</v>
      </c>
      <c r="AB1395">
        <v>0</v>
      </c>
      <c r="AC1395">
        <v>641</v>
      </c>
      <c r="AD1395">
        <v>0</v>
      </c>
      <c r="AE1395">
        <v>0</v>
      </c>
      <c r="AF1395">
        <v>0</v>
      </c>
      <c r="AG1395">
        <v>0</v>
      </c>
      <c r="AH1395">
        <v>0</v>
      </c>
      <c r="AI1395">
        <v>0</v>
      </c>
      <c r="AJ1395">
        <v>0</v>
      </c>
      <c r="AK1395">
        <v>0</v>
      </c>
      <c r="AL1395">
        <v>0</v>
      </c>
      <c r="AM1395">
        <v>0</v>
      </c>
      <c r="AN1395">
        <v>0</v>
      </c>
      <c r="AO1395">
        <v>0</v>
      </c>
      <c r="AP1395">
        <v>0</v>
      </c>
      <c r="AQ1395">
        <v>0</v>
      </c>
      <c r="AR1395">
        <v>0</v>
      </c>
      <c r="AS1395">
        <v>0</v>
      </c>
      <c r="AT1395">
        <v>0</v>
      </c>
      <c r="AU1395">
        <f t="shared" si="42"/>
        <v>0</v>
      </c>
      <c r="AV1395">
        <f t="shared" si="43"/>
        <v>0</v>
      </c>
    </row>
    <row r="1396" spans="1:48" x14ac:dyDescent="0.25">
      <c r="A1396" t="s">
        <v>5901</v>
      </c>
      <c r="C1396" t="s">
        <v>4936</v>
      </c>
      <c r="D1396" t="s">
        <v>5902</v>
      </c>
      <c r="E1396" t="s">
        <v>2310</v>
      </c>
      <c r="F1396">
        <v>9</v>
      </c>
      <c r="G1396">
        <v>9.1</v>
      </c>
      <c r="H1396" t="s">
        <v>2323</v>
      </c>
      <c r="I1396" s="21">
        <v>38461</v>
      </c>
      <c r="J1396">
        <v>2005</v>
      </c>
      <c r="K1396" s="21">
        <v>38495</v>
      </c>
      <c r="L1396">
        <v>2005</v>
      </c>
      <c r="M1396" s="21">
        <v>38860</v>
      </c>
      <c r="N1396">
        <v>2006</v>
      </c>
      <c r="R1396" s="262">
        <v>680000</v>
      </c>
      <c r="S1396" t="s">
        <v>114</v>
      </c>
      <c r="T1396" t="s">
        <v>114</v>
      </c>
      <c r="U1396">
        <v>5</v>
      </c>
      <c r="W1396">
        <v>4616</v>
      </c>
      <c r="X1396">
        <v>1</v>
      </c>
      <c r="Y1396">
        <v>0</v>
      </c>
      <c r="Z1396">
        <v>0</v>
      </c>
      <c r="AA1396">
        <v>0</v>
      </c>
      <c r="AB1396">
        <v>0</v>
      </c>
      <c r="AC1396">
        <v>4616</v>
      </c>
      <c r="AD1396">
        <v>0</v>
      </c>
      <c r="AE1396">
        <v>0</v>
      </c>
      <c r="AF1396">
        <v>0</v>
      </c>
      <c r="AG1396">
        <v>0</v>
      </c>
      <c r="AH1396">
        <v>0</v>
      </c>
      <c r="AI1396">
        <v>0</v>
      </c>
      <c r="AJ1396">
        <v>0</v>
      </c>
      <c r="AK1396">
        <v>0</v>
      </c>
      <c r="AL1396">
        <v>0</v>
      </c>
      <c r="AM1396">
        <v>0</v>
      </c>
      <c r="AN1396">
        <v>0</v>
      </c>
      <c r="AO1396">
        <v>1</v>
      </c>
      <c r="AP1396">
        <v>0</v>
      </c>
      <c r="AQ1396">
        <v>0</v>
      </c>
      <c r="AR1396">
        <v>0</v>
      </c>
      <c r="AS1396">
        <v>0</v>
      </c>
      <c r="AT1396">
        <v>0</v>
      </c>
      <c r="AU1396">
        <f t="shared" si="42"/>
        <v>1</v>
      </c>
      <c r="AV1396">
        <f t="shared" si="43"/>
        <v>0</v>
      </c>
    </row>
    <row r="1397" spans="1:48" x14ac:dyDescent="0.25">
      <c r="A1397" t="s">
        <v>5903</v>
      </c>
      <c r="C1397" t="s">
        <v>5904</v>
      </c>
      <c r="D1397" t="s">
        <v>2605</v>
      </c>
      <c r="E1397" t="s">
        <v>2310</v>
      </c>
      <c r="F1397">
        <v>8</v>
      </c>
      <c r="G1397">
        <v>8.1</v>
      </c>
      <c r="H1397" t="s">
        <v>2323</v>
      </c>
      <c r="I1397" s="21">
        <v>38462</v>
      </c>
      <c r="J1397">
        <v>2005</v>
      </c>
      <c r="K1397" s="21">
        <v>38506</v>
      </c>
      <c r="L1397">
        <v>2005</v>
      </c>
      <c r="M1397" s="21">
        <v>38967</v>
      </c>
      <c r="N1397">
        <v>2006</v>
      </c>
      <c r="R1397" s="262">
        <v>90000</v>
      </c>
      <c r="S1397" t="s">
        <v>114</v>
      </c>
      <c r="T1397" t="s">
        <v>114</v>
      </c>
      <c r="U1397">
        <v>8</v>
      </c>
      <c r="W1397">
        <v>1970</v>
      </c>
      <c r="X1397">
        <v>1</v>
      </c>
      <c r="Y1397">
        <v>0</v>
      </c>
      <c r="Z1397">
        <v>0</v>
      </c>
      <c r="AA1397">
        <v>0</v>
      </c>
      <c r="AB1397">
        <v>0</v>
      </c>
      <c r="AC1397">
        <v>1156</v>
      </c>
      <c r="AD1397">
        <v>0</v>
      </c>
      <c r="AE1397">
        <v>0</v>
      </c>
      <c r="AF1397">
        <v>814</v>
      </c>
      <c r="AG1397">
        <v>0</v>
      </c>
      <c r="AH1397">
        <v>0</v>
      </c>
      <c r="AI1397">
        <v>0</v>
      </c>
      <c r="AJ1397">
        <v>0</v>
      </c>
      <c r="AK1397">
        <v>0</v>
      </c>
      <c r="AL1397">
        <v>0</v>
      </c>
      <c r="AM1397">
        <v>0</v>
      </c>
      <c r="AN1397">
        <v>0</v>
      </c>
      <c r="AO1397">
        <v>0</v>
      </c>
      <c r="AP1397">
        <v>0</v>
      </c>
      <c r="AQ1397">
        <v>0</v>
      </c>
      <c r="AR1397">
        <v>1</v>
      </c>
      <c r="AS1397">
        <v>0</v>
      </c>
      <c r="AT1397">
        <v>0</v>
      </c>
      <c r="AU1397">
        <f t="shared" si="42"/>
        <v>0</v>
      </c>
      <c r="AV1397">
        <f t="shared" si="43"/>
        <v>0</v>
      </c>
    </row>
    <row r="1398" spans="1:48" x14ac:dyDescent="0.25">
      <c r="A1398" t="s">
        <v>5905</v>
      </c>
      <c r="C1398" t="s">
        <v>5906</v>
      </c>
      <c r="D1398" t="s">
        <v>5907</v>
      </c>
      <c r="E1398" t="s">
        <v>2310</v>
      </c>
      <c r="F1398">
        <v>9</v>
      </c>
      <c r="G1398">
        <v>9.1999999999999993</v>
      </c>
      <c r="H1398" t="s">
        <v>2022</v>
      </c>
      <c r="I1398" s="21">
        <v>38462</v>
      </c>
      <c r="J1398">
        <v>2005</v>
      </c>
      <c r="K1398" s="21">
        <v>38489</v>
      </c>
      <c r="L1398">
        <v>2005</v>
      </c>
      <c r="M1398" s="21">
        <v>38603</v>
      </c>
      <c r="N1398">
        <v>2005</v>
      </c>
      <c r="R1398" s="262">
        <v>40000</v>
      </c>
      <c r="S1398" t="s">
        <v>114</v>
      </c>
      <c r="T1398" t="s">
        <v>114</v>
      </c>
      <c r="U1398">
        <v>5</v>
      </c>
      <c r="W1398">
        <v>0</v>
      </c>
      <c r="X1398">
        <v>0</v>
      </c>
      <c r="Y1398">
        <v>0</v>
      </c>
      <c r="Z1398">
        <v>0</v>
      </c>
      <c r="AA1398">
        <v>0</v>
      </c>
      <c r="AB1398">
        <v>0</v>
      </c>
      <c r="AC1398">
        <v>0</v>
      </c>
      <c r="AD1398">
        <v>0</v>
      </c>
      <c r="AE1398">
        <v>0</v>
      </c>
      <c r="AF1398">
        <v>0</v>
      </c>
      <c r="AG1398">
        <v>0</v>
      </c>
      <c r="AH1398">
        <v>0</v>
      </c>
      <c r="AI1398">
        <v>0</v>
      </c>
      <c r="AJ1398">
        <v>0</v>
      </c>
      <c r="AK1398">
        <v>0</v>
      </c>
      <c r="AL1398">
        <v>0</v>
      </c>
      <c r="AM1398">
        <v>0</v>
      </c>
      <c r="AN1398">
        <v>0</v>
      </c>
      <c r="AO1398">
        <v>0</v>
      </c>
      <c r="AP1398">
        <v>0</v>
      </c>
      <c r="AQ1398">
        <v>0</v>
      </c>
      <c r="AR1398">
        <v>0</v>
      </c>
      <c r="AS1398">
        <v>0</v>
      </c>
      <c r="AT1398">
        <v>0</v>
      </c>
      <c r="AU1398">
        <f t="shared" si="42"/>
        <v>0</v>
      </c>
      <c r="AV1398">
        <f t="shared" si="43"/>
        <v>0</v>
      </c>
    </row>
    <row r="1399" spans="1:48" x14ac:dyDescent="0.25">
      <c r="A1399" t="s">
        <v>5908</v>
      </c>
      <c r="C1399" t="s">
        <v>5909</v>
      </c>
      <c r="D1399" t="s">
        <v>5910</v>
      </c>
      <c r="E1399" t="s">
        <v>2310</v>
      </c>
      <c r="F1399">
        <v>10</v>
      </c>
      <c r="G1399">
        <v>10.1</v>
      </c>
      <c r="H1399" t="s">
        <v>2323</v>
      </c>
      <c r="I1399" s="21">
        <v>38463</v>
      </c>
      <c r="J1399">
        <v>2005</v>
      </c>
      <c r="K1399" s="21">
        <v>38495</v>
      </c>
      <c r="L1399">
        <v>2005</v>
      </c>
      <c r="M1399" s="21">
        <v>39211</v>
      </c>
      <c r="N1399">
        <v>2007</v>
      </c>
      <c r="R1399" s="262">
        <v>340000</v>
      </c>
      <c r="S1399" t="s">
        <v>114</v>
      </c>
      <c r="T1399" t="s">
        <v>114</v>
      </c>
      <c r="U1399">
        <v>5</v>
      </c>
      <c r="W1399">
        <v>3713</v>
      </c>
      <c r="X1399">
        <v>1</v>
      </c>
      <c r="Y1399">
        <v>0</v>
      </c>
      <c r="Z1399">
        <v>0</v>
      </c>
      <c r="AA1399">
        <v>0</v>
      </c>
      <c r="AB1399">
        <v>0</v>
      </c>
      <c r="AC1399">
        <v>3713</v>
      </c>
      <c r="AD1399">
        <v>0</v>
      </c>
      <c r="AE1399">
        <v>0</v>
      </c>
      <c r="AF1399">
        <v>0</v>
      </c>
      <c r="AG1399">
        <v>0</v>
      </c>
      <c r="AH1399">
        <v>0</v>
      </c>
      <c r="AI1399">
        <v>0</v>
      </c>
      <c r="AJ1399">
        <v>0</v>
      </c>
      <c r="AK1399">
        <v>0</v>
      </c>
      <c r="AL1399">
        <v>0</v>
      </c>
      <c r="AM1399">
        <v>0</v>
      </c>
      <c r="AN1399">
        <v>0</v>
      </c>
      <c r="AO1399">
        <v>1</v>
      </c>
      <c r="AP1399">
        <v>0</v>
      </c>
      <c r="AQ1399">
        <v>0</v>
      </c>
      <c r="AR1399">
        <v>0</v>
      </c>
      <c r="AS1399">
        <v>0</v>
      </c>
      <c r="AT1399">
        <v>0</v>
      </c>
      <c r="AU1399">
        <f t="shared" si="42"/>
        <v>1</v>
      </c>
      <c r="AV1399">
        <f t="shared" si="43"/>
        <v>0</v>
      </c>
    </row>
    <row r="1400" spans="1:48" x14ac:dyDescent="0.25">
      <c r="A1400" t="s">
        <v>5911</v>
      </c>
      <c r="C1400" t="s">
        <v>5912</v>
      </c>
      <c r="D1400" t="s">
        <v>5913</v>
      </c>
      <c r="E1400" t="s">
        <v>2310</v>
      </c>
      <c r="F1400">
        <v>9</v>
      </c>
      <c r="G1400">
        <v>9.1</v>
      </c>
      <c r="H1400" t="s">
        <v>2323</v>
      </c>
      <c r="I1400" s="21">
        <v>38463</v>
      </c>
      <c r="J1400">
        <v>2005</v>
      </c>
      <c r="K1400" s="21">
        <v>38496</v>
      </c>
      <c r="L1400">
        <v>2005</v>
      </c>
      <c r="M1400" s="21">
        <v>39419</v>
      </c>
      <c r="N1400">
        <v>2007</v>
      </c>
      <c r="R1400" s="262">
        <v>675000</v>
      </c>
      <c r="S1400" t="s">
        <v>114</v>
      </c>
      <c r="T1400" t="s">
        <v>114</v>
      </c>
      <c r="U1400">
        <v>17</v>
      </c>
      <c r="W1400">
        <v>4976</v>
      </c>
      <c r="X1400">
        <v>2</v>
      </c>
      <c r="Y1400">
        <v>0</v>
      </c>
      <c r="Z1400">
        <v>0</v>
      </c>
      <c r="AA1400">
        <v>0</v>
      </c>
      <c r="AB1400">
        <v>0</v>
      </c>
      <c r="AC1400">
        <v>0</v>
      </c>
      <c r="AD1400">
        <v>4433</v>
      </c>
      <c r="AE1400">
        <v>0</v>
      </c>
      <c r="AF1400">
        <v>543</v>
      </c>
      <c r="AG1400">
        <v>0</v>
      </c>
      <c r="AH1400">
        <v>0</v>
      </c>
      <c r="AI1400">
        <v>0</v>
      </c>
      <c r="AJ1400">
        <v>0</v>
      </c>
      <c r="AK1400">
        <v>0</v>
      </c>
      <c r="AL1400">
        <v>0</v>
      </c>
      <c r="AM1400">
        <v>0</v>
      </c>
      <c r="AN1400">
        <v>0</v>
      </c>
      <c r="AO1400">
        <v>0</v>
      </c>
      <c r="AP1400">
        <v>1</v>
      </c>
      <c r="AQ1400">
        <v>0</v>
      </c>
      <c r="AR1400">
        <v>1</v>
      </c>
      <c r="AS1400">
        <v>0</v>
      </c>
      <c r="AT1400">
        <v>0</v>
      </c>
      <c r="AU1400">
        <f t="shared" si="42"/>
        <v>1</v>
      </c>
      <c r="AV1400">
        <f t="shared" si="43"/>
        <v>0</v>
      </c>
    </row>
    <row r="1401" spans="1:48" x14ac:dyDescent="0.25">
      <c r="A1401" t="s">
        <v>5914</v>
      </c>
      <c r="C1401" t="s">
        <v>5915</v>
      </c>
      <c r="D1401" t="s">
        <v>5302</v>
      </c>
      <c r="E1401" t="s">
        <v>2310</v>
      </c>
      <c r="F1401">
        <v>9</v>
      </c>
      <c r="G1401">
        <v>9.1999999999999993</v>
      </c>
      <c r="H1401" t="s">
        <v>2022</v>
      </c>
      <c r="I1401" s="21">
        <v>38463</v>
      </c>
      <c r="J1401">
        <v>2005</v>
      </c>
      <c r="K1401" s="21">
        <v>38497</v>
      </c>
      <c r="L1401">
        <v>2005</v>
      </c>
      <c r="M1401" s="21">
        <v>38497</v>
      </c>
      <c r="N1401">
        <v>2005</v>
      </c>
      <c r="R1401" s="262">
        <v>550000</v>
      </c>
      <c r="S1401" t="s">
        <v>114</v>
      </c>
      <c r="T1401" t="s">
        <v>114</v>
      </c>
      <c r="U1401">
        <v>5</v>
      </c>
      <c r="W1401">
        <v>886</v>
      </c>
      <c r="X1401">
        <v>0</v>
      </c>
      <c r="Y1401">
        <v>0</v>
      </c>
      <c r="Z1401">
        <v>0</v>
      </c>
      <c r="AA1401">
        <v>0</v>
      </c>
      <c r="AB1401">
        <v>0</v>
      </c>
      <c r="AC1401">
        <v>886</v>
      </c>
      <c r="AD1401">
        <v>0</v>
      </c>
      <c r="AE1401">
        <v>0</v>
      </c>
      <c r="AF1401">
        <v>0</v>
      </c>
      <c r="AG1401">
        <v>0</v>
      </c>
      <c r="AH1401">
        <v>0</v>
      </c>
      <c r="AI1401">
        <v>0</v>
      </c>
      <c r="AJ1401">
        <v>0</v>
      </c>
      <c r="AK1401">
        <v>0</v>
      </c>
      <c r="AL1401">
        <v>0</v>
      </c>
      <c r="AM1401">
        <v>0</v>
      </c>
      <c r="AN1401">
        <v>0</v>
      </c>
      <c r="AO1401">
        <v>0</v>
      </c>
      <c r="AP1401">
        <v>0</v>
      </c>
      <c r="AQ1401">
        <v>0</v>
      </c>
      <c r="AR1401">
        <v>0</v>
      </c>
      <c r="AS1401">
        <v>0</v>
      </c>
      <c r="AT1401">
        <v>0</v>
      </c>
      <c r="AU1401">
        <f t="shared" si="42"/>
        <v>0</v>
      </c>
      <c r="AV1401">
        <f t="shared" si="43"/>
        <v>0</v>
      </c>
    </row>
    <row r="1402" spans="1:48" x14ac:dyDescent="0.25">
      <c r="A1402" t="s">
        <v>5916</v>
      </c>
      <c r="C1402" t="s">
        <v>5917</v>
      </c>
      <c r="D1402" t="s">
        <v>5918</v>
      </c>
      <c r="E1402" t="s">
        <v>1663</v>
      </c>
      <c r="F1402">
        <v>6</v>
      </c>
      <c r="G1402">
        <v>6.1</v>
      </c>
      <c r="H1402" t="s">
        <v>2017</v>
      </c>
      <c r="I1402" s="21">
        <v>38467</v>
      </c>
      <c r="J1402">
        <v>2005</v>
      </c>
      <c r="K1402" s="21">
        <v>38497</v>
      </c>
      <c r="L1402">
        <v>2005</v>
      </c>
      <c r="M1402" s="21">
        <v>38650</v>
      </c>
      <c r="N1402">
        <v>2005</v>
      </c>
      <c r="Q1402" s="262">
        <v>0</v>
      </c>
      <c r="S1402" t="s">
        <v>114</v>
      </c>
      <c r="T1402" t="s">
        <v>114</v>
      </c>
      <c r="W1402">
        <v>2720</v>
      </c>
      <c r="X1402">
        <v>1</v>
      </c>
      <c r="Y1402">
        <v>0</v>
      </c>
      <c r="Z1402">
        <v>0</v>
      </c>
      <c r="AA1402">
        <v>0</v>
      </c>
      <c r="AB1402">
        <v>0</v>
      </c>
      <c r="AC1402">
        <v>2720</v>
      </c>
      <c r="AD1402">
        <v>0</v>
      </c>
      <c r="AE1402">
        <v>0</v>
      </c>
      <c r="AF1402">
        <v>0</v>
      </c>
      <c r="AG1402">
        <v>0</v>
      </c>
      <c r="AH1402">
        <v>0</v>
      </c>
      <c r="AI1402">
        <v>0</v>
      </c>
      <c r="AJ1402">
        <v>0</v>
      </c>
      <c r="AK1402">
        <v>0</v>
      </c>
      <c r="AL1402">
        <v>0</v>
      </c>
      <c r="AM1402">
        <v>0</v>
      </c>
      <c r="AN1402">
        <v>0</v>
      </c>
      <c r="AO1402">
        <v>1</v>
      </c>
      <c r="AP1402">
        <v>0</v>
      </c>
      <c r="AQ1402">
        <v>0</v>
      </c>
      <c r="AR1402">
        <v>0</v>
      </c>
      <c r="AS1402">
        <v>0</v>
      </c>
      <c r="AT1402">
        <v>0</v>
      </c>
      <c r="AU1402">
        <f t="shared" si="42"/>
        <v>1</v>
      </c>
      <c r="AV1402">
        <f t="shared" si="43"/>
        <v>0</v>
      </c>
    </row>
    <row r="1403" spans="1:48" x14ac:dyDescent="0.25">
      <c r="A1403" t="s">
        <v>5919</v>
      </c>
      <c r="C1403" t="s">
        <v>5920</v>
      </c>
      <c r="D1403" t="s">
        <v>5921</v>
      </c>
      <c r="E1403" t="s">
        <v>2310</v>
      </c>
      <c r="F1403">
        <v>9</v>
      </c>
      <c r="G1403">
        <v>9.4</v>
      </c>
      <c r="H1403" t="s">
        <v>2323</v>
      </c>
      <c r="I1403" s="21">
        <v>38467</v>
      </c>
      <c r="J1403">
        <v>2005</v>
      </c>
      <c r="K1403" s="21">
        <v>38491</v>
      </c>
      <c r="L1403">
        <v>2005</v>
      </c>
      <c r="M1403" s="21">
        <v>38566</v>
      </c>
      <c r="N1403">
        <v>2005</v>
      </c>
      <c r="R1403" s="262">
        <v>20000</v>
      </c>
      <c r="S1403" t="s">
        <v>114</v>
      </c>
      <c r="T1403" t="s">
        <v>114</v>
      </c>
      <c r="U1403">
        <v>7</v>
      </c>
      <c r="W1403">
        <v>0</v>
      </c>
      <c r="X1403">
        <v>0</v>
      </c>
      <c r="Y1403">
        <v>0</v>
      </c>
      <c r="Z1403">
        <v>0</v>
      </c>
      <c r="AA1403">
        <v>0</v>
      </c>
      <c r="AB1403">
        <v>0</v>
      </c>
      <c r="AC1403">
        <v>0</v>
      </c>
      <c r="AD1403">
        <v>0</v>
      </c>
      <c r="AE1403">
        <v>0</v>
      </c>
      <c r="AF1403">
        <v>0</v>
      </c>
      <c r="AG1403">
        <v>0</v>
      </c>
      <c r="AH1403">
        <v>0</v>
      </c>
      <c r="AI1403">
        <v>0</v>
      </c>
      <c r="AJ1403">
        <v>0</v>
      </c>
      <c r="AK1403">
        <v>0</v>
      </c>
      <c r="AL1403">
        <v>0</v>
      </c>
      <c r="AM1403">
        <v>0</v>
      </c>
      <c r="AN1403">
        <v>0</v>
      </c>
      <c r="AO1403">
        <v>0</v>
      </c>
      <c r="AP1403">
        <v>0</v>
      </c>
      <c r="AQ1403">
        <v>0</v>
      </c>
      <c r="AR1403">
        <v>0</v>
      </c>
      <c r="AS1403">
        <v>0</v>
      </c>
      <c r="AT1403">
        <v>0</v>
      </c>
      <c r="AU1403">
        <f t="shared" si="42"/>
        <v>0</v>
      </c>
      <c r="AV1403">
        <f t="shared" si="43"/>
        <v>0</v>
      </c>
    </row>
    <row r="1404" spans="1:48" x14ac:dyDescent="0.25">
      <c r="A1404" t="s">
        <v>5922</v>
      </c>
      <c r="C1404" t="s">
        <v>5923</v>
      </c>
      <c r="D1404" t="s">
        <v>5924</v>
      </c>
      <c r="E1404" t="s">
        <v>2310</v>
      </c>
      <c r="F1404">
        <v>15</v>
      </c>
      <c r="G1404">
        <v>15.1</v>
      </c>
      <c r="H1404" t="s">
        <v>2022</v>
      </c>
      <c r="I1404" s="21">
        <v>38467</v>
      </c>
      <c r="J1404">
        <v>2005</v>
      </c>
      <c r="M1404" s="21">
        <v>38698</v>
      </c>
      <c r="N1404">
        <v>2005</v>
      </c>
      <c r="R1404" s="262">
        <v>65000</v>
      </c>
      <c r="S1404" t="s">
        <v>114</v>
      </c>
      <c r="T1404" t="s">
        <v>114</v>
      </c>
      <c r="U1404">
        <v>15</v>
      </c>
      <c r="W1404">
        <v>0</v>
      </c>
      <c r="X1404">
        <v>0</v>
      </c>
      <c r="Y1404">
        <v>0</v>
      </c>
      <c r="Z1404">
        <v>0</v>
      </c>
      <c r="AA1404">
        <v>0</v>
      </c>
      <c r="AB1404">
        <v>0</v>
      </c>
      <c r="AC1404">
        <v>0</v>
      </c>
      <c r="AD1404">
        <v>0</v>
      </c>
      <c r="AE1404">
        <v>0</v>
      </c>
      <c r="AF1404">
        <v>0</v>
      </c>
      <c r="AG1404">
        <v>0</v>
      </c>
      <c r="AH1404">
        <v>0</v>
      </c>
      <c r="AI1404">
        <v>0</v>
      </c>
      <c r="AJ1404">
        <v>0</v>
      </c>
      <c r="AK1404">
        <v>0</v>
      </c>
      <c r="AL1404">
        <v>0</v>
      </c>
      <c r="AM1404">
        <v>0</v>
      </c>
      <c r="AN1404">
        <v>0</v>
      </c>
      <c r="AO1404">
        <v>0</v>
      </c>
      <c r="AP1404">
        <v>0</v>
      </c>
      <c r="AQ1404">
        <v>0</v>
      </c>
      <c r="AR1404">
        <v>0</v>
      </c>
      <c r="AS1404">
        <v>0</v>
      </c>
      <c r="AT1404">
        <v>0</v>
      </c>
      <c r="AU1404">
        <f t="shared" si="42"/>
        <v>0</v>
      </c>
      <c r="AV1404">
        <f t="shared" si="43"/>
        <v>0</v>
      </c>
    </row>
    <row r="1405" spans="1:48" x14ac:dyDescent="0.25">
      <c r="A1405" t="s">
        <v>5925</v>
      </c>
      <c r="C1405" t="s">
        <v>5926</v>
      </c>
      <c r="D1405" t="s">
        <v>5927</v>
      </c>
      <c r="E1405" t="s">
        <v>2310</v>
      </c>
      <c r="F1405">
        <v>11</v>
      </c>
      <c r="G1405">
        <v>11.4</v>
      </c>
      <c r="H1405" t="s">
        <v>2017</v>
      </c>
      <c r="I1405" s="21">
        <v>38467</v>
      </c>
      <c r="J1405">
        <v>2005</v>
      </c>
      <c r="K1405" s="21">
        <v>38497</v>
      </c>
      <c r="L1405">
        <v>2005</v>
      </c>
      <c r="M1405" s="21">
        <v>39101</v>
      </c>
      <c r="N1405">
        <v>2007</v>
      </c>
      <c r="R1405" s="262">
        <v>480000</v>
      </c>
      <c r="S1405" t="s">
        <v>114</v>
      </c>
      <c r="T1405" t="s">
        <v>114</v>
      </c>
      <c r="U1405">
        <v>5</v>
      </c>
      <c r="W1405">
        <v>1369</v>
      </c>
      <c r="X1405">
        <v>1</v>
      </c>
      <c r="Y1405">
        <v>0</v>
      </c>
      <c r="Z1405">
        <v>0</v>
      </c>
      <c r="AA1405">
        <v>0</v>
      </c>
      <c r="AB1405">
        <v>0</v>
      </c>
      <c r="AC1405">
        <v>1369</v>
      </c>
      <c r="AD1405">
        <v>0</v>
      </c>
      <c r="AE1405">
        <v>0</v>
      </c>
      <c r="AF1405">
        <v>0</v>
      </c>
      <c r="AG1405">
        <v>0</v>
      </c>
      <c r="AH1405">
        <v>0</v>
      </c>
      <c r="AI1405">
        <v>0</v>
      </c>
      <c r="AJ1405">
        <v>0</v>
      </c>
      <c r="AK1405">
        <v>0</v>
      </c>
      <c r="AL1405">
        <v>0</v>
      </c>
      <c r="AM1405">
        <v>0</v>
      </c>
      <c r="AN1405">
        <v>0</v>
      </c>
      <c r="AO1405">
        <v>1</v>
      </c>
      <c r="AP1405">
        <v>0</v>
      </c>
      <c r="AQ1405">
        <v>0</v>
      </c>
      <c r="AR1405">
        <v>0</v>
      </c>
      <c r="AS1405">
        <v>0</v>
      </c>
      <c r="AT1405">
        <v>0</v>
      </c>
      <c r="AU1405">
        <f t="shared" si="42"/>
        <v>1</v>
      </c>
      <c r="AV1405">
        <f t="shared" si="43"/>
        <v>0</v>
      </c>
    </row>
    <row r="1406" spans="1:48" x14ac:dyDescent="0.25">
      <c r="A1406" t="s">
        <v>5928</v>
      </c>
      <c r="C1406" t="s">
        <v>5929</v>
      </c>
      <c r="D1406" t="s">
        <v>5930</v>
      </c>
      <c r="E1406" t="s">
        <v>2310</v>
      </c>
      <c r="F1406">
        <v>9</v>
      </c>
      <c r="G1406">
        <v>9.4</v>
      </c>
      <c r="H1406" t="s">
        <v>2323</v>
      </c>
      <c r="I1406" s="21">
        <v>38467</v>
      </c>
      <c r="J1406">
        <v>2005</v>
      </c>
      <c r="K1406" s="21">
        <v>38547</v>
      </c>
      <c r="L1406">
        <v>2005</v>
      </c>
      <c r="M1406" s="21">
        <v>39315</v>
      </c>
      <c r="N1406">
        <v>2007</v>
      </c>
      <c r="R1406" s="262">
        <v>1645000</v>
      </c>
      <c r="S1406" t="s">
        <v>114</v>
      </c>
      <c r="T1406" t="s">
        <v>114</v>
      </c>
      <c r="U1406">
        <v>5</v>
      </c>
      <c r="W1406">
        <v>5801</v>
      </c>
      <c r="X1406">
        <v>1</v>
      </c>
      <c r="Y1406">
        <v>0</v>
      </c>
      <c r="Z1406">
        <v>0</v>
      </c>
      <c r="AA1406">
        <v>0</v>
      </c>
      <c r="AB1406">
        <v>0</v>
      </c>
      <c r="AC1406">
        <v>5801</v>
      </c>
      <c r="AD1406">
        <v>0</v>
      </c>
      <c r="AE1406">
        <v>0</v>
      </c>
      <c r="AF1406">
        <v>0</v>
      </c>
      <c r="AG1406">
        <v>0</v>
      </c>
      <c r="AH1406">
        <v>0</v>
      </c>
      <c r="AI1406">
        <v>0</v>
      </c>
      <c r="AJ1406">
        <v>0</v>
      </c>
      <c r="AK1406">
        <v>0</v>
      </c>
      <c r="AL1406">
        <v>0</v>
      </c>
      <c r="AM1406">
        <v>0</v>
      </c>
      <c r="AN1406">
        <v>0</v>
      </c>
      <c r="AO1406">
        <v>1</v>
      </c>
      <c r="AP1406">
        <v>0</v>
      </c>
      <c r="AQ1406">
        <v>0</v>
      </c>
      <c r="AR1406">
        <v>0</v>
      </c>
      <c r="AS1406">
        <v>0</v>
      </c>
      <c r="AT1406">
        <v>0</v>
      </c>
      <c r="AU1406">
        <f t="shared" si="42"/>
        <v>1</v>
      </c>
      <c r="AV1406">
        <f t="shared" si="43"/>
        <v>0</v>
      </c>
    </row>
    <row r="1407" spans="1:48" x14ac:dyDescent="0.25">
      <c r="A1407" t="s">
        <v>5931</v>
      </c>
      <c r="C1407" t="s">
        <v>5207</v>
      </c>
      <c r="D1407" t="s">
        <v>5932</v>
      </c>
      <c r="E1407" t="s">
        <v>2310</v>
      </c>
      <c r="F1407">
        <v>9</v>
      </c>
      <c r="G1407">
        <v>9.3000000000000007</v>
      </c>
      <c r="H1407" t="s">
        <v>2323</v>
      </c>
      <c r="I1407" s="21">
        <v>38468</v>
      </c>
      <c r="J1407">
        <v>2005</v>
      </c>
      <c r="K1407" s="21">
        <v>38509</v>
      </c>
      <c r="L1407">
        <v>2005</v>
      </c>
      <c r="M1407" s="21">
        <v>39703</v>
      </c>
      <c r="N1407">
        <v>2008</v>
      </c>
      <c r="R1407" s="262">
        <v>1039000</v>
      </c>
      <c r="S1407" t="s">
        <v>114</v>
      </c>
      <c r="T1407" t="s">
        <v>114</v>
      </c>
      <c r="U1407">
        <v>5</v>
      </c>
      <c r="W1407">
        <v>4882</v>
      </c>
      <c r="X1407">
        <v>1</v>
      </c>
      <c r="Y1407">
        <v>0</v>
      </c>
      <c r="Z1407">
        <v>0</v>
      </c>
      <c r="AA1407">
        <v>0</v>
      </c>
      <c r="AB1407">
        <v>0</v>
      </c>
      <c r="AC1407">
        <v>4882</v>
      </c>
      <c r="AD1407">
        <v>0</v>
      </c>
      <c r="AE1407">
        <v>0</v>
      </c>
      <c r="AF1407">
        <v>0</v>
      </c>
      <c r="AG1407">
        <v>0</v>
      </c>
      <c r="AH1407">
        <v>0</v>
      </c>
      <c r="AI1407">
        <v>0</v>
      </c>
      <c r="AJ1407">
        <v>0</v>
      </c>
      <c r="AK1407">
        <v>0</v>
      </c>
      <c r="AL1407">
        <v>0</v>
      </c>
      <c r="AM1407">
        <v>0</v>
      </c>
      <c r="AN1407">
        <v>0</v>
      </c>
      <c r="AO1407">
        <v>1</v>
      </c>
      <c r="AP1407">
        <v>0</v>
      </c>
      <c r="AQ1407">
        <v>0</v>
      </c>
      <c r="AR1407">
        <v>0</v>
      </c>
      <c r="AS1407">
        <v>0</v>
      </c>
      <c r="AT1407">
        <v>0</v>
      </c>
      <c r="AU1407">
        <f t="shared" si="42"/>
        <v>1</v>
      </c>
      <c r="AV1407">
        <f t="shared" si="43"/>
        <v>0</v>
      </c>
    </row>
    <row r="1408" spans="1:48" x14ac:dyDescent="0.25">
      <c r="A1408" t="s">
        <v>5933</v>
      </c>
      <c r="C1408" t="s">
        <v>5934</v>
      </c>
      <c r="D1408" t="s">
        <v>5935</v>
      </c>
      <c r="E1408" t="s">
        <v>2310</v>
      </c>
      <c r="F1408">
        <v>8</v>
      </c>
      <c r="G1408">
        <v>8.1</v>
      </c>
      <c r="H1408" t="s">
        <v>2323</v>
      </c>
      <c r="I1408" s="21">
        <v>38468</v>
      </c>
      <c r="J1408">
        <v>2005</v>
      </c>
      <c r="K1408" s="21">
        <v>38509</v>
      </c>
      <c r="L1408">
        <v>2005</v>
      </c>
      <c r="M1408" s="21">
        <v>38628</v>
      </c>
      <c r="N1408">
        <v>2005</v>
      </c>
      <c r="R1408" s="262">
        <v>75000</v>
      </c>
      <c r="S1408" t="s">
        <v>114</v>
      </c>
      <c r="T1408" t="s">
        <v>114</v>
      </c>
      <c r="U1408">
        <v>5</v>
      </c>
      <c r="W1408">
        <v>1678</v>
      </c>
      <c r="X1408">
        <v>0</v>
      </c>
      <c r="Y1408">
        <v>0</v>
      </c>
      <c r="Z1408">
        <v>0</v>
      </c>
      <c r="AA1408">
        <v>0</v>
      </c>
      <c r="AB1408">
        <v>0</v>
      </c>
      <c r="AC1408">
        <v>1678</v>
      </c>
      <c r="AD1408">
        <v>0</v>
      </c>
      <c r="AE1408">
        <v>0</v>
      </c>
      <c r="AF1408">
        <v>0</v>
      </c>
      <c r="AG1408">
        <v>0</v>
      </c>
      <c r="AH1408">
        <v>0</v>
      </c>
      <c r="AI1408">
        <v>0</v>
      </c>
      <c r="AJ1408">
        <v>0</v>
      </c>
      <c r="AK1408">
        <v>0</v>
      </c>
      <c r="AL1408">
        <v>0</v>
      </c>
      <c r="AM1408">
        <v>0</v>
      </c>
      <c r="AN1408">
        <v>0</v>
      </c>
      <c r="AO1408">
        <v>0</v>
      </c>
      <c r="AP1408">
        <v>0</v>
      </c>
      <c r="AQ1408">
        <v>0</v>
      </c>
      <c r="AR1408">
        <v>0</v>
      </c>
      <c r="AS1408">
        <v>0</v>
      </c>
      <c r="AT1408">
        <v>0</v>
      </c>
      <c r="AU1408">
        <f t="shared" si="42"/>
        <v>0</v>
      </c>
      <c r="AV1408">
        <f t="shared" si="43"/>
        <v>0</v>
      </c>
    </row>
    <row r="1409" spans="1:48" x14ac:dyDescent="0.25">
      <c r="A1409" t="s">
        <v>5936</v>
      </c>
      <c r="C1409" t="s">
        <v>5207</v>
      </c>
      <c r="D1409" t="s">
        <v>5937</v>
      </c>
      <c r="E1409" t="s">
        <v>2310</v>
      </c>
      <c r="F1409">
        <v>13</v>
      </c>
      <c r="G1409">
        <v>13.3</v>
      </c>
      <c r="H1409" t="s">
        <v>2017</v>
      </c>
      <c r="I1409" s="21">
        <v>38468</v>
      </c>
      <c r="J1409">
        <v>2005</v>
      </c>
      <c r="K1409" s="21">
        <v>38548</v>
      </c>
      <c r="L1409">
        <v>2005</v>
      </c>
      <c r="M1409" s="21">
        <v>39212</v>
      </c>
      <c r="N1409">
        <v>2007</v>
      </c>
      <c r="R1409" s="262">
        <v>1600000</v>
      </c>
      <c r="S1409" t="s">
        <v>114</v>
      </c>
      <c r="T1409" t="s">
        <v>114</v>
      </c>
      <c r="U1409">
        <v>5</v>
      </c>
      <c r="W1409">
        <v>7527</v>
      </c>
      <c r="X1409">
        <v>1</v>
      </c>
      <c r="Y1409">
        <v>0</v>
      </c>
      <c r="Z1409">
        <v>0</v>
      </c>
      <c r="AA1409">
        <v>0</v>
      </c>
      <c r="AB1409">
        <v>0</v>
      </c>
      <c r="AC1409">
        <v>7527</v>
      </c>
      <c r="AD1409">
        <v>0</v>
      </c>
      <c r="AE1409">
        <v>0</v>
      </c>
      <c r="AF1409">
        <v>0</v>
      </c>
      <c r="AG1409">
        <v>0</v>
      </c>
      <c r="AH1409">
        <v>0</v>
      </c>
      <c r="AI1409">
        <v>0</v>
      </c>
      <c r="AJ1409">
        <v>0</v>
      </c>
      <c r="AK1409">
        <v>0</v>
      </c>
      <c r="AL1409">
        <v>0</v>
      </c>
      <c r="AM1409">
        <v>0</v>
      </c>
      <c r="AN1409">
        <v>0</v>
      </c>
      <c r="AO1409">
        <v>1</v>
      </c>
      <c r="AP1409">
        <v>0</v>
      </c>
      <c r="AQ1409">
        <v>0</v>
      </c>
      <c r="AR1409">
        <v>0</v>
      </c>
      <c r="AS1409">
        <v>0</v>
      </c>
      <c r="AT1409">
        <v>0</v>
      </c>
      <c r="AU1409">
        <f t="shared" si="42"/>
        <v>1</v>
      </c>
      <c r="AV1409">
        <f t="shared" si="43"/>
        <v>0</v>
      </c>
    </row>
    <row r="1410" spans="1:48" x14ac:dyDescent="0.25">
      <c r="A1410" t="s">
        <v>5938</v>
      </c>
      <c r="C1410" t="s">
        <v>5939</v>
      </c>
      <c r="D1410" t="s">
        <v>5940</v>
      </c>
      <c r="E1410" t="s">
        <v>2310</v>
      </c>
      <c r="F1410">
        <v>14</v>
      </c>
      <c r="G1410">
        <v>14.1</v>
      </c>
      <c r="H1410" t="s">
        <v>2022</v>
      </c>
      <c r="I1410" s="21">
        <v>38468</v>
      </c>
      <c r="J1410">
        <v>2005</v>
      </c>
      <c r="K1410" s="21">
        <v>38499</v>
      </c>
      <c r="L1410">
        <v>2005</v>
      </c>
      <c r="M1410" s="21">
        <v>39287</v>
      </c>
      <c r="N1410">
        <v>2007</v>
      </c>
      <c r="R1410" s="262">
        <v>193000</v>
      </c>
      <c r="S1410" t="s">
        <v>114</v>
      </c>
      <c r="T1410" t="s">
        <v>114</v>
      </c>
      <c r="U1410">
        <v>5</v>
      </c>
      <c r="W1410">
        <v>2734</v>
      </c>
      <c r="X1410">
        <v>1</v>
      </c>
      <c r="Y1410">
        <v>0</v>
      </c>
      <c r="Z1410">
        <v>0</v>
      </c>
      <c r="AA1410">
        <v>0</v>
      </c>
      <c r="AB1410">
        <v>0</v>
      </c>
      <c r="AC1410">
        <v>2734</v>
      </c>
      <c r="AD1410">
        <v>0</v>
      </c>
      <c r="AE1410">
        <v>0</v>
      </c>
      <c r="AF1410">
        <v>0</v>
      </c>
      <c r="AG1410">
        <v>0</v>
      </c>
      <c r="AH1410">
        <v>0</v>
      </c>
      <c r="AI1410">
        <v>0</v>
      </c>
      <c r="AJ1410">
        <v>0</v>
      </c>
      <c r="AK1410">
        <v>0</v>
      </c>
      <c r="AL1410">
        <v>0</v>
      </c>
      <c r="AM1410">
        <v>0</v>
      </c>
      <c r="AN1410">
        <v>0</v>
      </c>
      <c r="AO1410">
        <v>1</v>
      </c>
      <c r="AP1410">
        <v>0</v>
      </c>
      <c r="AQ1410">
        <v>0</v>
      </c>
      <c r="AR1410">
        <v>0</v>
      </c>
      <c r="AS1410">
        <v>0</v>
      </c>
      <c r="AT1410">
        <v>0</v>
      </c>
      <c r="AU1410">
        <f t="shared" si="42"/>
        <v>1</v>
      </c>
      <c r="AV1410">
        <f t="shared" si="43"/>
        <v>0</v>
      </c>
    </row>
    <row r="1411" spans="1:48" x14ac:dyDescent="0.25">
      <c r="A1411" t="s">
        <v>5941</v>
      </c>
      <c r="C1411" t="s">
        <v>5942</v>
      </c>
      <c r="D1411" t="s">
        <v>5943</v>
      </c>
      <c r="E1411" t="s">
        <v>2310</v>
      </c>
      <c r="F1411">
        <v>13</v>
      </c>
      <c r="G1411">
        <v>13.1</v>
      </c>
      <c r="H1411" t="s">
        <v>2327</v>
      </c>
      <c r="I1411" s="21">
        <v>38469</v>
      </c>
      <c r="J1411">
        <v>2005</v>
      </c>
      <c r="K1411" s="21">
        <v>38485</v>
      </c>
      <c r="L1411">
        <v>2005</v>
      </c>
      <c r="M1411" s="21">
        <v>38485</v>
      </c>
      <c r="N1411">
        <v>2005</v>
      </c>
      <c r="R1411" s="262">
        <v>650000</v>
      </c>
      <c r="S1411" t="s">
        <v>114</v>
      </c>
      <c r="T1411" t="s">
        <v>114</v>
      </c>
      <c r="U1411">
        <v>11</v>
      </c>
      <c r="W1411">
        <v>0</v>
      </c>
      <c r="X1411">
        <v>0</v>
      </c>
      <c r="Y1411">
        <v>0</v>
      </c>
      <c r="Z1411">
        <v>0</v>
      </c>
      <c r="AA1411">
        <v>0</v>
      </c>
      <c r="AB1411">
        <v>0</v>
      </c>
      <c r="AC1411">
        <v>0</v>
      </c>
      <c r="AD1411">
        <v>0</v>
      </c>
      <c r="AE1411">
        <v>0</v>
      </c>
      <c r="AF1411">
        <v>0</v>
      </c>
      <c r="AG1411">
        <v>0</v>
      </c>
      <c r="AH1411">
        <v>0</v>
      </c>
      <c r="AI1411">
        <v>0</v>
      </c>
      <c r="AJ1411">
        <v>0</v>
      </c>
      <c r="AK1411">
        <v>0</v>
      </c>
      <c r="AL1411">
        <v>0</v>
      </c>
      <c r="AM1411">
        <v>0</v>
      </c>
      <c r="AN1411">
        <v>0</v>
      </c>
      <c r="AO1411">
        <v>0</v>
      </c>
      <c r="AP1411">
        <v>0</v>
      </c>
      <c r="AQ1411">
        <v>0</v>
      </c>
      <c r="AR1411">
        <v>0</v>
      </c>
      <c r="AS1411">
        <v>0</v>
      </c>
      <c r="AT1411">
        <v>0</v>
      </c>
      <c r="AU1411">
        <f t="shared" si="42"/>
        <v>0</v>
      </c>
      <c r="AV1411">
        <f t="shared" si="43"/>
        <v>0</v>
      </c>
    </row>
    <row r="1412" spans="1:48" x14ac:dyDescent="0.25">
      <c r="A1412" t="s">
        <v>5944</v>
      </c>
      <c r="C1412" t="s">
        <v>4614</v>
      </c>
      <c r="D1412" t="s">
        <v>5945</v>
      </c>
      <c r="E1412" t="s">
        <v>2310</v>
      </c>
      <c r="F1412">
        <v>11</v>
      </c>
      <c r="G1412">
        <v>11.2</v>
      </c>
      <c r="H1412" t="s">
        <v>2017</v>
      </c>
      <c r="I1412" s="21">
        <v>38469</v>
      </c>
      <c r="J1412">
        <v>2005</v>
      </c>
      <c r="K1412" s="21">
        <v>38496</v>
      </c>
      <c r="L1412">
        <v>2005</v>
      </c>
      <c r="M1412" s="21">
        <v>38776</v>
      </c>
      <c r="N1412">
        <v>2006</v>
      </c>
      <c r="R1412" s="262">
        <v>337000</v>
      </c>
      <c r="S1412" t="s">
        <v>114</v>
      </c>
      <c r="T1412" t="s">
        <v>114</v>
      </c>
      <c r="U1412">
        <v>5</v>
      </c>
      <c r="W1412">
        <v>3098</v>
      </c>
      <c r="X1412">
        <v>1</v>
      </c>
      <c r="Y1412">
        <v>0</v>
      </c>
      <c r="Z1412">
        <v>0</v>
      </c>
      <c r="AA1412">
        <v>0</v>
      </c>
      <c r="AB1412">
        <v>0</v>
      </c>
      <c r="AC1412">
        <v>3098</v>
      </c>
      <c r="AD1412">
        <v>0</v>
      </c>
      <c r="AE1412">
        <v>0</v>
      </c>
      <c r="AF1412">
        <v>0</v>
      </c>
      <c r="AG1412">
        <v>0</v>
      </c>
      <c r="AH1412">
        <v>0</v>
      </c>
      <c r="AI1412">
        <v>0</v>
      </c>
      <c r="AJ1412">
        <v>0</v>
      </c>
      <c r="AK1412">
        <v>0</v>
      </c>
      <c r="AL1412">
        <v>0</v>
      </c>
      <c r="AM1412">
        <v>0</v>
      </c>
      <c r="AN1412">
        <v>0</v>
      </c>
      <c r="AO1412">
        <v>1</v>
      </c>
      <c r="AP1412">
        <v>0</v>
      </c>
      <c r="AQ1412">
        <v>0</v>
      </c>
      <c r="AR1412">
        <v>0</v>
      </c>
      <c r="AS1412">
        <v>0</v>
      </c>
      <c r="AT1412">
        <v>0</v>
      </c>
      <c r="AU1412">
        <f t="shared" si="42"/>
        <v>1</v>
      </c>
      <c r="AV1412">
        <f t="shared" si="43"/>
        <v>0</v>
      </c>
    </row>
    <row r="1413" spans="1:48" x14ac:dyDescent="0.25">
      <c r="A1413" t="s">
        <v>5946</v>
      </c>
      <c r="C1413" t="s">
        <v>5947</v>
      </c>
      <c r="D1413" t="s">
        <v>5948</v>
      </c>
      <c r="E1413" t="s">
        <v>2310</v>
      </c>
      <c r="F1413">
        <v>9</v>
      </c>
      <c r="G1413">
        <v>9.4</v>
      </c>
      <c r="H1413" t="s">
        <v>2323</v>
      </c>
      <c r="I1413" s="21">
        <v>38470</v>
      </c>
      <c r="J1413">
        <v>2005</v>
      </c>
      <c r="K1413" s="21">
        <v>38499</v>
      </c>
      <c r="L1413">
        <v>2005</v>
      </c>
      <c r="M1413" s="21">
        <v>38616</v>
      </c>
      <c r="N1413">
        <v>2005</v>
      </c>
      <c r="R1413" s="262">
        <v>5000</v>
      </c>
      <c r="S1413" t="s">
        <v>114</v>
      </c>
      <c r="T1413" t="s">
        <v>114</v>
      </c>
      <c r="U1413">
        <v>5</v>
      </c>
      <c r="W1413">
        <v>144</v>
      </c>
      <c r="X1413">
        <v>0</v>
      </c>
      <c r="Y1413">
        <v>0</v>
      </c>
      <c r="Z1413">
        <v>0</v>
      </c>
      <c r="AA1413">
        <v>0</v>
      </c>
      <c r="AB1413">
        <v>0</v>
      </c>
      <c r="AC1413">
        <v>144</v>
      </c>
      <c r="AD1413">
        <v>0</v>
      </c>
      <c r="AE1413">
        <v>0</v>
      </c>
      <c r="AF1413">
        <v>0</v>
      </c>
      <c r="AG1413">
        <v>0</v>
      </c>
      <c r="AH1413">
        <v>0</v>
      </c>
      <c r="AI1413">
        <v>0</v>
      </c>
      <c r="AJ1413">
        <v>0</v>
      </c>
      <c r="AK1413">
        <v>0</v>
      </c>
      <c r="AL1413">
        <v>0</v>
      </c>
      <c r="AM1413">
        <v>0</v>
      </c>
      <c r="AN1413">
        <v>0</v>
      </c>
      <c r="AO1413">
        <v>0</v>
      </c>
      <c r="AP1413">
        <v>0</v>
      </c>
      <c r="AQ1413">
        <v>0</v>
      </c>
      <c r="AR1413">
        <v>0</v>
      </c>
      <c r="AS1413">
        <v>0</v>
      </c>
      <c r="AT1413">
        <v>0</v>
      </c>
      <c r="AU1413">
        <f t="shared" si="42"/>
        <v>0</v>
      </c>
      <c r="AV1413">
        <f t="shared" si="43"/>
        <v>0</v>
      </c>
    </row>
    <row r="1414" spans="1:48" x14ac:dyDescent="0.25">
      <c r="A1414" t="s">
        <v>5949</v>
      </c>
      <c r="C1414" t="s">
        <v>5950</v>
      </c>
      <c r="D1414" t="s">
        <v>5951</v>
      </c>
      <c r="E1414" t="s">
        <v>2310</v>
      </c>
      <c r="F1414">
        <v>14</v>
      </c>
      <c r="G1414">
        <v>14.1</v>
      </c>
      <c r="H1414" t="s">
        <v>2022</v>
      </c>
      <c r="I1414" s="21">
        <v>38470</v>
      </c>
      <c r="J1414">
        <v>2005</v>
      </c>
      <c r="K1414" s="21">
        <v>38498</v>
      </c>
      <c r="L1414">
        <v>2005</v>
      </c>
      <c r="M1414" s="21">
        <v>38833</v>
      </c>
      <c r="N1414">
        <v>2006</v>
      </c>
      <c r="R1414" s="262">
        <v>276000</v>
      </c>
      <c r="S1414" t="s">
        <v>114</v>
      </c>
      <c r="T1414" t="s">
        <v>114</v>
      </c>
      <c r="U1414">
        <v>5</v>
      </c>
      <c r="W1414">
        <v>3020</v>
      </c>
      <c r="X1414">
        <v>1</v>
      </c>
      <c r="Y1414">
        <v>0</v>
      </c>
      <c r="Z1414">
        <v>0</v>
      </c>
      <c r="AA1414">
        <v>0</v>
      </c>
      <c r="AB1414">
        <v>0</v>
      </c>
      <c r="AC1414">
        <v>3020</v>
      </c>
      <c r="AD1414">
        <v>0</v>
      </c>
      <c r="AE1414">
        <v>0</v>
      </c>
      <c r="AF1414">
        <v>0</v>
      </c>
      <c r="AG1414">
        <v>0</v>
      </c>
      <c r="AH1414">
        <v>0</v>
      </c>
      <c r="AI1414">
        <v>0</v>
      </c>
      <c r="AJ1414">
        <v>0</v>
      </c>
      <c r="AK1414">
        <v>0</v>
      </c>
      <c r="AL1414">
        <v>0</v>
      </c>
      <c r="AM1414">
        <v>0</v>
      </c>
      <c r="AN1414">
        <v>0</v>
      </c>
      <c r="AO1414">
        <v>1</v>
      </c>
      <c r="AP1414">
        <v>0</v>
      </c>
      <c r="AQ1414">
        <v>0</v>
      </c>
      <c r="AR1414">
        <v>0</v>
      </c>
      <c r="AS1414">
        <v>0</v>
      </c>
      <c r="AT1414">
        <v>0</v>
      </c>
      <c r="AU1414">
        <f t="shared" si="42"/>
        <v>1</v>
      </c>
      <c r="AV1414">
        <f t="shared" si="43"/>
        <v>0</v>
      </c>
    </row>
    <row r="1415" spans="1:48" x14ac:dyDescent="0.25">
      <c r="A1415" t="s">
        <v>5952</v>
      </c>
      <c r="C1415" t="s">
        <v>3870</v>
      </c>
      <c r="D1415" t="s">
        <v>5951</v>
      </c>
      <c r="E1415" t="s">
        <v>2310</v>
      </c>
      <c r="F1415">
        <v>14</v>
      </c>
      <c r="G1415">
        <v>14.1</v>
      </c>
      <c r="H1415" t="s">
        <v>2022</v>
      </c>
      <c r="I1415" s="21">
        <v>38470</v>
      </c>
      <c r="J1415">
        <v>2005</v>
      </c>
      <c r="K1415" s="21">
        <v>38498</v>
      </c>
      <c r="L1415">
        <v>2005</v>
      </c>
      <c r="M1415" s="21">
        <v>38833</v>
      </c>
      <c r="N1415">
        <v>2006</v>
      </c>
      <c r="R1415" s="262">
        <v>30000</v>
      </c>
      <c r="S1415" t="s">
        <v>114</v>
      </c>
      <c r="T1415" t="s">
        <v>114</v>
      </c>
      <c r="U1415">
        <v>5</v>
      </c>
      <c r="W1415">
        <v>676</v>
      </c>
      <c r="X1415">
        <v>0</v>
      </c>
      <c r="Y1415">
        <v>0</v>
      </c>
      <c r="Z1415">
        <v>0</v>
      </c>
      <c r="AA1415">
        <v>0</v>
      </c>
      <c r="AB1415">
        <v>0</v>
      </c>
      <c r="AC1415">
        <v>676</v>
      </c>
      <c r="AD1415">
        <v>0</v>
      </c>
      <c r="AE1415">
        <v>0</v>
      </c>
      <c r="AF1415">
        <v>0</v>
      </c>
      <c r="AG1415">
        <v>0</v>
      </c>
      <c r="AH1415">
        <v>0</v>
      </c>
      <c r="AI1415">
        <v>0</v>
      </c>
      <c r="AJ1415">
        <v>0</v>
      </c>
      <c r="AK1415">
        <v>0</v>
      </c>
      <c r="AL1415">
        <v>0</v>
      </c>
      <c r="AM1415">
        <v>0</v>
      </c>
      <c r="AN1415">
        <v>0</v>
      </c>
      <c r="AO1415">
        <v>0</v>
      </c>
      <c r="AP1415">
        <v>0</v>
      </c>
      <c r="AQ1415">
        <v>0</v>
      </c>
      <c r="AR1415">
        <v>0</v>
      </c>
      <c r="AS1415">
        <v>0</v>
      </c>
      <c r="AT1415">
        <v>0</v>
      </c>
      <c r="AU1415">
        <f t="shared" si="42"/>
        <v>0</v>
      </c>
      <c r="AV1415">
        <f t="shared" si="43"/>
        <v>0</v>
      </c>
    </row>
    <row r="1416" spans="1:48" x14ac:dyDescent="0.25">
      <c r="A1416" t="s">
        <v>5953</v>
      </c>
      <c r="C1416" t="s">
        <v>5954</v>
      </c>
      <c r="D1416" t="s">
        <v>5955</v>
      </c>
      <c r="E1416" t="s">
        <v>2310</v>
      </c>
      <c r="F1416">
        <v>9</v>
      </c>
      <c r="G1416">
        <v>9.1</v>
      </c>
      <c r="H1416" t="s">
        <v>2323</v>
      </c>
      <c r="I1416" s="21">
        <v>38471</v>
      </c>
      <c r="J1416">
        <v>2005</v>
      </c>
      <c r="K1416" s="21">
        <v>38510</v>
      </c>
      <c r="L1416">
        <v>2005</v>
      </c>
      <c r="M1416" s="21">
        <v>38896</v>
      </c>
      <c r="N1416">
        <v>2006</v>
      </c>
      <c r="R1416" s="262">
        <v>86521</v>
      </c>
      <c r="S1416" t="s">
        <v>114</v>
      </c>
      <c r="T1416" t="s">
        <v>114</v>
      </c>
      <c r="U1416">
        <v>4</v>
      </c>
      <c r="W1416">
        <v>784</v>
      </c>
      <c r="X1416">
        <v>0</v>
      </c>
      <c r="Y1416">
        <v>0</v>
      </c>
      <c r="Z1416">
        <v>0</v>
      </c>
      <c r="AA1416">
        <v>0</v>
      </c>
      <c r="AB1416">
        <v>784</v>
      </c>
      <c r="AC1416">
        <v>0</v>
      </c>
      <c r="AD1416">
        <v>0</v>
      </c>
      <c r="AE1416">
        <v>0</v>
      </c>
      <c r="AF1416">
        <v>0</v>
      </c>
      <c r="AG1416">
        <v>0</v>
      </c>
      <c r="AH1416">
        <v>0</v>
      </c>
      <c r="AI1416">
        <v>0</v>
      </c>
      <c r="AJ1416">
        <v>0</v>
      </c>
      <c r="AK1416">
        <v>0</v>
      </c>
      <c r="AL1416">
        <v>0</v>
      </c>
      <c r="AM1416">
        <v>0</v>
      </c>
      <c r="AN1416">
        <v>0</v>
      </c>
      <c r="AO1416">
        <v>0</v>
      </c>
      <c r="AP1416">
        <v>0</v>
      </c>
      <c r="AQ1416">
        <v>0</v>
      </c>
      <c r="AR1416">
        <v>0</v>
      </c>
      <c r="AS1416">
        <v>0</v>
      </c>
      <c r="AT1416">
        <v>0</v>
      </c>
      <c r="AU1416">
        <f t="shared" si="42"/>
        <v>0</v>
      </c>
      <c r="AV1416">
        <f t="shared" si="43"/>
        <v>784</v>
      </c>
    </row>
    <row r="1417" spans="1:48" x14ac:dyDescent="0.25">
      <c r="A1417" t="s">
        <v>5956</v>
      </c>
      <c r="C1417" t="s">
        <v>5957</v>
      </c>
      <c r="D1417" t="s">
        <v>5958</v>
      </c>
      <c r="E1417" t="s">
        <v>1663</v>
      </c>
      <c r="F1417">
        <v>6</v>
      </c>
      <c r="G1417">
        <v>6.1</v>
      </c>
      <c r="H1417" t="s">
        <v>2017</v>
      </c>
      <c r="I1417" s="21">
        <v>38474</v>
      </c>
      <c r="J1417">
        <v>2005</v>
      </c>
      <c r="K1417" s="21">
        <v>38505</v>
      </c>
      <c r="L1417">
        <v>2005</v>
      </c>
      <c r="M1417" s="21">
        <v>38658</v>
      </c>
      <c r="N1417">
        <v>2005</v>
      </c>
      <c r="Q1417" s="262">
        <v>0</v>
      </c>
      <c r="S1417" t="s">
        <v>114</v>
      </c>
      <c r="T1417" t="s">
        <v>114</v>
      </c>
      <c r="W1417">
        <v>1936</v>
      </c>
      <c r="X1417">
        <v>1</v>
      </c>
      <c r="Y1417">
        <v>0</v>
      </c>
      <c r="Z1417">
        <v>0</v>
      </c>
      <c r="AA1417">
        <v>0</v>
      </c>
      <c r="AB1417">
        <v>0</v>
      </c>
      <c r="AC1417">
        <v>1936</v>
      </c>
      <c r="AD1417">
        <v>0</v>
      </c>
      <c r="AE1417">
        <v>0</v>
      </c>
      <c r="AF1417">
        <v>0</v>
      </c>
      <c r="AG1417">
        <v>0</v>
      </c>
      <c r="AH1417">
        <v>0</v>
      </c>
      <c r="AI1417">
        <v>0</v>
      </c>
      <c r="AJ1417">
        <v>0</v>
      </c>
      <c r="AK1417">
        <v>0</v>
      </c>
      <c r="AL1417">
        <v>0</v>
      </c>
      <c r="AM1417">
        <v>0</v>
      </c>
      <c r="AN1417">
        <v>0</v>
      </c>
      <c r="AO1417">
        <v>1</v>
      </c>
      <c r="AP1417">
        <v>0</v>
      </c>
      <c r="AQ1417">
        <v>0</v>
      </c>
      <c r="AR1417">
        <v>0</v>
      </c>
      <c r="AS1417">
        <v>0</v>
      </c>
      <c r="AT1417">
        <v>0</v>
      </c>
      <c r="AU1417">
        <f t="shared" si="42"/>
        <v>1</v>
      </c>
      <c r="AV1417">
        <f t="shared" si="43"/>
        <v>0</v>
      </c>
    </row>
    <row r="1418" spans="1:48" x14ac:dyDescent="0.25">
      <c r="A1418" t="s">
        <v>5959</v>
      </c>
      <c r="C1418" t="s">
        <v>5960</v>
      </c>
      <c r="D1418" t="s">
        <v>5961</v>
      </c>
      <c r="E1418" t="s">
        <v>2310</v>
      </c>
      <c r="F1418">
        <v>9</v>
      </c>
      <c r="G1418">
        <v>9.3000000000000007</v>
      </c>
      <c r="H1418" t="s">
        <v>2323</v>
      </c>
      <c r="I1418" s="21">
        <v>38475</v>
      </c>
      <c r="J1418">
        <v>2005</v>
      </c>
      <c r="K1418" s="21">
        <v>38499</v>
      </c>
      <c r="L1418">
        <v>2005</v>
      </c>
      <c r="M1418" s="21">
        <v>38743</v>
      </c>
      <c r="N1418">
        <v>2006</v>
      </c>
      <c r="R1418" s="262">
        <v>240000</v>
      </c>
      <c r="S1418" t="s">
        <v>114</v>
      </c>
      <c r="T1418" t="s">
        <v>114</v>
      </c>
      <c r="U1418">
        <v>5</v>
      </c>
      <c r="W1418">
        <v>1347</v>
      </c>
      <c r="X1418">
        <v>0</v>
      </c>
      <c r="Y1418">
        <v>0</v>
      </c>
      <c r="Z1418">
        <v>0</v>
      </c>
      <c r="AA1418">
        <v>0</v>
      </c>
      <c r="AB1418">
        <v>0</v>
      </c>
      <c r="AC1418">
        <v>1347</v>
      </c>
      <c r="AD1418">
        <v>0</v>
      </c>
      <c r="AE1418">
        <v>0</v>
      </c>
      <c r="AF1418">
        <v>0</v>
      </c>
      <c r="AG1418">
        <v>0</v>
      </c>
      <c r="AH1418">
        <v>0</v>
      </c>
      <c r="AI1418">
        <v>0</v>
      </c>
      <c r="AJ1418">
        <v>0</v>
      </c>
      <c r="AK1418">
        <v>0</v>
      </c>
      <c r="AL1418">
        <v>0</v>
      </c>
      <c r="AM1418">
        <v>0</v>
      </c>
      <c r="AN1418">
        <v>0</v>
      </c>
      <c r="AO1418">
        <v>0</v>
      </c>
      <c r="AP1418">
        <v>0</v>
      </c>
      <c r="AQ1418">
        <v>0</v>
      </c>
      <c r="AR1418">
        <v>0</v>
      </c>
      <c r="AS1418">
        <v>0</v>
      </c>
      <c r="AT1418">
        <v>0</v>
      </c>
      <c r="AU1418">
        <f t="shared" si="42"/>
        <v>0</v>
      </c>
      <c r="AV1418">
        <f t="shared" si="43"/>
        <v>0</v>
      </c>
    </row>
    <row r="1419" spans="1:48" x14ac:dyDescent="0.25">
      <c r="A1419" t="s">
        <v>5965</v>
      </c>
      <c r="C1419" t="s">
        <v>3105</v>
      </c>
      <c r="D1419" t="s">
        <v>5966</v>
      </c>
      <c r="E1419" t="s">
        <v>2310</v>
      </c>
      <c r="F1419">
        <v>15</v>
      </c>
      <c r="G1419">
        <v>15.1</v>
      </c>
      <c r="H1419" t="s">
        <v>2022</v>
      </c>
      <c r="I1419" s="21">
        <v>38476</v>
      </c>
      <c r="J1419">
        <v>2005</v>
      </c>
      <c r="K1419" s="21">
        <v>38490</v>
      </c>
      <c r="L1419">
        <v>2005</v>
      </c>
      <c r="M1419" s="21">
        <v>38531</v>
      </c>
      <c r="N1419">
        <v>2005</v>
      </c>
      <c r="R1419" s="262">
        <v>10000</v>
      </c>
      <c r="S1419" t="s">
        <v>114</v>
      </c>
      <c r="T1419" t="s">
        <v>114</v>
      </c>
      <c r="U1419">
        <v>5</v>
      </c>
      <c r="W1419">
        <v>21</v>
      </c>
      <c r="X1419">
        <v>0</v>
      </c>
      <c r="Y1419">
        <v>0</v>
      </c>
      <c r="Z1419">
        <v>0</v>
      </c>
      <c r="AA1419">
        <v>0</v>
      </c>
      <c r="AB1419">
        <v>0</v>
      </c>
      <c r="AC1419">
        <v>21</v>
      </c>
      <c r="AD1419">
        <v>0</v>
      </c>
      <c r="AE1419">
        <v>0</v>
      </c>
      <c r="AF1419">
        <v>0</v>
      </c>
      <c r="AG1419">
        <v>0</v>
      </c>
      <c r="AH1419">
        <v>0</v>
      </c>
      <c r="AI1419">
        <v>0</v>
      </c>
      <c r="AJ1419">
        <v>0</v>
      </c>
      <c r="AK1419">
        <v>0</v>
      </c>
      <c r="AL1419">
        <v>0</v>
      </c>
      <c r="AM1419">
        <v>0</v>
      </c>
      <c r="AN1419">
        <v>0</v>
      </c>
      <c r="AO1419">
        <v>0</v>
      </c>
      <c r="AP1419">
        <v>0</v>
      </c>
      <c r="AQ1419">
        <v>0</v>
      </c>
      <c r="AR1419">
        <v>0</v>
      </c>
      <c r="AS1419">
        <v>0</v>
      </c>
      <c r="AT1419">
        <v>0</v>
      </c>
      <c r="AU1419">
        <f t="shared" si="42"/>
        <v>0</v>
      </c>
      <c r="AV1419">
        <f t="shared" si="43"/>
        <v>0</v>
      </c>
    </row>
    <row r="1420" spans="1:48" x14ac:dyDescent="0.25">
      <c r="A1420" t="s">
        <v>5967</v>
      </c>
      <c r="C1420" t="s">
        <v>5968</v>
      </c>
      <c r="D1420" t="s">
        <v>5969</v>
      </c>
      <c r="E1420" t="s">
        <v>2310</v>
      </c>
      <c r="F1420">
        <v>14</v>
      </c>
      <c r="G1420">
        <v>14.1</v>
      </c>
      <c r="H1420" t="s">
        <v>2022</v>
      </c>
      <c r="I1420" s="21">
        <v>38476</v>
      </c>
      <c r="J1420">
        <v>2005</v>
      </c>
      <c r="K1420" s="21">
        <v>38512</v>
      </c>
      <c r="L1420">
        <v>2005</v>
      </c>
      <c r="M1420" s="21">
        <v>38512</v>
      </c>
      <c r="N1420">
        <v>2005</v>
      </c>
      <c r="R1420" s="262">
        <v>132000</v>
      </c>
      <c r="S1420" t="s">
        <v>114</v>
      </c>
      <c r="T1420" t="s">
        <v>114</v>
      </c>
      <c r="U1420">
        <v>5</v>
      </c>
      <c r="W1420">
        <v>3700</v>
      </c>
      <c r="X1420">
        <v>0</v>
      </c>
      <c r="Y1420">
        <v>0</v>
      </c>
      <c r="Z1420">
        <v>0</v>
      </c>
      <c r="AA1420">
        <v>0</v>
      </c>
      <c r="AB1420">
        <v>0</v>
      </c>
      <c r="AC1420">
        <v>3700</v>
      </c>
      <c r="AD1420">
        <v>0</v>
      </c>
      <c r="AE1420">
        <v>0</v>
      </c>
      <c r="AF1420">
        <v>0</v>
      </c>
      <c r="AG1420">
        <v>0</v>
      </c>
      <c r="AH1420">
        <v>0</v>
      </c>
      <c r="AI1420">
        <v>0</v>
      </c>
      <c r="AJ1420">
        <v>0</v>
      </c>
      <c r="AK1420">
        <v>0</v>
      </c>
      <c r="AL1420">
        <v>0</v>
      </c>
      <c r="AM1420">
        <v>0</v>
      </c>
      <c r="AN1420">
        <v>0</v>
      </c>
      <c r="AO1420">
        <v>0</v>
      </c>
      <c r="AP1420">
        <v>0</v>
      </c>
      <c r="AQ1420">
        <v>0</v>
      </c>
      <c r="AR1420">
        <v>0</v>
      </c>
      <c r="AS1420">
        <v>0</v>
      </c>
      <c r="AT1420">
        <v>0</v>
      </c>
      <c r="AU1420">
        <f t="shared" si="42"/>
        <v>0</v>
      </c>
      <c r="AV1420">
        <f t="shared" si="43"/>
        <v>0</v>
      </c>
    </row>
    <row r="1421" spans="1:48" x14ac:dyDescent="0.25">
      <c r="A1421" t="s">
        <v>5970</v>
      </c>
      <c r="C1421" t="s">
        <v>4936</v>
      </c>
      <c r="D1421" t="s">
        <v>5971</v>
      </c>
      <c r="E1421" t="s">
        <v>2310</v>
      </c>
      <c r="F1421">
        <v>9</v>
      </c>
      <c r="G1421">
        <v>9.1</v>
      </c>
      <c r="H1421" t="s">
        <v>2323</v>
      </c>
      <c r="I1421" s="21">
        <v>38476</v>
      </c>
      <c r="J1421">
        <v>2005</v>
      </c>
      <c r="K1421" s="21">
        <v>38504</v>
      </c>
      <c r="L1421">
        <v>2005</v>
      </c>
      <c r="M1421" s="21">
        <v>38889</v>
      </c>
      <c r="N1421">
        <v>2006</v>
      </c>
      <c r="R1421" s="262">
        <v>623000</v>
      </c>
      <c r="S1421" t="s">
        <v>114</v>
      </c>
      <c r="T1421" t="s">
        <v>114</v>
      </c>
      <c r="U1421">
        <v>5</v>
      </c>
      <c r="W1421">
        <v>4149</v>
      </c>
      <c r="X1421">
        <v>1</v>
      </c>
      <c r="Y1421">
        <v>0</v>
      </c>
      <c r="Z1421">
        <v>0</v>
      </c>
      <c r="AA1421">
        <v>0</v>
      </c>
      <c r="AB1421">
        <v>0</v>
      </c>
      <c r="AC1421">
        <v>4149</v>
      </c>
      <c r="AD1421">
        <v>0</v>
      </c>
      <c r="AE1421">
        <v>0</v>
      </c>
      <c r="AF1421">
        <v>0</v>
      </c>
      <c r="AG1421">
        <v>0</v>
      </c>
      <c r="AH1421">
        <v>0</v>
      </c>
      <c r="AI1421">
        <v>0</v>
      </c>
      <c r="AJ1421">
        <v>0</v>
      </c>
      <c r="AK1421">
        <v>0</v>
      </c>
      <c r="AL1421">
        <v>0</v>
      </c>
      <c r="AM1421">
        <v>0</v>
      </c>
      <c r="AN1421">
        <v>0</v>
      </c>
      <c r="AO1421">
        <v>1</v>
      </c>
      <c r="AP1421">
        <v>0</v>
      </c>
      <c r="AQ1421">
        <v>0</v>
      </c>
      <c r="AR1421">
        <v>0</v>
      </c>
      <c r="AS1421">
        <v>0</v>
      </c>
      <c r="AT1421">
        <v>0</v>
      </c>
      <c r="AU1421">
        <f t="shared" si="42"/>
        <v>1</v>
      </c>
      <c r="AV1421">
        <f t="shared" si="43"/>
        <v>0</v>
      </c>
    </row>
    <row r="1422" spans="1:48" x14ac:dyDescent="0.25">
      <c r="A1422" t="s">
        <v>5962</v>
      </c>
      <c r="C1422" t="s">
        <v>5963</v>
      </c>
      <c r="D1422" t="s">
        <v>5964</v>
      </c>
      <c r="E1422" t="s">
        <v>1663</v>
      </c>
      <c r="F1422">
        <v>3</v>
      </c>
      <c r="G1422">
        <v>3.2</v>
      </c>
      <c r="H1422" t="s">
        <v>2327</v>
      </c>
      <c r="I1422" s="21">
        <v>38476</v>
      </c>
      <c r="J1422">
        <v>2005</v>
      </c>
      <c r="K1422" s="21">
        <v>38507</v>
      </c>
      <c r="L1422">
        <v>2005</v>
      </c>
      <c r="M1422" s="21">
        <v>38660</v>
      </c>
      <c r="N1422">
        <v>2005</v>
      </c>
      <c r="Q1422" s="262">
        <v>0</v>
      </c>
      <c r="S1422" t="s">
        <v>114</v>
      </c>
      <c r="T1422" t="s">
        <v>114</v>
      </c>
      <c r="W1422">
        <v>1533</v>
      </c>
      <c r="X1422">
        <v>1</v>
      </c>
      <c r="Y1422">
        <v>0</v>
      </c>
      <c r="Z1422">
        <v>0</v>
      </c>
      <c r="AA1422">
        <v>0</v>
      </c>
      <c r="AB1422">
        <v>0</v>
      </c>
      <c r="AC1422">
        <v>1533</v>
      </c>
      <c r="AD1422">
        <v>0</v>
      </c>
      <c r="AE1422">
        <v>0</v>
      </c>
      <c r="AF1422">
        <v>0</v>
      </c>
      <c r="AG1422">
        <v>0</v>
      </c>
      <c r="AH1422">
        <v>0</v>
      </c>
      <c r="AI1422">
        <v>0</v>
      </c>
      <c r="AJ1422">
        <v>0</v>
      </c>
      <c r="AK1422">
        <v>0</v>
      </c>
      <c r="AL1422">
        <v>0</v>
      </c>
      <c r="AM1422">
        <v>0</v>
      </c>
      <c r="AN1422">
        <v>0</v>
      </c>
      <c r="AO1422">
        <v>1</v>
      </c>
      <c r="AP1422">
        <v>0</v>
      </c>
      <c r="AQ1422">
        <v>0</v>
      </c>
      <c r="AR1422">
        <v>0</v>
      </c>
      <c r="AS1422">
        <v>0</v>
      </c>
      <c r="AT1422">
        <v>0</v>
      </c>
      <c r="AU1422">
        <f t="shared" si="42"/>
        <v>1</v>
      </c>
      <c r="AV1422">
        <f t="shared" si="43"/>
        <v>0</v>
      </c>
    </row>
    <row r="1423" spans="1:48" x14ac:dyDescent="0.25">
      <c r="A1423" t="s">
        <v>5972</v>
      </c>
      <c r="C1423" t="s">
        <v>5973</v>
      </c>
      <c r="D1423" t="s">
        <v>5751</v>
      </c>
      <c r="E1423" t="s">
        <v>2310</v>
      </c>
      <c r="F1423">
        <v>8</v>
      </c>
      <c r="G1423">
        <v>8.1999999999999993</v>
      </c>
      <c r="H1423" t="s">
        <v>2022</v>
      </c>
      <c r="I1423" s="21">
        <v>38477</v>
      </c>
      <c r="J1423">
        <v>2005</v>
      </c>
      <c r="K1423" s="21">
        <v>38629</v>
      </c>
      <c r="L1423">
        <v>2005</v>
      </c>
      <c r="M1423" s="21">
        <v>38629</v>
      </c>
      <c r="N1423">
        <v>2005</v>
      </c>
      <c r="R1423" s="262">
        <v>30000</v>
      </c>
      <c r="S1423" t="s">
        <v>114</v>
      </c>
      <c r="T1423" t="s">
        <v>114</v>
      </c>
      <c r="U1423">
        <v>5</v>
      </c>
      <c r="W1423">
        <v>924</v>
      </c>
      <c r="X1423">
        <v>0</v>
      </c>
      <c r="Y1423">
        <v>0</v>
      </c>
      <c r="Z1423">
        <v>0</v>
      </c>
      <c r="AA1423">
        <v>0</v>
      </c>
      <c r="AB1423">
        <v>0</v>
      </c>
      <c r="AC1423">
        <v>924</v>
      </c>
      <c r="AD1423">
        <v>0</v>
      </c>
      <c r="AE1423">
        <v>0</v>
      </c>
      <c r="AF1423">
        <v>0</v>
      </c>
      <c r="AG1423">
        <v>0</v>
      </c>
      <c r="AH1423">
        <v>0</v>
      </c>
      <c r="AI1423">
        <v>0</v>
      </c>
      <c r="AJ1423">
        <v>0</v>
      </c>
      <c r="AK1423">
        <v>0</v>
      </c>
      <c r="AL1423">
        <v>0</v>
      </c>
      <c r="AM1423">
        <v>0</v>
      </c>
      <c r="AN1423">
        <v>0</v>
      </c>
      <c r="AO1423">
        <v>0</v>
      </c>
      <c r="AP1423">
        <v>0</v>
      </c>
      <c r="AQ1423">
        <v>0</v>
      </c>
      <c r="AR1423">
        <v>0</v>
      </c>
      <c r="AS1423">
        <v>0</v>
      </c>
      <c r="AT1423">
        <v>0</v>
      </c>
      <c r="AU1423">
        <f t="shared" si="42"/>
        <v>0</v>
      </c>
      <c r="AV1423">
        <f t="shared" si="43"/>
        <v>0</v>
      </c>
    </row>
    <row r="1424" spans="1:48" x14ac:dyDescent="0.25">
      <c r="A1424" t="s">
        <v>5974</v>
      </c>
      <c r="C1424" t="s">
        <v>5975</v>
      </c>
      <c r="D1424" t="s">
        <v>5049</v>
      </c>
      <c r="E1424" t="s">
        <v>2310</v>
      </c>
      <c r="F1424">
        <v>9</v>
      </c>
      <c r="G1424">
        <v>9.1</v>
      </c>
      <c r="H1424" t="s">
        <v>2323</v>
      </c>
      <c r="I1424" s="21">
        <v>38478</v>
      </c>
      <c r="J1424">
        <v>2005</v>
      </c>
      <c r="K1424" s="21">
        <v>38489</v>
      </c>
      <c r="L1424">
        <v>2005</v>
      </c>
      <c r="M1424" s="21">
        <v>38519</v>
      </c>
      <c r="N1424">
        <v>2005</v>
      </c>
      <c r="R1424" s="262">
        <v>5000</v>
      </c>
      <c r="S1424" t="s">
        <v>114</v>
      </c>
      <c r="T1424" t="s">
        <v>114</v>
      </c>
      <c r="U1424">
        <v>5</v>
      </c>
      <c r="W1424">
        <v>200</v>
      </c>
      <c r="X1424">
        <v>0</v>
      </c>
      <c r="Y1424">
        <v>0</v>
      </c>
      <c r="Z1424">
        <v>0</v>
      </c>
      <c r="AA1424">
        <v>0</v>
      </c>
      <c r="AB1424">
        <v>0</v>
      </c>
      <c r="AC1424">
        <v>200</v>
      </c>
      <c r="AD1424">
        <v>0</v>
      </c>
      <c r="AE1424">
        <v>0</v>
      </c>
      <c r="AF1424">
        <v>0</v>
      </c>
      <c r="AG1424">
        <v>0</v>
      </c>
      <c r="AH1424">
        <v>0</v>
      </c>
      <c r="AI1424">
        <v>0</v>
      </c>
      <c r="AJ1424">
        <v>0</v>
      </c>
      <c r="AK1424">
        <v>0</v>
      </c>
      <c r="AL1424">
        <v>0</v>
      </c>
      <c r="AM1424">
        <v>0</v>
      </c>
      <c r="AN1424">
        <v>0</v>
      </c>
      <c r="AO1424">
        <v>0</v>
      </c>
      <c r="AP1424">
        <v>0</v>
      </c>
      <c r="AQ1424">
        <v>0</v>
      </c>
      <c r="AR1424">
        <v>0</v>
      </c>
      <c r="AS1424">
        <v>0</v>
      </c>
      <c r="AT1424">
        <v>0</v>
      </c>
      <c r="AU1424">
        <f t="shared" si="42"/>
        <v>0</v>
      </c>
      <c r="AV1424">
        <f t="shared" si="43"/>
        <v>0</v>
      </c>
    </row>
    <row r="1425" spans="1:48" x14ac:dyDescent="0.25">
      <c r="A1425" t="s">
        <v>5976</v>
      </c>
      <c r="C1425" t="s">
        <v>2847</v>
      </c>
      <c r="D1425" t="s">
        <v>5977</v>
      </c>
      <c r="E1425" t="s">
        <v>2310</v>
      </c>
      <c r="F1425">
        <v>10</v>
      </c>
      <c r="G1425">
        <v>10.1</v>
      </c>
      <c r="H1425" t="s">
        <v>2323</v>
      </c>
      <c r="I1425" s="21">
        <v>38478</v>
      </c>
      <c r="J1425">
        <v>2005</v>
      </c>
      <c r="K1425" s="21">
        <v>38517</v>
      </c>
      <c r="L1425">
        <v>2005</v>
      </c>
      <c r="M1425" s="21">
        <v>38723</v>
      </c>
      <c r="N1425">
        <v>2006</v>
      </c>
      <c r="R1425" s="262">
        <v>250000</v>
      </c>
      <c r="S1425" t="s">
        <v>114</v>
      </c>
      <c r="T1425" t="s">
        <v>114</v>
      </c>
      <c r="U1425">
        <v>5</v>
      </c>
      <c r="W1425">
        <v>2410</v>
      </c>
      <c r="X1425">
        <v>1</v>
      </c>
      <c r="Y1425">
        <v>0</v>
      </c>
      <c r="Z1425">
        <v>0</v>
      </c>
      <c r="AA1425">
        <v>0</v>
      </c>
      <c r="AB1425">
        <v>0</v>
      </c>
      <c r="AC1425">
        <v>2410</v>
      </c>
      <c r="AD1425">
        <v>0</v>
      </c>
      <c r="AE1425">
        <v>0</v>
      </c>
      <c r="AF1425">
        <v>0</v>
      </c>
      <c r="AG1425">
        <v>0</v>
      </c>
      <c r="AH1425">
        <v>0</v>
      </c>
      <c r="AI1425">
        <v>0</v>
      </c>
      <c r="AJ1425">
        <v>0</v>
      </c>
      <c r="AK1425">
        <v>0</v>
      </c>
      <c r="AL1425">
        <v>0</v>
      </c>
      <c r="AM1425">
        <v>0</v>
      </c>
      <c r="AN1425">
        <v>0</v>
      </c>
      <c r="AO1425">
        <v>1</v>
      </c>
      <c r="AP1425">
        <v>0</v>
      </c>
      <c r="AQ1425">
        <v>0</v>
      </c>
      <c r="AR1425">
        <v>0</v>
      </c>
      <c r="AS1425">
        <v>0</v>
      </c>
      <c r="AT1425">
        <v>0</v>
      </c>
      <c r="AU1425">
        <f t="shared" si="42"/>
        <v>1</v>
      </c>
      <c r="AV1425">
        <f t="shared" si="43"/>
        <v>0</v>
      </c>
    </row>
    <row r="1426" spans="1:48" x14ac:dyDescent="0.25">
      <c r="A1426" t="s">
        <v>5978</v>
      </c>
      <c r="C1426" t="s">
        <v>4934</v>
      </c>
      <c r="D1426" t="s">
        <v>5979</v>
      </c>
      <c r="E1426" t="s">
        <v>2310</v>
      </c>
      <c r="F1426">
        <v>15</v>
      </c>
      <c r="G1426">
        <v>15.2</v>
      </c>
      <c r="H1426" t="s">
        <v>2323</v>
      </c>
      <c r="I1426" s="21">
        <v>38481</v>
      </c>
      <c r="J1426">
        <v>2005</v>
      </c>
      <c r="K1426" s="21">
        <v>38566</v>
      </c>
      <c r="L1426">
        <v>2005</v>
      </c>
      <c r="M1426" s="21">
        <v>38566</v>
      </c>
      <c r="N1426">
        <v>2005</v>
      </c>
      <c r="R1426" s="262">
        <v>5000</v>
      </c>
      <c r="S1426" t="s">
        <v>114</v>
      </c>
      <c r="T1426" t="s">
        <v>114</v>
      </c>
      <c r="U1426">
        <v>5</v>
      </c>
      <c r="W1426">
        <v>860</v>
      </c>
      <c r="X1426">
        <v>0</v>
      </c>
      <c r="Y1426">
        <v>0</v>
      </c>
      <c r="Z1426">
        <v>0</v>
      </c>
      <c r="AA1426">
        <v>0</v>
      </c>
      <c r="AB1426">
        <v>0</v>
      </c>
      <c r="AC1426">
        <v>860</v>
      </c>
      <c r="AD1426">
        <v>0</v>
      </c>
      <c r="AE1426">
        <v>0</v>
      </c>
      <c r="AF1426">
        <v>0</v>
      </c>
      <c r="AG1426">
        <v>0</v>
      </c>
      <c r="AH1426">
        <v>0</v>
      </c>
      <c r="AI1426">
        <v>0</v>
      </c>
      <c r="AJ1426">
        <v>0</v>
      </c>
      <c r="AK1426">
        <v>0</v>
      </c>
      <c r="AL1426">
        <v>0</v>
      </c>
      <c r="AM1426">
        <v>0</v>
      </c>
      <c r="AN1426">
        <v>0</v>
      </c>
      <c r="AO1426">
        <v>0</v>
      </c>
      <c r="AP1426">
        <v>0</v>
      </c>
      <c r="AQ1426">
        <v>0</v>
      </c>
      <c r="AR1426">
        <v>0</v>
      </c>
      <c r="AS1426">
        <v>0</v>
      </c>
      <c r="AT1426">
        <v>0</v>
      </c>
      <c r="AU1426">
        <f t="shared" si="42"/>
        <v>0</v>
      </c>
      <c r="AV1426">
        <f t="shared" si="43"/>
        <v>0</v>
      </c>
    </row>
    <row r="1427" spans="1:48" x14ac:dyDescent="0.25">
      <c r="A1427" t="s">
        <v>5980</v>
      </c>
      <c r="C1427" t="s">
        <v>5981</v>
      </c>
      <c r="D1427" t="s">
        <v>5982</v>
      </c>
      <c r="E1427" t="s">
        <v>2310</v>
      </c>
      <c r="F1427">
        <v>15</v>
      </c>
      <c r="G1427">
        <v>15.2</v>
      </c>
      <c r="H1427" t="s">
        <v>2323</v>
      </c>
      <c r="I1427" s="21">
        <v>38481</v>
      </c>
      <c r="J1427">
        <v>2005</v>
      </c>
      <c r="K1427" s="21">
        <v>38526</v>
      </c>
      <c r="L1427">
        <v>2005</v>
      </c>
      <c r="M1427" s="21">
        <v>39022</v>
      </c>
      <c r="N1427">
        <v>2006</v>
      </c>
      <c r="R1427" s="262">
        <v>500000</v>
      </c>
      <c r="S1427" t="s">
        <v>114</v>
      </c>
      <c r="T1427" t="s">
        <v>114</v>
      </c>
      <c r="U1427">
        <v>5</v>
      </c>
      <c r="W1427">
        <v>3724</v>
      </c>
      <c r="X1427">
        <v>1</v>
      </c>
      <c r="Y1427">
        <v>0</v>
      </c>
      <c r="Z1427">
        <v>0</v>
      </c>
      <c r="AA1427">
        <v>0</v>
      </c>
      <c r="AB1427">
        <v>0</v>
      </c>
      <c r="AC1427">
        <v>3724</v>
      </c>
      <c r="AD1427">
        <v>0</v>
      </c>
      <c r="AE1427">
        <v>0</v>
      </c>
      <c r="AF1427">
        <v>0</v>
      </c>
      <c r="AG1427">
        <v>0</v>
      </c>
      <c r="AH1427">
        <v>0</v>
      </c>
      <c r="AI1427">
        <v>0</v>
      </c>
      <c r="AJ1427">
        <v>0</v>
      </c>
      <c r="AK1427">
        <v>0</v>
      </c>
      <c r="AL1427">
        <v>0</v>
      </c>
      <c r="AM1427">
        <v>0</v>
      </c>
      <c r="AN1427">
        <v>0</v>
      </c>
      <c r="AO1427">
        <v>1</v>
      </c>
      <c r="AP1427">
        <v>0</v>
      </c>
      <c r="AQ1427">
        <v>0</v>
      </c>
      <c r="AR1427">
        <v>0</v>
      </c>
      <c r="AS1427">
        <v>0</v>
      </c>
      <c r="AT1427">
        <v>0</v>
      </c>
      <c r="AU1427">
        <f t="shared" si="42"/>
        <v>1</v>
      </c>
      <c r="AV1427">
        <f t="shared" si="43"/>
        <v>0</v>
      </c>
    </row>
    <row r="1428" spans="1:48" x14ac:dyDescent="0.25">
      <c r="A1428" t="s">
        <v>5983</v>
      </c>
      <c r="C1428" t="s">
        <v>5984</v>
      </c>
      <c r="D1428" t="s">
        <v>5985</v>
      </c>
      <c r="E1428" t="s">
        <v>2310</v>
      </c>
      <c r="F1428">
        <v>9</v>
      </c>
      <c r="G1428">
        <v>9.3000000000000007</v>
      </c>
      <c r="H1428" t="s">
        <v>2323</v>
      </c>
      <c r="I1428" s="21">
        <v>38482</v>
      </c>
      <c r="J1428">
        <v>2005</v>
      </c>
      <c r="K1428" s="21">
        <v>38513</v>
      </c>
      <c r="L1428">
        <v>2005</v>
      </c>
      <c r="M1428" s="21">
        <v>38884</v>
      </c>
      <c r="N1428">
        <v>2006</v>
      </c>
      <c r="R1428" s="262">
        <v>265000</v>
      </c>
      <c r="S1428" t="s">
        <v>114</v>
      </c>
      <c r="T1428" t="s">
        <v>114</v>
      </c>
      <c r="U1428">
        <v>5</v>
      </c>
      <c r="W1428">
        <v>3053</v>
      </c>
      <c r="X1428">
        <v>1</v>
      </c>
      <c r="Y1428">
        <v>0</v>
      </c>
      <c r="Z1428">
        <v>0</v>
      </c>
      <c r="AA1428">
        <v>0</v>
      </c>
      <c r="AB1428">
        <v>0</v>
      </c>
      <c r="AC1428">
        <v>3053</v>
      </c>
      <c r="AD1428">
        <v>0</v>
      </c>
      <c r="AE1428">
        <v>0</v>
      </c>
      <c r="AF1428">
        <v>0</v>
      </c>
      <c r="AG1428">
        <v>0</v>
      </c>
      <c r="AH1428">
        <v>0</v>
      </c>
      <c r="AI1428">
        <v>0</v>
      </c>
      <c r="AJ1428">
        <v>0</v>
      </c>
      <c r="AK1428">
        <v>0</v>
      </c>
      <c r="AL1428">
        <v>0</v>
      </c>
      <c r="AM1428">
        <v>0</v>
      </c>
      <c r="AN1428">
        <v>0</v>
      </c>
      <c r="AO1428">
        <v>1</v>
      </c>
      <c r="AP1428">
        <v>0</v>
      </c>
      <c r="AQ1428">
        <v>0</v>
      </c>
      <c r="AR1428">
        <v>0</v>
      </c>
      <c r="AS1428">
        <v>0</v>
      </c>
      <c r="AT1428">
        <v>0</v>
      </c>
      <c r="AU1428">
        <f t="shared" si="42"/>
        <v>1</v>
      </c>
      <c r="AV1428">
        <f t="shared" si="43"/>
        <v>0</v>
      </c>
    </row>
    <row r="1429" spans="1:48" x14ac:dyDescent="0.25">
      <c r="A1429" t="s">
        <v>5986</v>
      </c>
      <c r="C1429" t="s">
        <v>5987</v>
      </c>
      <c r="D1429" t="s">
        <v>5988</v>
      </c>
      <c r="E1429" t="s">
        <v>2310</v>
      </c>
      <c r="F1429">
        <v>9</v>
      </c>
      <c r="G1429">
        <v>9.1999999999999993</v>
      </c>
      <c r="H1429" t="s">
        <v>2022</v>
      </c>
      <c r="I1429" s="21">
        <v>38482</v>
      </c>
      <c r="J1429">
        <v>2005</v>
      </c>
      <c r="K1429" s="21">
        <v>38513</v>
      </c>
      <c r="L1429">
        <v>2005</v>
      </c>
      <c r="M1429" s="21">
        <v>39303</v>
      </c>
      <c r="N1429">
        <v>2007</v>
      </c>
      <c r="R1429" s="262">
        <v>110000</v>
      </c>
      <c r="S1429" t="s">
        <v>114</v>
      </c>
      <c r="T1429" t="s">
        <v>114</v>
      </c>
      <c r="U1429">
        <v>5</v>
      </c>
      <c r="W1429">
        <v>0</v>
      </c>
      <c r="X1429">
        <v>0</v>
      </c>
      <c r="Y1429">
        <v>0</v>
      </c>
      <c r="Z1429">
        <v>0</v>
      </c>
      <c r="AA1429">
        <v>0</v>
      </c>
      <c r="AB1429">
        <v>0</v>
      </c>
      <c r="AC1429">
        <v>0</v>
      </c>
      <c r="AD1429">
        <v>0</v>
      </c>
      <c r="AE1429">
        <v>0</v>
      </c>
      <c r="AF1429">
        <v>0</v>
      </c>
      <c r="AG1429">
        <v>0</v>
      </c>
      <c r="AH1429">
        <v>0</v>
      </c>
      <c r="AI1429">
        <v>0</v>
      </c>
      <c r="AJ1429">
        <v>0</v>
      </c>
      <c r="AK1429">
        <v>0</v>
      </c>
      <c r="AL1429">
        <v>0</v>
      </c>
      <c r="AM1429">
        <v>0</v>
      </c>
      <c r="AN1429">
        <v>0</v>
      </c>
      <c r="AO1429">
        <v>0</v>
      </c>
      <c r="AP1429">
        <v>0</v>
      </c>
      <c r="AQ1429">
        <v>0</v>
      </c>
      <c r="AR1429">
        <v>0</v>
      </c>
      <c r="AS1429">
        <v>0</v>
      </c>
      <c r="AT1429">
        <v>0</v>
      </c>
      <c r="AU1429">
        <f t="shared" si="42"/>
        <v>0</v>
      </c>
      <c r="AV1429">
        <f t="shared" si="43"/>
        <v>0</v>
      </c>
    </row>
    <row r="1430" spans="1:48" x14ac:dyDescent="0.25">
      <c r="A1430" t="s">
        <v>5994</v>
      </c>
      <c r="C1430" t="s">
        <v>5995</v>
      </c>
      <c r="D1430" t="s">
        <v>5996</v>
      </c>
      <c r="E1430" t="s">
        <v>2310</v>
      </c>
      <c r="F1430">
        <v>9</v>
      </c>
      <c r="G1430">
        <v>9.1999999999999993</v>
      </c>
      <c r="H1430" t="s">
        <v>2022</v>
      </c>
      <c r="I1430" s="21">
        <v>38483</v>
      </c>
      <c r="J1430">
        <v>2005</v>
      </c>
      <c r="K1430" s="21">
        <v>38526</v>
      </c>
      <c r="L1430">
        <v>2005</v>
      </c>
      <c r="M1430" s="21">
        <v>39010</v>
      </c>
      <c r="N1430">
        <v>2006</v>
      </c>
      <c r="R1430" s="262">
        <v>260000</v>
      </c>
      <c r="S1430" t="s">
        <v>114</v>
      </c>
      <c r="T1430" t="s">
        <v>114</v>
      </c>
      <c r="U1430">
        <v>8</v>
      </c>
      <c r="W1430">
        <v>1219</v>
      </c>
      <c r="X1430">
        <v>1</v>
      </c>
      <c r="Y1430">
        <v>0</v>
      </c>
      <c r="Z1430">
        <v>0</v>
      </c>
      <c r="AA1430">
        <v>0</v>
      </c>
      <c r="AB1430">
        <v>0</v>
      </c>
      <c r="AC1430">
        <v>410</v>
      </c>
      <c r="AD1430">
        <v>0</v>
      </c>
      <c r="AE1430">
        <v>0</v>
      </c>
      <c r="AF1430">
        <v>809</v>
      </c>
      <c r="AG1430">
        <v>0</v>
      </c>
      <c r="AH1430">
        <v>0</v>
      </c>
      <c r="AI1430">
        <v>0</v>
      </c>
      <c r="AJ1430">
        <v>0</v>
      </c>
      <c r="AK1430">
        <v>0</v>
      </c>
      <c r="AL1430">
        <v>0</v>
      </c>
      <c r="AM1430">
        <v>0</v>
      </c>
      <c r="AN1430">
        <v>0</v>
      </c>
      <c r="AO1430">
        <v>0</v>
      </c>
      <c r="AP1430">
        <v>0</v>
      </c>
      <c r="AQ1430">
        <v>0</v>
      </c>
      <c r="AR1430">
        <v>1</v>
      </c>
      <c r="AS1430">
        <v>0</v>
      </c>
      <c r="AT1430">
        <v>0</v>
      </c>
      <c r="AU1430">
        <f t="shared" si="42"/>
        <v>0</v>
      </c>
      <c r="AV1430">
        <f t="shared" si="43"/>
        <v>0</v>
      </c>
    </row>
    <row r="1431" spans="1:48" x14ac:dyDescent="0.25">
      <c r="A1431" t="s">
        <v>5997</v>
      </c>
      <c r="C1431" t="s">
        <v>5998</v>
      </c>
      <c r="D1431" t="s">
        <v>5999</v>
      </c>
      <c r="E1431" t="s">
        <v>2310</v>
      </c>
      <c r="F1431">
        <v>15</v>
      </c>
      <c r="G1431">
        <v>15.2</v>
      </c>
      <c r="H1431" t="s">
        <v>2323</v>
      </c>
      <c r="I1431" s="21">
        <v>38483</v>
      </c>
      <c r="J1431">
        <v>2005</v>
      </c>
      <c r="K1431" s="21">
        <v>38526</v>
      </c>
      <c r="L1431">
        <v>2005</v>
      </c>
      <c r="M1431" s="21">
        <v>39106</v>
      </c>
      <c r="N1431">
        <v>2007</v>
      </c>
      <c r="R1431" s="262">
        <v>600000</v>
      </c>
      <c r="S1431" t="s">
        <v>114</v>
      </c>
      <c r="T1431" t="s">
        <v>114</v>
      </c>
      <c r="U1431">
        <v>5</v>
      </c>
      <c r="W1431">
        <v>4058</v>
      </c>
      <c r="X1431">
        <v>1</v>
      </c>
      <c r="Y1431">
        <v>0</v>
      </c>
      <c r="Z1431">
        <v>0</v>
      </c>
      <c r="AA1431">
        <v>0</v>
      </c>
      <c r="AB1431">
        <v>0</v>
      </c>
      <c r="AC1431">
        <v>4058</v>
      </c>
      <c r="AD1431">
        <v>0</v>
      </c>
      <c r="AE1431">
        <v>0</v>
      </c>
      <c r="AF1431">
        <v>0</v>
      </c>
      <c r="AG1431">
        <v>0</v>
      </c>
      <c r="AH1431">
        <v>0</v>
      </c>
      <c r="AI1431">
        <v>0</v>
      </c>
      <c r="AJ1431">
        <v>0</v>
      </c>
      <c r="AK1431">
        <v>0</v>
      </c>
      <c r="AL1431">
        <v>0</v>
      </c>
      <c r="AM1431">
        <v>0</v>
      </c>
      <c r="AN1431">
        <v>0</v>
      </c>
      <c r="AO1431">
        <v>1</v>
      </c>
      <c r="AP1431">
        <v>0</v>
      </c>
      <c r="AQ1431">
        <v>0</v>
      </c>
      <c r="AR1431">
        <v>0</v>
      </c>
      <c r="AS1431">
        <v>0</v>
      </c>
      <c r="AT1431">
        <v>0</v>
      </c>
      <c r="AU1431">
        <f t="shared" si="42"/>
        <v>1</v>
      </c>
      <c r="AV1431">
        <f t="shared" si="43"/>
        <v>0</v>
      </c>
    </row>
    <row r="1432" spans="1:48" x14ac:dyDescent="0.25">
      <c r="A1432" t="s">
        <v>6000</v>
      </c>
      <c r="C1432" t="s">
        <v>6001</v>
      </c>
      <c r="D1432" t="s">
        <v>6002</v>
      </c>
      <c r="E1432" t="s">
        <v>2310</v>
      </c>
      <c r="F1432">
        <v>8</v>
      </c>
      <c r="G1432">
        <v>8.1999999999999993</v>
      </c>
      <c r="H1432" t="s">
        <v>2022</v>
      </c>
      <c r="I1432" s="21">
        <v>38483</v>
      </c>
      <c r="J1432">
        <v>2005</v>
      </c>
      <c r="K1432" s="21">
        <v>38503</v>
      </c>
      <c r="L1432">
        <v>2005</v>
      </c>
      <c r="M1432" s="21">
        <v>39041</v>
      </c>
      <c r="N1432">
        <v>2006</v>
      </c>
      <c r="R1432" s="262">
        <v>100000</v>
      </c>
      <c r="S1432" t="s">
        <v>114</v>
      </c>
      <c r="T1432" t="s">
        <v>114</v>
      </c>
      <c r="U1432">
        <v>5</v>
      </c>
      <c r="W1432">
        <v>0</v>
      </c>
      <c r="X1432">
        <v>0</v>
      </c>
      <c r="Y1432">
        <v>0</v>
      </c>
      <c r="Z1432">
        <v>0</v>
      </c>
      <c r="AA1432">
        <v>0</v>
      </c>
      <c r="AB1432">
        <v>0</v>
      </c>
      <c r="AC1432">
        <v>0</v>
      </c>
      <c r="AD1432">
        <v>0</v>
      </c>
      <c r="AE1432">
        <v>0</v>
      </c>
      <c r="AF1432">
        <v>0</v>
      </c>
      <c r="AG1432">
        <v>0</v>
      </c>
      <c r="AH1432">
        <v>0</v>
      </c>
      <c r="AI1432">
        <v>0</v>
      </c>
      <c r="AJ1432">
        <v>0</v>
      </c>
      <c r="AK1432">
        <v>0</v>
      </c>
      <c r="AL1432">
        <v>0</v>
      </c>
      <c r="AM1432">
        <v>0</v>
      </c>
      <c r="AN1432">
        <v>0</v>
      </c>
      <c r="AO1432">
        <v>0</v>
      </c>
      <c r="AP1432">
        <v>0</v>
      </c>
      <c r="AQ1432">
        <v>0</v>
      </c>
      <c r="AR1432">
        <v>0</v>
      </c>
      <c r="AS1432">
        <v>0</v>
      </c>
      <c r="AT1432">
        <v>0</v>
      </c>
      <c r="AU1432">
        <f t="shared" si="42"/>
        <v>0</v>
      </c>
      <c r="AV1432">
        <f t="shared" si="43"/>
        <v>0</v>
      </c>
    </row>
    <row r="1433" spans="1:48" x14ac:dyDescent="0.25">
      <c r="A1433" t="s">
        <v>6003</v>
      </c>
      <c r="C1433" t="s">
        <v>6004</v>
      </c>
      <c r="D1433" t="s">
        <v>6005</v>
      </c>
      <c r="E1433" t="s">
        <v>2310</v>
      </c>
      <c r="F1433">
        <v>9</v>
      </c>
      <c r="G1433">
        <v>9.3000000000000007</v>
      </c>
      <c r="H1433" t="s">
        <v>2323</v>
      </c>
      <c r="I1433" s="21">
        <v>38483</v>
      </c>
      <c r="J1433">
        <v>2005</v>
      </c>
      <c r="K1433" s="21">
        <v>38532</v>
      </c>
      <c r="L1433">
        <v>2005</v>
      </c>
      <c r="M1433" s="21">
        <v>39219</v>
      </c>
      <c r="N1433">
        <v>2007</v>
      </c>
      <c r="R1433" s="262">
        <v>7270491</v>
      </c>
      <c r="S1433" t="s">
        <v>114</v>
      </c>
      <c r="T1433" t="s">
        <v>114</v>
      </c>
      <c r="U1433">
        <v>4</v>
      </c>
      <c r="W1433">
        <v>29802</v>
      </c>
      <c r="X1433">
        <v>0</v>
      </c>
      <c r="Y1433">
        <v>0</v>
      </c>
      <c r="Z1433">
        <v>0</v>
      </c>
      <c r="AA1433">
        <v>0</v>
      </c>
      <c r="AB1433">
        <v>29802</v>
      </c>
      <c r="AC1433">
        <v>0</v>
      </c>
      <c r="AD1433">
        <v>0</v>
      </c>
      <c r="AE1433">
        <v>0</v>
      </c>
      <c r="AF1433">
        <v>0</v>
      </c>
      <c r="AG1433">
        <v>0</v>
      </c>
      <c r="AH1433">
        <v>0</v>
      </c>
      <c r="AI1433">
        <v>0</v>
      </c>
      <c r="AJ1433">
        <v>0</v>
      </c>
      <c r="AK1433">
        <v>0</v>
      </c>
      <c r="AL1433">
        <v>0</v>
      </c>
      <c r="AM1433">
        <v>0</v>
      </c>
      <c r="AN1433">
        <v>0</v>
      </c>
      <c r="AO1433">
        <v>0</v>
      </c>
      <c r="AP1433">
        <v>0</v>
      </c>
      <c r="AQ1433">
        <v>0</v>
      </c>
      <c r="AR1433">
        <v>0</v>
      </c>
      <c r="AS1433">
        <v>0</v>
      </c>
      <c r="AT1433">
        <v>0</v>
      </c>
      <c r="AU1433">
        <f t="shared" ref="AU1433:AU1496" si="44">SUM(AN1433:AQ1433,AS1433)</f>
        <v>0</v>
      </c>
      <c r="AV1433">
        <f t="shared" ref="AV1433:AV1496" si="45">SUM(Y1433:AB1433,AH1433:AM1433)</f>
        <v>29802</v>
      </c>
    </row>
    <row r="1434" spans="1:48" x14ac:dyDescent="0.25">
      <c r="A1434" t="s">
        <v>5989</v>
      </c>
      <c r="C1434" t="s">
        <v>5990</v>
      </c>
      <c r="D1434" t="s">
        <v>5991</v>
      </c>
      <c r="E1434" t="s">
        <v>1663</v>
      </c>
      <c r="F1434">
        <v>3</v>
      </c>
      <c r="G1434">
        <v>3.1</v>
      </c>
      <c r="H1434" t="s">
        <v>2017</v>
      </c>
      <c r="I1434" s="21">
        <v>38483</v>
      </c>
      <c r="J1434">
        <v>2005</v>
      </c>
      <c r="K1434" s="21">
        <v>38514</v>
      </c>
      <c r="L1434">
        <v>2005</v>
      </c>
      <c r="M1434" s="21">
        <v>38667</v>
      </c>
      <c r="N1434">
        <v>2005</v>
      </c>
      <c r="Q1434" s="262">
        <v>0</v>
      </c>
      <c r="S1434" t="s">
        <v>114</v>
      </c>
      <c r="T1434" t="s">
        <v>114</v>
      </c>
      <c r="W1434">
        <v>3215</v>
      </c>
      <c r="X1434">
        <v>2</v>
      </c>
      <c r="Y1434">
        <v>0</v>
      </c>
      <c r="Z1434">
        <v>0</v>
      </c>
      <c r="AA1434">
        <v>0</v>
      </c>
      <c r="AB1434">
        <v>0</v>
      </c>
      <c r="AC1434">
        <v>3215</v>
      </c>
      <c r="AD1434">
        <v>0</v>
      </c>
      <c r="AE1434">
        <v>0</v>
      </c>
      <c r="AF1434">
        <v>0</v>
      </c>
      <c r="AG1434">
        <v>0</v>
      </c>
      <c r="AH1434">
        <v>0</v>
      </c>
      <c r="AI1434">
        <v>0</v>
      </c>
      <c r="AJ1434">
        <v>0</v>
      </c>
      <c r="AK1434">
        <v>0</v>
      </c>
      <c r="AL1434">
        <v>0</v>
      </c>
      <c r="AM1434">
        <v>0</v>
      </c>
      <c r="AN1434">
        <v>0</v>
      </c>
      <c r="AO1434">
        <v>2</v>
      </c>
      <c r="AP1434">
        <v>0</v>
      </c>
      <c r="AQ1434">
        <v>0</v>
      </c>
      <c r="AR1434">
        <v>0</v>
      </c>
      <c r="AS1434">
        <v>0</v>
      </c>
      <c r="AT1434">
        <v>0</v>
      </c>
      <c r="AU1434">
        <f t="shared" si="44"/>
        <v>2</v>
      </c>
      <c r="AV1434">
        <f t="shared" si="45"/>
        <v>0</v>
      </c>
    </row>
    <row r="1435" spans="1:48" x14ac:dyDescent="0.25">
      <c r="A1435" t="s">
        <v>5992</v>
      </c>
      <c r="C1435" t="s">
        <v>5993</v>
      </c>
      <c r="D1435" t="s">
        <v>5991</v>
      </c>
      <c r="E1435" t="s">
        <v>1663</v>
      </c>
      <c r="F1435">
        <v>3</v>
      </c>
      <c r="G1435">
        <v>3.1</v>
      </c>
      <c r="H1435" t="s">
        <v>2017</v>
      </c>
      <c r="I1435" s="21">
        <v>38483</v>
      </c>
      <c r="J1435">
        <v>2005</v>
      </c>
      <c r="K1435" s="21">
        <v>38514</v>
      </c>
      <c r="L1435">
        <v>2005</v>
      </c>
      <c r="M1435" s="21">
        <v>38667</v>
      </c>
      <c r="N1435">
        <v>2005</v>
      </c>
      <c r="Q1435" s="262">
        <v>0</v>
      </c>
      <c r="S1435" t="s">
        <v>114</v>
      </c>
      <c r="T1435" t="s">
        <v>114</v>
      </c>
      <c r="W1435">
        <v>1594</v>
      </c>
      <c r="X1435">
        <v>1</v>
      </c>
      <c r="Y1435">
        <v>0</v>
      </c>
      <c r="Z1435">
        <v>0</v>
      </c>
      <c r="AA1435">
        <v>0</v>
      </c>
      <c r="AB1435">
        <v>0</v>
      </c>
      <c r="AC1435">
        <v>0</v>
      </c>
      <c r="AD1435">
        <v>0</v>
      </c>
      <c r="AE1435">
        <v>1594</v>
      </c>
      <c r="AF1435">
        <v>0</v>
      </c>
      <c r="AG1435">
        <v>0</v>
      </c>
      <c r="AH1435">
        <v>0</v>
      </c>
      <c r="AI1435">
        <v>0</v>
      </c>
      <c r="AJ1435">
        <v>0</v>
      </c>
      <c r="AK1435">
        <v>0</v>
      </c>
      <c r="AL1435">
        <v>0</v>
      </c>
      <c r="AM1435">
        <v>0</v>
      </c>
      <c r="AN1435">
        <v>0</v>
      </c>
      <c r="AO1435">
        <v>0</v>
      </c>
      <c r="AP1435">
        <v>0</v>
      </c>
      <c r="AQ1435">
        <v>1</v>
      </c>
      <c r="AR1435">
        <v>0</v>
      </c>
      <c r="AS1435">
        <v>0</v>
      </c>
      <c r="AT1435">
        <v>0</v>
      </c>
      <c r="AU1435">
        <f t="shared" si="44"/>
        <v>1</v>
      </c>
      <c r="AV1435">
        <f t="shared" si="45"/>
        <v>0</v>
      </c>
    </row>
    <row r="1436" spans="1:48" x14ac:dyDescent="0.25">
      <c r="A1436" t="s">
        <v>6006</v>
      </c>
      <c r="C1436" t="s">
        <v>6007</v>
      </c>
      <c r="D1436" t="s">
        <v>4626</v>
      </c>
      <c r="E1436" t="s">
        <v>2310</v>
      </c>
      <c r="F1436">
        <v>9</v>
      </c>
      <c r="G1436">
        <v>9.3000000000000007</v>
      </c>
      <c r="H1436" t="s">
        <v>2323</v>
      </c>
      <c r="I1436" s="21">
        <v>38484</v>
      </c>
      <c r="J1436">
        <v>2005</v>
      </c>
      <c r="P1436" s="21">
        <v>42237.635312500002</v>
      </c>
      <c r="R1436" s="262">
        <v>6000</v>
      </c>
      <c r="S1436" t="s">
        <v>114</v>
      </c>
      <c r="T1436" t="s">
        <v>114</v>
      </c>
      <c r="U1436">
        <v>15</v>
      </c>
      <c r="W1436">
        <v>0</v>
      </c>
      <c r="X1436">
        <v>0</v>
      </c>
      <c r="Y1436">
        <v>0</v>
      </c>
      <c r="Z1436">
        <v>0</v>
      </c>
      <c r="AA1436">
        <v>0</v>
      </c>
      <c r="AB1436">
        <v>0</v>
      </c>
      <c r="AC1436">
        <v>0</v>
      </c>
      <c r="AD1436">
        <v>0</v>
      </c>
      <c r="AE1436">
        <v>0</v>
      </c>
      <c r="AF1436">
        <v>0</v>
      </c>
      <c r="AG1436">
        <v>0</v>
      </c>
      <c r="AH1436">
        <v>0</v>
      </c>
      <c r="AI1436">
        <v>0</v>
      </c>
      <c r="AJ1436">
        <v>0</v>
      </c>
      <c r="AK1436">
        <v>0</v>
      </c>
      <c r="AL1436">
        <v>0</v>
      </c>
      <c r="AM1436">
        <v>0</v>
      </c>
      <c r="AN1436">
        <v>0</v>
      </c>
      <c r="AO1436">
        <v>0</v>
      </c>
      <c r="AP1436">
        <v>0</v>
      </c>
      <c r="AQ1436">
        <v>0</v>
      </c>
      <c r="AR1436">
        <v>0</v>
      </c>
      <c r="AS1436">
        <v>0</v>
      </c>
      <c r="AT1436">
        <v>0</v>
      </c>
      <c r="AU1436">
        <f t="shared" si="44"/>
        <v>0</v>
      </c>
      <c r="AV1436">
        <f t="shared" si="45"/>
        <v>0</v>
      </c>
    </row>
    <row r="1437" spans="1:48" x14ac:dyDescent="0.25">
      <c r="A1437" t="s">
        <v>6008</v>
      </c>
      <c r="C1437" t="s">
        <v>6009</v>
      </c>
      <c r="D1437" t="s">
        <v>6010</v>
      </c>
      <c r="E1437" t="s">
        <v>2310</v>
      </c>
      <c r="F1437">
        <v>9</v>
      </c>
      <c r="G1437">
        <v>9.3000000000000007</v>
      </c>
      <c r="H1437" t="s">
        <v>2323</v>
      </c>
      <c r="I1437" s="21">
        <v>38484</v>
      </c>
      <c r="J1437">
        <v>2005</v>
      </c>
      <c r="K1437" s="21">
        <v>38519</v>
      </c>
      <c r="L1437">
        <v>2005</v>
      </c>
      <c r="M1437" s="21">
        <v>39241</v>
      </c>
      <c r="N1437">
        <v>2007</v>
      </c>
      <c r="R1437" s="262">
        <v>1352000</v>
      </c>
      <c r="S1437" t="s">
        <v>114</v>
      </c>
      <c r="T1437" t="s">
        <v>114</v>
      </c>
      <c r="U1437">
        <v>5</v>
      </c>
      <c r="W1437">
        <v>8523</v>
      </c>
      <c r="X1437">
        <v>1</v>
      </c>
      <c r="Y1437">
        <v>0</v>
      </c>
      <c r="Z1437">
        <v>0</v>
      </c>
      <c r="AA1437">
        <v>0</v>
      </c>
      <c r="AB1437">
        <v>0</v>
      </c>
      <c r="AC1437">
        <v>8523</v>
      </c>
      <c r="AD1437">
        <v>0</v>
      </c>
      <c r="AE1437">
        <v>0</v>
      </c>
      <c r="AF1437">
        <v>0</v>
      </c>
      <c r="AG1437">
        <v>0</v>
      </c>
      <c r="AH1437">
        <v>0</v>
      </c>
      <c r="AI1437">
        <v>0</v>
      </c>
      <c r="AJ1437">
        <v>0</v>
      </c>
      <c r="AK1437">
        <v>0</v>
      </c>
      <c r="AL1437">
        <v>0</v>
      </c>
      <c r="AM1437">
        <v>0</v>
      </c>
      <c r="AN1437">
        <v>0</v>
      </c>
      <c r="AO1437">
        <v>1</v>
      </c>
      <c r="AP1437">
        <v>0</v>
      </c>
      <c r="AQ1437">
        <v>0</v>
      </c>
      <c r="AR1437">
        <v>0</v>
      </c>
      <c r="AS1437">
        <v>0</v>
      </c>
      <c r="AT1437">
        <v>0</v>
      </c>
      <c r="AU1437">
        <f t="shared" si="44"/>
        <v>1</v>
      </c>
      <c r="AV1437">
        <f t="shared" si="45"/>
        <v>0</v>
      </c>
    </row>
    <row r="1438" spans="1:48" x14ac:dyDescent="0.25">
      <c r="A1438" t="s">
        <v>6011</v>
      </c>
      <c r="C1438" t="s">
        <v>6012</v>
      </c>
      <c r="D1438" t="s">
        <v>6010</v>
      </c>
      <c r="E1438" t="s">
        <v>2310</v>
      </c>
      <c r="F1438">
        <v>9</v>
      </c>
      <c r="G1438">
        <v>9.3000000000000007</v>
      </c>
      <c r="H1438" t="s">
        <v>2323</v>
      </c>
      <c r="I1438" s="21">
        <v>38484</v>
      </c>
      <c r="J1438">
        <v>2005</v>
      </c>
      <c r="K1438" s="21">
        <v>38519</v>
      </c>
      <c r="L1438">
        <v>2005</v>
      </c>
      <c r="M1438" s="21">
        <v>39241</v>
      </c>
      <c r="N1438">
        <v>2007</v>
      </c>
      <c r="R1438" s="262">
        <v>100000</v>
      </c>
      <c r="S1438" t="s">
        <v>114</v>
      </c>
      <c r="T1438" t="s">
        <v>114</v>
      </c>
      <c r="U1438">
        <v>5</v>
      </c>
      <c r="W1438">
        <v>800</v>
      </c>
      <c r="X1438">
        <v>0</v>
      </c>
      <c r="Y1438">
        <v>0</v>
      </c>
      <c r="Z1438">
        <v>0</v>
      </c>
      <c r="AA1438">
        <v>0</v>
      </c>
      <c r="AB1438">
        <v>0</v>
      </c>
      <c r="AC1438">
        <v>800</v>
      </c>
      <c r="AD1438">
        <v>0</v>
      </c>
      <c r="AE1438">
        <v>0</v>
      </c>
      <c r="AF1438">
        <v>0</v>
      </c>
      <c r="AG1438">
        <v>0</v>
      </c>
      <c r="AH1438">
        <v>0</v>
      </c>
      <c r="AI1438">
        <v>0</v>
      </c>
      <c r="AJ1438">
        <v>0</v>
      </c>
      <c r="AK1438">
        <v>0</v>
      </c>
      <c r="AL1438">
        <v>0</v>
      </c>
      <c r="AM1438">
        <v>0</v>
      </c>
      <c r="AN1438">
        <v>0</v>
      </c>
      <c r="AO1438">
        <v>0</v>
      </c>
      <c r="AP1438">
        <v>0</v>
      </c>
      <c r="AQ1438">
        <v>0</v>
      </c>
      <c r="AR1438">
        <v>0</v>
      </c>
      <c r="AS1438">
        <v>0</v>
      </c>
      <c r="AT1438">
        <v>0</v>
      </c>
      <c r="AU1438">
        <f t="shared" si="44"/>
        <v>0</v>
      </c>
      <c r="AV1438">
        <f t="shared" si="45"/>
        <v>0</v>
      </c>
    </row>
    <row r="1439" spans="1:48" x14ac:dyDescent="0.25">
      <c r="A1439" t="s">
        <v>6013</v>
      </c>
      <c r="C1439" t="s">
        <v>6014</v>
      </c>
      <c r="D1439" t="s">
        <v>6015</v>
      </c>
      <c r="E1439" t="s">
        <v>2310</v>
      </c>
      <c r="F1439">
        <v>9</v>
      </c>
      <c r="G1439">
        <v>9.3000000000000007</v>
      </c>
      <c r="H1439" t="s">
        <v>2323</v>
      </c>
      <c r="I1439" s="21">
        <v>38488</v>
      </c>
      <c r="J1439">
        <v>2005</v>
      </c>
      <c r="K1439" s="21">
        <v>38513</v>
      </c>
      <c r="L1439">
        <v>2005</v>
      </c>
      <c r="M1439" s="21">
        <v>38513</v>
      </c>
      <c r="N1439">
        <v>2005</v>
      </c>
      <c r="R1439" s="262">
        <v>25000</v>
      </c>
      <c r="S1439" t="s">
        <v>114</v>
      </c>
      <c r="T1439" t="s">
        <v>114</v>
      </c>
      <c r="U1439">
        <v>5</v>
      </c>
      <c r="W1439">
        <v>872</v>
      </c>
      <c r="X1439">
        <v>1</v>
      </c>
      <c r="Y1439">
        <v>0</v>
      </c>
      <c r="Z1439">
        <v>0</v>
      </c>
      <c r="AA1439">
        <v>0</v>
      </c>
      <c r="AB1439">
        <v>0</v>
      </c>
      <c r="AC1439">
        <v>872</v>
      </c>
      <c r="AD1439">
        <v>0</v>
      </c>
      <c r="AE1439">
        <v>0</v>
      </c>
      <c r="AF1439">
        <v>0</v>
      </c>
      <c r="AG1439">
        <v>0</v>
      </c>
      <c r="AH1439">
        <v>0</v>
      </c>
      <c r="AI1439">
        <v>0</v>
      </c>
      <c r="AJ1439">
        <v>0</v>
      </c>
      <c r="AK1439">
        <v>0</v>
      </c>
      <c r="AL1439">
        <v>0</v>
      </c>
      <c r="AM1439">
        <v>0</v>
      </c>
      <c r="AN1439">
        <v>0</v>
      </c>
      <c r="AO1439">
        <v>1</v>
      </c>
      <c r="AP1439">
        <v>0</v>
      </c>
      <c r="AQ1439">
        <v>0</v>
      </c>
      <c r="AR1439">
        <v>0</v>
      </c>
      <c r="AS1439">
        <v>0</v>
      </c>
      <c r="AT1439">
        <v>0</v>
      </c>
      <c r="AU1439">
        <f t="shared" si="44"/>
        <v>1</v>
      </c>
      <c r="AV1439">
        <f t="shared" si="45"/>
        <v>0</v>
      </c>
    </row>
    <row r="1440" spans="1:48" x14ac:dyDescent="0.25">
      <c r="A1440" t="s">
        <v>6016</v>
      </c>
      <c r="C1440" t="s">
        <v>6017</v>
      </c>
      <c r="D1440" t="s">
        <v>6018</v>
      </c>
      <c r="E1440" t="s">
        <v>2310</v>
      </c>
      <c r="F1440">
        <v>12</v>
      </c>
      <c r="G1440">
        <v>12.3</v>
      </c>
      <c r="H1440" t="s">
        <v>2017</v>
      </c>
      <c r="I1440" s="21">
        <v>38488</v>
      </c>
      <c r="J1440">
        <v>2005</v>
      </c>
      <c r="K1440" s="21">
        <v>38506</v>
      </c>
      <c r="L1440">
        <v>2005</v>
      </c>
      <c r="M1440" s="21">
        <v>38653</v>
      </c>
      <c r="N1440">
        <v>2005</v>
      </c>
      <c r="R1440" s="262">
        <v>30000</v>
      </c>
      <c r="S1440" t="s">
        <v>114</v>
      </c>
      <c r="T1440" t="s">
        <v>114</v>
      </c>
      <c r="U1440">
        <v>5</v>
      </c>
      <c r="W1440">
        <v>0</v>
      </c>
      <c r="X1440">
        <v>0</v>
      </c>
      <c r="Y1440">
        <v>0</v>
      </c>
      <c r="Z1440">
        <v>0</v>
      </c>
      <c r="AA1440">
        <v>0</v>
      </c>
      <c r="AB1440">
        <v>0</v>
      </c>
      <c r="AC1440">
        <v>0</v>
      </c>
      <c r="AD1440">
        <v>0</v>
      </c>
      <c r="AE1440">
        <v>0</v>
      </c>
      <c r="AF1440">
        <v>0</v>
      </c>
      <c r="AG1440">
        <v>0</v>
      </c>
      <c r="AH1440">
        <v>0</v>
      </c>
      <c r="AI1440">
        <v>0</v>
      </c>
      <c r="AJ1440">
        <v>0</v>
      </c>
      <c r="AK1440">
        <v>0</v>
      </c>
      <c r="AL1440">
        <v>0</v>
      </c>
      <c r="AM1440">
        <v>0</v>
      </c>
      <c r="AN1440">
        <v>0</v>
      </c>
      <c r="AO1440">
        <v>0</v>
      </c>
      <c r="AP1440">
        <v>0</v>
      </c>
      <c r="AQ1440">
        <v>0</v>
      </c>
      <c r="AR1440">
        <v>0</v>
      </c>
      <c r="AS1440">
        <v>0</v>
      </c>
      <c r="AT1440">
        <v>0</v>
      </c>
      <c r="AU1440">
        <f t="shared" si="44"/>
        <v>0</v>
      </c>
      <c r="AV1440">
        <f t="shared" si="45"/>
        <v>0</v>
      </c>
    </row>
    <row r="1441" spans="1:48" x14ac:dyDescent="0.25">
      <c r="A1441" t="s">
        <v>6022</v>
      </c>
      <c r="C1441" t="s">
        <v>6023</v>
      </c>
      <c r="D1441" t="s">
        <v>6024</v>
      </c>
      <c r="E1441" t="s">
        <v>2310</v>
      </c>
      <c r="F1441">
        <v>13</v>
      </c>
      <c r="G1441">
        <v>13.3</v>
      </c>
      <c r="H1441" t="s">
        <v>2017</v>
      </c>
      <c r="I1441" s="21">
        <v>38489</v>
      </c>
      <c r="J1441">
        <v>2005</v>
      </c>
      <c r="K1441" s="21">
        <v>38531</v>
      </c>
      <c r="L1441">
        <v>2005</v>
      </c>
      <c r="M1441" s="21">
        <v>39098</v>
      </c>
      <c r="N1441">
        <v>2007</v>
      </c>
      <c r="R1441" s="262">
        <v>1800000</v>
      </c>
      <c r="S1441" t="s">
        <v>114</v>
      </c>
      <c r="T1441" t="s">
        <v>114</v>
      </c>
      <c r="U1441">
        <v>5</v>
      </c>
      <c r="W1441">
        <v>6976</v>
      </c>
      <c r="X1441">
        <v>1</v>
      </c>
      <c r="Y1441">
        <v>0</v>
      </c>
      <c r="Z1441">
        <v>0</v>
      </c>
      <c r="AA1441">
        <v>0</v>
      </c>
      <c r="AB1441">
        <v>0</v>
      </c>
      <c r="AC1441">
        <v>6976</v>
      </c>
      <c r="AD1441">
        <v>0</v>
      </c>
      <c r="AE1441">
        <v>0</v>
      </c>
      <c r="AF1441">
        <v>0</v>
      </c>
      <c r="AG1441">
        <v>0</v>
      </c>
      <c r="AH1441">
        <v>0</v>
      </c>
      <c r="AI1441">
        <v>0</v>
      </c>
      <c r="AJ1441">
        <v>0</v>
      </c>
      <c r="AK1441">
        <v>0</v>
      </c>
      <c r="AL1441">
        <v>0</v>
      </c>
      <c r="AM1441">
        <v>0</v>
      </c>
      <c r="AN1441">
        <v>0</v>
      </c>
      <c r="AO1441">
        <v>1</v>
      </c>
      <c r="AP1441">
        <v>0</v>
      </c>
      <c r="AQ1441">
        <v>0</v>
      </c>
      <c r="AR1441">
        <v>0</v>
      </c>
      <c r="AS1441">
        <v>0</v>
      </c>
      <c r="AT1441">
        <v>0</v>
      </c>
      <c r="AU1441">
        <f t="shared" si="44"/>
        <v>1</v>
      </c>
      <c r="AV1441">
        <f t="shared" si="45"/>
        <v>0</v>
      </c>
    </row>
    <row r="1442" spans="1:48" x14ac:dyDescent="0.25">
      <c r="A1442" t="s">
        <v>6025</v>
      </c>
      <c r="C1442" t="s">
        <v>6026</v>
      </c>
      <c r="D1442" t="s">
        <v>6027</v>
      </c>
      <c r="E1442" t="s">
        <v>2310</v>
      </c>
      <c r="F1442">
        <v>8</v>
      </c>
      <c r="G1442">
        <v>8.1999999999999993</v>
      </c>
      <c r="H1442" t="s">
        <v>2022</v>
      </c>
      <c r="I1442" s="21">
        <v>38489</v>
      </c>
      <c r="J1442">
        <v>2005</v>
      </c>
      <c r="K1442" s="21">
        <v>38519</v>
      </c>
      <c r="L1442">
        <v>2005</v>
      </c>
      <c r="M1442" s="21">
        <v>38888</v>
      </c>
      <c r="N1442">
        <v>2006</v>
      </c>
      <c r="R1442" s="262">
        <v>215000</v>
      </c>
      <c r="S1442" t="s">
        <v>114</v>
      </c>
      <c r="T1442" t="s">
        <v>114</v>
      </c>
      <c r="U1442">
        <v>5</v>
      </c>
      <c r="W1442">
        <v>1622</v>
      </c>
      <c r="X1442">
        <v>0</v>
      </c>
      <c r="Y1442">
        <v>0</v>
      </c>
      <c r="Z1442">
        <v>0</v>
      </c>
      <c r="AA1442">
        <v>0</v>
      </c>
      <c r="AB1442">
        <v>0</v>
      </c>
      <c r="AC1442">
        <v>1622</v>
      </c>
      <c r="AD1442">
        <v>0</v>
      </c>
      <c r="AE1442">
        <v>0</v>
      </c>
      <c r="AF1442">
        <v>0</v>
      </c>
      <c r="AG1442">
        <v>0</v>
      </c>
      <c r="AH1442">
        <v>0</v>
      </c>
      <c r="AI1442">
        <v>0</v>
      </c>
      <c r="AJ1442">
        <v>0</v>
      </c>
      <c r="AK1442">
        <v>0</v>
      </c>
      <c r="AL1442">
        <v>0</v>
      </c>
      <c r="AM1442">
        <v>0</v>
      </c>
      <c r="AN1442">
        <v>0</v>
      </c>
      <c r="AO1442">
        <v>0</v>
      </c>
      <c r="AP1442">
        <v>0</v>
      </c>
      <c r="AQ1442">
        <v>0</v>
      </c>
      <c r="AR1442">
        <v>0</v>
      </c>
      <c r="AS1442">
        <v>0</v>
      </c>
      <c r="AT1442">
        <v>0</v>
      </c>
      <c r="AU1442">
        <f t="shared" si="44"/>
        <v>0</v>
      </c>
      <c r="AV1442">
        <f t="shared" si="45"/>
        <v>0</v>
      </c>
    </row>
    <row r="1443" spans="1:48" x14ac:dyDescent="0.25">
      <c r="A1443" t="s">
        <v>6028</v>
      </c>
      <c r="C1443" t="s">
        <v>6029</v>
      </c>
      <c r="D1443" t="s">
        <v>6030</v>
      </c>
      <c r="E1443" t="s">
        <v>2310</v>
      </c>
      <c r="F1443">
        <v>9</v>
      </c>
      <c r="G1443">
        <v>9.1</v>
      </c>
      <c r="H1443" t="s">
        <v>2323</v>
      </c>
      <c r="I1443" s="21">
        <v>38489</v>
      </c>
      <c r="J1443">
        <v>2005</v>
      </c>
      <c r="K1443" s="21">
        <v>38520</v>
      </c>
      <c r="L1443">
        <v>2005</v>
      </c>
      <c r="M1443" s="21">
        <v>38691</v>
      </c>
      <c r="N1443">
        <v>2005</v>
      </c>
      <c r="R1443" s="262">
        <v>164000</v>
      </c>
      <c r="S1443" t="s">
        <v>114</v>
      </c>
      <c r="T1443" t="s">
        <v>114</v>
      </c>
      <c r="U1443">
        <v>5</v>
      </c>
      <c r="W1443">
        <v>374</v>
      </c>
      <c r="X1443">
        <v>0</v>
      </c>
      <c r="Y1443">
        <v>0</v>
      </c>
      <c r="Z1443">
        <v>0</v>
      </c>
      <c r="AA1443">
        <v>0</v>
      </c>
      <c r="AB1443">
        <v>0</v>
      </c>
      <c r="AC1443">
        <v>374</v>
      </c>
      <c r="AD1443">
        <v>0</v>
      </c>
      <c r="AE1443">
        <v>0</v>
      </c>
      <c r="AF1443">
        <v>0</v>
      </c>
      <c r="AG1443">
        <v>0</v>
      </c>
      <c r="AH1443">
        <v>0</v>
      </c>
      <c r="AI1443">
        <v>0</v>
      </c>
      <c r="AJ1443">
        <v>0</v>
      </c>
      <c r="AK1443">
        <v>0</v>
      </c>
      <c r="AL1443">
        <v>0</v>
      </c>
      <c r="AM1443">
        <v>0</v>
      </c>
      <c r="AN1443">
        <v>0</v>
      </c>
      <c r="AO1443">
        <v>0</v>
      </c>
      <c r="AP1443">
        <v>0</v>
      </c>
      <c r="AQ1443">
        <v>0</v>
      </c>
      <c r="AR1443">
        <v>0</v>
      </c>
      <c r="AS1443">
        <v>0</v>
      </c>
      <c r="AT1443">
        <v>0</v>
      </c>
      <c r="AU1443">
        <f t="shared" si="44"/>
        <v>0</v>
      </c>
      <c r="AV1443">
        <f t="shared" si="45"/>
        <v>0</v>
      </c>
    </row>
    <row r="1444" spans="1:48" x14ac:dyDescent="0.25">
      <c r="A1444" t="s">
        <v>6031</v>
      </c>
      <c r="C1444" t="s">
        <v>6032</v>
      </c>
      <c r="D1444" t="s">
        <v>6033</v>
      </c>
      <c r="E1444" t="s">
        <v>2310</v>
      </c>
      <c r="F1444">
        <v>9</v>
      </c>
      <c r="G1444">
        <v>9.1</v>
      </c>
      <c r="H1444" t="s">
        <v>2323</v>
      </c>
      <c r="I1444" s="21">
        <v>38489</v>
      </c>
      <c r="J1444">
        <v>2005</v>
      </c>
      <c r="K1444" s="21">
        <v>38523</v>
      </c>
      <c r="L1444">
        <v>2005</v>
      </c>
      <c r="M1444" s="21">
        <v>38884</v>
      </c>
      <c r="N1444">
        <v>2006</v>
      </c>
      <c r="R1444" s="262">
        <v>100000</v>
      </c>
      <c r="S1444" t="s">
        <v>114</v>
      </c>
      <c r="T1444" t="s">
        <v>114</v>
      </c>
      <c r="U1444">
        <v>5</v>
      </c>
      <c r="W1444">
        <v>267</v>
      </c>
      <c r="X1444">
        <v>0</v>
      </c>
      <c r="Y1444">
        <v>0</v>
      </c>
      <c r="Z1444">
        <v>0</v>
      </c>
      <c r="AA1444">
        <v>0</v>
      </c>
      <c r="AB1444">
        <v>0</v>
      </c>
      <c r="AC1444">
        <v>267</v>
      </c>
      <c r="AD1444">
        <v>0</v>
      </c>
      <c r="AE1444">
        <v>0</v>
      </c>
      <c r="AF1444">
        <v>0</v>
      </c>
      <c r="AG1444">
        <v>0</v>
      </c>
      <c r="AH1444">
        <v>0</v>
      </c>
      <c r="AI1444">
        <v>0</v>
      </c>
      <c r="AJ1444">
        <v>0</v>
      </c>
      <c r="AK1444">
        <v>0</v>
      </c>
      <c r="AL1444">
        <v>0</v>
      </c>
      <c r="AM1444">
        <v>0</v>
      </c>
      <c r="AN1444">
        <v>0</v>
      </c>
      <c r="AO1444">
        <v>0</v>
      </c>
      <c r="AP1444">
        <v>0</v>
      </c>
      <c r="AQ1444">
        <v>0</v>
      </c>
      <c r="AR1444">
        <v>0</v>
      </c>
      <c r="AS1444">
        <v>0</v>
      </c>
      <c r="AT1444">
        <v>0</v>
      </c>
      <c r="AU1444">
        <f t="shared" si="44"/>
        <v>0</v>
      </c>
      <c r="AV1444">
        <f t="shared" si="45"/>
        <v>0</v>
      </c>
    </row>
    <row r="1445" spans="1:48" x14ac:dyDescent="0.25">
      <c r="A1445" t="s">
        <v>6019</v>
      </c>
      <c r="C1445" t="s">
        <v>6020</v>
      </c>
      <c r="D1445" t="s">
        <v>6021</v>
      </c>
      <c r="E1445" t="s">
        <v>1663</v>
      </c>
      <c r="F1445">
        <v>5</v>
      </c>
      <c r="G1445">
        <v>5.5</v>
      </c>
      <c r="H1445" t="s">
        <v>2017</v>
      </c>
      <c r="I1445" s="21">
        <v>38489</v>
      </c>
      <c r="J1445">
        <v>2005</v>
      </c>
      <c r="K1445" s="21">
        <v>38520</v>
      </c>
      <c r="L1445">
        <v>2005</v>
      </c>
      <c r="M1445" s="21">
        <v>38673</v>
      </c>
      <c r="N1445">
        <v>2005</v>
      </c>
      <c r="Q1445" s="262">
        <v>0</v>
      </c>
      <c r="S1445" t="s">
        <v>114</v>
      </c>
      <c r="T1445" t="s">
        <v>114</v>
      </c>
      <c r="W1445">
        <v>1178</v>
      </c>
      <c r="X1445">
        <v>0</v>
      </c>
      <c r="Y1445">
        <v>0</v>
      </c>
      <c r="Z1445">
        <v>0</v>
      </c>
      <c r="AA1445">
        <v>0</v>
      </c>
      <c r="AB1445">
        <v>0</v>
      </c>
      <c r="AC1445">
        <v>1178</v>
      </c>
      <c r="AD1445">
        <v>0</v>
      </c>
      <c r="AE1445">
        <v>0</v>
      </c>
      <c r="AF1445">
        <v>0</v>
      </c>
      <c r="AG1445">
        <v>0</v>
      </c>
      <c r="AH1445">
        <v>0</v>
      </c>
      <c r="AI1445">
        <v>0</v>
      </c>
      <c r="AJ1445">
        <v>0</v>
      </c>
      <c r="AK1445">
        <v>0</v>
      </c>
      <c r="AL1445">
        <v>0</v>
      </c>
      <c r="AM1445">
        <v>0</v>
      </c>
      <c r="AN1445">
        <v>0</v>
      </c>
      <c r="AO1445">
        <v>0</v>
      </c>
      <c r="AP1445">
        <v>0</v>
      </c>
      <c r="AQ1445">
        <v>0</v>
      </c>
      <c r="AR1445">
        <v>0</v>
      </c>
      <c r="AS1445">
        <v>0</v>
      </c>
      <c r="AT1445">
        <v>0</v>
      </c>
      <c r="AU1445">
        <f t="shared" si="44"/>
        <v>0</v>
      </c>
      <c r="AV1445">
        <f t="shared" si="45"/>
        <v>0</v>
      </c>
    </row>
    <row r="1446" spans="1:48" x14ac:dyDescent="0.25">
      <c r="A1446" t="s">
        <v>6034</v>
      </c>
      <c r="C1446" t="s">
        <v>6035</v>
      </c>
      <c r="D1446" t="s">
        <v>6036</v>
      </c>
      <c r="E1446" t="s">
        <v>2310</v>
      </c>
      <c r="F1446">
        <v>15</v>
      </c>
      <c r="G1446">
        <v>15.2</v>
      </c>
      <c r="H1446" t="s">
        <v>2323</v>
      </c>
      <c r="I1446" s="21">
        <v>38490</v>
      </c>
      <c r="J1446">
        <v>2005</v>
      </c>
      <c r="K1446" s="21">
        <v>38533</v>
      </c>
      <c r="L1446">
        <v>2005</v>
      </c>
      <c r="M1446" s="21">
        <v>39058</v>
      </c>
      <c r="N1446">
        <v>2006</v>
      </c>
      <c r="R1446" s="262">
        <v>1636500</v>
      </c>
      <c r="S1446" t="s">
        <v>114</v>
      </c>
      <c r="T1446" t="s">
        <v>114</v>
      </c>
      <c r="U1446">
        <v>5</v>
      </c>
      <c r="W1446">
        <v>6984</v>
      </c>
      <c r="X1446">
        <v>1</v>
      </c>
      <c r="Y1446">
        <v>0</v>
      </c>
      <c r="Z1446">
        <v>0</v>
      </c>
      <c r="AA1446">
        <v>0</v>
      </c>
      <c r="AB1446">
        <v>0</v>
      </c>
      <c r="AC1446">
        <v>6984</v>
      </c>
      <c r="AD1446">
        <v>0</v>
      </c>
      <c r="AE1446">
        <v>0</v>
      </c>
      <c r="AF1446">
        <v>0</v>
      </c>
      <c r="AG1446">
        <v>0</v>
      </c>
      <c r="AH1446">
        <v>0</v>
      </c>
      <c r="AI1446">
        <v>0</v>
      </c>
      <c r="AJ1446">
        <v>0</v>
      </c>
      <c r="AK1446">
        <v>0</v>
      </c>
      <c r="AL1446">
        <v>0</v>
      </c>
      <c r="AM1446">
        <v>0</v>
      </c>
      <c r="AN1446">
        <v>0</v>
      </c>
      <c r="AO1446">
        <v>1</v>
      </c>
      <c r="AP1446">
        <v>0</v>
      </c>
      <c r="AQ1446">
        <v>0</v>
      </c>
      <c r="AR1446">
        <v>0</v>
      </c>
      <c r="AS1446">
        <v>0</v>
      </c>
      <c r="AT1446">
        <v>0</v>
      </c>
      <c r="AU1446">
        <f t="shared" si="44"/>
        <v>1</v>
      </c>
      <c r="AV1446">
        <f t="shared" si="45"/>
        <v>0</v>
      </c>
    </row>
    <row r="1447" spans="1:48" x14ac:dyDescent="0.25">
      <c r="A1447" t="s">
        <v>6037</v>
      </c>
      <c r="C1447" t="s">
        <v>6038</v>
      </c>
      <c r="D1447" t="s">
        <v>6039</v>
      </c>
      <c r="E1447" t="s">
        <v>1663</v>
      </c>
      <c r="F1447">
        <v>2</v>
      </c>
      <c r="G1447">
        <v>2.1</v>
      </c>
      <c r="H1447" t="s">
        <v>2327</v>
      </c>
      <c r="I1447" s="21">
        <v>38491</v>
      </c>
      <c r="J1447">
        <v>2005</v>
      </c>
      <c r="K1447" s="21">
        <v>38522</v>
      </c>
      <c r="L1447">
        <v>2005</v>
      </c>
      <c r="M1447" s="21">
        <v>38675</v>
      </c>
      <c r="N1447">
        <v>2005</v>
      </c>
      <c r="Q1447" s="262">
        <v>0</v>
      </c>
      <c r="S1447" t="s">
        <v>114</v>
      </c>
      <c r="T1447" t="s">
        <v>114</v>
      </c>
      <c r="W1447">
        <v>13001</v>
      </c>
      <c r="X1447">
        <v>4</v>
      </c>
      <c r="Y1447">
        <v>0</v>
      </c>
      <c r="Z1447">
        <v>0</v>
      </c>
      <c r="AA1447">
        <v>0</v>
      </c>
      <c r="AB1447">
        <v>0</v>
      </c>
      <c r="AC1447">
        <v>0</v>
      </c>
      <c r="AD1447">
        <v>0</v>
      </c>
      <c r="AE1447">
        <v>0</v>
      </c>
      <c r="AF1447">
        <v>0</v>
      </c>
      <c r="AG1447">
        <v>0</v>
      </c>
      <c r="AH1447">
        <v>0</v>
      </c>
      <c r="AI1447">
        <v>13001</v>
      </c>
      <c r="AJ1447">
        <v>0</v>
      </c>
      <c r="AK1447">
        <v>0</v>
      </c>
      <c r="AL1447">
        <v>0</v>
      </c>
      <c r="AM1447">
        <v>0</v>
      </c>
      <c r="AN1447">
        <v>0</v>
      </c>
      <c r="AO1447">
        <v>0</v>
      </c>
      <c r="AP1447">
        <v>0</v>
      </c>
      <c r="AQ1447">
        <v>0</v>
      </c>
      <c r="AR1447">
        <v>0</v>
      </c>
      <c r="AS1447">
        <v>0</v>
      </c>
      <c r="AT1447">
        <v>4</v>
      </c>
      <c r="AU1447">
        <f t="shared" si="44"/>
        <v>0</v>
      </c>
      <c r="AV1447">
        <f t="shared" si="45"/>
        <v>13001</v>
      </c>
    </row>
    <row r="1448" spans="1:48" x14ac:dyDescent="0.25">
      <c r="A1448" t="s">
        <v>6040</v>
      </c>
      <c r="C1448" t="s">
        <v>6041</v>
      </c>
      <c r="D1448" t="s">
        <v>6042</v>
      </c>
      <c r="E1448" t="s">
        <v>1663</v>
      </c>
      <c r="F1448">
        <v>2</v>
      </c>
      <c r="G1448">
        <v>2.1</v>
      </c>
      <c r="H1448" t="s">
        <v>2327</v>
      </c>
      <c r="I1448" s="21">
        <v>38491</v>
      </c>
      <c r="J1448">
        <v>2005</v>
      </c>
      <c r="K1448" s="21">
        <v>38522</v>
      </c>
      <c r="L1448">
        <v>2005</v>
      </c>
      <c r="M1448" s="21">
        <v>38675</v>
      </c>
      <c r="N1448">
        <v>2005</v>
      </c>
      <c r="Q1448" s="262">
        <v>0</v>
      </c>
      <c r="S1448" t="s">
        <v>114</v>
      </c>
      <c r="T1448" t="s">
        <v>114</v>
      </c>
      <c r="W1448">
        <v>13001</v>
      </c>
      <c r="X1448">
        <v>4</v>
      </c>
      <c r="Y1448">
        <v>0</v>
      </c>
      <c r="Z1448">
        <v>0</v>
      </c>
      <c r="AA1448">
        <v>0</v>
      </c>
      <c r="AB1448">
        <v>0</v>
      </c>
      <c r="AC1448">
        <v>0</v>
      </c>
      <c r="AD1448">
        <v>0</v>
      </c>
      <c r="AE1448">
        <v>0</v>
      </c>
      <c r="AF1448">
        <v>0</v>
      </c>
      <c r="AG1448">
        <v>0</v>
      </c>
      <c r="AH1448">
        <v>0</v>
      </c>
      <c r="AI1448">
        <v>13001</v>
      </c>
      <c r="AJ1448">
        <v>0</v>
      </c>
      <c r="AK1448">
        <v>0</v>
      </c>
      <c r="AL1448">
        <v>0</v>
      </c>
      <c r="AM1448">
        <v>0</v>
      </c>
      <c r="AN1448">
        <v>0</v>
      </c>
      <c r="AO1448">
        <v>0</v>
      </c>
      <c r="AP1448">
        <v>0</v>
      </c>
      <c r="AQ1448">
        <v>0</v>
      </c>
      <c r="AR1448">
        <v>0</v>
      </c>
      <c r="AS1448">
        <v>0</v>
      </c>
      <c r="AT1448">
        <v>4</v>
      </c>
      <c r="AU1448">
        <f t="shared" si="44"/>
        <v>0</v>
      </c>
      <c r="AV1448">
        <f t="shared" si="45"/>
        <v>13001</v>
      </c>
    </row>
    <row r="1449" spans="1:48" x14ac:dyDescent="0.25">
      <c r="A1449" t="s">
        <v>6043</v>
      </c>
      <c r="C1449" t="s">
        <v>6044</v>
      </c>
      <c r="D1449" t="s">
        <v>6045</v>
      </c>
      <c r="E1449" t="s">
        <v>1663</v>
      </c>
      <c r="F1449">
        <v>2</v>
      </c>
      <c r="G1449">
        <v>2.1</v>
      </c>
      <c r="H1449" t="s">
        <v>2327</v>
      </c>
      <c r="I1449" s="21">
        <v>38491</v>
      </c>
      <c r="J1449">
        <v>2005</v>
      </c>
      <c r="K1449" s="21">
        <v>38522</v>
      </c>
      <c r="L1449">
        <v>2005</v>
      </c>
      <c r="M1449" s="21">
        <v>38675</v>
      </c>
      <c r="N1449">
        <v>2005</v>
      </c>
      <c r="Q1449" s="262">
        <v>0</v>
      </c>
      <c r="S1449" t="s">
        <v>114</v>
      </c>
      <c r="T1449" t="s">
        <v>114</v>
      </c>
      <c r="W1449">
        <v>13001</v>
      </c>
      <c r="X1449">
        <v>4</v>
      </c>
      <c r="Y1449">
        <v>0</v>
      </c>
      <c r="Z1449">
        <v>0</v>
      </c>
      <c r="AA1449">
        <v>0</v>
      </c>
      <c r="AB1449">
        <v>0</v>
      </c>
      <c r="AC1449">
        <v>0</v>
      </c>
      <c r="AD1449">
        <v>0</v>
      </c>
      <c r="AE1449">
        <v>0</v>
      </c>
      <c r="AF1449">
        <v>0</v>
      </c>
      <c r="AG1449">
        <v>0</v>
      </c>
      <c r="AH1449">
        <v>0</v>
      </c>
      <c r="AI1449">
        <v>13001</v>
      </c>
      <c r="AJ1449">
        <v>0</v>
      </c>
      <c r="AK1449">
        <v>0</v>
      </c>
      <c r="AL1449">
        <v>0</v>
      </c>
      <c r="AM1449">
        <v>0</v>
      </c>
      <c r="AN1449">
        <v>0</v>
      </c>
      <c r="AO1449">
        <v>0</v>
      </c>
      <c r="AP1449">
        <v>0</v>
      </c>
      <c r="AQ1449">
        <v>0</v>
      </c>
      <c r="AR1449">
        <v>0</v>
      </c>
      <c r="AS1449">
        <v>0</v>
      </c>
      <c r="AT1449">
        <v>4</v>
      </c>
      <c r="AU1449">
        <f t="shared" si="44"/>
        <v>0</v>
      </c>
      <c r="AV1449">
        <f t="shared" si="45"/>
        <v>13001</v>
      </c>
    </row>
    <row r="1450" spans="1:48" x14ac:dyDescent="0.25">
      <c r="A1450" t="s">
        <v>6046</v>
      </c>
      <c r="C1450" t="s">
        <v>6047</v>
      </c>
      <c r="D1450" t="s">
        <v>6048</v>
      </c>
      <c r="E1450" t="s">
        <v>2310</v>
      </c>
      <c r="F1450">
        <v>9</v>
      </c>
      <c r="G1450">
        <v>9.3000000000000007</v>
      </c>
      <c r="H1450" t="s">
        <v>2323</v>
      </c>
      <c r="I1450" s="21">
        <v>38492</v>
      </c>
      <c r="J1450">
        <v>2005</v>
      </c>
      <c r="K1450" s="21">
        <v>38586</v>
      </c>
      <c r="L1450">
        <v>2005</v>
      </c>
      <c r="M1450" s="21">
        <v>39169</v>
      </c>
      <c r="N1450">
        <v>2007</v>
      </c>
      <c r="R1450" s="262">
        <v>1200000</v>
      </c>
      <c r="S1450" t="s">
        <v>114</v>
      </c>
      <c r="T1450" t="s">
        <v>114</v>
      </c>
      <c r="U1450">
        <v>5</v>
      </c>
      <c r="W1450">
        <v>4882</v>
      </c>
      <c r="X1450">
        <v>1</v>
      </c>
      <c r="Y1450">
        <v>0</v>
      </c>
      <c r="Z1450">
        <v>0</v>
      </c>
      <c r="AA1450">
        <v>0</v>
      </c>
      <c r="AB1450">
        <v>0</v>
      </c>
      <c r="AC1450">
        <v>4882</v>
      </c>
      <c r="AD1450">
        <v>0</v>
      </c>
      <c r="AE1450">
        <v>0</v>
      </c>
      <c r="AF1450">
        <v>0</v>
      </c>
      <c r="AG1450">
        <v>0</v>
      </c>
      <c r="AH1450">
        <v>0</v>
      </c>
      <c r="AI1450">
        <v>0</v>
      </c>
      <c r="AJ1450">
        <v>0</v>
      </c>
      <c r="AK1450">
        <v>0</v>
      </c>
      <c r="AL1450">
        <v>0</v>
      </c>
      <c r="AM1450">
        <v>0</v>
      </c>
      <c r="AN1450">
        <v>0</v>
      </c>
      <c r="AO1450">
        <v>1</v>
      </c>
      <c r="AP1450">
        <v>0</v>
      </c>
      <c r="AQ1450">
        <v>0</v>
      </c>
      <c r="AR1450">
        <v>0</v>
      </c>
      <c r="AS1450">
        <v>0</v>
      </c>
      <c r="AT1450">
        <v>0</v>
      </c>
      <c r="AU1450">
        <f t="shared" si="44"/>
        <v>1</v>
      </c>
      <c r="AV1450">
        <f t="shared" si="45"/>
        <v>0</v>
      </c>
    </row>
    <row r="1451" spans="1:48" x14ac:dyDescent="0.25">
      <c r="A1451" t="s">
        <v>6049</v>
      </c>
      <c r="C1451" t="s">
        <v>5207</v>
      </c>
      <c r="D1451" t="s">
        <v>6050</v>
      </c>
      <c r="E1451" t="s">
        <v>2310</v>
      </c>
      <c r="F1451">
        <v>9</v>
      </c>
      <c r="G1451">
        <v>9.3000000000000007</v>
      </c>
      <c r="H1451" t="s">
        <v>2323</v>
      </c>
      <c r="I1451" s="21">
        <v>38492</v>
      </c>
      <c r="J1451">
        <v>2005</v>
      </c>
      <c r="K1451" s="21">
        <v>38586</v>
      </c>
      <c r="L1451">
        <v>2005</v>
      </c>
      <c r="M1451" s="21">
        <v>39357</v>
      </c>
      <c r="N1451">
        <v>2007</v>
      </c>
      <c r="R1451" s="262">
        <v>1200000</v>
      </c>
      <c r="S1451" t="s">
        <v>114</v>
      </c>
      <c r="T1451" t="s">
        <v>114</v>
      </c>
      <c r="U1451">
        <v>5</v>
      </c>
      <c r="W1451">
        <v>4882</v>
      </c>
      <c r="X1451">
        <v>1</v>
      </c>
      <c r="Y1451">
        <v>0</v>
      </c>
      <c r="Z1451">
        <v>0</v>
      </c>
      <c r="AA1451">
        <v>0</v>
      </c>
      <c r="AB1451">
        <v>0</v>
      </c>
      <c r="AC1451">
        <v>4882</v>
      </c>
      <c r="AD1451">
        <v>0</v>
      </c>
      <c r="AE1451">
        <v>0</v>
      </c>
      <c r="AF1451">
        <v>0</v>
      </c>
      <c r="AG1451">
        <v>0</v>
      </c>
      <c r="AH1451">
        <v>0</v>
      </c>
      <c r="AI1451">
        <v>0</v>
      </c>
      <c r="AJ1451">
        <v>0</v>
      </c>
      <c r="AK1451">
        <v>0</v>
      </c>
      <c r="AL1451">
        <v>0</v>
      </c>
      <c r="AM1451">
        <v>0</v>
      </c>
      <c r="AN1451">
        <v>0</v>
      </c>
      <c r="AO1451">
        <v>1</v>
      </c>
      <c r="AP1451">
        <v>0</v>
      </c>
      <c r="AQ1451">
        <v>0</v>
      </c>
      <c r="AR1451">
        <v>0</v>
      </c>
      <c r="AS1451">
        <v>0</v>
      </c>
      <c r="AT1451">
        <v>0</v>
      </c>
      <c r="AU1451">
        <f t="shared" si="44"/>
        <v>1</v>
      </c>
      <c r="AV1451">
        <f t="shared" si="45"/>
        <v>0</v>
      </c>
    </row>
    <row r="1452" spans="1:48" x14ac:dyDescent="0.25">
      <c r="A1452" t="s">
        <v>6051</v>
      </c>
      <c r="C1452" t="s">
        <v>6052</v>
      </c>
      <c r="D1452" t="s">
        <v>6053</v>
      </c>
      <c r="E1452" t="s">
        <v>1663</v>
      </c>
      <c r="F1452">
        <v>5</v>
      </c>
      <c r="G1452">
        <v>5.5</v>
      </c>
      <c r="H1452" t="s">
        <v>2017</v>
      </c>
      <c r="I1452" s="21">
        <v>38495</v>
      </c>
      <c r="J1452">
        <v>2005</v>
      </c>
      <c r="K1452" s="21">
        <v>38526</v>
      </c>
      <c r="L1452">
        <v>2005</v>
      </c>
      <c r="M1452" s="21">
        <v>38679</v>
      </c>
      <c r="N1452">
        <v>2005</v>
      </c>
      <c r="Q1452" s="262">
        <v>0</v>
      </c>
      <c r="S1452" t="s">
        <v>114</v>
      </c>
      <c r="T1452" t="s">
        <v>114</v>
      </c>
      <c r="W1452">
        <v>2004</v>
      </c>
      <c r="X1452">
        <v>0</v>
      </c>
      <c r="Y1452">
        <v>0</v>
      </c>
      <c r="Z1452">
        <v>0</v>
      </c>
      <c r="AA1452">
        <v>0</v>
      </c>
      <c r="AB1452">
        <v>0</v>
      </c>
      <c r="AC1452">
        <v>2004</v>
      </c>
      <c r="AD1452">
        <v>0</v>
      </c>
      <c r="AE1452">
        <v>0</v>
      </c>
      <c r="AF1452">
        <v>0</v>
      </c>
      <c r="AG1452">
        <v>0</v>
      </c>
      <c r="AH1452">
        <v>0</v>
      </c>
      <c r="AI1452">
        <v>0</v>
      </c>
      <c r="AJ1452">
        <v>0</v>
      </c>
      <c r="AK1452">
        <v>0</v>
      </c>
      <c r="AL1452">
        <v>0</v>
      </c>
      <c r="AM1452">
        <v>0</v>
      </c>
      <c r="AN1452">
        <v>0</v>
      </c>
      <c r="AO1452">
        <v>0</v>
      </c>
      <c r="AP1452">
        <v>0</v>
      </c>
      <c r="AQ1452">
        <v>0</v>
      </c>
      <c r="AR1452">
        <v>0</v>
      </c>
      <c r="AS1452">
        <v>0</v>
      </c>
      <c r="AT1452">
        <v>0</v>
      </c>
      <c r="AU1452">
        <f t="shared" si="44"/>
        <v>0</v>
      </c>
      <c r="AV1452">
        <f t="shared" si="45"/>
        <v>0</v>
      </c>
    </row>
    <row r="1453" spans="1:48" x14ac:dyDescent="0.25">
      <c r="A1453" t="s">
        <v>6054</v>
      </c>
      <c r="C1453" t="s">
        <v>6055</v>
      </c>
      <c r="D1453" t="s">
        <v>6056</v>
      </c>
      <c r="E1453" t="s">
        <v>2310</v>
      </c>
      <c r="F1453">
        <v>11</v>
      </c>
      <c r="G1453">
        <v>11.2</v>
      </c>
      <c r="H1453" t="s">
        <v>2017</v>
      </c>
      <c r="I1453" s="21">
        <v>38496</v>
      </c>
      <c r="J1453">
        <v>2005</v>
      </c>
      <c r="K1453" s="21">
        <v>38513</v>
      </c>
      <c r="L1453">
        <v>2005</v>
      </c>
      <c r="M1453" s="21">
        <v>38884</v>
      </c>
      <c r="N1453">
        <v>2006</v>
      </c>
      <c r="R1453" s="262">
        <v>130000</v>
      </c>
      <c r="S1453" t="s">
        <v>114</v>
      </c>
      <c r="T1453" t="s">
        <v>114</v>
      </c>
      <c r="U1453">
        <v>5</v>
      </c>
      <c r="W1453">
        <v>880</v>
      </c>
      <c r="X1453">
        <v>0</v>
      </c>
      <c r="Y1453">
        <v>0</v>
      </c>
      <c r="Z1453">
        <v>0</v>
      </c>
      <c r="AA1453">
        <v>0</v>
      </c>
      <c r="AB1453">
        <v>0</v>
      </c>
      <c r="AC1453">
        <v>880</v>
      </c>
      <c r="AD1453">
        <v>0</v>
      </c>
      <c r="AE1453">
        <v>0</v>
      </c>
      <c r="AF1453">
        <v>0</v>
      </c>
      <c r="AG1453">
        <v>0</v>
      </c>
      <c r="AH1453">
        <v>0</v>
      </c>
      <c r="AI1453">
        <v>0</v>
      </c>
      <c r="AJ1453">
        <v>0</v>
      </c>
      <c r="AK1453">
        <v>0</v>
      </c>
      <c r="AL1453">
        <v>0</v>
      </c>
      <c r="AM1453">
        <v>0</v>
      </c>
      <c r="AN1453">
        <v>0</v>
      </c>
      <c r="AO1453">
        <v>0</v>
      </c>
      <c r="AP1453">
        <v>0</v>
      </c>
      <c r="AQ1453">
        <v>0</v>
      </c>
      <c r="AR1453">
        <v>0</v>
      </c>
      <c r="AS1453">
        <v>0</v>
      </c>
      <c r="AT1453">
        <v>0</v>
      </c>
      <c r="AU1453">
        <f t="shared" si="44"/>
        <v>0</v>
      </c>
      <c r="AV1453">
        <f t="shared" si="45"/>
        <v>0</v>
      </c>
    </row>
    <row r="1454" spans="1:48" x14ac:dyDescent="0.25">
      <c r="A1454" t="s">
        <v>6057</v>
      </c>
      <c r="C1454" t="s">
        <v>6058</v>
      </c>
      <c r="D1454" t="s">
        <v>4760</v>
      </c>
      <c r="E1454" t="s">
        <v>2310</v>
      </c>
      <c r="F1454">
        <v>9</v>
      </c>
      <c r="G1454">
        <v>9.3000000000000007</v>
      </c>
      <c r="H1454" t="s">
        <v>2323</v>
      </c>
      <c r="I1454" s="21">
        <v>38496</v>
      </c>
      <c r="J1454">
        <v>2005</v>
      </c>
      <c r="K1454" s="21">
        <v>38544</v>
      </c>
      <c r="L1454">
        <v>2005</v>
      </c>
      <c r="M1454" s="21">
        <v>38785</v>
      </c>
      <c r="N1454">
        <v>2006</v>
      </c>
      <c r="R1454" s="262">
        <v>10000</v>
      </c>
      <c r="S1454" t="s">
        <v>114</v>
      </c>
      <c r="T1454" t="s">
        <v>114</v>
      </c>
      <c r="U1454">
        <v>5</v>
      </c>
      <c r="W1454">
        <v>101</v>
      </c>
      <c r="X1454">
        <v>0</v>
      </c>
      <c r="Y1454">
        <v>0</v>
      </c>
      <c r="Z1454">
        <v>0</v>
      </c>
      <c r="AA1454">
        <v>0</v>
      </c>
      <c r="AB1454">
        <v>0</v>
      </c>
      <c r="AC1454">
        <v>101</v>
      </c>
      <c r="AD1454">
        <v>0</v>
      </c>
      <c r="AE1454">
        <v>0</v>
      </c>
      <c r="AF1454">
        <v>0</v>
      </c>
      <c r="AG1454">
        <v>0</v>
      </c>
      <c r="AH1454">
        <v>0</v>
      </c>
      <c r="AI1454">
        <v>0</v>
      </c>
      <c r="AJ1454">
        <v>0</v>
      </c>
      <c r="AK1454">
        <v>0</v>
      </c>
      <c r="AL1454">
        <v>0</v>
      </c>
      <c r="AM1454">
        <v>0</v>
      </c>
      <c r="AN1454">
        <v>0</v>
      </c>
      <c r="AO1454">
        <v>0</v>
      </c>
      <c r="AP1454">
        <v>0</v>
      </c>
      <c r="AQ1454">
        <v>0</v>
      </c>
      <c r="AR1454">
        <v>0</v>
      </c>
      <c r="AS1454">
        <v>0</v>
      </c>
      <c r="AT1454">
        <v>0</v>
      </c>
      <c r="AU1454">
        <f t="shared" si="44"/>
        <v>0</v>
      </c>
      <c r="AV1454">
        <f t="shared" si="45"/>
        <v>0</v>
      </c>
    </row>
    <row r="1455" spans="1:48" x14ac:dyDescent="0.25">
      <c r="A1455" t="s">
        <v>6059</v>
      </c>
      <c r="C1455" t="s">
        <v>6060</v>
      </c>
      <c r="D1455" t="s">
        <v>6061</v>
      </c>
      <c r="E1455" t="s">
        <v>1663</v>
      </c>
      <c r="F1455">
        <v>2</v>
      </c>
      <c r="G1455">
        <v>2.2999999999999998</v>
      </c>
      <c r="H1455" t="s">
        <v>2327</v>
      </c>
      <c r="I1455" s="21">
        <v>38497</v>
      </c>
      <c r="J1455">
        <v>2005</v>
      </c>
      <c r="K1455" s="21">
        <v>38528</v>
      </c>
      <c r="L1455">
        <v>2005</v>
      </c>
      <c r="M1455" s="21">
        <v>38681</v>
      </c>
      <c r="N1455">
        <v>2005</v>
      </c>
      <c r="Q1455" s="262">
        <v>0</v>
      </c>
      <c r="S1455" t="s">
        <v>114</v>
      </c>
      <c r="T1455" t="s">
        <v>114</v>
      </c>
      <c r="W1455">
        <v>1947</v>
      </c>
      <c r="X1455">
        <v>1</v>
      </c>
      <c r="Y1455">
        <v>0</v>
      </c>
      <c r="Z1455">
        <v>0</v>
      </c>
      <c r="AA1455">
        <v>0</v>
      </c>
      <c r="AB1455">
        <v>0</v>
      </c>
      <c r="AC1455">
        <v>0</v>
      </c>
      <c r="AD1455">
        <v>0</v>
      </c>
      <c r="AE1455">
        <v>567</v>
      </c>
      <c r="AF1455">
        <v>0</v>
      </c>
      <c r="AG1455">
        <v>0</v>
      </c>
      <c r="AH1455">
        <v>0</v>
      </c>
      <c r="AI1455">
        <v>0</v>
      </c>
      <c r="AJ1455">
        <v>1380</v>
      </c>
      <c r="AK1455">
        <v>0</v>
      </c>
      <c r="AL1455">
        <v>0</v>
      </c>
      <c r="AM1455">
        <v>0</v>
      </c>
      <c r="AN1455">
        <v>0</v>
      </c>
      <c r="AO1455">
        <v>0</v>
      </c>
      <c r="AP1455">
        <v>0</v>
      </c>
      <c r="AQ1455">
        <v>1</v>
      </c>
      <c r="AR1455">
        <v>0</v>
      </c>
      <c r="AS1455">
        <v>0</v>
      </c>
      <c r="AT1455">
        <v>0</v>
      </c>
      <c r="AU1455">
        <f t="shared" si="44"/>
        <v>1</v>
      </c>
      <c r="AV1455">
        <f t="shared" si="45"/>
        <v>1380</v>
      </c>
    </row>
    <row r="1456" spans="1:48" x14ac:dyDescent="0.25">
      <c r="A1456" t="s">
        <v>6062</v>
      </c>
      <c r="C1456" t="s">
        <v>6063</v>
      </c>
      <c r="D1456" t="s">
        <v>6064</v>
      </c>
      <c r="E1456" t="s">
        <v>2310</v>
      </c>
      <c r="F1456">
        <v>9</v>
      </c>
      <c r="G1456">
        <v>9.1999999999999993</v>
      </c>
      <c r="H1456" t="s">
        <v>2022</v>
      </c>
      <c r="I1456" s="21">
        <v>38498</v>
      </c>
      <c r="J1456">
        <v>2005</v>
      </c>
      <c r="K1456" s="21">
        <v>38628</v>
      </c>
      <c r="L1456">
        <v>2005</v>
      </c>
      <c r="M1456" s="21">
        <v>39569</v>
      </c>
      <c r="N1456">
        <v>2008</v>
      </c>
      <c r="R1456" s="262">
        <v>4000000</v>
      </c>
      <c r="S1456" t="s">
        <v>114</v>
      </c>
      <c r="T1456" t="s">
        <v>114</v>
      </c>
      <c r="U1456">
        <v>5</v>
      </c>
      <c r="W1456">
        <v>10650</v>
      </c>
      <c r="X1456">
        <v>1</v>
      </c>
      <c r="Y1456">
        <v>0</v>
      </c>
      <c r="Z1456">
        <v>0</v>
      </c>
      <c r="AA1456">
        <v>0</v>
      </c>
      <c r="AB1456">
        <v>0</v>
      </c>
      <c r="AC1456">
        <v>10650</v>
      </c>
      <c r="AD1456">
        <v>0</v>
      </c>
      <c r="AE1456">
        <v>0</v>
      </c>
      <c r="AF1456">
        <v>0</v>
      </c>
      <c r="AG1456">
        <v>0</v>
      </c>
      <c r="AH1456">
        <v>0</v>
      </c>
      <c r="AI1456">
        <v>0</v>
      </c>
      <c r="AJ1456">
        <v>0</v>
      </c>
      <c r="AK1456">
        <v>0</v>
      </c>
      <c r="AL1456">
        <v>0</v>
      </c>
      <c r="AM1456">
        <v>0</v>
      </c>
      <c r="AN1456">
        <v>0</v>
      </c>
      <c r="AO1456">
        <v>1</v>
      </c>
      <c r="AP1456">
        <v>0</v>
      </c>
      <c r="AQ1456">
        <v>0</v>
      </c>
      <c r="AR1456">
        <v>0</v>
      </c>
      <c r="AS1456">
        <v>0</v>
      </c>
      <c r="AT1456">
        <v>0</v>
      </c>
      <c r="AU1456">
        <f t="shared" si="44"/>
        <v>1</v>
      </c>
      <c r="AV1456">
        <f t="shared" si="45"/>
        <v>0</v>
      </c>
    </row>
    <row r="1457" spans="1:48" x14ac:dyDescent="0.25">
      <c r="A1457" t="s">
        <v>6065</v>
      </c>
      <c r="C1457" t="s">
        <v>2924</v>
      </c>
      <c r="D1457" t="s">
        <v>6066</v>
      </c>
      <c r="E1457" t="s">
        <v>2310</v>
      </c>
      <c r="F1457">
        <v>9</v>
      </c>
      <c r="G1457">
        <v>9.1</v>
      </c>
      <c r="H1457" t="s">
        <v>2323</v>
      </c>
      <c r="I1457" s="21">
        <v>38498</v>
      </c>
      <c r="J1457">
        <v>2005</v>
      </c>
      <c r="K1457" s="21">
        <v>38523</v>
      </c>
      <c r="L1457">
        <v>2005</v>
      </c>
      <c r="M1457" s="21">
        <v>38523</v>
      </c>
      <c r="N1457">
        <v>2005</v>
      </c>
      <c r="R1457" s="262">
        <v>38000</v>
      </c>
      <c r="S1457" t="s">
        <v>114</v>
      </c>
      <c r="T1457" t="s">
        <v>114</v>
      </c>
      <c r="U1457">
        <v>5</v>
      </c>
      <c r="W1457">
        <v>1624</v>
      </c>
      <c r="X1457">
        <v>0</v>
      </c>
      <c r="Y1457">
        <v>0</v>
      </c>
      <c r="Z1457">
        <v>0</v>
      </c>
      <c r="AA1457">
        <v>0</v>
      </c>
      <c r="AB1457">
        <v>0</v>
      </c>
      <c r="AC1457">
        <v>1624</v>
      </c>
      <c r="AD1457">
        <v>0</v>
      </c>
      <c r="AE1457">
        <v>0</v>
      </c>
      <c r="AF1457">
        <v>0</v>
      </c>
      <c r="AG1457">
        <v>0</v>
      </c>
      <c r="AH1457">
        <v>0</v>
      </c>
      <c r="AI1457">
        <v>0</v>
      </c>
      <c r="AJ1457">
        <v>0</v>
      </c>
      <c r="AK1457">
        <v>0</v>
      </c>
      <c r="AL1457">
        <v>0</v>
      </c>
      <c r="AM1457">
        <v>0</v>
      </c>
      <c r="AN1457">
        <v>0</v>
      </c>
      <c r="AO1457">
        <v>0</v>
      </c>
      <c r="AP1457">
        <v>0</v>
      </c>
      <c r="AQ1457">
        <v>0</v>
      </c>
      <c r="AR1457">
        <v>0</v>
      </c>
      <c r="AS1457">
        <v>0</v>
      </c>
      <c r="AT1457">
        <v>0</v>
      </c>
      <c r="AU1457">
        <f t="shared" si="44"/>
        <v>0</v>
      </c>
      <c r="AV1457">
        <f t="shared" si="45"/>
        <v>0</v>
      </c>
    </row>
    <row r="1458" spans="1:48" x14ac:dyDescent="0.25">
      <c r="A1458" t="s">
        <v>6067</v>
      </c>
      <c r="C1458" t="s">
        <v>6068</v>
      </c>
      <c r="D1458" t="s">
        <v>6069</v>
      </c>
      <c r="E1458" t="s">
        <v>2310</v>
      </c>
      <c r="F1458">
        <v>9</v>
      </c>
      <c r="G1458">
        <v>9.3000000000000007</v>
      </c>
      <c r="H1458" t="s">
        <v>2323</v>
      </c>
      <c r="I1458" s="21">
        <v>38498</v>
      </c>
      <c r="J1458">
        <v>2005</v>
      </c>
      <c r="K1458" s="21">
        <v>38540</v>
      </c>
      <c r="L1458">
        <v>2005</v>
      </c>
      <c r="M1458" s="21">
        <v>39090</v>
      </c>
      <c r="N1458">
        <v>2007</v>
      </c>
      <c r="R1458" s="262">
        <v>80000</v>
      </c>
      <c r="S1458" t="s">
        <v>114</v>
      </c>
      <c r="T1458" t="s">
        <v>114</v>
      </c>
      <c r="U1458">
        <v>5</v>
      </c>
      <c r="W1458">
        <v>1563</v>
      </c>
      <c r="X1458">
        <v>0</v>
      </c>
      <c r="Y1458">
        <v>0</v>
      </c>
      <c r="Z1458">
        <v>0</v>
      </c>
      <c r="AA1458">
        <v>0</v>
      </c>
      <c r="AB1458">
        <v>0</v>
      </c>
      <c r="AC1458">
        <v>1563</v>
      </c>
      <c r="AD1458">
        <v>0</v>
      </c>
      <c r="AE1458">
        <v>0</v>
      </c>
      <c r="AF1458">
        <v>0</v>
      </c>
      <c r="AG1458">
        <v>0</v>
      </c>
      <c r="AH1458">
        <v>0</v>
      </c>
      <c r="AI1458">
        <v>0</v>
      </c>
      <c r="AJ1458">
        <v>0</v>
      </c>
      <c r="AK1458">
        <v>0</v>
      </c>
      <c r="AL1458">
        <v>0</v>
      </c>
      <c r="AM1458">
        <v>0</v>
      </c>
      <c r="AN1458">
        <v>0</v>
      </c>
      <c r="AO1458">
        <v>0</v>
      </c>
      <c r="AP1458">
        <v>0</v>
      </c>
      <c r="AQ1458">
        <v>0</v>
      </c>
      <c r="AR1458">
        <v>0</v>
      </c>
      <c r="AS1458">
        <v>0</v>
      </c>
      <c r="AT1458">
        <v>0</v>
      </c>
      <c r="AU1458">
        <f t="shared" si="44"/>
        <v>0</v>
      </c>
      <c r="AV1458">
        <f t="shared" si="45"/>
        <v>0</v>
      </c>
    </row>
    <row r="1459" spans="1:48" x14ac:dyDescent="0.25">
      <c r="A1459" t="s">
        <v>6070</v>
      </c>
      <c r="C1459" t="s">
        <v>6071</v>
      </c>
      <c r="D1459" t="s">
        <v>5707</v>
      </c>
      <c r="E1459" t="s">
        <v>2310</v>
      </c>
      <c r="F1459">
        <v>12</v>
      </c>
      <c r="G1459">
        <v>12.3</v>
      </c>
      <c r="H1459" t="s">
        <v>2017</v>
      </c>
      <c r="I1459" s="21">
        <v>38499</v>
      </c>
      <c r="J1459">
        <v>2005</v>
      </c>
      <c r="K1459" s="21">
        <v>38504</v>
      </c>
      <c r="L1459">
        <v>2005</v>
      </c>
      <c r="M1459" s="21">
        <v>38504</v>
      </c>
      <c r="N1459">
        <v>2005</v>
      </c>
      <c r="R1459" s="262">
        <v>39424</v>
      </c>
      <c r="S1459" t="s">
        <v>114</v>
      </c>
      <c r="T1459" t="s">
        <v>114</v>
      </c>
      <c r="U1459">
        <v>5</v>
      </c>
      <c r="W1459">
        <v>0</v>
      </c>
      <c r="X1459">
        <v>0</v>
      </c>
      <c r="Y1459">
        <v>0</v>
      </c>
      <c r="Z1459">
        <v>0</v>
      </c>
      <c r="AA1459">
        <v>0</v>
      </c>
      <c r="AB1459">
        <v>0</v>
      </c>
      <c r="AC1459">
        <v>0</v>
      </c>
      <c r="AD1459">
        <v>0</v>
      </c>
      <c r="AE1459">
        <v>0</v>
      </c>
      <c r="AF1459">
        <v>0</v>
      </c>
      <c r="AG1459">
        <v>0</v>
      </c>
      <c r="AH1459">
        <v>0</v>
      </c>
      <c r="AI1459">
        <v>0</v>
      </c>
      <c r="AJ1459">
        <v>0</v>
      </c>
      <c r="AK1459">
        <v>0</v>
      </c>
      <c r="AL1459">
        <v>0</v>
      </c>
      <c r="AM1459">
        <v>0</v>
      </c>
      <c r="AN1459">
        <v>0</v>
      </c>
      <c r="AO1459">
        <v>0</v>
      </c>
      <c r="AP1459">
        <v>0</v>
      </c>
      <c r="AQ1459">
        <v>0</v>
      </c>
      <c r="AR1459">
        <v>0</v>
      </c>
      <c r="AS1459">
        <v>0</v>
      </c>
      <c r="AT1459">
        <v>0</v>
      </c>
      <c r="AU1459">
        <f t="shared" si="44"/>
        <v>0</v>
      </c>
      <c r="AV1459">
        <f t="shared" si="45"/>
        <v>0</v>
      </c>
    </row>
    <row r="1460" spans="1:48" x14ac:dyDescent="0.25">
      <c r="A1460" t="s">
        <v>6072</v>
      </c>
      <c r="C1460" t="s">
        <v>6073</v>
      </c>
      <c r="D1460" t="s">
        <v>5234</v>
      </c>
      <c r="E1460" t="s">
        <v>2310</v>
      </c>
      <c r="F1460">
        <v>9</v>
      </c>
      <c r="G1460">
        <v>9.3000000000000007</v>
      </c>
      <c r="H1460" t="s">
        <v>2323</v>
      </c>
      <c r="I1460" s="21">
        <v>38499</v>
      </c>
      <c r="J1460">
        <v>2005</v>
      </c>
      <c r="K1460" s="21">
        <v>38509</v>
      </c>
      <c r="L1460">
        <v>2005</v>
      </c>
      <c r="M1460" s="21">
        <v>38926</v>
      </c>
      <c r="N1460">
        <v>2006</v>
      </c>
      <c r="R1460" s="262">
        <v>80000</v>
      </c>
      <c r="S1460" t="s">
        <v>114</v>
      </c>
      <c r="T1460" t="s">
        <v>114</v>
      </c>
      <c r="U1460">
        <v>5</v>
      </c>
      <c r="W1460">
        <v>0</v>
      </c>
      <c r="X1460">
        <v>0</v>
      </c>
      <c r="Y1460">
        <v>0</v>
      </c>
      <c r="Z1460">
        <v>0</v>
      </c>
      <c r="AA1460">
        <v>0</v>
      </c>
      <c r="AB1460">
        <v>0</v>
      </c>
      <c r="AC1460">
        <v>0</v>
      </c>
      <c r="AD1460">
        <v>0</v>
      </c>
      <c r="AE1460">
        <v>0</v>
      </c>
      <c r="AF1460">
        <v>0</v>
      </c>
      <c r="AG1460">
        <v>0</v>
      </c>
      <c r="AH1460">
        <v>0</v>
      </c>
      <c r="AI1460">
        <v>0</v>
      </c>
      <c r="AJ1460">
        <v>0</v>
      </c>
      <c r="AK1460">
        <v>0</v>
      </c>
      <c r="AL1460">
        <v>0</v>
      </c>
      <c r="AM1460">
        <v>0</v>
      </c>
      <c r="AN1460">
        <v>0</v>
      </c>
      <c r="AO1460">
        <v>0</v>
      </c>
      <c r="AP1460">
        <v>0</v>
      </c>
      <c r="AQ1460">
        <v>0</v>
      </c>
      <c r="AR1460">
        <v>0</v>
      </c>
      <c r="AS1460">
        <v>0</v>
      </c>
      <c r="AT1460">
        <v>0</v>
      </c>
      <c r="AU1460">
        <f t="shared" si="44"/>
        <v>0</v>
      </c>
      <c r="AV1460">
        <f t="shared" si="45"/>
        <v>0</v>
      </c>
    </row>
    <row r="1461" spans="1:48" x14ac:dyDescent="0.25">
      <c r="A1461" t="s">
        <v>6074</v>
      </c>
      <c r="C1461" t="s">
        <v>4936</v>
      </c>
      <c r="D1461" t="s">
        <v>6075</v>
      </c>
      <c r="E1461" t="s">
        <v>2310</v>
      </c>
      <c r="F1461">
        <v>9</v>
      </c>
      <c r="G1461">
        <v>9.1</v>
      </c>
      <c r="H1461" t="s">
        <v>2323</v>
      </c>
      <c r="I1461" s="21">
        <v>38503</v>
      </c>
      <c r="J1461">
        <v>2005</v>
      </c>
      <c r="K1461" s="21">
        <v>38539</v>
      </c>
      <c r="L1461">
        <v>2005</v>
      </c>
      <c r="M1461" s="21">
        <v>38951</v>
      </c>
      <c r="N1461">
        <v>2006</v>
      </c>
      <c r="R1461" s="262">
        <v>613000</v>
      </c>
      <c r="S1461" t="s">
        <v>114</v>
      </c>
      <c r="T1461" t="s">
        <v>114</v>
      </c>
      <c r="U1461">
        <v>5</v>
      </c>
      <c r="W1461">
        <v>4392</v>
      </c>
      <c r="X1461">
        <v>1</v>
      </c>
      <c r="Y1461">
        <v>0</v>
      </c>
      <c r="Z1461">
        <v>0</v>
      </c>
      <c r="AA1461">
        <v>0</v>
      </c>
      <c r="AB1461">
        <v>0</v>
      </c>
      <c r="AC1461">
        <v>4392</v>
      </c>
      <c r="AD1461">
        <v>0</v>
      </c>
      <c r="AE1461">
        <v>0</v>
      </c>
      <c r="AF1461">
        <v>0</v>
      </c>
      <c r="AG1461">
        <v>0</v>
      </c>
      <c r="AH1461">
        <v>0</v>
      </c>
      <c r="AI1461">
        <v>0</v>
      </c>
      <c r="AJ1461">
        <v>0</v>
      </c>
      <c r="AK1461">
        <v>0</v>
      </c>
      <c r="AL1461">
        <v>0</v>
      </c>
      <c r="AM1461">
        <v>0</v>
      </c>
      <c r="AN1461">
        <v>0</v>
      </c>
      <c r="AO1461">
        <v>1</v>
      </c>
      <c r="AP1461">
        <v>0</v>
      </c>
      <c r="AQ1461">
        <v>0</v>
      </c>
      <c r="AR1461">
        <v>0</v>
      </c>
      <c r="AS1461">
        <v>0</v>
      </c>
      <c r="AT1461">
        <v>0</v>
      </c>
      <c r="AU1461">
        <f t="shared" si="44"/>
        <v>1</v>
      </c>
      <c r="AV1461">
        <f t="shared" si="45"/>
        <v>0</v>
      </c>
    </row>
    <row r="1462" spans="1:48" x14ac:dyDescent="0.25">
      <c r="A1462" t="s">
        <v>6076</v>
      </c>
      <c r="C1462" t="s">
        <v>6077</v>
      </c>
      <c r="D1462" t="s">
        <v>6078</v>
      </c>
      <c r="E1462" t="s">
        <v>2310</v>
      </c>
      <c r="F1462">
        <v>9</v>
      </c>
      <c r="G1462">
        <v>9.1</v>
      </c>
      <c r="H1462" t="s">
        <v>2323</v>
      </c>
      <c r="I1462" s="21">
        <v>38504</v>
      </c>
      <c r="J1462">
        <v>2005</v>
      </c>
      <c r="K1462" s="21">
        <v>38533</v>
      </c>
      <c r="L1462">
        <v>2005</v>
      </c>
      <c r="M1462" s="21">
        <v>39094</v>
      </c>
      <c r="N1462">
        <v>2007</v>
      </c>
      <c r="R1462" s="262">
        <v>850000</v>
      </c>
      <c r="S1462" t="s">
        <v>114</v>
      </c>
      <c r="T1462" t="s">
        <v>114</v>
      </c>
      <c r="U1462">
        <v>5</v>
      </c>
      <c r="W1462">
        <v>4792</v>
      </c>
      <c r="X1462">
        <v>1</v>
      </c>
      <c r="Y1462">
        <v>0</v>
      </c>
      <c r="Z1462">
        <v>0</v>
      </c>
      <c r="AA1462">
        <v>0</v>
      </c>
      <c r="AB1462">
        <v>0</v>
      </c>
      <c r="AC1462">
        <v>4792</v>
      </c>
      <c r="AD1462">
        <v>0</v>
      </c>
      <c r="AE1462">
        <v>0</v>
      </c>
      <c r="AF1462">
        <v>0</v>
      </c>
      <c r="AG1462">
        <v>0</v>
      </c>
      <c r="AH1462">
        <v>0</v>
      </c>
      <c r="AI1462">
        <v>0</v>
      </c>
      <c r="AJ1462">
        <v>0</v>
      </c>
      <c r="AK1462">
        <v>0</v>
      </c>
      <c r="AL1462">
        <v>0</v>
      </c>
      <c r="AM1462">
        <v>0</v>
      </c>
      <c r="AN1462">
        <v>0</v>
      </c>
      <c r="AO1462">
        <v>1</v>
      </c>
      <c r="AP1462">
        <v>0</v>
      </c>
      <c r="AQ1462">
        <v>0</v>
      </c>
      <c r="AR1462">
        <v>0</v>
      </c>
      <c r="AS1462">
        <v>0</v>
      </c>
      <c r="AT1462">
        <v>0</v>
      </c>
      <c r="AU1462">
        <f t="shared" si="44"/>
        <v>1</v>
      </c>
      <c r="AV1462">
        <f t="shared" si="45"/>
        <v>0</v>
      </c>
    </row>
    <row r="1463" spans="1:48" x14ac:dyDescent="0.25">
      <c r="A1463" t="s">
        <v>6079</v>
      </c>
      <c r="C1463" t="s">
        <v>6080</v>
      </c>
      <c r="D1463" t="s">
        <v>6081</v>
      </c>
      <c r="E1463" t="s">
        <v>2310</v>
      </c>
      <c r="F1463">
        <v>7</v>
      </c>
      <c r="G1463">
        <v>7.1</v>
      </c>
      <c r="H1463" t="s">
        <v>2017</v>
      </c>
      <c r="I1463" s="21">
        <v>38504</v>
      </c>
      <c r="J1463">
        <v>2005</v>
      </c>
      <c r="K1463" s="21">
        <v>38513</v>
      </c>
      <c r="L1463">
        <v>2005</v>
      </c>
      <c r="M1463" s="21">
        <v>38859</v>
      </c>
      <c r="N1463">
        <v>2006</v>
      </c>
      <c r="R1463" s="262">
        <v>75000</v>
      </c>
      <c r="S1463" t="s">
        <v>114</v>
      </c>
      <c r="T1463" t="s">
        <v>114</v>
      </c>
      <c r="U1463">
        <v>14</v>
      </c>
      <c r="W1463">
        <v>0</v>
      </c>
      <c r="X1463">
        <v>0</v>
      </c>
      <c r="Y1463">
        <v>0</v>
      </c>
      <c r="Z1463">
        <v>0</v>
      </c>
      <c r="AA1463">
        <v>0</v>
      </c>
      <c r="AB1463">
        <v>0</v>
      </c>
      <c r="AC1463">
        <v>0</v>
      </c>
      <c r="AD1463">
        <v>0</v>
      </c>
      <c r="AE1463">
        <v>0</v>
      </c>
      <c r="AF1463">
        <v>0</v>
      </c>
      <c r="AG1463">
        <v>0</v>
      </c>
      <c r="AH1463">
        <v>0</v>
      </c>
      <c r="AI1463">
        <v>0</v>
      </c>
      <c r="AJ1463">
        <v>0</v>
      </c>
      <c r="AK1463">
        <v>0</v>
      </c>
      <c r="AL1463">
        <v>0</v>
      </c>
      <c r="AM1463">
        <v>0</v>
      </c>
      <c r="AN1463">
        <v>0</v>
      </c>
      <c r="AO1463">
        <v>0</v>
      </c>
      <c r="AP1463">
        <v>0</v>
      </c>
      <c r="AQ1463">
        <v>0</v>
      </c>
      <c r="AR1463">
        <v>0</v>
      </c>
      <c r="AS1463">
        <v>0</v>
      </c>
      <c r="AT1463">
        <v>0</v>
      </c>
      <c r="AU1463">
        <f t="shared" si="44"/>
        <v>0</v>
      </c>
      <c r="AV1463">
        <f t="shared" si="45"/>
        <v>0</v>
      </c>
    </row>
    <row r="1464" spans="1:48" x14ac:dyDescent="0.25">
      <c r="A1464" t="s">
        <v>6082</v>
      </c>
      <c r="C1464" t="s">
        <v>5737</v>
      </c>
      <c r="D1464" t="s">
        <v>6083</v>
      </c>
      <c r="E1464" t="s">
        <v>2310</v>
      </c>
      <c r="F1464">
        <v>8</v>
      </c>
      <c r="G1464">
        <v>8.1</v>
      </c>
      <c r="H1464" t="s">
        <v>2323</v>
      </c>
      <c r="I1464" s="21">
        <v>38505</v>
      </c>
      <c r="J1464">
        <v>2005</v>
      </c>
      <c r="K1464" s="21">
        <v>38545</v>
      </c>
      <c r="L1464">
        <v>2005</v>
      </c>
      <c r="M1464" s="21">
        <v>39287</v>
      </c>
      <c r="N1464">
        <v>2007</v>
      </c>
      <c r="R1464" s="262">
        <v>800000</v>
      </c>
      <c r="S1464" t="s">
        <v>114</v>
      </c>
      <c r="T1464" t="s">
        <v>114</v>
      </c>
      <c r="U1464">
        <v>5</v>
      </c>
      <c r="W1464">
        <v>4919</v>
      </c>
      <c r="X1464">
        <v>1</v>
      </c>
      <c r="Y1464">
        <v>0</v>
      </c>
      <c r="Z1464">
        <v>0</v>
      </c>
      <c r="AA1464">
        <v>0</v>
      </c>
      <c r="AB1464">
        <v>0</v>
      </c>
      <c r="AC1464">
        <v>4919</v>
      </c>
      <c r="AD1464">
        <v>0</v>
      </c>
      <c r="AE1464">
        <v>0</v>
      </c>
      <c r="AF1464">
        <v>0</v>
      </c>
      <c r="AG1464">
        <v>0</v>
      </c>
      <c r="AH1464">
        <v>0</v>
      </c>
      <c r="AI1464">
        <v>0</v>
      </c>
      <c r="AJ1464">
        <v>0</v>
      </c>
      <c r="AK1464">
        <v>0</v>
      </c>
      <c r="AL1464">
        <v>0</v>
      </c>
      <c r="AM1464">
        <v>0</v>
      </c>
      <c r="AN1464">
        <v>0</v>
      </c>
      <c r="AO1464">
        <v>1</v>
      </c>
      <c r="AP1464">
        <v>0</v>
      </c>
      <c r="AQ1464">
        <v>0</v>
      </c>
      <c r="AR1464">
        <v>0</v>
      </c>
      <c r="AS1464">
        <v>0</v>
      </c>
      <c r="AT1464">
        <v>0</v>
      </c>
      <c r="AU1464">
        <f t="shared" si="44"/>
        <v>1</v>
      </c>
      <c r="AV1464">
        <f t="shared" si="45"/>
        <v>0</v>
      </c>
    </row>
    <row r="1465" spans="1:48" x14ac:dyDescent="0.25">
      <c r="A1465" t="s">
        <v>6084</v>
      </c>
      <c r="C1465" t="s">
        <v>6085</v>
      </c>
      <c r="D1465" t="s">
        <v>5584</v>
      </c>
      <c r="E1465" t="s">
        <v>1663</v>
      </c>
      <c r="F1465">
        <v>3</v>
      </c>
      <c r="G1465">
        <v>3.1</v>
      </c>
      <c r="H1465" t="s">
        <v>2017</v>
      </c>
      <c r="I1465" s="21">
        <v>38506</v>
      </c>
      <c r="J1465">
        <v>2005</v>
      </c>
      <c r="K1465" s="21">
        <v>38536</v>
      </c>
      <c r="L1465">
        <v>2005</v>
      </c>
      <c r="M1465" s="21">
        <v>38689</v>
      </c>
      <c r="N1465">
        <v>2005</v>
      </c>
      <c r="Q1465" s="262">
        <v>0</v>
      </c>
      <c r="S1465" t="s">
        <v>114</v>
      </c>
      <c r="T1465" t="s">
        <v>114</v>
      </c>
      <c r="W1465">
        <v>1724</v>
      </c>
      <c r="X1465">
        <v>0</v>
      </c>
      <c r="Y1465">
        <v>0</v>
      </c>
      <c r="Z1465">
        <v>0</v>
      </c>
      <c r="AA1465">
        <v>0</v>
      </c>
      <c r="AB1465">
        <v>0</v>
      </c>
      <c r="AC1465">
        <v>1724</v>
      </c>
      <c r="AD1465">
        <v>0</v>
      </c>
      <c r="AE1465">
        <v>0</v>
      </c>
      <c r="AF1465">
        <v>0</v>
      </c>
      <c r="AG1465">
        <v>0</v>
      </c>
      <c r="AH1465">
        <v>0</v>
      </c>
      <c r="AI1465">
        <v>0</v>
      </c>
      <c r="AJ1465">
        <v>0</v>
      </c>
      <c r="AK1465">
        <v>0</v>
      </c>
      <c r="AL1465">
        <v>0</v>
      </c>
      <c r="AM1465">
        <v>0</v>
      </c>
      <c r="AN1465">
        <v>0</v>
      </c>
      <c r="AO1465">
        <v>0</v>
      </c>
      <c r="AP1465">
        <v>0</v>
      </c>
      <c r="AQ1465">
        <v>0</v>
      </c>
      <c r="AR1465">
        <v>0</v>
      </c>
      <c r="AS1465">
        <v>0</v>
      </c>
      <c r="AT1465">
        <v>0</v>
      </c>
      <c r="AU1465">
        <f t="shared" si="44"/>
        <v>0</v>
      </c>
      <c r="AV1465">
        <f t="shared" si="45"/>
        <v>0</v>
      </c>
    </row>
    <row r="1466" spans="1:48" x14ac:dyDescent="0.25">
      <c r="A1466" t="s">
        <v>6086</v>
      </c>
      <c r="C1466" t="s">
        <v>6087</v>
      </c>
      <c r="D1466" t="s">
        <v>6088</v>
      </c>
      <c r="E1466" t="s">
        <v>2310</v>
      </c>
      <c r="F1466">
        <v>10</v>
      </c>
      <c r="G1466">
        <v>10.1</v>
      </c>
      <c r="H1466" t="s">
        <v>2323</v>
      </c>
      <c r="I1466" s="21">
        <v>38509</v>
      </c>
      <c r="J1466">
        <v>2005</v>
      </c>
      <c r="K1466" s="21">
        <v>38531</v>
      </c>
      <c r="L1466">
        <v>2005</v>
      </c>
      <c r="M1466" s="21">
        <v>39287</v>
      </c>
      <c r="N1466">
        <v>2007</v>
      </c>
      <c r="R1466" s="262">
        <v>204000</v>
      </c>
      <c r="S1466" t="s">
        <v>114</v>
      </c>
      <c r="T1466" t="s">
        <v>114</v>
      </c>
      <c r="U1466">
        <v>5</v>
      </c>
      <c r="W1466">
        <v>2872</v>
      </c>
      <c r="X1466">
        <v>1</v>
      </c>
      <c r="Y1466">
        <v>0</v>
      </c>
      <c r="Z1466">
        <v>0</v>
      </c>
      <c r="AA1466">
        <v>0</v>
      </c>
      <c r="AB1466">
        <v>0</v>
      </c>
      <c r="AC1466">
        <v>2872</v>
      </c>
      <c r="AD1466">
        <v>0</v>
      </c>
      <c r="AE1466">
        <v>0</v>
      </c>
      <c r="AF1466">
        <v>0</v>
      </c>
      <c r="AG1466">
        <v>0</v>
      </c>
      <c r="AH1466">
        <v>0</v>
      </c>
      <c r="AI1466">
        <v>0</v>
      </c>
      <c r="AJ1466">
        <v>0</v>
      </c>
      <c r="AK1466">
        <v>0</v>
      </c>
      <c r="AL1466">
        <v>0</v>
      </c>
      <c r="AM1466">
        <v>0</v>
      </c>
      <c r="AN1466">
        <v>0</v>
      </c>
      <c r="AO1466">
        <v>1</v>
      </c>
      <c r="AP1466">
        <v>0</v>
      </c>
      <c r="AQ1466">
        <v>0</v>
      </c>
      <c r="AR1466">
        <v>0</v>
      </c>
      <c r="AS1466">
        <v>0</v>
      </c>
      <c r="AT1466">
        <v>0</v>
      </c>
      <c r="AU1466">
        <f t="shared" si="44"/>
        <v>1</v>
      </c>
      <c r="AV1466">
        <f t="shared" si="45"/>
        <v>0</v>
      </c>
    </row>
    <row r="1467" spans="1:48" x14ac:dyDescent="0.25">
      <c r="A1467" t="s">
        <v>6089</v>
      </c>
      <c r="C1467" t="s">
        <v>6090</v>
      </c>
      <c r="D1467" t="s">
        <v>6091</v>
      </c>
      <c r="E1467" t="s">
        <v>2310</v>
      </c>
      <c r="F1467">
        <v>9</v>
      </c>
      <c r="G1467">
        <v>9.3000000000000007</v>
      </c>
      <c r="H1467" t="s">
        <v>2323</v>
      </c>
      <c r="I1467" s="21">
        <v>38509</v>
      </c>
      <c r="J1467">
        <v>2005</v>
      </c>
      <c r="K1467" s="21">
        <v>38546</v>
      </c>
      <c r="L1467">
        <v>2005</v>
      </c>
      <c r="M1467" s="21">
        <v>39654</v>
      </c>
      <c r="N1467">
        <v>2008</v>
      </c>
      <c r="R1467" s="262">
        <v>70000</v>
      </c>
      <c r="S1467" t="s">
        <v>114</v>
      </c>
      <c r="T1467" t="s">
        <v>114</v>
      </c>
      <c r="U1467">
        <v>5</v>
      </c>
      <c r="W1467">
        <v>3348</v>
      </c>
      <c r="X1467">
        <v>0</v>
      </c>
      <c r="Y1467">
        <v>0</v>
      </c>
      <c r="Z1467">
        <v>0</v>
      </c>
      <c r="AA1467">
        <v>0</v>
      </c>
      <c r="AB1467">
        <v>0</v>
      </c>
      <c r="AC1467">
        <v>3348</v>
      </c>
      <c r="AD1467">
        <v>0</v>
      </c>
      <c r="AE1467">
        <v>0</v>
      </c>
      <c r="AF1467">
        <v>0</v>
      </c>
      <c r="AG1467">
        <v>0</v>
      </c>
      <c r="AH1467">
        <v>0</v>
      </c>
      <c r="AI1467">
        <v>0</v>
      </c>
      <c r="AJ1467">
        <v>0</v>
      </c>
      <c r="AK1467">
        <v>0</v>
      </c>
      <c r="AL1467">
        <v>0</v>
      </c>
      <c r="AM1467">
        <v>0</v>
      </c>
      <c r="AN1467">
        <v>0</v>
      </c>
      <c r="AO1467">
        <v>0</v>
      </c>
      <c r="AP1467">
        <v>0</v>
      </c>
      <c r="AQ1467">
        <v>0</v>
      </c>
      <c r="AR1467">
        <v>0</v>
      </c>
      <c r="AS1467">
        <v>0</v>
      </c>
      <c r="AT1467">
        <v>0</v>
      </c>
      <c r="AU1467">
        <f t="shared" si="44"/>
        <v>0</v>
      </c>
      <c r="AV1467">
        <f t="shared" si="45"/>
        <v>0</v>
      </c>
    </row>
    <row r="1468" spans="1:48" x14ac:dyDescent="0.25">
      <c r="A1468" t="s">
        <v>6092</v>
      </c>
      <c r="C1468" t="s">
        <v>6093</v>
      </c>
      <c r="D1468" t="s">
        <v>5872</v>
      </c>
      <c r="E1468" t="s">
        <v>2310</v>
      </c>
      <c r="F1468">
        <v>8</v>
      </c>
      <c r="G1468">
        <v>8.1999999999999993</v>
      </c>
      <c r="H1468" t="s">
        <v>2022</v>
      </c>
      <c r="I1468" s="21">
        <v>38510</v>
      </c>
      <c r="J1468">
        <v>2005</v>
      </c>
      <c r="M1468" s="21">
        <v>39392</v>
      </c>
      <c r="N1468">
        <v>2007</v>
      </c>
      <c r="R1468" s="262">
        <v>15000</v>
      </c>
      <c r="S1468" t="s">
        <v>114</v>
      </c>
      <c r="T1468" t="s">
        <v>114</v>
      </c>
      <c r="U1468">
        <v>5</v>
      </c>
      <c r="W1468">
        <v>200</v>
      </c>
      <c r="X1468">
        <v>0</v>
      </c>
      <c r="Y1468">
        <v>0</v>
      </c>
      <c r="Z1468">
        <v>0</v>
      </c>
      <c r="AA1468">
        <v>0</v>
      </c>
      <c r="AB1468">
        <v>0</v>
      </c>
      <c r="AC1468">
        <v>200</v>
      </c>
      <c r="AD1468">
        <v>0</v>
      </c>
      <c r="AE1468">
        <v>0</v>
      </c>
      <c r="AF1468">
        <v>0</v>
      </c>
      <c r="AG1468">
        <v>0</v>
      </c>
      <c r="AH1468">
        <v>0</v>
      </c>
      <c r="AI1468">
        <v>0</v>
      </c>
      <c r="AJ1468">
        <v>0</v>
      </c>
      <c r="AK1468">
        <v>0</v>
      </c>
      <c r="AL1468">
        <v>0</v>
      </c>
      <c r="AM1468">
        <v>0</v>
      </c>
      <c r="AN1468">
        <v>0</v>
      </c>
      <c r="AO1468">
        <v>0</v>
      </c>
      <c r="AP1468">
        <v>0</v>
      </c>
      <c r="AQ1468">
        <v>0</v>
      </c>
      <c r="AR1468">
        <v>0</v>
      </c>
      <c r="AS1468">
        <v>0</v>
      </c>
      <c r="AT1468">
        <v>0</v>
      </c>
      <c r="AU1468">
        <f t="shared" si="44"/>
        <v>0</v>
      </c>
      <c r="AV1468">
        <f t="shared" si="45"/>
        <v>0</v>
      </c>
    </row>
    <row r="1469" spans="1:48" x14ac:dyDescent="0.25">
      <c r="A1469" t="s">
        <v>6094</v>
      </c>
      <c r="C1469" t="s">
        <v>6095</v>
      </c>
      <c r="D1469" t="s">
        <v>6096</v>
      </c>
      <c r="E1469" t="s">
        <v>1663</v>
      </c>
      <c r="F1469">
        <v>6</v>
      </c>
      <c r="G1469">
        <v>6.1</v>
      </c>
      <c r="H1469" t="s">
        <v>2017</v>
      </c>
      <c r="I1469" s="21">
        <v>38511</v>
      </c>
      <c r="J1469">
        <v>2005</v>
      </c>
      <c r="K1469" s="21">
        <v>38541</v>
      </c>
      <c r="L1469">
        <v>2005</v>
      </c>
      <c r="M1469" s="21">
        <v>38694</v>
      </c>
      <c r="N1469">
        <v>2005</v>
      </c>
      <c r="Q1469" s="262">
        <v>0</v>
      </c>
      <c r="S1469" t="s">
        <v>114</v>
      </c>
      <c r="T1469" t="s">
        <v>114</v>
      </c>
      <c r="W1469">
        <v>782</v>
      </c>
      <c r="X1469">
        <v>0</v>
      </c>
      <c r="Y1469">
        <v>0</v>
      </c>
      <c r="Z1469">
        <v>0</v>
      </c>
      <c r="AA1469">
        <v>0</v>
      </c>
      <c r="AB1469">
        <v>0</v>
      </c>
      <c r="AC1469">
        <v>782</v>
      </c>
      <c r="AD1469">
        <v>0</v>
      </c>
      <c r="AE1469">
        <v>0</v>
      </c>
      <c r="AF1469">
        <v>0</v>
      </c>
      <c r="AG1469">
        <v>0</v>
      </c>
      <c r="AH1469">
        <v>0</v>
      </c>
      <c r="AI1469">
        <v>0</v>
      </c>
      <c r="AJ1469">
        <v>0</v>
      </c>
      <c r="AK1469">
        <v>0</v>
      </c>
      <c r="AL1469">
        <v>0</v>
      </c>
      <c r="AM1469">
        <v>0</v>
      </c>
      <c r="AN1469">
        <v>0</v>
      </c>
      <c r="AO1469">
        <v>0</v>
      </c>
      <c r="AP1469">
        <v>0</v>
      </c>
      <c r="AQ1469">
        <v>0</v>
      </c>
      <c r="AR1469">
        <v>0</v>
      </c>
      <c r="AS1469">
        <v>0</v>
      </c>
      <c r="AT1469">
        <v>0</v>
      </c>
      <c r="AU1469">
        <f t="shared" si="44"/>
        <v>0</v>
      </c>
      <c r="AV1469">
        <f t="shared" si="45"/>
        <v>0</v>
      </c>
    </row>
    <row r="1470" spans="1:48" x14ac:dyDescent="0.25">
      <c r="A1470" t="s">
        <v>6097</v>
      </c>
      <c r="C1470" t="s">
        <v>6098</v>
      </c>
      <c r="D1470" t="s">
        <v>6099</v>
      </c>
      <c r="E1470" t="s">
        <v>1663</v>
      </c>
      <c r="F1470">
        <v>6</v>
      </c>
      <c r="G1470">
        <v>6.1</v>
      </c>
      <c r="H1470" t="s">
        <v>2017</v>
      </c>
      <c r="I1470" s="21">
        <v>38511</v>
      </c>
      <c r="J1470">
        <v>2005</v>
      </c>
      <c r="K1470" s="21">
        <v>38541</v>
      </c>
      <c r="L1470">
        <v>2005</v>
      </c>
      <c r="M1470" s="21">
        <v>38694</v>
      </c>
      <c r="N1470">
        <v>2005</v>
      </c>
      <c r="Q1470" s="262">
        <v>0</v>
      </c>
      <c r="S1470" t="s">
        <v>114</v>
      </c>
      <c r="T1470" t="s">
        <v>114</v>
      </c>
      <c r="W1470">
        <v>5157</v>
      </c>
      <c r="X1470">
        <v>1</v>
      </c>
      <c r="Y1470">
        <v>0</v>
      </c>
      <c r="Z1470">
        <v>0</v>
      </c>
      <c r="AA1470">
        <v>0</v>
      </c>
      <c r="AB1470">
        <v>0</v>
      </c>
      <c r="AC1470">
        <v>5157</v>
      </c>
      <c r="AD1470">
        <v>0</v>
      </c>
      <c r="AE1470">
        <v>0</v>
      </c>
      <c r="AF1470">
        <v>0</v>
      </c>
      <c r="AG1470">
        <v>0</v>
      </c>
      <c r="AH1470">
        <v>0</v>
      </c>
      <c r="AI1470">
        <v>0</v>
      </c>
      <c r="AJ1470">
        <v>0</v>
      </c>
      <c r="AK1470">
        <v>0</v>
      </c>
      <c r="AL1470">
        <v>0</v>
      </c>
      <c r="AM1470">
        <v>0</v>
      </c>
      <c r="AN1470">
        <v>0</v>
      </c>
      <c r="AO1470">
        <v>1</v>
      </c>
      <c r="AP1470">
        <v>0</v>
      </c>
      <c r="AQ1470">
        <v>0</v>
      </c>
      <c r="AR1470">
        <v>0</v>
      </c>
      <c r="AS1470">
        <v>0</v>
      </c>
      <c r="AT1470">
        <v>0</v>
      </c>
      <c r="AU1470">
        <f t="shared" si="44"/>
        <v>1</v>
      </c>
      <c r="AV1470">
        <f t="shared" si="45"/>
        <v>0</v>
      </c>
    </row>
    <row r="1471" spans="1:48" x14ac:dyDescent="0.25">
      <c r="A1471" t="s">
        <v>6100</v>
      </c>
      <c r="C1471" t="s">
        <v>6101</v>
      </c>
      <c r="D1471" t="s">
        <v>6102</v>
      </c>
      <c r="E1471" t="s">
        <v>2310</v>
      </c>
      <c r="F1471">
        <v>10</v>
      </c>
      <c r="G1471">
        <v>10.1</v>
      </c>
      <c r="H1471" t="s">
        <v>2323</v>
      </c>
      <c r="I1471" s="21">
        <v>38511</v>
      </c>
      <c r="J1471">
        <v>2005</v>
      </c>
      <c r="K1471" s="21">
        <v>38531</v>
      </c>
      <c r="L1471">
        <v>2005</v>
      </c>
      <c r="M1471" s="21">
        <v>38531</v>
      </c>
      <c r="N1471">
        <v>2005</v>
      </c>
      <c r="R1471" s="262">
        <v>48000</v>
      </c>
      <c r="S1471" t="s">
        <v>114</v>
      </c>
      <c r="T1471" t="s">
        <v>114</v>
      </c>
      <c r="U1471">
        <v>5</v>
      </c>
      <c r="W1471">
        <v>163</v>
      </c>
      <c r="X1471">
        <v>0</v>
      </c>
      <c r="Y1471">
        <v>0</v>
      </c>
      <c r="Z1471">
        <v>0</v>
      </c>
      <c r="AA1471">
        <v>0</v>
      </c>
      <c r="AB1471">
        <v>0</v>
      </c>
      <c r="AC1471">
        <v>163</v>
      </c>
      <c r="AD1471">
        <v>0</v>
      </c>
      <c r="AE1471">
        <v>0</v>
      </c>
      <c r="AF1471">
        <v>0</v>
      </c>
      <c r="AG1471">
        <v>0</v>
      </c>
      <c r="AH1471">
        <v>0</v>
      </c>
      <c r="AI1471">
        <v>0</v>
      </c>
      <c r="AJ1471">
        <v>0</v>
      </c>
      <c r="AK1471">
        <v>0</v>
      </c>
      <c r="AL1471">
        <v>0</v>
      </c>
      <c r="AM1471">
        <v>0</v>
      </c>
      <c r="AN1471">
        <v>0</v>
      </c>
      <c r="AO1471">
        <v>0</v>
      </c>
      <c r="AP1471">
        <v>0</v>
      </c>
      <c r="AQ1471">
        <v>0</v>
      </c>
      <c r="AR1471">
        <v>0</v>
      </c>
      <c r="AS1471">
        <v>0</v>
      </c>
      <c r="AT1471">
        <v>0</v>
      </c>
      <c r="AU1471">
        <f t="shared" si="44"/>
        <v>0</v>
      </c>
      <c r="AV1471">
        <f t="shared" si="45"/>
        <v>0</v>
      </c>
    </row>
    <row r="1472" spans="1:48" x14ac:dyDescent="0.25">
      <c r="A1472" t="s">
        <v>6103</v>
      </c>
      <c r="C1472" t="s">
        <v>6047</v>
      </c>
      <c r="D1472" t="s">
        <v>6104</v>
      </c>
      <c r="E1472" t="s">
        <v>2310</v>
      </c>
      <c r="F1472">
        <v>9</v>
      </c>
      <c r="G1472">
        <v>9.4</v>
      </c>
      <c r="H1472" t="s">
        <v>2323</v>
      </c>
      <c r="I1472" s="21">
        <v>38511</v>
      </c>
      <c r="J1472">
        <v>2005</v>
      </c>
      <c r="K1472" s="21">
        <v>38561</v>
      </c>
      <c r="L1472">
        <v>2005</v>
      </c>
      <c r="M1472" s="21">
        <v>39029</v>
      </c>
      <c r="N1472">
        <v>2006</v>
      </c>
      <c r="R1472" s="262">
        <v>650000</v>
      </c>
      <c r="S1472" t="s">
        <v>114</v>
      </c>
      <c r="T1472" t="s">
        <v>114</v>
      </c>
      <c r="U1472">
        <v>5</v>
      </c>
      <c r="W1472">
        <v>4292</v>
      </c>
      <c r="X1472">
        <v>1</v>
      </c>
      <c r="Y1472">
        <v>0</v>
      </c>
      <c r="Z1472">
        <v>0</v>
      </c>
      <c r="AA1472">
        <v>0</v>
      </c>
      <c r="AB1472">
        <v>0</v>
      </c>
      <c r="AC1472">
        <v>4292</v>
      </c>
      <c r="AD1472">
        <v>0</v>
      </c>
      <c r="AE1472">
        <v>0</v>
      </c>
      <c r="AF1472">
        <v>0</v>
      </c>
      <c r="AG1472">
        <v>0</v>
      </c>
      <c r="AH1472">
        <v>0</v>
      </c>
      <c r="AI1472">
        <v>0</v>
      </c>
      <c r="AJ1472">
        <v>0</v>
      </c>
      <c r="AK1472">
        <v>0</v>
      </c>
      <c r="AL1472">
        <v>0</v>
      </c>
      <c r="AM1472">
        <v>0</v>
      </c>
      <c r="AN1472">
        <v>0</v>
      </c>
      <c r="AO1472">
        <v>1</v>
      </c>
      <c r="AP1472">
        <v>0</v>
      </c>
      <c r="AQ1472">
        <v>0</v>
      </c>
      <c r="AR1472">
        <v>0</v>
      </c>
      <c r="AS1472">
        <v>0</v>
      </c>
      <c r="AT1472">
        <v>0</v>
      </c>
      <c r="AU1472">
        <f t="shared" si="44"/>
        <v>1</v>
      </c>
      <c r="AV1472">
        <f t="shared" si="45"/>
        <v>0</v>
      </c>
    </row>
    <row r="1473" spans="1:48" x14ac:dyDescent="0.25">
      <c r="A1473" t="s">
        <v>6105</v>
      </c>
      <c r="C1473" t="s">
        <v>6106</v>
      </c>
      <c r="D1473" t="s">
        <v>6107</v>
      </c>
      <c r="E1473" t="s">
        <v>2310</v>
      </c>
      <c r="F1473">
        <v>9</v>
      </c>
      <c r="G1473">
        <v>9.1</v>
      </c>
      <c r="H1473" t="s">
        <v>2323</v>
      </c>
      <c r="I1473" s="21">
        <v>38511</v>
      </c>
      <c r="J1473">
        <v>2005</v>
      </c>
      <c r="K1473" s="21">
        <v>38520</v>
      </c>
      <c r="L1473">
        <v>2005</v>
      </c>
      <c r="M1473" s="21">
        <v>39189</v>
      </c>
      <c r="N1473">
        <v>2007</v>
      </c>
      <c r="R1473" s="262">
        <v>15000</v>
      </c>
      <c r="S1473" t="s">
        <v>114</v>
      </c>
      <c r="T1473" t="s">
        <v>114</v>
      </c>
      <c r="U1473">
        <v>5</v>
      </c>
      <c r="W1473">
        <v>0</v>
      </c>
      <c r="X1473">
        <v>0</v>
      </c>
      <c r="Y1473">
        <v>0</v>
      </c>
      <c r="Z1473">
        <v>0</v>
      </c>
      <c r="AA1473">
        <v>0</v>
      </c>
      <c r="AB1473">
        <v>0</v>
      </c>
      <c r="AC1473">
        <v>0</v>
      </c>
      <c r="AD1473">
        <v>0</v>
      </c>
      <c r="AE1473">
        <v>0</v>
      </c>
      <c r="AF1473">
        <v>0</v>
      </c>
      <c r="AG1473">
        <v>0</v>
      </c>
      <c r="AH1473">
        <v>0</v>
      </c>
      <c r="AI1473">
        <v>0</v>
      </c>
      <c r="AJ1473">
        <v>0</v>
      </c>
      <c r="AK1473">
        <v>0</v>
      </c>
      <c r="AL1473">
        <v>0</v>
      </c>
      <c r="AM1473">
        <v>0</v>
      </c>
      <c r="AN1473">
        <v>0</v>
      </c>
      <c r="AO1473">
        <v>0</v>
      </c>
      <c r="AP1473">
        <v>0</v>
      </c>
      <c r="AQ1473">
        <v>0</v>
      </c>
      <c r="AR1473">
        <v>0</v>
      </c>
      <c r="AS1473">
        <v>0</v>
      </c>
      <c r="AT1473">
        <v>0</v>
      </c>
      <c r="AU1473">
        <f t="shared" si="44"/>
        <v>0</v>
      </c>
      <c r="AV1473">
        <f t="shared" si="45"/>
        <v>0</v>
      </c>
    </row>
    <row r="1474" spans="1:48" x14ac:dyDescent="0.25">
      <c r="A1474" t="s">
        <v>6108</v>
      </c>
      <c r="C1474" t="s">
        <v>6109</v>
      </c>
      <c r="D1474" t="s">
        <v>6110</v>
      </c>
      <c r="E1474" t="s">
        <v>2310</v>
      </c>
      <c r="F1474">
        <v>8</v>
      </c>
      <c r="G1474">
        <v>8.1</v>
      </c>
      <c r="H1474" t="s">
        <v>2323</v>
      </c>
      <c r="I1474" s="21">
        <v>38511</v>
      </c>
      <c r="J1474">
        <v>2005</v>
      </c>
      <c r="K1474" s="21">
        <v>38520</v>
      </c>
      <c r="L1474">
        <v>2005</v>
      </c>
      <c r="M1474" s="21">
        <v>38912</v>
      </c>
      <c r="N1474">
        <v>2006</v>
      </c>
      <c r="R1474" s="262">
        <v>10000</v>
      </c>
      <c r="S1474" t="s">
        <v>114</v>
      </c>
      <c r="T1474" t="s">
        <v>114</v>
      </c>
      <c r="U1474">
        <v>5</v>
      </c>
      <c r="W1474">
        <v>0</v>
      </c>
      <c r="X1474">
        <v>0</v>
      </c>
      <c r="Y1474">
        <v>0</v>
      </c>
      <c r="Z1474">
        <v>0</v>
      </c>
      <c r="AA1474">
        <v>0</v>
      </c>
      <c r="AB1474">
        <v>0</v>
      </c>
      <c r="AC1474">
        <v>0</v>
      </c>
      <c r="AD1474">
        <v>0</v>
      </c>
      <c r="AE1474">
        <v>0</v>
      </c>
      <c r="AF1474">
        <v>0</v>
      </c>
      <c r="AG1474">
        <v>0</v>
      </c>
      <c r="AH1474">
        <v>0</v>
      </c>
      <c r="AI1474">
        <v>0</v>
      </c>
      <c r="AJ1474">
        <v>0</v>
      </c>
      <c r="AK1474">
        <v>0</v>
      </c>
      <c r="AL1474">
        <v>0</v>
      </c>
      <c r="AM1474">
        <v>0</v>
      </c>
      <c r="AN1474">
        <v>0</v>
      </c>
      <c r="AO1474">
        <v>0</v>
      </c>
      <c r="AP1474">
        <v>0</v>
      </c>
      <c r="AQ1474">
        <v>0</v>
      </c>
      <c r="AR1474">
        <v>0</v>
      </c>
      <c r="AS1474">
        <v>0</v>
      </c>
      <c r="AT1474">
        <v>0</v>
      </c>
      <c r="AU1474">
        <f t="shared" si="44"/>
        <v>0</v>
      </c>
      <c r="AV1474">
        <f t="shared" si="45"/>
        <v>0</v>
      </c>
    </row>
    <row r="1475" spans="1:48" x14ac:dyDescent="0.25">
      <c r="A1475" t="s">
        <v>6111</v>
      </c>
      <c r="C1475" t="s">
        <v>6112</v>
      </c>
      <c r="D1475" t="s">
        <v>2326</v>
      </c>
      <c r="E1475" t="s">
        <v>2310</v>
      </c>
      <c r="F1475">
        <v>12</v>
      </c>
      <c r="G1475">
        <v>12.1</v>
      </c>
      <c r="H1475" t="s">
        <v>2327</v>
      </c>
      <c r="I1475" s="21">
        <v>38512</v>
      </c>
      <c r="J1475">
        <v>2005</v>
      </c>
      <c r="K1475" s="21">
        <v>38548</v>
      </c>
      <c r="L1475">
        <v>2005</v>
      </c>
      <c r="M1475" s="21">
        <v>38700</v>
      </c>
      <c r="N1475">
        <v>2005</v>
      </c>
      <c r="R1475" s="262">
        <v>65000</v>
      </c>
      <c r="S1475" t="s">
        <v>114</v>
      </c>
      <c r="T1475" t="s">
        <v>114</v>
      </c>
      <c r="U1475">
        <v>10</v>
      </c>
      <c r="W1475">
        <v>0</v>
      </c>
      <c r="X1475">
        <v>0</v>
      </c>
      <c r="Y1475">
        <v>0</v>
      </c>
      <c r="Z1475">
        <v>0</v>
      </c>
      <c r="AA1475">
        <v>0</v>
      </c>
      <c r="AB1475">
        <v>0</v>
      </c>
      <c r="AC1475">
        <v>0</v>
      </c>
      <c r="AD1475">
        <v>0</v>
      </c>
      <c r="AE1475">
        <v>0</v>
      </c>
      <c r="AF1475">
        <v>0</v>
      </c>
      <c r="AG1475">
        <v>0</v>
      </c>
      <c r="AH1475">
        <v>0</v>
      </c>
      <c r="AI1475">
        <v>0</v>
      </c>
      <c r="AJ1475">
        <v>0</v>
      </c>
      <c r="AK1475">
        <v>0</v>
      </c>
      <c r="AL1475">
        <v>0</v>
      </c>
      <c r="AM1475">
        <v>0</v>
      </c>
      <c r="AN1475">
        <v>0</v>
      </c>
      <c r="AO1475">
        <v>0</v>
      </c>
      <c r="AP1475">
        <v>0</v>
      </c>
      <c r="AQ1475">
        <v>0</v>
      </c>
      <c r="AR1475">
        <v>0</v>
      </c>
      <c r="AS1475">
        <v>0</v>
      </c>
      <c r="AT1475">
        <v>0</v>
      </c>
      <c r="AU1475">
        <f t="shared" si="44"/>
        <v>0</v>
      </c>
      <c r="AV1475">
        <f t="shared" si="45"/>
        <v>0</v>
      </c>
    </row>
    <row r="1476" spans="1:48" x14ac:dyDescent="0.25">
      <c r="A1476" t="s">
        <v>6113</v>
      </c>
      <c r="C1476" t="s">
        <v>6114</v>
      </c>
      <c r="D1476" t="s">
        <v>6115</v>
      </c>
      <c r="E1476" t="s">
        <v>2310</v>
      </c>
      <c r="F1476">
        <v>15</v>
      </c>
      <c r="G1476">
        <v>15.1</v>
      </c>
      <c r="H1476" t="s">
        <v>2022</v>
      </c>
      <c r="I1476" s="21">
        <v>38513</v>
      </c>
      <c r="J1476">
        <v>2005</v>
      </c>
      <c r="K1476" s="21">
        <v>38558</v>
      </c>
      <c r="L1476">
        <v>2005</v>
      </c>
      <c r="M1476" s="21">
        <v>39385</v>
      </c>
      <c r="N1476">
        <v>2007</v>
      </c>
      <c r="R1476" s="262">
        <v>1500000</v>
      </c>
      <c r="S1476" t="s">
        <v>114</v>
      </c>
      <c r="T1476" t="s">
        <v>114</v>
      </c>
      <c r="U1476">
        <v>15</v>
      </c>
      <c r="W1476">
        <v>6350</v>
      </c>
      <c r="X1476">
        <v>0</v>
      </c>
      <c r="Y1476">
        <v>0</v>
      </c>
      <c r="Z1476">
        <v>0</v>
      </c>
      <c r="AA1476">
        <v>0</v>
      </c>
      <c r="AB1476">
        <v>0</v>
      </c>
      <c r="AC1476">
        <v>0</v>
      </c>
      <c r="AD1476">
        <v>0</v>
      </c>
      <c r="AE1476">
        <v>0</v>
      </c>
      <c r="AF1476">
        <v>0</v>
      </c>
      <c r="AG1476">
        <v>0</v>
      </c>
      <c r="AH1476">
        <v>0</v>
      </c>
      <c r="AI1476">
        <v>0</v>
      </c>
      <c r="AJ1476">
        <v>0</v>
      </c>
      <c r="AK1476">
        <v>0</v>
      </c>
      <c r="AL1476">
        <v>0</v>
      </c>
      <c r="AM1476">
        <v>6350</v>
      </c>
      <c r="AN1476">
        <v>0</v>
      </c>
      <c r="AO1476">
        <v>0</v>
      </c>
      <c r="AP1476">
        <v>0</v>
      </c>
      <c r="AQ1476">
        <v>0</v>
      </c>
      <c r="AR1476">
        <v>0</v>
      </c>
      <c r="AS1476">
        <v>0</v>
      </c>
      <c r="AT1476">
        <v>0</v>
      </c>
      <c r="AU1476">
        <f t="shared" si="44"/>
        <v>0</v>
      </c>
      <c r="AV1476">
        <f t="shared" si="45"/>
        <v>6350</v>
      </c>
    </row>
    <row r="1477" spans="1:48" x14ac:dyDescent="0.25">
      <c r="A1477" t="s">
        <v>6116</v>
      </c>
      <c r="C1477" t="s">
        <v>6117</v>
      </c>
      <c r="D1477" t="s">
        <v>5479</v>
      </c>
      <c r="E1477" t="s">
        <v>2310</v>
      </c>
      <c r="F1477">
        <v>9</v>
      </c>
      <c r="G1477">
        <v>9.3000000000000007</v>
      </c>
      <c r="H1477" t="s">
        <v>2323</v>
      </c>
      <c r="I1477" s="21">
        <v>38516</v>
      </c>
      <c r="J1477">
        <v>2005</v>
      </c>
      <c r="K1477" s="21">
        <v>38546</v>
      </c>
      <c r="L1477">
        <v>2005</v>
      </c>
      <c r="M1477" s="21">
        <v>38546</v>
      </c>
      <c r="N1477">
        <v>2005</v>
      </c>
      <c r="R1477" s="262">
        <v>29500</v>
      </c>
      <c r="S1477" t="s">
        <v>114</v>
      </c>
      <c r="T1477" t="s">
        <v>114</v>
      </c>
      <c r="U1477">
        <v>5</v>
      </c>
      <c r="W1477">
        <v>96</v>
      </c>
      <c r="X1477">
        <v>0</v>
      </c>
      <c r="Y1477">
        <v>0</v>
      </c>
      <c r="Z1477">
        <v>0</v>
      </c>
      <c r="AA1477">
        <v>0</v>
      </c>
      <c r="AB1477">
        <v>0</v>
      </c>
      <c r="AC1477">
        <v>96</v>
      </c>
      <c r="AD1477">
        <v>0</v>
      </c>
      <c r="AE1477">
        <v>0</v>
      </c>
      <c r="AF1477">
        <v>0</v>
      </c>
      <c r="AG1477">
        <v>0</v>
      </c>
      <c r="AH1477">
        <v>0</v>
      </c>
      <c r="AI1477">
        <v>0</v>
      </c>
      <c r="AJ1477">
        <v>0</v>
      </c>
      <c r="AK1477">
        <v>0</v>
      </c>
      <c r="AL1477">
        <v>0</v>
      </c>
      <c r="AM1477">
        <v>0</v>
      </c>
      <c r="AN1477">
        <v>0</v>
      </c>
      <c r="AO1477">
        <v>0</v>
      </c>
      <c r="AP1477">
        <v>0</v>
      </c>
      <c r="AQ1477">
        <v>0</v>
      </c>
      <c r="AR1477">
        <v>0</v>
      </c>
      <c r="AS1477">
        <v>0</v>
      </c>
      <c r="AT1477">
        <v>0</v>
      </c>
      <c r="AU1477">
        <f t="shared" si="44"/>
        <v>0</v>
      </c>
      <c r="AV1477">
        <f t="shared" si="45"/>
        <v>0</v>
      </c>
    </row>
    <row r="1478" spans="1:48" x14ac:dyDescent="0.25">
      <c r="A1478" t="s">
        <v>6118</v>
      </c>
      <c r="C1478" t="s">
        <v>5207</v>
      </c>
      <c r="D1478" t="s">
        <v>6119</v>
      </c>
      <c r="E1478" t="s">
        <v>2310</v>
      </c>
      <c r="F1478">
        <v>9</v>
      </c>
      <c r="G1478">
        <v>9.3000000000000007</v>
      </c>
      <c r="H1478" t="s">
        <v>2323</v>
      </c>
      <c r="I1478" s="21">
        <v>38516</v>
      </c>
      <c r="J1478">
        <v>2005</v>
      </c>
      <c r="K1478" s="21">
        <v>38565</v>
      </c>
      <c r="L1478">
        <v>2005</v>
      </c>
      <c r="M1478" s="21">
        <v>39507</v>
      </c>
      <c r="N1478">
        <v>2008</v>
      </c>
      <c r="R1478" s="262">
        <v>1500000</v>
      </c>
      <c r="S1478" t="s">
        <v>114</v>
      </c>
      <c r="T1478" t="s">
        <v>114</v>
      </c>
      <c r="U1478">
        <v>5</v>
      </c>
      <c r="W1478">
        <v>4882</v>
      </c>
      <c r="X1478">
        <v>1</v>
      </c>
      <c r="Y1478">
        <v>0</v>
      </c>
      <c r="Z1478">
        <v>0</v>
      </c>
      <c r="AA1478">
        <v>0</v>
      </c>
      <c r="AB1478">
        <v>0</v>
      </c>
      <c r="AC1478">
        <v>4882</v>
      </c>
      <c r="AD1478">
        <v>0</v>
      </c>
      <c r="AE1478">
        <v>0</v>
      </c>
      <c r="AF1478">
        <v>0</v>
      </c>
      <c r="AG1478">
        <v>0</v>
      </c>
      <c r="AH1478">
        <v>0</v>
      </c>
      <c r="AI1478">
        <v>0</v>
      </c>
      <c r="AJ1478">
        <v>0</v>
      </c>
      <c r="AK1478">
        <v>0</v>
      </c>
      <c r="AL1478">
        <v>0</v>
      </c>
      <c r="AM1478">
        <v>0</v>
      </c>
      <c r="AN1478">
        <v>0</v>
      </c>
      <c r="AO1478">
        <v>1</v>
      </c>
      <c r="AP1478">
        <v>0</v>
      </c>
      <c r="AQ1478">
        <v>0</v>
      </c>
      <c r="AR1478">
        <v>0</v>
      </c>
      <c r="AS1478">
        <v>0</v>
      </c>
      <c r="AT1478">
        <v>0</v>
      </c>
      <c r="AU1478">
        <f t="shared" si="44"/>
        <v>1</v>
      </c>
      <c r="AV1478">
        <f t="shared" si="45"/>
        <v>0</v>
      </c>
    </row>
    <row r="1479" spans="1:48" x14ac:dyDescent="0.25">
      <c r="A1479" t="s">
        <v>6120</v>
      </c>
      <c r="C1479" t="s">
        <v>6121</v>
      </c>
      <c r="D1479" t="s">
        <v>6122</v>
      </c>
      <c r="E1479" t="s">
        <v>2310</v>
      </c>
      <c r="F1479">
        <v>9</v>
      </c>
      <c r="G1479">
        <v>9.3000000000000007</v>
      </c>
      <c r="H1479" t="s">
        <v>2323</v>
      </c>
      <c r="I1479" s="21">
        <v>38516</v>
      </c>
      <c r="J1479">
        <v>2005</v>
      </c>
      <c r="K1479" s="21">
        <v>38538</v>
      </c>
      <c r="L1479">
        <v>2005</v>
      </c>
      <c r="M1479" s="21">
        <v>39206</v>
      </c>
      <c r="N1479">
        <v>2007</v>
      </c>
      <c r="R1479" s="262">
        <v>550000</v>
      </c>
      <c r="S1479" t="s">
        <v>114</v>
      </c>
      <c r="T1479" t="s">
        <v>114</v>
      </c>
      <c r="U1479">
        <v>17</v>
      </c>
      <c r="W1479">
        <v>6045</v>
      </c>
      <c r="X1479">
        <v>2</v>
      </c>
      <c r="Y1479">
        <v>0</v>
      </c>
      <c r="Z1479">
        <v>0</v>
      </c>
      <c r="AA1479">
        <v>0</v>
      </c>
      <c r="AB1479">
        <v>0</v>
      </c>
      <c r="AC1479">
        <v>0</v>
      </c>
      <c r="AD1479">
        <v>5079</v>
      </c>
      <c r="AE1479">
        <v>0</v>
      </c>
      <c r="AF1479">
        <v>966</v>
      </c>
      <c r="AG1479">
        <v>0</v>
      </c>
      <c r="AH1479">
        <v>0</v>
      </c>
      <c r="AI1479">
        <v>0</v>
      </c>
      <c r="AJ1479">
        <v>0</v>
      </c>
      <c r="AK1479">
        <v>0</v>
      </c>
      <c r="AL1479">
        <v>0</v>
      </c>
      <c r="AM1479">
        <v>0</v>
      </c>
      <c r="AN1479">
        <v>0</v>
      </c>
      <c r="AO1479">
        <v>0</v>
      </c>
      <c r="AP1479">
        <v>1</v>
      </c>
      <c r="AQ1479">
        <v>0</v>
      </c>
      <c r="AR1479">
        <v>1</v>
      </c>
      <c r="AS1479">
        <v>0</v>
      </c>
      <c r="AT1479">
        <v>0</v>
      </c>
      <c r="AU1479">
        <f t="shared" si="44"/>
        <v>1</v>
      </c>
      <c r="AV1479">
        <f t="shared" si="45"/>
        <v>0</v>
      </c>
    </row>
    <row r="1480" spans="1:48" x14ac:dyDescent="0.25">
      <c r="A1480" t="s">
        <v>6123</v>
      </c>
      <c r="C1480" t="s">
        <v>4936</v>
      </c>
      <c r="D1480" t="s">
        <v>6124</v>
      </c>
      <c r="E1480" t="s">
        <v>2310</v>
      </c>
      <c r="F1480">
        <v>9</v>
      </c>
      <c r="G1480">
        <v>9.4</v>
      </c>
      <c r="H1480" t="s">
        <v>2323</v>
      </c>
      <c r="I1480" s="21">
        <v>38516</v>
      </c>
      <c r="J1480">
        <v>2005</v>
      </c>
      <c r="K1480" s="21">
        <v>38551</v>
      </c>
      <c r="L1480">
        <v>2005</v>
      </c>
      <c r="M1480" s="21">
        <v>39094</v>
      </c>
      <c r="N1480">
        <v>2007</v>
      </c>
      <c r="R1480" s="262">
        <v>1000000</v>
      </c>
      <c r="S1480" t="s">
        <v>114</v>
      </c>
      <c r="T1480" t="s">
        <v>114</v>
      </c>
      <c r="U1480">
        <v>5</v>
      </c>
      <c r="W1480">
        <v>4542</v>
      </c>
      <c r="X1480">
        <v>1</v>
      </c>
      <c r="Y1480">
        <v>0</v>
      </c>
      <c r="Z1480">
        <v>0</v>
      </c>
      <c r="AA1480">
        <v>0</v>
      </c>
      <c r="AB1480">
        <v>0</v>
      </c>
      <c r="AC1480">
        <v>4542</v>
      </c>
      <c r="AD1480">
        <v>0</v>
      </c>
      <c r="AE1480">
        <v>0</v>
      </c>
      <c r="AF1480">
        <v>0</v>
      </c>
      <c r="AG1480">
        <v>0</v>
      </c>
      <c r="AH1480">
        <v>0</v>
      </c>
      <c r="AI1480">
        <v>0</v>
      </c>
      <c r="AJ1480">
        <v>0</v>
      </c>
      <c r="AK1480">
        <v>0</v>
      </c>
      <c r="AL1480">
        <v>0</v>
      </c>
      <c r="AM1480">
        <v>0</v>
      </c>
      <c r="AN1480">
        <v>0</v>
      </c>
      <c r="AO1480">
        <v>1</v>
      </c>
      <c r="AP1480">
        <v>0</v>
      </c>
      <c r="AQ1480">
        <v>0</v>
      </c>
      <c r="AR1480">
        <v>0</v>
      </c>
      <c r="AS1480">
        <v>0</v>
      </c>
      <c r="AT1480">
        <v>0</v>
      </c>
      <c r="AU1480">
        <f t="shared" si="44"/>
        <v>1</v>
      </c>
      <c r="AV1480">
        <f t="shared" si="45"/>
        <v>0</v>
      </c>
    </row>
    <row r="1481" spans="1:48" x14ac:dyDescent="0.25">
      <c r="A1481" t="s">
        <v>6125</v>
      </c>
      <c r="C1481" t="s">
        <v>6126</v>
      </c>
      <c r="D1481" t="s">
        <v>2342</v>
      </c>
      <c r="E1481" t="s">
        <v>2310</v>
      </c>
      <c r="F1481">
        <v>13</v>
      </c>
      <c r="G1481">
        <v>13.1</v>
      </c>
      <c r="H1481" t="s">
        <v>2327</v>
      </c>
      <c r="I1481" s="21">
        <v>38516</v>
      </c>
      <c r="J1481">
        <v>2005</v>
      </c>
      <c r="M1481" s="21">
        <v>38623</v>
      </c>
      <c r="N1481">
        <v>2005</v>
      </c>
      <c r="R1481" s="262">
        <v>19500</v>
      </c>
      <c r="S1481" t="s">
        <v>114</v>
      </c>
      <c r="T1481" t="s">
        <v>114</v>
      </c>
      <c r="U1481">
        <v>11</v>
      </c>
      <c r="W1481">
        <v>294</v>
      </c>
      <c r="X1481">
        <v>0</v>
      </c>
      <c r="Y1481">
        <v>0</v>
      </c>
      <c r="Z1481">
        <v>0</v>
      </c>
      <c r="AA1481">
        <v>0</v>
      </c>
      <c r="AB1481">
        <v>0</v>
      </c>
      <c r="AC1481">
        <v>0</v>
      </c>
      <c r="AD1481">
        <v>0</v>
      </c>
      <c r="AE1481">
        <v>0</v>
      </c>
      <c r="AF1481">
        <v>0</v>
      </c>
      <c r="AG1481">
        <v>0</v>
      </c>
      <c r="AH1481">
        <v>0</v>
      </c>
      <c r="AI1481">
        <v>294</v>
      </c>
      <c r="AJ1481">
        <v>0</v>
      </c>
      <c r="AK1481">
        <v>0</v>
      </c>
      <c r="AL1481">
        <v>0</v>
      </c>
      <c r="AM1481">
        <v>0</v>
      </c>
      <c r="AN1481">
        <v>0</v>
      </c>
      <c r="AO1481">
        <v>0</v>
      </c>
      <c r="AP1481">
        <v>0</v>
      </c>
      <c r="AQ1481">
        <v>0</v>
      </c>
      <c r="AR1481">
        <v>0</v>
      </c>
      <c r="AS1481">
        <v>0</v>
      </c>
      <c r="AT1481">
        <v>0</v>
      </c>
      <c r="AU1481">
        <f t="shared" si="44"/>
        <v>0</v>
      </c>
      <c r="AV1481">
        <f t="shared" si="45"/>
        <v>294</v>
      </c>
    </row>
    <row r="1482" spans="1:48" x14ac:dyDescent="0.25">
      <c r="A1482" t="s">
        <v>6127</v>
      </c>
      <c r="C1482" t="s">
        <v>6128</v>
      </c>
      <c r="D1482" t="s">
        <v>6129</v>
      </c>
      <c r="E1482" t="s">
        <v>2310</v>
      </c>
      <c r="F1482">
        <v>10</v>
      </c>
      <c r="G1482">
        <v>10.1</v>
      </c>
      <c r="H1482" t="s">
        <v>2323</v>
      </c>
      <c r="I1482" s="21">
        <v>38517</v>
      </c>
      <c r="J1482">
        <v>2005</v>
      </c>
      <c r="K1482" s="21">
        <v>38520</v>
      </c>
      <c r="L1482">
        <v>2005</v>
      </c>
      <c r="M1482" s="21">
        <v>39042</v>
      </c>
      <c r="N1482">
        <v>2006</v>
      </c>
      <c r="R1482" s="262">
        <v>20000</v>
      </c>
      <c r="S1482" t="s">
        <v>114</v>
      </c>
      <c r="T1482" t="s">
        <v>114</v>
      </c>
      <c r="U1482">
        <v>5</v>
      </c>
      <c r="W1482">
        <v>592</v>
      </c>
      <c r="X1482">
        <v>0</v>
      </c>
      <c r="Y1482">
        <v>0</v>
      </c>
      <c r="Z1482">
        <v>0</v>
      </c>
      <c r="AA1482">
        <v>0</v>
      </c>
      <c r="AB1482">
        <v>0</v>
      </c>
      <c r="AC1482">
        <v>592</v>
      </c>
      <c r="AD1482">
        <v>0</v>
      </c>
      <c r="AE1482">
        <v>0</v>
      </c>
      <c r="AF1482">
        <v>0</v>
      </c>
      <c r="AG1482">
        <v>0</v>
      </c>
      <c r="AH1482">
        <v>0</v>
      </c>
      <c r="AI1482">
        <v>0</v>
      </c>
      <c r="AJ1482">
        <v>0</v>
      </c>
      <c r="AK1482">
        <v>0</v>
      </c>
      <c r="AL1482">
        <v>0</v>
      </c>
      <c r="AM1482">
        <v>0</v>
      </c>
      <c r="AN1482">
        <v>0</v>
      </c>
      <c r="AO1482">
        <v>0</v>
      </c>
      <c r="AP1482">
        <v>0</v>
      </c>
      <c r="AQ1482">
        <v>0</v>
      </c>
      <c r="AR1482">
        <v>0</v>
      </c>
      <c r="AS1482">
        <v>0</v>
      </c>
      <c r="AT1482">
        <v>0</v>
      </c>
      <c r="AU1482">
        <f t="shared" si="44"/>
        <v>0</v>
      </c>
      <c r="AV1482">
        <f t="shared" si="45"/>
        <v>0</v>
      </c>
    </row>
    <row r="1483" spans="1:48" x14ac:dyDescent="0.25">
      <c r="A1483" t="s">
        <v>6130</v>
      </c>
      <c r="C1483" t="s">
        <v>6131</v>
      </c>
      <c r="D1483" t="s">
        <v>6132</v>
      </c>
      <c r="E1483" t="s">
        <v>2310</v>
      </c>
      <c r="F1483">
        <v>10</v>
      </c>
      <c r="G1483">
        <v>10.1</v>
      </c>
      <c r="H1483" t="s">
        <v>2323</v>
      </c>
      <c r="I1483" s="21">
        <v>38518</v>
      </c>
      <c r="J1483">
        <v>2005</v>
      </c>
      <c r="K1483" s="21">
        <v>38534</v>
      </c>
      <c r="L1483">
        <v>2005</v>
      </c>
      <c r="M1483" s="21">
        <v>38812</v>
      </c>
      <c r="N1483">
        <v>2006</v>
      </c>
      <c r="R1483" s="262">
        <v>400000</v>
      </c>
      <c r="S1483" t="s">
        <v>114</v>
      </c>
      <c r="T1483" t="s">
        <v>114</v>
      </c>
      <c r="U1483">
        <v>5</v>
      </c>
      <c r="W1483">
        <v>3504</v>
      </c>
      <c r="X1483">
        <v>1</v>
      </c>
      <c r="Y1483">
        <v>0</v>
      </c>
      <c r="Z1483">
        <v>0</v>
      </c>
      <c r="AA1483">
        <v>0</v>
      </c>
      <c r="AB1483">
        <v>0</v>
      </c>
      <c r="AC1483">
        <v>3504</v>
      </c>
      <c r="AD1483">
        <v>0</v>
      </c>
      <c r="AE1483">
        <v>0</v>
      </c>
      <c r="AF1483">
        <v>0</v>
      </c>
      <c r="AG1483">
        <v>0</v>
      </c>
      <c r="AH1483">
        <v>0</v>
      </c>
      <c r="AI1483">
        <v>0</v>
      </c>
      <c r="AJ1483">
        <v>0</v>
      </c>
      <c r="AK1483">
        <v>0</v>
      </c>
      <c r="AL1483">
        <v>0</v>
      </c>
      <c r="AM1483">
        <v>0</v>
      </c>
      <c r="AN1483">
        <v>0</v>
      </c>
      <c r="AO1483">
        <v>1</v>
      </c>
      <c r="AP1483">
        <v>0</v>
      </c>
      <c r="AQ1483">
        <v>0</v>
      </c>
      <c r="AR1483">
        <v>0</v>
      </c>
      <c r="AS1483">
        <v>0</v>
      </c>
      <c r="AT1483">
        <v>0</v>
      </c>
      <c r="AU1483">
        <f t="shared" si="44"/>
        <v>1</v>
      </c>
      <c r="AV1483">
        <f t="shared" si="45"/>
        <v>0</v>
      </c>
    </row>
    <row r="1484" spans="1:48" x14ac:dyDescent="0.25">
      <c r="A1484" t="s">
        <v>6133</v>
      </c>
      <c r="C1484" t="s">
        <v>6134</v>
      </c>
      <c r="D1484" t="s">
        <v>6135</v>
      </c>
      <c r="E1484" t="s">
        <v>2310</v>
      </c>
      <c r="F1484">
        <v>10</v>
      </c>
      <c r="G1484">
        <v>10.1</v>
      </c>
      <c r="H1484" t="s">
        <v>2323</v>
      </c>
      <c r="I1484" s="21">
        <v>38518</v>
      </c>
      <c r="J1484">
        <v>2005</v>
      </c>
      <c r="K1484" s="21">
        <v>38531</v>
      </c>
      <c r="L1484">
        <v>2005</v>
      </c>
      <c r="M1484" s="21">
        <v>38785</v>
      </c>
      <c r="N1484">
        <v>2006</v>
      </c>
      <c r="R1484" s="262">
        <v>425000</v>
      </c>
      <c r="S1484" t="s">
        <v>114</v>
      </c>
      <c r="T1484" t="s">
        <v>114</v>
      </c>
      <c r="U1484">
        <v>5</v>
      </c>
      <c r="W1484">
        <v>3856</v>
      </c>
      <c r="X1484">
        <v>1</v>
      </c>
      <c r="Y1484">
        <v>0</v>
      </c>
      <c r="Z1484">
        <v>0</v>
      </c>
      <c r="AA1484">
        <v>0</v>
      </c>
      <c r="AB1484">
        <v>0</v>
      </c>
      <c r="AC1484">
        <v>3856</v>
      </c>
      <c r="AD1484">
        <v>0</v>
      </c>
      <c r="AE1484">
        <v>0</v>
      </c>
      <c r="AF1484">
        <v>0</v>
      </c>
      <c r="AG1484">
        <v>0</v>
      </c>
      <c r="AH1484">
        <v>0</v>
      </c>
      <c r="AI1484">
        <v>0</v>
      </c>
      <c r="AJ1484">
        <v>0</v>
      </c>
      <c r="AK1484">
        <v>0</v>
      </c>
      <c r="AL1484">
        <v>0</v>
      </c>
      <c r="AM1484">
        <v>0</v>
      </c>
      <c r="AN1484">
        <v>0</v>
      </c>
      <c r="AO1484">
        <v>1</v>
      </c>
      <c r="AP1484">
        <v>0</v>
      </c>
      <c r="AQ1484">
        <v>0</v>
      </c>
      <c r="AR1484">
        <v>0</v>
      </c>
      <c r="AS1484">
        <v>0</v>
      </c>
      <c r="AT1484">
        <v>0</v>
      </c>
      <c r="AU1484">
        <f t="shared" si="44"/>
        <v>1</v>
      </c>
      <c r="AV1484">
        <f t="shared" si="45"/>
        <v>0</v>
      </c>
    </row>
    <row r="1485" spans="1:48" x14ac:dyDescent="0.25">
      <c r="A1485" t="s">
        <v>6136</v>
      </c>
      <c r="C1485" t="s">
        <v>6137</v>
      </c>
      <c r="D1485" t="s">
        <v>6138</v>
      </c>
      <c r="E1485" t="s">
        <v>2310</v>
      </c>
      <c r="F1485">
        <v>9</v>
      </c>
      <c r="G1485">
        <v>9.1</v>
      </c>
      <c r="H1485" t="s">
        <v>2323</v>
      </c>
      <c r="I1485" s="21">
        <v>38518</v>
      </c>
      <c r="J1485">
        <v>2005</v>
      </c>
      <c r="K1485" s="21">
        <v>38540</v>
      </c>
      <c r="L1485">
        <v>2005</v>
      </c>
      <c r="M1485" s="21">
        <v>38980</v>
      </c>
      <c r="N1485">
        <v>2006</v>
      </c>
      <c r="R1485" s="262">
        <v>460000</v>
      </c>
      <c r="S1485" t="s">
        <v>114</v>
      </c>
      <c r="T1485" t="s">
        <v>114</v>
      </c>
      <c r="U1485">
        <v>5</v>
      </c>
      <c r="W1485">
        <v>3440</v>
      </c>
      <c r="X1485">
        <v>1</v>
      </c>
      <c r="Y1485">
        <v>0</v>
      </c>
      <c r="Z1485">
        <v>0</v>
      </c>
      <c r="AA1485">
        <v>0</v>
      </c>
      <c r="AB1485">
        <v>0</v>
      </c>
      <c r="AC1485">
        <v>3440</v>
      </c>
      <c r="AD1485">
        <v>0</v>
      </c>
      <c r="AE1485">
        <v>0</v>
      </c>
      <c r="AF1485">
        <v>0</v>
      </c>
      <c r="AG1485">
        <v>0</v>
      </c>
      <c r="AH1485">
        <v>0</v>
      </c>
      <c r="AI1485">
        <v>0</v>
      </c>
      <c r="AJ1485">
        <v>0</v>
      </c>
      <c r="AK1485">
        <v>0</v>
      </c>
      <c r="AL1485">
        <v>0</v>
      </c>
      <c r="AM1485">
        <v>0</v>
      </c>
      <c r="AN1485">
        <v>0</v>
      </c>
      <c r="AO1485">
        <v>1</v>
      </c>
      <c r="AP1485">
        <v>0</v>
      </c>
      <c r="AQ1485">
        <v>0</v>
      </c>
      <c r="AR1485">
        <v>0</v>
      </c>
      <c r="AS1485">
        <v>0</v>
      </c>
      <c r="AT1485">
        <v>0</v>
      </c>
      <c r="AU1485">
        <f t="shared" si="44"/>
        <v>1</v>
      </c>
      <c r="AV1485">
        <f t="shared" si="45"/>
        <v>0</v>
      </c>
    </row>
    <row r="1486" spans="1:48" x14ac:dyDescent="0.25">
      <c r="A1486" t="s">
        <v>6139</v>
      </c>
      <c r="C1486" t="s">
        <v>6140</v>
      </c>
      <c r="D1486" t="s">
        <v>3905</v>
      </c>
      <c r="E1486" t="s">
        <v>2310</v>
      </c>
      <c r="F1486">
        <v>8</v>
      </c>
      <c r="G1486">
        <v>8.1</v>
      </c>
      <c r="H1486" t="s">
        <v>2323</v>
      </c>
      <c r="I1486" s="21">
        <v>38519</v>
      </c>
      <c r="J1486">
        <v>2005</v>
      </c>
      <c r="K1486" s="21">
        <v>38524</v>
      </c>
      <c r="L1486">
        <v>2005</v>
      </c>
      <c r="M1486" s="21">
        <v>38607</v>
      </c>
      <c r="N1486">
        <v>2005</v>
      </c>
      <c r="R1486" s="262">
        <v>6000</v>
      </c>
      <c r="S1486" t="s">
        <v>114</v>
      </c>
      <c r="T1486" t="s">
        <v>114</v>
      </c>
      <c r="U1486">
        <v>15</v>
      </c>
      <c r="W1486">
        <v>0</v>
      </c>
      <c r="X1486">
        <v>0</v>
      </c>
      <c r="Y1486">
        <v>0</v>
      </c>
      <c r="Z1486">
        <v>0</v>
      </c>
      <c r="AA1486">
        <v>0</v>
      </c>
      <c r="AB1486">
        <v>0</v>
      </c>
      <c r="AC1486">
        <v>0</v>
      </c>
      <c r="AD1486">
        <v>0</v>
      </c>
      <c r="AE1486">
        <v>0</v>
      </c>
      <c r="AF1486">
        <v>0</v>
      </c>
      <c r="AG1486">
        <v>0</v>
      </c>
      <c r="AH1486">
        <v>0</v>
      </c>
      <c r="AI1486">
        <v>0</v>
      </c>
      <c r="AJ1486">
        <v>0</v>
      </c>
      <c r="AK1486">
        <v>0</v>
      </c>
      <c r="AL1486">
        <v>0</v>
      </c>
      <c r="AM1486">
        <v>0</v>
      </c>
      <c r="AN1486">
        <v>0</v>
      </c>
      <c r="AO1486">
        <v>0</v>
      </c>
      <c r="AP1486">
        <v>0</v>
      </c>
      <c r="AQ1486">
        <v>0</v>
      </c>
      <c r="AR1486">
        <v>0</v>
      </c>
      <c r="AS1486">
        <v>0</v>
      </c>
      <c r="AT1486">
        <v>0</v>
      </c>
      <c r="AU1486">
        <f t="shared" si="44"/>
        <v>0</v>
      </c>
      <c r="AV1486">
        <f t="shared" si="45"/>
        <v>0</v>
      </c>
    </row>
    <row r="1487" spans="1:48" x14ac:dyDescent="0.25">
      <c r="A1487" t="s">
        <v>6141</v>
      </c>
      <c r="C1487" t="s">
        <v>6142</v>
      </c>
      <c r="D1487" t="s">
        <v>6143</v>
      </c>
      <c r="E1487" t="s">
        <v>2310</v>
      </c>
      <c r="F1487">
        <v>11</v>
      </c>
      <c r="G1487">
        <v>11.2</v>
      </c>
      <c r="H1487" t="s">
        <v>2017</v>
      </c>
      <c r="I1487" s="21">
        <v>38519</v>
      </c>
      <c r="J1487">
        <v>2005</v>
      </c>
      <c r="K1487" s="21">
        <v>38553</v>
      </c>
      <c r="L1487">
        <v>2005</v>
      </c>
      <c r="M1487" s="21">
        <v>38925</v>
      </c>
      <c r="N1487">
        <v>2006</v>
      </c>
      <c r="R1487" s="262">
        <v>150000</v>
      </c>
      <c r="S1487" t="s">
        <v>114</v>
      </c>
      <c r="T1487" t="s">
        <v>114</v>
      </c>
      <c r="U1487">
        <v>5</v>
      </c>
      <c r="W1487">
        <v>1028</v>
      </c>
      <c r="X1487">
        <v>0</v>
      </c>
      <c r="Y1487">
        <v>0</v>
      </c>
      <c r="Z1487">
        <v>0</v>
      </c>
      <c r="AA1487">
        <v>0</v>
      </c>
      <c r="AB1487">
        <v>0</v>
      </c>
      <c r="AC1487">
        <v>1028</v>
      </c>
      <c r="AD1487">
        <v>0</v>
      </c>
      <c r="AE1487">
        <v>0</v>
      </c>
      <c r="AF1487">
        <v>0</v>
      </c>
      <c r="AG1487">
        <v>0</v>
      </c>
      <c r="AH1487">
        <v>0</v>
      </c>
      <c r="AI1487">
        <v>0</v>
      </c>
      <c r="AJ1487">
        <v>0</v>
      </c>
      <c r="AK1487">
        <v>0</v>
      </c>
      <c r="AL1487">
        <v>0</v>
      </c>
      <c r="AM1487">
        <v>0</v>
      </c>
      <c r="AN1487">
        <v>0</v>
      </c>
      <c r="AO1487">
        <v>0</v>
      </c>
      <c r="AP1487">
        <v>0</v>
      </c>
      <c r="AQ1487">
        <v>0</v>
      </c>
      <c r="AR1487">
        <v>0</v>
      </c>
      <c r="AS1487">
        <v>0</v>
      </c>
      <c r="AT1487">
        <v>0</v>
      </c>
      <c r="AU1487">
        <f t="shared" si="44"/>
        <v>0</v>
      </c>
      <c r="AV1487">
        <f t="shared" si="45"/>
        <v>0</v>
      </c>
    </row>
    <row r="1488" spans="1:48" x14ac:dyDescent="0.25">
      <c r="A1488" t="s">
        <v>6144</v>
      </c>
      <c r="C1488" t="s">
        <v>6145</v>
      </c>
      <c r="D1488" t="s">
        <v>6146</v>
      </c>
      <c r="E1488" t="s">
        <v>2310</v>
      </c>
      <c r="F1488">
        <v>9</v>
      </c>
      <c r="G1488">
        <v>9.3000000000000007</v>
      </c>
      <c r="H1488" t="s">
        <v>2323</v>
      </c>
      <c r="I1488" s="21">
        <v>38524</v>
      </c>
      <c r="J1488">
        <v>2005</v>
      </c>
      <c r="K1488" s="21">
        <v>38530</v>
      </c>
      <c r="L1488">
        <v>2005</v>
      </c>
      <c r="M1488" s="21">
        <v>38926</v>
      </c>
      <c r="N1488">
        <v>2006</v>
      </c>
      <c r="R1488" s="262">
        <v>20000</v>
      </c>
      <c r="S1488" t="s">
        <v>114</v>
      </c>
      <c r="T1488" t="s">
        <v>114</v>
      </c>
      <c r="U1488">
        <v>5</v>
      </c>
      <c r="W1488">
        <v>912</v>
      </c>
      <c r="X1488">
        <v>0</v>
      </c>
      <c r="Y1488">
        <v>0</v>
      </c>
      <c r="Z1488">
        <v>0</v>
      </c>
      <c r="AA1488">
        <v>0</v>
      </c>
      <c r="AB1488">
        <v>0</v>
      </c>
      <c r="AC1488">
        <v>912</v>
      </c>
      <c r="AD1488">
        <v>0</v>
      </c>
      <c r="AE1488">
        <v>0</v>
      </c>
      <c r="AF1488">
        <v>0</v>
      </c>
      <c r="AG1488">
        <v>0</v>
      </c>
      <c r="AH1488">
        <v>0</v>
      </c>
      <c r="AI1488">
        <v>0</v>
      </c>
      <c r="AJ1488">
        <v>0</v>
      </c>
      <c r="AK1488">
        <v>0</v>
      </c>
      <c r="AL1488">
        <v>0</v>
      </c>
      <c r="AM1488">
        <v>0</v>
      </c>
      <c r="AN1488">
        <v>0</v>
      </c>
      <c r="AO1488">
        <v>0</v>
      </c>
      <c r="AP1488">
        <v>0</v>
      </c>
      <c r="AQ1488">
        <v>0</v>
      </c>
      <c r="AR1488">
        <v>0</v>
      </c>
      <c r="AS1488">
        <v>0</v>
      </c>
      <c r="AT1488">
        <v>0</v>
      </c>
      <c r="AU1488">
        <f t="shared" si="44"/>
        <v>0</v>
      </c>
      <c r="AV1488">
        <f t="shared" si="45"/>
        <v>0</v>
      </c>
    </row>
    <row r="1489" spans="1:48" x14ac:dyDescent="0.25">
      <c r="A1489" t="s">
        <v>6147</v>
      </c>
      <c r="C1489" t="s">
        <v>6148</v>
      </c>
      <c r="D1489" t="s">
        <v>4263</v>
      </c>
      <c r="E1489" t="s">
        <v>2310</v>
      </c>
      <c r="F1489">
        <v>9</v>
      </c>
      <c r="G1489">
        <v>9.3000000000000007</v>
      </c>
      <c r="H1489" t="s">
        <v>2323</v>
      </c>
      <c r="I1489" s="21">
        <v>38530</v>
      </c>
      <c r="J1489">
        <v>2005</v>
      </c>
      <c r="K1489" s="21">
        <v>38538</v>
      </c>
      <c r="L1489">
        <v>2005</v>
      </c>
      <c r="M1489" s="21">
        <v>39008</v>
      </c>
      <c r="N1489">
        <v>2006</v>
      </c>
      <c r="R1489" s="262">
        <v>60000</v>
      </c>
      <c r="S1489" t="s">
        <v>114</v>
      </c>
      <c r="T1489" t="s">
        <v>114</v>
      </c>
      <c r="U1489">
        <v>5</v>
      </c>
      <c r="W1489">
        <v>273</v>
      </c>
      <c r="X1489">
        <v>0</v>
      </c>
      <c r="Y1489">
        <v>0</v>
      </c>
      <c r="Z1489">
        <v>0</v>
      </c>
      <c r="AA1489">
        <v>0</v>
      </c>
      <c r="AB1489">
        <v>0</v>
      </c>
      <c r="AC1489">
        <v>273</v>
      </c>
      <c r="AD1489">
        <v>0</v>
      </c>
      <c r="AE1489">
        <v>0</v>
      </c>
      <c r="AF1489">
        <v>0</v>
      </c>
      <c r="AG1489">
        <v>0</v>
      </c>
      <c r="AH1489">
        <v>0</v>
      </c>
      <c r="AI1489">
        <v>0</v>
      </c>
      <c r="AJ1489">
        <v>0</v>
      </c>
      <c r="AK1489">
        <v>0</v>
      </c>
      <c r="AL1489">
        <v>0</v>
      </c>
      <c r="AM1489">
        <v>0</v>
      </c>
      <c r="AN1489">
        <v>0</v>
      </c>
      <c r="AO1489">
        <v>0</v>
      </c>
      <c r="AP1489">
        <v>0</v>
      </c>
      <c r="AQ1489">
        <v>0</v>
      </c>
      <c r="AR1489">
        <v>0</v>
      </c>
      <c r="AS1489">
        <v>0</v>
      </c>
      <c r="AT1489">
        <v>0</v>
      </c>
      <c r="AU1489">
        <f t="shared" si="44"/>
        <v>0</v>
      </c>
      <c r="AV1489">
        <f t="shared" si="45"/>
        <v>0</v>
      </c>
    </row>
    <row r="1490" spans="1:48" x14ac:dyDescent="0.25">
      <c r="A1490" t="s">
        <v>6149</v>
      </c>
      <c r="C1490" t="s">
        <v>6150</v>
      </c>
      <c r="D1490" t="s">
        <v>6151</v>
      </c>
      <c r="E1490" t="s">
        <v>2310</v>
      </c>
      <c r="F1490">
        <v>9</v>
      </c>
      <c r="G1490">
        <v>9.3000000000000007</v>
      </c>
      <c r="H1490" t="s">
        <v>2323</v>
      </c>
      <c r="I1490" s="21">
        <v>38531</v>
      </c>
      <c r="J1490">
        <v>2005</v>
      </c>
      <c r="K1490" s="21">
        <v>38635</v>
      </c>
      <c r="L1490">
        <v>2005</v>
      </c>
      <c r="M1490" s="21">
        <v>39258</v>
      </c>
      <c r="N1490">
        <v>2007</v>
      </c>
      <c r="R1490" s="262">
        <v>800000</v>
      </c>
      <c r="S1490" t="s">
        <v>114</v>
      </c>
      <c r="T1490" t="s">
        <v>114</v>
      </c>
      <c r="U1490">
        <v>17</v>
      </c>
      <c r="W1490">
        <v>5925</v>
      </c>
      <c r="X1490">
        <v>2</v>
      </c>
      <c r="Y1490">
        <v>0</v>
      </c>
      <c r="Z1490">
        <v>0</v>
      </c>
      <c r="AA1490">
        <v>0</v>
      </c>
      <c r="AB1490">
        <v>0</v>
      </c>
      <c r="AC1490">
        <v>0</v>
      </c>
      <c r="AD1490">
        <v>4945</v>
      </c>
      <c r="AE1490">
        <v>0</v>
      </c>
      <c r="AF1490">
        <v>980</v>
      </c>
      <c r="AG1490">
        <v>0</v>
      </c>
      <c r="AH1490">
        <v>0</v>
      </c>
      <c r="AI1490">
        <v>0</v>
      </c>
      <c r="AJ1490">
        <v>0</v>
      </c>
      <c r="AK1490">
        <v>0</v>
      </c>
      <c r="AL1490">
        <v>0</v>
      </c>
      <c r="AM1490">
        <v>0</v>
      </c>
      <c r="AN1490">
        <v>0</v>
      </c>
      <c r="AO1490">
        <v>0</v>
      </c>
      <c r="AP1490">
        <v>1</v>
      </c>
      <c r="AQ1490">
        <v>0</v>
      </c>
      <c r="AR1490">
        <v>1</v>
      </c>
      <c r="AS1490">
        <v>0</v>
      </c>
      <c r="AT1490">
        <v>0</v>
      </c>
      <c r="AU1490">
        <f t="shared" si="44"/>
        <v>1</v>
      </c>
      <c r="AV1490">
        <f t="shared" si="45"/>
        <v>0</v>
      </c>
    </row>
    <row r="1491" spans="1:48" x14ac:dyDescent="0.25">
      <c r="A1491" t="s">
        <v>6152</v>
      </c>
      <c r="C1491" t="s">
        <v>6153</v>
      </c>
      <c r="D1491" t="s">
        <v>6154</v>
      </c>
      <c r="E1491" t="s">
        <v>2310</v>
      </c>
      <c r="F1491">
        <v>9</v>
      </c>
      <c r="G1491">
        <v>9.4</v>
      </c>
      <c r="H1491" t="s">
        <v>2323</v>
      </c>
      <c r="I1491" s="21">
        <v>38532</v>
      </c>
      <c r="J1491">
        <v>2005</v>
      </c>
      <c r="K1491" s="21">
        <v>38546</v>
      </c>
      <c r="L1491">
        <v>2005</v>
      </c>
      <c r="M1491" s="21">
        <v>39008</v>
      </c>
      <c r="N1491">
        <v>2006</v>
      </c>
      <c r="R1491" s="262">
        <v>1130000</v>
      </c>
      <c r="S1491" t="s">
        <v>114</v>
      </c>
      <c r="T1491" t="s">
        <v>114</v>
      </c>
      <c r="U1491">
        <v>5</v>
      </c>
      <c r="W1491">
        <v>4524</v>
      </c>
      <c r="X1491">
        <v>1</v>
      </c>
      <c r="Y1491">
        <v>0</v>
      </c>
      <c r="Z1491">
        <v>0</v>
      </c>
      <c r="AA1491">
        <v>0</v>
      </c>
      <c r="AB1491">
        <v>0</v>
      </c>
      <c r="AC1491">
        <v>4524</v>
      </c>
      <c r="AD1491">
        <v>0</v>
      </c>
      <c r="AE1491">
        <v>0</v>
      </c>
      <c r="AF1491">
        <v>0</v>
      </c>
      <c r="AG1491">
        <v>0</v>
      </c>
      <c r="AH1491">
        <v>0</v>
      </c>
      <c r="AI1491">
        <v>0</v>
      </c>
      <c r="AJ1491">
        <v>0</v>
      </c>
      <c r="AK1491">
        <v>0</v>
      </c>
      <c r="AL1491">
        <v>0</v>
      </c>
      <c r="AM1491">
        <v>0</v>
      </c>
      <c r="AN1491">
        <v>0</v>
      </c>
      <c r="AO1491">
        <v>1</v>
      </c>
      <c r="AP1491">
        <v>0</v>
      </c>
      <c r="AQ1491">
        <v>0</v>
      </c>
      <c r="AR1491">
        <v>0</v>
      </c>
      <c r="AS1491">
        <v>0</v>
      </c>
      <c r="AT1491">
        <v>0</v>
      </c>
      <c r="AU1491">
        <f t="shared" si="44"/>
        <v>1</v>
      </c>
      <c r="AV1491">
        <f t="shared" si="45"/>
        <v>0</v>
      </c>
    </row>
    <row r="1492" spans="1:48" x14ac:dyDescent="0.25">
      <c r="A1492" t="s">
        <v>6155</v>
      </c>
      <c r="C1492" t="s">
        <v>5984</v>
      </c>
      <c r="D1492" t="s">
        <v>6156</v>
      </c>
      <c r="E1492" t="s">
        <v>2310</v>
      </c>
      <c r="F1492">
        <v>11</v>
      </c>
      <c r="G1492">
        <v>11.2</v>
      </c>
      <c r="H1492" t="s">
        <v>2017</v>
      </c>
      <c r="I1492" s="21">
        <v>38532</v>
      </c>
      <c r="J1492">
        <v>2005</v>
      </c>
      <c r="K1492" s="21">
        <v>38558</v>
      </c>
      <c r="L1492">
        <v>2005</v>
      </c>
      <c r="M1492" s="21">
        <v>38952</v>
      </c>
      <c r="N1492">
        <v>2006</v>
      </c>
      <c r="R1492" s="262">
        <v>575000</v>
      </c>
      <c r="S1492" t="s">
        <v>114</v>
      </c>
      <c r="T1492" t="s">
        <v>114</v>
      </c>
      <c r="U1492">
        <v>5</v>
      </c>
      <c r="W1492">
        <v>2800</v>
      </c>
      <c r="X1492">
        <v>1</v>
      </c>
      <c r="Y1492">
        <v>0</v>
      </c>
      <c r="Z1492">
        <v>0</v>
      </c>
      <c r="AA1492">
        <v>0</v>
      </c>
      <c r="AB1492">
        <v>0</v>
      </c>
      <c r="AC1492">
        <v>2800</v>
      </c>
      <c r="AD1492">
        <v>0</v>
      </c>
      <c r="AE1492">
        <v>0</v>
      </c>
      <c r="AF1492">
        <v>0</v>
      </c>
      <c r="AG1492">
        <v>0</v>
      </c>
      <c r="AH1492">
        <v>0</v>
      </c>
      <c r="AI1492">
        <v>0</v>
      </c>
      <c r="AJ1492">
        <v>0</v>
      </c>
      <c r="AK1492">
        <v>0</v>
      </c>
      <c r="AL1492">
        <v>0</v>
      </c>
      <c r="AM1492">
        <v>0</v>
      </c>
      <c r="AN1492">
        <v>0</v>
      </c>
      <c r="AO1492">
        <v>1</v>
      </c>
      <c r="AP1492">
        <v>0</v>
      </c>
      <c r="AQ1492">
        <v>0</v>
      </c>
      <c r="AR1492">
        <v>0</v>
      </c>
      <c r="AS1492">
        <v>0</v>
      </c>
      <c r="AT1492">
        <v>0</v>
      </c>
      <c r="AU1492">
        <f t="shared" si="44"/>
        <v>1</v>
      </c>
      <c r="AV1492">
        <f t="shared" si="45"/>
        <v>0</v>
      </c>
    </row>
    <row r="1493" spans="1:48" x14ac:dyDescent="0.25">
      <c r="A1493" t="s">
        <v>6157</v>
      </c>
      <c r="C1493" t="s">
        <v>5909</v>
      </c>
      <c r="D1493" t="s">
        <v>6158</v>
      </c>
      <c r="E1493" t="s">
        <v>2310</v>
      </c>
      <c r="F1493">
        <v>11</v>
      </c>
      <c r="G1493">
        <v>11.2</v>
      </c>
      <c r="H1493" t="s">
        <v>2017</v>
      </c>
      <c r="I1493" s="21">
        <v>38532</v>
      </c>
      <c r="J1493">
        <v>2005</v>
      </c>
      <c r="K1493" s="21">
        <v>38558</v>
      </c>
      <c r="L1493">
        <v>2005</v>
      </c>
      <c r="M1493" s="21">
        <v>38888</v>
      </c>
      <c r="N1493">
        <v>2006</v>
      </c>
      <c r="R1493" s="262">
        <v>575000</v>
      </c>
      <c r="S1493" t="s">
        <v>114</v>
      </c>
      <c r="T1493" t="s">
        <v>114</v>
      </c>
      <c r="U1493">
        <v>5</v>
      </c>
      <c r="W1493">
        <v>2800</v>
      </c>
      <c r="X1493">
        <v>1</v>
      </c>
      <c r="Y1493">
        <v>0</v>
      </c>
      <c r="Z1493">
        <v>0</v>
      </c>
      <c r="AA1493">
        <v>0</v>
      </c>
      <c r="AB1493">
        <v>0</v>
      </c>
      <c r="AC1493">
        <v>2800</v>
      </c>
      <c r="AD1493">
        <v>0</v>
      </c>
      <c r="AE1493">
        <v>0</v>
      </c>
      <c r="AF1493">
        <v>0</v>
      </c>
      <c r="AG1493">
        <v>0</v>
      </c>
      <c r="AH1493">
        <v>0</v>
      </c>
      <c r="AI1493">
        <v>0</v>
      </c>
      <c r="AJ1493">
        <v>0</v>
      </c>
      <c r="AK1493">
        <v>0</v>
      </c>
      <c r="AL1493">
        <v>0</v>
      </c>
      <c r="AM1493">
        <v>0</v>
      </c>
      <c r="AN1493">
        <v>0</v>
      </c>
      <c r="AO1493">
        <v>1</v>
      </c>
      <c r="AP1493">
        <v>0</v>
      </c>
      <c r="AQ1493">
        <v>0</v>
      </c>
      <c r="AR1493">
        <v>0</v>
      </c>
      <c r="AS1493">
        <v>0</v>
      </c>
      <c r="AT1493">
        <v>0</v>
      </c>
      <c r="AU1493">
        <f t="shared" si="44"/>
        <v>1</v>
      </c>
      <c r="AV1493">
        <f t="shared" si="45"/>
        <v>0</v>
      </c>
    </row>
    <row r="1494" spans="1:48" x14ac:dyDescent="0.25">
      <c r="A1494" t="s">
        <v>6159</v>
      </c>
      <c r="C1494" t="s">
        <v>6160</v>
      </c>
      <c r="D1494" t="s">
        <v>6161</v>
      </c>
      <c r="E1494" t="s">
        <v>2310</v>
      </c>
      <c r="F1494">
        <v>12</v>
      </c>
      <c r="G1494">
        <v>12.3</v>
      </c>
      <c r="H1494" t="s">
        <v>2017</v>
      </c>
      <c r="I1494" s="21">
        <v>38533</v>
      </c>
      <c r="J1494">
        <v>2005</v>
      </c>
      <c r="K1494" s="21">
        <v>38539</v>
      </c>
      <c r="L1494">
        <v>2005</v>
      </c>
      <c r="M1494" s="21">
        <v>39318</v>
      </c>
      <c r="N1494">
        <v>2007</v>
      </c>
      <c r="R1494" s="262">
        <v>1200</v>
      </c>
      <c r="S1494" t="s">
        <v>114</v>
      </c>
      <c r="T1494" t="s">
        <v>114</v>
      </c>
      <c r="U1494">
        <v>5</v>
      </c>
      <c r="W1494">
        <v>0</v>
      </c>
      <c r="X1494">
        <v>0</v>
      </c>
      <c r="Y1494">
        <v>0</v>
      </c>
      <c r="Z1494">
        <v>0</v>
      </c>
      <c r="AA1494">
        <v>0</v>
      </c>
      <c r="AB1494">
        <v>0</v>
      </c>
      <c r="AC1494">
        <v>0</v>
      </c>
      <c r="AD1494">
        <v>0</v>
      </c>
      <c r="AE1494">
        <v>0</v>
      </c>
      <c r="AF1494">
        <v>0</v>
      </c>
      <c r="AG1494">
        <v>0</v>
      </c>
      <c r="AH1494">
        <v>0</v>
      </c>
      <c r="AI1494">
        <v>0</v>
      </c>
      <c r="AJ1494">
        <v>0</v>
      </c>
      <c r="AK1494">
        <v>0</v>
      </c>
      <c r="AL1494">
        <v>0</v>
      </c>
      <c r="AM1494">
        <v>0</v>
      </c>
      <c r="AN1494">
        <v>0</v>
      </c>
      <c r="AO1494">
        <v>0</v>
      </c>
      <c r="AP1494">
        <v>0</v>
      </c>
      <c r="AQ1494">
        <v>0</v>
      </c>
      <c r="AR1494">
        <v>0</v>
      </c>
      <c r="AS1494">
        <v>0</v>
      </c>
      <c r="AT1494">
        <v>0</v>
      </c>
      <c r="AU1494">
        <f t="shared" si="44"/>
        <v>0</v>
      </c>
      <c r="AV1494">
        <f t="shared" si="45"/>
        <v>0</v>
      </c>
    </row>
    <row r="1495" spans="1:48" x14ac:dyDescent="0.25">
      <c r="A1495" t="s">
        <v>6162</v>
      </c>
      <c r="C1495" t="s">
        <v>6163</v>
      </c>
      <c r="D1495" t="s">
        <v>6164</v>
      </c>
      <c r="E1495" t="s">
        <v>2310</v>
      </c>
      <c r="F1495">
        <v>9</v>
      </c>
      <c r="G1495">
        <v>9.1999999999999993</v>
      </c>
      <c r="H1495" t="s">
        <v>2022</v>
      </c>
      <c r="I1495" s="21">
        <v>38538</v>
      </c>
      <c r="J1495">
        <v>2005</v>
      </c>
      <c r="K1495" s="21">
        <v>38595</v>
      </c>
      <c r="L1495">
        <v>2005</v>
      </c>
      <c r="M1495" s="21">
        <v>39258</v>
      </c>
      <c r="N1495">
        <v>2007</v>
      </c>
      <c r="R1495" s="262">
        <v>2375000</v>
      </c>
      <c r="S1495" t="s">
        <v>114</v>
      </c>
      <c r="T1495" t="s">
        <v>114</v>
      </c>
      <c r="U1495">
        <v>5</v>
      </c>
      <c r="W1495">
        <v>8200</v>
      </c>
      <c r="X1495">
        <v>1</v>
      </c>
      <c r="Y1495">
        <v>0</v>
      </c>
      <c r="Z1495">
        <v>0</v>
      </c>
      <c r="AA1495">
        <v>0</v>
      </c>
      <c r="AB1495">
        <v>0</v>
      </c>
      <c r="AC1495">
        <v>8200</v>
      </c>
      <c r="AD1495">
        <v>0</v>
      </c>
      <c r="AE1495">
        <v>0</v>
      </c>
      <c r="AF1495">
        <v>0</v>
      </c>
      <c r="AG1495">
        <v>0</v>
      </c>
      <c r="AH1495">
        <v>0</v>
      </c>
      <c r="AI1495">
        <v>0</v>
      </c>
      <c r="AJ1495">
        <v>0</v>
      </c>
      <c r="AK1495">
        <v>0</v>
      </c>
      <c r="AL1495">
        <v>0</v>
      </c>
      <c r="AM1495">
        <v>0</v>
      </c>
      <c r="AN1495">
        <v>0</v>
      </c>
      <c r="AO1495">
        <v>1</v>
      </c>
      <c r="AP1495">
        <v>0</v>
      </c>
      <c r="AQ1495">
        <v>0</v>
      </c>
      <c r="AR1495">
        <v>0</v>
      </c>
      <c r="AS1495">
        <v>0</v>
      </c>
      <c r="AT1495">
        <v>0</v>
      </c>
      <c r="AU1495">
        <f t="shared" si="44"/>
        <v>1</v>
      </c>
      <c r="AV1495">
        <f t="shared" si="45"/>
        <v>0</v>
      </c>
    </row>
    <row r="1496" spans="1:48" x14ac:dyDescent="0.25">
      <c r="A1496" t="s">
        <v>6165</v>
      </c>
      <c r="C1496" t="s">
        <v>6166</v>
      </c>
      <c r="D1496" t="s">
        <v>6164</v>
      </c>
      <c r="E1496" t="s">
        <v>2310</v>
      </c>
      <c r="F1496">
        <v>9</v>
      </c>
      <c r="G1496">
        <v>9.1999999999999993</v>
      </c>
      <c r="H1496" t="s">
        <v>2022</v>
      </c>
      <c r="I1496" s="21">
        <v>38538</v>
      </c>
      <c r="J1496">
        <v>2005</v>
      </c>
      <c r="K1496" s="21">
        <v>38596</v>
      </c>
      <c r="L1496">
        <v>2005</v>
      </c>
      <c r="M1496" s="21">
        <v>39258</v>
      </c>
      <c r="N1496">
        <v>2007</v>
      </c>
      <c r="R1496" s="262">
        <v>262500</v>
      </c>
      <c r="S1496" t="s">
        <v>114</v>
      </c>
      <c r="T1496" t="s">
        <v>114</v>
      </c>
      <c r="U1496">
        <v>8</v>
      </c>
      <c r="W1496">
        <v>856</v>
      </c>
      <c r="X1496">
        <v>1</v>
      </c>
      <c r="Y1496">
        <v>0</v>
      </c>
      <c r="Z1496">
        <v>0</v>
      </c>
      <c r="AA1496">
        <v>0</v>
      </c>
      <c r="AB1496">
        <v>0</v>
      </c>
      <c r="AC1496">
        <v>0</v>
      </c>
      <c r="AD1496">
        <v>0</v>
      </c>
      <c r="AE1496">
        <v>0</v>
      </c>
      <c r="AF1496">
        <v>856</v>
      </c>
      <c r="AG1496">
        <v>0</v>
      </c>
      <c r="AH1496">
        <v>0</v>
      </c>
      <c r="AI1496">
        <v>0</v>
      </c>
      <c r="AJ1496">
        <v>0</v>
      </c>
      <c r="AK1496">
        <v>0</v>
      </c>
      <c r="AL1496">
        <v>0</v>
      </c>
      <c r="AM1496">
        <v>0</v>
      </c>
      <c r="AN1496">
        <v>0</v>
      </c>
      <c r="AO1496">
        <v>0</v>
      </c>
      <c r="AP1496">
        <v>0</v>
      </c>
      <c r="AQ1496">
        <v>0</v>
      </c>
      <c r="AR1496">
        <v>1</v>
      </c>
      <c r="AS1496">
        <v>0</v>
      </c>
      <c r="AT1496">
        <v>0</v>
      </c>
      <c r="AU1496">
        <f t="shared" si="44"/>
        <v>0</v>
      </c>
      <c r="AV1496">
        <f t="shared" si="45"/>
        <v>0</v>
      </c>
    </row>
    <row r="1497" spans="1:48" x14ac:dyDescent="0.25">
      <c r="A1497" t="s">
        <v>6167</v>
      </c>
      <c r="C1497" t="s">
        <v>2437</v>
      </c>
      <c r="D1497" t="s">
        <v>6164</v>
      </c>
      <c r="E1497" t="s">
        <v>2310</v>
      </c>
      <c r="F1497">
        <v>9</v>
      </c>
      <c r="G1497">
        <v>9.1999999999999993</v>
      </c>
      <c r="H1497" t="s">
        <v>2022</v>
      </c>
      <c r="I1497" s="21">
        <v>38538</v>
      </c>
      <c r="J1497">
        <v>2005</v>
      </c>
      <c r="K1497" s="21">
        <v>38596</v>
      </c>
      <c r="L1497">
        <v>2005</v>
      </c>
      <c r="M1497" s="21">
        <v>39258</v>
      </c>
      <c r="N1497">
        <v>2007</v>
      </c>
      <c r="R1497" s="262">
        <v>143000</v>
      </c>
      <c r="S1497" t="s">
        <v>114</v>
      </c>
      <c r="T1497" t="s">
        <v>114</v>
      </c>
      <c r="U1497">
        <v>5</v>
      </c>
      <c r="W1497">
        <v>935</v>
      </c>
      <c r="X1497">
        <v>0</v>
      </c>
      <c r="Y1497">
        <v>0</v>
      </c>
      <c r="Z1497">
        <v>0</v>
      </c>
      <c r="AA1497">
        <v>0</v>
      </c>
      <c r="AB1497">
        <v>0</v>
      </c>
      <c r="AC1497">
        <v>935</v>
      </c>
      <c r="AD1497">
        <v>0</v>
      </c>
      <c r="AE1497">
        <v>0</v>
      </c>
      <c r="AF1497">
        <v>0</v>
      </c>
      <c r="AG1497">
        <v>0</v>
      </c>
      <c r="AH1497">
        <v>0</v>
      </c>
      <c r="AI1497">
        <v>0</v>
      </c>
      <c r="AJ1497">
        <v>0</v>
      </c>
      <c r="AK1497">
        <v>0</v>
      </c>
      <c r="AL1497">
        <v>0</v>
      </c>
      <c r="AM1497">
        <v>0</v>
      </c>
      <c r="AN1497">
        <v>0</v>
      </c>
      <c r="AO1497">
        <v>0</v>
      </c>
      <c r="AP1497">
        <v>0</v>
      </c>
      <c r="AQ1497">
        <v>0</v>
      </c>
      <c r="AR1497">
        <v>0</v>
      </c>
      <c r="AS1497">
        <v>0</v>
      </c>
      <c r="AT1497">
        <v>0</v>
      </c>
      <c r="AU1497">
        <f t="shared" ref="AU1497:AU1560" si="46">SUM(AN1497:AQ1497,AS1497)</f>
        <v>0</v>
      </c>
      <c r="AV1497">
        <f t="shared" ref="AV1497:AV1560" si="47">SUM(Y1497:AB1497,AH1497:AM1497)</f>
        <v>0</v>
      </c>
    </row>
    <row r="1498" spans="1:48" x14ac:dyDescent="0.25">
      <c r="A1498" t="s">
        <v>6168</v>
      </c>
      <c r="C1498" t="s">
        <v>6169</v>
      </c>
      <c r="D1498" t="s">
        <v>6170</v>
      </c>
      <c r="E1498" t="s">
        <v>2310</v>
      </c>
      <c r="F1498">
        <v>8</v>
      </c>
      <c r="G1498">
        <v>8.1999999999999993</v>
      </c>
      <c r="H1498" t="s">
        <v>2022</v>
      </c>
      <c r="I1498" s="21">
        <v>38538</v>
      </c>
      <c r="J1498">
        <v>2005</v>
      </c>
      <c r="K1498" s="21">
        <v>38540</v>
      </c>
      <c r="L1498">
        <v>2005</v>
      </c>
      <c r="M1498" s="21">
        <v>39162</v>
      </c>
      <c r="N1498">
        <v>2007</v>
      </c>
      <c r="R1498" s="262">
        <v>300000</v>
      </c>
      <c r="S1498" t="s">
        <v>114</v>
      </c>
      <c r="T1498" t="s">
        <v>114</v>
      </c>
      <c r="U1498">
        <v>5</v>
      </c>
      <c r="W1498">
        <v>0</v>
      </c>
      <c r="X1498">
        <v>0</v>
      </c>
      <c r="Y1498">
        <v>0</v>
      </c>
      <c r="Z1498">
        <v>0</v>
      </c>
      <c r="AA1498">
        <v>0</v>
      </c>
      <c r="AB1498">
        <v>0</v>
      </c>
      <c r="AC1498">
        <v>0</v>
      </c>
      <c r="AD1498">
        <v>0</v>
      </c>
      <c r="AE1498">
        <v>0</v>
      </c>
      <c r="AF1498">
        <v>0</v>
      </c>
      <c r="AG1498">
        <v>0</v>
      </c>
      <c r="AH1498">
        <v>0</v>
      </c>
      <c r="AI1498">
        <v>0</v>
      </c>
      <c r="AJ1498">
        <v>0</v>
      </c>
      <c r="AK1498">
        <v>0</v>
      </c>
      <c r="AL1498">
        <v>0</v>
      </c>
      <c r="AM1498">
        <v>0</v>
      </c>
      <c r="AN1498">
        <v>0</v>
      </c>
      <c r="AO1498">
        <v>0</v>
      </c>
      <c r="AP1498">
        <v>0</v>
      </c>
      <c r="AQ1498">
        <v>0</v>
      </c>
      <c r="AR1498">
        <v>0</v>
      </c>
      <c r="AS1498">
        <v>0</v>
      </c>
      <c r="AT1498">
        <v>0</v>
      </c>
      <c r="AU1498">
        <f t="shared" si="46"/>
        <v>0</v>
      </c>
      <c r="AV1498">
        <f t="shared" si="47"/>
        <v>0</v>
      </c>
    </row>
    <row r="1499" spans="1:48" x14ac:dyDescent="0.25">
      <c r="A1499" t="s">
        <v>6171</v>
      </c>
      <c r="C1499" t="s">
        <v>6172</v>
      </c>
      <c r="D1499" t="s">
        <v>6173</v>
      </c>
      <c r="E1499" t="s">
        <v>2310</v>
      </c>
      <c r="F1499">
        <v>9</v>
      </c>
      <c r="G1499">
        <v>9.3000000000000007</v>
      </c>
      <c r="H1499" t="s">
        <v>2323</v>
      </c>
      <c r="I1499" s="21">
        <v>38539</v>
      </c>
      <c r="J1499">
        <v>2005</v>
      </c>
      <c r="K1499" s="21">
        <v>38611</v>
      </c>
      <c r="L1499">
        <v>2005</v>
      </c>
      <c r="M1499" s="21">
        <v>38611</v>
      </c>
      <c r="N1499">
        <v>2005</v>
      </c>
      <c r="R1499" s="262">
        <v>600000</v>
      </c>
      <c r="S1499" t="s">
        <v>114</v>
      </c>
      <c r="T1499" t="s">
        <v>114</v>
      </c>
      <c r="U1499">
        <v>5</v>
      </c>
      <c r="W1499">
        <v>4845</v>
      </c>
      <c r="X1499">
        <v>1</v>
      </c>
      <c r="Y1499">
        <v>0</v>
      </c>
      <c r="Z1499">
        <v>0</v>
      </c>
      <c r="AA1499">
        <v>0</v>
      </c>
      <c r="AB1499">
        <v>0</v>
      </c>
      <c r="AC1499">
        <v>4845</v>
      </c>
      <c r="AD1499">
        <v>0</v>
      </c>
      <c r="AE1499">
        <v>0</v>
      </c>
      <c r="AF1499">
        <v>0</v>
      </c>
      <c r="AG1499">
        <v>0</v>
      </c>
      <c r="AH1499">
        <v>0</v>
      </c>
      <c r="AI1499">
        <v>0</v>
      </c>
      <c r="AJ1499">
        <v>0</v>
      </c>
      <c r="AK1499">
        <v>0</v>
      </c>
      <c r="AL1499">
        <v>0</v>
      </c>
      <c r="AM1499">
        <v>0</v>
      </c>
      <c r="AN1499">
        <v>0</v>
      </c>
      <c r="AO1499">
        <v>1</v>
      </c>
      <c r="AP1499">
        <v>0</v>
      </c>
      <c r="AQ1499">
        <v>0</v>
      </c>
      <c r="AR1499">
        <v>0</v>
      </c>
      <c r="AS1499">
        <v>0</v>
      </c>
      <c r="AT1499">
        <v>0</v>
      </c>
      <c r="AU1499">
        <f t="shared" si="46"/>
        <v>1</v>
      </c>
      <c r="AV1499">
        <f t="shared" si="47"/>
        <v>0</v>
      </c>
    </row>
    <row r="1500" spans="1:48" x14ac:dyDescent="0.25">
      <c r="A1500" t="s">
        <v>6174</v>
      </c>
      <c r="C1500" t="s">
        <v>6175</v>
      </c>
      <c r="D1500" t="s">
        <v>3362</v>
      </c>
      <c r="E1500" t="s">
        <v>2310</v>
      </c>
      <c r="F1500">
        <v>4</v>
      </c>
      <c r="G1500">
        <v>4.0999999999999996</v>
      </c>
      <c r="H1500" t="s">
        <v>2327</v>
      </c>
      <c r="I1500" s="21">
        <v>38544</v>
      </c>
      <c r="J1500">
        <v>2005</v>
      </c>
      <c r="M1500" s="21">
        <v>38982</v>
      </c>
      <c r="N1500">
        <v>2006</v>
      </c>
      <c r="R1500" s="262">
        <v>60000</v>
      </c>
      <c r="S1500" t="s">
        <v>114</v>
      </c>
      <c r="T1500" t="s">
        <v>114</v>
      </c>
      <c r="U1500">
        <v>10</v>
      </c>
      <c r="W1500">
        <v>0</v>
      </c>
      <c r="X1500">
        <v>0</v>
      </c>
      <c r="Y1500">
        <v>0</v>
      </c>
      <c r="Z1500">
        <v>0</v>
      </c>
      <c r="AA1500">
        <v>0</v>
      </c>
      <c r="AB1500">
        <v>0</v>
      </c>
      <c r="AC1500">
        <v>0</v>
      </c>
      <c r="AD1500">
        <v>0</v>
      </c>
      <c r="AE1500">
        <v>0</v>
      </c>
      <c r="AF1500">
        <v>0</v>
      </c>
      <c r="AG1500">
        <v>0</v>
      </c>
      <c r="AH1500">
        <v>0</v>
      </c>
      <c r="AI1500">
        <v>0</v>
      </c>
      <c r="AJ1500">
        <v>0</v>
      </c>
      <c r="AK1500">
        <v>0</v>
      </c>
      <c r="AL1500">
        <v>0</v>
      </c>
      <c r="AM1500">
        <v>0</v>
      </c>
      <c r="AN1500">
        <v>0</v>
      </c>
      <c r="AO1500">
        <v>0</v>
      </c>
      <c r="AP1500">
        <v>0</v>
      </c>
      <c r="AQ1500">
        <v>0</v>
      </c>
      <c r="AR1500">
        <v>0</v>
      </c>
      <c r="AS1500">
        <v>0</v>
      </c>
      <c r="AT1500">
        <v>0</v>
      </c>
      <c r="AU1500">
        <f t="shared" si="46"/>
        <v>0</v>
      </c>
      <c r="AV1500">
        <f t="shared" si="47"/>
        <v>0</v>
      </c>
    </row>
    <row r="1501" spans="1:48" x14ac:dyDescent="0.25">
      <c r="A1501" t="s">
        <v>6176</v>
      </c>
      <c r="C1501" t="s">
        <v>3509</v>
      </c>
      <c r="D1501" t="s">
        <v>6066</v>
      </c>
      <c r="E1501" t="s">
        <v>2310</v>
      </c>
      <c r="F1501">
        <v>9</v>
      </c>
      <c r="G1501">
        <v>9.1</v>
      </c>
      <c r="H1501" t="s">
        <v>2323</v>
      </c>
      <c r="I1501" s="21">
        <v>38544</v>
      </c>
      <c r="J1501">
        <v>2005</v>
      </c>
      <c r="K1501" s="21">
        <v>38640</v>
      </c>
      <c r="L1501">
        <v>2005</v>
      </c>
      <c r="M1501" s="21">
        <v>38870</v>
      </c>
      <c r="N1501">
        <v>2006</v>
      </c>
      <c r="R1501" s="262">
        <v>290000</v>
      </c>
      <c r="S1501" t="s">
        <v>114</v>
      </c>
      <c r="T1501" t="s">
        <v>114</v>
      </c>
      <c r="U1501">
        <v>5</v>
      </c>
      <c r="W1501">
        <v>3985</v>
      </c>
      <c r="X1501">
        <v>1</v>
      </c>
      <c r="Y1501">
        <v>0</v>
      </c>
      <c r="Z1501">
        <v>0</v>
      </c>
      <c r="AA1501">
        <v>0</v>
      </c>
      <c r="AB1501">
        <v>0</v>
      </c>
      <c r="AC1501">
        <v>3985</v>
      </c>
      <c r="AD1501">
        <v>0</v>
      </c>
      <c r="AE1501">
        <v>0</v>
      </c>
      <c r="AF1501">
        <v>0</v>
      </c>
      <c r="AG1501">
        <v>0</v>
      </c>
      <c r="AH1501">
        <v>0</v>
      </c>
      <c r="AI1501">
        <v>0</v>
      </c>
      <c r="AJ1501">
        <v>0</v>
      </c>
      <c r="AK1501">
        <v>0</v>
      </c>
      <c r="AL1501">
        <v>0</v>
      </c>
      <c r="AM1501">
        <v>0</v>
      </c>
      <c r="AN1501">
        <v>0</v>
      </c>
      <c r="AO1501">
        <v>1</v>
      </c>
      <c r="AP1501">
        <v>0</v>
      </c>
      <c r="AQ1501">
        <v>0</v>
      </c>
      <c r="AR1501">
        <v>0</v>
      </c>
      <c r="AS1501">
        <v>0</v>
      </c>
      <c r="AT1501">
        <v>0</v>
      </c>
      <c r="AU1501">
        <f t="shared" si="46"/>
        <v>1</v>
      </c>
      <c r="AV1501">
        <f t="shared" si="47"/>
        <v>0</v>
      </c>
    </row>
    <row r="1502" spans="1:48" x14ac:dyDescent="0.25">
      <c r="A1502" t="s">
        <v>6177</v>
      </c>
      <c r="C1502" t="s">
        <v>6178</v>
      </c>
      <c r="D1502" t="s">
        <v>5710</v>
      </c>
      <c r="E1502" t="s">
        <v>2310</v>
      </c>
      <c r="F1502">
        <v>10</v>
      </c>
      <c r="G1502">
        <v>10.1</v>
      </c>
      <c r="H1502" t="s">
        <v>2323</v>
      </c>
      <c r="I1502" s="21">
        <v>38545</v>
      </c>
      <c r="J1502">
        <v>2005</v>
      </c>
      <c r="K1502" s="21">
        <v>38604</v>
      </c>
      <c r="L1502">
        <v>2005</v>
      </c>
      <c r="M1502" s="21">
        <v>38804</v>
      </c>
      <c r="N1502">
        <v>2006</v>
      </c>
      <c r="R1502" s="262">
        <v>35000</v>
      </c>
      <c r="S1502" t="s">
        <v>114</v>
      </c>
      <c r="T1502" t="s">
        <v>114</v>
      </c>
      <c r="U1502">
        <v>5</v>
      </c>
      <c r="W1502">
        <v>864</v>
      </c>
      <c r="X1502">
        <v>0</v>
      </c>
      <c r="Y1502">
        <v>0</v>
      </c>
      <c r="Z1502">
        <v>0</v>
      </c>
      <c r="AA1502">
        <v>0</v>
      </c>
      <c r="AB1502">
        <v>0</v>
      </c>
      <c r="AC1502">
        <v>864</v>
      </c>
      <c r="AD1502">
        <v>0</v>
      </c>
      <c r="AE1502">
        <v>0</v>
      </c>
      <c r="AF1502">
        <v>0</v>
      </c>
      <c r="AG1502">
        <v>0</v>
      </c>
      <c r="AH1502">
        <v>0</v>
      </c>
      <c r="AI1502">
        <v>0</v>
      </c>
      <c r="AJ1502">
        <v>0</v>
      </c>
      <c r="AK1502">
        <v>0</v>
      </c>
      <c r="AL1502">
        <v>0</v>
      </c>
      <c r="AM1502">
        <v>0</v>
      </c>
      <c r="AN1502">
        <v>0</v>
      </c>
      <c r="AO1502">
        <v>0</v>
      </c>
      <c r="AP1502">
        <v>0</v>
      </c>
      <c r="AQ1502">
        <v>0</v>
      </c>
      <c r="AR1502">
        <v>0</v>
      </c>
      <c r="AS1502">
        <v>0</v>
      </c>
      <c r="AT1502">
        <v>0</v>
      </c>
      <c r="AU1502">
        <f t="shared" si="46"/>
        <v>0</v>
      </c>
      <c r="AV1502">
        <f t="shared" si="47"/>
        <v>0</v>
      </c>
    </row>
    <row r="1503" spans="1:48" x14ac:dyDescent="0.25">
      <c r="A1503" t="s">
        <v>6179</v>
      </c>
      <c r="C1503" t="s">
        <v>6180</v>
      </c>
      <c r="D1503" t="s">
        <v>3466</v>
      </c>
      <c r="E1503" t="s">
        <v>1663</v>
      </c>
      <c r="F1503">
        <v>6</v>
      </c>
      <c r="G1503">
        <v>6.1</v>
      </c>
      <c r="H1503" t="s">
        <v>2017</v>
      </c>
      <c r="I1503" s="21">
        <v>38546</v>
      </c>
      <c r="J1503">
        <v>2005</v>
      </c>
      <c r="K1503" s="21">
        <v>38577</v>
      </c>
      <c r="L1503">
        <v>2005</v>
      </c>
      <c r="M1503" s="21">
        <v>38730</v>
      </c>
      <c r="N1503">
        <v>2006</v>
      </c>
      <c r="Q1503" s="262">
        <v>0</v>
      </c>
      <c r="S1503" t="s">
        <v>114</v>
      </c>
      <c r="T1503" t="s">
        <v>114</v>
      </c>
      <c r="W1503">
        <v>2064</v>
      </c>
      <c r="X1503">
        <v>1</v>
      </c>
      <c r="Y1503">
        <v>0</v>
      </c>
      <c r="Z1503">
        <v>0</v>
      </c>
      <c r="AA1503">
        <v>0</v>
      </c>
      <c r="AB1503">
        <v>0</v>
      </c>
      <c r="AC1503">
        <v>2064</v>
      </c>
      <c r="AD1503">
        <v>0</v>
      </c>
      <c r="AE1503">
        <v>0</v>
      </c>
      <c r="AF1503">
        <v>0</v>
      </c>
      <c r="AG1503">
        <v>0</v>
      </c>
      <c r="AH1503">
        <v>0</v>
      </c>
      <c r="AI1503">
        <v>0</v>
      </c>
      <c r="AJ1503">
        <v>0</v>
      </c>
      <c r="AK1503">
        <v>0</v>
      </c>
      <c r="AL1503">
        <v>0</v>
      </c>
      <c r="AM1503">
        <v>0</v>
      </c>
      <c r="AN1503">
        <v>0</v>
      </c>
      <c r="AO1503">
        <v>1</v>
      </c>
      <c r="AP1503">
        <v>0</v>
      </c>
      <c r="AQ1503">
        <v>0</v>
      </c>
      <c r="AR1503">
        <v>0</v>
      </c>
      <c r="AS1503">
        <v>0</v>
      </c>
      <c r="AT1503">
        <v>0</v>
      </c>
      <c r="AU1503">
        <f t="shared" si="46"/>
        <v>1</v>
      </c>
      <c r="AV1503">
        <f t="shared" si="47"/>
        <v>0</v>
      </c>
    </row>
    <row r="1504" spans="1:48" x14ac:dyDescent="0.25">
      <c r="A1504" t="s">
        <v>6181</v>
      </c>
      <c r="C1504" t="s">
        <v>6182</v>
      </c>
      <c r="D1504" t="s">
        <v>3577</v>
      </c>
      <c r="E1504" t="s">
        <v>2310</v>
      </c>
      <c r="F1504">
        <v>10</v>
      </c>
      <c r="G1504">
        <v>10.1</v>
      </c>
      <c r="H1504" t="s">
        <v>2323</v>
      </c>
      <c r="I1504" s="21">
        <v>38546</v>
      </c>
      <c r="J1504">
        <v>2005</v>
      </c>
      <c r="K1504" s="21">
        <v>38562</v>
      </c>
      <c r="L1504">
        <v>2005</v>
      </c>
      <c r="M1504" s="21">
        <v>38562</v>
      </c>
      <c r="N1504">
        <v>2005</v>
      </c>
      <c r="R1504" s="262">
        <v>6000</v>
      </c>
      <c r="S1504" t="s">
        <v>114</v>
      </c>
      <c r="T1504" t="s">
        <v>114</v>
      </c>
      <c r="U1504">
        <v>5</v>
      </c>
      <c r="W1504">
        <v>0</v>
      </c>
      <c r="X1504">
        <v>0</v>
      </c>
      <c r="Y1504">
        <v>0</v>
      </c>
      <c r="Z1504">
        <v>0</v>
      </c>
      <c r="AA1504">
        <v>0</v>
      </c>
      <c r="AB1504">
        <v>0</v>
      </c>
      <c r="AC1504">
        <v>0</v>
      </c>
      <c r="AD1504">
        <v>0</v>
      </c>
      <c r="AE1504">
        <v>0</v>
      </c>
      <c r="AF1504">
        <v>0</v>
      </c>
      <c r="AG1504">
        <v>0</v>
      </c>
      <c r="AH1504">
        <v>0</v>
      </c>
      <c r="AI1504">
        <v>0</v>
      </c>
      <c r="AJ1504">
        <v>0</v>
      </c>
      <c r="AK1504">
        <v>0</v>
      </c>
      <c r="AL1504">
        <v>0</v>
      </c>
      <c r="AM1504">
        <v>0</v>
      </c>
      <c r="AN1504">
        <v>0</v>
      </c>
      <c r="AO1504">
        <v>0</v>
      </c>
      <c r="AP1504">
        <v>0</v>
      </c>
      <c r="AQ1504">
        <v>0</v>
      </c>
      <c r="AR1504">
        <v>0</v>
      </c>
      <c r="AS1504">
        <v>0</v>
      </c>
      <c r="AT1504">
        <v>0</v>
      </c>
      <c r="AU1504">
        <f t="shared" si="46"/>
        <v>0</v>
      </c>
      <c r="AV1504">
        <f t="shared" si="47"/>
        <v>0</v>
      </c>
    </row>
    <row r="1505" spans="1:48" x14ac:dyDescent="0.25">
      <c r="A1505" t="s">
        <v>6183</v>
      </c>
      <c r="C1505" t="s">
        <v>6184</v>
      </c>
      <c r="D1505" t="s">
        <v>6185</v>
      </c>
      <c r="E1505" t="s">
        <v>2310</v>
      </c>
      <c r="F1505">
        <v>9</v>
      </c>
      <c r="G1505">
        <v>9.4</v>
      </c>
      <c r="H1505" t="s">
        <v>2323</v>
      </c>
      <c r="I1505" s="21">
        <v>38546</v>
      </c>
      <c r="J1505">
        <v>2005</v>
      </c>
      <c r="K1505" s="21">
        <v>38573</v>
      </c>
      <c r="L1505">
        <v>2005</v>
      </c>
      <c r="M1505" s="21">
        <v>40213.658564814803</v>
      </c>
      <c r="N1505">
        <v>2010</v>
      </c>
      <c r="R1505" s="262">
        <v>3200000</v>
      </c>
      <c r="S1505" t="s">
        <v>114</v>
      </c>
      <c r="T1505" t="s">
        <v>114</v>
      </c>
      <c r="U1505">
        <v>5</v>
      </c>
      <c r="W1505">
        <v>10246</v>
      </c>
      <c r="X1505">
        <v>1</v>
      </c>
      <c r="Y1505">
        <v>0</v>
      </c>
      <c r="Z1505">
        <v>0</v>
      </c>
      <c r="AA1505">
        <v>0</v>
      </c>
      <c r="AB1505">
        <v>0</v>
      </c>
      <c r="AC1505">
        <v>10246</v>
      </c>
      <c r="AD1505">
        <v>0</v>
      </c>
      <c r="AE1505">
        <v>0</v>
      </c>
      <c r="AF1505">
        <v>0</v>
      </c>
      <c r="AG1505">
        <v>0</v>
      </c>
      <c r="AH1505">
        <v>0</v>
      </c>
      <c r="AI1505">
        <v>0</v>
      </c>
      <c r="AJ1505">
        <v>0</v>
      </c>
      <c r="AK1505">
        <v>0</v>
      </c>
      <c r="AL1505">
        <v>0</v>
      </c>
      <c r="AM1505">
        <v>0</v>
      </c>
      <c r="AN1505">
        <v>0</v>
      </c>
      <c r="AO1505">
        <v>1</v>
      </c>
      <c r="AP1505">
        <v>0</v>
      </c>
      <c r="AQ1505">
        <v>0</v>
      </c>
      <c r="AR1505">
        <v>0</v>
      </c>
      <c r="AS1505">
        <v>0</v>
      </c>
      <c r="AT1505">
        <v>0</v>
      </c>
      <c r="AU1505">
        <f t="shared" si="46"/>
        <v>1</v>
      </c>
      <c r="AV1505">
        <f t="shared" si="47"/>
        <v>0</v>
      </c>
    </row>
    <row r="1506" spans="1:48" x14ac:dyDescent="0.25">
      <c r="A1506" t="s">
        <v>6186</v>
      </c>
      <c r="C1506" t="s">
        <v>6187</v>
      </c>
      <c r="D1506" t="s">
        <v>6188</v>
      </c>
      <c r="E1506" t="s">
        <v>2310</v>
      </c>
      <c r="F1506">
        <v>10</v>
      </c>
      <c r="G1506">
        <v>10.1</v>
      </c>
      <c r="H1506" t="s">
        <v>2323</v>
      </c>
      <c r="I1506" s="21">
        <v>38547</v>
      </c>
      <c r="J1506">
        <v>2005</v>
      </c>
      <c r="K1506" s="21">
        <v>38551</v>
      </c>
      <c r="L1506">
        <v>2005</v>
      </c>
      <c r="M1506" s="21">
        <v>39035</v>
      </c>
      <c r="N1506">
        <v>2006</v>
      </c>
      <c r="R1506" s="262">
        <v>22800</v>
      </c>
      <c r="S1506" t="s">
        <v>114</v>
      </c>
      <c r="T1506" t="s">
        <v>114</v>
      </c>
      <c r="U1506">
        <v>5</v>
      </c>
      <c r="W1506">
        <v>60</v>
      </c>
      <c r="X1506">
        <v>0</v>
      </c>
      <c r="Y1506">
        <v>0</v>
      </c>
      <c r="Z1506">
        <v>0</v>
      </c>
      <c r="AA1506">
        <v>0</v>
      </c>
      <c r="AB1506">
        <v>0</v>
      </c>
      <c r="AC1506">
        <v>60</v>
      </c>
      <c r="AD1506">
        <v>0</v>
      </c>
      <c r="AE1506">
        <v>0</v>
      </c>
      <c r="AF1506">
        <v>0</v>
      </c>
      <c r="AG1506">
        <v>0</v>
      </c>
      <c r="AH1506">
        <v>0</v>
      </c>
      <c r="AI1506">
        <v>0</v>
      </c>
      <c r="AJ1506">
        <v>0</v>
      </c>
      <c r="AK1506">
        <v>0</v>
      </c>
      <c r="AL1506">
        <v>0</v>
      </c>
      <c r="AM1506">
        <v>0</v>
      </c>
      <c r="AN1506">
        <v>0</v>
      </c>
      <c r="AO1506">
        <v>0</v>
      </c>
      <c r="AP1506">
        <v>0</v>
      </c>
      <c r="AQ1506">
        <v>0</v>
      </c>
      <c r="AR1506">
        <v>0</v>
      </c>
      <c r="AS1506">
        <v>0</v>
      </c>
      <c r="AT1506">
        <v>0</v>
      </c>
      <c r="AU1506">
        <f t="shared" si="46"/>
        <v>0</v>
      </c>
      <c r="AV1506">
        <f t="shared" si="47"/>
        <v>0</v>
      </c>
    </row>
    <row r="1507" spans="1:48" x14ac:dyDescent="0.25">
      <c r="A1507" t="s">
        <v>6189</v>
      </c>
      <c r="C1507" t="s">
        <v>6190</v>
      </c>
      <c r="D1507" t="s">
        <v>6191</v>
      </c>
      <c r="E1507" t="s">
        <v>2310</v>
      </c>
      <c r="F1507">
        <v>15</v>
      </c>
      <c r="G1507">
        <v>15.4</v>
      </c>
      <c r="H1507" t="s">
        <v>2323</v>
      </c>
      <c r="I1507" s="21">
        <v>38551</v>
      </c>
      <c r="J1507">
        <v>2005</v>
      </c>
      <c r="K1507" s="21">
        <v>38597</v>
      </c>
      <c r="L1507">
        <v>2005</v>
      </c>
      <c r="M1507" s="21">
        <v>39805</v>
      </c>
      <c r="N1507">
        <v>2008</v>
      </c>
      <c r="R1507" s="262">
        <v>161000</v>
      </c>
      <c r="S1507" t="s">
        <v>114</v>
      </c>
      <c r="T1507" t="s">
        <v>114</v>
      </c>
      <c r="U1507">
        <v>5</v>
      </c>
      <c r="W1507">
        <v>1766</v>
      </c>
      <c r="X1507">
        <v>0</v>
      </c>
      <c r="Y1507">
        <v>0</v>
      </c>
      <c r="Z1507">
        <v>0</v>
      </c>
      <c r="AA1507">
        <v>0</v>
      </c>
      <c r="AB1507">
        <v>0</v>
      </c>
      <c r="AC1507">
        <v>1766</v>
      </c>
      <c r="AD1507">
        <v>0</v>
      </c>
      <c r="AE1507">
        <v>0</v>
      </c>
      <c r="AF1507">
        <v>0</v>
      </c>
      <c r="AG1507">
        <v>0</v>
      </c>
      <c r="AH1507">
        <v>0</v>
      </c>
      <c r="AI1507">
        <v>0</v>
      </c>
      <c r="AJ1507">
        <v>0</v>
      </c>
      <c r="AK1507">
        <v>0</v>
      </c>
      <c r="AL1507">
        <v>0</v>
      </c>
      <c r="AM1507">
        <v>0</v>
      </c>
      <c r="AN1507">
        <v>0</v>
      </c>
      <c r="AO1507">
        <v>0</v>
      </c>
      <c r="AP1507">
        <v>0</v>
      </c>
      <c r="AQ1507">
        <v>0</v>
      </c>
      <c r="AR1507">
        <v>0</v>
      </c>
      <c r="AS1507">
        <v>0</v>
      </c>
      <c r="AT1507">
        <v>0</v>
      </c>
      <c r="AU1507">
        <f t="shared" si="46"/>
        <v>0</v>
      </c>
      <c r="AV1507">
        <f t="shared" si="47"/>
        <v>0</v>
      </c>
    </row>
    <row r="1508" spans="1:48" x14ac:dyDescent="0.25">
      <c r="A1508" t="s">
        <v>6192</v>
      </c>
      <c r="C1508" t="s">
        <v>6193</v>
      </c>
      <c r="D1508" t="s">
        <v>6194</v>
      </c>
      <c r="E1508" t="s">
        <v>2310</v>
      </c>
      <c r="F1508">
        <v>14</v>
      </c>
      <c r="G1508">
        <v>14.1</v>
      </c>
      <c r="H1508" t="s">
        <v>2022</v>
      </c>
      <c r="I1508" s="21">
        <v>38551</v>
      </c>
      <c r="J1508">
        <v>2005</v>
      </c>
      <c r="K1508" s="21">
        <v>38589</v>
      </c>
      <c r="L1508">
        <v>2005</v>
      </c>
      <c r="M1508" s="21">
        <v>39008</v>
      </c>
      <c r="N1508">
        <v>2006</v>
      </c>
      <c r="R1508" s="262">
        <v>400000</v>
      </c>
      <c r="S1508" t="s">
        <v>114</v>
      </c>
      <c r="T1508" t="s">
        <v>114</v>
      </c>
      <c r="U1508">
        <v>5</v>
      </c>
      <c r="W1508">
        <v>4251</v>
      </c>
      <c r="X1508">
        <v>1</v>
      </c>
      <c r="Y1508">
        <v>0</v>
      </c>
      <c r="Z1508">
        <v>0</v>
      </c>
      <c r="AA1508">
        <v>0</v>
      </c>
      <c r="AB1508">
        <v>0</v>
      </c>
      <c r="AC1508">
        <v>4251</v>
      </c>
      <c r="AD1508">
        <v>0</v>
      </c>
      <c r="AE1508">
        <v>0</v>
      </c>
      <c r="AF1508">
        <v>0</v>
      </c>
      <c r="AG1508">
        <v>0</v>
      </c>
      <c r="AH1508">
        <v>0</v>
      </c>
      <c r="AI1508">
        <v>0</v>
      </c>
      <c r="AJ1508">
        <v>0</v>
      </c>
      <c r="AK1508">
        <v>0</v>
      </c>
      <c r="AL1508">
        <v>0</v>
      </c>
      <c r="AM1508">
        <v>0</v>
      </c>
      <c r="AN1508">
        <v>0</v>
      </c>
      <c r="AO1508">
        <v>1</v>
      </c>
      <c r="AP1508">
        <v>0</v>
      </c>
      <c r="AQ1508">
        <v>0</v>
      </c>
      <c r="AR1508">
        <v>0</v>
      </c>
      <c r="AS1508">
        <v>0</v>
      </c>
      <c r="AT1508">
        <v>0</v>
      </c>
      <c r="AU1508">
        <f t="shared" si="46"/>
        <v>1</v>
      </c>
      <c r="AV1508">
        <f t="shared" si="47"/>
        <v>0</v>
      </c>
    </row>
    <row r="1509" spans="1:48" x14ac:dyDescent="0.25">
      <c r="A1509" t="s">
        <v>6195</v>
      </c>
      <c r="C1509" t="s">
        <v>6047</v>
      </c>
      <c r="D1509" t="s">
        <v>6196</v>
      </c>
      <c r="E1509" t="s">
        <v>2310</v>
      </c>
      <c r="F1509">
        <v>10</v>
      </c>
      <c r="G1509">
        <v>10.1</v>
      </c>
      <c r="H1509" t="s">
        <v>2323</v>
      </c>
      <c r="I1509" s="21">
        <v>38552</v>
      </c>
      <c r="J1509">
        <v>2005</v>
      </c>
      <c r="K1509" s="21">
        <v>38597</v>
      </c>
      <c r="L1509">
        <v>2005</v>
      </c>
      <c r="M1509" s="21">
        <v>38912</v>
      </c>
      <c r="N1509">
        <v>2006</v>
      </c>
      <c r="R1509" s="262">
        <v>300000</v>
      </c>
      <c r="S1509" t="s">
        <v>114</v>
      </c>
      <c r="T1509" t="s">
        <v>114</v>
      </c>
      <c r="U1509">
        <v>5</v>
      </c>
      <c r="W1509">
        <v>3055</v>
      </c>
      <c r="X1509">
        <v>1</v>
      </c>
      <c r="Y1509">
        <v>0</v>
      </c>
      <c r="Z1509">
        <v>0</v>
      </c>
      <c r="AA1509">
        <v>0</v>
      </c>
      <c r="AB1509">
        <v>0</v>
      </c>
      <c r="AC1509">
        <v>3055</v>
      </c>
      <c r="AD1509">
        <v>0</v>
      </c>
      <c r="AE1509">
        <v>0</v>
      </c>
      <c r="AF1509">
        <v>0</v>
      </c>
      <c r="AG1509">
        <v>0</v>
      </c>
      <c r="AH1509">
        <v>0</v>
      </c>
      <c r="AI1509">
        <v>0</v>
      </c>
      <c r="AJ1509">
        <v>0</v>
      </c>
      <c r="AK1509">
        <v>0</v>
      </c>
      <c r="AL1509">
        <v>0</v>
      </c>
      <c r="AM1509">
        <v>0</v>
      </c>
      <c r="AN1509">
        <v>0</v>
      </c>
      <c r="AO1509">
        <v>1</v>
      </c>
      <c r="AP1509">
        <v>0</v>
      </c>
      <c r="AQ1509">
        <v>0</v>
      </c>
      <c r="AR1509">
        <v>0</v>
      </c>
      <c r="AS1509">
        <v>0</v>
      </c>
      <c r="AT1509">
        <v>0</v>
      </c>
      <c r="AU1509">
        <f t="shared" si="46"/>
        <v>1</v>
      </c>
      <c r="AV1509">
        <f t="shared" si="47"/>
        <v>0</v>
      </c>
    </row>
    <row r="1510" spans="1:48" x14ac:dyDescent="0.25">
      <c r="A1510" t="s">
        <v>6197</v>
      </c>
      <c r="C1510" t="s">
        <v>6198</v>
      </c>
      <c r="D1510" t="s">
        <v>6115</v>
      </c>
      <c r="E1510" t="s">
        <v>2310</v>
      </c>
      <c r="F1510">
        <v>15</v>
      </c>
      <c r="G1510">
        <v>15.1</v>
      </c>
      <c r="H1510" t="s">
        <v>2022</v>
      </c>
      <c r="I1510" s="21">
        <v>38553</v>
      </c>
      <c r="J1510">
        <v>2005</v>
      </c>
      <c r="M1510" s="21">
        <v>39359</v>
      </c>
      <c r="N1510">
        <v>2007</v>
      </c>
      <c r="R1510" s="262">
        <v>66000</v>
      </c>
      <c r="S1510" t="s">
        <v>114</v>
      </c>
      <c r="T1510" t="s">
        <v>114</v>
      </c>
      <c r="U1510">
        <v>15</v>
      </c>
      <c r="W1510">
        <v>618</v>
      </c>
      <c r="X1510">
        <v>0</v>
      </c>
      <c r="Y1510">
        <v>0</v>
      </c>
      <c r="Z1510">
        <v>0</v>
      </c>
      <c r="AA1510">
        <v>0</v>
      </c>
      <c r="AB1510">
        <v>0</v>
      </c>
      <c r="AC1510">
        <v>0</v>
      </c>
      <c r="AD1510">
        <v>0</v>
      </c>
      <c r="AE1510">
        <v>0</v>
      </c>
      <c r="AF1510">
        <v>0</v>
      </c>
      <c r="AG1510">
        <v>0</v>
      </c>
      <c r="AH1510">
        <v>0</v>
      </c>
      <c r="AI1510">
        <v>0</v>
      </c>
      <c r="AJ1510">
        <v>0</v>
      </c>
      <c r="AK1510">
        <v>0</v>
      </c>
      <c r="AL1510">
        <v>0</v>
      </c>
      <c r="AM1510">
        <v>618</v>
      </c>
      <c r="AN1510">
        <v>0</v>
      </c>
      <c r="AO1510">
        <v>0</v>
      </c>
      <c r="AP1510">
        <v>0</v>
      </c>
      <c r="AQ1510">
        <v>0</v>
      </c>
      <c r="AR1510">
        <v>0</v>
      </c>
      <c r="AS1510">
        <v>0</v>
      </c>
      <c r="AT1510">
        <v>0</v>
      </c>
      <c r="AU1510">
        <f t="shared" si="46"/>
        <v>0</v>
      </c>
      <c r="AV1510">
        <f t="shared" si="47"/>
        <v>618</v>
      </c>
    </row>
    <row r="1511" spans="1:48" x14ac:dyDescent="0.25">
      <c r="A1511" t="s">
        <v>6199</v>
      </c>
      <c r="C1511" t="s">
        <v>6200</v>
      </c>
      <c r="D1511" t="s">
        <v>6201</v>
      </c>
      <c r="E1511" t="s">
        <v>2310</v>
      </c>
      <c r="F1511">
        <v>15</v>
      </c>
      <c r="G1511">
        <v>15.2</v>
      </c>
      <c r="H1511" t="s">
        <v>2323</v>
      </c>
      <c r="I1511" s="21">
        <v>38553</v>
      </c>
      <c r="J1511">
        <v>2005</v>
      </c>
      <c r="K1511" s="21">
        <v>38686</v>
      </c>
      <c r="L1511">
        <v>2005</v>
      </c>
      <c r="M1511" s="21">
        <v>39428</v>
      </c>
      <c r="N1511">
        <v>2007</v>
      </c>
      <c r="R1511" s="262">
        <v>600000</v>
      </c>
      <c r="S1511" t="s">
        <v>114</v>
      </c>
      <c r="T1511" t="s">
        <v>114</v>
      </c>
      <c r="U1511">
        <v>8</v>
      </c>
      <c r="W1511">
        <v>6322</v>
      </c>
      <c r="X1511">
        <v>1</v>
      </c>
      <c r="Y1511">
        <v>0</v>
      </c>
      <c r="Z1511">
        <v>0</v>
      </c>
      <c r="AA1511">
        <v>0</v>
      </c>
      <c r="AB1511">
        <v>0</v>
      </c>
      <c r="AC1511">
        <v>5351</v>
      </c>
      <c r="AD1511">
        <v>0</v>
      </c>
      <c r="AE1511">
        <v>0</v>
      </c>
      <c r="AF1511">
        <v>971</v>
      </c>
      <c r="AG1511">
        <v>0</v>
      </c>
      <c r="AH1511">
        <v>0</v>
      </c>
      <c r="AI1511">
        <v>0</v>
      </c>
      <c r="AJ1511">
        <v>0</v>
      </c>
      <c r="AK1511">
        <v>0</v>
      </c>
      <c r="AL1511">
        <v>0</v>
      </c>
      <c r="AM1511">
        <v>0</v>
      </c>
      <c r="AN1511">
        <v>0</v>
      </c>
      <c r="AO1511">
        <v>0</v>
      </c>
      <c r="AP1511">
        <v>0</v>
      </c>
      <c r="AQ1511">
        <v>0</v>
      </c>
      <c r="AR1511">
        <v>1</v>
      </c>
      <c r="AS1511">
        <v>0</v>
      </c>
      <c r="AT1511">
        <v>0</v>
      </c>
      <c r="AU1511">
        <f t="shared" si="46"/>
        <v>0</v>
      </c>
      <c r="AV1511">
        <f t="shared" si="47"/>
        <v>0</v>
      </c>
    </row>
    <row r="1512" spans="1:48" x14ac:dyDescent="0.25">
      <c r="A1512" t="s">
        <v>6202</v>
      </c>
      <c r="C1512" t="s">
        <v>6203</v>
      </c>
      <c r="D1512" t="s">
        <v>2599</v>
      </c>
      <c r="E1512" t="s">
        <v>2310</v>
      </c>
      <c r="F1512">
        <v>13</v>
      </c>
      <c r="G1512">
        <v>13.1</v>
      </c>
      <c r="H1512" t="s">
        <v>2327</v>
      </c>
      <c r="I1512" s="21">
        <v>38553</v>
      </c>
      <c r="J1512">
        <v>2005</v>
      </c>
      <c r="M1512" s="21">
        <v>38901</v>
      </c>
      <c r="N1512">
        <v>2006</v>
      </c>
      <c r="R1512" s="262">
        <v>102000</v>
      </c>
      <c r="S1512" t="s">
        <v>114</v>
      </c>
      <c r="T1512" t="s">
        <v>114</v>
      </c>
      <c r="U1512">
        <v>12</v>
      </c>
      <c r="W1512">
        <v>0</v>
      </c>
      <c r="X1512">
        <v>0</v>
      </c>
      <c r="Y1512">
        <v>0</v>
      </c>
      <c r="Z1512">
        <v>0</v>
      </c>
      <c r="AA1512">
        <v>0</v>
      </c>
      <c r="AB1512">
        <v>0</v>
      </c>
      <c r="AC1512">
        <v>0</v>
      </c>
      <c r="AD1512">
        <v>0</v>
      </c>
      <c r="AE1512">
        <v>0</v>
      </c>
      <c r="AF1512">
        <v>0</v>
      </c>
      <c r="AG1512">
        <v>0</v>
      </c>
      <c r="AH1512">
        <v>0</v>
      </c>
      <c r="AI1512">
        <v>0</v>
      </c>
      <c r="AJ1512">
        <v>0</v>
      </c>
      <c r="AK1512">
        <v>0</v>
      </c>
      <c r="AL1512">
        <v>0</v>
      </c>
      <c r="AM1512">
        <v>0</v>
      </c>
      <c r="AN1512">
        <v>0</v>
      </c>
      <c r="AO1512">
        <v>0</v>
      </c>
      <c r="AP1512">
        <v>0</v>
      </c>
      <c r="AQ1512">
        <v>0</v>
      </c>
      <c r="AR1512">
        <v>0</v>
      </c>
      <c r="AS1512">
        <v>0</v>
      </c>
      <c r="AT1512">
        <v>0</v>
      </c>
      <c r="AU1512">
        <f t="shared" si="46"/>
        <v>0</v>
      </c>
      <c r="AV1512">
        <f t="shared" si="47"/>
        <v>0</v>
      </c>
    </row>
    <row r="1513" spans="1:48" x14ac:dyDescent="0.25">
      <c r="A1513" t="s">
        <v>6204</v>
      </c>
      <c r="C1513" t="s">
        <v>6205</v>
      </c>
      <c r="D1513" t="s">
        <v>6206</v>
      </c>
      <c r="E1513" t="s">
        <v>1663</v>
      </c>
      <c r="F1513">
        <v>4</v>
      </c>
      <c r="G1513">
        <v>4.3</v>
      </c>
      <c r="H1513" t="s">
        <v>2327</v>
      </c>
      <c r="I1513" s="21">
        <v>38555</v>
      </c>
      <c r="J1513">
        <v>2005</v>
      </c>
      <c r="K1513" s="21">
        <v>38586</v>
      </c>
      <c r="L1513">
        <v>2005</v>
      </c>
      <c r="M1513" s="21">
        <v>38739</v>
      </c>
      <c r="N1513">
        <v>2006</v>
      </c>
      <c r="Q1513" s="262">
        <v>0</v>
      </c>
      <c r="S1513" t="s">
        <v>114</v>
      </c>
      <c r="T1513" t="s">
        <v>114</v>
      </c>
      <c r="W1513">
        <v>12789</v>
      </c>
      <c r="X1513">
        <v>0</v>
      </c>
      <c r="Y1513">
        <v>0</v>
      </c>
      <c r="Z1513">
        <v>0</v>
      </c>
      <c r="AA1513">
        <v>0</v>
      </c>
      <c r="AB1513">
        <v>0</v>
      </c>
      <c r="AC1513">
        <v>0</v>
      </c>
      <c r="AD1513">
        <v>0</v>
      </c>
      <c r="AE1513">
        <v>0</v>
      </c>
      <c r="AF1513">
        <v>0</v>
      </c>
      <c r="AG1513">
        <v>0</v>
      </c>
      <c r="AH1513">
        <v>0</v>
      </c>
      <c r="AI1513">
        <v>0</v>
      </c>
      <c r="AJ1513">
        <v>12789</v>
      </c>
      <c r="AK1513">
        <v>0</v>
      </c>
      <c r="AL1513">
        <v>0</v>
      </c>
      <c r="AM1513">
        <v>0</v>
      </c>
      <c r="AN1513">
        <v>0</v>
      </c>
      <c r="AO1513">
        <v>0</v>
      </c>
      <c r="AP1513">
        <v>0</v>
      </c>
      <c r="AQ1513">
        <v>0</v>
      </c>
      <c r="AR1513">
        <v>0</v>
      </c>
      <c r="AS1513">
        <v>0</v>
      </c>
      <c r="AT1513">
        <v>0</v>
      </c>
      <c r="AU1513">
        <f t="shared" si="46"/>
        <v>0</v>
      </c>
      <c r="AV1513">
        <f t="shared" si="47"/>
        <v>12789</v>
      </c>
    </row>
    <row r="1514" spans="1:48" x14ac:dyDescent="0.25">
      <c r="A1514" t="s">
        <v>6207</v>
      </c>
      <c r="C1514" t="s">
        <v>6208</v>
      </c>
      <c r="D1514" t="s">
        <v>6209</v>
      </c>
      <c r="E1514" t="s">
        <v>1663</v>
      </c>
      <c r="F1514">
        <v>3</v>
      </c>
      <c r="G1514">
        <v>3.4</v>
      </c>
      <c r="H1514" t="s">
        <v>2017</v>
      </c>
      <c r="I1514" s="21">
        <v>38555</v>
      </c>
      <c r="J1514">
        <v>2005</v>
      </c>
      <c r="K1514" s="21">
        <v>38586</v>
      </c>
      <c r="L1514">
        <v>2005</v>
      </c>
      <c r="M1514" s="21">
        <v>38739</v>
      </c>
      <c r="N1514">
        <v>2006</v>
      </c>
      <c r="Q1514" s="262">
        <v>100000</v>
      </c>
      <c r="S1514" t="s">
        <v>114</v>
      </c>
      <c r="T1514" t="s">
        <v>114</v>
      </c>
      <c r="W1514">
        <v>5318</v>
      </c>
      <c r="X1514">
        <v>1</v>
      </c>
      <c r="Y1514">
        <v>0</v>
      </c>
      <c r="Z1514">
        <v>0</v>
      </c>
      <c r="AA1514">
        <v>0</v>
      </c>
      <c r="AB1514">
        <v>0</v>
      </c>
      <c r="AC1514">
        <v>5318</v>
      </c>
      <c r="AD1514">
        <v>0</v>
      </c>
      <c r="AE1514">
        <v>0</v>
      </c>
      <c r="AF1514">
        <v>0</v>
      </c>
      <c r="AG1514">
        <v>0</v>
      </c>
      <c r="AH1514">
        <v>0</v>
      </c>
      <c r="AI1514">
        <v>0</v>
      </c>
      <c r="AJ1514">
        <v>0</v>
      </c>
      <c r="AK1514">
        <v>0</v>
      </c>
      <c r="AL1514">
        <v>0</v>
      </c>
      <c r="AM1514">
        <v>0</v>
      </c>
      <c r="AN1514">
        <v>0</v>
      </c>
      <c r="AO1514">
        <v>1</v>
      </c>
      <c r="AP1514">
        <v>0</v>
      </c>
      <c r="AQ1514">
        <v>0</v>
      </c>
      <c r="AR1514">
        <v>0</v>
      </c>
      <c r="AS1514">
        <v>0</v>
      </c>
      <c r="AT1514">
        <v>0</v>
      </c>
      <c r="AU1514">
        <f t="shared" si="46"/>
        <v>1</v>
      </c>
      <c r="AV1514">
        <f t="shared" si="47"/>
        <v>0</v>
      </c>
    </row>
    <row r="1515" spans="1:48" x14ac:dyDescent="0.25">
      <c r="A1515" t="s">
        <v>6210</v>
      </c>
      <c r="C1515" t="s">
        <v>6211</v>
      </c>
      <c r="D1515" t="s">
        <v>6212</v>
      </c>
      <c r="E1515" t="s">
        <v>2310</v>
      </c>
      <c r="F1515">
        <v>8</v>
      </c>
      <c r="G1515">
        <v>8.1999999999999993</v>
      </c>
      <c r="H1515" t="s">
        <v>2022</v>
      </c>
      <c r="I1515" s="21">
        <v>38559</v>
      </c>
      <c r="J1515">
        <v>2005</v>
      </c>
      <c r="K1515" s="21">
        <v>38621</v>
      </c>
      <c r="L1515">
        <v>2005</v>
      </c>
      <c r="M1515" s="21">
        <v>38621</v>
      </c>
      <c r="N1515">
        <v>2005</v>
      </c>
      <c r="R1515" s="262">
        <v>60000</v>
      </c>
      <c r="S1515" t="s">
        <v>114</v>
      </c>
      <c r="T1515" t="s">
        <v>114</v>
      </c>
      <c r="U1515">
        <v>5</v>
      </c>
      <c r="W1515">
        <v>238</v>
      </c>
      <c r="X1515">
        <v>0</v>
      </c>
      <c r="Y1515">
        <v>0</v>
      </c>
      <c r="Z1515">
        <v>0</v>
      </c>
      <c r="AA1515">
        <v>0</v>
      </c>
      <c r="AB1515">
        <v>0</v>
      </c>
      <c r="AC1515">
        <v>238</v>
      </c>
      <c r="AD1515">
        <v>0</v>
      </c>
      <c r="AE1515">
        <v>0</v>
      </c>
      <c r="AF1515">
        <v>0</v>
      </c>
      <c r="AG1515">
        <v>0</v>
      </c>
      <c r="AH1515">
        <v>0</v>
      </c>
      <c r="AI1515">
        <v>0</v>
      </c>
      <c r="AJ1515">
        <v>0</v>
      </c>
      <c r="AK1515">
        <v>0</v>
      </c>
      <c r="AL1515">
        <v>0</v>
      </c>
      <c r="AM1515">
        <v>0</v>
      </c>
      <c r="AN1515">
        <v>0</v>
      </c>
      <c r="AO1515">
        <v>0</v>
      </c>
      <c r="AP1515">
        <v>0</v>
      </c>
      <c r="AQ1515">
        <v>0</v>
      </c>
      <c r="AR1515">
        <v>0</v>
      </c>
      <c r="AS1515">
        <v>0</v>
      </c>
      <c r="AT1515">
        <v>0</v>
      </c>
      <c r="AU1515">
        <f t="shared" si="46"/>
        <v>0</v>
      </c>
      <c r="AV1515">
        <f t="shared" si="47"/>
        <v>0</v>
      </c>
    </row>
    <row r="1516" spans="1:48" x14ac:dyDescent="0.25">
      <c r="A1516" t="s">
        <v>6213</v>
      </c>
      <c r="C1516" t="s">
        <v>6214</v>
      </c>
      <c r="D1516" t="s">
        <v>6215</v>
      </c>
      <c r="E1516" t="s">
        <v>2310</v>
      </c>
      <c r="F1516">
        <v>10</v>
      </c>
      <c r="G1516">
        <v>10.1</v>
      </c>
      <c r="H1516" t="s">
        <v>2323</v>
      </c>
      <c r="I1516" s="21">
        <v>38559</v>
      </c>
      <c r="J1516">
        <v>2005</v>
      </c>
      <c r="K1516" s="21">
        <v>38590</v>
      </c>
      <c r="L1516">
        <v>2005</v>
      </c>
      <c r="M1516" s="21">
        <v>38989</v>
      </c>
      <c r="N1516">
        <v>2006</v>
      </c>
      <c r="R1516" s="262">
        <v>80000</v>
      </c>
      <c r="S1516" t="s">
        <v>114</v>
      </c>
      <c r="T1516" t="s">
        <v>114</v>
      </c>
      <c r="U1516">
        <v>5</v>
      </c>
      <c r="W1516">
        <v>2160</v>
      </c>
      <c r="X1516">
        <v>0</v>
      </c>
      <c r="Y1516">
        <v>0</v>
      </c>
      <c r="Z1516">
        <v>0</v>
      </c>
      <c r="AA1516">
        <v>0</v>
      </c>
      <c r="AB1516">
        <v>0</v>
      </c>
      <c r="AC1516">
        <v>2160</v>
      </c>
      <c r="AD1516">
        <v>0</v>
      </c>
      <c r="AE1516">
        <v>0</v>
      </c>
      <c r="AF1516">
        <v>0</v>
      </c>
      <c r="AG1516">
        <v>0</v>
      </c>
      <c r="AH1516">
        <v>0</v>
      </c>
      <c r="AI1516">
        <v>0</v>
      </c>
      <c r="AJ1516">
        <v>0</v>
      </c>
      <c r="AK1516">
        <v>0</v>
      </c>
      <c r="AL1516">
        <v>0</v>
      </c>
      <c r="AM1516">
        <v>0</v>
      </c>
      <c r="AN1516">
        <v>0</v>
      </c>
      <c r="AO1516">
        <v>0</v>
      </c>
      <c r="AP1516">
        <v>0</v>
      </c>
      <c r="AQ1516">
        <v>0</v>
      </c>
      <c r="AR1516">
        <v>0</v>
      </c>
      <c r="AS1516">
        <v>0</v>
      </c>
      <c r="AT1516">
        <v>0</v>
      </c>
      <c r="AU1516">
        <f t="shared" si="46"/>
        <v>0</v>
      </c>
      <c r="AV1516">
        <f t="shared" si="47"/>
        <v>0</v>
      </c>
    </row>
    <row r="1517" spans="1:48" x14ac:dyDescent="0.25">
      <c r="A1517" t="s">
        <v>6216</v>
      </c>
      <c r="C1517" t="s">
        <v>5909</v>
      </c>
      <c r="D1517" t="s">
        <v>6217</v>
      </c>
      <c r="E1517" t="s">
        <v>2310</v>
      </c>
      <c r="F1517">
        <v>11</v>
      </c>
      <c r="G1517">
        <v>11.2</v>
      </c>
      <c r="H1517" t="s">
        <v>2017</v>
      </c>
      <c r="I1517" s="21">
        <v>38559</v>
      </c>
      <c r="J1517">
        <v>2005</v>
      </c>
      <c r="K1517" s="21">
        <v>38587</v>
      </c>
      <c r="L1517">
        <v>2005</v>
      </c>
      <c r="M1517" s="21">
        <v>38978</v>
      </c>
      <c r="N1517">
        <v>2006</v>
      </c>
      <c r="R1517" s="262">
        <v>575000</v>
      </c>
      <c r="S1517" t="s">
        <v>114</v>
      </c>
      <c r="T1517" t="s">
        <v>114</v>
      </c>
      <c r="U1517">
        <v>5</v>
      </c>
      <c r="W1517">
        <v>2777</v>
      </c>
      <c r="X1517">
        <v>1</v>
      </c>
      <c r="Y1517">
        <v>0</v>
      </c>
      <c r="Z1517">
        <v>0</v>
      </c>
      <c r="AA1517">
        <v>0</v>
      </c>
      <c r="AB1517">
        <v>0</v>
      </c>
      <c r="AC1517">
        <v>2777</v>
      </c>
      <c r="AD1517">
        <v>0</v>
      </c>
      <c r="AE1517">
        <v>0</v>
      </c>
      <c r="AF1517">
        <v>0</v>
      </c>
      <c r="AG1517">
        <v>0</v>
      </c>
      <c r="AH1517">
        <v>0</v>
      </c>
      <c r="AI1517">
        <v>0</v>
      </c>
      <c r="AJ1517">
        <v>0</v>
      </c>
      <c r="AK1517">
        <v>0</v>
      </c>
      <c r="AL1517">
        <v>0</v>
      </c>
      <c r="AM1517">
        <v>0</v>
      </c>
      <c r="AN1517">
        <v>0</v>
      </c>
      <c r="AO1517">
        <v>1</v>
      </c>
      <c r="AP1517">
        <v>0</v>
      </c>
      <c r="AQ1517">
        <v>0</v>
      </c>
      <c r="AR1517">
        <v>0</v>
      </c>
      <c r="AS1517">
        <v>0</v>
      </c>
      <c r="AT1517">
        <v>0</v>
      </c>
      <c r="AU1517">
        <f t="shared" si="46"/>
        <v>1</v>
      </c>
      <c r="AV1517">
        <f t="shared" si="47"/>
        <v>0</v>
      </c>
    </row>
    <row r="1518" spans="1:48" x14ac:dyDescent="0.25">
      <c r="A1518" t="s">
        <v>6218</v>
      </c>
      <c r="C1518" t="s">
        <v>6219</v>
      </c>
      <c r="D1518" t="s">
        <v>4752</v>
      </c>
      <c r="E1518" t="s">
        <v>2310</v>
      </c>
      <c r="F1518">
        <v>5</v>
      </c>
      <c r="G1518">
        <v>5.4</v>
      </c>
      <c r="H1518" t="s">
        <v>2017</v>
      </c>
      <c r="I1518" s="21">
        <v>38559</v>
      </c>
      <c r="J1518">
        <v>2005</v>
      </c>
      <c r="K1518" s="21">
        <v>38565</v>
      </c>
      <c r="L1518">
        <v>2005</v>
      </c>
      <c r="M1518" s="21">
        <v>38565</v>
      </c>
      <c r="N1518">
        <v>2005</v>
      </c>
      <c r="R1518" s="262">
        <v>66000</v>
      </c>
      <c r="S1518" t="s">
        <v>114</v>
      </c>
      <c r="T1518" t="s">
        <v>114</v>
      </c>
      <c r="U1518">
        <v>15</v>
      </c>
      <c r="W1518">
        <v>840</v>
      </c>
      <c r="X1518">
        <v>0</v>
      </c>
      <c r="Y1518">
        <v>0</v>
      </c>
      <c r="Z1518">
        <v>0</v>
      </c>
      <c r="AA1518">
        <v>0</v>
      </c>
      <c r="AB1518">
        <v>0</v>
      </c>
      <c r="AC1518">
        <v>0</v>
      </c>
      <c r="AD1518">
        <v>0</v>
      </c>
      <c r="AE1518">
        <v>0</v>
      </c>
      <c r="AF1518">
        <v>0</v>
      </c>
      <c r="AG1518">
        <v>0</v>
      </c>
      <c r="AH1518">
        <v>0</v>
      </c>
      <c r="AI1518">
        <v>0</v>
      </c>
      <c r="AJ1518">
        <v>0</v>
      </c>
      <c r="AK1518">
        <v>0</v>
      </c>
      <c r="AL1518">
        <v>0</v>
      </c>
      <c r="AM1518">
        <v>840</v>
      </c>
      <c r="AN1518">
        <v>0</v>
      </c>
      <c r="AO1518">
        <v>0</v>
      </c>
      <c r="AP1518">
        <v>0</v>
      </c>
      <c r="AQ1518">
        <v>0</v>
      </c>
      <c r="AR1518">
        <v>0</v>
      </c>
      <c r="AS1518">
        <v>0</v>
      </c>
      <c r="AT1518">
        <v>0</v>
      </c>
      <c r="AU1518">
        <f t="shared" si="46"/>
        <v>0</v>
      </c>
      <c r="AV1518">
        <f t="shared" si="47"/>
        <v>840</v>
      </c>
    </row>
    <row r="1519" spans="1:48" x14ac:dyDescent="0.25">
      <c r="A1519" t="s">
        <v>6220</v>
      </c>
      <c r="C1519" t="s">
        <v>6221</v>
      </c>
      <c r="D1519" t="s">
        <v>6222</v>
      </c>
      <c r="E1519" t="s">
        <v>2310</v>
      </c>
      <c r="F1519">
        <v>9</v>
      </c>
      <c r="G1519">
        <v>9.4</v>
      </c>
      <c r="H1519" t="s">
        <v>2323</v>
      </c>
      <c r="I1519" s="21">
        <v>38560</v>
      </c>
      <c r="J1519">
        <v>2005</v>
      </c>
      <c r="K1519" s="21">
        <v>38575</v>
      </c>
      <c r="L1519">
        <v>2005</v>
      </c>
      <c r="M1519" s="21">
        <v>38776</v>
      </c>
      <c r="N1519">
        <v>2006</v>
      </c>
      <c r="R1519" s="262">
        <v>20000</v>
      </c>
      <c r="S1519" t="s">
        <v>114</v>
      </c>
      <c r="T1519" t="s">
        <v>114</v>
      </c>
      <c r="U1519">
        <v>5</v>
      </c>
      <c r="W1519">
        <v>400</v>
      </c>
      <c r="X1519">
        <v>0</v>
      </c>
      <c r="Y1519">
        <v>0</v>
      </c>
      <c r="Z1519">
        <v>0</v>
      </c>
      <c r="AA1519">
        <v>0</v>
      </c>
      <c r="AB1519">
        <v>0</v>
      </c>
      <c r="AC1519">
        <v>400</v>
      </c>
      <c r="AD1519">
        <v>0</v>
      </c>
      <c r="AE1519">
        <v>0</v>
      </c>
      <c r="AF1519">
        <v>0</v>
      </c>
      <c r="AG1519">
        <v>0</v>
      </c>
      <c r="AH1519">
        <v>0</v>
      </c>
      <c r="AI1519">
        <v>0</v>
      </c>
      <c r="AJ1519">
        <v>0</v>
      </c>
      <c r="AK1519">
        <v>0</v>
      </c>
      <c r="AL1519">
        <v>0</v>
      </c>
      <c r="AM1519">
        <v>0</v>
      </c>
      <c r="AN1519">
        <v>0</v>
      </c>
      <c r="AO1519">
        <v>0</v>
      </c>
      <c r="AP1519">
        <v>0</v>
      </c>
      <c r="AQ1519">
        <v>0</v>
      </c>
      <c r="AR1519">
        <v>0</v>
      </c>
      <c r="AS1519">
        <v>0</v>
      </c>
      <c r="AT1519">
        <v>0</v>
      </c>
      <c r="AU1519">
        <f t="shared" si="46"/>
        <v>0</v>
      </c>
      <c r="AV1519">
        <f t="shared" si="47"/>
        <v>0</v>
      </c>
    </row>
    <row r="1520" spans="1:48" x14ac:dyDescent="0.25">
      <c r="A1520" t="s">
        <v>6223</v>
      </c>
      <c r="C1520" t="s">
        <v>6047</v>
      </c>
      <c r="D1520" t="s">
        <v>6224</v>
      </c>
      <c r="E1520" t="s">
        <v>2310</v>
      </c>
      <c r="F1520">
        <v>9</v>
      </c>
      <c r="G1520">
        <v>9.3000000000000007</v>
      </c>
      <c r="H1520" t="s">
        <v>2323</v>
      </c>
      <c r="I1520" s="21">
        <v>38561</v>
      </c>
      <c r="J1520">
        <v>2005</v>
      </c>
      <c r="K1520" s="21">
        <v>38646</v>
      </c>
      <c r="L1520">
        <v>2005</v>
      </c>
      <c r="M1520" s="21">
        <v>39106</v>
      </c>
      <c r="N1520">
        <v>2007</v>
      </c>
      <c r="R1520" s="262">
        <v>750000</v>
      </c>
      <c r="S1520" t="s">
        <v>114</v>
      </c>
      <c r="T1520" t="s">
        <v>114</v>
      </c>
      <c r="U1520">
        <v>5</v>
      </c>
      <c r="W1520">
        <v>4882</v>
      </c>
      <c r="X1520">
        <v>1</v>
      </c>
      <c r="Y1520">
        <v>0</v>
      </c>
      <c r="Z1520">
        <v>0</v>
      </c>
      <c r="AA1520">
        <v>0</v>
      </c>
      <c r="AB1520">
        <v>0</v>
      </c>
      <c r="AC1520">
        <v>4882</v>
      </c>
      <c r="AD1520">
        <v>0</v>
      </c>
      <c r="AE1520">
        <v>0</v>
      </c>
      <c r="AF1520">
        <v>0</v>
      </c>
      <c r="AG1520">
        <v>0</v>
      </c>
      <c r="AH1520">
        <v>0</v>
      </c>
      <c r="AI1520">
        <v>0</v>
      </c>
      <c r="AJ1520">
        <v>0</v>
      </c>
      <c r="AK1520">
        <v>0</v>
      </c>
      <c r="AL1520">
        <v>0</v>
      </c>
      <c r="AM1520">
        <v>0</v>
      </c>
      <c r="AN1520">
        <v>0</v>
      </c>
      <c r="AO1520">
        <v>1</v>
      </c>
      <c r="AP1520">
        <v>0</v>
      </c>
      <c r="AQ1520">
        <v>0</v>
      </c>
      <c r="AR1520">
        <v>0</v>
      </c>
      <c r="AS1520">
        <v>0</v>
      </c>
      <c r="AT1520">
        <v>0</v>
      </c>
      <c r="AU1520">
        <f t="shared" si="46"/>
        <v>1</v>
      </c>
      <c r="AV1520">
        <f t="shared" si="47"/>
        <v>0</v>
      </c>
    </row>
    <row r="1521" spans="1:48" x14ac:dyDescent="0.25">
      <c r="A1521" t="s">
        <v>6231</v>
      </c>
      <c r="C1521" t="s">
        <v>6232</v>
      </c>
      <c r="D1521" t="s">
        <v>6233</v>
      </c>
      <c r="E1521" t="s">
        <v>2310</v>
      </c>
      <c r="F1521">
        <v>8</v>
      </c>
      <c r="G1521">
        <v>8.1</v>
      </c>
      <c r="H1521" t="s">
        <v>2323</v>
      </c>
      <c r="I1521" s="21">
        <v>38562</v>
      </c>
      <c r="J1521">
        <v>2005</v>
      </c>
      <c r="K1521" s="21">
        <v>38573</v>
      </c>
      <c r="L1521">
        <v>2005</v>
      </c>
      <c r="M1521" s="21">
        <v>38573</v>
      </c>
      <c r="N1521">
        <v>2005</v>
      </c>
      <c r="R1521" s="262">
        <v>170000</v>
      </c>
      <c r="S1521" t="s">
        <v>114</v>
      </c>
      <c r="T1521" t="s">
        <v>114</v>
      </c>
      <c r="U1521">
        <v>5</v>
      </c>
      <c r="W1521">
        <v>1031</v>
      </c>
      <c r="X1521">
        <v>0</v>
      </c>
      <c r="Y1521">
        <v>0</v>
      </c>
      <c r="Z1521">
        <v>0</v>
      </c>
      <c r="AA1521">
        <v>0</v>
      </c>
      <c r="AB1521">
        <v>0</v>
      </c>
      <c r="AC1521">
        <v>1031</v>
      </c>
      <c r="AD1521">
        <v>0</v>
      </c>
      <c r="AE1521">
        <v>0</v>
      </c>
      <c r="AF1521">
        <v>0</v>
      </c>
      <c r="AG1521">
        <v>0</v>
      </c>
      <c r="AH1521">
        <v>0</v>
      </c>
      <c r="AI1521">
        <v>0</v>
      </c>
      <c r="AJ1521">
        <v>0</v>
      </c>
      <c r="AK1521">
        <v>0</v>
      </c>
      <c r="AL1521">
        <v>0</v>
      </c>
      <c r="AM1521">
        <v>0</v>
      </c>
      <c r="AN1521">
        <v>0</v>
      </c>
      <c r="AO1521">
        <v>0</v>
      </c>
      <c r="AP1521">
        <v>0</v>
      </c>
      <c r="AQ1521">
        <v>0</v>
      </c>
      <c r="AR1521">
        <v>0</v>
      </c>
      <c r="AS1521">
        <v>0</v>
      </c>
      <c r="AT1521">
        <v>0</v>
      </c>
      <c r="AU1521">
        <f t="shared" si="46"/>
        <v>0</v>
      </c>
      <c r="AV1521">
        <f t="shared" si="47"/>
        <v>0</v>
      </c>
    </row>
    <row r="1522" spans="1:48" x14ac:dyDescent="0.25">
      <c r="A1522" t="s">
        <v>6234</v>
      </c>
      <c r="C1522" t="s">
        <v>6235</v>
      </c>
      <c r="D1522" t="s">
        <v>6236</v>
      </c>
      <c r="E1522" t="s">
        <v>2310</v>
      </c>
      <c r="F1522">
        <v>14</v>
      </c>
      <c r="G1522">
        <v>14.2</v>
      </c>
      <c r="H1522" t="s">
        <v>2017</v>
      </c>
      <c r="I1522" s="21">
        <v>38562</v>
      </c>
      <c r="J1522">
        <v>2005</v>
      </c>
      <c r="K1522" s="21">
        <v>38579</v>
      </c>
      <c r="L1522">
        <v>2005</v>
      </c>
      <c r="M1522" s="21">
        <v>39622</v>
      </c>
      <c r="N1522">
        <v>2008</v>
      </c>
      <c r="R1522" s="262">
        <v>4000</v>
      </c>
      <c r="S1522" t="s">
        <v>114</v>
      </c>
      <c r="T1522" t="s">
        <v>114</v>
      </c>
      <c r="U1522">
        <v>5</v>
      </c>
      <c r="W1522">
        <v>0</v>
      </c>
      <c r="X1522">
        <v>0</v>
      </c>
      <c r="Y1522">
        <v>0</v>
      </c>
      <c r="Z1522">
        <v>0</v>
      </c>
      <c r="AA1522">
        <v>0</v>
      </c>
      <c r="AB1522">
        <v>0</v>
      </c>
      <c r="AC1522">
        <v>0</v>
      </c>
      <c r="AD1522">
        <v>0</v>
      </c>
      <c r="AE1522">
        <v>0</v>
      </c>
      <c r="AF1522">
        <v>0</v>
      </c>
      <c r="AG1522">
        <v>0</v>
      </c>
      <c r="AH1522">
        <v>0</v>
      </c>
      <c r="AI1522">
        <v>0</v>
      </c>
      <c r="AJ1522">
        <v>0</v>
      </c>
      <c r="AK1522">
        <v>0</v>
      </c>
      <c r="AL1522">
        <v>0</v>
      </c>
      <c r="AM1522">
        <v>0</v>
      </c>
      <c r="AN1522">
        <v>0</v>
      </c>
      <c r="AO1522">
        <v>0</v>
      </c>
      <c r="AP1522">
        <v>0</v>
      </c>
      <c r="AQ1522">
        <v>0</v>
      </c>
      <c r="AR1522">
        <v>0</v>
      </c>
      <c r="AS1522">
        <v>0</v>
      </c>
      <c r="AT1522">
        <v>0</v>
      </c>
      <c r="AU1522">
        <f t="shared" si="46"/>
        <v>0</v>
      </c>
      <c r="AV1522">
        <f t="shared" si="47"/>
        <v>0</v>
      </c>
    </row>
    <row r="1523" spans="1:48" x14ac:dyDescent="0.25">
      <c r="A1523" t="s">
        <v>6237</v>
      </c>
      <c r="C1523" t="s">
        <v>6238</v>
      </c>
      <c r="D1523" t="s">
        <v>6239</v>
      </c>
      <c r="E1523" t="s">
        <v>2310</v>
      </c>
      <c r="F1523">
        <v>9</v>
      </c>
      <c r="G1523">
        <v>9.3000000000000007</v>
      </c>
      <c r="H1523" t="s">
        <v>2323</v>
      </c>
      <c r="I1523" s="21">
        <v>38562</v>
      </c>
      <c r="J1523">
        <v>2005</v>
      </c>
      <c r="K1523" s="21">
        <v>38567</v>
      </c>
      <c r="L1523">
        <v>2005</v>
      </c>
      <c r="M1523" s="21">
        <v>38804</v>
      </c>
      <c r="N1523">
        <v>2006</v>
      </c>
      <c r="R1523" s="262">
        <v>8000</v>
      </c>
      <c r="S1523" t="s">
        <v>114</v>
      </c>
      <c r="T1523" t="s">
        <v>114</v>
      </c>
      <c r="U1523">
        <v>5</v>
      </c>
      <c r="W1523">
        <v>96</v>
      </c>
      <c r="X1523">
        <v>0</v>
      </c>
      <c r="Y1523">
        <v>0</v>
      </c>
      <c r="Z1523">
        <v>0</v>
      </c>
      <c r="AA1523">
        <v>0</v>
      </c>
      <c r="AB1523">
        <v>0</v>
      </c>
      <c r="AC1523">
        <v>96</v>
      </c>
      <c r="AD1523">
        <v>0</v>
      </c>
      <c r="AE1523">
        <v>0</v>
      </c>
      <c r="AF1523">
        <v>0</v>
      </c>
      <c r="AG1523">
        <v>0</v>
      </c>
      <c r="AH1523">
        <v>0</v>
      </c>
      <c r="AI1523">
        <v>0</v>
      </c>
      <c r="AJ1523">
        <v>0</v>
      </c>
      <c r="AK1523">
        <v>0</v>
      </c>
      <c r="AL1523">
        <v>0</v>
      </c>
      <c r="AM1523">
        <v>0</v>
      </c>
      <c r="AN1523">
        <v>0</v>
      </c>
      <c r="AO1523">
        <v>0</v>
      </c>
      <c r="AP1523">
        <v>0</v>
      </c>
      <c r="AQ1523">
        <v>0</v>
      </c>
      <c r="AR1523">
        <v>0</v>
      </c>
      <c r="AS1523">
        <v>0</v>
      </c>
      <c r="AT1523">
        <v>0</v>
      </c>
      <c r="AU1523">
        <f t="shared" si="46"/>
        <v>0</v>
      </c>
      <c r="AV1523">
        <f t="shared" si="47"/>
        <v>0</v>
      </c>
    </row>
    <row r="1524" spans="1:48" x14ac:dyDescent="0.25">
      <c r="A1524" t="s">
        <v>6225</v>
      </c>
      <c r="C1524" t="s">
        <v>6226</v>
      </c>
      <c r="D1524" t="s">
        <v>6227</v>
      </c>
      <c r="E1524" t="s">
        <v>1663</v>
      </c>
      <c r="F1524">
        <v>2</v>
      </c>
      <c r="G1524">
        <v>2.2999999999999998</v>
      </c>
      <c r="H1524" t="s">
        <v>2327</v>
      </c>
      <c r="I1524" s="21">
        <v>38562</v>
      </c>
      <c r="J1524">
        <v>2005</v>
      </c>
      <c r="K1524" s="21">
        <v>38593</v>
      </c>
      <c r="L1524">
        <v>2005</v>
      </c>
      <c r="M1524" s="21">
        <v>38746</v>
      </c>
      <c r="N1524">
        <v>2006</v>
      </c>
      <c r="Q1524" s="262">
        <v>0</v>
      </c>
      <c r="S1524" t="s">
        <v>114</v>
      </c>
      <c r="T1524" t="s">
        <v>114</v>
      </c>
      <c r="W1524">
        <v>22956</v>
      </c>
      <c r="X1524">
        <v>33</v>
      </c>
      <c r="Y1524">
        <v>0</v>
      </c>
      <c r="Z1524">
        <v>0</v>
      </c>
      <c r="AA1524">
        <v>0</v>
      </c>
      <c r="AB1524">
        <v>0</v>
      </c>
      <c r="AC1524">
        <v>0</v>
      </c>
      <c r="AD1524">
        <v>0</v>
      </c>
      <c r="AE1524">
        <v>0</v>
      </c>
      <c r="AF1524">
        <v>0</v>
      </c>
      <c r="AG1524">
        <v>0</v>
      </c>
      <c r="AH1524">
        <v>0</v>
      </c>
      <c r="AI1524">
        <v>22956</v>
      </c>
      <c r="AJ1524">
        <v>0</v>
      </c>
      <c r="AK1524">
        <v>0</v>
      </c>
      <c r="AL1524">
        <v>0</v>
      </c>
      <c r="AM1524">
        <v>0</v>
      </c>
      <c r="AN1524">
        <v>0</v>
      </c>
      <c r="AO1524">
        <v>0</v>
      </c>
      <c r="AP1524">
        <v>0</v>
      </c>
      <c r="AQ1524">
        <v>0</v>
      </c>
      <c r="AR1524">
        <v>0</v>
      </c>
      <c r="AS1524">
        <v>0</v>
      </c>
      <c r="AT1524">
        <v>33</v>
      </c>
      <c r="AU1524">
        <f t="shared" si="46"/>
        <v>0</v>
      </c>
      <c r="AV1524">
        <f t="shared" si="47"/>
        <v>22956</v>
      </c>
    </row>
    <row r="1525" spans="1:48" x14ac:dyDescent="0.25">
      <c r="A1525" t="s">
        <v>6228</v>
      </c>
      <c r="C1525" t="s">
        <v>6229</v>
      </c>
      <c r="D1525" t="s">
        <v>6230</v>
      </c>
      <c r="E1525" t="s">
        <v>1663</v>
      </c>
      <c r="F1525">
        <v>2</v>
      </c>
      <c r="G1525">
        <v>2.2999999999999998</v>
      </c>
      <c r="H1525" t="s">
        <v>2327</v>
      </c>
      <c r="I1525" s="21">
        <v>38562</v>
      </c>
      <c r="J1525">
        <v>2005</v>
      </c>
      <c r="K1525" s="21">
        <v>38593</v>
      </c>
      <c r="L1525">
        <v>2005</v>
      </c>
      <c r="M1525" s="21">
        <v>38746</v>
      </c>
      <c r="N1525">
        <v>2006</v>
      </c>
      <c r="Q1525" s="262">
        <v>0</v>
      </c>
      <c r="S1525" t="s">
        <v>114</v>
      </c>
      <c r="T1525" t="s">
        <v>114</v>
      </c>
      <c r="W1525">
        <v>7679</v>
      </c>
      <c r="X1525">
        <v>2</v>
      </c>
      <c r="Y1525">
        <v>0</v>
      </c>
      <c r="Z1525">
        <v>0</v>
      </c>
      <c r="AA1525">
        <v>0</v>
      </c>
      <c r="AB1525">
        <v>0</v>
      </c>
      <c r="AC1525">
        <v>0</v>
      </c>
      <c r="AD1525">
        <v>0</v>
      </c>
      <c r="AE1525">
        <v>0</v>
      </c>
      <c r="AF1525">
        <v>0</v>
      </c>
      <c r="AG1525">
        <v>0</v>
      </c>
      <c r="AH1525">
        <v>0</v>
      </c>
      <c r="AI1525">
        <v>7679</v>
      </c>
      <c r="AJ1525">
        <v>0</v>
      </c>
      <c r="AK1525">
        <v>0</v>
      </c>
      <c r="AL1525">
        <v>0</v>
      </c>
      <c r="AM1525">
        <v>0</v>
      </c>
      <c r="AN1525">
        <v>0</v>
      </c>
      <c r="AO1525">
        <v>0</v>
      </c>
      <c r="AP1525">
        <v>0</v>
      </c>
      <c r="AQ1525">
        <v>0</v>
      </c>
      <c r="AR1525">
        <v>0</v>
      </c>
      <c r="AS1525">
        <v>0</v>
      </c>
      <c r="AT1525">
        <v>2</v>
      </c>
      <c r="AU1525">
        <f t="shared" si="46"/>
        <v>0</v>
      </c>
      <c r="AV1525">
        <f t="shared" si="47"/>
        <v>7679</v>
      </c>
    </row>
    <row r="1526" spans="1:48" x14ac:dyDescent="0.25">
      <c r="A1526" t="s">
        <v>6240</v>
      </c>
      <c r="C1526" t="s">
        <v>6241</v>
      </c>
      <c r="D1526" t="s">
        <v>6242</v>
      </c>
      <c r="E1526" t="s">
        <v>2310</v>
      </c>
      <c r="F1526">
        <v>9</v>
      </c>
      <c r="G1526">
        <v>9.1</v>
      </c>
      <c r="H1526" t="s">
        <v>2323</v>
      </c>
      <c r="I1526" s="21">
        <v>38565</v>
      </c>
      <c r="J1526">
        <v>2005</v>
      </c>
      <c r="K1526" s="21">
        <v>38604</v>
      </c>
      <c r="L1526">
        <v>2005</v>
      </c>
      <c r="M1526" s="21">
        <v>38804</v>
      </c>
      <c r="N1526">
        <v>2006</v>
      </c>
      <c r="R1526" s="262">
        <v>100000</v>
      </c>
      <c r="S1526" t="s">
        <v>114</v>
      </c>
      <c r="T1526" t="s">
        <v>114</v>
      </c>
      <c r="U1526">
        <v>8</v>
      </c>
      <c r="W1526">
        <v>1416</v>
      </c>
      <c r="X1526">
        <v>1</v>
      </c>
      <c r="Y1526">
        <v>0</v>
      </c>
      <c r="Z1526">
        <v>0</v>
      </c>
      <c r="AA1526">
        <v>0</v>
      </c>
      <c r="AB1526">
        <v>0</v>
      </c>
      <c r="AC1526">
        <v>936</v>
      </c>
      <c r="AD1526">
        <v>0</v>
      </c>
      <c r="AE1526">
        <v>0</v>
      </c>
      <c r="AF1526">
        <v>480</v>
      </c>
      <c r="AG1526">
        <v>0</v>
      </c>
      <c r="AH1526">
        <v>0</v>
      </c>
      <c r="AI1526">
        <v>0</v>
      </c>
      <c r="AJ1526">
        <v>0</v>
      </c>
      <c r="AK1526">
        <v>0</v>
      </c>
      <c r="AL1526">
        <v>0</v>
      </c>
      <c r="AM1526">
        <v>0</v>
      </c>
      <c r="AN1526">
        <v>0</v>
      </c>
      <c r="AO1526">
        <v>0</v>
      </c>
      <c r="AP1526">
        <v>0</v>
      </c>
      <c r="AQ1526">
        <v>0</v>
      </c>
      <c r="AR1526">
        <v>1</v>
      </c>
      <c r="AS1526">
        <v>0</v>
      </c>
      <c r="AT1526">
        <v>0</v>
      </c>
      <c r="AU1526">
        <f t="shared" si="46"/>
        <v>0</v>
      </c>
      <c r="AV1526">
        <f t="shared" si="47"/>
        <v>0</v>
      </c>
    </row>
    <row r="1527" spans="1:48" x14ac:dyDescent="0.25">
      <c r="A1527" t="s">
        <v>6243</v>
      </c>
      <c r="C1527" t="s">
        <v>6244</v>
      </c>
      <c r="D1527" t="s">
        <v>6245</v>
      </c>
      <c r="E1527" t="s">
        <v>2310</v>
      </c>
      <c r="F1527">
        <v>9</v>
      </c>
      <c r="G1527">
        <v>9.3000000000000007</v>
      </c>
      <c r="H1527" t="s">
        <v>2323</v>
      </c>
      <c r="I1527" s="21">
        <v>38565</v>
      </c>
      <c r="J1527">
        <v>2005</v>
      </c>
      <c r="K1527" s="21">
        <v>38635</v>
      </c>
      <c r="L1527">
        <v>2005</v>
      </c>
      <c r="M1527" s="21">
        <v>38635</v>
      </c>
      <c r="N1527">
        <v>2005</v>
      </c>
      <c r="R1527" s="262">
        <v>1400000</v>
      </c>
      <c r="S1527" t="s">
        <v>114</v>
      </c>
      <c r="T1527" t="s">
        <v>114</v>
      </c>
      <c r="U1527">
        <v>5</v>
      </c>
      <c r="W1527">
        <v>5509</v>
      </c>
      <c r="X1527">
        <v>1</v>
      </c>
      <c r="Y1527">
        <v>0</v>
      </c>
      <c r="Z1527">
        <v>0</v>
      </c>
      <c r="AA1527">
        <v>0</v>
      </c>
      <c r="AB1527">
        <v>0</v>
      </c>
      <c r="AC1527">
        <v>5509</v>
      </c>
      <c r="AD1527">
        <v>0</v>
      </c>
      <c r="AE1527">
        <v>0</v>
      </c>
      <c r="AF1527">
        <v>0</v>
      </c>
      <c r="AG1527">
        <v>0</v>
      </c>
      <c r="AH1527">
        <v>0</v>
      </c>
      <c r="AI1527">
        <v>0</v>
      </c>
      <c r="AJ1527">
        <v>0</v>
      </c>
      <c r="AK1527">
        <v>0</v>
      </c>
      <c r="AL1527">
        <v>0</v>
      </c>
      <c r="AM1527">
        <v>0</v>
      </c>
      <c r="AN1527">
        <v>0</v>
      </c>
      <c r="AO1527">
        <v>1</v>
      </c>
      <c r="AP1527">
        <v>0</v>
      </c>
      <c r="AQ1527">
        <v>0</v>
      </c>
      <c r="AR1527">
        <v>0</v>
      </c>
      <c r="AS1527">
        <v>0</v>
      </c>
      <c r="AT1527">
        <v>0</v>
      </c>
      <c r="AU1527">
        <f t="shared" si="46"/>
        <v>1</v>
      </c>
      <c r="AV1527">
        <f t="shared" si="47"/>
        <v>0</v>
      </c>
    </row>
    <row r="1528" spans="1:48" x14ac:dyDescent="0.25">
      <c r="A1528" t="s">
        <v>6246</v>
      </c>
      <c r="C1528" t="s">
        <v>6247</v>
      </c>
      <c r="D1528" t="s">
        <v>4517</v>
      </c>
      <c r="E1528" t="s">
        <v>2310</v>
      </c>
      <c r="F1528">
        <v>9</v>
      </c>
      <c r="G1528">
        <v>9.3000000000000007</v>
      </c>
      <c r="H1528" t="s">
        <v>2323</v>
      </c>
      <c r="I1528" s="21">
        <v>38565</v>
      </c>
      <c r="J1528">
        <v>2005</v>
      </c>
      <c r="K1528" s="21">
        <v>38597</v>
      </c>
      <c r="L1528">
        <v>2005</v>
      </c>
      <c r="M1528" s="21">
        <v>38862</v>
      </c>
      <c r="N1528">
        <v>2006</v>
      </c>
      <c r="R1528" s="262">
        <v>14500</v>
      </c>
      <c r="S1528" t="s">
        <v>114</v>
      </c>
      <c r="T1528" t="s">
        <v>114</v>
      </c>
      <c r="U1528">
        <v>4</v>
      </c>
      <c r="W1528">
        <v>192</v>
      </c>
      <c r="X1528">
        <v>0</v>
      </c>
      <c r="Y1528">
        <v>0</v>
      </c>
      <c r="Z1528">
        <v>0</v>
      </c>
      <c r="AA1528">
        <v>0</v>
      </c>
      <c r="AB1528">
        <v>192</v>
      </c>
      <c r="AC1528">
        <v>0</v>
      </c>
      <c r="AD1528">
        <v>0</v>
      </c>
      <c r="AE1528">
        <v>0</v>
      </c>
      <c r="AF1528">
        <v>0</v>
      </c>
      <c r="AG1528">
        <v>0</v>
      </c>
      <c r="AH1528">
        <v>0</v>
      </c>
      <c r="AI1528">
        <v>0</v>
      </c>
      <c r="AJ1528">
        <v>0</v>
      </c>
      <c r="AK1528">
        <v>0</v>
      </c>
      <c r="AL1528">
        <v>0</v>
      </c>
      <c r="AM1528">
        <v>0</v>
      </c>
      <c r="AN1528">
        <v>0</v>
      </c>
      <c r="AO1528">
        <v>0</v>
      </c>
      <c r="AP1528">
        <v>0</v>
      </c>
      <c r="AQ1528">
        <v>0</v>
      </c>
      <c r="AR1528">
        <v>0</v>
      </c>
      <c r="AS1528">
        <v>0</v>
      </c>
      <c r="AT1528">
        <v>0</v>
      </c>
      <c r="AU1528">
        <f t="shared" si="46"/>
        <v>0</v>
      </c>
      <c r="AV1528">
        <f t="shared" si="47"/>
        <v>192</v>
      </c>
    </row>
    <row r="1529" spans="1:48" x14ac:dyDescent="0.25">
      <c r="A1529" t="s">
        <v>6248</v>
      </c>
      <c r="C1529" t="s">
        <v>4919</v>
      </c>
      <c r="D1529" t="s">
        <v>6249</v>
      </c>
      <c r="E1529" t="s">
        <v>2310</v>
      </c>
      <c r="F1529">
        <v>9</v>
      </c>
      <c r="G1529">
        <v>9.1</v>
      </c>
      <c r="H1529" t="s">
        <v>2323</v>
      </c>
      <c r="I1529" s="21">
        <v>38565</v>
      </c>
      <c r="J1529">
        <v>2005</v>
      </c>
      <c r="K1529" s="21">
        <v>38579</v>
      </c>
      <c r="L1529">
        <v>2005</v>
      </c>
      <c r="M1529" s="21">
        <v>39764</v>
      </c>
      <c r="N1529">
        <v>2008</v>
      </c>
      <c r="R1529" s="262">
        <v>20000</v>
      </c>
      <c r="S1529" t="s">
        <v>114</v>
      </c>
      <c r="T1529" t="s">
        <v>114</v>
      </c>
      <c r="U1529">
        <v>5</v>
      </c>
      <c r="W1529">
        <v>225</v>
      </c>
      <c r="X1529">
        <v>0</v>
      </c>
      <c r="Y1529">
        <v>0</v>
      </c>
      <c r="Z1529">
        <v>0</v>
      </c>
      <c r="AA1529">
        <v>0</v>
      </c>
      <c r="AB1529">
        <v>0</v>
      </c>
      <c r="AC1529">
        <v>225</v>
      </c>
      <c r="AD1529">
        <v>0</v>
      </c>
      <c r="AE1529">
        <v>0</v>
      </c>
      <c r="AF1529">
        <v>0</v>
      </c>
      <c r="AG1529">
        <v>0</v>
      </c>
      <c r="AH1529">
        <v>0</v>
      </c>
      <c r="AI1529">
        <v>0</v>
      </c>
      <c r="AJ1529">
        <v>0</v>
      </c>
      <c r="AK1529">
        <v>0</v>
      </c>
      <c r="AL1529">
        <v>0</v>
      </c>
      <c r="AM1529">
        <v>0</v>
      </c>
      <c r="AN1529">
        <v>0</v>
      </c>
      <c r="AO1529">
        <v>0</v>
      </c>
      <c r="AP1529">
        <v>0</v>
      </c>
      <c r="AQ1529">
        <v>0</v>
      </c>
      <c r="AR1529">
        <v>0</v>
      </c>
      <c r="AS1529">
        <v>0</v>
      </c>
      <c r="AT1529">
        <v>0</v>
      </c>
      <c r="AU1529">
        <f t="shared" si="46"/>
        <v>0</v>
      </c>
      <c r="AV1529">
        <f t="shared" si="47"/>
        <v>0</v>
      </c>
    </row>
    <row r="1530" spans="1:48" x14ac:dyDescent="0.25">
      <c r="A1530" t="s">
        <v>6250</v>
      </c>
      <c r="C1530" t="s">
        <v>6251</v>
      </c>
      <c r="D1530" t="s">
        <v>6252</v>
      </c>
      <c r="E1530" t="s">
        <v>2310</v>
      </c>
      <c r="F1530">
        <v>10</v>
      </c>
      <c r="G1530">
        <v>10.1</v>
      </c>
      <c r="H1530" t="s">
        <v>2323</v>
      </c>
      <c r="I1530" s="21">
        <v>38565</v>
      </c>
      <c r="J1530">
        <v>2005</v>
      </c>
      <c r="K1530" s="21">
        <v>38579</v>
      </c>
      <c r="L1530">
        <v>2005</v>
      </c>
      <c r="M1530" s="21">
        <v>39379</v>
      </c>
      <c r="N1530">
        <v>2007</v>
      </c>
      <c r="R1530" s="262">
        <v>25000</v>
      </c>
      <c r="S1530" t="s">
        <v>114</v>
      </c>
      <c r="T1530" t="s">
        <v>114</v>
      </c>
      <c r="U1530">
        <v>5</v>
      </c>
      <c r="W1530">
        <v>100</v>
      </c>
      <c r="X1530">
        <v>0</v>
      </c>
      <c r="Y1530">
        <v>0</v>
      </c>
      <c r="Z1530">
        <v>0</v>
      </c>
      <c r="AA1530">
        <v>0</v>
      </c>
      <c r="AB1530">
        <v>0</v>
      </c>
      <c r="AC1530">
        <v>100</v>
      </c>
      <c r="AD1530">
        <v>0</v>
      </c>
      <c r="AE1530">
        <v>0</v>
      </c>
      <c r="AF1530">
        <v>0</v>
      </c>
      <c r="AG1530">
        <v>0</v>
      </c>
      <c r="AH1530">
        <v>0</v>
      </c>
      <c r="AI1530">
        <v>0</v>
      </c>
      <c r="AJ1530">
        <v>0</v>
      </c>
      <c r="AK1530">
        <v>0</v>
      </c>
      <c r="AL1530">
        <v>0</v>
      </c>
      <c r="AM1530">
        <v>0</v>
      </c>
      <c r="AN1530">
        <v>0</v>
      </c>
      <c r="AO1530">
        <v>0</v>
      </c>
      <c r="AP1530">
        <v>0</v>
      </c>
      <c r="AQ1530">
        <v>0</v>
      </c>
      <c r="AR1530">
        <v>0</v>
      </c>
      <c r="AS1530">
        <v>0</v>
      </c>
      <c r="AT1530">
        <v>0</v>
      </c>
      <c r="AU1530">
        <f t="shared" si="46"/>
        <v>0</v>
      </c>
      <c r="AV1530">
        <f t="shared" si="47"/>
        <v>0</v>
      </c>
    </row>
    <row r="1531" spans="1:48" x14ac:dyDescent="0.25">
      <c r="A1531" t="s">
        <v>6256</v>
      </c>
      <c r="C1531" t="s">
        <v>6257</v>
      </c>
      <c r="D1531" t="s">
        <v>5341</v>
      </c>
      <c r="E1531" t="s">
        <v>2310</v>
      </c>
      <c r="F1531">
        <v>8</v>
      </c>
      <c r="G1531">
        <v>8.1999999999999993</v>
      </c>
      <c r="H1531" t="s">
        <v>2022</v>
      </c>
      <c r="I1531" s="21">
        <v>38566</v>
      </c>
      <c r="J1531">
        <v>2005</v>
      </c>
      <c r="K1531" s="21">
        <v>38631</v>
      </c>
      <c r="L1531">
        <v>2005</v>
      </c>
      <c r="M1531" s="21">
        <v>39297</v>
      </c>
      <c r="N1531">
        <v>2007</v>
      </c>
      <c r="R1531" s="262">
        <v>240000</v>
      </c>
      <c r="S1531" t="s">
        <v>114</v>
      </c>
      <c r="T1531" t="s">
        <v>114</v>
      </c>
      <c r="U1531">
        <v>5</v>
      </c>
      <c r="W1531">
        <v>1181</v>
      </c>
      <c r="X1531">
        <v>0</v>
      </c>
      <c r="Y1531">
        <v>0</v>
      </c>
      <c r="Z1531">
        <v>0</v>
      </c>
      <c r="AA1531">
        <v>0</v>
      </c>
      <c r="AB1531">
        <v>0</v>
      </c>
      <c r="AC1531">
        <v>1181</v>
      </c>
      <c r="AD1531">
        <v>0</v>
      </c>
      <c r="AE1531">
        <v>0</v>
      </c>
      <c r="AF1531">
        <v>0</v>
      </c>
      <c r="AG1531">
        <v>0</v>
      </c>
      <c r="AH1531">
        <v>0</v>
      </c>
      <c r="AI1531">
        <v>0</v>
      </c>
      <c r="AJ1531">
        <v>0</v>
      </c>
      <c r="AK1531">
        <v>0</v>
      </c>
      <c r="AL1531">
        <v>0</v>
      </c>
      <c r="AM1531">
        <v>0</v>
      </c>
      <c r="AN1531">
        <v>0</v>
      </c>
      <c r="AO1531">
        <v>0</v>
      </c>
      <c r="AP1531">
        <v>0</v>
      </c>
      <c r="AQ1531">
        <v>0</v>
      </c>
      <c r="AR1531">
        <v>0</v>
      </c>
      <c r="AS1531">
        <v>0</v>
      </c>
      <c r="AT1531">
        <v>0</v>
      </c>
      <c r="AU1531">
        <f t="shared" si="46"/>
        <v>0</v>
      </c>
      <c r="AV1531">
        <f t="shared" si="47"/>
        <v>0</v>
      </c>
    </row>
    <row r="1532" spans="1:48" x14ac:dyDescent="0.25">
      <c r="A1532" t="s">
        <v>6253</v>
      </c>
      <c r="C1532" t="s">
        <v>6254</v>
      </c>
      <c r="D1532" t="s">
        <v>6255</v>
      </c>
      <c r="E1532" t="s">
        <v>1663</v>
      </c>
      <c r="F1532">
        <v>3</v>
      </c>
      <c r="G1532">
        <v>3.3</v>
      </c>
      <c r="H1532" t="s">
        <v>2017</v>
      </c>
      <c r="I1532" s="21">
        <v>38566</v>
      </c>
      <c r="J1532">
        <v>2005</v>
      </c>
      <c r="K1532" s="21">
        <v>38597</v>
      </c>
      <c r="L1532">
        <v>2005</v>
      </c>
      <c r="M1532" s="21">
        <v>38750</v>
      </c>
      <c r="N1532">
        <v>2006</v>
      </c>
      <c r="Q1532" s="262">
        <v>0</v>
      </c>
      <c r="S1532" t="s">
        <v>114</v>
      </c>
      <c r="T1532" t="s">
        <v>114</v>
      </c>
      <c r="W1532">
        <v>49145</v>
      </c>
      <c r="X1532">
        <v>0</v>
      </c>
      <c r="Y1532">
        <v>0</v>
      </c>
      <c r="Z1532">
        <v>0</v>
      </c>
      <c r="AA1532">
        <v>0</v>
      </c>
      <c r="AB1532">
        <v>0</v>
      </c>
      <c r="AC1532">
        <v>0</v>
      </c>
      <c r="AD1532">
        <v>0</v>
      </c>
      <c r="AE1532">
        <v>0</v>
      </c>
      <c r="AF1532">
        <v>0</v>
      </c>
      <c r="AG1532">
        <v>0</v>
      </c>
      <c r="AH1532">
        <v>0</v>
      </c>
      <c r="AI1532">
        <v>0</v>
      </c>
      <c r="AJ1532">
        <v>0</v>
      </c>
      <c r="AK1532">
        <v>0</v>
      </c>
      <c r="AL1532">
        <v>0</v>
      </c>
      <c r="AM1532">
        <v>49145</v>
      </c>
      <c r="AN1532">
        <v>0</v>
      </c>
      <c r="AO1532">
        <v>0</v>
      </c>
      <c r="AP1532">
        <v>0</v>
      </c>
      <c r="AQ1532">
        <v>0</v>
      </c>
      <c r="AR1532">
        <v>0</v>
      </c>
      <c r="AS1532">
        <v>0</v>
      </c>
      <c r="AT1532">
        <v>0</v>
      </c>
      <c r="AU1532">
        <f t="shared" si="46"/>
        <v>0</v>
      </c>
      <c r="AV1532">
        <f t="shared" si="47"/>
        <v>49145</v>
      </c>
    </row>
    <row r="1533" spans="1:48" x14ac:dyDescent="0.25">
      <c r="A1533" t="s">
        <v>6258</v>
      </c>
      <c r="C1533" t="s">
        <v>3509</v>
      </c>
      <c r="D1533" t="s">
        <v>6259</v>
      </c>
      <c r="E1533" t="s">
        <v>2310</v>
      </c>
      <c r="F1533">
        <v>9</v>
      </c>
      <c r="G1533">
        <v>9.1</v>
      </c>
      <c r="H1533" t="s">
        <v>2323</v>
      </c>
      <c r="I1533" s="21">
        <v>38567</v>
      </c>
      <c r="J1533">
        <v>2005</v>
      </c>
      <c r="K1533" s="21">
        <v>38609</v>
      </c>
      <c r="L1533">
        <v>2005</v>
      </c>
      <c r="M1533" s="21">
        <v>39057</v>
      </c>
      <c r="N1533">
        <v>2006</v>
      </c>
      <c r="R1533" s="262">
        <v>650000</v>
      </c>
      <c r="S1533" t="s">
        <v>114</v>
      </c>
      <c r="T1533" t="s">
        <v>114</v>
      </c>
      <c r="U1533">
        <v>5</v>
      </c>
      <c r="W1533">
        <v>4204</v>
      </c>
      <c r="X1533">
        <v>1</v>
      </c>
      <c r="Y1533">
        <v>0</v>
      </c>
      <c r="Z1533">
        <v>0</v>
      </c>
      <c r="AA1533">
        <v>0</v>
      </c>
      <c r="AB1533">
        <v>0</v>
      </c>
      <c r="AC1533">
        <v>4204</v>
      </c>
      <c r="AD1533">
        <v>0</v>
      </c>
      <c r="AE1533">
        <v>0</v>
      </c>
      <c r="AF1533">
        <v>0</v>
      </c>
      <c r="AG1533">
        <v>0</v>
      </c>
      <c r="AH1533">
        <v>0</v>
      </c>
      <c r="AI1533">
        <v>0</v>
      </c>
      <c r="AJ1533">
        <v>0</v>
      </c>
      <c r="AK1533">
        <v>0</v>
      </c>
      <c r="AL1533">
        <v>0</v>
      </c>
      <c r="AM1533">
        <v>0</v>
      </c>
      <c r="AN1533">
        <v>0</v>
      </c>
      <c r="AO1533">
        <v>1</v>
      </c>
      <c r="AP1533">
        <v>0</v>
      </c>
      <c r="AQ1533">
        <v>0</v>
      </c>
      <c r="AR1533">
        <v>0</v>
      </c>
      <c r="AS1533">
        <v>0</v>
      </c>
      <c r="AT1533">
        <v>0</v>
      </c>
      <c r="AU1533">
        <f t="shared" si="46"/>
        <v>1</v>
      </c>
      <c r="AV1533">
        <f t="shared" si="47"/>
        <v>0</v>
      </c>
    </row>
    <row r="1534" spans="1:48" x14ac:dyDescent="0.25">
      <c r="A1534" t="s">
        <v>6260</v>
      </c>
      <c r="C1534" t="s">
        <v>6261</v>
      </c>
      <c r="D1534" t="s">
        <v>6262</v>
      </c>
      <c r="E1534" t="s">
        <v>2310</v>
      </c>
      <c r="F1534">
        <v>9</v>
      </c>
      <c r="G1534">
        <v>9.3000000000000007</v>
      </c>
      <c r="H1534" t="s">
        <v>2323</v>
      </c>
      <c r="I1534" s="21">
        <v>38567</v>
      </c>
      <c r="J1534">
        <v>2005</v>
      </c>
      <c r="K1534" s="21">
        <v>38579</v>
      </c>
      <c r="L1534">
        <v>2005</v>
      </c>
      <c r="M1534" s="21">
        <v>38995</v>
      </c>
      <c r="N1534">
        <v>2006</v>
      </c>
      <c r="R1534" s="262">
        <v>20000</v>
      </c>
      <c r="S1534" t="s">
        <v>114</v>
      </c>
      <c r="T1534" t="s">
        <v>114</v>
      </c>
      <c r="U1534">
        <v>5</v>
      </c>
      <c r="W1534">
        <v>430</v>
      </c>
      <c r="X1534">
        <v>0</v>
      </c>
      <c r="Y1534">
        <v>0</v>
      </c>
      <c r="Z1534">
        <v>0</v>
      </c>
      <c r="AA1534">
        <v>0</v>
      </c>
      <c r="AB1534">
        <v>0</v>
      </c>
      <c r="AC1534">
        <v>430</v>
      </c>
      <c r="AD1534">
        <v>0</v>
      </c>
      <c r="AE1534">
        <v>0</v>
      </c>
      <c r="AF1534">
        <v>0</v>
      </c>
      <c r="AG1534">
        <v>0</v>
      </c>
      <c r="AH1534">
        <v>0</v>
      </c>
      <c r="AI1534">
        <v>0</v>
      </c>
      <c r="AJ1534">
        <v>0</v>
      </c>
      <c r="AK1534">
        <v>0</v>
      </c>
      <c r="AL1534">
        <v>0</v>
      </c>
      <c r="AM1534">
        <v>0</v>
      </c>
      <c r="AN1534">
        <v>0</v>
      </c>
      <c r="AO1534">
        <v>0</v>
      </c>
      <c r="AP1534">
        <v>0</v>
      </c>
      <c r="AQ1534">
        <v>0</v>
      </c>
      <c r="AR1534">
        <v>0</v>
      </c>
      <c r="AS1534">
        <v>0</v>
      </c>
      <c r="AT1534">
        <v>0</v>
      </c>
      <c r="AU1534">
        <f t="shared" si="46"/>
        <v>0</v>
      </c>
      <c r="AV1534">
        <f t="shared" si="47"/>
        <v>0</v>
      </c>
    </row>
    <row r="1535" spans="1:48" x14ac:dyDescent="0.25">
      <c r="A1535" t="s">
        <v>6263</v>
      </c>
      <c r="C1535" t="s">
        <v>6264</v>
      </c>
      <c r="D1535" t="s">
        <v>4626</v>
      </c>
      <c r="E1535" t="s">
        <v>2310</v>
      </c>
      <c r="F1535">
        <v>9</v>
      </c>
      <c r="G1535">
        <v>9.3000000000000007</v>
      </c>
      <c r="H1535" t="s">
        <v>2323</v>
      </c>
      <c r="I1535" s="21">
        <v>38567</v>
      </c>
      <c r="J1535">
        <v>2005</v>
      </c>
      <c r="K1535" s="21">
        <v>38590</v>
      </c>
      <c r="L1535">
        <v>2005</v>
      </c>
      <c r="M1535" s="21">
        <v>39175</v>
      </c>
      <c r="N1535">
        <v>2007</v>
      </c>
      <c r="R1535" s="262">
        <v>80000</v>
      </c>
      <c r="S1535" t="s">
        <v>114</v>
      </c>
      <c r="T1535" t="s">
        <v>114</v>
      </c>
      <c r="U1535">
        <v>5</v>
      </c>
      <c r="W1535">
        <v>782</v>
      </c>
      <c r="X1535">
        <v>0</v>
      </c>
      <c r="Y1535">
        <v>0</v>
      </c>
      <c r="Z1535">
        <v>0</v>
      </c>
      <c r="AA1535">
        <v>0</v>
      </c>
      <c r="AB1535">
        <v>0</v>
      </c>
      <c r="AC1535">
        <v>782</v>
      </c>
      <c r="AD1535">
        <v>0</v>
      </c>
      <c r="AE1535">
        <v>0</v>
      </c>
      <c r="AF1535">
        <v>0</v>
      </c>
      <c r="AG1535">
        <v>0</v>
      </c>
      <c r="AH1535">
        <v>0</v>
      </c>
      <c r="AI1535">
        <v>0</v>
      </c>
      <c r="AJ1535">
        <v>0</v>
      </c>
      <c r="AK1535">
        <v>0</v>
      </c>
      <c r="AL1535">
        <v>0</v>
      </c>
      <c r="AM1535">
        <v>0</v>
      </c>
      <c r="AN1535">
        <v>0</v>
      </c>
      <c r="AO1535">
        <v>0</v>
      </c>
      <c r="AP1535">
        <v>0</v>
      </c>
      <c r="AQ1535">
        <v>0</v>
      </c>
      <c r="AR1535">
        <v>0</v>
      </c>
      <c r="AS1535">
        <v>0</v>
      </c>
      <c r="AT1535">
        <v>0</v>
      </c>
      <c r="AU1535">
        <f t="shared" si="46"/>
        <v>0</v>
      </c>
      <c r="AV1535">
        <f t="shared" si="47"/>
        <v>0</v>
      </c>
    </row>
    <row r="1536" spans="1:48" x14ac:dyDescent="0.25">
      <c r="A1536" t="s">
        <v>6265</v>
      </c>
      <c r="C1536" t="s">
        <v>6266</v>
      </c>
      <c r="D1536" t="s">
        <v>6267</v>
      </c>
      <c r="E1536" t="s">
        <v>2310</v>
      </c>
      <c r="F1536">
        <v>8</v>
      </c>
      <c r="G1536">
        <v>8.1999999999999993</v>
      </c>
      <c r="H1536" t="s">
        <v>2022</v>
      </c>
      <c r="I1536" s="21">
        <v>38567</v>
      </c>
      <c r="J1536">
        <v>2005</v>
      </c>
      <c r="K1536" s="21">
        <v>38609</v>
      </c>
      <c r="L1536">
        <v>2005</v>
      </c>
      <c r="M1536" s="21">
        <v>39379</v>
      </c>
      <c r="N1536">
        <v>2007</v>
      </c>
      <c r="R1536" s="262">
        <v>500000</v>
      </c>
      <c r="S1536" t="s">
        <v>114</v>
      </c>
      <c r="T1536" t="s">
        <v>114</v>
      </c>
      <c r="U1536">
        <v>5</v>
      </c>
      <c r="W1536">
        <v>2315</v>
      </c>
      <c r="X1536">
        <v>0</v>
      </c>
      <c r="Y1536">
        <v>0</v>
      </c>
      <c r="Z1536">
        <v>0</v>
      </c>
      <c r="AA1536">
        <v>0</v>
      </c>
      <c r="AB1536">
        <v>0</v>
      </c>
      <c r="AC1536">
        <v>2315</v>
      </c>
      <c r="AD1536">
        <v>0</v>
      </c>
      <c r="AE1536">
        <v>0</v>
      </c>
      <c r="AF1536">
        <v>0</v>
      </c>
      <c r="AG1536">
        <v>0</v>
      </c>
      <c r="AH1536">
        <v>0</v>
      </c>
      <c r="AI1536">
        <v>0</v>
      </c>
      <c r="AJ1536">
        <v>0</v>
      </c>
      <c r="AK1536">
        <v>0</v>
      </c>
      <c r="AL1536">
        <v>0</v>
      </c>
      <c r="AM1536">
        <v>0</v>
      </c>
      <c r="AN1536">
        <v>0</v>
      </c>
      <c r="AO1536">
        <v>0</v>
      </c>
      <c r="AP1536">
        <v>0</v>
      </c>
      <c r="AQ1536">
        <v>0</v>
      </c>
      <c r="AR1536">
        <v>0</v>
      </c>
      <c r="AS1536">
        <v>0</v>
      </c>
      <c r="AT1536">
        <v>0</v>
      </c>
      <c r="AU1536">
        <f t="shared" si="46"/>
        <v>0</v>
      </c>
      <c r="AV1536">
        <f t="shared" si="47"/>
        <v>0</v>
      </c>
    </row>
    <row r="1537" spans="1:48" x14ac:dyDescent="0.25">
      <c r="A1537" t="s">
        <v>6268</v>
      </c>
      <c r="C1537" t="s">
        <v>6269</v>
      </c>
      <c r="D1537" t="s">
        <v>6270</v>
      </c>
      <c r="E1537" t="s">
        <v>2310</v>
      </c>
      <c r="F1537">
        <v>9</v>
      </c>
      <c r="G1537">
        <v>9.1999999999999993</v>
      </c>
      <c r="H1537" t="s">
        <v>2022</v>
      </c>
      <c r="I1537" s="21">
        <v>38568</v>
      </c>
      <c r="J1537">
        <v>2005</v>
      </c>
      <c r="K1537" s="21">
        <v>38650</v>
      </c>
      <c r="L1537">
        <v>2005</v>
      </c>
      <c r="M1537" s="21">
        <v>39134</v>
      </c>
      <c r="N1537">
        <v>2007</v>
      </c>
      <c r="R1537" s="262">
        <v>200000</v>
      </c>
      <c r="S1537" t="s">
        <v>114</v>
      </c>
      <c r="T1537" t="s">
        <v>114</v>
      </c>
      <c r="U1537">
        <v>5</v>
      </c>
      <c r="W1537">
        <v>984</v>
      </c>
      <c r="X1537">
        <v>1</v>
      </c>
      <c r="Y1537">
        <v>0</v>
      </c>
      <c r="Z1537">
        <v>0</v>
      </c>
      <c r="AA1537">
        <v>0</v>
      </c>
      <c r="AB1537">
        <v>0</v>
      </c>
      <c r="AC1537">
        <v>984</v>
      </c>
      <c r="AD1537">
        <v>0</v>
      </c>
      <c r="AE1537">
        <v>0</v>
      </c>
      <c r="AF1537">
        <v>0</v>
      </c>
      <c r="AG1537">
        <v>0</v>
      </c>
      <c r="AH1537">
        <v>0</v>
      </c>
      <c r="AI1537">
        <v>0</v>
      </c>
      <c r="AJ1537">
        <v>0</v>
      </c>
      <c r="AK1537">
        <v>0</v>
      </c>
      <c r="AL1537">
        <v>0</v>
      </c>
      <c r="AM1537">
        <v>0</v>
      </c>
      <c r="AN1537">
        <v>0</v>
      </c>
      <c r="AO1537">
        <v>1</v>
      </c>
      <c r="AP1537">
        <v>0</v>
      </c>
      <c r="AQ1537">
        <v>0</v>
      </c>
      <c r="AR1537">
        <v>0</v>
      </c>
      <c r="AS1537">
        <v>0</v>
      </c>
      <c r="AT1537">
        <v>0</v>
      </c>
      <c r="AU1537">
        <f t="shared" si="46"/>
        <v>1</v>
      </c>
      <c r="AV1537">
        <f t="shared" si="47"/>
        <v>0</v>
      </c>
    </row>
    <row r="1538" spans="1:48" x14ac:dyDescent="0.25">
      <c r="A1538" t="s">
        <v>6271</v>
      </c>
      <c r="C1538" t="s">
        <v>3509</v>
      </c>
      <c r="D1538" t="s">
        <v>6272</v>
      </c>
      <c r="E1538" t="s">
        <v>2310</v>
      </c>
      <c r="F1538">
        <v>10</v>
      </c>
      <c r="G1538">
        <v>10.1</v>
      </c>
      <c r="H1538" t="s">
        <v>2323</v>
      </c>
      <c r="I1538" s="21">
        <v>38568</v>
      </c>
      <c r="J1538">
        <v>2005</v>
      </c>
      <c r="K1538" s="21">
        <v>38611</v>
      </c>
      <c r="L1538">
        <v>2005</v>
      </c>
      <c r="M1538" s="21">
        <v>38888</v>
      </c>
      <c r="N1538">
        <v>2006</v>
      </c>
      <c r="R1538" s="262">
        <v>60000</v>
      </c>
      <c r="S1538" t="s">
        <v>114</v>
      </c>
      <c r="T1538" t="s">
        <v>114</v>
      </c>
      <c r="U1538">
        <v>5</v>
      </c>
      <c r="W1538">
        <v>1461</v>
      </c>
      <c r="X1538">
        <v>1</v>
      </c>
      <c r="Y1538">
        <v>0</v>
      </c>
      <c r="Z1538">
        <v>0</v>
      </c>
      <c r="AA1538">
        <v>0</v>
      </c>
      <c r="AB1538">
        <v>0</v>
      </c>
      <c r="AC1538">
        <v>1461</v>
      </c>
      <c r="AD1538">
        <v>0</v>
      </c>
      <c r="AE1538">
        <v>0</v>
      </c>
      <c r="AF1538">
        <v>0</v>
      </c>
      <c r="AG1538">
        <v>0</v>
      </c>
      <c r="AH1538">
        <v>0</v>
      </c>
      <c r="AI1538">
        <v>0</v>
      </c>
      <c r="AJ1538">
        <v>0</v>
      </c>
      <c r="AK1538">
        <v>0</v>
      </c>
      <c r="AL1538">
        <v>0</v>
      </c>
      <c r="AM1538">
        <v>0</v>
      </c>
      <c r="AN1538">
        <v>0</v>
      </c>
      <c r="AO1538">
        <v>1</v>
      </c>
      <c r="AP1538">
        <v>0</v>
      </c>
      <c r="AQ1538">
        <v>0</v>
      </c>
      <c r="AR1538">
        <v>0</v>
      </c>
      <c r="AS1538">
        <v>0</v>
      </c>
      <c r="AT1538">
        <v>0</v>
      </c>
      <c r="AU1538">
        <f t="shared" si="46"/>
        <v>1</v>
      </c>
      <c r="AV1538">
        <f t="shared" si="47"/>
        <v>0</v>
      </c>
    </row>
    <row r="1539" spans="1:48" x14ac:dyDescent="0.25">
      <c r="A1539" t="s">
        <v>6273</v>
      </c>
      <c r="C1539" t="s">
        <v>6274</v>
      </c>
      <c r="D1539" t="s">
        <v>6275</v>
      </c>
      <c r="E1539" t="s">
        <v>2310</v>
      </c>
      <c r="F1539">
        <v>13</v>
      </c>
      <c r="G1539">
        <v>13.3</v>
      </c>
      <c r="H1539" t="s">
        <v>2017</v>
      </c>
      <c r="I1539" s="21">
        <v>38569</v>
      </c>
      <c r="J1539">
        <v>2005</v>
      </c>
      <c r="K1539" s="21">
        <v>38580</v>
      </c>
      <c r="L1539">
        <v>2005</v>
      </c>
      <c r="M1539" s="21">
        <v>39414</v>
      </c>
      <c r="N1539">
        <v>2007</v>
      </c>
      <c r="R1539" s="262">
        <v>140000</v>
      </c>
      <c r="S1539" t="s">
        <v>114</v>
      </c>
      <c r="T1539" t="s">
        <v>114</v>
      </c>
      <c r="U1539">
        <v>5</v>
      </c>
      <c r="W1539">
        <v>669</v>
      </c>
      <c r="X1539">
        <v>0</v>
      </c>
      <c r="Y1539">
        <v>0</v>
      </c>
      <c r="Z1539">
        <v>0</v>
      </c>
      <c r="AA1539">
        <v>0</v>
      </c>
      <c r="AB1539">
        <v>0</v>
      </c>
      <c r="AC1539">
        <v>669</v>
      </c>
      <c r="AD1539">
        <v>0</v>
      </c>
      <c r="AE1539">
        <v>0</v>
      </c>
      <c r="AF1539">
        <v>0</v>
      </c>
      <c r="AG1539">
        <v>0</v>
      </c>
      <c r="AH1539">
        <v>0</v>
      </c>
      <c r="AI1539">
        <v>0</v>
      </c>
      <c r="AJ1539">
        <v>0</v>
      </c>
      <c r="AK1539">
        <v>0</v>
      </c>
      <c r="AL1539">
        <v>0</v>
      </c>
      <c r="AM1539">
        <v>0</v>
      </c>
      <c r="AN1539">
        <v>0</v>
      </c>
      <c r="AO1539">
        <v>0</v>
      </c>
      <c r="AP1539">
        <v>0</v>
      </c>
      <c r="AQ1539">
        <v>0</v>
      </c>
      <c r="AR1539">
        <v>0</v>
      </c>
      <c r="AS1539">
        <v>0</v>
      </c>
      <c r="AT1539">
        <v>0</v>
      </c>
      <c r="AU1539">
        <f t="shared" si="46"/>
        <v>0</v>
      </c>
      <c r="AV1539">
        <f t="shared" si="47"/>
        <v>0</v>
      </c>
    </row>
    <row r="1540" spans="1:48" x14ac:dyDescent="0.25">
      <c r="A1540" t="s">
        <v>6279</v>
      </c>
      <c r="C1540" t="s">
        <v>5909</v>
      </c>
      <c r="D1540" t="s">
        <v>6280</v>
      </c>
      <c r="E1540" t="s">
        <v>2310</v>
      </c>
      <c r="F1540">
        <v>15</v>
      </c>
      <c r="G1540">
        <v>15.2</v>
      </c>
      <c r="H1540" t="s">
        <v>2323</v>
      </c>
      <c r="I1540" s="21">
        <v>38572</v>
      </c>
      <c r="J1540">
        <v>2005</v>
      </c>
      <c r="K1540" s="21">
        <v>38621</v>
      </c>
      <c r="L1540">
        <v>2005</v>
      </c>
      <c r="M1540" s="21">
        <v>38967</v>
      </c>
      <c r="N1540">
        <v>2006</v>
      </c>
      <c r="R1540" s="262">
        <v>500000</v>
      </c>
      <c r="S1540" t="s">
        <v>114</v>
      </c>
      <c r="T1540" t="s">
        <v>114</v>
      </c>
      <c r="U1540">
        <v>5</v>
      </c>
      <c r="W1540">
        <v>3641</v>
      </c>
      <c r="X1540">
        <v>1</v>
      </c>
      <c r="Y1540">
        <v>0</v>
      </c>
      <c r="Z1540">
        <v>0</v>
      </c>
      <c r="AA1540">
        <v>0</v>
      </c>
      <c r="AB1540">
        <v>0</v>
      </c>
      <c r="AC1540">
        <v>3641</v>
      </c>
      <c r="AD1540">
        <v>0</v>
      </c>
      <c r="AE1540">
        <v>0</v>
      </c>
      <c r="AF1540">
        <v>0</v>
      </c>
      <c r="AG1540">
        <v>0</v>
      </c>
      <c r="AH1540">
        <v>0</v>
      </c>
      <c r="AI1540">
        <v>0</v>
      </c>
      <c r="AJ1540">
        <v>0</v>
      </c>
      <c r="AK1540">
        <v>0</v>
      </c>
      <c r="AL1540">
        <v>0</v>
      </c>
      <c r="AM1540">
        <v>0</v>
      </c>
      <c r="AN1540">
        <v>0</v>
      </c>
      <c r="AO1540">
        <v>1</v>
      </c>
      <c r="AP1540">
        <v>0</v>
      </c>
      <c r="AQ1540">
        <v>0</v>
      </c>
      <c r="AR1540">
        <v>0</v>
      </c>
      <c r="AS1540">
        <v>0</v>
      </c>
      <c r="AT1540">
        <v>0</v>
      </c>
      <c r="AU1540">
        <f t="shared" si="46"/>
        <v>1</v>
      </c>
      <c r="AV1540">
        <f t="shared" si="47"/>
        <v>0</v>
      </c>
    </row>
    <row r="1541" spans="1:48" x14ac:dyDescent="0.25">
      <c r="A1541" t="s">
        <v>6276</v>
      </c>
      <c r="C1541" t="s">
        <v>6277</v>
      </c>
      <c r="D1541" t="s">
        <v>6278</v>
      </c>
      <c r="E1541" t="s">
        <v>1663</v>
      </c>
      <c r="F1541">
        <v>2</v>
      </c>
      <c r="G1541">
        <v>2.2999999999999998</v>
      </c>
      <c r="H1541" t="s">
        <v>2327</v>
      </c>
      <c r="I1541" s="21">
        <v>38572</v>
      </c>
      <c r="J1541">
        <v>2005</v>
      </c>
      <c r="K1541" s="21">
        <v>38603</v>
      </c>
      <c r="L1541">
        <v>2005</v>
      </c>
      <c r="M1541" s="21">
        <v>38756</v>
      </c>
      <c r="N1541">
        <v>2006</v>
      </c>
      <c r="Q1541" s="262">
        <v>0</v>
      </c>
      <c r="S1541" t="s">
        <v>114</v>
      </c>
      <c r="T1541" t="s">
        <v>114</v>
      </c>
      <c r="W1541">
        <v>0</v>
      </c>
      <c r="X1541">
        <v>0</v>
      </c>
      <c r="Y1541">
        <v>0</v>
      </c>
      <c r="Z1541">
        <v>0</v>
      </c>
      <c r="AA1541">
        <v>0</v>
      </c>
      <c r="AB1541">
        <v>0</v>
      </c>
      <c r="AC1541">
        <v>0</v>
      </c>
      <c r="AD1541">
        <v>0</v>
      </c>
      <c r="AE1541">
        <v>0</v>
      </c>
      <c r="AF1541">
        <v>0</v>
      </c>
      <c r="AG1541">
        <v>0</v>
      </c>
      <c r="AH1541">
        <v>0</v>
      </c>
      <c r="AI1541">
        <v>0</v>
      </c>
      <c r="AJ1541">
        <v>0</v>
      </c>
      <c r="AK1541">
        <v>0</v>
      </c>
      <c r="AL1541">
        <v>0</v>
      </c>
      <c r="AM1541">
        <v>0</v>
      </c>
      <c r="AN1541">
        <v>0</v>
      </c>
      <c r="AO1541">
        <v>0</v>
      </c>
      <c r="AP1541">
        <v>0</v>
      </c>
      <c r="AQ1541">
        <v>0</v>
      </c>
      <c r="AR1541">
        <v>0</v>
      </c>
      <c r="AS1541">
        <v>0</v>
      </c>
      <c r="AT1541">
        <v>0</v>
      </c>
      <c r="AU1541">
        <f t="shared" si="46"/>
        <v>0</v>
      </c>
      <c r="AV1541">
        <f t="shared" si="47"/>
        <v>0</v>
      </c>
    </row>
    <row r="1542" spans="1:48" x14ac:dyDescent="0.25">
      <c r="A1542" t="s">
        <v>6284</v>
      </c>
      <c r="C1542" t="s">
        <v>6285</v>
      </c>
      <c r="D1542" t="s">
        <v>2453</v>
      </c>
      <c r="E1542" t="s">
        <v>2310</v>
      </c>
      <c r="F1542">
        <v>13</v>
      </c>
      <c r="G1542">
        <v>13.1</v>
      </c>
      <c r="H1542" t="s">
        <v>2327</v>
      </c>
      <c r="I1542" s="21">
        <v>38573</v>
      </c>
      <c r="J1542">
        <v>2005</v>
      </c>
      <c r="K1542" s="21">
        <v>38639</v>
      </c>
      <c r="L1542">
        <v>2005</v>
      </c>
      <c r="M1542" s="21">
        <v>38698</v>
      </c>
      <c r="N1542">
        <v>2005</v>
      </c>
      <c r="R1542" s="262">
        <v>300000</v>
      </c>
      <c r="S1542" t="s">
        <v>114</v>
      </c>
      <c r="T1542" t="s">
        <v>114</v>
      </c>
      <c r="U1542">
        <v>13</v>
      </c>
      <c r="W1542">
        <v>0</v>
      </c>
      <c r="X1542">
        <v>0</v>
      </c>
      <c r="Y1542">
        <v>0</v>
      </c>
      <c r="Z1542">
        <v>0</v>
      </c>
      <c r="AA1542">
        <v>0</v>
      </c>
      <c r="AB1542">
        <v>0</v>
      </c>
      <c r="AC1542">
        <v>0</v>
      </c>
      <c r="AD1542">
        <v>0</v>
      </c>
      <c r="AE1542">
        <v>0</v>
      </c>
      <c r="AF1542">
        <v>0</v>
      </c>
      <c r="AG1542">
        <v>0</v>
      </c>
      <c r="AH1542">
        <v>0</v>
      </c>
      <c r="AI1542">
        <v>0</v>
      </c>
      <c r="AJ1542">
        <v>0</v>
      </c>
      <c r="AK1542">
        <v>0</v>
      </c>
      <c r="AL1542">
        <v>0</v>
      </c>
      <c r="AM1542">
        <v>0</v>
      </c>
      <c r="AN1542">
        <v>0</v>
      </c>
      <c r="AO1542">
        <v>0</v>
      </c>
      <c r="AP1542">
        <v>0</v>
      </c>
      <c r="AQ1542">
        <v>0</v>
      </c>
      <c r="AR1542">
        <v>0</v>
      </c>
      <c r="AS1542">
        <v>0</v>
      </c>
      <c r="AT1542">
        <v>0</v>
      </c>
      <c r="AU1542">
        <f t="shared" si="46"/>
        <v>0</v>
      </c>
      <c r="AV1542">
        <f t="shared" si="47"/>
        <v>0</v>
      </c>
    </row>
    <row r="1543" spans="1:48" x14ac:dyDescent="0.25">
      <c r="A1543" t="s">
        <v>6281</v>
      </c>
      <c r="C1543" t="s">
        <v>6282</v>
      </c>
      <c r="D1543" t="s">
        <v>6283</v>
      </c>
      <c r="E1543" t="s">
        <v>1663</v>
      </c>
      <c r="F1543">
        <v>2</v>
      </c>
      <c r="G1543">
        <v>2.1</v>
      </c>
      <c r="H1543" t="s">
        <v>2327</v>
      </c>
      <c r="I1543" s="21">
        <v>38573</v>
      </c>
      <c r="J1543">
        <v>2005</v>
      </c>
      <c r="K1543" s="21">
        <v>38604</v>
      </c>
      <c r="L1543">
        <v>2005</v>
      </c>
      <c r="M1543" s="21">
        <v>38757</v>
      </c>
      <c r="N1543">
        <v>2006</v>
      </c>
      <c r="Q1543" s="262">
        <v>0</v>
      </c>
      <c r="S1543" t="s">
        <v>114</v>
      </c>
      <c r="T1543" t="s">
        <v>114</v>
      </c>
      <c r="W1543">
        <v>6030</v>
      </c>
      <c r="X1543">
        <v>2</v>
      </c>
      <c r="Y1543">
        <v>0</v>
      </c>
      <c r="Z1543">
        <v>0</v>
      </c>
      <c r="AA1543">
        <v>0</v>
      </c>
      <c r="AB1543">
        <v>0</v>
      </c>
      <c r="AC1543">
        <v>0</v>
      </c>
      <c r="AD1543">
        <v>6030</v>
      </c>
      <c r="AE1543">
        <v>0</v>
      </c>
      <c r="AF1543">
        <v>0</v>
      </c>
      <c r="AG1543">
        <v>0</v>
      </c>
      <c r="AH1543">
        <v>0</v>
      </c>
      <c r="AI1543">
        <v>0</v>
      </c>
      <c r="AJ1543">
        <v>0</v>
      </c>
      <c r="AK1543">
        <v>0</v>
      </c>
      <c r="AL1543">
        <v>0</v>
      </c>
      <c r="AM1543">
        <v>0</v>
      </c>
      <c r="AN1543">
        <v>0</v>
      </c>
      <c r="AO1543">
        <v>0</v>
      </c>
      <c r="AP1543">
        <v>2</v>
      </c>
      <c r="AQ1543">
        <v>0</v>
      </c>
      <c r="AR1543">
        <v>0</v>
      </c>
      <c r="AS1543">
        <v>0</v>
      </c>
      <c r="AT1543">
        <v>0</v>
      </c>
      <c r="AU1543">
        <f t="shared" si="46"/>
        <v>2</v>
      </c>
      <c r="AV1543">
        <f t="shared" si="47"/>
        <v>0</v>
      </c>
    </row>
    <row r="1544" spans="1:48" x14ac:dyDescent="0.25">
      <c r="A1544" t="s">
        <v>6292</v>
      </c>
      <c r="C1544" t="s">
        <v>6293</v>
      </c>
      <c r="D1544" t="s">
        <v>4683</v>
      </c>
      <c r="E1544" t="s">
        <v>1663</v>
      </c>
      <c r="F1544">
        <v>2</v>
      </c>
      <c r="G1544">
        <v>2.6</v>
      </c>
      <c r="H1544" t="s">
        <v>2327</v>
      </c>
      <c r="I1544" s="21">
        <v>38574</v>
      </c>
      <c r="J1544">
        <v>2005</v>
      </c>
      <c r="K1544" s="21">
        <v>38605</v>
      </c>
      <c r="L1544">
        <v>2005</v>
      </c>
      <c r="M1544" s="21">
        <v>38758</v>
      </c>
      <c r="N1544">
        <v>2006</v>
      </c>
      <c r="Q1544" s="262">
        <v>0</v>
      </c>
      <c r="S1544" t="s">
        <v>114</v>
      </c>
      <c r="T1544" t="s">
        <v>114</v>
      </c>
      <c r="W1544">
        <v>2800</v>
      </c>
      <c r="X1544">
        <v>0</v>
      </c>
      <c r="Y1544">
        <v>0</v>
      </c>
      <c r="Z1544">
        <v>0</v>
      </c>
      <c r="AA1544">
        <v>0</v>
      </c>
      <c r="AB1544">
        <v>0</v>
      </c>
      <c r="AC1544">
        <v>0</v>
      </c>
      <c r="AD1544">
        <v>0</v>
      </c>
      <c r="AE1544">
        <v>0</v>
      </c>
      <c r="AF1544">
        <v>0</v>
      </c>
      <c r="AG1544">
        <v>0</v>
      </c>
      <c r="AH1544">
        <v>0</v>
      </c>
      <c r="AI1544">
        <v>0</v>
      </c>
      <c r="AJ1544">
        <v>0</v>
      </c>
      <c r="AK1544">
        <v>0</v>
      </c>
      <c r="AL1544">
        <v>0</v>
      </c>
      <c r="AM1544">
        <v>2800</v>
      </c>
      <c r="AN1544">
        <v>0</v>
      </c>
      <c r="AO1544">
        <v>0</v>
      </c>
      <c r="AP1544">
        <v>0</v>
      </c>
      <c r="AQ1544">
        <v>0</v>
      </c>
      <c r="AR1544">
        <v>0</v>
      </c>
      <c r="AS1544">
        <v>0</v>
      </c>
      <c r="AT1544">
        <v>0</v>
      </c>
      <c r="AU1544">
        <f t="shared" si="46"/>
        <v>0</v>
      </c>
      <c r="AV1544">
        <f t="shared" si="47"/>
        <v>2800</v>
      </c>
    </row>
    <row r="1545" spans="1:48" x14ac:dyDescent="0.25">
      <c r="A1545" t="s">
        <v>6286</v>
      </c>
      <c r="C1545" t="s">
        <v>6287</v>
      </c>
      <c r="D1545" t="s">
        <v>6288</v>
      </c>
      <c r="E1545" t="s">
        <v>1663</v>
      </c>
      <c r="F1545">
        <v>2</v>
      </c>
      <c r="G1545">
        <v>2.1</v>
      </c>
      <c r="H1545" t="s">
        <v>2327</v>
      </c>
      <c r="I1545" s="21">
        <v>38574</v>
      </c>
      <c r="J1545">
        <v>2005</v>
      </c>
      <c r="K1545" s="21">
        <v>38605</v>
      </c>
      <c r="L1545">
        <v>2005</v>
      </c>
      <c r="M1545" s="21">
        <v>38758</v>
      </c>
      <c r="N1545">
        <v>2006</v>
      </c>
      <c r="Q1545" s="262">
        <v>0</v>
      </c>
      <c r="S1545" t="s">
        <v>114</v>
      </c>
      <c r="T1545" t="s">
        <v>114</v>
      </c>
      <c r="W1545">
        <v>6030</v>
      </c>
      <c r="X1545">
        <v>2</v>
      </c>
      <c r="Y1545">
        <v>0</v>
      </c>
      <c r="Z1545">
        <v>0</v>
      </c>
      <c r="AA1545">
        <v>0</v>
      </c>
      <c r="AB1545">
        <v>0</v>
      </c>
      <c r="AC1545">
        <v>0</v>
      </c>
      <c r="AD1545">
        <v>6030</v>
      </c>
      <c r="AE1545">
        <v>0</v>
      </c>
      <c r="AF1545">
        <v>0</v>
      </c>
      <c r="AG1545">
        <v>0</v>
      </c>
      <c r="AH1545">
        <v>0</v>
      </c>
      <c r="AI1545">
        <v>0</v>
      </c>
      <c r="AJ1545">
        <v>0</v>
      </c>
      <c r="AK1545">
        <v>0</v>
      </c>
      <c r="AL1545">
        <v>0</v>
      </c>
      <c r="AM1545">
        <v>0</v>
      </c>
      <c r="AN1545">
        <v>0</v>
      </c>
      <c r="AO1545">
        <v>0</v>
      </c>
      <c r="AP1545">
        <v>2</v>
      </c>
      <c r="AQ1545">
        <v>0</v>
      </c>
      <c r="AR1545">
        <v>0</v>
      </c>
      <c r="AS1545">
        <v>0</v>
      </c>
      <c r="AT1545">
        <v>0</v>
      </c>
      <c r="AU1545">
        <f t="shared" si="46"/>
        <v>2</v>
      </c>
      <c r="AV1545">
        <f t="shared" si="47"/>
        <v>0</v>
      </c>
    </row>
    <row r="1546" spans="1:48" x14ac:dyDescent="0.25">
      <c r="A1546" t="s">
        <v>6289</v>
      </c>
      <c r="C1546" t="s">
        <v>6290</v>
      </c>
      <c r="D1546" t="s">
        <v>6291</v>
      </c>
      <c r="E1546" t="s">
        <v>1663</v>
      </c>
      <c r="F1546">
        <v>2</v>
      </c>
      <c r="G1546">
        <v>2.1</v>
      </c>
      <c r="H1546" t="s">
        <v>2327</v>
      </c>
      <c r="I1546" s="21">
        <v>38574</v>
      </c>
      <c r="J1546">
        <v>2005</v>
      </c>
      <c r="K1546" s="21">
        <v>38605</v>
      </c>
      <c r="L1546">
        <v>2005</v>
      </c>
      <c r="M1546" s="21">
        <v>38758</v>
      </c>
      <c r="N1546">
        <v>2006</v>
      </c>
      <c r="Q1546" s="262">
        <v>0</v>
      </c>
      <c r="S1546" t="s">
        <v>114</v>
      </c>
      <c r="T1546" t="s">
        <v>114</v>
      </c>
      <c r="W1546">
        <v>6030</v>
      </c>
      <c r="X1546">
        <v>2</v>
      </c>
      <c r="Y1546">
        <v>0</v>
      </c>
      <c r="Z1546">
        <v>0</v>
      </c>
      <c r="AA1546">
        <v>0</v>
      </c>
      <c r="AB1546">
        <v>0</v>
      </c>
      <c r="AC1546">
        <v>0</v>
      </c>
      <c r="AD1546">
        <v>6030</v>
      </c>
      <c r="AE1546">
        <v>0</v>
      </c>
      <c r="AF1546">
        <v>0</v>
      </c>
      <c r="AG1546">
        <v>0</v>
      </c>
      <c r="AH1546">
        <v>0</v>
      </c>
      <c r="AI1546">
        <v>0</v>
      </c>
      <c r="AJ1546">
        <v>0</v>
      </c>
      <c r="AK1546">
        <v>0</v>
      </c>
      <c r="AL1546">
        <v>0</v>
      </c>
      <c r="AM1546">
        <v>0</v>
      </c>
      <c r="AN1546">
        <v>0</v>
      </c>
      <c r="AO1546">
        <v>0</v>
      </c>
      <c r="AP1546">
        <v>2</v>
      </c>
      <c r="AQ1546">
        <v>0</v>
      </c>
      <c r="AR1546">
        <v>0</v>
      </c>
      <c r="AS1546">
        <v>0</v>
      </c>
      <c r="AT1546">
        <v>0</v>
      </c>
      <c r="AU1546">
        <f t="shared" si="46"/>
        <v>2</v>
      </c>
      <c r="AV1546">
        <f t="shared" si="47"/>
        <v>0</v>
      </c>
    </row>
    <row r="1547" spans="1:48" x14ac:dyDescent="0.25">
      <c r="A1547" t="s">
        <v>6294</v>
      </c>
      <c r="C1547" t="s">
        <v>6295</v>
      </c>
      <c r="D1547" t="s">
        <v>6296</v>
      </c>
      <c r="E1547" t="s">
        <v>2310</v>
      </c>
      <c r="F1547">
        <v>11</v>
      </c>
      <c r="G1547">
        <v>11.2</v>
      </c>
      <c r="H1547" t="s">
        <v>2017</v>
      </c>
      <c r="I1547" s="21">
        <v>38575</v>
      </c>
      <c r="J1547">
        <v>2005</v>
      </c>
      <c r="K1547" s="21">
        <v>38580</v>
      </c>
      <c r="L1547">
        <v>2005</v>
      </c>
      <c r="M1547" s="21">
        <v>38989</v>
      </c>
      <c r="N1547">
        <v>2006</v>
      </c>
      <c r="R1547" s="262">
        <v>125000</v>
      </c>
      <c r="S1547" t="s">
        <v>114</v>
      </c>
      <c r="T1547" t="s">
        <v>114</v>
      </c>
      <c r="U1547">
        <v>5</v>
      </c>
      <c r="W1547">
        <v>770</v>
      </c>
      <c r="X1547">
        <v>0</v>
      </c>
      <c r="Y1547">
        <v>0</v>
      </c>
      <c r="Z1547">
        <v>0</v>
      </c>
      <c r="AA1547">
        <v>0</v>
      </c>
      <c r="AB1547">
        <v>0</v>
      </c>
      <c r="AC1547">
        <v>770</v>
      </c>
      <c r="AD1547">
        <v>0</v>
      </c>
      <c r="AE1547">
        <v>0</v>
      </c>
      <c r="AF1547">
        <v>0</v>
      </c>
      <c r="AG1547">
        <v>0</v>
      </c>
      <c r="AH1547">
        <v>0</v>
      </c>
      <c r="AI1547">
        <v>0</v>
      </c>
      <c r="AJ1547">
        <v>0</v>
      </c>
      <c r="AK1547">
        <v>0</v>
      </c>
      <c r="AL1547">
        <v>0</v>
      </c>
      <c r="AM1547">
        <v>0</v>
      </c>
      <c r="AN1547">
        <v>0</v>
      </c>
      <c r="AO1547">
        <v>0</v>
      </c>
      <c r="AP1547">
        <v>0</v>
      </c>
      <c r="AQ1547">
        <v>0</v>
      </c>
      <c r="AR1547">
        <v>0</v>
      </c>
      <c r="AS1547">
        <v>0</v>
      </c>
      <c r="AT1547">
        <v>0</v>
      </c>
      <c r="AU1547">
        <f t="shared" si="46"/>
        <v>0</v>
      </c>
      <c r="AV1547">
        <f t="shared" si="47"/>
        <v>0</v>
      </c>
    </row>
    <row r="1548" spans="1:48" x14ac:dyDescent="0.25">
      <c r="A1548" t="s">
        <v>6297</v>
      </c>
      <c r="C1548" t="s">
        <v>6298</v>
      </c>
      <c r="D1548" t="s">
        <v>4532</v>
      </c>
      <c r="E1548" t="s">
        <v>2310</v>
      </c>
      <c r="F1548">
        <v>8</v>
      </c>
      <c r="G1548">
        <v>8.1</v>
      </c>
      <c r="H1548" t="s">
        <v>2323</v>
      </c>
      <c r="I1548" s="21">
        <v>38575</v>
      </c>
      <c r="J1548">
        <v>2005</v>
      </c>
      <c r="K1548" s="21">
        <v>38611</v>
      </c>
      <c r="L1548">
        <v>2005</v>
      </c>
      <c r="M1548" s="21">
        <v>39010</v>
      </c>
      <c r="N1548">
        <v>2006</v>
      </c>
      <c r="R1548" s="262">
        <v>300000</v>
      </c>
      <c r="S1548" t="s">
        <v>114</v>
      </c>
      <c r="T1548" t="s">
        <v>114</v>
      </c>
      <c r="U1548">
        <v>5</v>
      </c>
      <c r="W1548">
        <v>1110</v>
      </c>
      <c r="X1548">
        <v>0</v>
      </c>
      <c r="Y1548">
        <v>0</v>
      </c>
      <c r="Z1548">
        <v>0</v>
      </c>
      <c r="AA1548">
        <v>0</v>
      </c>
      <c r="AB1548">
        <v>0</v>
      </c>
      <c r="AC1548">
        <v>1110</v>
      </c>
      <c r="AD1548">
        <v>0</v>
      </c>
      <c r="AE1548">
        <v>0</v>
      </c>
      <c r="AF1548">
        <v>0</v>
      </c>
      <c r="AG1548">
        <v>0</v>
      </c>
      <c r="AH1548">
        <v>0</v>
      </c>
      <c r="AI1548">
        <v>0</v>
      </c>
      <c r="AJ1548">
        <v>0</v>
      </c>
      <c r="AK1548">
        <v>0</v>
      </c>
      <c r="AL1548">
        <v>0</v>
      </c>
      <c r="AM1548">
        <v>0</v>
      </c>
      <c r="AN1548">
        <v>0</v>
      </c>
      <c r="AO1548">
        <v>0</v>
      </c>
      <c r="AP1548">
        <v>0</v>
      </c>
      <c r="AQ1548">
        <v>0</v>
      </c>
      <c r="AR1548">
        <v>0</v>
      </c>
      <c r="AS1548">
        <v>0</v>
      </c>
      <c r="AT1548">
        <v>0</v>
      </c>
      <c r="AU1548">
        <f t="shared" si="46"/>
        <v>0</v>
      </c>
      <c r="AV1548">
        <f t="shared" si="47"/>
        <v>0</v>
      </c>
    </row>
    <row r="1549" spans="1:48" x14ac:dyDescent="0.25">
      <c r="A1549" t="s">
        <v>6299</v>
      </c>
      <c r="C1549" t="s">
        <v>6300</v>
      </c>
      <c r="D1549" t="s">
        <v>3151</v>
      </c>
      <c r="E1549" t="s">
        <v>2310</v>
      </c>
      <c r="F1549">
        <v>13</v>
      </c>
      <c r="G1549">
        <v>13.3</v>
      </c>
      <c r="H1549" t="s">
        <v>2017</v>
      </c>
      <c r="I1549" s="21">
        <v>38579</v>
      </c>
      <c r="J1549">
        <v>2005</v>
      </c>
      <c r="K1549" s="21">
        <v>38611</v>
      </c>
      <c r="L1549">
        <v>2005</v>
      </c>
      <c r="M1549" s="21">
        <v>39791</v>
      </c>
      <c r="N1549">
        <v>2008</v>
      </c>
      <c r="R1549" s="262">
        <v>300000</v>
      </c>
      <c r="S1549" t="s">
        <v>114</v>
      </c>
      <c r="T1549" t="s">
        <v>114</v>
      </c>
      <c r="U1549">
        <v>5</v>
      </c>
      <c r="W1549">
        <v>1571</v>
      </c>
      <c r="X1549">
        <v>0</v>
      </c>
      <c r="Y1549">
        <v>0</v>
      </c>
      <c r="Z1549">
        <v>0</v>
      </c>
      <c r="AA1549">
        <v>0</v>
      </c>
      <c r="AB1549">
        <v>0</v>
      </c>
      <c r="AC1549">
        <v>1571</v>
      </c>
      <c r="AD1549">
        <v>0</v>
      </c>
      <c r="AE1549">
        <v>0</v>
      </c>
      <c r="AF1549">
        <v>0</v>
      </c>
      <c r="AG1549">
        <v>0</v>
      </c>
      <c r="AH1549">
        <v>0</v>
      </c>
      <c r="AI1549">
        <v>0</v>
      </c>
      <c r="AJ1549">
        <v>0</v>
      </c>
      <c r="AK1549">
        <v>0</v>
      </c>
      <c r="AL1549">
        <v>0</v>
      </c>
      <c r="AM1549">
        <v>0</v>
      </c>
      <c r="AN1549">
        <v>0</v>
      </c>
      <c r="AO1549">
        <v>0</v>
      </c>
      <c r="AP1549">
        <v>0</v>
      </c>
      <c r="AQ1549">
        <v>0</v>
      </c>
      <c r="AR1549">
        <v>0</v>
      </c>
      <c r="AS1549">
        <v>0</v>
      </c>
      <c r="AT1549">
        <v>0</v>
      </c>
      <c r="AU1549">
        <f t="shared" si="46"/>
        <v>0</v>
      </c>
      <c r="AV1549">
        <f t="shared" si="47"/>
        <v>0</v>
      </c>
    </row>
    <row r="1550" spans="1:48" x14ac:dyDescent="0.25">
      <c r="A1550" t="s">
        <v>6301</v>
      </c>
      <c r="C1550" t="s">
        <v>6302</v>
      </c>
      <c r="D1550" t="s">
        <v>3151</v>
      </c>
      <c r="E1550" t="s">
        <v>2310</v>
      </c>
      <c r="F1550">
        <v>13</v>
      </c>
      <c r="G1550">
        <v>13.3</v>
      </c>
      <c r="H1550" t="s">
        <v>2017</v>
      </c>
      <c r="I1550" s="21">
        <v>38579</v>
      </c>
      <c r="J1550">
        <v>2005</v>
      </c>
      <c r="K1550" s="21">
        <v>38617</v>
      </c>
      <c r="L1550">
        <v>2005</v>
      </c>
      <c r="M1550" s="21">
        <v>39791</v>
      </c>
      <c r="N1550">
        <v>2008</v>
      </c>
      <c r="R1550" s="262">
        <v>50000</v>
      </c>
      <c r="S1550" t="s">
        <v>114</v>
      </c>
      <c r="T1550" t="s">
        <v>114</v>
      </c>
      <c r="U1550">
        <v>5</v>
      </c>
      <c r="W1550">
        <v>93</v>
      </c>
      <c r="X1550">
        <v>0</v>
      </c>
      <c r="Y1550">
        <v>0</v>
      </c>
      <c r="Z1550">
        <v>0</v>
      </c>
      <c r="AA1550">
        <v>0</v>
      </c>
      <c r="AB1550">
        <v>0</v>
      </c>
      <c r="AC1550">
        <v>93</v>
      </c>
      <c r="AD1550">
        <v>0</v>
      </c>
      <c r="AE1550">
        <v>0</v>
      </c>
      <c r="AF1550">
        <v>0</v>
      </c>
      <c r="AG1550">
        <v>0</v>
      </c>
      <c r="AH1550">
        <v>0</v>
      </c>
      <c r="AI1550">
        <v>0</v>
      </c>
      <c r="AJ1550">
        <v>0</v>
      </c>
      <c r="AK1550">
        <v>0</v>
      </c>
      <c r="AL1550">
        <v>0</v>
      </c>
      <c r="AM1550">
        <v>0</v>
      </c>
      <c r="AN1550">
        <v>0</v>
      </c>
      <c r="AO1550">
        <v>0</v>
      </c>
      <c r="AP1550">
        <v>0</v>
      </c>
      <c r="AQ1550">
        <v>0</v>
      </c>
      <c r="AR1550">
        <v>0</v>
      </c>
      <c r="AS1550">
        <v>0</v>
      </c>
      <c r="AT1550">
        <v>0</v>
      </c>
      <c r="AU1550">
        <f t="shared" si="46"/>
        <v>0</v>
      </c>
      <c r="AV1550">
        <f t="shared" si="47"/>
        <v>0</v>
      </c>
    </row>
    <row r="1551" spans="1:48" x14ac:dyDescent="0.25">
      <c r="A1551" t="s">
        <v>6303</v>
      </c>
      <c r="C1551" t="s">
        <v>6304</v>
      </c>
      <c r="D1551" t="s">
        <v>3663</v>
      </c>
      <c r="E1551" t="s">
        <v>2310</v>
      </c>
      <c r="F1551">
        <v>9</v>
      </c>
      <c r="G1551">
        <v>9.3000000000000007</v>
      </c>
      <c r="H1551" t="s">
        <v>2323</v>
      </c>
      <c r="I1551" s="21">
        <v>38580</v>
      </c>
      <c r="J1551">
        <v>2005</v>
      </c>
      <c r="K1551" s="21">
        <v>38588</v>
      </c>
      <c r="L1551">
        <v>2005</v>
      </c>
      <c r="M1551" s="21">
        <v>39027</v>
      </c>
      <c r="N1551">
        <v>2006</v>
      </c>
      <c r="R1551" s="262">
        <v>10000</v>
      </c>
      <c r="S1551" t="s">
        <v>114</v>
      </c>
      <c r="T1551" t="s">
        <v>114</v>
      </c>
      <c r="U1551">
        <v>5</v>
      </c>
      <c r="W1551">
        <v>720</v>
      </c>
      <c r="X1551">
        <v>0</v>
      </c>
      <c r="Y1551">
        <v>0</v>
      </c>
      <c r="Z1551">
        <v>0</v>
      </c>
      <c r="AA1551">
        <v>0</v>
      </c>
      <c r="AB1551">
        <v>0</v>
      </c>
      <c r="AC1551">
        <v>720</v>
      </c>
      <c r="AD1551">
        <v>0</v>
      </c>
      <c r="AE1551">
        <v>0</v>
      </c>
      <c r="AF1551">
        <v>0</v>
      </c>
      <c r="AG1551">
        <v>0</v>
      </c>
      <c r="AH1551">
        <v>0</v>
      </c>
      <c r="AI1551">
        <v>0</v>
      </c>
      <c r="AJ1551">
        <v>0</v>
      </c>
      <c r="AK1551">
        <v>0</v>
      </c>
      <c r="AL1551">
        <v>0</v>
      </c>
      <c r="AM1551">
        <v>0</v>
      </c>
      <c r="AN1551">
        <v>0</v>
      </c>
      <c r="AO1551">
        <v>0</v>
      </c>
      <c r="AP1551">
        <v>0</v>
      </c>
      <c r="AQ1551">
        <v>0</v>
      </c>
      <c r="AR1551">
        <v>0</v>
      </c>
      <c r="AS1551">
        <v>0</v>
      </c>
      <c r="AT1551">
        <v>0</v>
      </c>
      <c r="AU1551">
        <f t="shared" si="46"/>
        <v>0</v>
      </c>
      <c r="AV1551">
        <f t="shared" si="47"/>
        <v>0</v>
      </c>
    </row>
    <row r="1552" spans="1:48" x14ac:dyDescent="0.25">
      <c r="A1552" t="s">
        <v>6305</v>
      </c>
      <c r="C1552" t="s">
        <v>6306</v>
      </c>
      <c r="D1552" t="s">
        <v>6307</v>
      </c>
      <c r="E1552" t="s">
        <v>2310</v>
      </c>
      <c r="F1552">
        <v>9</v>
      </c>
      <c r="G1552">
        <v>9.1999999999999993</v>
      </c>
      <c r="H1552" t="s">
        <v>2022</v>
      </c>
      <c r="I1552" s="21">
        <v>38580</v>
      </c>
      <c r="J1552">
        <v>2005</v>
      </c>
      <c r="K1552" s="21">
        <v>38629</v>
      </c>
      <c r="L1552">
        <v>2005</v>
      </c>
      <c r="M1552" s="21">
        <v>39776</v>
      </c>
      <c r="N1552">
        <v>2008</v>
      </c>
      <c r="R1552" s="262">
        <v>120000</v>
      </c>
      <c r="S1552" t="s">
        <v>114</v>
      </c>
      <c r="T1552" t="s">
        <v>114</v>
      </c>
      <c r="U1552">
        <v>8</v>
      </c>
      <c r="W1552">
        <v>1696</v>
      </c>
      <c r="X1552">
        <v>1</v>
      </c>
      <c r="Y1552">
        <v>0</v>
      </c>
      <c r="Z1552">
        <v>0</v>
      </c>
      <c r="AA1552">
        <v>0</v>
      </c>
      <c r="AB1552">
        <v>0</v>
      </c>
      <c r="AC1552">
        <v>1024</v>
      </c>
      <c r="AD1552">
        <v>0</v>
      </c>
      <c r="AE1552">
        <v>0</v>
      </c>
      <c r="AF1552">
        <v>672</v>
      </c>
      <c r="AG1552">
        <v>0</v>
      </c>
      <c r="AH1552">
        <v>0</v>
      </c>
      <c r="AI1552">
        <v>0</v>
      </c>
      <c r="AJ1552">
        <v>0</v>
      </c>
      <c r="AK1552">
        <v>0</v>
      </c>
      <c r="AL1552">
        <v>0</v>
      </c>
      <c r="AM1552">
        <v>0</v>
      </c>
      <c r="AN1552">
        <v>0</v>
      </c>
      <c r="AO1552">
        <v>0</v>
      </c>
      <c r="AP1552">
        <v>0</v>
      </c>
      <c r="AQ1552">
        <v>0</v>
      </c>
      <c r="AR1552">
        <v>1</v>
      </c>
      <c r="AS1552">
        <v>0</v>
      </c>
      <c r="AT1552">
        <v>0</v>
      </c>
      <c r="AU1552">
        <f t="shared" si="46"/>
        <v>0</v>
      </c>
      <c r="AV1552">
        <f t="shared" si="47"/>
        <v>0</v>
      </c>
    </row>
    <row r="1553" spans="1:48" x14ac:dyDescent="0.25">
      <c r="A1553" t="s">
        <v>6308</v>
      </c>
      <c r="C1553" t="s">
        <v>6309</v>
      </c>
      <c r="D1553" t="s">
        <v>6310</v>
      </c>
      <c r="E1553" t="s">
        <v>2310</v>
      </c>
      <c r="F1553">
        <v>9</v>
      </c>
      <c r="G1553">
        <v>9.3000000000000007</v>
      </c>
      <c r="H1553" t="s">
        <v>2323</v>
      </c>
      <c r="I1553" s="21">
        <v>38580</v>
      </c>
      <c r="J1553">
        <v>2005</v>
      </c>
      <c r="K1553" s="21">
        <v>38630</v>
      </c>
      <c r="L1553">
        <v>2005</v>
      </c>
      <c r="M1553" s="21">
        <v>39059</v>
      </c>
      <c r="N1553">
        <v>2006</v>
      </c>
      <c r="R1553" s="262">
        <v>400000</v>
      </c>
      <c r="S1553" t="s">
        <v>114</v>
      </c>
      <c r="T1553" t="s">
        <v>114</v>
      </c>
      <c r="U1553">
        <v>5</v>
      </c>
      <c r="W1553">
        <v>351</v>
      </c>
      <c r="X1553">
        <v>0</v>
      </c>
      <c r="Y1553">
        <v>0</v>
      </c>
      <c r="Z1553">
        <v>0</v>
      </c>
      <c r="AA1553">
        <v>0</v>
      </c>
      <c r="AB1553">
        <v>0</v>
      </c>
      <c r="AC1553">
        <v>351</v>
      </c>
      <c r="AD1553">
        <v>0</v>
      </c>
      <c r="AE1553">
        <v>0</v>
      </c>
      <c r="AF1553">
        <v>0</v>
      </c>
      <c r="AG1553">
        <v>0</v>
      </c>
      <c r="AH1553">
        <v>0</v>
      </c>
      <c r="AI1553">
        <v>0</v>
      </c>
      <c r="AJ1553">
        <v>0</v>
      </c>
      <c r="AK1553">
        <v>0</v>
      </c>
      <c r="AL1553">
        <v>0</v>
      </c>
      <c r="AM1553">
        <v>0</v>
      </c>
      <c r="AN1553">
        <v>0</v>
      </c>
      <c r="AO1553">
        <v>0</v>
      </c>
      <c r="AP1553">
        <v>0</v>
      </c>
      <c r="AQ1553">
        <v>0</v>
      </c>
      <c r="AR1553">
        <v>0</v>
      </c>
      <c r="AS1553">
        <v>0</v>
      </c>
      <c r="AT1553">
        <v>0</v>
      </c>
      <c r="AU1553">
        <f t="shared" si="46"/>
        <v>0</v>
      </c>
      <c r="AV1553">
        <f t="shared" si="47"/>
        <v>0</v>
      </c>
    </row>
    <row r="1554" spans="1:48" x14ac:dyDescent="0.25">
      <c r="A1554" t="s">
        <v>6311</v>
      </c>
      <c r="C1554" t="s">
        <v>4936</v>
      </c>
      <c r="D1554" t="s">
        <v>6312</v>
      </c>
      <c r="E1554" t="s">
        <v>2310</v>
      </c>
      <c r="F1554">
        <v>9</v>
      </c>
      <c r="G1554">
        <v>9.1</v>
      </c>
      <c r="H1554" t="s">
        <v>2323</v>
      </c>
      <c r="I1554" s="21">
        <v>38582</v>
      </c>
      <c r="J1554">
        <v>2005</v>
      </c>
      <c r="K1554" s="21">
        <v>38631</v>
      </c>
      <c r="L1554">
        <v>2005</v>
      </c>
      <c r="M1554" s="21">
        <v>39034</v>
      </c>
      <c r="N1554">
        <v>2006</v>
      </c>
      <c r="R1554" s="262">
        <v>550000</v>
      </c>
      <c r="S1554" t="s">
        <v>114</v>
      </c>
      <c r="T1554" t="s">
        <v>114</v>
      </c>
      <c r="U1554">
        <v>5</v>
      </c>
      <c r="W1554">
        <v>4325</v>
      </c>
      <c r="X1554">
        <v>1</v>
      </c>
      <c r="Y1554">
        <v>0</v>
      </c>
      <c r="Z1554">
        <v>0</v>
      </c>
      <c r="AA1554">
        <v>0</v>
      </c>
      <c r="AB1554">
        <v>0</v>
      </c>
      <c r="AC1554">
        <v>4325</v>
      </c>
      <c r="AD1554">
        <v>0</v>
      </c>
      <c r="AE1554">
        <v>0</v>
      </c>
      <c r="AF1554">
        <v>0</v>
      </c>
      <c r="AG1554">
        <v>0</v>
      </c>
      <c r="AH1554">
        <v>0</v>
      </c>
      <c r="AI1554">
        <v>0</v>
      </c>
      <c r="AJ1554">
        <v>0</v>
      </c>
      <c r="AK1554">
        <v>0</v>
      </c>
      <c r="AL1554">
        <v>0</v>
      </c>
      <c r="AM1554">
        <v>0</v>
      </c>
      <c r="AN1554">
        <v>0</v>
      </c>
      <c r="AO1554">
        <v>1</v>
      </c>
      <c r="AP1554">
        <v>0</v>
      </c>
      <c r="AQ1554">
        <v>0</v>
      </c>
      <c r="AR1554">
        <v>0</v>
      </c>
      <c r="AS1554">
        <v>0</v>
      </c>
      <c r="AT1554">
        <v>0</v>
      </c>
      <c r="AU1554">
        <f t="shared" si="46"/>
        <v>1</v>
      </c>
      <c r="AV1554">
        <f t="shared" si="47"/>
        <v>0</v>
      </c>
    </row>
    <row r="1555" spans="1:48" x14ac:dyDescent="0.25">
      <c r="A1555" t="s">
        <v>6313</v>
      </c>
      <c r="C1555" t="s">
        <v>6314</v>
      </c>
      <c r="D1555" t="s">
        <v>6315</v>
      </c>
      <c r="E1555" t="s">
        <v>2310</v>
      </c>
      <c r="F1555">
        <v>13</v>
      </c>
      <c r="G1555">
        <v>13.3</v>
      </c>
      <c r="H1555" t="s">
        <v>2017</v>
      </c>
      <c r="I1555" s="21">
        <v>38582</v>
      </c>
      <c r="J1555">
        <v>2005</v>
      </c>
      <c r="K1555" s="21">
        <v>38623</v>
      </c>
      <c r="L1555">
        <v>2005</v>
      </c>
      <c r="M1555" s="21">
        <v>39101</v>
      </c>
      <c r="N1555">
        <v>2007</v>
      </c>
      <c r="R1555" s="262">
        <v>100000</v>
      </c>
      <c r="S1555" t="s">
        <v>114</v>
      </c>
      <c r="T1555" t="s">
        <v>114</v>
      </c>
      <c r="U1555">
        <v>5</v>
      </c>
      <c r="W1555">
        <v>1536</v>
      </c>
      <c r="X1555">
        <v>0</v>
      </c>
      <c r="Y1555">
        <v>0</v>
      </c>
      <c r="Z1555">
        <v>0</v>
      </c>
      <c r="AA1555">
        <v>0</v>
      </c>
      <c r="AB1555">
        <v>0</v>
      </c>
      <c r="AC1555">
        <v>1536</v>
      </c>
      <c r="AD1555">
        <v>0</v>
      </c>
      <c r="AE1555">
        <v>0</v>
      </c>
      <c r="AF1555">
        <v>0</v>
      </c>
      <c r="AG1555">
        <v>0</v>
      </c>
      <c r="AH1555">
        <v>0</v>
      </c>
      <c r="AI1555">
        <v>0</v>
      </c>
      <c r="AJ1555">
        <v>0</v>
      </c>
      <c r="AK1555">
        <v>0</v>
      </c>
      <c r="AL1555">
        <v>0</v>
      </c>
      <c r="AM1555">
        <v>0</v>
      </c>
      <c r="AN1555">
        <v>0</v>
      </c>
      <c r="AO1555">
        <v>0</v>
      </c>
      <c r="AP1555">
        <v>0</v>
      </c>
      <c r="AQ1555">
        <v>0</v>
      </c>
      <c r="AR1555">
        <v>0</v>
      </c>
      <c r="AS1555">
        <v>0</v>
      </c>
      <c r="AT1555">
        <v>0</v>
      </c>
      <c r="AU1555">
        <f t="shared" si="46"/>
        <v>0</v>
      </c>
      <c r="AV1555">
        <f t="shared" si="47"/>
        <v>0</v>
      </c>
    </row>
    <row r="1556" spans="1:48" x14ac:dyDescent="0.25">
      <c r="A1556" t="s">
        <v>6316</v>
      </c>
      <c r="C1556" t="s">
        <v>6317</v>
      </c>
      <c r="D1556" t="s">
        <v>6318</v>
      </c>
      <c r="E1556" t="s">
        <v>2310</v>
      </c>
      <c r="F1556">
        <v>9</v>
      </c>
      <c r="G1556">
        <v>9.3000000000000007</v>
      </c>
      <c r="H1556" t="s">
        <v>2323</v>
      </c>
      <c r="I1556" s="21">
        <v>38582</v>
      </c>
      <c r="J1556">
        <v>2005</v>
      </c>
      <c r="K1556" s="21">
        <v>38588</v>
      </c>
      <c r="L1556">
        <v>2005</v>
      </c>
      <c r="M1556" s="21">
        <v>38870</v>
      </c>
      <c r="N1556">
        <v>2006</v>
      </c>
      <c r="R1556" s="262">
        <v>6000</v>
      </c>
      <c r="S1556" t="s">
        <v>114</v>
      </c>
      <c r="T1556" t="s">
        <v>114</v>
      </c>
      <c r="U1556">
        <v>5</v>
      </c>
      <c r="W1556">
        <v>60</v>
      </c>
      <c r="X1556">
        <v>0</v>
      </c>
      <c r="Y1556">
        <v>0</v>
      </c>
      <c r="Z1556">
        <v>0</v>
      </c>
      <c r="AA1556">
        <v>0</v>
      </c>
      <c r="AB1556">
        <v>0</v>
      </c>
      <c r="AC1556">
        <v>60</v>
      </c>
      <c r="AD1556">
        <v>0</v>
      </c>
      <c r="AE1556">
        <v>0</v>
      </c>
      <c r="AF1556">
        <v>0</v>
      </c>
      <c r="AG1556">
        <v>0</v>
      </c>
      <c r="AH1556">
        <v>0</v>
      </c>
      <c r="AI1556">
        <v>0</v>
      </c>
      <c r="AJ1556">
        <v>0</v>
      </c>
      <c r="AK1556">
        <v>0</v>
      </c>
      <c r="AL1556">
        <v>0</v>
      </c>
      <c r="AM1556">
        <v>0</v>
      </c>
      <c r="AN1556">
        <v>0</v>
      </c>
      <c r="AO1556">
        <v>0</v>
      </c>
      <c r="AP1556">
        <v>0</v>
      </c>
      <c r="AQ1556">
        <v>0</v>
      </c>
      <c r="AR1556">
        <v>0</v>
      </c>
      <c r="AS1556">
        <v>0</v>
      </c>
      <c r="AT1556">
        <v>0</v>
      </c>
      <c r="AU1556">
        <f t="shared" si="46"/>
        <v>0</v>
      </c>
      <c r="AV1556">
        <f t="shared" si="47"/>
        <v>0</v>
      </c>
    </row>
    <row r="1557" spans="1:48" x14ac:dyDescent="0.25">
      <c r="A1557" t="s">
        <v>6319</v>
      </c>
      <c r="C1557" t="s">
        <v>6320</v>
      </c>
      <c r="D1557" t="s">
        <v>6321</v>
      </c>
      <c r="E1557" t="s">
        <v>2310</v>
      </c>
      <c r="F1557">
        <v>8</v>
      </c>
      <c r="G1557">
        <v>8.3000000000000007</v>
      </c>
      <c r="H1557" t="s">
        <v>2323</v>
      </c>
      <c r="I1557" s="21">
        <v>38586</v>
      </c>
      <c r="J1557">
        <v>2005</v>
      </c>
      <c r="K1557" s="21">
        <v>38597</v>
      </c>
      <c r="L1557">
        <v>2005</v>
      </c>
      <c r="M1557" s="21">
        <v>38848</v>
      </c>
      <c r="N1557">
        <v>2006</v>
      </c>
      <c r="R1557" s="262">
        <v>500000</v>
      </c>
      <c r="S1557" t="s">
        <v>114</v>
      </c>
      <c r="T1557" t="s">
        <v>114</v>
      </c>
      <c r="U1557">
        <v>5</v>
      </c>
      <c r="W1557">
        <v>1088</v>
      </c>
      <c r="X1557">
        <v>0</v>
      </c>
      <c r="Y1557">
        <v>0</v>
      </c>
      <c r="Z1557">
        <v>0</v>
      </c>
      <c r="AA1557">
        <v>0</v>
      </c>
      <c r="AB1557">
        <v>0</v>
      </c>
      <c r="AC1557">
        <v>1088</v>
      </c>
      <c r="AD1557">
        <v>0</v>
      </c>
      <c r="AE1557">
        <v>0</v>
      </c>
      <c r="AF1557">
        <v>0</v>
      </c>
      <c r="AG1557">
        <v>0</v>
      </c>
      <c r="AH1557">
        <v>0</v>
      </c>
      <c r="AI1557">
        <v>0</v>
      </c>
      <c r="AJ1557">
        <v>0</v>
      </c>
      <c r="AK1557">
        <v>0</v>
      </c>
      <c r="AL1557">
        <v>0</v>
      </c>
      <c r="AM1557">
        <v>0</v>
      </c>
      <c r="AN1557">
        <v>0</v>
      </c>
      <c r="AO1557">
        <v>0</v>
      </c>
      <c r="AP1557">
        <v>0</v>
      </c>
      <c r="AQ1557">
        <v>0</v>
      </c>
      <c r="AR1557">
        <v>0</v>
      </c>
      <c r="AS1557">
        <v>0</v>
      </c>
      <c r="AT1557">
        <v>0</v>
      </c>
      <c r="AU1557">
        <f t="shared" si="46"/>
        <v>0</v>
      </c>
      <c r="AV1557">
        <f t="shared" si="47"/>
        <v>0</v>
      </c>
    </row>
    <row r="1558" spans="1:48" x14ac:dyDescent="0.25">
      <c r="A1558" t="s">
        <v>6322</v>
      </c>
      <c r="C1558" t="s">
        <v>6323</v>
      </c>
      <c r="D1558" t="s">
        <v>4250</v>
      </c>
      <c r="E1558" t="s">
        <v>2310</v>
      </c>
      <c r="F1558">
        <v>8</v>
      </c>
      <c r="G1558">
        <v>8.1</v>
      </c>
      <c r="H1558" t="s">
        <v>2323</v>
      </c>
      <c r="I1558" s="21">
        <v>38586</v>
      </c>
      <c r="J1558">
        <v>2005</v>
      </c>
      <c r="K1558" s="21">
        <v>38601</v>
      </c>
      <c r="L1558">
        <v>2005</v>
      </c>
      <c r="M1558" s="21">
        <v>38601</v>
      </c>
      <c r="N1558">
        <v>2005</v>
      </c>
      <c r="R1558" s="262">
        <v>9500</v>
      </c>
      <c r="S1558" t="s">
        <v>114</v>
      </c>
      <c r="T1558" t="s">
        <v>114</v>
      </c>
      <c r="U1558">
        <v>5</v>
      </c>
      <c r="W1558">
        <v>0</v>
      </c>
      <c r="X1558">
        <v>0</v>
      </c>
      <c r="Y1558">
        <v>0</v>
      </c>
      <c r="Z1558">
        <v>0</v>
      </c>
      <c r="AA1558">
        <v>0</v>
      </c>
      <c r="AB1558">
        <v>0</v>
      </c>
      <c r="AC1558">
        <v>0</v>
      </c>
      <c r="AD1558">
        <v>0</v>
      </c>
      <c r="AE1558">
        <v>0</v>
      </c>
      <c r="AF1558">
        <v>0</v>
      </c>
      <c r="AG1558">
        <v>0</v>
      </c>
      <c r="AH1558">
        <v>0</v>
      </c>
      <c r="AI1558">
        <v>0</v>
      </c>
      <c r="AJ1558">
        <v>0</v>
      </c>
      <c r="AK1558">
        <v>0</v>
      </c>
      <c r="AL1558">
        <v>0</v>
      </c>
      <c r="AM1558">
        <v>0</v>
      </c>
      <c r="AN1558">
        <v>0</v>
      </c>
      <c r="AO1558">
        <v>0</v>
      </c>
      <c r="AP1558">
        <v>0</v>
      </c>
      <c r="AQ1558">
        <v>0</v>
      </c>
      <c r="AR1558">
        <v>0</v>
      </c>
      <c r="AS1558">
        <v>0</v>
      </c>
      <c r="AT1558">
        <v>0</v>
      </c>
      <c r="AU1558">
        <f t="shared" si="46"/>
        <v>0</v>
      </c>
      <c r="AV1558">
        <f t="shared" si="47"/>
        <v>0</v>
      </c>
    </row>
    <row r="1559" spans="1:48" x14ac:dyDescent="0.25">
      <c r="A1559" t="s">
        <v>6324</v>
      </c>
      <c r="C1559" t="s">
        <v>6325</v>
      </c>
      <c r="D1559" t="s">
        <v>6326</v>
      </c>
      <c r="E1559" t="s">
        <v>1663</v>
      </c>
      <c r="F1559">
        <v>3</v>
      </c>
      <c r="G1559">
        <v>3.2</v>
      </c>
      <c r="H1559" t="s">
        <v>2327</v>
      </c>
      <c r="I1559" s="21">
        <v>38587</v>
      </c>
      <c r="J1559">
        <v>2005</v>
      </c>
      <c r="K1559" s="21">
        <v>38618</v>
      </c>
      <c r="L1559">
        <v>2005</v>
      </c>
      <c r="M1559" s="21">
        <v>38771</v>
      </c>
      <c r="N1559">
        <v>2006</v>
      </c>
      <c r="Q1559" s="262">
        <v>0</v>
      </c>
      <c r="S1559" t="s">
        <v>114</v>
      </c>
      <c r="T1559" t="s">
        <v>114</v>
      </c>
      <c r="W1559">
        <v>96</v>
      </c>
      <c r="X1559">
        <v>0</v>
      </c>
      <c r="Y1559">
        <v>0</v>
      </c>
      <c r="Z1559">
        <v>0</v>
      </c>
      <c r="AA1559">
        <v>0</v>
      </c>
      <c r="AB1559">
        <v>0</v>
      </c>
      <c r="AC1559">
        <v>0</v>
      </c>
      <c r="AD1559">
        <v>0</v>
      </c>
      <c r="AE1559">
        <v>0</v>
      </c>
      <c r="AF1559">
        <v>0</v>
      </c>
      <c r="AG1559">
        <v>96</v>
      </c>
      <c r="AH1559">
        <v>0</v>
      </c>
      <c r="AI1559">
        <v>0</v>
      </c>
      <c r="AJ1559">
        <v>0</v>
      </c>
      <c r="AK1559">
        <v>0</v>
      </c>
      <c r="AL1559">
        <v>0</v>
      </c>
      <c r="AM1559">
        <v>0</v>
      </c>
      <c r="AN1559">
        <v>0</v>
      </c>
      <c r="AO1559">
        <v>0</v>
      </c>
      <c r="AP1559">
        <v>0</v>
      </c>
      <c r="AQ1559">
        <v>0</v>
      </c>
      <c r="AR1559">
        <v>0</v>
      </c>
      <c r="AS1559">
        <v>0</v>
      </c>
      <c r="AT1559">
        <v>0</v>
      </c>
      <c r="AU1559">
        <f t="shared" si="46"/>
        <v>0</v>
      </c>
      <c r="AV1559">
        <f t="shared" si="47"/>
        <v>0</v>
      </c>
    </row>
    <row r="1560" spans="1:48" x14ac:dyDescent="0.25">
      <c r="A1560" t="s">
        <v>6327</v>
      </c>
      <c r="C1560" t="s">
        <v>6328</v>
      </c>
      <c r="D1560" t="s">
        <v>6329</v>
      </c>
      <c r="E1560" t="s">
        <v>2310</v>
      </c>
      <c r="F1560">
        <v>9</v>
      </c>
      <c r="G1560">
        <v>9.1999999999999993</v>
      </c>
      <c r="H1560" t="s">
        <v>2022</v>
      </c>
      <c r="I1560" s="21">
        <v>38588</v>
      </c>
      <c r="J1560">
        <v>2005</v>
      </c>
      <c r="K1560" s="21">
        <v>38597</v>
      </c>
      <c r="L1560">
        <v>2005</v>
      </c>
      <c r="M1560" s="21">
        <v>38926</v>
      </c>
      <c r="N1560">
        <v>2006</v>
      </c>
      <c r="R1560" s="262">
        <v>24000</v>
      </c>
      <c r="S1560" t="s">
        <v>114</v>
      </c>
      <c r="T1560" t="s">
        <v>114</v>
      </c>
      <c r="U1560">
        <v>1</v>
      </c>
      <c r="W1560">
        <v>2400</v>
      </c>
      <c r="X1560">
        <v>0</v>
      </c>
      <c r="Y1560">
        <v>2400</v>
      </c>
      <c r="Z1560">
        <v>0</v>
      </c>
      <c r="AA1560">
        <v>0</v>
      </c>
      <c r="AB1560">
        <v>0</v>
      </c>
      <c r="AC1560">
        <v>0</v>
      </c>
      <c r="AD1560">
        <v>0</v>
      </c>
      <c r="AE1560">
        <v>0</v>
      </c>
      <c r="AF1560">
        <v>0</v>
      </c>
      <c r="AG1560">
        <v>0</v>
      </c>
      <c r="AH1560">
        <v>0</v>
      </c>
      <c r="AI1560">
        <v>0</v>
      </c>
      <c r="AJ1560">
        <v>0</v>
      </c>
      <c r="AK1560">
        <v>0</v>
      </c>
      <c r="AL1560">
        <v>0</v>
      </c>
      <c r="AM1560">
        <v>0</v>
      </c>
      <c r="AN1560">
        <v>0</v>
      </c>
      <c r="AO1560">
        <v>0</v>
      </c>
      <c r="AP1560">
        <v>0</v>
      </c>
      <c r="AQ1560">
        <v>0</v>
      </c>
      <c r="AR1560">
        <v>0</v>
      </c>
      <c r="AS1560">
        <v>0</v>
      </c>
      <c r="AT1560">
        <v>0</v>
      </c>
      <c r="AU1560">
        <f t="shared" si="46"/>
        <v>0</v>
      </c>
      <c r="AV1560">
        <f t="shared" si="47"/>
        <v>2400</v>
      </c>
    </row>
    <row r="1561" spans="1:48" x14ac:dyDescent="0.25">
      <c r="A1561" t="s">
        <v>6330</v>
      </c>
      <c r="C1561" t="s">
        <v>6331</v>
      </c>
      <c r="D1561" t="s">
        <v>6332</v>
      </c>
      <c r="E1561" t="s">
        <v>2310</v>
      </c>
      <c r="F1561">
        <v>10</v>
      </c>
      <c r="G1561">
        <v>10.1</v>
      </c>
      <c r="H1561" t="s">
        <v>2323</v>
      </c>
      <c r="I1561" s="21">
        <v>38588</v>
      </c>
      <c r="J1561">
        <v>2005</v>
      </c>
      <c r="K1561" s="21">
        <v>38623</v>
      </c>
      <c r="L1561">
        <v>2005</v>
      </c>
      <c r="M1561" s="21">
        <v>38723</v>
      </c>
      <c r="N1561">
        <v>2006</v>
      </c>
      <c r="R1561" s="262">
        <v>25000</v>
      </c>
      <c r="S1561" t="s">
        <v>114</v>
      </c>
      <c r="T1561" t="s">
        <v>114</v>
      </c>
      <c r="U1561">
        <v>5</v>
      </c>
      <c r="W1561">
        <v>612</v>
      </c>
      <c r="X1561">
        <v>0</v>
      </c>
      <c r="Y1561">
        <v>0</v>
      </c>
      <c r="Z1561">
        <v>0</v>
      </c>
      <c r="AA1561">
        <v>0</v>
      </c>
      <c r="AB1561">
        <v>0</v>
      </c>
      <c r="AC1561">
        <v>612</v>
      </c>
      <c r="AD1561">
        <v>0</v>
      </c>
      <c r="AE1561">
        <v>0</v>
      </c>
      <c r="AF1561">
        <v>0</v>
      </c>
      <c r="AG1561">
        <v>0</v>
      </c>
      <c r="AH1561">
        <v>0</v>
      </c>
      <c r="AI1561">
        <v>0</v>
      </c>
      <c r="AJ1561">
        <v>0</v>
      </c>
      <c r="AK1561">
        <v>0</v>
      </c>
      <c r="AL1561">
        <v>0</v>
      </c>
      <c r="AM1561">
        <v>0</v>
      </c>
      <c r="AN1561">
        <v>0</v>
      </c>
      <c r="AO1561">
        <v>0</v>
      </c>
      <c r="AP1561">
        <v>0</v>
      </c>
      <c r="AQ1561">
        <v>0</v>
      </c>
      <c r="AR1561">
        <v>0</v>
      </c>
      <c r="AS1561">
        <v>0</v>
      </c>
      <c r="AT1561">
        <v>0</v>
      </c>
      <c r="AU1561">
        <f t="shared" ref="AU1561:AU1624" si="48">SUM(AN1561:AQ1561,AS1561)</f>
        <v>0</v>
      </c>
      <c r="AV1561">
        <f t="shared" ref="AV1561:AV1624" si="49">SUM(Y1561:AB1561,AH1561:AM1561)</f>
        <v>0</v>
      </c>
    </row>
    <row r="1562" spans="1:48" x14ac:dyDescent="0.25">
      <c r="A1562" t="s">
        <v>18901</v>
      </c>
      <c r="B1562" t="s">
        <v>114</v>
      </c>
      <c r="C1562" t="s">
        <v>7286</v>
      </c>
      <c r="D1562" t="s">
        <v>18902</v>
      </c>
      <c r="E1562" t="s">
        <v>2310</v>
      </c>
      <c r="F1562">
        <v>8</v>
      </c>
      <c r="G1562">
        <v>8.4</v>
      </c>
      <c r="H1562" t="s">
        <v>2017</v>
      </c>
      <c r="I1562" s="21">
        <v>38588</v>
      </c>
      <c r="J1562">
        <v>2005</v>
      </c>
      <c r="K1562" s="21">
        <v>38601</v>
      </c>
      <c r="L1562">
        <v>2005</v>
      </c>
      <c r="M1562" s="21">
        <v>43663.653731631945</v>
      </c>
      <c r="N1562">
        <v>2019</v>
      </c>
      <c r="R1562" s="262">
        <v>30000</v>
      </c>
      <c r="S1562" t="s">
        <v>13254</v>
      </c>
      <c r="U1562">
        <v>5</v>
      </c>
      <c r="W1562">
        <v>512</v>
      </c>
      <c r="X1562">
        <v>0</v>
      </c>
      <c r="Y1562">
        <v>0</v>
      </c>
      <c r="Z1562">
        <v>0</v>
      </c>
      <c r="AA1562">
        <v>0</v>
      </c>
      <c r="AB1562">
        <v>0</v>
      </c>
      <c r="AC1562">
        <v>512</v>
      </c>
      <c r="AD1562">
        <v>0</v>
      </c>
      <c r="AE1562">
        <v>0</v>
      </c>
      <c r="AF1562">
        <v>0</v>
      </c>
      <c r="AG1562">
        <v>0</v>
      </c>
      <c r="AH1562">
        <v>0</v>
      </c>
      <c r="AI1562">
        <v>0</v>
      </c>
      <c r="AJ1562">
        <v>0</v>
      </c>
      <c r="AK1562">
        <v>0</v>
      </c>
      <c r="AL1562">
        <v>0</v>
      </c>
      <c r="AM1562">
        <v>0</v>
      </c>
      <c r="AN1562">
        <v>0</v>
      </c>
      <c r="AO1562">
        <v>0</v>
      </c>
      <c r="AP1562">
        <v>0</v>
      </c>
      <c r="AQ1562">
        <v>0</v>
      </c>
      <c r="AR1562">
        <v>0</v>
      </c>
      <c r="AS1562">
        <v>0</v>
      </c>
      <c r="AT1562">
        <v>0</v>
      </c>
      <c r="AU1562">
        <f t="shared" si="48"/>
        <v>0</v>
      </c>
      <c r="AV1562">
        <f t="shared" si="49"/>
        <v>0</v>
      </c>
    </row>
    <row r="1563" spans="1:48" x14ac:dyDescent="0.25">
      <c r="A1563" t="s">
        <v>6333</v>
      </c>
      <c r="C1563" t="s">
        <v>6334</v>
      </c>
      <c r="D1563" t="s">
        <v>2824</v>
      </c>
      <c r="E1563" t="s">
        <v>2310</v>
      </c>
      <c r="F1563">
        <v>10</v>
      </c>
      <c r="G1563">
        <v>10.1</v>
      </c>
      <c r="H1563" t="s">
        <v>2323</v>
      </c>
      <c r="I1563" s="21">
        <v>38589</v>
      </c>
      <c r="J1563">
        <v>2005</v>
      </c>
      <c r="K1563" s="21">
        <v>38635</v>
      </c>
      <c r="L1563">
        <v>2005</v>
      </c>
      <c r="M1563" s="21">
        <v>39161</v>
      </c>
      <c r="N1563">
        <v>2007</v>
      </c>
      <c r="R1563" s="262">
        <v>260000</v>
      </c>
      <c r="S1563" t="s">
        <v>114</v>
      </c>
      <c r="T1563" t="s">
        <v>114</v>
      </c>
      <c r="U1563">
        <v>8</v>
      </c>
      <c r="W1563">
        <v>1728</v>
      </c>
      <c r="X1563">
        <v>1</v>
      </c>
      <c r="Y1563">
        <v>0</v>
      </c>
      <c r="Z1563">
        <v>0</v>
      </c>
      <c r="AA1563">
        <v>0</v>
      </c>
      <c r="AB1563">
        <v>0</v>
      </c>
      <c r="AC1563">
        <v>744</v>
      </c>
      <c r="AD1563">
        <v>0</v>
      </c>
      <c r="AE1563">
        <v>0</v>
      </c>
      <c r="AF1563">
        <v>984</v>
      </c>
      <c r="AG1563">
        <v>0</v>
      </c>
      <c r="AH1563">
        <v>0</v>
      </c>
      <c r="AI1563">
        <v>0</v>
      </c>
      <c r="AJ1563">
        <v>0</v>
      </c>
      <c r="AK1563">
        <v>0</v>
      </c>
      <c r="AL1563">
        <v>0</v>
      </c>
      <c r="AM1563">
        <v>0</v>
      </c>
      <c r="AN1563">
        <v>0</v>
      </c>
      <c r="AO1563">
        <v>0</v>
      </c>
      <c r="AP1563">
        <v>0</v>
      </c>
      <c r="AQ1563">
        <v>0</v>
      </c>
      <c r="AR1563">
        <v>1</v>
      </c>
      <c r="AS1563">
        <v>0</v>
      </c>
      <c r="AT1563">
        <v>0</v>
      </c>
      <c r="AU1563">
        <f t="shared" si="48"/>
        <v>0</v>
      </c>
      <c r="AV1563">
        <f t="shared" si="49"/>
        <v>0</v>
      </c>
    </row>
    <row r="1564" spans="1:48" x14ac:dyDescent="0.25">
      <c r="A1564" t="s">
        <v>6335</v>
      </c>
      <c r="C1564" t="s">
        <v>6336</v>
      </c>
      <c r="D1564" t="s">
        <v>6337</v>
      </c>
      <c r="E1564" t="s">
        <v>2310</v>
      </c>
      <c r="F1564">
        <v>9</v>
      </c>
      <c r="G1564">
        <v>9.1</v>
      </c>
      <c r="H1564" t="s">
        <v>2323</v>
      </c>
      <c r="I1564" s="21">
        <v>38593</v>
      </c>
      <c r="J1564">
        <v>2005</v>
      </c>
      <c r="K1564" s="21">
        <v>38643</v>
      </c>
      <c r="L1564">
        <v>2005</v>
      </c>
      <c r="M1564" s="21">
        <v>39022</v>
      </c>
      <c r="N1564">
        <v>2006</v>
      </c>
      <c r="R1564" s="262">
        <v>480000</v>
      </c>
      <c r="S1564" t="s">
        <v>114</v>
      </c>
      <c r="T1564" t="s">
        <v>114</v>
      </c>
      <c r="U1564">
        <v>11</v>
      </c>
      <c r="W1564">
        <v>2365</v>
      </c>
      <c r="X1564">
        <v>1</v>
      </c>
      <c r="Y1564">
        <v>0</v>
      </c>
      <c r="Z1564">
        <v>0</v>
      </c>
      <c r="AA1564">
        <v>0</v>
      </c>
      <c r="AB1564">
        <v>0</v>
      </c>
      <c r="AC1564">
        <v>0</v>
      </c>
      <c r="AD1564">
        <v>0</v>
      </c>
      <c r="AE1564">
        <v>0</v>
      </c>
      <c r="AF1564">
        <v>0</v>
      </c>
      <c r="AG1564">
        <v>0</v>
      </c>
      <c r="AH1564">
        <v>0</v>
      </c>
      <c r="AI1564">
        <v>2365</v>
      </c>
      <c r="AJ1564">
        <v>0</v>
      </c>
      <c r="AK1564">
        <v>0</v>
      </c>
      <c r="AL1564">
        <v>0</v>
      </c>
      <c r="AM1564">
        <v>0</v>
      </c>
      <c r="AN1564">
        <v>0</v>
      </c>
      <c r="AO1564">
        <v>0</v>
      </c>
      <c r="AP1564">
        <v>0</v>
      </c>
      <c r="AQ1564">
        <v>0</v>
      </c>
      <c r="AR1564">
        <v>0</v>
      </c>
      <c r="AS1564">
        <v>0</v>
      </c>
      <c r="AT1564">
        <v>1</v>
      </c>
      <c r="AU1564">
        <f t="shared" si="48"/>
        <v>0</v>
      </c>
      <c r="AV1564">
        <f t="shared" si="49"/>
        <v>2365</v>
      </c>
    </row>
    <row r="1565" spans="1:48" x14ac:dyDescent="0.25">
      <c r="A1565" t="s">
        <v>6338</v>
      </c>
      <c r="C1565" t="s">
        <v>6339</v>
      </c>
      <c r="D1565" t="s">
        <v>6337</v>
      </c>
      <c r="E1565" t="s">
        <v>2310</v>
      </c>
      <c r="F1565">
        <v>9</v>
      </c>
      <c r="G1565">
        <v>9.1</v>
      </c>
      <c r="H1565" t="s">
        <v>2323</v>
      </c>
      <c r="I1565" s="21">
        <v>38593</v>
      </c>
      <c r="J1565">
        <v>2005</v>
      </c>
      <c r="K1565" s="21">
        <v>38643</v>
      </c>
      <c r="L1565">
        <v>2005</v>
      </c>
      <c r="M1565" s="21">
        <v>39041</v>
      </c>
      <c r="N1565">
        <v>2006</v>
      </c>
      <c r="R1565" s="262">
        <v>480000</v>
      </c>
      <c r="S1565" t="s">
        <v>114</v>
      </c>
      <c r="T1565" t="s">
        <v>114</v>
      </c>
      <c r="U1565">
        <v>11</v>
      </c>
      <c r="W1565">
        <v>2365</v>
      </c>
      <c r="X1565">
        <v>1</v>
      </c>
      <c r="Y1565">
        <v>0</v>
      </c>
      <c r="Z1565">
        <v>0</v>
      </c>
      <c r="AA1565">
        <v>0</v>
      </c>
      <c r="AB1565">
        <v>0</v>
      </c>
      <c r="AC1565">
        <v>0</v>
      </c>
      <c r="AD1565">
        <v>0</v>
      </c>
      <c r="AE1565">
        <v>0</v>
      </c>
      <c r="AF1565">
        <v>0</v>
      </c>
      <c r="AG1565">
        <v>0</v>
      </c>
      <c r="AH1565">
        <v>0</v>
      </c>
      <c r="AI1565">
        <v>2365</v>
      </c>
      <c r="AJ1565">
        <v>0</v>
      </c>
      <c r="AK1565">
        <v>0</v>
      </c>
      <c r="AL1565">
        <v>0</v>
      </c>
      <c r="AM1565">
        <v>0</v>
      </c>
      <c r="AN1565">
        <v>0</v>
      </c>
      <c r="AO1565">
        <v>0</v>
      </c>
      <c r="AP1565">
        <v>0</v>
      </c>
      <c r="AQ1565">
        <v>0</v>
      </c>
      <c r="AR1565">
        <v>0</v>
      </c>
      <c r="AS1565">
        <v>0</v>
      </c>
      <c r="AT1565">
        <v>1</v>
      </c>
      <c r="AU1565">
        <f t="shared" si="48"/>
        <v>0</v>
      </c>
      <c r="AV1565">
        <f t="shared" si="49"/>
        <v>2365</v>
      </c>
    </row>
    <row r="1566" spans="1:48" x14ac:dyDescent="0.25">
      <c r="A1566" t="s">
        <v>6340</v>
      </c>
      <c r="C1566" t="s">
        <v>6341</v>
      </c>
      <c r="D1566" t="s">
        <v>6337</v>
      </c>
      <c r="E1566" t="s">
        <v>2310</v>
      </c>
      <c r="F1566">
        <v>9</v>
      </c>
      <c r="G1566">
        <v>9.1</v>
      </c>
      <c r="H1566" t="s">
        <v>2323</v>
      </c>
      <c r="I1566" s="21">
        <v>38593</v>
      </c>
      <c r="J1566">
        <v>2005</v>
      </c>
      <c r="K1566" s="21">
        <v>38643</v>
      </c>
      <c r="L1566">
        <v>2005</v>
      </c>
      <c r="M1566" s="21">
        <v>39094</v>
      </c>
      <c r="N1566">
        <v>2007</v>
      </c>
      <c r="R1566" s="262">
        <v>480000</v>
      </c>
      <c r="S1566" t="s">
        <v>114</v>
      </c>
      <c r="T1566" t="s">
        <v>114</v>
      </c>
      <c r="U1566">
        <v>11</v>
      </c>
      <c r="W1566">
        <v>2365</v>
      </c>
      <c r="X1566">
        <v>1</v>
      </c>
      <c r="Y1566">
        <v>0</v>
      </c>
      <c r="Z1566">
        <v>0</v>
      </c>
      <c r="AA1566">
        <v>0</v>
      </c>
      <c r="AB1566">
        <v>0</v>
      </c>
      <c r="AC1566">
        <v>0</v>
      </c>
      <c r="AD1566">
        <v>0</v>
      </c>
      <c r="AE1566">
        <v>0</v>
      </c>
      <c r="AF1566">
        <v>0</v>
      </c>
      <c r="AG1566">
        <v>0</v>
      </c>
      <c r="AH1566">
        <v>0</v>
      </c>
      <c r="AI1566">
        <v>2365</v>
      </c>
      <c r="AJ1566">
        <v>0</v>
      </c>
      <c r="AK1566">
        <v>0</v>
      </c>
      <c r="AL1566">
        <v>0</v>
      </c>
      <c r="AM1566">
        <v>0</v>
      </c>
      <c r="AN1566">
        <v>0</v>
      </c>
      <c r="AO1566">
        <v>0</v>
      </c>
      <c r="AP1566">
        <v>0</v>
      </c>
      <c r="AQ1566">
        <v>0</v>
      </c>
      <c r="AR1566">
        <v>0</v>
      </c>
      <c r="AS1566">
        <v>0</v>
      </c>
      <c r="AT1566">
        <v>1</v>
      </c>
      <c r="AU1566">
        <f t="shared" si="48"/>
        <v>0</v>
      </c>
      <c r="AV1566">
        <f t="shared" si="49"/>
        <v>2365</v>
      </c>
    </row>
    <row r="1567" spans="1:48" x14ac:dyDescent="0.25">
      <c r="A1567" t="s">
        <v>6342</v>
      </c>
      <c r="C1567" t="s">
        <v>6343</v>
      </c>
      <c r="D1567" t="s">
        <v>6337</v>
      </c>
      <c r="E1567" t="s">
        <v>2310</v>
      </c>
      <c r="F1567">
        <v>9</v>
      </c>
      <c r="G1567">
        <v>9.1</v>
      </c>
      <c r="H1567" t="s">
        <v>2323</v>
      </c>
      <c r="I1567" s="21">
        <v>38593</v>
      </c>
      <c r="J1567">
        <v>2005</v>
      </c>
      <c r="K1567" s="21">
        <v>38643</v>
      </c>
      <c r="L1567">
        <v>2005</v>
      </c>
      <c r="M1567" s="21">
        <v>39101</v>
      </c>
      <c r="N1567">
        <v>2007</v>
      </c>
      <c r="R1567" s="262">
        <v>480000</v>
      </c>
      <c r="S1567" t="s">
        <v>114</v>
      </c>
      <c r="T1567" t="s">
        <v>114</v>
      </c>
      <c r="U1567">
        <v>11</v>
      </c>
      <c r="W1567">
        <v>2365</v>
      </c>
      <c r="X1567">
        <v>1</v>
      </c>
      <c r="Y1567">
        <v>0</v>
      </c>
      <c r="Z1567">
        <v>0</v>
      </c>
      <c r="AA1567">
        <v>0</v>
      </c>
      <c r="AB1567">
        <v>0</v>
      </c>
      <c r="AC1567">
        <v>0</v>
      </c>
      <c r="AD1567">
        <v>0</v>
      </c>
      <c r="AE1567">
        <v>0</v>
      </c>
      <c r="AF1567">
        <v>0</v>
      </c>
      <c r="AG1567">
        <v>0</v>
      </c>
      <c r="AH1567">
        <v>0</v>
      </c>
      <c r="AI1567">
        <v>2365</v>
      </c>
      <c r="AJ1567">
        <v>0</v>
      </c>
      <c r="AK1567">
        <v>0</v>
      </c>
      <c r="AL1567">
        <v>0</v>
      </c>
      <c r="AM1567">
        <v>0</v>
      </c>
      <c r="AN1567">
        <v>0</v>
      </c>
      <c r="AO1567">
        <v>0</v>
      </c>
      <c r="AP1567">
        <v>0</v>
      </c>
      <c r="AQ1567">
        <v>0</v>
      </c>
      <c r="AR1567">
        <v>0</v>
      </c>
      <c r="AS1567">
        <v>0</v>
      </c>
      <c r="AT1567">
        <v>1</v>
      </c>
      <c r="AU1567">
        <f t="shared" si="48"/>
        <v>0</v>
      </c>
      <c r="AV1567">
        <f t="shared" si="49"/>
        <v>2365</v>
      </c>
    </row>
    <row r="1568" spans="1:48" x14ac:dyDescent="0.25">
      <c r="A1568" t="s">
        <v>6344</v>
      </c>
      <c r="C1568" t="s">
        <v>6345</v>
      </c>
      <c r="D1568" t="s">
        <v>6337</v>
      </c>
      <c r="E1568" t="s">
        <v>2310</v>
      </c>
      <c r="F1568">
        <v>9</v>
      </c>
      <c r="G1568">
        <v>9.1</v>
      </c>
      <c r="H1568" t="s">
        <v>2323</v>
      </c>
      <c r="I1568" s="21">
        <v>38593</v>
      </c>
      <c r="J1568">
        <v>2005</v>
      </c>
      <c r="K1568" s="21">
        <v>38643</v>
      </c>
      <c r="L1568">
        <v>2005</v>
      </c>
      <c r="M1568" s="21">
        <v>39128</v>
      </c>
      <c r="N1568">
        <v>2007</v>
      </c>
      <c r="R1568" s="262">
        <v>480000</v>
      </c>
      <c r="S1568" t="s">
        <v>114</v>
      </c>
      <c r="T1568" t="s">
        <v>114</v>
      </c>
      <c r="U1568">
        <v>11</v>
      </c>
      <c r="W1568">
        <v>2365</v>
      </c>
      <c r="X1568">
        <v>1</v>
      </c>
      <c r="Y1568">
        <v>0</v>
      </c>
      <c r="Z1568">
        <v>0</v>
      </c>
      <c r="AA1568">
        <v>0</v>
      </c>
      <c r="AB1568">
        <v>0</v>
      </c>
      <c r="AC1568">
        <v>0</v>
      </c>
      <c r="AD1568">
        <v>0</v>
      </c>
      <c r="AE1568">
        <v>0</v>
      </c>
      <c r="AF1568">
        <v>0</v>
      </c>
      <c r="AG1568">
        <v>0</v>
      </c>
      <c r="AH1568">
        <v>0</v>
      </c>
      <c r="AI1568">
        <v>2365</v>
      </c>
      <c r="AJ1568">
        <v>0</v>
      </c>
      <c r="AK1568">
        <v>0</v>
      </c>
      <c r="AL1568">
        <v>0</v>
      </c>
      <c r="AM1568">
        <v>0</v>
      </c>
      <c r="AN1568">
        <v>0</v>
      </c>
      <c r="AO1568">
        <v>0</v>
      </c>
      <c r="AP1568">
        <v>0</v>
      </c>
      <c r="AQ1568">
        <v>0</v>
      </c>
      <c r="AR1568">
        <v>0</v>
      </c>
      <c r="AS1568">
        <v>0</v>
      </c>
      <c r="AT1568">
        <v>1</v>
      </c>
      <c r="AU1568">
        <f t="shared" si="48"/>
        <v>0</v>
      </c>
      <c r="AV1568">
        <f t="shared" si="49"/>
        <v>2365</v>
      </c>
    </row>
    <row r="1569" spans="1:48" x14ac:dyDescent="0.25">
      <c r="A1569" t="s">
        <v>6346</v>
      </c>
      <c r="C1569" t="s">
        <v>6347</v>
      </c>
      <c r="D1569" t="s">
        <v>6348</v>
      </c>
      <c r="E1569" t="s">
        <v>2310</v>
      </c>
      <c r="F1569">
        <v>9</v>
      </c>
      <c r="G1569">
        <v>9.1</v>
      </c>
      <c r="H1569" t="s">
        <v>2323</v>
      </c>
      <c r="I1569" s="21">
        <v>38593</v>
      </c>
      <c r="J1569">
        <v>2005</v>
      </c>
      <c r="K1569" s="21">
        <v>38643</v>
      </c>
      <c r="L1569">
        <v>2005</v>
      </c>
      <c r="M1569" s="21">
        <v>39189</v>
      </c>
      <c r="N1569">
        <v>2007</v>
      </c>
      <c r="R1569" s="262">
        <v>480000</v>
      </c>
      <c r="S1569" t="s">
        <v>114</v>
      </c>
      <c r="T1569" t="s">
        <v>114</v>
      </c>
      <c r="U1569">
        <v>11</v>
      </c>
      <c r="W1569">
        <v>2365</v>
      </c>
      <c r="X1569">
        <v>1</v>
      </c>
      <c r="Y1569">
        <v>0</v>
      </c>
      <c r="Z1569">
        <v>0</v>
      </c>
      <c r="AA1569">
        <v>0</v>
      </c>
      <c r="AB1569">
        <v>0</v>
      </c>
      <c r="AC1569">
        <v>0</v>
      </c>
      <c r="AD1569">
        <v>0</v>
      </c>
      <c r="AE1569">
        <v>0</v>
      </c>
      <c r="AF1569">
        <v>0</v>
      </c>
      <c r="AG1569">
        <v>0</v>
      </c>
      <c r="AH1569">
        <v>0</v>
      </c>
      <c r="AI1569">
        <v>2365</v>
      </c>
      <c r="AJ1569">
        <v>0</v>
      </c>
      <c r="AK1569">
        <v>0</v>
      </c>
      <c r="AL1569">
        <v>0</v>
      </c>
      <c r="AM1569">
        <v>0</v>
      </c>
      <c r="AN1569">
        <v>0</v>
      </c>
      <c r="AO1569">
        <v>0</v>
      </c>
      <c r="AP1569">
        <v>0</v>
      </c>
      <c r="AQ1569">
        <v>0</v>
      </c>
      <c r="AR1569">
        <v>0</v>
      </c>
      <c r="AS1569">
        <v>0</v>
      </c>
      <c r="AT1569">
        <v>1</v>
      </c>
      <c r="AU1569">
        <f t="shared" si="48"/>
        <v>0</v>
      </c>
      <c r="AV1569">
        <f t="shared" si="49"/>
        <v>2365</v>
      </c>
    </row>
    <row r="1570" spans="1:48" x14ac:dyDescent="0.25">
      <c r="A1570" t="s">
        <v>6349</v>
      </c>
      <c r="C1570" t="s">
        <v>6350</v>
      </c>
      <c r="D1570" t="s">
        <v>6351</v>
      </c>
      <c r="E1570" t="s">
        <v>2310</v>
      </c>
      <c r="F1570">
        <v>9</v>
      </c>
      <c r="G1570">
        <v>9.1</v>
      </c>
      <c r="H1570" t="s">
        <v>2323</v>
      </c>
      <c r="I1570" s="21">
        <v>38593</v>
      </c>
      <c r="J1570">
        <v>2005</v>
      </c>
      <c r="K1570" s="21">
        <v>38643</v>
      </c>
      <c r="L1570">
        <v>2005</v>
      </c>
      <c r="M1570" s="21">
        <v>39181</v>
      </c>
      <c r="N1570">
        <v>2007</v>
      </c>
      <c r="R1570" s="262">
        <v>480000</v>
      </c>
      <c r="S1570" t="s">
        <v>114</v>
      </c>
      <c r="T1570" t="s">
        <v>114</v>
      </c>
      <c r="U1570">
        <v>11</v>
      </c>
      <c r="W1570">
        <v>2365</v>
      </c>
      <c r="X1570">
        <v>1</v>
      </c>
      <c r="Y1570">
        <v>0</v>
      </c>
      <c r="Z1570">
        <v>0</v>
      </c>
      <c r="AA1570">
        <v>0</v>
      </c>
      <c r="AB1570">
        <v>0</v>
      </c>
      <c r="AC1570">
        <v>0</v>
      </c>
      <c r="AD1570">
        <v>0</v>
      </c>
      <c r="AE1570">
        <v>0</v>
      </c>
      <c r="AF1570">
        <v>0</v>
      </c>
      <c r="AG1570">
        <v>0</v>
      </c>
      <c r="AH1570">
        <v>0</v>
      </c>
      <c r="AI1570">
        <v>2365</v>
      </c>
      <c r="AJ1570">
        <v>0</v>
      </c>
      <c r="AK1570">
        <v>0</v>
      </c>
      <c r="AL1570">
        <v>0</v>
      </c>
      <c r="AM1570">
        <v>0</v>
      </c>
      <c r="AN1570">
        <v>0</v>
      </c>
      <c r="AO1570">
        <v>0</v>
      </c>
      <c r="AP1570">
        <v>0</v>
      </c>
      <c r="AQ1570">
        <v>0</v>
      </c>
      <c r="AR1570">
        <v>0</v>
      </c>
      <c r="AS1570">
        <v>0</v>
      </c>
      <c r="AT1570">
        <v>1</v>
      </c>
      <c r="AU1570">
        <f t="shared" si="48"/>
        <v>0</v>
      </c>
      <c r="AV1570">
        <f t="shared" si="49"/>
        <v>2365</v>
      </c>
    </row>
    <row r="1571" spans="1:48" x14ac:dyDescent="0.25">
      <c r="A1571" t="s">
        <v>6352</v>
      </c>
      <c r="C1571" t="s">
        <v>6353</v>
      </c>
      <c r="D1571" t="s">
        <v>6354</v>
      </c>
      <c r="E1571" t="s">
        <v>2310</v>
      </c>
      <c r="F1571">
        <v>9</v>
      </c>
      <c r="G1571">
        <v>9.1</v>
      </c>
      <c r="H1571" t="s">
        <v>2323</v>
      </c>
      <c r="I1571" s="21">
        <v>38593</v>
      </c>
      <c r="J1571">
        <v>2005</v>
      </c>
      <c r="K1571" s="21">
        <v>38643</v>
      </c>
      <c r="L1571">
        <v>2005</v>
      </c>
      <c r="M1571" s="21">
        <v>39183</v>
      </c>
      <c r="N1571">
        <v>2007</v>
      </c>
      <c r="R1571" s="262">
        <v>480000</v>
      </c>
      <c r="S1571" t="s">
        <v>114</v>
      </c>
      <c r="T1571" t="s">
        <v>114</v>
      </c>
      <c r="U1571">
        <v>11</v>
      </c>
      <c r="W1571">
        <v>2365</v>
      </c>
      <c r="X1571">
        <v>1</v>
      </c>
      <c r="Y1571">
        <v>0</v>
      </c>
      <c r="Z1571">
        <v>0</v>
      </c>
      <c r="AA1571">
        <v>0</v>
      </c>
      <c r="AB1571">
        <v>0</v>
      </c>
      <c r="AC1571">
        <v>0</v>
      </c>
      <c r="AD1571">
        <v>0</v>
      </c>
      <c r="AE1571">
        <v>0</v>
      </c>
      <c r="AF1571">
        <v>0</v>
      </c>
      <c r="AG1571">
        <v>0</v>
      </c>
      <c r="AH1571">
        <v>0</v>
      </c>
      <c r="AI1571">
        <v>2365</v>
      </c>
      <c r="AJ1571">
        <v>0</v>
      </c>
      <c r="AK1571">
        <v>0</v>
      </c>
      <c r="AL1571">
        <v>0</v>
      </c>
      <c r="AM1571">
        <v>0</v>
      </c>
      <c r="AN1571">
        <v>0</v>
      </c>
      <c r="AO1571">
        <v>0</v>
      </c>
      <c r="AP1571">
        <v>0</v>
      </c>
      <c r="AQ1571">
        <v>0</v>
      </c>
      <c r="AR1571">
        <v>0</v>
      </c>
      <c r="AS1571">
        <v>0</v>
      </c>
      <c r="AT1571">
        <v>1</v>
      </c>
      <c r="AU1571">
        <f t="shared" si="48"/>
        <v>0</v>
      </c>
      <c r="AV1571">
        <f t="shared" si="49"/>
        <v>2365</v>
      </c>
    </row>
    <row r="1572" spans="1:48" x14ac:dyDescent="0.25">
      <c r="A1572" t="s">
        <v>6355</v>
      </c>
      <c r="C1572" t="s">
        <v>6356</v>
      </c>
      <c r="D1572" t="s">
        <v>6357</v>
      </c>
      <c r="E1572" t="s">
        <v>2310</v>
      </c>
      <c r="F1572">
        <v>9</v>
      </c>
      <c r="G1572">
        <v>9.1</v>
      </c>
      <c r="H1572" t="s">
        <v>2323</v>
      </c>
      <c r="I1572" s="21">
        <v>38593</v>
      </c>
      <c r="J1572">
        <v>2005</v>
      </c>
      <c r="K1572" s="21">
        <v>38643</v>
      </c>
      <c r="L1572">
        <v>2005</v>
      </c>
      <c r="M1572" s="21">
        <v>39161</v>
      </c>
      <c r="N1572">
        <v>2007</v>
      </c>
      <c r="R1572" s="262">
        <v>480000</v>
      </c>
      <c r="S1572" t="s">
        <v>114</v>
      </c>
      <c r="T1572" t="s">
        <v>114</v>
      </c>
      <c r="U1572">
        <v>11</v>
      </c>
      <c r="W1572">
        <v>2365</v>
      </c>
      <c r="X1572">
        <v>1</v>
      </c>
      <c r="Y1572">
        <v>0</v>
      </c>
      <c r="Z1572">
        <v>0</v>
      </c>
      <c r="AA1572">
        <v>0</v>
      </c>
      <c r="AB1572">
        <v>0</v>
      </c>
      <c r="AC1572">
        <v>0</v>
      </c>
      <c r="AD1572">
        <v>0</v>
      </c>
      <c r="AE1572">
        <v>0</v>
      </c>
      <c r="AF1572">
        <v>0</v>
      </c>
      <c r="AG1572">
        <v>0</v>
      </c>
      <c r="AH1572">
        <v>0</v>
      </c>
      <c r="AI1572">
        <v>2365</v>
      </c>
      <c r="AJ1572">
        <v>0</v>
      </c>
      <c r="AK1572">
        <v>0</v>
      </c>
      <c r="AL1572">
        <v>0</v>
      </c>
      <c r="AM1572">
        <v>0</v>
      </c>
      <c r="AN1572">
        <v>0</v>
      </c>
      <c r="AO1572">
        <v>0</v>
      </c>
      <c r="AP1572">
        <v>0</v>
      </c>
      <c r="AQ1572">
        <v>0</v>
      </c>
      <c r="AR1572">
        <v>0</v>
      </c>
      <c r="AS1572">
        <v>0</v>
      </c>
      <c r="AT1572">
        <v>1</v>
      </c>
      <c r="AU1572">
        <f t="shared" si="48"/>
        <v>0</v>
      </c>
      <c r="AV1572">
        <f t="shared" si="49"/>
        <v>2365</v>
      </c>
    </row>
    <row r="1573" spans="1:48" x14ac:dyDescent="0.25">
      <c r="A1573" t="s">
        <v>6358</v>
      </c>
      <c r="C1573" t="s">
        <v>6359</v>
      </c>
      <c r="D1573" t="s">
        <v>6360</v>
      </c>
      <c r="E1573" t="s">
        <v>2310</v>
      </c>
      <c r="F1573">
        <v>9</v>
      </c>
      <c r="G1573">
        <v>9.1</v>
      </c>
      <c r="H1573" t="s">
        <v>2323</v>
      </c>
      <c r="I1573" s="21">
        <v>38593</v>
      </c>
      <c r="J1573">
        <v>2005</v>
      </c>
      <c r="K1573" s="21">
        <v>38643</v>
      </c>
      <c r="L1573">
        <v>2005</v>
      </c>
      <c r="M1573" s="21">
        <v>39161</v>
      </c>
      <c r="N1573">
        <v>2007</v>
      </c>
      <c r="R1573" s="262">
        <v>480000</v>
      </c>
      <c r="S1573" t="s">
        <v>114</v>
      </c>
      <c r="T1573" t="s">
        <v>114</v>
      </c>
      <c r="U1573">
        <v>11</v>
      </c>
      <c r="W1573">
        <v>2365</v>
      </c>
      <c r="X1573">
        <v>1</v>
      </c>
      <c r="Y1573">
        <v>0</v>
      </c>
      <c r="Z1573">
        <v>0</v>
      </c>
      <c r="AA1573">
        <v>0</v>
      </c>
      <c r="AB1573">
        <v>0</v>
      </c>
      <c r="AC1573">
        <v>0</v>
      </c>
      <c r="AD1573">
        <v>0</v>
      </c>
      <c r="AE1573">
        <v>0</v>
      </c>
      <c r="AF1573">
        <v>0</v>
      </c>
      <c r="AG1573">
        <v>0</v>
      </c>
      <c r="AH1573">
        <v>0</v>
      </c>
      <c r="AI1573">
        <v>2365</v>
      </c>
      <c r="AJ1573">
        <v>0</v>
      </c>
      <c r="AK1573">
        <v>0</v>
      </c>
      <c r="AL1573">
        <v>0</v>
      </c>
      <c r="AM1573">
        <v>0</v>
      </c>
      <c r="AN1573">
        <v>0</v>
      </c>
      <c r="AO1573">
        <v>0</v>
      </c>
      <c r="AP1573">
        <v>0</v>
      </c>
      <c r="AQ1573">
        <v>0</v>
      </c>
      <c r="AR1573">
        <v>0</v>
      </c>
      <c r="AS1573">
        <v>0</v>
      </c>
      <c r="AT1573">
        <v>1</v>
      </c>
      <c r="AU1573">
        <f t="shared" si="48"/>
        <v>0</v>
      </c>
      <c r="AV1573">
        <f t="shared" si="49"/>
        <v>2365</v>
      </c>
    </row>
    <row r="1574" spans="1:48" x14ac:dyDescent="0.25">
      <c r="A1574" t="s">
        <v>6361</v>
      </c>
      <c r="C1574" t="s">
        <v>6362</v>
      </c>
      <c r="D1574" t="s">
        <v>6363</v>
      </c>
      <c r="E1574" t="s">
        <v>2310</v>
      </c>
      <c r="F1574">
        <v>9</v>
      </c>
      <c r="G1574">
        <v>9.1</v>
      </c>
      <c r="H1574" t="s">
        <v>2323</v>
      </c>
      <c r="I1574" s="21">
        <v>38593</v>
      </c>
      <c r="J1574">
        <v>2005</v>
      </c>
      <c r="K1574" s="21">
        <v>38643</v>
      </c>
      <c r="L1574">
        <v>2005</v>
      </c>
      <c r="M1574" s="21">
        <v>39136</v>
      </c>
      <c r="N1574">
        <v>2007</v>
      </c>
      <c r="R1574" s="262">
        <v>480000</v>
      </c>
      <c r="S1574" t="s">
        <v>114</v>
      </c>
      <c r="T1574" t="s">
        <v>114</v>
      </c>
      <c r="U1574">
        <v>11</v>
      </c>
      <c r="W1574">
        <v>2365</v>
      </c>
      <c r="X1574">
        <v>1</v>
      </c>
      <c r="Y1574">
        <v>0</v>
      </c>
      <c r="Z1574">
        <v>0</v>
      </c>
      <c r="AA1574">
        <v>0</v>
      </c>
      <c r="AB1574">
        <v>0</v>
      </c>
      <c r="AC1574">
        <v>0</v>
      </c>
      <c r="AD1574">
        <v>0</v>
      </c>
      <c r="AE1574">
        <v>0</v>
      </c>
      <c r="AF1574">
        <v>0</v>
      </c>
      <c r="AG1574">
        <v>0</v>
      </c>
      <c r="AH1574">
        <v>0</v>
      </c>
      <c r="AI1574">
        <v>2365</v>
      </c>
      <c r="AJ1574">
        <v>0</v>
      </c>
      <c r="AK1574">
        <v>0</v>
      </c>
      <c r="AL1574">
        <v>0</v>
      </c>
      <c r="AM1574">
        <v>0</v>
      </c>
      <c r="AN1574">
        <v>0</v>
      </c>
      <c r="AO1574">
        <v>0</v>
      </c>
      <c r="AP1574">
        <v>0</v>
      </c>
      <c r="AQ1574">
        <v>0</v>
      </c>
      <c r="AR1574">
        <v>0</v>
      </c>
      <c r="AS1574">
        <v>0</v>
      </c>
      <c r="AT1574">
        <v>1</v>
      </c>
      <c r="AU1574">
        <f t="shared" si="48"/>
        <v>0</v>
      </c>
      <c r="AV1574">
        <f t="shared" si="49"/>
        <v>2365</v>
      </c>
    </row>
    <row r="1575" spans="1:48" x14ac:dyDescent="0.25">
      <c r="A1575" t="s">
        <v>6364</v>
      </c>
      <c r="C1575" t="s">
        <v>6365</v>
      </c>
      <c r="D1575" t="s">
        <v>6337</v>
      </c>
      <c r="E1575" t="s">
        <v>2310</v>
      </c>
      <c r="F1575">
        <v>9</v>
      </c>
      <c r="G1575">
        <v>9.1</v>
      </c>
      <c r="H1575" t="s">
        <v>2323</v>
      </c>
      <c r="I1575" s="21">
        <v>38593</v>
      </c>
      <c r="J1575">
        <v>2005</v>
      </c>
      <c r="K1575" s="21">
        <v>38643</v>
      </c>
      <c r="L1575">
        <v>2005</v>
      </c>
      <c r="M1575" s="21">
        <v>39134</v>
      </c>
      <c r="N1575">
        <v>2007</v>
      </c>
      <c r="R1575" s="262">
        <v>480000</v>
      </c>
      <c r="S1575" t="s">
        <v>114</v>
      </c>
      <c r="T1575" t="s">
        <v>114</v>
      </c>
      <c r="U1575">
        <v>11</v>
      </c>
      <c r="W1575">
        <v>2365</v>
      </c>
      <c r="X1575">
        <v>1</v>
      </c>
      <c r="Y1575">
        <v>0</v>
      </c>
      <c r="Z1575">
        <v>0</v>
      </c>
      <c r="AA1575">
        <v>0</v>
      </c>
      <c r="AB1575">
        <v>0</v>
      </c>
      <c r="AC1575">
        <v>0</v>
      </c>
      <c r="AD1575">
        <v>0</v>
      </c>
      <c r="AE1575">
        <v>0</v>
      </c>
      <c r="AF1575">
        <v>0</v>
      </c>
      <c r="AG1575">
        <v>0</v>
      </c>
      <c r="AH1575">
        <v>0</v>
      </c>
      <c r="AI1575">
        <v>2365</v>
      </c>
      <c r="AJ1575">
        <v>0</v>
      </c>
      <c r="AK1575">
        <v>0</v>
      </c>
      <c r="AL1575">
        <v>0</v>
      </c>
      <c r="AM1575">
        <v>0</v>
      </c>
      <c r="AN1575">
        <v>0</v>
      </c>
      <c r="AO1575">
        <v>0</v>
      </c>
      <c r="AP1575">
        <v>0</v>
      </c>
      <c r="AQ1575">
        <v>0</v>
      </c>
      <c r="AR1575">
        <v>0</v>
      </c>
      <c r="AS1575">
        <v>0</v>
      </c>
      <c r="AT1575">
        <v>1</v>
      </c>
      <c r="AU1575">
        <f t="shared" si="48"/>
        <v>0</v>
      </c>
      <c r="AV1575">
        <f t="shared" si="49"/>
        <v>2365</v>
      </c>
    </row>
    <row r="1576" spans="1:48" x14ac:dyDescent="0.25">
      <c r="A1576" t="s">
        <v>6366</v>
      </c>
      <c r="C1576" t="s">
        <v>4614</v>
      </c>
      <c r="D1576" t="s">
        <v>6367</v>
      </c>
      <c r="E1576" t="s">
        <v>2310</v>
      </c>
      <c r="F1576">
        <v>9</v>
      </c>
      <c r="G1576">
        <v>9.3000000000000007</v>
      </c>
      <c r="H1576" t="s">
        <v>2323</v>
      </c>
      <c r="I1576" s="21">
        <v>38594</v>
      </c>
      <c r="J1576">
        <v>2005</v>
      </c>
      <c r="K1576" s="21">
        <v>38632</v>
      </c>
      <c r="L1576">
        <v>2005</v>
      </c>
      <c r="M1576" s="21">
        <v>39395</v>
      </c>
      <c r="N1576">
        <v>2007</v>
      </c>
      <c r="R1576" s="262">
        <v>1301000</v>
      </c>
      <c r="S1576" t="s">
        <v>114</v>
      </c>
      <c r="T1576" t="s">
        <v>114</v>
      </c>
      <c r="U1576">
        <v>5</v>
      </c>
      <c r="W1576">
        <v>5782</v>
      </c>
      <c r="X1576">
        <v>1</v>
      </c>
      <c r="Y1576">
        <v>0</v>
      </c>
      <c r="Z1576">
        <v>0</v>
      </c>
      <c r="AA1576">
        <v>0</v>
      </c>
      <c r="AB1576">
        <v>0</v>
      </c>
      <c r="AC1576">
        <v>5782</v>
      </c>
      <c r="AD1576">
        <v>0</v>
      </c>
      <c r="AE1576">
        <v>0</v>
      </c>
      <c r="AF1576">
        <v>0</v>
      </c>
      <c r="AG1576">
        <v>0</v>
      </c>
      <c r="AH1576">
        <v>0</v>
      </c>
      <c r="AI1576">
        <v>0</v>
      </c>
      <c r="AJ1576">
        <v>0</v>
      </c>
      <c r="AK1576">
        <v>0</v>
      </c>
      <c r="AL1576">
        <v>0</v>
      </c>
      <c r="AM1576">
        <v>0</v>
      </c>
      <c r="AN1576">
        <v>0</v>
      </c>
      <c r="AO1576">
        <v>1</v>
      </c>
      <c r="AP1576">
        <v>0</v>
      </c>
      <c r="AQ1576">
        <v>0</v>
      </c>
      <c r="AR1576">
        <v>0</v>
      </c>
      <c r="AS1576">
        <v>0</v>
      </c>
      <c r="AT1576">
        <v>0</v>
      </c>
      <c r="AU1576">
        <f t="shared" si="48"/>
        <v>1</v>
      </c>
      <c r="AV1576">
        <f t="shared" si="49"/>
        <v>0</v>
      </c>
    </row>
    <row r="1577" spans="1:48" x14ac:dyDescent="0.25">
      <c r="A1577" t="s">
        <v>6368</v>
      </c>
      <c r="C1577" t="s">
        <v>6369</v>
      </c>
      <c r="D1577" t="s">
        <v>6370</v>
      </c>
      <c r="E1577" t="s">
        <v>2310</v>
      </c>
      <c r="F1577">
        <v>7</v>
      </c>
      <c r="G1577">
        <v>7.1</v>
      </c>
      <c r="H1577" t="s">
        <v>2017</v>
      </c>
      <c r="I1577" s="21">
        <v>38594</v>
      </c>
      <c r="J1577">
        <v>2005</v>
      </c>
      <c r="K1577" s="21">
        <v>38633</v>
      </c>
      <c r="L1577">
        <v>2005</v>
      </c>
      <c r="M1577" s="21">
        <v>38633</v>
      </c>
      <c r="N1577">
        <v>2005</v>
      </c>
      <c r="R1577" s="262">
        <v>20000</v>
      </c>
      <c r="S1577" t="s">
        <v>114</v>
      </c>
      <c r="T1577" t="s">
        <v>114</v>
      </c>
      <c r="U1577">
        <v>5</v>
      </c>
      <c r="W1577">
        <v>1786</v>
      </c>
      <c r="X1577">
        <v>0</v>
      </c>
      <c r="Y1577">
        <v>0</v>
      </c>
      <c r="Z1577">
        <v>0</v>
      </c>
      <c r="AA1577">
        <v>0</v>
      </c>
      <c r="AB1577">
        <v>0</v>
      </c>
      <c r="AC1577">
        <v>1786</v>
      </c>
      <c r="AD1577">
        <v>0</v>
      </c>
      <c r="AE1577">
        <v>0</v>
      </c>
      <c r="AF1577">
        <v>0</v>
      </c>
      <c r="AG1577">
        <v>0</v>
      </c>
      <c r="AH1577">
        <v>0</v>
      </c>
      <c r="AI1577">
        <v>0</v>
      </c>
      <c r="AJ1577">
        <v>0</v>
      </c>
      <c r="AK1577">
        <v>0</v>
      </c>
      <c r="AL1577">
        <v>0</v>
      </c>
      <c r="AM1577">
        <v>0</v>
      </c>
      <c r="AN1577">
        <v>0</v>
      </c>
      <c r="AO1577">
        <v>0</v>
      </c>
      <c r="AP1577">
        <v>0</v>
      </c>
      <c r="AQ1577">
        <v>0</v>
      </c>
      <c r="AR1577">
        <v>0</v>
      </c>
      <c r="AS1577">
        <v>0</v>
      </c>
      <c r="AT1577">
        <v>0</v>
      </c>
      <c r="AU1577">
        <f t="shared" si="48"/>
        <v>0</v>
      </c>
      <c r="AV1577">
        <f t="shared" si="49"/>
        <v>0</v>
      </c>
    </row>
    <row r="1578" spans="1:48" x14ac:dyDescent="0.25">
      <c r="A1578" t="s">
        <v>6371</v>
      </c>
      <c r="C1578" t="s">
        <v>6372</v>
      </c>
      <c r="D1578" t="s">
        <v>6373</v>
      </c>
      <c r="E1578" t="s">
        <v>2310</v>
      </c>
      <c r="F1578">
        <v>15</v>
      </c>
      <c r="G1578">
        <v>15.2</v>
      </c>
      <c r="H1578" t="s">
        <v>2323</v>
      </c>
      <c r="I1578" s="21">
        <v>38595</v>
      </c>
      <c r="J1578">
        <v>2005</v>
      </c>
      <c r="K1578" s="21">
        <v>38652</v>
      </c>
      <c r="L1578">
        <v>2005</v>
      </c>
      <c r="M1578" s="21">
        <v>39493</v>
      </c>
      <c r="N1578">
        <v>2008</v>
      </c>
      <c r="R1578" s="262">
        <v>525000</v>
      </c>
      <c r="S1578" t="s">
        <v>114</v>
      </c>
      <c r="T1578" t="s">
        <v>114</v>
      </c>
      <c r="U1578">
        <v>5</v>
      </c>
      <c r="W1578">
        <v>4960</v>
      </c>
      <c r="X1578">
        <v>1</v>
      </c>
      <c r="Y1578">
        <v>0</v>
      </c>
      <c r="Z1578">
        <v>0</v>
      </c>
      <c r="AA1578">
        <v>0</v>
      </c>
      <c r="AB1578">
        <v>0</v>
      </c>
      <c r="AC1578">
        <v>4960</v>
      </c>
      <c r="AD1578">
        <v>0</v>
      </c>
      <c r="AE1578">
        <v>0</v>
      </c>
      <c r="AF1578">
        <v>0</v>
      </c>
      <c r="AG1578">
        <v>0</v>
      </c>
      <c r="AH1578">
        <v>0</v>
      </c>
      <c r="AI1578">
        <v>0</v>
      </c>
      <c r="AJ1578">
        <v>0</v>
      </c>
      <c r="AK1578">
        <v>0</v>
      </c>
      <c r="AL1578">
        <v>0</v>
      </c>
      <c r="AM1578">
        <v>0</v>
      </c>
      <c r="AN1578">
        <v>0</v>
      </c>
      <c r="AO1578">
        <v>1</v>
      </c>
      <c r="AP1578">
        <v>0</v>
      </c>
      <c r="AQ1578">
        <v>0</v>
      </c>
      <c r="AR1578">
        <v>0</v>
      </c>
      <c r="AS1578">
        <v>0</v>
      </c>
      <c r="AT1578">
        <v>0</v>
      </c>
      <c r="AU1578">
        <f t="shared" si="48"/>
        <v>1</v>
      </c>
      <c r="AV1578">
        <f t="shared" si="49"/>
        <v>0</v>
      </c>
    </row>
    <row r="1579" spans="1:48" x14ac:dyDescent="0.25">
      <c r="A1579" t="s">
        <v>6374</v>
      </c>
      <c r="C1579" t="s">
        <v>6375</v>
      </c>
      <c r="D1579" t="s">
        <v>6373</v>
      </c>
      <c r="E1579" t="s">
        <v>2310</v>
      </c>
      <c r="F1579">
        <v>15</v>
      </c>
      <c r="G1579">
        <v>15.2</v>
      </c>
      <c r="H1579" t="s">
        <v>2323</v>
      </c>
      <c r="I1579" s="21">
        <v>38595</v>
      </c>
      <c r="J1579">
        <v>2005</v>
      </c>
      <c r="K1579" s="21">
        <v>38652</v>
      </c>
      <c r="L1579">
        <v>2005</v>
      </c>
      <c r="M1579" s="21">
        <v>38652</v>
      </c>
      <c r="N1579">
        <v>2005</v>
      </c>
      <c r="R1579" s="262">
        <v>75000</v>
      </c>
      <c r="S1579" t="s">
        <v>114</v>
      </c>
      <c r="T1579" t="s">
        <v>114</v>
      </c>
      <c r="U1579">
        <v>8</v>
      </c>
      <c r="W1579">
        <v>1728</v>
      </c>
      <c r="X1579">
        <v>1</v>
      </c>
      <c r="Y1579">
        <v>0</v>
      </c>
      <c r="Z1579">
        <v>0</v>
      </c>
      <c r="AA1579">
        <v>0</v>
      </c>
      <c r="AB1579">
        <v>0</v>
      </c>
      <c r="AC1579">
        <v>864</v>
      </c>
      <c r="AD1579">
        <v>0</v>
      </c>
      <c r="AE1579">
        <v>0</v>
      </c>
      <c r="AF1579">
        <v>864</v>
      </c>
      <c r="AG1579">
        <v>0</v>
      </c>
      <c r="AH1579">
        <v>0</v>
      </c>
      <c r="AI1579">
        <v>0</v>
      </c>
      <c r="AJ1579">
        <v>0</v>
      </c>
      <c r="AK1579">
        <v>0</v>
      </c>
      <c r="AL1579">
        <v>0</v>
      </c>
      <c r="AM1579">
        <v>0</v>
      </c>
      <c r="AN1579">
        <v>0</v>
      </c>
      <c r="AO1579">
        <v>0</v>
      </c>
      <c r="AP1579">
        <v>0</v>
      </c>
      <c r="AQ1579">
        <v>0</v>
      </c>
      <c r="AR1579">
        <v>1</v>
      </c>
      <c r="AS1579">
        <v>0</v>
      </c>
      <c r="AT1579">
        <v>0</v>
      </c>
      <c r="AU1579">
        <f t="shared" si="48"/>
        <v>0</v>
      </c>
      <c r="AV1579">
        <f t="shared" si="49"/>
        <v>0</v>
      </c>
    </row>
    <row r="1580" spans="1:48" x14ac:dyDescent="0.25">
      <c r="A1580" t="s">
        <v>6376</v>
      </c>
      <c r="C1580" t="s">
        <v>5818</v>
      </c>
      <c r="D1580" t="s">
        <v>6377</v>
      </c>
      <c r="E1580" t="s">
        <v>2310</v>
      </c>
      <c r="F1580">
        <v>9</v>
      </c>
      <c r="G1580">
        <v>9.4</v>
      </c>
      <c r="H1580" t="s">
        <v>2323</v>
      </c>
      <c r="I1580" s="21">
        <v>38595</v>
      </c>
      <c r="J1580">
        <v>2005</v>
      </c>
      <c r="K1580" s="21">
        <v>38645</v>
      </c>
      <c r="L1580">
        <v>2005</v>
      </c>
      <c r="M1580" s="21">
        <v>39262</v>
      </c>
      <c r="N1580">
        <v>2007</v>
      </c>
      <c r="R1580" s="262">
        <v>1640650</v>
      </c>
      <c r="S1580" t="s">
        <v>114</v>
      </c>
      <c r="T1580" t="s">
        <v>114</v>
      </c>
      <c r="U1580">
        <v>5</v>
      </c>
      <c r="W1580">
        <v>7649</v>
      </c>
      <c r="X1580">
        <v>1</v>
      </c>
      <c r="Y1580">
        <v>0</v>
      </c>
      <c r="Z1580">
        <v>0</v>
      </c>
      <c r="AA1580">
        <v>0</v>
      </c>
      <c r="AB1580">
        <v>0</v>
      </c>
      <c r="AC1580">
        <v>7649</v>
      </c>
      <c r="AD1580">
        <v>0</v>
      </c>
      <c r="AE1580">
        <v>0</v>
      </c>
      <c r="AF1580">
        <v>0</v>
      </c>
      <c r="AG1580">
        <v>0</v>
      </c>
      <c r="AH1580">
        <v>0</v>
      </c>
      <c r="AI1580">
        <v>0</v>
      </c>
      <c r="AJ1580">
        <v>0</v>
      </c>
      <c r="AK1580">
        <v>0</v>
      </c>
      <c r="AL1580">
        <v>0</v>
      </c>
      <c r="AM1580">
        <v>0</v>
      </c>
      <c r="AN1580">
        <v>0</v>
      </c>
      <c r="AO1580">
        <v>1</v>
      </c>
      <c r="AP1580">
        <v>0</v>
      </c>
      <c r="AQ1580">
        <v>0</v>
      </c>
      <c r="AR1580">
        <v>0</v>
      </c>
      <c r="AS1580">
        <v>0</v>
      </c>
      <c r="AT1580">
        <v>0</v>
      </c>
      <c r="AU1580">
        <f t="shared" si="48"/>
        <v>1</v>
      </c>
      <c r="AV1580">
        <f t="shared" si="49"/>
        <v>0</v>
      </c>
    </row>
    <row r="1581" spans="1:48" x14ac:dyDescent="0.25">
      <c r="A1581" t="s">
        <v>6378</v>
      </c>
      <c r="C1581" t="s">
        <v>6379</v>
      </c>
      <c r="D1581" t="s">
        <v>6380</v>
      </c>
      <c r="E1581" t="s">
        <v>2310</v>
      </c>
      <c r="F1581">
        <v>15</v>
      </c>
      <c r="G1581">
        <v>15.2</v>
      </c>
      <c r="H1581" t="s">
        <v>2323</v>
      </c>
      <c r="I1581" s="21">
        <v>38596</v>
      </c>
      <c r="J1581">
        <v>2005</v>
      </c>
      <c r="K1581" s="21">
        <v>38622</v>
      </c>
      <c r="L1581">
        <v>2005</v>
      </c>
      <c r="M1581" s="21">
        <v>38622</v>
      </c>
      <c r="N1581">
        <v>2005</v>
      </c>
      <c r="R1581" s="262">
        <v>25000</v>
      </c>
      <c r="S1581" t="s">
        <v>114</v>
      </c>
      <c r="T1581" t="s">
        <v>114</v>
      </c>
      <c r="U1581">
        <v>5</v>
      </c>
      <c r="W1581">
        <v>300</v>
      </c>
      <c r="X1581">
        <v>0</v>
      </c>
      <c r="Y1581">
        <v>0</v>
      </c>
      <c r="Z1581">
        <v>0</v>
      </c>
      <c r="AA1581">
        <v>0</v>
      </c>
      <c r="AB1581">
        <v>0</v>
      </c>
      <c r="AC1581">
        <v>300</v>
      </c>
      <c r="AD1581">
        <v>0</v>
      </c>
      <c r="AE1581">
        <v>0</v>
      </c>
      <c r="AF1581">
        <v>0</v>
      </c>
      <c r="AG1581">
        <v>0</v>
      </c>
      <c r="AH1581">
        <v>0</v>
      </c>
      <c r="AI1581">
        <v>0</v>
      </c>
      <c r="AJ1581">
        <v>0</v>
      </c>
      <c r="AK1581">
        <v>0</v>
      </c>
      <c r="AL1581">
        <v>0</v>
      </c>
      <c r="AM1581">
        <v>0</v>
      </c>
      <c r="AN1581">
        <v>0</v>
      </c>
      <c r="AO1581">
        <v>0</v>
      </c>
      <c r="AP1581">
        <v>0</v>
      </c>
      <c r="AQ1581">
        <v>0</v>
      </c>
      <c r="AR1581">
        <v>0</v>
      </c>
      <c r="AS1581">
        <v>0</v>
      </c>
      <c r="AT1581">
        <v>0</v>
      </c>
      <c r="AU1581">
        <f t="shared" si="48"/>
        <v>0</v>
      </c>
      <c r="AV1581">
        <f t="shared" si="49"/>
        <v>0</v>
      </c>
    </row>
    <row r="1582" spans="1:48" x14ac:dyDescent="0.25">
      <c r="A1582" t="s">
        <v>6381</v>
      </c>
      <c r="C1582" t="s">
        <v>3509</v>
      </c>
      <c r="D1582" t="s">
        <v>6382</v>
      </c>
      <c r="E1582" t="s">
        <v>2310</v>
      </c>
      <c r="F1582">
        <v>10</v>
      </c>
      <c r="G1582">
        <v>10.1</v>
      </c>
      <c r="H1582" t="s">
        <v>2323</v>
      </c>
      <c r="I1582" s="21">
        <v>38596</v>
      </c>
      <c r="J1582">
        <v>2005</v>
      </c>
      <c r="K1582" s="21">
        <v>38639</v>
      </c>
      <c r="L1582">
        <v>2005</v>
      </c>
      <c r="M1582" s="21">
        <v>38943</v>
      </c>
      <c r="N1582">
        <v>2006</v>
      </c>
      <c r="R1582" s="262">
        <v>290000</v>
      </c>
      <c r="S1582" t="s">
        <v>114</v>
      </c>
      <c r="T1582" t="s">
        <v>114</v>
      </c>
      <c r="U1582">
        <v>5</v>
      </c>
      <c r="W1582">
        <v>3208</v>
      </c>
      <c r="X1582">
        <v>1</v>
      </c>
      <c r="Y1582">
        <v>0</v>
      </c>
      <c r="Z1582">
        <v>0</v>
      </c>
      <c r="AA1582">
        <v>0</v>
      </c>
      <c r="AB1582">
        <v>0</v>
      </c>
      <c r="AC1582">
        <v>3208</v>
      </c>
      <c r="AD1582">
        <v>0</v>
      </c>
      <c r="AE1582">
        <v>0</v>
      </c>
      <c r="AF1582">
        <v>0</v>
      </c>
      <c r="AG1582">
        <v>0</v>
      </c>
      <c r="AH1582">
        <v>0</v>
      </c>
      <c r="AI1582">
        <v>0</v>
      </c>
      <c r="AJ1582">
        <v>0</v>
      </c>
      <c r="AK1582">
        <v>0</v>
      </c>
      <c r="AL1582">
        <v>0</v>
      </c>
      <c r="AM1582">
        <v>0</v>
      </c>
      <c r="AN1582">
        <v>0</v>
      </c>
      <c r="AO1582">
        <v>1</v>
      </c>
      <c r="AP1582">
        <v>0</v>
      </c>
      <c r="AQ1582">
        <v>0</v>
      </c>
      <c r="AR1582">
        <v>0</v>
      </c>
      <c r="AS1582">
        <v>0</v>
      </c>
      <c r="AT1582">
        <v>0</v>
      </c>
      <c r="AU1582">
        <f t="shared" si="48"/>
        <v>1</v>
      </c>
      <c r="AV1582">
        <f t="shared" si="49"/>
        <v>0</v>
      </c>
    </row>
    <row r="1583" spans="1:48" x14ac:dyDescent="0.25">
      <c r="A1583" t="s">
        <v>6383</v>
      </c>
      <c r="C1583" t="s">
        <v>6047</v>
      </c>
      <c r="D1583" t="s">
        <v>6384</v>
      </c>
      <c r="E1583" t="s">
        <v>2310</v>
      </c>
      <c r="F1583">
        <v>9</v>
      </c>
      <c r="G1583">
        <v>9.3000000000000007</v>
      </c>
      <c r="H1583" t="s">
        <v>2323</v>
      </c>
      <c r="I1583" s="21">
        <v>38596</v>
      </c>
      <c r="J1583">
        <v>2005</v>
      </c>
      <c r="K1583" s="21">
        <v>38667</v>
      </c>
      <c r="L1583">
        <v>2005</v>
      </c>
      <c r="M1583" s="21">
        <v>39800</v>
      </c>
      <c r="N1583">
        <v>2008</v>
      </c>
      <c r="R1583" s="262">
        <v>1200000</v>
      </c>
      <c r="S1583" t="s">
        <v>114</v>
      </c>
      <c r="T1583" t="s">
        <v>114</v>
      </c>
      <c r="U1583">
        <v>5</v>
      </c>
      <c r="W1583">
        <v>8272</v>
      </c>
      <c r="X1583">
        <v>1</v>
      </c>
      <c r="Y1583">
        <v>0</v>
      </c>
      <c r="Z1583">
        <v>0</v>
      </c>
      <c r="AA1583">
        <v>0</v>
      </c>
      <c r="AB1583">
        <v>0</v>
      </c>
      <c r="AC1583">
        <v>8272</v>
      </c>
      <c r="AD1583">
        <v>0</v>
      </c>
      <c r="AE1583">
        <v>0</v>
      </c>
      <c r="AF1583">
        <v>0</v>
      </c>
      <c r="AG1583">
        <v>0</v>
      </c>
      <c r="AH1583">
        <v>0</v>
      </c>
      <c r="AI1583">
        <v>0</v>
      </c>
      <c r="AJ1583">
        <v>0</v>
      </c>
      <c r="AK1583">
        <v>0</v>
      </c>
      <c r="AL1583">
        <v>0</v>
      </c>
      <c r="AM1583">
        <v>0</v>
      </c>
      <c r="AN1583">
        <v>0</v>
      </c>
      <c r="AO1583">
        <v>1</v>
      </c>
      <c r="AP1583">
        <v>0</v>
      </c>
      <c r="AQ1583">
        <v>0</v>
      </c>
      <c r="AR1583">
        <v>0</v>
      </c>
      <c r="AS1583">
        <v>0</v>
      </c>
      <c r="AT1583">
        <v>0</v>
      </c>
      <c r="AU1583">
        <f t="shared" si="48"/>
        <v>1</v>
      </c>
      <c r="AV1583">
        <f t="shared" si="49"/>
        <v>0</v>
      </c>
    </row>
    <row r="1584" spans="1:48" x14ac:dyDescent="0.25">
      <c r="A1584" t="s">
        <v>6385</v>
      </c>
      <c r="C1584" t="s">
        <v>6047</v>
      </c>
      <c r="D1584" t="s">
        <v>6386</v>
      </c>
      <c r="E1584" t="s">
        <v>2310</v>
      </c>
      <c r="F1584">
        <v>10</v>
      </c>
      <c r="G1584">
        <v>10.1</v>
      </c>
      <c r="H1584" t="s">
        <v>2323</v>
      </c>
      <c r="I1584" s="21">
        <v>38596</v>
      </c>
      <c r="J1584">
        <v>2005</v>
      </c>
      <c r="K1584" s="21">
        <v>38640</v>
      </c>
      <c r="L1584">
        <v>2005</v>
      </c>
      <c r="M1584" s="21">
        <v>38640</v>
      </c>
      <c r="N1584">
        <v>2005</v>
      </c>
      <c r="R1584" s="262">
        <v>705000</v>
      </c>
      <c r="S1584" t="s">
        <v>114</v>
      </c>
      <c r="T1584" t="s">
        <v>114</v>
      </c>
      <c r="U1584">
        <v>5</v>
      </c>
      <c r="W1584">
        <v>3525</v>
      </c>
      <c r="X1584">
        <v>1</v>
      </c>
      <c r="Y1584">
        <v>0</v>
      </c>
      <c r="Z1584">
        <v>0</v>
      </c>
      <c r="AA1584">
        <v>0</v>
      </c>
      <c r="AB1584">
        <v>0</v>
      </c>
      <c r="AC1584">
        <v>3525</v>
      </c>
      <c r="AD1584">
        <v>0</v>
      </c>
      <c r="AE1584">
        <v>0</v>
      </c>
      <c r="AF1584">
        <v>0</v>
      </c>
      <c r="AG1584">
        <v>0</v>
      </c>
      <c r="AH1584">
        <v>0</v>
      </c>
      <c r="AI1584">
        <v>0</v>
      </c>
      <c r="AJ1584">
        <v>0</v>
      </c>
      <c r="AK1584">
        <v>0</v>
      </c>
      <c r="AL1584">
        <v>0</v>
      </c>
      <c r="AM1584">
        <v>0</v>
      </c>
      <c r="AN1584">
        <v>0</v>
      </c>
      <c r="AO1584">
        <v>1</v>
      </c>
      <c r="AP1584">
        <v>0</v>
      </c>
      <c r="AQ1584">
        <v>0</v>
      </c>
      <c r="AR1584">
        <v>0</v>
      </c>
      <c r="AS1584">
        <v>0</v>
      </c>
      <c r="AT1584">
        <v>0</v>
      </c>
      <c r="AU1584">
        <f t="shared" si="48"/>
        <v>1</v>
      </c>
      <c r="AV1584">
        <f t="shared" si="49"/>
        <v>0</v>
      </c>
    </row>
    <row r="1585" spans="1:48" x14ac:dyDescent="0.25">
      <c r="A1585" t="s">
        <v>6387</v>
      </c>
      <c r="C1585" t="s">
        <v>6388</v>
      </c>
      <c r="D1585" t="s">
        <v>6380</v>
      </c>
      <c r="E1585" t="s">
        <v>2310</v>
      </c>
      <c r="F1585">
        <v>15</v>
      </c>
      <c r="G1585">
        <v>15.2</v>
      </c>
      <c r="H1585" t="s">
        <v>2323</v>
      </c>
      <c r="I1585" s="21">
        <v>38596</v>
      </c>
      <c r="J1585">
        <v>2005</v>
      </c>
      <c r="K1585" s="21">
        <v>38622</v>
      </c>
      <c r="L1585">
        <v>2005</v>
      </c>
      <c r="M1585" s="21">
        <v>38622</v>
      </c>
      <c r="N1585">
        <v>2005</v>
      </c>
      <c r="R1585" s="262">
        <v>6000</v>
      </c>
      <c r="S1585" t="s">
        <v>114</v>
      </c>
      <c r="T1585" t="s">
        <v>114</v>
      </c>
      <c r="U1585">
        <v>5</v>
      </c>
      <c r="W1585">
        <v>154</v>
      </c>
      <c r="X1585">
        <v>0</v>
      </c>
      <c r="Y1585">
        <v>0</v>
      </c>
      <c r="Z1585">
        <v>0</v>
      </c>
      <c r="AA1585">
        <v>0</v>
      </c>
      <c r="AB1585">
        <v>0</v>
      </c>
      <c r="AC1585">
        <v>154</v>
      </c>
      <c r="AD1585">
        <v>0</v>
      </c>
      <c r="AE1585">
        <v>0</v>
      </c>
      <c r="AF1585">
        <v>0</v>
      </c>
      <c r="AG1585">
        <v>0</v>
      </c>
      <c r="AH1585">
        <v>0</v>
      </c>
      <c r="AI1585">
        <v>0</v>
      </c>
      <c r="AJ1585">
        <v>0</v>
      </c>
      <c r="AK1585">
        <v>0</v>
      </c>
      <c r="AL1585">
        <v>0</v>
      </c>
      <c r="AM1585">
        <v>0</v>
      </c>
      <c r="AN1585">
        <v>0</v>
      </c>
      <c r="AO1585">
        <v>0</v>
      </c>
      <c r="AP1585">
        <v>0</v>
      </c>
      <c r="AQ1585">
        <v>0</v>
      </c>
      <c r="AR1585">
        <v>0</v>
      </c>
      <c r="AS1585">
        <v>0</v>
      </c>
      <c r="AT1585">
        <v>0</v>
      </c>
      <c r="AU1585">
        <f t="shared" si="48"/>
        <v>0</v>
      </c>
      <c r="AV1585">
        <f t="shared" si="49"/>
        <v>0</v>
      </c>
    </row>
    <row r="1586" spans="1:48" x14ac:dyDescent="0.25">
      <c r="A1586" t="s">
        <v>6389</v>
      </c>
      <c r="C1586" t="s">
        <v>6390</v>
      </c>
      <c r="D1586" t="s">
        <v>5287</v>
      </c>
      <c r="E1586" t="s">
        <v>2310</v>
      </c>
      <c r="F1586">
        <v>8</v>
      </c>
      <c r="G1586">
        <v>8.1999999999999993</v>
      </c>
      <c r="H1586" t="s">
        <v>2022</v>
      </c>
      <c r="I1586" s="21">
        <v>38597</v>
      </c>
      <c r="J1586">
        <v>2005</v>
      </c>
      <c r="K1586" s="21">
        <v>38677</v>
      </c>
      <c r="L1586">
        <v>2005</v>
      </c>
      <c r="M1586" s="21">
        <v>39316</v>
      </c>
      <c r="N1586">
        <v>2007</v>
      </c>
      <c r="R1586" s="262">
        <v>150000</v>
      </c>
      <c r="S1586" t="s">
        <v>114</v>
      </c>
      <c r="T1586" t="s">
        <v>114</v>
      </c>
      <c r="U1586">
        <v>5</v>
      </c>
      <c r="W1586">
        <v>877</v>
      </c>
      <c r="X1586">
        <v>0</v>
      </c>
      <c r="Y1586">
        <v>0</v>
      </c>
      <c r="Z1586">
        <v>0</v>
      </c>
      <c r="AA1586">
        <v>0</v>
      </c>
      <c r="AB1586">
        <v>0</v>
      </c>
      <c r="AC1586">
        <v>877</v>
      </c>
      <c r="AD1586">
        <v>0</v>
      </c>
      <c r="AE1586">
        <v>0</v>
      </c>
      <c r="AF1586">
        <v>0</v>
      </c>
      <c r="AG1586">
        <v>0</v>
      </c>
      <c r="AH1586">
        <v>0</v>
      </c>
      <c r="AI1586">
        <v>0</v>
      </c>
      <c r="AJ1586">
        <v>0</v>
      </c>
      <c r="AK1586">
        <v>0</v>
      </c>
      <c r="AL1586">
        <v>0</v>
      </c>
      <c r="AM1586">
        <v>0</v>
      </c>
      <c r="AN1586">
        <v>0</v>
      </c>
      <c r="AO1586">
        <v>0</v>
      </c>
      <c r="AP1586">
        <v>0</v>
      </c>
      <c r="AQ1586">
        <v>0</v>
      </c>
      <c r="AR1586">
        <v>0</v>
      </c>
      <c r="AS1586">
        <v>0</v>
      </c>
      <c r="AT1586">
        <v>0</v>
      </c>
      <c r="AU1586">
        <f t="shared" si="48"/>
        <v>0</v>
      </c>
      <c r="AV1586">
        <f t="shared" si="49"/>
        <v>0</v>
      </c>
    </row>
    <row r="1587" spans="1:48" x14ac:dyDescent="0.25">
      <c r="A1587" t="s">
        <v>6391</v>
      </c>
      <c r="C1587" t="s">
        <v>6392</v>
      </c>
      <c r="D1587" t="s">
        <v>3197</v>
      </c>
      <c r="E1587" t="s">
        <v>2310</v>
      </c>
      <c r="F1587">
        <v>8</v>
      </c>
      <c r="G1587">
        <v>8.3000000000000007</v>
      </c>
      <c r="H1587" t="s">
        <v>2323</v>
      </c>
      <c r="I1587" s="21">
        <v>38597</v>
      </c>
      <c r="J1587">
        <v>2005</v>
      </c>
      <c r="K1587" s="21">
        <v>38631</v>
      </c>
      <c r="L1587">
        <v>2005</v>
      </c>
      <c r="M1587" s="21">
        <v>38862</v>
      </c>
      <c r="N1587">
        <v>2006</v>
      </c>
      <c r="R1587" s="262">
        <v>25000</v>
      </c>
      <c r="S1587" t="s">
        <v>114</v>
      </c>
      <c r="T1587" t="s">
        <v>114</v>
      </c>
      <c r="U1587">
        <v>5</v>
      </c>
      <c r="W1587">
        <v>752</v>
      </c>
      <c r="X1587">
        <v>0</v>
      </c>
      <c r="Y1587">
        <v>0</v>
      </c>
      <c r="Z1587">
        <v>0</v>
      </c>
      <c r="AA1587">
        <v>0</v>
      </c>
      <c r="AB1587">
        <v>0</v>
      </c>
      <c r="AC1587">
        <v>752</v>
      </c>
      <c r="AD1587">
        <v>0</v>
      </c>
      <c r="AE1587">
        <v>0</v>
      </c>
      <c r="AF1587">
        <v>0</v>
      </c>
      <c r="AG1587">
        <v>0</v>
      </c>
      <c r="AH1587">
        <v>0</v>
      </c>
      <c r="AI1587">
        <v>0</v>
      </c>
      <c r="AJ1587">
        <v>0</v>
      </c>
      <c r="AK1587">
        <v>0</v>
      </c>
      <c r="AL1587">
        <v>0</v>
      </c>
      <c r="AM1587">
        <v>0</v>
      </c>
      <c r="AN1587">
        <v>0</v>
      </c>
      <c r="AO1587">
        <v>0</v>
      </c>
      <c r="AP1587">
        <v>0</v>
      </c>
      <c r="AQ1587">
        <v>0</v>
      </c>
      <c r="AR1587">
        <v>0</v>
      </c>
      <c r="AS1587">
        <v>0</v>
      </c>
      <c r="AT1587">
        <v>0</v>
      </c>
      <c r="AU1587">
        <f t="shared" si="48"/>
        <v>0</v>
      </c>
      <c r="AV1587">
        <f t="shared" si="49"/>
        <v>0</v>
      </c>
    </row>
    <row r="1588" spans="1:48" x14ac:dyDescent="0.25">
      <c r="A1588" t="s">
        <v>6393</v>
      </c>
      <c r="C1588" t="s">
        <v>6163</v>
      </c>
      <c r="D1588" t="s">
        <v>6394</v>
      </c>
      <c r="E1588" t="s">
        <v>2310</v>
      </c>
      <c r="F1588">
        <v>8</v>
      </c>
      <c r="G1588">
        <v>8.1999999999999993</v>
      </c>
      <c r="H1588" t="s">
        <v>2022</v>
      </c>
      <c r="I1588" s="21">
        <v>38597</v>
      </c>
      <c r="J1588">
        <v>2005</v>
      </c>
      <c r="K1588" s="21">
        <v>38651</v>
      </c>
      <c r="L1588">
        <v>2005</v>
      </c>
      <c r="M1588" s="21">
        <v>39682</v>
      </c>
      <c r="N1588">
        <v>2008</v>
      </c>
      <c r="R1588" s="262">
        <v>5000000</v>
      </c>
      <c r="S1588" t="s">
        <v>114</v>
      </c>
      <c r="T1588" t="s">
        <v>114</v>
      </c>
      <c r="U1588">
        <v>5</v>
      </c>
      <c r="W1588">
        <v>8286</v>
      </c>
      <c r="X1588">
        <v>1</v>
      </c>
      <c r="Y1588">
        <v>0</v>
      </c>
      <c r="Z1588">
        <v>0</v>
      </c>
      <c r="AA1588">
        <v>0</v>
      </c>
      <c r="AB1588">
        <v>0</v>
      </c>
      <c r="AC1588">
        <v>8286</v>
      </c>
      <c r="AD1588">
        <v>0</v>
      </c>
      <c r="AE1588">
        <v>0</v>
      </c>
      <c r="AF1588">
        <v>0</v>
      </c>
      <c r="AG1588">
        <v>0</v>
      </c>
      <c r="AH1588">
        <v>0</v>
      </c>
      <c r="AI1588">
        <v>0</v>
      </c>
      <c r="AJ1588">
        <v>0</v>
      </c>
      <c r="AK1588">
        <v>0</v>
      </c>
      <c r="AL1588">
        <v>0</v>
      </c>
      <c r="AM1588">
        <v>0</v>
      </c>
      <c r="AN1588">
        <v>0</v>
      </c>
      <c r="AO1588">
        <v>1</v>
      </c>
      <c r="AP1588">
        <v>0</v>
      </c>
      <c r="AQ1588">
        <v>0</v>
      </c>
      <c r="AR1588">
        <v>0</v>
      </c>
      <c r="AS1588">
        <v>0</v>
      </c>
      <c r="AT1588">
        <v>0</v>
      </c>
      <c r="AU1588">
        <f t="shared" si="48"/>
        <v>1</v>
      </c>
      <c r="AV1588">
        <f t="shared" si="49"/>
        <v>0</v>
      </c>
    </row>
    <row r="1589" spans="1:48" x14ac:dyDescent="0.25">
      <c r="A1589" t="s">
        <v>6395</v>
      </c>
      <c r="C1589" t="s">
        <v>6396</v>
      </c>
      <c r="D1589" t="s">
        <v>6394</v>
      </c>
      <c r="E1589" t="s">
        <v>2310</v>
      </c>
      <c r="F1589">
        <v>8</v>
      </c>
      <c r="G1589">
        <v>8.1999999999999993</v>
      </c>
      <c r="H1589" t="s">
        <v>2022</v>
      </c>
      <c r="I1589" s="21">
        <v>38597</v>
      </c>
      <c r="J1589">
        <v>2005</v>
      </c>
      <c r="K1589" s="21">
        <v>38651</v>
      </c>
      <c r="L1589">
        <v>2005</v>
      </c>
      <c r="M1589" s="21">
        <v>39682</v>
      </c>
      <c r="N1589">
        <v>2008</v>
      </c>
      <c r="R1589" s="262">
        <v>50000</v>
      </c>
      <c r="S1589" t="s">
        <v>114</v>
      </c>
      <c r="T1589" t="s">
        <v>114</v>
      </c>
      <c r="U1589">
        <v>5</v>
      </c>
      <c r="W1589">
        <v>550</v>
      </c>
      <c r="X1589">
        <v>0</v>
      </c>
      <c r="Y1589">
        <v>0</v>
      </c>
      <c r="Z1589">
        <v>0</v>
      </c>
      <c r="AA1589">
        <v>0</v>
      </c>
      <c r="AB1589">
        <v>0</v>
      </c>
      <c r="AC1589">
        <v>550</v>
      </c>
      <c r="AD1589">
        <v>0</v>
      </c>
      <c r="AE1589">
        <v>0</v>
      </c>
      <c r="AF1589">
        <v>0</v>
      </c>
      <c r="AG1589">
        <v>0</v>
      </c>
      <c r="AH1589">
        <v>0</v>
      </c>
      <c r="AI1589">
        <v>0</v>
      </c>
      <c r="AJ1589">
        <v>0</v>
      </c>
      <c r="AK1589">
        <v>0</v>
      </c>
      <c r="AL1589">
        <v>0</v>
      </c>
      <c r="AM1589">
        <v>0</v>
      </c>
      <c r="AN1589">
        <v>0</v>
      </c>
      <c r="AO1589">
        <v>0</v>
      </c>
      <c r="AP1589">
        <v>0</v>
      </c>
      <c r="AQ1589">
        <v>0</v>
      </c>
      <c r="AR1589">
        <v>0</v>
      </c>
      <c r="AS1589">
        <v>0</v>
      </c>
      <c r="AT1589">
        <v>0</v>
      </c>
      <c r="AU1589">
        <f t="shared" si="48"/>
        <v>0</v>
      </c>
      <c r="AV1589">
        <f t="shared" si="49"/>
        <v>0</v>
      </c>
    </row>
    <row r="1590" spans="1:48" x14ac:dyDescent="0.25">
      <c r="A1590" t="s">
        <v>6397</v>
      </c>
      <c r="C1590" t="s">
        <v>6398</v>
      </c>
      <c r="D1590" t="s">
        <v>6399</v>
      </c>
      <c r="E1590" t="s">
        <v>2310</v>
      </c>
      <c r="F1590">
        <v>9</v>
      </c>
      <c r="G1590">
        <v>9.3000000000000007</v>
      </c>
      <c r="H1590" t="s">
        <v>2323</v>
      </c>
      <c r="I1590" s="21">
        <v>38601</v>
      </c>
      <c r="J1590">
        <v>2005</v>
      </c>
      <c r="K1590" s="21">
        <v>38632</v>
      </c>
      <c r="L1590">
        <v>2005</v>
      </c>
      <c r="M1590" s="21">
        <v>38632</v>
      </c>
      <c r="N1590">
        <v>2005</v>
      </c>
      <c r="R1590" s="262">
        <v>134000</v>
      </c>
      <c r="S1590" t="s">
        <v>114</v>
      </c>
      <c r="T1590" t="s">
        <v>114</v>
      </c>
      <c r="U1590">
        <v>7</v>
      </c>
      <c r="W1590">
        <v>1473</v>
      </c>
      <c r="X1590">
        <v>1</v>
      </c>
      <c r="Y1590">
        <v>0</v>
      </c>
      <c r="Z1590">
        <v>0</v>
      </c>
      <c r="AA1590">
        <v>0</v>
      </c>
      <c r="AB1590">
        <v>0</v>
      </c>
      <c r="AC1590">
        <v>0</v>
      </c>
      <c r="AD1590">
        <v>0</v>
      </c>
      <c r="AE1590">
        <v>1473</v>
      </c>
      <c r="AF1590">
        <v>0</v>
      </c>
      <c r="AG1590">
        <v>0</v>
      </c>
      <c r="AH1590">
        <v>0</v>
      </c>
      <c r="AI1590">
        <v>0</v>
      </c>
      <c r="AJ1590">
        <v>0</v>
      </c>
      <c r="AK1590">
        <v>0</v>
      </c>
      <c r="AL1590">
        <v>0</v>
      </c>
      <c r="AM1590">
        <v>0</v>
      </c>
      <c r="AN1590">
        <v>0</v>
      </c>
      <c r="AO1590">
        <v>0</v>
      </c>
      <c r="AP1590">
        <v>0</v>
      </c>
      <c r="AQ1590">
        <v>1</v>
      </c>
      <c r="AR1590">
        <v>0</v>
      </c>
      <c r="AS1590">
        <v>0</v>
      </c>
      <c r="AT1590">
        <v>0</v>
      </c>
      <c r="AU1590">
        <f t="shared" si="48"/>
        <v>1</v>
      </c>
      <c r="AV1590">
        <f t="shared" si="49"/>
        <v>0</v>
      </c>
    </row>
    <row r="1591" spans="1:48" x14ac:dyDescent="0.25">
      <c r="A1591" t="s">
        <v>6400</v>
      </c>
      <c r="C1591" t="s">
        <v>6401</v>
      </c>
      <c r="D1591" t="s">
        <v>6399</v>
      </c>
      <c r="E1591" t="s">
        <v>2310</v>
      </c>
      <c r="F1591">
        <v>9</v>
      </c>
      <c r="G1591">
        <v>9.3000000000000007</v>
      </c>
      <c r="H1591" t="s">
        <v>2323</v>
      </c>
      <c r="I1591" s="21">
        <v>38601</v>
      </c>
      <c r="J1591">
        <v>2005</v>
      </c>
      <c r="K1591" s="21">
        <v>38632</v>
      </c>
      <c r="L1591">
        <v>2005</v>
      </c>
      <c r="M1591" s="21">
        <v>38632</v>
      </c>
      <c r="N1591">
        <v>2005</v>
      </c>
      <c r="R1591" s="262">
        <v>134000</v>
      </c>
      <c r="S1591" t="s">
        <v>114</v>
      </c>
      <c r="T1591" t="s">
        <v>114</v>
      </c>
      <c r="U1591">
        <v>7</v>
      </c>
      <c r="W1591">
        <v>1473</v>
      </c>
      <c r="X1591">
        <v>1</v>
      </c>
      <c r="Y1591">
        <v>0</v>
      </c>
      <c r="Z1591">
        <v>0</v>
      </c>
      <c r="AA1591">
        <v>0</v>
      </c>
      <c r="AB1591">
        <v>0</v>
      </c>
      <c r="AC1591">
        <v>0</v>
      </c>
      <c r="AD1591">
        <v>0</v>
      </c>
      <c r="AE1591">
        <v>1473</v>
      </c>
      <c r="AF1591">
        <v>0</v>
      </c>
      <c r="AG1591">
        <v>0</v>
      </c>
      <c r="AH1591">
        <v>0</v>
      </c>
      <c r="AI1591">
        <v>0</v>
      </c>
      <c r="AJ1591">
        <v>0</v>
      </c>
      <c r="AK1591">
        <v>0</v>
      </c>
      <c r="AL1591">
        <v>0</v>
      </c>
      <c r="AM1591">
        <v>0</v>
      </c>
      <c r="AN1591">
        <v>0</v>
      </c>
      <c r="AO1591">
        <v>0</v>
      </c>
      <c r="AP1591">
        <v>0</v>
      </c>
      <c r="AQ1591">
        <v>1</v>
      </c>
      <c r="AR1591">
        <v>0</v>
      </c>
      <c r="AS1591">
        <v>0</v>
      </c>
      <c r="AT1591">
        <v>0</v>
      </c>
      <c r="AU1591">
        <f t="shared" si="48"/>
        <v>1</v>
      </c>
      <c r="AV1591">
        <f t="shared" si="49"/>
        <v>0</v>
      </c>
    </row>
    <row r="1592" spans="1:48" x14ac:dyDescent="0.25">
      <c r="A1592" t="s">
        <v>6402</v>
      </c>
      <c r="C1592" t="s">
        <v>6403</v>
      </c>
      <c r="D1592" t="s">
        <v>6399</v>
      </c>
      <c r="E1592" t="s">
        <v>2310</v>
      </c>
      <c r="F1592">
        <v>9</v>
      </c>
      <c r="G1592">
        <v>9.3000000000000007</v>
      </c>
      <c r="H1592" t="s">
        <v>2323</v>
      </c>
      <c r="I1592" s="21">
        <v>38601</v>
      </c>
      <c r="J1592">
        <v>2005</v>
      </c>
      <c r="K1592" s="21">
        <v>38632</v>
      </c>
      <c r="L1592">
        <v>2005</v>
      </c>
      <c r="M1592" s="21">
        <v>38632</v>
      </c>
      <c r="N1592">
        <v>2005</v>
      </c>
      <c r="R1592" s="262">
        <v>134000</v>
      </c>
      <c r="S1592" t="s">
        <v>114</v>
      </c>
      <c r="T1592" t="s">
        <v>114</v>
      </c>
      <c r="U1592">
        <v>7</v>
      </c>
      <c r="W1592">
        <v>1473</v>
      </c>
      <c r="X1592">
        <v>1</v>
      </c>
      <c r="Y1592">
        <v>0</v>
      </c>
      <c r="Z1592">
        <v>0</v>
      </c>
      <c r="AA1592">
        <v>0</v>
      </c>
      <c r="AB1592">
        <v>0</v>
      </c>
      <c r="AC1592">
        <v>0</v>
      </c>
      <c r="AD1592">
        <v>0</v>
      </c>
      <c r="AE1592">
        <v>1473</v>
      </c>
      <c r="AF1592">
        <v>0</v>
      </c>
      <c r="AG1592">
        <v>0</v>
      </c>
      <c r="AH1592">
        <v>0</v>
      </c>
      <c r="AI1592">
        <v>0</v>
      </c>
      <c r="AJ1592">
        <v>0</v>
      </c>
      <c r="AK1592">
        <v>0</v>
      </c>
      <c r="AL1592">
        <v>0</v>
      </c>
      <c r="AM1592">
        <v>0</v>
      </c>
      <c r="AN1592">
        <v>0</v>
      </c>
      <c r="AO1592">
        <v>0</v>
      </c>
      <c r="AP1592">
        <v>0</v>
      </c>
      <c r="AQ1592">
        <v>1</v>
      </c>
      <c r="AR1592">
        <v>0</v>
      </c>
      <c r="AS1592">
        <v>0</v>
      </c>
      <c r="AT1592">
        <v>0</v>
      </c>
      <c r="AU1592">
        <f t="shared" si="48"/>
        <v>1</v>
      </c>
      <c r="AV1592">
        <f t="shared" si="49"/>
        <v>0</v>
      </c>
    </row>
    <row r="1593" spans="1:48" x14ac:dyDescent="0.25">
      <c r="A1593" t="s">
        <v>6404</v>
      </c>
      <c r="C1593" t="s">
        <v>6405</v>
      </c>
      <c r="D1593" t="s">
        <v>6399</v>
      </c>
      <c r="E1593" t="s">
        <v>2310</v>
      </c>
      <c r="F1593">
        <v>9</v>
      </c>
      <c r="G1593">
        <v>9.3000000000000007</v>
      </c>
      <c r="H1593" t="s">
        <v>2323</v>
      </c>
      <c r="I1593" s="21">
        <v>38601</v>
      </c>
      <c r="J1593">
        <v>2005</v>
      </c>
      <c r="K1593" s="21">
        <v>38632</v>
      </c>
      <c r="L1593">
        <v>2005</v>
      </c>
      <c r="M1593" s="21">
        <v>38632</v>
      </c>
      <c r="N1593">
        <v>2005</v>
      </c>
      <c r="R1593" s="262">
        <v>126000</v>
      </c>
      <c r="S1593" t="s">
        <v>114</v>
      </c>
      <c r="T1593" t="s">
        <v>114</v>
      </c>
      <c r="U1593">
        <v>7</v>
      </c>
      <c r="W1593">
        <v>1279</v>
      </c>
      <c r="X1593">
        <v>1</v>
      </c>
      <c r="Y1593">
        <v>0</v>
      </c>
      <c r="Z1593">
        <v>0</v>
      </c>
      <c r="AA1593">
        <v>0</v>
      </c>
      <c r="AB1593">
        <v>0</v>
      </c>
      <c r="AC1593">
        <v>0</v>
      </c>
      <c r="AD1593">
        <v>0</v>
      </c>
      <c r="AE1593">
        <v>1279</v>
      </c>
      <c r="AF1593">
        <v>0</v>
      </c>
      <c r="AG1593">
        <v>0</v>
      </c>
      <c r="AH1593">
        <v>0</v>
      </c>
      <c r="AI1593">
        <v>0</v>
      </c>
      <c r="AJ1593">
        <v>0</v>
      </c>
      <c r="AK1593">
        <v>0</v>
      </c>
      <c r="AL1593">
        <v>0</v>
      </c>
      <c r="AM1593">
        <v>0</v>
      </c>
      <c r="AN1593">
        <v>0</v>
      </c>
      <c r="AO1593">
        <v>0</v>
      </c>
      <c r="AP1593">
        <v>0</v>
      </c>
      <c r="AQ1593">
        <v>1</v>
      </c>
      <c r="AR1593">
        <v>0</v>
      </c>
      <c r="AS1593">
        <v>0</v>
      </c>
      <c r="AT1593">
        <v>0</v>
      </c>
      <c r="AU1593">
        <f t="shared" si="48"/>
        <v>1</v>
      </c>
      <c r="AV1593">
        <f t="shared" si="49"/>
        <v>0</v>
      </c>
    </row>
    <row r="1594" spans="1:48" x14ac:dyDescent="0.25">
      <c r="A1594" t="s">
        <v>6406</v>
      </c>
      <c r="C1594" t="s">
        <v>6407</v>
      </c>
      <c r="D1594" t="s">
        <v>6399</v>
      </c>
      <c r="E1594" t="s">
        <v>2310</v>
      </c>
      <c r="F1594">
        <v>9</v>
      </c>
      <c r="G1594">
        <v>9.3000000000000007</v>
      </c>
      <c r="H1594" t="s">
        <v>2323</v>
      </c>
      <c r="I1594" s="21">
        <v>38601</v>
      </c>
      <c r="J1594">
        <v>2005</v>
      </c>
      <c r="K1594" s="21">
        <v>38632</v>
      </c>
      <c r="L1594">
        <v>2005</v>
      </c>
      <c r="M1594" s="21">
        <v>38632</v>
      </c>
      <c r="N1594">
        <v>2005</v>
      </c>
      <c r="R1594" s="262">
        <v>126000</v>
      </c>
      <c r="S1594" t="s">
        <v>114</v>
      </c>
      <c r="T1594" t="s">
        <v>114</v>
      </c>
      <c r="U1594">
        <v>7</v>
      </c>
      <c r="W1594">
        <v>1279</v>
      </c>
      <c r="X1594">
        <v>1</v>
      </c>
      <c r="Y1594">
        <v>0</v>
      </c>
      <c r="Z1594">
        <v>0</v>
      </c>
      <c r="AA1594">
        <v>0</v>
      </c>
      <c r="AB1594">
        <v>0</v>
      </c>
      <c r="AC1594">
        <v>0</v>
      </c>
      <c r="AD1594">
        <v>0</v>
      </c>
      <c r="AE1594">
        <v>1279</v>
      </c>
      <c r="AF1594">
        <v>0</v>
      </c>
      <c r="AG1594">
        <v>0</v>
      </c>
      <c r="AH1594">
        <v>0</v>
      </c>
      <c r="AI1594">
        <v>0</v>
      </c>
      <c r="AJ1594">
        <v>0</v>
      </c>
      <c r="AK1594">
        <v>0</v>
      </c>
      <c r="AL1594">
        <v>0</v>
      </c>
      <c r="AM1594">
        <v>0</v>
      </c>
      <c r="AN1594">
        <v>0</v>
      </c>
      <c r="AO1594">
        <v>0</v>
      </c>
      <c r="AP1594">
        <v>0</v>
      </c>
      <c r="AQ1594">
        <v>1</v>
      </c>
      <c r="AR1594">
        <v>0</v>
      </c>
      <c r="AS1594">
        <v>0</v>
      </c>
      <c r="AT1594">
        <v>0</v>
      </c>
      <c r="AU1594">
        <f t="shared" si="48"/>
        <v>1</v>
      </c>
      <c r="AV1594">
        <f t="shared" si="49"/>
        <v>0</v>
      </c>
    </row>
    <row r="1595" spans="1:48" x14ac:dyDescent="0.25">
      <c r="A1595" t="s">
        <v>6408</v>
      </c>
      <c r="C1595" t="s">
        <v>6409</v>
      </c>
      <c r="D1595" t="s">
        <v>6399</v>
      </c>
      <c r="E1595" t="s">
        <v>2310</v>
      </c>
      <c r="F1595">
        <v>9</v>
      </c>
      <c r="G1595">
        <v>9.3000000000000007</v>
      </c>
      <c r="H1595" t="s">
        <v>2323</v>
      </c>
      <c r="I1595" s="21">
        <v>38601</v>
      </c>
      <c r="J1595">
        <v>2005</v>
      </c>
      <c r="K1595" s="21">
        <v>38632</v>
      </c>
      <c r="L1595">
        <v>2005</v>
      </c>
      <c r="M1595" s="21">
        <v>38859</v>
      </c>
      <c r="N1595">
        <v>2006</v>
      </c>
      <c r="R1595" s="262">
        <v>19000</v>
      </c>
      <c r="S1595" t="s">
        <v>114</v>
      </c>
      <c r="T1595" t="s">
        <v>114</v>
      </c>
      <c r="U1595">
        <v>7</v>
      </c>
      <c r="W1595">
        <v>576</v>
      </c>
      <c r="X1595">
        <v>0</v>
      </c>
      <c r="Y1595">
        <v>0</v>
      </c>
      <c r="Z1595">
        <v>0</v>
      </c>
      <c r="AA1595">
        <v>0</v>
      </c>
      <c r="AB1595">
        <v>0</v>
      </c>
      <c r="AC1595">
        <v>0</v>
      </c>
      <c r="AD1595">
        <v>0</v>
      </c>
      <c r="AE1595">
        <v>576</v>
      </c>
      <c r="AF1595">
        <v>0</v>
      </c>
      <c r="AG1595">
        <v>0</v>
      </c>
      <c r="AH1595">
        <v>0</v>
      </c>
      <c r="AI1595">
        <v>0</v>
      </c>
      <c r="AJ1595">
        <v>0</v>
      </c>
      <c r="AK1595">
        <v>0</v>
      </c>
      <c r="AL1595">
        <v>0</v>
      </c>
      <c r="AM1595">
        <v>0</v>
      </c>
      <c r="AN1595">
        <v>0</v>
      </c>
      <c r="AO1595">
        <v>0</v>
      </c>
      <c r="AP1595">
        <v>0</v>
      </c>
      <c r="AQ1595">
        <v>0</v>
      </c>
      <c r="AR1595">
        <v>0</v>
      </c>
      <c r="AS1595">
        <v>0</v>
      </c>
      <c r="AT1595">
        <v>0</v>
      </c>
      <c r="AU1595">
        <f t="shared" si="48"/>
        <v>0</v>
      </c>
      <c r="AV1595">
        <f t="shared" si="49"/>
        <v>0</v>
      </c>
    </row>
    <row r="1596" spans="1:48" x14ac:dyDescent="0.25">
      <c r="A1596" t="s">
        <v>6410</v>
      </c>
      <c r="C1596" t="s">
        <v>6411</v>
      </c>
      <c r="D1596" t="s">
        <v>6399</v>
      </c>
      <c r="E1596" t="s">
        <v>2310</v>
      </c>
      <c r="F1596">
        <v>9</v>
      </c>
      <c r="G1596">
        <v>9.3000000000000007</v>
      </c>
      <c r="H1596" t="s">
        <v>2323</v>
      </c>
      <c r="I1596" s="21">
        <v>38601</v>
      </c>
      <c r="J1596">
        <v>2005</v>
      </c>
      <c r="K1596" s="21">
        <v>38633</v>
      </c>
      <c r="L1596">
        <v>2005</v>
      </c>
      <c r="M1596" s="21">
        <v>38859</v>
      </c>
      <c r="N1596">
        <v>2006</v>
      </c>
      <c r="R1596" s="262">
        <v>19000</v>
      </c>
      <c r="S1596" t="s">
        <v>114</v>
      </c>
      <c r="T1596" t="s">
        <v>114</v>
      </c>
      <c r="U1596">
        <v>7</v>
      </c>
      <c r="W1596">
        <v>576</v>
      </c>
      <c r="X1596">
        <v>0</v>
      </c>
      <c r="Y1596">
        <v>0</v>
      </c>
      <c r="Z1596">
        <v>0</v>
      </c>
      <c r="AA1596">
        <v>0</v>
      </c>
      <c r="AB1596">
        <v>0</v>
      </c>
      <c r="AC1596">
        <v>0</v>
      </c>
      <c r="AD1596">
        <v>0</v>
      </c>
      <c r="AE1596">
        <v>576</v>
      </c>
      <c r="AF1596">
        <v>0</v>
      </c>
      <c r="AG1596">
        <v>0</v>
      </c>
      <c r="AH1596">
        <v>0</v>
      </c>
      <c r="AI1596">
        <v>0</v>
      </c>
      <c r="AJ1596">
        <v>0</v>
      </c>
      <c r="AK1596">
        <v>0</v>
      </c>
      <c r="AL1596">
        <v>0</v>
      </c>
      <c r="AM1596">
        <v>0</v>
      </c>
      <c r="AN1596">
        <v>0</v>
      </c>
      <c r="AO1596">
        <v>0</v>
      </c>
      <c r="AP1596">
        <v>0</v>
      </c>
      <c r="AQ1596">
        <v>0</v>
      </c>
      <c r="AR1596">
        <v>0</v>
      </c>
      <c r="AS1596">
        <v>0</v>
      </c>
      <c r="AT1596">
        <v>0</v>
      </c>
      <c r="AU1596">
        <f t="shared" si="48"/>
        <v>0</v>
      </c>
      <c r="AV1596">
        <f t="shared" si="49"/>
        <v>0</v>
      </c>
    </row>
    <row r="1597" spans="1:48" x14ac:dyDescent="0.25">
      <c r="A1597" t="s">
        <v>6412</v>
      </c>
      <c r="C1597" t="s">
        <v>6413</v>
      </c>
      <c r="D1597" t="s">
        <v>6399</v>
      </c>
      <c r="E1597" t="s">
        <v>2310</v>
      </c>
      <c r="F1597">
        <v>9</v>
      </c>
      <c r="G1597">
        <v>9.3000000000000007</v>
      </c>
      <c r="H1597" t="s">
        <v>2323</v>
      </c>
      <c r="I1597" s="21">
        <v>38601</v>
      </c>
      <c r="J1597">
        <v>2005</v>
      </c>
      <c r="K1597" s="21">
        <v>38633</v>
      </c>
      <c r="L1597">
        <v>2005</v>
      </c>
      <c r="M1597" s="21">
        <v>38859</v>
      </c>
      <c r="N1597">
        <v>2006</v>
      </c>
      <c r="R1597" s="262">
        <v>19000</v>
      </c>
      <c r="S1597" t="s">
        <v>114</v>
      </c>
      <c r="T1597" t="s">
        <v>114</v>
      </c>
      <c r="U1597">
        <v>7</v>
      </c>
      <c r="W1597">
        <v>576</v>
      </c>
      <c r="X1597">
        <v>0</v>
      </c>
      <c r="Y1597">
        <v>0</v>
      </c>
      <c r="Z1597">
        <v>0</v>
      </c>
      <c r="AA1597">
        <v>0</v>
      </c>
      <c r="AB1597">
        <v>0</v>
      </c>
      <c r="AC1597">
        <v>0</v>
      </c>
      <c r="AD1597">
        <v>0</v>
      </c>
      <c r="AE1597">
        <v>576</v>
      </c>
      <c r="AF1597">
        <v>0</v>
      </c>
      <c r="AG1597">
        <v>0</v>
      </c>
      <c r="AH1597">
        <v>0</v>
      </c>
      <c r="AI1597">
        <v>0</v>
      </c>
      <c r="AJ1597">
        <v>0</v>
      </c>
      <c r="AK1597">
        <v>0</v>
      </c>
      <c r="AL1597">
        <v>0</v>
      </c>
      <c r="AM1597">
        <v>0</v>
      </c>
      <c r="AN1597">
        <v>0</v>
      </c>
      <c r="AO1597">
        <v>0</v>
      </c>
      <c r="AP1597">
        <v>0</v>
      </c>
      <c r="AQ1597">
        <v>0</v>
      </c>
      <c r="AR1597">
        <v>0</v>
      </c>
      <c r="AS1597">
        <v>0</v>
      </c>
      <c r="AT1597">
        <v>0</v>
      </c>
      <c r="AU1597">
        <f t="shared" si="48"/>
        <v>0</v>
      </c>
      <c r="AV1597">
        <f t="shared" si="49"/>
        <v>0</v>
      </c>
    </row>
    <row r="1598" spans="1:48" x14ac:dyDescent="0.25">
      <c r="A1598" t="s">
        <v>6414</v>
      </c>
      <c r="C1598" t="s">
        <v>6415</v>
      </c>
      <c r="D1598" t="s">
        <v>6399</v>
      </c>
      <c r="E1598" t="s">
        <v>2310</v>
      </c>
      <c r="F1598">
        <v>9</v>
      </c>
      <c r="G1598">
        <v>9.3000000000000007</v>
      </c>
      <c r="H1598" t="s">
        <v>2323</v>
      </c>
      <c r="I1598" s="21">
        <v>38601</v>
      </c>
      <c r="J1598">
        <v>2005</v>
      </c>
      <c r="K1598" s="21">
        <v>38633</v>
      </c>
      <c r="L1598">
        <v>2005</v>
      </c>
      <c r="M1598" s="21">
        <v>38849</v>
      </c>
      <c r="N1598">
        <v>2006</v>
      </c>
      <c r="R1598" s="262">
        <v>180000</v>
      </c>
      <c r="S1598" t="s">
        <v>114</v>
      </c>
      <c r="T1598" t="s">
        <v>114</v>
      </c>
      <c r="U1598">
        <v>7</v>
      </c>
      <c r="W1598">
        <v>2520</v>
      </c>
      <c r="X1598">
        <v>1</v>
      </c>
      <c r="Y1598">
        <v>0</v>
      </c>
      <c r="Z1598">
        <v>0</v>
      </c>
      <c r="AA1598">
        <v>0</v>
      </c>
      <c r="AB1598">
        <v>0</v>
      </c>
      <c r="AC1598">
        <v>0</v>
      </c>
      <c r="AD1598">
        <v>0</v>
      </c>
      <c r="AE1598">
        <v>2520</v>
      </c>
      <c r="AF1598">
        <v>0</v>
      </c>
      <c r="AG1598">
        <v>0</v>
      </c>
      <c r="AH1598">
        <v>0</v>
      </c>
      <c r="AI1598">
        <v>0</v>
      </c>
      <c r="AJ1598">
        <v>0</v>
      </c>
      <c r="AK1598">
        <v>0</v>
      </c>
      <c r="AL1598">
        <v>0</v>
      </c>
      <c r="AM1598">
        <v>0</v>
      </c>
      <c r="AN1598">
        <v>0</v>
      </c>
      <c r="AO1598">
        <v>0</v>
      </c>
      <c r="AP1598">
        <v>0</v>
      </c>
      <c r="AQ1598">
        <v>1</v>
      </c>
      <c r="AR1598">
        <v>0</v>
      </c>
      <c r="AS1598">
        <v>0</v>
      </c>
      <c r="AT1598">
        <v>0</v>
      </c>
      <c r="AU1598">
        <f t="shared" si="48"/>
        <v>1</v>
      </c>
      <c r="AV1598">
        <f t="shared" si="49"/>
        <v>0</v>
      </c>
    </row>
    <row r="1599" spans="1:48" x14ac:dyDescent="0.25">
      <c r="A1599" t="s">
        <v>6416</v>
      </c>
      <c r="C1599" t="s">
        <v>6417</v>
      </c>
      <c r="D1599" t="s">
        <v>6399</v>
      </c>
      <c r="E1599" t="s">
        <v>2310</v>
      </c>
      <c r="F1599">
        <v>9</v>
      </c>
      <c r="G1599">
        <v>9.3000000000000007</v>
      </c>
      <c r="H1599" t="s">
        <v>2323</v>
      </c>
      <c r="I1599" s="21">
        <v>38601</v>
      </c>
      <c r="J1599">
        <v>2005</v>
      </c>
      <c r="K1599" s="21">
        <v>38633</v>
      </c>
      <c r="L1599">
        <v>2005</v>
      </c>
      <c r="M1599" s="21">
        <v>38848</v>
      </c>
      <c r="N1599">
        <v>2006</v>
      </c>
      <c r="R1599" s="262">
        <v>180000</v>
      </c>
      <c r="S1599" t="s">
        <v>114</v>
      </c>
      <c r="T1599" t="s">
        <v>114</v>
      </c>
      <c r="U1599">
        <v>7</v>
      </c>
      <c r="W1599">
        <v>2520</v>
      </c>
      <c r="X1599">
        <v>1</v>
      </c>
      <c r="Y1599">
        <v>0</v>
      </c>
      <c r="Z1599">
        <v>0</v>
      </c>
      <c r="AA1599">
        <v>0</v>
      </c>
      <c r="AB1599">
        <v>0</v>
      </c>
      <c r="AC1599">
        <v>0</v>
      </c>
      <c r="AD1599">
        <v>0</v>
      </c>
      <c r="AE1599">
        <v>2520</v>
      </c>
      <c r="AF1599">
        <v>0</v>
      </c>
      <c r="AG1599">
        <v>0</v>
      </c>
      <c r="AH1599">
        <v>0</v>
      </c>
      <c r="AI1599">
        <v>0</v>
      </c>
      <c r="AJ1599">
        <v>0</v>
      </c>
      <c r="AK1599">
        <v>0</v>
      </c>
      <c r="AL1599">
        <v>0</v>
      </c>
      <c r="AM1599">
        <v>0</v>
      </c>
      <c r="AN1599">
        <v>0</v>
      </c>
      <c r="AO1599">
        <v>0</v>
      </c>
      <c r="AP1599">
        <v>0</v>
      </c>
      <c r="AQ1599">
        <v>1</v>
      </c>
      <c r="AR1599">
        <v>0</v>
      </c>
      <c r="AS1599">
        <v>0</v>
      </c>
      <c r="AT1599">
        <v>0</v>
      </c>
      <c r="AU1599">
        <f t="shared" si="48"/>
        <v>1</v>
      </c>
      <c r="AV1599">
        <f t="shared" si="49"/>
        <v>0</v>
      </c>
    </row>
    <row r="1600" spans="1:48" x14ac:dyDescent="0.25">
      <c r="A1600" t="s">
        <v>6418</v>
      </c>
      <c r="C1600" t="s">
        <v>6419</v>
      </c>
      <c r="D1600" t="s">
        <v>6399</v>
      </c>
      <c r="E1600" t="s">
        <v>2310</v>
      </c>
      <c r="F1600">
        <v>9</v>
      </c>
      <c r="G1600">
        <v>9.3000000000000007</v>
      </c>
      <c r="H1600" t="s">
        <v>2323</v>
      </c>
      <c r="I1600" s="21">
        <v>38601</v>
      </c>
      <c r="J1600">
        <v>2005</v>
      </c>
      <c r="K1600" s="21">
        <v>38633</v>
      </c>
      <c r="L1600">
        <v>2005</v>
      </c>
      <c r="M1600" s="21">
        <v>38848</v>
      </c>
      <c r="N1600">
        <v>2006</v>
      </c>
      <c r="R1600" s="262">
        <v>180000</v>
      </c>
      <c r="S1600" t="s">
        <v>114</v>
      </c>
      <c r="T1600" t="s">
        <v>114</v>
      </c>
      <c r="U1600">
        <v>7</v>
      </c>
      <c r="W1600">
        <v>2520</v>
      </c>
      <c r="X1600">
        <v>1</v>
      </c>
      <c r="Y1600">
        <v>0</v>
      </c>
      <c r="Z1600">
        <v>0</v>
      </c>
      <c r="AA1600">
        <v>0</v>
      </c>
      <c r="AB1600">
        <v>0</v>
      </c>
      <c r="AC1600">
        <v>0</v>
      </c>
      <c r="AD1600">
        <v>0</v>
      </c>
      <c r="AE1600">
        <v>2520</v>
      </c>
      <c r="AF1600">
        <v>0</v>
      </c>
      <c r="AG1600">
        <v>0</v>
      </c>
      <c r="AH1600">
        <v>0</v>
      </c>
      <c r="AI1600">
        <v>0</v>
      </c>
      <c r="AJ1600">
        <v>0</v>
      </c>
      <c r="AK1600">
        <v>0</v>
      </c>
      <c r="AL1600">
        <v>0</v>
      </c>
      <c r="AM1600">
        <v>0</v>
      </c>
      <c r="AN1600">
        <v>0</v>
      </c>
      <c r="AO1600">
        <v>0</v>
      </c>
      <c r="AP1600">
        <v>0</v>
      </c>
      <c r="AQ1600">
        <v>1</v>
      </c>
      <c r="AR1600">
        <v>0</v>
      </c>
      <c r="AS1600">
        <v>0</v>
      </c>
      <c r="AT1600">
        <v>0</v>
      </c>
      <c r="AU1600">
        <f t="shared" si="48"/>
        <v>1</v>
      </c>
      <c r="AV1600">
        <f t="shared" si="49"/>
        <v>0</v>
      </c>
    </row>
    <row r="1601" spans="1:48" x14ac:dyDescent="0.25">
      <c r="A1601" t="s">
        <v>6420</v>
      </c>
      <c r="C1601" t="s">
        <v>6421</v>
      </c>
      <c r="D1601" t="s">
        <v>6399</v>
      </c>
      <c r="E1601" t="s">
        <v>2310</v>
      </c>
      <c r="F1601">
        <v>9</v>
      </c>
      <c r="G1601">
        <v>9.3000000000000007</v>
      </c>
      <c r="H1601" t="s">
        <v>2323</v>
      </c>
      <c r="I1601" s="21">
        <v>38601</v>
      </c>
      <c r="J1601">
        <v>2005</v>
      </c>
      <c r="K1601" s="21">
        <v>38633</v>
      </c>
      <c r="L1601">
        <v>2005</v>
      </c>
      <c r="M1601" s="21">
        <v>38848</v>
      </c>
      <c r="N1601">
        <v>2006</v>
      </c>
      <c r="R1601" s="262">
        <v>180000</v>
      </c>
      <c r="S1601" t="s">
        <v>114</v>
      </c>
      <c r="T1601" t="s">
        <v>114</v>
      </c>
      <c r="U1601">
        <v>7</v>
      </c>
      <c r="W1601">
        <v>2520</v>
      </c>
      <c r="X1601">
        <v>1</v>
      </c>
      <c r="Y1601">
        <v>0</v>
      </c>
      <c r="Z1601">
        <v>0</v>
      </c>
      <c r="AA1601">
        <v>0</v>
      </c>
      <c r="AB1601">
        <v>0</v>
      </c>
      <c r="AC1601">
        <v>0</v>
      </c>
      <c r="AD1601">
        <v>0</v>
      </c>
      <c r="AE1601">
        <v>2520</v>
      </c>
      <c r="AF1601">
        <v>0</v>
      </c>
      <c r="AG1601">
        <v>0</v>
      </c>
      <c r="AH1601">
        <v>0</v>
      </c>
      <c r="AI1601">
        <v>0</v>
      </c>
      <c r="AJ1601">
        <v>0</v>
      </c>
      <c r="AK1601">
        <v>0</v>
      </c>
      <c r="AL1601">
        <v>0</v>
      </c>
      <c r="AM1601">
        <v>0</v>
      </c>
      <c r="AN1601">
        <v>0</v>
      </c>
      <c r="AO1601">
        <v>0</v>
      </c>
      <c r="AP1601">
        <v>0</v>
      </c>
      <c r="AQ1601">
        <v>1</v>
      </c>
      <c r="AR1601">
        <v>0</v>
      </c>
      <c r="AS1601">
        <v>0</v>
      </c>
      <c r="AT1601">
        <v>0</v>
      </c>
      <c r="AU1601">
        <f t="shared" si="48"/>
        <v>1</v>
      </c>
      <c r="AV1601">
        <f t="shared" si="49"/>
        <v>0</v>
      </c>
    </row>
    <row r="1602" spans="1:48" x14ac:dyDescent="0.25">
      <c r="A1602" t="s">
        <v>6422</v>
      </c>
      <c r="C1602" t="s">
        <v>6423</v>
      </c>
      <c r="D1602" t="s">
        <v>6091</v>
      </c>
      <c r="E1602" t="s">
        <v>2310</v>
      </c>
      <c r="F1602">
        <v>9</v>
      </c>
      <c r="G1602">
        <v>9.3000000000000007</v>
      </c>
      <c r="H1602" t="s">
        <v>2323</v>
      </c>
      <c r="I1602" s="21">
        <v>38601</v>
      </c>
      <c r="J1602">
        <v>2005</v>
      </c>
      <c r="K1602" s="21">
        <v>38622</v>
      </c>
      <c r="L1602">
        <v>2005</v>
      </c>
      <c r="M1602" s="21">
        <v>39471</v>
      </c>
      <c r="N1602">
        <v>2008</v>
      </c>
      <c r="R1602" s="262">
        <v>5000</v>
      </c>
      <c r="S1602" t="s">
        <v>114</v>
      </c>
      <c r="T1602" t="s">
        <v>114</v>
      </c>
      <c r="U1602">
        <v>5</v>
      </c>
      <c r="W1602">
        <v>720</v>
      </c>
      <c r="X1602">
        <v>0</v>
      </c>
      <c r="Y1602">
        <v>0</v>
      </c>
      <c r="Z1602">
        <v>0</v>
      </c>
      <c r="AA1602">
        <v>0</v>
      </c>
      <c r="AB1602">
        <v>0</v>
      </c>
      <c r="AC1602">
        <v>720</v>
      </c>
      <c r="AD1602">
        <v>0</v>
      </c>
      <c r="AE1602">
        <v>0</v>
      </c>
      <c r="AF1602">
        <v>0</v>
      </c>
      <c r="AG1602">
        <v>0</v>
      </c>
      <c r="AH1602">
        <v>0</v>
      </c>
      <c r="AI1602">
        <v>0</v>
      </c>
      <c r="AJ1602">
        <v>0</v>
      </c>
      <c r="AK1602">
        <v>0</v>
      </c>
      <c r="AL1602">
        <v>0</v>
      </c>
      <c r="AM1602">
        <v>0</v>
      </c>
      <c r="AN1602">
        <v>0</v>
      </c>
      <c r="AO1602">
        <v>0</v>
      </c>
      <c r="AP1602">
        <v>0</v>
      </c>
      <c r="AQ1602">
        <v>0</v>
      </c>
      <c r="AR1602">
        <v>0</v>
      </c>
      <c r="AS1602">
        <v>0</v>
      </c>
      <c r="AT1602">
        <v>0</v>
      </c>
      <c r="AU1602">
        <f t="shared" si="48"/>
        <v>0</v>
      </c>
      <c r="AV1602">
        <f t="shared" si="49"/>
        <v>0</v>
      </c>
    </row>
    <row r="1603" spans="1:48" x14ac:dyDescent="0.25">
      <c r="A1603" t="s">
        <v>6424</v>
      </c>
      <c r="C1603" t="s">
        <v>6425</v>
      </c>
      <c r="D1603" t="s">
        <v>5562</v>
      </c>
      <c r="E1603" t="s">
        <v>2310</v>
      </c>
      <c r="F1603">
        <v>9</v>
      </c>
      <c r="G1603">
        <v>9.3000000000000007</v>
      </c>
      <c r="H1603" t="s">
        <v>2323</v>
      </c>
      <c r="I1603" s="21">
        <v>38601</v>
      </c>
      <c r="J1603">
        <v>2005</v>
      </c>
      <c r="K1603" s="21">
        <v>38611</v>
      </c>
      <c r="L1603">
        <v>2005</v>
      </c>
      <c r="M1603" s="21">
        <v>38611</v>
      </c>
      <c r="N1603">
        <v>2005</v>
      </c>
      <c r="R1603" s="262">
        <v>25000</v>
      </c>
      <c r="S1603" t="s">
        <v>114</v>
      </c>
      <c r="T1603" t="s">
        <v>114</v>
      </c>
      <c r="U1603">
        <v>5</v>
      </c>
      <c r="W1603">
        <v>211</v>
      </c>
      <c r="X1603">
        <v>0</v>
      </c>
      <c r="Y1603">
        <v>0</v>
      </c>
      <c r="Z1603">
        <v>0</v>
      </c>
      <c r="AA1603">
        <v>0</v>
      </c>
      <c r="AB1603">
        <v>0</v>
      </c>
      <c r="AC1603">
        <v>211</v>
      </c>
      <c r="AD1603">
        <v>0</v>
      </c>
      <c r="AE1603">
        <v>0</v>
      </c>
      <c r="AF1603">
        <v>0</v>
      </c>
      <c r="AG1603">
        <v>0</v>
      </c>
      <c r="AH1603">
        <v>0</v>
      </c>
      <c r="AI1603">
        <v>0</v>
      </c>
      <c r="AJ1603">
        <v>0</v>
      </c>
      <c r="AK1603">
        <v>0</v>
      </c>
      <c r="AL1603">
        <v>0</v>
      </c>
      <c r="AM1603">
        <v>0</v>
      </c>
      <c r="AN1603">
        <v>0</v>
      </c>
      <c r="AO1603">
        <v>0</v>
      </c>
      <c r="AP1603">
        <v>0</v>
      </c>
      <c r="AQ1603">
        <v>0</v>
      </c>
      <c r="AR1603">
        <v>0</v>
      </c>
      <c r="AS1603">
        <v>0</v>
      </c>
      <c r="AT1603">
        <v>0</v>
      </c>
      <c r="AU1603">
        <f t="shared" si="48"/>
        <v>0</v>
      </c>
      <c r="AV1603">
        <f t="shared" si="49"/>
        <v>0</v>
      </c>
    </row>
    <row r="1604" spans="1:48" x14ac:dyDescent="0.25">
      <c r="A1604" t="s">
        <v>6426</v>
      </c>
      <c r="C1604" t="s">
        <v>6427</v>
      </c>
      <c r="D1604" t="s">
        <v>6428</v>
      </c>
      <c r="E1604" t="s">
        <v>2310</v>
      </c>
      <c r="F1604">
        <v>9</v>
      </c>
      <c r="G1604">
        <v>9.1</v>
      </c>
      <c r="H1604" t="s">
        <v>2323</v>
      </c>
      <c r="I1604" s="21">
        <v>38601</v>
      </c>
      <c r="J1604">
        <v>2005</v>
      </c>
      <c r="K1604" s="21">
        <v>38633</v>
      </c>
      <c r="L1604">
        <v>2005</v>
      </c>
      <c r="M1604" s="21">
        <v>39654</v>
      </c>
      <c r="N1604">
        <v>2008</v>
      </c>
      <c r="R1604" s="262">
        <v>8500</v>
      </c>
      <c r="S1604" t="s">
        <v>114</v>
      </c>
      <c r="T1604" t="s">
        <v>114</v>
      </c>
      <c r="U1604">
        <v>5</v>
      </c>
      <c r="W1604">
        <v>463</v>
      </c>
      <c r="X1604">
        <v>0</v>
      </c>
      <c r="Y1604">
        <v>0</v>
      </c>
      <c r="Z1604">
        <v>0</v>
      </c>
      <c r="AA1604">
        <v>0</v>
      </c>
      <c r="AB1604">
        <v>0</v>
      </c>
      <c r="AC1604">
        <v>463</v>
      </c>
      <c r="AD1604">
        <v>0</v>
      </c>
      <c r="AE1604">
        <v>0</v>
      </c>
      <c r="AF1604">
        <v>0</v>
      </c>
      <c r="AG1604">
        <v>0</v>
      </c>
      <c r="AH1604">
        <v>0</v>
      </c>
      <c r="AI1604">
        <v>0</v>
      </c>
      <c r="AJ1604">
        <v>0</v>
      </c>
      <c r="AK1604">
        <v>0</v>
      </c>
      <c r="AL1604">
        <v>0</v>
      </c>
      <c r="AM1604">
        <v>0</v>
      </c>
      <c r="AN1604">
        <v>0</v>
      </c>
      <c r="AO1604">
        <v>0</v>
      </c>
      <c r="AP1604">
        <v>0</v>
      </c>
      <c r="AQ1604">
        <v>0</v>
      </c>
      <c r="AR1604">
        <v>0</v>
      </c>
      <c r="AS1604">
        <v>0</v>
      </c>
      <c r="AT1604">
        <v>0</v>
      </c>
      <c r="AU1604">
        <f t="shared" si="48"/>
        <v>0</v>
      </c>
      <c r="AV1604">
        <f t="shared" si="49"/>
        <v>0</v>
      </c>
    </row>
    <row r="1605" spans="1:48" x14ac:dyDescent="0.25">
      <c r="A1605" t="s">
        <v>6429</v>
      </c>
      <c r="C1605" t="s">
        <v>6430</v>
      </c>
      <c r="D1605" t="s">
        <v>6431</v>
      </c>
      <c r="E1605" t="s">
        <v>2310</v>
      </c>
      <c r="F1605">
        <v>9</v>
      </c>
      <c r="G1605">
        <v>9.1</v>
      </c>
      <c r="H1605" t="s">
        <v>2323</v>
      </c>
      <c r="I1605" s="21">
        <v>38602</v>
      </c>
      <c r="J1605">
        <v>2005</v>
      </c>
      <c r="K1605" s="21">
        <v>38645</v>
      </c>
      <c r="L1605">
        <v>2005</v>
      </c>
      <c r="M1605" s="21">
        <v>39618</v>
      </c>
      <c r="N1605">
        <v>2008</v>
      </c>
      <c r="R1605" s="262">
        <v>400000</v>
      </c>
      <c r="S1605" t="s">
        <v>114</v>
      </c>
      <c r="T1605" t="s">
        <v>114</v>
      </c>
      <c r="U1605">
        <v>5</v>
      </c>
      <c r="W1605">
        <v>4112</v>
      </c>
      <c r="X1605">
        <v>0</v>
      </c>
      <c r="Y1605">
        <v>0</v>
      </c>
      <c r="Z1605">
        <v>0</v>
      </c>
      <c r="AA1605">
        <v>0</v>
      </c>
      <c r="AB1605">
        <v>0</v>
      </c>
      <c r="AC1605">
        <v>4112</v>
      </c>
      <c r="AD1605">
        <v>0</v>
      </c>
      <c r="AE1605">
        <v>0</v>
      </c>
      <c r="AF1605">
        <v>0</v>
      </c>
      <c r="AG1605">
        <v>0</v>
      </c>
      <c r="AH1605">
        <v>0</v>
      </c>
      <c r="AI1605">
        <v>0</v>
      </c>
      <c r="AJ1605">
        <v>0</v>
      </c>
      <c r="AK1605">
        <v>0</v>
      </c>
      <c r="AL1605">
        <v>0</v>
      </c>
      <c r="AM1605">
        <v>0</v>
      </c>
      <c r="AN1605">
        <v>0</v>
      </c>
      <c r="AO1605">
        <v>0</v>
      </c>
      <c r="AP1605">
        <v>0</v>
      </c>
      <c r="AQ1605">
        <v>0</v>
      </c>
      <c r="AR1605">
        <v>0</v>
      </c>
      <c r="AS1605">
        <v>0</v>
      </c>
      <c r="AT1605">
        <v>0</v>
      </c>
      <c r="AU1605">
        <f t="shared" si="48"/>
        <v>0</v>
      </c>
      <c r="AV1605">
        <f t="shared" si="49"/>
        <v>0</v>
      </c>
    </row>
    <row r="1606" spans="1:48" x14ac:dyDescent="0.25">
      <c r="A1606" t="s">
        <v>6432</v>
      </c>
      <c r="C1606" t="s">
        <v>6433</v>
      </c>
      <c r="D1606" t="s">
        <v>6434</v>
      </c>
      <c r="E1606" t="s">
        <v>2310</v>
      </c>
      <c r="F1606">
        <v>13</v>
      </c>
      <c r="G1606">
        <v>13.2</v>
      </c>
      <c r="H1606" t="s">
        <v>2327</v>
      </c>
      <c r="I1606" s="21">
        <v>38602</v>
      </c>
      <c r="J1606">
        <v>2005</v>
      </c>
      <c r="K1606" s="21">
        <v>38622</v>
      </c>
      <c r="L1606">
        <v>2005</v>
      </c>
      <c r="M1606" s="21">
        <v>39141</v>
      </c>
      <c r="N1606">
        <v>2007</v>
      </c>
      <c r="R1606" s="262">
        <v>150000</v>
      </c>
      <c r="S1606" t="s">
        <v>114</v>
      </c>
      <c r="T1606" t="s">
        <v>114</v>
      </c>
      <c r="U1606">
        <v>5</v>
      </c>
      <c r="W1606">
        <v>0</v>
      </c>
      <c r="X1606">
        <v>0</v>
      </c>
      <c r="Y1606">
        <v>0</v>
      </c>
      <c r="Z1606">
        <v>0</v>
      </c>
      <c r="AA1606">
        <v>0</v>
      </c>
      <c r="AB1606">
        <v>0</v>
      </c>
      <c r="AC1606">
        <v>0</v>
      </c>
      <c r="AD1606">
        <v>0</v>
      </c>
      <c r="AE1606">
        <v>0</v>
      </c>
      <c r="AF1606">
        <v>0</v>
      </c>
      <c r="AG1606">
        <v>0</v>
      </c>
      <c r="AH1606">
        <v>0</v>
      </c>
      <c r="AI1606">
        <v>0</v>
      </c>
      <c r="AJ1606">
        <v>0</v>
      </c>
      <c r="AK1606">
        <v>0</v>
      </c>
      <c r="AL1606">
        <v>0</v>
      </c>
      <c r="AM1606">
        <v>0</v>
      </c>
      <c r="AN1606">
        <v>0</v>
      </c>
      <c r="AO1606">
        <v>0</v>
      </c>
      <c r="AP1606">
        <v>0</v>
      </c>
      <c r="AQ1606">
        <v>0</v>
      </c>
      <c r="AR1606">
        <v>0</v>
      </c>
      <c r="AS1606">
        <v>0</v>
      </c>
      <c r="AT1606">
        <v>0</v>
      </c>
      <c r="AU1606">
        <f t="shared" si="48"/>
        <v>0</v>
      </c>
      <c r="AV1606">
        <f t="shared" si="49"/>
        <v>0</v>
      </c>
    </row>
    <row r="1607" spans="1:48" x14ac:dyDescent="0.25">
      <c r="A1607" t="s">
        <v>6435</v>
      </c>
      <c r="C1607" t="s">
        <v>6436</v>
      </c>
      <c r="D1607" t="s">
        <v>6437</v>
      </c>
      <c r="E1607" t="s">
        <v>2310</v>
      </c>
      <c r="F1607">
        <v>15</v>
      </c>
      <c r="G1607">
        <v>15.3</v>
      </c>
      <c r="H1607" t="s">
        <v>2022</v>
      </c>
      <c r="I1607" s="21">
        <v>38603</v>
      </c>
      <c r="J1607">
        <v>2005</v>
      </c>
      <c r="K1607" s="21">
        <v>38633</v>
      </c>
      <c r="L1607">
        <v>2005</v>
      </c>
      <c r="M1607" s="21">
        <v>38896</v>
      </c>
      <c r="N1607">
        <v>2006</v>
      </c>
      <c r="R1607" s="262">
        <v>250000</v>
      </c>
      <c r="S1607" t="s">
        <v>114</v>
      </c>
      <c r="T1607" t="s">
        <v>114</v>
      </c>
      <c r="U1607">
        <v>8</v>
      </c>
      <c r="W1607">
        <v>977</v>
      </c>
      <c r="X1607">
        <v>1</v>
      </c>
      <c r="Y1607">
        <v>0</v>
      </c>
      <c r="Z1607">
        <v>0</v>
      </c>
      <c r="AA1607">
        <v>0</v>
      </c>
      <c r="AB1607">
        <v>0</v>
      </c>
      <c r="AC1607">
        <v>0</v>
      </c>
      <c r="AD1607">
        <v>0</v>
      </c>
      <c r="AE1607">
        <v>0</v>
      </c>
      <c r="AF1607">
        <v>977</v>
      </c>
      <c r="AG1607">
        <v>0</v>
      </c>
      <c r="AH1607">
        <v>0</v>
      </c>
      <c r="AI1607">
        <v>0</v>
      </c>
      <c r="AJ1607">
        <v>0</v>
      </c>
      <c r="AK1607">
        <v>0</v>
      </c>
      <c r="AL1607">
        <v>0</v>
      </c>
      <c r="AM1607">
        <v>0</v>
      </c>
      <c r="AN1607">
        <v>0</v>
      </c>
      <c r="AO1607">
        <v>0</v>
      </c>
      <c r="AP1607">
        <v>0</v>
      </c>
      <c r="AQ1607">
        <v>0</v>
      </c>
      <c r="AR1607">
        <v>1</v>
      </c>
      <c r="AS1607">
        <v>0</v>
      </c>
      <c r="AT1607">
        <v>0</v>
      </c>
      <c r="AU1607">
        <f t="shared" si="48"/>
        <v>0</v>
      </c>
      <c r="AV1607">
        <f t="shared" si="49"/>
        <v>0</v>
      </c>
    </row>
    <row r="1608" spans="1:48" x14ac:dyDescent="0.25">
      <c r="A1608" t="s">
        <v>6438</v>
      </c>
      <c r="C1608" t="s">
        <v>6439</v>
      </c>
      <c r="D1608" t="s">
        <v>6310</v>
      </c>
      <c r="E1608" t="s">
        <v>2310</v>
      </c>
      <c r="F1608">
        <v>9</v>
      </c>
      <c r="G1608">
        <v>9.3000000000000007</v>
      </c>
      <c r="H1608" t="s">
        <v>2323</v>
      </c>
      <c r="I1608" s="21">
        <v>38603</v>
      </c>
      <c r="J1608">
        <v>2005</v>
      </c>
      <c r="K1608" s="21">
        <v>38631</v>
      </c>
      <c r="L1608">
        <v>2005</v>
      </c>
      <c r="M1608" s="21">
        <v>38989</v>
      </c>
      <c r="N1608">
        <v>2006</v>
      </c>
      <c r="R1608" s="262">
        <v>300000</v>
      </c>
      <c r="S1608" t="s">
        <v>114</v>
      </c>
      <c r="T1608" t="s">
        <v>114</v>
      </c>
      <c r="U1608">
        <v>5</v>
      </c>
      <c r="W1608">
        <v>1913</v>
      </c>
      <c r="X1608">
        <v>0</v>
      </c>
      <c r="Y1608">
        <v>0</v>
      </c>
      <c r="Z1608">
        <v>0</v>
      </c>
      <c r="AA1608">
        <v>0</v>
      </c>
      <c r="AB1608">
        <v>0</v>
      </c>
      <c r="AC1608">
        <v>1913</v>
      </c>
      <c r="AD1608">
        <v>0</v>
      </c>
      <c r="AE1608">
        <v>0</v>
      </c>
      <c r="AF1608">
        <v>0</v>
      </c>
      <c r="AG1608">
        <v>0</v>
      </c>
      <c r="AH1608">
        <v>0</v>
      </c>
      <c r="AI1608">
        <v>0</v>
      </c>
      <c r="AJ1608">
        <v>0</v>
      </c>
      <c r="AK1608">
        <v>0</v>
      </c>
      <c r="AL1608">
        <v>0</v>
      </c>
      <c r="AM1608">
        <v>0</v>
      </c>
      <c r="AN1608">
        <v>0</v>
      </c>
      <c r="AO1608">
        <v>0</v>
      </c>
      <c r="AP1608">
        <v>0</v>
      </c>
      <c r="AQ1608">
        <v>0</v>
      </c>
      <c r="AR1608">
        <v>0</v>
      </c>
      <c r="AS1608">
        <v>0</v>
      </c>
      <c r="AT1608">
        <v>0</v>
      </c>
      <c r="AU1608">
        <f t="shared" si="48"/>
        <v>0</v>
      </c>
      <c r="AV1608">
        <f t="shared" si="49"/>
        <v>0</v>
      </c>
    </row>
    <row r="1609" spans="1:48" x14ac:dyDescent="0.25">
      <c r="A1609" t="s">
        <v>6440</v>
      </c>
      <c r="C1609" t="s">
        <v>6441</v>
      </c>
      <c r="D1609" t="s">
        <v>6442</v>
      </c>
      <c r="E1609" t="s">
        <v>2310</v>
      </c>
      <c r="F1609">
        <v>8</v>
      </c>
      <c r="G1609">
        <v>8.1</v>
      </c>
      <c r="H1609" t="s">
        <v>2323</v>
      </c>
      <c r="I1609" s="21">
        <v>38608</v>
      </c>
      <c r="J1609">
        <v>2005</v>
      </c>
      <c r="K1609" s="21">
        <v>38623</v>
      </c>
      <c r="L1609">
        <v>2005</v>
      </c>
      <c r="M1609" s="21">
        <v>39029</v>
      </c>
      <c r="N1609">
        <v>2006</v>
      </c>
      <c r="R1609" s="262">
        <v>30000</v>
      </c>
      <c r="S1609" t="s">
        <v>114</v>
      </c>
      <c r="T1609" t="s">
        <v>114</v>
      </c>
      <c r="U1609">
        <v>5</v>
      </c>
      <c r="W1609">
        <v>0</v>
      </c>
      <c r="X1609">
        <v>0</v>
      </c>
      <c r="Y1609">
        <v>0</v>
      </c>
      <c r="Z1609">
        <v>0</v>
      </c>
      <c r="AA1609">
        <v>0</v>
      </c>
      <c r="AB1609">
        <v>0</v>
      </c>
      <c r="AC1609">
        <v>0</v>
      </c>
      <c r="AD1609">
        <v>0</v>
      </c>
      <c r="AE1609">
        <v>0</v>
      </c>
      <c r="AF1609">
        <v>0</v>
      </c>
      <c r="AG1609">
        <v>0</v>
      </c>
      <c r="AH1609">
        <v>0</v>
      </c>
      <c r="AI1609">
        <v>0</v>
      </c>
      <c r="AJ1609">
        <v>0</v>
      </c>
      <c r="AK1609">
        <v>0</v>
      </c>
      <c r="AL1609">
        <v>0</v>
      </c>
      <c r="AM1609">
        <v>0</v>
      </c>
      <c r="AN1609">
        <v>0</v>
      </c>
      <c r="AO1609">
        <v>0</v>
      </c>
      <c r="AP1609">
        <v>0</v>
      </c>
      <c r="AQ1609">
        <v>0</v>
      </c>
      <c r="AR1609">
        <v>0</v>
      </c>
      <c r="AS1609">
        <v>0</v>
      </c>
      <c r="AT1609">
        <v>0</v>
      </c>
      <c r="AU1609">
        <f t="shared" si="48"/>
        <v>0</v>
      </c>
      <c r="AV1609">
        <f t="shared" si="49"/>
        <v>0</v>
      </c>
    </row>
    <row r="1610" spans="1:48" x14ac:dyDescent="0.25">
      <c r="A1610" t="s">
        <v>6443</v>
      </c>
      <c r="C1610" t="s">
        <v>6444</v>
      </c>
      <c r="D1610" t="s">
        <v>6445</v>
      </c>
      <c r="E1610" t="s">
        <v>2310</v>
      </c>
      <c r="F1610">
        <v>9</v>
      </c>
      <c r="G1610">
        <v>9.4</v>
      </c>
      <c r="H1610" t="s">
        <v>2323</v>
      </c>
      <c r="I1610" s="21">
        <v>38608</v>
      </c>
      <c r="J1610">
        <v>2005</v>
      </c>
      <c r="K1610" s="21">
        <v>38651</v>
      </c>
      <c r="L1610">
        <v>2005</v>
      </c>
      <c r="M1610" s="21">
        <v>39897</v>
      </c>
      <c r="N1610">
        <v>2009</v>
      </c>
      <c r="R1610" s="262">
        <v>111000</v>
      </c>
      <c r="S1610" t="s">
        <v>114</v>
      </c>
      <c r="T1610" t="s">
        <v>114</v>
      </c>
      <c r="U1610">
        <v>8</v>
      </c>
      <c r="W1610">
        <v>996</v>
      </c>
      <c r="X1610">
        <v>1</v>
      </c>
      <c r="Y1610">
        <v>0</v>
      </c>
      <c r="Z1610">
        <v>0</v>
      </c>
      <c r="AA1610">
        <v>0</v>
      </c>
      <c r="AB1610">
        <v>0</v>
      </c>
      <c r="AC1610">
        <v>0</v>
      </c>
      <c r="AD1610">
        <v>0</v>
      </c>
      <c r="AE1610">
        <v>0</v>
      </c>
      <c r="AF1610">
        <v>996</v>
      </c>
      <c r="AG1610">
        <v>0</v>
      </c>
      <c r="AH1610">
        <v>0</v>
      </c>
      <c r="AI1610">
        <v>0</v>
      </c>
      <c r="AJ1610">
        <v>0</v>
      </c>
      <c r="AK1610">
        <v>0</v>
      </c>
      <c r="AL1610">
        <v>0</v>
      </c>
      <c r="AM1610">
        <v>0</v>
      </c>
      <c r="AN1610">
        <v>0</v>
      </c>
      <c r="AO1610">
        <v>0</v>
      </c>
      <c r="AP1610">
        <v>0</v>
      </c>
      <c r="AQ1610">
        <v>0</v>
      </c>
      <c r="AR1610">
        <v>1</v>
      </c>
      <c r="AS1610">
        <v>0</v>
      </c>
      <c r="AT1610">
        <v>0</v>
      </c>
      <c r="AU1610">
        <f t="shared" si="48"/>
        <v>0</v>
      </c>
      <c r="AV1610">
        <f t="shared" si="49"/>
        <v>0</v>
      </c>
    </row>
    <row r="1611" spans="1:48" x14ac:dyDescent="0.25">
      <c r="A1611" t="s">
        <v>6446</v>
      </c>
      <c r="C1611" t="s">
        <v>6447</v>
      </c>
      <c r="D1611" t="s">
        <v>6005</v>
      </c>
      <c r="E1611" t="s">
        <v>2310</v>
      </c>
      <c r="F1611">
        <v>9</v>
      </c>
      <c r="G1611">
        <v>9.3000000000000007</v>
      </c>
      <c r="H1611" t="s">
        <v>2323</v>
      </c>
      <c r="I1611" s="21">
        <v>38608</v>
      </c>
      <c r="J1611">
        <v>2005</v>
      </c>
      <c r="K1611" s="21">
        <v>38664</v>
      </c>
      <c r="L1611">
        <v>2005</v>
      </c>
      <c r="M1611" s="21">
        <v>39010</v>
      </c>
      <c r="N1611">
        <v>2006</v>
      </c>
      <c r="R1611" s="262">
        <v>1850000</v>
      </c>
      <c r="S1611" t="s">
        <v>114</v>
      </c>
      <c r="T1611" t="s">
        <v>114</v>
      </c>
      <c r="U1611">
        <v>4</v>
      </c>
      <c r="W1611">
        <v>4550</v>
      </c>
      <c r="X1611">
        <v>0</v>
      </c>
      <c r="Y1611">
        <v>0</v>
      </c>
      <c r="Z1611">
        <v>0</v>
      </c>
      <c r="AA1611">
        <v>0</v>
      </c>
      <c r="AB1611">
        <v>4550</v>
      </c>
      <c r="AC1611">
        <v>0</v>
      </c>
      <c r="AD1611">
        <v>0</v>
      </c>
      <c r="AE1611">
        <v>0</v>
      </c>
      <c r="AF1611">
        <v>0</v>
      </c>
      <c r="AG1611">
        <v>0</v>
      </c>
      <c r="AH1611">
        <v>0</v>
      </c>
      <c r="AI1611">
        <v>0</v>
      </c>
      <c r="AJ1611">
        <v>0</v>
      </c>
      <c r="AK1611">
        <v>0</v>
      </c>
      <c r="AL1611">
        <v>0</v>
      </c>
      <c r="AM1611">
        <v>0</v>
      </c>
      <c r="AN1611">
        <v>0</v>
      </c>
      <c r="AO1611">
        <v>0</v>
      </c>
      <c r="AP1611">
        <v>0</v>
      </c>
      <c r="AQ1611">
        <v>0</v>
      </c>
      <c r="AR1611">
        <v>0</v>
      </c>
      <c r="AS1611">
        <v>0</v>
      </c>
      <c r="AT1611">
        <v>0</v>
      </c>
      <c r="AU1611">
        <f t="shared" si="48"/>
        <v>0</v>
      </c>
      <c r="AV1611">
        <f t="shared" si="49"/>
        <v>4550</v>
      </c>
    </row>
    <row r="1612" spans="1:48" x14ac:dyDescent="0.25">
      <c r="A1612" t="s">
        <v>6448</v>
      </c>
      <c r="C1612" t="s">
        <v>6449</v>
      </c>
      <c r="D1612" t="s">
        <v>5532</v>
      </c>
      <c r="E1612" t="s">
        <v>2310</v>
      </c>
      <c r="F1612">
        <v>15</v>
      </c>
      <c r="G1612">
        <v>15.2</v>
      </c>
      <c r="H1612" t="s">
        <v>2323</v>
      </c>
      <c r="I1612" s="21">
        <v>38609</v>
      </c>
      <c r="J1612">
        <v>2005</v>
      </c>
      <c r="K1612" s="21">
        <v>38640</v>
      </c>
      <c r="L1612">
        <v>2005</v>
      </c>
      <c r="M1612" s="21">
        <v>40465.665972222203</v>
      </c>
      <c r="N1612">
        <v>2010</v>
      </c>
      <c r="R1612" s="262">
        <v>80000</v>
      </c>
      <c r="S1612" t="s">
        <v>114</v>
      </c>
      <c r="T1612" t="s">
        <v>114</v>
      </c>
      <c r="U1612">
        <v>5</v>
      </c>
      <c r="W1612">
        <v>806</v>
      </c>
      <c r="X1612">
        <v>0</v>
      </c>
      <c r="Y1612">
        <v>0</v>
      </c>
      <c r="Z1612">
        <v>0</v>
      </c>
      <c r="AA1612">
        <v>0</v>
      </c>
      <c r="AB1612">
        <v>0</v>
      </c>
      <c r="AC1612">
        <v>806</v>
      </c>
      <c r="AD1612">
        <v>0</v>
      </c>
      <c r="AE1612">
        <v>0</v>
      </c>
      <c r="AF1612">
        <v>0</v>
      </c>
      <c r="AG1612">
        <v>0</v>
      </c>
      <c r="AH1612">
        <v>0</v>
      </c>
      <c r="AI1612">
        <v>0</v>
      </c>
      <c r="AJ1612">
        <v>0</v>
      </c>
      <c r="AK1612">
        <v>0</v>
      </c>
      <c r="AL1612">
        <v>0</v>
      </c>
      <c r="AM1612">
        <v>0</v>
      </c>
      <c r="AN1612">
        <v>0</v>
      </c>
      <c r="AO1612">
        <v>0</v>
      </c>
      <c r="AP1612">
        <v>0</v>
      </c>
      <c r="AQ1612">
        <v>0</v>
      </c>
      <c r="AR1612">
        <v>0</v>
      </c>
      <c r="AS1612">
        <v>0</v>
      </c>
      <c r="AT1612">
        <v>0</v>
      </c>
      <c r="AU1612">
        <f t="shared" si="48"/>
        <v>0</v>
      </c>
      <c r="AV1612">
        <f t="shared" si="49"/>
        <v>0</v>
      </c>
    </row>
    <row r="1613" spans="1:48" x14ac:dyDescent="0.25">
      <c r="A1613" t="s">
        <v>6450</v>
      </c>
      <c r="C1613" t="s">
        <v>6451</v>
      </c>
      <c r="D1613" t="s">
        <v>6452</v>
      </c>
      <c r="E1613" t="s">
        <v>2310</v>
      </c>
      <c r="F1613">
        <v>9</v>
      </c>
      <c r="G1613">
        <v>9.1</v>
      </c>
      <c r="H1613" t="s">
        <v>2323</v>
      </c>
      <c r="I1613" s="21">
        <v>38610</v>
      </c>
      <c r="J1613">
        <v>2005</v>
      </c>
      <c r="K1613" s="21">
        <v>38644</v>
      </c>
      <c r="L1613">
        <v>2005</v>
      </c>
      <c r="M1613" s="21">
        <v>39008</v>
      </c>
      <c r="N1613">
        <v>2006</v>
      </c>
      <c r="R1613" s="262">
        <v>1000000</v>
      </c>
      <c r="S1613" t="s">
        <v>114</v>
      </c>
      <c r="T1613" t="s">
        <v>114</v>
      </c>
      <c r="U1613">
        <v>5</v>
      </c>
      <c r="W1613">
        <v>5478</v>
      </c>
      <c r="X1613">
        <v>1</v>
      </c>
      <c r="Y1613">
        <v>0</v>
      </c>
      <c r="Z1613">
        <v>0</v>
      </c>
      <c r="AA1613">
        <v>0</v>
      </c>
      <c r="AB1613">
        <v>0</v>
      </c>
      <c r="AC1613">
        <v>5478</v>
      </c>
      <c r="AD1613">
        <v>0</v>
      </c>
      <c r="AE1613">
        <v>0</v>
      </c>
      <c r="AF1613">
        <v>0</v>
      </c>
      <c r="AG1613">
        <v>0</v>
      </c>
      <c r="AH1613">
        <v>0</v>
      </c>
      <c r="AI1613">
        <v>0</v>
      </c>
      <c r="AJ1613">
        <v>0</v>
      </c>
      <c r="AK1613">
        <v>0</v>
      </c>
      <c r="AL1613">
        <v>0</v>
      </c>
      <c r="AM1613">
        <v>0</v>
      </c>
      <c r="AN1613">
        <v>0</v>
      </c>
      <c r="AO1613">
        <v>1</v>
      </c>
      <c r="AP1613">
        <v>0</v>
      </c>
      <c r="AQ1613">
        <v>0</v>
      </c>
      <c r="AR1613">
        <v>0</v>
      </c>
      <c r="AS1613">
        <v>0</v>
      </c>
      <c r="AT1613">
        <v>0</v>
      </c>
      <c r="AU1613">
        <f t="shared" si="48"/>
        <v>1</v>
      </c>
      <c r="AV1613">
        <f t="shared" si="49"/>
        <v>0</v>
      </c>
    </row>
    <row r="1614" spans="1:48" x14ac:dyDescent="0.25">
      <c r="A1614" t="s">
        <v>6456</v>
      </c>
      <c r="C1614" t="s">
        <v>6457</v>
      </c>
      <c r="D1614" t="s">
        <v>6458</v>
      </c>
      <c r="E1614" t="s">
        <v>2310</v>
      </c>
      <c r="F1614">
        <v>8</v>
      </c>
      <c r="G1614">
        <v>8.3000000000000007</v>
      </c>
      <c r="H1614" t="s">
        <v>2323</v>
      </c>
      <c r="I1614" s="21">
        <v>38611</v>
      </c>
      <c r="J1614">
        <v>2005</v>
      </c>
      <c r="K1614" s="21">
        <v>38625</v>
      </c>
      <c r="L1614">
        <v>2005</v>
      </c>
      <c r="M1614" s="21">
        <v>38989</v>
      </c>
      <c r="N1614">
        <v>2006</v>
      </c>
      <c r="R1614" s="262">
        <v>200000</v>
      </c>
      <c r="S1614" t="s">
        <v>114</v>
      </c>
      <c r="T1614" t="s">
        <v>114</v>
      </c>
      <c r="U1614">
        <v>8</v>
      </c>
      <c r="W1614">
        <v>2730</v>
      </c>
      <c r="X1614">
        <v>1</v>
      </c>
      <c r="Y1614">
        <v>0</v>
      </c>
      <c r="Z1614">
        <v>0</v>
      </c>
      <c r="AA1614">
        <v>0</v>
      </c>
      <c r="AB1614">
        <v>0</v>
      </c>
      <c r="AC1614">
        <v>1760</v>
      </c>
      <c r="AD1614">
        <v>0</v>
      </c>
      <c r="AE1614">
        <v>0</v>
      </c>
      <c r="AF1614">
        <v>970</v>
      </c>
      <c r="AG1614">
        <v>0</v>
      </c>
      <c r="AH1614">
        <v>0</v>
      </c>
      <c r="AI1614">
        <v>0</v>
      </c>
      <c r="AJ1614">
        <v>0</v>
      </c>
      <c r="AK1614">
        <v>0</v>
      </c>
      <c r="AL1614">
        <v>0</v>
      </c>
      <c r="AM1614">
        <v>0</v>
      </c>
      <c r="AN1614">
        <v>0</v>
      </c>
      <c r="AO1614">
        <v>0</v>
      </c>
      <c r="AP1614">
        <v>0</v>
      </c>
      <c r="AQ1614">
        <v>0</v>
      </c>
      <c r="AR1614">
        <v>1</v>
      </c>
      <c r="AS1614">
        <v>0</v>
      </c>
      <c r="AT1614">
        <v>0</v>
      </c>
      <c r="AU1614">
        <f t="shared" si="48"/>
        <v>0</v>
      </c>
      <c r="AV1614">
        <f t="shared" si="49"/>
        <v>0</v>
      </c>
    </row>
    <row r="1615" spans="1:48" x14ac:dyDescent="0.25">
      <c r="A1615" t="s">
        <v>6453</v>
      </c>
      <c r="C1615" t="s">
        <v>6454</v>
      </c>
      <c r="D1615" t="s">
        <v>6455</v>
      </c>
      <c r="E1615" t="s">
        <v>1663</v>
      </c>
      <c r="F1615">
        <v>3</v>
      </c>
      <c r="G1615">
        <v>3.1</v>
      </c>
      <c r="H1615" t="s">
        <v>2017</v>
      </c>
      <c r="I1615" s="21">
        <v>38611</v>
      </c>
      <c r="J1615">
        <v>2005</v>
      </c>
      <c r="K1615" s="21">
        <v>38641</v>
      </c>
      <c r="L1615">
        <v>2005</v>
      </c>
      <c r="M1615" s="21">
        <v>38792</v>
      </c>
      <c r="N1615">
        <v>2006</v>
      </c>
      <c r="Q1615" s="262">
        <v>0</v>
      </c>
      <c r="S1615" t="s">
        <v>114</v>
      </c>
      <c r="T1615" t="s">
        <v>114</v>
      </c>
      <c r="W1615">
        <v>4471</v>
      </c>
      <c r="X1615">
        <v>1</v>
      </c>
      <c r="Y1615">
        <v>0</v>
      </c>
      <c r="Z1615">
        <v>0</v>
      </c>
      <c r="AA1615">
        <v>0</v>
      </c>
      <c r="AB1615">
        <v>0</v>
      </c>
      <c r="AC1615">
        <v>4471</v>
      </c>
      <c r="AD1615">
        <v>0</v>
      </c>
      <c r="AE1615">
        <v>0</v>
      </c>
      <c r="AF1615">
        <v>0</v>
      </c>
      <c r="AG1615">
        <v>0</v>
      </c>
      <c r="AH1615">
        <v>0</v>
      </c>
      <c r="AI1615">
        <v>0</v>
      </c>
      <c r="AJ1615">
        <v>0</v>
      </c>
      <c r="AK1615">
        <v>0</v>
      </c>
      <c r="AL1615">
        <v>0</v>
      </c>
      <c r="AM1615">
        <v>0</v>
      </c>
      <c r="AN1615">
        <v>0</v>
      </c>
      <c r="AO1615">
        <v>1</v>
      </c>
      <c r="AP1615">
        <v>0</v>
      </c>
      <c r="AQ1615">
        <v>0</v>
      </c>
      <c r="AR1615">
        <v>0</v>
      </c>
      <c r="AS1615">
        <v>0</v>
      </c>
      <c r="AT1615">
        <v>0</v>
      </c>
      <c r="AU1615">
        <f t="shared" si="48"/>
        <v>1</v>
      </c>
      <c r="AV1615">
        <f t="shared" si="49"/>
        <v>0</v>
      </c>
    </row>
    <row r="1616" spans="1:48" x14ac:dyDescent="0.25">
      <c r="A1616" t="s">
        <v>6462</v>
      </c>
      <c r="C1616" t="s">
        <v>6163</v>
      </c>
      <c r="D1616" t="s">
        <v>6463</v>
      </c>
      <c r="E1616" t="s">
        <v>2310</v>
      </c>
      <c r="F1616">
        <v>9</v>
      </c>
      <c r="G1616">
        <v>9.1999999999999993</v>
      </c>
      <c r="H1616" t="s">
        <v>2022</v>
      </c>
      <c r="I1616" s="21">
        <v>38614</v>
      </c>
      <c r="J1616">
        <v>2005</v>
      </c>
      <c r="K1616" s="21">
        <v>38659</v>
      </c>
      <c r="L1616">
        <v>2005</v>
      </c>
      <c r="M1616" s="21">
        <v>39148</v>
      </c>
      <c r="N1616">
        <v>2007</v>
      </c>
      <c r="R1616" s="262">
        <v>2132000</v>
      </c>
      <c r="S1616" t="s">
        <v>114</v>
      </c>
      <c r="T1616" t="s">
        <v>114</v>
      </c>
      <c r="U1616">
        <v>5</v>
      </c>
      <c r="W1616">
        <v>8253</v>
      </c>
      <c r="X1616">
        <v>1</v>
      </c>
      <c r="Y1616">
        <v>0</v>
      </c>
      <c r="Z1616">
        <v>0</v>
      </c>
      <c r="AA1616">
        <v>0</v>
      </c>
      <c r="AB1616">
        <v>0</v>
      </c>
      <c r="AC1616">
        <v>8253</v>
      </c>
      <c r="AD1616">
        <v>0</v>
      </c>
      <c r="AE1616">
        <v>0</v>
      </c>
      <c r="AF1616">
        <v>0</v>
      </c>
      <c r="AG1616">
        <v>0</v>
      </c>
      <c r="AH1616">
        <v>0</v>
      </c>
      <c r="AI1616">
        <v>0</v>
      </c>
      <c r="AJ1616">
        <v>0</v>
      </c>
      <c r="AK1616">
        <v>0</v>
      </c>
      <c r="AL1616">
        <v>0</v>
      </c>
      <c r="AM1616">
        <v>0</v>
      </c>
      <c r="AN1616">
        <v>0</v>
      </c>
      <c r="AO1616">
        <v>1</v>
      </c>
      <c r="AP1616">
        <v>0</v>
      </c>
      <c r="AQ1616">
        <v>0</v>
      </c>
      <c r="AR1616">
        <v>0</v>
      </c>
      <c r="AS1616">
        <v>0</v>
      </c>
      <c r="AT1616">
        <v>0</v>
      </c>
      <c r="AU1616">
        <f t="shared" si="48"/>
        <v>1</v>
      </c>
      <c r="AV1616">
        <f t="shared" si="49"/>
        <v>0</v>
      </c>
    </row>
    <row r="1617" spans="1:48" x14ac:dyDescent="0.25">
      <c r="A1617" t="s">
        <v>6464</v>
      </c>
      <c r="C1617" t="s">
        <v>6465</v>
      </c>
      <c r="D1617" t="s">
        <v>6463</v>
      </c>
      <c r="E1617" t="s">
        <v>2310</v>
      </c>
      <c r="F1617">
        <v>9</v>
      </c>
      <c r="G1617">
        <v>9.1999999999999993</v>
      </c>
      <c r="H1617" t="s">
        <v>2022</v>
      </c>
      <c r="I1617" s="21">
        <v>38614</v>
      </c>
      <c r="J1617">
        <v>2005</v>
      </c>
      <c r="K1617" s="21">
        <v>38659</v>
      </c>
      <c r="L1617">
        <v>2005</v>
      </c>
      <c r="M1617" s="21">
        <v>39148</v>
      </c>
      <c r="N1617">
        <v>2007</v>
      </c>
      <c r="R1617" s="262">
        <v>68000</v>
      </c>
      <c r="S1617" t="s">
        <v>114</v>
      </c>
      <c r="T1617" t="s">
        <v>114</v>
      </c>
      <c r="U1617">
        <v>5</v>
      </c>
      <c r="W1617">
        <v>1280</v>
      </c>
      <c r="X1617">
        <v>0</v>
      </c>
      <c r="Y1617">
        <v>0</v>
      </c>
      <c r="Z1617">
        <v>0</v>
      </c>
      <c r="AA1617">
        <v>0</v>
      </c>
      <c r="AB1617">
        <v>0</v>
      </c>
      <c r="AC1617">
        <v>1280</v>
      </c>
      <c r="AD1617">
        <v>0</v>
      </c>
      <c r="AE1617">
        <v>0</v>
      </c>
      <c r="AF1617">
        <v>0</v>
      </c>
      <c r="AG1617">
        <v>0</v>
      </c>
      <c r="AH1617">
        <v>0</v>
      </c>
      <c r="AI1617">
        <v>0</v>
      </c>
      <c r="AJ1617">
        <v>0</v>
      </c>
      <c r="AK1617">
        <v>0</v>
      </c>
      <c r="AL1617">
        <v>0</v>
      </c>
      <c r="AM1617">
        <v>0</v>
      </c>
      <c r="AN1617">
        <v>0</v>
      </c>
      <c r="AO1617">
        <v>0</v>
      </c>
      <c r="AP1617">
        <v>0</v>
      </c>
      <c r="AQ1617">
        <v>0</v>
      </c>
      <c r="AR1617">
        <v>0</v>
      </c>
      <c r="AS1617">
        <v>0</v>
      </c>
      <c r="AT1617">
        <v>0</v>
      </c>
      <c r="AU1617">
        <f t="shared" si="48"/>
        <v>0</v>
      </c>
      <c r="AV1617">
        <f t="shared" si="49"/>
        <v>0</v>
      </c>
    </row>
    <row r="1618" spans="1:48" x14ac:dyDescent="0.25">
      <c r="A1618" t="s">
        <v>6459</v>
      </c>
      <c r="C1618" t="s">
        <v>6460</v>
      </c>
      <c r="D1618" t="s">
        <v>6461</v>
      </c>
      <c r="E1618" t="s">
        <v>1663</v>
      </c>
      <c r="F1618">
        <v>3</v>
      </c>
      <c r="G1618">
        <v>3.1</v>
      </c>
      <c r="H1618" t="s">
        <v>2017</v>
      </c>
      <c r="I1618" s="21">
        <v>38614</v>
      </c>
      <c r="J1618">
        <v>2005</v>
      </c>
      <c r="K1618" s="21">
        <v>38644</v>
      </c>
      <c r="L1618">
        <v>2005</v>
      </c>
      <c r="M1618" s="21">
        <v>38795</v>
      </c>
      <c r="N1618">
        <v>2006</v>
      </c>
      <c r="Q1618" s="262">
        <v>0</v>
      </c>
      <c r="S1618" t="s">
        <v>114</v>
      </c>
      <c r="T1618" t="s">
        <v>114</v>
      </c>
      <c r="W1618">
        <v>4471</v>
      </c>
      <c r="X1618">
        <v>1</v>
      </c>
      <c r="Y1618">
        <v>0</v>
      </c>
      <c r="Z1618">
        <v>0</v>
      </c>
      <c r="AA1618">
        <v>0</v>
      </c>
      <c r="AB1618">
        <v>0</v>
      </c>
      <c r="AC1618">
        <v>4471</v>
      </c>
      <c r="AD1618">
        <v>0</v>
      </c>
      <c r="AE1618">
        <v>0</v>
      </c>
      <c r="AF1618">
        <v>0</v>
      </c>
      <c r="AG1618">
        <v>0</v>
      </c>
      <c r="AH1618">
        <v>0</v>
      </c>
      <c r="AI1618">
        <v>0</v>
      </c>
      <c r="AJ1618">
        <v>0</v>
      </c>
      <c r="AK1618">
        <v>0</v>
      </c>
      <c r="AL1618">
        <v>0</v>
      </c>
      <c r="AM1618">
        <v>0</v>
      </c>
      <c r="AN1618">
        <v>0</v>
      </c>
      <c r="AO1618">
        <v>1</v>
      </c>
      <c r="AP1618">
        <v>0</v>
      </c>
      <c r="AQ1618">
        <v>0</v>
      </c>
      <c r="AR1618">
        <v>0</v>
      </c>
      <c r="AS1618">
        <v>0</v>
      </c>
      <c r="AT1618">
        <v>0</v>
      </c>
      <c r="AU1618">
        <f t="shared" si="48"/>
        <v>1</v>
      </c>
      <c r="AV1618">
        <f t="shared" si="49"/>
        <v>0</v>
      </c>
    </row>
    <row r="1619" spans="1:48" x14ac:dyDescent="0.25">
      <c r="A1619" t="s">
        <v>6466</v>
      </c>
      <c r="C1619" t="s">
        <v>6467</v>
      </c>
      <c r="D1619" t="s">
        <v>2805</v>
      </c>
      <c r="E1619" t="s">
        <v>2310</v>
      </c>
      <c r="F1619">
        <v>8</v>
      </c>
      <c r="G1619">
        <v>8.3000000000000007</v>
      </c>
      <c r="H1619" t="s">
        <v>2323</v>
      </c>
      <c r="I1619" s="21">
        <v>38615</v>
      </c>
      <c r="J1619">
        <v>2005</v>
      </c>
      <c r="K1619" s="21">
        <v>38646</v>
      </c>
      <c r="L1619">
        <v>2005</v>
      </c>
      <c r="M1619" s="21">
        <v>38646</v>
      </c>
      <c r="N1619">
        <v>2005</v>
      </c>
      <c r="R1619" s="262">
        <v>25000</v>
      </c>
      <c r="S1619" t="s">
        <v>114</v>
      </c>
      <c r="T1619" t="s">
        <v>114</v>
      </c>
      <c r="U1619">
        <v>5</v>
      </c>
      <c r="W1619">
        <v>280</v>
      </c>
      <c r="X1619">
        <v>0</v>
      </c>
      <c r="Y1619">
        <v>0</v>
      </c>
      <c r="Z1619">
        <v>0</v>
      </c>
      <c r="AA1619">
        <v>0</v>
      </c>
      <c r="AB1619">
        <v>0</v>
      </c>
      <c r="AC1619">
        <v>280</v>
      </c>
      <c r="AD1619">
        <v>0</v>
      </c>
      <c r="AE1619">
        <v>0</v>
      </c>
      <c r="AF1619">
        <v>0</v>
      </c>
      <c r="AG1619">
        <v>0</v>
      </c>
      <c r="AH1619">
        <v>0</v>
      </c>
      <c r="AI1619">
        <v>0</v>
      </c>
      <c r="AJ1619">
        <v>0</v>
      </c>
      <c r="AK1619">
        <v>0</v>
      </c>
      <c r="AL1619">
        <v>0</v>
      </c>
      <c r="AM1619">
        <v>0</v>
      </c>
      <c r="AN1619">
        <v>0</v>
      </c>
      <c r="AO1619">
        <v>0</v>
      </c>
      <c r="AP1619">
        <v>0</v>
      </c>
      <c r="AQ1619">
        <v>0</v>
      </c>
      <c r="AR1619">
        <v>0</v>
      </c>
      <c r="AS1619">
        <v>0</v>
      </c>
      <c r="AT1619">
        <v>0</v>
      </c>
      <c r="AU1619">
        <f t="shared" si="48"/>
        <v>0</v>
      </c>
      <c r="AV1619">
        <f t="shared" si="49"/>
        <v>0</v>
      </c>
    </row>
    <row r="1620" spans="1:48" x14ac:dyDescent="0.25">
      <c r="A1620" t="s">
        <v>6468</v>
      </c>
      <c r="C1620" t="s">
        <v>6469</v>
      </c>
      <c r="D1620" t="s">
        <v>6470</v>
      </c>
      <c r="E1620" t="s">
        <v>2310</v>
      </c>
      <c r="F1620">
        <v>9</v>
      </c>
      <c r="G1620">
        <v>9.1999999999999993</v>
      </c>
      <c r="H1620" t="s">
        <v>2022</v>
      </c>
      <c r="I1620" s="21">
        <v>38615</v>
      </c>
      <c r="J1620">
        <v>2005</v>
      </c>
      <c r="K1620" s="21">
        <v>38644</v>
      </c>
      <c r="L1620">
        <v>2005</v>
      </c>
      <c r="M1620" s="21">
        <v>38644</v>
      </c>
      <c r="N1620">
        <v>2005</v>
      </c>
      <c r="R1620" s="262">
        <v>14000</v>
      </c>
      <c r="S1620" t="s">
        <v>114</v>
      </c>
      <c r="T1620" t="s">
        <v>114</v>
      </c>
      <c r="U1620">
        <v>5</v>
      </c>
      <c r="W1620">
        <v>200</v>
      </c>
      <c r="X1620">
        <v>0</v>
      </c>
      <c r="Y1620">
        <v>0</v>
      </c>
      <c r="Z1620">
        <v>0</v>
      </c>
      <c r="AA1620">
        <v>0</v>
      </c>
      <c r="AB1620">
        <v>0</v>
      </c>
      <c r="AC1620">
        <v>200</v>
      </c>
      <c r="AD1620">
        <v>0</v>
      </c>
      <c r="AE1620">
        <v>0</v>
      </c>
      <c r="AF1620">
        <v>0</v>
      </c>
      <c r="AG1620">
        <v>0</v>
      </c>
      <c r="AH1620">
        <v>0</v>
      </c>
      <c r="AI1620">
        <v>0</v>
      </c>
      <c r="AJ1620">
        <v>0</v>
      </c>
      <c r="AK1620">
        <v>0</v>
      </c>
      <c r="AL1620">
        <v>0</v>
      </c>
      <c r="AM1620">
        <v>0</v>
      </c>
      <c r="AN1620">
        <v>0</v>
      </c>
      <c r="AO1620">
        <v>0</v>
      </c>
      <c r="AP1620">
        <v>0</v>
      </c>
      <c r="AQ1620">
        <v>0</v>
      </c>
      <c r="AR1620">
        <v>0</v>
      </c>
      <c r="AS1620">
        <v>0</v>
      </c>
      <c r="AT1620">
        <v>0</v>
      </c>
      <c r="AU1620">
        <f t="shared" si="48"/>
        <v>0</v>
      </c>
      <c r="AV1620">
        <f t="shared" si="49"/>
        <v>0</v>
      </c>
    </row>
    <row r="1621" spans="1:48" x14ac:dyDescent="0.25">
      <c r="A1621" t="s">
        <v>6471</v>
      </c>
      <c r="C1621" t="s">
        <v>6472</v>
      </c>
      <c r="D1621" t="s">
        <v>6470</v>
      </c>
      <c r="E1621" t="s">
        <v>2310</v>
      </c>
      <c r="F1621">
        <v>9</v>
      </c>
      <c r="G1621">
        <v>9.1999999999999993</v>
      </c>
      <c r="H1621" t="s">
        <v>2022</v>
      </c>
      <c r="I1621" s="21">
        <v>38615</v>
      </c>
      <c r="J1621">
        <v>2005</v>
      </c>
      <c r="K1621" s="21">
        <v>38644</v>
      </c>
      <c r="L1621">
        <v>2005</v>
      </c>
      <c r="M1621" s="21">
        <v>38644</v>
      </c>
      <c r="N1621">
        <v>2005</v>
      </c>
      <c r="R1621" s="262">
        <v>10000</v>
      </c>
      <c r="S1621" t="s">
        <v>114</v>
      </c>
      <c r="T1621" t="s">
        <v>114</v>
      </c>
      <c r="U1621">
        <v>5</v>
      </c>
      <c r="W1621">
        <v>280</v>
      </c>
      <c r="X1621">
        <v>0</v>
      </c>
      <c r="Y1621">
        <v>0</v>
      </c>
      <c r="Z1621">
        <v>0</v>
      </c>
      <c r="AA1621">
        <v>0</v>
      </c>
      <c r="AB1621">
        <v>0</v>
      </c>
      <c r="AC1621">
        <v>280</v>
      </c>
      <c r="AD1621">
        <v>0</v>
      </c>
      <c r="AE1621">
        <v>0</v>
      </c>
      <c r="AF1621">
        <v>0</v>
      </c>
      <c r="AG1621">
        <v>0</v>
      </c>
      <c r="AH1621">
        <v>0</v>
      </c>
      <c r="AI1621">
        <v>0</v>
      </c>
      <c r="AJ1621">
        <v>0</v>
      </c>
      <c r="AK1621">
        <v>0</v>
      </c>
      <c r="AL1621">
        <v>0</v>
      </c>
      <c r="AM1621">
        <v>0</v>
      </c>
      <c r="AN1621">
        <v>0</v>
      </c>
      <c r="AO1621">
        <v>0</v>
      </c>
      <c r="AP1621">
        <v>0</v>
      </c>
      <c r="AQ1621">
        <v>0</v>
      </c>
      <c r="AR1621">
        <v>0</v>
      </c>
      <c r="AS1621">
        <v>0</v>
      </c>
      <c r="AT1621">
        <v>0</v>
      </c>
      <c r="AU1621">
        <f t="shared" si="48"/>
        <v>0</v>
      </c>
      <c r="AV1621">
        <f t="shared" si="49"/>
        <v>0</v>
      </c>
    </row>
    <row r="1622" spans="1:48" x14ac:dyDescent="0.25">
      <c r="A1622" t="s">
        <v>6476</v>
      </c>
      <c r="C1622" t="s">
        <v>6477</v>
      </c>
      <c r="D1622" t="s">
        <v>6478</v>
      </c>
      <c r="E1622" t="s">
        <v>2310</v>
      </c>
      <c r="F1622">
        <v>12</v>
      </c>
      <c r="G1622">
        <v>12.3</v>
      </c>
      <c r="H1622" t="s">
        <v>2017</v>
      </c>
      <c r="I1622" s="21">
        <v>38616</v>
      </c>
      <c r="J1622">
        <v>2005</v>
      </c>
      <c r="K1622" s="21">
        <v>38632</v>
      </c>
      <c r="L1622">
        <v>2005</v>
      </c>
      <c r="M1622" s="21">
        <v>38821</v>
      </c>
      <c r="N1622">
        <v>2006</v>
      </c>
      <c r="R1622" s="262">
        <v>70000</v>
      </c>
      <c r="S1622" t="s">
        <v>114</v>
      </c>
      <c r="T1622" t="s">
        <v>114</v>
      </c>
      <c r="U1622">
        <v>5</v>
      </c>
      <c r="W1622">
        <v>0</v>
      </c>
      <c r="X1622">
        <v>0</v>
      </c>
      <c r="Y1622">
        <v>0</v>
      </c>
      <c r="Z1622">
        <v>0</v>
      </c>
      <c r="AA1622">
        <v>0</v>
      </c>
      <c r="AB1622">
        <v>0</v>
      </c>
      <c r="AC1622">
        <v>0</v>
      </c>
      <c r="AD1622">
        <v>0</v>
      </c>
      <c r="AE1622">
        <v>0</v>
      </c>
      <c r="AF1622">
        <v>0</v>
      </c>
      <c r="AG1622">
        <v>0</v>
      </c>
      <c r="AH1622">
        <v>0</v>
      </c>
      <c r="AI1622">
        <v>0</v>
      </c>
      <c r="AJ1622">
        <v>0</v>
      </c>
      <c r="AK1622">
        <v>0</v>
      </c>
      <c r="AL1622">
        <v>0</v>
      </c>
      <c r="AM1622">
        <v>0</v>
      </c>
      <c r="AN1622">
        <v>0</v>
      </c>
      <c r="AO1622">
        <v>0</v>
      </c>
      <c r="AP1622">
        <v>0</v>
      </c>
      <c r="AQ1622">
        <v>0</v>
      </c>
      <c r="AR1622">
        <v>0</v>
      </c>
      <c r="AS1622">
        <v>0</v>
      </c>
      <c r="AT1622">
        <v>0</v>
      </c>
      <c r="AU1622">
        <f t="shared" si="48"/>
        <v>0</v>
      </c>
      <c r="AV1622">
        <f t="shared" si="49"/>
        <v>0</v>
      </c>
    </row>
    <row r="1623" spans="1:48" x14ac:dyDescent="0.25">
      <c r="A1623" t="s">
        <v>6479</v>
      </c>
      <c r="C1623" t="s">
        <v>6480</v>
      </c>
      <c r="D1623" t="s">
        <v>6481</v>
      </c>
      <c r="E1623" t="s">
        <v>2310</v>
      </c>
      <c r="F1623">
        <v>13</v>
      </c>
      <c r="G1623">
        <v>13.1</v>
      </c>
      <c r="H1623" t="s">
        <v>2327</v>
      </c>
      <c r="I1623" s="21">
        <v>38616</v>
      </c>
      <c r="J1623">
        <v>2005</v>
      </c>
      <c r="K1623" s="21">
        <v>38660</v>
      </c>
      <c r="L1623">
        <v>2005</v>
      </c>
      <c r="M1623" s="21">
        <v>38660</v>
      </c>
      <c r="N1623">
        <v>2005</v>
      </c>
      <c r="R1623" s="262">
        <v>300000</v>
      </c>
      <c r="S1623" t="s">
        <v>114</v>
      </c>
      <c r="T1623" t="s">
        <v>114</v>
      </c>
      <c r="U1623">
        <v>11</v>
      </c>
      <c r="W1623">
        <v>0</v>
      </c>
      <c r="X1623">
        <v>0</v>
      </c>
      <c r="Y1623">
        <v>0</v>
      </c>
      <c r="Z1623">
        <v>0</v>
      </c>
      <c r="AA1623">
        <v>0</v>
      </c>
      <c r="AB1623">
        <v>0</v>
      </c>
      <c r="AC1623">
        <v>0</v>
      </c>
      <c r="AD1623">
        <v>0</v>
      </c>
      <c r="AE1623">
        <v>0</v>
      </c>
      <c r="AF1623">
        <v>0</v>
      </c>
      <c r="AG1623">
        <v>0</v>
      </c>
      <c r="AH1623">
        <v>0</v>
      </c>
      <c r="AI1623">
        <v>0</v>
      </c>
      <c r="AJ1623">
        <v>0</v>
      </c>
      <c r="AK1623">
        <v>0</v>
      </c>
      <c r="AL1623">
        <v>0</v>
      </c>
      <c r="AM1623">
        <v>0</v>
      </c>
      <c r="AN1623">
        <v>0</v>
      </c>
      <c r="AO1623">
        <v>0</v>
      </c>
      <c r="AP1623">
        <v>0</v>
      </c>
      <c r="AQ1623">
        <v>0</v>
      </c>
      <c r="AR1623">
        <v>0</v>
      </c>
      <c r="AS1623">
        <v>0</v>
      </c>
      <c r="AT1623">
        <v>0</v>
      </c>
      <c r="AU1623">
        <f t="shared" si="48"/>
        <v>0</v>
      </c>
      <c r="AV1623">
        <f t="shared" si="49"/>
        <v>0</v>
      </c>
    </row>
    <row r="1624" spans="1:48" x14ac:dyDescent="0.25">
      <c r="A1624" t="s">
        <v>6482</v>
      </c>
      <c r="C1624" t="s">
        <v>6483</v>
      </c>
      <c r="D1624" t="s">
        <v>6484</v>
      </c>
      <c r="E1624" t="s">
        <v>2310</v>
      </c>
      <c r="F1624">
        <v>11</v>
      </c>
      <c r="G1624">
        <v>11.2</v>
      </c>
      <c r="H1624" t="s">
        <v>2017</v>
      </c>
      <c r="I1624" s="21">
        <v>38616</v>
      </c>
      <c r="J1624">
        <v>2005</v>
      </c>
      <c r="K1624" s="21">
        <v>38632</v>
      </c>
      <c r="L1624">
        <v>2005</v>
      </c>
      <c r="M1624" s="21">
        <v>40332.477604166699</v>
      </c>
      <c r="N1624">
        <v>2010</v>
      </c>
      <c r="R1624" s="262">
        <v>60000</v>
      </c>
      <c r="S1624" t="s">
        <v>114</v>
      </c>
      <c r="T1624" t="s">
        <v>114</v>
      </c>
      <c r="U1624">
        <v>5</v>
      </c>
      <c r="W1624">
        <v>0</v>
      </c>
      <c r="X1624">
        <v>0</v>
      </c>
      <c r="Y1624">
        <v>0</v>
      </c>
      <c r="Z1624">
        <v>0</v>
      </c>
      <c r="AA1624">
        <v>0</v>
      </c>
      <c r="AB1624">
        <v>0</v>
      </c>
      <c r="AC1624">
        <v>0</v>
      </c>
      <c r="AD1624">
        <v>0</v>
      </c>
      <c r="AE1624">
        <v>0</v>
      </c>
      <c r="AF1624">
        <v>0</v>
      </c>
      <c r="AG1624">
        <v>0</v>
      </c>
      <c r="AH1624">
        <v>0</v>
      </c>
      <c r="AI1624">
        <v>0</v>
      </c>
      <c r="AJ1624">
        <v>0</v>
      </c>
      <c r="AK1624">
        <v>0</v>
      </c>
      <c r="AL1624">
        <v>0</v>
      </c>
      <c r="AM1624">
        <v>0</v>
      </c>
      <c r="AN1624">
        <v>0</v>
      </c>
      <c r="AO1624">
        <v>0</v>
      </c>
      <c r="AP1624">
        <v>0</v>
      </c>
      <c r="AQ1624">
        <v>0</v>
      </c>
      <c r="AR1624">
        <v>0</v>
      </c>
      <c r="AS1624">
        <v>0</v>
      </c>
      <c r="AT1624">
        <v>0</v>
      </c>
      <c r="AU1624">
        <f t="shared" si="48"/>
        <v>0</v>
      </c>
      <c r="AV1624">
        <f t="shared" si="49"/>
        <v>0</v>
      </c>
    </row>
    <row r="1625" spans="1:48" x14ac:dyDescent="0.25">
      <c r="A1625" t="s">
        <v>6473</v>
      </c>
      <c r="C1625" t="s">
        <v>6474</v>
      </c>
      <c r="D1625" t="s">
        <v>6475</v>
      </c>
      <c r="E1625" t="s">
        <v>1663</v>
      </c>
      <c r="F1625">
        <v>5</v>
      </c>
      <c r="G1625">
        <v>5.0999999999999996</v>
      </c>
      <c r="H1625" t="s">
        <v>2327</v>
      </c>
      <c r="I1625" s="21">
        <v>38616</v>
      </c>
      <c r="J1625">
        <v>2005</v>
      </c>
      <c r="K1625" s="21">
        <v>38646</v>
      </c>
      <c r="L1625">
        <v>2005</v>
      </c>
      <c r="M1625" s="21">
        <v>38797</v>
      </c>
      <c r="N1625">
        <v>2006</v>
      </c>
      <c r="Q1625" s="262">
        <v>0</v>
      </c>
      <c r="S1625" t="s">
        <v>114</v>
      </c>
      <c r="T1625" t="s">
        <v>114</v>
      </c>
      <c r="W1625">
        <v>968</v>
      </c>
      <c r="X1625">
        <v>0</v>
      </c>
      <c r="Y1625">
        <v>0</v>
      </c>
      <c r="Z1625">
        <v>0</v>
      </c>
      <c r="AA1625">
        <v>0</v>
      </c>
      <c r="AB1625">
        <v>0</v>
      </c>
      <c r="AC1625">
        <v>0</v>
      </c>
      <c r="AD1625">
        <v>0</v>
      </c>
      <c r="AE1625">
        <v>0</v>
      </c>
      <c r="AF1625">
        <v>0</v>
      </c>
      <c r="AG1625">
        <v>0</v>
      </c>
      <c r="AH1625">
        <v>0</v>
      </c>
      <c r="AI1625">
        <v>0</v>
      </c>
      <c r="AJ1625">
        <v>0</v>
      </c>
      <c r="AK1625">
        <v>968</v>
      </c>
      <c r="AL1625">
        <v>0</v>
      </c>
      <c r="AM1625">
        <v>0</v>
      </c>
      <c r="AN1625">
        <v>0</v>
      </c>
      <c r="AO1625">
        <v>0</v>
      </c>
      <c r="AP1625">
        <v>0</v>
      </c>
      <c r="AQ1625">
        <v>0</v>
      </c>
      <c r="AR1625">
        <v>0</v>
      </c>
      <c r="AS1625">
        <v>0</v>
      </c>
      <c r="AT1625">
        <v>0</v>
      </c>
      <c r="AU1625">
        <f t="shared" ref="AU1625:AU1688" si="50">SUM(AN1625:AQ1625,AS1625)</f>
        <v>0</v>
      </c>
      <c r="AV1625">
        <f t="shared" ref="AV1625:AV1688" si="51">SUM(Y1625:AB1625,AH1625:AM1625)</f>
        <v>968</v>
      </c>
    </row>
    <row r="1626" spans="1:48" x14ac:dyDescent="0.25">
      <c r="A1626" t="s">
        <v>6485</v>
      </c>
      <c r="C1626" t="s">
        <v>6486</v>
      </c>
      <c r="D1626" t="s">
        <v>5352</v>
      </c>
      <c r="E1626" t="s">
        <v>2310</v>
      </c>
      <c r="F1626">
        <v>9</v>
      </c>
      <c r="G1626">
        <v>9.3000000000000007</v>
      </c>
      <c r="H1626" t="s">
        <v>2323</v>
      </c>
      <c r="I1626" s="21">
        <v>38617</v>
      </c>
      <c r="J1626">
        <v>2005</v>
      </c>
      <c r="K1626" s="21">
        <v>38644</v>
      </c>
      <c r="L1626">
        <v>2005</v>
      </c>
      <c r="M1626" s="21">
        <v>38870</v>
      </c>
      <c r="N1626">
        <v>2006</v>
      </c>
      <c r="R1626" s="262">
        <v>150000</v>
      </c>
      <c r="S1626" t="s">
        <v>114</v>
      </c>
      <c r="T1626" t="s">
        <v>114</v>
      </c>
      <c r="U1626">
        <v>4</v>
      </c>
      <c r="W1626">
        <v>600</v>
      </c>
      <c r="X1626">
        <v>0</v>
      </c>
      <c r="Y1626">
        <v>0</v>
      </c>
      <c r="Z1626">
        <v>0</v>
      </c>
      <c r="AA1626">
        <v>0</v>
      </c>
      <c r="AB1626">
        <v>600</v>
      </c>
      <c r="AC1626">
        <v>0</v>
      </c>
      <c r="AD1626">
        <v>0</v>
      </c>
      <c r="AE1626">
        <v>0</v>
      </c>
      <c r="AF1626">
        <v>0</v>
      </c>
      <c r="AG1626">
        <v>0</v>
      </c>
      <c r="AH1626">
        <v>0</v>
      </c>
      <c r="AI1626">
        <v>0</v>
      </c>
      <c r="AJ1626">
        <v>0</v>
      </c>
      <c r="AK1626">
        <v>0</v>
      </c>
      <c r="AL1626">
        <v>0</v>
      </c>
      <c r="AM1626">
        <v>0</v>
      </c>
      <c r="AN1626">
        <v>0</v>
      </c>
      <c r="AO1626">
        <v>0</v>
      </c>
      <c r="AP1626">
        <v>0</v>
      </c>
      <c r="AQ1626">
        <v>0</v>
      </c>
      <c r="AR1626">
        <v>0</v>
      </c>
      <c r="AS1626">
        <v>0</v>
      </c>
      <c r="AT1626">
        <v>0</v>
      </c>
      <c r="AU1626">
        <f t="shared" si="50"/>
        <v>0</v>
      </c>
      <c r="AV1626">
        <f t="shared" si="51"/>
        <v>600</v>
      </c>
    </row>
    <row r="1627" spans="1:48" x14ac:dyDescent="0.25">
      <c r="A1627" t="s">
        <v>6487</v>
      </c>
      <c r="C1627" t="s">
        <v>6488</v>
      </c>
      <c r="D1627" t="s">
        <v>3392</v>
      </c>
      <c r="E1627" t="s">
        <v>2310</v>
      </c>
      <c r="F1627">
        <v>12</v>
      </c>
      <c r="G1627">
        <v>12.1</v>
      </c>
      <c r="H1627" t="s">
        <v>2327</v>
      </c>
      <c r="I1627" s="21">
        <v>38617</v>
      </c>
      <c r="J1627">
        <v>2005</v>
      </c>
      <c r="K1627" s="21">
        <v>38635</v>
      </c>
      <c r="L1627">
        <v>2005</v>
      </c>
      <c r="M1627" s="21">
        <v>38720</v>
      </c>
      <c r="N1627">
        <v>2006</v>
      </c>
      <c r="R1627" s="262">
        <v>18000</v>
      </c>
      <c r="S1627" t="s">
        <v>114</v>
      </c>
      <c r="T1627" t="s">
        <v>114</v>
      </c>
      <c r="U1627">
        <v>12</v>
      </c>
      <c r="W1627">
        <v>0</v>
      </c>
      <c r="X1627">
        <v>0</v>
      </c>
      <c r="Y1627">
        <v>0</v>
      </c>
      <c r="Z1627">
        <v>0</v>
      </c>
      <c r="AA1627">
        <v>0</v>
      </c>
      <c r="AB1627">
        <v>0</v>
      </c>
      <c r="AC1627">
        <v>0</v>
      </c>
      <c r="AD1627">
        <v>0</v>
      </c>
      <c r="AE1627">
        <v>0</v>
      </c>
      <c r="AF1627">
        <v>0</v>
      </c>
      <c r="AG1627">
        <v>0</v>
      </c>
      <c r="AH1627">
        <v>0</v>
      </c>
      <c r="AI1627">
        <v>0</v>
      </c>
      <c r="AJ1627">
        <v>0</v>
      </c>
      <c r="AK1627">
        <v>0</v>
      </c>
      <c r="AL1627">
        <v>0</v>
      </c>
      <c r="AM1627">
        <v>0</v>
      </c>
      <c r="AN1627">
        <v>0</v>
      </c>
      <c r="AO1627">
        <v>0</v>
      </c>
      <c r="AP1627">
        <v>0</v>
      </c>
      <c r="AQ1627">
        <v>0</v>
      </c>
      <c r="AR1627">
        <v>0</v>
      </c>
      <c r="AS1627">
        <v>0</v>
      </c>
      <c r="AT1627">
        <v>0</v>
      </c>
      <c r="AU1627">
        <f t="shared" si="50"/>
        <v>0</v>
      </c>
      <c r="AV1627">
        <f t="shared" si="51"/>
        <v>0</v>
      </c>
    </row>
    <row r="1628" spans="1:48" x14ac:dyDescent="0.25">
      <c r="A1628" t="s">
        <v>6489</v>
      </c>
      <c r="C1628" t="s">
        <v>6490</v>
      </c>
      <c r="D1628" t="s">
        <v>6491</v>
      </c>
      <c r="E1628" t="s">
        <v>2310</v>
      </c>
      <c r="F1628">
        <v>8</v>
      </c>
      <c r="G1628">
        <v>8.1999999999999993</v>
      </c>
      <c r="H1628" t="s">
        <v>2022</v>
      </c>
      <c r="I1628" s="21">
        <v>38617</v>
      </c>
      <c r="J1628">
        <v>2005</v>
      </c>
      <c r="M1628" s="21">
        <v>38862</v>
      </c>
      <c r="N1628">
        <v>2006</v>
      </c>
      <c r="R1628" s="262">
        <v>25000</v>
      </c>
      <c r="S1628" t="s">
        <v>114</v>
      </c>
      <c r="T1628" t="s">
        <v>114</v>
      </c>
      <c r="U1628">
        <v>5</v>
      </c>
      <c r="W1628">
        <v>0</v>
      </c>
      <c r="X1628">
        <v>0</v>
      </c>
      <c r="Y1628">
        <v>0</v>
      </c>
      <c r="Z1628">
        <v>0</v>
      </c>
      <c r="AA1628">
        <v>0</v>
      </c>
      <c r="AB1628">
        <v>0</v>
      </c>
      <c r="AC1628">
        <v>0</v>
      </c>
      <c r="AD1628">
        <v>0</v>
      </c>
      <c r="AE1628">
        <v>0</v>
      </c>
      <c r="AF1628">
        <v>0</v>
      </c>
      <c r="AG1628">
        <v>0</v>
      </c>
      <c r="AH1628">
        <v>0</v>
      </c>
      <c r="AI1628">
        <v>0</v>
      </c>
      <c r="AJ1628">
        <v>0</v>
      </c>
      <c r="AK1628">
        <v>0</v>
      </c>
      <c r="AL1628">
        <v>0</v>
      </c>
      <c r="AM1628">
        <v>0</v>
      </c>
      <c r="AN1628">
        <v>0</v>
      </c>
      <c r="AO1628">
        <v>0</v>
      </c>
      <c r="AP1628">
        <v>0</v>
      </c>
      <c r="AQ1628">
        <v>0</v>
      </c>
      <c r="AR1628">
        <v>0</v>
      </c>
      <c r="AS1628">
        <v>0</v>
      </c>
      <c r="AT1628">
        <v>0</v>
      </c>
      <c r="AU1628">
        <f t="shared" si="50"/>
        <v>0</v>
      </c>
      <c r="AV1628">
        <f t="shared" si="51"/>
        <v>0</v>
      </c>
    </row>
    <row r="1629" spans="1:48" x14ac:dyDescent="0.25">
      <c r="A1629" t="s">
        <v>6495</v>
      </c>
      <c r="C1629" t="s">
        <v>6496</v>
      </c>
      <c r="D1629" t="s">
        <v>3547</v>
      </c>
      <c r="E1629" t="s">
        <v>2310</v>
      </c>
      <c r="F1629">
        <v>15</v>
      </c>
      <c r="G1629">
        <v>15.2</v>
      </c>
      <c r="H1629" t="s">
        <v>2323</v>
      </c>
      <c r="I1629" s="21">
        <v>38621</v>
      </c>
      <c r="J1629">
        <v>2005</v>
      </c>
      <c r="K1629" s="21">
        <v>38640</v>
      </c>
      <c r="L1629">
        <v>2005</v>
      </c>
      <c r="M1629" s="21">
        <v>38640</v>
      </c>
      <c r="N1629">
        <v>2005</v>
      </c>
      <c r="R1629" s="262">
        <v>200000</v>
      </c>
      <c r="S1629" t="s">
        <v>114</v>
      </c>
      <c r="T1629" t="s">
        <v>114</v>
      </c>
      <c r="U1629">
        <v>8</v>
      </c>
      <c r="W1629">
        <v>1395</v>
      </c>
      <c r="X1629">
        <v>1</v>
      </c>
      <c r="Y1629">
        <v>0</v>
      </c>
      <c r="Z1629">
        <v>0</v>
      </c>
      <c r="AA1629">
        <v>0</v>
      </c>
      <c r="AB1629">
        <v>0</v>
      </c>
      <c r="AC1629">
        <v>396</v>
      </c>
      <c r="AD1629">
        <v>0</v>
      </c>
      <c r="AE1629">
        <v>0</v>
      </c>
      <c r="AF1629">
        <v>999</v>
      </c>
      <c r="AG1629">
        <v>0</v>
      </c>
      <c r="AH1629">
        <v>0</v>
      </c>
      <c r="AI1629">
        <v>0</v>
      </c>
      <c r="AJ1629">
        <v>0</v>
      </c>
      <c r="AK1629">
        <v>0</v>
      </c>
      <c r="AL1629">
        <v>0</v>
      </c>
      <c r="AM1629">
        <v>0</v>
      </c>
      <c r="AN1629">
        <v>0</v>
      </c>
      <c r="AO1629">
        <v>0</v>
      </c>
      <c r="AP1629">
        <v>0</v>
      </c>
      <c r="AQ1629">
        <v>0</v>
      </c>
      <c r="AR1629">
        <v>1</v>
      </c>
      <c r="AS1629">
        <v>0</v>
      </c>
      <c r="AT1629">
        <v>0</v>
      </c>
      <c r="AU1629">
        <f t="shared" si="50"/>
        <v>0</v>
      </c>
      <c r="AV1629">
        <f t="shared" si="51"/>
        <v>0</v>
      </c>
    </row>
    <row r="1630" spans="1:48" x14ac:dyDescent="0.25">
      <c r="A1630" t="s">
        <v>6497</v>
      </c>
      <c r="C1630" t="s">
        <v>6498</v>
      </c>
      <c r="D1630" t="s">
        <v>3547</v>
      </c>
      <c r="E1630" t="s">
        <v>2310</v>
      </c>
      <c r="F1630">
        <v>15</v>
      </c>
      <c r="G1630">
        <v>15.2</v>
      </c>
      <c r="H1630" t="s">
        <v>2323</v>
      </c>
      <c r="I1630" s="21">
        <v>38621</v>
      </c>
      <c r="J1630">
        <v>2005</v>
      </c>
      <c r="K1630" s="21">
        <v>38640</v>
      </c>
      <c r="L1630">
        <v>2005</v>
      </c>
      <c r="M1630" s="21">
        <v>38640</v>
      </c>
      <c r="N1630">
        <v>2005</v>
      </c>
      <c r="R1630" s="262">
        <v>95000</v>
      </c>
      <c r="S1630" t="s">
        <v>114</v>
      </c>
      <c r="T1630" t="s">
        <v>114</v>
      </c>
      <c r="U1630">
        <v>5</v>
      </c>
      <c r="W1630">
        <v>0</v>
      </c>
      <c r="X1630">
        <v>0</v>
      </c>
      <c r="Y1630">
        <v>0</v>
      </c>
      <c r="Z1630">
        <v>0</v>
      </c>
      <c r="AA1630">
        <v>0</v>
      </c>
      <c r="AB1630">
        <v>0</v>
      </c>
      <c r="AC1630">
        <v>0</v>
      </c>
      <c r="AD1630">
        <v>0</v>
      </c>
      <c r="AE1630">
        <v>0</v>
      </c>
      <c r="AF1630">
        <v>0</v>
      </c>
      <c r="AG1630">
        <v>0</v>
      </c>
      <c r="AH1630">
        <v>0</v>
      </c>
      <c r="AI1630">
        <v>0</v>
      </c>
      <c r="AJ1630">
        <v>0</v>
      </c>
      <c r="AK1630">
        <v>0</v>
      </c>
      <c r="AL1630">
        <v>0</v>
      </c>
      <c r="AM1630">
        <v>0</v>
      </c>
      <c r="AN1630">
        <v>0</v>
      </c>
      <c r="AO1630">
        <v>0</v>
      </c>
      <c r="AP1630">
        <v>0</v>
      </c>
      <c r="AQ1630">
        <v>0</v>
      </c>
      <c r="AR1630">
        <v>0</v>
      </c>
      <c r="AS1630">
        <v>0</v>
      </c>
      <c r="AT1630">
        <v>0</v>
      </c>
      <c r="AU1630">
        <f t="shared" si="50"/>
        <v>0</v>
      </c>
      <c r="AV1630">
        <f t="shared" si="51"/>
        <v>0</v>
      </c>
    </row>
    <row r="1631" spans="1:48" x14ac:dyDescent="0.25">
      <c r="A1631" t="s">
        <v>6492</v>
      </c>
      <c r="C1631" t="s">
        <v>6493</v>
      </c>
      <c r="D1631" t="s">
        <v>6494</v>
      </c>
      <c r="E1631" t="s">
        <v>1663</v>
      </c>
      <c r="F1631">
        <v>2</v>
      </c>
      <c r="G1631">
        <v>2.2999999999999998</v>
      </c>
      <c r="H1631" t="s">
        <v>2327</v>
      </c>
      <c r="I1631" s="21">
        <v>38621</v>
      </c>
      <c r="J1631">
        <v>2005</v>
      </c>
      <c r="K1631" s="21">
        <v>38651</v>
      </c>
      <c r="L1631">
        <v>2005</v>
      </c>
      <c r="M1631" s="21">
        <v>38802</v>
      </c>
      <c r="N1631">
        <v>2006</v>
      </c>
      <c r="Q1631" s="262">
        <v>0</v>
      </c>
      <c r="S1631" t="s">
        <v>114</v>
      </c>
      <c r="T1631" t="s">
        <v>114</v>
      </c>
      <c r="W1631">
        <v>92709</v>
      </c>
      <c r="X1631">
        <v>0</v>
      </c>
      <c r="Y1631">
        <v>0</v>
      </c>
      <c r="Z1631">
        <v>0</v>
      </c>
      <c r="AA1631">
        <v>0</v>
      </c>
      <c r="AB1631">
        <v>0</v>
      </c>
      <c r="AC1631">
        <v>0</v>
      </c>
      <c r="AD1631">
        <v>0</v>
      </c>
      <c r="AE1631">
        <v>0</v>
      </c>
      <c r="AF1631">
        <v>0</v>
      </c>
      <c r="AG1631">
        <v>0</v>
      </c>
      <c r="AH1631">
        <v>0</v>
      </c>
      <c r="AI1631">
        <v>0</v>
      </c>
      <c r="AJ1631">
        <v>0</v>
      </c>
      <c r="AK1631">
        <v>0</v>
      </c>
      <c r="AL1631">
        <v>0</v>
      </c>
      <c r="AM1631">
        <v>92709</v>
      </c>
      <c r="AN1631">
        <v>0</v>
      </c>
      <c r="AO1631">
        <v>0</v>
      </c>
      <c r="AP1631">
        <v>0</v>
      </c>
      <c r="AQ1631">
        <v>0</v>
      </c>
      <c r="AR1631">
        <v>0</v>
      </c>
      <c r="AS1631">
        <v>0</v>
      </c>
      <c r="AT1631">
        <v>0</v>
      </c>
      <c r="AU1631">
        <f t="shared" si="50"/>
        <v>0</v>
      </c>
      <c r="AV1631">
        <f t="shared" si="51"/>
        <v>92709</v>
      </c>
    </row>
    <row r="1632" spans="1:48" x14ac:dyDescent="0.25">
      <c r="A1632" t="s">
        <v>6499</v>
      </c>
      <c r="C1632" t="s">
        <v>6500</v>
      </c>
      <c r="D1632" t="s">
        <v>6501</v>
      </c>
      <c r="E1632" t="s">
        <v>2310</v>
      </c>
      <c r="F1632">
        <v>12</v>
      </c>
      <c r="G1632">
        <v>12.3</v>
      </c>
      <c r="H1632" t="s">
        <v>2017</v>
      </c>
      <c r="I1632" s="21">
        <v>38622</v>
      </c>
      <c r="J1632">
        <v>2005</v>
      </c>
      <c r="K1632" s="21">
        <v>38657</v>
      </c>
      <c r="L1632">
        <v>2005</v>
      </c>
      <c r="M1632" s="21">
        <v>38943</v>
      </c>
      <c r="N1632">
        <v>2006</v>
      </c>
      <c r="R1632" s="262">
        <v>107000</v>
      </c>
      <c r="S1632" t="s">
        <v>114</v>
      </c>
      <c r="T1632" t="s">
        <v>114</v>
      </c>
      <c r="U1632">
        <v>5</v>
      </c>
      <c r="W1632">
        <v>672</v>
      </c>
      <c r="X1632">
        <v>0</v>
      </c>
      <c r="Y1632">
        <v>0</v>
      </c>
      <c r="Z1632">
        <v>0</v>
      </c>
      <c r="AA1632">
        <v>0</v>
      </c>
      <c r="AB1632">
        <v>0</v>
      </c>
      <c r="AC1632">
        <v>672</v>
      </c>
      <c r="AD1632">
        <v>0</v>
      </c>
      <c r="AE1632">
        <v>0</v>
      </c>
      <c r="AF1632">
        <v>0</v>
      </c>
      <c r="AG1632">
        <v>0</v>
      </c>
      <c r="AH1632">
        <v>0</v>
      </c>
      <c r="AI1632">
        <v>0</v>
      </c>
      <c r="AJ1632">
        <v>0</v>
      </c>
      <c r="AK1632">
        <v>0</v>
      </c>
      <c r="AL1632">
        <v>0</v>
      </c>
      <c r="AM1632">
        <v>0</v>
      </c>
      <c r="AN1632">
        <v>0</v>
      </c>
      <c r="AO1632">
        <v>0</v>
      </c>
      <c r="AP1632">
        <v>0</v>
      </c>
      <c r="AQ1632">
        <v>0</v>
      </c>
      <c r="AR1632">
        <v>0</v>
      </c>
      <c r="AS1632">
        <v>0</v>
      </c>
      <c r="AT1632">
        <v>0</v>
      </c>
      <c r="AU1632">
        <f t="shared" si="50"/>
        <v>0</v>
      </c>
      <c r="AV1632">
        <f t="shared" si="51"/>
        <v>0</v>
      </c>
    </row>
    <row r="1633" spans="1:48" x14ac:dyDescent="0.25">
      <c r="A1633" t="s">
        <v>6502</v>
      </c>
      <c r="C1633" t="s">
        <v>3870</v>
      </c>
      <c r="D1633" t="s">
        <v>6501</v>
      </c>
      <c r="E1633" t="s">
        <v>2310</v>
      </c>
      <c r="F1633">
        <v>12</v>
      </c>
      <c r="G1633">
        <v>12.3</v>
      </c>
      <c r="H1633" t="s">
        <v>2017</v>
      </c>
      <c r="I1633" s="21">
        <v>38622</v>
      </c>
      <c r="J1633">
        <v>2005</v>
      </c>
      <c r="K1633" s="21">
        <v>38657</v>
      </c>
      <c r="L1633">
        <v>2005</v>
      </c>
      <c r="M1633" s="21">
        <v>38943</v>
      </c>
      <c r="N1633">
        <v>2006</v>
      </c>
      <c r="R1633" s="262">
        <v>23000</v>
      </c>
      <c r="S1633" t="s">
        <v>114</v>
      </c>
      <c r="T1633" t="s">
        <v>114</v>
      </c>
      <c r="U1633">
        <v>5</v>
      </c>
      <c r="W1633">
        <v>677</v>
      </c>
      <c r="X1633">
        <v>0</v>
      </c>
      <c r="Y1633">
        <v>0</v>
      </c>
      <c r="Z1633">
        <v>0</v>
      </c>
      <c r="AA1633">
        <v>0</v>
      </c>
      <c r="AB1633">
        <v>0</v>
      </c>
      <c r="AC1633">
        <v>677</v>
      </c>
      <c r="AD1633">
        <v>0</v>
      </c>
      <c r="AE1633">
        <v>0</v>
      </c>
      <c r="AF1633">
        <v>0</v>
      </c>
      <c r="AG1633">
        <v>0</v>
      </c>
      <c r="AH1633">
        <v>0</v>
      </c>
      <c r="AI1633">
        <v>0</v>
      </c>
      <c r="AJ1633">
        <v>0</v>
      </c>
      <c r="AK1633">
        <v>0</v>
      </c>
      <c r="AL1633">
        <v>0</v>
      </c>
      <c r="AM1633">
        <v>0</v>
      </c>
      <c r="AN1633">
        <v>0</v>
      </c>
      <c r="AO1633">
        <v>0</v>
      </c>
      <c r="AP1633">
        <v>0</v>
      </c>
      <c r="AQ1633">
        <v>0</v>
      </c>
      <c r="AR1633">
        <v>0</v>
      </c>
      <c r="AS1633">
        <v>0</v>
      </c>
      <c r="AT1633">
        <v>0</v>
      </c>
      <c r="AU1633">
        <f t="shared" si="50"/>
        <v>0</v>
      </c>
      <c r="AV1633">
        <f t="shared" si="51"/>
        <v>0</v>
      </c>
    </row>
    <row r="1634" spans="1:48" x14ac:dyDescent="0.25">
      <c r="A1634" t="s">
        <v>6503</v>
      </c>
      <c r="C1634" t="s">
        <v>6504</v>
      </c>
      <c r="D1634" t="s">
        <v>6505</v>
      </c>
      <c r="E1634" t="s">
        <v>2310</v>
      </c>
      <c r="F1634">
        <v>11</v>
      </c>
      <c r="G1634">
        <v>11.3</v>
      </c>
      <c r="H1634" t="s">
        <v>2017</v>
      </c>
      <c r="I1634" s="21">
        <v>38624</v>
      </c>
      <c r="J1634">
        <v>2005</v>
      </c>
      <c r="K1634" s="21">
        <v>38661</v>
      </c>
      <c r="L1634">
        <v>2005</v>
      </c>
      <c r="M1634" s="21">
        <v>39163</v>
      </c>
      <c r="N1634">
        <v>2007</v>
      </c>
      <c r="R1634" s="262">
        <v>308000</v>
      </c>
      <c r="S1634" t="s">
        <v>114</v>
      </c>
      <c r="T1634" t="s">
        <v>114</v>
      </c>
      <c r="U1634">
        <v>5</v>
      </c>
      <c r="W1634">
        <v>2876</v>
      </c>
      <c r="X1634">
        <v>0</v>
      </c>
      <c r="Y1634">
        <v>0</v>
      </c>
      <c r="Z1634">
        <v>0</v>
      </c>
      <c r="AA1634">
        <v>0</v>
      </c>
      <c r="AB1634">
        <v>0</v>
      </c>
      <c r="AC1634">
        <v>2876</v>
      </c>
      <c r="AD1634">
        <v>0</v>
      </c>
      <c r="AE1634">
        <v>0</v>
      </c>
      <c r="AF1634">
        <v>0</v>
      </c>
      <c r="AG1634">
        <v>0</v>
      </c>
      <c r="AH1634">
        <v>0</v>
      </c>
      <c r="AI1634">
        <v>0</v>
      </c>
      <c r="AJ1634">
        <v>0</v>
      </c>
      <c r="AK1634">
        <v>0</v>
      </c>
      <c r="AL1634">
        <v>0</v>
      </c>
      <c r="AM1634">
        <v>0</v>
      </c>
      <c r="AN1634">
        <v>0</v>
      </c>
      <c r="AO1634">
        <v>0</v>
      </c>
      <c r="AP1634">
        <v>0</v>
      </c>
      <c r="AQ1634">
        <v>0</v>
      </c>
      <c r="AR1634">
        <v>0</v>
      </c>
      <c r="AS1634">
        <v>0</v>
      </c>
      <c r="AT1634">
        <v>0</v>
      </c>
      <c r="AU1634">
        <f t="shared" si="50"/>
        <v>0</v>
      </c>
      <c r="AV1634">
        <f t="shared" si="51"/>
        <v>0</v>
      </c>
    </row>
    <row r="1635" spans="1:48" x14ac:dyDescent="0.25">
      <c r="A1635" t="s">
        <v>6506</v>
      </c>
      <c r="C1635" t="s">
        <v>5909</v>
      </c>
      <c r="D1635" t="s">
        <v>6507</v>
      </c>
      <c r="E1635" t="s">
        <v>2310</v>
      </c>
      <c r="F1635">
        <v>10</v>
      </c>
      <c r="G1635">
        <v>10.1</v>
      </c>
      <c r="H1635" t="s">
        <v>2323</v>
      </c>
      <c r="I1635" s="21">
        <v>38624</v>
      </c>
      <c r="J1635">
        <v>2005</v>
      </c>
      <c r="K1635" s="21">
        <v>38650</v>
      </c>
      <c r="L1635">
        <v>2005</v>
      </c>
      <c r="M1635" s="21">
        <v>39041</v>
      </c>
      <c r="N1635">
        <v>2006</v>
      </c>
      <c r="R1635" s="262">
        <v>150900</v>
      </c>
      <c r="S1635" t="s">
        <v>114</v>
      </c>
      <c r="T1635" t="s">
        <v>114</v>
      </c>
      <c r="U1635">
        <v>5</v>
      </c>
      <c r="W1635">
        <v>1891</v>
      </c>
      <c r="X1635">
        <v>1</v>
      </c>
      <c r="Y1635">
        <v>0</v>
      </c>
      <c r="Z1635">
        <v>0</v>
      </c>
      <c r="AA1635">
        <v>0</v>
      </c>
      <c r="AB1635">
        <v>0</v>
      </c>
      <c r="AC1635">
        <v>1891</v>
      </c>
      <c r="AD1635">
        <v>0</v>
      </c>
      <c r="AE1635">
        <v>0</v>
      </c>
      <c r="AF1635">
        <v>0</v>
      </c>
      <c r="AG1635">
        <v>0</v>
      </c>
      <c r="AH1635">
        <v>0</v>
      </c>
      <c r="AI1635">
        <v>0</v>
      </c>
      <c r="AJ1635">
        <v>0</v>
      </c>
      <c r="AK1635">
        <v>0</v>
      </c>
      <c r="AL1635">
        <v>0</v>
      </c>
      <c r="AM1635">
        <v>0</v>
      </c>
      <c r="AN1635">
        <v>0</v>
      </c>
      <c r="AO1635">
        <v>1</v>
      </c>
      <c r="AP1635">
        <v>0</v>
      </c>
      <c r="AQ1635">
        <v>0</v>
      </c>
      <c r="AR1635">
        <v>0</v>
      </c>
      <c r="AS1635">
        <v>0</v>
      </c>
      <c r="AT1635">
        <v>0</v>
      </c>
      <c r="AU1635">
        <f t="shared" si="50"/>
        <v>1</v>
      </c>
      <c r="AV1635">
        <f t="shared" si="51"/>
        <v>0</v>
      </c>
    </row>
    <row r="1636" spans="1:48" x14ac:dyDescent="0.25">
      <c r="A1636" t="s">
        <v>6508</v>
      </c>
      <c r="C1636" t="s">
        <v>6509</v>
      </c>
      <c r="D1636" t="s">
        <v>6510</v>
      </c>
      <c r="E1636" t="s">
        <v>2310</v>
      </c>
      <c r="F1636">
        <v>9</v>
      </c>
      <c r="G1636">
        <v>9.1</v>
      </c>
      <c r="H1636" t="s">
        <v>2323</v>
      </c>
      <c r="I1636" s="21">
        <v>38628</v>
      </c>
      <c r="J1636">
        <v>2005</v>
      </c>
      <c r="K1636" s="21">
        <v>38645</v>
      </c>
      <c r="L1636">
        <v>2005</v>
      </c>
      <c r="M1636" s="21">
        <v>39136</v>
      </c>
      <c r="N1636">
        <v>2007</v>
      </c>
      <c r="R1636" s="262">
        <v>17000</v>
      </c>
      <c r="S1636" t="s">
        <v>114</v>
      </c>
      <c r="T1636" t="s">
        <v>114</v>
      </c>
      <c r="U1636">
        <v>5</v>
      </c>
      <c r="W1636">
        <v>0</v>
      </c>
      <c r="X1636">
        <v>0</v>
      </c>
      <c r="Y1636">
        <v>0</v>
      </c>
      <c r="Z1636">
        <v>0</v>
      </c>
      <c r="AA1636">
        <v>0</v>
      </c>
      <c r="AB1636">
        <v>0</v>
      </c>
      <c r="AC1636">
        <v>0</v>
      </c>
      <c r="AD1636">
        <v>0</v>
      </c>
      <c r="AE1636">
        <v>0</v>
      </c>
      <c r="AF1636">
        <v>0</v>
      </c>
      <c r="AG1636">
        <v>0</v>
      </c>
      <c r="AH1636">
        <v>0</v>
      </c>
      <c r="AI1636">
        <v>0</v>
      </c>
      <c r="AJ1636">
        <v>0</v>
      </c>
      <c r="AK1636">
        <v>0</v>
      </c>
      <c r="AL1636">
        <v>0</v>
      </c>
      <c r="AM1636">
        <v>0</v>
      </c>
      <c r="AN1636">
        <v>0</v>
      </c>
      <c r="AO1636">
        <v>0</v>
      </c>
      <c r="AP1636">
        <v>0</v>
      </c>
      <c r="AQ1636">
        <v>0</v>
      </c>
      <c r="AR1636">
        <v>0</v>
      </c>
      <c r="AS1636">
        <v>0</v>
      </c>
      <c r="AT1636">
        <v>0</v>
      </c>
      <c r="AU1636">
        <f t="shared" si="50"/>
        <v>0</v>
      </c>
      <c r="AV1636">
        <f t="shared" si="51"/>
        <v>0</v>
      </c>
    </row>
    <row r="1637" spans="1:48" x14ac:dyDescent="0.25">
      <c r="A1637" t="s">
        <v>6511</v>
      </c>
      <c r="C1637" t="s">
        <v>6512</v>
      </c>
      <c r="D1637" t="s">
        <v>6513</v>
      </c>
      <c r="E1637" t="s">
        <v>2310</v>
      </c>
      <c r="F1637">
        <v>13</v>
      </c>
      <c r="G1637">
        <v>13.3</v>
      </c>
      <c r="H1637" t="s">
        <v>2017</v>
      </c>
      <c r="I1637" s="21">
        <v>38629</v>
      </c>
      <c r="J1637">
        <v>2005</v>
      </c>
      <c r="K1637" s="21">
        <v>38693</v>
      </c>
      <c r="L1637">
        <v>2005</v>
      </c>
      <c r="M1637" s="21">
        <v>39811</v>
      </c>
      <c r="N1637">
        <v>2008</v>
      </c>
      <c r="R1637" s="262">
        <v>3200000</v>
      </c>
      <c r="S1637" t="s">
        <v>114</v>
      </c>
      <c r="T1637" t="s">
        <v>114</v>
      </c>
      <c r="U1637">
        <v>5</v>
      </c>
      <c r="W1637">
        <v>15480</v>
      </c>
      <c r="X1637">
        <v>1</v>
      </c>
      <c r="Y1637">
        <v>0</v>
      </c>
      <c r="Z1637">
        <v>0</v>
      </c>
      <c r="AA1637">
        <v>0</v>
      </c>
      <c r="AB1637">
        <v>0</v>
      </c>
      <c r="AC1637">
        <v>15480</v>
      </c>
      <c r="AD1637">
        <v>0</v>
      </c>
      <c r="AE1637">
        <v>0</v>
      </c>
      <c r="AF1637">
        <v>0</v>
      </c>
      <c r="AG1637">
        <v>0</v>
      </c>
      <c r="AH1637">
        <v>0</v>
      </c>
      <c r="AI1637">
        <v>0</v>
      </c>
      <c r="AJ1637">
        <v>0</v>
      </c>
      <c r="AK1637">
        <v>0</v>
      </c>
      <c r="AL1637">
        <v>0</v>
      </c>
      <c r="AM1637">
        <v>0</v>
      </c>
      <c r="AN1637">
        <v>0</v>
      </c>
      <c r="AO1637">
        <v>1</v>
      </c>
      <c r="AP1637">
        <v>0</v>
      </c>
      <c r="AQ1637">
        <v>0</v>
      </c>
      <c r="AR1637">
        <v>0</v>
      </c>
      <c r="AS1637">
        <v>0</v>
      </c>
      <c r="AT1637">
        <v>0</v>
      </c>
      <c r="AU1637">
        <f t="shared" si="50"/>
        <v>1</v>
      </c>
      <c r="AV1637">
        <f t="shared" si="51"/>
        <v>0</v>
      </c>
    </row>
    <row r="1638" spans="1:48" x14ac:dyDescent="0.25">
      <c r="A1638" t="s">
        <v>6514</v>
      </c>
      <c r="C1638" t="s">
        <v>6515</v>
      </c>
      <c r="D1638" t="s">
        <v>6516</v>
      </c>
      <c r="E1638" t="s">
        <v>2310</v>
      </c>
      <c r="F1638">
        <v>9</v>
      </c>
      <c r="G1638">
        <v>9.1999999999999993</v>
      </c>
      <c r="H1638" t="s">
        <v>2022</v>
      </c>
      <c r="I1638" s="21">
        <v>38630</v>
      </c>
      <c r="J1638">
        <v>2005</v>
      </c>
      <c r="K1638" s="21">
        <v>38688</v>
      </c>
      <c r="L1638">
        <v>2005</v>
      </c>
      <c r="M1638" s="21">
        <v>39562</v>
      </c>
      <c r="N1638">
        <v>2008</v>
      </c>
      <c r="R1638" s="262">
        <v>3400000</v>
      </c>
      <c r="S1638" t="s">
        <v>114</v>
      </c>
      <c r="T1638" t="s">
        <v>114</v>
      </c>
      <c r="U1638">
        <v>5</v>
      </c>
      <c r="W1638">
        <v>9740</v>
      </c>
      <c r="X1638">
        <v>1</v>
      </c>
      <c r="Y1638">
        <v>0</v>
      </c>
      <c r="Z1638">
        <v>0</v>
      </c>
      <c r="AA1638">
        <v>0</v>
      </c>
      <c r="AB1638">
        <v>0</v>
      </c>
      <c r="AC1638">
        <v>9740</v>
      </c>
      <c r="AD1638">
        <v>0</v>
      </c>
      <c r="AE1638">
        <v>0</v>
      </c>
      <c r="AF1638">
        <v>0</v>
      </c>
      <c r="AG1638">
        <v>0</v>
      </c>
      <c r="AH1638">
        <v>0</v>
      </c>
      <c r="AI1638">
        <v>0</v>
      </c>
      <c r="AJ1638">
        <v>0</v>
      </c>
      <c r="AK1638">
        <v>0</v>
      </c>
      <c r="AL1638">
        <v>0</v>
      </c>
      <c r="AM1638">
        <v>0</v>
      </c>
      <c r="AN1638">
        <v>0</v>
      </c>
      <c r="AO1638">
        <v>1</v>
      </c>
      <c r="AP1638">
        <v>0</v>
      </c>
      <c r="AQ1638">
        <v>0</v>
      </c>
      <c r="AR1638">
        <v>0</v>
      </c>
      <c r="AS1638">
        <v>0</v>
      </c>
      <c r="AT1638">
        <v>0</v>
      </c>
      <c r="AU1638">
        <f t="shared" si="50"/>
        <v>1</v>
      </c>
      <c r="AV1638">
        <f t="shared" si="51"/>
        <v>0</v>
      </c>
    </row>
    <row r="1639" spans="1:48" x14ac:dyDescent="0.25">
      <c r="A1639" t="s">
        <v>6519</v>
      </c>
      <c r="C1639" t="s">
        <v>6520</v>
      </c>
      <c r="D1639" t="s">
        <v>4136</v>
      </c>
      <c r="E1639" t="s">
        <v>2310</v>
      </c>
      <c r="F1639">
        <v>15</v>
      </c>
      <c r="G1639">
        <v>15.3</v>
      </c>
      <c r="H1639" t="s">
        <v>2022</v>
      </c>
      <c r="I1639" s="21">
        <v>38631</v>
      </c>
      <c r="J1639">
        <v>2005</v>
      </c>
      <c r="K1639" s="21">
        <v>38661</v>
      </c>
      <c r="L1639">
        <v>2005</v>
      </c>
      <c r="M1639" s="21">
        <v>38884</v>
      </c>
      <c r="N1639">
        <v>2006</v>
      </c>
      <c r="R1639" s="262">
        <v>50000</v>
      </c>
      <c r="S1639" t="s">
        <v>114</v>
      </c>
      <c r="T1639" t="s">
        <v>114</v>
      </c>
      <c r="U1639">
        <v>1</v>
      </c>
      <c r="W1639">
        <v>0</v>
      </c>
      <c r="X1639">
        <v>0</v>
      </c>
      <c r="Y1639">
        <v>0</v>
      </c>
      <c r="Z1639">
        <v>0</v>
      </c>
      <c r="AA1639">
        <v>0</v>
      </c>
      <c r="AB1639">
        <v>0</v>
      </c>
      <c r="AC1639">
        <v>0</v>
      </c>
      <c r="AD1639">
        <v>0</v>
      </c>
      <c r="AE1639">
        <v>0</v>
      </c>
      <c r="AF1639">
        <v>0</v>
      </c>
      <c r="AG1639">
        <v>0</v>
      </c>
      <c r="AH1639">
        <v>0</v>
      </c>
      <c r="AI1639">
        <v>0</v>
      </c>
      <c r="AJ1639">
        <v>0</v>
      </c>
      <c r="AK1639">
        <v>0</v>
      </c>
      <c r="AL1639">
        <v>0</v>
      </c>
      <c r="AM1639">
        <v>0</v>
      </c>
      <c r="AN1639">
        <v>0</v>
      </c>
      <c r="AO1639">
        <v>0</v>
      </c>
      <c r="AP1639">
        <v>0</v>
      </c>
      <c r="AQ1639">
        <v>0</v>
      </c>
      <c r="AR1639">
        <v>0</v>
      </c>
      <c r="AS1639">
        <v>0</v>
      </c>
      <c r="AT1639">
        <v>0</v>
      </c>
      <c r="AU1639">
        <f t="shared" si="50"/>
        <v>0</v>
      </c>
      <c r="AV1639">
        <f t="shared" si="51"/>
        <v>0</v>
      </c>
    </row>
    <row r="1640" spans="1:48" x14ac:dyDescent="0.25">
      <c r="A1640" t="s">
        <v>6517</v>
      </c>
      <c r="C1640" t="s">
        <v>6180</v>
      </c>
      <c r="D1640" t="s">
        <v>6518</v>
      </c>
      <c r="E1640" t="s">
        <v>1663</v>
      </c>
      <c r="F1640">
        <v>5</v>
      </c>
      <c r="G1640">
        <v>5.5</v>
      </c>
      <c r="H1640" t="s">
        <v>2017</v>
      </c>
      <c r="I1640" s="21">
        <v>38631</v>
      </c>
      <c r="J1640">
        <v>2005</v>
      </c>
      <c r="K1640" s="21">
        <v>38662</v>
      </c>
      <c r="L1640">
        <v>2005</v>
      </c>
      <c r="M1640" s="21">
        <v>38813</v>
      </c>
      <c r="N1640">
        <v>2006</v>
      </c>
      <c r="Q1640" s="262">
        <v>0</v>
      </c>
      <c r="S1640" t="s">
        <v>114</v>
      </c>
      <c r="T1640" t="s">
        <v>114</v>
      </c>
      <c r="W1640">
        <v>664</v>
      </c>
      <c r="X1640">
        <v>0</v>
      </c>
      <c r="Y1640">
        <v>0</v>
      </c>
      <c r="Z1640">
        <v>0</v>
      </c>
      <c r="AA1640">
        <v>0</v>
      </c>
      <c r="AB1640">
        <v>0</v>
      </c>
      <c r="AC1640">
        <v>664</v>
      </c>
      <c r="AD1640">
        <v>0</v>
      </c>
      <c r="AE1640">
        <v>0</v>
      </c>
      <c r="AF1640">
        <v>0</v>
      </c>
      <c r="AG1640">
        <v>0</v>
      </c>
      <c r="AH1640">
        <v>0</v>
      </c>
      <c r="AI1640">
        <v>0</v>
      </c>
      <c r="AJ1640">
        <v>0</v>
      </c>
      <c r="AK1640">
        <v>0</v>
      </c>
      <c r="AL1640">
        <v>0</v>
      </c>
      <c r="AM1640">
        <v>0</v>
      </c>
      <c r="AN1640">
        <v>0</v>
      </c>
      <c r="AO1640">
        <v>0</v>
      </c>
      <c r="AP1640">
        <v>0</v>
      </c>
      <c r="AQ1640">
        <v>0</v>
      </c>
      <c r="AR1640">
        <v>0</v>
      </c>
      <c r="AS1640">
        <v>0</v>
      </c>
      <c r="AT1640">
        <v>0</v>
      </c>
      <c r="AU1640">
        <f t="shared" si="50"/>
        <v>0</v>
      </c>
      <c r="AV1640">
        <f t="shared" si="51"/>
        <v>0</v>
      </c>
    </row>
    <row r="1641" spans="1:48" x14ac:dyDescent="0.25">
      <c r="A1641" t="s">
        <v>6521</v>
      </c>
      <c r="C1641" t="s">
        <v>6522</v>
      </c>
      <c r="D1641" t="s">
        <v>3639</v>
      </c>
      <c r="E1641" t="s">
        <v>2310</v>
      </c>
      <c r="F1641">
        <v>15</v>
      </c>
      <c r="G1641">
        <v>15.3</v>
      </c>
      <c r="H1641" t="s">
        <v>2022</v>
      </c>
      <c r="I1641" s="21">
        <v>38635</v>
      </c>
      <c r="J1641">
        <v>2005</v>
      </c>
      <c r="K1641" s="21">
        <v>38660</v>
      </c>
      <c r="L1641">
        <v>2005</v>
      </c>
      <c r="M1641" s="21">
        <v>38660</v>
      </c>
      <c r="N1641">
        <v>2005</v>
      </c>
      <c r="R1641" s="262">
        <v>20000</v>
      </c>
      <c r="S1641" t="s">
        <v>114</v>
      </c>
      <c r="T1641" t="s">
        <v>114</v>
      </c>
      <c r="U1641">
        <v>11</v>
      </c>
      <c r="W1641">
        <v>220</v>
      </c>
      <c r="X1641">
        <v>0</v>
      </c>
      <c r="Y1641">
        <v>0</v>
      </c>
      <c r="Z1641">
        <v>0</v>
      </c>
      <c r="AA1641">
        <v>0</v>
      </c>
      <c r="AB1641">
        <v>0</v>
      </c>
      <c r="AC1641">
        <v>0</v>
      </c>
      <c r="AD1641">
        <v>0</v>
      </c>
      <c r="AE1641">
        <v>0</v>
      </c>
      <c r="AF1641">
        <v>0</v>
      </c>
      <c r="AG1641">
        <v>0</v>
      </c>
      <c r="AH1641">
        <v>0</v>
      </c>
      <c r="AI1641">
        <v>220</v>
      </c>
      <c r="AJ1641">
        <v>0</v>
      </c>
      <c r="AK1641">
        <v>0</v>
      </c>
      <c r="AL1641">
        <v>0</v>
      </c>
      <c r="AM1641">
        <v>0</v>
      </c>
      <c r="AN1641">
        <v>0</v>
      </c>
      <c r="AO1641">
        <v>0</v>
      </c>
      <c r="AP1641">
        <v>0</v>
      </c>
      <c r="AQ1641">
        <v>0</v>
      </c>
      <c r="AR1641">
        <v>0</v>
      </c>
      <c r="AS1641">
        <v>0</v>
      </c>
      <c r="AT1641">
        <v>0</v>
      </c>
      <c r="AU1641">
        <f t="shared" si="50"/>
        <v>0</v>
      </c>
      <c r="AV1641">
        <f t="shared" si="51"/>
        <v>220</v>
      </c>
    </row>
    <row r="1642" spans="1:48" x14ac:dyDescent="0.25">
      <c r="A1642" t="s">
        <v>6523</v>
      </c>
      <c r="C1642" t="s">
        <v>6524</v>
      </c>
      <c r="D1642" t="s">
        <v>6525</v>
      </c>
      <c r="E1642" t="s">
        <v>2310</v>
      </c>
      <c r="F1642">
        <v>15</v>
      </c>
      <c r="G1642">
        <v>15.1</v>
      </c>
      <c r="H1642" t="s">
        <v>2022</v>
      </c>
      <c r="I1642" s="21">
        <v>38636</v>
      </c>
      <c r="J1642">
        <v>2005</v>
      </c>
      <c r="K1642" s="21">
        <v>38665</v>
      </c>
      <c r="L1642">
        <v>2005</v>
      </c>
      <c r="M1642" s="21">
        <v>39639</v>
      </c>
      <c r="N1642">
        <v>2008</v>
      </c>
      <c r="R1642" s="262">
        <v>150000</v>
      </c>
      <c r="S1642" t="s">
        <v>114</v>
      </c>
      <c r="T1642" t="s">
        <v>114</v>
      </c>
      <c r="U1642">
        <v>5</v>
      </c>
      <c r="W1642">
        <v>526</v>
      </c>
      <c r="X1642">
        <v>0</v>
      </c>
      <c r="Y1642">
        <v>0</v>
      </c>
      <c r="Z1642">
        <v>0</v>
      </c>
      <c r="AA1642">
        <v>0</v>
      </c>
      <c r="AB1642">
        <v>0</v>
      </c>
      <c r="AC1642">
        <v>526</v>
      </c>
      <c r="AD1642">
        <v>0</v>
      </c>
      <c r="AE1642">
        <v>0</v>
      </c>
      <c r="AF1642">
        <v>0</v>
      </c>
      <c r="AG1642">
        <v>0</v>
      </c>
      <c r="AH1642">
        <v>0</v>
      </c>
      <c r="AI1642">
        <v>0</v>
      </c>
      <c r="AJ1642">
        <v>0</v>
      </c>
      <c r="AK1642">
        <v>0</v>
      </c>
      <c r="AL1642">
        <v>0</v>
      </c>
      <c r="AM1642">
        <v>0</v>
      </c>
      <c r="AN1642">
        <v>0</v>
      </c>
      <c r="AO1642">
        <v>0</v>
      </c>
      <c r="AP1642">
        <v>0</v>
      </c>
      <c r="AQ1642">
        <v>0</v>
      </c>
      <c r="AR1642">
        <v>0</v>
      </c>
      <c r="AS1642">
        <v>0</v>
      </c>
      <c r="AT1642">
        <v>0</v>
      </c>
      <c r="AU1642">
        <f t="shared" si="50"/>
        <v>0</v>
      </c>
      <c r="AV1642">
        <f t="shared" si="51"/>
        <v>0</v>
      </c>
    </row>
    <row r="1643" spans="1:48" x14ac:dyDescent="0.25">
      <c r="A1643" t="s">
        <v>6526</v>
      </c>
      <c r="C1643" t="s">
        <v>6527</v>
      </c>
      <c r="D1643" t="s">
        <v>6528</v>
      </c>
      <c r="E1643" t="s">
        <v>2310</v>
      </c>
      <c r="F1643">
        <v>8</v>
      </c>
      <c r="G1643">
        <v>8.3000000000000007</v>
      </c>
      <c r="H1643" t="s">
        <v>2323</v>
      </c>
      <c r="I1643" s="21">
        <v>38636</v>
      </c>
      <c r="J1643">
        <v>2005</v>
      </c>
      <c r="K1643" s="21">
        <v>38702</v>
      </c>
      <c r="L1643">
        <v>2005</v>
      </c>
      <c r="M1643" s="21">
        <v>39454</v>
      </c>
      <c r="N1643">
        <v>2008</v>
      </c>
      <c r="R1643" s="262">
        <v>2000000</v>
      </c>
      <c r="S1643" t="s">
        <v>114</v>
      </c>
      <c r="T1643" t="s">
        <v>114</v>
      </c>
      <c r="U1643">
        <v>5</v>
      </c>
      <c r="W1643">
        <v>9105</v>
      </c>
      <c r="X1643">
        <v>1</v>
      </c>
      <c r="Y1643">
        <v>0</v>
      </c>
      <c r="Z1643">
        <v>0</v>
      </c>
      <c r="AA1643">
        <v>0</v>
      </c>
      <c r="AB1643">
        <v>0</v>
      </c>
      <c r="AC1643">
        <v>9105</v>
      </c>
      <c r="AD1643">
        <v>0</v>
      </c>
      <c r="AE1643">
        <v>0</v>
      </c>
      <c r="AF1643">
        <v>0</v>
      </c>
      <c r="AG1643">
        <v>0</v>
      </c>
      <c r="AH1643">
        <v>0</v>
      </c>
      <c r="AI1643">
        <v>0</v>
      </c>
      <c r="AJ1643">
        <v>0</v>
      </c>
      <c r="AK1643">
        <v>0</v>
      </c>
      <c r="AL1643">
        <v>0</v>
      </c>
      <c r="AM1643">
        <v>0</v>
      </c>
      <c r="AN1643">
        <v>0</v>
      </c>
      <c r="AO1643">
        <v>1</v>
      </c>
      <c r="AP1643">
        <v>0</v>
      </c>
      <c r="AQ1643">
        <v>0</v>
      </c>
      <c r="AR1643">
        <v>0</v>
      </c>
      <c r="AS1643">
        <v>0</v>
      </c>
      <c r="AT1643">
        <v>0</v>
      </c>
      <c r="AU1643">
        <f t="shared" si="50"/>
        <v>1</v>
      </c>
      <c r="AV1643">
        <f t="shared" si="51"/>
        <v>0</v>
      </c>
    </row>
    <row r="1644" spans="1:48" x14ac:dyDescent="0.25">
      <c r="A1644" t="s">
        <v>6529</v>
      </c>
      <c r="C1644" t="s">
        <v>6530</v>
      </c>
      <c r="D1644" t="s">
        <v>6531</v>
      </c>
      <c r="E1644" t="s">
        <v>2310</v>
      </c>
      <c r="F1644">
        <v>9</v>
      </c>
      <c r="G1644">
        <v>9.3000000000000007</v>
      </c>
      <c r="H1644" t="s">
        <v>2323</v>
      </c>
      <c r="I1644" s="21">
        <v>38637</v>
      </c>
      <c r="J1644">
        <v>2005</v>
      </c>
      <c r="K1644" s="21">
        <v>38705</v>
      </c>
      <c r="L1644">
        <v>2005</v>
      </c>
      <c r="M1644" s="21">
        <v>39141</v>
      </c>
      <c r="N1644">
        <v>2007</v>
      </c>
      <c r="R1644" s="262">
        <v>245000</v>
      </c>
      <c r="S1644" t="s">
        <v>114</v>
      </c>
      <c r="T1644" t="s">
        <v>114</v>
      </c>
      <c r="U1644">
        <v>5</v>
      </c>
      <c r="W1644">
        <v>1634</v>
      </c>
      <c r="X1644">
        <v>0</v>
      </c>
      <c r="Y1644">
        <v>0</v>
      </c>
      <c r="Z1644">
        <v>0</v>
      </c>
      <c r="AA1644">
        <v>0</v>
      </c>
      <c r="AB1644">
        <v>0</v>
      </c>
      <c r="AC1644">
        <v>1634</v>
      </c>
      <c r="AD1644">
        <v>0</v>
      </c>
      <c r="AE1644">
        <v>0</v>
      </c>
      <c r="AF1644">
        <v>0</v>
      </c>
      <c r="AG1644">
        <v>0</v>
      </c>
      <c r="AH1644">
        <v>0</v>
      </c>
      <c r="AI1644">
        <v>0</v>
      </c>
      <c r="AJ1644">
        <v>0</v>
      </c>
      <c r="AK1644">
        <v>0</v>
      </c>
      <c r="AL1644">
        <v>0</v>
      </c>
      <c r="AM1644">
        <v>0</v>
      </c>
      <c r="AN1644">
        <v>0</v>
      </c>
      <c r="AO1644">
        <v>0</v>
      </c>
      <c r="AP1644">
        <v>0</v>
      </c>
      <c r="AQ1644">
        <v>0</v>
      </c>
      <c r="AR1644">
        <v>0</v>
      </c>
      <c r="AS1644">
        <v>0</v>
      </c>
      <c r="AT1644">
        <v>0</v>
      </c>
      <c r="AU1644">
        <f t="shared" si="50"/>
        <v>0</v>
      </c>
      <c r="AV1644">
        <f t="shared" si="51"/>
        <v>0</v>
      </c>
    </row>
    <row r="1645" spans="1:48" x14ac:dyDescent="0.25">
      <c r="A1645" t="s">
        <v>6532</v>
      </c>
      <c r="C1645" t="s">
        <v>4383</v>
      </c>
      <c r="D1645" t="s">
        <v>5208</v>
      </c>
      <c r="E1645" t="s">
        <v>2310</v>
      </c>
      <c r="F1645">
        <v>9</v>
      </c>
      <c r="G1645">
        <v>9.4</v>
      </c>
      <c r="H1645" t="s">
        <v>2323</v>
      </c>
      <c r="I1645" s="21">
        <v>38639</v>
      </c>
      <c r="J1645">
        <v>2005</v>
      </c>
      <c r="K1645" s="21">
        <v>38665</v>
      </c>
      <c r="L1645">
        <v>2005</v>
      </c>
      <c r="M1645" s="21">
        <v>38665</v>
      </c>
      <c r="N1645">
        <v>2005</v>
      </c>
      <c r="R1645" s="262">
        <v>97000</v>
      </c>
      <c r="S1645" t="s">
        <v>114</v>
      </c>
      <c r="T1645" t="s">
        <v>114</v>
      </c>
      <c r="U1645">
        <v>5</v>
      </c>
      <c r="W1645">
        <v>738</v>
      </c>
      <c r="X1645">
        <v>0</v>
      </c>
      <c r="Y1645">
        <v>0</v>
      </c>
      <c r="Z1645">
        <v>0</v>
      </c>
      <c r="AA1645">
        <v>0</v>
      </c>
      <c r="AB1645">
        <v>0</v>
      </c>
      <c r="AC1645">
        <v>738</v>
      </c>
      <c r="AD1645">
        <v>0</v>
      </c>
      <c r="AE1645">
        <v>0</v>
      </c>
      <c r="AF1645">
        <v>0</v>
      </c>
      <c r="AG1645">
        <v>0</v>
      </c>
      <c r="AH1645">
        <v>0</v>
      </c>
      <c r="AI1645">
        <v>0</v>
      </c>
      <c r="AJ1645">
        <v>0</v>
      </c>
      <c r="AK1645">
        <v>0</v>
      </c>
      <c r="AL1645">
        <v>0</v>
      </c>
      <c r="AM1645">
        <v>0</v>
      </c>
      <c r="AN1645">
        <v>0</v>
      </c>
      <c r="AO1645">
        <v>0</v>
      </c>
      <c r="AP1645">
        <v>0</v>
      </c>
      <c r="AQ1645">
        <v>0</v>
      </c>
      <c r="AR1645">
        <v>0</v>
      </c>
      <c r="AS1645">
        <v>0</v>
      </c>
      <c r="AT1645">
        <v>0</v>
      </c>
      <c r="AU1645">
        <f t="shared" si="50"/>
        <v>0</v>
      </c>
      <c r="AV1645">
        <f t="shared" si="51"/>
        <v>0</v>
      </c>
    </row>
    <row r="1646" spans="1:48" x14ac:dyDescent="0.25">
      <c r="A1646" t="s">
        <v>6533</v>
      </c>
      <c r="C1646" t="s">
        <v>6534</v>
      </c>
      <c r="D1646" t="s">
        <v>6535</v>
      </c>
      <c r="E1646" t="s">
        <v>2310</v>
      </c>
      <c r="F1646">
        <v>13</v>
      </c>
      <c r="G1646">
        <v>13.3</v>
      </c>
      <c r="H1646" t="s">
        <v>2017</v>
      </c>
      <c r="I1646" s="21">
        <v>38639</v>
      </c>
      <c r="J1646">
        <v>2005</v>
      </c>
      <c r="K1646" s="21">
        <v>38666</v>
      </c>
      <c r="L1646">
        <v>2005</v>
      </c>
      <c r="M1646" s="21">
        <v>38666</v>
      </c>
      <c r="N1646">
        <v>2005</v>
      </c>
      <c r="R1646" s="262">
        <v>107000</v>
      </c>
      <c r="S1646" t="s">
        <v>114</v>
      </c>
      <c r="T1646" t="s">
        <v>114</v>
      </c>
      <c r="U1646">
        <v>5</v>
      </c>
      <c r="W1646">
        <v>487</v>
      </c>
      <c r="X1646">
        <v>0</v>
      </c>
      <c r="Y1646">
        <v>0</v>
      </c>
      <c r="Z1646">
        <v>0</v>
      </c>
      <c r="AA1646">
        <v>0</v>
      </c>
      <c r="AB1646">
        <v>0</v>
      </c>
      <c r="AC1646">
        <v>487</v>
      </c>
      <c r="AD1646">
        <v>0</v>
      </c>
      <c r="AE1646">
        <v>0</v>
      </c>
      <c r="AF1646">
        <v>0</v>
      </c>
      <c r="AG1646">
        <v>0</v>
      </c>
      <c r="AH1646">
        <v>0</v>
      </c>
      <c r="AI1646">
        <v>0</v>
      </c>
      <c r="AJ1646">
        <v>0</v>
      </c>
      <c r="AK1646">
        <v>0</v>
      </c>
      <c r="AL1646">
        <v>0</v>
      </c>
      <c r="AM1646">
        <v>0</v>
      </c>
      <c r="AN1646">
        <v>0</v>
      </c>
      <c r="AO1646">
        <v>0</v>
      </c>
      <c r="AP1646">
        <v>0</v>
      </c>
      <c r="AQ1646">
        <v>0</v>
      </c>
      <c r="AR1646">
        <v>0</v>
      </c>
      <c r="AS1646">
        <v>0</v>
      </c>
      <c r="AT1646">
        <v>0</v>
      </c>
      <c r="AU1646">
        <f t="shared" si="50"/>
        <v>0</v>
      </c>
      <c r="AV1646">
        <f t="shared" si="51"/>
        <v>0</v>
      </c>
    </row>
    <row r="1647" spans="1:48" x14ac:dyDescent="0.25">
      <c r="A1647" t="s">
        <v>6536</v>
      </c>
      <c r="C1647" t="s">
        <v>6537</v>
      </c>
      <c r="D1647" t="s">
        <v>6538</v>
      </c>
      <c r="E1647" t="s">
        <v>1663</v>
      </c>
      <c r="F1647">
        <v>6</v>
      </c>
      <c r="G1647">
        <v>6.1</v>
      </c>
      <c r="H1647" t="s">
        <v>2017</v>
      </c>
      <c r="I1647" s="21">
        <v>38642</v>
      </c>
      <c r="J1647">
        <v>2005</v>
      </c>
      <c r="K1647" s="21">
        <v>38673</v>
      </c>
      <c r="L1647">
        <v>2005</v>
      </c>
      <c r="M1647" s="21">
        <v>38824</v>
      </c>
      <c r="N1647">
        <v>2006</v>
      </c>
      <c r="Q1647" s="262">
        <v>0</v>
      </c>
      <c r="S1647" t="s">
        <v>114</v>
      </c>
      <c r="T1647" t="s">
        <v>114</v>
      </c>
      <c r="W1647">
        <v>4955</v>
      </c>
      <c r="X1647">
        <v>1</v>
      </c>
      <c r="Y1647">
        <v>0</v>
      </c>
      <c r="Z1647">
        <v>0</v>
      </c>
      <c r="AA1647">
        <v>0</v>
      </c>
      <c r="AB1647">
        <v>0</v>
      </c>
      <c r="AC1647">
        <v>4955</v>
      </c>
      <c r="AD1647">
        <v>0</v>
      </c>
      <c r="AE1647">
        <v>0</v>
      </c>
      <c r="AF1647">
        <v>0</v>
      </c>
      <c r="AG1647">
        <v>0</v>
      </c>
      <c r="AH1647">
        <v>0</v>
      </c>
      <c r="AI1647">
        <v>0</v>
      </c>
      <c r="AJ1647">
        <v>0</v>
      </c>
      <c r="AK1647">
        <v>0</v>
      </c>
      <c r="AL1647">
        <v>0</v>
      </c>
      <c r="AM1647">
        <v>0</v>
      </c>
      <c r="AN1647">
        <v>0</v>
      </c>
      <c r="AO1647">
        <v>1</v>
      </c>
      <c r="AP1647">
        <v>0</v>
      </c>
      <c r="AQ1647">
        <v>0</v>
      </c>
      <c r="AR1647">
        <v>0</v>
      </c>
      <c r="AS1647">
        <v>0</v>
      </c>
      <c r="AT1647">
        <v>0</v>
      </c>
      <c r="AU1647">
        <f t="shared" si="50"/>
        <v>1</v>
      </c>
      <c r="AV1647">
        <f t="shared" si="51"/>
        <v>0</v>
      </c>
    </row>
    <row r="1648" spans="1:48" x14ac:dyDescent="0.25">
      <c r="A1648" t="s">
        <v>6539</v>
      </c>
      <c r="C1648" t="s">
        <v>6540</v>
      </c>
      <c r="D1648" t="s">
        <v>6541</v>
      </c>
      <c r="E1648" t="s">
        <v>2310</v>
      </c>
      <c r="F1648">
        <v>15</v>
      </c>
      <c r="G1648">
        <v>15.1</v>
      </c>
      <c r="H1648" t="s">
        <v>2022</v>
      </c>
      <c r="I1648" s="21">
        <v>38642</v>
      </c>
      <c r="J1648">
        <v>2005</v>
      </c>
      <c r="K1648" s="21">
        <v>38700</v>
      </c>
      <c r="L1648">
        <v>2005</v>
      </c>
      <c r="M1648" s="21">
        <v>39210</v>
      </c>
      <c r="N1648">
        <v>2007</v>
      </c>
      <c r="R1648" s="262">
        <v>300000</v>
      </c>
      <c r="S1648" t="s">
        <v>114</v>
      </c>
      <c r="T1648" t="s">
        <v>114</v>
      </c>
      <c r="U1648">
        <v>5</v>
      </c>
      <c r="W1648">
        <v>2560</v>
      </c>
      <c r="X1648">
        <v>1</v>
      </c>
      <c r="Y1648">
        <v>0</v>
      </c>
      <c r="Z1648">
        <v>0</v>
      </c>
      <c r="AA1648">
        <v>0</v>
      </c>
      <c r="AB1648">
        <v>0</v>
      </c>
      <c r="AC1648">
        <v>2560</v>
      </c>
      <c r="AD1648">
        <v>0</v>
      </c>
      <c r="AE1648">
        <v>0</v>
      </c>
      <c r="AF1648">
        <v>0</v>
      </c>
      <c r="AG1648">
        <v>0</v>
      </c>
      <c r="AH1648">
        <v>0</v>
      </c>
      <c r="AI1648">
        <v>0</v>
      </c>
      <c r="AJ1648">
        <v>0</v>
      </c>
      <c r="AK1648">
        <v>0</v>
      </c>
      <c r="AL1648">
        <v>0</v>
      </c>
      <c r="AM1648">
        <v>0</v>
      </c>
      <c r="AN1648">
        <v>0</v>
      </c>
      <c r="AO1648">
        <v>1</v>
      </c>
      <c r="AP1648">
        <v>0</v>
      </c>
      <c r="AQ1648">
        <v>0</v>
      </c>
      <c r="AR1648">
        <v>0</v>
      </c>
      <c r="AS1648">
        <v>0</v>
      </c>
      <c r="AT1648">
        <v>0</v>
      </c>
      <c r="AU1648">
        <f t="shared" si="50"/>
        <v>1</v>
      </c>
      <c r="AV1648">
        <f t="shared" si="51"/>
        <v>0</v>
      </c>
    </row>
    <row r="1649" spans="1:48" x14ac:dyDescent="0.25">
      <c r="A1649" t="s">
        <v>6542</v>
      </c>
      <c r="C1649" t="s">
        <v>6543</v>
      </c>
      <c r="D1649" t="s">
        <v>6544</v>
      </c>
      <c r="E1649" t="s">
        <v>2310</v>
      </c>
      <c r="F1649">
        <v>9</v>
      </c>
      <c r="G1649">
        <v>9.1999999999999993</v>
      </c>
      <c r="H1649" t="s">
        <v>2022</v>
      </c>
      <c r="I1649" s="21">
        <v>38642</v>
      </c>
      <c r="J1649">
        <v>2005</v>
      </c>
      <c r="K1649" s="21">
        <v>38666</v>
      </c>
      <c r="L1649">
        <v>2005</v>
      </c>
      <c r="M1649" s="21">
        <v>38862</v>
      </c>
      <c r="N1649">
        <v>2006</v>
      </c>
      <c r="R1649" s="262">
        <v>152000</v>
      </c>
      <c r="S1649" t="s">
        <v>114</v>
      </c>
      <c r="T1649" t="s">
        <v>114</v>
      </c>
      <c r="U1649">
        <v>5</v>
      </c>
      <c r="W1649">
        <v>2320</v>
      </c>
      <c r="X1649">
        <v>1</v>
      </c>
      <c r="Y1649">
        <v>0</v>
      </c>
      <c r="Z1649">
        <v>0</v>
      </c>
      <c r="AA1649">
        <v>0</v>
      </c>
      <c r="AB1649">
        <v>0</v>
      </c>
      <c r="AC1649">
        <v>2320</v>
      </c>
      <c r="AD1649">
        <v>0</v>
      </c>
      <c r="AE1649">
        <v>0</v>
      </c>
      <c r="AF1649">
        <v>0</v>
      </c>
      <c r="AG1649">
        <v>0</v>
      </c>
      <c r="AH1649">
        <v>0</v>
      </c>
      <c r="AI1649">
        <v>0</v>
      </c>
      <c r="AJ1649">
        <v>0</v>
      </c>
      <c r="AK1649">
        <v>0</v>
      </c>
      <c r="AL1649">
        <v>0</v>
      </c>
      <c r="AM1649">
        <v>0</v>
      </c>
      <c r="AN1649">
        <v>0</v>
      </c>
      <c r="AO1649">
        <v>1</v>
      </c>
      <c r="AP1649">
        <v>0</v>
      </c>
      <c r="AQ1649">
        <v>0</v>
      </c>
      <c r="AR1649">
        <v>0</v>
      </c>
      <c r="AS1649">
        <v>0</v>
      </c>
      <c r="AT1649">
        <v>0</v>
      </c>
      <c r="AU1649">
        <f t="shared" si="50"/>
        <v>1</v>
      </c>
      <c r="AV1649">
        <f t="shared" si="51"/>
        <v>0</v>
      </c>
    </row>
    <row r="1650" spans="1:48" x14ac:dyDescent="0.25">
      <c r="A1650" t="s">
        <v>6545</v>
      </c>
      <c r="C1650" t="s">
        <v>4792</v>
      </c>
      <c r="D1650" t="s">
        <v>6541</v>
      </c>
      <c r="E1650" t="s">
        <v>2310</v>
      </c>
      <c r="F1650">
        <v>15</v>
      </c>
      <c r="G1650">
        <v>15.1</v>
      </c>
      <c r="H1650" t="s">
        <v>2022</v>
      </c>
      <c r="I1650" s="21">
        <v>38642</v>
      </c>
      <c r="J1650">
        <v>2005</v>
      </c>
      <c r="K1650" s="21">
        <v>38701</v>
      </c>
      <c r="L1650">
        <v>2005</v>
      </c>
      <c r="M1650" s="21">
        <v>39210</v>
      </c>
      <c r="N1650">
        <v>2007</v>
      </c>
      <c r="R1650" s="262">
        <v>25000</v>
      </c>
      <c r="S1650" t="s">
        <v>114</v>
      </c>
      <c r="T1650" t="s">
        <v>114</v>
      </c>
      <c r="U1650">
        <v>5</v>
      </c>
      <c r="W1650">
        <v>1404</v>
      </c>
      <c r="X1650">
        <v>0</v>
      </c>
      <c r="Y1650">
        <v>0</v>
      </c>
      <c r="Z1650">
        <v>0</v>
      </c>
      <c r="AA1650">
        <v>0</v>
      </c>
      <c r="AB1650">
        <v>0</v>
      </c>
      <c r="AC1650">
        <v>1404</v>
      </c>
      <c r="AD1650">
        <v>0</v>
      </c>
      <c r="AE1650">
        <v>0</v>
      </c>
      <c r="AF1650">
        <v>0</v>
      </c>
      <c r="AG1650">
        <v>0</v>
      </c>
      <c r="AH1650">
        <v>0</v>
      </c>
      <c r="AI1650">
        <v>0</v>
      </c>
      <c r="AJ1650">
        <v>0</v>
      </c>
      <c r="AK1650">
        <v>0</v>
      </c>
      <c r="AL1650">
        <v>0</v>
      </c>
      <c r="AM1650">
        <v>0</v>
      </c>
      <c r="AN1650">
        <v>0</v>
      </c>
      <c r="AO1650">
        <v>0</v>
      </c>
      <c r="AP1650">
        <v>0</v>
      </c>
      <c r="AQ1650">
        <v>0</v>
      </c>
      <c r="AR1650">
        <v>0</v>
      </c>
      <c r="AS1650">
        <v>0</v>
      </c>
      <c r="AT1650">
        <v>0</v>
      </c>
      <c r="AU1650">
        <f t="shared" si="50"/>
        <v>0</v>
      </c>
      <c r="AV1650">
        <f t="shared" si="51"/>
        <v>0</v>
      </c>
    </row>
    <row r="1651" spans="1:48" x14ac:dyDescent="0.25">
      <c r="A1651" t="s">
        <v>6546</v>
      </c>
      <c r="C1651" t="s">
        <v>6547</v>
      </c>
      <c r="D1651" t="s">
        <v>3023</v>
      </c>
      <c r="E1651" t="s">
        <v>2310</v>
      </c>
      <c r="F1651">
        <v>9</v>
      </c>
      <c r="G1651">
        <v>9.1</v>
      </c>
      <c r="H1651" t="s">
        <v>2323</v>
      </c>
      <c r="I1651" s="21">
        <v>38643</v>
      </c>
      <c r="J1651">
        <v>2005</v>
      </c>
      <c r="K1651" s="21">
        <v>38660</v>
      </c>
      <c r="L1651">
        <v>2005</v>
      </c>
      <c r="M1651" s="21">
        <v>39560</v>
      </c>
      <c r="N1651">
        <v>2008</v>
      </c>
      <c r="R1651" s="262">
        <v>100000</v>
      </c>
      <c r="S1651" t="s">
        <v>114</v>
      </c>
      <c r="T1651" t="s">
        <v>114</v>
      </c>
      <c r="U1651">
        <v>5</v>
      </c>
      <c r="W1651">
        <v>434</v>
      </c>
      <c r="X1651">
        <v>0</v>
      </c>
      <c r="Y1651">
        <v>0</v>
      </c>
      <c r="Z1651">
        <v>0</v>
      </c>
      <c r="AA1651">
        <v>0</v>
      </c>
      <c r="AB1651">
        <v>0</v>
      </c>
      <c r="AC1651">
        <v>434</v>
      </c>
      <c r="AD1651">
        <v>0</v>
      </c>
      <c r="AE1651">
        <v>0</v>
      </c>
      <c r="AF1651">
        <v>0</v>
      </c>
      <c r="AG1651">
        <v>0</v>
      </c>
      <c r="AH1651">
        <v>0</v>
      </c>
      <c r="AI1651">
        <v>0</v>
      </c>
      <c r="AJ1651">
        <v>0</v>
      </c>
      <c r="AK1651">
        <v>0</v>
      </c>
      <c r="AL1651">
        <v>0</v>
      </c>
      <c r="AM1651">
        <v>0</v>
      </c>
      <c r="AN1651">
        <v>0</v>
      </c>
      <c r="AO1651">
        <v>0</v>
      </c>
      <c r="AP1651">
        <v>0</v>
      </c>
      <c r="AQ1651">
        <v>0</v>
      </c>
      <c r="AR1651">
        <v>0</v>
      </c>
      <c r="AS1651">
        <v>0</v>
      </c>
      <c r="AT1651">
        <v>0</v>
      </c>
      <c r="AU1651">
        <f t="shared" si="50"/>
        <v>0</v>
      </c>
      <c r="AV1651">
        <f t="shared" si="51"/>
        <v>0</v>
      </c>
    </row>
    <row r="1652" spans="1:48" x14ac:dyDescent="0.25">
      <c r="A1652" t="s">
        <v>6548</v>
      </c>
      <c r="C1652" t="s">
        <v>6549</v>
      </c>
      <c r="D1652" t="s">
        <v>6550</v>
      </c>
      <c r="E1652" t="s">
        <v>2310</v>
      </c>
      <c r="F1652">
        <v>9</v>
      </c>
      <c r="G1652">
        <v>9.1999999999999993</v>
      </c>
      <c r="H1652" t="s">
        <v>2022</v>
      </c>
      <c r="I1652" s="21">
        <v>38643</v>
      </c>
      <c r="J1652">
        <v>2005</v>
      </c>
      <c r="K1652" s="21">
        <v>38687</v>
      </c>
      <c r="L1652">
        <v>2005</v>
      </c>
      <c r="M1652" s="21">
        <v>39805</v>
      </c>
      <c r="N1652">
        <v>2008</v>
      </c>
      <c r="R1652" s="262">
        <v>5000000</v>
      </c>
      <c r="S1652" t="s">
        <v>114</v>
      </c>
      <c r="T1652" t="s">
        <v>114</v>
      </c>
      <c r="U1652">
        <v>5</v>
      </c>
      <c r="W1652">
        <v>16470</v>
      </c>
      <c r="X1652">
        <v>1</v>
      </c>
      <c r="Y1652">
        <v>0</v>
      </c>
      <c r="Z1652">
        <v>0</v>
      </c>
      <c r="AA1652">
        <v>0</v>
      </c>
      <c r="AB1652">
        <v>0</v>
      </c>
      <c r="AC1652">
        <v>16470</v>
      </c>
      <c r="AD1652">
        <v>0</v>
      </c>
      <c r="AE1652">
        <v>0</v>
      </c>
      <c r="AF1652">
        <v>0</v>
      </c>
      <c r="AG1652">
        <v>0</v>
      </c>
      <c r="AH1652">
        <v>0</v>
      </c>
      <c r="AI1652">
        <v>0</v>
      </c>
      <c r="AJ1652">
        <v>0</v>
      </c>
      <c r="AK1652">
        <v>0</v>
      </c>
      <c r="AL1652">
        <v>0</v>
      </c>
      <c r="AM1652">
        <v>0</v>
      </c>
      <c r="AN1652">
        <v>0</v>
      </c>
      <c r="AO1652">
        <v>1</v>
      </c>
      <c r="AP1652">
        <v>0</v>
      </c>
      <c r="AQ1652">
        <v>0</v>
      </c>
      <c r="AR1652">
        <v>0</v>
      </c>
      <c r="AS1652">
        <v>0</v>
      </c>
      <c r="AT1652">
        <v>0</v>
      </c>
      <c r="AU1652">
        <f t="shared" si="50"/>
        <v>1</v>
      </c>
      <c r="AV1652">
        <f t="shared" si="51"/>
        <v>0</v>
      </c>
    </row>
    <row r="1653" spans="1:48" x14ac:dyDescent="0.25">
      <c r="A1653" t="s">
        <v>6551</v>
      </c>
      <c r="C1653" t="s">
        <v>6552</v>
      </c>
      <c r="D1653" t="s">
        <v>6553</v>
      </c>
      <c r="E1653" t="s">
        <v>2310</v>
      </c>
      <c r="F1653">
        <v>11</v>
      </c>
      <c r="G1653">
        <v>11.4</v>
      </c>
      <c r="H1653" t="s">
        <v>2017</v>
      </c>
      <c r="I1653" s="21">
        <v>38650</v>
      </c>
      <c r="J1653">
        <v>2005</v>
      </c>
      <c r="K1653" s="21">
        <v>38691</v>
      </c>
      <c r="L1653">
        <v>2005</v>
      </c>
      <c r="M1653" s="21">
        <v>38912</v>
      </c>
      <c r="N1653">
        <v>2006</v>
      </c>
      <c r="R1653" s="262">
        <v>80000</v>
      </c>
      <c r="S1653" t="s">
        <v>114</v>
      </c>
      <c r="T1653" t="s">
        <v>114</v>
      </c>
      <c r="U1653">
        <v>5</v>
      </c>
      <c r="W1653">
        <v>300</v>
      </c>
      <c r="X1653">
        <v>0</v>
      </c>
      <c r="Y1653">
        <v>0</v>
      </c>
      <c r="Z1653">
        <v>0</v>
      </c>
      <c r="AA1653">
        <v>0</v>
      </c>
      <c r="AB1653">
        <v>0</v>
      </c>
      <c r="AC1653">
        <v>300</v>
      </c>
      <c r="AD1653">
        <v>0</v>
      </c>
      <c r="AE1653">
        <v>0</v>
      </c>
      <c r="AF1653">
        <v>0</v>
      </c>
      <c r="AG1653">
        <v>0</v>
      </c>
      <c r="AH1653">
        <v>0</v>
      </c>
      <c r="AI1653">
        <v>0</v>
      </c>
      <c r="AJ1653">
        <v>0</v>
      </c>
      <c r="AK1653">
        <v>0</v>
      </c>
      <c r="AL1653">
        <v>0</v>
      </c>
      <c r="AM1653">
        <v>0</v>
      </c>
      <c r="AN1653">
        <v>0</v>
      </c>
      <c r="AO1653">
        <v>0</v>
      </c>
      <c r="AP1653">
        <v>0</v>
      </c>
      <c r="AQ1653">
        <v>0</v>
      </c>
      <c r="AR1653">
        <v>0</v>
      </c>
      <c r="AS1653">
        <v>0</v>
      </c>
      <c r="AT1653">
        <v>0</v>
      </c>
      <c r="AU1653">
        <f t="shared" si="50"/>
        <v>0</v>
      </c>
      <c r="AV1653">
        <f t="shared" si="51"/>
        <v>0</v>
      </c>
    </row>
    <row r="1654" spans="1:48" x14ac:dyDescent="0.25">
      <c r="A1654" t="s">
        <v>6554</v>
      </c>
      <c r="C1654" t="s">
        <v>6555</v>
      </c>
      <c r="D1654" t="s">
        <v>6236</v>
      </c>
      <c r="E1654" t="s">
        <v>2310</v>
      </c>
      <c r="F1654">
        <v>14</v>
      </c>
      <c r="G1654">
        <v>14.2</v>
      </c>
      <c r="H1654" t="s">
        <v>2017</v>
      </c>
      <c r="I1654" s="21">
        <v>38650</v>
      </c>
      <c r="J1654">
        <v>2005</v>
      </c>
      <c r="K1654" s="21">
        <v>38667</v>
      </c>
      <c r="L1654">
        <v>2005</v>
      </c>
      <c r="M1654" s="21">
        <v>39377</v>
      </c>
      <c r="N1654">
        <v>2007</v>
      </c>
      <c r="R1654" s="262">
        <v>82000</v>
      </c>
      <c r="S1654" t="s">
        <v>114</v>
      </c>
      <c r="T1654" t="s">
        <v>114</v>
      </c>
      <c r="U1654">
        <v>5</v>
      </c>
      <c r="W1654">
        <v>728</v>
      </c>
      <c r="X1654">
        <v>0</v>
      </c>
      <c r="Y1654">
        <v>0</v>
      </c>
      <c r="Z1654">
        <v>0</v>
      </c>
      <c r="AA1654">
        <v>0</v>
      </c>
      <c r="AB1654">
        <v>0</v>
      </c>
      <c r="AC1654">
        <v>728</v>
      </c>
      <c r="AD1654">
        <v>0</v>
      </c>
      <c r="AE1654">
        <v>0</v>
      </c>
      <c r="AF1654">
        <v>0</v>
      </c>
      <c r="AG1654">
        <v>0</v>
      </c>
      <c r="AH1654">
        <v>0</v>
      </c>
      <c r="AI1654">
        <v>0</v>
      </c>
      <c r="AJ1654">
        <v>0</v>
      </c>
      <c r="AK1654">
        <v>0</v>
      </c>
      <c r="AL1654">
        <v>0</v>
      </c>
      <c r="AM1654">
        <v>0</v>
      </c>
      <c r="AN1654">
        <v>0</v>
      </c>
      <c r="AO1654">
        <v>0</v>
      </c>
      <c r="AP1654">
        <v>0</v>
      </c>
      <c r="AQ1654">
        <v>0</v>
      </c>
      <c r="AR1654">
        <v>0</v>
      </c>
      <c r="AS1654">
        <v>0</v>
      </c>
      <c r="AT1654">
        <v>0</v>
      </c>
      <c r="AU1654">
        <f t="shared" si="50"/>
        <v>0</v>
      </c>
      <c r="AV1654">
        <f t="shared" si="51"/>
        <v>0</v>
      </c>
    </row>
    <row r="1655" spans="1:48" x14ac:dyDescent="0.25">
      <c r="A1655" t="s">
        <v>6556</v>
      </c>
      <c r="C1655" t="s">
        <v>6557</v>
      </c>
      <c r="D1655" t="s">
        <v>6558</v>
      </c>
      <c r="E1655" t="s">
        <v>2310</v>
      </c>
      <c r="F1655">
        <v>10</v>
      </c>
      <c r="G1655">
        <v>10.1</v>
      </c>
      <c r="H1655" t="s">
        <v>2323</v>
      </c>
      <c r="I1655" s="21">
        <v>38651</v>
      </c>
      <c r="J1655">
        <v>2005</v>
      </c>
      <c r="K1655" s="21">
        <v>38668</v>
      </c>
      <c r="L1655">
        <v>2005</v>
      </c>
      <c r="M1655" s="21">
        <v>39008</v>
      </c>
      <c r="N1655">
        <v>2006</v>
      </c>
      <c r="R1655" s="262">
        <v>48000</v>
      </c>
      <c r="S1655" t="s">
        <v>114</v>
      </c>
      <c r="T1655" t="s">
        <v>114</v>
      </c>
      <c r="U1655">
        <v>5</v>
      </c>
      <c r="W1655">
        <v>1440</v>
      </c>
      <c r="X1655">
        <v>0</v>
      </c>
      <c r="Y1655">
        <v>0</v>
      </c>
      <c r="Z1655">
        <v>0</v>
      </c>
      <c r="AA1655">
        <v>0</v>
      </c>
      <c r="AB1655">
        <v>0</v>
      </c>
      <c r="AC1655">
        <v>1440</v>
      </c>
      <c r="AD1655">
        <v>0</v>
      </c>
      <c r="AE1655">
        <v>0</v>
      </c>
      <c r="AF1655">
        <v>0</v>
      </c>
      <c r="AG1655">
        <v>0</v>
      </c>
      <c r="AH1655">
        <v>0</v>
      </c>
      <c r="AI1655">
        <v>0</v>
      </c>
      <c r="AJ1655">
        <v>0</v>
      </c>
      <c r="AK1655">
        <v>0</v>
      </c>
      <c r="AL1655">
        <v>0</v>
      </c>
      <c r="AM1655">
        <v>0</v>
      </c>
      <c r="AN1655">
        <v>0</v>
      </c>
      <c r="AO1655">
        <v>0</v>
      </c>
      <c r="AP1655">
        <v>0</v>
      </c>
      <c r="AQ1655">
        <v>0</v>
      </c>
      <c r="AR1655">
        <v>0</v>
      </c>
      <c r="AS1655">
        <v>0</v>
      </c>
      <c r="AT1655">
        <v>0</v>
      </c>
      <c r="AU1655">
        <f t="shared" si="50"/>
        <v>0</v>
      </c>
      <c r="AV1655">
        <f t="shared" si="51"/>
        <v>0</v>
      </c>
    </row>
    <row r="1656" spans="1:48" x14ac:dyDescent="0.25">
      <c r="A1656" t="s">
        <v>6559</v>
      </c>
      <c r="C1656" t="s">
        <v>6560</v>
      </c>
      <c r="D1656" t="s">
        <v>6151</v>
      </c>
      <c r="E1656" t="s">
        <v>2310</v>
      </c>
      <c r="F1656">
        <v>9</v>
      </c>
      <c r="G1656">
        <v>9.3000000000000007</v>
      </c>
      <c r="H1656" t="s">
        <v>2323</v>
      </c>
      <c r="I1656" s="21">
        <v>38651</v>
      </c>
      <c r="J1656">
        <v>2005</v>
      </c>
      <c r="K1656" s="21">
        <v>38653</v>
      </c>
      <c r="L1656">
        <v>2005</v>
      </c>
      <c r="M1656" s="21">
        <v>38653</v>
      </c>
      <c r="N1656">
        <v>2005</v>
      </c>
      <c r="R1656" s="262">
        <v>200000</v>
      </c>
      <c r="S1656" t="s">
        <v>114</v>
      </c>
      <c r="T1656" t="s">
        <v>114</v>
      </c>
      <c r="U1656">
        <v>8</v>
      </c>
      <c r="W1656">
        <v>2030</v>
      </c>
      <c r="X1656">
        <v>1</v>
      </c>
      <c r="Y1656">
        <v>0</v>
      </c>
      <c r="Z1656">
        <v>0</v>
      </c>
      <c r="AA1656">
        <v>0</v>
      </c>
      <c r="AB1656">
        <v>0</v>
      </c>
      <c r="AC1656">
        <v>1050</v>
      </c>
      <c r="AD1656">
        <v>0</v>
      </c>
      <c r="AE1656">
        <v>0</v>
      </c>
      <c r="AF1656">
        <v>980</v>
      </c>
      <c r="AG1656">
        <v>0</v>
      </c>
      <c r="AH1656">
        <v>0</v>
      </c>
      <c r="AI1656">
        <v>0</v>
      </c>
      <c r="AJ1656">
        <v>0</v>
      </c>
      <c r="AK1656">
        <v>0</v>
      </c>
      <c r="AL1656">
        <v>0</v>
      </c>
      <c r="AM1656">
        <v>0</v>
      </c>
      <c r="AN1656">
        <v>0</v>
      </c>
      <c r="AO1656">
        <v>0</v>
      </c>
      <c r="AP1656">
        <v>0</v>
      </c>
      <c r="AQ1656">
        <v>0</v>
      </c>
      <c r="AR1656">
        <v>1</v>
      </c>
      <c r="AS1656">
        <v>0</v>
      </c>
      <c r="AT1656">
        <v>0</v>
      </c>
      <c r="AU1656">
        <f t="shared" si="50"/>
        <v>0</v>
      </c>
      <c r="AV1656">
        <f t="shared" si="51"/>
        <v>0</v>
      </c>
    </row>
    <row r="1657" spans="1:48" x14ac:dyDescent="0.25">
      <c r="A1657" t="s">
        <v>6561</v>
      </c>
      <c r="C1657" t="s">
        <v>6562</v>
      </c>
      <c r="D1657" t="s">
        <v>6563</v>
      </c>
      <c r="E1657" t="s">
        <v>2310</v>
      </c>
      <c r="F1657">
        <v>7</v>
      </c>
      <c r="G1657">
        <v>7.1</v>
      </c>
      <c r="H1657" t="s">
        <v>2017</v>
      </c>
      <c r="I1657" s="21">
        <v>38656</v>
      </c>
      <c r="J1657">
        <v>2005</v>
      </c>
      <c r="K1657" s="21">
        <v>39199</v>
      </c>
      <c r="L1657">
        <v>2007</v>
      </c>
      <c r="M1657" s="21">
        <v>39750</v>
      </c>
      <c r="N1657">
        <v>2008</v>
      </c>
      <c r="R1657" s="262">
        <v>340000</v>
      </c>
      <c r="S1657" t="s">
        <v>114</v>
      </c>
      <c r="T1657" t="s">
        <v>114</v>
      </c>
      <c r="U1657">
        <v>7</v>
      </c>
      <c r="W1657">
        <v>4000</v>
      </c>
      <c r="X1657">
        <v>4</v>
      </c>
      <c r="Y1657">
        <v>0</v>
      </c>
      <c r="Z1657">
        <v>0</v>
      </c>
      <c r="AA1657">
        <v>0</v>
      </c>
      <c r="AB1657">
        <v>0</v>
      </c>
      <c r="AC1657">
        <v>0</v>
      </c>
      <c r="AD1657">
        <v>0</v>
      </c>
      <c r="AE1657">
        <v>4000</v>
      </c>
      <c r="AF1657">
        <v>0</v>
      </c>
      <c r="AG1657">
        <v>0</v>
      </c>
      <c r="AH1657">
        <v>0</v>
      </c>
      <c r="AI1657">
        <v>0</v>
      </c>
      <c r="AJ1657">
        <v>0</v>
      </c>
      <c r="AK1657">
        <v>0</v>
      </c>
      <c r="AL1657">
        <v>0</v>
      </c>
      <c r="AM1657">
        <v>0</v>
      </c>
      <c r="AN1657">
        <v>0</v>
      </c>
      <c r="AO1657">
        <v>0</v>
      </c>
      <c r="AP1657">
        <v>0</v>
      </c>
      <c r="AQ1657">
        <v>4</v>
      </c>
      <c r="AR1657">
        <v>0</v>
      </c>
      <c r="AS1657">
        <v>0</v>
      </c>
      <c r="AT1657">
        <v>0</v>
      </c>
      <c r="AU1657">
        <f t="shared" si="50"/>
        <v>4</v>
      </c>
      <c r="AV1657">
        <f t="shared" si="51"/>
        <v>0</v>
      </c>
    </row>
    <row r="1658" spans="1:48" x14ac:dyDescent="0.25">
      <c r="A1658" t="s">
        <v>6564</v>
      </c>
      <c r="C1658" t="s">
        <v>6565</v>
      </c>
      <c r="D1658" t="s">
        <v>6566</v>
      </c>
      <c r="E1658" t="s">
        <v>2310</v>
      </c>
      <c r="F1658">
        <v>8</v>
      </c>
      <c r="G1658">
        <v>8.1999999999999993</v>
      </c>
      <c r="H1658" t="s">
        <v>2022</v>
      </c>
      <c r="I1658" s="21">
        <v>38663</v>
      </c>
      <c r="J1658">
        <v>2005</v>
      </c>
      <c r="K1658" s="21">
        <v>38691</v>
      </c>
      <c r="L1658">
        <v>2005</v>
      </c>
      <c r="M1658" s="21">
        <v>38922</v>
      </c>
      <c r="N1658">
        <v>2006</v>
      </c>
      <c r="R1658" s="262">
        <v>550000</v>
      </c>
      <c r="S1658" t="s">
        <v>114</v>
      </c>
      <c r="T1658" t="s">
        <v>114</v>
      </c>
      <c r="U1658">
        <v>8</v>
      </c>
      <c r="W1658">
        <v>2812</v>
      </c>
      <c r="X1658">
        <v>1</v>
      </c>
      <c r="Y1658">
        <v>0</v>
      </c>
      <c r="Z1658">
        <v>0</v>
      </c>
      <c r="AA1658">
        <v>0</v>
      </c>
      <c r="AB1658">
        <v>0</v>
      </c>
      <c r="AC1658">
        <v>1824</v>
      </c>
      <c r="AD1658">
        <v>0</v>
      </c>
      <c r="AE1658">
        <v>0</v>
      </c>
      <c r="AF1658">
        <v>988</v>
      </c>
      <c r="AG1658">
        <v>0</v>
      </c>
      <c r="AH1658">
        <v>0</v>
      </c>
      <c r="AI1658">
        <v>0</v>
      </c>
      <c r="AJ1658">
        <v>0</v>
      </c>
      <c r="AK1658">
        <v>0</v>
      </c>
      <c r="AL1658">
        <v>0</v>
      </c>
      <c r="AM1658">
        <v>0</v>
      </c>
      <c r="AN1658">
        <v>0</v>
      </c>
      <c r="AO1658">
        <v>0</v>
      </c>
      <c r="AP1658">
        <v>0</v>
      </c>
      <c r="AQ1658">
        <v>0</v>
      </c>
      <c r="AR1658">
        <v>1</v>
      </c>
      <c r="AS1658">
        <v>0</v>
      </c>
      <c r="AT1658">
        <v>0</v>
      </c>
      <c r="AU1658">
        <f t="shared" si="50"/>
        <v>0</v>
      </c>
      <c r="AV1658">
        <f t="shared" si="51"/>
        <v>0</v>
      </c>
    </row>
    <row r="1659" spans="1:48" x14ac:dyDescent="0.25">
      <c r="A1659" t="s">
        <v>6567</v>
      </c>
      <c r="C1659" t="s">
        <v>6568</v>
      </c>
      <c r="D1659" t="s">
        <v>6569</v>
      </c>
      <c r="E1659" t="s">
        <v>2310</v>
      </c>
      <c r="F1659">
        <v>14</v>
      </c>
      <c r="G1659">
        <v>14.1</v>
      </c>
      <c r="H1659" t="s">
        <v>2022</v>
      </c>
      <c r="I1659" s="21">
        <v>38664</v>
      </c>
      <c r="J1659">
        <v>2005</v>
      </c>
      <c r="K1659" s="21">
        <v>38692</v>
      </c>
      <c r="L1659">
        <v>2005</v>
      </c>
      <c r="M1659" s="21">
        <v>39136</v>
      </c>
      <c r="N1659">
        <v>2007</v>
      </c>
      <c r="R1659" s="262">
        <v>150000</v>
      </c>
      <c r="S1659" t="s">
        <v>114</v>
      </c>
      <c r="T1659" t="s">
        <v>114</v>
      </c>
      <c r="U1659">
        <v>8</v>
      </c>
      <c r="W1659">
        <v>1648</v>
      </c>
      <c r="X1659">
        <v>1</v>
      </c>
      <c r="Y1659">
        <v>0</v>
      </c>
      <c r="Z1659">
        <v>0</v>
      </c>
      <c r="AA1659">
        <v>0</v>
      </c>
      <c r="AB1659">
        <v>0</v>
      </c>
      <c r="AC1659">
        <v>818</v>
      </c>
      <c r="AD1659">
        <v>0</v>
      </c>
      <c r="AE1659">
        <v>0</v>
      </c>
      <c r="AF1659">
        <v>830</v>
      </c>
      <c r="AG1659">
        <v>0</v>
      </c>
      <c r="AH1659">
        <v>0</v>
      </c>
      <c r="AI1659">
        <v>0</v>
      </c>
      <c r="AJ1659">
        <v>0</v>
      </c>
      <c r="AK1659">
        <v>0</v>
      </c>
      <c r="AL1659">
        <v>0</v>
      </c>
      <c r="AM1659">
        <v>0</v>
      </c>
      <c r="AN1659">
        <v>0</v>
      </c>
      <c r="AO1659">
        <v>0</v>
      </c>
      <c r="AP1659">
        <v>0</v>
      </c>
      <c r="AQ1659">
        <v>0</v>
      </c>
      <c r="AR1659">
        <v>1</v>
      </c>
      <c r="AS1659">
        <v>0</v>
      </c>
      <c r="AT1659">
        <v>0</v>
      </c>
      <c r="AU1659">
        <f t="shared" si="50"/>
        <v>0</v>
      </c>
      <c r="AV1659">
        <f t="shared" si="51"/>
        <v>0</v>
      </c>
    </row>
    <row r="1660" spans="1:48" x14ac:dyDescent="0.25">
      <c r="A1660" t="s">
        <v>6570</v>
      </c>
      <c r="C1660" t="s">
        <v>6571</v>
      </c>
      <c r="D1660" t="s">
        <v>6572</v>
      </c>
      <c r="E1660" t="s">
        <v>2310</v>
      </c>
      <c r="F1660">
        <v>10</v>
      </c>
      <c r="G1660">
        <v>10.1</v>
      </c>
      <c r="H1660" t="s">
        <v>2323</v>
      </c>
      <c r="I1660" s="21">
        <v>38671</v>
      </c>
      <c r="J1660">
        <v>2005</v>
      </c>
      <c r="K1660" s="21">
        <v>38693</v>
      </c>
      <c r="L1660">
        <v>2005</v>
      </c>
      <c r="M1660" s="21">
        <v>39057</v>
      </c>
      <c r="N1660">
        <v>2006</v>
      </c>
      <c r="R1660" s="262">
        <v>70000</v>
      </c>
      <c r="S1660" t="s">
        <v>114</v>
      </c>
      <c r="T1660" t="s">
        <v>114</v>
      </c>
      <c r="U1660">
        <v>5</v>
      </c>
      <c r="W1660">
        <v>484</v>
      </c>
      <c r="X1660">
        <v>0</v>
      </c>
      <c r="Y1660">
        <v>0</v>
      </c>
      <c r="Z1660">
        <v>0</v>
      </c>
      <c r="AA1660">
        <v>0</v>
      </c>
      <c r="AB1660">
        <v>0</v>
      </c>
      <c r="AC1660">
        <v>484</v>
      </c>
      <c r="AD1660">
        <v>0</v>
      </c>
      <c r="AE1660">
        <v>0</v>
      </c>
      <c r="AF1660">
        <v>0</v>
      </c>
      <c r="AG1660">
        <v>0</v>
      </c>
      <c r="AH1660">
        <v>0</v>
      </c>
      <c r="AI1660">
        <v>0</v>
      </c>
      <c r="AJ1660">
        <v>0</v>
      </c>
      <c r="AK1660">
        <v>0</v>
      </c>
      <c r="AL1660">
        <v>0</v>
      </c>
      <c r="AM1660">
        <v>0</v>
      </c>
      <c r="AN1660">
        <v>0</v>
      </c>
      <c r="AO1660">
        <v>0</v>
      </c>
      <c r="AP1660">
        <v>0</v>
      </c>
      <c r="AQ1660">
        <v>0</v>
      </c>
      <c r="AR1660">
        <v>0</v>
      </c>
      <c r="AS1660">
        <v>0</v>
      </c>
      <c r="AT1660">
        <v>0</v>
      </c>
      <c r="AU1660">
        <f t="shared" si="50"/>
        <v>0</v>
      </c>
      <c r="AV1660">
        <f t="shared" si="51"/>
        <v>0</v>
      </c>
    </row>
    <row r="1661" spans="1:48" x14ac:dyDescent="0.25">
      <c r="A1661" t="s">
        <v>6573</v>
      </c>
      <c r="C1661" t="s">
        <v>6574</v>
      </c>
      <c r="D1661" t="s">
        <v>6575</v>
      </c>
      <c r="E1661" t="s">
        <v>2310</v>
      </c>
      <c r="F1661">
        <v>7</v>
      </c>
      <c r="G1661">
        <v>7.1</v>
      </c>
      <c r="H1661" t="s">
        <v>2017</v>
      </c>
      <c r="I1661" s="21">
        <v>38671</v>
      </c>
      <c r="J1661">
        <v>2005</v>
      </c>
      <c r="K1661" s="21">
        <v>38715</v>
      </c>
      <c r="L1661">
        <v>2005</v>
      </c>
      <c r="M1661" s="21">
        <v>38859</v>
      </c>
      <c r="N1661">
        <v>2006</v>
      </c>
      <c r="R1661" s="262">
        <v>95000</v>
      </c>
      <c r="S1661" t="s">
        <v>114</v>
      </c>
      <c r="T1661" t="s">
        <v>114</v>
      </c>
      <c r="U1661">
        <v>5</v>
      </c>
      <c r="W1661">
        <v>643</v>
      </c>
      <c r="X1661">
        <v>0</v>
      </c>
      <c r="Y1661">
        <v>0</v>
      </c>
      <c r="Z1661">
        <v>0</v>
      </c>
      <c r="AA1661">
        <v>0</v>
      </c>
      <c r="AB1661">
        <v>0</v>
      </c>
      <c r="AC1661">
        <v>643</v>
      </c>
      <c r="AD1661">
        <v>0</v>
      </c>
      <c r="AE1661">
        <v>0</v>
      </c>
      <c r="AF1661">
        <v>0</v>
      </c>
      <c r="AG1661">
        <v>0</v>
      </c>
      <c r="AH1661">
        <v>0</v>
      </c>
      <c r="AI1661">
        <v>0</v>
      </c>
      <c r="AJ1661">
        <v>0</v>
      </c>
      <c r="AK1661">
        <v>0</v>
      </c>
      <c r="AL1661">
        <v>0</v>
      </c>
      <c r="AM1661">
        <v>0</v>
      </c>
      <c r="AN1661">
        <v>0</v>
      </c>
      <c r="AO1661">
        <v>0</v>
      </c>
      <c r="AP1661">
        <v>0</v>
      </c>
      <c r="AQ1661">
        <v>0</v>
      </c>
      <c r="AR1661">
        <v>0</v>
      </c>
      <c r="AS1661">
        <v>0</v>
      </c>
      <c r="AT1661">
        <v>0</v>
      </c>
      <c r="AU1661">
        <f t="shared" si="50"/>
        <v>0</v>
      </c>
      <c r="AV1661">
        <f t="shared" si="51"/>
        <v>0</v>
      </c>
    </row>
    <row r="1662" spans="1:48" x14ac:dyDescent="0.25">
      <c r="A1662" t="s">
        <v>6576</v>
      </c>
      <c r="C1662" t="s">
        <v>5909</v>
      </c>
      <c r="D1662" t="s">
        <v>6577</v>
      </c>
      <c r="E1662" t="s">
        <v>2310</v>
      </c>
      <c r="F1662">
        <v>9</v>
      </c>
      <c r="G1662">
        <v>9.3000000000000007</v>
      </c>
      <c r="H1662" t="s">
        <v>2323</v>
      </c>
      <c r="I1662" s="21">
        <v>38672</v>
      </c>
      <c r="J1662">
        <v>2005</v>
      </c>
      <c r="K1662" s="21">
        <v>38720</v>
      </c>
      <c r="L1662">
        <v>2006</v>
      </c>
      <c r="M1662" s="21">
        <v>39241</v>
      </c>
      <c r="N1662">
        <v>2007</v>
      </c>
      <c r="R1662" s="262">
        <v>1200000</v>
      </c>
      <c r="S1662" t="s">
        <v>114</v>
      </c>
      <c r="T1662" t="s">
        <v>114</v>
      </c>
      <c r="U1662">
        <v>5</v>
      </c>
      <c r="W1662">
        <v>4780</v>
      </c>
      <c r="X1662">
        <v>1</v>
      </c>
      <c r="Y1662">
        <v>0</v>
      </c>
      <c r="Z1662">
        <v>0</v>
      </c>
      <c r="AA1662">
        <v>0</v>
      </c>
      <c r="AB1662">
        <v>0</v>
      </c>
      <c r="AC1662">
        <v>4780</v>
      </c>
      <c r="AD1662">
        <v>0</v>
      </c>
      <c r="AE1662">
        <v>0</v>
      </c>
      <c r="AF1662">
        <v>0</v>
      </c>
      <c r="AG1662">
        <v>0</v>
      </c>
      <c r="AH1662">
        <v>0</v>
      </c>
      <c r="AI1662">
        <v>0</v>
      </c>
      <c r="AJ1662">
        <v>0</v>
      </c>
      <c r="AK1662">
        <v>0</v>
      </c>
      <c r="AL1662">
        <v>0</v>
      </c>
      <c r="AM1662">
        <v>0</v>
      </c>
      <c r="AN1662">
        <v>0</v>
      </c>
      <c r="AO1662">
        <v>1</v>
      </c>
      <c r="AP1662">
        <v>0</v>
      </c>
      <c r="AQ1662">
        <v>0</v>
      </c>
      <c r="AR1662">
        <v>0</v>
      </c>
      <c r="AS1662">
        <v>0</v>
      </c>
      <c r="AT1662">
        <v>0</v>
      </c>
      <c r="AU1662">
        <f t="shared" si="50"/>
        <v>1</v>
      </c>
      <c r="AV1662">
        <f t="shared" si="51"/>
        <v>0</v>
      </c>
    </row>
    <row r="1663" spans="1:48" x14ac:dyDescent="0.25">
      <c r="A1663" t="s">
        <v>6578</v>
      </c>
      <c r="C1663" t="s">
        <v>6153</v>
      </c>
      <c r="D1663" t="s">
        <v>6579</v>
      </c>
      <c r="E1663" t="s">
        <v>2310</v>
      </c>
      <c r="F1663">
        <v>9</v>
      </c>
      <c r="G1663">
        <v>9.3000000000000007</v>
      </c>
      <c r="H1663" t="s">
        <v>2323</v>
      </c>
      <c r="I1663" s="21">
        <v>38673</v>
      </c>
      <c r="J1663">
        <v>2005</v>
      </c>
      <c r="K1663" s="21">
        <v>38728</v>
      </c>
      <c r="L1663">
        <v>2006</v>
      </c>
      <c r="M1663" s="21">
        <v>39700</v>
      </c>
      <c r="N1663">
        <v>2008</v>
      </c>
      <c r="R1663" s="262">
        <v>1400000</v>
      </c>
      <c r="S1663" t="s">
        <v>114</v>
      </c>
      <c r="T1663" t="s">
        <v>114</v>
      </c>
      <c r="U1663">
        <v>5</v>
      </c>
      <c r="W1663">
        <v>4650</v>
      </c>
      <c r="X1663">
        <v>1</v>
      </c>
      <c r="Y1663">
        <v>0</v>
      </c>
      <c r="Z1663">
        <v>0</v>
      </c>
      <c r="AA1663">
        <v>0</v>
      </c>
      <c r="AB1663">
        <v>0</v>
      </c>
      <c r="AC1663">
        <v>4650</v>
      </c>
      <c r="AD1663">
        <v>0</v>
      </c>
      <c r="AE1663">
        <v>0</v>
      </c>
      <c r="AF1663">
        <v>0</v>
      </c>
      <c r="AG1663">
        <v>0</v>
      </c>
      <c r="AH1663">
        <v>0</v>
      </c>
      <c r="AI1663">
        <v>0</v>
      </c>
      <c r="AJ1663">
        <v>0</v>
      </c>
      <c r="AK1663">
        <v>0</v>
      </c>
      <c r="AL1663">
        <v>0</v>
      </c>
      <c r="AM1663">
        <v>0</v>
      </c>
      <c r="AN1663">
        <v>0</v>
      </c>
      <c r="AO1663">
        <v>1</v>
      </c>
      <c r="AP1663">
        <v>0</v>
      </c>
      <c r="AQ1663">
        <v>0</v>
      </c>
      <c r="AR1663">
        <v>0</v>
      </c>
      <c r="AS1663">
        <v>0</v>
      </c>
      <c r="AT1663">
        <v>0</v>
      </c>
      <c r="AU1663">
        <f t="shared" si="50"/>
        <v>1</v>
      </c>
      <c r="AV1663">
        <f t="shared" si="51"/>
        <v>0</v>
      </c>
    </row>
    <row r="1664" spans="1:48" x14ac:dyDescent="0.25">
      <c r="A1664" t="s">
        <v>6580</v>
      </c>
      <c r="C1664" t="s">
        <v>6581</v>
      </c>
      <c r="D1664" t="s">
        <v>6582</v>
      </c>
      <c r="E1664" t="s">
        <v>2310</v>
      </c>
      <c r="F1664">
        <v>15</v>
      </c>
      <c r="G1664">
        <v>15.2</v>
      </c>
      <c r="H1664" t="s">
        <v>2323</v>
      </c>
      <c r="I1664" s="21">
        <v>38674</v>
      </c>
      <c r="J1664">
        <v>2005</v>
      </c>
      <c r="K1664" s="21">
        <v>38692</v>
      </c>
      <c r="L1664">
        <v>2005</v>
      </c>
      <c r="M1664" s="21">
        <v>40184.606296296297</v>
      </c>
      <c r="N1664">
        <v>2010</v>
      </c>
      <c r="R1664" s="262">
        <v>29000</v>
      </c>
      <c r="S1664" t="s">
        <v>114</v>
      </c>
      <c r="T1664" t="s">
        <v>114</v>
      </c>
      <c r="U1664">
        <v>5</v>
      </c>
      <c r="W1664">
        <v>273</v>
      </c>
      <c r="X1664">
        <v>0</v>
      </c>
      <c r="Y1664">
        <v>0</v>
      </c>
      <c r="Z1664">
        <v>0</v>
      </c>
      <c r="AA1664">
        <v>0</v>
      </c>
      <c r="AB1664">
        <v>0</v>
      </c>
      <c r="AC1664">
        <v>273</v>
      </c>
      <c r="AD1664">
        <v>0</v>
      </c>
      <c r="AE1664">
        <v>0</v>
      </c>
      <c r="AF1664">
        <v>0</v>
      </c>
      <c r="AG1664">
        <v>0</v>
      </c>
      <c r="AH1664">
        <v>0</v>
      </c>
      <c r="AI1664">
        <v>0</v>
      </c>
      <c r="AJ1664">
        <v>0</v>
      </c>
      <c r="AK1664">
        <v>0</v>
      </c>
      <c r="AL1664">
        <v>0</v>
      </c>
      <c r="AM1664">
        <v>0</v>
      </c>
      <c r="AN1664">
        <v>0</v>
      </c>
      <c r="AO1664">
        <v>0</v>
      </c>
      <c r="AP1664">
        <v>0</v>
      </c>
      <c r="AQ1664">
        <v>0</v>
      </c>
      <c r="AR1664">
        <v>0</v>
      </c>
      <c r="AS1664">
        <v>0</v>
      </c>
      <c r="AT1664">
        <v>0</v>
      </c>
      <c r="AU1664">
        <f t="shared" si="50"/>
        <v>0</v>
      </c>
      <c r="AV1664">
        <f t="shared" si="51"/>
        <v>0</v>
      </c>
    </row>
    <row r="1665" spans="1:48" x14ac:dyDescent="0.25">
      <c r="A1665" t="s">
        <v>6583</v>
      </c>
      <c r="C1665" t="s">
        <v>6584</v>
      </c>
      <c r="D1665" t="s">
        <v>6585</v>
      </c>
      <c r="E1665" t="s">
        <v>2310</v>
      </c>
      <c r="F1665">
        <v>9</v>
      </c>
      <c r="G1665">
        <v>9.3000000000000007</v>
      </c>
      <c r="H1665" t="s">
        <v>2323</v>
      </c>
      <c r="I1665" s="21">
        <v>38677</v>
      </c>
      <c r="J1665">
        <v>2005</v>
      </c>
      <c r="K1665" s="21">
        <v>38764</v>
      </c>
      <c r="L1665">
        <v>2006</v>
      </c>
      <c r="M1665" s="21">
        <v>40164.401782407404</v>
      </c>
      <c r="N1665">
        <v>2009</v>
      </c>
      <c r="R1665" s="262">
        <v>1250000</v>
      </c>
      <c r="S1665" t="s">
        <v>114</v>
      </c>
      <c r="T1665" t="s">
        <v>114</v>
      </c>
      <c r="U1665">
        <v>5</v>
      </c>
      <c r="W1665">
        <v>3165</v>
      </c>
      <c r="X1665">
        <v>0</v>
      </c>
      <c r="Y1665">
        <v>0</v>
      </c>
      <c r="Z1665">
        <v>0</v>
      </c>
      <c r="AA1665">
        <v>0</v>
      </c>
      <c r="AB1665">
        <v>0</v>
      </c>
      <c r="AC1665">
        <v>3165</v>
      </c>
      <c r="AD1665">
        <v>0</v>
      </c>
      <c r="AE1665">
        <v>0</v>
      </c>
      <c r="AF1665">
        <v>0</v>
      </c>
      <c r="AG1665">
        <v>0</v>
      </c>
      <c r="AH1665">
        <v>0</v>
      </c>
      <c r="AI1665">
        <v>0</v>
      </c>
      <c r="AJ1665">
        <v>0</v>
      </c>
      <c r="AK1665">
        <v>0</v>
      </c>
      <c r="AL1665">
        <v>0</v>
      </c>
      <c r="AM1665">
        <v>0</v>
      </c>
      <c r="AN1665">
        <v>0</v>
      </c>
      <c r="AO1665">
        <v>0</v>
      </c>
      <c r="AP1665">
        <v>0</v>
      </c>
      <c r="AQ1665">
        <v>0</v>
      </c>
      <c r="AR1665">
        <v>0</v>
      </c>
      <c r="AS1665">
        <v>0</v>
      </c>
      <c r="AT1665">
        <v>0</v>
      </c>
      <c r="AU1665">
        <f t="shared" si="50"/>
        <v>0</v>
      </c>
      <c r="AV1665">
        <f t="shared" si="51"/>
        <v>0</v>
      </c>
    </row>
    <row r="1666" spans="1:48" x14ac:dyDescent="0.25">
      <c r="A1666" t="s">
        <v>6586</v>
      </c>
      <c r="C1666" t="s">
        <v>6587</v>
      </c>
      <c r="D1666" t="s">
        <v>6115</v>
      </c>
      <c r="E1666" t="s">
        <v>2310</v>
      </c>
      <c r="F1666">
        <v>15</v>
      </c>
      <c r="G1666">
        <v>15.1</v>
      </c>
      <c r="H1666" t="s">
        <v>2022</v>
      </c>
      <c r="I1666" s="21">
        <v>38678</v>
      </c>
      <c r="J1666">
        <v>2005</v>
      </c>
      <c r="K1666" s="21">
        <v>38706</v>
      </c>
      <c r="L1666">
        <v>2005</v>
      </c>
      <c r="M1666" s="21">
        <v>39358</v>
      </c>
      <c r="N1666">
        <v>2007</v>
      </c>
      <c r="R1666" s="262">
        <v>126000</v>
      </c>
      <c r="S1666" t="s">
        <v>114</v>
      </c>
      <c r="T1666" t="s">
        <v>114</v>
      </c>
      <c r="U1666">
        <v>15</v>
      </c>
      <c r="W1666">
        <v>1250</v>
      </c>
      <c r="X1666">
        <v>0</v>
      </c>
      <c r="Y1666">
        <v>0</v>
      </c>
      <c r="Z1666">
        <v>0</v>
      </c>
      <c r="AA1666">
        <v>0</v>
      </c>
      <c r="AB1666">
        <v>0</v>
      </c>
      <c r="AC1666">
        <v>0</v>
      </c>
      <c r="AD1666">
        <v>0</v>
      </c>
      <c r="AE1666">
        <v>0</v>
      </c>
      <c r="AF1666">
        <v>0</v>
      </c>
      <c r="AG1666">
        <v>0</v>
      </c>
      <c r="AH1666">
        <v>0</v>
      </c>
      <c r="AI1666">
        <v>0</v>
      </c>
      <c r="AJ1666">
        <v>0</v>
      </c>
      <c r="AK1666">
        <v>0</v>
      </c>
      <c r="AL1666">
        <v>0</v>
      </c>
      <c r="AM1666">
        <v>1250</v>
      </c>
      <c r="AN1666">
        <v>0</v>
      </c>
      <c r="AO1666">
        <v>0</v>
      </c>
      <c r="AP1666">
        <v>0</v>
      </c>
      <c r="AQ1666">
        <v>0</v>
      </c>
      <c r="AR1666">
        <v>0</v>
      </c>
      <c r="AS1666">
        <v>0</v>
      </c>
      <c r="AT1666">
        <v>0</v>
      </c>
      <c r="AU1666">
        <f t="shared" si="50"/>
        <v>0</v>
      </c>
      <c r="AV1666">
        <f t="shared" si="51"/>
        <v>1250</v>
      </c>
    </row>
    <row r="1667" spans="1:48" x14ac:dyDescent="0.25">
      <c r="A1667" t="s">
        <v>6588</v>
      </c>
      <c r="C1667" t="s">
        <v>6589</v>
      </c>
      <c r="D1667" t="s">
        <v>6115</v>
      </c>
      <c r="E1667" t="s">
        <v>2310</v>
      </c>
      <c r="F1667">
        <v>15</v>
      </c>
      <c r="G1667">
        <v>15.1</v>
      </c>
      <c r="H1667" t="s">
        <v>2022</v>
      </c>
      <c r="I1667" s="21">
        <v>38678</v>
      </c>
      <c r="J1667">
        <v>2005</v>
      </c>
      <c r="K1667" s="21">
        <v>38706</v>
      </c>
      <c r="L1667">
        <v>2005</v>
      </c>
      <c r="M1667" s="21">
        <v>38706</v>
      </c>
      <c r="N1667">
        <v>2005</v>
      </c>
      <c r="R1667" s="262">
        <v>102000</v>
      </c>
      <c r="S1667" t="s">
        <v>114</v>
      </c>
      <c r="T1667" t="s">
        <v>114</v>
      </c>
      <c r="U1667">
        <v>15</v>
      </c>
      <c r="W1667">
        <v>978</v>
      </c>
      <c r="X1667">
        <v>0</v>
      </c>
      <c r="Y1667">
        <v>0</v>
      </c>
      <c r="Z1667">
        <v>0</v>
      </c>
      <c r="AA1667">
        <v>0</v>
      </c>
      <c r="AB1667">
        <v>0</v>
      </c>
      <c r="AC1667">
        <v>0</v>
      </c>
      <c r="AD1667">
        <v>0</v>
      </c>
      <c r="AE1667">
        <v>0</v>
      </c>
      <c r="AF1667">
        <v>0</v>
      </c>
      <c r="AG1667">
        <v>0</v>
      </c>
      <c r="AH1667">
        <v>0</v>
      </c>
      <c r="AI1667">
        <v>0</v>
      </c>
      <c r="AJ1667">
        <v>0</v>
      </c>
      <c r="AK1667">
        <v>0</v>
      </c>
      <c r="AL1667">
        <v>0</v>
      </c>
      <c r="AM1667">
        <v>978</v>
      </c>
      <c r="AN1667">
        <v>0</v>
      </c>
      <c r="AO1667">
        <v>0</v>
      </c>
      <c r="AP1667">
        <v>0</v>
      </c>
      <c r="AQ1667">
        <v>0</v>
      </c>
      <c r="AR1667">
        <v>0</v>
      </c>
      <c r="AS1667">
        <v>0</v>
      </c>
      <c r="AT1667">
        <v>0</v>
      </c>
      <c r="AU1667">
        <f t="shared" si="50"/>
        <v>0</v>
      </c>
      <c r="AV1667">
        <f t="shared" si="51"/>
        <v>978</v>
      </c>
    </row>
    <row r="1668" spans="1:48" x14ac:dyDescent="0.25">
      <c r="A1668" t="s">
        <v>6590</v>
      </c>
      <c r="C1668" t="s">
        <v>6591</v>
      </c>
      <c r="D1668" t="s">
        <v>6592</v>
      </c>
      <c r="E1668" t="s">
        <v>2310</v>
      </c>
      <c r="F1668">
        <v>9</v>
      </c>
      <c r="G1668">
        <v>9.3000000000000007</v>
      </c>
      <c r="H1668" t="s">
        <v>2323</v>
      </c>
      <c r="I1668" s="21">
        <v>38678</v>
      </c>
      <c r="J1668">
        <v>2005</v>
      </c>
      <c r="K1668" s="21">
        <v>38705</v>
      </c>
      <c r="L1668">
        <v>2005</v>
      </c>
      <c r="M1668" s="21">
        <v>38705</v>
      </c>
      <c r="N1668">
        <v>2005</v>
      </c>
      <c r="R1668" s="262">
        <v>67000</v>
      </c>
      <c r="S1668" t="s">
        <v>114</v>
      </c>
      <c r="T1668" t="s">
        <v>114</v>
      </c>
      <c r="U1668">
        <v>5</v>
      </c>
      <c r="W1668">
        <v>1296</v>
      </c>
      <c r="X1668">
        <v>0</v>
      </c>
      <c r="Y1668">
        <v>0</v>
      </c>
      <c r="Z1668">
        <v>0</v>
      </c>
      <c r="AA1668">
        <v>0</v>
      </c>
      <c r="AB1668">
        <v>0</v>
      </c>
      <c r="AC1668">
        <v>1296</v>
      </c>
      <c r="AD1668">
        <v>0</v>
      </c>
      <c r="AE1668">
        <v>0</v>
      </c>
      <c r="AF1668">
        <v>0</v>
      </c>
      <c r="AG1668">
        <v>0</v>
      </c>
      <c r="AH1668">
        <v>0</v>
      </c>
      <c r="AI1668">
        <v>0</v>
      </c>
      <c r="AJ1668">
        <v>0</v>
      </c>
      <c r="AK1668">
        <v>0</v>
      </c>
      <c r="AL1668">
        <v>0</v>
      </c>
      <c r="AM1668">
        <v>0</v>
      </c>
      <c r="AN1668">
        <v>0</v>
      </c>
      <c r="AO1668">
        <v>0</v>
      </c>
      <c r="AP1668">
        <v>0</v>
      </c>
      <c r="AQ1668">
        <v>0</v>
      </c>
      <c r="AR1668">
        <v>0</v>
      </c>
      <c r="AS1668">
        <v>0</v>
      </c>
      <c r="AT1668">
        <v>0</v>
      </c>
      <c r="AU1668">
        <f t="shared" si="50"/>
        <v>0</v>
      </c>
      <c r="AV1668">
        <f t="shared" si="51"/>
        <v>0</v>
      </c>
    </row>
    <row r="1669" spans="1:48" x14ac:dyDescent="0.25">
      <c r="A1669" t="s">
        <v>6593</v>
      </c>
      <c r="C1669" t="s">
        <v>5737</v>
      </c>
      <c r="D1669" t="s">
        <v>6594</v>
      </c>
      <c r="E1669" t="s">
        <v>2310</v>
      </c>
      <c r="F1669">
        <v>7</v>
      </c>
      <c r="G1669">
        <v>7.2</v>
      </c>
      <c r="H1669" t="s">
        <v>2017</v>
      </c>
      <c r="I1669" s="21">
        <v>38684</v>
      </c>
      <c r="J1669">
        <v>2005</v>
      </c>
      <c r="K1669" s="21">
        <v>38728</v>
      </c>
      <c r="L1669">
        <v>2006</v>
      </c>
      <c r="M1669" s="21">
        <v>38943</v>
      </c>
      <c r="N1669">
        <v>2006</v>
      </c>
      <c r="R1669" s="262">
        <v>500000</v>
      </c>
      <c r="S1669" t="s">
        <v>114</v>
      </c>
      <c r="T1669" t="s">
        <v>114</v>
      </c>
      <c r="U1669">
        <v>5</v>
      </c>
      <c r="W1669">
        <v>4777</v>
      </c>
      <c r="X1669">
        <v>1</v>
      </c>
      <c r="Y1669">
        <v>0</v>
      </c>
      <c r="Z1669">
        <v>0</v>
      </c>
      <c r="AA1669">
        <v>0</v>
      </c>
      <c r="AB1669">
        <v>0</v>
      </c>
      <c r="AC1669">
        <v>4777</v>
      </c>
      <c r="AD1669">
        <v>0</v>
      </c>
      <c r="AE1669">
        <v>0</v>
      </c>
      <c r="AF1669">
        <v>0</v>
      </c>
      <c r="AG1669">
        <v>0</v>
      </c>
      <c r="AH1669">
        <v>0</v>
      </c>
      <c r="AI1669">
        <v>0</v>
      </c>
      <c r="AJ1669">
        <v>0</v>
      </c>
      <c r="AK1669">
        <v>0</v>
      </c>
      <c r="AL1669">
        <v>0</v>
      </c>
      <c r="AM1669">
        <v>0</v>
      </c>
      <c r="AN1669">
        <v>0</v>
      </c>
      <c r="AO1669">
        <v>1</v>
      </c>
      <c r="AP1669">
        <v>0</v>
      </c>
      <c r="AQ1669">
        <v>0</v>
      </c>
      <c r="AR1669">
        <v>0</v>
      </c>
      <c r="AS1669">
        <v>0</v>
      </c>
      <c r="AT1669">
        <v>0</v>
      </c>
      <c r="AU1669">
        <f t="shared" si="50"/>
        <v>1</v>
      </c>
      <c r="AV1669">
        <f t="shared" si="51"/>
        <v>0</v>
      </c>
    </row>
    <row r="1670" spans="1:48" x14ac:dyDescent="0.25">
      <c r="A1670" t="s">
        <v>6595</v>
      </c>
      <c r="C1670" t="s">
        <v>6596</v>
      </c>
      <c r="D1670" t="s">
        <v>6594</v>
      </c>
      <c r="E1670" t="s">
        <v>2310</v>
      </c>
      <c r="F1670">
        <v>7</v>
      </c>
      <c r="G1670">
        <v>7.2</v>
      </c>
      <c r="H1670" t="s">
        <v>2017</v>
      </c>
      <c r="I1670" s="21">
        <v>38684</v>
      </c>
      <c r="J1670">
        <v>2005</v>
      </c>
      <c r="K1670" s="21">
        <v>38728</v>
      </c>
      <c r="L1670">
        <v>2006</v>
      </c>
      <c r="M1670" s="21">
        <v>38925</v>
      </c>
      <c r="N1670">
        <v>2006</v>
      </c>
      <c r="R1670" s="262">
        <v>100000</v>
      </c>
      <c r="S1670" t="s">
        <v>114</v>
      </c>
      <c r="T1670" t="s">
        <v>114</v>
      </c>
      <c r="U1670">
        <v>5</v>
      </c>
      <c r="W1670">
        <v>2800</v>
      </c>
      <c r="X1670">
        <v>0</v>
      </c>
      <c r="Y1670">
        <v>0</v>
      </c>
      <c r="Z1670">
        <v>0</v>
      </c>
      <c r="AA1670">
        <v>0</v>
      </c>
      <c r="AB1670">
        <v>0</v>
      </c>
      <c r="AC1670">
        <v>2800</v>
      </c>
      <c r="AD1670">
        <v>0</v>
      </c>
      <c r="AE1670">
        <v>0</v>
      </c>
      <c r="AF1670">
        <v>0</v>
      </c>
      <c r="AG1670">
        <v>0</v>
      </c>
      <c r="AH1670">
        <v>0</v>
      </c>
      <c r="AI1670">
        <v>0</v>
      </c>
      <c r="AJ1670">
        <v>0</v>
      </c>
      <c r="AK1670">
        <v>0</v>
      </c>
      <c r="AL1670">
        <v>0</v>
      </c>
      <c r="AM1670">
        <v>0</v>
      </c>
      <c r="AN1670">
        <v>0</v>
      </c>
      <c r="AO1670">
        <v>0</v>
      </c>
      <c r="AP1670">
        <v>0</v>
      </c>
      <c r="AQ1670">
        <v>0</v>
      </c>
      <c r="AR1670">
        <v>0</v>
      </c>
      <c r="AS1670">
        <v>0</v>
      </c>
      <c r="AT1670">
        <v>0</v>
      </c>
      <c r="AU1670">
        <f t="shared" si="50"/>
        <v>0</v>
      </c>
      <c r="AV1670">
        <f t="shared" si="51"/>
        <v>0</v>
      </c>
    </row>
    <row r="1671" spans="1:48" x14ac:dyDescent="0.25">
      <c r="A1671" t="s">
        <v>6597</v>
      </c>
      <c r="C1671" t="s">
        <v>6598</v>
      </c>
      <c r="D1671" t="s">
        <v>6599</v>
      </c>
      <c r="E1671" t="s">
        <v>2310</v>
      </c>
      <c r="F1671">
        <v>14</v>
      </c>
      <c r="G1671">
        <v>14.2</v>
      </c>
      <c r="H1671" t="s">
        <v>2017</v>
      </c>
      <c r="I1671" s="21">
        <v>38685</v>
      </c>
      <c r="J1671">
        <v>2005</v>
      </c>
      <c r="K1671" s="21">
        <v>38716</v>
      </c>
      <c r="L1671">
        <v>2005</v>
      </c>
      <c r="M1671" s="21">
        <v>39315</v>
      </c>
      <c r="N1671">
        <v>2007</v>
      </c>
      <c r="R1671" s="262">
        <v>160000</v>
      </c>
      <c r="S1671" t="s">
        <v>114</v>
      </c>
      <c r="T1671" t="s">
        <v>114</v>
      </c>
      <c r="U1671">
        <v>5</v>
      </c>
      <c r="W1671">
        <v>1029</v>
      </c>
      <c r="X1671">
        <v>0</v>
      </c>
      <c r="Y1671">
        <v>0</v>
      </c>
      <c r="Z1671">
        <v>0</v>
      </c>
      <c r="AA1671">
        <v>0</v>
      </c>
      <c r="AB1671">
        <v>0</v>
      </c>
      <c r="AC1671">
        <v>1029</v>
      </c>
      <c r="AD1671">
        <v>0</v>
      </c>
      <c r="AE1671">
        <v>0</v>
      </c>
      <c r="AF1671">
        <v>0</v>
      </c>
      <c r="AG1671">
        <v>0</v>
      </c>
      <c r="AH1671">
        <v>0</v>
      </c>
      <c r="AI1671">
        <v>0</v>
      </c>
      <c r="AJ1671">
        <v>0</v>
      </c>
      <c r="AK1671">
        <v>0</v>
      </c>
      <c r="AL1671">
        <v>0</v>
      </c>
      <c r="AM1671">
        <v>0</v>
      </c>
      <c r="AN1671">
        <v>0</v>
      </c>
      <c r="AO1671">
        <v>0</v>
      </c>
      <c r="AP1671">
        <v>0</v>
      </c>
      <c r="AQ1671">
        <v>0</v>
      </c>
      <c r="AR1671">
        <v>0</v>
      </c>
      <c r="AS1671">
        <v>0</v>
      </c>
      <c r="AT1671">
        <v>0</v>
      </c>
      <c r="AU1671">
        <f t="shared" si="50"/>
        <v>0</v>
      </c>
      <c r="AV1671">
        <f t="shared" si="51"/>
        <v>0</v>
      </c>
    </row>
    <row r="1672" spans="1:48" x14ac:dyDescent="0.25">
      <c r="A1672" t="s">
        <v>6602</v>
      </c>
      <c r="C1672" t="s">
        <v>6603</v>
      </c>
      <c r="D1672" t="s">
        <v>6604</v>
      </c>
      <c r="E1672" t="s">
        <v>1663</v>
      </c>
      <c r="F1672">
        <v>2</v>
      </c>
      <c r="G1672">
        <v>2.1</v>
      </c>
      <c r="H1672" t="s">
        <v>2327</v>
      </c>
      <c r="I1672" s="21">
        <v>38686</v>
      </c>
      <c r="J1672">
        <v>2005</v>
      </c>
      <c r="K1672" s="21">
        <v>38716</v>
      </c>
      <c r="L1672">
        <v>2005</v>
      </c>
      <c r="M1672" s="21">
        <v>38867</v>
      </c>
      <c r="N1672">
        <v>2006</v>
      </c>
      <c r="Q1672" s="262">
        <v>0</v>
      </c>
      <c r="S1672" t="s">
        <v>114</v>
      </c>
      <c r="T1672" t="s">
        <v>114</v>
      </c>
      <c r="W1672">
        <v>5947</v>
      </c>
      <c r="X1672">
        <v>4</v>
      </c>
      <c r="Y1672">
        <v>0</v>
      </c>
      <c r="Z1672">
        <v>0</v>
      </c>
      <c r="AA1672">
        <v>0</v>
      </c>
      <c r="AB1672">
        <v>0</v>
      </c>
      <c r="AC1672">
        <v>0</v>
      </c>
      <c r="AD1672">
        <v>5947</v>
      </c>
      <c r="AE1672">
        <v>0</v>
      </c>
      <c r="AF1672">
        <v>0</v>
      </c>
      <c r="AG1672">
        <v>0</v>
      </c>
      <c r="AH1672">
        <v>0</v>
      </c>
      <c r="AI1672">
        <v>0</v>
      </c>
      <c r="AJ1672">
        <v>0</v>
      </c>
      <c r="AK1672">
        <v>0</v>
      </c>
      <c r="AL1672">
        <v>0</v>
      </c>
      <c r="AM1672">
        <v>0</v>
      </c>
      <c r="AN1672">
        <v>0</v>
      </c>
      <c r="AO1672">
        <v>0</v>
      </c>
      <c r="AP1672">
        <v>4</v>
      </c>
      <c r="AQ1672">
        <v>0</v>
      </c>
      <c r="AR1672">
        <v>0</v>
      </c>
      <c r="AS1672">
        <v>0</v>
      </c>
      <c r="AT1672">
        <v>0</v>
      </c>
      <c r="AU1672">
        <f t="shared" si="50"/>
        <v>4</v>
      </c>
      <c r="AV1672">
        <f t="shared" si="51"/>
        <v>0</v>
      </c>
    </row>
    <row r="1673" spans="1:48" x14ac:dyDescent="0.25">
      <c r="A1673" t="s">
        <v>6605</v>
      </c>
      <c r="C1673" t="s">
        <v>6606</v>
      </c>
      <c r="D1673" t="s">
        <v>6607</v>
      </c>
      <c r="E1673" t="s">
        <v>1663</v>
      </c>
      <c r="F1673">
        <v>2</v>
      </c>
      <c r="G1673">
        <v>2.1</v>
      </c>
      <c r="H1673" t="s">
        <v>2327</v>
      </c>
      <c r="I1673" s="21">
        <v>38686</v>
      </c>
      <c r="J1673">
        <v>2005</v>
      </c>
      <c r="K1673" s="21">
        <v>38716</v>
      </c>
      <c r="L1673">
        <v>2005</v>
      </c>
      <c r="M1673" s="21">
        <v>38867</v>
      </c>
      <c r="N1673">
        <v>2006</v>
      </c>
      <c r="Q1673" s="262">
        <v>0</v>
      </c>
      <c r="S1673" t="s">
        <v>114</v>
      </c>
      <c r="T1673" t="s">
        <v>114</v>
      </c>
      <c r="W1673">
        <v>5947</v>
      </c>
      <c r="X1673">
        <v>4</v>
      </c>
      <c r="Y1673">
        <v>0</v>
      </c>
      <c r="Z1673">
        <v>0</v>
      </c>
      <c r="AA1673">
        <v>0</v>
      </c>
      <c r="AB1673">
        <v>0</v>
      </c>
      <c r="AC1673">
        <v>0</v>
      </c>
      <c r="AD1673">
        <v>5947</v>
      </c>
      <c r="AE1673">
        <v>0</v>
      </c>
      <c r="AF1673">
        <v>0</v>
      </c>
      <c r="AG1673">
        <v>0</v>
      </c>
      <c r="AH1673">
        <v>0</v>
      </c>
      <c r="AI1673">
        <v>0</v>
      </c>
      <c r="AJ1673">
        <v>0</v>
      </c>
      <c r="AK1673">
        <v>0</v>
      </c>
      <c r="AL1673">
        <v>0</v>
      </c>
      <c r="AM1673">
        <v>0</v>
      </c>
      <c r="AN1673">
        <v>0</v>
      </c>
      <c r="AO1673">
        <v>0</v>
      </c>
      <c r="AP1673">
        <v>4</v>
      </c>
      <c r="AQ1673">
        <v>0</v>
      </c>
      <c r="AR1673">
        <v>0</v>
      </c>
      <c r="AS1673">
        <v>0</v>
      </c>
      <c r="AT1673">
        <v>0</v>
      </c>
      <c r="AU1673">
        <f t="shared" si="50"/>
        <v>4</v>
      </c>
      <c r="AV1673">
        <f t="shared" si="51"/>
        <v>0</v>
      </c>
    </row>
    <row r="1674" spans="1:48" x14ac:dyDescent="0.25">
      <c r="A1674" t="s">
        <v>6608</v>
      </c>
      <c r="C1674" t="s">
        <v>6609</v>
      </c>
      <c r="D1674" t="s">
        <v>6610</v>
      </c>
      <c r="E1674" t="s">
        <v>1663</v>
      </c>
      <c r="F1674">
        <v>2</v>
      </c>
      <c r="G1674">
        <v>2.1</v>
      </c>
      <c r="H1674" t="s">
        <v>2327</v>
      </c>
      <c r="I1674" s="21">
        <v>38686</v>
      </c>
      <c r="J1674">
        <v>2005</v>
      </c>
      <c r="K1674" s="21">
        <v>38716</v>
      </c>
      <c r="L1674">
        <v>2005</v>
      </c>
      <c r="M1674" s="21">
        <v>38867</v>
      </c>
      <c r="N1674">
        <v>2006</v>
      </c>
      <c r="Q1674" s="262">
        <v>0</v>
      </c>
      <c r="S1674" t="s">
        <v>114</v>
      </c>
      <c r="T1674" t="s">
        <v>114</v>
      </c>
      <c r="W1674">
        <v>4537</v>
      </c>
      <c r="X1674">
        <v>3</v>
      </c>
      <c r="Y1674">
        <v>0</v>
      </c>
      <c r="Z1674">
        <v>0</v>
      </c>
      <c r="AA1674">
        <v>0</v>
      </c>
      <c r="AB1674">
        <v>0</v>
      </c>
      <c r="AC1674">
        <v>0</v>
      </c>
      <c r="AD1674">
        <v>4537</v>
      </c>
      <c r="AE1674">
        <v>0</v>
      </c>
      <c r="AF1674">
        <v>0</v>
      </c>
      <c r="AG1674">
        <v>0</v>
      </c>
      <c r="AH1674">
        <v>0</v>
      </c>
      <c r="AI1674">
        <v>0</v>
      </c>
      <c r="AJ1674">
        <v>0</v>
      </c>
      <c r="AK1674">
        <v>0</v>
      </c>
      <c r="AL1674">
        <v>0</v>
      </c>
      <c r="AM1674">
        <v>0</v>
      </c>
      <c r="AN1674">
        <v>0</v>
      </c>
      <c r="AO1674">
        <v>0</v>
      </c>
      <c r="AP1674">
        <v>3</v>
      </c>
      <c r="AQ1674">
        <v>0</v>
      </c>
      <c r="AR1674">
        <v>0</v>
      </c>
      <c r="AS1674">
        <v>0</v>
      </c>
      <c r="AT1674">
        <v>0</v>
      </c>
      <c r="AU1674">
        <f t="shared" si="50"/>
        <v>3</v>
      </c>
      <c r="AV1674">
        <f t="shared" si="51"/>
        <v>0</v>
      </c>
    </row>
    <row r="1675" spans="1:48" x14ac:dyDescent="0.25">
      <c r="A1675" t="s">
        <v>6600</v>
      </c>
      <c r="C1675" t="s">
        <v>6601</v>
      </c>
      <c r="D1675" t="s">
        <v>3902</v>
      </c>
      <c r="E1675" t="s">
        <v>1663</v>
      </c>
      <c r="F1675">
        <v>1</v>
      </c>
      <c r="G1675">
        <v>1.2</v>
      </c>
      <c r="H1675" t="s">
        <v>2017</v>
      </c>
      <c r="I1675" s="21">
        <v>38686</v>
      </c>
      <c r="J1675">
        <v>2005</v>
      </c>
      <c r="K1675" s="21">
        <v>38716</v>
      </c>
      <c r="L1675">
        <v>2005</v>
      </c>
      <c r="M1675" s="21">
        <v>38867</v>
      </c>
      <c r="N1675">
        <v>2006</v>
      </c>
      <c r="Q1675" s="262">
        <v>0</v>
      </c>
      <c r="S1675" t="s">
        <v>114</v>
      </c>
      <c r="T1675" t="s">
        <v>114</v>
      </c>
      <c r="W1675">
        <v>40</v>
      </c>
      <c r="X1675">
        <v>0</v>
      </c>
      <c r="Y1675">
        <v>0</v>
      </c>
      <c r="Z1675">
        <v>0</v>
      </c>
      <c r="AA1675">
        <v>0</v>
      </c>
      <c r="AB1675">
        <v>0</v>
      </c>
      <c r="AC1675">
        <v>0</v>
      </c>
      <c r="AD1675">
        <v>0</v>
      </c>
      <c r="AE1675">
        <v>0</v>
      </c>
      <c r="AF1675">
        <v>0</v>
      </c>
      <c r="AG1675">
        <v>0</v>
      </c>
      <c r="AH1675">
        <v>40</v>
      </c>
      <c r="AI1675">
        <v>0</v>
      </c>
      <c r="AJ1675">
        <v>0</v>
      </c>
      <c r="AK1675">
        <v>0</v>
      </c>
      <c r="AL1675">
        <v>0</v>
      </c>
      <c r="AM1675">
        <v>0</v>
      </c>
      <c r="AN1675">
        <v>0</v>
      </c>
      <c r="AO1675">
        <v>0</v>
      </c>
      <c r="AP1675">
        <v>0</v>
      </c>
      <c r="AQ1675">
        <v>0</v>
      </c>
      <c r="AR1675">
        <v>0</v>
      </c>
      <c r="AS1675">
        <v>0</v>
      </c>
      <c r="AT1675">
        <v>0</v>
      </c>
      <c r="AU1675">
        <f t="shared" si="50"/>
        <v>0</v>
      </c>
      <c r="AV1675">
        <f t="shared" si="51"/>
        <v>40</v>
      </c>
    </row>
    <row r="1676" spans="1:48" x14ac:dyDescent="0.25">
      <c r="A1676" t="s">
        <v>6611</v>
      </c>
      <c r="C1676" t="s">
        <v>6612</v>
      </c>
      <c r="D1676" t="s">
        <v>4752</v>
      </c>
      <c r="E1676" t="s">
        <v>2310</v>
      </c>
      <c r="F1676">
        <v>5</v>
      </c>
      <c r="G1676">
        <v>5.4</v>
      </c>
      <c r="H1676" t="s">
        <v>2017</v>
      </c>
      <c r="I1676" s="21">
        <v>38691</v>
      </c>
      <c r="J1676">
        <v>2005</v>
      </c>
      <c r="K1676" s="21">
        <v>38726</v>
      </c>
      <c r="L1676">
        <v>2006</v>
      </c>
      <c r="M1676" s="21">
        <v>38761</v>
      </c>
      <c r="N1676">
        <v>2006</v>
      </c>
      <c r="R1676" s="262">
        <v>480000</v>
      </c>
      <c r="S1676" t="s">
        <v>114</v>
      </c>
      <c r="T1676" t="s">
        <v>114</v>
      </c>
      <c r="U1676">
        <v>15</v>
      </c>
      <c r="W1676">
        <v>1836</v>
      </c>
      <c r="X1676">
        <v>0</v>
      </c>
      <c r="Y1676">
        <v>0</v>
      </c>
      <c r="Z1676">
        <v>0</v>
      </c>
      <c r="AA1676">
        <v>0</v>
      </c>
      <c r="AB1676">
        <v>0</v>
      </c>
      <c r="AC1676">
        <v>0</v>
      </c>
      <c r="AD1676">
        <v>0</v>
      </c>
      <c r="AE1676">
        <v>0</v>
      </c>
      <c r="AF1676">
        <v>0</v>
      </c>
      <c r="AG1676">
        <v>0</v>
      </c>
      <c r="AH1676">
        <v>0</v>
      </c>
      <c r="AI1676">
        <v>0</v>
      </c>
      <c r="AJ1676">
        <v>0</v>
      </c>
      <c r="AK1676">
        <v>0</v>
      </c>
      <c r="AL1676">
        <v>0</v>
      </c>
      <c r="AM1676">
        <v>1836</v>
      </c>
      <c r="AN1676">
        <v>0</v>
      </c>
      <c r="AO1676">
        <v>0</v>
      </c>
      <c r="AP1676">
        <v>0</v>
      </c>
      <c r="AQ1676">
        <v>0</v>
      </c>
      <c r="AR1676">
        <v>0</v>
      </c>
      <c r="AS1676">
        <v>0</v>
      </c>
      <c r="AT1676">
        <v>0</v>
      </c>
      <c r="AU1676">
        <f t="shared" si="50"/>
        <v>0</v>
      </c>
      <c r="AV1676">
        <f t="shared" si="51"/>
        <v>1836</v>
      </c>
    </row>
    <row r="1677" spans="1:48" x14ac:dyDescent="0.25">
      <c r="A1677" t="s">
        <v>6613</v>
      </c>
      <c r="C1677" t="s">
        <v>6153</v>
      </c>
      <c r="D1677" t="s">
        <v>6614</v>
      </c>
      <c r="E1677" t="s">
        <v>2310</v>
      </c>
      <c r="F1677">
        <v>9</v>
      </c>
      <c r="G1677">
        <v>9.3000000000000007</v>
      </c>
      <c r="H1677" t="s">
        <v>2323</v>
      </c>
      <c r="I1677" s="21">
        <v>38691</v>
      </c>
      <c r="J1677">
        <v>2005</v>
      </c>
      <c r="K1677" s="21">
        <v>38740</v>
      </c>
      <c r="L1677">
        <v>2006</v>
      </c>
      <c r="M1677" s="21">
        <v>39225</v>
      </c>
      <c r="N1677">
        <v>2007</v>
      </c>
      <c r="R1677" s="262">
        <v>1400000</v>
      </c>
      <c r="S1677" t="s">
        <v>114</v>
      </c>
      <c r="T1677" t="s">
        <v>114</v>
      </c>
      <c r="U1677">
        <v>5</v>
      </c>
      <c r="W1677">
        <v>4848</v>
      </c>
      <c r="X1677">
        <v>1</v>
      </c>
      <c r="Y1677">
        <v>0</v>
      </c>
      <c r="Z1677">
        <v>0</v>
      </c>
      <c r="AA1677">
        <v>0</v>
      </c>
      <c r="AB1677">
        <v>0</v>
      </c>
      <c r="AC1677">
        <v>4848</v>
      </c>
      <c r="AD1677">
        <v>0</v>
      </c>
      <c r="AE1677">
        <v>0</v>
      </c>
      <c r="AF1677">
        <v>0</v>
      </c>
      <c r="AG1677">
        <v>0</v>
      </c>
      <c r="AH1677">
        <v>0</v>
      </c>
      <c r="AI1677">
        <v>0</v>
      </c>
      <c r="AJ1677">
        <v>0</v>
      </c>
      <c r="AK1677">
        <v>0</v>
      </c>
      <c r="AL1677">
        <v>0</v>
      </c>
      <c r="AM1677">
        <v>0</v>
      </c>
      <c r="AN1677">
        <v>0</v>
      </c>
      <c r="AO1677">
        <v>1</v>
      </c>
      <c r="AP1677">
        <v>0</v>
      </c>
      <c r="AQ1677">
        <v>0</v>
      </c>
      <c r="AR1677">
        <v>0</v>
      </c>
      <c r="AS1677">
        <v>0</v>
      </c>
      <c r="AT1677">
        <v>0</v>
      </c>
      <c r="AU1677">
        <f t="shared" si="50"/>
        <v>1</v>
      </c>
      <c r="AV1677">
        <f t="shared" si="51"/>
        <v>0</v>
      </c>
    </row>
    <row r="1678" spans="1:48" x14ac:dyDescent="0.25">
      <c r="A1678" t="s">
        <v>6615</v>
      </c>
      <c r="C1678" t="s">
        <v>6616</v>
      </c>
      <c r="D1678" t="s">
        <v>6617</v>
      </c>
      <c r="E1678" t="s">
        <v>2310</v>
      </c>
      <c r="F1678">
        <v>9</v>
      </c>
      <c r="G1678">
        <v>9.1999999999999993</v>
      </c>
      <c r="H1678" t="s">
        <v>2022</v>
      </c>
      <c r="I1678" s="21">
        <v>38692</v>
      </c>
      <c r="J1678">
        <v>2005</v>
      </c>
      <c r="K1678" s="21">
        <v>38735</v>
      </c>
      <c r="L1678">
        <v>2006</v>
      </c>
      <c r="M1678" s="21">
        <v>39910</v>
      </c>
      <c r="N1678">
        <v>2009</v>
      </c>
      <c r="R1678" s="262">
        <v>90000</v>
      </c>
      <c r="S1678" t="s">
        <v>114</v>
      </c>
      <c r="T1678" t="s">
        <v>114</v>
      </c>
      <c r="U1678">
        <v>3</v>
      </c>
      <c r="W1678">
        <v>308</v>
      </c>
      <c r="X1678">
        <v>0</v>
      </c>
      <c r="Y1678">
        <v>0</v>
      </c>
      <c r="Z1678">
        <v>0</v>
      </c>
      <c r="AA1678">
        <v>308</v>
      </c>
      <c r="AB1678">
        <v>0</v>
      </c>
      <c r="AC1678">
        <v>0</v>
      </c>
      <c r="AD1678">
        <v>0</v>
      </c>
      <c r="AE1678">
        <v>0</v>
      </c>
      <c r="AF1678">
        <v>0</v>
      </c>
      <c r="AG1678">
        <v>0</v>
      </c>
      <c r="AH1678">
        <v>0</v>
      </c>
      <c r="AI1678">
        <v>0</v>
      </c>
      <c r="AJ1678">
        <v>0</v>
      </c>
      <c r="AK1678">
        <v>0</v>
      </c>
      <c r="AL1678">
        <v>0</v>
      </c>
      <c r="AM1678">
        <v>0</v>
      </c>
      <c r="AN1678">
        <v>0</v>
      </c>
      <c r="AO1678">
        <v>0</v>
      </c>
      <c r="AP1678">
        <v>0</v>
      </c>
      <c r="AQ1678">
        <v>0</v>
      </c>
      <c r="AR1678">
        <v>0</v>
      </c>
      <c r="AS1678">
        <v>0</v>
      </c>
      <c r="AT1678">
        <v>0</v>
      </c>
      <c r="AU1678">
        <f t="shared" si="50"/>
        <v>0</v>
      </c>
      <c r="AV1678">
        <f t="shared" si="51"/>
        <v>308</v>
      </c>
    </row>
    <row r="1679" spans="1:48" x14ac:dyDescent="0.25">
      <c r="A1679" t="s">
        <v>6618</v>
      </c>
      <c r="C1679" t="s">
        <v>6619</v>
      </c>
      <c r="D1679" t="s">
        <v>6620</v>
      </c>
      <c r="E1679" t="s">
        <v>2310</v>
      </c>
      <c r="F1679">
        <v>9</v>
      </c>
      <c r="G1679">
        <v>9.1999999999999993</v>
      </c>
      <c r="H1679" t="s">
        <v>2022</v>
      </c>
      <c r="I1679" s="21">
        <v>38692</v>
      </c>
      <c r="J1679">
        <v>2005</v>
      </c>
      <c r="K1679" s="21">
        <v>38737</v>
      </c>
      <c r="L1679">
        <v>2006</v>
      </c>
      <c r="M1679" s="21">
        <v>40086.377997685202</v>
      </c>
      <c r="N1679">
        <v>2009</v>
      </c>
      <c r="R1679" s="262">
        <v>90000</v>
      </c>
      <c r="S1679" t="s">
        <v>114</v>
      </c>
      <c r="T1679" t="s">
        <v>114</v>
      </c>
      <c r="U1679">
        <v>3</v>
      </c>
      <c r="W1679">
        <v>930</v>
      </c>
      <c r="X1679">
        <v>0</v>
      </c>
      <c r="Y1679">
        <v>0</v>
      </c>
      <c r="Z1679">
        <v>0</v>
      </c>
      <c r="AA1679">
        <v>930</v>
      </c>
      <c r="AB1679">
        <v>0</v>
      </c>
      <c r="AC1679">
        <v>0</v>
      </c>
      <c r="AD1679">
        <v>0</v>
      </c>
      <c r="AE1679">
        <v>0</v>
      </c>
      <c r="AF1679">
        <v>0</v>
      </c>
      <c r="AG1679">
        <v>0</v>
      </c>
      <c r="AH1679">
        <v>0</v>
      </c>
      <c r="AI1679">
        <v>0</v>
      </c>
      <c r="AJ1679">
        <v>0</v>
      </c>
      <c r="AK1679">
        <v>0</v>
      </c>
      <c r="AL1679">
        <v>0</v>
      </c>
      <c r="AM1679">
        <v>0</v>
      </c>
      <c r="AN1679">
        <v>0</v>
      </c>
      <c r="AO1679">
        <v>0</v>
      </c>
      <c r="AP1679">
        <v>0</v>
      </c>
      <c r="AQ1679">
        <v>0</v>
      </c>
      <c r="AR1679">
        <v>0</v>
      </c>
      <c r="AS1679">
        <v>0</v>
      </c>
      <c r="AT1679">
        <v>0</v>
      </c>
      <c r="AU1679">
        <f t="shared" si="50"/>
        <v>0</v>
      </c>
      <c r="AV1679">
        <f t="shared" si="51"/>
        <v>930</v>
      </c>
    </row>
    <row r="1680" spans="1:48" x14ac:dyDescent="0.25">
      <c r="A1680" t="s">
        <v>6621</v>
      </c>
      <c r="C1680" t="s">
        <v>6622</v>
      </c>
      <c r="D1680" t="s">
        <v>6620</v>
      </c>
      <c r="E1680" t="s">
        <v>2310</v>
      </c>
      <c r="F1680">
        <v>9</v>
      </c>
      <c r="G1680">
        <v>9.1999999999999993</v>
      </c>
      <c r="H1680" t="s">
        <v>2022</v>
      </c>
      <c r="I1680" s="21">
        <v>38692</v>
      </c>
      <c r="J1680">
        <v>2005</v>
      </c>
      <c r="K1680" s="21">
        <v>38737</v>
      </c>
      <c r="L1680">
        <v>2006</v>
      </c>
      <c r="M1680" s="21">
        <v>39910</v>
      </c>
      <c r="N1680">
        <v>2009</v>
      </c>
      <c r="R1680" s="262">
        <v>50000</v>
      </c>
      <c r="S1680" t="s">
        <v>114</v>
      </c>
      <c r="T1680" t="s">
        <v>114</v>
      </c>
      <c r="U1680">
        <v>3</v>
      </c>
      <c r="W1680">
        <v>930</v>
      </c>
      <c r="X1680">
        <v>0</v>
      </c>
      <c r="Y1680">
        <v>0</v>
      </c>
      <c r="Z1680">
        <v>0</v>
      </c>
      <c r="AA1680">
        <v>930</v>
      </c>
      <c r="AB1680">
        <v>0</v>
      </c>
      <c r="AC1680">
        <v>0</v>
      </c>
      <c r="AD1680">
        <v>0</v>
      </c>
      <c r="AE1680">
        <v>0</v>
      </c>
      <c r="AF1680">
        <v>0</v>
      </c>
      <c r="AG1680">
        <v>0</v>
      </c>
      <c r="AH1680">
        <v>0</v>
      </c>
      <c r="AI1680">
        <v>0</v>
      </c>
      <c r="AJ1680">
        <v>0</v>
      </c>
      <c r="AK1680">
        <v>0</v>
      </c>
      <c r="AL1680">
        <v>0</v>
      </c>
      <c r="AM1680">
        <v>0</v>
      </c>
      <c r="AN1680">
        <v>0</v>
      </c>
      <c r="AO1680">
        <v>0</v>
      </c>
      <c r="AP1680">
        <v>0</v>
      </c>
      <c r="AQ1680">
        <v>0</v>
      </c>
      <c r="AR1680">
        <v>0</v>
      </c>
      <c r="AS1680">
        <v>0</v>
      </c>
      <c r="AT1680">
        <v>0</v>
      </c>
      <c r="AU1680">
        <f t="shared" si="50"/>
        <v>0</v>
      </c>
      <c r="AV1680">
        <f t="shared" si="51"/>
        <v>930</v>
      </c>
    </row>
    <row r="1681" spans="1:48" x14ac:dyDescent="0.25">
      <c r="A1681" t="s">
        <v>6623</v>
      </c>
      <c r="C1681" t="s">
        <v>6624</v>
      </c>
      <c r="D1681" t="s">
        <v>6620</v>
      </c>
      <c r="E1681" t="s">
        <v>2310</v>
      </c>
      <c r="F1681">
        <v>9</v>
      </c>
      <c r="G1681">
        <v>9.1999999999999993</v>
      </c>
      <c r="H1681" t="s">
        <v>2022</v>
      </c>
      <c r="I1681" s="21">
        <v>38692</v>
      </c>
      <c r="J1681">
        <v>2005</v>
      </c>
      <c r="K1681" s="21">
        <v>38737</v>
      </c>
      <c r="L1681">
        <v>2006</v>
      </c>
      <c r="M1681" s="21">
        <v>39910</v>
      </c>
      <c r="N1681">
        <v>2009</v>
      </c>
      <c r="R1681" s="262">
        <v>50000</v>
      </c>
      <c r="S1681" t="s">
        <v>114</v>
      </c>
      <c r="T1681" t="s">
        <v>114</v>
      </c>
      <c r="U1681">
        <v>3</v>
      </c>
      <c r="W1681">
        <v>930</v>
      </c>
      <c r="X1681">
        <v>0</v>
      </c>
      <c r="Y1681">
        <v>0</v>
      </c>
      <c r="Z1681">
        <v>0</v>
      </c>
      <c r="AA1681">
        <v>930</v>
      </c>
      <c r="AB1681">
        <v>0</v>
      </c>
      <c r="AC1681">
        <v>0</v>
      </c>
      <c r="AD1681">
        <v>0</v>
      </c>
      <c r="AE1681">
        <v>0</v>
      </c>
      <c r="AF1681">
        <v>0</v>
      </c>
      <c r="AG1681">
        <v>0</v>
      </c>
      <c r="AH1681">
        <v>0</v>
      </c>
      <c r="AI1681">
        <v>0</v>
      </c>
      <c r="AJ1681">
        <v>0</v>
      </c>
      <c r="AK1681">
        <v>0</v>
      </c>
      <c r="AL1681">
        <v>0</v>
      </c>
      <c r="AM1681">
        <v>0</v>
      </c>
      <c r="AN1681">
        <v>0</v>
      </c>
      <c r="AO1681">
        <v>0</v>
      </c>
      <c r="AP1681">
        <v>0</v>
      </c>
      <c r="AQ1681">
        <v>0</v>
      </c>
      <c r="AR1681">
        <v>0</v>
      </c>
      <c r="AS1681">
        <v>0</v>
      </c>
      <c r="AT1681">
        <v>0</v>
      </c>
      <c r="AU1681">
        <f t="shared" si="50"/>
        <v>0</v>
      </c>
      <c r="AV1681">
        <f t="shared" si="51"/>
        <v>930</v>
      </c>
    </row>
    <row r="1682" spans="1:48" x14ac:dyDescent="0.25">
      <c r="A1682" t="s">
        <v>6625</v>
      </c>
      <c r="C1682" t="s">
        <v>6626</v>
      </c>
      <c r="D1682" t="s">
        <v>6627</v>
      </c>
      <c r="E1682" t="s">
        <v>1663</v>
      </c>
      <c r="F1682">
        <v>2</v>
      </c>
      <c r="G1682">
        <v>2.2999999999999998</v>
      </c>
      <c r="H1682" t="s">
        <v>2327</v>
      </c>
      <c r="I1682" s="21">
        <v>38695</v>
      </c>
      <c r="J1682">
        <v>2005</v>
      </c>
      <c r="K1682" s="21">
        <v>38726</v>
      </c>
      <c r="L1682">
        <v>2006</v>
      </c>
      <c r="M1682" s="21">
        <v>38877</v>
      </c>
      <c r="N1682">
        <v>2006</v>
      </c>
      <c r="Q1682" s="262">
        <v>0</v>
      </c>
      <c r="S1682" t="s">
        <v>114</v>
      </c>
      <c r="T1682" t="s">
        <v>114</v>
      </c>
      <c r="W1682">
        <v>2619</v>
      </c>
      <c r="X1682">
        <v>0</v>
      </c>
      <c r="Y1682">
        <v>0</v>
      </c>
      <c r="Z1682">
        <v>0</v>
      </c>
      <c r="AA1682">
        <v>0</v>
      </c>
      <c r="AB1682">
        <v>0</v>
      </c>
      <c r="AC1682">
        <v>0</v>
      </c>
      <c r="AD1682">
        <v>0</v>
      </c>
      <c r="AE1682">
        <v>0</v>
      </c>
      <c r="AF1682">
        <v>0</v>
      </c>
      <c r="AG1682">
        <v>0</v>
      </c>
      <c r="AH1682">
        <v>2619</v>
      </c>
      <c r="AI1682">
        <v>0</v>
      </c>
      <c r="AJ1682">
        <v>0</v>
      </c>
      <c r="AK1682">
        <v>0</v>
      </c>
      <c r="AL1682">
        <v>0</v>
      </c>
      <c r="AM1682">
        <v>0</v>
      </c>
      <c r="AN1682">
        <v>0</v>
      </c>
      <c r="AO1682">
        <v>0</v>
      </c>
      <c r="AP1682">
        <v>0</v>
      </c>
      <c r="AQ1682">
        <v>0</v>
      </c>
      <c r="AR1682">
        <v>0</v>
      </c>
      <c r="AS1682">
        <v>0</v>
      </c>
      <c r="AT1682">
        <v>0</v>
      </c>
      <c r="AU1682">
        <f t="shared" si="50"/>
        <v>0</v>
      </c>
      <c r="AV1682">
        <f t="shared" si="51"/>
        <v>2619</v>
      </c>
    </row>
    <row r="1683" spans="1:48" x14ac:dyDescent="0.25">
      <c r="A1683" t="s">
        <v>6628</v>
      </c>
      <c r="C1683" t="s">
        <v>6629</v>
      </c>
      <c r="D1683" t="s">
        <v>6630</v>
      </c>
      <c r="E1683" t="s">
        <v>2310</v>
      </c>
      <c r="F1683">
        <v>9</v>
      </c>
      <c r="G1683">
        <v>9.3000000000000007</v>
      </c>
      <c r="H1683" t="s">
        <v>2323</v>
      </c>
      <c r="I1683" s="21">
        <v>38706</v>
      </c>
      <c r="J1683">
        <v>2005</v>
      </c>
      <c r="K1683" s="21">
        <v>38727</v>
      </c>
      <c r="L1683">
        <v>2006</v>
      </c>
      <c r="M1683" s="21">
        <v>38897</v>
      </c>
      <c r="N1683">
        <v>2006</v>
      </c>
      <c r="R1683" s="262">
        <v>85000</v>
      </c>
      <c r="S1683" t="s">
        <v>114</v>
      </c>
      <c r="T1683" t="s">
        <v>114</v>
      </c>
      <c r="U1683">
        <v>5</v>
      </c>
      <c r="W1683">
        <v>960</v>
      </c>
      <c r="X1683">
        <v>1</v>
      </c>
      <c r="Y1683">
        <v>0</v>
      </c>
      <c r="Z1683">
        <v>0</v>
      </c>
      <c r="AA1683">
        <v>0</v>
      </c>
      <c r="AB1683">
        <v>0</v>
      </c>
      <c r="AC1683">
        <v>960</v>
      </c>
      <c r="AD1683">
        <v>0</v>
      </c>
      <c r="AE1683">
        <v>0</v>
      </c>
      <c r="AF1683">
        <v>0</v>
      </c>
      <c r="AG1683">
        <v>0</v>
      </c>
      <c r="AH1683">
        <v>0</v>
      </c>
      <c r="AI1683">
        <v>0</v>
      </c>
      <c r="AJ1683">
        <v>0</v>
      </c>
      <c r="AK1683">
        <v>0</v>
      </c>
      <c r="AL1683">
        <v>0</v>
      </c>
      <c r="AM1683">
        <v>0</v>
      </c>
      <c r="AN1683">
        <v>0</v>
      </c>
      <c r="AO1683">
        <v>1</v>
      </c>
      <c r="AP1683">
        <v>0</v>
      </c>
      <c r="AQ1683">
        <v>0</v>
      </c>
      <c r="AR1683">
        <v>0</v>
      </c>
      <c r="AS1683">
        <v>0</v>
      </c>
      <c r="AT1683">
        <v>0</v>
      </c>
      <c r="AU1683">
        <f t="shared" si="50"/>
        <v>1</v>
      </c>
      <c r="AV1683">
        <f t="shared" si="51"/>
        <v>0</v>
      </c>
    </row>
    <row r="1684" spans="1:48" x14ac:dyDescent="0.25">
      <c r="A1684" t="s">
        <v>6631</v>
      </c>
      <c r="C1684" t="s">
        <v>6632</v>
      </c>
      <c r="D1684" t="s">
        <v>6633</v>
      </c>
      <c r="E1684" t="s">
        <v>2310</v>
      </c>
      <c r="F1684">
        <v>12</v>
      </c>
      <c r="G1684">
        <v>12.1</v>
      </c>
      <c r="H1684" t="s">
        <v>2327</v>
      </c>
      <c r="I1684" s="21">
        <v>38706</v>
      </c>
      <c r="J1684">
        <v>2005</v>
      </c>
      <c r="K1684" s="21">
        <v>38757</v>
      </c>
      <c r="L1684">
        <v>2006</v>
      </c>
      <c r="M1684" s="21">
        <v>38951</v>
      </c>
      <c r="N1684">
        <v>2006</v>
      </c>
      <c r="R1684" s="262">
        <v>300000</v>
      </c>
      <c r="S1684" t="s">
        <v>114</v>
      </c>
      <c r="T1684" t="s">
        <v>114</v>
      </c>
      <c r="U1684">
        <v>12</v>
      </c>
      <c r="W1684">
        <v>0</v>
      </c>
      <c r="X1684">
        <v>0</v>
      </c>
      <c r="Y1684">
        <v>0</v>
      </c>
      <c r="Z1684">
        <v>0</v>
      </c>
      <c r="AA1684">
        <v>0</v>
      </c>
      <c r="AB1684">
        <v>0</v>
      </c>
      <c r="AC1684">
        <v>0</v>
      </c>
      <c r="AD1684">
        <v>0</v>
      </c>
      <c r="AE1684">
        <v>0</v>
      </c>
      <c r="AF1684">
        <v>0</v>
      </c>
      <c r="AG1684">
        <v>0</v>
      </c>
      <c r="AH1684">
        <v>0</v>
      </c>
      <c r="AI1684">
        <v>0</v>
      </c>
      <c r="AJ1684">
        <v>0</v>
      </c>
      <c r="AK1684">
        <v>0</v>
      </c>
      <c r="AL1684">
        <v>0</v>
      </c>
      <c r="AM1684">
        <v>0</v>
      </c>
      <c r="AN1684">
        <v>0</v>
      </c>
      <c r="AO1684">
        <v>0</v>
      </c>
      <c r="AP1684">
        <v>0</v>
      </c>
      <c r="AQ1684">
        <v>0</v>
      </c>
      <c r="AR1684">
        <v>0</v>
      </c>
      <c r="AS1684">
        <v>0</v>
      </c>
      <c r="AT1684">
        <v>0</v>
      </c>
      <c r="AU1684">
        <f t="shared" si="50"/>
        <v>0</v>
      </c>
      <c r="AV1684">
        <f t="shared" si="51"/>
        <v>0</v>
      </c>
    </row>
    <row r="1685" spans="1:48" x14ac:dyDescent="0.25">
      <c r="A1685" t="s">
        <v>6634</v>
      </c>
      <c r="C1685" t="s">
        <v>6457</v>
      </c>
      <c r="D1685" t="s">
        <v>6635</v>
      </c>
      <c r="E1685" t="s">
        <v>2310</v>
      </c>
      <c r="F1685">
        <v>15</v>
      </c>
      <c r="G1685">
        <v>15.1</v>
      </c>
      <c r="H1685" t="s">
        <v>2022</v>
      </c>
      <c r="I1685" s="21">
        <v>38707</v>
      </c>
      <c r="J1685">
        <v>2005</v>
      </c>
      <c r="K1685" s="21">
        <v>38777</v>
      </c>
      <c r="L1685">
        <v>2006</v>
      </c>
      <c r="M1685" s="21">
        <v>38777</v>
      </c>
      <c r="N1685">
        <v>2006</v>
      </c>
      <c r="R1685" s="262">
        <v>530000</v>
      </c>
      <c r="S1685" t="s">
        <v>114</v>
      </c>
      <c r="T1685" t="s">
        <v>114</v>
      </c>
      <c r="U1685">
        <v>8</v>
      </c>
      <c r="W1685">
        <v>2704</v>
      </c>
      <c r="X1685">
        <v>1</v>
      </c>
      <c r="Y1685">
        <v>0</v>
      </c>
      <c r="Z1685">
        <v>0</v>
      </c>
      <c r="AA1685">
        <v>0</v>
      </c>
      <c r="AB1685">
        <v>0</v>
      </c>
      <c r="AC1685">
        <v>1736</v>
      </c>
      <c r="AD1685">
        <v>0</v>
      </c>
      <c r="AE1685">
        <v>0</v>
      </c>
      <c r="AF1685">
        <v>968</v>
      </c>
      <c r="AG1685">
        <v>0</v>
      </c>
      <c r="AH1685">
        <v>0</v>
      </c>
      <c r="AI1685">
        <v>0</v>
      </c>
      <c r="AJ1685">
        <v>0</v>
      </c>
      <c r="AK1685">
        <v>0</v>
      </c>
      <c r="AL1685">
        <v>0</v>
      </c>
      <c r="AM1685">
        <v>0</v>
      </c>
      <c r="AN1685">
        <v>0</v>
      </c>
      <c r="AO1685">
        <v>0</v>
      </c>
      <c r="AP1685">
        <v>0</v>
      </c>
      <c r="AQ1685">
        <v>0</v>
      </c>
      <c r="AR1685">
        <v>1</v>
      </c>
      <c r="AS1685">
        <v>0</v>
      </c>
      <c r="AT1685">
        <v>0</v>
      </c>
      <c r="AU1685">
        <f t="shared" si="50"/>
        <v>0</v>
      </c>
      <c r="AV1685">
        <f t="shared" si="51"/>
        <v>0</v>
      </c>
    </row>
    <row r="1686" spans="1:48" x14ac:dyDescent="0.25">
      <c r="A1686" t="s">
        <v>6636</v>
      </c>
      <c r="C1686" t="s">
        <v>6637</v>
      </c>
      <c r="D1686" t="s">
        <v>6638</v>
      </c>
      <c r="E1686" t="s">
        <v>2310</v>
      </c>
      <c r="F1686">
        <v>10</v>
      </c>
      <c r="G1686">
        <v>10.1</v>
      </c>
      <c r="H1686" t="s">
        <v>2323</v>
      </c>
      <c r="I1686" s="21">
        <v>38707</v>
      </c>
      <c r="J1686">
        <v>2005</v>
      </c>
      <c r="K1686" s="21">
        <v>38796</v>
      </c>
      <c r="L1686">
        <v>2006</v>
      </c>
      <c r="M1686" s="21">
        <v>39114</v>
      </c>
      <c r="N1686">
        <v>2007</v>
      </c>
      <c r="R1686" s="262">
        <v>455000</v>
      </c>
      <c r="S1686" t="s">
        <v>114</v>
      </c>
      <c r="T1686" t="s">
        <v>114</v>
      </c>
      <c r="U1686">
        <v>5</v>
      </c>
      <c r="W1686">
        <v>4388</v>
      </c>
      <c r="X1686">
        <v>1</v>
      </c>
      <c r="Y1686">
        <v>0</v>
      </c>
      <c r="Z1686">
        <v>0</v>
      </c>
      <c r="AA1686">
        <v>0</v>
      </c>
      <c r="AB1686">
        <v>0</v>
      </c>
      <c r="AC1686">
        <v>4388</v>
      </c>
      <c r="AD1686">
        <v>0</v>
      </c>
      <c r="AE1686">
        <v>0</v>
      </c>
      <c r="AF1686">
        <v>0</v>
      </c>
      <c r="AG1686">
        <v>0</v>
      </c>
      <c r="AH1686">
        <v>0</v>
      </c>
      <c r="AI1686">
        <v>0</v>
      </c>
      <c r="AJ1686">
        <v>0</v>
      </c>
      <c r="AK1686">
        <v>0</v>
      </c>
      <c r="AL1686">
        <v>0</v>
      </c>
      <c r="AM1686">
        <v>0</v>
      </c>
      <c r="AN1686">
        <v>0</v>
      </c>
      <c r="AO1686">
        <v>1</v>
      </c>
      <c r="AP1686">
        <v>0</v>
      </c>
      <c r="AQ1686">
        <v>0</v>
      </c>
      <c r="AR1686">
        <v>0</v>
      </c>
      <c r="AS1686">
        <v>0</v>
      </c>
      <c r="AT1686">
        <v>0</v>
      </c>
      <c r="AU1686">
        <f t="shared" si="50"/>
        <v>1</v>
      </c>
      <c r="AV1686">
        <f t="shared" si="51"/>
        <v>0</v>
      </c>
    </row>
    <row r="1687" spans="1:48" x14ac:dyDescent="0.25">
      <c r="A1687" t="s">
        <v>6639</v>
      </c>
      <c r="C1687" t="s">
        <v>4825</v>
      </c>
      <c r="D1687" t="s">
        <v>2898</v>
      </c>
      <c r="E1687" t="s">
        <v>2310</v>
      </c>
      <c r="F1687">
        <v>9</v>
      </c>
      <c r="G1687">
        <v>9.3000000000000007</v>
      </c>
      <c r="H1687" t="s">
        <v>2323</v>
      </c>
      <c r="I1687" s="21">
        <v>38708</v>
      </c>
      <c r="J1687">
        <v>2005</v>
      </c>
      <c r="K1687" s="21">
        <v>38729</v>
      </c>
      <c r="L1687">
        <v>2006</v>
      </c>
      <c r="M1687" s="21">
        <v>38862</v>
      </c>
      <c r="N1687">
        <v>2006</v>
      </c>
      <c r="R1687" s="262">
        <v>60000</v>
      </c>
      <c r="S1687" t="s">
        <v>114</v>
      </c>
      <c r="T1687" t="s">
        <v>114</v>
      </c>
      <c r="U1687">
        <v>5</v>
      </c>
      <c r="W1687">
        <v>0</v>
      </c>
      <c r="X1687">
        <v>0</v>
      </c>
      <c r="Y1687">
        <v>0</v>
      </c>
      <c r="Z1687">
        <v>0</v>
      </c>
      <c r="AA1687">
        <v>0</v>
      </c>
      <c r="AB1687">
        <v>0</v>
      </c>
      <c r="AC1687">
        <v>0</v>
      </c>
      <c r="AD1687">
        <v>0</v>
      </c>
      <c r="AE1687">
        <v>0</v>
      </c>
      <c r="AF1687">
        <v>0</v>
      </c>
      <c r="AG1687">
        <v>0</v>
      </c>
      <c r="AH1687">
        <v>0</v>
      </c>
      <c r="AI1687">
        <v>0</v>
      </c>
      <c r="AJ1687">
        <v>0</v>
      </c>
      <c r="AK1687">
        <v>0</v>
      </c>
      <c r="AL1687">
        <v>0</v>
      </c>
      <c r="AM1687">
        <v>0</v>
      </c>
      <c r="AN1687">
        <v>0</v>
      </c>
      <c r="AO1687">
        <v>0</v>
      </c>
      <c r="AP1687">
        <v>0</v>
      </c>
      <c r="AQ1687">
        <v>0</v>
      </c>
      <c r="AR1687">
        <v>0</v>
      </c>
      <c r="AS1687">
        <v>0</v>
      </c>
      <c r="AT1687">
        <v>0</v>
      </c>
      <c r="AU1687">
        <f t="shared" si="50"/>
        <v>0</v>
      </c>
      <c r="AV1687">
        <f t="shared" si="51"/>
        <v>0</v>
      </c>
    </row>
    <row r="1688" spans="1:48" x14ac:dyDescent="0.25">
      <c r="A1688" t="s">
        <v>6640</v>
      </c>
      <c r="C1688" t="s">
        <v>6641</v>
      </c>
      <c r="D1688" t="s">
        <v>5888</v>
      </c>
      <c r="E1688" t="s">
        <v>2310</v>
      </c>
      <c r="F1688">
        <v>9</v>
      </c>
      <c r="G1688">
        <v>9.3000000000000007</v>
      </c>
      <c r="H1688" t="s">
        <v>2323</v>
      </c>
      <c r="I1688" s="21">
        <v>38714</v>
      </c>
      <c r="J1688">
        <v>2005</v>
      </c>
      <c r="K1688" s="21">
        <v>38729</v>
      </c>
      <c r="L1688">
        <v>2006</v>
      </c>
      <c r="M1688" s="21">
        <v>39624</v>
      </c>
      <c r="N1688">
        <v>2008</v>
      </c>
      <c r="R1688" s="262">
        <v>10000</v>
      </c>
      <c r="S1688" t="s">
        <v>114</v>
      </c>
      <c r="T1688" t="s">
        <v>114</v>
      </c>
      <c r="U1688">
        <v>5</v>
      </c>
      <c r="W1688">
        <v>394</v>
      </c>
      <c r="X1688">
        <v>0</v>
      </c>
      <c r="Y1688">
        <v>0</v>
      </c>
      <c r="Z1688">
        <v>0</v>
      </c>
      <c r="AA1688">
        <v>0</v>
      </c>
      <c r="AB1688">
        <v>0</v>
      </c>
      <c r="AC1688">
        <v>394</v>
      </c>
      <c r="AD1688">
        <v>0</v>
      </c>
      <c r="AE1688">
        <v>0</v>
      </c>
      <c r="AF1688">
        <v>0</v>
      </c>
      <c r="AG1688">
        <v>0</v>
      </c>
      <c r="AH1688">
        <v>0</v>
      </c>
      <c r="AI1688">
        <v>0</v>
      </c>
      <c r="AJ1688">
        <v>0</v>
      </c>
      <c r="AK1688">
        <v>0</v>
      </c>
      <c r="AL1688">
        <v>0</v>
      </c>
      <c r="AM1688">
        <v>0</v>
      </c>
      <c r="AN1688">
        <v>0</v>
      </c>
      <c r="AO1688">
        <v>0</v>
      </c>
      <c r="AP1688">
        <v>0</v>
      </c>
      <c r="AQ1688">
        <v>0</v>
      </c>
      <c r="AR1688">
        <v>0</v>
      </c>
      <c r="AS1688">
        <v>0</v>
      </c>
      <c r="AT1688">
        <v>0</v>
      </c>
      <c r="AU1688">
        <f t="shared" si="50"/>
        <v>0</v>
      </c>
      <c r="AV1688">
        <f t="shared" si="51"/>
        <v>0</v>
      </c>
    </row>
    <row r="1689" spans="1:48" x14ac:dyDescent="0.25">
      <c r="A1689" t="s">
        <v>6642</v>
      </c>
      <c r="C1689" t="s">
        <v>6643</v>
      </c>
      <c r="D1689" t="s">
        <v>6644</v>
      </c>
      <c r="E1689" t="s">
        <v>2310</v>
      </c>
      <c r="F1689">
        <v>9</v>
      </c>
      <c r="G1689">
        <v>9.3000000000000007</v>
      </c>
      <c r="H1689" t="s">
        <v>2323</v>
      </c>
      <c r="I1689" s="21">
        <v>38721</v>
      </c>
      <c r="J1689">
        <v>2006</v>
      </c>
      <c r="K1689" s="21">
        <v>38735</v>
      </c>
      <c r="L1689">
        <v>2006</v>
      </c>
      <c r="M1689" s="21">
        <v>38848</v>
      </c>
      <c r="N1689">
        <v>2006</v>
      </c>
      <c r="R1689" s="262">
        <v>28000</v>
      </c>
      <c r="S1689" t="s">
        <v>114</v>
      </c>
      <c r="T1689" t="s">
        <v>114</v>
      </c>
      <c r="U1689">
        <v>5</v>
      </c>
      <c r="W1689">
        <v>144</v>
      </c>
      <c r="X1689">
        <v>0</v>
      </c>
      <c r="Y1689">
        <v>0</v>
      </c>
      <c r="Z1689">
        <v>0</v>
      </c>
      <c r="AA1689">
        <v>0</v>
      </c>
      <c r="AB1689">
        <v>0</v>
      </c>
      <c r="AC1689">
        <v>144</v>
      </c>
      <c r="AD1689">
        <v>0</v>
      </c>
      <c r="AE1689">
        <v>0</v>
      </c>
      <c r="AF1689">
        <v>0</v>
      </c>
      <c r="AG1689">
        <v>0</v>
      </c>
      <c r="AH1689">
        <v>0</v>
      </c>
      <c r="AI1689">
        <v>0</v>
      </c>
      <c r="AJ1689">
        <v>0</v>
      </c>
      <c r="AK1689">
        <v>0</v>
      </c>
      <c r="AL1689">
        <v>0</v>
      </c>
      <c r="AM1689">
        <v>0</v>
      </c>
      <c r="AN1689">
        <v>0</v>
      </c>
      <c r="AO1689">
        <v>0</v>
      </c>
      <c r="AP1689">
        <v>0</v>
      </c>
      <c r="AQ1689">
        <v>0</v>
      </c>
      <c r="AR1689">
        <v>0</v>
      </c>
      <c r="AS1689">
        <v>0</v>
      </c>
      <c r="AT1689">
        <v>0</v>
      </c>
      <c r="AU1689">
        <f t="shared" ref="AU1689:AU1752" si="52">SUM(AN1689:AQ1689,AS1689)</f>
        <v>0</v>
      </c>
      <c r="AV1689">
        <f t="shared" ref="AV1689:AV1752" si="53">SUM(Y1689:AB1689,AH1689:AM1689)</f>
        <v>0</v>
      </c>
    </row>
    <row r="1690" spans="1:48" x14ac:dyDescent="0.25">
      <c r="A1690" t="s">
        <v>6645</v>
      </c>
      <c r="C1690" t="s">
        <v>6646</v>
      </c>
      <c r="D1690" t="s">
        <v>6647</v>
      </c>
      <c r="E1690" t="s">
        <v>2310</v>
      </c>
      <c r="F1690">
        <v>7</v>
      </c>
      <c r="G1690">
        <v>7.1</v>
      </c>
      <c r="H1690" t="s">
        <v>2017</v>
      </c>
      <c r="I1690" s="21">
        <v>38721</v>
      </c>
      <c r="J1690">
        <v>2006</v>
      </c>
      <c r="K1690" s="21">
        <v>38736</v>
      </c>
      <c r="L1690">
        <v>2006</v>
      </c>
      <c r="M1690" s="21">
        <v>39161</v>
      </c>
      <c r="N1690">
        <v>2007</v>
      </c>
      <c r="R1690" s="262">
        <v>32000</v>
      </c>
      <c r="S1690" t="s">
        <v>114</v>
      </c>
      <c r="T1690" t="s">
        <v>114</v>
      </c>
      <c r="U1690">
        <v>15</v>
      </c>
      <c r="W1690">
        <v>0</v>
      </c>
      <c r="X1690">
        <v>0</v>
      </c>
      <c r="Y1690">
        <v>0</v>
      </c>
      <c r="Z1690">
        <v>0</v>
      </c>
      <c r="AA1690">
        <v>0</v>
      </c>
      <c r="AB1690">
        <v>0</v>
      </c>
      <c r="AC1690">
        <v>0</v>
      </c>
      <c r="AD1690">
        <v>0</v>
      </c>
      <c r="AE1690">
        <v>0</v>
      </c>
      <c r="AF1690">
        <v>0</v>
      </c>
      <c r="AG1690">
        <v>0</v>
      </c>
      <c r="AH1690">
        <v>0</v>
      </c>
      <c r="AI1690">
        <v>0</v>
      </c>
      <c r="AJ1690">
        <v>0</v>
      </c>
      <c r="AK1690">
        <v>0</v>
      </c>
      <c r="AL1690">
        <v>0</v>
      </c>
      <c r="AM1690">
        <v>0</v>
      </c>
      <c r="AN1690">
        <v>0</v>
      </c>
      <c r="AO1690">
        <v>0</v>
      </c>
      <c r="AP1690">
        <v>0</v>
      </c>
      <c r="AQ1690">
        <v>0</v>
      </c>
      <c r="AR1690">
        <v>0</v>
      </c>
      <c r="AS1690">
        <v>0</v>
      </c>
      <c r="AT1690">
        <v>0</v>
      </c>
      <c r="AU1690">
        <f t="shared" si="52"/>
        <v>0</v>
      </c>
      <c r="AV1690">
        <f t="shared" si="53"/>
        <v>0</v>
      </c>
    </row>
    <row r="1691" spans="1:48" x14ac:dyDescent="0.25">
      <c r="A1691" t="s">
        <v>6648</v>
      </c>
      <c r="C1691" t="s">
        <v>6649</v>
      </c>
      <c r="D1691" t="s">
        <v>6650</v>
      </c>
      <c r="E1691" t="s">
        <v>1663</v>
      </c>
      <c r="F1691">
        <v>6</v>
      </c>
      <c r="G1691">
        <v>6.2</v>
      </c>
      <c r="H1691" t="s">
        <v>2017</v>
      </c>
      <c r="I1691" s="21">
        <v>38722</v>
      </c>
      <c r="J1691">
        <v>2006</v>
      </c>
      <c r="K1691" s="21">
        <v>38753</v>
      </c>
      <c r="L1691">
        <v>2006</v>
      </c>
      <c r="M1691" s="21">
        <v>38903</v>
      </c>
      <c r="N1691">
        <v>2006</v>
      </c>
      <c r="Q1691" s="262">
        <v>0</v>
      </c>
      <c r="S1691" t="s">
        <v>114</v>
      </c>
      <c r="T1691" t="s">
        <v>114</v>
      </c>
      <c r="W1691">
        <v>3456</v>
      </c>
      <c r="X1691">
        <v>1</v>
      </c>
      <c r="Y1691">
        <v>0</v>
      </c>
      <c r="Z1691">
        <v>0</v>
      </c>
      <c r="AA1691">
        <v>0</v>
      </c>
      <c r="AB1691">
        <v>0</v>
      </c>
      <c r="AC1691">
        <v>3456</v>
      </c>
      <c r="AD1691">
        <v>0</v>
      </c>
      <c r="AE1691">
        <v>0</v>
      </c>
      <c r="AF1691">
        <v>0</v>
      </c>
      <c r="AG1691">
        <v>0</v>
      </c>
      <c r="AH1691">
        <v>0</v>
      </c>
      <c r="AI1691">
        <v>0</v>
      </c>
      <c r="AJ1691">
        <v>0</v>
      </c>
      <c r="AK1691">
        <v>0</v>
      </c>
      <c r="AL1691">
        <v>0</v>
      </c>
      <c r="AM1691">
        <v>0</v>
      </c>
      <c r="AN1691">
        <v>0</v>
      </c>
      <c r="AO1691">
        <v>1</v>
      </c>
      <c r="AP1691">
        <v>0</v>
      </c>
      <c r="AQ1691">
        <v>0</v>
      </c>
      <c r="AR1691">
        <v>0</v>
      </c>
      <c r="AS1691">
        <v>0</v>
      </c>
      <c r="AT1691">
        <v>0</v>
      </c>
      <c r="AU1691">
        <f t="shared" si="52"/>
        <v>1</v>
      </c>
      <c r="AV1691">
        <f t="shared" si="53"/>
        <v>0</v>
      </c>
    </row>
    <row r="1692" spans="1:48" x14ac:dyDescent="0.25">
      <c r="A1692" t="s">
        <v>6651</v>
      </c>
      <c r="C1692" t="s">
        <v>6652</v>
      </c>
      <c r="D1692" t="s">
        <v>4087</v>
      </c>
      <c r="E1692" t="s">
        <v>2310</v>
      </c>
      <c r="F1692">
        <v>15</v>
      </c>
      <c r="G1692">
        <v>15.2</v>
      </c>
      <c r="H1692" t="s">
        <v>2323</v>
      </c>
      <c r="I1692" s="21">
        <v>38722</v>
      </c>
      <c r="J1692">
        <v>2006</v>
      </c>
      <c r="K1692" s="21">
        <v>38737</v>
      </c>
      <c r="L1692">
        <v>2006</v>
      </c>
      <c r="M1692" s="21">
        <v>39094</v>
      </c>
      <c r="N1692">
        <v>2007</v>
      </c>
      <c r="R1692" s="262">
        <v>1800</v>
      </c>
      <c r="S1692" t="s">
        <v>114</v>
      </c>
      <c r="T1692" t="s">
        <v>114</v>
      </c>
      <c r="U1692">
        <v>5</v>
      </c>
      <c r="W1692">
        <v>0</v>
      </c>
      <c r="X1692">
        <v>0</v>
      </c>
      <c r="Y1692">
        <v>0</v>
      </c>
      <c r="Z1692">
        <v>0</v>
      </c>
      <c r="AA1692">
        <v>0</v>
      </c>
      <c r="AB1692">
        <v>0</v>
      </c>
      <c r="AC1692">
        <v>0</v>
      </c>
      <c r="AD1692">
        <v>0</v>
      </c>
      <c r="AE1692">
        <v>0</v>
      </c>
      <c r="AF1692">
        <v>0</v>
      </c>
      <c r="AG1692">
        <v>0</v>
      </c>
      <c r="AH1692">
        <v>0</v>
      </c>
      <c r="AI1692">
        <v>0</v>
      </c>
      <c r="AJ1692">
        <v>0</v>
      </c>
      <c r="AK1692">
        <v>0</v>
      </c>
      <c r="AL1692">
        <v>0</v>
      </c>
      <c r="AM1692">
        <v>0</v>
      </c>
      <c r="AN1692">
        <v>0</v>
      </c>
      <c r="AO1692">
        <v>0</v>
      </c>
      <c r="AP1692">
        <v>0</v>
      </c>
      <c r="AQ1692">
        <v>0</v>
      </c>
      <c r="AR1692">
        <v>0</v>
      </c>
      <c r="AS1692">
        <v>0</v>
      </c>
      <c r="AT1692">
        <v>0</v>
      </c>
      <c r="AU1692">
        <f t="shared" si="52"/>
        <v>0</v>
      </c>
      <c r="AV1692">
        <f t="shared" si="53"/>
        <v>0</v>
      </c>
    </row>
    <row r="1693" spans="1:48" x14ac:dyDescent="0.25">
      <c r="A1693" t="s">
        <v>6653</v>
      </c>
      <c r="C1693" t="s">
        <v>6654</v>
      </c>
      <c r="D1693" t="s">
        <v>6655</v>
      </c>
      <c r="E1693" t="s">
        <v>2310</v>
      </c>
      <c r="F1693">
        <v>13</v>
      </c>
      <c r="G1693">
        <v>13.3</v>
      </c>
      <c r="H1693" t="s">
        <v>2017</v>
      </c>
      <c r="I1693" s="21">
        <v>38726</v>
      </c>
      <c r="J1693">
        <v>2006</v>
      </c>
      <c r="K1693" s="21">
        <v>38741</v>
      </c>
      <c r="L1693">
        <v>2006</v>
      </c>
      <c r="M1693" s="21">
        <v>38741</v>
      </c>
      <c r="N1693">
        <v>2006</v>
      </c>
      <c r="R1693" s="262">
        <v>200000</v>
      </c>
      <c r="S1693" t="s">
        <v>114</v>
      </c>
      <c r="T1693" t="s">
        <v>114</v>
      </c>
      <c r="U1693">
        <v>5</v>
      </c>
      <c r="W1693">
        <v>287</v>
      </c>
      <c r="X1693">
        <v>0</v>
      </c>
      <c r="Y1693">
        <v>0</v>
      </c>
      <c r="Z1693">
        <v>0</v>
      </c>
      <c r="AA1693">
        <v>0</v>
      </c>
      <c r="AB1693">
        <v>0</v>
      </c>
      <c r="AC1693">
        <v>287</v>
      </c>
      <c r="AD1693">
        <v>0</v>
      </c>
      <c r="AE1693">
        <v>0</v>
      </c>
      <c r="AF1693">
        <v>0</v>
      </c>
      <c r="AG1693">
        <v>0</v>
      </c>
      <c r="AH1693">
        <v>0</v>
      </c>
      <c r="AI1693">
        <v>0</v>
      </c>
      <c r="AJ1693">
        <v>0</v>
      </c>
      <c r="AK1693">
        <v>0</v>
      </c>
      <c r="AL1693">
        <v>0</v>
      </c>
      <c r="AM1693">
        <v>0</v>
      </c>
      <c r="AN1693">
        <v>0</v>
      </c>
      <c r="AO1693">
        <v>0</v>
      </c>
      <c r="AP1693">
        <v>0</v>
      </c>
      <c r="AQ1693">
        <v>0</v>
      </c>
      <c r="AR1693">
        <v>0</v>
      </c>
      <c r="AS1693">
        <v>0</v>
      </c>
      <c r="AT1693">
        <v>0</v>
      </c>
      <c r="AU1693">
        <f t="shared" si="52"/>
        <v>0</v>
      </c>
      <c r="AV1693">
        <f t="shared" si="53"/>
        <v>0</v>
      </c>
    </row>
    <row r="1694" spans="1:48" x14ac:dyDescent="0.25">
      <c r="A1694" t="s">
        <v>6656</v>
      </c>
      <c r="C1694" t="s">
        <v>6657</v>
      </c>
      <c r="D1694" t="s">
        <v>6658</v>
      </c>
      <c r="E1694" t="s">
        <v>2310</v>
      </c>
      <c r="F1694">
        <v>9</v>
      </c>
      <c r="G1694">
        <v>9.1999999999999993</v>
      </c>
      <c r="H1694" t="s">
        <v>2022</v>
      </c>
      <c r="I1694" s="21">
        <v>38730</v>
      </c>
      <c r="J1694">
        <v>2006</v>
      </c>
      <c r="K1694" s="21">
        <v>38756</v>
      </c>
      <c r="L1694">
        <v>2006</v>
      </c>
      <c r="M1694" s="21">
        <v>38943</v>
      </c>
      <c r="N1694">
        <v>2006</v>
      </c>
      <c r="R1694" s="262">
        <v>250000</v>
      </c>
      <c r="S1694" t="s">
        <v>114</v>
      </c>
      <c r="T1694" t="s">
        <v>114</v>
      </c>
      <c r="U1694">
        <v>1</v>
      </c>
      <c r="W1694">
        <v>0</v>
      </c>
      <c r="X1694">
        <v>0</v>
      </c>
      <c r="Y1694">
        <v>0</v>
      </c>
      <c r="Z1694">
        <v>0</v>
      </c>
      <c r="AA1694">
        <v>0</v>
      </c>
      <c r="AB1694">
        <v>0</v>
      </c>
      <c r="AC1694">
        <v>0</v>
      </c>
      <c r="AD1694">
        <v>0</v>
      </c>
      <c r="AE1694">
        <v>0</v>
      </c>
      <c r="AF1694">
        <v>0</v>
      </c>
      <c r="AG1694">
        <v>0</v>
      </c>
      <c r="AH1694">
        <v>0</v>
      </c>
      <c r="AI1694">
        <v>0</v>
      </c>
      <c r="AJ1694">
        <v>0</v>
      </c>
      <c r="AK1694">
        <v>0</v>
      </c>
      <c r="AL1694">
        <v>0</v>
      </c>
      <c r="AM1694">
        <v>0</v>
      </c>
      <c r="AN1694">
        <v>0</v>
      </c>
      <c r="AO1694">
        <v>0</v>
      </c>
      <c r="AP1694">
        <v>0</v>
      </c>
      <c r="AQ1694">
        <v>0</v>
      </c>
      <c r="AR1694">
        <v>0</v>
      </c>
      <c r="AS1694">
        <v>0</v>
      </c>
      <c r="AT1694">
        <v>0</v>
      </c>
      <c r="AU1694">
        <f t="shared" si="52"/>
        <v>0</v>
      </c>
      <c r="AV1694">
        <f t="shared" si="53"/>
        <v>0</v>
      </c>
    </row>
    <row r="1695" spans="1:48" x14ac:dyDescent="0.25">
      <c r="A1695" t="s">
        <v>6659</v>
      </c>
      <c r="C1695" t="s">
        <v>6660</v>
      </c>
      <c r="D1695" t="s">
        <v>4600</v>
      </c>
      <c r="E1695" t="s">
        <v>2310</v>
      </c>
      <c r="F1695">
        <v>9</v>
      </c>
      <c r="G1695">
        <v>9.4</v>
      </c>
      <c r="H1695" t="s">
        <v>2323</v>
      </c>
      <c r="I1695" s="21">
        <v>38734</v>
      </c>
      <c r="J1695">
        <v>2006</v>
      </c>
      <c r="K1695" s="21">
        <v>38778</v>
      </c>
      <c r="L1695">
        <v>2006</v>
      </c>
      <c r="M1695" s="21">
        <v>38888</v>
      </c>
      <c r="N1695">
        <v>2006</v>
      </c>
      <c r="R1695" s="262">
        <v>40000</v>
      </c>
      <c r="S1695" t="s">
        <v>114</v>
      </c>
      <c r="T1695" t="s">
        <v>114</v>
      </c>
      <c r="U1695">
        <v>5</v>
      </c>
      <c r="W1695">
        <v>192</v>
      </c>
      <c r="X1695">
        <v>0</v>
      </c>
      <c r="Y1695">
        <v>0</v>
      </c>
      <c r="Z1695">
        <v>0</v>
      </c>
      <c r="AA1695">
        <v>0</v>
      </c>
      <c r="AB1695">
        <v>0</v>
      </c>
      <c r="AC1695">
        <v>192</v>
      </c>
      <c r="AD1695">
        <v>0</v>
      </c>
      <c r="AE1695">
        <v>0</v>
      </c>
      <c r="AF1695">
        <v>0</v>
      </c>
      <c r="AG1695">
        <v>0</v>
      </c>
      <c r="AH1695">
        <v>0</v>
      </c>
      <c r="AI1695">
        <v>0</v>
      </c>
      <c r="AJ1695">
        <v>0</v>
      </c>
      <c r="AK1695">
        <v>0</v>
      </c>
      <c r="AL1695">
        <v>0</v>
      </c>
      <c r="AM1695">
        <v>0</v>
      </c>
      <c r="AN1695">
        <v>0</v>
      </c>
      <c r="AO1695">
        <v>0</v>
      </c>
      <c r="AP1695">
        <v>0</v>
      </c>
      <c r="AQ1695">
        <v>0</v>
      </c>
      <c r="AR1695">
        <v>0</v>
      </c>
      <c r="AS1695">
        <v>0</v>
      </c>
      <c r="AT1695">
        <v>0</v>
      </c>
      <c r="AU1695">
        <f t="shared" si="52"/>
        <v>0</v>
      </c>
      <c r="AV1695">
        <f t="shared" si="53"/>
        <v>0</v>
      </c>
    </row>
    <row r="1696" spans="1:48" x14ac:dyDescent="0.25">
      <c r="A1696" t="s">
        <v>6663</v>
      </c>
      <c r="C1696" t="s">
        <v>3509</v>
      </c>
      <c r="D1696" t="s">
        <v>6664</v>
      </c>
      <c r="E1696" t="s">
        <v>2310</v>
      </c>
      <c r="F1696">
        <v>9</v>
      </c>
      <c r="G1696">
        <v>9.1</v>
      </c>
      <c r="H1696" t="s">
        <v>2323</v>
      </c>
      <c r="I1696" s="21">
        <v>38735</v>
      </c>
      <c r="J1696">
        <v>2006</v>
      </c>
      <c r="K1696" s="21">
        <v>38783</v>
      </c>
      <c r="L1696">
        <v>2006</v>
      </c>
      <c r="M1696" s="21">
        <v>38783</v>
      </c>
      <c r="N1696">
        <v>2006</v>
      </c>
      <c r="R1696" s="262">
        <v>460000</v>
      </c>
      <c r="S1696" t="s">
        <v>114</v>
      </c>
      <c r="T1696" t="s">
        <v>114</v>
      </c>
      <c r="U1696">
        <v>5</v>
      </c>
      <c r="W1696">
        <v>4115</v>
      </c>
      <c r="X1696">
        <v>1</v>
      </c>
      <c r="Y1696">
        <v>0</v>
      </c>
      <c r="Z1696">
        <v>0</v>
      </c>
      <c r="AA1696">
        <v>0</v>
      </c>
      <c r="AB1696">
        <v>0</v>
      </c>
      <c r="AC1696">
        <v>4115</v>
      </c>
      <c r="AD1696">
        <v>0</v>
      </c>
      <c r="AE1696">
        <v>0</v>
      </c>
      <c r="AF1696">
        <v>0</v>
      </c>
      <c r="AG1696">
        <v>0</v>
      </c>
      <c r="AH1696">
        <v>0</v>
      </c>
      <c r="AI1696">
        <v>0</v>
      </c>
      <c r="AJ1696">
        <v>0</v>
      </c>
      <c r="AK1696">
        <v>0</v>
      </c>
      <c r="AL1696">
        <v>0</v>
      </c>
      <c r="AM1696">
        <v>0</v>
      </c>
      <c r="AN1696">
        <v>0</v>
      </c>
      <c r="AO1696">
        <v>1</v>
      </c>
      <c r="AP1696">
        <v>0</v>
      </c>
      <c r="AQ1696">
        <v>0</v>
      </c>
      <c r="AR1696">
        <v>0</v>
      </c>
      <c r="AS1696">
        <v>0</v>
      </c>
      <c r="AT1696">
        <v>0</v>
      </c>
      <c r="AU1696">
        <f t="shared" si="52"/>
        <v>1</v>
      </c>
      <c r="AV1696">
        <f t="shared" si="53"/>
        <v>0</v>
      </c>
    </row>
    <row r="1697" spans="1:48" x14ac:dyDescent="0.25">
      <c r="A1697" t="s">
        <v>6661</v>
      </c>
      <c r="C1697" t="s">
        <v>6662</v>
      </c>
      <c r="D1697" t="s">
        <v>6475</v>
      </c>
      <c r="E1697" t="s">
        <v>1663</v>
      </c>
      <c r="F1697">
        <v>5</v>
      </c>
      <c r="G1697">
        <v>5.0999999999999996</v>
      </c>
      <c r="H1697" t="s">
        <v>2327</v>
      </c>
      <c r="I1697" s="21">
        <v>38735</v>
      </c>
      <c r="J1697">
        <v>2006</v>
      </c>
      <c r="K1697" s="21">
        <v>38766</v>
      </c>
      <c r="L1697">
        <v>2006</v>
      </c>
      <c r="M1697" s="21">
        <v>38916</v>
      </c>
      <c r="N1697">
        <v>2006</v>
      </c>
      <c r="Q1697" s="262">
        <v>20000</v>
      </c>
      <c r="S1697" t="s">
        <v>114</v>
      </c>
      <c r="T1697" t="s">
        <v>114</v>
      </c>
      <c r="W1697">
        <v>960</v>
      </c>
      <c r="X1697">
        <v>0</v>
      </c>
      <c r="Y1697">
        <v>0</v>
      </c>
      <c r="Z1697">
        <v>0</v>
      </c>
      <c r="AA1697">
        <v>0</v>
      </c>
      <c r="AB1697">
        <v>0</v>
      </c>
      <c r="AC1697">
        <v>0</v>
      </c>
      <c r="AD1697">
        <v>0</v>
      </c>
      <c r="AE1697">
        <v>0</v>
      </c>
      <c r="AF1697">
        <v>0</v>
      </c>
      <c r="AG1697">
        <v>0</v>
      </c>
      <c r="AH1697">
        <v>0</v>
      </c>
      <c r="AI1697">
        <v>0</v>
      </c>
      <c r="AJ1697">
        <v>0</v>
      </c>
      <c r="AK1697">
        <v>960</v>
      </c>
      <c r="AL1697">
        <v>0</v>
      </c>
      <c r="AM1697">
        <v>0</v>
      </c>
      <c r="AN1697">
        <v>0</v>
      </c>
      <c r="AO1697">
        <v>0</v>
      </c>
      <c r="AP1697">
        <v>0</v>
      </c>
      <c r="AQ1697">
        <v>0</v>
      </c>
      <c r="AR1697">
        <v>0</v>
      </c>
      <c r="AS1697">
        <v>0</v>
      </c>
      <c r="AT1697">
        <v>0</v>
      </c>
      <c r="AU1697">
        <f t="shared" si="52"/>
        <v>0</v>
      </c>
      <c r="AV1697">
        <f t="shared" si="53"/>
        <v>960</v>
      </c>
    </row>
    <row r="1698" spans="1:48" x14ac:dyDescent="0.25">
      <c r="A1698" t="s">
        <v>6665</v>
      </c>
      <c r="C1698" t="s">
        <v>6666</v>
      </c>
      <c r="D1698" t="s">
        <v>6667</v>
      </c>
      <c r="E1698" t="s">
        <v>2310</v>
      </c>
      <c r="F1698">
        <v>15</v>
      </c>
      <c r="G1698">
        <v>15.2</v>
      </c>
      <c r="H1698" t="s">
        <v>2323</v>
      </c>
      <c r="I1698" s="21">
        <v>38741</v>
      </c>
      <c r="J1698">
        <v>2006</v>
      </c>
      <c r="K1698" s="21">
        <v>39169</v>
      </c>
      <c r="L1698">
        <v>2007</v>
      </c>
      <c r="M1698" s="21">
        <v>40093.372245370403</v>
      </c>
      <c r="N1698">
        <v>2009</v>
      </c>
      <c r="R1698" s="262">
        <v>4000000</v>
      </c>
      <c r="S1698" t="s">
        <v>114</v>
      </c>
      <c r="T1698" t="s">
        <v>114</v>
      </c>
      <c r="U1698">
        <v>5</v>
      </c>
      <c r="W1698">
        <v>12185</v>
      </c>
      <c r="X1698">
        <v>1</v>
      </c>
      <c r="Y1698">
        <v>0</v>
      </c>
      <c r="Z1698">
        <v>0</v>
      </c>
      <c r="AA1698">
        <v>0</v>
      </c>
      <c r="AB1698">
        <v>0</v>
      </c>
      <c r="AC1698">
        <v>12185</v>
      </c>
      <c r="AD1698">
        <v>0</v>
      </c>
      <c r="AE1698">
        <v>0</v>
      </c>
      <c r="AF1698">
        <v>0</v>
      </c>
      <c r="AG1698">
        <v>0</v>
      </c>
      <c r="AH1698">
        <v>0</v>
      </c>
      <c r="AI1698">
        <v>0</v>
      </c>
      <c r="AJ1698">
        <v>0</v>
      </c>
      <c r="AK1698">
        <v>0</v>
      </c>
      <c r="AL1698">
        <v>0</v>
      </c>
      <c r="AM1698">
        <v>0</v>
      </c>
      <c r="AN1698">
        <v>0</v>
      </c>
      <c r="AO1698">
        <v>1</v>
      </c>
      <c r="AP1698">
        <v>0</v>
      </c>
      <c r="AQ1698">
        <v>0</v>
      </c>
      <c r="AR1698">
        <v>0</v>
      </c>
      <c r="AS1698">
        <v>0</v>
      </c>
      <c r="AT1698">
        <v>0</v>
      </c>
      <c r="AU1698">
        <f t="shared" si="52"/>
        <v>1</v>
      </c>
      <c r="AV1698">
        <f t="shared" si="53"/>
        <v>0</v>
      </c>
    </row>
    <row r="1699" spans="1:48" x14ac:dyDescent="0.25">
      <c r="A1699" t="s">
        <v>6668</v>
      </c>
      <c r="C1699" t="s">
        <v>6669</v>
      </c>
      <c r="D1699" t="s">
        <v>6670</v>
      </c>
      <c r="E1699" t="s">
        <v>2310</v>
      </c>
      <c r="F1699">
        <v>14</v>
      </c>
      <c r="G1699">
        <v>14.2</v>
      </c>
      <c r="H1699" t="s">
        <v>2017</v>
      </c>
      <c r="I1699" s="21">
        <v>38742</v>
      </c>
      <c r="J1699">
        <v>2006</v>
      </c>
      <c r="K1699" s="21">
        <v>38784</v>
      </c>
      <c r="L1699">
        <v>2006</v>
      </c>
      <c r="M1699" s="21">
        <v>39287</v>
      </c>
      <c r="N1699">
        <v>2007</v>
      </c>
      <c r="R1699" s="262">
        <v>500000</v>
      </c>
      <c r="S1699" t="s">
        <v>114</v>
      </c>
      <c r="T1699" t="s">
        <v>114</v>
      </c>
      <c r="U1699">
        <v>5</v>
      </c>
      <c r="W1699">
        <v>4057</v>
      </c>
      <c r="X1699">
        <v>1</v>
      </c>
      <c r="Y1699">
        <v>0</v>
      </c>
      <c r="Z1699">
        <v>0</v>
      </c>
      <c r="AA1699">
        <v>0</v>
      </c>
      <c r="AB1699">
        <v>0</v>
      </c>
      <c r="AC1699">
        <v>4057</v>
      </c>
      <c r="AD1699">
        <v>0</v>
      </c>
      <c r="AE1699">
        <v>0</v>
      </c>
      <c r="AF1699">
        <v>0</v>
      </c>
      <c r="AG1699">
        <v>0</v>
      </c>
      <c r="AH1699">
        <v>0</v>
      </c>
      <c r="AI1699">
        <v>0</v>
      </c>
      <c r="AJ1699">
        <v>0</v>
      </c>
      <c r="AK1699">
        <v>0</v>
      </c>
      <c r="AL1699">
        <v>0</v>
      </c>
      <c r="AM1699">
        <v>0</v>
      </c>
      <c r="AN1699">
        <v>0</v>
      </c>
      <c r="AO1699">
        <v>1</v>
      </c>
      <c r="AP1699">
        <v>0</v>
      </c>
      <c r="AQ1699">
        <v>0</v>
      </c>
      <c r="AR1699">
        <v>0</v>
      </c>
      <c r="AS1699">
        <v>0</v>
      </c>
      <c r="AT1699">
        <v>0</v>
      </c>
      <c r="AU1699">
        <f t="shared" si="52"/>
        <v>1</v>
      </c>
      <c r="AV1699">
        <f t="shared" si="53"/>
        <v>0</v>
      </c>
    </row>
    <row r="1700" spans="1:48" x14ac:dyDescent="0.25">
      <c r="A1700" t="s">
        <v>6671</v>
      </c>
      <c r="C1700" t="s">
        <v>6672</v>
      </c>
      <c r="D1700" t="s">
        <v>6673</v>
      </c>
      <c r="E1700" t="s">
        <v>2310</v>
      </c>
      <c r="F1700">
        <v>10</v>
      </c>
      <c r="G1700">
        <v>10.1</v>
      </c>
      <c r="H1700" t="s">
        <v>2323</v>
      </c>
      <c r="I1700" s="21">
        <v>38749</v>
      </c>
      <c r="J1700">
        <v>2006</v>
      </c>
      <c r="K1700" s="21">
        <v>38798</v>
      </c>
      <c r="L1700">
        <v>2006</v>
      </c>
      <c r="M1700" s="21">
        <v>38888</v>
      </c>
      <c r="N1700">
        <v>2006</v>
      </c>
      <c r="R1700" s="262">
        <v>45000</v>
      </c>
      <c r="S1700" t="s">
        <v>114</v>
      </c>
      <c r="T1700" t="s">
        <v>114</v>
      </c>
      <c r="U1700">
        <v>5</v>
      </c>
      <c r="W1700">
        <v>144</v>
      </c>
      <c r="X1700">
        <v>0</v>
      </c>
      <c r="Y1700">
        <v>0</v>
      </c>
      <c r="Z1700">
        <v>0</v>
      </c>
      <c r="AA1700">
        <v>0</v>
      </c>
      <c r="AB1700">
        <v>0</v>
      </c>
      <c r="AC1700">
        <v>144</v>
      </c>
      <c r="AD1700">
        <v>0</v>
      </c>
      <c r="AE1700">
        <v>0</v>
      </c>
      <c r="AF1700">
        <v>0</v>
      </c>
      <c r="AG1700">
        <v>0</v>
      </c>
      <c r="AH1700">
        <v>0</v>
      </c>
      <c r="AI1700">
        <v>0</v>
      </c>
      <c r="AJ1700">
        <v>0</v>
      </c>
      <c r="AK1700">
        <v>0</v>
      </c>
      <c r="AL1700">
        <v>0</v>
      </c>
      <c r="AM1700">
        <v>0</v>
      </c>
      <c r="AN1700">
        <v>0</v>
      </c>
      <c r="AO1700">
        <v>0</v>
      </c>
      <c r="AP1700">
        <v>0</v>
      </c>
      <c r="AQ1700">
        <v>0</v>
      </c>
      <c r="AR1700">
        <v>0</v>
      </c>
      <c r="AS1700">
        <v>0</v>
      </c>
      <c r="AT1700">
        <v>0</v>
      </c>
      <c r="AU1700">
        <f t="shared" si="52"/>
        <v>0</v>
      </c>
      <c r="AV1700">
        <f t="shared" si="53"/>
        <v>0</v>
      </c>
    </row>
    <row r="1701" spans="1:48" x14ac:dyDescent="0.25">
      <c r="A1701" t="s">
        <v>6674</v>
      </c>
      <c r="C1701" t="s">
        <v>6675</v>
      </c>
      <c r="D1701" t="s">
        <v>6676</v>
      </c>
      <c r="E1701" t="s">
        <v>2310</v>
      </c>
      <c r="F1701">
        <v>9</v>
      </c>
      <c r="G1701">
        <v>9.3000000000000007</v>
      </c>
      <c r="H1701" t="s">
        <v>2323</v>
      </c>
      <c r="I1701" s="21">
        <v>38749</v>
      </c>
      <c r="J1701">
        <v>2006</v>
      </c>
      <c r="K1701" s="21">
        <v>38792</v>
      </c>
      <c r="L1701">
        <v>2006</v>
      </c>
      <c r="M1701" s="21">
        <v>38792</v>
      </c>
      <c r="N1701">
        <v>2006</v>
      </c>
      <c r="R1701" s="262">
        <v>200000</v>
      </c>
      <c r="S1701" t="s">
        <v>114</v>
      </c>
      <c r="T1701" t="s">
        <v>114</v>
      </c>
      <c r="U1701">
        <v>5</v>
      </c>
      <c r="W1701">
        <v>0</v>
      </c>
      <c r="X1701">
        <v>0</v>
      </c>
      <c r="Y1701">
        <v>0</v>
      </c>
      <c r="Z1701">
        <v>0</v>
      </c>
      <c r="AA1701">
        <v>0</v>
      </c>
      <c r="AB1701">
        <v>0</v>
      </c>
      <c r="AC1701">
        <v>0</v>
      </c>
      <c r="AD1701">
        <v>0</v>
      </c>
      <c r="AE1701">
        <v>0</v>
      </c>
      <c r="AF1701">
        <v>0</v>
      </c>
      <c r="AG1701">
        <v>0</v>
      </c>
      <c r="AH1701">
        <v>0</v>
      </c>
      <c r="AI1701">
        <v>0</v>
      </c>
      <c r="AJ1701">
        <v>0</v>
      </c>
      <c r="AK1701">
        <v>0</v>
      </c>
      <c r="AL1701">
        <v>0</v>
      </c>
      <c r="AM1701">
        <v>0</v>
      </c>
      <c r="AN1701">
        <v>0</v>
      </c>
      <c r="AO1701">
        <v>0</v>
      </c>
      <c r="AP1701">
        <v>0</v>
      </c>
      <c r="AQ1701">
        <v>0</v>
      </c>
      <c r="AR1701">
        <v>0</v>
      </c>
      <c r="AS1701">
        <v>0</v>
      </c>
      <c r="AT1701">
        <v>0</v>
      </c>
      <c r="AU1701">
        <f t="shared" si="52"/>
        <v>0</v>
      </c>
      <c r="AV1701">
        <f t="shared" si="53"/>
        <v>0</v>
      </c>
    </row>
    <row r="1702" spans="1:48" x14ac:dyDescent="0.25">
      <c r="A1702" t="s">
        <v>6677</v>
      </c>
      <c r="C1702" t="s">
        <v>6678</v>
      </c>
      <c r="D1702" t="s">
        <v>4856</v>
      </c>
      <c r="E1702" t="s">
        <v>2310</v>
      </c>
      <c r="F1702">
        <v>9</v>
      </c>
      <c r="G1702">
        <v>9.3000000000000007</v>
      </c>
      <c r="H1702" t="s">
        <v>2323</v>
      </c>
      <c r="I1702" s="21">
        <v>38751</v>
      </c>
      <c r="J1702">
        <v>2006</v>
      </c>
      <c r="K1702" s="21">
        <v>38785</v>
      </c>
      <c r="L1702">
        <v>2006</v>
      </c>
      <c r="M1702" s="21">
        <v>38995</v>
      </c>
      <c r="N1702">
        <v>2006</v>
      </c>
      <c r="R1702" s="262">
        <v>110000</v>
      </c>
      <c r="S1702" t="s">
        <v>114</v>
      </c>
      <c r="T1702" t="s">
        <v>114</v>
      </c>
      <c r="U1702">
        <v>5</v>
      </c>
      <c r="W1702">
        <v>0</v>
      </c>
      <c r="X1702">
        <v>0</v>
      </c>
      <c r="Y1702">
        <v>0</v>
      </c>
      <c r="Z1702">
        <v>0</v>
      </c>
      <c r="AA1702">
        <v>0</v>
      </c>
      <c r="AB1702">
        <v>0</v>
      </c>
      <c r="AC1702">
        <v>0</v>
      </c>
      <c r="AD1702">
        <v>0</v>
      </c>
      <c r="AE1702">
        <v>0</v>
      </c>
      <c r="AF1702">
        <v>0</v>
      </c>
      <c r="AG1702">
        <v>0</v>
      </c>
      <c r="AH1702">
        <v>0</v>
      </c>
      <c r="AI1702">
        <v>0</v>
      </c>
      <c r="AJ1702">
        <v>0</v>
      </c>
      <c r="AK1702">
        <v>0</v>
      </c>
      <c r="AL1702">
        <v>0</v>
      </c>
      <c r="AM1702">
        <v>0</v>
      </c>
      <c r="AN1702">
        <v>0</v>
      </c>
      <c r="AO1702">
        <v>0</v>
      </c>
      <c r="AP1702">
        <v>0</v>
      </c>
      <c r="AQ1702">
        <v>0</v>
      </c>
      <c r="AR1702">
        <v>0</v>
      </c>
      <c r="AS1702">
        <v>0</v>
      </c>
      <c r="AT1702">
        <v>0</v>
      </c>
      <c r="AU1702">
        <f t="shared" si="52"/>
        <v>0</v>
      </c>
      <c r="AV1702">
        <f t="shared" si="53"/>
        <v>0</v>
      </c>
    </row>
    <row r="1703" spans="1:48" x14ac:dyDescent="0.25">
      <c r="A1703" t="s">
        <v>6679</v>
      </c>
      <c r="C1703" t="s">
        <v>6680</v>
      </c>
      <c r="D1703" t="s">
        <v>6681</v>
      </c>
      <c r="E1703" t="s">
        <v>2310</v>
      </c>
      <c r="F1703">
        <v>13</v>
      </c>
      <c r="G1703">
        <v>13.3</v>
      </c>
      <c r="H1703" t="s">
        <v>2017</v>
      </c>
      <c r="I1703" s="21">
        <v>38754</v>
      </c>
      <c r="J1703">
        <v>2006</v>
      </c>
      <c r="K1703" s="21">
        <v>38771</v>
      </c>
      <c r="L1703">
        <v>2006</v>
      </c>
      <c r="M1703" s="21">
        <v>38771</v>
      </c>
      <c r="N1703">
        <v>2006</v>
      </c>
      <c r="R1703" s="262">
        <v>200000</v>
      </c>
      <c r="S1703" t="s">
        <v>114</v>
      </c>
      <c r="T1703" t="s">
        <v>114</v>
      </c>
      <c r="U1703">
        <v>5</v>
      </c>
      <c r="W1703">
        <v>0</v>
      </c>
      <c r="X1703">
        <v>0</v>
      </c>
      <c r="Y1703">
        <v>0</v>
      </c>
      <c r="Z1703">
        <v>0</v>
      </c>
      <c r="AA1703">
        <v>0</v>
      </c>
      <c r="AB1703">
        <v>0</v>
      </c>
      <c r="AC1703">
        <v>0</v>
      </c>
      <c r="AD1703">
        <v>0</v>
      </c>
      <c r="AE1703">
        <v>0</v>
      </c>
      <c r="AF1703">
        <v>0</v>
      </c>
      <c r="AG1703">
        <v>0</v>
      </c>
      <c r="AH1703">
        <v>0</v>
      </c>
      <c r="AI1703">
        <v>0</v>
      </c>
      <c r="AJ1703">
        <v>0</v>
      </c>
      <c r="AK1703">
        <v>0</v>
      </c>
      <c r="AL1703">
        <v>0</v>
      </c>
      <c r="AM1703">
        <v>0</v>
      </c>
      <c r="AN1703">
        <v>0</v>
      </c>
      <c r="AO1703">
        <v>0</v>
      </c>
      <c r="AP1703">
        <v>0</v>
      </c>
      <c r="AQ1703">
        <v>0</v>
      </c>
      <c r="AR1703">
        <v>0</v>
      </c>
      <c r="AS1703">
        <v>0</v>
      </c>
      <c r="AT1703">
        <v>0</v>
      </c>
      <c r="AU1703">
        <f t="shared" si="52"/>
        <v>0</v>
      </c>
      <c r="AV1703">
        <f t="shared" si="53"/>
        <v>0</v>
      </c>
    </row>
    <row r="1704" spans="1:48" x14ac:dyDescent="0.25">
      <c r="A1704" t="s">
        <v>6682</v>
      </c>
      <c r="C1704" t="s">
        <v>3870</v>
      </c>
      <c r="D1704" t="s">
        <v>6002</v>
      </c>
      <c r="E1704" t="s">
        <v>2310</v>
      </c>
      <c r="F1704">
        <v>8</v>
      </c>
      <c r="G1704">
        <v>8.1999999999999993</v>
      </c>
      <c r="H1704" t="s">
        <v>2022</v>
      </c>
      <c r="I1704" s="21">
        <v>38755</v>
      </c>
      <c r="J1704">
        <v>2006</v>
      </c>
      <c r="K1704" s="21">
        <v>38786</v>
      </c>
      <c r="L1704">
        <v>2006</v>
      </c>
      <c r="M1704" s="21">
        <v>39057</v>
      </c>
      <c r="N1704">
        <v>2006</v>
      </c>
      <c r="R1704" s="262">
        <v>55000</v>
      </c>
      <c r="S1704" t="s">
        <v>114</v>
      </c>
      <c r="T1704" t="s">
        <v>114</v>
      </c>
      <c r="U1704">
        <v>5</v>
      </c>
      <c r="W1704">
        <v>587</v>
      </c>
      <c r="X1704">
        <v>0</v>
      </c>
      <c r="Y1704">
        <v>0</v>
      </c>
      <c r="Z1704">
        <v>0</v>
      </c>
      <c r="AA1704">
        <v>0</v>
      </c>
      <c r="AB1704">
        <v>0</v>
      </c>
      <c r="AC1704">
        <v>587</v>
      </c>
      <c r="AD1704">
        <v>0</v>
      </c>
      <c r="AE1704">
        <v>0</v>
      </c>
      <c r="AF1704">
        <v>0</v>
      </c>
      <c r="AG1704">
        <v>0</v>
      </c>
      <c r="AH1704">
        <v>0</v>
      </c>
      <c r="AI1704">
        <v>0</v>
      </c>
      <c r="AJ1704">
        <v>0</v>
      </c>
      <c r="AK1704">
        <v>0</v>
      </c>
      <c r="AL1704">
        <v>0</v>
      </c>
      <c r="AM1704">
        <v>0</v>
      </c>
      <c r="AN1704">
        <v>0</v>
      </c>
      <c r="AO1704">
        <v>0</v>
      </c>
      <c r="AP1704">
        <v>0</v>
      </c>
      <c r="AQ1704">
        <v>0</v>
      </c>
      <c r="AR1704">
        <v>0</v>
      </c>
      <c r="AS1704">
        <v>0</v>
      </c>
      <c r="AT1704">
        <v>0</v>
      </c>
      <c r="AU1704">
        <f t="shared" si="52"/>
        <v>0</v>
      </c>
      <c r="AV1704">
        <f t="shared" si="53"/>
        <v>0</v>
      </c>
    </row>
    <row r="1705" spans="1:48" x14ac:dyDescent="0.25">
      <c r="A1705" t="s">
        <v>6683</v>
      </c>
      <c r="C1705" t="s">
        <v>3942</v>
      </c>
      <c r="D1705" t="s">
        <v>6002</v>
      </c>
      <c r="E1705" t="s">
        <v>2310</v>
      </c>
      <c r="F1705">
        <v>8</v>
      </c>
      <c r="G1705">
        <v>8.1999999999999993</v>
      </c>
      <c r="H1705" t="s">
        <v>2022</v>
      </c>
      <c r="I1705" s="21">
        <v>38755</v>
      </c>
      <c r="J1705">
        <v>2006</v>
      </c>
      <c r="K1705" s="21">
        <v>38786</v>
      </c>
      <c r="L1705">
        <v>2006</v>
      </c>
      <c r="M1705" s="21">
        <v>39057</v>
      </c>
      <c r="N1705">
        <v>2006</v>
      </c>
      <c r="R1705" s="262">
        <v>12000</v>
      </c>
      <c r="S1705" t="s">
        <v>114</v>
      </c>
      <c r="T1705" t="s">
        <v>114</v>
      </c>
      <c r="U1705">
        <v>5</v>
      </c>
      <c r="W1705">
        <v>75</v>
      </c>
      <c r="X1705">
        <v>0</v>
      </c>
      <c r="Y1705">
        <v>0</v>
      </c>
      <c r="Z1705">
        <v>0</v>
      </c>
      <c r="AA1705">
        <v>0</v>
      </c>
      <c r="AB1705">
        <v>0</v>
      </c>
      <c r="AC1705">
        <v>75</v>
      </c>
      <c r="AD1705">
        <v>0</v>
      </c>
      <c r="AE1705">
        <v>0</v>
      </c>
      <c r="AF1705">
        <v>0</v>
      </c>
      <c r="AG1705">
        <v>0</v>
      </c>
      <c r="AH1705">
        <v>0</v>
      </c>
      <c r="AI1705">
        <v>0</v>
      </c>
      <c r="AJ1705">
        <v>0</v>
      </c>
      <c r="AK1705">
        <v>0</v>
      </c>
      <c r="AL1705">
        <v>0</v>
      </c>
      <c r="AM1705">
        <v>0</v>
      </c>
      <c r="AN1705">
        <v>0</v>
      </c>
      <c r="AO1705">
        <v>0</v>
      </c>
      <c r="AP1705">
        <v>0</v>
      </c>
      <c r="AQ1705">
        <v>0</v>
      </c>
      <c r="AR1705">
        <v>0</v>
      </c>
      <c r="AS1705">
        <v>0</v>
      </c>
      <c r="AT1705">
        <v>0</v>
      </c>
      <c r="AU1705">
        <f t="shared" si="52"/>
        <v>0</v>
      </c>
      <c r="AV1705">
        <f t="shared" si="53"/>
        <v>0</v>
      </c>
    </row>
    <row r="1706" spans="1:48" x14ac:dyDescent="0.25">
      <c r="A1706" t="s">
        <v>6684</v>
      </c>
      <c r="C1706" t="s">
        <v>6685</v>
      </c>
      <c r="D1706" t="s">
        <v>6002</v>
      </c>
      <c r="E1706" t="s">
        <v>2310</v>
      </c>
      <c r="F1706">
        <v>8</v>
      </c>
      <c r="G1706">
        <v>8.1999999999999993</v>
      </c>
      <c r="H1706" t="s">
        <v>2022</v>
      </c>
      <c r="I1706" s="21">
        <v>38756</v>
      </c>
      <c r="J1706">
        <v>2006</v>
      </c>
      <c r="K1706" s="21">
        <v>38786</v>
      </c>
      <c r="L1706">
        <v>2006</v>
      </c>
      <c r="M1706" s="21">
        <v>39051</v>
      </c>
      <c r="N1706">
        <v>2006</v>
      </c>
      <c r="R1706" s="262">
        <v>300000</v>
      </c>
      <c r="S1706" t="s">
        <v>114</v>
      </c>
      <c r="T1706" t="s">
        <v>114</v>
      </c>
      <c r="U1706">
        <v>5</v>
      </c>
      <c r="W1706">
        <v>1144</v>
      </c>
      <c r="X1706">
        <v>0</v>
      </c>
      <c r="Y1706">
        <v>0</v>
      </c>
      <c r="Z1706">
        <v>0</v>
      </c>
      <c r="AA1706">
        <v>0</v>
      </c>
      <c r="AB1706">
        <v>0</v>
      </c>
      <c r="AC1706">
        <v>1144</v>
      </c>
      <c r="AD1706">
        <v>0</v>
      </c>
      <c r="AE1706">
        <v>0</v>
      </c>
      <c r="AF1706">
        <v>0</v>
      </c>
      <c r="AG1706">
        <v>0</v>
      </c>
      <c r="AH1706">
        <v>0</v>
      </c>
      <c r="AI1706">
        <v>0</v>
      </c>
      <c r="AJ1706">
        <v>0</v>
      </c>
      <c r="AK1706">
        <v>0</v>
      </c>
      <c r="AL1706">
        <v>0</v>
      </c>
      <c r="AM1706">
        <v>0</v>
      </c>
      <c r="AN1706">
        <v>0</v>
      </c>
      <c r="AO1706">
        <v>0</v>
      </c>
      <c r="AP1706">
        <v>0</v>
      </c>
      <c r="AQ1706">
        <v>0</v>
      </c>
      <c r="AR1706">
        <v>0</v>
      </c>
      <c r="AS1706">
        <v>0</v>
      </c>
      <c r="AT1706">
        <v>0</v>
      </c>
      <c r="AU1706">
        <f t="shared" si="52"/>
        <v>0</v>
      </c>
      <c r="AV1706">
        <f t="shared" si="53"/>
        <v>0</v>
      </c>
    </row>
    <row r="1707" spans="1:48" x14ac:dyDescent="0.25">
      <c r="A1707" t="s">
        <v>6686</v>
      </c>
      <c r="C1707" t="s">
        <v>6163</v>
      </c>
      <c r="D1707" t="s">
        <v>6687</v>
      </c>
      <c r="E1707" t="s">
        <v>2310</v>
      </c>
      <c r="F1707">
        <v>9</v>
      </c>
      <c r="G1707">
        <v>9.3000000000000007</v>
      </c>
      <c r="H1707" t="s">
        <v>2323</v>
      </c>
      <c r="I1707" s="21">
        <v>38756</v>
      </c>
      <c r="J1707">
        <v>2006</v>
      </c>
      <c r="K1707" s="21">
        <v>38797</v>
      </c>
      <c r="L1707">
        <v>2006</v>
      </c>
      <c r="M1707" s="21">
        <v>38797</v>
      </c>
      <c r="N1707">
        <v>2006</v>
      </c>
      <c r="R1707" s="262">
        <v>2200000</v>
      </c>
      <c r="S1707" t="s">
        <v>114</v>
      </c>
      <c r="T1707" t="s">
        <v>114</v>
      </c>
      <c r="U1707">
        <v>5</v>
      </c>
      <c r="W1707">
        <v>5615</v>
      </c>
      <c r="X1707">
        <v>1</v>
      </c>
      <c r="Y1707">
        <v>0</v>
      </c>
      <c r="Z1707">
        <v>0</v>
      </c>
      <c r="AA1707">
        <v>0</v>
      </c>
      <c r="AB1707">
        <v>0</v>
      </c>
      <c r="AC1707">
        <v>5615</v>
      </c>
      <c r="AD1707">
        <v>0</v>
      </c>
      <c r="AE1707">
        <v>0</v>
      </c>
      <c r="AF1707">
        <v>0</v>
      </c>
      <c r="AG1707">
        <v>0</v>
      </c>
      <c r="AH1707">
        <v>0</v>
      </c>
      <c r="AI1707">
        <v>0</v>
      </c>
      <c r="AJ1707">
        <v>0</v>
      </c>
      <c r="AK1707">
        <v>0</v>
      </c>
      <c r="AL1707">
        <v>0</v>
      </c>
      <c r="AM1707">
        <v>0</v>
      </c>
      <c r="AN1707">
        <v>0</v>
      </c>
      <c r="AO1707">
        <v>1</v>
      </c>
      <c r="AP1707">
        <v>0</v>
      </c>
      <c r="AQ1707">
        <v>0</v>
      </c>
      <c r="AR1707">
        <v>0</v>
      </c>
      <c r="AS1707">
        <v>0</v>
      </c>
      <c r="AT1707">
        <v>0</v>
      </c>
      <c r="AU1707">
        <f t="shared" si="52"/>
        <v>1</v>
      </c>
      <c r="AV1707">
        <f t="shared" si="53"/>
        <v>0</v>
      </c>
    </row>
    <row r="1708" spans="1:48" x14ac:dyDescent="0.25">
      <c r="A1708" t="s">
        <v>6688</v>
      </c>
      <c r="C1708" t="s">
        <v>6047</v>
      </c>
      <c r="D1708" t="s">
        <v>6689</v>
      </c>
      <c r="E1708" t="s">
        <v>2310</v>
      </c>
      <c r="F1708">
        <v>9</v>
      </c>
      <c r="G1708">
        <v>9.3000000000000007</v>
      </c>
      <c r="H1708" t="s">
        <v>2323</v>
      </c>
      <c r="I1708" s="21">
        <v>38756</v>
      </c>
      <c r="J1708">
        <v>2006</v>
      </c>
      <c r="K1708" s="21">
        <v>38799</v>
      </c>
      <c r="L1708">
        <v>2006</v>
      </c>
      <c r="M1708" s="21">
        <v>39434</v>
      </c>
      <c r="N1708">
        <v>2007</v>
      </c>
      <c r="R1708" s="262">
        <v>1300000</v>
      </c>
      <c r="S1708" t="s">
        <v>114</v>
      </c>
      <c r="T1708" t="s">
        <v>114</v>
      </c>
      <c r="U1708">
        <v>5</v>
      </c>
      <c r="W1708">
        <v>5563</v>
      </c>
      <c r="X1708">
        <v>1</v>
      </c>
      <c r="Y1708">
        <v>0</v>
      </c>
      <c r="Z1708">
        <v>0</v>
      </c>
      <c r="AA1708">
        <v>0</v>
      </c>
      <c r="AB1708">
        <v>0</v>
      </c>
      <c r="AC1708">
        <v>5563</v>
      </c>
      <c r="AD1708">
        <v>0</v>
      </c>
      <c r="AE1708">
        <v>0</v>
      </c>
      <c r="AF1708">
        <v>0</v>
      </c>
      <c r="AG1708">
        <v>0</v>
      </c>
      <c r="AH1708">
        <v>0</v>
      </c>
      <c r="AI1708">
        <v>0</v>
      </c>
      <c r="AJ1708">
        <v>0</v>
      </c>
      <c r="AK1708">
        <v>0</v>
      </c>
      <c r="AL1708">
        <v>0</v>
      </c>
      <c r="AM1708">
        <v>0</v>
      </c>
      <c r="AN1708">
        <v>0</v>
      </c>
      <c r="AO1708">
        <v>1</v>
      </c>
      <c r="AP1708">
        <v>0</v>
      </c>
      <c r="AQ1708">
        <v>0</v>
      </c>
      <c r="AR1708">
        <v>0</v>
      </c>
      <c r="AS1708">
        <v>0</v>
      </c>
      <c r="AT1708">
        <v>0</v>
      </c>
      <c r="AU1708">
        <f t="shared" si="52"/>
        <v>1</v>
      </c>
      <c r="AV1708">
        <f t="shared" si="53"/>
        <v>0</v>
      </c>
    </row>
    <row r="1709" spans="1:48" x14ac:dyDescent="0.25">
      <c r="A1709" t="s">
        <v>6690</v>
      </c>
      <c r="C1709" t="s">
        <v>6691</v>
      </c>
      <c r="D1709" t="s">
        <v>6692</v>
      </c>
      <c r="E1709" t="s">
        <v>2310</v>
      </c>
      <c r="F1709">
        <v>9</v>
      </c>
      <c r="G1709">
        <v>9.1999999999999993</v>
      </c>
      <c r="H1709" t="s">
        <v>2022</v>
      </c>
      <c r="I1709" s="21">
        <v>38756</v>
      </c>
      <c r="J1709">
        <v>2006</v>
      </c>
      <c r="K1709" s="21">
        <v>38793</v>
      </c>
      <c r="L1709">
        <v>2006</v>
      </c>
      <c r="M1709" s="21">
        <v>38793</v>
      </c>
      <c r="N1709">
        <v>2006</v>
      </c>
      <c r="R1709" s="262">
        <v>500000</v>
      </c>
      <c r="S1709" t="s">
        <v>114</v>
      </c>
      <c r="T1709" t="s">
        <v>114</v>
      </c>
      <c r="U1709">
        <v>8</v>
      </c>
      <c r="W1709">
        <v>2828</v>
      </c>
      <c r="X1709">
        <v>1</v>
      </c>
      <c r="Y1709">
        <v>0</v>
      </c>
      <c r="Z1709">
        <v>0</v>
      </c>
      <c r="AA1709">
        <v>0</v>
      </c>
      <c r="AB1709">
        <v>0</v>
      </c>
      <c r="AC1709">
        <v>2082</v>
      </c>
      <c r="AD1709">
        <v>0</v>
      </c>
      <c r="AE1709">
        <v>0</v>
      </c>
      <c r="AF1709">
        <v>746</v>
      </c>
      <c r="AG1709">
        <v>0</v>
      </c>
      <c r="AH1709">
        <v>0</v>
      </c>
      <c r="AI1709">
        <v>0</v>
      </c>
      <c r="AJ1709">
        <v>0</v>
      </c>
      <c r="AK1709">
        <v>0</v>
      </c>
      <c r="AL1709">
        <v>0</v>
      </c>
      <c r="AM1709">
        <v>0</v>
      </c>
      <c r="AN1709">
        <v>0</v>
      </c>
      <c r="AO1709">
        <v>0</v>
      </c>
      <c r="AP1709">
        <v>0</v>
      </c>
      <c r="AQ1709">
        <v>0</v>
      </c>
      <c r="AR1709">
        <v>1</v>
      </c>
      <c r="AS1709">
        <v>0</v>
      </c>
      <c r="AT1709">
        <v>0</v>
      </c>
      <c r="AU1709">
        <f t="shared" si="52"/>
        <v>0</v>
      </c>
      <c r="AV1709">
        <f t="shared" si="53"/>
        <v>0</v>
      </c>
    </row>
    <row r="1710" spans="1:48" x14ac:dyDescent="0.25">
      <c r="A1710" t="s">
        <v>6693</v>
      </c>
      <c r="C1710" t="s">
        <v>6694</v>
      </c>
      <c r="D1710" t="s">
        <v>6005</v>
      </c>
      <c r="E1710" t="s">
        <v>2310</v>
      </c>
      <c r="F1710">
        <v>9</v>
      </c>
      <c r="G1710">
        <v>9.3000000000000007</v>
      </c>
      <c r="H1710" t="s">
        <v>2323</v>
      </c>
      <c r="I1710" s="21">
        <v>38757</v>
      </c>
      <c r="J1710">
        <v>2006</v>
      </c>
      <c r="K1710" s="21">
        <v>38776</v>
      </c>
      <c r="L1710">
        <v>2006</v>
      </c>
      <c r="M1710" s="21">
        <v>38862</v>
      </c>
      <c r="N1710">
        <v>2006</v>
      </c>
      <c r="R1710" s="262">
        <v>85000</v>
      </c>
      <c r="S1710" t="s">
        <v>114</v>
      </c>
      <c r="T1710" t="s">
        <v>114</v>
      </c>
      <c r="U1710">
        <v>4</v>
      </c>
      <c r="W1710">
        <v>4000</v>
      </c>
      <c r="X1710">
        <v>0</v>
      </c>
      <c r="Y1710">
        <v>0</v>
      </c>
      <c r="Z1710">
        <v>0</v>
      </c>
      <c r="AA1710">
        <v>0</v>
      </c>
      <c r="AB1710">
        <v>4000</v>
      </c>
      <c r="AC1710">
        <v>0</v>
      </c>
      <c r="AD1710">
        <v>0</v>
      </c>
      <c r="AE1710">
        <v>0</v>
      </c>
      <c r="AF1710">
        <v>0</v>
      </c>
      <c r="AG1710">
        <v>0</v>
      </c>
      <c r="AH1710">
        <v>0</v>
      </c>
      <c r="AI1710">
        <v>0</v>
      </c>
      <c r="AJ1710">
        <v>0</v>
      </c>
      <c r="AK1710">
        <v>0</v>
      </c>
      <c r="AL1710">
        <v>0</v>
      </c>
      <c r="AM1710">
        <v>0</v>
      </c>
      <c r="AN1710">
        <v>0</v>
      </c>
      <c r="AO1710">
        <v>0</v>
      </c>
      <c r="AP1710">
        <v>0</v>
      </c>
      <c r="AQ1710">
        <v>0</v>
      </c>
      <c r="AR1710">
        <v>0</v>
      </c>
      <c r="AS1710">
        <v>0</v>
      </c>
      <c r="AT1710">
        <v>0</v>
      </c>
      <c r="AU1710">
        <f t="shared" si="52"/>
        <v>0</v>
      </c>
      <c r="AV1710">
        <f t="shared" si="53"/>
        <v>4000</v>
      </c>
    </row>
    <row r="1711" spans="1:48" x14ac:dyDescent="0.25">
      <c r="A1711" t="s">
        <v>6695</v>
      </c>
      <c r="C1711" t="s">
        <v>6696</v>
      </c>
      <c r="D1711" t="s">
        <v>6434</v>
      </c>
      <c r="E1711" t="s">
        <v>2310</v>
      </c>
      <c r="F1711">
        <v>13</v>
      </c>
      <c r="G1711">
        <v>13.2</v>
      </c>
      <c r="H1711" t="s">
        <v>2327</v>
      </c>
      <c r="I1711" s="21">
        <v>38757</v>
      </c>
      <c r="J1711">
        <v>2006</v>
      </c>
      <c r="K1711" s="21">
        <v>38769</v>
      </c>
      <c r="L1711">
        <v>2006</v>
      </c>
      <c r="M1711" s="21">
        <v>38769</v>
      </c>
      <c r="N1711">
        <v>2006</v>
      </c>
      <c r="R1711" s="262">
        <v>15000</v>
      </c>
      <c r="S1711" t="s">
        <v>114</v>
      </c>
      <c r="T1711" t="s">
        <v>114</v>
      </c>
      <c r="U1711">
        <v>5</v>
      </c>
      <c r="W1711">
        <v>93</v>
      </c>
      <c r="X1711">
        <v>0</v>
      </c>
      <c r="Y1711">
        <v>0</v>
      </c>
      <c r="Z1711">
        <v>0</v>
      </c>
      <c r="AA1711">
        <v>0</v>
      </c>
      <c r="AB1711">
        <v>0</v>
      </c>
      <c r="AC1711">
        <v>93</v>
      </c>
      <c r="AD1711">
        <v>0</v>
      </c>
      <c r="AE1711">
        <v>0</v>
      </c>
      <c r="AF1711">
        <v>0</v>
      </c>
      <c r="AG1711">
        <v>0</v>
      </c>
      <c r="AH1711">
        <v>0</v>
      </c>
      <c r="AI1711">
        <v>0</v>
      </c>
      <c r="AJ1711">
        <v>0</v>
      </c>
      <c r="AK1711">
        <v>0</v>
      </c>
      <c r="AL1711">
        <v>0</v>
      </c>
      <c r="AM1711">
        <v>0</v>
      </c>
      <c r="AN1711">
        <v>0</v>
      </c>
      <c r="AO1711">
        <v>0</v>
      </c>
      <c r="AP1711">
        <v>0</v>
      </c>
      <c r="AQ1711">
        <v>0</v>
      </c>
      <c r="AR1711">
        <v>0</v>
      </c>
      <c r="AS1711">
        <v>0</v>
      </c>
      <c r="AT1711">
        <v>0</v>
      </c>
      <c r="AU1711">
        <f t="shared" si="52"/>
        <v>0</v>
      </c>
      <c r="AV1711">
        <f t="shared" si="53"/>
        <v>0</v>
      </c>
    </row>
    <row r="1712" spans="1:48" x14ac:dyDescent="0.25">
      <c r="A1712" t="s">
        <v>6700</v>
      </c>
      <c r="C1712" t="s">
        <v>5207</v>
      </c>
      <c r="D1712" t="s">
        <v>6701</v>
      </c>
      <c r="E1712" t="s">
        <v>2310</v>
      </c>
      <c r="F1712">
        <v>9</v>
      </c>
      <c r="G1712">
        <v>9.3000000000000007</v>
      </c>
      <c r="H1712" t="s">
        <v>2323</v>
      </c>
      <c r="I1712" s="21">
        <v>38761</v>
      </c>
      <c r="J1712">
        <v>2006</v>
      </c>
      <c r="K1712" s="21">
        <v>38828</v>
      </c>
      <c r="L1712">
        <v>2006</v>
      </c>
      <c r="M1712" s="21">
        <v>39639</v>
      </c>
      <c r="N1712">
        <v>2008</v>
      </c>
      <c r="R1712" s="262">
        <v>2000000</v>
      </c>
      <c r="S1712" t="s">
        <v>114</v>
      </c>
      <c r="T1712" t="s">
        <v>114</v>
      </c>
      <c r="U1712">
        <v>5</v>
      </c>
      <c r="W1712">
        <v>7104</v>
      </c>
      <c r="X1712">
        <v>1</v>
      </c>
      <c r="Y1712">
        <v>0</v>
      </c>
      <c r="Z1712">
        <v>0</v>
      </c>
      <c r="AA1712">
        <v>0</v>
      </c>
      <c r="AB1712">
        <v>0</v>
      </c>
      <c r="AC1712">
        <v>7104</v>
      </c>
      <c r="AD1712">
        <v>0</v>
      </c>
      <c r="AE1712">
        <v>0</v>
      </c>
      <c r="AF1712">
        <v>0</v>
      </c>
      <c r="AG1712">
        <v>0</v>
      </c>
      <c r="AH1712">
        <v>0</v>
      </c>
      <c r="AI1712">
        <v>0</v>
      </c>
      <c r="AJ1712">
        <v>0</v>
      </c>
      <c r="AK1712">
        <v>0</v>
      </c>
      <c r="AL1712">
        <v>0</v>
      </c>
      <c r="AM1712">
        <v>0</v>
      </c>
      <c r="AN1712">
        <v>0</v>
      </c>
      <c r="AO1712">
        <v>1</v>
      </c>
      <c r="AP1712">
        <v>0</v>
      </c>
      <c r="AQ1712">
        <v>0</v>
      </c>
      <c r="AR1712">
        <v>0</v>
      </c>
      <c r="AS1712">
        <v>0</v>
      </c>
      <c r="AT1712">
        <v>0</v>
      </c>
      <c r="AU1712">
        <f t="shared" si="52"/>
        <v>1</v>
      </c>
      <c r="AV1712">
        <f t="shared" si="53"/>
        <v>0</v>
      </c>
    </row>
    <row r="1713" spans="1:48" x14ac:dyDescent="0.25">
      <c r="A1713" t="s">
        <v>6702</v>
      </c>
      <c r="C1713" t="s">
        <v>6703</v>
      </c>
      <c r="D1713" t="s">
        <v>3294</v>
      </c>
      <c r="E1713" t="s">
        <v>2310</v>
      </c>
      <c r="F1713">
        <v>9</v>
      </c>
      <c r="G1713">
        <v>9.4</v>
      </c>
      <c r="H1713" t="s">
        <v>2323</v>
      </c>
      <c r="I1713" s="21">
        <v>38761</v>
      </c>
      <c r="J1713">
        <v>2006</v>
      </c>
      <c r="K1713" s="21">
        <v>38828</v>
      </c>
      <c r="L1713">
        <v>2006</v>
      </c>
      <c r="M1713" s="21">
        <v>38828</v>
      </c>
      <c r="N1713">
        <v>2006</v>
      </c>
      <c r="R1713" s="262">
        <v>50000</v>
      </c>
      <c r="S1713" t="s">
        <v>114</v>
      </c>
      <c r="T1713" t="s">
        <v>114</v>
      </c>
      <c r="U1713">
        <v>1</v>
      </c>
      <c r="W1713">
        <v>0</v>
      </c>
      <c r="X1713">
        <v>0</v>
      </c>
      <c r="Y1713">
        <v>0</v>
      </c>
      <c r="Z1713">
        <v>0</v>
      </c>
      <c r="AA1713">
        <v>0</v>
      </c>
      <c r="AB1713">
        <v>0</v>
      </c>
      <c r="AC1713">
        <v>0</v>
      </c>
      <c r="AD1713">
        <v>0</v>
      </c>
      <c r="AE1713">
        <v>0</v>
      </c>
      <c r="AF1713">
        <v>0</v>
      </c>
      <c r="AG1713">
        <v>0</v>
      </c>
      <c r="AH1713">
        <v>0</v>
      </c>
      <c r="AI1713">
        <v>0</v>
      </c>
      <c r="AJ1713">
        <v>0</v>
      </c>
      <c r="AK1713">
        <v>0</v>
      </c>
      <c r="AL1713">
        <v>0</v>
      </c>
      <c r="AM1713">
        <v>0</v>
      </c>
      <c r="AN1713">
        <v>0</v>
      </c>
      <c r="AO1713">
        <v>0</v>
      </c>
      <c r="AP1713">
        <v>0</v>
      </c>
      <c r="AQ1713">
        <v>0</v>
      </c>
      <c r="AR1713">
        <v>0</v>
      </c>
      <c r="AS1713">
        <v>0</v>
      </c>
      <c r="AT1713">
        <v>0</v>
      </c>
      <c r="AU1713">
        <f t="shared" si="52"/>
        <v>0</v>
      </c>
      <c r="AV1713">
        <f t="shared" si="53"/>
        <v>0</v>
      </c>
    </row>
    <row r="1714" spans="1:48" x14ac:dyDescent="0.25">
      <c r="A1714" t="s">
        <v>6704</v>
      </c>
      <c r="C1714" t="s">
        <v>6705</v>
      </c>
      <c r="D1714" t="s">
        <v>6706</v>
      </c>
      <c r="E1714" t="s">
        <v>2310</v>
      </c>
      <c r="F1714">
        <v>8</v>
      </c>
      <c r="G1714">
        <v>8.3000000000000007</v>
      </c>
      <c r="H1714" t="s">
        <v>2323</v>
      </c>
      <c r="I1714" s="21">
        <v>38761</v>
      </c>
      <c r="J1714">
        <v>2006</v>
      </c>
      <c r="K1714" s="21">
        <v>38826</v>
      </c>
      <c r="L1714">
        <v>2006</v>
      </c>
      <c r="M1714" s="21">
        <v>38925</v>
      </c>
      <c r="N1714">
        <v>2006</v>
      </c>
      <c r="R1714" s="262">
        <v>60000</v>
      </c>
      <c r="S1714" t="s">
        <v>114</v>
      </c>
      <c r="T1714" t="s">
        <v>114</v>
      </c>
      <c r="U1714">
        <v>4</v>
      </c>
      <c r="W1714">
        <v>600</v>
      </c>
      <c r="X1714">
        <v>0</v>
      </c>
      <c r="Y1714">
        <v>0</v>
      </c>
      <c r="Z1714">
        <v>0</v>
      </c>
      <c r="AA1714">
        <v>0</v>
      </c>
      <c r="AB1714">
        <v>600</v>
      </c>
      <c r="AC1714">
        <v>0</v>
      </c>
      <c r="AD1714">
        <v>0</v>
      </c>
      <c r="AE1714">
        <v>0</v>
      </c>
      <c r="AF1714">
        <v>0</v>
      </c>
      <c r="AG1714">
        <v>0</v>
      </c>
      <c r="AH1714">
        <v>0</v>
      </c>
      <c r="AI1714">
        <v>0</v>
      </c>
      <c r="AJ1714">
        <v>0</v>
      </c>
      <c r="AK1714">
        <v>0</v>
      </c>
      <c r="AL1714">
        <v>0</v>
      </c>
      <c r="AM1714">
        <v>0</v>
      </c>
      <c r="AN1714">
        <v>0</v>
      </c>
      <c r="AO1714">
        <v>0</v>
      </c>
      <c r="AP1714">
        <v>0</v>
      </c>
      <c r="AQ1714">
        <v>0</v>
      </c>
      <c r="AR1714">
        <v>0</v>
      </c>
      <c r="AS1714">
        <v>0</v>
      </c>
      <c r="AT1714">
        <v>0</v>
      </c>
      <c r="AU1714">
        <f t="shared" si="52"/>
        <v>0</v>
      </c>
      <c r="AV1714">
        <f t="shared" si="53"/>
        <v>600</v>
      </c>
    </row>
    <row r="1715" spans="1:48" x14ac:dyDescent="0.25">
      <c r="A1715" t="s">
        <v>6707</v>
      </c>
      <c r="C1715" t="s">
        <v>6708</v>
      </c>
      <c r="D1715" t="s">
        <v>6709</v>
      </c>
      <c r="E1715" t="s">
        <v>2310</v>
      </c>
      <c r="F1715">
        <v>12</v>
      </c>
      <c r="G1715">
        <v>12.3</v>
      </c>
      <c r="H1715" t="s">
        <v>2017</v>
      </c>
      <c r="I1715" s="21">
        <v>38761</v>
      </c>
      <c r="J1715">
        <v>2006</v>
      </c>
      <c r="K1715" s="21">
        <v>38776</v>
      </c>
      <c r="L1715">
        <v>2006</v>
      </c>
      <c r="M1715" s="21">
        <v>38870</v>
      </c>
      <c r="N1715">
        <v>2006</v>
      </c>
      <c r="R1715" s="262">
        <v>150000</v>
      </c>
      <c r="S1715" t="s">
        <v>114</v>
      </c>
      <c r="T1715" t="s">
        <v>114</v>
      </c>
      <c r="U1715">
        <v>5</v>
      </c>
      <c r="W1715">
        <v>513</v>
      </c>
      <c r="X1715">
        <v>0</v>
      </c>
      <c r="Y1715">
        <v>0</v>
      </c>
      <c r="Z1715">
        <v>0</v>
      </c>
      <c r="AA1715">
        <v>0</v>
      </c>
      <c r="AB1715">
        <v>0</v>
      </c>
      <c r="AC1715">
        <v>513</v>
      </c>
      <c r="AD1715">
        <v>0</v>
      </c>
      <c r="AE1715">
        <v>0</v>
      </c>
      <c r="AF1715">
        <v>0</v>
      </c>
      <c r="AG1715">
        <v>0</v>
      </c>
      <c r="AH1715">
        <v>0</v>
      </c>
      <c r="AI1715">
        <v>0</v>
      </c>
      <c r="AJ1715">
        <v>0</v>
      </c>
      <c r="AK1715">
        <v>0</v>
      </c>
      <c r="AL1715">
        <v>0</v>
      </c>
      <c r="AM1715">
        <v>0</v>
      </c>
      <c r="AN1715">
        <v>0</v>
      </c>
      <c r="AO1715">
        <v>0</v>
      </c>
      <c r="AP1715">
        <v>0</v>
      </c>
      <c r="AQ1715">
        <v>0</v>
      </c>
      <c r="AR1715">
        <v>0</v>
      </c>
      <c r="AS1715">
        <v>0</v>
      </c>
      <c r="AT1715">
        <v>0</v>
      </c>
      <c r="AU1715">
        <f t="shared" si="52"/>
        <v>0</v>
      </c>
      <c r="AV1715">
        <f t="shared" si="53"/>
        <v>0</v>
      </c>
    </row>
    <row r="1716" spans="1:48" x14ac:dyDescent="0.25">
      <c r="A1716" t="s">
        <v>6710</v>
      </c>
      <c r="C1716" t="s">
        <v>6711</v>
      </c>
      <c r="D1716" t="s">
        <v>6712</v>
      </c>
      <c r="E1716" t="s">
        <v>2310</v>
      </c>
      <c r="F1716">
        <v>12</v>
      </c>
      <c r="G1716">
        <v>12.3</v>
      </c>
      <c r="H1716" t="s">
        <v>2017</v>
      </c>
      <c r="I1716" s="21">
        <v>38761</v>
      </c>
      <c r="J1716">
        <v>2006</v>
      </c>
      <c r="K1716" s="21">
        <v>38778</v>
      </c>
      <c r="L1716">
        <v>2006</v>
      </c>
      <c r="M1716" s="21">
        <v>39134</v>
      </c>
      <c r="N1716">
        <v>2007</v>
      </c>
      <c r="R1716" s="262">
        <v>70000</v>
      </c>
      <c r="S1716" t="s">
        <v>114</v>
      </c>
      <c r="T1716" t="s">
        <v>114</v>
      </c>
      <c r="U1716">
        <v>5</v>
      </c>
      <c r="W1716">
        <v>0</v>
      </c>
      <c r="X1716">
        <v>0</v>
      </c>
      <c r="Y1716">
        <v>0</v>
      </c>
      <c r="Z1716">
        <v>0</v>
      </c>
      <c r="AA1716">
        <v>0</v>
      </c>
      <c r="AB1716">
        <v>0</v>
      </c>
      <c r="AC1716">
        <v>0</v>
      </c>
      <c r="AD1716">
        <v>0</v>
      </c>
      <c r="AE1716">
        <v>0</v>
      </c>
      <c r="AF1716">
        <v>0</v>
      </c>
      <c r="AG1716">
        <v>0</v>
      </c>
      <c r="AH1716">
        <v>0</v>
      </c>
      <c r="AI1716">
        <v>0</v>
      </c>
      <c r="AJ1716">
        <v>0</v>
      </c>
      <c r="AK1716">
        <v>0</v>
      </c>
      <c r="AL1716">
        <v>0</v>
      </c>
      <c r="AM1716">
        <v>0</v>
      </c>
      <c r="AN1716">
        <v>0</v>
      </c>
      <c r="AO1716">
        <v>0</v>
      </c>
      <c r="AP1716">
        <v>0</v>
      </c>
      <c r="AQ1716">
        <v>0</v>
      </c>
      <c r="AR1716">
        <v>0</v>
      </c>
      <c r="AS1716">
        <v>0</v>
      </c>
      <c r="AT1716">
        <v>0</v>
      </c>
      <c r="AU1716">
        <f t="shared" si="52"/>
        <v>0</v>
      </c>
      <c r="AV1716">
        <f t="shared" si="53"/>
        <v>0</v>
      </c>
    </row>
    <row r="1717" spans="1:48" x14ac:dyDescent="0.25">
      <c r="A1717" t="s">
        <v>6697</v>
      </c>
      <c r="C1717" t="s">
        <v>6698</v>
      </c>
      <c r="D1717" t="s">
        <v>6699</v>
      </c>
      <c r="E1717" t="s">
        <v>1663</v>
      </c>
      <c r="F1717">
        <v>3</v>
      </c>
      <c r="G1717">
        <v>3.2</v>
      </c>
      <c r="H1717" t="s">
        <v>2327</v>
      </c>
      <c r="I1717" s="21">
        <v>38761</v>
      </c>
      <c r="J1717">
        <v>2006</v>
      </c>
      <c r="K1717" s="21">
        <v>38789</v>
      </c>
      <c r="L1717">
        <v>2006</v>
      </c>
      <c r="M1717" s="21">
        <v>38942</v>
      </c>
      <c r="N1717">
        <v>2006</v>
      </c>
      <c r="Q1717" s="262">
        <v>0</v>
      </c>
      <c r="S1717" t="s">
        <v>114</v>
      </c>
      <c r="T1717" t="s">
        <v>114</v>
      </c>
      <c r="W1717">
        <v>1872</v>
      </c>
      <c r="X1717">
        <v>1</v>
      </c>
      <c r="Y1717">
        <v>0</v>
      </c>
      <c r="Z1717">
        <v>0</v>
      </c>
      <c r="AA1717">
        <v>0</v>
      </c>
      <c r="AB1717">
        <v>0</v>
      </c>
      <c r="AC1717">
        <v>1872</v>
      </c>
      <c r="AD1717">
        <v>0</v>
      </c>
      <c r="AE1717">
        <v>0</v>
      </c>
      <c r="AF1717">
        <v>0</v>
      </c>
      <c r="AG1717">
        <v>0</v>
      </c>
      <c r="AH1717">
        <v>0</v>
      </c>
      <c r="AI1717">
        <v>0</v>
      </c>
      <c r="AJ1717">
        <v>0</v>
      </c>
      <c r="AK1717">
        <v>0</v>
      </c>
      <c r="AL1717">
        <v>0</v>
      </c>
      <c r="AM1717">
        <v>0</v>
      </c>
      <c r="AN1717">
        <v>0</v>
      </c>
      <c r="AO1717">
        <v>1</v>
      </c>
      <c r="AP1717">
        <v>0</v>
      </c>
      <c r="AQ1717">
        <v>0</v>
      </c>
      <c r="AR1717">
        <v>0</v>
      </c>
      <c r="AS1717">
        <v>0</v>
      </c>
      <c r="AT1717">
        <v>0</v>
      </c>
      <c r="AU1717">
        <f t="shared" si="52"/>
        <v>1</v>
      </c>
      <c r="AV1717">
        <f t="shared" si="53"/>
        <v>0</v>
      </c>
    </row>
    <row r="1718" spans="1:48" x14ac:dyDescent="0.25">
      <c r="A1718" t="s">
        <v>6713</v>
      </c>
      <c r="C1718" t="s">
        <v>6714</v>
      </c>
      <c r="D1718" t="s">
        <v>6715</v>
      </c>
      <c r="E1718" t="s">
        <v>2310</v>
      </c>
      <c r="F1718">
        <v>8</v>
      </c>
      <c r="G1718">
        <v>8.3000000000000007</v>
      </c>
      <c r="H1718" t="s">
        <v>2323</v>
      </c>
      <c r="I1718" s="21">
        <v>38763</v>
      </c>
      <c r="J1718">
        <v>2006</v>
      </c>
      <c r="K1718" s="21">
        <v>38790</v>
      </c>
      <c r="L1718">
        <v>2006</v>
      </c>
      <c r="M1718" s="21">
        <v>38896</v>
      </c>
      <c r="N1718">
        <v>2006</v>
      </c>
      <c r="R1718" s="262">
        <v>72000</v>
      </c>
      <c r="S1718" t="s">
        <v>114</v>
      </c>
      <c r="T1718" t="s">
        <v>114</v>
      </c>
      <c r="U1718">
        <v>11</v>
      </c>
      <c r="W1718">
        <v>702</v>
      </c>
      <c r="X1718">
        <v>0</v>
      </c>
      <c r="Y1718">
        <v>0</v>
      </c>
      <c r="Z1718">
        <v>0</v>
      </c>
      <c r="AA1718">
        <v>0</v>
      </c>
      <c r="AB1718">
        <v>0</v>
      </c>
      <c r="AC1718">
        <v>0</v>
      </c>
      <c r="AD1718">
        <v>0</v>
      </c>
      <c r="AE1718">
        <v>0</v>
      </c>
      <c r="AF1718">
        <v>0</v>
      </c>
      <c r="AG1718">
        <v>0</v>
      </c>
      <c r="AH1718">
        <v>0</v>
      </c>
      <c r="AI1718">
        <v>702</v>
      </c>
      <c r="AJ1718">
        <v>0</v>
      </c>
      <c r="AK1718">
        <v>0</v>
      </c>
      <c r="AL1718">
        <v>0</v>
      </c>
      <c r="AM1718">
        <v>0</v>
      </c>
      <c r="AN1718">
        <v>0</v>
      </c>
      <c r="AO1718">
        <v>0</v>
      </c>
      <c r="AP1718">
        <v>0</v>
      </c>
      <c r="AQ1718">
        <v>0</v>
      </c>
      <c r="AR1718">
        <v>0</v>
      </c>
      <c r="AS1718">
        <v>0</v>
      </c>
      <c r="AT1718">
        <v>0</v>
      </c>
      <c r="AU1718">
        <f t="shared" si="52"/>
        <v>0</v>
      </c>
      <c r="AV1718">
        <f t="shared" si="53"/>
        <v>702</v>
      </c>
    </row>
    <row r="1719" spans="1:48" x14ac:dyDescent="0.25">
      <c r="A1719" t="s">
        <v>6716</v>
      </c>
      <c r="C1719" t="s">
        <v>6717</v>
      </c>
      <c r="D1719" t="s">
        <v>6718</v>
      </c>
      <c r="E1719" t="s">
        <v>2310</v>
      </c>
      <c r="F1719">
        <v>9</v>
      </c>
      <c r="G1719">
        <v>9.3000000000000007</v>
      </c>
      <c r="H1719" t="s">
        <v>2323</v>
      </c>
      <c r="I1719" s="21">
        <v>38765</v>
      </c>
      <c r="J1719">
        <v>2006</v>
      </c>
      <c r="K1719" s="21">
        <v>38770</v>
      </c>
      <c r="L1719">
        <v>2006</v>
      </c>
      <c r="M1719" s="21">
        <v>38798</v>
      </c>
      <c r="N1719">
        <v>2006</v>
      </c>
      <c r="R1719" s="262">
        <v>20000</v>
      </c>
      <c r="S1719" t="s">
        <v>114</v>
      </c>
      <c r="T1719" t="s">
        <v>114</v>
      </c>
      <c r="U1719">
        <v>8</v>
      </c>
      <c r="W1719">
        <v>500</v>
      </c>
      <c r="X1719">
        <v>1</v>
      </c>
      <c r="Y1719">
        <v>0</v>
      </c>
      <c r="Z1719">
        <v>0</v>
      </c>
      <c r="AA1719">
        <v>0</v>
      </c>
      <c r="AB1719">
        <v>0</v>
      </c>
      <c r="AC1719">
        <v>0</v>
      </c>
      <c r="AD1719">
        <v>0</v>
      </c>
      <c r="AE1719">
        <v>0</v>
      </c>
      <c r="AF1719">
        <v>500</v>
      </c>
      <c r="AG1719">
        <v>0</v>
      </c>
      <c r="AH1719">
        <v>0</v>
      </c>
      <c r="AI1719">
        <v>0</v>
      </c>
      <c r="AJ1719">
        <v>0</v>
      </c>
      <c r="AK1719">
        <v>0</v>
      </c>
      <c r="AL1719">
        <v>0</v>
      </c>
      <c r="AM1719">
        <v>0</v>
      </c>
      <c r="AN1719">
        <v>0</v>
      </c>
      <c r="AO1719">
        <v>0</v>
      </c>
      <c r="AP1719">
        <v>0</v>
      </c>
      <c r="AQ1719">
        <v>0</v>
      </c>
      <c r="AR1719">
        <v>1</v>
      </c>
      <c r="AS1719">
        <v>0</v>
      </c>
      <c r="AT1719">
        <v>0</v>
      </c>
      <c r="AU1719">
        <f t="shared" si="52"/>
        <v>0</v>
      </c>
      <c r="AV1719">
        <f t="shared" si="53"/>
        <v>0</v>
      </c>
    </row>
    <row r="1720" spans="1:48" x14ac:dyDescent="0.25">
      <c r="A1720" t="s">
        <v>6719</v>
      </c>
      <c r="C1720" t="s">
        <v>6720</v>
      </c>
      <c r="D1720" t="s">
        <v>2438</v>
      </c>
      <c r="E1720" t="s">
        <v>2310</v>
      </c>
      <c r="F1720">
        <v>15</v>
      </c>
      <c r="G1720">
        <v>15.2</v>
      </c>
      <c r="H1720" t="s">
        <v>2323</v>
      </c>
      <c r="I1720" s="21">
        <v>38765</v>
      </c>
      <c r="J1720">
        <v>2006</v>
      </c>
      <c r="K1720" s="21">
        <v>38797</v>
      </c>
      <c r="L1720">
        <v>2006</v>
      </c>
      <c r="M1720" s="21">
        <v>39057</v>
      </c>
      <c r="N1720">
        <v>2006</v>
      </c>
      <c r="R1720" s="262">
        <v>20000</v>
      </c>
      <c r="S1720" t="s">
        <v>114</v>
      </c>
      <c r="T1720" t="s">
        <v>114</v>
      </c>
      <c r="U1720">
        <v>5</v>
      </c>
      <c r="W1720">
        <v>23</v>
      </c>
      <c r="X1720">
        <v>0</v>
      </c>
      <c r="Y1720">
        <v>0</v>
      </c>
      <c r="Z1720">
        <v>0</v>
      </c>
      <c r="AA1720">
        <v>0</v>
      </c>
      <c r="AB1720">
        <v>0</v>
      </c>
      <c r="AC1720">
        <v>23</v>
      </c>
      <c r="AD1720">
        <v>0</v>
      </c>
      <c r="AE1720">
        <v>0</v>
      </c>
      <c r="AF1720">
        <v>0</v>
      </c>
      <c r="AG1720">
        <v>0</v>
      </c>
      <c r="AH1720">
        <v>0</v>
      </c>
      <c r="AI1720">
        <v>0</v>
      </c>
      <c r="AJ1720">
        <v>0</v>
      </c>
      <c r="AK1720">
        <v>0</v>
      </c>
      <c r="AL1720">
        <v>0</v>
      </c>
      <c r="AM1720">
        <v>0</v>
      </c>
      <c r="AN1720">
        <v>0</v>
      </c>
      <c r="AO1720">
        <v>0</v>
      </c>
      <c r="AP1720">
        <v>0</v>
      </c>
      <c r="AQ1720">
        <v>0</v>
      </c>
      <c r="AR1720">
        <v>0</v>
      </c>
      <c r="AS1720">
        <v>0</v>
      </c>
      <c r="AT1720">
        <v>0</v>
      </c>
      <c r="AU1720">
        <f t="shared" si="52"/>
        <v>0</v>
      </c>
      <c r="AV1720">
        <f t="shared" si="53"/>
        <v>0</v>
      </c>
    </row>
    <row r="1721" spans="1:48" x14ac:dyDescent="0.25">
      <c r="A1721" t="s">
        <v>6721</v>
      </c>
      <c r="C1721" t="s">
        <v>6722</v>
      </c>
      <c r="D1721" t="s">
        <v>6723</v>
      </c>
      <c r="E1721" t="s">
        <v>2310</v>
      </c>
      <c r="F1721">
        <v>12</v>
      </c>
      <c r="G1721">
        <v>12.3</v>
      </c>
      <c r="H1721" t="s">
        <v>2017</v>
      </c>
      <c r="I1721" s="21">
        <v>38765</v>
      </c>
      <c r="J1721">
        <v>2006</v>
      </c>
      <c r="K1721" s="21">
        <v>38817</v>
      </c>
      <c r="L1721">
        <v>2006</v>
      </c>
      <c r="M1721" s="21">
        <v>38978</v>
      </c>
      <c r="N1721">
        <v>2006</v>
      </c>
      <c r="R1721" s="262">
        <v>50000</v>
      </c>
      <c r="S1721" t="s">
        <v>114</v>
      </c>
      <c r="T1721" t="s">
        <v>114</v>
      </c>
      <c r="U1721">
        <v>15</v>
      </c>
      <c r="W1721">
        <v>0</v>
      </c>
      <c r="X1721">
        <v>0</v>
      </c>
      <c r="Y1721">
        <v>0</v>
      </c>
      <c r="Z1721">
        <v>0</v>
      </c>
      <c r="AA1721">
        <v>0</v>
      </c>
      <c r="AB1721">
        <v>0</v>
      </c>
      <c r="AC1721">
        <v>0</v>
      </c>
      <c r="AD1721">
        <v>0</v>
      </c>
      <c r="AE1721">
        <v>0</v>
      </c>
      <c r="AF1721">
        <v>0</v>
      </c>
      <c r="AG1721">
        <v>0</v>
      </c>
      <c r="AH1721">
        <v>0</v>
      </c>
      <c r="AI1721">
        <v>0</v>
      </c>
      <c r="AJ1721">
        <v>0</v>
      </c>
      <c r="AK1721">
        <v>0</v>
      </c>
      <c r="AL1721">
        <v>0</v>
      </c>
      <c r="AM1721">
        <v>0</v>
      </c>
      <c r="AN1721">
        <v>0</v>
      </c>
      <c r="AO1721">
        <v>0</v>
      </c>
      <c r="AP1721">
        <v>0</v>
      </c>
      <c r="AQ1721">
        <v>0</v>
      </c>
      <c r="AR1721">
        <v>0</v>
      </c>
      <c r="AS1721">
        <v>0</v>
      </c>
      <c r="AT1721">
        <v>0</v>
      </c>
      <c r="AU1721">
        <f t="shared" si="52"/>
        <v>0</v>
      </c>
      <c r="AV1721">
        <f t="shared" si="53"/>
        <v>0</v>
      </c>
    </row>
    <row r="1722" spans="1:48" x14ac:dyDescent="0.25">
      <c r="A1722" t="s">
        <v>6724</v>
      </c>
      <c r="C1722" t="s">
        <v>6725</v>
      </c>
      <c r="D1722" t="s">
        <v>6726</v>
      </c>
      <c r="E1722" t="s">
        <v>2310</v>
      </c>
      <c r="F1722">
        <v>14</v>
      </c>
      <c r="G1722">
        <v>14.1</v>
      </c>
      <c r="H1722" t="s">
        <v>2022</v>
      </c>
      <c r="I1722" s="21">
        <v>38770</v>
      </c>
      <c r="J1722">
        <v>2006</v>
      </c>
      <c r="K1722" s="21">
        <v>38800</v>
      </c>
      <c r="L1722">
        <v>2006</v>
      </c>
      <c r="M1722" s="21">
        <v>39910</v>
      </c>
      <c r="N1722">
        <v>2009</v>
      </c>
      <c r="R1722" s="262">
        <v>15000</v>
      </c>
      <c r="S1722" t="s">
        <v>114</v>
      </c>
      <c r="T1722" t="s">
        <v>114</v>
      </c>
      <c r="U1722">
        <v>3</v>
      </c>
      <c r="W1722">
        <v>192</v>
      </c>
      <c r="X1722">
        <v>0</v>
      </c>
      <c r="Y1722">
        <v>0</v>
      </c>
      <c r="Z1722">
        <v>0</v>
      </c>
      <c r="AA1722">
        <v>192</v>
      </c>
      <c r="AB1722">
        <v>0</v>
      </c>
      <c r="AC1722">
        <v>0</v>
      </c>
      <c r="AD1722">
        <v>0</v>
      </c>
      <c r="AE1722">
        <v>0</v>
      </c>
      <c r="AF1722">
        <v>0</v>
      </c>
      <c r="AG1722">
        <v>0</v>
      </c>
      <c r="AH1722">
        <v>0</v>
      </c>
      <c r="AI1722">
        <v>0</v>
      </c>
      <c r="AJ1722">
        <v>0</v>
      </c>
      <c r="AK1722">
        <v>0</v>
      </c>
      <c r="AL1722">
        <v>0</v>
      </c>
      <c r="AM1722">
        <v>0</v>
      </c>
      <c r="AN1722">
        <v>0</v>
      </c>
      <c r="AO1722">
        <v>0</v>
      </c>
      <c r="AP1722">
        <v>0</v>
      </c>
      <c r="AQ1722">
        <v>0</v>
      </c>
      <c r="AR1722">
        <v>0</v>
      </c>
      <c r="AS1722">
        <v>0</v>
      </c>
      <c r="AT1722">
        <v>0</v>
      </c>
      <c r="AU1722">
        <f t="shared" si="52"/>
        <v>0</v>
      </c>
      <c r="AV1722">
        <f t="shared" si="53"/>
        <v>192</v>
      </c>
    </row>
    <row r="1723" spans="1:48" x14ac:dyDescent="0.25">
      <c r="A1723" t="s">
        <v>6727</v>
      </c>
      <c r="C1723" t="s">
        <v>6728</v>
      </c>
      <c r="D1723" t="s">
        <v>6729</v>
      </c>
      <c r="E1723" t="s">
        <v>1663</v>
      </c>
      <c r="F1723">
        <v>2</v>
      </c>
      <c r="G1723">
        <v>2.6</v>
      </c>
      <c r="H1723" t="s">
        <v>2327</v>
      </c>
      <c r="I1723" s="21">
        <v>38771</v>
      </c>
      <c r="J1723">
        <v>2006</v>
      </c>
      <c r="K1723" s="21">
        <v>38799</v>
      </c>
      <c r="L1723">
        <v>2006</v>
      </c>
      <c r="M1723" s="21">
        <v>38952</v>
      </c>
      <c r="N1723">
        <v>2006</v>
      </c>
      <c r="Q1723" s="262">
        <v>0</v>
      </c>
      <c r="S1723" t="s">
        <v>114</v>
      </c>
      <c r="T1723" t="s">
        <v>114</v>
      </c>
      <c r="W1723">
        <v>10964</v>
      </c>
      <c r="X1723">
        <v>1</v>
      </c>
      <c r="Y1723">
        <v>0</v>
      </c>
      <c r="Z1723">
        <v>0</v>
      </c>
      <c r="AA1723">
        <v>0</v>
      </c>
      <c r="AB1723">
        <v>0</v>
      </c>
      <c r="AC1723">
        <v>0</v>
      </c>
      <c r="AD1723">
        <v>0</v>
      </c>
      <c r="AE1723">
        <v>2066</v>
      </c>
      <c r="AF1723">
        <v>0</v>
      </c>
      <c r="AG1723">
        <v>0</v>
      </c>
      <c r="AH1723">
        <v>0</v>
      </c>
      <c r="AI1723">
        <v>0</v>
      </c>
      <c r="AJ1723">
        <v>8898</v>
      </c>
      <c r="AK1723">
        <v>0</v>
      </c>
      <c r="AL1723">
        <v>0</v>
      </c>
      <c r="AM1723">
        <v>0</v>
      </c>
      <c r="AN1723">
        <v>0</v>
      </c>
      <c r="AO1723">
        <v>0</v>
      </c>
      <c r="AP1723">
        <v>0</v>
      </c>
      <c r="AQ1723">
        <v>1</v>
      </c>
      <c r="AR1723">
        <v>0</v>
      </c>
      <c r="AS1723">
        <v>0</v>
      </c>
      <c r="AT1723">
        <v>0</v>
      </c>
      <c r="AU1723">
        <f t="shared" si="52"/>
        <v>1</v>
      </c>
      <c r="AV1723">
        <f t="shared" si="53"/>
        <v>8898</v>
      </c>
    </row>
    <row r="1724" spans="1:48" x14ac:dyDescent="0.25">
      <c r="A1724" t="s">
        <v>6730</v>
      </c>
      <c r="C1724" t="s">
        <v>6731</v>
      </c>
      <c r="D1724" t="s">
        <v>4752</v>
      </c>
      <c r="E1724" t="s">
        <v>2310</v>
      </c>
      <c r="F1724">
        <v>5</v>
      </c>
      <c r="G1724">
        <v>5.4</v>
      </c>
      <c r="H1724" t="s">
        <v>2017</v>
      </c>
      <c r="I1724" s="21">
        <v>38775</v>
      </c>
      <c r="J1724">
        <v>2006</v>
      </c>
      <c r="M1724" s="21">
        <v>40220.435960648101</v>
      </c>
      <c r="N1724">
        <v>2010</v>
      </c>
      <c r="R1724" s="262">
        <v>450000</v>
      </c>
      <c r="S1724" t="s">
        <v>114</v>
      </c>
      <c r="T1724" t="s">
        <v>114</v>
      </c>
      <c r="U1724">
        <v>15</v>
      </c>
      <c r="W1724">
        <v>500</v>
      </c>
      <c r="X1724">
        <v>0</v>
      </c>
      <c r="Y1724">
        <v>0</v>
      </c>
      <c r="Z1724">
        <v>0</v>
      </c>
      <c r="AA1724">
        <v>0</v>
      </c>
      <c r="AB1724">
        <v>0</v>
      </c>
      <c r="AC1724">
        <v>0</v>
      </c>
      <c r="AD1724">
        <v>0</v>
      </c>
      <c r="AE1724">
        <v>0</v>
      </c>
      <c r="AF1724">
        <v>0</v>
      </c>
      <c r="AG1724">
        <v>0</v>
      </c>
      <c r="AH1724">
        <v>0</v>
      </c>
      <c r="AI1724">
        <v>0</v>
      </c>
      <c r="AJ1724">
        <v>0</v>
      </c>
      <c r="AK1724">
        <v>0</v>
      </c>
      <c r="AL1724">
        <v>0</v>
      </c>
      <c r="AM1724">
        <v>500</v>
      </c>
      <c r="AN1724">
        <v>0</v>
      </c>
      <c r="AO1724">
        <v>0</v>
      </c>
      <c r="AP1724">
        <v>0</v>
      </c>
      <c r="AQ1724">
        <v>0</v>
      </c>
      <c r="AR1724">
        <v>0</v>
      </c>
      <c r="AS1724">
        <v>0</v>
      </c>
      <c r="AT1724">
        <v>0</v>
      </c>
      <c r="AU1724">
        <f t="shared" si="52"/>
        <v>0</v>
      </c>
      <c r="AV1724">
        <f t="shared" si="53"/>
        <v>500</v>
      </c>
    </row>
    <row r="1725" spans="1:48" x14ac:dyDescent="0.25">
      <c r="A1725" t="s">
        <v>6732</v>
      </c>
      <c r="C1725" t="s">
        <v>6733</v>
      </c>
      <c r="D1725" t="s">
        <v>4752</v>
      </c>
      <c r="E1725" t="s">
        <v>2310</v>
      </c>
      <c r="F1725">
        <v>5</v>
      </c>
      <c r="G1725">
        <v>5.4</v>
      </c>
      <c r="H1725" t="s">
        <v>2017</v>
      </c>
      <c r="I1725" s="21">
        <v>38775</v>
      </c>
      <c r="J1725">
        <v>2006</v>
      </c>
      <c r="M1725" s="21">
        <v>40095.6328587963</v>
      </c>
      <c r="N1725">
        <v>2009</v>
      </c>
      <c r="R1725" s="262">
        <v>50000</v>
      </c>
      <c r="S1725" t="s">
        <v>114</v>
      </c>
      <c r="T1725" t="s">
        <v>114</v>
      </c>
      <c r="U1725">
        <v>15</v>
      </c>
      <c r="W1725">
        <v>0</v>
      </c>
      <c r="X1725">
        <v>0</v>
      </c>
      <c r="Y1725">
        <v>0</v>
      </c>
      <c r="Z1725">
        <v>0</v>
      </c>
      <c r="AA1725">
        <v>0</v>
      </c>
      <c r="AB1725">
        <v>0</v>
      </c>
      <c r="AC1725">
        <v>0</v>
      </c>
      <c r="AD1725">
        <v>0</v>
      </c>
      <c r="AE1725">
        <v>0</v>
      </c>
      <c r="AF1725">
        <v>0</v>
      </c>
      <c r="AG1725">
        <v>0</v>
      </c>
      <c r="AH1725">
        <v>0</v>
      </c>
      <c r="AI1725">
        <v>0</v>
      </c>
      <c r="AJ1725">
        <v>0</v>
      </c>
      <c r="AK1725">
        <v>0</v>
      </c>
      <c r="AL1725">
        <v>0</v>
      </c>
      <c r="AM1725">
        <v>0</v>
      </c>
      <c r="AN1725">
        <v>0</v>
      </c>
      <c r="AO1725">
        <v>0</v>
      </c>
      <c r="AP1725">
        <v>0</v>
      </c>
      <c r="AQ1725">
        <v>0</v>
      </c>
      <c r="AR1725">
        <v>0</v>
      </c>
      <c r="AS1725">
        <v>0</v>
      </c>
      <c r="AT1725">
        <v>0</v>
      </c>
      <c r="AU1725">
        <f t="shared" si="52"/>
        <v>0</v>
      </c>
      <c r="AV1725">
        <f t="shared" si="53"/>
        <v>0</v>
      </c>
    </row>
    <row r="1726" spans="1:48" x14ac:dyDescent="0.25">
      <c r="A1726" t="s">
        <v>6734</v>
      </c>
      <c r="C1726" t="s">
        <v>6735</v>
      </c>
      <c r="D1726" t="s">
        <v>6736</v>
      </c>
      <c r="E1726" t="s">
        <v>2310</v>
      </c>
      <c r="F1726">
        <v>11</v>
      </c>
      <c r="G1726">
        <v>11.2</v>
      </c>
      <c r="H1726" t="s">
        <v>2017</v>
      </c>
      <c r="I1726" s="21">
        <v>38775</v>
      </c>
      <c r="J1726">
        <v>2006</v>
      </c>
      <c r="K1726" s="21">
        <v>38881</v>
      </c>
      <c r="L1726">
        <v>2006</v>
      </c>
      <c r="M1726" s="21">
        <v>40122.641550925902</v>
      </c>
      <c r="N1726">
        <v>2009</v>
      </c>
      <c r="R1726" s="262">
        <v>150000</v>
      </c>
      <c r="S1726" t="s">
        <v>114</v>
      </c>
      <c r="T1726" t="s">
        <v>114</v>
      </c>
      <c r="U1726">
        <v>15</v>
      </c>
      <c r="W1726">
        <v>500</v>
      </c>
      <c r="X1726">
        <v>0</v>
      </c>
      <c r="Y1726">
        <v>0</v>
      </c>
      <c r="Z1726">
        <v>0</v>
      </c>
      <c r="AA1726">
        <v>0</v>
      </c>
      <c r="AB1726">
        <v>0</v>
      </c>
      <c r="AC1726">
        <v>0</v>
      </c>
      <c r="AD1726">
        <v>0</v>
      </c>
      <c r="AE1726">
        <v>0</v>
      </c>
      <c r="AF1726">
        <v>0</v>
      </c>
      <c r="AG1726">
        <v>0</v>
      </c>
      <c r="AH1726">
        <v>0</v>
      </c>
      <c r="AI1726">
        <v>0</v>
      </c>
      <c r="AJ1726">
        <v>0</v>
      </c>
      <c r="AK1726">
        <v>0</v>
      </c>
      <c r="AL1726">
        <v>0</v>
      </c>
      <c r="AM1726">
        <v>500</v>
      </c>
      <c r="AN1726">
        <v>0</v>
      </c>
      <c r="AO1726">
        <v>0</v>
      </c>
      <c r="AP1726">
        <v>0</v>
      </c>
      <c r="AQ1726">
        <v>0</v>
      </c>
      <c r="AR1726">
        <v>0</v>
      </c>
      <c r="AS1726">
        <v>0</v>
      </c>
      <c r="AT1726">
        <v>0</v>
      </c>
      <c r="AU1726">
        <f t="shared" si="52"/>
        <v>0</v>
      </c>
      <c r="AV1726">
        <f t="shared" si="53"/>
        <v>500</v>
      </c>
    </row>
    <row r="1727" spans="1:48" x14ac:dyDescent="0.25">
      <c r="A1727" t="s">
        <v>6737</v>
      </c>
      <c r="C1727" t="s">
        <v>6738</v>
      </c>
      <c r="D1727" t="s">
        <v>6658</v>
      </c>
      <c r="E1727" t="s">
        <v>2310</v>
      </c>
      <c r="F1727">
        <v>9</v>
      </c>
      <c r="G1727">
        <v>9.1999999999999993</v>
      </c>
      <c r="H1727" t="s">
        <v>2022</v>
      </c>
      <c r="I1727" s="21">
        <v>38775</v>
      </c>
      <c r="J1727">
        <v>2006</v>
      </c>
      <c r="K1727" s="21">
        <v>38875</v>
      </c>
      <c r="L1727">
        <v>2006</v>
      </c>
      <c r="M1727" s="21">
        <v>39057</v>
      </c>
      <c r="N1727">
        <v>2006</v>
      </c>
      <c r="R1727" s="262">
        <v>179000</v>
      </c>
      <c r="S1727" t="s">
        <v>114</v>
      </c>
      <c r="T1727" t="s">
        <v>114</v>
      </c>
      <c r="U1727">
        <v>1</v>
      </c>
      <c r="W1727">
        <v>0</v>
      </c>
      <c r="X1727">
        <v>1</v>
      </c>
      <c r="Y1727">
        <v>0</v>
      </c>
      <c r="Z1727">
        <v>0</v>
      </c>
      <c r="AA1727">
        <v>0</v>
      </c>
      <c r="AB1727">
        <v>0</v>
      </c>
      <c r="AC1727">
        <v>0</v>
      </c>
      <c r="AD1727">
        <v>0</v>
      </c>
      <c r="AE1727">
        <v>0</v>
      </c>
      <c r="AF1727">
        <v>0</v>
      </c>
      <c r="AG1727">
        <v>0</v>
      </c>
      <c r="AH1727">
        <v>0</v>
      </c>
      <c r="AI1727">
        <v>0</v>
      </c>
      <c r="AJ1727">
        <v>0</v>
      </c>
      <c r="AK1727">
        <v>0</v>
      </c>
      <c r="AL1727">
        <v>0</v>
      </c>
      <c r="AM1727">
        <v>0</v>
      </c>
      <c r="AN1727">
        <v>1</v>
      </c>
      <c r="AO1727">
        <v>0</v>
      </c>
      <c r="AP1727">
        <v>0</v>
      </c>
      <c r="AQ1727">
        <v>0</v>
      </c>
      <c r="AR1727">
        <v>0</v>
      </c>
      <c r="AS1727">
        <v>0</v>
      </c>
      <c r="AT1727">
        <v>0</v>
      </c>
      <c r="AU1727">
        <f t="shared" si="52"/>
        <v>1</v>
      </c>
      <c r="AV1727">
        <f t="shared" si="53"/>
        <v>0</v>
      </c>
    </row>
    <row r="1728" spans="1:48" x14ac:dyDescent="0.25">
      <c r="A1728" t="s">
        <v>6739</v>
      </c>
      <c r="C1728" t="s">
        <v>6740</v>
      </c>
      <c r="D1728" t="s">
        <v>6658</v>
      </c>
      <c r="E1728" t="s">
        <v>2310</v>
      </c>
      <c r="F1728">
        <v>9</v>
      </c>
      <c r="G1728">
        <v>9.1999999999999993</v>
      </c>
      <c r="H1728" t="s">
        <v>2022</v>
      </c>
      <c r="I1728" s="21">
        <v>38775</v>
      </c>
      <c r="J1728">
        <v>2006</v>
      </c>
      <c r="K1728" s="21">
        <v>38869</v>
      </c>
      <c r="L1728">
        <v>2006</v>
      </c>
      <c r="M1728" s="21">
        <v>39125</v>
      </c>
      <c r="N1728">
        <v>2007</v>
      </c>
      <c r="R1728" s="262">
        <v>422000</v>
      </c>
      <c r="S1728" t="s">
        <v>114</v>
      </c>
      <c r="T1728" t="s">
        <v>114</v>
      </c>
      <c r="U1728">
        <v>5</v>
      </c>
      <c r="W1728">
        <v>2673</v>
      </c>
      <c r="X1728">
        <v>1</v>
      </c>
      <c r="Y1728">
        <v>0</v>
      </c>
      <c r="Z1728">
        <v>0</v>
      </c>
      <c r="AA1728">
        <v>0</v>
      </c>
      <c r="AB1728">
        <v>0</v>
      </c>
      <c r="AC1728">
        <v>2673</v>
      </c>
      <c r="AD1728">
        <v>0</v>
      </c>
      <c r="AE1728">
        <v>0</v>
      </c>
      <c r="AF1728">
        <v>0</v>
      </c>
      <c r="AG1728">
        <v>0</v>
      </c>
      <c r="AH1728">
        <v>0</v>
      </c>
      <c r="AI1728">
        <v>0</v>
      </c>
      <c r="AJ1728">
        <v>0</v>
      </c>
      <c r="AK1728">
        <v>0</v>
      </c>
      <c r="AL1728">
        <v>0</v>
      </c>
      <c r="AM1728">
        <v>0</v>
      </c>
      <c r="AN1728">
        <v>0</v>
      </c>
      <c r="AO1728">
        <v>1</v>
      </c>
      <c r="AP1728">
        <v>0</v>
      </c>
      <c r="AQ1728">
        <v>0</v>
      </c>
      <c r="AR1728">
        <v>0</v>
      </c>
      <c r="AS1728">
        <v>0</v>
      </c>
      <c r="AT1728">
        <v>0</v>
      </c>
      <c r="AU1728">
        <f t="shared" si="52"/>
        <v>1</v>
      </c>
      <c r="AV1728">
        <f t="shared" si="53"/>
        <v>0</v>
      </c>
    </row>
    <row r="1729" spans="1:48" x14ac:dyDescent="0.25">
      <c r="A1729" t="s">
        <v>6741</v>
      </c>
      <c r="C1729" t="s">
        <v>6742</v>
      </c>
      <c r="D1729" t="s">
        <v>6002</v>
      </c>
      <c r="E1729" t="s">
        <v>2310</v>
      </c>
      <c r="F1729">
        <v>8</v>
      </c>
      <c r="G1729">
        <v>8.1999999999999993</v>
      </c>
      <c r="H1729" t="s">
        <v>2022</v>
      </c>
      <c r="I1729" s="21">
        <v>38776</v>
      </c>
      <c r="J1729">
        <v>2006</v>
      </c>
      <c r="K1729" s="21">
        <v>38876</v>
      </c>
      <c r="L1729">
        <v>2006</v>
      </c>
      <c r="M1729" s="21">
        <v>38876</v>
      </c>
      <c r="N1729">
        <v>2006</v>
      </c>
      <c r="R1729" s="262">
        <v>0</v>
      </c>
      <c r="S1729" t="s">
        <v>114</v>
      </c>
      <c r="T1729" t="s">
        <v>114</v>
      </c>
      <c r="U1729">
        <v>5</v>
      </c>
      <c r="W1729">
        <v>0</v>
      </c>
      <c r="X1729">
        <v>0</v>
      </c>
      <c r="Y1729">
        <v>0</v>
      </c>
      <c r="Z1729">
        <v>0</v>
      </c>
      <c r="AA1729">
        <v>0</v>
      </c>
      <c r="AB1729">
        <v>0</v>
      </c>
      <c r="AC1729">
        <v>0</v>
      </c>
      <c r="AD1729">
        <v>0</v>
      </c>
      <c r="AE1729">
        <v>0</v>
      </c>
      <c r="AF1729">
        <v>0</v>
      </c>
      <c r="AG1729">
        <v>0</v>
      </c>
      <c r="AH1729">
        <v>0</v>
      </c>
      <c r="AI1729">
        <v>0</v>
      </c>
      <c r="AJ1729">
        <v>0</v>
      </c>
      <c r="AK1729">
        <v>0</v>
      </c>
      <c r="AL1729">
        <v>0</v>
      </c>
      <c r="AM1729">
        <v>0</v>
      </c>
      <c r="AN1729">
        <v>0</v>
      </c>
      <c r="AO1729">
        <v>0</v>
      </c>
      <c r="AP1729">
        <v>0</v>
      </c>
      <c r="AQ1729">
        <v>0</v>
      </c>
      <c r="AR1729">
        <v>0</v>
      </c>
      <c r="AS1729">
        <v>0</v>
      </c>
      <c r="AT1729">
        <v>0</v>
      </c>
      <c r="AU1729">
        <f t="shared" si="52"/>
        <v>0</v>
      </c>
      <c r="AV1729">
        <f t="shared" si="53"/>
        <v>0</v>
      </c>
    </row>
    <row r="1730" spans="1:48" x14ac:dyDescent="0.25">
      <c r="A1730" t="s">
        <v>6743</v>
      </c>
      <c r="C1730" t="s">
        <v>6744</v>
      </c>
      <c r="D1730" t="s">
        <v>6745</v>
      </c>
      <c r="E1730" t="s">
        <v>2310</v>
      </c>
      <c r="F1730">
        <v>15</v>
      </c>
      <c r="G1730">
        <v>15.2</v>
      </c>
      <c r="H1730" t="s">
        <v>2323</v>
      </c>
      <c r="I1730" s="21">
        <v>38776</v>
      </c>
      <c r="J1730">
        <v>2006</v>
      </c>
      <c r="K1730" s="21">
        <v>38777</v>
      </c>
      <c r="L1730">
        <v>2006</v>
      </c>
      <c r="M1730" s="21">
        <v>39101</v>
      </c>
      <c r="N1730">
        <v>2007</v>
      </c>
      <c r="R1730" s="262">
        <v>75000</v>
      </c>
      <c r="S1730" t="s">
        <v>114</v>
      </c>
      <c r="T1730" t="s">
        <v>114</v>
      </c>
      <c r="U1730">
        <v>5</v>
      </c>
      <c r="W1730">
        <v>0</v>
      </c>
      <c r="X1730">
        <v>0</v>
      </c>
      <c r="Y1730">
        <v>0</v>
      </c>
      <c r="Z1730">
        <v>0</v>
      </c>
      <c r="AA1730">
        <v>0</v>
      </c>
      <c r="AB1730">
        <v>0</v>
      </c>
      <c r="AC1730">
        <v>0</v>
      </c>
      <c r="AD1730">
        <v>0</v>
      </c>
      <c r="AE1730">
        <v>0</v>
      </c>
      <c r="AF1730">
        <v>0</v>
      </c>
      <c r="AG1730">
        <v>0</v>
      </c>
      <c r="AH1730">
        <v>0</v>
      </c>
      <c r="AI1730">
        <v>0</v>
      </c>
      <c r="AJ1730">
        <v>0</v>
      </c>
      <c r="AK1730">
        <v>0</v>
      </c>
      <c r="AL1730">
        <v>0</v>
      </c>
      <c r="AM1730">
        <v>0</v>
      </c>
      <c r="AN1730">
        <v>0</v>
      </c>
      <c r="AO1730">
        <v>0</v>
      </c>
      <c r="AP1730">
        <v>0</v>
      </c>
      <c r="AQ1730">
        <v>0</v>
      </c>
      <c r="AR1730">
        <v>0</v>
      </c>
      <c r="AS1730">
        <v>0</v>
      </c>
      <c r="AT1730">
        <v>0</v>
      </c>
      <c r="AU1730">
        <f t="shared" si="52"/>
        <v>0</v>
      </c>
      <c r="AV1730">
        <f t="shared" si="53"/>
        <v>0</v>
      </c>
    </row>
    <row r="1731" spans="1:48" x14ac:dyDescent="0.25">
      <c r="A1731" t="s">
        <v>6746</v>
      </c>
      <c r="C1731" t="s">
        <v>6747</v>
      </c>
      <c r="D1731" t="s">
        <v>6748</v>
      </c>
      <c r="E1731" t="s">
        <v>2310</v>
      </c>
      <c r="F1731">
        <v>10</v>
      </c>
      <c r="G1731">
        <v>10.1</v>
      </c>
      <c r="H1731" t="s">
        <v>2323</v>
      </c>
      <c r="I1731" s="21">
        <v>38777</v>
      </c>
      <c r="J1731">
        <v>2006</v>
      </c>
      <c r="K1731" s="21">
        <v>38811</v>
      </c>
      <c r="L1731">
        <v>2006</v>
      </c>
      <c r="M1731" s="21">
        <v>39330</v>
      </c>
      <c r="N1731">
        <v>2007</v>
      </c>
      <c r="R1731" s="262">
        <v>366000</v>
      </c>
      <c r="S1731" t="s">
        <v>114</v>
      </c>
      <c r="T1731" t="s">
        <v>114</v>
      </c>
      <c r="U1731">
        <v>5</v>
      </c>
      <c r="W1731">
        <v>4321</v>
      </c>
      <c r="X1731">
        <v>1</v>
      </c>
      <c r="Y1731">
        <v>0</v>
      </c>
      <c r="Z1731">
        <v>0</v>
      </c>
      <c r="AA1731">
        <v>0</v>
      </c>
      <c r="AB1731">
        <v>0</v>
      </c>
      <c r="AC1731">
        <v>4321</v>
      </c>
      <c r="AD1731">
        <v>0</v>
      </c>
      <c r="AE1731">
        <v>0</v>
      </c>
      <c r="AF1731">
        <v>0</v>
      </c>
      <c r="AG1731">
        <v>0</v>
      </c>
      <c r="AH1731">
        <v>0</v>
      </c>
      <c r="AI1731">
        <v>0</v>
      </c>
      <c r="AJ1731">
        <v>0</v>
      </c>
      <c r="AK1731">
        <v>0</v>
      </c>
      <c r="AL1731">
        <v>0</v>
      </c>
      <c r="AM1731">
        <v>0</v>
      </c>
      <c r="AN1731">
        <v>0</v>
      </c>
      <c r="AO1731">
        <v>1</v>
      </c>
      <c r="AP1731">
        <v>0</v>
      </c>
      <c r="AQ1731">
        <v>0</v>
      </c>
      <c r="AR1731">
        <v>0</v>
      </c>
      <c r="AS1731">
        <v>0</v>
      </c>
      <c r="AT1731">
        <v>0</v>
      </c>
      <c r="AU1731">
        <f t="shared" si="52"/>
        <v>1</v>
      </c>
      <c r="AV1731">
        <f t="shared" si="53"/>
        <v>0</v>
      </c>
    </row>
    <row r="1732" spans="1:48" x14ac:dyDescent="0.25">
      <c r="A1732" t="s">
        <v>6749</v>
      </c>
      <c r="C1732" t="s">
        <v>6750</v>
      </c>
      <c r="D1732" t="s">
        <v>6751</v>
      </c>
      <c r="E1732" t="s">
        <v>2310</v>
      </c>
      <c r="F1732">
        <v>9</v>
      </c>
      <c r="G1732">
        <v>9.3000000000000007</v>
      </c>
      <c r="H1732" t="s">
        <v>2323</v>
      </c>
      <c r="I1732" s="21">
        <v>38777</v>
      </c>
      <c r="J1732">
        <v>2006</v>
      </c>
      <c r="K1732" s="21">
        <v>38811</v>
      </c>
      <c r="L1732">
        <v>2006</v>
      </c>
      <c r="M1732" s="21">
        <v>38888</v>
      </c>
      <c r="N1732">
        <v>2006</v>
      </c>
      <c r="R1732" s="262">
        <v>132000</v>
      </c>
      <c r="S1732" t="s">
        <v>114</v>
      </c>
      <c r="T1732" t="s">
        <v>114</v>
      </c>
      <c r="U1732">
        <v>5</v>
      </c>
      <c r="W1732">
        <v>1576</v>
      </c>
      <c r="X1732">
        <v>1</v>
      </c>
      <c r="Y1732">
        <v>0</v>
      </c>
      <c r="Z1732">
        <v>0</v>
      </c>
      <c r="AA1732">
        <v>0</v>
      </c>
      <c r="AB1732">
        <v>0</v>
      </c>
      <c r="AC1732">
        <v>1576</v>
      </c>
      <c r="AD1732">
        <v>0</v>
      </c>
      <c r="AE1732">
        <v>0</v>
      </c>
      <c r="AF1732">
        <v>0</v>
      </c>
      <c r="AG1732">
        <v>0</v>
      </c>
      <c r="AH1732">
        <v>0</v>
      </c>
      <c r="AI1732">
        <v>0</v>
      </c>
      <c r="AJ1732">
        <v>0</v>
      </c>
      <c r="AK1732">
        <v>0</v>
      </c>
      <c r="AL1732">
        <v>0</v>
      </c>
      <c r="AM1732">
        <v>0</v>
      </c>
      <c r="AN1732">
        <v>0</v>
      </c>
      <c r="AO1732">
        <v>1</v>
      </c>
      <c r="AP1732">
        <v>0</v>
      </c>
      <c r="AQ1732">
        <v>0</v>
      </c>
      <c r="AR1732">
        <v>0</v>
      </c>
      <c r="AS1732">
        <v>0</v>
      </c>
      <c r="AT1732">
        <v>0</v>
      </c>
      <c r="AU1732">
        <f t="shared" si="52"/>
        <v>1</v>
      </c>
      <c r="AV1732">
        <f t="shared" si="53"/>
        <v>0</v>
      </c>
    </row>
    <row r="1733" spans="1:48" x14ac:dyDescent="0.25">
      <c r="A1733" t="s">
        <v>6755</v>
      </c>
      <c r="C1733" t="s">
        <v>6756</v>
      </c>
      <c r="D1733" t="s">
        <v>6757</v>
      </c>
      <c r="E1733" t="s">
        <v>2310</v>
      </c>
      <c r="F1733">
        <v>9</v>
      </c>
      <c r="G1733">
        <v>9.1</v>
      </c>
      <c r="H1733" t="s">
        <v>2323</v>
      </c>
      <c r="I1733" s="21">
        <v>38778</v>
      </c>
      <c r="J1733">
        <v>2006</v>
      </c>
      <c r="K1733" s="21">
        <v>38812</v>
      </c>
      <c r="L1733">
        <v>2006</v>
      </c>
      <c r="M1733" s="21">
        <v>39454</v>
      </c>
      <c r="N1733">
        <v>2008</v>
      </c>
      <c r="R1733" s="262">
        <v>350000</v>
      </c>
      <c r="S1733" t="s">
        <v>114</v>
      </c>
      <c r="T1733" t="s">
        <v>114</v>
      </c>
      <c r="U1733">
        <v>5</v>
      </c>
      <c r="W1733">
        <v>1067</v>
      </c>
      <c r="X1733">
        <v>0</v>
      </c>
      <c r="Y1733">
        <v>0</v>
      </c>
      <c r="Z1733">
        <v>0</v>
      </c>
      <c r="AA1733">
        <v>0</v>
      </c>
      <c r="AB1733">
        <v>0</v>
      </c>
      <c r="AC1733">
        <v>1067</v>
      </c>
      <c r="AD1733">
        <v>0</v>
      </c>
      <c r="AE1733">
        <v>0</v>
      </c>
      <c r="AF1733">
        <v>0</v>
      </c>
      <c r="AG1733">
        <v>0</v>
      </c>
      <c r="AH1733">
        <v>0</v>
      </c>
      <c r="AI1733">
        <v>0</v>
      </c>
      <c r="AJ1733">
        <v>0</v>
      </c>
      <c r="AK1733">
        <v>0</v>
      </c>
      <c r="AL1733">
        <v>0</v>
      </c>
      <c r="AM1733">
        <v>0</v>
      </c>
      <c r="AN1733">
        <v>0</v>
      </c>
      <c r="AO1733">
        <v>0</v>
      </c>
      <c r="AP1733">
        <v>0</v>
      </c>
      <c r="AQ1733">
        <v>0</v>
      </c>
      <c r="AR1733">
        <v>0</v>
      </c>
      <c r="AS1733">
        <v>0</v>
      </c>
      <c r="AT1733">
        <v>0</v>
      </c>
      <c r="AU1733">
        <f t="shared" si="52"/>
        <v>0</v>
      </c>
      <c r="AV1733">
        <f t="shared" si="53"/>
        <v>0</v>
      </c>
    </row>
    <row r="1734" spans="1:48" x14ac:dyDescent="0.25">
      <c r="A1734" t="s">
        <v>6752</v>
      </c>
      <c r="C1734" t="s">
        <v>6753</v>
      </c>
      <c r="D1734" t="s">
        <v>6754</v>
      </c>
      <c r="E1734" t="s">
        <v>1663</v>
      </c>
      <c r="F1734">
        <v>4</v>
      </c>
      <c r="G1734">
        <v>4.0999999999999996</v>
      </c>
      <c r="H1734" t="s">
        <v>2327</v>
      </c>
      <c r="I1734" s="21">
        <v>38778</v>
      </c>
      <c r="J1734">
        <v>2006</v>
      </c>
      <c r="K1734" s="21">
        <v>38809</v>
      </c>
      <c r="L1734">
        <v>2006</v>
      </c>
      <c r="M1734" s="21">
        <v>38962</v>
      </c>
      <c r="N1734">
        <v>2006</v>
      </c>
      <c r="Q1734" s="262">
        <v>3111111</v>
      </c>
      <c r="S1734" t="s">
        <v>114</v>
      </c>
      <c r="T1734" t="s">
        <v>114</v>
      </c>
      <c r="W1734">
        <v>24174</v>
      </c>
      <c r="X1734">
        <v>0</v>
      </c>
      <c r="Y1734">
        <v>0</v>
      </c>
      <c r="Z1734">
        <v>0</v>
      </c>
      <c r="AA1734">
        <v>0</v>
      </c>
      <c r="AB1734">
        <v>0</v>
      </c>
      <c r="AC1734">
        <v>0</v>
      </c>
      <c r="AD1734">
        <v>0</v>
      </c>
      <c r="AE1734">
        <v>0</v>
      </c>
      <c r="AF1734">
        <v>0</v>
      </c>
      <c r="AG1734">
        <v>0</v>
      </c>
      <c r="AH1734">
        <v>0</v>
      </c>
      <c r="AI1734">
        <v>0</v>
      </c>
      <c r="AJ1734">
        <v>24174</v>
      </c>
      <c r="AK1734">
        <v>0</v>
      </c>
      <c r="AL1734">
        <v>0</v>
      </c>
      <c r="AM1734">
        <v>0</v>
      </c>
      <c r="AN1734">
        <v>0</v>
      </c>
      <c r="AO1734">
        <v>0</v>
      </c>
      <c r="AP1734">
        <v>0</v>
      </c>
      <c r="AQ1734">
        <v>0</v>
      </c>
      <c r="AR1734">
        <v>0</v>
      </c>
      <c r="AS1734">
        <v>0</v>
      </c>
      <c r="AT1734">
        <v>0</v>
      </c>
      <c r="AU1734">
        <f t="shared" si="52"/>
        <v>0</v>
      </c>
      <c r="AV1734">
        <f t="shared" si="53"/>
        <v>24174</v>
      </c>
    </row>
    <row r="1735" spans="1:48" x14ac:dyDescent="0.25">
      <c r="A1735" t="s">
        <v>6760</v>
      </c>
      <c r="C1735" t="s">
        <v>6761</v>
      </c>
      <c r="D1735" t="s">
        <v>3386</v>
      </c>
      <c r="E1735" t="s">
        <v>2310</v>
      </c>
      <c r="F1735">
        <v>15</v>
      </c>
      <c r="G1735">
        <v>15.2</v>
      </c>
      <c r="H1735" t="s">
        <v>2323</v>
      </c>
      <c r="I1735" s="21">
        <v>38779</v>
      </c>
      <c r="J1735">
        <v>2006</v>
      </c>
      <c r="K1735" s="21">
        <v>38798</v>
      </c>
      <c r="L1735">
        <v>2006</v>
      </c>
      <c r="M1735" s="21">
        <v>38884</v>
      </c>
      <c r="N1735">
        <v>2006</v>
      </c>
      <c r="R1735" s="262">
        <v>28000</v>
      </c>
      <c r="S1735" t="s">
        <v>114</v>
      </c>
      <c r="T1735" t="s">
        <v>114</v>
      </c>
      <c r="U1735">
        <v>3</v>
      </c>
      <c r="W1735">
        <v>106</v>
      </c>
      <c r="X1735">
        <v>0</v>
      </c>
      <c r="Y1735">
        <v>0</v>
      </c>
      <c r="Z1735">
        <v>0</v>
      </c>
      <c r="AA1735">
        <v>106</v>
      </c>
      <c r="AB1735">
        <v>0</v>
      </c>
      <c r="AC1735">
        <v>0</v>
      </c>
      <c r="AD1735">
        <v>0</v>
      </c>
      <c r="AE1735">
        <v>0</v>
      </c>
      <c r="AF1735">
        <v>0</v>
      </c>
      <c r="AG1735">
        <v>0</v>
      </c>
      <c r="AH1735">
        <v>0</v>
      </c>
      <c r="AI1735">
        <v>0</v>
      </c>
      <c r="AJ1735">
        <v>0</v>
      </c>
      <c r="AK1735">
        <v>0</v>
      </c>
      <c r="AL1735">
        <v>0</v>
      </c>
      <c r="AM1735">
        <v>0</v>
      </c>
      <c r="AN1735">
        <v>0</v>
      </c>
      <c r="AO1735">
        <v>0</v>
      </c>
      <c r="AP1735">
        <v>0</v>
      </c>
      <c r="AQ1735">
        <v>0</v>
      </c>
      <c r="AR1735">
        <v>0</v>
      </c>
      <c r="AS1735">
        <v>0</v>
      </c>
      <c r="AT1735">
        <v>0</v>
      </c>
      <c r="AU1735">
        <f t="shared" si="52"/>
        <v>0</v>
      </c>
      <c r="AV1735">
        <f t="shared" si="53"/>
        <v>106</v>
      </c>
    </row>
    <row r="1736" spans="1:48" x14ac:dyDescent="0.25">
      <c r="A1736" t="s">
        <v>6758</v>
      </c>
      <c r="C1736" t="s">
        <v>6759</v>
      </c>
      <c r="D1736" t="s">
        <v>3267</v>
      </c>
      <c r="E1736" t="s">
        <v>1663</v>
      </c>
      <c r="F1736">
        <v>2</v>
      </c>
      <c r="G1736">
        <v>2.2999999999999998</v>
      </c>
      <c r="H1736" t="s">
        <v>2327</v>
      </c>
      <c r="I1736" s="21">
        <v>38779</v>
      </c>
      <c r="J1736">
        <v>2006</v>
      </c>
      <c r="K1736" s="21">
        <v>38810</v>
      </c>
      <c r="L1736">
        <v>2006</v>
      </c>
      <c r="M1736" s="21">
        <v>38963</v>
      </c>
      <c r="N1736">
        <v>2006</v>
      </c>
      <c r="Q1736" s="262">
        <v>250000</v>
      </c>
      <c r="S1736" t="s">
        <v>114</v>
      </c>
      <c r="T1736" t="s">
        <v>114</v>
      </c>
      <c r="W1736">
        <v>0</v>
      </c>
      <c r="X1736">
        <v>0</v>
      </c>
      <c r="Y1736">
        <v>0</v>
      </c>
      <c r="Z1736">
        <v>0</v>
      </c>
      <c r="AA1736">
        <v>0</v>
      </c>
      <c r="AB1736">
        <v>0</v>
      </c>
      <c r="AC1736">
        <v>0</v>
      </c>
      <c r="AD1736">
        <v>0</v>
      </c>
      <c r="AE1736">
        <v>0</v>
      </c>
      <c r="AF1736">
        <v>0</v>
      </c>
      <c r="AG1736">
        <v>0</v>
      </c>
      <c r="AH1736">
        <v>0</v>
      </c>
      <c r="AI1736">
        <v>0</v>
      </c>
      <c r="AJ1736">
        <v>0</v>
      </c>
      <c r="AK1736">
        <v>0</v>
      </c>
      <c r="AL1736">
        <v>0</v>
      </c>
      <c r="AM1736">
        <v>0</v>
      </c>
      <c r="AN1736">
        <v>0</v>
      </c>
      <c r="AO1736">
        <v>0</v>
      </c>
      <c r="AP1736">
        <v>0</v>
      </c>
      <c r="AQ1736">
        <v>0</v>
      </c>
      <c r="AR1736">
        <v>0</v>
      </c>
      <c r="AS1736">
        <v>0</v>
      </c>
      <c r="AT1736">
        <v>0</v>
      </c>
      <c r="AU1736">
        <f t="shared" si="52"/>
        <v>0</v>
      </c>
      <c r="AV1736">
        <f t="shared" si="53"/>
        <v>0</v>
      </c>
    </row>
    <row r="1737" spans="1:48" x14ac:dyDescent="0.25">
      <c r="A1737" t="s">
        <v>6762</v>
      </c>
      <c r="C1737" t="s">
        <v>6763</v>
      </c>
      <c r="D1737" t="s">
        <v>6764</v>
      </c>
      <c r="E1737" t="s">
        <v>2310</v>
      </c>
      <c r="F1737">
        <v>13</v>
      </c>
      <c r="G1737">
        <v>13.3</v>
      </c>
      <c r="H1737" t="s">
        <v>2017</v>
      </c>
      <c r="I1737" s="21">
        <v>38782</v>
      </c>
      <c r="J1737">
        <v>2006</v>
      </c>
      <c r="K1737" s="21">
        <v>38841</v>
      </c>
      <c r="L1737">
        <v>2006</v>
      </c>
      <c r="M1737" s="21">
        <v>39765</v>
      </c>
      <c r="N1737">
        <v>2008</v>
      </c>
      <c r="R1737" s="262">
        <v>2500000</v>
      </c>
      <c r="S1737" t="s">
        <v>114</v>
      </c>
      <c r="T1737" t="s">
        <v>114</v>
      </c>
      <c r="U1737">
        <v>5</v>
      </c>
      <c r="W1737">
        <v>9398</v>
      </c>
      <c r="X1737">
        <v>1</v>
      </c>
      <c r="Y1737">
        <v>0</v>
      </c>
      <c r="Z1737">
        <v>0</v>
      </c>
      <c r="AA1737">
        <v>0</v>
      </c>
      <c r="AB1737">
        <v>0</v>
      </c>
      <c r="AC1737">
        <v>9398</v>
      </c>
      <c r="AD1737">
        <v>0</v>
      </c>
      <c r="AE1737">
        <v>0</v>
      </c>
      <c r="AF1737">
        <v>0</v>
      </c>
      <c r="AG1737">
        <v>0</v>
      </c>
      <c r="AH1737">
        <v>0</v>
      </c>
      <c r="AI1737">
        <v>0</v>
      </c>
      <c r="AJ1737">
        <v>0</v>
      </c>
      <c r="AK1737">
        <v>0</v>
      </c>
      <c r="AL1737">
        <v>0</v>
      </c>
      <c r="AM1737">
        <v>0</v>
      </c>
      <c r="AN1737">
        <v>0</v>
      </c>
      <c r="AO1737">
        <v>1</v>
      </c>
      <c r="AP1737">
        <v>0</v>
      </c>
      <c r="AQ1737">
        <v>0</v>
      </c>
      <c r="AR1737">
        <v>0</v>
      </c>
      <c r="AS1737">
        <v>0</v>
      </c>
      <c r="AT1737">
        <v>0</v>
      </c>
      <c r="AU1737">
        <f t="shared" si="52"/>
        <v>1</v>
      </c>
      <c r="AV1737">
        <f t="shared" si="53"/>
        <v>0</v>
      </c>
    </row>
    <row r="1738" spans="1:48" x14ac:dyDescent="0.25">
      <c r="A1738" t="s">
        <v>6765</v>
      </c>
      <c r="C1738" t="s">
        <v>6766</v>
      </c>
      <c r="D1738" t="s">
        <v>6767</v>
      </c>
      <c r="E1738" t="s">
        <v>2310</v>
      </c>
      <c r="F1738">
        <v>10</v>
      </c>
      <c r="G1738">
        <v>10.1</v>
      </c>
      <c r="H1738" t="s">
        <v>2323</v>
      </c>
      <c r="I1738" s="21">
        <v>38783</v>
      </c>
      <c r="J1738">
        <v>2006</v>
      </c>
      <c r="K1738" s="21">
        <v>38812</v>
      </c>
      <c r="L1738">
        <v>2006</v>
      </c>
      <c r="M1738" s="21">
        <v>39042</v>
      </c>
      <c r="N1738">
        <v>2006</v>
      </c>
      <c r="R1738" s="262">
        <v>400000</v>
      </c>
      <c r="S1738" t="s">
        <v>114</v>
      </c>
      <c r="T1738" t="s">
        <v>114</v>
      </c>
      <c r="U1738">
        <v>5</v>
      </c>
      <c r="W1738">
        <v>4769</v>
      </c>
      <c r="X1738">
        <v>1</v>
      </c>
      <c r="Y1738">
        <v>0</v>
      </c>
      <c r="Z1738">
        <v>0</v>
      </c>
      <c r="AA1738">
        <v>0</v>
      </c>
      <c r="AB1738">
        <v>0</v>
      </c>
      <c r="AC1738">
        <v>4769</v>
      </c>
      <c r="AD1738">
        <v>0</v>
      </c>
      <c r="AE1738">
        <v>0</v>
      </c>
      <c r="AF1738">
        <v>0</v>
      </c>
      <c r="AG1738">
        <v>0</v>
      </c>
      <c r="AH1738">
        <v>0</v>
      </c>
      <c r="AI1738">
        <v>0</v>
      </c>
      <c r="AJ1738">
        <v>0</v>
      </c>
      <c r="AK1738">
        <v>0</v>
      </c>
      <c r="AL1738">
        <v>0</v>
      </c>
      <c r="AM1738">
        <v>0</v>
      </c>
      <c r="AN1738">
        <v>0</v>
      </c>
      <c r="AO1738">
        <v>1</v>
      </c>
      <c r="AP1738">
        <v>0</v>
      </c>
      <c r="AQ1738">
        <v>0</v>
      </c>
      <c r="AR1738">
        <v>0</v>
      </c>
      <c r="AS1738">
        <v>0</v>
      </c>
      <c r="AT1738">
        <v>0</v>
      </c>
      <c r="AU1738">
        <f t="shared" si="52"/>
        <v>1</v>
      </c>
      <c r="AV1738">
        <f t="shared" si="53"/>
        <v>0</v>
      </c>
    </row>
    <row r="1739" spans="1:48" x14ac:dyDescent="0.25">
      <c r="A1739" t="s">
        <v>6768</v>
      </c>
      <c r="C1739" t="s">
        <v>6769</v>
      </c>
      <c r="D1739" t="s">
        <v>6770</v>
      </c>
      <c r="E1739" t="s">
        <v>2310</v>
      </c>
      <c r="F1739">
        <v>11</v>
      </c>
      <c r="G1739">
        <v>11.2</v>
      </c>
      <c r="H1739" t="s">
        <v>2017</v>
      </c>
      <c r="I1739" s="21">
        <v>38783</v>
      </c>
      <c r="J1739">
        <v>2006</v>
      </c>
      <c r="K1739" s="21">
        <v>38813</v>
      </c>
      <c r="L1739">
        <v>2006</v>
      </c>
      <c r="M1739" s="21">
        <v>39318</v>
      </c>
      <c r="N1739">
        <v>2007</v>
      </c>
      <c r="R1739" s="262">
        <v>140000</v>
      </c>
      <c r="S1739" t="s">
        <v>114</v>
      </c>
      <c r="T1739" t="s">
        <v>114</v>
      </c>
      <c r="U1739">
        <v>5</v>
      </c>
      <c r="W1739">
        <v>417</v>
      </c>
      <c r="X1739">
        <v>0</v>
      </c>
      <c r="Y1739">
        <v>0</v>
      </c>
      <c r="Z1739">
        <v>0</v>
      </c>
      <c r="AA1739">
        <v>0</v>
      </c>
      <c r="AB1739">
        <v>0</v>
      </c>
      <c r="AC1739">
        <v>417</v>
      </c>
      <c r="AD1739">
        <v>0</v>
      </c>
      <c r="AE1739">
        <v>0</v>
      </c>
      <c r="AF1739">
        <v>0</v>
      </c>
      <c r="AG1739">
        <v>0</v>
      </c>
      <c r="AH1739">
        <v>0</v>
      </c>
      <c r="AI1739">
        <v>0</v>
      </c>
      <c r="AJ1739">
        <v>0</v>
      </c>
      <c r="AK1739">
        <v>0</v>
      </c>
      <c r="AL1739">
        <v>0</v>
      </c>
      <c r="AM1739">
        <v>0</v>
      </c>
      <c r="AN1739">
        <v>0</v>
      </c>
      <c r="AO1739">
        <v>0</v>
      </c>
      <c r="AP1739">
        <v>0</v>
      </c>
      <c r="AQ1739">
        <v>0</v>
      </c>
      <c r="AR1739">
        <v>0</v>
      </c>
      <c r="AS1739">
        <v>0</v>
      </c>
      <c r="AT1739">
        <v>0</v>
      </c>
      <c r="AU1739">
        <f t="shared" si="52"/>
        <v>0</v>
      </c>
      <c r="AV1739">
        <f t="shared" si="53"/>
        <v>0</v>
      </c>
    </row>
    <row r="1740" spans="1:48" x14ac:dyDescent="0.25">
      <c r="A1740" t="s">
        <v>6771</v>
      </c>
      <c r="C1740" t="s">
        <v>6772</v>
      </c>
      <c r="D1740" t="s">
        <v>6773</v>
      </c>
      <c r="E1740" t="s">
        <v>2310</v>
      </c>
      <c r="F1740">
        <v>9</v>
      </c>
      <c r="G1740">
        <v>9.3000000000000007</v>
      </c>
      <c r="H1740" t="s">
        <v>2323</v>
      </c>
      <c r="I1740" s="21">
        <v>38784</v>
      </c>
      <c r="J1740">
        <v>2006</v>
      </c>
      <c r="K1740" s="21">
        <v>38814</v>
      </c>
      <c r="L1740">
        <v>2006</v>
      </c>
      <c r="M1740" s="21">
        <v>39476</v>
      </c>
      <c r="N1740">
        <v>2008</v>
      </c>
      <c r="R1740" s="262">
        <v>1800000</v>
      </c>
      <c r="S1740" t="s">
        <v>114</v>
      </c>
      <c r="T1740" t="s">
        <v>114</v>
      </c>
      <c r="U1740">
        <v>5</v>
      </c>
      <c r="W1740">
        <v>5591</v>
      </c>
      <c r="X1740">
        <v>1</v>
      </c>
      <c r="Y1740">
        <v>0</v>
      </c>
      <c r="Z1740">
        <v>0</v>
      </c>
      <c r="AA1740">
        <v>0</v>
      </c>
      <c r="AB1740">
        <v>0</v>
      </c>
      <c r="AC1740">
        <v>5591</v>
      </c>
      <c r="AD1740">
        <v>0</v>
      </c>
      <c r="AE1740">
        <v>0</v>
      </c>
      <c r="AF1740">
        <v>0</v>
      </c>
      <c r="AG1740">
        <v>0</v>
      </c>
      <c r="AH1740">
        <v>0</v>
      </c>
      <c r="AI1740">
        <v>0</v>
      </c>
      <c r="AJ1740">
        <v>0</v>
      </c>
      <c r="AK1740">
        <v>0</v>
      </c>
      <c r="AL1740">
        <v>0</v>
      </c>
      <c r="AM1740">
        <v>0</v>
      </c>
      <c r="AN1740">
        <v>0</v>
      </c>
      <c r="AO1740">
        <v>1</v>
      </c>
      <c r="AP1740">
        <v>0</v>
      </c>
      <c r="AQ1740">
        <v>0</v>
      </c>
      <c r="AR1740">
        <v>0</v>
      </c>
      <c r="AS1740">
        <v>0</v>
      </c>
      <c r="AT1740">
        <v>0</v>
      </c>
      <c r="AU1740">
        <f t="shared" si="52"/>
        <v>1</v>
      </c>
      <c r="AV1740">
        <f t="shared" si="53"/>
        <v>0</v>
      </c>
    </row>
    <row r="1741" spans="1:48" x14ac:dyDescent="0.25">
      <c r="A1741" t="s">
        <v>6774</v>
      </c>
      <c r="C1741" t="s">
        <v>6775</v>
      </c>
      <c r="D1741" t="s">
        <v>3197</v>
      </c>
      <c r="E1741" t="s">
        <v>2310</v>
      </c>
      <c r="F1741">
        <v>8</v>
      </c>
      <c r="G1741">
        <v>8.3000000000000007</v>
      </c>
      <c r="H1741" t="s">
        <v>2323</v>
      </c>
      <c r="I1741" s="21">
        <v>38784</v>
      </c>
      <c r="J1741">
        <v>2006</v>
      </c>
      <c r="K1741" s="21">
        <v>38813</v>
      </c>
      <c r="L1741">
        <v>2006</v>
      </c>
      <c r="M1741" s="21">
        <v>39287</v>
      </c>
      <c r="N1741">
        <v>2007</v>
      </c>
      <c r="R1741" s="262">
        <v>130000</v>
      </c>
      <c r="S1741" t="s">
        <v>114</v>
      </c>
      <c r="T1741" t="s">
        <v>114</v>
      </c>
      <c r="U1741">
        <v>5</v>
      </c>
      <c r="W1741">
        <v>707</v>
      </c>
      <c r="X1741">
        <v>0</v>
      </c>
      <c r="Y1741">
        <v>0</v>
      </c>
      <c r="Z1741">
        <v>0</v>
      </c>
      <c r="AA1741">
        <v>0</v>
      </c>
      <c r="AB1741">
        <v>0</v>
      </c>
      <c r="AC1741">
        <v>707</v>
      </c>
      <c r="AD1741">
        <v>0</v>
      </c>
      <c r="AE1741">
        <v>0</v>
      </c>
      <c r="AF1741">
        <v>0</v>
      </c>
      <c r="AG1741">
        <v>0</v>
      </c>
      <c r="AH1741">
        <v>0</v>
      </c>
      <c r="AI1741">
        <v>0</v>
      </c>
      <c r="AJ1741">
        <v>0</v>
      </c>
      <c r="AK1741">
        <v>0</v>
      </c>
      <c r="AL1741">
        <v>0</v>
      </c>
      <c r="AM1741">
        <v>0</v>
      </c>
      <c r="AN1741">
        <v>0</v>
      </c>
      <c r="AO1741">
        <v>0</v>
      </c>
      <c r="AP1741">
        <v>0</v>
      </c>
      <c r="AQ1741">
        <v>0</v>
      </c>
      <c r="AR1741">
        <v>0</v>
      </c>
      <c r="AS1741">
        <v>0</v>
      </c>
      <c r="AT1741">
        <v>0</v>
      </c>
      <c r="AU1741">
        <f t="shared" si="52"/>
        <v>0</v>
      </c>
      <c r="AV1741">
        <f t="shared" si="53"/>
        <v>0</v>
      </c>
    </row>
    <row r="1742" spans="1:48" x14ac:dyDescent="0.25">
      <c r="A1742" t="s">
        <v>6776</v>
      </c>
      <c r="C1742" t="s">
        <v>6777</v>
      </c>
      <c r="D1742" t="s">
        <v>6778</v>
      </c>
      <c r="E1742" t="s">
        <v>2310</v>
      </c>
      <c r="F1742">
        <v>8</v>
      </c>
      <c r="G1742">
        <v>8.3000000000000007</v>
      </c>
      <c r="H1742" t="s">
        <v>2323</v>
      </c>
      <c r="I1742" s="21">
        <v>38785</v>
      </c>
      <c r="J1742">
        <v>2006</v>
      </c>
      <c r="K1742" s="21">
        <v>38867</v>
      </c>
      <c r="L1742">
        <v>2006</v>
      </c>
      <c r="M1742" s="21">
        <v>39034</v>
      </c>
      <c r="N1742">
        <v>2006</v>
      </c>
      <c r="R1742" s="262">
        <v>55000</v>
      </c>
      <c r="S1742" t="s">
        <v>114</v>
      </c>
      <c r="T1742" t="s">
        <v>114</v>
      </c>
      <c r="U1742">
        <v>5</v>
      </c>
      <c r="W1742">
        <v>0</v>
      </c>
      <c r="X1742">
        <v>0</v>
      </c>
      <c r="Y1742">
        <v>0</v>
      </c>
      <c r="Z1742">
        <v>0</v>
      </c>
      <c r="AA1742">
        <v>0</v>
      </c>
      <c r="AB1742">
        <v>0</v>
      </c>
      <c r="AC1742">
        <v>0</v>
      </c>
      <c r="AD1742">
        <v>0</v>
      </c>
      <c r="AE1742">
        <v>0</v>
      </c>
      <c r="AF1742">
        <v>0</v>
      </c>
      <c r="AG1742">
        <v>0</v>
      </c>
      <c r="AH1742">
        <v>0</v>
      </c>
      <c r="AI1742">
        <v>0</v>
      </c>
      <c r="AJ1742">
        <v>0</v>
      </c>
      <c r="AK1742">
        <v>0</v>
      </c>
      <c r="AL1742">
        <v>0</v>
      </c>
      <c r="AM1742">
        <v>0</v>
      </c>
      <c r="AN1742">
        <v>0</v>
      </c>
      <c r="AO1742">
        <v>0</v>
      </c>
      <c r="AP1742">
        <v>0</v>
      </c>
      <c r="AQ1742">
        <v>0</v>
      </c>
      <c r="AR1742">
        <v>0</v>
      </c>
      <c r="AS1742">
        <v>0</v>
      </c>
      <c r="AT1742">
        <v>0</v>
      </c>
      <c r="AU1742">
        <f t="shared" si="52"/>
        <v>0</v>
      </c>
      <c r="AV1742">
        <f t="shared" si="53"/>
        <v>0</v>
      </c>
    </row>
    <row r="1743" spans="1:48" x14ac:dyDescent="0.25">
      <c r="A1743" t="s">
        <v>6779</v>
      </c>
      <c r="C1743" t="s">
        <v>6780</v>
      </c>
      <c r="D1743" t="s">
        <v>6781</v>
      </c>
      <c r="E1743" t="s">
        <v>2310</v>
      </c>
      <c r="F1743">
        <v>13</v>
      </c>
      <c r="G1743">
        <v>13.1</v>
      </c>
      <c r="H1743" t="s">
        <v>2327</v>
      </c>
      <c r="I1743" s="21">
        <v>38785</v>
      </c>
      <c r="J1743">
        <v>2006</v>
      </c>
      <c r="K1743" s="21">
        <v>38937</v>
      </c>
      <c r="L1743">
        <v>2006</v>
      </c>
      <c r="M1743" s="21">
        <v>40211.549641203703</v>
      </c>
      <c r="N1743">
        <v>2010</v>
      </c>
      <c r="R1743" s="262">
        <v>4972000</v>
      </c>
      <c r="S1743" t="s">
        <v>114</v>
      </c>
      <c r="T1743" t="s">
        <v>114</v>
      </c>
      <c r="U1743">
        <v>18</v>
      </c>
      <c r="W1743">
        <v>52098</v>
      </c>
      <c r="X1743">
        <v>32</v>
      </c>
      <c r="Y1743">
        <v>0</v>
      </c>
      <c r="Z1743">
        <v>0</v>
      </c>
      <c r="AA1743">
        <v>0</v>
      </c>
      <c r="AB1743">
        <v>0</v>
      </c>
      <c r="AC1743">
        <v>0</v>
      </c>
      <c r="AD1743">
        <v>0</v>
      </c>
      <c r="AE1743">
        <v>0</v>
      </c>
      <c r="AF1743">
        <v>0</v>
      </c>
      <c r="AG1743">
        <v>0</v>
      </c>
      <c r="AH1743">
        <v>3813</v>
      </c>
      <c r="AI1743">
        <v>44836</v>
      </c>
      <c r="AJ1743">
        <v>1235</v>
      </c>
      <c r="AK1743">
        <v>2214</v>
      </c>
      <c r="AL1743">
        <v>0</v>
      </c>
      <c r="AM1743">
        <v>0</v>
      </c>
      <c r="AN1743">
        <v>0</v>
      </c>
      <c r="AO1743">
        <v>0</v>
      </c>
      <c r="AP1743">
        <v>0</v>
      </c>
      <c r="AQ1743">
        <v>0</v>
      </c>
      <c r="AR1743">
        <v>0</v>
      </c>
      <c r="AS1743">
        <v>0</v>
      </c>
      <c r="AT1743">
        <v>32</v>
      </c>
      <c r="AU1743">
        <f t="shared" si="52"/>
        <v>0</v>
      </c>
      <c r="AV1743">
        <f t="shared" si="53"/>
        <v>52098</v>
      </c>
    </row>
    <row r="1744" spans="1:48" x14ac:dyDescent="0.25">
      <c r="A1744" t="s">
        <v>6782</v>
      </c>
      <c r="C1744" t="s">
        <v>6783</v>
      </c>
      <c r="D1744" t="s">
        <v>6784</v>
      </c>
      <c r="E1744" t="s">
        <v>2310</v>
      </c>
      <c r="F1744">
        <v>9</v>
      </c>
      <c r="G1744">
        <v>9.1</v>
      </c>
      <c r="H1744" t="s">
        <v>2323</v>
      </c>
      <c r="I1744" s="21">
        <v>38789</v>
      </c>
      <c r="J1744">
        <v>2006</v>
      </c>
      <c r="K1744" s="21">
        <v>38827</v>
      </c>
      <c r="L1744">
        <v>2006</v>
      </c>
      <c r="M1744" s="21">
        <v>39225</v>
      </c>
      <c r="N1744">
        <v>2007</v>
      </c>
      <c r="R1744" s="262">
        <v>650000</v>
      </c>
      <c r="S1744" t="s">
        <v>114</v>
      </c>
      <c r="T1744" t="s">
        <v>114</v>
      </c>
      <c r="U1744">
        <v>5</v>
      </c>
      <c r="W1744">
        <v>5197</v>
      </c>
      <c r="X1744">
        <v>1</v>
      </c>
      <c r="Y1744">
        <v>0</v>
      </c>
      <c r="Z1744">
        <v>0</v>
      </c>
      <c r="AA1744">
        <v>0</v>
      </c>
      <c r="AB1744">
        <v>0</v>
      </c>
      <c r="AC1744">
        <v>5197</v>
      </c>
      <c r="AD1744">
        <v>0</v>
      </c>
      <c r="AE1744">
        <v>0</v>
      </c>
      <c r="AF1744">
        <v>0</v>
      </c>
      <c r="AG1744">
        <v>0</v>
      </c>
      <c r="AH1744">
        <v>0</v>
      </c>
      <c r="AI1744">
        <v>0</v>
      </c>
      <c r="AJ1744">
        <v>0</v>
      </c>
      <c r="AK1744">
        <v>0</v>
      </c>
      <c r="AL1744">
        <v>0</v>
      </c>
      <c r="AM1744">
        <v>0</v>
      </c>
      <c r="AN1744">
        <v>0</v>
      </c>
      <c r="AO1744">
        <v>1</v>
      </c>
      <c r="AP1744">
        <v>0</v>
      </c>
      <c r="AQ1744">
        <v>0</v>
      </c>
      <c r="AR1744">
        <v>0</v>
      </c>
      <c r="AS1744">
        <v>0</v>
      </c>
      <c r="AT1744">
        <v>0</v>
      </c>
      <c r="AU1744">
        <f t="shared" si="52"/>
        <v>1</v>
      </c>
      <c r="AV1744">
        <f t="shared" si="53"/>
        <v>0</v>
      </c>
    </row>
    <row r="1745" spans="1:48" x14ac:dyDescent="0.25">
      <c r="A1745" t="s">
        <v>6785</v>
      </c>
      <c r="C1745" t="s">
        <v>6786</v>
      </c>
      <c r="D1745" t="s">
        <v>6787</v>
      </c>
      <c r="E1745" t="s">
        <v>2310</v>
      </c>
      <c r="F1745">
        <v>9</v>
      </c>
      <c r="G1745">
        <v>9.4</v>
      </c>
      <c r="H1745" t="s">
        <v>2323</v>
      </c>
      <c r="I1745" s="21">
        <v>38790</v>
      </c>
      <c r="J1745">
        <v>2006</v>
      </c>
      <c r="K1745" s="21">
        <v>38839</v>
      </c>
      <c r="L1745">
        <v>2006</v>
      </c>
      <c r="M1745" s="21">
        <v>39381</v>
      </c>
      <c r="N1745">
        <v>2007</v>
      </c>
      <c r="R1745" s="262">
        <v>1300000</v>
      </c>
      <c r="S1745" t="s">
        <v>114</v>
      </c>
      <c r="T1745" t="s">
        <v>114</v>
      </c>
      <c r="U1745">
        <v>5</v>
      </c>
      <c r="W1745">
        <v>4285</v>
      </c>
      <c r="X1745">
        <v>1</v>
      </c>
      <c r="Y1745">
        <v>0</v>
      </c>
      <c r="Z1745">
        <v>0</v>
      </c>
      <c r="AA1745">
        <v>0</v>
      </c>
      <c r="AB1745">
        <v>0</v>
      </c>
      <c r="AC1745">
        <v>4285</v>
      </c>
      <c r="AD1745">
        <v>0</v>
      </c>
      <c r="AE1745">
        <v>0</v>
      </c>
      <c r="AF1745">
        <v>0</v>
      </c>
      <c r="AG1745">
        <v>0</v>
      </c>
      <c r="AH1745">
        <v>0</v>
      </c>
      <c r="AI1745">
        <v>0</v>
      </c>
      <c r="AJ1745">
        <v>0</v>
      </c>
      <c r="AK1745">
        <v>0</v>
      </c>
      <c r="AL1745">
        <v>0</v>
      </c>
      <c r="AM1745">
        <v>0</v>
      </c>
      <c r="AN1745">
        <v>0</v>
      </c>
      <c r="AO1745">
        <v>1</v>
      </c>
      <c r="AP1745">
        <v>0</v>
      </c>
      <c r="AQ1745">
        <v>0</v>
      </c>
      <c r="AR1745">
        <v>0</v>
      </c>
      <c r="AS1745">
        <v>0</v>
      </c>
      <c r="AT1745">
        <v>0</v>
      </c>
      <c r="AU1745">
        <f t="shared" si="52"/>
        <v>1</v>
      </c>
      <c r="AV1745">
        <f t="shared" si="53"/>
        <v>0</v>
      </c>
    </row>
    <row r="1746" spans="1:48" x14ac:dyDescent="0.25">
      <c r="A1746" t="s">
        <v>6788</v>
      </c>
      <c r="C1746" t="s">
        <v>6789</v>
      </c>
      <c r="D1746" t="s">
        <v>6790</v>
      </c>
      <c r="E1746" t="s">
        <v>2310</v>
      </c>
      <c r="F1746">
        <v>9</v>
      </c>
      <c r="G1746">
        <v>9.4</v>
      </c>
      <c r="H1746" t="s">
        <v>2323</v>
      </c>
      <c r="I1746" s="21">
        <v>38790</v>
      </c>
      <c r="J1746">
        <v>2006</v>
      </c>
      <c r="K1746" s="21">
        <v>38828</v>
      </c>
      <c r="L1746">
        <v>2006</v>
      </c>
      <c r="M1746" s="21">
        <v>38909</v>
      </c>
      <c r="N1746">
        <v>2006</v>
      </c>
      <c r="R1746" s="262">
        <v>150000</v>
      </c>
      <c r="S1746" t="s">
        <v>114</v>
      </c>
      <c r="T1746" t="s">
        <v>114</v>
      </c>
      <c r="U1746">
        <v>5</v>
      </c>
      <c r="W1746">
        <v>339</v>
      </c>
      <c r="X1746">
        <v>0</v>
      </c>
      <c r="Y1746">
        <v>0</v>
      </c>
      <c r="Z1746">
        <v>0</v>
      </c>
      <c r="AA1746">
        <v>0</v>
      </c>
      <c r="AB1746">
        <v>0</v>
      </c>
      <c r="AC1746">
        <v>339</v>
      </c>
      <c r="AD1746">
        <v>0</v>
      </c>
      <c r="AE1746">
        <v>0</v>
      </c>
      <c r="AF1746">
        <v>0</v>
      </c>
      <c r="AG1746">
        <v>0</v>
      </c>
      <c r="AH1746">
        <v>0</v>
      </c>
      <c r="AI1746">
        <v>0</v>
      </c>
      <c r="AJ1746">
        <v>0</v>
      </c>
      <c r="AK1746">
        <v>0</v>
      </c>
      <c r="AL1746">
        <v>0</v>
      </c>
      <c r="AM1746">
        <v>0</v>
      </c>
      <c r="AN1746">
        <v>0</v>
      </c>
      <c r="AO1746">
        <v>0</v>
      </c>
      <c r="AP1746">
        <v>0</v>
      </c>
      <c r="AQ1746">
        <v>0</v>
      </c>
      <c r="AR1746">
        <v>0</v>
      </c>
      <c r="AS1746">
        <v>0</v>
      </c>
      <c r="AT1746">
        <v>0</v>
      </c>
      <c r="AU1746">
        <f t="shared" si="52"/>
        <v>0</v>
      </c>
      <c r="AV1746">
        <f t="shared" si="53"/>
        <v>0</v>
      </c>
    </row>
    <row r="1747" spans="1:48" x14ac:dyDescent="0.25">
      <c r="A1747" t="s">
        <v>6791</v>
      </c>
      <c r="C1747" t="s">
        <v>6792</v>
      </c>
      <c r="D1747" t="s">
        <v>6793</v>
      </c>
      <c r="E1747" t="s">
        <v>2310</v>
      </c>
      <c r="F1747">
        <v>8</v>
      </c>
      <c r="G1747">
        <v>8.1</v>
      </c>
      <c r="H1747" t="s">
        <v>2323</v>
      </c>
      <c r="I1747" s="21">
        <v>38790</v>
      </c>
      <c r="J1747">
        <v>2006</v>
      </c>
      <c r="K1747" s="21">
        <v>38840</v>
      </c>
      <c r="L1747">
        <v>2006</v>
      </c>
      <c r="M1747" s="21">
        <v>39211</v>
      </c>
      <c r="N1747">
        <v>2007</v>
      </c>
      <c r="R1747" s="262">
        <v>400000</v>
      </c>
      <c r="S1747" t="s">
        <v>114</v>
      </c>
      <c r="T1747" t="s">
        <v>114</v>
      </c>
      <c r="U1747">
        <v>5</v>
      </c>
      <c r="W1747">
        <v>3703</v>
      </c>
      <c r="X1747">
        <v>1</v>
      </c>
      <c r="Y1747">
        <v>0</v>
      </c>
      <c r="Z1747">
        <v>0</v>
      </c>
      <c r="AA1747">
        <v>0</v>
      </c>
      <c r="AB1747">
        <v>0</v>
      </c>
      <c r="AC1747">
        <v>3703</v>
      </c>
      <c r="AD1747">
        <v>0</v>
      </c>
      <c r="AE1747">
        <v>0</v>
      </c>
      <c r="AF1747">
        <v>0</v>
      </c>
      <c r="AG1747">
        <v>0</v>
      </c>
      <c r="AH1747">
        <v>0</v>
      </c>
      <c r="AI1747">
        <v>0</v>
      </c>
      <c r="AJ1747">
        <v>0</v>
      </c>
      <c r="AK1747">
        <v>0</v>
      </c>
      <c r="AL1747">
        <v>0</v>
      </c>
      <c r="AM1747">
        <v>0</v>
      </c>
      <c r="AN1747">
        <v>0</v>
      </c>
      <c r="AO1747">
        <v>1</v>
      </c>
      <c r="AP1747">
        <v>0</v>
      </c>
      <c r="AQ1747">
        <v>0</v>
      </c>
      <c r="AR1747">
        <v>0</v>
      </c>
      <c r="AS1747">
        <v>0</v>
      </c>
      <c r="AT1747">
        <v>0</v>
      </c>
      <c r="AU1747">
        <f t="shared" si="52"/>
        <v>1</v>
      </c>
      <c r="AV1747">
        <f t="shared" si="53"/>
        <v>0</v>
      </c>
    </row>
    <row r="1748" spans="1:48" x14ac:dyDescent="0.25">
      <c r="A1748" t="s">
        <v>6794</v>
      </c>
      <c r="C1748" t="s">
        <v>6795</v>
      </c>
      <c r="D1748" t="s">
        <v>6796</v>
      </c>
      <c r="E1748" t="s">
        <v>2310</v>
      </c>
      <c r="F1748">
        <v>9</v>
      </c>
      <c r="G1748">
        <v>9.1999999999999993</v>
      </c>
      <c r="H1748" t="s">
        <v>2022</v>
      </c>
      <c r="I1748" s="21">
        <v>38791</v>
      </c>
      <c r="J1748">
        <v>2006</v>
      </c>
      <c r="K1748" s="21">
        <v>38820</v>
      </c>
      <c r="L1748">
        <v>2006</v>
      </c>
      <c r="M1748" s="21">
        <v>39268</v>
      </c>
      <c r="N1748">
        <v>2007</v>
      </c>
      <c r="R1748" s="262">
        <v>362000</v>
      </c>
      <c r="S1748" t="s">
        <v>114</v>
      </c>
      <c r="T1748" t="s">
        <v>114</v>
      </c>
      <c r="U1748">
        <v>5</v>
      </c>
      <c r="W1748">
        <v>4182</v>
      </c>
      <c r="X1748">
        <v>1</v>
      </c>
      <c r="Y1748">
        <v>0</v>
      </c>
      <c r="Z1748">
        <v>0</v>
      </c>
      <c r="AA1748">
        <v>0</v>
      </c>
      <c r="AB1748">
        <v>0</v>
      </c>
      <c r="AC1748">
        <v>4182</v>
      </c>
      <c r="AD1748">
        <v>0</v>
      </c>
      <c r="AE1748">
        <v>0</v>
      </c>
      <c r="AF1748">
        <v>0</v>
      </c>
      <c r="AG1748">
        <v>0</v>
      </c>
      <c r="AH1748">
        <v>0</v>
      </c>
      <c r="AI1748">
        <v>0</v>
      </c>
      <c r="AJ1748">
        <v>0</v>
      </c>
      <c r="AK1748">
        <v>0</v>
      </c>
      <c r="AL1748">
        <v>0</v>
      </c>
      <c r="AM1748">
        <v>0</v>
      </c>
      <c r="AN1748">
        <v>0</v>
      </c>
      <c r="AO1748">
        <v>1</v>
      </c>
      <c r="AP1748">
        <v>0</v>
      </c>
      <c r="AQ1748">
        <v>0</v>
      </c>
      <c r="AR1748">
        <v>0</v>
      </c>
      <c r="AS1748">
        <v>0</v>
      </c>
      <c r="AT1748">
        <v>0</v>
      </c>
      <c r="AU1748">
        <f t="shared" si="52"/>
        <v>1</v>
      </c>
      <c r="AV1748">
        <f t="shared" si="53"/>
        <v>0</v>
      </c>
    </row>
    <row r="1749" spans="1:48" x14ac:dyDescent="0.25">
      <c r="A1749" t="s">
        <v>6797</v>
      </c>
      <c r="C1749" t="s">
        <v>6798</v>
      </c>
      <c r="D1749" t="s">
        <v>6796</v>
      </c>
      <c r="E1749" t="s">
        <v>2310</v>
      </c>
      <c r="F1749">
        <v>9</v>
      </c>
      <c r="G1749">
        <v>9.1999999999999993</v>
      </c>
      <c r="H1749" t="s">
        <v>2022</v>
      </c>
      <c r="I1749" s="21">
        <v>38791</v>
      </c>
      <c r="J1749">
        <v>2006</v>
      </c>
      <c r="K1749" s="21">
        <v>38820</v>
      </c>
      <c r="L1749">
        <v>2006</v>
      </c>
      <c r="M1749" s="21">
        <v>39210</v>
      </c>
      <c r="N1749">
        <v>2007</v>
      </c>
      <c r="R1749" s="262">
        <v>113000</v>
      </c>
      <c r="S1749" t="s">
        <v>114</v>
      </c>
      <c r="T1749" t="s">
        <v>114</v>
      </c>
      <c r="U1749">
        <v>8</v>
      </c>
      <c r="W1749">
        <v>1566</v>
      </c>
      <c r="X1749">
        <v>1</v>
      </c>
      <c r="Y1749">
        <v>0</v>
      </c>
      <c r="Z1749">
        <v>0</v>
      </c>
      <c r="AA1749">
        <v>0</v>
      </c>
      <c r="AB1749">
        <v>0</v>
      </c>
      <c r="AC1749">
        <v>618</v>
      </c>
      <c r="AD1749">
        <v>0</v>
      </c>
      <c r="AE1749">
        <v>0</v>
      </c>
      <c r="AF1749">
        <v>948</v>
      </c>
      <c r="AG1749">
        <v>0</v>
      </c>
      <c r="AH1749">
        <v>0</v>
      </c>
      <c r="AI1749">
        <v>0</v>
      </c>
      <c r="AJ1749">
        <v>0</v>
      </c>
      <c r="AK1749">
        <v>0</v>
      </c>
      <c r="AL1749">
        <v>0</v>
      </c>
      <c r="AM1749">
        <v>0</v>
      </c>
      <c r="AN1749">
        <v>0</v>
      </c>
      <c r="AO1749">
        <v>0</v>
      </c>
      <c r="AP1749">
        <v>0</v>
      </c>
      <c r="AQ1749">
        <v>0</v>
      </c>
      <c r="AR1749">
        <v>1</v>
      </c>
      <c r="AS1749">
        <v>0</v>
      </c>
      <c r="AT1749">
        <v>0</v>
      </c>
      <c r="AU1749">
        <f t="shared" si="52"/>
        <v>0</v>
      </c>
      <c r="AV1749">
        <f t="shared" si="53"/>
        <v>0</v>
      </c>
    </row>
    <row r="1750" spans="1:48" x14ac:dyDescent="0.25">
      <c r="A1750" t="s">
        <v>6799</v>
      </c>
      <c r="C1750" t="s">
        <v>6800</v>
      </c>
      <c r="D1750" t="s">
        <v>6801</v>
      </c>
      <c r="E1750" t="s">
        <v>2310</v>
      </c>
      <c r="F1750">
        <v>13</v>
      </c>
      <c r="G1750">
        <v>13.1</v>
      </c>
      <c r="H1750" t="s">
        <v>2327</v>
      </c>
      <c r="I1750" s="21">
        <v>38792</v>
      </c>
      <c r="J1750">
        <v>2006</v>
      </c>
      <c r="K1750" s="21">
        <v>38917</v>
      </c>
      <c r="L1750">
        <v>2006</v>
      </c>
      <c r="M1750" s="21">
        <v>39421</v>
      </c>
      <c r="N1750">
        <v>2007</v>
      </c>
      <c r="R1750" s="262">
        <v>8000000</v>
      </c>
      <c r="S1750" t="s">
        <v>114</v>
      </c>
      <c r="T1750" t="s">
        <v>114</v>
      </c>
      <c r="U1750">
        <v>11</v>
      </c>
      <c r="W1750">
        <v>28803</v>
      </c>
      <c r="X1750">
        <v>9</v>
      </c>
      <c r="Y1750">
        <v>0</v>
      </c>
      <c r="Z1750">
        <v>0</v>
      </c>
      <c r="AA1750">
        <v>0</v>
      </c>
      <c r="AB1750">
        <v>0</v>
      </c>
      <c r="AC1750">
        <v>0</v>
      </c>
      <c r="AD1750">
        <v>0</v>
      </c>
      <c r="AE1750">
        <v>0</v>
      </c>
      <c r="AF1750">
        <v>0</v>
      </c>
      <c r="AG1750">
        <v>0</v>
      </c>
      <c r="AH1750">
        <v>0</v>
      </c>
      <c r="AI1750">
        <v>28803</v>
      </c>
      <c r="AJ1750">
        <v>0</v>
      </c>
      <c r="AK1750">
        <v>0</v>
      </c>
      <c r="AL1750">
        <v>0</v>
      </c>
      <c r="AM1750">
        <v>0</v>
      </c>
      <c r="AN1750">
        <v>0</v>
      </c>
      <c r="AO1750">
        <v>0</v>
      </c>
      <c r="AP1750">
        <v>0</v>
      </c>
      <c r="AQ1750">
        <v>0</v>
      </c>
      <c r="AR1750">
        <v>0</v>
      </c>
      <c r="AS1750">
        <v>0</v>
      </c>
      <c r="AT1750">
        <v>9</v>
      </c>
      <c r="AU1750">
        <f t="shared" si="52"/>
        <v>0</v>
      </c>
      <c r="AV1750">
        <f t="shared" si="53"/>
        <v>28803</v>
      </c>
    </row>
    <row r="1751" spans="1:48" x14ac:dyDescent="0.25">
      <c r="A1751" t="s">
        <v>6802</v>
      </c>
      <c r="C1751" t="s">
        <v>6803</v>
      </c>
      <c r="D1751" t="s">
        <v>6804</v>
      </c>
      <c r="E1751" t="s">
        <v>2310</v>
      </c>
      <c r="F1751">
        <v>8</v>
      </c>
      <c r="G1751">
        <v>8.1999999999999993</v>
      </c>
      <c r="H1751" t="s">
        <v>2022</v>
      </c>
      <c r="I1751" s="21">
        <v>38792</v>
      </c>
      <c r="J1751">
        <v>2006</v>
      </c>
      <c r="K1751" s="21">
        <v>38852</v>
      </c>
      <c r="L1751">
        <v>2006</v>
      </c>
      <c r="M1751" s="21">
        <v>39127</v>
      </c>
      <c r="N1751">
        <v>2007</v>
      </c>
      <c r="R1751" s="262">
        <v>181000</v>
      </c>
      <c r="S1751" t="s">
        <v>114</v>
      </c>
      <c r="T1751" t="s">
        <v>114</v>
      </c>
      <c r="U1751">
        <v>11</v>
      </c>
      <c r="W1751">
        <v>311</v>
      </c>
      <c r="X1751">
        <v>1</v>
      </c>
      <c r="Y1751">
        <v>0</v>
      </c>
      <c r="Z1751">
        <v>0</v>
      </c>
      <c r="AA1751">
        <v>0</v>
      </c>
      <c r="AB1751">
        <v>0</v>
      </c>
      <c r="AC1751">
        <v>0</v>
      </c>
      <c r="AD1751">
        <v>0</v>
      </c>
      <c r="AE1751">
        <v>0</v>
      </c>
      <c r="AF1751">
        <v>0</v>
      </c>
      <c r="AG1751">
        <v>0</v>
      </c>
      <c r="AH1751">
        <v>0</v>
      </c>
      <c r="AI1751">
        <v>311</v>
      </c>
      <c r="AJ1751">
        <v>0</v>
      </c>
      <c r="AK1751">
        <v>0</v>
      </c>
      <c r="AL1751">
        <v>0</v>
      </c>
      <c r="AM1751">
        <v>0</v>
      </c>
      <c r="AN1751">
        <v>0</v>
      </c>
      <c r="AO1751">
        <v>0</v>
      </c>
      <c r="AP1751">
        <v>0</v>
      </c>
      <c r="AQ1751">
        <v>0</v>
      </c>
      <c r="AR1751">
        <v>0</v>
      </c>
      <c r="AS1751">
        <v>0</v>
      </c>
      <c r="AT1751">
        <v>1</v>
      </c>
      <c r="AU1751">
        <f t="shared" si="52"/>
        <v>0</v>
      </c>
      <c r="AV1751">
        <f t="shared" si="53"/>
        <v>311</v>
      </c>
    </row>
    <row r="1752" spans="1:48" x14ac:dyDescent="0.25">
      <c r="A1752" t="s">
        <v>6805</v>
      </c>
      <c r="C1752" t="s">
        <v>6806</v>
      </c>
      <c r="D1752" t="s">
        <v>6804</v>
      </c>
      <c r="E1752" t="s">
        <v>2310</v>
      </c>
      <c r="F1752">
        <v>8</v>
      </c>
      <c r="G1752">
        <v>8.1999999999999993</v>
      </c>
      <c r="H1752" t="s">
        <v>2022</v>
      </c>
      <c r="I1752" s="21">
        <v>38792</v>
      </c>
      <c r="J1752">
        <v>2006</v>
      </c>
      <c r="K1752" s="21">
        <v>38852</v>
      </c>
      <c r="L1752">
        <v>2006</v>
      </c>
      <c r="M1752" s="21">
        <v>39127</v>
      </c>
      <c r="N1752">
        <v>2007</v>
      </c>
      <c r="R1752" s="262">
        <v>181000</v>
      </c>
      <c r="S1752" t="s">
        <v>114</v>
      </c>
      <c r="T1752" t="s">
        <v>114</v>
      </c>
      <c r="U1752">
        <v>11</v>
      </c>
      <c r="W1752">
        <v>311</v>
      </c>
      <c r="X1752">
        <v>1</v>
      </c>
      <c r="Y1752">
        <v>0</v>
      </c>
      <c r="Z1752">
        <v>0</v>
      </c>
      <c r="AA1752">
        <v>0</v>
      </c>
      <c r="AB1752">
        <v>0</v>
      </c>
      <c r="AC1752">
        <v>0</v>
      </c>
      <c r="AD1752">
        <v>0</v>
      </c>
      <c r="AE1752">
        <v>0</v>
      </c>
      <c r="AF1752">
        <v>0</v>
      </c>
      <c r="AG1752">
        <v>0</v>
      </c>
      <c r="AH1752">
        <v>0</v>
      </c>
      <c r="AI1752">
        <v>311</v>
      </c>
      <c r="AJ1752">
        <v>0</v>
      </c>
      <c r="AK1752">
        <v>0</v>
      </c>
      <c r="AL1752">
        <v>0</v>
      </c>
      <c r="AM1752">
        <v>0</v>
      </c>
      <c r="AN1752">
        <v>0</v>
      </c>
      <c r="AO1752">
        <v>0</v>
      </c>
      <c r="AP1752">
        <v>0</v>
      </c>
      <c r="AQ1752">
        <v>0</v>
      </c>
      <c r="AR1752">
        <v>0</v>
      </c>
      <c r="AS1752">
        <v>0</v>
      </c>
      <c r="AT1752">
        <v>1</v>
      </c>
      <c r="AU1752">
        <f t="shared" si="52"/>
        <v>0</v>
      </c>
      <c r="AV1752">
        <f t="shared" si="53"/>
        <v>311</v>
      </c>
    </row>
    <row r="1753" spans="1:48" x14ac:dyDescent="0.25">
      <c r="A1753" t="s">
        <v>6807</v>
      </c>
      <c r="C1753" t="s">
        <v>6808</v>
      </c>
      <c r="D1753" t="s">
        <v>6804</v>
      </c>
      <c r="E1753" t="s">
        <v>2310</v>
      </c>
      <c r="F1753">
        <v>8</v>
      </c>
      <c r="G1753">
        <v>8.1999999999999993</v>
      </c>
      <c r="H1753" t="s">
        <v>2022</v>
      </c>
      <c r="I1753" s="21">
        <v>38792</v>
      </c>
      <c r="J1753">
        <v>2006</v>
      </c>
      <c r="K1753" s="21">
        <v>38852</v>
      </c>
      <c r="L1753">
        <v>2006</v>
      </c>
      <c r="M1753" s="21">
        <v>39127</v>
      </c>
      <c r="N1753">
        <v>2007</v>
      </c>
      <c r="R1753" s="262">
        <v>181000</v>
      </c>
      <c r="S1753" t="s">
        <v>114</v>
      </c>
      <c r="T1753" t="s">
        <v>114</v>
      </c>
      <c r="U1753">
        <v>11</v>
      </c>
      <c r="W1753">
        <v>311</v>
      </c>
      <c r="X1753">
        <v>1</v>
      </c>
      <c r="Y1753">
        <v>0</v>
      </c>
      <c r="Z1753">
        <v>0</v>
      </c>
      <c r="AA1753">
        <v>0</v>
      </c>
      <c r="AB1753">
        <v>0</v>
      </c>
      <c r="AC1753">
        <v>0</v>
      </c>
      <c r="AD1753">
        <v>0</v>
      </c>
      <c r="AE1753">
        <v>0</v>
      </c>
      <c r="AF1753">
        <v>0</v>
      </c>
      <c r="AG1753">
        <v>0</v>
      </c>
      <c r="AH1753">
        <v>0</v>
      </c>
      <c r="AI1753">
        <v>311</v>
      </c>
      <c r="AJ1753">
        <v>0</v>
      </c>
      <c r="AK1753">
        <v>0</v>
      </c>
      <c r="AL1753">
        <v>0</v>
      </c>
      <c r="AM1753">
        <v>0</v>
      </c>
      <c r="AN1753">
        <v>0</v>
      </c>
      <c r="AO1753">
        <v>0</v>
      </c>
      <c r="AP1753">
        <v>0</v>
      </c>
      <c r="AQ1753">
        <v>0</v>
      </c>
      <c r="AR1753">
        <v>0</v>
      </c>
      <c r="AS1753">
        <v>0</v>
      </c>
      <c r="AT1753">
        <v>1</v>
      </c>
      <c r="AU1753">
        <f t="shared" ref="AU1753:AU1816" si="54">SUM(AN1753:AQ1753,AS1753)</f>
        <v>0</v>
      </c>
      <c r="AV1753">
        <f t="shared" ref="AV1753:AV1816" si="55">SUM(Y1753:AB1753,AH1753:AM1753)</f>
        <v>311</v>
      </c>
    </row>
    <row r="1754" spans="1:48" x14ac:dyDescent="0.25">
      <c r="A1754" t="s">
        <v>6809</v>
      </c>
      <c r="C1754" t="s">
        <v>6810</v>
      </c>
      <c r="D1754" t="s">
        <v>6804</v>
      </c>
      <c r="E1754" t="s">
        <v>2310</v>
      </c>
      <c r="F1754">
        <v>8</v>
      </c>
      <c r="G1754">
        <v>8.1999999999999993</v>
      </c>
      <c r="H1754" t="s">
        <v>2022</v>
      </c>
      <c r="I1754" s="21">
        <v>38792</v>
      </c>
      <c r="J1754">
        <v>2006</v>
      </c>
      <c r="K1754" s="21">
        <v>38852</v>
      </c>
      <c r="L1754">
        <v>2006</v>
      </c>
      <c r="M1754" s="21">
        <v>39127</v>
      </c>
      <c r="N1754">
        <v>2007</v>
      </c>
      <c r="R1754" s="262">
        <v>181000</v>
      </c>
      <c r="S1754" t="s">
        <v>114</v>
      </c>
      <c r="T1754" t="s">
        <v>114</v>
      </c>
      <c r="U1754">
        <v>11</v>
      </c>
      <c r="W1754">
        <v>311</v>
      </c>
      <c r="X1754">
        <v>1</v>
      </c>
      <c r="Y1754">
        <v>0</v>
      </c>
      <c r="Z1754">
        <v>0</v>
      </c>
      <c r="AA1754">
        <v>0</v>
      </c>
      <c r="AB1754">
        <v>0</v>
      </c>
      <c r="AC1754">
        <v>0</v>
      </c>
      <c r="AD1754">
        <v>0</v>
      </c>
      <c r="AE1754">
        <v>0</v>
      </c>
      <c r="AF1754">
        <v>0</v>
      </c>
      <c r="AG1754">
        <v>0</v>
      </c>
      <c r="AH1754">
        <v>0</v>
      </c>
      <c r="AI1754">
        <v>311</v>
      </c>
      <c r="AJ1754">
        <v>0</v>
      </c>
      <c r="AK1754">
        <v>0</v>
      </c>
      <c r="AL1754">
        <v>0</v>
      </c>
      <c r="AM1754">
        <v>0</v>
      </c>
      <c r="AN1754">
        <v>0</v>
      </c>
      <c r="AO1754">
        <v>0</v>
      </c>
      <c r="AP1754">
        <v>0</v>
      </c>
      <c r="AQ1754">
        <v>0</v>
      </c>
      <c r="AR1754">
        <v>0</v>
      </c>
      <c r="AS1754">
        <v>0</v>
      </c>
      <c r="AT1754">
        <v>1</v>
      </c>
      <c r="AU1754">
        <f t="shared" si="54"/>
        <v>0</v>
      </c>
      <c r="AV1754">
        <f t="shared" si="55"/>
        <v>311</v>
      </c>
    </row>
    <row r="1755" spans="1:48" x14ac:dyDescent="0.25">
      <c r="A1755" t="s">
        <v>6811</v>
      </c>
      <c r="C1755" t="s">
        <v>6812</v>
      </c>
      <c r="D1755" t="s">
        <v>6804</v>
      </c>
      <c r="E1755" t="s">
        <v>2310</v>
      </c>
      <c r="F1755">
        <v>8</v>
      </c>
      <c r="G1755">
        <v>8.1999999999999993</v>
      </c>
      <c r="H1755" t="s">
        <v>2022</v>
      </c>
      <c r="I1755" s="21">
        <v>38792</v>
      </c>
      <c r="J1755">
        <v>2006</v>
      </c>
      <c r="K1755" s="21">
        <v>38854</v>
      </c>
      <c r="L1755">
        <v>2006</v>
      </c>
      <c r="M1755" s="21">
        <v>40099.377141203702</v>
      </c>
      <c r="N1755">
        <v>2009</v>
      </c>
      <c r="R1755" s="262">
        <v>181000</v>
      </c>
      <c r="S1755" t="s">
        <v>114</v>
      </c>
      <c r="T1755" t="s">
        <v>114</v>
      </c>
      <c r="U1755">
        <v>11</v>
      </c>
      <c r="W1755">
        <v>443</v>
      </c>
      <c r="X1755">
        <v>0</v>
      </c>
      <c r="Y1755">
        <v>0</v>
      </c>
      <c r="Z1755">
        <v>0</v>
      </c>
      <c r="AA1755">
        <v>0</v>
      </c>
      <c r="AB1755">
        <v>0</v>
      </c>
      <c r="AC1755">
        <v>0</v>
      </c>
      <c r="AD1755">
        <v>0</v>
      </c>
      <c r="AE1755">
        <v>0</v>
      </c>
      <c r="AF1755">
        <v>0</v>
      </c>
      <c r="AG1755">
        <v>0</v>
      </c>
      <c r="AH1755">
        <v>0</v>
      </c>
      <c r="AI1755">
        <v>443</v>
      </c>
      <c r="AJ1755">
        <v>0</v>
      </c>
      <c r="AK1755">
        <v>0</v>
      </c>
      <c r="AL1755">
        <v>0</v>
      </c>
      <c r="AM1755">
        <v>0</v>
      </c>
      <c r="AN1755">
        <v>0</v>
      </c>
      <c r="AO1755">
        <v>0</v>
      </c>
      <c r="AP1755">
        <v>0</v>
      </c>
      <c r="AQ1755">
        <v>0</v>
      </c>
      <c r="AR1755">
        <v>0</v>
      </c>
      <c r="AS1755">
        <v>0</v>
      </c>
      <c r="AT1755">
        <v>0</v>
      </c>
      <c r="AU1755">
        <f t="shared" si="54"/>
        <v>0</v>
      </c>
      <c r="AV1755">
        <f t="shared" si="55"/>
        <v>443</v>
      </c>
    </row>
    <row r="1756" spans="1:48" x14ac:dyDescent="0.25">
      <c r="A1756" t="s">
        <v>6813</v>
      </c>
      <c r="C1756" t="s">
        <v>6814</v>
      </c>
      <c r="D1756" t="s">
        <v>6804</v>
      </c>
      <c r="E1756" t="s">
        <v>2310</v>
      </c>
      <c r="F1756">
        <v>8</v>
      </c>
      <c r="G1756">
        <v>8.1999999999999993</v>
      </c>
      <c r="H1756" t="s">
        <v>2022</v>
      </c>
      <c r="I1756" s="21">
        <v>38792</v>
      </c>
      <c r="J1756">
        <v>2006</v>
      </c>
      <c r="K1756" s="21">
        <v>38852</v>
      </c>
      <c r="L1756">
        <v>2006</v>
      </c>
      <c r="M1756" s="21">
        <v>39127</v>
      </c>
      <c r="N1756">
        <v>2007</v>
      </c>
      <c r="R1756" s="262">
        <v>181000</v>
      </c>
      <c r="S1756" t="s">
        <v>114</v>
      </c>
      <c r="T1756" t="s">
        <v>114</v>
      </c>
      <c r="U1756">
        <v>11</v>
      </c>
      <c r="W1756">
        <v>311</v>
      </c>
      <c r="X1756">
        <v>1</v>
      </c>
      <c r="Y1756">
        <v>0</v>
      </c>
      <c r="Z1756">
        <v>0</v>
      </c>
      <c r="AA1756">
        <v>0</v>
      </c>
      <c r="AB1756">
        <v>0</v>
      </c>
      <c r="AC1756">
        <v>0</v>
      </c>
      <c r="AD1756">
        <v>0</v>
      </c>
      <c r="AE1756">
        <v>0</v>
      </c>
      <c r="AF1756">
        <v>0</v>
      </c>
      <c r="AG1756">
        <v>0</v>
      </c>
      <c r="AH1756">
        <v>0</v>
      </c>
      <c r="AI1756">
        <v>311</v>
      </c>
      <c r="AJ1756">
        <v>0</v>
      </c>
      <c r="AK1756">
        <v>0</v>
      </c>
      <c r="AL1756">
        <v>0</v>
      </c>
      <c r="AM1756">
        <v>0</v>
      </c>
      <c r="AN1756">
        <v>0</v>
      </c>
      <c r="AO1756">
        <v>0</v>
      </c>
      <c r="AP1756">
        <v>0</v>
      </c>
      <c r="AQ1756">
        <v>0</v>
      </c>
      <c r="AR1756">
        <v>0</v>
      </c>
      <c r="AS1756">
        <v>0</v>
      </c>
      <c r="AT1756">
        <v>1</v>
      </c>
      <c r="AU1756">
        <f t="shared" si="54"/>
        <v>0</v>
      </c>
      <c r="AV1756">
        <f t="shared" si="55"/>
        <v>311</v>
      </c>
    </row>
    <row r="1757" spans="1:48" x14ac:dyDescent="0.25">
      <c r="A1757" t="s">
        <v>6815</v>
      </c>
      <c r="C1757" t="s">
        <v>6814</v>
      </c>
      <c r="D1757" t="s">
        <v>6804</v>
      </c>
      <c r="E1757" t="s">
        <v>2310</v>
      </c>
      <c r="F1757">
        <v>8</v>
      </c>
      <c r="G1757">
        <v>8.1999999999999993</v>
      </c>
      <c r="H1757" t="s">
        <v>2022</v>
      </c>
      <c r="I1757" s="21">
        <v>38792</v>
      </c>
      <c r="J1757">
        <v>2006</v>
      </c>
      <c r="K1757" s="21">
        <v>38852</v>
      </c>
      <c r="L1757">
        <v>2006</v>
      </c>
      <c r="M1757" s="21">
        <v>39127</v>
      </c>
      <c r="N1757">
        <v>2007</v>
      </c>
      <c r="R1757" s="262">
        <v>181000</v>
      </c>
      <c r="S1757" t="s">
        <v>114</v>
      </c>
      <c r="T1757" t="s">
        <v>114</v>
      </c>
      <c r="U1757">
        <v>11</v>
      </c>
      <c r="W1757">
        <v>311</v>
      </c>
      <c r="X1757">
        <v>1</v>
      </c>
      <c r="Y1757">
        <v>0</v>
      </c>
      <c r="Z1757">
        <v>0</v>
      </c>
      <c r="AA1757">
        <v>0</v>
      </c>
      <c r="AB1757">
        <v>0</v>
      </c>
      <c r="AC1757">
        <v>0</v>
      </c>
      <c r="AD1757">
        <v>0</v>
      </c>
      <c r="AE1757">
        <v>0</v>
      </c>
      <c r="AF1757">
        <v>0</v>
      </c>
      <c r="AG1757">
        <v>0</v>
      </c>
      <c r="AH1757">
        <v>0</v>
      </c>
      <c r="AI1757">
        <v>311</v>
      </c>
      <c r="AJ1757">
        <v>0</v>
      </c>
      <c r="AK1757">
        <v>0</v>
      </c>
      <c r="AL1757">
        <v>0</v>
      </c>
      <c r="AM1757">
        <v>0</v>
      </c>
      <c r="AN1757">
        <v>0</v>
      </c>
      <c r="AO1757">
        <v>0</v>
      </c>
      <c r="AP1757">
        <v>0</v>
      </c>
      <c r="AQ1757">
        <v>0</v>
      </c>
      <c r="AR1757">
        <v>0</v>
      </c>
      <c r="AS1757">
        <v>0</v>
      </c>
      <c r="AT1757">
        <v>1</v>
      </c>
      <c r="AU1757">
        <f t="shared" si="54"/>
        <v>0</v>
      </c>
      <c r="AV1757">
        <f t="shared" si="55"/>
        <v>311</v>
      </c>
    </row>
    <row r="1758" spans="1:48" x14ac:dyDescent="0.25">
      <c r="A1758" t="s">
        <v>6816</v>
      </c>
      <c r="C1758" t="s">
        <v>6817</v>
      </c>
      <c r="D1758" t="s">
        <v>6804</v>
      </c>
      <c r="E1758" t="s">
        <v>2310</v>
      </c>
      <c r="F1758">
        <v>8</v>
      </c>
      <c r="G1758">
        <v>8.1999999999999993</v>
      </c>
      <c r="H1758" t="s">
        <v>2022</v>
      </c>
      <c r="I1758" s="21">
        <v>38792</v>
      </c>
      <c r="J1758">
        <v>2006</v>
      </c>
      <c r="K1758" s="21">
        <v>38852</v>
      </c>
      <c r="L1758">
        <v>2006</v>
      </c>
      <c r="M1758" s="21">
        <v>39160</v>
      </c>
      <c r="N1758">
        <v>2007</v>
      </c>
      <c r="R1758" s="262">
        <v>181000</v>
      </c>
      <c r="S1758" t="s">
        <v>114</v>
      </c>
      <c r="T1758" t="s">
        <v>114</v>
      </c>
      <c r="U1758">
        <v>11</v>
      </c>
      <c r="W1758">
        <v>311</v>
      </c>
      <c r="X1758">
        <v>1</v>
      </c>
      <c r="Y1758">
        <v>0</v>
      </c>
      <c r="Z1758">
        <v>0</v>
      </c>
      <c r="AA1758">
        <v>0</v>
      </c>
      <c r="AB1758">
        <v>0</v>
      </c>
      <c r="AC1758">
        <v>0</v>
      </c>
      <c r="AD1758">
        <v>0</v>
      </c>
      <c r="AE1758">
        <v>0</v>
      </c>
      <c r="AF1758">
        <v>0</v>
      </c>
      <c r="AG1758">
        <v>0</v>
      </c>
      <c r="AH1758">
        <v>0</v>
      </c>
      <c r="AI1758">
        <v>311</v>
      </c>
      <c r="AJ1758">
        <v>0</v>
      </c>
      <c r="AK1758">
        <v>0</v>
      </c>
      <c r="AL1758">
        <v>0</v>
      </c>
      <c r="AM1758">
        <v>0</v>
      </c>
      <c r="AN1758">
        <v>0</v>
      </c>
      <c r="AO1758">
        <v>0</v>
      </c>
      <c r="AP1758">
        <v>0</v>
      </c>
      <c r="AQ1758">
        <v>0</v>
      </c>
      <c r="AR1758">
        <v>0</v>
      </c>
      <c r="AS1758">
        <v>0</v>
      </c>
      <c r="AT1758">
        <v>1</v>
      </c>
      <c r="AU1758">
        <f t="shared" si="54"/>
        <v>0</v>
      </c>
      <c r="AV1758">
        <f t="shared" si="55"/>
        <v>311</v>
      </c>
    </row>
    <row r="1759" spans="1:48" x14ac:dyDescent="0.25">
      <c r="A1759" t="s">
        <v>6818</v>
      </c>
      <c r="C1759" t="s">
        <v>6814</v>
      </c>
      <c r="D1759" t="s">
        <v>6804</v>
      </c>
      <c r="E1759" t="s">
        <v>2310</v>
      </c>
      <c r="F1759">
        <v>8</v>
      </c>
      <c r="G1759">
        <v>8.1999999999999993</v>
      </c>
      <c r="H1759" t="s">
        <v>2022</v>
      </c>
      <c r="I1759" s="21">
        <v>38792</v>
      </c>
      <c r="J1759">
        <v>2006</v>
      </c>
      <c r="K1759" s="21">
        <v>38853</v>
      </c>
      <c r="L1759">
        <v>2006</v>
      </c>
      <c r="M1759" s="21">
        <v>39160</v>
      </c>
      <c r="N1759">
        <v>2007</v>
      </c>
      <c r="R1759" s="262">
        <v>181000</v>
      </c>
      <c r="S1759" t="s">
        <v>114</v>
      </c>
      <c r="T1759" t="s">
        <v>114</v>
      </c>
      <c r="U1759">
        <v>11</v>
      </c>
      <c r="W1759">
        <v>311</v>
      </c>
      <c r="X1759">
        <v>1</v>
      </c>
      <c r="Y1759">
        <v>0</v>
      </c>
      <c r="Z1759">
        <v>0</v>
      </c>
      <c r="AA1759">
        <v>0</v>
      </c>
      <c r="AB1759">
        <v>0</v>
      </c>
      <c r="AC1759">
        <v>0</v>
      </c>
      <c r="AD1759">
        <v>0</v>
      </c>
      <c r="AE1759">
        <v>0</v>
      </c>
      <c r="AF1759">
        <v>0</v>
      </c>
      <c r="AG1759">
        <v>0</v>
      </c>
      <c r="AH1759">
        <v>0</v>
      </c>
      <c r="AI1759">
        <v>311</v>
      </c>
      <c r="AJ1759">
        <v>0</v>
      </c>
      <c r="AK1759">
        <v>0</v>
      </c>
      <c r="AL1759">
        <v>0</v>
      </c>
      <c r="AM1759">
        <v>0</v>
      </c>
      <c r="AN1759">
        <v>0</v>
      </c>
      <c r="AO1759">
        <v>0</v>
      </c>
      <c r="AP1759">
        <v>0</v>
      </c>
      <c r="AQ1759">
        <v>0</v>
      </c>
      <c r="AR1759">
        <v>0</v>
      </c>
      <c r="AS1759">
        <v>0</v>
      </c>
      <c r="AT1759">
        <v>1</v>
      </c>
      <c r="AU1759">
        <f t="shared" si="54"/>
        <v>0</v>
      </c>
      <c r="AV1759">
        <f t="shared" si="55"/>
        <v>311</v>
      </c>
    </row>
    <row r="1760" spans="1:48" x14ac:dyDescent="0.25">
      <c r="A1760" t="s">
        <v>6819</v>
      </c>
      <c r="C1760" t="s">
        <v>6814</v>
      </c>
      <c r="D1760" t="s">
        <v>6804</v>
      </c>
      <c r="E1760" t="s">
        <v>2310</v>
      </c>
      <c r="F1760">
        <v>8</v>
      </c>
      <c r="G1760">
        <v>8.1999999999999993</v>
      </c>
      <c r="H1760" t="s">
        <v>2022</v>
      </c>
      <c r="I1760" s="21">
        <v>38792</v>
      </c>
      <c r="J1760">
        <v>2006</v>
      </c>
      <c r="K1760" s="21">
        <v>38853</v>
      </c>
      <c r="L1760">
        <v>2006</v>
      </c>
      <c r="M1760" s="21">
        <v>39160</v>
      </c>
      <c r="N1760">
        <v>2007</v>
      </c>
      <c r="R1760" s="262">
        <v>181000</v>
      </c>
      <c r="S1760" t="s">
        <v>114</v>
      </c>
      <c r="T1760" t="s">
        <v>114</v>
      </c>
      <c r="U1760">
        <v>7</v>
      </c>
      <c r="W1760">
        <v>399</v>
      </c>
      <c r="X1760">
        <v>1</v>
      </c>
      <c r="Y1760">
        <v>0</v>
      </c>
      <c r="Z1760">
        <v>0</v>
      </c>
      <c r="AA1760">
        <v>0</v>
      </c>
      <c r="AB1760">
        <v>0</v>
      </c>
      <c r="AC1760">
        <v>0</v>
      </c>
      <c r="AD1760">
        <v>0</v>
      </c>
      <c r="AE1760">
        <v>399</v>
      </c>
      <c r="AF1760">
        <v>0</v>
      </c>
      <c r="AG1760">
        <v>0</v>
      </c>
      <c r="AH1760">
        <v>0</v>
      </c>
      <c r="AI1760">
        <v>0</v>
      </c>
      <c r="AJ1760">
        <v>0</v>
      </c>
      <c r="AK1760">
        <v>0</v>
      </c>
      <c r="AL1760">
        <v>0</v>
      </c>
      <c r="AM1760">
        <v>0</v>
      </c>
      <c r="AN1760">
        <v>0</v>
      </c>
      <c r="AO1760">
        <v>0</v>
      </c>
      <c r="AP1760">
        <v>0</v>
      </c>
      <c r="AQ1760">
        <v>1</v>
      </c>
      <c r="AR1760">
        <v>0</v>
      </c>
      <c r="AS1760">
        <v>0</v>
      </c>
      <c r="AT1760">
        <v>0</v>
      </c>
      <c r="AU1760">
        <f t="shared" si="54"/>
        <v>1</v>
      </c>
      <c r="AV1760">
        <f t="shared" si="55"/>
        <v>0</v>
      </c>
    </row>
    <row r="1761" spans="1:48" x14ac:dyDescent="0.25">
      <c r="A1761" t="s">
        <v>6820</v>
      </c>
      <c r="C1761" t="s">
        <v>6814</v>
      </c>
      <c r="D1761" t="s">
        <v>6804</v>
      </c>
      <c r="E1761" t="s">
        <v>2310</v>
      </c>
      <c r="F1761">
        <v>8</v>
      </c>
      <c r="G1761">
        <v>8.1999999999999993</v>
      </c>
      <c r="H1761" t="s">
        <v>2022</v>
      </c>
      <c r="I1761" s="21">
        <v>38792</v>
      </c>
      <c r="J1761">
        <v>2006</v>
      </c>
      <c r="K1761" s="21">
        <v>38852</v>
      </c>
      <c r="L1761">
        <v>2006</v>
      </c>
      <c r="M1761" s="21">
        <v>39160</v>
      </c>
      <c r="N1761">
        <v>2007</v>
      </c>
      <c r="R1761" s="262">
        <v>181000</v>
      </c>
      <c r="S1761" t="s">
        <v>114</v>
      </c>
      <c r="T1761" t="s">
        <v>114</v>
      </c>
      <c r="U1761">
        <v>11</v>
      </c>
      <c r="W1761">
        <v>311</v>
      </c>
      <c r="X1761">
        <v>1</v>
      </c>
      <c r="Y1761">
        <v>0</v>
      </c>
      <c r="Z1761">
        <v>0</v>
      </c>
      <c r="AA1761">
        <v>0</v>
      </c>
      <c r="AB1761">
        <v>0</v>
      </c>
      <c r="AC1761">
        <v>0</v>
      </c>
      <c r="AD1761">
        <v>0</v>
      </c>
      <c r="AE1761">
        <v>0</v>
      </c>
      <c r="AF1761">
        <v>0</v>
      </c>
      <c r="AG1761">
        <v>0</v>
      </c>
      <c r="AH1761">
        <v>0</v>
      </c>
      <c r="AI1761">
        <v>311</v>
      </c>
      <c r="AJ1761">
        <v>0</v>
      </c>
      <c r="AK1761">
        <v>0</v>
      </c>
      <c r="AL1761">
        <v>0</v>
      </c>
      <c r="AM1761">
        <v>0</v>
      </c>
      <c r="AN1761">
        <v>0</v>
      </c>
      <c r="AO1761">
        <v>0</v>
      </c>
      <c r="AP1761">
        <v>0</v>
      </c>
      <c r="AQ1761">
        <v>0</v>
      </c>
      <c r="AR1761">
        <v>0</v>
      </c>
      <c r="AS1761">
        <v>0</v>
      </c>
      <c r="AT1761">
        <v>1</v>
      </c>
      <c r="AU1761">
        <f t="shared" si="54"/>
        <v>0</v>
      </c>
      <c r="AV1761">
        <f t="shared" si="55"/>
        <v>311</v>
      </c>
    </row>
    <row r="1762" spans="1:48" x14ac:dyDescent="0.25">
      <c r="A1762" t="s">
        <v>6821</v>
      </c>
      <c r="C1762" t="s">
        <v>6814</v>
      </c>
      <c r="D1762" t="s">
        <v>6804</v>
      </c>
      <c r="E1762" t="s">
        <v>2310</v>
      </c>
      <c r="F1762">
        <v>8</v>
      </c>
      <c r="G1762">
        <v>8.1999999999999993</v>
      </c>
      <c r="H1762" t="s">
        <v>2022</v>
      </c>
      <c r="I1762" s="21">
        <v>38792</v>
      </c>
      <c r="J1762">
        <v>2006</v>
      </c>
      <c r="K1762" s="21">
        <v>38852</v>
      </c>
      <c r="L1762">
        <v>2006</v>
      </c>
      <c r="M1762" s="21">
        <v>39160</v>
      </c>
      <c r="N1762">
        <v>2007</v>
      </c>
      <c r="R1762" s="262">
        <v>181000</v>
      </c>
      <c r="S1762" t="s">
        <v>114</v>
      </c>
      <c r="T1762" t="s">
        <v>114</v>
      </c>
      <c r="U1762">
        <v>11</v>
      </c>
      <c r="W1762">
        <v>311</v>
      </c>
      <c r="X1762">
        <v>1</v>
      </c>
      <c r="Y1762">
        <v>0</v>
      </c>
      <c r="Z1762">
        <v>0</v>
      </c>
      <c r="AA1762">
        <v>0</v>
      </c>
      <c r="AB1762">
        <v>0</v>
      </c>
      <c r="AC1762">
        <v>0</v>
      </c>
      <c r="AD1762">
        <v>0</v>
      </c>
      <c r="AE1762">
        <v>0</v>
      </c>
      <c r="AF1762">
        <v>0</v>
      </c>
      <c r="AG1762">
        <v>0</v>
      </c>
      <c r="AH1762">
        <v>0</v>
      </c>
      <c r="AI1762">
        <v>311</v>
      </c>
      <c r="AJ1762">
        <v>0</v>
      </c>
      <c r="AK1762">
        <v>0</v>
      </c>
      <c r="AL1762">
        <v>0</v>
      </c>
      <c r="AM1762">
        <v>0</v>
      </c>
      <c r="AN1762">
        <v>0</v>
      </c>
      <c r="AO1762">
        <v>0</v>
      </c>
      <c r="AP1762">
        <v>0</v>
      </c>
      <c r="AQ1762">
        <v>0</v>
      </c>
      <c r="AR1762">
        <v>0</v>
      </c>
      <c r="AS1762">
        <v>0</v>
      </c>
      <c r="AT1762">
        <v>1</v>
      </c>
      <c r="AU1762">
        <f t="shared" si="54"/>
        <v>0</v>
      </c>
      <c r="AV1762">
        <f t="shared" si="55"/>
        <v>311</v>
      </c>
    </row>
    <row r="1763" spans="1:48" x14ac:dyDescent="0.25">
      <c r="A1763" t="s">
        <v>6822</v>
      </c>
      <c r="C1763" t="s">
        <v>6814</v>
      </c>
      <c r="D1763" t="s">
        <v>6804</v>
      </c>
      <c r="E1763" t="s">
        <v>2310</v>
      </c>
      <c r="F1763">
        <v>8</v>
      </c>
      <c r="G1763">
        <v>8.1999999999999993</v>
      </c>
      <c r="H1763" t="s">
        <v>2022</v>
      </c>
      <c r="I1763" s="21">
        <v>38792</v>
      </c>
      <c r="J1763">
        <v>2006</v>
      </c>
      <c r="K1763" s="21">
        <v>38852</v>
      </c>
      <c r="L1763">
        <v>2006</v>
      </c>
      <c r="M1763" s="21">
        <v>39160</v>
      </c>
      <c r="N1763">
        <v>2007</v>
      </c>
      <c r="R1763" s="262">
        <v>181000</v>
      </c>
      <c r="S1763" t="s">
        <v>114</v>
      </c>
      <c r="T1763" t="s">
        <v>114</v>
      </c>
      <c r="U1763">
        <v>11</v>
      </c>
      <c r="W1763">
        <v>311</v>
      </c>
      <c r="X1763">
        <v>1</v>
      </c>
      <c r="Y1763">
        <v>0</v>
      </c>
      <c r="Z1763">
        <v>0</v>
      </c>
      <c r="AA1763">
        <v>0</v>
      </c>
      <c r="AB1763">
        <v>0</v>
      </c>
      <c r="AC1763">
        <v>0</v>
      </c>
      <c r="AD1763">
        <v>0</v>
      </c>
      <c r="AE1763">
        <v>0</v>
      </c>
      <c r="AF1763">
        <v>0</v>
      </c>
      <c r="AG1763">
        <v>0</v>
      </c>
      <c r="AH1763">
        <v>0</v>
      </c>
      <c r="AI1763">
        <v>311</v>
      </c>
      <c r="AJ1763">
        <v>0</v>
      </c>
      <c r="AK1763">
        <v>0</v>
      </c>
      <c r="AL1763">
        <v>0</v>
      </c>
      <c r="AM1763">
        <v>0</v>
      </c>
      <c r="AN1763">
        <v>0</v>
      </c>
      <c r="AO1763">
        <v>0</v>
      </c>
      <c r="AP1763">
        <v>0</v>
      </c>
      <c r="AQ1763">
        <v>0</v>
      </c>
      <c r="AR1763">
        <v>0</v>
      </c>
      <c r="AS1763">
        <v>0</v>
      </c>
      <c r="AT1763">
        <v>1</v>
      </c>
      <c r="AU1763">
        <f t="shared" si="54"/>
        <v>0</v>
      </c>
      <c r="AV1763">
        <f t="shared" si="55"/>
        <v>311</v>
      </c>
    </row>
    <row r="1764" spans="1:48" x14ac:dyDescent="0.25">
      <c r="A1764" t="s">
        <v>6823</v>
      </c>
      <c r="C1764" t="s">
        <v>6814</v>
      </c>
      <c r="D1764" t="s">
        <v>6804</v>
      </c>
      <c r="E1764" t="s">
        <v>2310</v>
      </c>
      <c r="F1764">
        <v>8</v>
      </c>
      <c r="G1764">
        <v>8.1999999999999993</v>
      </c>
      <c r="H1764" t="s">
        <v>2022</v>
      </c>
      <c r="I1764" s="21">
        <v>38792</v>
      </c>
      <c r="J1764">
        <v>2006</v>
      </c>
      <c r="K1764" s="21">
        <v>38852</v>
      </c>
      <c r="L1764">
        <v>2006</v>
      </c>
      <c r="M1764" s="21">
        <v>39160</v>
      </c>
      <c r="N1764">
        <v>2007</v>
      </c>
      <c r="R1764" s="262">
        <v>181000</v>
      </c>
      <c r="S1764" t="s">
        <v>114</v>
      </c>
      <c r="T1764" t="s">
        <v>114</v>
      </c>
      <c r="U1764">
        <v>11</v>
      </c>
      <c r="W1764">
        <v>311</v>
      </c>
      <c r="X1764">
        <v>1</v>
      </c>
      <c r="Y1764">
        <v>0</v>
      </c>
      <c r="Z1764">
        <v>0</v>
      </c>
      <c r="AA1764">
        <v>0</v>
      </c>
      <c r="AB1764">
        <v>0</v>
      </c>
      <c r="AC1764">
        <v>0</v>
      </c>
      <c r="AD1764">
        <v>0</v>
      </c>
      <c r="AE1764">
        <v>0</v>
      </c>
      <c r="AF1764">
        <v>0</v>
      </c>
      <c r="AG1764">
        <v>0</v>
      </c>
      <c r="AH1764">
        <v>0</v>
      </c>
      <c r="AI1764">
        <v>311</v>
      </c>
      <c r="AJ1764">
        <v>0</v>
      </c>
      <c r="AK1764">
        <v>0</v>
      </c>
      <c r="AL1764">
        <v>0</v>
      </c>
      <c r="AM1764">
        <v>0</v>
      </c>
      <c r="AN1764">
        <v>0</v>
      </c>
      <c r="AO1764">
        <v>0</v>
      </c>
      <c r="AP1764">
        <v>0</v>
      </c>
      <c r="AQ1764">
        <v>0</v>
      </c>
      <c r="AR1764">
        <v>0</v>
      </c>
      <c r="AS1764">
        <v>0</v>
      </c>
      <c r="AT1764">
        <v>1</v>
      </c>
      <c r="AU1764">
        <f t="shared" si="54"/>
        <v>0</v>
      </c>
      <c r="AV1764">
        <f t="shared" si="55"/>
        <v>311</v>
      </c>
    </row>
    <row r="1765" spans="1:48" x14ac:dyDescent="0.25">
      <c r="A1765" t="s">
        <v>6824</v>
      </c>
      <c r="C1765" t="s">
        <v>6814</v>
      </c>
      <c r="D1765" t="s">
        <v>6804</v>
      </c>
      <c r="E1765" t="s">
        <v>2310</v>
      </c>
      <c r="F1765">
        <v>8</v>
      </c>
      <c r="G1765">
        <v>8.1999999999999993</v>
      </c>
      <c r="H1765" t="s">
        <v>2022</v>
      </c>
      <c r="I1765" s="21">
        <v>38792</v>
      </c>
      <c r="J1765">
        <v>2006</v>
      </c>
      <c r="K1765" s="21">
        <v>38853</v>
      </c>
      <c r="L1765">
        <v>2006</v>
      </c>
      <c r="M1765" s="21">
        <v>39160</v>
      </c>
      <c r="N1765">
        <v>2007</v>
      </c>
      <c r="R1765" s="262">
        <v>181000</v>
      </c>
      <c r="S1765" t="s">
        <v>114</v>
      </c>
      <c r="T1765" t="s">
        <v>114</v>
      </c>
      <c r="U1765">
        <v>11</v>
      </c>
      <c r="W1765">
        <v>311</v>
      </c>
      <c r="X1765">
        <v>1</v>
      </c>
      <c r="Y1765">
        <v>0</v>
      </c>
      <c r="Z1765">
        <v>0</v>
      </c>
      <c r="AA1765">
        <v>0</v>
      </c>
      <c r="AB1765">
        <v>0</v>
      </c>
      <c r="AC1765">
        <v>0</v>
      </c>
      <c r="AD1765">
        <v>0</v>
      </c>
      <c r="AE1765">
        <v>0</v>
      </c>
      <c r="AF1765">
        <v>0</v>
      </c>
      <c r="AG1765">
        <v>0</v>
      </c>
      <c r="AH1765">
        <v>0</v>
      </c>
      <c r="AI1765">
        <v>311</v>
      </c>
      <c r="AJ1765">
        <v>0</v>
      </c>
      <c r="AK1765">
        <v>0</v>
      </c>
      <c r="AL1765">
        <v>0</v>
      </c>
      <c r="AM1765">
        <v>0</v>
      </c>
      <c r="AN1765">
        <v>0</v>
      </c>
      <c r="AO1765">
        <v>0</v>
      </c>
      <c r="AP1765">
        <v>0</v>
      </c>
      <c r="AQ1765">
        <v>0</v>
      </c>
      <c r="AR1765">
        <v>0</v>
      </c>
      <c r="AS1765">
        <v>0</v>
      </c>
      <c r="AT1765">
        <v>1</v>
      </c>
      <c r="AU1765">
        <f t="shared" si="54"/>
        <v>0</v>
      </c>
      <c r="AV1765">
        <f t="shared" si="55"/>
        <v>311</v>
      </c>
    </row>
    <row r="1766" spans="1:48" x14ac:dyDescent="0.25">
      <c r="A1766" t="s">
        <v>6825</v>
      </c>
      <c r="C1766" t="s">
        <v>6826</v>
      </c>
      <c r="D1766" t="s">
        <v>6804</v>
      </c>
      <c r="E1766" t="s">
        <v>2310</v>
      </c>
      <c r="F1766">
        <v>8</v>
      </c>
      <c r="G1766">
        <v>8.1999999999999993</v>
      </c>
      <c r="H1766" t="s">
        <v>2022</v>
      </c>
      <c r="I1766" s="21">
        <v>38792</v>
      </c>
      <c r="J1766">
        <v>2006</v>
      </c>
      <c r="K1766" s="21">
        <v>38848</v>
      </c>
      <c r="L1766">
        <v>2006</v>
      </c>
      <c r="M1766" s="21">
        <v>39183</v>
      </c>
      <c r="N1766">
        <v>2007</v>
      </c>
      <c r="R1766" s="262">
        <v>181000</v>
      </c>
      <c r="S1766" t="s">
        <v>114</v>
      </c>
      <c r="T1766" t="s">
        <v>114</v>
      </c>
      <c r="U1766">
        <v>7</v>
      </c>
      <c r="W1766">
        <v>420</v>
      </c>
      <c r="X1766">
        <v>1</v>
      </c>
      <c r="Y1766">
        <v>0</v>
      </c>
      <c r="Z1766">
        <v>0</v>
      </c>
      <c r="AA1766">
        <v>0</v>
      </c>
      <c r="AB1766">
        <v>0</v>
      </c>
      <c r="AC1766">
        <v>0</v>
      </c>
      <c r="AD1766">
        <v>0</v>
      </c>
      <c r="AE1766">
        <v>420</v>
      </c>
      <c r="AF1766">
        <v>0</v>
      </c>
      <c r="AG1766">
        <v>0</v>
      </c>
      <c r="AH1766">
        <v>0</v>
      </c>
      <c r="AI1766">
        <v>0</v>
      </c>
      <c r="AJ1766">
        <v>0</v>
      </c>
      <c r="AK1766">
        <v>0</v>
      </c>
      <c r="AL1766">
        <v>0</v>
      </c>
      <c r="AM1766">
        <v>0</v>
      </c>
      <c r="AN1766">
        <v>0</v>
      </c>
      <c r="AO1766">
        <v>0</v>
      </c>
      <c r="AP1766">
        <v>0</v>
      </c>
      <c r="AQ1766">
        <v>1</v>
      </c>
      <c r="AR1766">
        <v>0</v>
      </c>
      <c r="AS1766">
        <v>0</v>
      </c>
      <c r="AT1766">
        <v>0</v>
      </c>
      <c r="AU1766">
        <f t="shared" si="54"/>
        <v>1</v>
      </c>
      <c r="AV1766">
        <f t="shared" si="55"/>
        <v>0</v>
      </c>
    </row>
    <row r="1767" spans="1:48" x14ac:dyDescent="0.25">
      <c r="A1767" t="s">
        <v>6827</v>
      </c>
      <c r="C1767" t="s">
        <v>6828</v>
      </c>
      <c r="D1767" t="s">
        <v>6804</v>
      </c>
      <c r="E1767" t="s">
        <v>2310</v>
      </c>
      <c r="F1767">
        <v>8</v>
      </c>
      <c r="G1767">
        <v>8.1999999999999993</v>
      </c>
      <c r="H1767" t="s">
        <v>2022</v>
      </c>
      <c r="I1767" s="21">
        <v>38792</v>
      </c>
      <c r="J1767">
        <v>2006</v>
      </c>
      <c r="K1767" s="21">
        <v>38848</v>
      </c>
      <c r="L1767">
        <v>2006</v>
      </c>
      <c r="M1767" s="21">
        <v>39175</v>
      </c>
      <c r="N1767">
        <v>2007</v>
      </c>
      <c r="R1767" s="262">
        <v>181000</v>
      </c>
      <c r="S1767" t="s">
        <v>114</v>
      </c>
      <c r="T1767" t="s">
        <v>114</v>
      </c>
      <c r="U1767">
        <v>7</v>
      </c>
      <c r="W1767">
        <v>420</v>
      </c>
      <c r="X1767">
        <v>1</v>
      </c>
      <c r="Y1767">
        <v>0</v>
      </c>
      <c r="Z1767">
        <v>0</v>
      </c>
      <c r="AA1767">
        <v>0</v>
      </c>
      <c r="AB1767">
        <v>0</v>
      </c>
      <c r="AC1767">
        <v>0</v>
      </c>
      <c r="AD1767">
        <v>0</v>
      </c>
      <c r="AE1767">
        <v>420</v>
      </c>
      <c r="AF1767">
        <v>0</v>
      </c>
      <c r="AG1767">
        <v>0</v>
      </c>
      <c r="AH1767">
        <v>0</v>
      </c>
      <c r="AI1767">
        <v>0</v>
      </c>
      <c r="AJ1767">
        <v>0</v>
      </c>
      <c r="AK1767">
        <v>0</v>
      </c>
      <c r="AL1767">
        <v>0</v>
      </c>
      <c r="AM1767">
        <v>0</v>
      </c>
      <c r="AN1767">
        <v>0</v>
      </c>
      <c r="AO1767">
        <v>0</v>
      </c>
      <c r="AP1767">
        <v>0</v>
      </c>
      <c r="AQ1767">
        <v>1</v>
      </c>
      <c r="AR1767">
        <v>0</v>
      </c>
      <c r="AS1767">
        <v>0</v>
      </c>
      <c r="AT1767">
        <v>0</v>
      </c>
      <c r="AU1767">
        <f t="shared" si="54"/>
        <v>1</v>
      </c>
      <c r="AV1767">
        <f t="shared" si="55"/>
        <v>0</v>
      </c>
    </row>
    <row r="1768" spans="1:48" x14ac:dyDescent="0.25">
      <c r="A1768" t="s">
        <v>6829</v>
      </c>
      <c r="C1768" t="s">
        <v>6830</v>
      </c>
      <c r="D1768" t="s">
        <v>6804</v>
      </c>
      <c r="E1768" t="s">
        <v>2310</v>
      </c>
      <c r="F1768">
        <v>8</v>
      </c>
      <c r="G1768">
        <v>8.1999999999999993</v>
      </c>
      <c r="H1768" t="s">
        <v>2022</v>
      </c>
      <c r="I1768" s="21">
        <v>38792</v>
      </c>
      <c r="J1768">
        <v>2006</v>
      </c>
      <c r="K1768" s="21">
        <v>38842</v>
      </c>
      <c r="L1768">
        <v>2006</v>
      </c>
      <c r="M1768" s="21">
        <v>39160</v>
      </c>
      <c r="N1768">
        <v>2007</v>
      </c>
      <c r="R1768" s="262">
        <v>181000</v>
      </c>
      <c r="S1768" t="s">
        <v>114</v>
      </c>
      <c r="T1768" t="s">
        <v>114</v>
      </c>
      <c r="U1768">
        <v>7</v>
      </c>
      <c r="W1768">
        <v>498</v>
      </c>
      <c r="X1768">
        <v>1</v>
      </c>
      <c r="Y1768">
        <v>0</v>
      </c>
      <c r="Z1768">
        <v>0</v>
      </c>
      <c r="AA1768">
        <v>0</v>
      </c>
      <c r="AB1768">
        <v>0</v>
      </c>
      <c r="AC1768">
        <v>0</v>
      </c>
      <c r="AD1768">
        <v>0</v>
      </c>
      <c r="AE1768">
        <v>498</v>
      </c>
      <c r="AF1768">
        <v>0</v>
      </c>
      <c r="AG1768">
        <v>0</v>
      </c>
      <c r="AH1768">
        <v>0</v>
      </c>
      <c r="AI1768">
        <v>0</v>
      </c>
      <c r="AJ1768">
        <v>0</v>
      </c>
      <c r="AK1768">
        <v>0</v>
      </c>
      <c r="AL1768">
        <v>0</v>
      </c>
      <c r="AM1768">
        <v>0</v>
      </c>
      <c r="AN1768">
        <v>0</v>
      </c>
      <c r="AO1768">
        <v>0</v>
      </c>
      <c r="AP1768">
        <v>0</v>
      </c>
      <c r="AQ1768">
        <v>1</v>
      </c>
      <c r="AR1768">
        <v>0</v>
      </c>
      <c r="AS1768">
        <v>0</v>
      </c>
      <c r="AT1768">
        <v>0</v>
      </c>
      <c r="AU1768">
        <f t="shared" si="54"/>
        <v>1</v>
      </c>
      <c r="AV1768">
        <f t="shared" si="55"/>
        <v>0</v>
      </c>
    </row>
    <row r="1769" spans="1:48" x14ac:dyDescent="0.25">
      <c r="A1769" t="s">
        <v>6831</v>
      </c>
      <c r="C1769" t="s">
        <v>6832</v>
      </c>
      <c r="D1769" t="s">
        <v>6804</v>
      </c>
      <c r="E1769" t="s">
        <v>2310</v>
      </c>
      <c r="F1769">
        <v>8</v>
      </c>
      <c r="G1769">
        <v>8.1999999999999993</v>
      </c>
      <c r="H1769" t="s">
        <v>2022</v>
      </c>
      <c r="I1769" s="21">
        <v>38792</v>
      </c>
      <c r="J1769">
        <v>2006</v>
      </c>
      <c r="K1769" s="21">
        <v>38842</v>
      </c>
      <c r="L1769">
        <v>2006</v>
      </c>
      <c r="M1769" s="21">
        <v>39160</v>
      </c>
      <c r="N1769">
        <v>2007</v>
      </c>
      <c r="R1769" s="262">
        <v>181000</v>
      </c>
      <c r="S1769" t="s">
        <v>114</v>
      </c>
      <c r="T1769" t="s">
        <v>114</v>
      </c>
      <c r="U1769">
        <v>7</v>
      </c>
      <c r="W1769">
        <v>498</v>
      </c>
      <c r="X1769">
        <v>1</v>
      </c>
      <c r="Y1769">
        <v>0</v>
      </c>
      <c r="Z1769">
        <v>0</v>
      </c>
      <c r="AA1769">
        <v>0</v>
      </c>
      <c r="AB1769">
        <v>0</v>
      </c>
      <c r="AC1769">
        <v>0</v>
      </c>
      <c r="AD1769">
        <v>0</v>
      </c>
      <c r="AE1769">
        <v>498</v>
      </c>
      <c r="AF1769">
        <v>0</v>
      </c>
      <c r="AG1769">
        <v>0</v>
      </c>
      <c r="AH1769">
        <v>0</v>
      </c>
      <c r="AI1769">
        <v>0</v>
      </c>
      <c r="AJ1769">
        <v>0</v>
      </c>
      <c r="AK1769">
        <v>0</v>
      </c>
      <c r="AL1769">
        <v>0</v>
      </c>
      <c r="AM1769">
        <v>0</v>
      </c>
      <c r="AN1769">
        <v>0</v>
      </c>
      <c r="AO1769">
        <v>0</v>
      </c>
      <c r="AP1769">
        <v>0</v>
      </c>
      <c r="AQ1769">
        <v>1</v>
      </c>
      <c r="AR1769">
        <v>0</v>
      </c>
      <c r="AS1769">
        <v>0</v>
      </c>
      <c r="AT1769">
        <v>0</v>
      </c>
      <c r="AU1769">
        <f t="shared" si="54"/>
        <v>1</v>
      </c>
      <c r="AV1769">
        <f t="shared" si="55"/>
        <v>0</v>
      </c>
    </row>
    <row r="1770" spans="1:48" x14ac:dyDescent="0.25">
      <c r="A1770" t="s">
        <v>6833</v>
      </c>
      <c r="C1770" t="s">
        <v>6814</v>
      </c>
      <c r="D1770" t="s">
        <v>6804</v>
      </c>
      <c r="E1770" t="s">
        <v>2310</v>
      </c>
      <c r="F1770">
        <v>8</v>
      </c>
      <c r="G1770">
        <v>8.1999999999999993</v>
      </c>
      <c r="H1770" t="s">
        <v>2022</v>
      </c>
      <c r="I1770" s="21">
        <v>38792</v>
      </c>
      <c r="J1770">
        <v>2006</v>
      </c>
      <c r="K1770" s="21">
        <v>38852</v>
      </c>
      <c r="L1770">
        <v>2006</v>
      </c>
      <c r="M1770" s="21">
        <v>39160</v>
      </c>
      <c r="N1770">
        <v>2007</v>
      </c>
      <c r="R1770" s="262">
        <v>181000</v>
      </c>
      <c r="S1770" t="s">
        <v>114</v>
      </c>
      <c r="T1770" t="s">
        <v>114</v>
      </c>
      <c r="U1770">
        <v>11</v>
      </c>
      <c r="W1770">
        <v>311</v>
      </c>
      <c r="X1770">
        <v>1</v>
      </c>
      <c r="Y1770">
        <v>0</v>
      </c>
      <c r="Z1770">
        <v>0</v>
      </c>
      <c r="AA1770">
        <v>0</v>
      </c>
      <c r="AB1770">
        <v>0</v>
      </c>
      <c r="AC1770">
        <v>0</v>
      </c>
      <c r="AD1770">
        <v>0</v>
      </c>
      <c r="AE1770">
        <v>0</v>
      </c>
      <c r="AF1770">
        <v>0</v>
      </c>
      <c r="AG1770">
        <v>0</v>
      </c>
      <c r="AH1770">
        <v>0</v>
      </c>
      <c r="AI1770">
        <v>311</v>
      </c>
      <c r="AJ1770">
        <v>0</v>
      </c>
      <c r="AK1770">
        <v>0</v>
      </c>
      <c r="AL1770">
        <v>0</v>
      </c>
      <c r="AM1770">
        <v>0</v>
      </c>
      <c r="AN1770">
        <v>0</v>
      </c>
      <c r="AO1770">
        <v>0</v>
      </c>
      <c r="AP1770">
        <v>0</v>
      </c>
      <c r="AQ1770">
        <v>0</v>
      </c>
      <c r="AR1770">
        <v>0</v>
      </c>
      <c r="AS1770">
        <v>0</v>
      </c>
      <c r="AT1770">
        <v>1</v>
      </c>
      <c r="AU1770">
        <f t="shared" si="54"/>
        <v>0</v>
      </c>
      <c r="AV1770">
        <f t="shared" si="55"/>
        <v>311</v>
      </c>
    </row>
    <row r="1771" spans="1:48" x14ac:dyDescent="0.25">
      <c r="A1771" t="s">
        <v>6834</v>
      </c>
      <c r="C1771" t="s">
        <v>6814</v>
      </c>
      <c r="D1771" t="s">
        <v>6804</v>
      </c>
      <c r="E1771" t="s">
        <v>2310</v>
      </c>
      <c r="F1771">
        <v>8</v>
      </c>
      <c r="G1771">
        <v>8.1999999999999993</v>
      </c>
      <c r="H1771" t="s">
        <v>2022</v>
      </c>
      <c r="I1771" s="21">
        <v>38792</v>
      </c>
      <c r="J1771">
        <v>2006</v>
      </c>
      <c r="K1771" s="21">
        <v>38852</v>
      </c>
      <c r="L1771">
        <v>2006</v>
      </c>
      <c r="M1771" s="21">
        <v>39160</v>
      </c>
      <c r="N1771">
        <v>2007</v>
      </c>
      <c r="R1771" s="262">
        <v>181000</v>
      </c>
      <c r="S1771" t="s">
        <v>114</v>
      </c>
      <c r="T1771" t="s">
        <v>114</v>
      </c>
      <c r="U1771">
        <v>11</v>
      </c>
      <c r="W1771">
        <v>311</v>
      </c>
      <c r="X1771">
        <v>1</v>
      </c>
      <c r="Y1771">
        <v>0</v>
      </c>
      <c r="Z1771">
        <v>0</v>
      </c>
      <c r="AA1771">
        <v>0</v>
      </c>
      <c r="AB1771">
        <v>0</v>
      </c>
      <c r="AC1771">
        <v>0</v>
      </c>
      <c r="AD1771">
        <v>0</v>
      </c>
      <c r="AE1771">
        <v>0</v>
      </c>
      <c r="AF1771">
        <v>0</v>
      </c>
      <c r="AG1771">
        <v>0</v>
      </c>
      <c r="AH1771">
        <v>0</v>
      </c>
      <c r="AI1771">
        <v>311</v>
      </c>
      <c r="AJ1771">
        <v>0</v>
      </c>
      <c r="AK1771">
        <v>0</v>
      </c>
      <c r="AL1771">
        <v>0</v>
      </c>
      <c r="AM1771">
        <v>0</v>
      </c>
      <c r="AN1771">
        <v>0</v>
      </c>
      <c r="AO1771">
        <v>0</v>
      </c>
      <c r="AP1771">
        <v>0</v>
      </c>
      <c r="AQ1771">
        <v>0</v>
      </c>
      <c r="AR1771">
        <v>0</v>
      </c>
      <c r="AS1771">
        <v>0</v>
      </c>
      <c r="AT1771">
        <v>1</v>
      </c>
      <c r="AU1771">
        <f t="shared" si="54"/>
        <v>0</v>
      </c>
      <c r="AV1771">
        <f t="shared" si="55"/>
        <v>311</v>
      </c>
    </row>
    <row r="1772" spans="1:48" x14ac:dyDescent="0.25">
      <c r="A1772" t="s">
        <v>6835</v>
      </c>
      <c r="C1772" t="s">
        <v>6836</v>
      </c>
      <c r="D1772" t="s">
        <v>6804</v>
      </c>
      <c r="E1772" t="s">
        <v>2310</v>
      </c>
      <c r="F1772">
        <v>8</v>
      </c>
      <c r="G1772">
        <v>8.1999999999999993</v>
      </c>
      <c r="H1772" t="s">
        <v>2022</v>
      </c>
      <c r="I1772" s="21">
        <v>38792</v>
      </c>
      <c r="J1772">
        <v>2006</v>
      </c>
      <c r="K1772" s="21">
        <v>38840</v>
      </c>
      <c r="L1772">
        <v>2006</v>
      </c>
      <c r="M1772" s="21">
        <v>39160</v>
      </c>
      <c r="N1772">
        <v>2007</v>
      </c>
      <c r="R1772" s="262">
        <v>181000</v>
      </c>
      <c r="S1772" t="s">
        <v>114</v>
      </c>
      <c r="T1772" t="s">
        <v>114</v>
      </c>
      <c r="U1772">
        <v>7</v>
      </c>
      <c r="W1772">
        <v>498</v>
      </c>
      <c r="X1772">
        <v>1</v>
      </c>
      <c r="Y1772">
        <v>0</v>
      </c>
      <c r="Z1772">
        <v>0</v>
      </c>
      <c r="AA1772">
        <v>0</v>
      </c>
      <c r="AB1772">
        <v>0</v>
      </c>
      <c r="AC1772">
        <v>0</v>
      </c>
      <c r="AD1772">
        <v>0</v>
      </c>
      <c r="AE1772">
        <v>498</v>
      </c>
      <c r="AF1772">
        <v>0</v>
      </c>
      <c r="AG1772">
        <v>0</v>
      </c>
      <c r="AH1772">
        <v>0</v>
      </c>
      <c r="AI1772">
        <v>0</v>
      </c>
      <c r="AJ1772">
        <v>0</v>
      </c>
      <c r="AK1772">
        <v>0</v>
      </c>
      <c r="AL1772">
        <v>0</v>
      </c>
      <c r="AM1772">
        <v>0</v>
      </c>
      <c r="AN1772">
        <v>0</v>
      </c>
      <c r="AO1772">
        <v>0</v>
      </c>
      <c r="AP1772">
        <v>0</v>
      </c>
      <c r="AQ1772">
        <v>1</v>
      </c>
      <c r="AR1772">
        <v>0</v>
      </c>
      <c r="AS1772">
        <v>0</v>
      </c>
      <c r="AT1772">
        <v>0</v>
      </c>
      <c r="AU1772">
        <f t="shared" si="54"/>
        <v>1</v>
      </c>
      <c r="AV1772">
        <f t="shared" si="55"/>
        <v>0</v>
      </c>
    </row>
    <row r="1773" spans="1:48" x14ac:dyDescent="0.25">
      <c r="A1773" t="s">
        <v>6837</v>
      </c>
      <c r="C1773" t="s">
        <v>6838</v>
      </c>
      <c r="D1773" t="s">
        <v>6804</v>
      </c>
      <c r="E1773" t="s">
        <v>2310</v>
      </c>
      <c r="F1773">
        <v>8</v>
      </c>
      <c r="G1773">
        <v>8.1999999999999993</v>
      </c>
      <c r="H1773" t="s">
        <v>2022</v>
      </c>
      <c r="I1773" s="21">
        <v>38792</v>
      </c>
      <c r="J1773">
        <v>2006</v>
      </c>
      <c r="K1773" s="21">
        <v>38842</v>
      </c>
      <c r="L1773">
        <v>2006</v>
      </c>
      <c r="M1773" s="21">
        <v>39160</v>
      </c>
      <c r="N1773">
        <v>2007</v>
      </c>
      <c r="R1773" s="262">
        <v>181000</v>
      </c>
      <c r="S1773" t="s">
        <v>114</v>
      </c>
      <c r="T1773" t="s">
        <v>114</v>
      </c>
      <c r="U1773">
        <v>7</v>
      </c>
      <c r="W1773">
        <v>498</v>
      </c>
      <c r="X1773">
        <v>1</v>
      </c>
      <c r="Y1773">
        <v>0</v>
      </c>
      <c r="Z1773">
        <v>0</v>
      </c>
      <c r="AA1773">
        <v>0</v>
      </c>
      <c r="AB1773">
        <v>0</v>
      </c>
      <c r="AC1773">
        <v>0</v>
      </c>
      <c r="AD1773">
        <v>0</v>
      </c>
      <c r="AE1773">
        <v>498</v>
      </c>
      <c r="AF1773">
        <v>0</v>
      </c>
      <c r="AG1773">
        <v>0</v>
      </c>
      <c r="AH1773">
        <v>0</v>
      </c>
      <c r="AI1773">
        <v>0</v>
      </c>
      <c r="AJ1773">
        <v>0</v>
      </c>
      <c r="AK1773">
        <v>0</v>
      </c>
      <c r="AL1773">
        <v>0</v>
      </c>
      <c r="AM1773">
        <v>0</v>
      </c>
      <c r="AN1773">
        <v>0</v>
      </c>
      <c r="AO1773">
        <v>0</v>
      </c>
      <c r="AP1773">
        <v>0</v>
      </c>
      <c r="AQ1773">
        <v>1</v>
      </c>
      <c r="AR1773">
        <v>0</v>
      </c>
      <c r="AS1773">
        <v>0</v>
      </c>
      <c r="AT1773">
        <v>0</v>
      </c>
      <c r="AU1773">
        <f t="shared" si="54"/>
        <v>1</v>
      </c>
      <c r="AV1773">
        <f t="shared" si="55"/>
        <v>0</v>
      </c>
    </row>
    <row r="1774" spans="1:48" x14ac:dyDescent="0.25">
      <c r="A1774" t="s">
        <v>6839</v>
      </c>
      <c r="C1774" t="s">
        <v>6840</v>
      </c>
      <c r="D1774" t="s">
        <v>6804</v>
      </c>
      <c r="E1774" t="s">
        <v>2310</v>
      </c>
      <c r="F1774">
        <v>8</v>
      </c>
      <c r="G1774">
        <v>8.1999999999999993</v>
      </c>
      <c r="H1774" t="s">
        <v>2022</v>
      </c>
      <c r="I1774" s="21">
        <v>38792</v>
      </c>
      <c r="J1774">
        <v>2006</v>
      </c>
      <c r="K1774" s="21">
        <v>38841</v>
      </c>
      <c r="L1774">
        <v>2006</v>
      </c>
      <c r="M1774" s="21">
        <v>39128</v>
      </c>
      <c r="N1774">
        <v>2007</v>
      </c>
      <c r="R1774" s="262">
        <v>157000</v>
      </c>
      <c r="S1774" t="s">
        <v>114</v>
      </c>
      <c r="T1774" t="s">
        <v>114</v>
      </c>
      <c r="U1774">
        <v>8</v>
      </c>
      <c r="W1774">
        <v>1312</v>
      </c>
      <c r="X1774">
        <v>1</v>
      </c>
      <c r="Y1774">
        <v>0</v>
      </c>
      <c r="Z1774">
        <v>0</v>
      </c>
      <c r="AA1774">
        <v>0</v>
      </c>
      <c r="AB1774">
        <v>0</v>
      </c>
      <c r="AC1774">
        <v>528</v>
      </c>
      <c r="AD1774">
        <v>0</v>
      </c>
      <c r="AE1774">
        <v>0</v>
      </c>
      <c r="AF1774">
        <v>784</v>
      </c>
      <c r="AG1774">
        <v>0</v>
      </c>
      <c r="AH1774">
        <v>0</v>
      </c>
      <c r="AI1774">
        <v>0</v>
      </c>
      <c r="AJ1774">
        <v>0</v>
      </c>
      <c r="AK1774">
        <v>0</v>
      </c>
      <c r="AL1774">
        <v>0</v>
      </c>
      <c r="AM1774">
        <v>0</v>
      </c>
      <c r="AN1774">
        <v>0</v>
      </c>
      <c r="AO1774">
        <v>0</v>
      </c>
      <c r="AP1774">
        <v>0</v>
      </c>
      <c r="AQ1774">
        <v>0</v>
      </c>
      <c r="AR1774">
        <v>1</v>
      </c>
      <c r="AS1774">
        <v>0</v>
      </c>
      <c r="AT1774">
        <v>0</v>
      </c>
      <c r="AU1774">
        <f t="shared" si="54"/>
        <v>0</v>
      </c>
      <c r="AV1774">
        <f t="shared" si="55"/>
        <v>0</v>
      </c>
    </row>
    <row r="1775" spans="1:48" x14ac:dyDescent="0.25">
      <c r="A1775" t="s">
        <v>6841</v>
      </c>
      <c r="C1775" t="s">
        <v>6842</v>
      </c>
      <c r="D1775" t="s">
        <v>6804</v>
      </c>
      <c r="E1775" t="s">
        <v>2310</v>
      </c>
      <c r="F1775">
        <v>8</v>
      </c>
      <c r="G1775">
        <v>8.1999999999999993</v>
      </c>
      <c r="H1775" t="s">
        <v>2022</v>
      </c>
      <c r="I1775" s="21">
        <v>38792</v>
      </c>
      <c r="J1775">
        <v>2006</v>
      </c>
      <c r="K1775" s="21">
        <v>38841</v>
      </c>
      <c r="L1775">
        <v>2006</v>
      </c>
      <c r="M1775" s="21">
        <v>39160</v>
      </c>
      <c r="N1775">
        <v>2007</v>
      </c>
      <c r="R1775" s="262">
        <v>160000</v>
      </c>
      <c r="S1775" t="s">
        <v>114</v>
      </c>
      <c r="T1775" t="s">
        <v>114</v>
      </c>
      <c r="U1775">
        <v>5</v>
      </c>
      <c r="W1775">
        <v>1960</v>
      </c>
      <c r="X1775">
        <v>1</v>
      </c>
      <c r="Y1775">
        <v>0</v>
      </c>
      <c r="Z1775">
        <v>0</v>
      </c>
      <c r="AA1775">
        <v>0</v>
      </c>
      <c r="AB1775">
        <v>0</v>
      </c>
      <c r="AC1775">
        <v>1960</v>
      </c>
      <c r="AD1775">
        <v>0</v>
      </c>
      <c r="AE1775">
        <v>0</v>
      </c>
      <c r="AF1775">
        <v>0</v>
      </c>
      <c r="AG1775">
        <v>0</v>
      </c>
      <c r="AH1775">
        <v>0</v>
      </c>
      <c r="AI1775">
        <v>0</v>
      </c>
      <c r="AJ1775">
        <v>0</v>
      </c>
      <c r="AK1775">
        <v>0</v>
      </c>
      <c r="AL1775">
        <v>0</v>
      </c>
      <c r="AM1775">
        <v>0</v>
      </c>
      <c r="AN1775">
        <v>0</v>
      </c>
      <c r="AO1775">
        <v>1</v>
      </c>
      <c r="AP1775">
        <v>0</v>
      </c>
      <c r="AQ1775">
        <v>0</v>
      </c>
      <c r="AR1775">
        <v>0</v>
      </c>
      <c r="AS1775">
        <v>0</v>
      </c>
      <c r="AT1775">
        <v>0</v>
      </c>
      <c r="AU1775">
        <f t="shared" si="54"/>
        <v>1</v>
      </c>
      <c r="AV1775">
        <f t="shared" si="55"/>
        <v>0</v>
      </c>
    </row>
    <row r="1776" spans="1:48" x14ac:dyDescent="0.25">
      <c r="A1776" t="s">
        <v>6843</v>
      </c>
      <c r="C1776" t="s">
        <v>6814</v>
      </c>
      <c r="D1776" t="s">
        <v>6804</v>
      </c>
      <c r="E1776" t="s">
        <v>2310</v>
      </c>
      <c r="F1776">
        <v>8</v>
      </c>
      <c r="G1776">
        <v>8.1999999999999993</v>
      </c>
      <c r="H1776" t="s">
        <v>2022</v>
      </c>
      <c r="I1776" s="21">
        <v>38792</v>
      </c>
      <c r="J1776">
        <v>2006</v>
      </c>
      <c r="K1776" s="21">
        <v>38853</v>
      </c>
      <c r="L1776">
        <v>2006</v>
      </c>
      <c r="M1776" s="21">
        <v>39127</v>
      </c>
      <c r="N1776">
        <v>2007</v>
      </c>
      <c r="R1776" s="262">
        <v>181000</v>
      </c>
      <c r="S1776" t="s">
        <v>114</v>
      </c>
      <c r="T1776" t="s">
        <v>114</v>
      </c>
      <c r="U1776">
        <v>11</v>
      </c>
      <c r="W1776">
        <v>311</v>
      </c>
      <c r="X1776">
        <v>1</v>
      </c>
      <c r="Y1776">
        <v>0</v>
      </c>
      <c r="Z1776">
        <v>0</v>
      </c>
      <c r="AA1776">
        <v>0</v>
      </c>
      <c r="AB1776">
        <v>0</v>
      </c>
      <c r="AC1776">
        <v>0</v>
      </c>
      <c r="AD1776">
        <v>0</v>
      </c>
      <c r="AE1776">
        <v>0</v>
      </c>
      <c r="AF1776">
        <v>0</v>
      </c>
      <c r="AG1776">
        <v>0</v>
      </c>
      <c r="AH1776">
        <v>0</v>
      </c>
      <c r="AI1776">
        <v>311</v>
      </c>
      <c r="AJ1776">
        <v>0</v>
      </c>
      <c r="AK1776">
        <v>0</v>
      </c>
      <c r="AL1776">
        <v>0</v>
      </c>
      <c r="AM1776">
        <v>0</v>
      </c>
      <c r="AN1776">
        <v>0</v>
      </c>
      <c r="AO1776">
        <v>0</v>
      </c>
      <c r="AP1776">
        <v>0</v>
      </c>
      <c r="AQ1776">
        <v>0</v>
      </c>
      <c r="AR1776">
        <v>0</v>
      </c>
      <c r="AS1776">
        <v>0</v>
      </c>
      <c r="AT1776">
        <v>1</v>
      </c>
      <c r="AU1776">
        <f t="shared" si="54"/>
        <v>0</v>
      </c>
      <c r="AV1776">
        <f t="shared" si="55"/>
        <v>311</v>
      </c>
    </row>
    <row r="1777" spans="1:48" x14ac:dyDescent="0.25">
      <c r="A1777" t="s">
        <v>6844</v>
      </c>
      <c r="C1777" t="s">
        <v>6814</v>
      </c>
      <c r="D1777" t="s">
        <v>6804</v>
      </c>
      <c r="E1777" t="s">
        <v>2310</v>
      </c>
      <c r="F1777">
        <v>8</v>
      </c>
      <c r="G1777">
        <v>8.1999999999999993</v>
      </c>
      <c r="H1777" t="s">
        <v>2022</v>
      </c>
      <c r="I1777" s="21">
        <v>38792</v>
      </c>
      <c r="J1777">
        <v>2006</v>
      </c>
      <c r="K1777" s="21">
        <v>38852</v>
      </c>
      <c r="L1777">
        <v>2006</v>
      </c>
      <c r="M1777" s="21">
        <v>39127</v>
      </c>
      <c r="N1777">
        <v>2007</v>
      </c>
      <c r="R1777" s="262">
        <v>181000</v>
      </c>
      <c r="S1777" t="s">
        <v>114</v>
      </c>
      <c r="T1777" t="s">
        <v>114</v>
      </c>
      <c r="U1777">
        <v>11</v>
      </c>
      <c r="W1777">
        <v>311</v>
      </c>
      <c r="X1777">
        <v>1</v>
      </c>
      <c r="Y1777">
        <v>0</v>
      </c>
      <c r="Z1777">
        <v>0</v>
      </c>
      <c r="AA1777">
        <v>0</v>
      </c>
      <c r="AB1777">
        <v>0</v>
      </c>
      <c r="AC1777">
        <v>0</v>
      </c>
      <c r="AD1777">
        <v>0</v>
      </c>
      <c r="AE1777">
        <v>0</v>
      </c>
      <c r="AF1777">
        <v>0</v>
      </c>
      <c r="AG1777">
        <v>0</v>
      </c>
      <c r="AH1777">
        <v>0</v>
      </c>
      <c r="AI1777">
        <v>311</v>
      </c>
      <c r="AJ1777">
        <v>0</v>
      </c>
      <c r="AK1777">
        <v>0</v>
      </c>
      <c r="AL1777">
        <v>0</v>
      </c>
      <c r="AM1777">
        <v>0</v>
      </c>
      <c r="AN1777">
        <v>0</v>
      </c>
      <c r="AO1777">
        <v>0</v>
      </c>
      <c r="AP1777">
        <v>0</v>
      </c>
      <c r="AQ1777">
        <v>0</v>
      </c>
      <c r="AR1777">
        <v>0</v>
      </c>
      <c r="AS1777">
        <v>0</v>
      </c>
      <c r="AT1777">
        <v>1</v>
      </c>
      <c r="AU1777">
        <f t="shared" si="54"/>
        <v>0</v>
      </c>
      <c r="AV1777">
        <f t="shared" si="55"/>
        <v>311</v>
      </c>
    </row>
    <row r="1778" spans="1:48" x14ac:dyDescent="0.25">
      <c r="A1778" t="s">
        <v>6845</v>
      </c>
      <c r="C1778" t="s">
        <v>6814</v>
      </c>
      <c r="D1778" t="s">
        <v>6804</v>
      </c>
      <c r="E1778" t="s">
        <v>2310</v>
      </c>
      <c r="F1778">
        <v>8</v>
      </c>
      <c r="G1778">
        <v>8.1999999999999993</v>
      </c>
      <c r="H1778" t="s">
        <v>2022</v>
      </c>
      <c r="I1778" s="21">
        <v>38792</v>
      </c>
      <c r="J1778">
        <v>2006</v>
      </c>
      <c r="K1778" s="21">
        <v>38852</v>
      </c>
      <c r="L1778">
        <v>2006</v>
      </c>
      <c r="M1778" s="21">
        <v>39128</v>
      </c>
      <c r="N1778">
        <v>2007</v>
      </c>
      <c r="R1778" s="262">
        <v>181000</v>
      </c>
      <c r="S1778" t="s">
        <v>114</v>
      </c>
      <c r="T1778" t="s">
        <v>114</v>
      </c>
      <c r="U1778">
        <v>11</v>
      </c>
      <c r="W1778">
        <v>311</v>
      </c>
      <c r="X1778">
        <v>1</v>
      </c>
      <c r="Y1778">
        <v>0</v>
      </c>
      <c r="Z1778">
        <v>0</v>
      </c>
      <c r="AA1778">
        <v>0</v>
      </c>
      <c r="AB1778">
        <v>0</v>
      </c>
      <c r="AC1778">
        <v>0</v>
      </c>
      <c r="AD1778">
        <v>0</v>
      </c>
      <c r="AE1778">
        <v>0</v>
      </c>
      <c r="AF1778">
        <v>0</v>
      </c>
      <c r="AG1778">
        <v>0</v>
      </c>
      <c r="AH1778">
        <v>0</v>
      </c>
      <c r="AI1778">
        <v>311</v>
      </c>
      <c r="AJ1778">
        <v>0</v>
      </c>
      <c r="AK1778">
        <v>0</v>
      </c>
      <c r="AL1778">
        <v>0</v>
      </c>
      <c r="AM1778">
        <v>0</v>
      </c>
      <c r="AN1778">
        <v>0</v>
      </c>
      <c r="AO1778">
        <v>0</v>
      </c>
      <c r="AP1778">
        <v>0</v>
      </c>
      <c r="AQ1778">
        <v>0</v>
      </c>
      <c r="AR1778">
        <v>0</v>
      </c>
      <c r="AS1778">
        <v>0</v>
      </c>
      <c r="AT1778">
        <v>1</v>
      </c>
      <c r="AU1778">
        <f t="shared" si="54"/>
        <v>0</v>
      </c>
      <c r="AV1778">
        <f t="shared" si="55"/>
        <v>311</v>
      </c>
    </row>
    <row r="1779" spans="1:48" x14ac:dyDescent="0.25">
      <c r="A1779" t="s">
        <v>6846</v>
      </c>
      <c r="C1779" t="s">
        <v>6810</v>
      </c>
      <c r="D1779" t="s">
        <v>6804</v>
      </c>
      <c r="E1779" t="s">
        <v>2310</v>
      </c>
      <c r="F1779">
        <v>8</v>
      </c>
      <c r="G1779">
        <v>8.1999999999999993</v>
      </c>
      <c r="H1779" t="s">
        <v>2022</v>
      </c>
      <c r="I1779" s="21">
        <v>38792</v>
      </c>
      <c r="J1779">
        <v>2006</v>
      </c>
      <c r="K1779" s="21">
        <v>38852</v>
      </c>
      <c r="L1779">
        <v>2006</v>
      </c>
      <c r="M1779" s="21">
        <v>39128</v>
      </c>
      <c r="N1779">
        <v>2007</v>
      </c>
      <c r="R1779" s="262">
        <v>181000</v>
      </c>
      <c r="S1779" t="s">
        <v>114</v>
      </c>
      <c r="T1779" t="s">
        <v>114</v>
      </c>
      <c r="U1779">
        <v>11</v>
      </c>
      <c r="W1779">
        <v>311</v>
      </c>
      <c r="X1779">
        <v>1</v>
      </c>
      <c r="Y1779">
        <v>0</v>
      </c>
      <c r="Z1779">
        <v>0</v>
      </c>
      <c r="AA1779">
        <v>0</v>
      </c>
      <c r="AB1779">
        <v>0</v>
      </c>
      <c r="AC1779">
        <v>0</v>
      </c>
      <c r="AD1779">
        <v>0</v>
      </c>
      <c r="AE1779">
        <v>0</v>
      </c>
      <c r="AF1779">
        <v>0</v>
      </c>
      <c r="AG1779">
        <v>0</v>
      </c>
      <c r="AH1779">
        <v>0</v>
      </c>
      <c r="AI1779">
        <v>311</v>
      </c>
      <c r="AJ1779">
        <v>0</v>
      </c>
      <c r="AK1779">
        <v>0</v>
      </c>
      <c r="AL1779">
        <v>0</v>
      </c>
      <c r="AM1779">
        <v>0</v>
      </c>
      <c r="AN1779">
        <v>0</v>
      </c>
      <c r="AO1779">
        <v>0</v>
      </c>
      <c r="AP1779">
        <v>0</v>
      </c>
      <c r="AQ1779">
        <v>0</v>
      </c>
      <c r="AR1779">
        <v>0</v>
      </c>
      <c r="AS1779">
        <v>0</v>
      </c>
      <c r="AT1779">
        <v>1</v>
      </c>
      <c r="AU1779">
        <f t="shared" si="54"/>
        <v>0</v>
      </c>
      <c r="AV1779">
        <f t="shared" si="55"/>
        <v>311</v>
      </c>
    </row>
    <row r="1780" spans="1:48" x14ac:dyDescent="0.25">
      <c r="A1780" t="s">
        <v>6847</v>
      </c>
      <c r="C1780" t="s">
        <v>6848</v>
      </c>
      <c r="D1780" t="s">
        <v>6804</v>
      </c>
      <c r="E1780" t="s">
        <v>2310</v>
      </c>
      <c r="F1780">
        <v>8</v>
      </c>
      <c r="G1780">
        <v>8.1999999999999993</v>
      </c>
      <c r="H1780" t="s">
        <v>2022</v>
      </c>
      <c r="I1780" s="21">
        <v>38792</v>
      </c>
      <c r="J1780">
        <v>2006</v>
      </c>
      <c r="K1780" s="21">
        <v>38840</v>
      </c>
      <c r="L1780">
        <v>2006</v>
      </c>
      <c r="M1780" s="21">
        <v>39128</v>
      </c>
      <c r="N1780">
        <v>2007</v>
      </c>
      <c r="R1780" s="262">
        <v>181000</v>
      </c>
      <c r="S1780" t="s">
        <v>114</v>
      </c>
      <c r="T1780" t="s">
        <v>114</v>
      </c>
      <c r="U1780">
        <v>7</v>
      </c>
      <c r="W1780">
        <v>498</v>
      </c>
      <c r="X1780">
        <v>1</v>
      </c>
      <c r="Y1780">
        <v>0</v>
      </c>
      <c r="Z1780">
        <v>0</v>
      </c>
      <c r="AA1780">
        <v>0</v>
      </c>
      <c r="AB1780">
        <v>0</v>
      </c>
      <c r="AC1780">
        <v>0</v>
      </c>
      <c r="AD1780">
        <v>0</v>
      </c>
      <c r="AE1780">
        <v>498</v>
      </c>
      <c r="AF1780">
        <v>0</v>
      </c>
      <c r="AG1780">
        <v>0</v>
      </c>
      <c r="AH1780">
        <v>0</v>
      </c>
      <c r="AI1780">
        <v>0</v>
      </c>
      <c r="AJ1780">
        <v>0</v>
      </c>
      <c r="AK1780">
        <v>0</v>
      </c>
      <c r="AL1780">
        <v>0</v>
      </c>
      <c r="AM1780">
        <v>0</v>
      </c>
      <c r="AN1780">
        <v>0</v>
      </c>
      <c r="AO1780">
        <v>0</v>
      </c>
      <c r="AP1780">
        <v>0</v>
      </c>
      <c r="AQ1780">
        <v>1</v>
      </c>
      <c r="AR1780">
        <v>0</v>
      </c>
      <c r="AS1780">
        <v>0</v>
      </c>
      <c r="AT1780">
        <v>0</v>
      </c>
      <c r="AU1780">
        <f t="shared" si="54"/>
        <v>1</v>
      </c>
      <c r="AV1780">
        <f t="shared" si="55"/>
        <v>0</v>
      </c>
    </row>
    <row r="1781" spans="1:48" x14ac:dyDescent="0.25">
      <c r="A1781" t="s">
        <v>6849</v>
      </c>
      <c r="C1781" t="s">
        <v>6850</v>
      </c>
      <c r="D1781" t="s">
        <v>6804</v>
      </c>
      <c r="E1781" t="s">
        <v>2310</v>
      </c>
      <c r="F1781">
        <v>8</v>
      </c>
      <c r="G1781">
        <v>8.1999999999999993</v>
      </c>
      <c r="H1781" t="s">
        <v>2022</v>
      </c>
      <c r="I1781" s="21">
        <v>38792</v>
      </c>
      <c r="J1781">
        <v>2006</v>
      </c>
      <c r="K1781" s="21">
        <v>38842</v>
      </c>
      <c r="L1781">
        <v>2006</v>
      </c>
      <c r="M1781" s="21">
        <v>39128</v>
      </c>
      <c r="N1781">
        <v>2007</v>
      </c>
      <c r="R1781" s="262">
        <v>181000</v>
      </c>
      <c r="S1781" t="s">
        <v>114</v>
      </c>
      <c r="T1781" t="s">
        <v>114</v>
      </c>
      <c r="U1781">
        <v>7</v>
      </c>
      <c r="W1781">
        <v>498</v>
      </c>
      <c r="X1781">
        <v>1</v>
      </c>
      <c r="Y1781">
        <v>0</v>
      </c>
      <c r="Z1781">
        <v>0</v>
      </c>
      <c r="AA1781">
        <v>0</v>
      </c>
      <c r="AB1781">
        <v>0</v>
      </c>
      <c r="AC1781">
        <v>0</v>
      </c>
      <c r="AD1781">
        <v>0</v>
      </c>
      <c r="AE1781">
        <v>498</v>
      </c>
      <c r="AF1781">
        <v>0</v>
      </c>
      <c r="AG1781">
        <v>0</v>
      </c>
      <c r="AH1781">
        <v>0</v>
      </c>
      <c r="AI1781">
        <v>0</v>
      </c>
      <c r="AJ1781">
        <v>0</v>
      </c>
      <c r="AK1781">
        <v>0</v>
      </c>
      <c r="AL1781">
        <v>0</v>
      </c>
      <c r="AM1781">
        <v>0</v>
      </c>
      <c r="AN1781">
        <v>0</v>
      </c>
      <c r="AO1781">
        <v>0</v>
      </c>
      <c r="AP1781">
        <v>0</v>
      </c>
      <c r="AQ1781">
        <v>1</v>
      </c>
      <c r="AR1781">
        <v>0</v>
      </c>
      <c r="AS1781">
        <v>0</v>
      </c>
      <c r="AT1781">
        <v>0</v>
      </c>
      <c r="AU1781">
        <f t="shared" si="54"/>
        <v>1</v>
      </c>
      <c r="AV1781">
        <f t="shared" si="55"/>
        <v>0</v>
      </c>
    </row>
    <row r="1782" spans="1:48" x14ac:dyDescent="0.25">
      <c r="A1782" t="s">
        <v>6851</v>
      </c>
      <c r="C1782" t="s">
        <v>6814</v>
      </c>
      <c r="D1782" t="s">
        <v>6804</v>
      </c>
      <c r="E1782" t="s">
        <v>2310</v>
      </c>
      <c r="F1782">
        <v>8</v>
      </c>
      <c r="G1782">
        <v>8.1999999999999993</v>
      </c>
      <c r="H1782" t="s">
        <v>2022</v>
      </c>
      <c r="I1782" s="21">
        <v>38792</v>
      </c>
      <c r="J1782">
        <v>2006</v>
      </c>
      <c r="K1782" s="21">
        <v>38852</v>
      </c>
      <c r="L1782">
        <v>2006</v>
      </c>
      <c r="M1782" s="21">
        <v>39128</v>
      </c>
      <c r="N1782">
        <v>2007</v>
      </c>
      <c r="R1782" s="262">
        <v>181000</v>
      </c>
      <c r="S1782" t="s">
        <v>114</v>
      </c>
      <c r="T1782" t="s">
        <v>114</v>
      </c>
      <c r="U1782">
        <v>11</v>
      </c>
      <c r="W1782">
        <v>311</v>
      </c>
      <c r="X1782">
        <v>1</v>
      </c>
      <c r="Y1782">
        <v>0</v>
      </c>
      <c r="Z1782">
        <v>0</v>
      </c>
      <c r="AA1782">
        <v>0</v>
      </c>
      <c r="AB1782">
        <v>0</v>
      </c>
      <c r="AC1782">
        <v>0</v>
      </c>
      <c r="AD1782">
        <v>0</v>
      </c>
      <c r="AE1782">
        <v>0</v>
      </c>
      <c r="AF1782">
        <v>0</v>
      </c>
      <c r="AG1782">
        <v>0</v>
      </c>
      <c r="AH1782">
        <v>0</v>
      </c>
      <c r="AI1782">
        <v>311</v>
      </c>
      <c r="AJ1782">
        <v>0</v>
      </c>
      <c r="AK1782">
        <v>0</v>
      </c>
      <c r="AL1782">
        <v>0</v>
      </c>
      <c r="AM1782">
        <v>0</v>
      </c>
      <c r="AN1782">
        <v>0</v>
      </c>
      <c r="AO1782">
        <v>0</v>
      </c>
      <c r="AP1782">
        <v>0</v>
      </c>
      <c r="AQ1782">
        <v>0</v>
      </c>
      <c r="AR1782">
        <v>0</v>
      </c>
      <c r="AS1782">
        <v>0</v>
      </c>
      <c r="AT1782">
        <v>1</v>
      </c>
      <c r="AU1782">
        <f t="shared" si="54"/>
        <v>0</v>
      </c>
      <c r="AV1782">
        <f t="shared" si="55"/>
        <v>311</v>
      </c>
    </row>
    <row r="1783" spans="1:48" x14ac:dyDescent="0.25">
      <c r="A1783" t="s">
        <v>6852</v>
      </c>
      <c r="C1783" t="s">
        <v>6814</v>
      </c>
      <c r="D1783" t="s">
        <v>6804</v>
      </c>
      <c r="E1783" t="s">
        <v>2310</v>
      </c>
      <c r="F1783">
        <v>8</v>
      </c>
      <c r="G1783">
        <v>8.1999999999999993</v>
      </c>
      <c r="H1783" t="s">
        <v>2022</v>
      </c>
      <c r="I1783" s="21">
        <v>38792</v>
      </c>
      <c r="J1783">
        <v>2006</v>
      </c>
      <c r="K1783" s="21">
        <v>38854</v>
      </c>
      <c r="L1783">
        <v>2006</v>
      </c>
      <c r="M1783" s="21">
        <v>39128</v>
      </c>
      <c r="N1783">
        <v>2007</v>
      </c>
      <c r="R1783" s="262">
        <v>181000</v>
      </c>
      <c r="S1783" t="s">
        <v>114</v>
      </c>
      <c r="T1783" t="s">
        <v>114</v>
      </c>
      <c r="U1783">
        <v>11</v>
      </c>
      <c r="W1783">
        <v>311</v>
      </c>
      <c r="X1783">
        <v>1</v>
      </c>
      <c r="Y1783">
        <v>0</v>
      </c>
      <c r="Z1783">
        <v>0</v>
      </c>
      <c r="AA1783">
        <v>0</v>
      </c>
      <c r="AB1783">
        <v>0</v>
      </c>
      <c r="AC1783">
        <v>0</v>
      </c>
      <c r="AD1783">
        <v>0</v>
      </c>
      <c r="AE1783">
        <v>0</v>
      </c>
      <c r="AF1783">
        <v>0</v>
      </c>
      <c r="AG1783">
        <v>0</v>
      </c>
      <c r="AH1783">
        <v>0</v>
      </c>
      <c r="AI1783">
        <v>311</v>
      </c>
      <c r="AJ1783">
        <v>0</v>
      </c>
      <c r="AK1783">
        <v>0</v>
      </c>
      <c r="AL1783">
        <v>0</v>
      </c>
      <c r="AM1783">
        <v>0</v>
      </c>
      <c r="AN1783">
        <v>0</v>
      </c>
      <c r="AO1783">
        <v>0</v>
      </c>
      <c r="AP1783">
        <v>0</v>
      </c>
      <c r="AQ1783">
        <v>0</v>
      </c>
      <c r="AR1783">
        <v>0</v>
      </c>
      <c r="AS1783">
        <v>0</v>
      </c>
      <c r="AT1783">
        <v>1</v>
      </c>
      <c r="AU1783">
        <f t="shared" si="54"/>
        <v>0</v>
      </c>
      <c r="AV1783">
        <f t="shared" si="55"/>
        <v>311</v>
      </c>
    </row>
    <row r="1784" spans="1:48" x14ac:dyDescent="0.25">
      <c r="A1784" t="s">
        <v>6853</v>
      </c>
      <c r="C1784" t="s">
        <v>6814</v>
      </c>
      <c r="D1784" t="s">
        <v>6804</v>
      </c>
      <c r="E1784" t="s">
        <v>2310</v>
      </c>
      <c r="F1784">
        <v>8</v>
      </c>
      <c r="G1784">
        <v>8.1999999999999993</v>
      </c>
      <c r="H1784" t="s">
        <v>2022</v>
      </c>
      <c r="I1784" s="21">
        <v>38792</v>
      </c>
      <c r="J1784">
        <v>2006</v>
      </c>
      <c r="K1784" s="21">
        <v>38853</v>
      </c>
      <c r="L1784">
        <v>2006</v>
      </c>
      <c r="M1784" s="21">
        <v>39127</v>
      </c>
      <c r="N1784">
        <v>2007</v>
      </c>
      <c r="R1784" s="262">
        <v>181000</v>
      </c>
      <c r="S1784" t="s">
        <v>114</v>
      </c>
      <c r="T1784" t="s">
        <v>114</v>
      </c>
      <c r="U1784">
        <v>11</v>
      </c>
      <c r="W1784">
        <v>311</v>
      </c>
      <c r="X1784">
        <v>1</v>
      </c>
      <c r="Y1784">
        <v>0</v>
      </c>
      <c r="Z1784">
        <v>0</v>
      </c>
      <c r="AA1784">
        <v>0</v>
      </c>
      <c r="AB1784">
        <v>0</v>
      </c>
      <c r="AC1784">
        <v>0</v>
      </c>
      <c r="AD1784">
        <v>0</v>
      </c>
      <c r="AE1784">
        <v>0</v>
      </c>
      <c r="AF1784">
        <v>0</v>
      </c>
      <c r="AG1784">
        <v>0</v>
      </c>
      <c r="AH1784">
        <v>0</v>
      </c>
      <c r="AI1784">
        <v>311</v>
      </c>
      <c r="AJ1784">
        <v>0</v>
      </c>
      <c r="AK1784">
        <v>0</v>
      </c>
      <c r="AL1784">
        <v>0</v>
      </c>
      <c r="AM1784">
        <v>0</v>
      </c>
      <c r="AN1784">
        <v>0</v>
      </c>
      <c r="AO1784">
        <v>0</v>
      </c>
      <c r="AP1784">
        <v>0</v>
      </c>
      <c r="AQ1784">
        <v>0</v>
      </c>
      <c r="AR1784">
        <v>0</v>
      </c>
      <c r="AS1784">
        <v>0</v>
      </c>
      <c r="AT1784">
        <v>1</v>
      </c>
      <c r="AU1784">
        <f t="shared" si="54"/>
        <v>0</v>
      </c>
      <c r="AV1784">
        <f t="shared" si="55"/>
        <v>311</v>
      </c>
    </row>
    <row r="1785" spans="1:48" x14ac:dyDescent="0.25">
      <c r="A1785" t="s">
        <v>6854</v>
      </c>
      <c r="C1785" t="s">
        <v>6814</v>
      </c>
      <c r="D1785" t="s">
        <v>6804</v>
      </c>
      <c r="E1785" t="s">
        <v>2310</v>
      </c>
      <c r="F1785">
        <v>8</v>
      </c>
      <c r="G1785">
        <v>8.1999999999999993</v>
      </c>
      <c r="H1785" t="s">
        <v>2022</v>
      </c>
      <c r="I1785" s="21">
        <v>38792</v>
      </c>
      <c r="J1785">
        <v>2006</v>
      </c>
      <c r="K1785" s="21">
        <v>38852</v>
      </c>
      <c r="L1785">
        <v>2006</v>
      </c>
      <c r="M1785" s="21">
        <v>39127</v>
      </c>
      <c r="N1785">
        <v>2007</v>
      </c>
      <c r="R1785" s="262">
        <v>181000</v>
      </c>
      <c r="S1785" t="s">
        <v>114</v>
      </c>
      <c r="T1785" t="s">
        <v>114</v>
      </c>
      <c r="U1785">
        <v>11</v>
      </c>
      <c r="W1785">
        <v>311</v>
      </c>
      <c r="X1785">
        <v>1</v>
      </c>
      <c r="Y1785">
        <v>0</v>
      </c>
      <c r="Z1785">
        <v>0</v>
      </c>
      <c r="AA1785">
        <v>0</v>
      </c>
      <c r="AB1785">
        <v>0</v>
      </c>
      <c r="AC1785">
        <v>0</v>
      </c>
      <c r="AD1785">
        <v>0</v>
      </c>
      <c r="AE1785">
        <v>0</v>
      </c>
      <c r="AF1785">
        <v>0</v>
      </c>
      <c r="AG1785">
        <v>0</v>
      </c>
      <c r="AH1785">
        <v>0</v>
      </c>
      <c r="AI1785">
        <v>311</v>
      </c>
      <c r="AJ1785">
        <v>0</v>
      </c>
      <c r="AK1785">
        <v>0</v>
      </c>
      <c r="AL1785">
        <v>0</v>
      </c>
      <c r="AM1785">
        <v>0</v>
      </c>
      <c r="AN1785">
        <v>0</v>
      </c>
      <c r="AO1785">
        <v>0</v>
      </c>
      <c r="AP1785">
        <v>0</v>
      </c>
      <c r="AQ1785">
        <v>0</v>
      </c>
      <c r="AR1785">
        <v>0</v>
      </c>
      <c r="AS1785">
        <v>0</v>
      </c>
      <c r="AT1785">
        <v>1</v>
      </c>
      <c r="AU1785">
        <f t="shared" si="54"/>
        <v>0</v>
      </c>
      <c r="AV1785">
        <f t="shared" si="55"/>
        <v>311</v>
      </c>
    </row>
    <row r="1786" spans="1:48" x14ac:dyDescent="0.25">
      <c r="A1786" t="s">
        <v>6855</v>
      </c>
      <c r="C1786" t="s">
        <v>6856</v>
      </c>
      <c r="D1786" t="s">
        <v>6804</v>
      </c>
      <c r="E1786" t="s">
        <v>2310</v>
      </c>
      <c r="F1786">
        <v>8</v>
      </c>
      <c r="G1786">
        <v>8.1999999999999993</v>
      </c>
      <c r="H1786" t="s">
        <v>2022</v>
      </c>
      <c r="I1786" s="21">
        <v>38792</v>
      </c>
      <c r="J1786">
        <v>2006</v>
      </c>
      <c r="K1786" s="21">
        <v>38854</v>
      </c>
      <c r="L1786">
        <v>2006</v>
      </c>
      <c r="M1786" s="21">
        <v>40099.3897222222</v>
      </c>
      <c r="N1786">
        <v>2009</v>
      </c>
      <c r="R1786" s="262">
        <v>151000</v>
      </c>
      <c r="S1786" t="s">
        <v>114</v>
      </c>
      <c r="T1786" t="s">
        <v>114</v>
      </c>
      <c r="U1786">
        <v>5</v>
      </c>
      <c r="W1786">
        <v>3440</v>
      </c>
      <c r="X1786">
        <v>0</v>
      </c>
      <c r="Y1786">
        <v>0</v>
      </c>
      <c r="Z1786">
        <v>0</v>
      </c>
      <c r="AA1786">
        <v>0</v>
      </c>
      <c r="AB1786">
        <v>0</v>
      </c>
      <c r="AC1786">
        <v>3440</v>
      </c>
      <c r="AD1786">
        <v>0</v>
      </c>
      <c r="AE1786">
        <v>0</v>
      </c>
      <c r="AF1786">
        <v>0</v>
      </c>
      <c r="AG1786">
        <v>0</v>
      </c>
      <c r="AH1786">
        <v>0</v>
      </c>
      <c r="AI1786">
        <v>0</v>
      </c>
      <c r="AJ1786">
        <v>0</v>
      </c>
      <c r="AK1786">
        <v>0</v>
      </c>
      <c r="AL1786">
        <v>0</v>
      </c>
      <c r="AM1786">
        <v>0</v>
      </c>
      <c r="AN1786">
        <v>0</v>
      </c>
      <c r="AO1786">
        <v>0</v>
      </c>
      <c r="AP1786">
        <v>0</v>
      </c>
      <c r="AQ1786">
        <v>0</v>
      </c>
      <c r="AR1786">
        <v>0</v>
      </c>
      <c r="AS1786">
        <v>0</v>
      </c>
      <c r="AT1786">
        <v>0</v>
      </c>
      <c r="AU1786">
        <f t="shared" si="54"/>
        <v>0</v>
      </c>
      <c r="AV1786">
        <f t="shared" si="55"/>
        <v>0</v>
      </c>
    </row>
    <row r="1787" spans="1:48" x14ac:dyDescent="0.25">
      <c r="A1787" t="s">
        <v>6857</v>
      </c>
      <c r="C1787" t="s">
        <v>6858</v>
      </c>
      <c r="D1787" t="s">
        <v>6859</v>
      </c>
      <c r="E1787" t="s">
        <v>2310</v>
      </c>
      <c r="F1787">
        <v>8</v>
      </c>
      <c r="G1787">
        <v>8.1999999999999993</v>
      </c>
      <c r="H1787" t="s">
        <v>2022</v>
      </c>
      <c r="I1787" s="21">
        <v>38793</v>
      </c>
      <c r="J1787">
        <v>2006</v>
      </c>
      <c r="K1787" s="21">
        <v>38818</v>
      </c>
      <c r="L1787">
        <v>2006</v>
      </c>
      <c r="M1787" s="21">
        <v>38818</v>
      </c>
      <c r="N1787">
        <v>2006</v>
      </c>
      <c r="R1787" s="262">
        <v>60000</v>
      </c>
      <c r="S1787" t="s">
        <v>114</v>
      </c>
      <c r="T1787" t="s">
        <v>114</v>
      </c>
      <c r="U1787">
        <v>5</v>
      </c>
      <c r="W1787">
        <v>696</v>
      </c>
      <c r="X1787">
        <v>0</v>
      </c>
      <c r="Y1787">
        <v>0</v>
      </c>
      <c r="Z1787">
        <v>0</v>
      </c>
      <c r="AA1787">
        <v>0</v>
      </c>
      <c r="AB1787">
        <v>0</v>
      </c>
      <c r="AC1787">
        <v>696</v>
      </c>
      <c r="AD1787">
        <v>0</v>
      </c>
      <c r="AE1787">
        <v>0</v>
      </c>
      <c r="AF1787">
        <v>0</v>
      </c>
      <c r="AG1787">
        <v>0</v>
      </c>
      <c r="AH1787">
        <v>0</v>
      </c>
      <c r="AI1787">
        <v>0</v>
      </c>
      <c r="AJ1787">
        <v>0</v>
      </c>
      <c r="AK1787">
        <v>0</v>
      </c>
      <c r="AL1787">
        <v>0</v>
      </c>
      <c r="AM1787">
        <v>0</v>
      </c>
      <c r="AN1787">
        <v>0</v>
      </c>
      <c r="AO1787">
        <v>0</v>
      </c>
      <c r="AP1787">
        <v>0</v>
      </c>
      <c r="AQ1787">
        <v>0</v>
      </c>
      <c r="AR1787">
        <v>0</v>
      </c>
      <c r="AS1787">
        <v>0</v>
      </c>
      <c r="AT1787">
        <v>0</v>
      </c>
      <c r="AU1787">
        <f t="shared" si="54"/>
        <v>0</v>
      </c>
      <c r="AV1787">
        <f t="shared" si="55"/>
        <v>0</v>
      </c>
    </row>
    <row r="1788" spans="1:48" x14ac:dyDescent="0.25">
      <c r="A1788" t="s">
        <v>6860</v>
      </c>
      <c r="C1788" t="s">
        <v>6861</v>
      </c>
      <c r="D1788" t="s">
        <v>6862</v>
      </c>
      <c r="E1788" t="s">
        <v>2310</v>
      </c>
      <c r="F1788">
        <v>8</v>
      </c>
      <c r="G1788">
        <v>8.3000000000000007</v>
      </c>
      <c r="H1788" t="s">
        <v>2323</v>
      </c>
      <c r="I1788" s="21">
        <v>38793</v>
      </c>
      <c r="J1788">
        <v>2006</v>
      </c>
      <c r="K1788" s="21">
        <v>38834</v>
      </c>
      <c r="L1788">
        <v>2006</v>
      </c>
      <c r="M1788" s="21">
        <v>39101</v>
      </c>
      <c r="N1788">
        <v>2007</v>
      </c>
      <c r="R1788" s="262">
        <v>300000</v>
      </c>
      <c r="S1788" t="s">
        <v>114</v>
      </c>
      <c r="T1788" t="s">
        <v>114</v>
      </c>
      <c r="U1788">
        <v>17</v>
      </c>
      <c r="W1788">
        <v>3817</v>
      </c>
      <c r="X1788">
        <v>2</v>
      </c>
      <c r="Y1788">
        <v>0</v>
      </c>
      <c r="Z1788">
        <v>0</v>
      </c>
      <c r="AA1788">
        <v>0</v>
      </c>
      <c r="AB1788">
        <v>0</v>
      </c>
      <c r="AC1788">
        <v>0</v>
      </c>
      <c r="AD1788">
        <v>2928</v>
      </c>
      <c r="AE1788">
        <v>0</v>
      </c>
      <c r="AF1788">
        <v>889</v>
      </c>
      <c r="AG1788">
        <v>0</v>
      </c>
      <c r="AH1788">
        <v>0</v>
      </c>
      <c r="AI1788">
        <v>0</v>
      </c>
      <c r="AJ1788">
        <v>0</v>
      </c>
      <c r="AK1788">
        <v>0</v>
      </c>
      <c r="AL1788">
        <v>0</v>
      </c>
      <c r="AM1788">
        <v>0</v>
      </c>
      <c r="AN1788">
        <v>0</v>
      </c>
      <c r="AO1788">
        <v>0</v>
      </c>
      <c r="AP1788">
        <v>1</v>
      </c>
      <c r="AQ1788">
        <v>0</v>
      </c>
      <c r="AR1788">
        <v>1</v>
      </c>
      <c r="AS1788">
        <v>0</v>
      </c>
      <c r="AT1788">
        <v>0</v>
      </c>
      <c r="AU1788">
        <f t="shared" si="54"/>
        <v>1</v>
      </c>
      <c r="AV1788">
        <f t="shared" si="55"/>
        <v>0</v>
      </c>
    </row>
    <row r="1789" spans="1:48" x14ac:dyDescent="0.25">
      <c r="A1789" t="s">
        <v>6863</v>
      </c>
      <c r="C1789" t="s">
        <v>6864</v>
      </c>
      <c r="D1789" t="s">
        <v>6865</v>
      </c>
      <c r="E1789" t="s">
        <v>2310</v>
      </c>
      <c r="F1789">
        <v>12</v>
      </c>
      <c r="G1789">
        <v>12.3</v>
      </c>
      <c r="H1789" t="s">
        <v>2017</v>
      </c>
      <c r="I1789" s="21">
        <v>38793</v>
      </c>
      <c r="J1789">
        <v>2006</v>
      </c>
      <c r="K1789" s="21">
        <v>38818</v>
      </c>
      <c r="L1789">
        <v>2006</v>
      </c>
      <c r="M1789" s="21">
        <v>38967</v>
      </c>
      <c r="N1789">
        <v>2006</v>
      </c>
      <c r="R1789" s="262">
        <v>100000</v>
      </c>
      <c r="S1789" t="s">
        <v>114</v>
      </c>
      <c r="T1789" t="s">
        <v>114</v>
      </c>
      <c r="U1789">
        <v>5</v>
      </c>
      <c r="W1789">
        <v>275</v>
      </c>
      <c r="X1789">
        <v>0</v>
      </c>
      <c r="Y1789">
        <v>0</v>
      </c>
      <c r="Z1789">
        <v>0</v>
      </c>
      <c r="AA1789">
        <v>0</v>
      </c>
      <c r="AB1789">
        <v>0</v>
      </c>
      <c r="AC1789">
        <v>275</v>
      </c>
      <c r="AD1789">
        <v>0</v>
      </c>
      <c r="AE1789">
        <v>0</v>
      </c>
      <c r="AF1789">
        <v>0</v>
      </c>
      <c r="AG1789">
        <v>0</v>
      </c>
      <c r="AH1789">
        <v>0</v>
      </c>
      <c r="AI1789">
        <v>0</v>
      </c>
      <c r="AJ1789">
        <v>0</v>
      </c>
      <c r="AK1789">
        <v>0</v>
      </c>
      <c r="AL1789">
        <v>0</v>
      </c>
      <c r="AM1789">
        <v>0</v>
      </c>
      <c r="AN1789">
        <v>0</v>
      </c>
      <c r="AO1789">
        <v>0</v>
      </c>
      <c r="AP1789">
        <v>0</v>
      </c>
      <c r="AQ1789">
        <v>0</v>
      </c>
      <c r="AR1789">
        <v>0</v>
      </c>
      <c r="AS1789">
        <v>0</v>
      </c>
      <c r="AT1789">
        <v>0</v>
      </c>
      <c r="AU1789">
        <f t="shared" si="54"/>
        <v>0</v>
      </c>
      <c r="AV1789">
        <f t="shared" si="55"/>
        <v>0</v>
      </c>
    </row>
    <row r="1790" spans="1:48" x14ac:dyDescent="0.25">
      <c r="A1790" t="s">
        <v>6866</v>
      </c>
      <c r="C1790" t="s">
        <v>6867</v>
      </c>
      <c r="D1790" t="s">
        <v>6868</v>
      </c>
      <c r="E1790" t="s">
        <v>2310</v>
      </c>
      <c r="F1790">
        <v>9</v>
      </c>
      <c r="G1790">
        <v>9.1</v>
      </c>
      <c r="H1790" t="s">
        <v>2323</v>
      </c>
      <c r="I1790" s="21">
        <v>38793</v>
      </c>
      <c r="J1790">
        <v>2006</v>
      </c>
      <c r="K1790" s="21">
        <v>38841</v>
      </c>
      <c r="L1790">
        <v>2006</v>
      </c>
      <c r="M1790" s="21">
        <v>39511</v>
      </c>
      <c r="N1790">
        <v>2008</v>
      </c>
      <c r="R1790" s="262">
        <v>750000</v>
      </c>
      <c r="S1790" t="s">
        <v>114</v>
      </c>
      <c r="T1790" t="s">
        <v>114</v>
      </c>
      <c r="U1790">
        <v>5</v>
      </c>
      <c r="W1790">
        <v>3684</v>
      </c>
      <c r="X1790">
        <v>1</v>
      </c>
      <c r="Y1790">
        <v>0</v>
      </c>
      <c r="Z1790">
        <v>0</v>
      </c>
      <c r="AA1790">
        <v>0</v>
      </c>
      <c r="AB1790">
        <v>0</v>
      </c>
      <c r="AC1790">
        <v>3684</v>
      </c>
      <c r="AD1790">
        <v>0</v>
      </c>
      <c r="AE1790">
        <v>0</v>
      </c>
      <c r="AF1790">
        <v>0</v>
      </c>
      <c r="AG1790">
        <v>0</v>
      </c>
      <c r="AH1790">
        <v>0</v>
      </c>
      <c r="AI1790">
        <v>0</v>
      </c>
      <c r="AJ1790">
        <v>0</v>
      </c>
      <c r="AK1790">
        <v>0</v>
      </c>
      <c r="AL1790">
        <v>0</v>
      </c>
      <c r="AM1790">
        <v>0</v>
      </c>
      <c r="AN1790">
        <v>0</v>
      </c>
      <c r="AO1790">
        <v>1</v>
      </c>
      <c r="AP1790">
        <v>0</v>
      </c>
      <c r="AQ1790">
        <v>0</v>
      </c>
      <c r="AR1790">
        <v>0</v>
      </c>
      <c r="AS1790">
        <v>0</v>
      </c>
      <c r="AT1790">
        <v>0</v>
      </c>
      <c r="AU1790">
        <f t="shared" si="54"/>
        <v>1</v>
      </c>
      <c r="AV1790">
        <f t="shared" si="55"/>
        <v>0</v>
      </c>
    </row>
    <row r="1791" spans="1:48" x14ac:dyDescent="0.25">
      <c r="A1791" t="s">
        <v>6869</v>
      </c>
      <c r="C1791" t="s">
        <v>6870</v>
      </c>
      <c r="D1791" t="s">
        <v>6871</v>
      </c>
      <c r="E1791" t="s">
        <v>2310</v>
      </c>
      <c r="F1791">
        <v>8</v>
      </c>
      <c r="G1791">
        <v>8.1</v>
      </c>
      <c r="H1791" t="s">
        <v>2323</v>
      </c>
      <c r="I1791" s="21">
        <v>38796</v>
      </c>
      <c r="J1791">
        <v>2006</v>
      </c>
      <c r="K1791" s="21">
        <v>38824</v>
      </c>
      <c r="L1791">
        <v>2006</v>
      </c>
      <c r="M1791" s="21">
        <v>38824</v>
      </c>
      <c r="N1791">
        <v>2006</v>
      </c>
      <c r="R1791" s="262">
        <v>145000</v>
      </c>
      <c r="S1791" t="s">
        <v>114</v>
      </c>
      <c r="T1791" t="s">
        <v>114</v>
      </c>
      <c r="U1791">
        <v>5</v>
      </c>
      <c r="W1791">
        <v>832</v>
      </c>
      <c r="X1791">
        <v>0</v>
      </c>
      <c r="Y1791">
        <v>0</v>
      </c>
      <c r="Z1791">
        <v>0</v>
      </c>
      <c r="AA1791">
        <v>0</v>
      </c>
      <c r="AB1791">
        <v>0</v>
      </c>
      <c r="AC1791">
        <v>832</v>
      </c>
      <c r="AD1791">
        <v>0</v>
      </c>
      <c r="AE1791">
        <v>0</v>
      </c>
      <c r="AF1791">
        <v>0</v>
      </c>
      <c r="AG1791">
        <v>0</v>
      </c>
      <c r="AH1791">
        <v>0</v>
      </c>
      <c r="AI1791">
        <v>0</v>
      </c>
      <c r="AJ1791">
        <v>0</v>
      </c>
      <c r="AK1791">
        <v>0</v>
      </c>
      <c r="AL1791">
        <v>0</v>
      </c>
      <c r="AM1791">
        <v>0</v>
      </c>
      <c r="AN1791">
        <v>0</v>
      </c>
      <c r="AO1791">
        <v>0</v>
      </c>
      <c r="AP1791">
        <v>0</v>
      </c>
      <c r="AQ1791">
        <v>0</v>
      </c>
      <c r="AR1791">
        <v>0</v>
      </c>
      <c r="AS1791">
        <v>0</v>
      </c>
      <c r="AT1791">
        <v>0</v>
      </c>
      <c r="AU1791">
        <f t="shared" si="54"/>
        <v>0</v>
      </c>
      <c r="AV1791">
        <f t="shared" si="55"/>
        <v>0</v>
      </c>
    </row>
    <row r="1792" spans="1:48" x14ac:dyDescent="0.25">
      <c r="A1792" t="s">
        <v>6872</v>
      </c>
      <c r="C1792" t="s">
        <v>6047</v>
      </c>
      <c r="D1792" t="s">
        <v>6873</v>
      </c>
      <c r="E1792" t="s">
        <v>2310</v>
      </c>
      <c r="F1792">
        <v>10</v>
      </c>
      <c r="G1792">
        <v>10.1</v>
      </c>
      <c r="H1792" t="s">
        <v>2323</v>
      </c>
      <c r="I1792" s="21">
        <v>38796</v>
      </c>
      <c r="J1792">
        <v>2006</v>
      </c>
      <c r="K1792" s="21">
        <v>38853</v>
      </c>
      <c r="L1792">
        <v>2006</v>
      </c>
      <c r="M1792" s="21">
        <v>39639</v>
      </c>
      <c r="N1792">
        <v>2008</v>
      </c>
      <c r="R1792" s="262">
        <v>600000</v>
      </c>
      <c r="S1792" t="s">
        <v>114</v>
      </c>
      <c r="T1792" t="s">
        <v>114</v>
      </c>
      <c r="U1792">
        <v>5</v>
      </c>
      <c r="W1792">
        <v>4455</v>
      </c>
      <c r="X1792">
        <v>1</v>
      </c>
      <c r="Y1792">
        <v>0</v>
      </c>
      <c r="Z1792">
        <v>0</v>
      </c>
      <c r="AA1792">
        <v>0</v>
      </c>
      <c r="AB1792">
        <v>0</v>
      </c>
      <c r="AC1792">
        <v>4455</v>
      </c>
      <c r="AD1792">
        <v>0</v>
      </c>
      <c r="AE1792">
        <v>0</v>
      </c>
      <c r="AF1792">
        <v>0</v>
      </c>
      <c r="AG1792">
        <v>0</v>
      </c>
      <c r="AH1792">
        <v>0</v>
      </c>
      <c r="AI1792">
        <v>0</v>
      </c>
      <c r="AJ1792">
        <v>0</v>
      </c>
      <c r="AK1792">
        <v>0</v>
      </c>
      <c r="AL1792">
        <v>0</v>
      </c>
      <c r="AM1792">
        <v>0</v>
      </c>
      <c r="AN1792">
        <v>0</v>
      </c>
      <c r="AO1792">
        <v>1</v>
      </c>
      <c r="AP1792">
        <v>0</v>
      </c>
      <c r="AQ1792">
        <v>0</v>
      </c>
      <c r="AR1792">
        <v>0</v>
      </c>
      <c r="AS1792">
        <v>0</v>
      </c>
      <c r="AT1792">
        <v>0</v>
      </c>
      <c r="AU1792">
        <f t="shared" si="54"/>
        <v>1</v>
      </c>
      <c r="AV1792">
        <f t="shared" si="55"/>
        <v>0</v>
      </c>
    </row>
    <row r="1793" spans="1:48" x14ac:dyDescent="0.25">
      <c r="A1793" t="s">
        <v>6874</v>
      </c>
      <c r="C1793" t="s">
        <v>6875</v>
      </c>
      <c r="D1793" t="s">
        <v>6876</v>
      </c>
      <c r="E1793" t="s">
        <v>2310</v>
      </c>
      <c r="F1793">
        <v>12</v>
      </c>
      <c r="G1793">
        <v>12.3</v>
      </c>
      <c r="H1793" t="s">
        <v>2017</v>
      </c>
      <c r="I1793" s="21">
        <v>38796</v>
      </c>
      <c r="J1793">
        <v>2006</v>
      </c>
      <c r="K1793" s="21">
        <v>38834</v>
      </c>
      <c r="L1793">
        <v>2006</v>
      </c>
      <c r="M1793" s="21">
        <v>38834</v>
      </c>
      <c r="N1793">
        <v>2006</v>
      </c>
      <c r="R1793" s="262">
        <v>225000</v>
      </c>
      <c r="S1793" t="s">
        <v>114</v>
      </c>
      <c r="T1793" t="s">
        <v>114</v>
      </c>
      <c r="U1793">
        <v>5</v>
      </c>
      <c r="W1793">
        <v>1060</v>
      </c>
      <c r="X1793">
        <v>0</v>
      </c>
      <c r="Y1793">
        <v>0</v>
      </c>
      <c r="Z1793">
        <v>0</v>
      </c>
      <c r="AA1793">
        <v>0</v>
      </c>
      <c r="AB1793">
        <v>0</v>
      </c>
      <c r="AC1793">
        <v>1060</v>
      </c>
      <c r="AD1793">
        <v>0</v>
      </c>
      <c r="AE1793">
        <v>0</v>
      </c>
      <c r="AF1793">
        <v>0</v>
      </c>
      <c r="AG1793">
        <v>0</v>
      </c>
      <c r="AH1793">
        <v>0</v>
      </c>
      <c r="AI1793">
        <v>0</v>
      </c>
      <c r="AJ1793">
        <v>0</v>
      </c>
      <c r="AK1793">
        <v>0</v>
      </c>
      <c r="AL1793">
        <v>0</v>
      </c>
      <c r="AM1793">
        <v>0</v>
      </c>
      <c r="AN1793">
        <v>0</v>
      </c>
      <c r="AO1793">
        <v>0</v>
      </c>
      <c r="AP1793">
        <v>0</v>
      </c>
      <c r="AQ1793">
        <v>0</v>
      </c>
      <c r="AR1793">
        <v>0</v>
      </c>
      <c r="AS1793">
        <v>0</v>
      </c>
      <c r="AT1793">
        <v>0</v>
      </c>
      <c r="AU1793">
        <f t="shared" si="54"/>
        <v>0</v>
      </c>
      <c r="AV1793">
        <f t="shared" si="55"/>
        <v>0</v>
      </c>
    </row>
    <row r="1794" spans="1:48" x14ac:dyDescent="0.25">
      <c r="A1794" t="s">
        <v>6877</v>
      </c>
      <c r="C1794" t="s">
        <v>6878</v>
      </c>
      <c r="D1794" t="s">
        <v>6879</v>
      </c>
      <c r="E1794" t="s">
        <v>2310</v>
      </c>
      <c r="F1794">
        <v>7</v>
      </c>
      <c r="G1794">
        <v>7.2</v>
      </c>
      <c r="H1794" t="s">
        <v>2017</v>
      </c>
      <c r="I1794" s="21">
        <v>38796</v>
      </c>
      <c r="J1794">
        <v>2006</v>
      </c>
      <c r="K1794" s="21">
        <v>38824</v>
      </c>
      <c r="L1794">
        <v>2006</v>
      </c>
      <c r="M1794" s="21">
        <v>39357</v>
      </c>
      <c r="N1794">
        <v>2007</v>
      </c>
      <c r="R1794" s="262">
        <v>225000</v>
      </c>
      <c r="S1794" t="s">
        <v>114</v>
      </c>
      <c r="T1794" t="s">
        <v>114</v>
      </c>
      <c r="U1794">
        <v>5</v>
      </c>
      <c r="W1794">
        <v>4500</v>
      </c>
      <c r="X1794">
        <v>1</v>
      </c>
      <c r="Y1794">
        <v>0</v>
      </c>
      <c r="Z1794">
        <v>0</v>
      </c>
      <c r="AA1794">
        <v>0</v>
      </c>
      <c r="AB1794">
        <v>0</v>
      </c>
      <c r="AC1794">
        <v>4500</v>
      </c>
      <c r="AD1794">
        <v>0</v>
      </c>
      <c r="AE1794">
        <v>0</v>
      </c>
      <c r="AF1794">
        <v>0</v>
      </c>
      <c r="AG1794">
        <v>0</v>
      </c>
      <c r="AH1794">
        <v>0</v>
      </c>
      <c r="AI1794">
        <v>0</v>
      </c>
      <c r="AJ1794">
        <v>0</v>
      </c>
      <c r="AK1794">
        <v>0</v>
      </c>
      <c r="AL1794">
        <v>0</v>
      </c>
      <c r="AM1794">
        <v>0</v>
      </c>
      <c r="AN1794">
        <v>0</v>
      </c>
      <c r="AO1794">
        <v>1</v>
      </c>
      <c r="AP1794">
        <v>0</v>
      </c>
      <c r="AQ1794">
        <v>0</v>
      </c>
      <c r="AR1794">
        <v>0</v>
      </c>
      <c r="AS1794">
        <v>0</v>
      </c>
      <c r="AT1794">
        <v>0</v>
      </c>
      <c r="AU1794">
        <f t="shared" si="54"/>
        <v>1</v>
      </c>
      <c r="AV1794">
        <f t="shared" si="55"/>
        <v>0</v>
      </c>
    </row>
    <row r="1795" spans="1:48" x14ac:dyDescent="0.25">
      <c r="A1795" t="s">
        <v>6880</v>
      </c>
      <c r="C1795" t="s">
        <v>6881</v>
      </c>
      <c r="D1795" t="s">
        <v>2864</v>
      </c>
      <c r="E1795" t="s">
        <v>2310</v>
      </c>
      <c r="F1795">
        <v>9</v>
      </c>
      <c r="G1795">
        <v>9.3000000000000007</v>
      </c>
      <c r="H1795" t="s">
        <v>2323</v>
      </c>
      <c r="I1795" s="21">
        <v>38797</v>
      </c>
      <c r="J1795">
        <v>2006</v>
      </c>
      <c r="K1795" s="21">
        <v>38832</v>
      </c>
      <c r="L1795">
        <v>2006</v>
      </c>
      <c r="M1795" s="21">
        <v>38926</v>
      </c>
      <c r="N1795">
        <v>2006</v>
      </c>
      <c r="R1795" s="262">
        <v>60000</v>
      </c>
      <c r="S1795" t="s">
        <v>114</v>
      </c>
      <c r="T1795" t="s">
        <v>114</v>
      </c>
      <c r="U1795">
        <v>5</v>
      </c>
      <c r="W1795">
        <v>448</v>
      </c>
      <c r="X1795">
        <v>0</v>
      </c>
      <c r="Y1795">
        <v>0</v>
      </c>
      <c r="Z1795">
        <v>0</v>
      </c>
      <c r="AA1795">
        <v>0</v>
      </c>
      <c r="AB1795">
        <v>0</v>
      </c>
      <c r="AC1795">
        <v>448</v>
      </c>
      <c r="AD1795">
        <v>0</v>
      </c>
      <c r="AE1795">
        <v>0</v>
      </c>
      <c r="AF1795">
        <v>0</v>
      </c>
      <c r="AG1795">
        <v>0</v>
      </c>
      <c r="AH1795">
        <v>0</v>
      </c>
      <c r="AI1795">
        <v>0</v>
      </c>
      <c r="AJ1795">
        <v>0</v>
      </c>
      <c r="AK1795">
        <v>0</v>
      </c>
      <c r="AL1795">
        <v>0</v>
      </c>
      <c r="AM1795">
        <v>0</v>
      </c>
      <c r="AN1795">
        <v>0</v>
      </c>
      <c r="AO1795">
        <v>0</v>
      </c>
      <c r="AP1795">
        <v>0</v>
      </c>
      <c r="AQ1795">
        <v>0</v>
      </c>
      <c r="AR1795">
        <v>0</v>
      </c>
      <c r="AS1795">
        <v>0</v>
      </c>
      <c r="AT1795">
        <v>0</v>
      </c>
      <c r="AU1795">
        <f t="shared" si="54"/>
        <v>0</v>
      </c>
      <c r="AV1795">
        <f t="shared" si="55"/>
        <v>0</v>
      </c>
    </row>
    <row r="1796" spans="1:48" x14ac:dyDescent="0.25">
      <c r="A1796" t="s">
        <v>6882</v>
      </c>
      <c r="C1796" t="s">
        <v>6883</v>
      </c>
      <c r="D1796" t="s">
        <v>6884</v>
      </c>
      <c r="E1796" t="s">
        <v>2310</v>
      </c>
      <c r="F1796">
        <v>9</v>
      </c>
      <c r="G1796">
        <v>9.1999999999999993</v>
      </c>
      <c r="H1796" t="s">
        <v>2022</v>
      </c>
      <c r="I1796" s="21">
        <v>38797</v>
      </c>
      <c r="J1796">
        <v>2006</v>
      </c>
      <c r="K1796" s="21">
        <v>38845</v>
      </c>
      <c r="L1796">
        <v>2006</v>
      </c>
      <c r="M1796" s="21">
        <v>39260</v>
      </c>
      <c r="N1796">
        <v>2007</v>
      </c>
      <c r="R1796" s="262">
        <v>500000</v>
      </c>
      <c r="S1796" t="s">
        <v>114</v>
      </c>
      <c r="T1796" t="s">
        <v>114</v>
      </c>
      <c r="U1796">
        <v>5</v>
      </c>
      <c r="W1796">
        <v>3595</v>
      </c>
      <c r="X1796">
        <v>1</v>
      </c>
      <c r="Y1796">
        <v>0</v>
      </c>
      <c r="Z1796">
        <v>0</v>
      </c>
      <c r="AA1796">
        <v>0</v>
      </c>
      <c r="AB1796">
        <v>0</v>
      </c>
      <c r="AC1796">
        <v>3595</v>
      </c>
      <c r="AD1796">
        <v>0</v>
      </c>
      <c r="AE1796">
        <v>0</v>
      </c>
      <c r="AF1796">
        <v>0</v>
      </c>
      <c r="AG1796">
        <v>0</v>
      </c>
      <c r="AH1796">
        <v>0</v>
      </c>
      <c r="AI1796">
        <v>0</v>
      </c>
      <c r="AJ1796">
        <v>0</v>
      </c>
      <c r="AK1796">
        <v>0</v>
      </c>
      <c r="AL1796">
        <v>0</v>
      </c>
      <c r="AM1796">
        <v>0</v>
      </c>
      <c r="AN1796">
        <v>0</v>
      </c>
      <c r="AO1796">
        <v>1</v>
      </c>
      <c r="AP1796">
        <v>0</v>
      </c>
      <c r="AQ1796">
        <v>0</v>
      </c>
      <c r="AR1796">
        <v>0</v>
      </c>
      <c r="AS1796">
        <v>0</v>
      </c>
      <c r="AT1796">
        <v>0</v>
      </c>
      <c r="AU1796">
        <f t="shared" si="54"/>
        <v>1</v>
      </c>
      <c r="AV1796">
        <f t="shared" si="55"/>
        <v>0</v>
      </c>
    </row>
    <row r="1797" spans="1:48" x14ac:dyDescent="0.25">
      <c r="A1797" t="s">
        <v>6885</v>
      </c>
      <c r="C1797" t="s">
        <v>6886</v>
      </c>
      <c r="D1797" t="s">
        <v>6884</v>
      </c>
      <c r="E1797" t="s">
        <v>2310</v>
      </c>
      <c r="F1797">
        <v>9</v>
      </c>
      <c r="G1797">
        <v>9.1999999999999993</v>
      </c>
      <c r="H1797" t="s">
        <v>2022</v>
      </c>
      <c r="I1797" s="21">
        <v>38798</v>
      </c>
      <c r="J1797">
        <v>2006</v>
      </c>
      <c r="K1797" s="21">
        <v>38845</v>
      </c>
      <c r="L1797">
        <v>2006</v>
      </c>
      <c r="M1797" s="21">
        <v>39260</v>
      </c>
      <c r="N1797">
        <v>2007</v>
      </c>
      <c r="R1797" s="262">
        <v>35000</v>
      </c>
      <c r="S1797" t="s">
        <v>114</v>
      </c>
      <c r="T1797" t="s">
        <v>114</v>
      </c>
      <c r="U1797">
        <v>5</v>
      </c>
      <c r="W1797">
        <v>661</v>
      </c>
      <c r="X1797">
        <v>0</v>
      </c>
      <c r="Y1797">
        <v>0</v>
      </c>
      <c r="Z1797">
        <v>0</v>
      </c>
      <c r="AA1797">
        <v>0</v>
      </c>
      <c r="AB1797">
        <v>0</v>
      </c>
      <c r="AC1797">
        <v>661</v>
      </c>
      <c r="AD1797">
        <v>0</v>
      </c>
      <c r="AE1797">
        <v>0</v>
      </c>
      <c r="AF1797">
        <v>0</v>
      </c>
      <c r="AG1797">
        <v>0</v>
      </c>
      <c r="AH1797">
        <v>0</v>
      </c>
      <c r="AI1797">
        <v>0</v>
      </c>
      <c r="AJ1797">
        <v>0</v>
      </c>
      <c r="AK1797">
        <v>0</v>
      </c>
      <c r="AL1797">
        <v>0</v>
      </c>
      <c r="AM1797">
        <v>0</v>
      </c>
      <c r="AN1797">
        <v>0</v>
      </c>
      <c r="AO1797">
        <v>0</v>
      </c>
      <c r="AP1797">
        <v>0</v>
      </c>
      <c r="AQ1797">
        <v>0</v>
      </c>
      <c r="AR1797">
        <v>0</v>
      </c>
      <c r="AS1797">
        <v>0</v>
      </c>
      <c r="AT1797">
        <v>0</v>
      </c>
      <c r="AU1797">
        <f t="shared" si="54"/>
        <v>0</v>
      </c>
      <c r="AV1797">
        <f t="shared" si="55"/>
        <v>0</v>
      </c>
    </row>
    <row r="1798" spans="1:48" x14ac:dyDescent="0.25">
      <c r="A1798" t="s">
        <v>6887</v>
      </c>
      <c r="C1798" t="s">
        <v>6888</v>
      </c>
      <c r="D1798" t="s">
        <v>2507</v>
      </c>
      <c r="E1798" t="s">
        <v>2310</v>
      </c>
      <c r="F1798">
        <v>10</v>
      </c>
      <c r="G1798">
        <v>10.1</v>
      </c>
      <c r="H1798" t="s">
        <v>2323</v>
      </c>
      <c r="I1798" s="21">
        <v>38799</v>
      </c>
      <c r="J1798">
        <v>2006</v>
      </c>
      <c r="K1798" s="21">
        <v>38842</v>
      </c>
      <c r="L1798">
        <v>2006</v>
      </c>
      <c r="M1798" s="21">
        <v>39643</v>
      </c>
      <c r="N1798">
        <v>2008</v>
      </c>
      <c r="R1798" s="262">
        <v>925000</v>
      </c>
      <c r="S1798" t="s">
        <v>114</v>
      </c>
      <c r="T1798" t="s">
        <v>114</v>
      </c>
      <c r="U1798">
        <v>5</v>
      </c>
      <c r="W1798">
        <v>3083</v>
      </c>
      <c r="X1798">
        <v>0</v>
      </c>
      <c r="Y1798">
        <v>0</v>
      </c>
      <c r="Z1798">
        <v>0</v>
      </c>
      <c r="AA1798">
        <v>0</v>
      </c>
      <c r="AB1798">
        <v>0</v>
      </c>
      <c r="AC1798">
        <v>3083</v>
      </c>
      <c r="AD1798">
        <v>0</v>
      </c>
      <c r="AE1798">
        <v>0</v>
      </c>
      <c r="AF1798">
        <v>0</v>
      </c>
      <c r="AG1798">
        <v>0</v>
      </c>
      <c r="AH1798">
        <v>0</v>
      </c>
      <c r="AI1798">
        <v>0</v>
      </c>
      <c r="AJ1798">
        <v>0</v>
      </c>
      <c r="AK1798">
        <v>0</v>
      </c>
      <c r="AL1798">
        <v>0</v>
      </c>
      <c r="AM1798">
        <v>0</v>
      </c>
      <c r="AN1798">
        <v>0</v>
      </c>
      <c r="AO1798">
        <v>0</v>
      </c>
      <c r="AP1798">
        <v>0</v>
      </c>
      <c r="AQ1798">
        <v>0</v>
      </c>
      <c r="AR1798">
        <v>0</v>
      </c>
      <c r="AS1798">
        <v>0</v>
      </c>
      <c r="AT1798">
        <v>0</v>
      </c>
      <c r="AU1798">
        <f t="shared" si="54"/>
        <v>0</v>
      </c>
      <c r="AV1798">
        <f t="shared" si="55"/>
        <v>0</v>
      </c>
    </row>
    <row r="1799" spans="1:48" x14ac:dyDescent="0.25">
      <c r="A1799" t="s">
        <v>6930</v>
      </c>
      <c r="C1799" t="s">
        <v>6931</v>
      </c>
      <c r="D1799" t="s">
        <v>2504</v>
      </c>
      <c r="E1799" t="s">
        <v>2310</v>
      </c>
      <c r="F1799">
        <v>14</v>
      </c>
      <c r="G1799">
        <v>14.1</v>
      </c>
      <c r="H1799" t="s">
        <v>2022</v>
      </c>
      <c r="I1799" s="21">
        <v>38800</v>
      </c>
      <c r="J1799">
        <v>2006</v>
      </c>
      <c r="K1799" s="21">
        <v>38876</v>
      </c>
      <c r="L1799">
        <v>2006</v>
      </c>
      <c r="M1799" s="21">
        <v>40570.425891203697</v>
      </c>
      <c r="N1799">
        <v>2011</v>
      </c>
      <c r="R1799" s="262">
        <v>402000</v>
      </c>
      <c r="S1799" t="s">
        <v>114</v>
      </c>
      <c r="T1799" t="s">
        <v>114</v>
      </c>
      <c r="U1799">
        <v>5</v>
      </c>
      <c r="W1799">
        <v>4560</v>
      </c>
      <c r="X1799">
        <v>1</v>
      </c>
      <c r="Y1799">
        <v>0</v>
      </c>
      <c r="Z1799">
        <v>0</v>
      </c>
      <c r="AA1799">
        <v>0</v>
      </c>
      <c r="AB1799">
        <v>0</v>
      </c>
      <c r="AC1799">
        <v>4560</v>
      </c>
      <c r="AD1799">
        <v>0</v>
      </c>
      <c r="AE1799">
        <v>0</v>
      </c>
      <c r="AF1799">
        <v>0</v>
      </c>
      <c r="AG1799">
        <v>0</v>
      </c>
      <c r="AH1799">
        <v>0</v>
      </c>
      <c r="AI1799">
        <v>0</v>
      </c>
      <c r="AJ1799">
        <v>0</v>
      </c>
      <c r="AK1799">
        <v>0</v>
      </c>
      <c r="AL1799">
        <v>0</v>
      </c>
      <c r="AM1799">
        <v>0</v>
      </c>
      <c r="AN1799">
        <v>0</v>
      </c>
      <c r="AO1799">
        <v>1</v>
      </c>
      <c r="AP1799">
        <v>0</v>
      </c>
      <c r="AQ1799">
        <v>0</v>
      </c>
      <c r="AR1799">
        <v>0</v>
      </c>
      <c r="AS1799">
        <v>0</v>
      </c>
      <c r="AT1799">
        <v>0</v>
      </c>
      <c r="AU1799">
        <f t="shared" si="54"/>
        <v>1</v>
      </c>
      <c r="AV1799">
        <f t="shared" si="55"/>
        <v>0</v>
      </c>
    </row>
    <row r="1800" spans="1:48" x14ac:dyDescent="0.25">
      <c r="A1800" t="s">
        <v>6932</v>
      </c>
      <c r="C1800" t="s">
        <v>6047</v>
      </c>
      <c r="D1800" t="s">
        <v>6933</v>
      </c>
      <c r="E1800" t="s">
        <v>2310</v>
      </c>
      <c r="F1800">
        <v>9</v>
      </c>
      <c r="G1800">
        <v>9.3000000000000007</v>
      </c>
      <c r="H1800" t="s">
        <v>2323</v>
      </c>
      <c r="I1800" s="21">
        <v>38800</v>
      </c>
      <c r="J1800">
        <v>2006</v>
      </c>
      <c r="K1800" s="21">
        <v>38853</v>
      </c>
      <c r="L1800">
        <v>2006</v>
      </c>
      <c r="M1800" s="21">
        <v>39918</v>
      </c>
      <c r="N1800">
        <v>2009</v>
      </c>
      <c r="R1800" s="262">
        <v>900000</v>
      </c>
      <c r="S1800" t="s">
        <v>114</v>
      </c>
      <c r="T1800" t="s">
        <v>114</v>
      </c>
      <c r="U1800">
        <v>5</v>
      </c>
      <c r="W1800">
        <v>4441</v>
      </c>
      <c r="X1800">
        <v>1</v>
      </c>
      <c r="Y1800">
        <v>0</v>
      </c>
      <c r="Z1800">
        <v>0</v>
      </c>
      <c r="AA1800">
        <v>0</v>
      </c>
      <c r="AB1800">
        <v>0</v>
      </c>
      <c r="AC1800">
        <v>4441</v>
      </c>
      <c r="AD1800">
        <v>0</v>
      </c>
      <c r="AE1800">
        <v>0</v>
      </c>
      <c r="AF1800">
        <v>0</v>
      </c>
      <c r="AG1800">
        <v>0</v>
      </c>
      <c r="AH1800">
        <v>0</v>
      </c>
      <c r="AI1800">
        <v>0</v>
      </c>
      <c r="AJ1800">
        <v>0</v>
      </c>
      <c r="AK1800">
        <v>0</v>
      </c>
      <c r="AL1800">
        <v>0</v>
      </c>
      <c r="AM1800">
        <v>0</v>
      </c>
      <c r="AN1800">
        <v>0</v>
      </c>
      <c r="AO1800">
        <v>1</v>
      </c>
      <c r="AP1800">
        <v>0</v>
      </c>
      <c r="AQ1800">
        <v>0</v>
      </c>
      <c r="AR1800">
        <v>0</v>
      </c>
      <c r="AS1800">
        <v>0</v>
      </c>
      <c r="AT1800">
        <v>0</v>
      </c>
      <c r="AU1800">
        <f t="shared" si="54"/>
        <v>1</v>
      </c>
      <c r="AV1800">
        <f t="shared" si="55"/>
        <v>0</v>
      </c>
    </row>
    <row r="1801" spans="1:48" x14ac:dyDescent="0.25">
      <c r="A1801" t="s">
        <v>6889</v>
      </c>
      <c r="C1801" t="s">
        <v>6890</v>
      </c>
      <c r="D1801" t="s">
        <v>6891</v>
      </c>
      <c r="E1801" t="s">
        <v>1663</v>
      </c>
      <c r="F1801">
        <v>5</v>
      </c>
      <c r="G1801">
        <v>5.5</v>
      </c>
      <c r="H1801" t="s">
        <v>2017</v>
      </c>
      <c r="I1801" s="21">
        <v>38800</v>
      </c>
      <c r="J1801">
        <v>2006</v>
      </c>
      <c r="K1801" s="21">
        <v>38831</v>
      </c>
      <c r="L1801">
        <v>2006</v>
      </c>
      <c r="M1801" s="21">
        <v>38984</v>
      </c>
      <c r="N1801">
        <v>2006</v>
      </c>
      <c r="Q1801" s="262">
        <v>0</v>
      </c>
      <c r="S1801" t="s">
        <v>114</v>
      </c>
      <c r="T1801" t="s">
        <v>114</v>
      </c>
      <c r="W1801">
        <v>1558</v>
      </c>
      <c r="X1801">
        <v>1</v>
      </c>
      <c r="Y1801">
        <v>0</v>
      </c>
      <c r="Z1801">
        <v>0</v>
      </c>
      <c r="AA1801">
        <v>0</v>
      </c>
      <c r="AB1801">
        <v>0</v>
      </c>
      <c r="AC1801">
        <v>0</v>
      </c>
      <c r="AD1801">
        <v>1558</v>
      </c>
      <c r="AE1801">
        <v>0</v>
      </c>
      <c r="AF1801">
        <v>0</v>
      </c>
      <c r="AG1801">
        <v>0</v>
      </c>
      <c r="AH1801">
        <v>0</v>
      </c>
      <c r="AI1801">
        <v>0</v>
      </c>
      <c r="AJ1801">
        <v>0</v>
      </c>
      <c r="AK1801">
        <v>0</v>
      </c>
      <c r="AL1801">
        <v>0</v>
      </c>
      <c r="AM1801">
        <v>0</v>
      </c>
      <c r="AN1801">
        <v>0</v>
      </c>
      <c r="AO1801">
        <v>0</v>
      </c>
      <c r="AP1801">
        <v>1</v>
      </c>
      <c r="AQ1801">
        <v>0</v>
      </c>
      <c r="AR1801">
        <v>0</v>
      </c>
      <c r="AS1801">
        <v>0</v>
      </c>
      <c r="AT1801">
        <v>0</v>
      </c>
      <c r="AU1801">
        <f t="shared" si="54"/>
        <v>1</v>
      </c>
      <c r="AV1801">
        <f t="shared" si="55"/>
        <v>0</v>
      </c>
    </row>
    <row r="1802" spans="1:48" x14ac:dyDescent="0.25">
      <c r="A1802" t="s">
        <v>6892</v>
      </c>
      <c r="C1802" t="s">
        <v>6893</v>
      </c>
      <c r="D1802" t="s">
        <v>6894</v>
      </c>
      <c r="E1802" t="s">
        <v>1663</v>
      </c>
      <c r="F1802">
        <v>5</v>
      </c>
      <c r="G1802">
        <v>5.5</v>
      </c>
      <c r="H1802" t="s">
        <v>2017</v>
      </c>
      <c r="I1802" s="21">
        <v>38800</v>
      </c>
      <c r="J1802">
        <v>2006</v>
      </c>
      <c r="K1802" s="21">
        <v>38831</v>
      </c>
      <c r="L1802">
        <v>2006</v>
      </c>
      <c r="M1802" s="21">
        <v>38984</v>
      </c>
      <c r="N1802">
        <v>2006</v>
      </c>
      <c r="Q1802" s="262">
        <v>0</v>
      </c>
      <c r="S1802" t="s">
        <v>114</v>
      </c>
      <c r="T1802" t="s">
        <v>114</v>
      </c>
      <c r="W1802">
        <v>1558</v>
      </c>
      <c r="X1802">
        <v>1</v>
      </c>
      <c r="Y1802">
        <v>0</v>
      </c>
      <c r="Z1802">
        <v>0</v>
      </c>
      <c r="AA1802">
        <v>0</v>
      </c>
      <c r="AB1802">
        <v>0</v>
      </c>
      <c r="AC1802">
        <v>0</v>
      </c>
      <c r="AD1802">
        <v>1558</v>
      </c>
      <c r="AE1802">
        <v>0</v>
      </c>
      <c r="AF1802">
        <v>0</v>
      </c>
      <c r="AG1802">
        <v>0</v>
      </c>
      <c r="AH1802">
        <v>0</v>
      </c>
      <c r="AI1802">
        <v>0</v>
      </c>
      <c r="AJ1802">
        <v>0</v>
      </c>
      <c r="AK1802">
        <v>0</v>
      </c>
      <c r="AL1802">
        <v>0</v>
      </c>
      <c r="AM1802">
        <v>0</v>
      </c>
      <c r="AN1802">
        <v>0</v>
      </c>
      <c r="AO1802">
        <v>0</v>
      </c>
      <c r="AP1802">
        <v>1</v>
      </c>
      <c r="AQ1802">
        <v>0</v>
      </c>
      <c r="AR1802">
        <v>0</v>
      </c>
      <c r="AS1802">
        <v>0</v>
      </c>
      <c r="AT1802">
        <v>0</v>
      </c>
      <c r="AU1802">
        <f t="shared" si="54"/>
        <v>1</v>
      </c>
      <c r="AV1802">
        <f t="shared" si="55"/>
        <v>0</v>
      </c>
    </row>
    <row r="1803" spans="1:48" x14ac:dyDescent="0.25">
      <c r="A1803" t="s">
        <v>6895</v>
      </c>
      <c r="C1803" t="s">
        <v>6896</v>
      </c>
      <c r="D1803" t="s">
        <v>6897</v>
      </c>
      <c r="E1803" t="s">
        <v>1663</v>
      </c>
      <c r="F1803">
        <v>5</v>
      </c>
      <c r="G1803">
        <v>5.5</v>
      </c>
      <c r="H1803" t="s">
        <v>2017</v>
      </c>
      <c r="I1803" s="21">
        <v>38800</v>
      </c>
      <c r="J1803">
        <v>2006</v>
      </c>
      <c r="K1803" s="21">
        <v>38831</v>
      </c>
      <c r="L1803">
        <v>2006</v>
      </c>
      <c r="M1803" s="21">
        <v>38984</v>
      </c>
      <c r="N1803">
        <v>2006</v>
      </c>
      <c r="Q1803" s="262">
        <v>0</v>
      </c>
      <c r="S1803" t="s">
        <v>114</v>
      </c>
      <c r="T1803" t="s">
        <v>114</v>
      </c>
      <c r="W1803">
        <v>1558</v>
      </c>
      <c r="X1803">
        <v>1</v>
      </c>
      <c r="Y1803">
        <v>0</v>
      </c>
      <c r="Z1803">
        <v>0</v>
      </c>
      <c r="AA1803">
        <v>0</v>
      </c>
      <c r="AB1803">
        <v>0</v>
      </c>
      <c r="AC1803">
        <v>0</v>
      </c>
      <c r="AD1803">
        <v>1558</v>
      </c>
      <c r="AE1803">
        <v>0</v>
      </c>
      <c r="AF1803">
        <v>0</v>
      </c>
      <c r="AG1803">
        <v>0</v>
      </c>
      <c r="AH1803">
        <v>0</v>
      </c>
      <c r="AI1803">
        <v>0</v>
      </c>
      <c r="AJ1803">
        <v>0</v>
      </c>
      <c r="AK1803">
        <v>0</v>
      </c>
      <c r="AL1803">
        <v>0</v>
      </c>
      <c r="AM1803">
        <v>0</v>
      </c>
      <c r="AN1803">
        <v>0</v>
      </c>
      <c r="AO1803">
        <v>0</v>
      </c>
      <c r="AP1803">
        <v>1</v>
      </c>
      <c r="AQ1803">
        <v>0</v>
      </c>
      <c r="AR1803">
        <v>0</v>
      </c>
      <c r="AS1803">
        <v>0</v>
      </c>
      <c r="AT1803">
        <v>0</v>
      </c>
      <c r="AU1803">
        <f t="shared" si="54"/>
        <v>1</v>
      </c>
      <c r="AV1803">
        <f t="shared" si="55"/>
        <v>0</v>
      </c>
    </row>
    <row r="1804" spans="1:48" x14ac:dyDescent="0.25">
      <c r="A1804" t="s">
        <v>6898</v>
      </c>
      <c r="C1804" t="s">
        <v>6890</v>
      </c>
      <c r="D1804" t="s">
        <v>6899</v>
      </c>
      <c r="E1804" t="s">
        <v>1663</v>
      </c>
      <c r="F1804">
        <v>5</v>
      </c>
      <c r="G1804">
        <v>5.5</v>
      </c>
      <c r="H1804" t="s">
        <v>2017</v>
      </c>
      <c r="I1804" s="21">
        <v>38800</v>
      </c>
      <c r="J1804">
        <v>2006</v>
      </c>
      <c r="K1804" s="21">
        <v>38831</v>
      </c>
      <c r="L1804">
        <v>2006</v>
      </c>
      <c r="M1804" s="21">
        <v>38984</v>
      </c>
      <c r="N1804">
        <v>2006</v>
      </c>
      <c r="Q1804" s="262">
        <v>0</v>
      </c>
      <c r="S1804" t="s">
        <v>114</v>
      </c>
      <c r="T1804" t="s">
        <v>114</v>
      </c>
      <c r="W1804">
        <v>1222</v>
      </c>
      <c r="X1804">
        <v>1</v>
      </c>
      <c r="Y1804">
        <v>0</v>
      </c>
      <c r="Z1804">
        <v>0</v>
      </c>
      <c r="AA1804">
        <v>0</v>
      </c>
      <c r="AB1804">
        <v>0</v>
      </c>
      <c r="AC1804">
        <v>0</v>
      </c>
      <c r="AD1804">
        <v>1222</v>
      </c>
      <c r="AE1804">
        <v>0</v>
      </c>
      <c r="AF1804">
        <v>0</v>
      </c>
      <c r="AG1804">
        <v>0</v>
      </c>
      <c r="AH1804">
        <v>0</v>
      </c>
      <c r="AI1804">
        <v>0</v>
      </c>
      <c r="AJ1804">
        <v>0</v>
      </c>
      <c r="AK1804">
        <v>0</v>
      </c>
      <c r="AL1804">
        <v>0</v>
      </c>
      <c r="AM1804">
        <v>0</v>
      </c>
      <c r="AN1804">
        <v>0</v>
      </c>
      <c r="AO1804">
        <v>0</v>
      </c>
      <c r="AP1804">
        <v>1</v>
      </c>
      <c r="AQ1804">
        <v>0</v>
      </c>
      <c r="AR1804">
        <v>0</v>
      </c>
      <c r="AS1804">
        <v>0</v>
      </c>
      <c r="AT1804">
        <v>0</v>
      </c>
      <c r="AU1804">
        <f t="shared" si="54"/>
        <v>1</v>
      </c>
      <c r="AV1804">
        <f t="shared" si="55"/>
        <v>0</v>
      </c>
    </row>
    <row r="1805" spans="1:48" x14ac:dyDescent="0.25">
      <c r="A1805" t="s">
        <v>6900</v>
      </c>
      <c r="C1805" t="s">
        <v>6901</v>
      </c>
      <c r="D1805" t="s">
        <v>6902</v>
      </c>
      <c r="E1805" t="s">
        <v>1663</v>
      </c>
      <c r="F1805">
        <v>5</v>
      </c>
      <c r="G1805">
        <v>5.5</v>
      </c>
      <c r="H1805" t="s">
        <v>2017</v>
      </c>
      <c r="I1805" s="21">
        <v>38800</v>
      </c>
      <c r="J1805">
        <v>2006</v>
      </c>
      <c r="K1805" s="21">
        <v>38831</v>
      </c>
      <c r="L1805">
        <v>2006</v>
      </c>
      <c r="M1805" s="21">
        <v>38984</v>
      </c>
      <c r="N1805">
        <v>2006</v>
      </c>
      <c r="Q1805" s="262">
        <v>0</v>
      </c>
      <c r="S1805" t="s">
        <v>114</v>
      </c>
      <c r="T1805" t="s">
        <v>114</v>
      </c>
      <c r="W1805">
        <v>1558</v>
      </c>
      <c r="X1805">
        <v>1</v>
      </c>
      <c r="Y1805">
        <v>0</v>
      </c>
      <c r="Z1805">
        <v>0</v>
      </c>
      <c r="AA1805">
        <v>0</v>
      </c>
      <c r="AB1805">
        <v>0</v>
      </c>
      <c r="AC1805">
        <v>0</v>
      </c>
      <c r="AD1805">
        <v>1558</v>
      </c>
      <c r="AE1805">
        <v>0</v>
      </c>
      <c r="AF1805">
        <v>0</v>
      </c>
      <c r="AG1805">
        <v>0</v>
      </c>
      <c r="AH1805">
        <v>0</v>
      </c>
      <c r="AI1805">
        <v>0</v>
      </c>
      <c r="AJ1805">
        <v>0</v>
      </c>
      <c r="AK1805">
        <v>0</v>
      </c>
      <c r="AL1805">
        <v>0</v>
      </c>
      <c r="AM1805">
        <v>0</v>
      </c>
      <c r="AN1805">
        <v>0</v>
      </c>
      <c r="AO1805">
        <v>0</v>
      </c>
      <c r="AP1805">
        <v>1</v>
      </c>
      <c r="AQ1805">
        <v>0</v>
      </c>
      <c r="AR1805">
        <v>0</v>
      </c>
      <c r="AS1805">
        <v>0</v>
      </c>
      <c r="AT1805">
        <v>0</v>
      </c>
      <c r="AU1805">
        <f t="shared" si="54"/>
        <v>1</v>
      </c>
      <c r="AV1805">
        <f t="shared" si="55"/>
        <v>0</v>
      </c>
    </row>
    <row r="1806" spans="1:48" x14ac:dyDescent="0.25">
      <c r="A1806" t="s">
        <v>6903</v>
      </c>
      <c r="C1806" t="s">
        <v>6904</v>
      </c>
      <c r="D1806" t="s">
        <v>6905</v>
      </c>
      <c r="E1806" t="s">
        <v>1663</v>
      </c>
      <c r="F1806">
        <v>5</v>
      </c>
      <c r="G1806">
        <v>5.5</v>
      </c>
      <c r="H1806" t="s">
        <v>2017</v>
      </c>
      <c r="I1806" s="21">
        <v>38800</v>
      </c>
      <c r="J1806">
        <v>2006</v>
      </c>
      <c r="K1806" s="21">
        <v>38831</v>
      </c>
      <c r="L1806">
        <v>2006</v>
      </c>
      <c r="M1806" s="21">
        <v>38984</v>
      </c>
      <c r="N1806">
        <v>2006</v>
      </c>
      <c r="Q1806" s="262">
        <v>0</v>
      </c>
      <c r="S1806" t="s">
        <v>114</v>
      </c>
      <c r="T1806" t="s">
        <v>114</v>
      </c>
      <c r="W1806">
        <v>1270</v>
      </c>
      <c r="X1806">
        <v>1</v>
      </c>
      <c r="Y1806">
        <v>0</v>
      </c>
      <c r="Z1806">
        <v>0</v>
      </c>
      <c r="AA1806">
        <v>0</v>
      </c>
      <c r="AB1806">
        <v>0</v>
      </c>
      <c r="AC1806">
        <v>0</v>
      </c>
      <c r="AD1806">
        <v>1270</v>
      </c>
      <c r="AE1806">
        <v>0</v>
      </c>
      <c r="AF1806">
        <v>0</v>
      </c>
      <c r="AG1806">
        <v>0</v>
      </c>
      <c r="AH1806">
        <v>0</v>
      </c>
      <c r="AI1806">
        <v>0</v>
      </c>
      <c r="AJ1806">
        <v>0</v>
      </c>
      <c r="AK1806">
        <v>0</v>
      </c>
      <c r="AL1806">
        <v>0</v>
      </c>
      <c r="AM1806">
        <v>0</v>
      </c>
      <c r="AN1806">
        <v>0</v>
      </c>
      <c r="AO1806">
        <v>0</v>
      </c>
      <c r="AP1806">
        <v>1</v>
      </c>
      <c r="AQ1806">
        <v>0</v>
      </c>
      <c r="AR1806">
        <v>0</v>
      </c>
      <c r="AS1806">
        <v>0</v>
      </c>
      <c r="AT1806">
        <v>0</v>
      </c>
      <c r="AU1806">
        <f t="shared" si="54"/>
        <v>1</v>
      </c>
      <c r="AV1806">
        <f t="shared" si="55"/>
        <v>0</v>
      </c>
    </row>
    <row r="1807" spans="1:48" x14ac:dyDescent="0.25">
      <c r="A1807" t="s">
        <v>6906</v>
      </c>
      <c r="C1807" t="s">
        <v>6907</v>
      </c>
      <c r="D1807" t="s">
        <v>6908</v>
      </c>
      <c r="E1807" t="s">
        <v>1663</v>
      </c>
      <c r="F1807">
        <v>5</v>
      </c>
      <c r="G1807">
        <v>5.5</v>
      </c>
      <c r="H1807" t="s">
        <v>2017</v>
      </c>
      <c r="I1807" s="21">
        <v>38800</v>
      </c>
      <c r="J1807">
        <v>2006</v>
      </c>
      <c r="K1807" s="21">
        <v>38831</v>
      </c>
      <c r="L1807">
        <v>2006</v>
      </c>
      <c r="M1807" s="21">
        <v>38984</v>
      </c>
      <c r="N1807">
        <v>2006</v>
      </c>
      <c r="Q1807" s="262">
        <v>0</v>
      </c>
      <c r="S1807" t="s">
        <v>114</v>
      </c>
      <c r="T1807" t="s">
        <v>114</v>
      </c>
      <c r="W1807">
        <v>1558</v>
      </c>
      <c r="X1807">
        <v>1</v>
      </c>
      <c r="Y1807">
        <v>0</v>
      </c>
      <c r="Z1807">
        <v>0</v>
      </c>
      <c r="AA1807">
        <v>0</v>
      </c>
      <c r="AB1807">
        <v>0</v>
      </c>
      <c r="AC1807">
        <v>0</v>
      </c>
      <c r="AD1807">
        <v>1558</v>
      </c>
      <c r="AE1807">
        <v>0</v>
      </c>
      <c r="AF1807">
        <v>0</v>
      </c>
      <c r="AG1807">
        <v>0</v>
      </c>
      <c r="AH1807">
        <v>0</v>
      </c>
      <c r="AI1807">
        <v>0</v>
      </c>
      <c r="AJ1807">
        <v>0</v>
      </c>
      <c r="AK1807">
        <v>0</v>
      </c>
      <c r="AL1807">
        <v>0</v>
      </c>
      <c r="AM1807">
        <v>0</v>
      </c>
      <c r="AN1807">
        <v>0</v>
      </c>
      <c r="AO1807">
        <v>0</v>
      </c>
      <c r="AP1807">
        <v>1</v>
      </c>
      <c r="AQ1807">
        <v>0</v>
      </c>
      <c r="AR1807">
        <v>0</v>
      </c>
      <c r="AS1807">
        <v>0</v>
      </c>
      <c r="AT1807">
        <v>0</v>
      </c>
      <c r="AU1807">
        <f t="shared" si="54"/>
        <v>1</v>
      </c>
      <c r="AV1807">
        <f t="shared" si="55"/>
        <v>0</v>
      </c>
    </row>
    <row r="1808" spans="1:48" x14ac:dyDescent="0.25">
      <c r="A1808" t="s">
        <v>6909</v>
      </c>
      <c r="C1808" t="s">
        <v>6910</v>
      </c>
      <c r="D1808" t="s">
        <v>6911</v>
      </c>
      <c r="E1808" t="s">
        <v>1663</v>
      </c>
      <c r="F1808">
        <v>5</v>
      </c>
      <c r="G1808">
        <v>5.5</v>
      </c>
      <c r="H1808" t="s">
        <v>2017</v>
      </c>
      <c r="I1808" s="21">
        <v>38800</v>
      </c>
      <c r="J1808">
        <v>2006</v>
      </c>
      <c r="K1808" s="21">
        <v>38831</v>
      </c>
      <c r="L1808">
        <v>2006</v>
      </c>
      <c r="M1808" s="21">
        <v>38984</v>
      </c>
      <c r="N1808">
        <v>2006</v>
      </c>
      <c r="Q1808" s="262">
        <v>0</v>
      </c>
      <c r="S1808" t="s">
        <v>114</v>
      </c>
      <c r="T1808" t="s">
        <v>114</v>
      </c>
      <c r="W1808">
        <v>1558</v>
      </c>
      <c r="X1808">
        <v>1</v>
      </c>
      <c r="Y1808">
        <v>0</v>
      </c>
      <c r="Z1808">
        <v>0</v>
      </c>
      <c r="AA1808">
        <v>0</v>
      </c>
      <c r="AB1808">
        <v>0</v>
      </c>
      <c r="AC1808">
        <v>0</v>
      </c>
      <c r="AD1808">
        <v>1558</v>
      </c>
      <c r="AE1808">
        <v>0</v>
      </c>
      <c r="AF1808">
        <v>0</v>
      </c>
      <c r="AG1808">
        <v>0</v>
      </c>
      <c r="AH1808">
        <v>0</v>
      </c>
      <c r="AI1808">
        <v>0</v>
      </c>
      <c r="AJ1808">
        <v>0</v>
      </c>
      <c r="AK1808">
        <v>0</v>
      </c>
      <c r="AL1808">
        <v>0</v>
      </c>
      <c r="AM1808">
        <v>0</v>
      </c>
      <c r="AN1808">
        <v>0</v>
      </c>
      <c r="AO1808">
        <v>0</v>
      </c>
      <c r="AP1808">
        <v>1</v>
      </c>
      <c r="AQ1808">
        <v>0</v>
      </c>
      <c r="AR1808">
        <v>0</v>
      </c>
      <c r="AS1808">
        <v>0</v>
      </c>
      <c r="AT1808">
        <v>0</v>
      </c>
      <c r="AU1808">
        <f t="shared" si="54"/>
        <v>1</v>
      </c>
      <c r="AV1808">
        <f t="shared" si="55"/>
        <v>0</v>
      </c>
    </row>
    <row r="1809" spans="1:48" x14ac:dyDescent="0.25">
      <c r="A1809" t="s">
        <v>6912</v>
      </c>
      <c r="C1809" t="s">
        <v>6913</v>
      </c>
      <c r="D1809" t="s">
        <v>6914</v>
      </c>
      <c r="E1809" t="s">
        <v>1663</v>
      </c>
      <c r="F1809">
        <v>5</v>
      </c>
      <c r="G1809">
        <v>5.5</v>
      </c>
      <c r="H1809" t="s">
        <v>2017</v>
      </c>
      <c r="I1809" s="21">
        <v>38800</v>
      </c>
      <c r="J1809">
        <v>2006</v>
      </c>
      <c r="K1809" s="21">
        <v>38831</v>
      </c>
      <c r="L1809">
        <v>2006</v>
      </c>
      <c r="M1809" s="21">
        <v>38984</v>
      </c>
      <c r="N1809">
        <v>2006</v>
      </c>
      <c r="Q1809" s="262">
        <v>0</v>
      </c>
      <c r="S1809" t="s">
        <v>114</v>
      </c>
      <c r="T1809" t="s">
        <v>114</v>
      </c>
      <c r="W1809">
        <v>1270</v>
      </c>
      <c r="X1809">
        <v>1</v>
      </c>
      <c r="Y1809">
        <v>0</v>
      </c>
      <c r="Z1809">
        <v>0</v>
      </c>
      <c r="AA1809">
        <v>0</v>
      </c>
      <c r="AB1809">
        <v>0</v>
      </c>
      <c r="AC1809">
        <v>0</v>
      </c>
      <c r="AD1809">
        <v>1270</v>
      </c>
      <c r="AE1809">
        <v>0</v>
      </c>
      <c r="AF1809">
        <v>0</v>
      </c>
      <c r="AG1809">
        <v>0</v>
      </c>
      <c r="AH1809">
        <v>0</v>
      </c>
      <c r="AI1809">
        <v>0</v>
      </c>
      <c r="AJ1809">
        <v>0</v>
      </c>
      <c r="AK1809">
        <v>0</v>
      </c>
      <c r="AL1809">
        <v>0</v>
      </c>
      <c r="AM1809">
        <v>0</v>
      </c>
      <c r="AN1809">
        <v>0</v>
      </c>
      <c r="AO1809">
        <v>0</v>
      </c>
      <c r="AP1809">
        <v>1</v>
      </c>
      <c r="AQ1809">
        <v>0</v>
      </c>
      <c r="AR1809">
        <v>0</v>
      </c>
      <c r="AS1809">
        <v>0</v>
      </c>
      <c r="AT1809">
        <v>0</v>
      </c>
      <c r="AU1809">
        <f t="shared" si="54"/>
        <v>1</v>
      </c>
      <c r="AV1809">
        <f t="shared" si="55"/>
        <v>0</v>
      </c>
    </row>
    <row r="1810" spans="1:48" x14ac:dyDescent="0.25">
      <c r="A1810" t="s">
        <v>6915</v>
      </c>
      <c r="C1810" t="s">
        <v>6913</v>
      </c>
      <c r="D1810" t="s">
        <v>6916</v>
      </c>
      <c r="E1810" t="s">
        <v>1663</v>
      </c>
      <c r="F1810">
        <v>5</v>
      </c>
      <c r="G1810">
        <v>5.5</v>
      </c>
      <c r="H1810" t="s">
        <v>2017</v>
      </c>
      <c r="I1810" s="21">
        <v>38800</v>
      </c>
      <c r="J1810">
        <v>2006</v>
      </c>
      <c r="K1810" s="21">
        <v>38831</v>
      </c>
      <c r="L1810">
        <v>2006</v>
      </c>
      <c r="M1810" s="21">
        <v>38984</v>
      </c>
      <c r="N1810">
        <v>2006</v>
      </c>
      <c r="Q1810" s="262">
        <v>0</v>
      </c>
      <c r="S1810" t="s">
        <v>114</v>
      </c>
      <c r="T1810" t="s">
        <v>114</v>
      </c>
      <c r="W1810">
        <v>1558</v>
      </c>
      <c r="X1810">
        <v>1</v>
      </c>
      <c r="Y1810">
        <v>0</v>
      </c>
      <c r="Z1810">
        <v>0</v>
      </c>
      <c r="AA1810">
        <v>0</v>
      </c>
      <c r="AB1810">
        <v>0</v>
      </c>
      <c r="AC1810">
        <v>0</v>
      </c>
      <c r="AD1810">
        <v>1558</v>
      </c>
      <c r="AE1810">
        <v>0</v>
      </c>
      <c r="AF1810">
        <v>0</v>
      </c>
      <c r="AG1810">
        <v>0</v>
      </c>
      <c r="AH1810">
        <v>0</v>
      </c>
      <c r="AI1810">
        <v>0</v>
      </c>
      <c r="AJ1810">
        <v>0</v>
      </c>
      <c r="AK1810">
        <v>0</v>
      </c>
      <c r="AL1810">
        <v>0</v>
      </c>
      <c r="AM1810">
        <v>0</v>
      </c>
      <c r="AN1810">
        <v>0</v>
      </c>
      <c r="AO1810">
        <v>0</v>
      </c>
      <c r="AP1810">
        <v>1</v>
      </c>
      <c r="AQ1810">
        <v>0</v>
      </c>
      <c r="AR1810">
        <v>0</v>
      </c>
      <c r="AS1810">
        <v>0</v>
      </c>
      <c r="AT1810">
        <v>0</v>
      </c>
      <c r="AU1810">
        <f t="shared" si="54"/>
        <v>1</v>
      </c>
      <c r="AV1810">
        <f t="shared" si="55"/>
        <v>0</v>
      </c>
    </row>
    <row r="1811" spans="1:48" x14ac:dyDescent="0.25">
      <c r="A1811" t="s">
        <v>6917</v>
      </c>
      <c r="C1811" t="s">
        <v>5829</v>
      </c>
      <c r="D1811" t="s">
        <v>6918</v>
      </c>
      <c r="E1811" t="s">
        <v>1663</v>
      </c>
      <c r="F1811">
        <v>5</v>
      </c>
      <c r="G1811">
        <v>5.5</v>
      </c>
      <c r="H1811" t="s">
        <v>2017</v>
      </c>
      <c r="I1811" s="21">
        <v>38800</v>
      </c>
      <c r="J1811">
        <v>2006</v>
      </c>
      <c r="K1811" s="21">
        <v>38831</v>
      </c>
      <c r="L1811">
        <v>2006</v>
      </c>
      <c r="M1811" s="21">
        <v>38984</v>
      </c>
      <c r="N1811">
        <v>2006</v>
      </c>
      <c r="Q1811" s="262">
        <v>0</v>
      </c>
      <c r="S1811" t="s">
        <v>114</v>
      </c>
      <c r="T1811" t="s">
        <v>114</v>
      </c>
      <c r="W1811">
        <v>1558</v>
      </c>
      <c r="X1811">
        <v>1</v>
      </c>
      <c r="Y1811">
        <v>0</v>
      </c>
      <c r="Z1811">
        <v>0</v>
      </c>
      <c r="AA1811">
        <v>0</v>
      </c>
      <c r="AB1811">
        <v>0</v>
      </c>
      <c r="AC1811">
        <v>0</v>
      </c>
      <c r="AD1811">
        <v>1558</v>
      </c>
      <c r="AE1811">
        <v>0</v>
      </c>
      <c r="AF1811">
        <v>0</v>
      </c>
      <c r="AG1811">
        <v>0</v>
      </c>
      <c r="AH1811">
        <v>0</v>
      </c>
      <c r="AI1811">
        <v>0</v>
      </c>
      <c r="AJ1811">
        <v>0</v>
      </c>
      <c r="AK1811">
        <v>0</v>
      </c>
      <c r="AL1811">
        <v>0</v>
      </c>
      <c r="AM1811">
        <v>0</v>
      </c>
      <c r="AN1811">
        <v>0</v>
      </c>
      <c r="AO1811">
        <v>0</v>
      </c>
      <c r="AP1811">
        <v>1</v>
      </c>
      <c r="AQ1811">
        <v>0</v>
      </c>
      <c r="AR1811">
        <v>0</v>
      </c>
      <c r="AS1811">
        <v>0</v>
      </c>
      <c r="AT1811">
        <v>0</v>
      </c>
      <c r="AU1811">
        <f t="shared" si="54"/>
        <v>1</v>
      </c>
      <c r="AV1811">
        <f t="shared" si="55"/>
        <v>0</v>
      </c>
    </row>
    <row r="1812" spans="1:48" x14ac:dyDescent="0.25">
      <c r="A1812" t="s">
        <v>6919</v>
      </c>
      <c r="C1812" t="s">
        <v>6920</v>
      </c>
      <c r="D1812" t="s">
        <v>6921</v>
      </c>
      <c r="E1812" t="s">
        <v>1663</v>
      </c>
      <c r="F1812">
        <v>5</v>
      </c>
      <c r="G1812">
        <v>5.5</v>
      </c>
      <c r="H1812" t="s">
        <v>2017</v>
      </c>
      <c r="I1812" s="21">
        <v>38800</v>
      </c>
      <c r="J1812">
        <v>2006</v>
      </c>
      <c r="K1812" s="21">
        <v>38831</v>
      </c>
      <c r="L1812">
        <v>2006</v>
      </c>
      <c r="M1812" s="21">
        <v>38984</v>
      </c>
      <c r="N1812">
        <v>2006</v>
      </c>
      <c r="Q1812" s="262">
        <v>0</v>
      </c>
      <c r="S1812" t="s">
        <v>114</v>
      </c>
      <c r="T1812" t="s">
        <v>114</v>
      </c>
      <c r="W1812">
        <v>1558</v>
      </c>
      <c r="X1812">
        <v>1</v>
      </c>
      <c r="Y1812">
        <v>0</v>
      </c>
      <c r="Z1812">
        <v>0</v>
      </c>
      <c r="AA1812">
        <v>0</v>
      </c>
      <c r="AB1812">
        <v>0</v>
      </c>
      <c r="AC1812">
        <v>0</v>
      </c>
      <c r="AD1812">
        <v>1558</v>
      </c>
      <c r="AE1812">
        <v>0</v>
      </c>
      <c r="AF1812">
        <v>0</v>
      </c>
      <c r="AG1812">
        <v>0</v>
      </c>
      <c r="AH1812">
        <v>0</v>
      </c>
      <c r="AI1812">
        <v>0</v>
      </c>
      <c r="AJ1812">
        <v>0</v>
      </c>
      <c r="AK1812">
        <v>0</v>
      </c>
      <c r="AL1812">
        <v>0</v>
      </c>
      <c r="AM1812">
        <v>0</v>
      </c>
      <c r="AN1812">
        <v>0</v>
      </c>
      <c r="AO1812">
        <v>0</v>
      </c>
      <c r="AP1812">
        <v>1</v>
      </c>
      <c r="AQ1812">
        <v>0</v>
      </c>
      <c r="AR1812">
        <v>0</v>
      </c>
      <c r="AS1812">
        <v>0</v>
      </c>
      <c r="AT1812">
        <v>0</v>
      </c>
      <c r="AU1812">
        <f t="shared" si="54"/>
        <v>1</v>
      </c>
      <c r="AV1812">
        <f t="shared" si="55"/>
        <v>0</v>
      </c>
    </row>
    <row r="1813" spans="1:48" x14ac:dyDescent="0.25">
      <c r="A1813" t="s">
        <v>6922</v>
      </c>
      <c r="C1813" t="s">
        <v>6907</v>
      </c>
      <c r="D1813" t="s">
        <v>6923</v>
      </c>
      <c r="E1813" t="s">
        <v>1663</v>
      </c>
      <c r="F1813">
        <v>5</v>
      </c>
      <c r="G1813">
        <v>5.5</v>
      </c>
      <c r="H1813" t="s">
        <v>2017</v>
      </c>
      <c r="I1813" s="21">
        <v>38800</v>
      </c>
      <c r="J1813">
        <v>2006</v>
      </c>
      <c r="K1813" s="21">
        <v>38831</v>
      </c>
      <c r="L1813">
        <v>2006</v>
      </c>
      <c r="M1813" s="21">
        <v>38984</v>
      </c>
      <c r="N1813">
        <v>2006</v>
      </c>
      <c r="Q1813" s="262">
        <v>0</v>
      </c>
      <c r="S1813" t="s">
        <v>114</v>
      </c>
      <c r="T1813" t="s">
        <v>114</v>
      </c>
      <c r="W1813">
        <v>1558</v>
      </c>
      <c r="X1813">
        <v>1</v>
      </c>
      <c r="Y1813">
        <v>0</v>
      </c>
      <c r="Z1813">
        <v>0</v>
      </c>
      <c r="AA1813">
        <v>0</v>
      </c>
      <c r="AB1813">
        <v>0</v>
      </c>
      <c r="AC1813">
        <v>0</v>
      </c>
      <c r="AD1813">
        <v>1558</v>
      </c>
      <c r="AE1813">
        <v>0</v>
      </c>
      <c r="AF1813">
        <v>0</v>
      </c>
      <c r="AG1813">
        <v>0</v>
      </c>
      <c r="AH1813">
        <v>0</v>
      </c>
      <c r="AI1813">
        <v>0</v>
      </c>
      <c r="AJ1813">
        <v>0</v>
      </c>
      <c r="AK1813">
        <v>0</v>
      </c>
      <c r="AL1813">
        <v>0</v>
      </c>
      <c r="AM1813">
        <v>0</v>
      </c>
      <c r="AN1813">
        <v>0</v>
      </c>
      <c r="AO1813">
        <v>0</v>
      </c>
      <c r="AP1813">
        <v>1</v>
      </c>
      <c r="AQ1813">
        <v>0</v>
      </c>
      <c r="AR1813">
        <v>0</v>
      </c>
      <c r="AS1813">
        <v>0</v>
      </c>
      <c r="AT1813">
        <v>0</v>
      </c>
      <c r="AU1813">
        <f t="shared" si="54"/>
        <v>1</v>
      </c>
      <c r="AV1813">
        <f t="shared" si="55"/>
        <v>0</v>
      </c>
    </row>
    <row r="1814" spans="1:48" x14ac:dyDescent="0.25">
      <c r="A1814" t="s">
        <v>6924</v>
      </c>
      <c r="C1814" t="s">
        <v>6925</v>
      </c>
      <c r="D1814" t="s">
        <v>6926</v>
      </c>
      <c r="E1814" t="s">
        <v>1663</v>
      </c>
      <c r="F1814">
        <v>5</v>
      </c>
      <c r="G1814">
        <v>5.5</v>
      </c>
      <c r="H1814" t="s">
        <v>2017</v>
      </c>
      <c r="I1814" s="21">
        <v>38800</v>
      </c>
      <c r="J1814">
        <v>2006</v>
      </c>
      <c r="K1814" s="21">
        <v>38831</v>
      </c>
      <c r="L1814">
        <v>2006</v>
      </c>
      <c r="M1814" s="21">
        <v>38984</v>
      </c>
      <c r="N1814">
        <v>2006</v>
      </c>
      <c r="Q1814" s="262">
        <v>0</v>
      </c>
      <c r="S1814" t="s">
        <v>114</v>
      </c>
      <c r="T1814" t="s">
        <v>114</v>
      </c>
      <c r="W1814">
        <v>1280</v>
      </c>
      <c r="X1814">
        <v>1</v>
      </c>
      <c r="Y1814">
        <v>0</v>
      </c>
      <c r="Z1814">
        <v>0</v>
      </c>
      <c r="AA1814">
        <v>0</v>
      </c>
      <c r="AB1814">
        <v>0</v>
      </c>
      <c r="AC1814">
        <v>0</v>
      </c>
      <c r="AD1814">
        <v>1280</v>
      </c>
      <c r="AE1814">
        <v>0</v>
      </c>
      <c r="AF1814">
        <v>0</v>
      </c>
      <c r="AG1814">
        <v>0</v>
      </c>
      <c r="AH1814">
        <v>0</v>
      </c>
      <c r="AI1814">
        <v>0</v>
      </c>
      <c r="AJ1814">
        <v>0</v>
      </c>
      <c r="AK1814">
        <v>0</v>
      </c>
      <c r="AL1814">
        <v>0</v>
      </c>
      <c r="AM1814">
        <v>0</v>
      </c>
      <c r="AN1814">
        <v>0</v>
      </c>
      <c r="AO1814">
        <v>0</v>
      </c>
      <c r="AP1814">
        <v>1</v>
      </c>
      <c r="AQ1814">
        <v>0</v>
      </c>
      <c r="AR1814">
        <v>0</v>
      </c>
      <c r="AS1814">
        <v>0</v>
      </c>
      <c r="AT1814">
        <v>0</v>
      </c>
      <c r="AU1814">
        <f t="shared" si="54"/>
        <v>1</v>
      </c>
      <c r="AV1814">
        <f t="shared" si="55"/>
        <v>0</v>
      </c>
    </row>
    <row r="1815" spans="1:48" x14ac:dyDescent="0.25">
      <c r="A1815" t="s">
        <v>6927</v>
      </c>
      <c r="C1815" t="s">
        <v>6928</v>
      </c>
      <c r="D1815" t="s">
        <v>6929</v>
      </c>
      <c r="E1815" t="s">
        <v>1663</v>
      </c>
      <c r="F1815">
        <v>5</v>
      </c>
      <c r="G1815">
        <v>5.5</v>
      </c>
      <c r="H1815" t="s">
        <v>2017</v>
      </c>
      <c r="I1815" s="21">
        <v>38800</v>
      </c>
      <c r="J1815">
        <v>2006</v>
      </c>
      <c r="K1815" s="21">
        <v>38831</v>
      </c>
      <c r="L1815">
        <v>2006</v>
      </c>
      <c r="M1815" s="21">
        <v>38984</v>
      </c>
      <c r="N1815">
        <v>2006</v>
      </c>
      <c r="Q1815" s="262">
        <v>0</v>
      </c>
      <c r="S1815" t="s">
        <v>114</v>
      </c>
      <c r="T1815" t="s">
        <v>114</v>
      </c>
      <c r="W1815">
        <v>1558</v>
      </c>
      <c r="X1815">
        <v>1</v>
      </c>
      <c r="Y1815">
        <v>0</v>
      </c>
      <c r="Z1815">
        <v>0</v>
      </c>
      <c r="AA1815">
        <v>0</v>
      </c>
      <c r="AB1815">
        <v>0</v>
      </c>
      <c r="AC1815">
        <v>0</v>
      </c>
      <c r="AD1815">
        <v>1558</v>
      </c>
      <c r="AE1815">
        <v>0</v>
      </c>
      <c r="AF1815">
        <v>0</v>
      </c>
      <c r="AG1815">
        <v>0</v>
      </c>
      <c r="AH1815">
        <v>0</v>
      </c>
      <c r="AI1815">
        <v>0</v>
      </c>
      <c r="AJ1815">
        <v>0</v>
      </c>
      <c r="AK1815">
        <v>0</v>
      </c>
      <c r="AL1815">
        <v>0</v>
      </c>
      <c r="AM1815">
        <v>0</v>
      </c>
      <c r="AN1815">
        <v>0</v>
      </c>
      <c r="AO1815">
        <v>0</v>
      </c>
      <c r="AP1815">
        <v>1</v>
      </c>
      <c r="AQ1815">
        <v>0</v>
      </c>
      <c r="AR1815">
        <v>0</v>
      </c>
      <c r="AS1815">
        <v>0</v>
      </c>
      <c r="AT1815">
        <v>0</v>
      </c>
      <c r="AU1815">
        <f t="shared" si="54"/>
        <v>1</v>
      </c>
      <c r="AV1815">
        <f t="shared" si="55"/>
        <v>0</v>
      </c>
    </row>
    <row r="1816" spans="1:48" x14ac:dyDescent="0.25">
      <c r="A1816" t="s">
        <v>6978</v>
      </c>
      <c r="C1816" t="s">
        <v>6979</v>
      </c>
      <c r="D1816" t="s">
        <v>6980</v>
      </c>
      <c r="E1816" t="s">
        <v>2310</v>
      </c>
      <c r="F1816">
        <v>15</v>
      </c>
      <c r="G1816">
        <v>15.2</v>
      </c>
      <c r="H1816" t="s">
        <v>2323</v>
      </c>
      <c r="I1816" s="21">
        <v>38803</v>
      </c>
      <c r="J1816">
        <v>2006</v>
      </c>
      <c r="K1816" s="21">
        <v>38847</v>
      </c>
      <c r="L1816">
        <v>2006</v>
      </c>
      <c r="M1816" s="21">
        <v>39134</v>
      </c>
      <c r="N1816">
        <v>2007</v>
      </c>
      <c r="R1816" s="262">
        <v>700000</v>
      </c>
      <c r="S1816" t="s">
        <v>114</v>
      </c>
      <c r="T1816" t="s">
        <v>114</v>
      </c>
      <c r="U1816">
        <v>5</v>
      </c>
      <c r="W1816">
        <v>4997</v>
      </c>
      <c r="X1816">
        <v>1</v>
      </c>
      <c r="Y1816">
        <v>0</v>
      </c>
      <c r="Z1816">
        <v>0</v>
      </c>
      <c r="AA1816">
        <v>0</v>
      </c>
      <c r="AB1816">
        <v>0</v>
      </c>
      <c r="AC1816">
        <v>4997</v>
      </c>
      <c r="AD1816">
        <v>0</v>
      </c>
      <c r="AE1816">
        <v>0</v>
      </c>
      <c r="AF1816">
        <v>0</v>
      </c>
      <c r="AG1816">
        <v>0</v>
      </c>
      <c r="AH1816">
        <v>0</v>
      </c>
      <c r="AI1816">
        <v>0</v>
      </c>
      <c r="AJ1816">
        <v>0</v>
      </c>
      <c r="AK1816">
        <v>0</v>
      </c>
      <c r="AL1816">
        <v>0</v>
      </c>
      <c r="AM1816">
        <v>0</v>
      </c>
      <c r="AN1816">
        <v>0</v>
      </c>
      <c r="AO1816">
        <v>1</v>
      </c>
      <c r="AP1816">
        <v>0</v>
      </c>
      <c r="AQ1816">
        <v>0</v>
      </c>
      <c r="AR1816">
        <v>0</v>
      </c>
      <c r="AS1816">
        <v>0</v>
      </c>
      <c r="AT1816">
        <v>0</v>
      </c>
      <c r="AU1816">
        <f t="shared" si="54"/>
        <v>1</v>
      </c>
      <c r="AV1816">
        <f t="shared" si="55"/>
        <v>0</v>
      </c>
    </row>
    <row r="1817" spans="1:48" x14ac:dyDescent="0.25">
      <c r="A1817" t="s">
        <v>6981</v>
      </c>
      <c r="C1817" t="s">
        <v>6982</v>
      </c>
      <c r="D1817" t="s">
        <v>6980</v>
      </c>
      <c r="E1817" t="s">
        <v>2310</v>
      </c>
      <c r="F1817">
        <v>15</v>
      </c>
      <c r="G1817">
        <v>15.2</v>
      </c>
      <c r="H1817" t="s">
        <v>2323</v>
      </c>
      <c r="I1817" s="21">
        <v>38803</v>
      </c>
      <c r="J1817">
        <v>2006</v>
      </c>
      <c r="K1817" s="21">
        <v>38847</v>
      </c>
      <c r="L1817">
        <v>2006</v>
      </c>
      <c r="M1817" s="21">
        <v>38847</v>
      </c>
      <c r="N1817">
        <v>2006</v>
      </c>
      <c r="R1817" s="262">
        <v>50000</v>
      </c>
      <c r="S1817" t="s">
        <v>114</v>
      </c>
      <c r="T1817" t="s">
        <v>114</v>
      </c>
      <c r="U1817">
        <v>5</v>
      </c>
      <c r="W1817">
        <v>2896</v>
      </c>
      <c r="X1817">
        <v>0</v>
      </c>
      <c r="Y1817">
        <v>0</v>
      </c>
      <c r="Z1817">
        <v>0</v>
      </c>
      <c r="AA1817">
        <v>0</v>
      </c>
      <c r="AB1817">
        <v>0</v>
      </c>
      <c r="AC1817">
        <v>2896</v>
      </c>
      <c r="AD1817">
        <v>0</v>
      </c>
      <c r="AE1817">
        <v>0</v>
      </c>
      <c r="AF1817">
        <v>0</v>
      </c>
      <c r="AG1817">
        <v>0</v>
      </c>
      <c r="AH1817">
        <v>0</v>
      </c>
      <c r="AI1817">
        <v>0</v>
      </c>
      <c r="AJ1817">
        <v>0</v>
      </c>
      <c r="AK1817">
        <v>0</v>
      </c>
      <c r="AL1817">
        <v>0</v>
      </c>
      <c r="AM1817">
        <v>0</v>
      </c>
      <c r="AN1817">
        <v>0</v>
      </c>
      <c r="AO1817">
        <v>0</v>
      </c>
      <c r="AP1817">
        <v>0</v>
      </c>
      <c r="AQ1817">
        <v>0</v>
      </c>
      <c r="AR1817">
        <v>0</v>
      </c>
      <c r="AS1817">
        <v>0</v>
      </c>
      <c r="AT1817">
        <v>0</v>
      </c>
      <c r="AU1817">
        <f t="shared" ref="AU1817:AU1880" si="56">SUM(AN1817:AQ1817,AS1817)</f>
        <v>0</v>
      </c>
      <c r="AV1817">
        <f t="shared" ref="AV1817:AV1880" si="57">SUM(Y1817:AB1817,AH1817:AM1817)</f>
        <v>0</v>
      </c>
    </row>
    <row r="1818" spans="1:48" x14ac:dyDescent="0.25">
      <c r="A1818" t="s">
        <v>6983</v>
      </c>
      <c r="C1818" t="s">
        <v>6984</v>
      </c>
      <c r="D1818" t="s">
        <v>6985</v>
      </c>
      <c r="E1818" t="s">
        <v>2310</v>
      </c>
      <c r="F1818">
        <v>7</v>
      </c>
      <c r="G1818">
        <v>7.1</v>
      </c>
      <c r="H1818" t="s">
        <v>2017</v>
      </c>
      <c r="I1818" s="21">
        <v>38803</v>
      </c>
      <c r="J1818">
        <v>2006</v>
      </c>
      <c r="K1818" s="21">
        <v>38875</v>
      </c>
      <c r="L1818">
        <v>2006</v>
      </c>
      <c r="M1818" s="21">
        <v>39034</v>
      </c>
      <c r="N1818">
        <v>2006</v>
      </c>
      <c r="R1818" s="262">
        <v>25000</v>
      </c>
      <c r="S1818" t="s">
        <v>114</v>
      </c>
      <c r="T1818" t="s">
        <v>114</v>
      </c>
      <c r="U1818">
        <v>12</v>
      </c>
      <c r="W1818">
        <v>87</v>
      </c>
      <c r="X1818">
        <v>0</v>
      </c>
      <c r="Y1818">
        <v>0</v>
      </c>
      <c r="Z1818">
        <v>0</v>
      </c>
      <c r="AA1818">
        <v>0</v>
      </c>
      <c r="AB1818">
        <v>0</v>
      </c>
      <c r="AC1818">
        <v>0</v>
      </c>
      <c r="AD1818">
        <v>0</v>
      </c>
      <c r="AE1818">
        <v>0</v>
      </c>
      <c r="AF1818">
        <v>0</v>
      </c>
      <c r="AG1818">
        <v>0</v>
      </c>
      <c r="AH1818">
        <v>0</v>
      </c>
      <c r="AI1818">
        <v>0</v>
      </c>
      <c r="AJ1818">
        <v>87</v>
      </c>
      <c r="AK1818">
        <v>0</v>
      </c>
      <c r="AL1818">
        <v>0</v>
      </c>
      <c r="AM1818">
        <v>0</v>
      </c>
      <c r="AN1818">
        <v>0</v>
      </c>
      <c r="AO1818">
        <v>0</v>
      </c>
      <c r="AP1818">
        <v>0</v>
      </c>
      <c r="AQ1818">
        <v>0</v>
      </c>
      <c r="AR1818">
        <v>0</v>
      </c>
      <c r="AS1818">
        <v>0</v>
      </c>
      <c r="AT1818">
        <v>0</v>
      </c>
      <c r="AU1818">
        <f t="shared" si="56"/>
        <v>0</v>
      </c>
      <c r="AV1818">
        <f t="shared" si="57"/>
        <v>87</v>
      </c>
    </row>
    <row r="1819" spans="1:48" x14ac:dyDescent="0.25">
      <c r="A1819" t="s">
        <v>6934</v>
      </c>
      <c r="C1819" t="s">
        <v>6935</v>
      </c>
      <c r="D1819" t="s">
        <v>6936</v>
      </c>
      <c r="E1819" t="s">
        <v>1663</v>
      </c>
      <c r="F1819">
        <v>5</v>
      </c>
      <c r="G1819">
        <v>5.5</v>
      </c>
      <c r="H1819" t="s">
        <v>2017</v>
      </c>
      <c r="I1819" s="21">
        <v>38803</v>
      </c>
      <c r="J1819">
        <v>2006</v>
      </c>
      <c r="K1819" s="21">
        <v>38834</v>
      </c>
      <c r="L1819">
        <v>2006</v>
      </c>
      <c r="M1819" s="21">
        <v>38987</v>
      </c>
      <c r="N1819">
        <v>2006</v>
      </c>
      <c r="Q1819" s="262">
        <v>0</v>
      </c>
      <c r="S1819" t="s">
        <v>114</v>
      </c>
      <c r="T1819" t="s">
        <v>114</v>
      </c>
      <c r="W1819">
        <v>1558</v>
      </c>
      <c r="X1819">
        <v>1</v>
      </c>
      <c r="Y1819">
        <v>0</v>
      </c>
      <c r="Z1819">
        <v>0</v>
      </c>
      <c r="AA1819">
        <v>0</v>
      </c>
      <c r="AB1819">
        <v>0</v>
      </c>
      <c r="AC1819">
        <v>0</v>
      </c>
      <c r="AD1819">
        <v>1558</v>
      </c>
      <c r="AE1819">
        <v>0</v>
      </c>
      <c r="AF1819">
        <v>0</v>
      </c>
      <c r="AG1819">
        <v>0</v>
      </c>
      <c r="AH1819">
        <v>0</v>
      </c>
      <c r="AI1819">
        <v>0</v>
      </c>
      <c r="AJ1819">
        <v>0</v>
      </c>
      <c r="AK1819">
        <v>0</v>
      </c>
      <c r="AL1819">
        <v>0</v>
      </c>
      <c r="AM1819">
        <v>0</v>
      </c>
      <c r="AN1819">
        <v>0</v>
      </c>
      <c r="AO1819">
        <v>0</v>
      </c>
      <c r="AP1819">
        <v>1</v>
      </c>
      <c r="AQ1819">
        <v>0</v>
      </c>
      <c r="AR1819">
        <v>0</v>
      </c>
      <c r="AS1819">
        <v>0</v>
      </c>
      <c r="AT1819">
        <v>0</v>
      </c>
      <c r="AU1819">
        <f t="shared" si="56"/>
        <v>1</v>
      </c>
      <c r="AV1819">
        <f t="shared" si="57"/>
        <v>0</v>
      </c>
    </row>
    <row r="1820" spans="1:48" x14ac:dyDescent="0.25">
      <c r="A1820" t="s">
        <v>6937</v>
      </c>
      <c r="C1820" t="s">
        <v>6938</v>
      </c>
      <c r="D1820" t="s">
        <v>6939</v>
      </c>
      <c r="E1820" t="s">
        <v>1663</v>
      </c>
      <c r="F1820">
        <v>5</v>
      </c>
      <c r="G1820">
        <v>5.5</v>
      </c>
      <c r="H1820" t="s">
        <v>2017</v>
      </c>
      <c r="I1820" s="21">
        <v>38803</v>
      </c>
      <c r="J1820">
        <v>2006</v>
      </c>
      <c r="K1820" s="21">
        <v>38834</v>
      </c>
      <c r="L1820">
        <v>2006</v>
      </c>
      <c r="M1820" s="21">
        <v>38987</v>
      </c>
      <c r="N1820">
        <v>2006</v>
      </c>
      <c r="Q1820" s="262">
        <v>0</v>
      </c>
      <c r="S1820" t="s">
        <v>114</v>
      </c>
      <c r="T1820" t="s">
        <v>114</v>
      </c>
      <c r="W1820">
        <v>1270</v>
      </c>
      <c r="X1820">
        <v>1</v>
      </c>
      <c r="Y1820">
        <v>0</v>
      </c>
      <c r="Z1820">
        <v>0</v>
      </c>
      <c r="AA1820">
        <v>0</v>
      </c>
      <c r="AB1820">
        <v>0</v>
      </c>
      <c r="AC1820">
        <v>0</v>
      </c>
      <c r="AD1820">
        <v>1270</v>
      </c>
      <c r="AE1820">
        <v>0</v>
      </c>
      <c r="AF1820">
        <v>0</v>
      </c>
      <c r="AG1820">
        <v>0</v>
      </c>
      <c r="AH1820">
        <v>0</v>
      </c>
      <c r="AI1820">
        <v>0</v>
      </c>
      <c r="AJ1820">
        <v>0</v>
      </c>
      <c r="AK1820">
        <v>0</v>
      </c>
      <c r="AL1820">
        <v>0</v>
      </c>
      <c r="AM1820">
        <v>0</v>
      </c>
      <c r="AN1820">
        <v>0</v>
      </c>
      <c r="AO1820">
        <v>0</v>
      </c>
      <c r="AP1820">
        <v>1</v>
      </c>
      <c r="AQ1820">
        <v>0</v>
      </c>
      <c r="AR1820">
        <v>0</v>
      </c>
      <c r="AS1820">
        <v>0</v>
      </c>
      <c r="AT1820">
        <v>0</v>
      </c>
      <c r="AU1820">
        <f t="shared" si="56"/>
        <v>1</v>
      </c>
      <c r="AV1820">
        <f t="shared" si="57"/>
        <v>0</v>
      </c>
    </row>
    <row r="1821" spans="1:48" x14ac:dyDescent="0.25">
      <c r="A1821" t="s">
        <v>6940</v>
      </c>
      <c r="C1821" t="s">
        <v>6901</v>
      </c>
      <c r="D1821" t="s">
        <v>6941</v>
      </c>
      <c r="E1821" t="s">
        <v>1663</v>
      </c>
      <c r="F1821">
        <v>5</v>
      </c>
      <c r="G1821">
        <v>5.5</v>
      </c>
      <c r="H1821" t="s">
        <v>2017</v>
      </c>
      <c r="I1821" s="21">
        <v>38803</v>
      </c>
      <c r="J1821">
        <v>2006</v>
      </c>
      <c r="K1821" s="21">
        <v>38834</v>
      </c>
      <c r="L1821">
        <v>2006</v>
      </c>
      <c r="M1821" s="21">
        <v>38987</v>
      </c>
      <c r="N1821">
        <v>2006</v>
      </c>
      <c r="Q1821" s="262">
        <v>0</v>
      </c>
      <c r="S1821" t="s">
        <v>114</v>
      </c>
      <c r="T1821" t="s">
        <v>114</v>
      </c>
      <c r="W1821">
        <v>1558</v>
      </c>
      <c r="X1821">
        <v>1</v>
      </c>
      <c r="Y1821">
        <v>0</v>
      </c>
      <c r="Z1821">
        <v>0</v>
      </c>
      <c r="AA1821">
        <v>0</v>
      </c>
      <c r="AB1821">
        <v>0</v>
      </c>
      <c r="AC1821">
        <v>0</v>
      </c>
      <c r="AD1821">
        <v>1558</v>
      </c>
      <c r="AE1821">
        <v>0</v>
      </c>
      <c r="AF1821">
        <v>0</v>
      </c>
      <c r="AG1821">
        <v>0</v>
      </c>
      <c r="AH1821">
        <v>0</v>
      </c>
      <c r="AI1821">
        <v>0</v>
      </c>
      <c r="AJ1821">
        <v>0</v>
      </c>
      <c r="AK1821">
        <v>0</v>
      </c>
      <c r="AL1821">
        <v>0</v>
      </c>
      <c r="AM1821">
        <v>0</v>
      </c>
      <c r="AN1821">
        <v>0</v>
      </c>
      <c r="AO1821">
        <v>0</v>
      </c>
      <c r="AP1821">
        <v>1</v>
      </c>
      <c r="AQ1821">
        <v>0</v>
      </c>
      <c r="AR1821">
        <v>0</v>
      </c>
      <c r="AS1821">
        <v>0</v>
      </c>
      <c r="AT1821">
        <v>0</v>
      </c>
      <c r="AU1821">
        <f t="shared" si="56"/>
        <v>1</v>
      </c>
      <c r="AV1821">
        <f t="shared" si="57"/>
        <v>0</v>
      </c>
    </row>
    <row r="1822" spans="1:48" x14ac:dyDescent="0.25">
      <c r="A1822" t="s">
        <v>6942</v>
      </c>
      <c r="C1822" t="s">
        <v>6943</v>
      </c>
      <c r="D1822" t="s">
        <v>6944</v>
      </c>
      <c r="E1822" t="s">
        <v>1663</v>
      </c>
      <c r="F1822">
        <v>5</v>
      </c>
      <c r="G1822">
        <v>5.5</v>
      </c>
      <c r="H1822" t="s">
        <v>2017</v>
      </c>
      <c r="I1822" s="21">
        <v>38803</v>
      </c>
      <c r="J1822">
        <v>2006</v>
      </c>
      <c r="K1822" s="21">
        <v>38834</v>
      </c>
      <c r="L1822">
        <v>2006</v>
      </c>
      <c r="M1822" s="21">
        <v>38987</v>
      </c>
      <c r="N1822">
        <v>2006</v>
      </c>
      <c r="Q1822" s="262">
        <v>0</v>
      </c>
      <c r="S1822" t="s">
        <v>114</v>
      </c>
      <c r="T1822" t="s">
        <v>114</v>
      </c>
      <c r="W1822">
        <v>1558</v>
      </c>
      <c r="X1822">
        <v>1</v>
      </c>
      <c r="Y1822">
        <v>0</v>
      </c>
      <c r="Z1822">
        <v>0</v>
      </c>
      <c r="AA1822">
        <v>0</v>
      </c>
      <c r="AB1822">
        <v>0</v>
      </c>
      <c r="AC1822">
        <v>0</v>
      </c>
      <c r="AD1822">
        <v>1558</v>
      </c>
      <c r="AE1822">
        <v>0</v>
      </c>
      <c r="AF1822">
        <v>0</v>
      </c>
      <c r="AG1822">
        <v>0</v>
      </c>
      <c r="AH1822">
        <v>0</v>
      </c>
      <c r="AI1822">
        <v>0</v>
      </c>
      <c r="AJ1822">
        <v>0</v>
      </c>
      <c r="AK1822">
        <v>0</v>
      </c>
      <c r="AL1822">
        <v>0</v>
      </c>
      <c r="AM1822">
        <v>0</v>
      </c>
      <c r="AN1822">
        <v>0</v>
      </c>
      <c r="AO1822">
        <v>0</v>
      </c>
      <c r="AP1822">
        <v>1</v>
      </c>
      <c r="AQ1822">
        <v>0</v>
      </c>
      <c r="AR1822">
        <v>0</v>
      </c>
      <c r="AS1822">
        <v>0</v>
      </c>
      <c r="AT1822">
        <v>0</v>
      </c>
      <c r="AU1822">
        <f t="shared" si="56"/>
        <v>1</v>
      </c>
      <c r="AV1822">
        <f t="shared" si="57"/>
        <v>0</v>
      </c>
    </row>
    <row r="1823" spans="1:48" x14ac:dyDescent="0.25">
      <c r="A1823" t="s">
        <v>6945</v>
      </c>
      <c r="C1823" t="s">
        <v>6890</v>
      </c>
      <c r="D1823" t="s">
        <v>6946</v>
      </c>
      <c r="E1823" t="s">
        <v>1663</v>
      </c>
      <c r="F1823">
        <v>5</v>
      </c>
      <c r="G1823">
        <v>5.5</v>
      </c>
      <c r="H1823" t="s">
        <v>2017</v>
      </c>
      <c r="I1823" s="21">
        <v>38803</v>
      </c>
      <c r="J1823">
        <v>2006</v>
      </c>
      <c r="K1823" s="21">
        <v>38834</v>
      </c>
      <c r="L1823">
        <v>2006</v>
      </c>
      <c r="M1823" s="21">
        <v>38987</v>
      </c>
      <c r="N1823">
        <v>2006</v>
      </c>
      <c r="Q1823" s="262">
        <v>0</v>
      </c>
      <c r="S1823" t="s">
        <v>114</v>
      </c>
      <c r="T1823" t="s">
        <v>114</v>
      </c>
      <c r="W1823">
        <v>1270</v>
      </c>
      <c r="X1823">
        <v>1</v>
      </c>
      <c r="Y1823">
        <v>0</v>
      </c>
      <c r="Z1823">
        <v>0</v>
      </c>
      <c r="AA1823">
        <v>0</v>
      </c>
      <c r="AB1823">
        <v>0</v>
      </c>
      <c r="AC1823">
        <v>0</v>
      </c>
      <c r="AD1823">
        <v>1270</v>
      </c>
      <c r="AE1823">
        <v>0</v>
      </c>
      <c r="AF1823">
        <v>0</v>
      </c>
      <c r="AG1823">
        <v>0</v>
      </c>
      <c r="AH1823">
        <v>0</v>
      </c>
      <c r="AI1823">
        <v>0</v>
      </c>
      <c r="AJ1823">
        <v>0</v>
      </c>
      <c r="AK1823">
        <v>0</v>
      </c>
      <c r="AL1823">
        <v>0</v>
      </c>
      <c r="AM1823">
        <v>0</v>
      </c>
      <c r="AN1823">
        <v>0</v>
      </c>
      <c r="AO1823">
        <v>0</v>
      </c>
      <c r="AP1823">
        <v>1</v>
      </c>
      <c r="AQ1823">
        <v>0</v>
      </c>
      <c r="AR1823">
        <v>0</v>
      </c>
      <c r="AS1823">
        <v>0</v>
      </c>
      <c r="AT1823">
        <v>0</v>
      </c>
      <c r="AU1823">
        <f t="shared" si="56"/>
        <v>1</v>
      </c>
      <c r="AV1823">
        <f t="shared" si="57"/>
        <v>0</v>
      </c>
    </row>
    <row r="1824" spans="1:48" x14ac:dyDescent="0.25">
      <c r="A1824" t="s">
        <v>6947</v>
      </c>
      <c r="C1824" t="s">
        <v>6948</v>
      </c>
      <c r="D1824" t="s">
        <v>6949</v>
      </c>
      <c r="E1824" t="s">
        <v>1663</v>
      </c>
      <c r="F1824">
        <v>5</v>
      </c>
      <c r="G1824">
        <v>5.5</v>
      </c>
      <c r="H1824" t="s">
        <v>2017</v>
      </c>
      <c r="I1824" s="21">
        <v>38803</v>
      </c>
      <c r="J1824">
        <v>2006</v>
      </c>
      <c r="K1824" s="21">
        <v>38834</v>
      </c>
      <c r="L1824">
        <v>2006</v>
      </c>
      <c r="M1824" s="21">
        <v>38987</v>
      </c>
      <c r="N1824">
        <v>2006</v>
      </c>
      <c r="Q1824" s="262">
        <v>0</v>
      </c>
      <c r="S1824" t="s">
        <v>114</v>
      </c>
      <c r="T1824" t="s">
        <v>114</v>
      </c>
      <c r="W1824">
        <v>1558</v>
      </c>
      <c r="X1824">
        <v>1</v>
      </c>
      <c r="Y1824">
        <v>0</v>
      </c>
      <c r="Z1824">
        <v>0</v>
      </c>
      <c r="AA1824">
        <v>0</v>
      </c>
      <c r="AB1824">
        <v>0</v>
      </c>
      <c r="AC1824">
        <v>0</v>
      </c>
      <c r="AD1824">
        <v>1558</v>
      </c>
      <c r="AE1824">
        <v>0</v>
      </c>
      <c r="AF1824">
        <v>0</v>
      </c>
      <c r="AG1824">
        <v>0</v>
      </c>
      <c r="AH1824">
        <v>0</v>
      </c>
      <c r="AI1824">
        <v>0</v>
      </c>
      <c r="AJ1824">
        <v>0</v>
      </c>
      <c r="AK1824">
        <v>0</v>
      </c>
      <c r="AL1824">
        <v>0</v>
      </c>
      <c r="AM1824">
        <v>0</v>
      </c>
      <c r="AN1824">
        <v>0</v>
      </c>
      <c r="AO1824">
        <v>0</v>
      </c>
      <c r="AP1824">
        <v>1</v>
      </c>
      <c r="AQ1824">
        <v>0</v>
      </c>
      <c r="AR1824">
        <v>0</v>
      </c>
      <c r="AS1824">
        <v>0</v>
      </c>
      <c r="AT1824">
        <v>0</v>
      </c>
      <c r="AU1824">
        <f t="shared" si="56"/>
        <v>1</v>
      </c>
      <c r="AV1824">
        <f t="shared" si="57"/>
        <v>0</v>
      </c>
    </row>
    <row r="1825" spans="1:48" x14ac:dyDescent="0.25">
      <c r="A1825" t="s">
        <v>6950</v>
      </c>
      <c r="C1825" t="s">
        <v>6913</v>
      </c>
      <c r="D1825" t="s">
        <v>6951</v>
      </c>
      <c r="E1825" t="s">
        <v>1663</v>
      </c>
      <c r="F1825">
        <v>5</v>
      </c>
      <c r="G1825">
        <v>5.5</v>
      </c>
      <c r="H1825" t="s">
        <v>2017</v>
      </c>
      <c r="I1825" s="21">
        <v>38803</v>
      </c>
      <c r="J1825">
        <v>2006</v>
      </c>
      <c r="K1825" s="21">
        <v>38834</v>
      </c>
      <c r="L1825">
        <v>2006</v>
      </c>
      <c r="M1825" s="21">
        <v>38987</v>
      </c>
      <c r="N1825">
        <v>2006</v>
      </c>
      <c r="Q1825" s="262">
        <v>0</v>
      </c>
      <c r="S1825" t="s">
        <v>114</v>
      </c>
      <c r="T1825" t="s">
        <v>114</v>
      </c>
      <c r="W1825">
        <v>1558</v>
      </c>
      <c r="X1825">
        <v>1</v>
      </c>
      <c r="Y1825">
        <v>0</v>
      </c>
      <c r="Z1825">
        <v>0</v>
      </c>
      <c r="AA1825">
        <v>0</v>
      </c>
      <c r="AB1825">
        <v>0</v>
      </c>
      <c r="AC1825">
        <v>0</v>
      </c>
      <c r="AD1825">
        <v>1558</v>
      </c>
      <c r="AE1825">
        <v>0</v>
      </c>
      <c r="AF1825">
        <v>0</v>
      </c>
      <c r="AG1825">
        <v>0</v>
      </c>
      <c r="AH1825">
        <v>0</v>
      </c>
      <c r="AI1825">
        <v>0</v>
      </c>
      <c r="AJ1825">
        <v>0</v>
      </c>
      <c r="AK1825">
        <v>0</v>
      </c>
      <c r="AL1825">
        <v>0</v>
      </c>
      <c r="AM1825">
        <v>0</v>
      </c>
      <c r="AN1825">
        <v>0</v>
      </c>
      <c r="AO1825">
        <v>0</v>
      </c>
      <c r="AP1825">
        <v>1</v>
      </c>
      <c r="AQ1825">
        <v>0</v>
      </c>
      <c r="AR1825">
        <v>0</v>
      </c>
      <c r="AS1825">
        <v>0</v>
      </c>
      <c r="AT1825">
        <v>0</v>
      </c>
      <c r="AU1825">
        <f t="shared" si="56"/>
        <v>1</v>
      </c>
      <c r="AV1825">
        <f t="shared" si="57"/>
        <v>0</v>
      </c>
    </row>
    <row r="1826" spans="1:48" x14ac:dyDescent="0.25">
      <c r="A1826" t="s">
        <v>6952</v>
      </c>
      <c r="C1826" t="s">
        <v>6953</v>
      </c>
      <c r="D1826" t="s">
        <v>6954</v>
      </c>
      <c r="E1826" t="s">
        <v>1663</v>
      </c>
      <c r="F1826">
        <v>5</v>
      </c>
      <c r="G1826">
        <v>5.5</v>
      </c>
      <c r="H1826" t="s">
        <v>2017</v>
      </c>
      <c r="I1826" s="21">
        <v>38803</v>
      </c>
      <c r="J1826">
        <v>2006</v>
      </c>
      <c r="K1826" s="21">
        <v>38834</v>
      </c>
      <c r="L1826">
        <v>2006</v>
      </c>
      <c r="M1826" s="21">
        <v>38987</v>
      </c>
      <c r="N1826">
        <v>2006</v>
      </c>
      <c r="Q1826" s="262">
        <v>0</v>
      </c>
      <c r="S1826" t="s">
        <v>114</v>
      </c>
      <c r="T1826" t="s">
        <v>114</v>
      </c>
      <c r="W1826">
        <v>1558</v>
      </c>
      <c r="X1826">
        <v>1</v>
      </c>
      <c r="Y1826">
        <v>0</v>
      </c>
      <c r="Z1826">
        <v>0</v>
      </c>
      <c r="AA1826">
        <v>0</v>
      </c>
      <c r="AB1826">
        <v>0</v>
      </c>
      <c r="AC1826">
        <v>0</v>
      </c>
      <c r="AD1826">
        <v>1558</v>
      </c>
      <c r="AE1826">
        <v>0</v>
      </c>
      <c r="AF1826">
        <v>0</v>
      </c>
      <c r="AG1826">
        <v>0</v>
      </c>
      <c r="AH1826">
        <v>0</v>
      </c>
      <c r="AI1826">
        <v>0</v>
      </c>
      <c r="AJ1826">
        <v>0</v>
      </c>
      <c r="AK1826">
        <v>0</v>
      </c>
      <c r="AL1826">
        <v>0</v>
      </c>
      <c r="AM1826">
        <v>0</v>
      </c>
      <c r="AN1826">
        <v>0</v>
      </c>
      <c r="AO1826">
        <v>0</v>
      </c>
      <c r="AP1826">
        <v>1</v>
      </c>
      <c r="AQ1826">
        <v>0</v>
      </c>
      <c r="AR1826">
        <v>0</v>
      </c>
      <c r="AS1826">
        <v>0</v>
      </c>
      <c r="AT1826">
        <v>0</v>
      </c>
      <c r="AU1826">
        <f t="shared" si="56"/>
        <v>1</v>
      </c>
      <c r="AV1826">
        <f t="shared" si="57"/>
        <v>0</v>
      </c>
    </row>
    <row r="1827" spans="1:48" x14ac:dyDescent="0.25">
      <c r="A1827" t="s">
        <v>6955</v>
      </c>
      <c r="C1827" t="s">
        <v>6956</v>
      </c>
      <c r="D1827" t="s">
        <v>6957</v>
      </c>
      <c r="E1827" t="s">
        <v>1663</v>
      </c>
      <c r="F1827">
        <v>5</v>
      </c>
      <c r="G1827">
        <v>5.5</v>
      </c>
      <c r="H1827" t="s">
        <v>2017</v>
      </c>
      <c r="I1827" s="21">
        <v>38803</v>
      </c>
      <c r="J1827">
        <v>2006</v>
      </c>
      <c r="K1827" s="21">
        <v>38834</v>
      </c>
      <c r="L1827">
        <v>2006</v>
      </c>
      <c r="M1827" s="21">
        <v>38987</v>
      </c>
      <c r="N1827">
        <v>2006</v>
      </c>
      <c r="Q1827" s="262">
        <v>0</v>
      </c>
      <c r="S1827" t="s">
        <v>114</v>
      </c>
      <c r="T1827" t="s">
        <v>114</v>
      </c>
      <c r="W1827">
        <v>1496</v>
      </c>
      <c r="X1827">
        <v>1</v>
      </c>
      <c r="Y1827">
        <v>0</v>
      </c>
      <c r="Z1827">
        <v>0</v>
      </c>
      <c r="AA1827">
        <v>0</v>
      </c>
      <c r="AB1827">
        <v>0</v>
      </c>
      <c r="AC1827">
        <v>0</v>
      </c>
      <c r="AD1827">
        <v>1496</v>
      </c>
      <c r="AE1827">
        <v>0</v>
      </c>
      <c r="AF1827">
        <v>0</v>
      </c>
      <c r="AG1827">
        <v>0</v>
      </c>
      <c r="AH1827">
        <v>0</v>
      </c>
      <c r="AI1827">
        <v>0</v>
      </c>
      <c r="AJ1827">
        <v>0</v>
      </c>
      <c r="AK1827">
        <v>0</v>
      </c>
      <c r="AL1827">
        <v>0</v>
      </c>
      <c r="AM1827">
        <v>0</v>
      </c>
      <c r="AN1827">
        <v>0</v>
      </c>
      <c r="AO1827">
        <v>0</v>
      </c>
      <c r="AP1827">
        <v>1</v>
      </c>
      <c r="AQ1827">
        <v>0</v>
      </c>
      <c r="AR1827">
        <v>0</v>
      </c>
      <c r="AS1827">
        <v>0</v>
      </c>
      <c r="AT1827">
        <v>0</v>
      </c>
      <c r="AU1827">
        <f t="shared" si="56"/>
        <v>1</v>
      </c>
      <c r="AV1827">
        <f t="shared" si="57"/>
        <v>0</v>
      </c>
    </row>
    <row r="1828" spans="1:48" x14ac:dyDescent="0.25">
      <c r="A1828" t="s">
        <v>6958</v>
      </c>
      <c r="C1828" t="s">
        <v>6959</v>
      </c>
      <c r="D1828" t="s">
        <v>6960</v>
      </c>
      <c r="E1828" t="s">
        <v>1663</v>
      </c>
      <c r="F1828">
        <v>5</v>
      </c>
      <c r="G1828">
        <v>5.5</v>
      </c>
      <c r="H1828" t="s">
        <v>2017</v>
      </c>
      <c r="I1828" s="21">
        <v>38803</v>
      </c>
      <c r="J1828">
        <v>2006</v>
      </c>
      <c r="K1828" s="21">
        <v>38834</v>
      </c>
      <c r="L1828">
        <v>2006</v>
      </c>
      <c r="M1828" s="21">
        <v>38987</v>
      </c>
      <c r="N1828">
        <v>2006</v>
      </c>
      <c r="Q1828" s="262">
        <v>0</v>
      </c>
      <c r="S1828" t="s">
        <v>114</v>
      </c>
      <c r="T1828" t="s">
        <v>114</v>
      </c>
      <c r="W1828">
        <v>1496</v>
      </c>
      <c r="X1828">
        <v>1</v>
      </c>
      <c r="Y1828">
        <v>0</v>
      </c>
      <c r="Z1828">
        <v>0</v>
      </c>
      <c r="AA1828">
        <v>0</v>
      </c>
      <c r="AB1828">
        <v>0</v>
      </c>
      <c r="AC1828">
        <v>0</v>
      </c>
      <c r="AD1828">
        <v>1496</v>
      </c>
      <c r="AE1828">
        <v>0</v>
      </c>
      <c r="AF1828">
        <v>0</v>
      </c>
      <c r="AG1828">
        <v>0</v>
      </c>
      <c r="AH1828">
        <v>0</v>
      </c>
      <c r="AI1828">
        <v>0</v>
      </c>
      <c r="AJ1828">
        <v>0</v>
      </c>
      <c r="AK1828">
        <v>0</v>
      </c>
      <c r="AL1828">
        <v>0</v>
      </c>
      <c r="AM1828">
        <v>0</v>
      </c>
      <c r="AN1828">
        <v>0</v>
      </c>
      <c r="AO1828">
        <v>0</v>
      </c>
      <c r="AP1828">
        <v>1</v>
      </c>
      <c r="AQ1828">
        <v>0</v>
      </c>
      <c r="AR1828">
        <v>0</v>
      </c>
      <c r="AS1828">
        <v>0</v>
      </c>
      <c r="AT1828">
        <v>0</v>
      </c>
      <c r="AU1828">
        <f t="shared" si="56"/>
        <v>1</v>
      </c>
      <c r="AV1828">
        <f t="shared" si="57"/>
        <v>0</v>
      </c>
    </row>
    <row r="1829" spans="1:48" x14ac:dyDescent="0.25">
      <c r="A1829" t="s">
        <v>6961</v>
      </c>
      <c r="C1829" t="s">
        <v>6890</v>
      </c>
      <c r="D1829" t="s">
        <v>6962</v>
      </c>
      <c r="E1829" t="s">
        <v>1663</v>
      </c>
      <c r="F1829">
        <v>5</v>
      </c>
      <c r="G1829">
        <v>5.5</v>
      </c>
      <c r="H1829" t="s">
        <v>2017</v>
      </c>
      <c r="I1829" s="21">
        <v>38803</v>
      </c>
      <c r="J1829">
        <v>2006</v>
      </c>
      <c r="K1829" s="21">
        <v>38834</v>
      </c>
      <c r="L1829">
        <v>2006</v>
      </c>
      <c r="M1829" s="21">
        <v>38987</v>
      </c>
      <c r="N1829">
        <v>2006</v>
      </c>
      <c r="Q1829" s="262">
        <v>0</v>
      </c>
      <c r="S1829" t="s">
        <v>114</v>
      </c>
      <c r="T1829" t="s">
        <v>114</v>
      </c>
      <c r="W1829">
        <v>1558</v>
      </c>
      <c r="X1829">
        <v>1</v>
      </c>
      <c r="Y1829">
        <v>0</v>
      </c>
      <c r="Z1829">
        <v>0</v>
      </c>
      <c r="AA1829">
        <v>0</v>
      </c>
      <c r="AB1829">
        <v>0</v>
      </c>
      <c r="AC1829">
        <v>0</v>
      </c>
      <c r="AD1829">
        <v>1558</v>
      </c>
      <c r="AE1829">
        <v>0</v>
      </c>
      <c r="AF1829">
        <v>0</v>
      </c>
      <c r="AG1829">
        <v>0</v>
      </c>
      <c r="AH1829">
        <v>0</v>
      </c>
      <c r="AI1829">
        <v>0</v>
      </c>
      <c r="AJ1829">
        <v>0</v>
      </c>
      <c r="AK1829">
        <v>0</v>
      </c>
      <c r="AL1829">
        <v>0</v>
      </c>
      <c r="AM1829">
        <v>0</v>
      </c>
      <c r="AN1829">
        <v>0</v>
      </c>
      <c r="AO1829">
        <v>0</v>
      </c>
      <c r="AP1829">
        <v>1</v>
      </c>
      <c r="AQ1829">
        <v>0</v>
      </c>
      <c r="AR1829">
        <v>0</v>
      </c>
      <c r="AS1829">
        <v>0</v>
      </c>
      <c r="AT1829">
        <v>0</v>
      </c>
      <c r="AU1829">
        <f t="shared" si="56"/>
        <v>1</v>
      </c>
      <c r="AV1829">
        <f t="shared" si="57"/>
        <v>0</v>
      </c>
    </row>
    <row r="1830" spans="1:48" x14ac:dyDescent="0.25">
      <c r="A1830" t="s">
        <v>6963</v>
      </c>
      <c r="C1830" t="s">
        <v>6964</v>
      </c>
      <c r="D1830" t="s">
        <v>6965</v>
      </c>
      <c r="E1830" t="s">
        <v>1663</v>
      </c>
      <c r="F1830">
        <v>5</v>
      </c>
      <c r="G1830">
        <v>5.5</v>
      </c>
      <c r="H1830" t="s">
        <v>2017</v>
      </c>
      <c r="I1830" s="21">
        <v>38803</v>
      </c>
      <c r="J1830">
        <v>2006</v>
      </c>
      <c r="K1830" s="21">
        <v>38834</v>
      </c>
      <c r="L1830">
        <v>2006</v>
      </c>
      <c r="M1830" s="21">
        <v>38987</v>
      </c>
      <c r="N1830">
        <v>2006</v>
      </c>
      <c r="Q1830" s="262">
        <v>0</v>
      </c>
      <c r="S1830" t="s">
        <v>114</v>
      </c>
      <c r="T1830" t="s">
        <v>114</v>
      </c>
      <c r="W1830">
        <v>1558</v>
      </c>
      <c r="X1830">
        <v>1</v>
      </c>
      <c r="Y1830">
        <v>0</v>
      </c>
      <c r="Z1830">
        <v>0</v>
      </c>
      <c r="AA1830">
        <v>0</v>
      </c>
      <c r="AB1830">
        <v>0</v>
      </c>
      <c r="AC1830">
        <v>0</v>
      </c>
      <c r="AD1830">
        <v>1558</v>
      </c>
      <c r="AE1830">
        <v>0</v>
      </c>
      <c r="AF1830">
        <v>0</v>
      </c>
      <c r="AG1830">
        <v>0</v>
      </c>
      <c r="AH1830">
        <v>0</v>
      </c>
      <c r="AI1830">
        <v>0</v>
      </c>
      <c r="AJ1830">
        <v>0</v>
      </c>
      <c r="AK1830">
        <v>0</v>
      </c>
      <c r="AL1830">
        <v>0</v>
      </c>
      <c r="AM1830">
        <v>0</v>
      </c>
      <c r="AN1830">
        <v>0</v>
      </c>
      <c r="AO1830">
        <v>0</v>
      </c>
      <c r="AP1830">
        <v>1</v>
      </c>
      <c r="AQ1830">
        <v>0</v>
      </c>
      <c r="AR1830">
        <v>0</v>
      </c>
      <c r="AS1830">
        <v>0</v>
      </c>
      <c r="AT1830">
        <v>0</v>
      </c>
      <c r="AU1830">
        <f t="shared" si="56"/>
        <v>1</v>
      </c>
      <c r="AV1830">
        <f t="shared" si="57"/>
        <v>0</v>
      </c>
    </row>
    <row r="1831" spans="1:48" x14ac:dyDescent="0.25">
      <c r="A1831" t="s">
        <v>6966</v>
      </c>
      <c r="C1831" t="s">
        <v>6967</v>
      </c>
      <c r="D1831" t="s">
        <v>6968</v>
      </c>
      <c r="E1831" t="s">
        <v>1663</v>
      </c>
      <c r="F1831">
        <v>5</v>
      </c>
      <c r="G1831">
        <v>5.5</v>
      </c>
      <c r="H1831" t="s">
        <v>2017</v>
      </c>
      <c r="I1831" s="21">
        <v>38803</v>
      </c>
      <c r="J1831">
        <v>2006</v>
      </c>
      <c r="K1831" s="21">
        <v>38834</v>
      </c>
      <c r="L1831">
        <v>2006</v>
      </c>
      <c r="M1831" s="21">
        <v>38987</v>
      </c>
      <c r="N1831">
        <v>2006</v>
      </c>
      <c r="Q1831" s="262">
        <v>0</v>
      </c>
      <c r="S1831" t="s">
        <v>114</v>
      </c>
      <c r="T1831" t="s">
        <v>114</v>
      </c>
      <c r="W1831">
        <v>1504</v>
      </c>
      <c r="X1831">
        <v>1</v>
      </c>
      <c r="Y1831">
        <v>0</v>
      </c>
      <c r="Z1831">
        <v>0</v>
      </c>
      <c r="AA1831">
        <v>0</v>
      </c>
      <c r="AB1831">
        <v>0</v>
      </c>
      <c r="AC1831">
        <v>0</v>
      </c>
      <c r="AD1831">
        <v>1504</v>
      </c>
      <c r="AE1831">
        <v>0</v>
      </c>
      <c r="AF1831">
        <v>0</v>
      </c>
      <c r="AG1831">
        <v>0</v>
      </c>
      <c r="AH1831">
        <v>0</v>
      </c>
      <c r="AI1831">
        <v>0</v>
      </c>
      <c r="AJ1831">
        <v>0</v>
      </c>
      <c r="AK1831">
        <v>0</v>
      </c>
      <c r="AL1831">
        <v>0</v>
      </c>
      <c r="AM1831">
        <v>0</v>
      </c>
      <c r="AN1831">
        <v>0</v>
      </c>
      <c r="AO1831">
        <v>0</v>
      </c>
      <c r="AP1831">
        <v>1</v>
      </c>
      <c r="AQ1831">
        <v>0</v>
      </c>
      <c r="AR1831">
        <v>0</v>
      </c>
      <c r="AS1831">
        <v>0</v>
      </c>
      <c r="AT1831">
        <v>0</v>
      </c>
      <c r="AU1831">
        <f t="shared" si="56"/>
        <v>1</v>
      </c>
      <c r="AV1831">
        <f t="shared" si="57"/>
        <v>0</v>
      </c>
    </row>
    <row r="1832" spans="1:48" x14ac:dyDescent="0.25">
      <c r="A1832" t="s">
        <v>6969</v>
      </c>
      <c r="C1832" t="s">
        <v>6970</v>
      </c>
      <c r="D1832" t="s">
        <v>6971</v>
      </c>
      <c r="E1832" t="s">
        <v>1663</v>
      </c>
      <c r="F1832">
        <v>5</v>
      </c>
      <c r="G1832">
        <v>5.5</v>
      </c>
      <c r="H1832" t="s">
        <v>2017</v>
      </c>
      <c r="I1832" s="21">
        <v>38803</v>
      </c>
      <c r="J1832">
        <v>2006</v>
      </c>
      <c r="K1832" s="21">
        <v>38834</v>
      </c>
      <c r="L1832">
        <v>2006</v>
      </c>
      <c r="M1832" s="21">
        <v>38987</v>
      </c>
      <c r="N1832">
        <v>2006</v>
      </c>
      <c r="Q1832" s="262">
        <v>0</v>
      </c>
      <c r="S1832" t="s">
        <v>114</v>
      </c>
      <c r="T1832" t="s">
        <v>114</v>
      </c>
      <c r="W1832">
        <v>1558</v>
      </c>
      <c r="X1832">
        <v>1</v>
      </c>
      <c r="Y1832">
        <v>0</v>
      </c>
      <c r="Z1832">
        <v>0</v>
      </c>
      <c r="AA1832">
        <v>0</v>
      </c>
      <c r="AB1832">
        <v>0</v>
      </c>
      <c r="AC1832">
        <v>0</v>
      </c>
      <c r="AD1832">
        <v>1558</v>
      </c>
      <c r="AE1832">
        <v>0</v>
      </c>
      <c r="AF1832">
        <v>0</v>
      </c>
      <c r="AG1832">
        <v>0</v>
      </c>
      <c r="AH1832">
        <v>0</v>
      </c>
      <c r="AI1832">
        <v>0</v>
      </c>
      <c r="AJ1832">
        <v>0</v>
      </c>
      <c r="AK1832">
        <v>0</v>
      </c>
      <c r="AL1832">
        <v>0</v>
      </c>
      <c r="AM1832">
        <v>0</v>
      </c>
      <c r="AN1832">
        <v>0</v>
      </c>
      <c r="AO1832">
        <v>0</v>
      </c>
      <c r="AP1832">
        <v>1</v>
      </c>
      <c r="AQ1832">
        <v>0</v>
      </c>
      <c r="AR1832">
        <v>0</v>
      </c>
      <c r="AS1832">
        <v>0</v>
      </c>
      <c r="AT1832">
        <v>0</v>
      </c>
      <c r="AU1832">
        <f t="shared" si="56"/>
        <v>1</v>
      </c>
      <c r="AV1832">
        <f t="shared" si="57"/>
        <v>0</v>
      </c>
    </row>
    <row r="1833" spans="1:48" x14ac:dyDescent="0.25">
      <c r="A1833" t="s">
        <v>6972</v>
      </c>
      <c r="C1833" t="s">
        <v>6973</v>
      </c>
      <c r="D1833" t="s">
        <v>6974</v>
      </c>
      <c r="E1833" t="s">
        <v>1663</v>
      </c>
      <c r="F1833">
        <v>5</v>
      </c>
      <c r="G1833">
        <v>5.5</v>
      </c>
      <c r="H1833" t="s">
        <v>2017</v>
      </c>
      <c r="I1833" s="21">
        <v>38803</v>
      </c>
      <c r="J1833">
        <v>2006</v>
      </c>
      <c r="K1833" s="21">
        <v>38834</v>
      </c>
      <c r="L1833">
        <v>2006</v>
      </c>
      <c r="M1833" s="21">
        <v>38987</v>
      </c>
      <c r="N1833">
        <v>2006</v>
      </c>
      <c r="Q1833" s="262">
        <v>0</v>
      </c>
      <c r="S1833" t="s">
        <v>114</v>
      </c>
      <c r="T1833" t="s">
        <v>114</v>
      </c>
      <c r="W1833">
        <v>1504</v>
      </c>
      <c r="X1833">
        <v>1</v>
      </c>
      <c r="Y1833">
        <v>0</v>
      </c>
      <c r="Z1833">
        <v>0</v>
      </c>
      <c r="AA1833">
        <v>0</v>
      </c>
      <c r="AB1833">
        <v>0</v>
      </c>
      <c r="AC1833">
        <v>0</v>
      </c>
      <c r="AD1833">
        <v>1504</v>
      </c>
      <c r="AE1833">
        <v>0</v>
      </c>
      <c r="AF1833">
        <v>0</v>
      </c>
      <c r="AG1833">
        <v>0</v>
      </c>
      <c r="AH1833">
        <v>0</v>
      </c>
      <c r="AI1833">
        <v>0</v>
      </c>
      <c r="AJ1833">
        <v>0</v>
      </c>
      <c r="AK1833">
        <v>0</v>
      </c>
      <c r="AL1833">
        <v>0</v>
      </c>
      <c r="AM1833">
        <v>0</v>
      </c>
      <c r="AN1833">
        <v>0</v>
      </c>
      <c r="AO1833">
        <v>0</v>
      </c>
      <c r="AP1833">
        <v>1</v>
      </c>
      <c r="AQ1833">
        <v>0</v>
      </c>
      <c r="AR1833">
        <v>0</v>
      </c>
      <c r="AS1833">
        <v>0</v>
      </c>
      <c r="AT1833">
        <v>0</v>
      </c>
      <c r="AU1833">
        <f t="shared" si="56"/>
        <v>1</v>
      </c>
      <c r="AV1833">
        <f t="shared" si="57"/>
        <v>0</v>
      </c>
    </row>
    <row r="1834" spans="1:48" x14ac:dyDescent="0.25">
      <c r="A1834" t="s">
        <v>6975</v>
      </c>
      <c r="C1834" t="s">
        <v>6976</v>
      </c>
      <c r="D1834" t="s">
        <v>6977</v>
      </c>
      <c r="E1834" t="s">
        <v>1663</v>
      </c>
      <c r="F1834">
        <v>5</v>
      </c>
      <c r="G1834">
        <v>5.5</v>
      </c>
      <c r="H1834" t="s">
        <v>2017</v>
      </c>
      <c r="I1834" s="21">
        <v>38803</v>
      </c>
      <c r="J1834">
        <v>2006</v>
      </c>
      <c r="K1834" s="21">
        <v>38834</v>
      </c>
      <c r="L1834">
        <v>2006</v>
      </c>
      <c r="M1834" s="21">
        <v>38987</v>
      </c>
      <c r="N1834">
        <v>2006</v>
      </c>
      <c r="Q1834" s="262">
        <v>0</v>
      </c>
      <c r="S1834" t="s">
        <v>114</v>
      </c>
      <c r="T1834" t="s">
        <v>114</v>
      </c>
      <c r="W1834">
        <v>1504</v>
      </c>
      <c r="X1834">
        <v>1</v>
      </c>
      <c r="Y1834">
        <v>0</v>
      </c>
      <c r="Z1834">
        <v>0</v>
      </c>
      <c r="AA1834">
        <v>0</v>
      </c>
      <c r="AB1834">
        <v>0</v>
      </c>
      <c r="AC1834">
        <v>0</v>
      </c>
      <c r="AD1834">
        <v>1504</v>
      </c>
      <c r="AE1834">
        <v>0</v>
      </c>
      <c r="AF1834">
        <v>0</v>
      </c>
      <c r="AG1834">
        <v>0</v>
      </c>
      <c r="AH1834">
        <v>0</v>
      </c>
      <c r="AI1834">
        <v>0</v>
      </c>
      <c r="AJ1834">
        <v>0</v>
      </c>
      <c r="AK1834">
        <v>0</v>
      </c>
      <c r="AL1834">
        <v>0</v>
      </c>
      <c r="AM1834">
        <v>0</v>
      </c>
      <c r="AN1834">
        <v>0</v>
      </c>
      <c r="AO1834">
        <v>0</v>
      </c>
      <c r="AP1834">
        <v>1</v>
      </c>
      <c r="AQ1834">
        <v>0</v>
      </c>
      <c r="AR1834">
        <v>0</v>
      </c>
      <c r="AS1834">
        <v>0</v>
      </c>
      <c r="AT1834">
        <v>0</v>
      </c>
      <c r="AU1834">
        <f t="shared" si="56"/>
        <v>1</v>
      </c>
      <c r="AV1834">
        <f t="shared" si="57"/>
        <v>0</v>
      </c>
    </row>
    <row r="1835" spans="1:48" x14ac:dyDescent="0.25">
      <c r="A1835" t="s">
        <v>6986</v>
      </c>
      <c r="C1835" t="s">
        <v>6987</v>
      </c>
      <c r="D1835" t="s">
        <v>6367</v>
      </c>
      <c r="E1835" t="s">
        <v>2310</v>
      </c>
      <c r="F1835">
        <v>9</v>
      </c>
      <c r="G1835">
        <v>9.3000000000000007</v>
      </c>
      <c r="H1835" t="s">
        <v>2323</v>
      </c>
      <c r="I1835" s="21">
        <v>38804</v>
      </c>
      <c r="J1835">
        <v>2006</v>
      </c>
      <c r="K1835" s="21">
        <v>38855</v>
      </c>
      <c r="L1835">
        <v>2006</v>
      </c>
      <c r="M1835" s="21">
        <v>38855</v>
      </c>
      <c r="N1835">
        <v>2006</v>
      </c>
      <c r="R1835" s="262">
        <v>0</v>
      </c>
      <c r="S1835" t="s">
        <v>114</v>
      </c>
      <c r="T1835" t="s">
        <v>114</v>
      </c>
      <c r="U1835">
        <v>5</v>
      </c>
      <c r="W1835">
        <v>0</v>
      </c>
      <c r="X1835">
        <v>0</v>
      </c>
      <c r="Y1835">
        <v>0</v>
      </c>
      <c r="Z1835">
        <v>0</v>
      </c>
      <c r="AA1835">
        <v>0</v>
      </c>
      <c r="AB1835">
        <v>0</v>
      </c>
      <c r="AC1835">
        <v>0</v>
      </c>
      <c r="AD1835">
        <v>0</v>
      </c>
      <c r="AE1835">
        <v>0</v>
      </c>
      <c r="AF1835">
        <v>0</v>
      </c>
      <c r="AG1835">
        <v>0</v>
      </c>
      <c r="AH1835">
        <v>0</v>
      </c>
      <c r="AI1835">
        <v>0</v>
      </c>
      <c r="AJ1835">
        <v>0</v>
      </c>
      <c r="AK1835">
        <v>0</v>
      </c>
      <c r="AL1835">
        <v>0</v>
      </c>
      <c r="AM1835">
        <v>0</v>
      </c>
      <c r="AN1835">
        <v>0</v>
      </c>
      <c r="AO1835">
        <v>0</v>
      </c>
      <c r="AP1835">
        <v>0</v>
      </c>
      <c r="AQ1835">
        <v>0</v>
      </c>
      <c r="AR1835">
        <v>0</v>
      </c>
      <c r="AS1835">
        <v>0</v>
      </c>
      <c r="AT1835">
        <v>0</v>
      </c>
      <c r="AU1835">
        <f t="shared" si="56"/>
        <v>0</v>
      </c>
      <c r="AV1835">
        <f t="shared" si="57"/>
        <v>0</v>
      </c>
    </row>
    <row r="1836" spans="1:48" x14ac:dyDescent="0.25">
      <c r="A1836" t="s">
        <v>6988</v>
      </c>
      <c r="C1836" t="s">
        <v>6989</v>
      </c>
      <c r="D1836" t="s">
        <v>3133</v>
      </c>
      <c r="E1836" t="s">
        <v>2310</v>
      </c>
      <c r="F1836">
        <v>7</v>
      </c>
      <c r="G1836">
        <v>7.1</v>
      </c>
      <c r="H1836" t="s">
        <v>2017</v>
      </c>
      <c r="I1836" s="21">
        <v>38804</v>
      </c>
      <c r="J1836">
        <v>2006</v>
      </c>
      <c r="K1836" s="21">
        <v>38832</v>
      </c>
      <c r="L1836">
        <v>2006</v>
      </c>
      <c r="M1836" s="21">
        <v>39111</v>
      </c>
      <c r="N1836">
        <v>2007</v>
      </c>
      <c r="R1836" s="262">
        <v>1143764</v>
      </c>
      <c r="S1836" t="s">
        <v>114</v>
      </c>
      <c r="T1836" t="s">
        <v>114</v>
      </c>
      <c r="U1836">
        <v>13</v>
      </c>
      <c r="W1836">
        <v>11870</v>
      </c>
      <c r="X1836">
        <v>0</v>
      </c>
      <c r="Y1836">
        <v>0</v>
      </c>
      <c r="Z1836">
        <v>0</v>
      </c>
      <c r="AA1836">
        <v>0</v>
      </c>
      <c r="AB1836">
        <v>0</v>
      </c>
      <c r="AC1836">
        <v>0</v>
      </c>
      <c r="AD1836">
        <v>0</v>
      </c>
      <c r="AE1836">
        <v>0</v>
      </c>
      <c r="AF1836">
        <v>0</v>
      </c>
      <c r="AG1836">
        <v>0</v>
      </c>
      <c r="AH1836">
        <v>0</v>
      </c>
      <c r="AI1836">
        <v>0</v>
      </c>
      <c r="AJ1836">
        <v>0</v>
      </c>
      <c r="AK1836">
        <v>11870</v>
      </c>
      <c r="AL1836">
        <v>0</v>
      </c>
      <c r="AM1836">
        <v>0</v>
      </c>
      <c r="AN1836">
        <v>0</v>
      </c>
      <c r="AO1836">
        <v>0</v>
      </c>
      <c r="AP1836">
        <v>0</v>
      </c>
      <c r="AQ1836">
        <v>0</v>
      </c>
      <c r="AR1836">
        <v>0</v>
      </c>
      <c r="AS1836">
        <v>0</v>
      </c>
      <c r="AT1836">
        <v>0</v>
      </c>
      <c r="AU1836">
        <f t="shared" si="56"/>
        <v>0</v>
      </c>
      <c r="AV1836">
        <f t="shared" si="57"/>
        <v>11870</v>
      </c>
    </row>
    <row r="1837" spans="1:48" x14ac:dyDescent="0.25">
      <c r="A1837" t="s">
        <v>6990</v>
      </c>
      <c r="C1837" t="s">
        <v>6991</v>
      </c>
      <c r="D1837" t="s">
        <v>6992</v>
      </c>
      <c r="E1837" t="s">
        <v>2310</v>
      </c>
      <c r="F1837">
        <v>14</v>
      </c>
      <c r="G1837">
        <v>14.2</v>
      </c>
      <c r="H1837" t="s">
        <v>2017</v>
      </c>
      <c r="I1837" s="21">
        <v>38805</v>
      </c>
      <c r="J1837">
        <v>2006</v>
      </c>
      <c r="K1837" s="21">
        <v>38852</v>
      </c>
      <c r="L1837">
        <v>2006</v>
      </c>
      <c r="M1837" s="21">
        <v>39275</v>
      </c>
      <c r="N1837">
        <v>2007</v>
      </c>
      <c r="R1837" s="262">
        <v>20000</v>
      </c>
      <c r="S1837" t="s">
        <v>114</v>
      </c>
      <c r="T1837" t="s">
        <v>114</v>
      </c>
      <c r="U1837">
        <v>8</v>
      </c>
      <c r="W1837">
        <v>0</v>
      </c>
      <c r="X1837">
        <v>1</v>
      </c>
      <c r="Y1837">
        <v>0</v>
      </c>
      <c r="Z1837">
        <v>0</v>
      </c>
      <c r="AA1837">
        <v>0</v>
      </c>
      <c r="AB1837">
        <v>0</v>
      </c>
      <c r="AC1837">
        <v>-990</v>
      </c>
      <c r="AD1837">
        <v>0</v>
      </c>
      <c r="AE1837">
        <v>0</v>
      </c>
      <c r="AF1837">
        <v>990</v>
      </c>
      <c r="AG1837">
        <v>0</v>
      </c>
      <c r="AH1837">
        <v>0</v>
      </c>
      <c r="AI1837">
        <v>0</v>
      </c>
      <c r="AJ1837">
        <v>0</v>
      </c>
      <c r="AK1837">
        <v>0</v>
      </c>
      <c r="AL1837">
        <v>0</v>
      </c>
      <c r="AM1837">
        <v>0</v>
      </c>
      <c r="AN1837">
        <v>0</v>
      </c>
      <c r="AO1837">
        <v>0</v>
      </c>
      <c r="AP1837">
        <v>0</v>
      </c>
      <c r="AQ1837">
        <v>0</v>
      </c>
      <c r="AR1837">
        <v>1</v>
      </c>
      <c r="AS1837">
        <v>0</v>
      </c>
      <c r="AT1837">
        <v>0</v>
      </c>
      <c r="AU1837">
        <f t="shared" si="56"/>
        <v>0</v>
      </c>
      <c r="AV1837">
        <f t="shared" si="57"/>
        <v>0</v>
      </c>
    </row>
    <row r="1838" spans="1:48" x14ac:dyDescent="0.25">
      <c r="A1838" t="s">
        <v>6993</v>
      </c>
      <c r="C1838" t="s">
        <v>5737</v>
      </c>
      <c r="D1838" t="s">
        <v>6994</v>
      </c>
      <c r="E1838" t="s">
        <v>2310</v>
      </c>
      <c r="F1838">
        <v>9</v>
      </c>
      <c r="G1838">
        <v>9.3000000000000007</v>
      </c>
      <c r="H1838" t="s">
        <v>2323</v>
      </c>
      <c r="I1838" s="21">
        <v>38805</v>
      </c>
      <c r="J1838">
        <v>2006</v>
      </c>
      <c r="K1838" s="21">
        <v>38856</v>
      </c>
      <c r="L1838">
        <v>2006</v>
      </c>
      <c r="M1838" s="21">
        <v>39423</v>
      </c>
      <c r="N1838">
        <v>2007</v>
      </c>
      <c r="R1838" s="262">
        <v>1450000</v>
      </c>
      <c r="S1838" t="s">
        <v>114</v>
      </c>
      <c r="T1838" t="s">
        <v>114</v>
      </c>
      <c r="U1838">
        <v>5</v>
      </c>
      <c r="W1838">
        <v>5708</v>
      </c>
      <c r="X1838">
        <v>1</v>
      </c>
      <c r="Y1838">
        <v>0</v>
      </c>
      <c r="Z1838">
        <v>0</v>
      </c>
      <c r="AA1838">
        <v>0</v>
      </c>
      <c r="AB1838">
        <v>0</v>
      </c>
      <c r="AC1838">
        <v>5708</v>
      </c>
      <c r="AD1838">
        <v>0</v>
      </c>
      <c r="AE1838">
        <v>0</v>
      </c>
      <c r="AF1838">
        <v>0</v>
      </c>
      <c r="AG1838">
        <v>0</v>
      </c>
      <c r="AH1838">
        <v>0</v>
      </c>
      <c r="AI1838">
        <v>0</v>
      </c>
      <c r="AJ1838">
        <v>0</v>
      </c>
      <c r="AK1838">
        <v>0</v>
      </c>
      <c r="AL1838">
        <v>0</v>
      </c>
      <c r="AM1838">
        <v>0</v>
      </c>
      <c r="AN1838">
        <v>0</v>
      </c>
      <c r="AO1838">
        <v>1</v>
      </c>
      <c r="AP1838">
        <v>0</v>
      </c>
      <c r="AQ1838">
        <v>0</v>
      </c>
      <c r="AR1838">
        <v>0</v>
      </c>
      <c r="AS1838">
        <v>0</v>
      </c>
      <c r="AT1838">
        <v>0</v>
      </c>
      <c r="AU1838">
        <f t="shared" si="56"/>
        <v>1</v>
      </c>
      <c r="AV1838">
        <f t="shared" si="57"/>
        <v>0</v>
      </c>
    </row>
    <row r="1839" spans="1:48" x14ac:dyDescent="0.25">
      <c r="A1839" t="s">
        <v>6995</v>
      </c>
      <c r="C1839" t="s">
        <v>6996</v>
      </c>
      <c r="D1839" t="s">
        <v>6997</v>
      </c>
      <c r="E1839" t="s">
        <v>2310</v>
      </c>
      <c r="F1839">
        <v>15</v>
      </c>
      <c r="G1839">
        <v>15.3</v>
      </c>
      <c r="H1839" t="s">
        <v>2022</v>
      </c>
      <c r="I1839" s="21">
        <v>38805</v>
      </c>
      <c r="J1839">
        <v>2006</v>
      </c>
      <c r="K1839" s="21">
        <v>38847</v>
      </c>
      <c r="L1839">
        <v>2006</v>
      </c>
      <c r="M1839" s="21">
        <v>39748</v>
      </c>
      <c r="N1839">
        <v>2008</v>
      </c>
      <c r="R1839" s="262">
        <v>300000</v>
      </c>
      <c r="S1839" t="s">
        <v>114</v>
      </c>
      <c r="T1839" t="s">
        <v>114</v>
      </c>
      <c r="U1839">
        <v>5</v>
      </c>
      <c r="W1839">
        <v>2913</v>
      </c>
      <c r="X1839">
        <v>1</v>
      </c>
      <c r="Y1839">
        <v>0</v>
      </c>
      <c r="Z1839">
        <v>0</v>
      </c>
      <c r="AA1839">
        <v>0</v>
      </c>
      <c r="AB1839">
        <v>0</v>
      </c>
      <c r="AC1839">
        <v>2913</v>
      </c>
      <c r="AD1839">
        <v>0</v>
      </c>
      <c r="AE1839">
        <v>0</v>
      </c>
      <c r="AF1839">
        <v>0</v>
      </c>
      <c r="AG1839">
        <v>0</v>
      </c>
      <c r="AH1839">
        <v>0</v>
      </c>
      <c r="AI1839">
        <v>0</v>
      </c>
      <c r="AJ1839">
        <v>0</v>
      </c>
      <c r="AK1839">
        <v>0</v>
      </c>
      <c r="AL1839">
        <v>0</v>
      </c>
      <c r="AM1839">
        <v>0</v>
      </c>
      <c r="AN1839">
        <v>0</v>
      </c>
      <c r="AO1839">
        <v>1</v>
      </c>
      <c r="AP1839">
        <v>0</v>
      </c>
      <c r="AQ1839">
        <v>0</v>
      </c>
      <c r="AR1839">
        <v>0</v>
      </c>
      <c r="AS1839">
        <v>0</v>
      </c>
      <c r="AT1839">
        <v>0</v>
      </c>
      <c r="AU1839">
        <f t="shared" si="56"/>
        <v>1</v>
      </c>
      <c r="AV1839">
        <f t="shared" si="57"/>
        <v>0</v>
      </c>
    </row>
    <row r="1840" spans="1:48" x14ac:dyDescent="0.25">
      <c r="A1840" t="s">
        <v>6998</v>
      </c>
      <c r="C1840" t="s">
        <v>6999</v>
      </c>
      <c r="D1840" t="s">
        <v>7000</v>
      </c>
      <c r="E1840" t="s">
        <v>1663</v>
      </c>
      <c r="F1840">
        <v>6</v>
      </c>
      <c r="G1840">
        <v>6.1</v>
      </c>
      <c r="H1840" t="s">
        <v>2017</v>
      </c>
      <c r="I1840" s="21">
        <v>38806</v>
      </c>
      <c r="J1840">
        <v>2006</v>
      </c>
      <c r="K1840" s="21">
        <v>38837</v>
      </c>
      <c r="L1840">
        <v>2006</v>
      </c>
      <c r="M1840" s="21">
        <v>38990</v>
      </c>
      <c r="N1840">
        <v>2006</v>
      </c>
      <c r="Q1840" s="262">
        <v>0</v>
      </c>
      <c r="S1840" t="s">
        <v>114</v>
      </c>
      <c r="T1840" t="s">
        <v>114</v>
      </c>
      <c r="W1840">
        <v>2888</v>
      </c>
      <c r="X1840">
        <v>1</v>
      </c>
      <c r="Y1840">
        <v>0</v>
      </c>
      <c r="Z1840">
        <v>0</v>
      </c>
      <c r="AA1840">
        <v>0</v>
      </c>
      <c r="AB1840">
        <v>0</v>
      </c>
      <c r="AC1840">
        <v>2888</v>
      </c>
      <c r="AD1840">
        <v>0</v>
      </c>
      <c r="AE1840">
        <v>0</v>
      </c>
      <c r="AF1840">
        <v>0</v>
      </c>
      <c r="AG1840">
        <v>0</v>
      </c>
      <c r="AH1840">
        <v>0</v>
      </c>
      <c r="AI1840">
        <v>0</v>
      </c>
      <c r="AJ1840">
        <v>0</v>
      </c>
      <c r="AK1840">
        <v>0</v>
      </c>
      <c r="AL1840">
        <v>0</v>
      </c>
      <c r="AM1840">
        <v>0</v>
      </c>
      <c r="AN1840">
        <v>0</v>
      </c>
      <c r="AO1840">
        <v>1</v>
      </c>
      <c r="AP1840">
        <v>0</v>
      </c>
      <c r="AQ1840">
        <v>0</v>
      </c>
      <c r="AR1840">
        <v>0</v>
      </c>
      <c r="AS1840">
        <v>0</v>
      </c>
      <c r="AT1840">
        <v>0</v>
      </c>
      <c r="AU1840">
        <f t="shared" si="56"/>
        <v>1</v>
      </c>
      <c r="AV1840">
        <f t="shared" si="57"/>
        <v>0</v>
      </c>
    </row>
    <row r="1841" spans="1:48" x14ac:dyDescent="0.25">
      <c r="A1841" t="s">
        <v>7001</v>
      </c>
      <c r="C1841" t="s">
        <v>7002</v>
      </c>
      <c r="D1841" t="s">
        <v>6377</v>
      </c>
      <c r="E1841" t="s">
        <v>2310</v>
      </c>
      <c r="F1841">
        <v>9</v>
      </c>
      <c r="G1841">
        <v>9.4</v>
      </c>
      <c r="H1841" t="s">
        <v>2323</v>
      </c>
      <c r="I1841" s="21">
        <v>38807</v>
      </c>
      <c r="J1841">
        <v>2006</v>
      </c>
      <c r="K1841" s="21">
        <v>38905</v>
      </c>
      <c r="L1841">
        <v>2006</v>
      </c>
      <c r="M1841" s="21">
        <v>38905</v>
      </c>
      <c r="N1841">
        <v>2006</v>
      </c>
      <c r="R1841" s="262">
        <v>56000</v>
      </c>
      <c r="S1841" t="s">
        <v>114</v>
      </c>
      <c r="T1841" t="s">
        <v>114</v>
      </c>
      <c r="U1841">
        <v>5</v>
      </c>
      <c r="W1841">
        <v>508</v>
      </c>
      <c r="X1841">
        <v>0</v>
      </c>
      <c r="Y1841">
        <v>0</v>
      </c>
      <c r="Z1841">
        <v>0</v>
      </c>
      <c r="AA1841">
        <v>0</v>
      </c>
      <c r="AB1841">
        <v>0</v>
      </c>
      <c r="AC1841">
        <v>508</v>
      </c>
      <c r="AD1841">
        <v>0</v>
      </c>
      <c r="AE1841">
        <v>0</v>
      </c>
      <c r="AF1841">
        <v>0</v>
      </c>
      <c r="AG1841">
        <v>0</v>
      </c>
      <c r="AH1841">
        <v>0</v>
      </c>
      <c r="AI1841">
        <v>0</v>
      </c>
      <c r="AJ1841">
        <v>0</v>
      </c>
      <c r="AK1841">
        <v>0</v>
      </c>
      <c r="AL1841">
        <v>0</v>
      </c>
      <c r="AM1841">
        <v>0</v>
      </c>
      <c r="AN1841">
        <v>0</v>
      </c>
      <c r="AO1841">
        <v>0</v>
      </c>
      <c r="AP1841">
        <v>0</v>
      </c>
      <c r="AQ1841">
        <v>0</v>
      </c>
      <c r="AR1841">
        <v>0</v>
      </c>
      <c r="AS1841">
        <v>0</v>
      </c>
      <c r="AT1841">
        <v>0</v>
      </c>
      <c r="AU1841">
        <f t="shared" si="56"/>
        <v>0</v>
      </c>
      <c r="AV1841">
        <f t="shared" si="57"/>
        <v>0</v>
      </c>
    </row>
    <row r="1842" spans="1:48" x14ac:dyDescent="0.25">
      <c r="A1842" t="s">
        <v>7003</v>
      </c>
      <c r="C1842" t="s">
        <v>7004</v>
      </c>
      <c r="D1842" t="s">
        <v>7005</v>
      </c>
      <c r="E1842" t="s">
        <v>2310</v>
      </c>
      <c r="F1842">
        <v>9</v>
      </c>
      <c r="G1842">
        <v>9.4</v>
      </c>
      <c r="H1842" t="s">
        <v>2323</v>
      </c>
      <c r="I1842" s="21">
        <v>38807</v>
      </c>
      <c r="J1842">
        <v>2006</v>
      </c>
      <c r="K1842" s="21">
        <v>38868</v>
      </c>
      <c r="L1842">
        <v>2006</v>
      </c>
      <c r="M1842" s="21">
        <v>39713</v>
      </c>
      <c r="N1842">
        <v>2008</v>
      </c>
      <c r="R1842" s="262">
        <v>375000</v>
      </c>
      <c r="S1842" t="s">
        <v>114</v>
      </c>
      <c r="T1842" t="s">
        <v>114</v>
      </c>
      <c r="U1842">
        <v>5</v>
      </c>
      <c r="W1842">
        <v>2396</v>
      </c>
      <c r="X1842">
        <v>0</v>
      </c>
      <c r="Y1842">
        <v>0</v>
      </c>
      <c r="Z1842">
        <v>0</v>
      </c>
      <c r="AA1842">
        <v>0</v>
      </c>
      <c r="AB1842">
        <v>0</v>
      </c>
      <c r="AC1842">
        <v>2396</v>
      </c>
      <c r="AD1842">
        <v>0</v>
      </c>
      <c r="AE1842">
        <v>0</v>
      </c>
      <c r="AF1842">
        <v>0</v>
      </c>
      <c r="AG1842">
        <v>0</v>
      </c>
      <c r="AH1842">
        <v>0</v>
      </c>
      <c r="AI1842">
        <v>0</v>
      </c>
      <c r="AJ1842">
        <v>0</v>
      </c>
      <c r="AK1842">
        <v>0</v>
      </c>
      <c r="AL1842">
        <v>0</v>
      </c>
      <c r="AM1842">
        <v>0</v>
      </c>
      <c r="AN1842">
        <v>0</v>
      </c>
      <c r="AO1842">
        <v>0</v>
      </c>
      <c r="AP1842">
        <v>0</v>
      </c>
      <c r="AQ1842">
        <v>0</v>
      </c>
      <c r="AR1842">
        <v>0</v>
      </c>
      <c r="AS1842">
        <v>0</v>
      </c>
      <c r="AT1842">
        <v>0</v>
      </c>
      <c r="AU1842">
        <f t="shared" si="56"/>
        <v>0</v>
      </c>
      <c r="AV1842">
        <f t="shared" si="57"/>
        <v>0</v>
      </c>
    </row>
    <row r="1843" spans="1:48" x14ac:dyDescent="0.25">
      <c r="A1843" t="s">
        <v>7006</v>
      </c>
      <c r="C1843" t="s">
        <v>7007</v>
      </c>
      <c r="D1843" t="s">
        <v>7008</v>
      </c>
      <c r="E1843" t="s">
        <v>2310</v>
      </c>
      <c r="F1843">
        <v>8</v>
      </c>
      <c r="G1843">
        <v>8.1</v>
      </c>
      <c r="H1843" t="s">
        <v>2323</v>
      </c>
      <c r="I1843" s="21">
        <v>38807</v>
      </c>
      <c r="J1843">
        <v>2006</v>
      </c>
      <c r="K1843" s="21">
        <v>38859</v>
      </c>
      <c r="L1843">
        <v>2006</v>
      </c>
      <c r="M1843" s="21">
        <v>39377</v>
      </c>
      <c r="N1843">
        <v>2007</v>
      </c>
      <c r="R1843" s="262">
        <v>1900000</v>
      </c>
      <c r="S1843" t="s">
        <v>114</v>
      </c>
      <c r="T1843" t="s">
        <v>114</v>
      </c>
      <c r="U1843">
        <v>5</v>
      </c>
      <c r="W1843">
        <v>9028</v>
      </c>
      <c r="X1843">
        <v>1</v>
      </c>
      <c r="Y1843">
        <v>0</v>
      </c>
      <c r="Z1843">
        <v>0</v>
      </c>
      <c r="AA1843">
        <v>0</v>
      </c>
      <c r="AB1843">
        <v>0</v>
      </c>
      <c r="AC1843">
        <v>9028</v>
      </c>
      <c r="AD1843">
        <v>0</v>
      </c>
      <c r="AE1843">
        <v>0</v>
      </c>
      <c r="AF1843">
        <v>0</v>
      </c>
      <c r="AG1843">
        <v>0</v>
      </c>
      <c r="AH1843">
        <v>0</v>
      </c>
      <c r="AI1843">
        <v>0</v>
      </c>
      <c r="AJ1843">
        <v>0</v>
      </c>
      <c r="AK1843">
        <v>0</v>
      </c>
      <c r="AL1843">
        <v>0</v>
      </c>
      <c r="AM1843">
        <v>0</v>
      </c>
      <c r="AN1843">
        <v>0</v>
      </c>
      <c r="AO1843">
        <v>1</v>
      </c>
      <c r="AP1843">
        <v>0</v>
      </c>
      <c r="AQ1843">
        <v>0</v>
      </c>
      <c r="AR1843">
        <v>0</v>
      </c>
      <c r="AS1843">
        <v>0</v>
      </c>
      <c r="AT1843">
        <v>0</v>
      </c>
      <c r="AU1843">
        <f t="shared" si="56"/>
        <v>1</v>
      </c>
      <c r="AV1843">
        <f t="shared" si="57"/>
        <v>0</v>
      </c>
    </row>
    <row r="1844" spans="1:48" x14ac:dyDescent="0.25">
      <c r="A1844" t="s">
        <v>7009</v>
      </c>
      <c r="C1844" t="s">
        <v>7010</v>
      </c>
      <c r="D1844" t="s">
        <v>7011</v>
      </c>
      <c r="E1844" t="s">
        <v>2310</v>
      </c>
      <c r="F1844">
        <v>7</v>
      </c>
      <c r="G1844">
        <v>7.1</v>
      </c>
      <c r="H1844" t="s">
        <v>2017</v>
      </c>
      <c r="I1844" s="21">
        <v>38807</v>
      </c>
      <c r="J1844">
        <v>2006</v>
      </c>
      <c r="K1844" s="21">
        <v>38852</v>
      </c>
      <c r="L1844">
        <v>2006</v>
      </c>
      <c r="M1844" s="21">
        <v>38926</v>
      </c>
      <c r="N1844">
        <v>2006</v>
      </c>
      <c r="R1844" s="262">
        <v>10000</v>
      </c>
      <c r="S1844" t="s">
        <v>114</v>
      </c>
      <c r="T1844" t="s">
        <v>114</v>
      </c>
      <c r="U1844">
        <v>14</v>
      </c>
      <c r="W1844">
        <v>497</v>
      </c>
      <c r="X1844">
        <v>0</v>
      </c>
      <c r="Y1844">
        <v>0</v>
      </c>
      <c r="Z1844">
        <v>0</v>
      </c>
      <c r="AA1844">
        <v>0</v>
      </c>
      <c r="AB1844">
        <v>0</v>
      </c>
      <c r="AC1844">
        <v>0</v>
      </c>
      <c r="AD1844">
        <v>0</v>
      </c>
      <c r="AE1844">
        <v>0</v>
      </c>
      <c r="AF1844">
        <v>0</v>
      </c>
      <c r="AG1844">
        <v>0</v>
      </c>
      <c r="AH1844">
        <v>0</v>
      </c>
      <c r="AI1844">
        <v>0</v>
      </c>
      <c r="AJ1844">
        <v>0</v>
      </c>
      <c r="AK1844">
        <v>0</v>
      </c>
      <c r="AL1844">
        <v>497</v>
      </c>
      <c r="AM1844">
        <v>0</v>
      </c>
      <c r="AN1844">
        <v>0</v>
      </c>
      <c r="AO1844">
        <v>0</v>
      </c>
      <c r="AP1844">
        <v>0</v>
      </c>
      <c r="AQ1844">
        <v>0</v>
      </c>
      <c r="AR1844">
        <v>0</v>
      </c>
      <c r="AS1844">
        <v>0</v>
      </c>
      <c r="AT1844">
        <v>0</v>
      </c>
      <c r="AU1844">
        <f t="shared" si="56"/>
        <v>0</v>
      </c>
      <c r="AV1844">
        <f t="shared" si="57"/>
        <v>497</v>
      </c>
    </row>
    <row r="1845" spans="1:48" x14ac:dyDescent="0.25">
      <c r="A1845" t="s">
        <v>7012</v>
      </c>
      <c r="C1845" t="s">
        <v>7013</v>
      </c>
      <c r="D1845" t="s">
        <v>7014</v>
      </c>
      <c r="E1845" t="s">
        <v>2310</v>
      </c>
      <c r="F1845">
        <v>10</v>
      </c>
      <c r="G1845">
        <v>10.1</v>
      </c>
      <c r="H1845" t="s">
        <v>2323</v>
      </c>
      <c r="I1845" s="21">
        <v>38811</v>
      </c>
      <c r="J1845">
        <v>2006</v>
      </c>
      <c r="K1845" s="21">
        <v>38855</v>
      </c>
      <c r="L1845">
        <v>2006</v>
      </c>
      <c r="M1845" s="21">
        <v>39617</v>
      </c>
      <c r="N1845">
        <v>2008</v>
      </c>
      <c r="R1845" s="262">
        <v>69000</v>
      </c>
      <c r="S1845" t="s">
        <v>114</v>
      </c>
      <c r="T1845" t="s">
        <v>114</v>
      </c>
      <c r="U1845">
        <v>5</v>
      </c>
      <c r="W1845">
        <v>873</v>
      </c>
      <c r="X1845">
        <v>0</v>
      </c>
      <c r="Y1845">
        <v>0</v>
      </c>
      <c r="Z1845">
        <v>0</v>
      </c>
      <c r="AA1845">
        <v>0</v>
      </c>
      <c r="AB1845">
        <v>0</v>
      </c>
      <c r="AC1845">
        <v>873</v>
      </c>
      <c r="AD1845">
        <v>0</v>
      </c>
      <c r="AE1845">
        <v>0</v>
      </c>
      <c r="AF1845">
        <v>0</v>
      </c>
      <c r="AG1845">
        <v>0</v>
      </c>
      <c r="AH1845">
        <v>0</v>
      </c>
      <c r="AI1845">
        <v>0</v>
      </c>
      <c r="AJ1845">
        <v>0</v>
      </c>
      <c r="AK1845">
        <v>0</v>
      </c>
      <c r="AL1845">
        <v>0</v>
      </c>
      <c r="AM1845">
        <v>0</v>
      </c>
      <c r="AN1845">
        <v>0</v>
      </c>
      <c r="AO1845">
        <v>0</v>
      </c>
      <c r="AP1845">
        <v>0</v>
      </c>
      <c r="AQ1845">
        <v>0</v>
      </c>
      <c r="AR1845">
        <v>0</v>
      </c>
      <c r="AS1845">
        <v>0</v>
      </c>
      <c r="AT1845">
        <v>0</v>
      </c>
      <c r="AU1845">
        <f t="shared" si="56"/>
        <v>0</v>
      </c>
      <c r="AV1845">
        <f t="shared" si="57"/>
        <v>0</v>
      </c>
    </row>
    <row r="1846" spans="1:48" x14ac:dyDescent="0.25">
      <c r="A1846" t="s">
        <v>7015</v>
      </c>
      <c r="C1846" t="s">
        <v>7016</v>
      </c>
      <c r="D1846" t="s">
        <v>6658</v>
      </c>
      <c r="E1846" t="s">
        <v>2310</v>
      </c>
      <c r="F1846">
        <v>9</v>
      </c>
      <c r="G1846">
        <v>9.1999999999999993</v>
      </c>
      <c r="H1846" t="s">
        <v>2022</v>
      </c>
      <c r="I1846" s="21">
        <v>38812</v>
      </c>
      <c r="J1846">
        <v>2006</v>
      </c>
      <c r="K1846" s="21">
        <v>38833</v>
      </c>
      <c r="L1846">
        <v>2006</v>
      </c>
      <c r="M1846" s="21">
        <v>39105</v>
      </c>
      <c r="N1846">
        <v>2007</v>
      </c>
      <c r="R1846" s="262">
        <v>151000</v>
      </c>
      <c r="S1846" t="s">
        <v>114</v>
      </c>
      <c r="T1846" t="s">
        <v>114</v>
      </c>
      <c r="U1846">
        <v>1</v>
      </c>
      <c r="W1846">
        <v>6136</v>
      </c>
      <c r="X1846">
        <v>0</v>
      </c>
      <c r="Y1846">
        <v>6136</v>
      </c>
      <c r="Z1846">
        <v>0</v>
      </c>
      <c r="AA1846">
        <v>0</v>
      </c>
      <c r="AB1846">
        <v>0</v>
      </c>
      <c r="AC1846">
        <v>0</v>
      </c>
      <c r="AD1846">
        <v>0</v>
      </c>
      <c r="AE1846">
        <v>0</v>
      </c>
      <c r="AF1846">
        <v>0</v>
      </c>
      <c r="AG1846">
        <v>0</v>
      </c>
      <c r="AH1846">
        <v>0</v>
      </c>
      <c r="AI1846">
        <v>0</v>
      </c>
      <c r="AJ1846">
        <v>0</v>
      </c>
      <c r="AK1846">
        <v>0</v>
      </c>
      <c r="AL1846">
        <v>0</v>
      </c>
      <c r="AM1846">
        <v>0</v>
      </c>
      <c r="AN1846">
        <v>0</v>
      </c>
      <c r="AO1846">
        <v>0</v>
      </c>
      <c r="AP1846">
        <v>0</v>
      </c>
      <c r="AQ1846">
        <v>0</v>
      </c>
      <c r="AR1846">
        <v>0</v>
      </c>
      <c r="AS1846">
        <v>0</v>
      </c>
      <c r="AT1846">
        <v>0</v>
      </c>
      <c r="AU1846">
        <f t="shared" si="56"/>
        <v>0</v>
      </c>
      <c r="AV1846">
        <f t="shared" si="57"/>
        <v>6136</v>
      </c>
    </row>
    <row r="1847" spans="1:48" x14ac:dyDescent="0.25">
      <c r="A1847" t="s">
        <v>7017</v>
      </c>
      <c r="C1847" t="s">
        <v>7018</v>
      </c>
      <c r="D1847" t="s">
        <v>6658</v>
      </c>
      <c r="E1847" t="s">
        <v>2310</v>
      </c>
      <c r="F1847">
        <v>9</v>
      </c>
      <c r="G1847">
        <v>9.1999999999999993</v>
      </c>
      <c r="H1847" t="s">
        <v>2022</v>
      </c>
      <c r="I1847" s="21">
        <v>38812</v>
      </c>
      <c r="J1847">
        <v>2006</v>
      </c>
      <c r="K1847" s="21">
        <v>38833</v>
      </c>
      <c r="L1847">
        <v>2006</v>
      </c>
      <c r="M1847" s="21">
        <v>39105</v>
      </c>
      <c r="N1847">
        <v>2007</v>
      </c>
      <c r="R1847" s="262">
        <v>67300</v>
      </c>
      <c r="S1847" t="s">
        <v>114</v>
      </c>
      <c r="T1847" t="s">
        <v>114</v>
      </c>
      <c r="U1847">
        <v>1</v>
      </c>
      <c r="W1847">
        <v>3440</v>
      </c>
      <c r="X1847">
        <v>0</v>
      </c>
      <c r="Y1847">
        <v>3440</v>
      </c>
      <c r="Z1847">
        <v>0</v>
      </c>
      <c r="AA1847">
        <v>0</v>
      </c>
      <c r="AB1847">
        <v>0</v>
      </c>
      <c r="AC1847">
        <v>0</v>
      </c>
      <c r="AD1847">
        <v>0</v>
      </c>
      <c r="AE1847">
        <v>0</v>
      </c>
      <c r="AF1847">
        <v>0</v>
      </c>
      <c r="AG1847">
        <v>0</v>
      </c>
      <c r="AH1847">
        <v>0</v>
      </c>
      <c r="AI1847">
        <v>0</v>
      </c>
      <c r="AJ1847">
        <v>0</v>
      </c>
      <c r="AK1847">
        <v>0</v>
      </c>
      <c r="AL1847">
        <v>0</v>
      </c>
      <c r="AM1847">
        <v>0</v>
      </c>
      <c r="AN1847">
        <v>0</v>
      </c>
      <c r="AO1847">
        <v>0</v>
      </c>
      <c r="AP1847">
        <v>0</v>
      </c>
      <c r="AQ1847">
        <v>0</v>
      </c>
      <c r="AR1847">
        <v>0</v>
      </c>
      <c r="AS1847">
        <v>0</v>
      </c>
      <c r="AT1847">
        <v>0</v>
      </c>
      <c r="AU1847">
        <f t="shared" si="56"/>
        <v>0</v>
      </c>
      <c r="AV1847">
        <f t="shared" si="57"/>
        <v>3440</v>
      </c>
    </row>
    <row r="1848" spans="1:48" x14ac:dyDescent="0.25">
      <c r="A1848" t="s">
        <v>7019</v>
      </c>
      <c r="C1848" t="s">
        <v>7020</v>
      </c>
      <c r="D1848" t="s">
        <v>7021</v>
      </c>
      <c r="E1848" t="s">
        <v>2310</v>
      </c>
      <c r="F1848">
        <v>9</v>
      </c>
      <c r="G1848">
        <v>9.1</v>
      </c>
      <c r="H1848" t="s">
        <v>2323</v>
      </c>
      <c r="I1848" s="21">
        <v>38812</v>
      </c>
      <c r="J1848">
        <v>2006</v>
      </c>
      <c r="K1848" s="21">
        <v>38854</v>
      </c>
      <c r="L1848">
        <v>2006</v>
      </c>
      <c r="M1848" s="21">
        <v>39196</v>
      </c>
      <c r="N1848">
        <v>2007</v>
      </c>
      <c r="R1848" s="262">
        <v>150000</v>
      </c>
      <c r="S1848" t="s">
        <v>114</v>
      </c>
      <c r="T1848" t="s">
        <v>114</v>
      </c>
      <c r="U1848">
        <v>5</v>
      </c>
      <c r="W1848">
        <v>0</v>
      </c>
      <c r="X1848">
        <v>0</v>
      </c>
      <c r="Y1848">
        <v>0</v>
      </c>
      <c r="Z1848">
        <v>0</v>
      </c>
      <c r="AA1848">
        <v>0</v>
      </c>
      <c r="AB1848">
        <v>0</v>
      </c>
      <c r="AC1848">
        <v>0</v>
      </c>
      <c r="AD1848">
        <v>0</v>
      </c>
      <c r="AE1848">
        <v>0</v>
      </c>
      <c r="AF1848">
        <v>0</v>
      </c>
      <c r="AG1848">
        <v>0</v>
      </c>
      <c r="AH1848">
        <v>0</v>
      </c>
      <c r="AI1848">
        <v>0</v>
      </c>
      <c r="AJ1848">
        <v>0</v>
      </c>
      <c r="AK1848">
        <v>0</v>
      </c>
      <c r="AL1848">
        <v>0</v>
      </c>
      <c r="AM1848">
        <v>0</v>
      </c>
      <c r="AN1848">
        <v>0</v>
      </c>
      <c r="AO1848">
        <v>0</v>
      </c>
      <c r="AP1848">
        <v>0</v>
      </c>
      <c r="AQ1848">
        <v>0</v>
      </c>
      <c r="AR1848">
        <v>0</v>
      </c>
      <c r="AS1848">
        <v>0</v>
      </c>
      <c r="AT1848">
        <v>0</v>
      </c>
      <c r="AU1848">
        <f t="shared" si="56"/>
        <v>0</v>
      </c>
      <c r="AV1848">
        <f t="shared" si="57"/>
        <v>0</v>
      </c>
    </row>
    <row r="1849" spans="1:48" x14ac:dyDescent="0.25">
      <c r="A1849" t="s">
        <v>7022</v>
      </c>
      <c r="C1849" t="s">
        <v>7023</v>
      </c>
      <c r="D1849" t="s">
        <v>7024</v>
      </c>
      <c r="E1849" t="s">
        <v>2310</v>
      </c>
      <c r="F1849">
        <v>9</v>
      </c>
      <c r="G1849">
        <v>9.1</v>
      </c>
      <c r="H1849" t="s">
        <v>2323</v>
      </c>
      <c r="I1849" s="21">
        <v>38817</v>
      </c>
      <c r="J1849">
        <v>2006</v>
      </c>
      <c r="K1849" s="21">
        <v>38817</v>
      </c>
      <c r="L1849">
        <v>2006</v>
      </c>
      <c r="M1849" s="21">
        <v>40408.638726851903</v>
      </c>
      <c r="N1849">
        <v>2010</v>
      </c>
      <c r="R1849" s="262">
        <v>650000</v>
      </c>
      <c r="S1849" t="s">
        <v>114</v>
      </c>
      <c r="T1849" t="s">
        <v>114</v>
      </c>
      <c r="U1849">
        <v>5</v>
      </c>
      <c r="W1849">
        <v>5693</v>
      </c>
      <c r="X1849">
        <v>1</v>
      </c>
      <c r="Y1849">
        <v>0</v>
      </c>
      <c r="Z1849">
        <v>0</v>
      </c>
      <c r="AA1849">
        <v>0</v>
      </c>
      <c r="AB1849">
        <v>0</v>
      </c>
      <c r="AC1849">
        <v>5693</v>
      </c>
      <c r="AD1849">
        <v>0</v>
      </c>
      <c r="AE1849">
        <v>0</v>
      </c>
      <c r="AF1849">
        <v>0</v>
      </c>
      <c r="AG1849">
        <v>0</v>
      </c>
      <c r="AH1849">
        <v>0</v>
      </c>
      <c r="AI1849">
        <v>0</v>
      </c>
      <c r="AJ1849">
        <v>0</v>
      </c>
      <c r="AK1849">
        <v>0</v>
      </c>
      <c r="AL1849">
        <v>0</v>
      </c>
      <c r="AM1849">
        <v>0</v>
      </c>
      <c r="AN1849">
        <v>0</v>
      </c>
      <c r="AO1849">
        <v>1</v>
      </c>
      <c r="AP1849">
        <v>0</v>
      </c>
      <c r="AQ1849">
        <v>0</v>
      </c>
      <c r="AR1849">
        <v>0</v>
      </c>
      <c r="AS1849">
        <v>0</v>
      </c>
      <c r="AT1849">
        <v>0</v>
      </c>
      <c r="AU1849">
        <f t="shared" si="56"/>
        <v>1</v>
      </c>
      <c r="AV1849">
        <f t="shared" si="57"/>
        <v>0</v>
      </c>
    </row>
    <row r="1850" spans="1:48" x14ac:dyDescent="0.25">
      <c r="A1850" t="s">
        <v>7025</v>
      </c>
      <c r="C1850" t="s">
        <v>7026</v>
      </c>
      <c r="D1850" t="s">
        <v>7027</v>
      </c>
      <c r="E1850" t="s">
        <v>1663</v>
      </c>
      <c r="F1850">
        <v>6</v>
      </c>
      <c r="G1850">
        <v>6.1</v>
      </c>
      <c r="H1850" t="s">
        <v>2017</v>
      </c>
      <c r="I1850" s="21">
        <v>38818</v>
      </c>
      <c r="J1850">
        <v>2006</v>
      </c>
      <c r="K1850" s="21">
        <v>38848</v>
      </c>
      <c r="L1850">
        <v>2006</v>
      </c>
      <c r="M1850" s="21">
        <v>39001</v>
      </c>
      <c r="N1850">
        <v>2006</v>
      </c>
      <c r="Q1850" s="262">
        <v>0</v>
      </c>
      <c r="S1850" t="s">
        <v>114</v>
      </c>
      <c r="T1850" t="s">
        <v>114</v>
      </c>
      <c r="W1850">
        <v>4085</v>
      </c>
      <c r="X1850">
        <v>1</v>
      </c>
      <c r="Y1850">
        <v>0</v>
      </c>
      <c r="Z1850">
        <v>0</v>
      </c>
      <c r="AA1850">
        <v>0</v>
      </c>
      <c r="AB1850">
        <v>0</v>
      </c>
      <c r="AC1850">
        <v>4085</v>
      </c>
      <c r="AD1850">
        <v>0</v>
      </c>
      <c r="AE1850">
        <v>0</v>
      </c>
      <c r="AF1850">
        <v>0</v>
      </c>
      <c r="AG1850">
        <v>0</v>
      </c>
      <c r="AH1850">
        <v>0</v>
      </c>
      <c r="AI1850">
        <v>0</v>
      </c>
      <c r="AJ1850">
        <v>0</v>
      </c>
      <c r="AK1850">
        <v>0</v>
      </c>
      <c r="AL1850">
        <v>0</v>
      </c>
      <c r="AM1850">
        <v>0</v>
      </c>
      <c r="AN1850">
        <v>0</v>
      </c>
      <c r="AO1850">
        <v>1</v>
      </c>
      <c r="AP1850">
        <v>0</v>
      </c>
      <c r="AQ1850">
        <v>0</v>
      </c>
      <c r="AR1850">
        <v>0</v>
      </c>
      <c r="AS1850">
        <v>0</v>
      </c>
      <c r="AT1850">
        <v>0</v>
      </c>
      <c r="AU1850">
        <f t="shared" si="56"/>
        <v>1</v>
      </c>
      <c r="AV1850">
        <f t="shared" si="57"/>
        <v>0</v>
      </c>
    </row>
    <row r="1851" spans="1:48" x14ac:dyDescent="0.25">
      <c r="A1851" t="s">
        <v>7028</v>
      </c>
      <c r="C1851" t="s">
        <v>7029</v>
      </c>
      <c r="D1851" t="s">
        <v>7030</v>
      </c>
      <c r="E1851" t="s">
        <v>2310</v>
      </c>
      <c r="F1851">
        <v>9</v>
      </c>
      <c r="G1851">
        <v>9.1999999999999993</v>
      </c>
      <c r="H1851" t="s">
        <v>2022</v>
      </c>
      <c r="I1851" s="21">
        <v>38818</v>
      </c>
      <c r="J1851">
        <v>2006</v>
      </c>
      <c r="K1851" s="21">
        <v>38895</v>
      </c>
      <c r="L1851">
        <v>2006</v>
      </c>
      <c r="M1851" s="21">
        <v>39617</v>
      </c>
      <c r="N1851">
        <v>2008</v>
      </c>
      <c r="R1851" s="262">
        <v>250000</v>
      </c>
      <c r="S1851" t="s">
        <v>114</v>
      </c>
      <c r="T1851" t="s">
        <v>114</v>
      </c>
      <c r="U1851">
        <v>8</v>
      </c>
      <c r="W1851">
        <v>1531</v>
      </c>
      <c r="X1851">
        <v>1</v>
      </c>
      <c r="Y1851">
        <v>0</v>
      </c>
      <c r="Z1851">
        <v>0</v>
      </c>
      <c r="AA1851">
        <v>0</v>
      </c>
      <c r="AB1851">
        <v>0</v>
      </c>
      <c r="AC1851">
        <v>532</v>
      </c>
      <c r="AD1851">
        <v>0</v>
      </c>
      <c r="AE1851">
        <v>0</v>
      </c>
      <c r="AF1851">
        <v>999</v>
      </c>
      <c r="AG1851">
        <v>0</v>
      </c>
      <c r="AH1851">
        <v>0</v>
      </c>
      <c r="AI1851">
        <v>0</v>
      </c>
      <c r="AJ1851">
        <v>0</v>
      </c>
      <c r="AK1851">
        <v>0</v>
      </c>
      <c r="AL1851">
        <v>0</v>
      </c>
      <c r="AM1851">
        <v>0</v>
      </c>
      <c r="AN1851">
        <v>0</v>
      </c>
      <c r="AO1851">
        <v>0</v>
      </c>
      <c r="AP1851">
        <v>0</v>
      </c>
      <c r="AQ1851">
        <v>0</v>
      </c>
      <c r="AR1851">
        <v>1</v>
      </c>
      <c r="AS1851">
        <v>0</v>
      </c>
      <c r="AT1851">
        <v>0</v>
      </c>
      <c r="AU1851">
        <f t="shared" si="56"/>
        <v>0</v>
      </c>
      <c r="AV1851">
        <f t="shared" si="57"/>
        <v>0</v>
      </c>
    </row>
    <row r="1852" spans="1:48" x14ac:dyDescent="0.25">
      <c r="A1852" t="s">
        <v>7031</v>
      </c>
      <c r="C1852" t="s">
        <v>7032</v>
      </c>
      <c r="D1852" t="s">
        <v>7033</v>
      </c>
      <c r="E1852" t="s">
        <v>2310</v>
      </c>
      <c r="F1852">
        <v>15</v>
      </c>
      <c r="G1852">
        <v>15.2</v>
      </c>
      <c r="H1852" t="s">
        <v>2323</v>
      </c>
      <c r="I1852" s="21">
        <v>38818</v>
      </c>
      <c r="J1852">
        <v>2006</v>
      </c>
      <c r="K1852" s="21">
        <v>38854</v>
      </c>
      <c r="L1852">
        <v>2006</v>
      </c>
      <c r="M1852" s="21">
        <v>40570.707303240699</v>
      </c>
      <c r="N1852">
        <v>2011</v>
      </c>
      <c r="R1852" s="262">
        <v>315000</v>
      </c>
      <c r="S1852" t="s">
        <v>114</v>
      </c>
      <c r="T1852" t="s">
        <v>114</v>
      </c>
      <c r="U1852">
        <v>5</v>
      </c>
      <c r="W1852">
        <v>0</v>
      </c>
      <c r="X1852">
        <v>0</v>
      </c>
      <c r="Y1852">
        <v>0</v>
      </c>
      <c r="Z1852">
        <v>0</v>
      </c>
      <c r="AA1852">
        <v>0</v>
      </c>
      <c r="AB1852">
        <v>0</v>
      </c>
      <c r="AC1852">
        <v>0</v>
      </c>
      <c r="AD1852">
        <v>0</v>
      </c>
      <c r="AE1852">
        <v>0</v>
      </c>
      <c r="AF1852">
        <v>0</v>
      </c>
      <c r="AG1852">
        <v>0</v>
      </c>
      <c r="AH1852">
        <v>0</v>
      </c>
      <c r="AI1852">
        <v>0</v>
      </c>
      <c r="AJ1852">
        <v>0</v>
      </c>
      <c r="AK1852">
        <v>0</v>
      </c>
      <c r="AL1852">
        <v>0</v>
      </c>
      <c r="AM1852">
        <v>0</v>
      </c>
      <c r="AN1852">
        <v>0</v>
      </c>
      <c r="AO1852">
        <v>0</v>
      </c>
      <c r="AP1852">
        <v>0</v>
      </c>
      <c r="AQ1852">
        <v>0</v>
      </c>
      <c r="AR1852">
        <v>0</v>
      </c>
      <c r="AS1852">
        <v>0</v>
      </c>
      <c r="AT1852">
        <v>0</v>
      </c>
      <c r="AU1852">
        <f t="shared" si="56"/>
        <v>0</v>
      </c>
      <c r="AV1852">
        <f t="shared" si="57"/>
        <v>0</v>
      </c>
    </row>
    <row r="1853" spans="1:48" x14ac:dyDescent="0.25">
      <c r="A1853" t="s">
        <v>7034</v>
      </c>
      <c r="C1853" t="s">
        <v>7035</v>
      </c>
      <c r="D1853" t="s">
        <v>7036</v>
      </c>
      <c r="E1853" t="s">
        <v>2310</v>
      </c>
      <c r="F1853">
        <v>9</v>
      </c>
      <c r="G1853">
        <v>9.4</v>
      </c>
      <c r="H1853" t="s">
        <v>2323</v>
      </c>
      <c r="I1853" s="21">
        <v>38819</v>
      </c>
      <c r="J1853">
        <v>2006</v>
      </c>
      <c r="K1853" s="21">
        <v>38891</v>
      </c>
      <c r="L1853">
        <v>2006</v>
      </c>
      <c r="M1853" s="21">
        <v>38891</v>
      </c>
      <c r="N1853">
        <v>2006</v>
      </c>
      <c r="R1853" s="262">
        <v>1160000</v>
      </c>
      <c r="S1853" t="s">
        <v>114</v>
      </c>
      <c r="T1853" t="s">
        <v>114</v>
      </c>
      <c r="U1853">
        <v>5</v>
      </c>
      <c r="W1853">
        <v>6881</v>
      </c>
      <c r="X1853">
        <v>1</v>
      </c>
      <c r="Y1853">
        <v>0</v>
      </c>
      <c r="Z1853">
        <v>0</v>
      </c>
      <c r="AA1853">
        <v>0</v>
      </c>
      <c r="AB1853">
        <v>0</v>
      </c>
      <c r="AC1853">
        <v>6881</v>
      </c>
      <c r="AD1853">
        <v>0</v>
      </c>
      <c r="AE1853">
        <v>0</v>
      </c>
      <c r="AF1853">
        <v>0</v>
      </c>
      <c r="AG1853">
        <v>0</v>
      </c>
      <c r="AH1853">
        <v>0</v>
      </c>
      <c r="AI1853">
        <v>0</v>
      </c>
      <c r="AJ1853">
        <v>0</v>
      </c>
      <c r="AK1853">
        <v>0</v>
      </c>
      <c r="AL1853">
        <v>0</v>
      </c>
      <c r="AM1853">
        <v>0</v>
      </c>
      <c r="AN1853">
        <v>0</v>
      </c>
      <c r="AO1853">
        <v>1</v>
      </c>
      <c r="AP1853">
        <v>0</v>
      </c>
      <c r="AQ1853">
        <v>0</v>
      </c>
      <c r="AR1853">
        <v>0</v>
      </c>
      <c r="AS1853">
        <v>0</v>
      </c>
      <c r="AT1853">
        <v>0</v>
      </c>
      <c r="AU1853">
        <f t="shared" si="56"/>
        <v>1</v>
      </c>
      <c r="AV1853">
        <f t="shared" si="57"/>
        <v>0</v>
      </c>
    </row>
    <row r="1854" spans="1:48" x14ac:dyDescent="0.25">
      <c r="A1854" t="s">
        <v>7037</v>
      </c>
      <c r="C1854" t="s">
        <v>7038</v>
      </c>
      <c r="D1854" t="s">
        <v>7039</v>
      </c>
      <c r="E1854" t="s">
        <v>2310</v>
      </c>
      <c r="F1854">
        <v>12</v>
      </c>
      <c r="G1854">
        <v>12.2</v>
      </c>
      <c r="H1854" t="s">
        <v>2017</v>
      </c>
      <c r="I1854" s="21">
        <v>38819</v>
      </c>
      <c r="J1854">
        <v>2006</v>
      </c>
      <c r="K1854" s="21">
        <v>38848</v>
      </c>
      <c r="L1854">
        <v>2006</v>
      </c>
      <c r="M1854" s="21">
        <v>39295</v>
      </c>
      <c r="N1854">
        <v>2007</v>
      </c>
      <c r="R1854" s="262">
        <v>106000</v>
      </c>
      <c r="S1854" t="s">
        <v>114</v>
      </c>
      <c r="T1854" t="s">
        <v>114</v>
      </c>
      <c r="U1854">
        <v>9</v>
      </c>
      <c r="W1854">
        <v>0</v>
      </c>
      <c r="X1854">
        <v>0</v>
      </c>
      <c r="Y1854">
        <v>0</v>
      </c>
      <c r="Z1854">
        <v>0</v>
      </c>
      <c r="AA1854">
        <v>0</v>
      </c>
      <c r="AB1854">
        <v>0</v>
      </c>
      <c r="AC1854">
        <v>0</v>
      </c>
      <c r="AD1854">
        <v>0</v>
      </c>
      <c r="AE1854">
        <v>0</v>
      </c>
      <c r="AF1854">
        <v>0</v>
      </c>
      <c r="AG1854">
        <v>0</v>
      </c>
      <c r="AH1854">
        <v>0</v>
      </c>
      <c r="AI1854">
        <v>0</v>
      </c>
      <c r="AJ1854">
        <v>0</v>
      </c>
      <c r="AK1854">
        <v>0</v>
      </c>
      <c r="AL1854">
        <v>0</v>
      </c>
      <c r="AM1854">
        <v>0</v>
      </c>
      <c r="AN1854">
        <v>0</v>
      </c>
      <c r="AO1854">
        <v>0</v>
      </c>
      <c r="AP1854">
        <v>0</v>
      </c>
      <c r="AQ1854">
        <v>0</v>
      </c>
      <c r="AR1854">
        <v>0</v>
      </c>
      <c r="AS1854">
        <v>0</v>
      </c>
      <c r="AT1854">
        <v>0</v>
      </c>
      <c r="AU1854">
        <f t="shared" si="56"/>
        <v>0</v>
      </c>
      <c r="AV1854">
        <f t="shared" si="57"/>
        <v>0</v>
      </c>
    </row>
    <row r="1855" spans="1:48" x14ac:dyDescent="0.25">
      <c r="A1855" t="s">
        <v>7048</v>
      </c>
      <c r="C1855" t="s">
        <v>7049</v>
      </c>
      <c r="D1855" t="s">
        <v>7050</v>
      </c>
      <c r="E1855" t="s">
        <v>2310</v>
      </c>
      <c r="F1855">
        <v>13</v>
      </c>
      <c r="G1855">
        <v>13.3</v>
      </c>
      <c r="H1855" t="s">
        <v>2017</v>
      </c>
      <c r="I1855" s="21">
        <v>38821</v>
      </c>
      <c r="J1855">
        <v>2006</v>
      </c>
      <c r="K1855" s="21">
        <v>38856</v>
      </c>
      <c r="L1855">
        <v>2006</v>
      </c>
      <c r="M1855" s="21">
        <v>39094</v>
      </c>
      <c r="N1855">
        <v>2007</v>
      </c>
      <c r="R1855" s="262">
        <v>150000</v>
      </c>
      <c r="S1855" t="s">
        <v>114</v>
      </c>
      <c r="T1855" t="s">
        <v>114</v>
      </c>
      <c r="U1855">
        <v>5</v>
      </c>
      <c r="W1855">
        <v>892</v>
      </c>
      <c r="X1855">
        <v>0</v>
      </c>
      <c r="Y1855">
        <v>0</v>
      </c>
      <c r="Z1855">
        <v>0</v>
      </c>
      <c r="AA1855">
        <v>0</v>
      </c>
      <c r="AB1855">
        <v>0</v>
      </c>
      <c r="AC1855">
        <v>892</v>
      </c>
      <c r="AD1855">
        <v>0</v>
      </c>
      <c r="AE1855">
        <v>0</v>
      </c>
      <c r="AF1855">
        <v>0</v>
      </c>
      <c r="AG1855">
        <v>0</v>
      </c>
      <c r="AH1855">
        <v>0</v>
      </c>
      <c r="AI1855">
        <v>0</v>
      </c>
      <c r="AJ1855">
        <v>0</v>
      </c>
      <c r="AK1855">
        <v>0</v>
      </c>
      <c r="AL1855">
        <v>0</v>
      </c>
      <c r="AM1855">
        <v>0</v>
      </c>
      <c r="AN1855">
        <v>0</v>
      </c>
      <c r="AO1855">
        <v>0</v>
      </c>
      <c r="AP1855">
        <v>0</v>
      </c>
      <c r="AQ1855">
        <v>0</v>
      </c>
      <c r="AR1855">
        <v>0</v>
      </c>
      <c r="AS1855">
        <v>0</v>
      </c>
      <c r="AT1855">
        <v>0</v>
      </c>
      <c r="AU1855">
        <f t="shared" si="56"/>
        <v>0</v>
      </c>
      <c r="AV1855">
        <f t="shared" si="57"/>
        <v>0</v>
      </c>
    </row>
    <row r="1856" spans="1:48" x14ac:dyDescent="0.25">
      <c r="A1856" t="s">
        <v>7040</v>
      </c>
      <c r="C1856" t="s">
        <v>7041</v>
      </c>
      <c r="D1856" t="s">
        <v>7042</v>
      </c>
      <c r="E1856" t="s">
        <v>1663</v>
      </c>
      <c r="F1856">
        <v>5</v>
      </c>
      <c r="G1856">
        <v>5.5</v>
      </c>
      <c r="H1856" t="s">
        <v>2017</v>
      </c>
      <c r="I1856" s="21">
        <v>38821</v>
      </c>
      <c r="J1856">
        <v>2006</v>
      </c>
      <c r="K1856" s="21">
        <v>38851</v>
      </c>
      <c r="L1856">
        <v>2006</v>
      </c>
      <c r="M1856" s="21">
        <v>39004</v>
      </c>
      <c r="N1856">
        <v>2006</v>
      </c>
      <c r="Q1856" s="262">
        <v>2800000</v>
      </c>
      <c r="S1856" t="s">
        <v>114</v>
      </c>
      <c r="T1856" t="s">
        <v>114</v>
      </c>
      <c r="W1856">
        <v>29906</v>
      </c>
      <c r="X1856">
        <v>0</v>
      </c>
      <c r="Y1856">
        <v>0</v>
      </c>
      <c r="Z1856">
        <v>0</v>
      </c>
      <c r="AA1856">
        <v>0</v>
      </c>
      <c r="AB1856">
        <v>0</v>
      </c>
      <c r="AC1856">
        <v>0</v>
      </c>
      <c r="AD1856">
        <v>0</v>
      </c>
      <c r="AE1856">
        <v>0</v>
      </c>
      <c r="AF1856">
        <v>0</v>
      </c>
      <c r="AG1856">
        <v>0</v>
      </c>
      <c r="AH1856">
        <v>0</v>
      </c>
      <c r="AI1856">
        <v>0</v>
      </c>
      <c r="AJ1856">
        <v>0</v>
      </c>
      <c r="AK1856">
        <v>0</v>
      </c>
      <c r="AL1856">
        <v>0</v>
      </c>
      <c r="AM1856">
        <v>29906</v>
      </c>
      <c r="AN1856">
        <v>0</v>
      </c>
      <c r="AO1856">
        <v>0</v>
      </c>
      <c r="AP1856">
        <v>0</v>
      </c>
      <c r="AQ1856">
        <v>0</v>
      </c>
      <c r="AR1856">
        <v>0</v>
      </c>
      <c r="AS1856">
        <v>0</v>
      </c>
      <c r="AT1856">
        <v>0</v>
      </c>
      <c r="AU1856">
        <f t="shared" si="56"/>
        <v>0</v>
      </c>
      <c r="AV1856">
        <f t="shared" si="57"/>
        <v>29906</v>
      </c>
    </row>
    <row r="1857" spans="1:48" x14ac:dyDescent="0.25">
      <c r="A1857" t="s">
        <v>7043</v>
      </c>
      <c r="C1857" t="s">
        <v>6180</v>
      </c>
      <c r="D1857" t="s">
        <v>7044</v>
      </c>
      <c r="E1857" t="s">
        <v>1663</v>
      </c>
      <c r="F1857">
        <v>5</v>
      </c>
      <c r="G1857">
        <v>5.5</v>
      </c>
      <c r="H1857" t="s">
        <v>2017</v>
      </c>
      <c r="I1857" s="21">
        <v>38821</v>
      </c>
      <c r="J1857">
        <v>2006</v>
      </c>
      <c r="K1857" s="21">
        <v>38851</v>
      </c>
      <c r="L1857">
        <v>2006</v>
      </c>
      <c r="M1857" s="21">
        <v>39004</v>
      </c>
      <c r="N1857">
        <v>2006</v>
      </c>
      <c r="Q1857" s="262">
        <v>0</v>
      </c>
      <c r="S1857" t="s">
        <v>114</v>
      </c>
      <c r="T1857" t="s">
        <v>114</v>
      </c>
      <c r="W1857">
        <v>1084</v>
      </c>
      <c r="X1857">
        <v>1</v>
      </c>
      <c r="Y1857">
        <v>0</v>
      </c>
      <c r="Z1857">
        <v>0</v>
      </c>
      <c r="AA1857">
        <v>0</v>
      </c>
      <c r="AB1857">
        <v>0</v>
      </c>
      <c r="AC1857">
        <v>1084</v>
      </c>
      <c r="AD1857">
        <v>0</v>
      </c>
      <c r="AE1857">
        <v>0</v>
      </c>
      <c r="AF1857">
        <v>0</v>
      </c>
      <c r="AG1857">
        <v>0</v>
      </c>
      <c r="AH1857">
        <v>0</v>
      </c>
      <c r="AI1857">
        <v>0</v>
      </c>
      <c r="AJ1857">
        <v>0</v>
      </c>
      <c r="AK1857">
        <v>0</v>
      </c>
      <c r="AL1857">
        <v>0</v>
      </c>
      <c r="AM1857">
        <v>0</v>
      </c>
      <c r="AN1857">
        <v>0</v>
      </c>
      <c r="AO1857">
        <v>1</v>
      </c>
      <c r="AP1857">
        <v>0</v>
      </c>
      <c r="AQ1857">
        <v>0</v>
      </c>
      <c r="AR1857">
        <v>0</v>
      </c>
      <c r="AS1857">
        <v>0</v>
      </c>
      <c r="AT1857">
        <v>0</v>
      </c>
      <c r="AU1857">
        <f t="shared" si="56"/>
        <v>1</v>
      </c>
      <c r="AV1857">
        <f t="shared" si="57"/>
        <v>0</v>
      </c>
    </row>
    <row r="1858" spans="1:48" x14ac:dyDescent="0.25">
      <c r="A1858" t="s">
        <v>7045</v>
      </c>
      <c r="C1858" t="s">
        <v>7046</v>
      </c>
      <c r="D1858" t="s">
        <v>7047</v>
      </c>
      <c r="E1858" t="s">
        <v>1663</v>
      </c>
      <c r="F1858">
        <v>2</v>
      </c>
      <c r="G1858">
        <v>2.2999999999999998</v>
      </c>
      <c r="H1858" t="s">
        <v>2327</v>
      </c>
      <c r="I1858" s="21">
        <v>38821</v>
      </c>
      <c r="J1858">
        <v>2006</v>
      </c>
      <c r="K1858" s="21">
        <v>38851</v>
      </c>
      <c r="L1858">
        <v>2006</v>
      </c>
      <c r="M1858" s="21">
        <v>39004</v>
      </c>
      <c r="N1858">
        <v>2006</v>
      </c>
      <c r="Q1858" s="262">
        <v>0</v>
      </c>
      <c r="S1858" t="s">
        <v>114</v>
      </c>
      <c r="T1858" t="s">
        <v>114</v>
      </c>
      <c r="W1858">
        <v>13800</v>
      </c>
      <c r="X1858">
        <v>8</v>
      </c>
      <c r="Y1858">
        <v>0</v>
      </c>
      <c r="Z1858">
        <v>0</v>
      </c>
      <c r="AA1858">
        <v>0</v>
      </c>
      <c r="AB1858">
        <v>0</v>
      </c>
      <c r="AC1858">
        <v>0</v>
      </c>
      <c r="AD1858">
        <v>0</v>
      </c>
      <c r="AE1858">
        <v>0</v>
      </c>
      <c r="AF1858">
        <v>0</v>
      </c>
      <c r="AG1858">
        <v>0</v>
      </c>
      <c r="AH1858">
        <v>1200</v>
      </c>
      <c r="AI1858">
        <v>12100</v>
      </c>
      <c r="AJ1858">
        <v>0</v>
      </c>
      <c r="AK1858">
        <v>500</v>
      </c>
      <c r="AL1858">
        <v>0</v>
      </c>
      <c r="AM1858">
        <v>0</v>
      </c>
      <c r="AN1858">
        <v>0</v>
      </c>
      <c r="AO1858">
        <v>0</v>
      </c>
      <c r="AP1858">
        <v>0</v>
      </c>
      <c r="AQ1858">
        <v>0</v>
      </c>
      <c r="AR1858">
        <v>0</v>
      </c>
      <c r="AS1858">
        <v>0</v>
      </c>
      <c r="AT1858">
        <v>8</v>
      </c>
      <c r="AU1858">
        <f t="shared" si="56"/>
        <v>0</v>
      </c>
      <c r="AV1858">
        <f t="shared" si="57"/>
        <v>13800</v>
      </c>
    </row>
    <row r="1859" spans="1:48" x14ac:dyDescent="0.25">
      <c r="A1859" t="s">
        <v>7051</v>
      </c>
      <c r="C1859" t="s">
        <v>7052</v>
      </c>
      <c r="D1859" t="s">
        <v>7053</v>
      </c>
      <c r="E1859" t="s">
        <v>2310</v>
      </c>
      <c r="F1859">
        <v>10</v>
      </c>
      <c r="G1859">
        <v>10.1</v>
      </c>
      <c r="H1859" t="s">
        <v>2323</v>
      </c>
      <c r="I1859" s="21">
        <v>38826</v>
      </c>
      <c r="J1859">
        <v>2006</v>
      </c>
      <c r="K1859" s="21">
        <v>38856</v>
      </c>
      <c r="L1859">
        <v>2006</v>
      </c>
      <c r="M1859" s="21">
        <v>39059</v>
      </c>
      <c r="N1859">
        <v>2006</v>
      </c>
      <c r="R1859" s="262">
        <v>160000</v>
      </c>
      <c r="S1859" t="s">
        <v>114</v>
      </c>
      <c r="T1859" t="s">
        <v>114</v>
      </c>
      <c r="U1859">
        <v>5</v>
      </c>
      <c r="W1859">
        <v>576</v>
      </c>
      <c r="X1859">
        <v>0</v>
      </c>
      <c r="Y1859">
        <v>0</v>
      </c>
      <c r="Z1859">
        <v>0</v>
      </c>
      <c r="AA1859">
        <v>0</v>
      </c>
      <c r="AB1859">
        <v>0</v>
      </c>
      <c r="AC1859">
        <v>576</v>
      </c>
      <c r="AD1859">
        <v>0</v>
      </c>
      <c r="AE1859">
        <v>0</v>
      </c>
      <c r="AF1859">
        <v>0</v>
      </c>
      <c r="AG1859">
        <v>0</v>
      </c>
      <c r="AH1859">
        <v>0</v>
      </c>
      <c r="AI1859">
        <v>0</v>
      </c>
      <c r="AJ1859">
        <v>0</v>
      </c>
      <c r="AK1859">
        <v>0</v>
      </c>
      <c r="AL1859">
        <v>0</v>
      </c>
      <c r="AM1859">
        <v>0</v>
      </c>
      <c r="AN1859">
        <v>0</v>
      </c>
      <c r="AO1859">
        <v>0</v>
      </c>
      <c r="AP1859">
        <v>0</v>
      </c>
      <c r="AQ1859">
        <v>0</v>
      </c>
      <c r="AR1859">
        <v>0</v>
      </c>
      <c r="AS1859">
        <v>0</v>
      </c>
      <c r="AT1859">
        <v>0</v>
      </c>
      <c r="AU1859">
        <f t="shared" si="56"/>
        <v>0</v>
      </c>
      <c r="AV1859">
        <f t="shared" si="57"/>
        <v>0</v>
      </c>
    </row>
    <row r="1860" spans="1:48" x14ac:dyDescent="0.25">
      <c r="A1860" t="s">
        <v>7054</v>
      </c>
      <c r="C1860" t="s">
        <v>4086</v>
      </c>
      <c r="D1860" t="s">
        <v>7053</v>
      </c>
      <c r="E1860" t="s">
        <v>2310</v>
      </c>
      <c r="F1860">
        <v>10</v>
      </c>
      <c r="G1860">
        <v>10.1</v>
      </c>
      <c r="H1860" t="s">
        <v>2323</v>
      </c>
      <c r="I1860" s="21">
        <v>38826</v>
      </c>
      <c r="J1860">
        <v>2006</v>
      </c>
      <c r="K1860" s="21">
        <v>38856</v>
      </c>
      <c r="L1860">
        <v>2006</v>
      </c>
      <c r="M1860" s="21">
        <v>38856</v>
      </c>
      <c r="N1860">
        <v>2006</v>
      </c>
      <c r="R1860" s="262">
        <v>30000</v>
      </c>
      <c r="S1860" t="s">
        <v>114</v>
      </c>
      <c r="T1860" t="s">
        <v>114</v>
      </c>
      <c r="U1860">
        <v>5</v>
      </c>
      <c r="W1860">
        <v>768</v>
      </c>
      <c r="X1860">
        <v>0</v>
      </c>
      <c r="Y1860">
        <v>0</v>
      </c>
      <c r="Z1860">
        <v>0</v>
      </c>
      <c r="AA1860">
        <v>0</v>
      </c>
      <c r="AB1860">
        <v>0</v>
      </c>
      <c r="AC1860">
        <v>768</v>
      </c>
      <c r="AD1860">
        <v>0</v>
      </c>
      <c r="AE1860">
        <v>0</v>
      </c>
      <c r="AF1860">
        <v>0</v>
      </c>
      <c r="AG1860">
        <v>0</v>
      </c>
      <c r="AH1860">
        <v>0</v>
      </c>
      <c r="AI1860">
        <v>0</v>
      </c>
      <c r="AJ1860">
        <v>0</v>
      </c>
      <c r="AK1860">
        <v>0</v>
      </c>
      <c r="AL1860">
        <v>0</v>
      </c>
      <c r="AM1860">
        <v>0</v>
      </c>
      <c r="AN1860">
        <v>0</v>
      </c>
      <c r="AO1860">
        <v>0</v>
      </c>
      <c r="AP1860">
        <v>0</v>
      </c>
      <c r="AQ1860">
        <v>0</v>
      </c>
      <c r="AR1860">
        <v>0</v>
      </c>
      <c r="AS1860">
        <v>0</v>
      </c>
      <c r="AT1860">
        <v>0</v>
      </c>
      <c r="AU1860">
        <f t="shared" si="56"/>
        <v>0</v>
      </c>
      <c r="AV1860">
        <f t="shared" si="57"/>
        <v>0</v>
      </c>
    </row>
    <row r="1861" spans="1:48" x14ac:dyDescent="0.25">
      <c r="A1861" t="s">
        <v>7055</v>
      </c>
      <c r="C1861" t="s">
        <v>7056</v>
      </c>
      <c r="D1861" t="s">
        <v>7057</v>
      </c>
      <c r="E1861" t="s">
        <v>2310</v>
      </c>
      <c r="F1861">
        <v>11</v>
      </c>
      <c r="G1861">
        <v>11.3</v>
      </c>
      <c r="H1861" t="s">
        <v>2017</v>
      </c>
      <c r="I1861" s="21">
        <v>38827</v>
      </c>
      <c r="J1861">
        <v>2006</v>
      </c>
      <c r="K1861" s="21">
        <v>38876</v>
      </c>
      <c r="L1861">
        <v>2006</v>
      </c>
      <c r="M1861" s="21">
        <v>39057</v>
      </c>
      <c r="N1861">
        <v>2006</v>
      </c>
      <c r="R1861" s="262">
        <v>120000</v>
      </c>
      <c r="S1861" t="s">
        <v>114</v>
      </c>
      <c r="T1861" t="s">
        <v>114</v>
      </c>
      <c r="U1861">
        <v>5</v>
      </c>
      <c r="W1861">
        <v>597</v>
      </c>
      <c r="X1861">
        <v>0</v>
      </c>
      <c r="Y1861">
        <v>0</v>
      </c>
      <c r="Z1861">
        <v>0</v>
      </c>
      <c r="AA1861">
        <v>0</v>
      </c>
      <c r="AB1861">
        <v>0</v>
      </c>
      <c r="AC1861">
        <v>597</v>
      </c>
      <c r="AD1861">
        <v>0</v>
      </c>
      <c r="AE1861">
        <v>0</v>
      </c>
      <c r="AF1861">
        <v>0</v>
      </c>
      <c r="AG1861">
        <v>0</v>
      </c>
      <c r="AH1861">
        <v>0</v>
      </c>
      <c r="AI1861">
        <v>0</v>
      </c>
      <c r="AJ1861">
        <v>0</v>
      </c>
      <c r="AK1861">
        <v>0</v>
      </c>
      <c r="AL1861">
        <v>0</v>
      </c>
      <c r="AM1861">
        <v>0</v>
      </c>
      <c r="AN1861">
        <v>0</v>
      </c>
      <c r="AO1861">
        <v>0</v>
      </c>
      <c r="AP1861">
        <v>0</v>
      </c>
      <c r="AQ1861">
        <v>0</v>
      </c>
      <c r="AR1861">
        <v>0</v>
      </c>
      <c r="AS1861">
        <v>0</v>
      </c>
      <c r="AT1861">
        <v>0</v>
      </c>
      <c r="AU1861">
        <f t="shared" si="56"/>
        <v>0</v>
      </c>
      <c r="AV1861">
        <f t="shared" si="57"/>
        <v>0</v>
      </c>
    </row>
    <row r="1862" spans="1:48" x14ac:dyDescent="0.25">
      <c r="A1862" t="s">
        <v>7058</v>
      </c>
      <c r="C1862" t="s">
        <v>7059</v>
      </c>
      <c r="D1862" t="s">
        <v>6384</v>
      </c>
      <c r="E1862" t="s">
        <v>2310</v>
      </c>
      <c r="F1862">
        <v>9</v>
      </c>
      <c r="G1862">
        <v>9.3000000000000007</v>
      </c>
      <c r="H1862" t="s">
        <v>2323</v>
      </c>
      <c r="I1862" s="21">
        <v>38828</v>
      </c>
      <c r="J1862">
        <v>2006</v>
      </c>
      <c r="K1862" s="21">
        <v>38910</v>
      </c>
      <c r="L1862">
        <v>2006</v>
      </c>
      <c r="M1862" s="21">
        <v>38910</v>
      </c>
      <c r="N1862">
        <v>2006</v>
      </c>
      <c r="R1862" s="262">
        <v>1200000</v>
      </c>
      <c r="S1862" t="s">
        <v>114</v>
      </c>
      <c r="T1862" t="s">
        <v>114</v>
      </c>
      <c r="U1862">
        <v>5</v>
      </c>
      <c r="W1862">
        <v>0</v>
      </c>
      <c r="X1862">
        <v>0</v>
      </c>
      <c r="Y1862">
        <v>0</v>
      </c>
      <c r="Z1862">
        <v>0</v>
      </c>
      <c r="AA1862">
        <v>0</v>
      </c>
      <c r="AB1862">
        <v>0</v>
      </c>
      <c r="AC1862">
        <v>0</v>
      </c>
      <c r="AD1862">
        <v>0</v>
      </c>
      <c r="AE1862">
        <v>0</v>
      </c>
      <c r="AF1862">
        <v>0</v>
      </c>
      <c r="AG1862">
        <v>0</v>
      </c>
      <c r="AH1862">
        <v>0</v>
      </c>
      <c r="AI1862">
        <v>0</v>
      </c>
      <c r="AJ1862">
        <v>0</v>
      </c>
      <c r="AK1862">
        <v>0</v>
      </c>
      <c r="AL1862">
        <v>0</v>
      </c>
      <c r="AM1862">
        <v>0</v>
      </c>
      <c r="AN1862">
        <v>0</v>
      </c>
      <c r="AO1862">
        <v>0</v>
      </c>
      <c r="AP1862">
        <v>0</v>
      </c>
      <c r="AQ1862">
        <v>0</v>
      </c>
      <c r="AR1862">
        <v>0</v>
      </c>
      <c r="AS1862">
        <v>0</v>
      </c>
      <c r="AT1862">
        <v>0</v>
      </c>
      <c r="AU1862">
        <f t="shared" si="56"/>
        <v>0</v>
      </c>
      <c r="AV1862">
        <f t="shared" si="57"/>
        <v>0</v>
      </c>
    </row>
    <row r="1863" spans="1:48" x14ac:dyDescent="0.25">
      <c r="A1863" t="s">
        <v>7060</v>
      </c>
      <c r="C1863" t="s">
        <v>7061</v>
      </c>
      <c r="D1863" t="s">
        <v>7062</v>
      </c>
      <c r="E1863" t="s">
        <v>2310</v>
      </c>
      <c r="F1863">
        <v>9</v>
      </c>
      <c r="G1863">
        <v>9.3000000000000007</v>
      </c>
      <c r="H1863" t="s">
        <v>2323</v>
      </c>
      <c r="I1863" s="21">
        <v>38831</v>
      </c>
      <c r="J1863">
        <v>2006</v>
      </c>
      <c r="K1863" s="21">
        <v>38894</v>
      </c>
      <c r="L1863">
        <v>2006</v>
      </c>
      <c r="M1863" s="21">
        <v>39359</v>
      </c>
      <c r="N1863">
        <v>2007</v>
      </c>
      <c r="R1863" s="262">
        <v>1400000</v>
      </c>
      <c r="S1863" t="s">
        <v>114</v>
      </c>
      <c r="T1863" t="s">
        <v>114</v>
      </c>
      <c r="U1863">
        <v>5</v>
      </c>
      <c r="W1863">
        <v>4882</v>
      </c>
      <c r="X1863">
        <v>1</v>
      </c>
      <c r="Y1863">
        <v>0</v>
      </c>
      <c r="Z1863">
        <v>0</v>
      </c>
      <c r="AA1863">
        <v>0</v>
      </c>
      <c r="AB1863">
        <v>0</v>
      </c>
      <c r="AC1863">
        <v>4882</v>
      </c>
      <c r="AD1863">
        <v>0</v>
      </c>
      <c r="AE1863">
        <v>0</v>
      </c>
      <c r="AF1863">
        <v>0</v>
      </c>
      <c r="AG1863">
        <v>0</v>
      </c>
      <c r="AH1863">
        <v>0</v>
      </c>
      <c r="AI1863">
        <v>0</v>
      </c>
      <c r="AJ1863">
        <v>0</v>
      </c>
      <c r="AK1863">
        <v>0</v>
      </c>
      <c r="AL1863">
        <v>0</v>
      </c>
      <c r="AM1863">
        <v>0</v>
      </c>
      <c r="AN1863">
        <v>0</v>
      </c>
      <c r="AO1863">
        <v>1</v>
      </c>
      <c r="AP1863">
        <v>0</v>
      </c>
      <c r="AQ1863">
        <v>0</v>
      </c>
      <c r="AR1863">
        <v>0</v>
      </c>
      <c r="AS1863">
        <v>0</v>
      </c>
      <c r="AT1863">
        <v>0</v>
      </c>
      <c r="AU1863">
        <f t="shared" si="56"/>
        <v>1</v>
      </c>
      <c r="AV1863">
        <f t="shared" si="57"/>
        <v>0</v>
      </c>
    </row>
    <row r="1864" spans="1:48" x14ac:dyDescent="0.25">
      <c r="A1864" t="s">
        <v>7063</v>
      </c>
      <c r="C1864" t="s">
        <v>7061</v>
      </c>
      <c r="D1864" t="s">
        <v>7064</v>
      </c>
      <c r="E1864" t="s">
        <v>2310</v>
      </c>
      <c r="F1864">
        <v>9</v>
      </c>
      <c r="G1864">
        <v>9.3000000000000007</v>
      </c>
      <c r="H1864" t="s">
        <v>2323</v>
      </c>
      <c r="I1864" s="21">
        <v>38831</v>
      </c>
      <c r="J1864">
        <v>2006</v>
      </c>
      <c r="K1864" s="21">
        <v>38895</v>
      </c>
      <c r="L1864">
        <v>2006</v>
      </c>
      <c r="M1864" s="21">
        <v>39377</v>
      </c>
      <c r="N1864">
        <v>2007</v>
      </c>
      <c r="R1864" s="262">
        <v>1400000</v>
      </c>
      <c r="S1864" t="s">
        <v>114</v>
      </c>
      <c r="T1864" t="s">
        <v>114</v>
      </c>
      <c r="U1864">
        <v>5</v>
      </c>
      <c r="W1864">
        <v>4882</v>
      </c>
      <c r="X1864">
        <v>1</v>
      </c>
      <c r="Y1864">
        <v>0</v>
      </c>
      <c r="Z1864">
        <v>0</v>
      </c>
      <c r="AA1864">
        <v>0</v>
      </c>
      <c r="AB1864">
        <v>0</v>
      </c>
      <c r="AC1864">
        <v>4882</v>
      </c>
      <c r="AD1864">
        <v>0</v>
      </c>
      <c r="AE1864">
        <v>0</v>
      </c>
      <c r="AF1864">
        <v>0</v>
      </c>
      <c r="AG1864">
        <v>0</v>
      </c>
      <c r="AH1864">
        <v>0</v>
      </c>
      <c r="AI1864">
        <v>0</v>
      </c>
      <c r="AJ1864">
        <v>0</v>
      </c>
      <c r="AK1864">
        <v>0</v>
      </c>
      <c r="AL1864">
        <v>0</v>
      </c>
      <c r="AM1864">
        <v>0</v>
      </c>
      <c r="AN1864">
        <v>0</v>
      </c>
      <c r="AO1864">
        <v>1</v>
      </c>
      <c r="AP1864">
        <v>0</v>
      </c>
      <c r="AQ1864">
        <v>0</v>
      </c>
      <c r="AR1864">
        <v>0</v>
      </c>
      <c r="AS1864">
        <v>0</v>
      </c>
      <c r="AT1864">
        <v>0</v>
      </c>
      <c r="AU1864">
        <f t="shared" si="56"/>
        <v>1</v>
      </c>
      <c r="AV1864">
        <f t="shared" si="57"/>
        <v>0</v>
      </c>
    </row>
    <row r="1865" spans="1:48" x14ac:dyDescent="0.25">
      <c r="A1865" t="s">
        <v>7065</v>
      </c>
      <c r="C1865" t="s">
        <v>7066</v>
      </c>
      <c r="D1865" t="s">
        <v>5955</v>
      </c>
      <c r="E1865" t="s">
        <v>2310</v>
      </c>
      <c r="F1865">
        <v>9</v>
      </c>
      <c r="G1865">
        <v>9.1</v>
      </c>
      <c r="H1865" t="s">
        <v>2323</v>
      </c>
      <c r="I1865" s="21">
        <v>38832</v>
      </c>
      <c r="J1865">
        <v>2006</v>
      </c>
      <c r="K1865" s="21">
        <v>38862</v>
      </c>
      <c r="L1865">
        <v>2006</v>
      </c>
      <c r="M1865" s="21">
        <v>39275</v>
      </c>
      <c r="N1865">
        <v>2007</v>
      </c>
      <c r="R1865" s="262">
        <v>3000000</v>
      </c>
      <c r="S1865" t="s">
        <v>114</v>
      </c>
      <c r="T1865" t="s">
        <v>114</v>
      </c>
      <c r="U1865">
        <v>4</v>
      </c>
      <c r="W1865">
        <v>10158</v>
      </c>
      <c r="X1865">
        <v>0</v>
      </c>
      <c r="Y1865">
        <v>0</v>
      </c>
      <c r="Z1865">
        <v>0</v>
      </c>
      <c r="AA1865">
        <v>0</v>
      </c>
      <c r="AB1865">
        <v>10158</v>
      </c>
      <c r="AC1865">
        <v>0</v>
      </c>
      <c r="AD1865">
        <v>0</v>
      </c>
      <c r="AE1865">
        <v>0</v>
      </c>
      <c r="AF1865">
        <v>0</v>
      </c>
      <c r="AG1865">
        <v>0</v>
      </c>
      <c r="AH1865">
        <v>0</v>
      </c>
      <c r="AI1865">
        <v>0</v>
      </c>
      <c r="AJ1865">
        <v>0</v>
      </c>
      <c r="AK1865">
        <v>0</v>
      </c>
      <c r="AL1865">
        <v>0</v>
      </c>
      <c r="AM1865">
        <v>0</v>
      </c>
      <c r="AN1865">
        <v>0</v>
      </c>
      <c r="AO1865">
        <v>0</v>
      </c>
      <c r="AP1865">
        <v>0</v>
      </c>
      <c r="AQ1865">
        <v>0</v>
      </c>
      <c r="AR1865">
        <v>0</v>
      </c>
      <c r="AS1865">
        <v>0</v>
      </c>
      <c r="AT1865">
        <v>0</v>
      </c>
      <c r="AU1865">
        <f t="shared" si="56"/>
        <v>0</v>
      </c>
      <c r="AV1865">
        <f t="shared" si="57"/>
        <v>10158</v>
      </c>
    </row>
    <row r="1866" spans="1:48" x14ac:dyDescent="0.25">
      <c r="A1866" t="s">
        <v>7067</v>
      </c>
      <c r="C1866" t="s">
        <v>7068</v>
      </c>
      <c r="D1866" t="s">
        <v>4886</v>
      </c>
      <c r="E1866" t="s">
        <v>2310</v>
      </c>
      <c r="F1866">
        <v>9</v>
      </c>
      <c r="G1866">
        <v>9.1</v>
      </c>
      <c r="H1866" t="s">
        <v>2323</v>
      </c>
      <c r="I1866" s="21">
        <v>38832</v>
      </c>
      <c r="J1866">
        <v>2006</v>
      </c>
      <c r="K1866" s="21">
        <v>38863</v>
      </c>
      <c r="L1866">
        <v>2006</v>
      </c>
      <c r="M1866" s="21">
        <v>39189</v>
      </c>
      <c r="N1866">
        <v>2007</v>
      </c>
      <c r="R1866" s="262">
        <v>200000</v>
      </c>
      <c r="S1866" t="s">
        <v>114</v>
      </c>
      <c r="T1866" t="s">
        <v>114</v>
      </c>
      <c r="U1866">
        <v>4</v>
      </c>
      <c r="W1866">
        <v>1106</v>
      </c>
      <c r="X1866">
        <v>0</v>
      </c>
      <c r="Y1866">
        <v>0</v>
      </c>
      <c r="Z1866">
        <v>0</v>
      </c>
      <c r="AA1866">
        <v>0</v>
      </c>
      <c r="AB1866">
        <v>1106</v>
      </c>
      <c r="AC1866">
        <v>0</v>
      </c>
      <c r="AD1866">
        <v>0</v>
      </c>
      <c r="AE1866">
        <v>0</v>
      </c>
      <c r="AF1866">
        <v>0</v>
      </c>
      <c r="AG1866">
        <v>0</v>
      </c>
      <c r="AH1866">
        <v>0</v>
      </c>
      <c r="AI1866">
        <v>0</v>
      </c>
      <c r="AJ1866">
        <v>0</v>
      </c>
      <c r="AK1866">
        <v>0</v>
      </c>
      <c r="AL1866">
        <v>0</v>
      </c>
      <c r="AM1866">
        <v>0</v>
      </c>
      <c r="AN1866">
        <v>0</v>
      </c>
      <c r="AO1866">
        <v>0</v>
      </c>
      <c r="AP1866">
        <v>0</v>
      </c>
      <c r="AQ1866">
        <v>0</v>
      </c>
      <c r="AR1866">
        <v>0</v>
      </c>
      <c r="AS1866">
        <v>0</v>
      </c>
      <c r="AT1866">
        <v>0</v>
      </c>
      <c r="AU1866">
        <f t="shared" si="56"/>
        <v>0</v>
      </c>
      <c r="AV1866">
        <f t="shared" si="57"/>
        <v>1106</v>
      </c>
    </row>
    <row r="1867" spans="1:48" x14ac:dyDescent="0.25">
      <c r="A1867" t="s">
        <v>7069</v>
      </c>
      <c r="C1867" t="s">
        <v>7070</v>
      </c>
      <c r="D1867" t="s">
        <v>7071</v>
      </c>
      <c r="E1867" t="s">
        <v>2310</v>
      </c>
      <c r="F1867">
        <v>10</v>
      </c>
      <c r="G1867">
        <v>10.1</v>
      </c>
      <c r="H1867" t="s">
        <v>2323</v>
      </c>
      <c r="I1867" s="21">
        <v>38833</v>
      </c>
      <c r="J1867">
        <v>2006</v>
      </c>
      <c r="K1867" s="21">
        <v>40550.412291666697</v>
      </c>
      <c r="L1867">
        <v>2011</v>
      </c>
      <c r="M1867" s="21">
        <v>40550.413993055598</v>
      </c>
      <c r="N1867">
        <v>2011</v>
      </c>
      <c r="Q1867" s="262">
        <v>10000</v>
      </c>
      <c r="R1867" s="262">
        <v>10000</v>
      </c>
      <c r="S1867" t="s">
        <v>114</v>
      </c>
      <c r="T1867" t="s">
        <v>114</v>
      </c>
      <c r="U1867">
        <v>5</v>
      </c>
      <c r="W1867">
        <v>600</v>
      </c>
      <c r="X1867">
        <v>0</v>
      </c>
      <c r="Y1867">
        <v>0</v>
      </c>
      <c r="Z1867">
        <v>0</v>
      </c>
      <c r="AA1867">
        <v>0</v>
      </c>
      <c r="AB1867">
        <v>0</v>
      </c>
      <c r="AC1867">
        <v>600</v>
      </c>
      <c r="AD1867">
        <v>0</v>
      </c>
      <c r="AE1867">
        <v>0</v>
      </c>
      <c r="AF1867">
        <v>0</v>
      </c>
      <c r="AG1867">
        <v>0</v>
      </c>
      <c r="AH1867">
        <v>0</v>
      </c>
      <c r="AI1867">
        <v>0</v>
      </c>
      <c r="AJ1867">
        <v>0</v>
      </c>
      <c r="AK1867">
        <v>0</v>
      </c>
      <c r="AL1867">
        <v>0</v>
      </c>
      <c r="AM1867">
        <v>0</v>
      </c>
      <c r="AN1867">
        <v>0</v>
      </c>
      <c r="AO1867">
        <v>0</v>
      </c>
      <c r="AP1867">
        <v>0</v>
      </c>
      <c r="AQ1867">
        <v>0</v>
      </c>
      <c r="AR1867">
        <v>0</v>
      </c>
      <c r="AS1867">
        <v>0</v>
      </c>
      <c r="AT1867">
        <v>0</v>
      </c>
      <c r="AU1867">
        <f t="shared" si="56"/>
        <v>0</v>
      </c>
      <c r="AV1867">
        <f t="shared" si="57"/>
        <v>0</v>
      </c>
    </row>
    <row r="1868" spans="1:48" x14ac:dyDescent="0.25">
      <c r="A1868" t="s">
        <v>7072</v>
      </c>
      <c r="C1868" t="s">
        <v>7073</v>
      </c>
      <c r="D1868" t="s">
        <v>7074</v>
      </c>
      <c r="E1868" t="s">
        <v>2310</v>
      </c>
      <c r="F1868">
        <v>9</v>
      </c>
      <c r="G1868">
        <v>9.1</v>
      </c>
      <c r="H1868" t="s">
        <v>2323</v>
      </c>
      <c r="I1868" s="21">
        <v>38834</v>
      </c>
      <c r="J1868">
        <v>2006</v>
      </c>
      <c r="K1868" s="21">
        <v>38876</v>
      </c>
      <c r="L1868">
        <v>2006</v>
      </c>
      <c r="M1868" s="21">
        <v>39128</v>
      </c>
      <c r="N1868">
        <v>2007</v>
      </c>
      <c r="R1868" s="262">
        <v>250000</v>
      </c>
      <c r="S1868" t="s">
        <v>114</v>
      </c>
      <c r="T1868" t="s">
        <v>114</v>
      </c>
      <c r="U1868">
        <v>5</v>
      </c>
      <c r="W1868">
        <v>2103</v>
      </c>
      <c r="X1868">
        <v>0</v>
      </c>
      <c r="Y1868">
        <v>0</v>
      </c>
      <c r="Z1868">
        <v>0</v>
      </c>
      <c r="AA1868">
        <v>0</v>
      </c>
      <c r="AB1868">
        <v>0</v>
      </c>
      <c r="AC1868">
        <v>2103</v>
      </c>
      <c r="AD1868">
        <v>0</v>
      </c>
      <c r="AE1868">
        <v>0</v>
      </c>
      <c r="AF1868">
        <v>0</v>
      </c>
      <c r="AG1868">
        <v>0</v>
      </c>
      <c r="AH1868">
        <v>0</v>
      </c>
      <c r="AI1868">
        <v>0</v>
      </c>
      <c r="AJ1868">
        <v>0</v>
      </c>
      <c r="AK1868">
        <v>0</v>
      </c>
      <c r="AL1868">
        <v>0</v>
      </c>
      <c r="AM1868">
        <v>0</v>
      </c>
      <c r="AN1868">
        <v>0</v>
      </c>
      <c r="AO1868">
        <v>0</v>
      </c>
      <c r="AP1868">
        <v>0</v>
      </c>
      <c r="AQ1868">
        <v>0</v>
      </c>
      <c r="AR1868">
        <v>0</v>
      </c>
      <c r="AS1868">
        <v>0</v>
      </c>
      <c r="AT1868">
        <v>0</v>
      </c>
      <c r="AU1868">
        <f t="shared" si="56"/>
        <v>0</v>
      </c>
      <c r="AV1868">
        <f t="shared" si="57"/>
        <v>0</v>
      </c>
    </row>
    <row r="1869" spans="1:48" x14ac:dyDescent="0.25">
      <c r="A1869" t="s">
        <v>7075</v>
      </c>
      <c r="C1869" t="s">
        <v>7076</v>
      </c>
      <c r="D1869" t="s">
        <v>5704</v>
      </c>
      <c r="E1869" t="s">
        <v>2310</v>
      </c>
      <c r="F1869">
        <v>9</v>
      </c>
      <c r="G1869">
        <v>9.4</v>
      </c>
      <c r="H1869" t="s">
        <v>2323</v>
      </c>
      <c r="I1869" s="21">
        <v>38834</v>
      </c>
      <c r="J1869">
        <v>2006</v>
      </c>
      <c r="K1869" s="21">
        <v>38877</v>
      </c>
      <c r="L1869">
        <v>2006</v>
      </c>
      <c r="M1869" s="21">
        <v>39232</v>
      </c>
      <c r="N1869">
        <v>2007</v>
      </c>
      <c r="R1869" s="262">
        <v>500000</v>
      </c>
      <c r="S1869" t="s">
        <v>114</v>
      </c>
      <c r="T1869" t="s">
        <v>114</v>
      </c>
      <c r="U1869">
        <v>5</v>
      </c>
      <c r="W1869">
        <v>999</v>
      </c>
      <c r="X1869">
        <v>0</v>
      </c>
      <c r="Y1869">
        <v>0</v>
      </c>
      <c r="Z1869">
        <v>0</v>
      </c>
      <c r="AA1869">
        <v>0</v>
      </c>
      <c r="AB1869">
        <v>0</v>
      </c>
      <c r="AC1869">
        <v>999</v>
      </c>
      <c r="AD1869">
        <v>0</v>
      </c>
      <c r="AE1869">
        <v>0</v>
      </c>
      <c r="AF1869">
        <v>0</v>
      </c>
      <c r="AG1869">
        <v>0</v>
      </c>
      <c r="AH1869">
        <v>0</v>
      </c>
      <c r="AI1869">
        <v>0</v>
      </c>
      <c r="AJ1869">
        <v>0</v>
      </c>
      <c r="AK1869">
        <v>0</v>
      </c>
      <c r="AL1869">
        <v>0</v>
      </c>
      <c r="AM1869">
        <v>0</v>
      </c>
      <c r="AN1869">
        <v>0</v>
      </c>
      <c r="AO1869">
        <v>0</v>
      </c>
      <c r="AP1869">
        <v>0</v>
      </c>
      <c r="AQ1869">
        <v>0</v>
      </c>
      <c r="AR1869">
        <v>0</v>
      </c>
      <c r="AS1869">
        <v>0</v>
      </c>
      <c r="AT1869">
        <v>0</v>
      </c>
      <c r="AU1869">
        <f t="shared" si="56"/>
        <v>0</v>
      </c>
      <c r="AV1869">
        <f t="shared" si="57"/>
        <v>0</v>
      </c>
    </row>
    <row r="1870" spans="1:48" x14ac:dyDescent="0.25">
      <c r="A1870" t="s">
        <v>7077</v>
      </c>
      <c r="C1870" t="s">
        <v>7078</v>
      </c>
      <c r="D1870" t="s">
        <v>7079</v>
      </c>
      <c r="E1870" t="s">
        <v>2310</v>
      </c>
      <c r="F1870">
        <v>9</v>
      </c>
      <c r="G1870">
        <v>9.3000000000000007</v>
      </c>
      <c r="H1870" t="s">
        <v>2323</v>
      </c>
      <c r="I1870" s="21">
        <v>38835</v>
      </c>
      <c r="J1870">
        <v>2006</v>
      </c>
      <c r="K1870" s="21">
        <v>38890</v>
      </c>
      <c r="L1870">
        <v>2006</v>
      </c>
      <c r="M1870" s="21">
        <v>39738</v>
      </c>
      <c r="N1870">
        <v>2008</v>
      </c>
      <c r="R1870" s="262">
        <v>50000</v>
      </c>
      <c r="S1870" t="s">
        <v>114</v>
      </c>
      <c r="T1870" t="s">
        <v>114</v>
      </c>
      <c r="U1870">
        <v>8</v>
      </c>
      <c r="W1870">
        <v>900</v>
      </c>
      <c r="X1870">
        <v>1</v>
      </c>
      <c r="Y1870">
        <v>0</v>
      </c>
      <c r="Z1870">
        <v>0</v>
      </c>
      <c r="AA1870">
        <v>0</v>
      </c>
      <c r="AB1870">
        <v>0</v>
      </c>
      <c r="AC1870">
        <v>0</v>
      </c>
      <c r="AD1870">
        <v>0</v>
      </c>
      <c r="AE1870">
        <v>0</v>
      </c>
      <c r="AF1870">
        <v>900</v>
      </c>
      <c r="AG1870">
        <v>0</v>
      </c>
      <c r="AH1870">
        <v>0</v>
      </c>
      <c r="AI1870">
        <v>0</v>
      </c>
      <c r="AJ1870">
        <v>0</v>
      </c>
      <c r="AK1870">
        <v>0</v>
      </c>
      <c r="AL1870">
        <v>0</v>
      </c>
      <c r="AM1870">
        <v>0</v>
      </c>
      <c r="AN1870">
        <v>0</v>
      </c>
      <c r="AO1870">
        <v>0</v>
      </c>
      <c r="AP1870">
        <v>0</v>
      </c>
      <c r="AQ1870">
        <v>0</v>
      </c>
      <c r="AR1870">
        <v>1</v>
      </c>
      <c r="AS1870">
        <v>0</v>
      </c>
      <c r="AT1870">
        <v>0</v>
      </c>
      <c r="AU1870">
        <f t="shared" si="56"/>
        <v>0</v>
      </c>
      <c r="AV1870">
        <f t="shared" si="57"/>
        <v>0</v>
      </c>
    </row>
    <row r="1871" spans="1:48" x14ac:dyDescent="0.25">
      <c r="A1871" t="s">
        <v>7080</v>
      </c>
      <c r="C1871" t="s">
        <v>7061</v>
      </c>
      <c r="D1871" t="s">
        <v>7081</v>
      </c>
      <c r="E1871" t="s">
        <v>2310</v>
      </c>
      <c r="F1871">
        <v>12</v>
      </c>
      <c r="G1871">
        <v>12.3</v>
      </c>
      <c r="H1871" t="s">
        <v>2017</v>
      </c>
      <c r="I1871" s="21">
        <v>38835</v>
      </c>
      <c r="J1871">
        <v>2006</v>
      </c>
      <c r="K1871" s="21">
        <v>38891</v>
      </c>
      <c r="L1871">
        <v>2006</v>
      </c>
      <c r="M1871" s="21">
        <v>39568</v>
      </c>
      <c r="N1871">
        <v>2008</v>
      </c>
      <c r="R1871" s="262">
        <v>150000</v>
      </c>
      <c r="S1871" t="s">
        <v>114</v>
      </c>
      <c r="T1871" t="s">
        <v>114</v>
      </c>
      <c r="U1871">
        <v>5</v>
      </c>
      <c r="W1871">
        <v>7362</v>
      </c>
      <c r="X1871">
        <v>1</v>
      </c>
      <c r="Y1871">
        <v>0</v>
      </c>
      <c r="Z1871">
        <v>0</v>
      </c>
      <c r="AA1871">
        <v>0</v>
      </c>
      <c r="AB1871">
        <v>0</v>
      </c>
      <c r="AC1871">
        <v>7362</v>
      </c>
      <c r="AD1871">
        <v>0</v>
      </c>
      <c r="AE1871">
        <v>0</v>
      </c>
      <c r="AF1871">
        <v>0</v>
      </c>
      <c r="AG1871">
        <v>0</v>
      </c>
      <c r="AH1871">
        <v>0</v>
      </c>
      <c r="AI1871">
        <v>0</v>
      </c>
      <c r="AJ1871">
        <v>0</v>
      </c>
      <c r="AK1871">
        <v>0</v>
      </c>
      <c r="AL1871">
        <v>0</v>
      </c>
      <c r="AM1871">
        <v>0</v>
      </c>
      <c r="AN1871">
        <v>0</v>
      </c>
      <c r="AO1871">
        <v>1</v>
      </c>
      <c r="AP1871">
        <v>0</v>
      </c>
      <c r="AQ1871">
        <v>0</v>
      </c>
      <c r="AR1871">
        <v>0</v>
      </c>
      <c r="AS1871">
        <v>0</v>
      </c>
      <c r="AT1871">
        <v>0</v>
      </c>
      <c r="AU1871">
        <f t="shared" si="56"/>
        <v>1</v>
      </c>
      <c r="AV1871">
        <f t="shared" si="57"/>
        <v>0</v>
      </c>
    </row>
    <row r="1872" spans="1:48" x14ac:dyDescent="0.25">
      <c r="A1872" t="s">
        <v>7082</v>
      </c>
      <c r="C1872" t="s">
        <v>7083</v>
      </c>
      <c r="D1872" t="s">
        <v>6005</v>
      </c>
      <c r="E1872" t="s">
        <v>2310</v>
      </c>
      <c r="F1872">
        <v>9</v>
      </c>
      <c r="G1872">
        <v>9.3000000000000007</v>
      </c>
      <c r="H1872" t="s">
        <v>2323</v>
      </c>
      <c r="I1872" s="21">
        <v>38835</v>
      </c>
      <c r="J1872">
        <v>2006</v>
      </c>
      <c r="K1872" s="21">
        <v>38891</v>
      </c>
      <c r="L1872">
        <v>2006</v>
      </c>
      <c r="M1872" s="21">
        <v>39262</v>
      </c>
      <c r="N1872">
        <v>2007</v>
      </c>
      <c r="R1872" s="262">
        <v>1200000</v>
      </c>
      <c r="S1872" t="s">
        <v>114</v>
      </c>
      <c r="T1872" t="s">
        <v>114</v>
      </c>
      <c r="U1872">
        <v>3</v>
      </c>
      <c r="W1872">
        <v>4159</v>
      </c>
      <c r="X1872">
        <v>0</v>
      </c>
      <c r="Y1872">
        <v>0</v>
      </c>
      <c r="Z1872">
        <v>0</v>
      </c>
      <c r="AA1872">
        <v>4159</v>
      </c>
      <c r="AB1872">
        <v>0</v>
      </c>
      <c r="AC1872">
        <v>0</v>
      </c>
      <c r="AD1872">
        <v>0</v>
      </c>
      <c r="AE1872">
        <v>0</v>
      </c>
      <c r="AF1872">
        <v>0</v>
      </c>
      <c r="AG1872">
        <v>0</v>
      </c>
      <c r="AH1872">
        <v>0</v>
      </c>
      <c r="AI1872">
        <v>0</v>
      </c>
      <c r="AJ1872">
        <v>0</v>
      </c>
      <c r="AK1872">
        <v>0</v>
      </c>
      <c r="AL1872">
        <v>0</v>
      </c>
      <c r="AM1872">
        <v>0</v>
      </c>
      <c r="AN1872">
        <v>0</v>
      </c>
      <c r="AO1872">
        <v>0</v>
      </c>
      <c r="AP1872">
        <v>0</v>
      </c>
      <c r="AQ1872">
        <v>0</v>
      </c>
      <c r="AR1872">
        <v>0</v>
      </c>
      <c r="AS1872">
        <v>0</v>
      </c>
      <c r="AT1872">
        <v>0</v>
      </c>
      <c r="AU1872">
        <f t="shared" si="56"/>
        <v>0</v>
      </c>
      <c r="AV1872">
        <f t="shared" si="57"/>
        <v>4159</v>
      </c>
    </row>
    <row r="1873" spans="1:48" x14ac:dyDescent="0.25">
      <c r="A1873" t="s">
        <v>7084</v>
      </c>
      <c r="C1873" t="s">
        <v>7085</v>
      </c>
      <c r="D1873" t="s">
        <v>7086</v>
      </c>
      <c r="E1873" t="s">
        <v>2310</v>
      </c>
      <c r="F1873">
        <v>9</v>
      </c>
      <c r="G1873">
        <v>9.1999999999999993</v>
      </c>
      <c r="H1873" t="s">
        <v>2022</v>
      </c>
      <c r="I1873" s="21">
        <v>38838</v>
      </c>
      <c r="J1873">
        <v>2006</v>
      </c>
      <c r="K1873" s="21">
        <v>38908</v>
      </c>
      <c r="L1873">
        <v>2006</v>
      </c>
      <c r="M1873" s="21">
        <v>39800</v>
      </c>
      <c r="N1873">
        <v>2008</v>
      </c>
      <c r="R1873" s="262">
        <v>900000</v>
      </c>
      <c r="S1873" t="s">
        <v>114</v>
      </c>
      <c r="T1873" t="s">
        <v>114</v>
      </c>
      <c r="U1873">
        <v>5</v>
      </c>
      <c r="W1873">
        <v>5959</v>
      </c>
      <c r="X1873">
        <v>1</v>
      </c>
      <c r="Y1873">
        <v>0</v>
      </c>
      <c r="Z1873">
        <v>0</v>
      </c>
      <c r="AA1873">
        <v>0</v>
      </c>
      <c r="AB1873">
        <v>0</v>
      </c>
      <c r="AC1873">
        <v>5959</v>
      </c>
      <c r="AD1873">
        <v>0</v>
      </c>
      <c r="AE1873">
        <v>0</v>
      </c>
      <c r="AF1873">
        <v>0</v>
      </c>
      <c r="AG1873">
        <v>0</v>
      </c>
      <c r="AH1873">
        <v>0</v>
      </c>
      <c r="AI1873">
        <v>0</v>
      </c>
      <c r="AJ1873">
        <v>0</v>
      </c>
      <c r="AK1873">
        <v>0</v>
      </c>
      <c r="AL1873">
        <v>0</v>
      </c>
      <c r="AM1873">
        <v>0</v>
      </c>
      <c r="AN1873">
        <v>0</v>
      </c>
      <c r="AO1873">
        <v>1</v>
      </c>
      <c r="AP1873">
        <v>0</v>
      </c>
      <c r="AQ1873">
        <v>0</v>
      </c>
      <c r="AR1873">
        <v>0</v>
      </c>
      <c r="AS1873">
        <v>0</v>
      </c>
      <c r="AT1873">
        <v>0</v>
      </c>
      <c r="AU1873">
        <f t="shared" si="56"/>
        <v>1</v>
      </c>
      <c r="AV1873">
        <f t="shared" si="57"/>
        <v>0</v>
      </c>
    </row>
    <row r="1874" spans="1:48" x14ac:dyDescent="0.25">
      <c r="A1874" t="s">
        <v>7087</v>
      </c>
      <c r="C1874" t="s">
        <v>7088</v>
      </c>
      <c r="D1874" t="s">
        <v>7089</v>
      </c>
      <c r="E1874" t="s">
        <v>2310</v>
      </c>
      <c r="F1874">
        <v>7</v>
      </c>
      <c r="G1874">
        <v>7.1</v>
      </c>
      <c r="H1874" t="s">
        <v>2017</v>
      </c>
      <c r="I1874" s="21">
        <v>38838</v>
      </c>
      <c r="J1874">
        <v>2006</v>
      </c>
      <c r="K1874" s="21">
        <v>38856</v>
      </c>
      <c r="L1874">
        <v>2006</v>
      </c>
      <c r="M1874" s="21">
        <v>38856</v>
      </c>
      <c r="N1874">
        <v>2006</v>
      </c>
      <c r="R1874" s="262">
        <v>20000</v>
      </c>
      <c r="S1874" t="s">
        <v>114</v>
      </c>
      <c r="T1874" t="s">
        <v>114</v>
      </c>
      <c r="U1874">
        <v>10</v>
      </c>
      <c r="W1874">
        <v>0</v>
      </c>
      <c r="X1874">
        <v>0</v>
      </c>
      <c r="Y1874">
        <v>0</v>
      </c>
      <c r="Z1874">
        <v>0</v>
      </c>
      <c r="AA1874">
        <v>0</v>
      </c>
      <c r="AB1874">
        <v>0</v>
      </c>
      <c r="AC1874">
        <v>0</v>
      </c>
      <c r="AD1874">
        <v>0</v>
      </c>
      <c r="AE1874">
        <v>0</v>
      </c>
      <c r="AF1874">
        <v>0</v>
      </c>
      <c r="AG1874">
        <v>0</v>
      </c>
      <c r="AH1874">
        <v>0</v>
      </c>
      <c r="AI1874">
        <v>0</v>
      </c>
      <c r="AJ1874">
        <v>0</v>
      </c>
      <c r="AK1874">
        <v>0</v>
      </c>
      <c r="AL1874">
        <v>0</v>
      </c>
      <c r="AM1874">
        <v>0</v>
      </c>
      <c r="AN1874">
        <v>0</v>
      </c>
      <c r="AO1874">
        <v>0</v>
      </c>
      <c r="AP1874">
        <v>0</v>
      </c>
      <c r="AQ1874">
        <v>0</v>
      </c>
      <c r="AR1874">
        <v>0</v>
      </c>
      <c r="AS1874">
        <v>0</v>
      </c>
      <c r="AT1874">
        <v>0</v>
      </c>
      <c r="AU1874">
        <f t="shared" si="56"/>
        <v>0</v>
      </c>
      <c r="AV1874">
        <f t="shared" si="57"/>
        <v>0</v>
      </c>
    </row>
    <row r="1875" spans="1:48" x14ac:dyDescent="0.25">
      <c r="A1875" t="s">
        <v>7090</v>
      </c>
      <c r="C1875" t="s">
        <v>7091</v>
      </c>
      <c r="D1875" t="s">
        <v>7086</v>
      </c>
      <c r="E1875" t="s">
        <v>2310</v>
      </c>
      <c r="F1875">
        <v>9</v>
      </c>
      <c r="G1875">
        <v>9.1999999999999993</v>
      </c>
      <c r="H1875" t="s">
        <v>2022</v>
      </c>
      <c r="I1875" s="21">
        <v>38838</v>
      </c>
      <c r="J1875">
        <v>2006</v>
      </c>
      <c r="K1875" s="21">
        <v>38908</v>
      </c>
      <c r="L1875">
        <v>2006</v>
      </c>
      <c r="M1875" s="21">
        <v>39800</v>
      </c>
      <c r="N1875">
        <v>2008</v>
      </c>
      <c r="R1875" s="262">
        <v>50000</v>
      </c>
      <c r="S1875" t="s">
        <v>114</v>
      </c>
      <c r="T1875" t="s">
        <v>114</v>
      </c>
      <c r="U1875">
        <v>5</v>
      </c>
      <c r="W1875">
        <v>576</v>
      </c>
      <c r="X1875">
        <v>0</v>
      </c>
      <c r="Y1875">
        <v>0</v>
      </c>
      <c r="Z1875">
        <v>0</v>
      </c>
      <c r="AA1875">
        <v>0</v>
      </c>
      <c r="AB1875">
        <v>0</v>
      </c>
      <c r="AC1875">
        <v>576</v>
      </c>
      <c r="AD1875">
        <v>0</v>
      </c>
      <c r="AE1875">
        <v>0</v>
      </c>
      <c r="AF1875">
        <v>0</v>
      </c>
      <c r="AG1875">
        <v>0</v>
      </c>
      <c r="AH1875">
        <v>0</v>
      </c>
      <c r="AI1875">
        <v>0</v>
      </c>
      <c r="AJ1875">
        <v>0</v>
      </c>
      <c r="AK1875">
        <v>0</v>
      </c>
      <c r="AL1875">
        <v>0</v>
      </c>
      <c r="AM1875">
        <v>0</v>
      </c>
      <c r="AN1875">
        <v>0</v>
      </c>
      <c r="AO1875">
        <v>0</v>
      </c>
      <c r="AP1875">
        <v>0</v>
      </c>
      <c r="AQ1875">
        <v>0</v>
      </c>
      <c r="AR1875">
        <v>0</v>
      </c>
      <c r="AS1875">
        <v>0</v>
      </c>
      <c r="AT1875">
        <v>0</v>
      </c>
      <c r="AU1875">
        <f t="shared" si="56"/>
        <v>0</v>
      </c>
      <c r="AV1875">
        <f t="shared" si="57"/>
        <v>0</v>
      </c>
    </row>
    <row r="1876" spans="1:48" x14ac:dyDescent="0.25">
      <c r="A1876" t="s">
        <v>7097</v>
      </c>
      <c r="C1876" t="s">
        <v>7098</v>
      </c>
      <c r="D1876" t="s">
        <v>7099</v>
      </c>
      <c r="E1876" t="s">
        <v>2310</v>
      </c>
      <c r="F1876">
        <v>9</v>
      </c>
      <c r="G1876">
        <v>9.1999999999999993</v>
      </c>
      <c r="H1876" t="s">
        <v>2022</v>
      </c>
      <c r="I1876" s="21">
        <v>38840</v>
      </c>
      <c r="J1876">
        <v>2006</v>
      </c>
      <c r="K1876" s="21">
        <v>38894</v>
      </c>
      <c r="L1876">
        <v>2006</v>
      </c>
      <c r="M1876" s="21">
        <v>38894</v>
      </c>
      <c r="N1876">
        <v>2006</v>
      </c>
      <c r="R1876" s="262">
        <v>126000</v>
      </c>
      <c r="S1876" t="s">
        <v>114</v>
      </c>
      <c r="T1876" t="s">
        <v>114</v>
      </c>
      <c r="U1876">
        <v>8</v>
      </c>
      <c r="W1876">
        <v>1702</v>
      </c>
      <c r="X1876">
        <v>1</v>
      </c>
      <c r="Y1876">
        <v>0</v>
      </c>
      <c r="Z1876">
        <v>0</v>
      </c>
      <c r="AA1876">
        <v>0</v>
      </c>
      <c r="AB1876">
        <v>0</v>
      </c>
      <c r="AC1876">
        <v>719</v>
      </c>
      <c r="AD1876">
        <v>0</v>
      </c>
      <c r="AE1876">
        <v>0</v>
      </c>
      <c r="AF1876">
        <v>983</v>
      </c>
      <c r="AG1876">
        <v>0</v>
      </c>
      <c r="AH1876">
        <v>0</v>
      </c>
      <c r="AI1876">
        <v>0</v>
      </c>
      <c r="AJ1876">
        <v>0</v>
      </c>
      <c r="AK1876">
        <v>0</v>
      </c>
      <c r="AL1876">
        <v>0</v>
      </c>
      <c r="AM1876">
        <v>0</v>
      </c>
      <c r="AN1876">
        <v>0</v>
      </c>
      <c r="AO1876">
        <v>0</v>
      </c>
      <c r="AP1876">
        <v>0</v>
      </c>
      <c r="AQ1876">
        <v>0</v>
      </c>
      <c r="AR1876">
        <v>1</v>
      </c>
      <c r="AS1876">
        <v>0</v>
      </c>
      <c r="AT1876">
        <v>0</v>
      </c>
      <c r="AU1876">
        <f t="shared" si="56"/>
        <v>0</v>
      </c>
      <c r="AV1876">
        <f t="shared" si="57"/>
        <v>0</v>
      </c>
    </row>
    <row r="1877" spans="1:48" x14ac:dyDescent="0.25">
      <c r="A1877" t="s">
        <v>7100</v>
      </c>
      <c r="C1877" t="s">
        <v>6163</v>
      </c>
      <c r="D1877" t="s">
        <v>7101</v>
      </c>
      <c r="E1877" t="s">
        <v>2310</v>
      </c>
      <c r="F1877">
        <v>9</v>
      </c>
      <c r="G1877">
        <v>9.3000000000000007</v>
      </c>
      <c r="H1877" t="s">
        <v>2323</v>
      </c>
      <c r="I1877" s="21">
        <v>38840</v>
      </c>
      <c r="J1877">
        <v>2006</v>
      </c>
      <c r="K1877" s="21">
        <v>38909</v>
      </c>
      <c r="L1877">
        <v>2006</v>
      </c>
      <c r="M1877" s="21">
        <v>39954</v>
      </c>
      <c r="N1877">
        <v>2009</v>
      </c>
      <c r="R1877" s="262">
        <v>2900000</v>
      </c>
      <c r="S1877" t="s">
        <v>114</v>
      </c>
      <c r="T1877" t="s">
        <v>114</v>
      </c>
      <c r="U1877">
        <v>5</v>
      </c>
      <c r="W1877">
        <v>7684</v>
      </c>
      <c r="X1877">
        <v>1</v>
      </c>
      <c r="Y1877">
        <v>0</v>
      </c>
      <c r="Z1877">
        <v>0</v>
      </c>
      <c r="AA1877">
        <v>0</v>
      </c>
      <c r="AB1877">
        <v>0</v>
      </c>
      <c r="AC1877">
        <v>7684</v>
      </c>
      <c r="AD1877">
        <v>0</v>
      </c>
      <c r="AE1877">
        <v>0</v>
      </c>
      <c r="AF1877">
        <v>0</v>
      </c>
      <c r="AG1877">
        <v>0</v>
      </c>
      <c r="AH1877">
        <v>0</v>
      </c>
      <c r="AI1877">
        <v>0</v>
      </c>
      <c r="AJ1877">
        <v>0</v>
      </c>
      <c r="AK1877">
        <v>0</v>
      </c>
      <c r="AL1877">
        <v>0</v>
      </c>
      <c r="AM1877">
        <v>0</v>
      </c>
      <c r="AN1877">
        <v>0</v>
      </c>
      <c r="AO1877">
        <v>1</v>
      </c>
      <c r="AP1877">
        <v>0</v>
      </c>
      <c r="AQ1877">
        <v>0</v>
      </c>
      <c r="AR1877">
        <v>0</v>
      </c>
      <c r="AS1877">
        <v>0</v>
      </c>
      <c r="AT1877">
        <v>0</v>
      </c>
      <c r="AU1877">
        <f t="shared" si="56"/>
        <v>1</v>
      </c>
      <c r="AV1877">
        <f t="shared" si="57"/>
        <v>0</v>
      </c>
    </row>
    <row r="1878" spans="1:48" x14ac:dyDescent="0.25">
      <c r="A1878" t="s">
        <v>7092</v>
      </c>
      <c r="C1878" t="s">
        <v>7093</v>
      </c>
      <c r="D1878" t="s">
        <v>7094</v>
      </c>
      <c r="E1878" t="s">
        <v>1663</v>
      </c>
      <c r="F1878">
        <v>3</v>
      </c>
      <c r="G1878">
        <v>3.1</v>
      </c>
      <c r="H1878" t="s">
        <v>2017</v>
      </c>
      <c r="I1878" s="21">
        <v>38840</v>
      </c>
      <c r="J1878">
        <v>2006</v>
      </c>
      <c r="K1878" s="21">
        <v>38871</v>
      </c>
      <c r="L1878">
        <v>2006</v>
      </c>
      <c r="M1878" s="21">
        <v>39024</v>
      </c>
      <c r="N1878">
        <v>2006</v>
      </c>
      <c r="Q1878" s="262">
        <v>0</v>
      </c>
      <c r="S1878" t="s">
        <v>114</v>
      </c>
      <c r="T1878" t="s">
        <v>114</v>
      </c>
      <c r="W1878">
        <v>660</v>
      </c>
      <c r="X1878">
        <v>1</v>
      </c>
      <c r="Y1878">
        <v>0</v>
      </c>
      <c r="Z1878">
        <v>0</v>
      </c>
      <c r="AA1878">
        <v>0</v>
      </c>
      <c r="AB1878">
        <v>0</v>
      </c>
      <c r="AC1878">
        <v>0</v>
      </c>
      <c r="AD1878">
        <v>0</v>
      </c>
      <c r="AE1878">
        <v>660</v>
      </c>
      <c r="AF1878">
        <v>0</v>
      </c>
      <c r="AG1878">
        <v>0</v>
      </c>
      <c r="AH1878">
        <v>0</v>
      </c>
      <c r="AI1878">
        <v>0</v>
      </c>
      <c r="AJ1878">
        <v>0</v>
      </c>
      <c r="AK1878">
        <v>0</v>
      </c>
      <c r="AL1878">
        <v>0</v>
      </c>
      <c r="AM1878">
        <v>0</v>
      </c>
      <c r="AN1878">
        <v>0</v>
      </c>
      <c r="AO1878">
        <v>0</v>
      </c>
      <c r="AP1878">
        <v>0</v>
      </c>
      <c r="AQ1878">
        <v>1</v>
      </c>
      <c r="AR1878">
        <v>0</v>
      </c>
      <c r="AS1878">
        <v>0</v>
      </c>
      <c r="AT1878">
        <v>0</v>
      </c>
      <c r="AU1878">
        <f t="shared" si="56"/>
        <v>1</v>
      </c>
      <c r="AV1878">
        <f t="shared" si="57"/>
        <v>0</v>
      </c>
    </row>
    <row r="1879" spans="1:48" x14ac:dyDescent="0.25">
      <c r="A1879" t="s">
        <v>7095</v>
      </c>
      <c r="C1879" t="s">
        <v>7096</v>
      </c>
      <c r="D1879" t="s">
        <v>7094</v>
      </c>
      <c r="E1879" t="s">
        <v>1663</v>
      </c>
      <c r="F1879">
        <v>3</v>
      </c>
      <c r="G1879">
        <v>3.1</v>
      </c>
      <c r="H1879" t="s">
        <v>2017</v>
      </c>
      <c r="I1879" s="21">
        <v>38840</v>
      </c>
      <c r="J1879">
        <v>2006</v>
      </c>
      <c r="K1879" s="21">
        <v>38871</v>
      </c>
      <c r="L1879">
        <v>2006</v>
      </c>
      <c r="M1879" s="21">
        <v>39024</v>
      </c>
      <c r="N1879">
        <v>2006</v>
      </c>
      <c r="Q1879" s="262">
        <v>0</v>
      </c>
      <c r="S1879" t="s">
        <v>114</v>
      </c>
      <c r="T1879" t="s">
        <v>114</v>
      </c>
      <c r="W1879">
        <v>1755</v>
      </c>
      <c r="X1879">
        <v>1</v>
      </c>
      <c r="Y1879">
        <v>0</v>
      </c>
      <c r="Z1879">
        <v>0</v>
      </c>
      <c r="AA1879">
        <v>0</v>
      </c>
      <c r="AB1879">
        <v>0</v>
      </c>
      <c r="AC1879">
        <v>1755</v>
      </c>
      <c r="AD1879">
        <v>0</v>
      </c>
      <c r="AE1879">
        <v>0</v>
      </c>
      <c r="AF1879">
        <v>0</v>
      </c>
      <c r="AG1879">
        <v>0</v>
      </c>
      <c r="AH1879">
        <v>0</v>
      </c>
      <c r="AI1879">
        <v>0</v>
      </c>
      <c r="AJ1879">
        <v>0</v>
      </c>
      <c r="AK1879">
        <v>0</v>
      </c>
      <c r="AL1879">
        <v>0</v>
      </c>
      <c r="AM1879">
        <v>0</v>
      </c>
      <c r="AN1879">
        <v>0</v>
      </c>
      <c r="AO1879">
        <v>1</v>
      </c>
      <c r="AP1879">
        <v>0</v>
      </c>
      <c r="AQ1879">
        <v>0</v>
      </c>
      <c r="AR1879">
        <v>0</v>
      </c>
      <c r="AS1879">
        <v>0</v>
      </c>
      <c r="AT1879">
        <v>0</v>
      </c>
      <c r="AU1879">
        <f t="shared" si="56"/>
        <v>1</v>
      </c>
      <c r="AV1879">
        <f t="shared" si="57"/>
        <v>0</v>
      </c>
    </row>
    <row r="1880" spans="1:48" x14ac:dyDescent="0.25">
      <c r="A1880" t="s">
        <v>7102</v>
      </c>
      <c r="C1880" t="s">
        <v>7103</v>
      </c>
      <c r="D1880" t="s">
        <v>7104</v>
      </c>
      <c r="E1880" t="s">
        <v>2310</v>
      </c>
      <c r="F1880">
        <v>8</v>
      </c>
      <c r="G1880">
        <v>8.1999999999999993</v>
      </c>
      <c r="H1880" t="s">
        <v>2022</v>
      </c>
      <c r="I1880" s="21">
        <v>38841</v>
      </c>
      <c r="J1880">
        <v>2006</v>
      </c>
      <c r="K1880" s="21">
        <v>39049</v>
      </c>
      <c r="L1880">
        <v>2006</v>
      </c>
      <c r="M1880" s="21">
        <v>39461</v>
      </c>
      <c r="N1880">
        <v>2008</v>
      </c>
      <c r="R1880" s="262">
        <v>300000</v>
      </c>
      <c r="S1880" t="s">
        <v>114</v>
      </c>
      <c r="T1880" t="s">
        <v>114</v>
      </c>
      <c r="U1880">
        <v>5</v>
      </c>
      <c r="W1880">
        <v>1544</v>
      </c>
      <c r="X1880">
        <v>0</v>
      </c>
      <c r="Y1880">
        <v>0</v>
      </c>
      <c r="Z1880">
        <v>0</v>
      </c>
      <c r="AA1880">
        <v>0</v>
      </c>
      <c r="AB1880">
        <v>0</v>
      </c>
      <c r="AC1880">
        <v>1544</v>
      </c>
      <c r="AD1880">
        <v>0</v>
      </c>
      <c r="AE1880">
        <v>0</v>
      </c>
      <c r="AF1880">
        <v>0</v>
      </c>
      <c r="AG1880">
        <v>0</v>
      </c>
      <c r="AH1880">
        <v>0</v>
      </c>
      <c r="AI1880">
        <v>0</v>
      </c>
      <c r="AJ1880">
        <v>0</v>
      </c>
      <c r="AK1880">
        <v>0</v>
      </c>
      <c r="AL1880">
        <v>0</v>
      </c>
      <c r="AM1880">
        <v>0</v>
      </c>
      <c r="AN1880">
        <v>0</v>
      </c>
      <c r="AO1880">
        <v>0</v>
      </c>
      <c r="AP1880">
        <v>0</v>
      </c>
      <c r="AQ1880">
        <v>0</v>
      </c>
      <c r="AR1880">
        <v>0</v>
      </c>
      <c r="AS1880">
        <v>0</v>
      </c>
      <c r="AT1880">
        <v>0</v>
      </c>
      <c r="AU1880">
        <f t="shared" si="56"/>
        <v>0</v>
      </c>
      <c r="AV1880">
        <f t="shared" si="57"/>
        <v>0</v>
      </c>
    </row>
    <row r="1881" spans="1:48" x14ac:dyDescent="0.25">
      <c r="A1881" t="s">
        <v>7105</v>
      </c>
      <c r="C1881" t="s">
        <v>6772</v>
      </c>
      <c r="D1881" t="s">
        <v>7106</v>
      </c>
      <c r="E1881" t="s">
        <v>2310</v>
      </c>
      <c r="F1881">
        <v>12</v>
      </c>
      <c r="G1881">
        <v>12.2</v>
      </c>
      <c r="H1881" t="s">
        <v>2017</v>
      </c>
      <c r="I1881" s="21">
        <v>38841</v>
      </c>
      <c r="J1881">
        <v>2006</v>
      </c>
      <c r="K1881" s="21">
        <v>38904</v>
      </c>
      <c r="L1881">
        <v>2006</v>
      </c>
      <c r="M1881" s="21">
        <v>38904</v>
      </c>
      <c r="N1881">
        <v>2006</v>
      </c>
      <c r="R1881" s="262">
        <v>150000</v>
      </c>
      <c r="S1881" t="s">
        <v>114</v>
      </c>
      <c r="T1881" t="s">
        <v>114</v>
      </c>
      <c r="U1881">
        <v>5</v>
      </c>
      <c r="W1881">
        <v>1345</v>
      </c>
      <c r="X1881">
        <v>1</v>
      </c>
      <c r="Y1881">
        <v>0</v>
      </c>
      <c r="Z1881">
        <v>0</v>
      </c>
      <c r="AA1881">
        <v>0</v>
      </c>
      <c r="AB1881">
        <v>0</v>
      </c>
      <c r="AC1881">
        <v>1345</v>
      </c>
      <c r="AD1881">
        <v>0</v>
      </c>
      <c r="AE1881">
        <v>0</v>
      </c>
      <c r="AF1881">
        <v>0</v>
      </c>
      <c r="AG1881">
        <v>0</v>
      </c>
      <c r="AH1881">
        <v>0</v>
      </c>
      <c r="AI1881">
        <v>0</v>
      </c>
      <c r="AJ1881">
        <v>0</v>
      </c>
      <c r="AK1881">
        <v>0</v>
      </c>
      <c r="AL1881">
        <v>0</v>
      </c>
      <c r="AM1881">
        <v>0</v>
      </c>
      <c r="AN1881">
        <v>0</v>
      </c>
      <c r="AO1881">
        <v>1</v>
      </c>
      <c r="AP1881">
        <v>0</v>
      </c>
      <c r="AQ1881">
        <v>0</v>
      </c>
      <c r="AR1881">
        <v>0</v>
      </c>
      <c r="AS1881">
        <v>0</v>
      </c>
      <c r="AT1881">
        <v>0</v>
      </c>
      <c r="AU1881">
        <f t="shared" ref="AU1881:AU1944" si="58">SUM(AN1881:AQ1881,AS1881)</f>
        <v>1</v>
      </c>
      <c r="AV1881">
        <f t="shared" ref="AV1881:AV1944" si="59">SUM(Y1881:AB1881,AH1881:AM1881)</f>
        <v>0</v>
      </c>
    </row>
    <row r="1882" spans="1:48" x14ac:dyDescent="0.25">
      <c r="A1882" t="s">
        <v>7107</v>
      </c>
      <c r="C1882" t="s">
        <v>7108</v>
      </c>
      <c r="D1882" t="s">
        <v>7109</v>
      </c>
      <c r="E1882" t="s">
        <v>1663</v>
      </c>
      <c r="F1882">
        <v>5</v>
      </c>
      <c r="G1882">
        <v>5.0999999999999996</v>
      </c>
      <c r="H1882" t="s">
        <v>2327</v>
      </c>
      <c r="I1882" s="21">
        <v>38842</v>
      </c>
      <c r="J1882">
        <v>2006</v>
      </c>
      <c r="K1882" s="21">
        <v>38873</v>
      </c>
      <c r="L1882">
        <v>2006</v>
      </c>
      <c r="M1882" s="21">
        <v>39026</v>
      </c>
      <c r="N1882">
        <v>2006</v>
      </c>
      <c r="Q1882" s="262">
        <v>0</v>
      </c>
      <c r="S1882" t="s">
        <v>114</v>
      </c>
      <c r="T1882" t="s">
        <v>114</v>
      </c>
      <c r="W1882">
        <v>7625</v>
      </c>
      <c r="X1882">
        <v>0</v>
      </c>
      <c r="Y1882">
        <v>0</v>
      </c>
      <c r="Z1882">
        <v>0</v>
      </c>
      <c r="AA1882">
        <v>0</v>
      </c>
      <c r="AB1882">
        <v>0</v>
      </c>
      <c r="AC1882">
        <v>0</v>
      </c>
      <c r="AD1882">
        <v>0</v>
      </c>
      <c r="AE1882">
        <v>0</v>
      </c>
      <c r="AF1882">
        <v>0</v>
      </c>
      <c r="AG1882">
        <v>0</v>
      </c>
      <c r="AH1882">
        <v>0</v>
      </c>
      <c r="AI1882">
        <v>0</v>
      </c>
      <c r="AJ1882">
        <v>0</v>
      </c>
      <c r="AK1882">
        <v>7625</v>
      </c>
      <c r="AL1882">
        <v>0</v>
      </c>
      <c r="AM1882">
        <v>0</v>
      </c>
      <c r="AN1882">
        <v>0</v>
      </c>
      <c r="AO1882">
        <v>0</v>
      </c>
      <c r="AP1882">
        <v>0</v>
      </c>
      <c r="AQ1882">
        <v>0</v>
      </c>
      <c r="AR1882">
        <v>0</v>
      </c>
      <c r="AS1882">
        <v>0</v>
      </c>
      <c r="AT1882">
        <v>0</v>
      </c>
      <c r="AU1882">
        <f t="shared" si="58"/>
        <v>0</v>
      </c>
      <c r="AV1882">
        <f t="shared" si="59"/>
        <v>7625</v>
      </c>
    </row>
    <row r="1883" spans="1:48" x14ac:dyDescent="0.25">
      <c r="A1883" t="s">
        <v>7110</v>
      </c>
      <c r="C1883" t="s">
        <v>3509</v>
      </c>
      <c r="D1883" t="s">
        <v>7111</v>
      </c>
      <c r="E1883" t="s">
        <v>2310</v>
      </c>
      <c r="F1883">
        <v>10</v>
      </c>
      <c r="G1883">
        <v>10.1</v>
      </c>
      <c r="H1883" t="s">
        <v>2323</v>
      </c>
      <c r="I1883" s="21">
        <v>38845</v>
      </c>
      <c r="J1883">
        <v>2006</v>
      </c>
      <c r="K1883" s="21">
        <v>38891</v>
      </c>
      <c r="L1883">
        <v>2006</v>
      </c>
      <c r="M1883" s="21">
        <v>39189</v>
      </c>
      <c r="N1883">
        <v>2007</v>
      </c>
      <c r="R1883" s="262">
        <v>112000</v>
      </c>
      <c r="S1883" t="s">
        <v>114</v>
      </c>
      <c r="T1883" t="s">
        <v>114</v>
      </c>
      <c r="U1883">
        <v>5</v>
      </c>
      <c r="W1883">
        <v>1958</v>
      </c>
      <c r="X1883">
        <v>1</v>
      </c>
      <c r="Y1883">
        <v>0</v>
      </c>
      <c r="Z1883">
        <v>0</v>
      </c>
      <c r="AA1883">
        <v>0</v>
      </c>
      <c r="AB1883">
        <v>0</v>
      </c>
      <c r="AC1883">
        <v>1958</v>
      </c>
      <c r="AD1883">
        <v>0</v>
      </c>
      <c r="AE1883">
        <v>0</v>
      </c>
      <c r="AF1883">
        <v>0</v>
      </c>
      <c r="AG1883">
        <v>0</v>
      </c>
      <c r="AH1883">
        <v>0</v>
      </c>
      <c r="AI1883">
        <v>0</v>
      </c>
      <c r="AJ1883">
        <v>0</v>
      </c>
      <c r="AK1883">
        <v>0</v>
      </c>
      <c r="AL1883">
        <v>0</v>
      </c>
      <c r="AM1883">
        <v>0</v>
      </c>
      <c r="AN1883">
        <v>0</v>
      </c>
      <c r="AO1883">
        <v>1</v>
      </c>
      <c r="AP1883">
        <v>0</v>
      </c>
      <c r="AQ1883">
        <v>0</v>
      </c>
      <c r="AR1883">
        <v>0</v>
      </c>
      <c r="AS1883">
        <v>0</v>
      </c>
      <c r="AT1883">
        <v>0</v>
      </c>
      <c r="AU1883">
        <f t="shared" si="58"/>
        <v>1</v>
      </c>
      <c r="AV1883">
        <f t="shared" si="59"/>
        <v>0</v>
      </c>
    </row>
    <row r="1884" spans="1:48" x14ac:dyDescent="0.25">
      <c r="A1884" t="s">
        <v>7112</v>
      </c>
      <c r="C1884" t="s">
        <v>7113</v>
      </c>
      <c r="D1884" t="s">
        <v>7114</v>
      </c>
      <c r="E1884" t="s">
        <v>2310</v>
      </c>
      <c r="F1884">
        <v>9</v>
      </c>
      <c r="G1884">
        <v>9.4</v>
      </c>
      <c r="H1884" t="s">
        <v>2323</v>
      </c>
      <c r="I1884" s="21">
        <v>38845</v>
      </c>
      <c r="J1884">
        <v>2006</v>
      </c>
      <c r="K1884" s="21">
        <v>38895</v>
      </c>
      <c r="L1884">
        <v>2006</v>
      </c>
      <c r="M1884" s="21">
        <v>39511</v>
      </c>
      <c r="N1884">
        <v>2008</v>
      </c>
      <c r="R1884" s="262">
        <v>380000</v>
      </c>
      <c r="S1884" t="s">
        <v>114</v>
      </c>
      <c r="T1884" t="s">
        <v>114</v>
      </c>
      <c r="U1884">
        <v>5</v>
      </c>
      <c r="W1884">
        <v>1638</v>
      </c>
      <c r="X1884">
        <v>0</v>
      </c>
      <c r="Y1884">
        <v>0</v>
      </c>
      <c r="Z1884">
        <v>0</v>
      </c>
      <c r="AA1884">
        <v>0</v>
      </c>
      <c r="AB1884">
        <v>0</v>
      </c>
      <c r="AC1884">
        <v>1638</v>
      </c>
      <c r="AD1884">
        <v>0</v>
      </c>
      <c r="AE1884">
        <v>0</v>
      </c>
      <c r="AF1884">
        <v>0</v>
      </c>
      <c r="AG1884">
        <v>0</v>
      </c>
      <c r="AH1884">
        <v>0</v>
      </c>
      <c r="AI1884">
        <v>0</v>
      </c>
      <c r="AJ1884">
        <v>0</v>
      </c>
      <c r="AK1884">
        <v>0</v>
      </c>
      <c r="AL1884">
        <v>0</v>
      </c>
      <c r="AM1884">
        <v>0</v>
      </c>
      <c r="AN1884">
        <v>0</v>
      </c>
      <c r="AO1884">
        <v>0</v>
      </c>
      <c r="AP1884">
        <v>0</v>
      </c>
      <c r="AQ1884">
        <v>0</v>
      </c>
      <c r="AR1884">
        <v>0</v>
      </c>
      <c r="AS1884">
        <v>0</v>
      </c>
      <c r="AT1884">
        <v>0</v>
      </c>
      <c r="AU1884">
        <f t="shared" si="58"/>
        <v>0</v>
      </c>
      <c r="AV1884">
        <f t="shared" si="59"/>
        <v>0</v>
      </c>
    </row>
    <row r="1885" spans="1:48" x14ac:dyDescent="0.25">
      <c r="A1885" t="s">
        <v>7115</v>
      </c>
      <c r="C1885" t="s">
        <v>7116</v>
      </c>
      <c r="D1885" t="s">
        <v>7117</v>
      </c>
      <c r="E1885" t="s">
        <v>2310</v>
      </c>
      <c r="F1885">
        <v>9</v>
      </c>
      <c r="G1885">
        <v>9.3000000000000007</v>
      </c>
      <c r="H1885" t="s">
        <v>2323</v>
      </c>
      <c r="I1885" s="21">
        <v>38845</v>
      </c>
      <c r="J1885">
        <v>2006</v>
      </c>
      <c r="K1885" s="21">
        <v>38896</v>
      </c>
      <c r="L1885">
        <v>2006</v>
      </c>
      <c r="M1885" s="21">
        <v>39286</v>
      </c>
      <c r="N1885">
        <v>2007</v>
      </c>
      <c r="R1885" s="262">
        <v>500000</v>
      </c>
      <c r="S1885" t="s">
        <v>114</v>
      </c>
      <c r="T1885" t="s">
        <v>114</v>
      </c>
      <c r="U1885">
        <v>5</v>
      </c>
      <c r="W1885">
        <v>2895</v>
      </c>
      <c r="X1885">
        <v>1</v>
      </c>
      <c r="Y1885">
        <v>0</v>
      </c>
      <c r="Z1885">
        <v>0</v>
      </c>
      <c r="AA1885">
        <v>0</v>
      </c>
      <c r="AB1885">
        <v>0</v>
      </c>
      <c r="AC1885">
        <v>2895</v>
      </c>
      <c r="AD1885">
        <v>0</v>
      </c>
      <c r="AE1885">
        <v>0</v>
      </c>
      <c r="AF1885">
        <v>0</v>
      </c>
      <c r="AG1885">
        <v>0</v>
      </c>
      <c r="AH1885">
        <v>0</v>
      </c>
      <c r="AI1885">
        <v>0</v>
      </c>
      <c r="AJ1885">
        <v>0</v>
      </c>
      <c r="AK1885">
        <v>0</v>
      </c>
      <c r="AL1885">
        <v>0</v>
      </c>
      <c r="AM1885">
        <v>0</v>
      </c>
      <c r="AN1885">
        <v>0</v>
      </c>
      <c r="AO1885">
        <v>1</v>
      </c>
      <c r="AP1885">
        <v>0</v>
      </c>
      <c r="AQ1885">
        <v>0</v>
      </c>
      <c r="AR1885">
        <v>0</v>
      </c>
      <c r="AS1885">
        <v>0</v>
      </c>
      <c r="AT1885">
        <v>0</v>
      </c>
      <c r="AU1885">
        <f t="shared" si="58"/>
        <v>1</v>
      </c>
      <c r="AV1885">
        <f t="shared" si="59"/>
        <v>0</v>
      </c>
    </row>
    <row r="1886" spans="1:48" x14ac:dyDescent="0.25">
      <c r="A1886" t="s">
        <v>7118</v>
      </c>
      <c r="C1886" t="s">
        <v>7119</v>
      </c>
      <c r="D1886" t="s">
        <v>5341</v>
      </c>
      <c r="E1886" t="s">
        <v>2310</v>
      </c>
      <c r="F1886">
        <v>8</v>
      </c>
      <c r="G1886">
        <v>8.1999999999999993</v>
      </c>
      <c r="H1886" t="s">
        <v>2022</v>
      </c>
      <c r="I1886" s="21">
        <v>38846</v>
      </c>
      <c r="J1886">
        <v>2006</v>
      </c>
      <c r="K1886" s="21">
        <v>38922</v>
      </c>
      <c r="L1886">
        <v>2006</v>
      </c>
      <c r="M1886" s="21">
        <v>38922</v>
      </c>
      <c r="N1886">
        <v>2006</v>
      </c>
      <c r="R1886" s="262">
        <v>0</v>
      </c>
      <c r="S1886" t="s">
        <v>114</v>
      </c>
      <c r="T1886" t="s">
        <v>114</v>
      </c>
      <c r="U1886">
        <v>5</v>
      </c>
      <c r="W1886">
        <v>0</v>
      </c>
      <c r="X1886">
        <v>0</v>
      </c>
      <c r="Y1886">
        <v>0</v>
      </c>
      <c r="Z1886">
        <v>0</v>
      </c>
      <c r="AA1886">
        <v>0</v>
      </c>
      <c r="AB1886">
        <v>0</v>
      </c>
      <c r="AC1886">
        <v>0</v>
      </c>
      <c r="AD1886">
        <v>0</v>
      </c>
      <c r="AE1886">
        <v>0</v>
      </c>
      <c r="AF1886">
        <v>0</v>
      </c>
      <c r="AG1886">
        <v>0</v>
      </c>
      <c r="AH1886">
        <v>0</v>
      </c>
      <c r="AI1886">
        <v>0</v>
      </c>
      <c r="AJ1886">
        <v>0</v>
      </c>
      <c r="AK1886">
        <v>0</v>
      </c>
      <c r="AL1886">
        <v>0</v>
      </c>
      <c r="AM1886">
        <v>0</v>
      </c>
      <c r="AN1886">
        <v>0</v>
      </c>
      <c r="AO1886">
        <v>0</v>
      </c>
      <c r="AP1886">
        <v>0</v>
      </c>
      <c r="AQ1886">
        <v>0</v>
      </c>
      <c r="AR1886">
        <v>0</v>
      </c>
      <c r="AS1886">
        <v>0</v>
      </c>
      <c r="AT1886">
        <v>0</v>
      </c>
      <c r="AU1886">
        <f t="shared" si="58"/>
        <v>0</v>
      </c>
      <c r="AV1886">
        <f t="shared" si="59"/>
        <v>0</v>
      </c>
    </row>
    <row r="1887" spans="1:48" x14ac:dyDescent="0.25">
      <c r="A1887" t="s">
        <v>7120</v>
      </c>
      <c r="C1887" t="s">
        <v>7121</v>
      </c>
      <c r="D1887" t="s">
        <v>7122</v>
      </c>
      <c r="E1887" t="s">
        <v>2310</v>
      </c>
      <c r="F1887">
        <v>10</v>
      </c>
      <c r="G1887">
        <v>10.1</v>
      </c>
      <c r="H1887" t="s">
        <v>2323</v>
      </c>
      <c r="I1887" s="21">
        <v>38846</v>
      </c>
      <c r="J1887">
        <v>2006</v>
      </c>
      <c r="K1887" s="21">
        <v>38882</v>
      </c>
      <c r="L1887">
        <v>2006</v>
      </c>
      <c r="M1887" s="21">
        <v>38882</v>
      </c>
      <c r="N1887">
        <v>2006</v>
      </c>
      <c r="R1887" s="262">
        <v>30000</v>
      </c>
      <c r="S1887" t="s">
        <v>114</v>
      </c>
      <c r="T1887" t="s">
        <v>114</v>
      </c>
      <c r="U1887">
        <v>5</v>
      </c>
      <c r="W1887">
        <v>75</v>
      </c>
      <c r="X1887">
        <v>0</v>
      </c>
      <c r="Y1887">
        <v>0</v>
      </c>
      <c r="Z1887">
        <v>0</v>
      </c>
      <c r="AA1887">
        <v>0</v>
      </c>
      <c r="AB1887">
        <v>0</v>
      </c>
      <c r="AC1887">
        <v>75</v>
      </c>
      <c r="AD1887">
        <v>0</v>
      </c>
      <c r="AE1887">
        <v>0</v>
      </c>
      <c r="AF1887">
        <v>0</v>
      </c>
      <c r="AG1887">
        <v>0</v>
      </c>
      <c r="AH1887">
        <v>0</v>
      </c>
      <c r="AI1887">
        <v>0</v>
      </c>
      <c r="AJ1887">
        <v>0</v>
      </c>
      <c r="AK1887">
        <v>0</v>
      </c>
      <c r="AL1887">
        <v>0</v>
      </c>
      <c r="AM1887">
        <v>0</v>
      </c>
      <c r="AN1887">
        <v>0</v>
      </c>
      <c r="AO1887">
        <v>0</v>
      </c>
      <c r="AP1887">
        <v>0</v>
      </c>
      <c r="AQ1887">
        <v>0</v>
      </c>
      <c r="AR1887">
        <v>0</v>
      </c>
      <c r="AS1887">
        <v>0</v>
      </c>
      <c r="AT1887">
        <v>0</v>
      </c>
      <c r="AU1887">
        <f t="shared" si="58"/>
        <v>0</v>
      </c>
      <c r="AV1887">
        <f t="shared" si="59"/>
        <v>0</v>
      </c>
    </row>
    <row r="1888" spans="1:48" x14ac:dyDescent="0.25">
      <c r="A1888" t="s">
        <v>7134</v>
      </c>
      <c r="C1888" t="s">
        <v>4825</v>
      </c>
      <c r="D1888" t="s">
        <v>7135</v>
      </c>
      <c r="E1888" t="s">
        <v>2310</v>
      </c>
      <c r="F1888">
        <v>9</v>
      </c>
      <c r="G1888">
        <v>9.1999999999999993</v>
      </c>
      <c r="H1888" t="s">
        <v>2022</v>
      </c>
      <c r="I1888" s="21">
        <v>38847</v>
      </c>
      <c r="J1888">
        <v>2006</v>
      </c>
      <c r="K1888" s="21">
        <v>38882</v>
      </c>
      <c r="L1888">
        <v>2006</v>
      </c>
      <c r="M1888" s="21">
        <v>39049</v>
      </c>
      <c r="N1888">
        <v>2006</v>
      </c>
      <c r="R1888" s="262">
        <v>200000</v>
      </c>
      <c r="S1888" t="s">
        <v>114</v>
      </c>
      <c r="T1888" t="s">
        <v>114</v>
      </c>
      <c r="U1888">
        <v>5</v>
      </c>
      <c r="W1888">
        <v>0</v>
      </c>
      <c r="X1888">
        <v>0</v>
      </c>
      <c r="Y1888">
        <v>0</v>
      </c>
      <c r="Z1888">
        <v>0</v>
      </c>
      <c r="AA1888">
        <v>0</v>
      </c>
      <c r="AB1888">
        <v>0</v>
      </c>
      <c r="AC1888">
        <v>0</v>
      </c>
      <c r="AD1888">
        <v>0</v>
      </c>
      <c r="AE1888">
        <v>0</v>
      </c>
      <c r="AF1888">
        <v>0</v>
      </c>
      <c r="AG1888">
        <v>0</v>
      </c>
      <c r="AH1888">
        <v>0</v>
      </c>
      <c r="AI1888">
        <v>0</v>
      </c>
      <c r="AJ1888">
        <v>0</v>
      </c>
      <c r="AK1888">
        <v>0</v>
      </c>
      <c r="AL1888">
        <v>0</v>
      </c>
      <c r="AM1888">
        <v>0</v>
      </c>
      <c r="AN1888">
        <v>0</v>
      </c>
      <c r="AO1888">
        <v>0</v>
      </c>
      <c r="AP1888">
        <v>0</v>
      </c>
      <c r="AQ1888">
        <v>0</v>
      </c>
      <c r="AR1888">
        <v>0</v>
      </c>
      <c r="AS1888">
        <v>0</v>
      </c>
      <c r="AT1888">
        <v>0</v>
      </c>
      <c r="AU1888">
        <f t="shared" si="58"/>
        <v>0</v>
      </c>
      <c r="AV1888">
        <f t="shared" si="59"/>
        <v>0</v>
      </c>
    </row>
    <row r="1889" spans="1:48" x14ac:dyDescent="0.25">
      <c r="A1889" t="s">
        <v>7123</v>
      </c>
      <c r="C1889" t="s">
        <v>7124</v>
      </c>
      <c r="D1889" t="s">
        <v>3958</v>
      </c>
      <c r="E1889" t="s">
        <v>1663</v>
      </c>
      <c r="F1889">
        <v>5</v>
      </c>
      <c r="G1889">
        <v>5.5</v>
      </c>
      <c r="H1889" t="s">
        <v>2017</v>
      </c>
      <c r="I1889" s="21">
        <v>38847</v>
      </c>
      <c r="J1889">
        <v>2006</v>
      </c>
      <c r="K1889" s="21">
        <v>38878</v>
      </c>
      <c r="L1889">
        <v>2006</v>
      </c>
      <c r="M1889" s="21">
        <v>39031</v>
      </c>
      <c r="N1889">
        <v>2006</v>
      </c>
      <c r="Q1889" s="262">
        <v>0</v>
      </c>
      <c r="S1889" t="s">
        <v>114</v>
      </c>
      <c r="T1889" t="s">
        <v>114</v>
      </c>
      <c r="W1889">
        <v>15964</v>
      </c>
      <c r="X1889">
        <v>15</v>
      </c>
      <c r="Y1889">
        <v>0</v>
      </c>
      <c r="Z1889">
        <v>0</v>
      </c>
      <c r="AA1889">
        <v>0</v>
      </c>
      <c r="AB1889">
        <v>0</v>
      </c>
      <c r="AC1889">
        <v>0</v>
      </c>
      <c r="AD1889">
        <v>0</v>
      </c>
      <c r="AE1889">
        <v>15964</v>
      </c>
      <c r="AF1889">
        <v>0</v>
      </c>
      <c r="AG1889">
        <v>0</v>
      </c>
      <c r="AH1889">
        <v>0</v>
      </c>
      <c r="AI1889">
        <v>0</v>
      </c>
      <c r="AJ1889">
        <v>0</v>
      </c>
      <c r="AK1889">
        <v>0</v>
      </c>
      <c r="AL1889">
        <v>0</v>
      </c>
      <c r="AM1889">
        <v>0</v>
      </c>
      <c r="AN1889">
        <v>0</v>
      </c>
      <c r="AO1889">
        <v>0</v>
      </c>
      <c r="AP1889">
        <v>0</v>
      </c>
      <c r="AQ1889">
        <v>15</v>
      </c>
      <c r="AR1889">
        <v>0</v>
      </c>
      <c r="AS1889">
        <v>0</v>
      </c>
      <c r="AT1889">
        <v>0</v>
      </c>
      <c r="AU1889">
        <f t="shared" si="58"/>
        <v>15</v>
      </c>
      <c r="AV1889">
        <f t="shared" si="59"/>
        <v>0</v>
      </c>
    </row>
    <row r="1890" spans="1:48" x14ac:dyDescent="0.25">
      <c r="A1890" t="s">
        <v>7125</v>
      </c>
      <c r="C1890" t="s">
        <v>7126</v>
      </c>
      <c r="D1890" t="s">
        <v>3958</v>
      </c>
      <c r="E1890" t="s">
        <v>1663</v>
      </c>
      <c r="F1890">
        <v>5</v>
      </c>
      <c r="G1890">
        <v>5.5</v>
      </c>
      <c r="H1890" t="s">
        <v>2017</v>
      </c>
      <c r="I1890" s="21">
        <v>38847</v>
      </c>
      <c r="J1890">
        <v>2006</v>
      </c>
      <c r="K1890" s="21">
        <v>38878</v>
      </c>
      <c r="L1890">
        <v>2006</v>
      </c>
      <c r="M1890" s="21">
        <v>39031</v>
      </c>
      <c r="N1890">
        <v>2006</v>
      </c>
      <c r="Q1890" s="262">
        <v>0</v>
      </c>
      <c r="S1890" t="s">
        <v>114</v>
      </c>
      <c r="T1890" t="s">
        <v>114</v>
      </c>
      <c r="W1890">
        <v>16954</v>
      </c>
      <c r="X1890">
        <v>15</v>
      </c>
      <c r="Y1890">
        <v>0</v>
      </c>
      <c r="Z1890">
        <v>0</v>
      </c>
      <c r="AA1890">
        <v>0</v>
      </c>
      <c r="AB1890">
        <v>0</v>
      </c>
      <c r="AC1890">
        <v>0</v>
      </c>
      <c r="AD1890">
        <v>0</v>
      </c>
      <c r="AE1890">
        <v>16954</v>
      </c>
      <c r="AF1890">
        <v>0</v>
      </c>
      <c r="AG1890">
        <v>0</v>
      </c>
      <c r="AH1890">
        <v>0</v>
      </c>
      <c r="AI1890">
        <v>0</v>
      </c>
      <c r="AJ1890">
        <v>0</v>
      </c>
      <c r="AK1890">
        <v>0</v>
      </c>
      <c r="AL1890">
        <v>0</v>
      </c>
      <c r="AM1890">
        <v>0</v>
      </c>
      <c r="AN1890">
        <v>0</v>
      </c>
      <c r="AO1890">
        <v>0</v>
      </c>
      <c r="AP1890">
        <v>0</v>
      </c>
      <c r="AQ1890">
        <v>15</v>
      </c>
      <c r="AR1890">
        <v>0</v>
      </c>
      <c r="AS1890">
        <v>0</v>
      </c>
      <c r="AT1890">
        <v>0</v>
      </c>
      <c r="AU1890">
        <f t="shared" si="58"/>
        <v>15</v>
      </c>
      <c r="AV1890">
        <f t="shared" si="59"/>
        <v>0</v>
      </c>
    </row>
    <row r="1891" spans="1:48" x14ac:dyDescent="0.25">
      <c r="A1891" t="s">
        <v>7127</v>
      </c>
      <c r="C1891" t="s">
        <v>7128</v>
      </c>
      <c r="D1891" t="s">
        <v>3958</v>
      </c>
      <c r="E1891" t="s">
        <v>1663</v>
      </c>
      <c r="F1891">
        <v>5</v>
      </c>
      <c r="G1891">
        <v>5.5</v>
      </c>
      <c r="H1891" t="s">
        <v>2017</v>
      </c>
      <c r="I1891" s="21">
        <v>38847</v>
      </c>
      <c r="J1891">
        <v>2006</v>
      </c>
      <c r="K1891" s="21">
        <v>38878</v>
      </c>
      <c r="L1891">
        <v>2006</v>
      </c>
      <c r="M1891" s="21">
        <v>39031</v>
      </c>
      <c r="N1891">
        <v>2006</v>
      </c>
      <c r="Q1891" s="262">
        <v>0</v>
      </c>
      <c r="S1891" t="s">
        <v>114</v>
      </c>
      <c r="T1891" t="s">
        <v>114</v>
      </c>
      <c r="W1891">
        <v>14591</v>
      </c>
      <c r="X1891">
        <v>14</v>
      </c>
      <c r="Y1891">
        <v>0</v>
      </c>
      <c r="Z1891">
        <v>0</v>
      </c>
      <c r="AA1891">
        <v>0</v>
      </c>
      <c r="AB1891">
        <v>0</v>
      </c>
      <c r="AC1891">
        <v>0</v>
      </c>
      <c r="AD1891">
        <v>0</v>
      </c>
      <c r="AE1891">
        <v>14591</v>
      </c>
      <c r="AF1891">
        <v>0</v>
      </c>
      <c r="AG1891">
        <v>0</v>
      </c>
      <c r="AH1891">
        <v>0</v>
      </c>
      <c r="AI1891">
        <v>0</v>
      </c>
      <c r="AJ1891">
        <v>0</v>
      </c>
      <c r="AK1891">
        <v>0</v>
      </c>
      <c r="AL1891">
        <v>0</v>
      </c>
      <c r="AM1891">
        <v>0</v>
      </c>
      <c r="AN1891">
        <v>0</v>
      </c>
      <c r="AO1891">
        <v>0</v>
      </c>
      <c r="AP1891">
        <v>0</v>
      </c>
      <c r="AQ1891">
        <v>14</v>
      </c>
      <c r="AR1891">
        <v>0</v>
      </c>
      <c r="AS1891">
        <v>0</v>
      </c>
      <c r="AT1891">
        <v>0</v>
      </c>
      <c r="AU1891">
        <f t="shared" si="58"/>
        <v>14</v>
      </c>
      <c r="AV1891">
        <f t="shared" si="59"/>
        <v>0</v>
      </c>
    </row>
    <row r="1892" spans="1:48" x14ac:dyDescent="0.25">
      <c r="A1892" t="s">
        <v>7129</v>
      </c>
      <c r="C1892" t="s">
        <v>7130</v>
      </c>
      <c r="D1892" t="s">
        <v>3958</v>
      </c>
      <c r="E1892" t="s">
        <v>1663</v>
      </c>
      <c r="F1892">
        <v>5</v>
      </c>
      <c r="G1892">
        <v>5.5</v>
      </c>
      <c r="H1892" t="s">
        <v>2017</v>
      </c>
      <c r="I1892" s="21">
        <v>38847</v>
      </c>
      <c r="J1892">
        <v>2006</v>
      </c>
      <c r="K1892" s="21">
        <v>38878</v>
      </c>
      <c r="L1892">
        <v>2006</v>
      </c>
      <c r="M1892" s="21">
        <v>39031</v>
      </c>
      <c r="N1892">
        <v>2006</v>
      </c>
      <c r="Q1892" s="262">
        <v>0</v>
      </c>
      <c r="S1892" t="s">
        <v>114</v>
      </c>
      <c r="T1892" t="s">
        <v>114</v>
      </c>
      <c r="W1892">
        <v>11173</v>
      </c>
      <c r="X1892">
        <v>11</v>
      </c>
      <c r="Y1892">
        <v>0</v>
      </c>
      <c r="Z1892">
        <v>0</v>
      </c>
      <c r="AA1892">
        <v>0</v>
      </c>
      <c r="AB1892">
        <v>0</v>
      </c>
      <c r="AC1892">
        <v>0</v>
      </c>
      <c r="AD1892">
        <v>0</v>
      </c>
      <c r="AE1892">
        <v>11173</v>
      </c>
      <c r="AF1892">
        <v>0</v>
      </c>
      <c r="AG1892">
        <v>0</v>
      </c>
      <c r="AH1892">
        <v>0</v>
      </c>
      <c r="AI1892">
        <v>0</v>
      </c>
      <c r="AJ1892">
        <v>0</v>
      </c>
      <c r="AK1892">
        <v>0</v>
      </c>
      <c r="AL1892">
        <v>0</v>
      </c>
      <c r="AM1892">
        <v>0</v>
      </c>
      <c r="AN1892">
        <v>0</v>
      </c>
      <c r="AO1892">
        <v>0</v>
      </c>
      <c r="AP1892">
        <v>0</v>
      </c>
      <c r="AQ1892">
        <v>11</v>
      </c>
      <c r="AR1892">
        <v>0</v>
      </c>
      <c r="AS1892">
        <v>0</v>
      </c>
      <c r="AT1892">
        <v>0</v>
      </c>
      <c r="AU1892">
        <f t="shared" si="58"/>
        <v>11</v>
      </c>
      <c r="AV1892">
        <f t="shared" si="59"/>
        <v>0</v>
      </c>
    </row>
    <row r="1893" spans="1:48" x14ac:dyDescent="0.25">
      <c r="A1893" t="s">
        <v>7131</v>
      </c>
      <c r="C1893" t="s">
        <v>7132</v>
      </c>
      <c r="D1893" t="s">
        <v>7133</v>
      </c>
      <c r="E1893" t="s">
        <v>1663</v>
      </c>
      <c r="F1893">
        <v>3</v>
      </c>
      <c r="G1893">
        <v>3.2</v>
      </c>
      <c r="H1893" t="s">
        <v>2327</v>
      </c>
      <c r="I1893" s="21">
        <v>38847</v>
      </c>
      <c r="J1893">
        <v>2006</v>
      </c>
      <c r="K1893" s="21">
        <v>38878</v>
      </c>
      <c r="L1893">
        <v>2006</v>
      </c>
      <c r="M1893" s="21">
        <v>39031</v>
      </c>
      <c r="N1893">
        <v>2006</v>
      </c>
      <c r="Q1893" s="262">
        <v>0</v>
      </c>
      <c r="S1893" t="s">
        <v>114</v>
      </c>
      <c r="T1893" t="s">
        <v>114</v>
      </c>
      <c r="W1893">
        <v>4570</v>
      </c>
      <c r="X1893">
        <v>3</v>
      </c>
      <c r="Y1893">
        <v>0</v>
      </c>
      <c r="Z1893">
        <v>0</v>
      </c>
      <c r="AA1893">
        <v>0</v>
      </c>
      <c r="AB1893">
        <v>0</v>
      </c>
      <c r="AC1893">
        <v>0</v>
      </c>
      <c r="AD1893">
        <v>2650</v>
      </c>
      <c r="AE1893">
        <v>1920</v>
      </c>
      <c r="AF1893">
        <v>0</v>
      </c>
      <c r="AG1893">
        <v>0</v>
      </c>
      <c r="AH1893">
        <v>0</v>
      </c>
      <c r="AI1893">
        <v>0</v>
      </c>
      <c r="AJ1893">
        <v>0</v>
      </c>
      <c r="AK1893">
        <v>0</v>
      </c>
      <c r="AL1893">
        <v>0</v>
      </c>
      <c r="AM1893">
        <v>0</v>
      </c>
      <c r="AN1893">
        <v>0</v>
      </c>
      <c r="AO1893">
        <v>0</v>
      </c>
      <c r="AP1893">
        <v>1</v>
      </c>
      <c r="AQ1893">
        <v>2</v>
      </c>
      <c r="AR1893">
        <v>0</v>
      </c>
      <c r="AS1893">
        <v>0</v>
      </c>
      <c r="AT1893">
        <v>0</v>
      </c>
      <c r="AU1893">
        <f t="shared" si="58"/>
        <v>3</v>
      </c>
      <c r="AV1893">
        <f t="shared" si="59"/>
        <v>0</v>
      </c>
    </row>
    <row r="1894" spans="1:48" x14ac:dyDescent="0.25">
      <c r="A1894" t="s">
        <v>7136</v>
      </c>
      <c r="C1894" t="s">
        <v>7137</v>
      </c>
      <c r="D1894" t="s">
        <v>6315</v>
      </c>
      <c r="E1894" t="s">
        <v>2310</v>
      </c>
      <c r="F1894">
        <v>13</v>
      </c>
      <c r="G1894">
        <v>13.3</v>
      </c>
      <c r="H1894" t="s">
        <v>2017</v>
      </c>
      <c r="I1894" s="21">
        <v>38848</v>
      </c>
      <c r="J1894">
        <v>2006</v>
      </c>
      <c r="K1894" s="21">
        <v>38910</v>
      </c>
      <c r="L1894">
        <v>2006</v>
      </c>
      <c r="M1894" s="21">
        <v>38910</v>
      </c>
      <c r="N1894">
        <v>2006</v>
      </c>
      <c r="R1894" s="262">
        <v>74000</v>
      </c>
      <c r="S1894" t="s">
        <v>114</v>
      </c>
      <c r="T1894" t="s">
        <v>114</v>
      </c>
      <c r="U1894">
        <v>5</v>
      </c>
      <c r="W1894">
        <v>616</v>
      </c>
      <c r="X1894">
        <v>0</v>
      </c>
      <c r="Y1894">
        <v>0</v>
      </c>
      <c r="Z1894">
        <v>0</v>
      </c>
      <c r="AA1894">
        <v>0</v>
      </c>
      <c r="AB1894">
        <v>0</v>
      </c>
      <c r="AC1894">
        <v>616</v>
      </c>
      <c r="AD1894">
        <v>0</v>
      </c>
      <c r="AE1894">
        <v>0</v>
      </c>
      <c r="AF1894">
        <v>0</v>
      </c>
      <c r="AG1894">
        <v>0</v>
      </c>
      <c r="AH1894">
        <v>0</v>
      </c>
      <c r="AI1894">
        <v>0</v>
      </c>
      <c r="AJ1894">
        <v>0</v>
      </c>
      <c r="AK1894">
        <v>0</v>
      </c>
      <c r="AL1894">
        <v>0</v>
      </c>
      <c r="AM1894">
        <v>0</v>
      </c>
      <c r="AN1894">
        <v>0</v>
      </c>
      <c r="AO1894">
        <v>0</v>
      </c>
      <c r="AP1894">
        <v>0</v>
      </c>
      <c r="AQ1894">
        <v>0</v>
      </c>
      <c r="AR1894">
        <v>0</v>
      </c>
      <c r="AS1894">
        <v>0</v>
      </c>
      <c r="AT1894">
        <v>0</v>
      </c>
      <c r="AU1894">
        <f t="shared" si="58"/>
        <v>0</v>
      </c>
      <c r="AV1894">
        <f t="shared" si="59"/>
        <v>0</v>
      </c>
    </row>
    <row r="1895" spans="1:48" x14ac:dyDescent="0.25">
      <c r="A1895" t="s">
        <v>7138</v>
      </c>
      <c r="C1895" t="s">
        <v>7139</v>
      </c>
      <c r="D1895" t="s">
        <v>6658</v>
      </c>
      <c r="E1895" t="s">
        <v>2310</v>
      </c>
      <c r="F1895">
        <v>9</v>
      </c>
      <c r="G1895">
        <v>9.1999999999999993</v>
      </c>
      <c r="H1895" t="s">
        <v>2022</v>
      </c>
      <c r="I1895" s="21">
        <v>38848</v>
      </c>
      <c r="J1895">
        <v>2006</v>
      </c>
      <c r="K1895" s="21">
        <v>38951</v>
      </c>
      <c r="L1895">
        <v>2006</v>
      </c>
      <c r="M1895" s="21">
        <v>39300</v>
      </c>
      <c r="N1895">
        <v>2007</v>
      </c>
      <c r="R1895" s="262">
        <v>230000</v>
      </c>
      <c r="S1895" t="s">
        <v>114</v>
      </c>
      <c r="T1895" t="s">
        <v>114</v>
      </c>
      <c r="U1895">
        <v>13</v>
      </c>
      <c r="W1895">
        <v>0</v>
      </c>
      <c r="X1895">
        <v>0</v>
      </c>
      <c r="Y1895">
        <v>0</v>
      </c>
      <c r="Z1895">
        <v>0</v>
      </c>
      <c r="AA1895">
        <v>0</v>
      </c>
      <c r="AB1895">
        <v>-2986</v>
      </c>
      <c r="AC1895">
        <v>0</v>
      </c>
      <c r="AD1895">
        <v>0</v>
      </c>
      <c r="AE1895">
        <v>0</v>
      </c>
      <c r="AF1895">
        <v>0</v>
      </c>
      <c r="AG1895">
        <v>0</v>
      </c>
      <c r="AH1895">
        <v>0</v>
      </c>
      <c r="AI1895">
        <v>0</v>
      </c>
      <c r="AJ1895">
        <v>0</v>
      </c>
      <c r="AK1895">
        <v>2986</v>
      </c>
      <c r="AL1895">
        <v>0</v>
      </c>
      <c r="AM1895">
        <v>0</v>
      </c>
      <c r="AN1895">
        <v>0</v>
      </c>
      <c r="AO1895">
        <v>0</v>
      </c>
      <c r="AP1895">
        <v>0</v>
      </c>
      <c r="AQ1895">
        <v>0</v>
      </c>
      <c r="AR1895">
        <v>0</v>
      </c>
      <c r="AS1895">
        <v>0</v>
      </c>
      <c r="AT1895">
        <v>0</v>
      </c>
      <c r="AU1895">
        <f t="shared" si="58"/>
        <v>0</v>
      </c>
      <c r="AV1895">
        <f t="shared" si="59"/>
        <v>0</v>
      </c>
    </row>
    <row r="1896" spans="1:48" x14ac:dyDescent="0.25">
      <c r="A1896" t="s">
        <v>7140</v>
      </c>
      <c r="C1896" t="s">
        <v>7141</v>
      </c>
      <c r="D1896" t="s">
        <v>7142</v>
      </c>
      <c r="E1896" t="s">
        <v>2310</v>
      </c>
      <c r="F1896">
        <v>9</v>
      </c>
      <c r="G1896">
        <v>9.4</v>
      </c>
      <c r="H1896" t="s">
        <v>2323</v>
      </c>
      <c r="I1896" s="21">
        <v>38848</v>
      </c>
      <c r="J1896">
        <v>2006</v>
      </c>
      <c r="K1896" s="21">
        <v>38905</v>
      </c>
      <c r="L1896">
        <v>2006</v>
      </c>
      <c r="M1896" s="21">
        <v>38905</v>
      </c>
      <c r="N1896">
        <v>2006</v>
      </c>
      <c r="R1896" s="262">
        <v>900000</v>
      </c>
      <c r="S1896" t="s">
        <v>114</v>
      </c>
      <c r="T1896" t="s">
        <v>114</v>
      </c>
      <c r="U1896">
        <v>5</v>
      </c>
      <c r="W1896">
        <v>4761</v>
      </c>
      <c r="X1896">
        <v>1</v>
      </c>
      <c r="Y1896">
        <v>0</v>
      </c>
      <c r="Z1896">
        <v>0</v>
      </c>
      <c r="AA1896">
        <v>0</v>
      </c>
      <c r="AB1896">
        <v>0</v>
      </c>
      <c r="AC1896">
        <v>4761</v>
      </c>
      <c r="AD1896">
        <v>0</v>
      </c>
      <c r="AE1896">
        <v>0</v>
      </c>
      <c r="AF1896">
        <v>0</v>
      </c>
      <c r="AG1896">
        <v>0</v>
      </c>
      <c r="AH1896">
        <v>0</v>
      </c>
      <c r="AI1896">
        <v>0</v>
      </c>
      <c r="AJ1896">
        <v>0</v>
      </c>
      <c r="AK1896">
        <v>0</v>
      </c>
      <c r="AL1896">
        <v>0</v>
      </c>
      <c r="AM1896">
        <v>0</v>
      </c>
      <c r="AN1896">
        <v>0</v>
      </c>
      <c r="AO1896">
        <v>1</v>
      </c>
      <c r="AP1896">
        <v>0</v>
      </c>
      <c r="AQ1896">
        <v>0</v>
      </c>
      <c r="AR1896">
        <v>0</v>
      </c>
      <c r="AS1896">
        <v>0</v>
      </c>
      <c r="AT1896">
        <v>0</v>
      </c>
      <c r="AU1896">
        <f t="shared" si="58"/>
        <v>1</v>
      </c>
      <c r="AV1896">
        <f t="shared" si="59"/>
        <v>0</v>
      </c>
    </row>
    <row r="1897" spans="1:48" x14ac:dyDescent="0.25">
      <c r="A1897" t="s">
        <v>7143</v>
      </c>
      <c r="C1897" t="s">
        <v>7144</v>
      </c>
      <c r="D1897" t="s">
        <v>7145</v>
      </c>
      <c r="E1897" t="s">
        <v>2310</v>
      </c>
      <c r="F1897">
        <v>10</v>
      </c>
      <c r="G1897">
        <v>10.1</v>
      </c>
      <c r="H1897" t="s">
        <v>2323</v>
      </c>
      <c r="I1897" s="21">
        <v>38848</v>
      </c>
      <c r="J1897">
        <v>2006</v>
      </c>
      <c r="K1897" s="21">
        <v>38894</v>
      </c>
      <c r="L1897">
        <v>2006</v>
      </c>
      <c r="M1897" s="21">
        <v>39059</v>
      </c>
      <c r="N1897">
        <v>2006</v>
      </c>
      <c r="R1897" s="262">
        <v>180000</v>
      </c>
      <c r="S1897" t="s">
        <v>114</v>
      </c>
      <c r="T1897" t="s">
        <v>114</v>
      </c>
      <c r="U1897">
        <v>5</v>
      </c>
      <c r="W1897">
        <v>2240</v>
      </c>
      <c r="X1897">
        <v>1</v>
      </c>
      <c r="Y1897">
        <v>0</v>
      </c>
      <c r="Z1897">
        <v>0</v>
      </c>
      <c r="AA1897">
        <v>0</v>
      </c>
      <c r="AB1897">
        <v>0</v>
      </c>
      <c r="AC1897">
        <v>2240</v>
      </c>
      <c r="AD1897">
        <v>0</v>
      </c>
      <c r="AE1897">
        <v>0</v>
      </c>
      <c r="AF1897">
        <v>0</v>
      </c>
      <c r="AG1897">
        <v>0</v>
      </c>
      <c r="AH1897">
        <v>0</v>
      </c>
      <c r="AI1897">
        <v>0</v>
      </c>
      <c r="AJ1897">
        <v>0</v>
      </c>
      <c r="AK1897">
        <v>0</v>
      </c>
      <c r="AL1897">
        <v>0</v>
      </c>
      <c r="AM1897">
        <v>0</v>
      </c>
      <c r="AN1897">
        <v>0</v>
      </c>
      <c r="AO1897">
        <v>1</v>
      </c>
      <c r="AP1897">
        <v>0</v>
      </c>
      <c r="AQ1897">
        <v>0</v>
      </c>
      <c r="AR1897">
        <v>0</v>
      </c>
      <c r="AS1897">
        <v>0</v>
      </c>
      <c r="AT1897">
        <v>0</v>
      </c>
      <c r="AU1897">
        <f t="shared" si="58"/>
        <v>1</v>
      </c>
      <c r="AV1897">
        <f t="shared" si="59"/>
        <v>0</v>
      </c>
    </row>
    <row r="1898" spans="1:48" x14ac:dyDescent="0.25">
      <c r="A1898" t="s">
        <v>7146</v>
      </c>
      <c r="C1898" t="s">
        <v>5074</v>
      </c>
      <c r="D1898" t="s">
        <v>7147</v>
      </c>
      <c r="E1898" t="s">
        <v>2310</v>
      </c>
      <c r="F1898">
        <v>9</v>
      </c>
      <c r="G1898">
        <v>9.4</v>
      </c>
      <c r="H1898" t="s">
        <v>2323</v>
      </c>
      <c r="I1898" s="21">
        <v>38849</v>
      </c>
      <c r="J1898">
        <v>2006</v>
      </c>
      <c r="K1898" s="21">
        <v>38903</v>
      </c>
      <c r="L1898">
        <v>2006</v>
      </c>
      <c r="M1898" s="21">
        <v>39778</v>
      </c>
      <c r="N1898">
        <v>2008</v>
      </c>
      <c r="R1898" s="262">
        <v>2300000</v>
      </c>
      <c r="S1898" t="s">
        <v>114</v>
      </c>
      <c r="T1898" t="s">
        <v>114</v>
      </c>
      <c r="U1898">
        <v>5</v>
      </c>
      <c r="W1898">
        <v>7489</v>
      </c>
      <c r="X1898">
        <v>1</v>
      </c>
      <c r="Y1898">
        <v>0</v>
      </c>
      <c r="Z1898">
        <v>0</v>
      </c>
      <c r="AA1898">
        <v>0</v>
      </c>
      <c r="AB1898">
        <v>0</v>
      </c>
      <c r="AC1898">
        <v>7489</v>
      </c>
      <c r="AD1898">
        <v>0</v>
      </c>
      <c r="AE1898">
        <v>0</v>
      </c>
      <c r="AF1898">
        <v>0</v>
      </c>
      <c r="AG1898">
        <v>0</v>
      </c>
      <c r="AH1898">
        <v>0</v>
      </c>
      <c r="AI1898">
        <v>0</v>
      </c>
      <c r="AJ1898">
        <v>0</v>
      </c>
      <c r="AK1898">
        <v>0</v>
      </c>
      <c r="AL1898">
        <v>0</v>
      </c>
      <c r="AM1898">
        <v>0</v>
      </c>
      <c r="AN1898">
        <v>0</v>
      </c>
      <c r="AO1898">
        <v>1</v>
      </c>
      <c r="AP1898">
        <v>0</v>
      </c>
      <c r="AQ1898">
        <v>0</v>
      </c>
      <c r="AR1898">
        <v>0</v>
      </c>
      <c r="AS1898">
        <v>0</v>
      </c>
      <c r="AT1898">
        <v>0</v>
      </c>
      <c r="AU1898">
        <f t="shared" si="58"/>
        <v>1</v>
      </c>
      <c r="AV1898">
        <f t="shared" si="59"/>
        <v>0</v>
      </c>
    </row>
    <row r="1899" spans="1:48" x14ac:dyDescent="0.25">
      <c r="A1899" t="s">
        <v>7148</v>
      </c>
      <c r="C1899" t="s">
        <v>7149</v>
      </c>
      <c r="D1899" t="s">
        <v>2824</v>
      </c>
      <c r="E1899" t="s">
        <v>2310</v>
      </c>
      <c r="F1899">
        <v>10</v>
      </c>
      <c r="G1899">
        <v>10.1</v>
      </c>
      <c r="H1899" t="s">
        <v>2323</v>
      </c>
      <c r="I1899" s="21">
        <v>38852</v>
      </c>
      <c r="J1899">
        <v>2006</v>
      </c>
      <c r="K1899" s="21">
        <v>38924</v>
      </c>
      <c r="L1899">
        <v>2006</v>
      </c>
      <c r="M1899" s="21">
        <v>38924</v>
      </c>
      <c r="N1899">
        <v>2006</v>
      </c>
      <c r="R1899" s="262">
        <v>0</v>
      </c>
      <c r="S1899" t="s">
        <v>114</v>
      </c>
      <c r="T1899" t="s">
        <v>114</v>
      </c>
      <c r="U1899">
        <v>5</v>
      </c>
      <c r="W1899">
        <v>0</v>
      </c>
      <c r="X1899">
        <v>0</v>
      </c>
      <c r="Y1899">
        <v>0</v>
      </c>
      <c r="Z1899">
        <v>0</v>
      </c>
      <c r="AA1899">
        <v>0</v>
      </c>
      <c r="AB1899">
        <v>0</v>
      </c>
      <c r="AC1899">
        <v>0</v>
      </c>
      <c r="AD1899">
        <v>0</v>
      </c>
      <c r="AE1899">
        <v>0</v>
      </c>
      <c r="AF1899">
        <v>0</v>
      </c>
      <c r="AG1899">
        <v>0</v>
      </c>
      <c r="AH1899">
        <v>0</v>
      </c>
      <c r="AI1899">
        <v>0</v>
      </c>
      <c r="AJ1899">
        <v>0</v>
      </c>
      <c r="AK1899">
        <v>0</v>
      </c>
      <c r="AL1899">
        <v>0</v>
      </c>
      <c r="AM1899">
        <v>0</v>
      </c>
      <c r="AN1899">
        <v>0</v>
      </c>
      <c r="AO1899">
        <v>0</v>
      </c>
      <c r="AP1899">
        <v>0</v>
      </c>
      <c r="AQ1899">
        <v>0</v>
      </c>
      <c r="AR1899">
        <v>0</v>
      </c>
      <c r="AS1899">
        <v>0</v>
      </c>
      <c r="AT1899">
        <v>0</v>
      </c>
      <c r="AU1899">
        <f t="shared" si="58"/>
        <v>0</v>
      </c>
      <c r="AV1899">
        <f t="shared" si="59"/>
        <v>0</v>
      </c>
    </row>
    <row r="1900" spans="1:48" x14ac:dyDescent="0.25">
      <c r="A1900" t="s">
        <v>7150</v>
      </c>
      <c r="C1900" t="s">
        <v>7151</v>
      </c>
      <c r="D1900" t="s">
        <v>7152</v>
      </c>
      <c r="E1900" t="s">
        <v>2310</v>
      </c>
      <c r="F1900">
        <v>15</v>
      </c>
      <c r="G1900">
        <v>15.2</v>
      </c>
      <c r="H1900" t="s">
        <v>2323</v>
      </c>
      <c r="I1900" s="21">
        <v>38852</v>
      </c>
      <c r="J1900">
        <v>2006</v>
      </c>
      <c r="K1900" s="21">
        <v>38905</v>
      </c>
      <c r="L1900">
        <v>2006</v>
      </c>
      <c r="M1900" s="21">
        <v>39143</v>
      </c>
      <c r="N1900">
        <v>2007</v>
      </c>
      <c r="R1900" s="262">
        <v>230000</v>
      </c>
      <c r="S1900" t="s">
        <v>114</v>
      </c>
      <c r="T1900" t="s">
        <v>114</v>
      </c>
      <c r="U1900">
        <v>5</v>
      </c>
      <c r="W1900">
        <v>1640</v>
      </c>
      <c r="X1900">
        <v>0</v>
      </c>
      <c r="Y1900">
        <v>0</v>
      </c>
      <c r="Z1900">
        <v>0</v>
      </c>
      <c r="AA1900">
        <v>0</v>
      </c>
      <c r="AB1900">
        <v>0</v>
      </c>
      <c r="AC1900">
        <v>1640</v>
      </c>
      <c r="AD1900">
        <v>0</v>
      </c>
      <c r="AE1900">
        <v>0</v>
      </c>
      <c r="AF1900">
        <v>0</v>
      </c>
      <c r="AG1900">
        <v>0</v>
      </c>
      <c r="AH1900">
        <v>0</v>
      </c>
      <c r="AI1900">
        <v>0</v>
      </c>
      <c r="AJ1900">
        <v>0</v>
      </c>
      <c r="AK1900">
        <v>0</v>
      </c>
      <c r="AL1900">
        <v>0</v>
      </c>
      <c r="AM1900">
        <v>0</v>
      </c>
      <c r="AN1900">
        <v>0</v>
      </c>
      <c r="AO1900">
        <v>0</v>
      </c>
      <c r="AP1900">
        <v>0</v>
      </c>
      <c r="AQ1900">
        <v>0</v>
      </c>
      <c r="AR1900">
        <v>0</v>
      </c>
      <c r="AS1900">
        <v>0</v>
      </c>
      <c r="AT1900">
        <v>0</v>
      </c>
      <c r="AU1900">
        <f t="shared" si="58"/>
        <v>0</v>
      </c>
      <c r="AV1900">
        <f t="shared" si="59"/>
        <v>0</v>
      </c>
    </row>
    <row r="1901" spans="1:48" x14ac:dyDescent="0.25">
      <c r="A1901" t="s">
        <v>7153</v>
      </c>
      <c r="C1901" t="s">
        <v>7154</v>
      </c>
      <c r="D1901" t="s">
        <v>4807</v>
      </c>
      <c r="E1901" t="s">
        <v>2310</v>
      </c>
      <c r="F1901">
        <v>9</v>
      </c>
      <c r="G1901">
        <v>9.4</v>
      </c>
      <c r="H1901" t="s">
        <v>2323</v>
      </c>
      <c r="I1901" s="21">
        <v>38852</v>
      </c>
      <c r="J1901">
        <v>2006</v>
      </c>
      <c r="K1901" s="21">
        <v>38876</v>
      </c>
      <c r="L1901">
        <v>2006</v>
      </c>
      <c r="M1901" s="21">
        <v>39189</v>
      </c>
      <c r="N1901">
        <v>2007</v>
      </c>
      <c r="R1901" s="262">
        <v>20000</v>
      </c>
      <c r="S1901" t="s">
        <v>114</v>
      </c>
      <c r="T1901" t="s">
        <v>114</v>
      </c>
      <c r="U1901">
        <v>5</v>
      </c>
      <c r="W1901">
        <v>204</v>
      </c>
      <c r="X1901">
        <v>0</v>
      </c>
      <c r="Y1901">
        <v>0</v>
      </c>
      <c r="Z1901">
        <v>0</v>
      </c>
      <c r="AA1901">
        <v>0</v>
      </c>
      <c r="AB1901">
        <v>0</v>
      </c>
      <c r="AC1901">
        <v>204</v>
      </c>
      <c r="AD1901">
        <v>0</v>
      </c>
      <c r="AE1901">
        <v>0</v>
      </c>
      <c r="AF1901">
        <v>0</v>
      </c>
      <c r="AG1901">
        <v>0</v>
      </c>
      <c r="AH1901">
        <v>0</v>
      </c>
      <c r="AI1901">
        <v>0</v>
      </c>
      <c r="AJ1901">
        <v>0</v>
      </c>
      <c r="AK1901">
        <v>0</v>
      </c>
      <c r="AL1901">
        <v>0</v>
      </c>
      <c r="AM1901">
        <v>0</v>
      </c>
      <c r="AN1901">
        <v>0</v>
      </c>
      <c r="AO1901">
        <v>0</v>
      </c>
      <c r="AP1901">
        <v>0</v>
      </c>
      <c r="AQ1901">
        <v>0</v>
      </c>
      <c r="AR1901">
        <v>0</v>
      </c>
      <c r="AS1901">
        <v>0</v>
      </c>
      <c r="AT1901">
        <v>0</v>
      </c>
      <c r="AU1901">
        <f t="shared" si="58"/>
        <v>0</v>
      </c>
      <c r="AV1901">
        <f t="shared" si="59"/>
        <v>0</v>
      </c>
    </row>
    <row r="1902" spans="1:48" x14ac:dyDescent="0.25">
      <c r="A1902" t="s">
        <v>7155</v>
      </c>
      <c r="C1902" t="s">
        <v>7156</v>
      </c>
      <c r="D1902" t="s">
        <v>5208</v>
      </c>
      <c r="E1902" t="s">
        <v>2310</v>
      </c>
      <c r="F1902">
        <v>9</v>
      </c>
      <c r="G1902">
        <v>9.4</v>
      </c>
      <c r="H1902" t="s">
        <v>2323</v>
      </c>
      <c r="I1902" s="21">
        <v>38853</v>
      </c>
      <c r="J1902">
        <v>2006</v>
      </c>
      <c r="K1902" s="21">
        <v>38910</v>
      </c>
      <c r="L1902">
        <v>2006</v>
      </c>
      <c r="M1902" s="21">
        <v>38910</v>
      </c>
      <c r="N1902">
        <v>2006</v>
      </c>
      <c r="R1902" s="262">
        <v>97000</v>
      </c>
      <c r="S1902" t="s">
        <v>114</v>
      </c>
      <c r="T1902" t="s">
        <v>114</v>
      </c>
      <c r="U1902">
        <v>5</v>
      </c>
      <c r="W1902">
        <v>638</v>
      </c>
      <c r="X1902">
        <v>0</v>
      </c>
      <c r="Y1902">
        <v>0</v>
      </c>
      <c r="Z1902">
        <v>0</v>
      </c>
      <c r="AA1902">
        <v>0</v>
      </c>
      <c r="AB1902">
        <v>0</v>
      </c>
      <c r="AC1902">
        <v>638</v>
      </c>
      <c r="AD1902">
        <v>0</v>
      </c>
      <c r="AE1902">
        <v>0</v>
      </c>
      <c r="AF1902">
        <v>0</v>
      </c>
      <c r="AG1902">
        <v>0</v>
      </c>
      <c r="AH1902">
        <v>0</v>
      </c>
      <c r="AI1902">
        <v>0</v>
      </c>
      <c r="AJ1902">
        <v>0</v>
      </c>
      <c r="AK1902">
        <v>0</v>
      </c>
      <c r="AL1902">
        <v>0</v>
      </c>
      <c r="AM1902">
        <v>0</v>
      </c>
      <c r="AN1902">
        <v>0</v>
      </c>
      <c r="AO1902">
        <v>0</v>
      </c>
      <c r="AP1902">
        <v>0</v>
      </c>
      <c r="AQ1902">
        <v>0</v>
      </c>
      <c r="AR1902">
        <v>0</v>
      </c>
      <c r="AS1902">
        <v>0</v>
      </c>
      <c r="AT1902">
        <v>0</v>
      </c>
      <c r="AU1902">
        <f t="shared" si="58"/>
        <v>0</v>
      </c>
      <c r="AV1902">
        <f t="shared" si="59"/>
        <v>0</v>
      </c>
    </row>
    <row r="1903" spans="1:48" x14ac:dyDescent="0.25">
      <c r="A1903" t="s">
        <v>7157</v>
      </c>
      <c r="C1903" t="s">
        <v>5909</v>
      </c>
      <c r="D1903" t="s">
        <v>7158</v>
      </c>
      <c r="E1903" t="s">
        <v>2310</v>
      </c>
      <c r="F1903">
        <v>9</v>
      </c>
      <c r="G1903">
        <v>9.3000000000000007</v>
      </c>
      <c r="H1903" t="s">
        <v>2323</v>
      </c>
      <c r="I1903" s="21">
        <v>38853</v>
      </c>
      <c r="J1903">
        <v>2006</v>
      </c>
      <c r="K1903" s="21">
        <v>38911</v>
      </c>
      <c r="L1903">
        <v>2006</v>
      </c>
      <c r="M1903" s="21">
        <v>39904</v>
      </c>
      <c r="N1903">
        <v>2009</v>
      </c>
      <c r="R1903" s="262">
        <v>970000</v>
      </c>
      <c r="S1903" t="s">
        <v>114</v>
      </c>
      <c r="T1903" t="s">
        <v>114</v>
      </c>
      <c r="U1903">
        <v>5</v>
      </c>
      <c r="W1903">
        <v>4870</v>
      </c>
      <c r="X1903">
        <v>1</v>
      </c>
      <c r="Y1903">
        <v>0</v>
      </c>
      <c r="Z1903">
        <v>0</v>
      </c>
      <c r="AA1903">
        <v>0</v>
      </c>
      <c r="AB1903">
        <v>0</v>
      </c>
      <c r="AC1903">
        <v>4870</v>
      </c>
      <c r="AD1903">
        <v>0</v>
      </c>
      <c r="AE1903">
        <v>0</v>
      </c>
      <c r="AF1903">
        <v>0</v>
      </c>
      <c r="AG1903">
        <v>0</v>
      </c>
      <c r="AH1903">
        <v>0</v>
      </c>
      <c r="AI1903">
        <v>0</v>
      </c>
      <c r="AJ1903">
        <v>0</v>
      </c>
      <c r="AK1903">
        <v>0</v>
      </c>
      <c r="AL1903">
        <v>0</v>
      </c>
      <c r="AM1903">
        <v>0</v>
      </c>
      <c r="AN1903">
        <v>0</v>
      </c>
      <c r="AO1903">
        <v>1</v>
      </c>
      <c r="AP1903">
        <v>0</v>
      </c>
      <c r="AQ1903">
        <v>0</v>
      </c>
      <c r="AR1903">
        <v>0</v>
      </c>
      <c r="AS1903">
        <v>0</v>
      </c>
      <c r="AT1903">
        <v>0</v>
      </c>
      <c r="AU1903">
        <f t="shared" si="58"/>
        <v>1</v>
      </c>
      <c r="AV1903">
        <f t="shared" si="59"/>
        <v>0</v>
      </c>
    </row>
    <row r="1904" spans="1:48" x14ac:dyDescent="0.25">
      <c r="A1904" t="s">
        <v>7159</v>
      </c>
      <c r="C1904" t="s">
        <v>7160</v>
      </c>
      <c r="D1904" t="s">
        <v>7161</v>
      </c>
      <c r="E1904" t="s">
        <v>2310</v>
      </c>
      <c r="F1904">
        <v>8</v>
      </c>
      <c r="G1904">
        <v>8.1999999999999993</v>
      </c>
      <c r="H1904" t="s">
        <v>2022</v>
      </c>
      <c r="I1904" s="21">
        <v>38853</v>
      </c>
      <c r="J1904">
        <v>2006</v>
      </c>
      <c r="K1904" s="21">
        <v>38945</v>
      </c>
      <c r="L1904">
        <v>2006</v>
      </c>
      <c r="M1904" s="21">
        <v>39359</v>
      </c>
      <c r="N1904">
        <v>2007</v>
      </c>
      <c r="R1904" s="262">
        <v>800000</v>
      </c>
      <c r="S1904" t="s">
        <v>114</v>
      </c>
      <c r="T1904" t="s">
        <v>114</v>
      </c>
      <c r="U1904">
        <v>5</v>
      </c>
      <c r="W1904">
        <v>2710</v>
      </c>
      <c r="X1904">
        <v>0</v>
      </c>
      <c r="Y1904">
        <v>0</v>
      </c>
      <c r="Z1904">
        <v>0</v>
      </c>
      <c r="AA1904">
        <v>0</v>
      </c>
      <c r="AB1904">
        <v>0</v>
      </c>
      <c r="AC1904">
        <v>2710</v>
      </c>
      <c r="AD1904">
        <v>0</v>
      </c>
      <c r="AE1904">
        <v>0</v>
      </c>
      <c r="AF1904">
        <v>0</v>
      </c>
      <c r="AG1904">
        <v>0</v>
      </c>
      <c r="AH1904">
        <v>0</v>
      </c>
      <c r="AI1904">
        <v>0</v>
      </c>
      <c r="AJ1904">
        <v>0</v>
      </c>
      <c r="AK1904">
        <v>0</v>
      </c>
      <c r="AL1904">
        <v>0</v>
      </c>
      <c r="AM1904">
        <v>0</v>
      </c>
      <c r="AN1904">
        <v>0</v>
      </c>
      <c r="AO1904">
        <v>0</v>
      </c>
      <c r="AP1904">
        <v>0</v>
      </c>
      <c r="AQ1904">
        <v>0</v>
      </c>
      <c r="AR1904">
        <v>0</v>
      </c>
      <c r="AS1904">
        <v>0</v>
      </c>
      <c r="AT1904">
        <v>0</v>
      </c>
      <c r="AU1904">
        <f t="shared" si="58"/>
        <v>0</v>
      </c>
      <c r="AV1904">
        <f t="shared" si="59"/>
        <v>0</v>
      </c>
    </row>
    <row r="1905" spans="1:48" x14ac:dyDescent="0.25">
      <c r="A1905" t="s">
        <v>7162</v>
      </c>
      <c r="C1905" t="s">
        <v>7061</v>
      </c>
      <c r="D1905" t="s">
        <v>7163</v>
      </c>
      <c r="E1905" t="s">
        <v>2310</v>
      </c>
      <c r="F1905">
        <v>9</v>
      </c>
      <c r="G1905">
        <v>9.3000000000000007</v>
      </c>
      <c r="H1905" t="s">
        <v>2323</v>
      </c>
      <c r="I1905" s="21">
        <v>38853</v>
      </c>
      <c r="J1905">
        <v>2006</v>
      </c>
      <c r="K1905" s="21">
        <v>38923</v>
      </c>
      <c r="L1905">
        <v>2006</v>
      </c>
      <c r="M1905" s="21">
        <v>39639</v>
      </c>
      <c r="N1905">
        <v>2008</v>
      </c>
      <c r="R1905" s="262">
        <v>700000</v>
      </c>
      <c r="S1905" t="s">
        <v>114</v>
      </c>
      <c r="T1905" t="s">
        <v>114</v>
      </c>
      <c r="U1905">
        <v>5</v>
      </c>
      <c r="W1905">
        <v>5414</v>
      </c>
      <c r="X1905">
        <v>1</v>
      </c>
      <c r="Y1905">
        <v>0</v>
      </c>
      <c r="Z1905">
        <v>0</v>
      </c>
      <c r="AA1905">
        <v>0</v>
      </c>
      <c r="AB1905">
        <v>0</v>
      </c>
      <c r="AC1905">
        <v>5414</v>
      </c>
      <c r="AD1905">
        <v>0</v>
      </c>
      <c r="AE1905">
        <v>0</v>
      </c>
      <c r="AF1905">
        <v>0</v>
      </c>
      <c r="AG1905">
        <v>0</v>
      </c>
      <c r="AH1905">
        <v>0</v>
      </c>
      <c r="AI1905">
        <v>0</v>
      </c>
      <c r="AJ1905">
        <v>0</v>
      </c>
      <c r="AK1905">
        <v>0</v>
      </c>
      <c r="AL1905">
        <v>0</v>
      </c>
      <c r="AM1905">
        <v>0</v>
      </c>
      <c r="AN1905">
        <v>0</v>
      </c>
      <c r="AO1905">
        <v>1</v>
      </c>
      <c r="AP1905">
        <v>0</v>
      </c>
      <c r="AQ1905">
        <v>0</v>
      </c>
      <c r="AR1905">
        <v>0</v>
      </c>
      <c r="AS1905">
        <v>0</v>
      </c>
      <c r="AT1905">
        <v>0</v>
      </c>
      <c r="AU1905">
        <f t="shared" si="58"/>
        <v>1</v>
      </c>
      <c r="AV1905">
        <f t="shared" si="59"/>
        <v>0</v>
      </c>
    </row>
    <row r="1906" spans="1:48" x14ac:dyDescent="0.25">
      <c r="A1906" t="s">
        <v>7176</v>
      </c>
      <c r="C1906" t="s">
        <v>7177</v>
      </c>
      <c r="D1906" t="s">
        <v>7178</v>
      </c>
      <c r="E1906" t="s">
        <v>2310</v>
      </c>
      <c r="F1906">
        <v>9</v>
      </c>
      <c r="G1906">
        <v>9.1999999999999993</v>
      </c>
      <c r="H1906" t="s">
        <v>2022</v>
      </c>
      <c r="I1906" s="21">
        <v>38854</v>
      </c>
      <c r="J1906">
        <v>2006</v>
      </c>
      <c r="K1906" s="21">
        <v>38924</v>
      </c>
      <c r="L1906">
        <v>2006</v>
      </c>
      <c r="M1906" s="21">
        <v>39395</v>
      </c>
      <c r="N1906">
        <v>2007</v>
      </c>
      <c r="R1906" s="262">
        <v>225000</v>
      </c>
      <c r="S1906" t="s">
        <v>114</v>
      </c>
      <c r="T1906" t="s">
        <v>114</v>
      </c>
      <c r="U1906">
        <v>1</v>
      </c>
      <c r="W1906">
        <v>1856</v>
      </c>
      <c r="X1906">
        <v>1</v>
      </c>
      <c r="Y1906">
        <v>1856</v>
      </c>
      <c r="Z1906">
        <v>0</v>
      </c>
      <c r="AA1906">
        <v>0</v>
      </c>
      <c r="AB1906">
        <v>0</v>
      </c>
      <c r="AC1906">
        <v>0</v>
      </c>
      <c r="AD1906">
        <v>0</v>
      </c>
      <c r="AE1906">
        <v>0</v>
      </c>
      <c r="AF1906">
        <v>0</v>
      </c>
      <c r="AG1906">
        <v>0</v>
      </c>
      <c r="AH1906">
        <v>0</v>
      </c>
      <c r="AI1906">
        <v>0</v>
      </c>
      <c r="AJ1906">
        <v>0</v>
      </c>
      <c r="AK1906">
        <v>0</v>
      </c>
      <c r="AL1906">
        <v>0</v>
      </c>
      <c r="AM1906">
        <v>0</v>
      </c>
      <c r="AN1906">
        <v>1</v>
      </c>
      <c r="AO1906">
        <v>0</v>
      </c>
      <c r="AP1906">
        <v>0</v>
      </c>
      <c r="AQ1906">
        <v>0</v>
      </c>
      <c r="AR1906">
        <v>0</v>
      </c>
      <c r="AS1906">
        <v>0</v>
      </c>
      <c r="AT1906">
        <v>0</v>
      </c>
      <c r="AU1906">
        <f t="shared" si="58"/>
        <v>1</v>
      </c>
      <c r="AV1906">
        <f t="shared" si="59"/>
        <v>1856</v>
      </c>
    </row>
    <row r="1907" spans="1:48" x14ac:dyDescent="0.25">
      <c r="A1907" t="s">
        <v>7164</v>
      </c>
      <c r="C1907" t="s">
        <v>7165</v>
      </c>
      <c r="D1907" t="s">
        <v>7166</v>
      </c>
      <c r="E1907" t="s">
        <v>1663</v>
      </c>
      <c r="F1907">
        <v>3</v>
      </c>
      <c r="G1907">
        <v>3.1</v>
      </c>
      <c r="H1907" t="s">
        <v>2017</v>
      </c>
      <c r="I1907" s="21">
        <v>38854</v>
      </c>
      <c r="J1907">
        <v>2006</v>
      </c>
      <c r="K1907" s="21">
        <v>38885</v>
      </c>
      <c r="L1907">
        <v>2006</v>
      </c>
      <c r="M1907" s="21">
        <v>39038</v>
      </c>
      <c r="N1907">
        <v>2006</v>
      </c>
      <c r="Q1907" s="262">
        <v>0</v>
      </c>
      <c r="S1907" t="s">
        <v>114</v>
      </c>
      <c r="T1907" t="s">
        <v>114</v>
      </c>
      <c r="W1907">
        <v>2498</v>
      </c>
      <c r="X1907">
        <v>3</v>
      </c>
      <c r="Y1907">
        <v>0</v>
      </c>
      <c r="Z1907">
        <v>0</v>
      </c>
      <c r="AA1907">
        <v>0</v>
      </c>
      <c r="AB1907">
        <v>0</v>
      </c>
      <c r="AC1907">
        <v>0</v>
      </c>
      <c r="AD1907">
        <v>2498</v>
      </c>
      <c r="AE1907">
        <v>0</v>
      </c>
      <c r="AF1907">
        <v>0</v>
      </c>
      <c r="AG1907">
        <v>0</v>
      </c>
      <c r="AH1907">
        <v>0</v>
      </c>
      <c r="AI1907">
        <v>0</v>
      </c>
      <c r="AJ1907">
        <v>0</v>
      </c>
      <c r="AK1907">
        <v>0</v>
      </c>
      <c r="AL1907">
        <v>0</v>
      </c>
      <c r="AM1907">
        <v>0</v>
      </c>
      <c r="AN1907">
        <v>0</v>
      </c>
      <c r="AO1907">
        <v>0</v>
      </c>
      <c r="AP1907">
        <v>3</v>
      </c>
      <c r="AQ1907">
        <v>0</v>
      </c>
      <c r="AR1907">
        <v>0</v>
      </c>
      <c r="AS1907">
        <v>0</v>
      </c>
      <c r="AT1907">
        <v>0</v>
      </c>
      <c r="AU1907">
        <f t="shared" si="58"/>
        <v>3</v>
      </c>
      <c r="AV1907">
        <f t="shared" si="59"/>
        <v>0</v>
      </c>
    </row>
    <row r="1908" spans="1:48" x14ac:dyDescent="0.25">
      <c r="A1908" t="s">
        <v>7167</v>
      </c>
      <c r="C1908" t="s">
        <v>7168</v>
      </c>
      <c r="D1908" t="s">
        <v>7169</v>
      </c>
      <c r="E1908" t="s">
        <v>1663</v>
      </c>
      <c r="F1908">
        <v>3</v>
      </c>
      <c r="G1908">
        <v>3.1</v>
      </c>
      <c r="H1908" t="s">
        <v>2017</v>
      </c>
      <c r="I1908" s="21">
        <v>38854</v>
      </c>
      <c r="J1908">
        <v>2006</v>
      </c>
      <c r="K1908" s="21">
        <v>38885</v>
      </c>
      <c r="L1908">
        <v>2006</v>
      </c>
      <c r="M1908" s="21">
        <v>39038</v>
      </c>
      <c r="N1908">
        <v>2006</v>
      </c>
      <c r="Q1908" s="262">
        <v>0</v>
      </c>
      <c r="S1908" t="s">
        <v>114</v>
      </c>
      <c r="T1908" t="s">
        <v>114</v>
      </c>
      <c r="W1908">
        <v>2498</v>
      </c>
      <c r="X1908">
        <v>3</v>
      </c>
      <c r="Y1908">
        <v>0</v>
      </c>
      <c r="Z1908">
        <v>0</v>
      </c>
      <c r="AA1908">
        <v>0</v>
      </c>
      <c r="AB1908">
        <v>0</v>
      </c>
      <c r="AC1908">
        <v>0</v>
      </c>
      <c r="AD1908">
        <v>2498</v>
      </c>
      <c r="AE1908">
        <v>0</v>
      </c>
      <c r="AF1908">
        <v>0</v>
      </c>
      <c r="AG1908">
        <v>0</v>
      </c>
      <c r="AH1908">
        <v>0</v>
      </c>
      <c r="AI1908">
        <v>0</v>
      </c>
      <c r="AJ1908">
        <v>0</v>
      </c>
      <c r="AK1908">
        <v>0</v>
      </c>
      <c r="AL1908">
        <v>0</v>
      </c>
      <c r="AM1908">
        <v>0</v>
      </c>
      <c r="AN1908">
        <v>0</v>
      </c>
      <c r="AO1908">
        <v>0</v>
      </c>
      <c r="AP1908">
        <v>3</v>
      </c>
      <c r="AQ1908">
        <v>0</v>
      </c>
      <c r="AR1908">
        <v>0</v>
      </c>
      <c r="AS1908">
        <v>0</v>
      </c>
      <c r="AT1908">
        <v>0</v>
      </c>
      <c r="AU1908">
        <f t="shared" si="58"/>
        <v>3</v>
      </c>
      <c r="AV1908">
        <f t="shared" si="59"/>
        <v>0</v>
      </c>
    </row>
    <row r="1909" spans="1:48" x14ac:dyDescent="0.25">
      <c r="A1909" t="s">
        <v>7170</v>
      </c>
      <c r="C1909" t="s">
        <v>7171</v>
      </c>
      <c r="D1909" t="s">
        <v>7172</v>
      </c>
      <c r="E1909" t="s">
        <v>1663</v>
      </c>
      <c r="F1909">
        <v>3</v>
      </c>
      <c r="G1909">
        <v>3.1</v>
      </c>
      <c r="H1909" t="s">
        <v>2017</v>
      </c>
      <c r="I1909" s="21">
        <v>38854</v>
      </c>
      <c r="J1909">
        <v>2006</v>
      </c>
      <c r="K1909" s="21">
        <v>38885</v>
      </c>
      <c r="L1909">
        <v>2006</v>
      </c>
      <c r="M1909" s="21">
        <v>39038</v>
      </c>
      <c r="N1909">
        <v>2006</v>
      </c>
      <c r="Q1909" s="262">
        <v>0</v>
      </c>
      <c r="S1909" t="s">
        <v>114</v>
      </c>
      <c r="T1909" t="s">
        <v>114</v>
      </c>
      <c r="W1909">
        <v>2498</v>
      </c>
      <c r="X1909">
        <v>3</v>
      </c>
      <c r="Y1909">
        <v>0</v>
      </c>
      <c r="Z1909">
        <v>0</v>
      </c>
      <c r="AA1909">
        <v>0</v>
      </c>
      <c r="AB1909">
        <v>0</v>
      </c>
      <c r="AC1909">
        <v>0</v>
      </c>
      <c r="AD1909">
        <v>2498</v>
      </c>
      <c r="AE1909">
        <v>0</v>
      </c>
      <c r="AF1909">
        <v>0</v>
      </c>
      <c r="AG1909">
        <v>0</v>
      </c>
      <c r="AH1909">
        <v>0</v>
      </c>
      <c r="AI1909">
        <v>0</v>
      </c>
      <c r="AJ1909">
        <v>0</v>
      </c>
      <c r="AK1909">
        <v>0</v>
      </c>
      <c r="AL1909">
        <v>0</v>
      </c>
      <c r="AM1909">
        <v>0</v>
      </c>
      <c r="AN1909">
        <v>0</v>
      </c>
      <c r="AO1909">
        <v>0</v>
      </c>
      <c r="AP1909">
        <v>3</v>
      </c>
      <c r="AQ1909">
        <v>0</v>
      </c>
      <c r="AR1909">
        <v>0</v>
      </c>
      <c r="AS1909">
        <v>0</v>
      </c>
      <c r="AT1909">
        <v>0</v>
      </c>
      <c r="AU1909">
        <f t="shared" si="58"/>
        <v>3</v>
      </c>
      <c r="AV1909">
        <f t="shared" si="59"/>
        <v>0</v>
      </c>
    </row>
    <row r="1910" spans="1:48" x14ac:dyDescent="0.25">
      <c r="A1910" t="s">
        <v>7173</v>
      </c>
      <c r="C1910" t="s">
        <v>7174</v>
      </c>
      <c r="D1910" t="s">
        <v>7175</v>
      </c>
      <c r="E1910" t="s">
        <v>1663</v>
      </c>
      <c r="F1910">
        <v>3</v>
      </c>
      <c r="G1910">
        <v>3.1</v>
      </c>
      <c r="H1910" t="s">
        <v>2017</v>
      </c>
      <c r="I1910" s="21">
        <v>38854</v>
      </c>
      <c r="J1910">
        <v>2006</v>
      </c>
      <c r="K1910" s="21">
        <v>38885</v>
      </c>
      <c r="L1910">
        <v>2006</v>
      </c>
      <c r="M1910" s="21">
        <v>39038</v>
      </c>
      <c r="N1910">
        <v>2006</v>
      </c>
      <c r="Q1910" s="262">
        <v>0</v>
      </c>
      <c r="S1910" t="s">
        <v>114</v>
      </c>
      <c r="T1910" t="s">
        <v>114</v>
      </c>
      <c r="W1910">
        <v>2470</v>
      </c>
      <c r="X1910">
        <v>3</v>
      </c>
      <c r="Y1910">
        <v>0</v>
      </c>
      <c r="Z1910">
        <v>0</v>
      </c>
      <c r="AA1910">
        <v>0</v>
      </c>
      <c r="AB1910">
        <v>0</v>
      </c>
      <c r="AC1910">
        <v>0</v>
      </c>
      <c r="AD1910">
        <v>2470</v>
      </c>
      <c r="AE1910">
        <v>0</v>
      </c>
      <c r="AF1910">
        <v>0</v>
      </c>
      <c r="AG1910">
        <v>0</v>
      </c>
      <c r="AH1910">
        <v>0</v>
      </c>
      <c r="AI1910">
        <v>0</v>
      </c>
      <c r="AJ1910">
        <v>0</v>
      </c>
      <c r="AK1910">
        <v>0</v>
      </c>
      <c r="AL1910">
        <v>0</v>
      </c>
      <c r="AM1910">
        <v>0</v>
      </c>
      <c r="AN1910">
        <v>0</v>
      </c>
      <c r="AO1910">
        <v>0</v>
      </c>
      <c r="AP1910">
        <v>3</v>
      </c>
      <c r="AQ1910">
        <v>0</v>
      </c>
      <c r="AR1910">
        <v>0</v>
      </c>
      <c r="AS1910">
        <v>0</v>
      </c>
      <c r="AT1910">
        <v>0</v>
      </c>
      <c r="AU1910">
        <f t="shared" si="58"/>
        <v>3</v>
      </c>
      <c r="AV1910">
        <f t="shared" si="59"/>
        <v>0</v>
      </c>
    </row>
    <row r="1911" spans="1:48" x14ac:dyDescent="0.25">
      <c r="A1911" t="s">
        <v>7179</v>
      </c>
      <c r="C1911" t="s">
        <v>7180</v>
      </c>
      <c r="D1911" t="s">
        <v>7181</v>
      </c>
      <c r="E1911" t="s">
        <v>2310</v>
      </c>
      <c r="F1911">
        <v>9</v>
      </c>
      <c r="G1911">
        <v>9.1999999999999993</v>
      </c>
      <c r="H1911" t="s">
        <v>2022</v>
      </c>
      <c r="I1911" s="21">
        <v>38855</v>
      </c>
      <c r="J1911">
        <v>2006</v>
      </c>
      <c r="K1911" s="21">
        <v>38919</v>
      </c>
      <c r="L1911">
        <v>2006</v>
      </c>
      <c r="M1911" s="21">
        <v>40001.503935185203</v>
      </c>
      <c r="N1911">
        <v>2009</v>
      </c>
      <c r="R1911" s="262">
        <v>2400000</v>
      </c>
      <c r="S1911" t="s">
        <v>114</v>
      </c>
      <c r="T1911" t="s">
        <v>114</v>
      </c>
      <c r="U1911">
        <v>17</v>
      </c>
      <c r="W1911">
        <v>9123</v>
      </c>
      <c r="X1911">
        <v>2</v>
      </c>
      <c r="Y1911">
        <v>0</v>
      </c>
      <c r="Z1911">
        <v>0</v>
      </c>
      <c r="AA1911">
        <v>0</v>
      </c>
      <c r="AB1911">
        <v>0</v>
      </c>
      <c r="AC1911">
        <v>0</v>
      </c>
      <c r="AD1911">
        <v>8123</v>
      </c>
      <c r="AE1911">
        <v>0</v>
      </c>
      <c r="AF1911">
        <v>1000</v>
      </c>
      <c r="AG1911">
        <v>0</v>
      </c>
      <c r="AH1911">
        <v>0</v>
      </c>
      <c r="AI1911">
        <v>0</v>
      </c>
      <c r="AJ1911">
        <v>0</v>
      </c>
      <c r="AK1911">
        <v>0</v>
      </c>
      <c r="AL1911">
        <v>0</v>
      </c>
      <c r="AM1911">
        <v>0</v>
      </c>
      <c r="AN1911">
        <v>0</v>
      </c>
      <c r="AO1911">
        <v>0</v>
      </c>
      <c r="AP1911">
        <v>1</v>
      </c>
      <c r="AQ1911">
        <v>0</v>
      </c>
      <c r="AR1911">
        <v>1</v>
      </c>
      <c r="AS1911">
        <v>0</v>
      </c>
      <c r="AT1911">
        <v>0</v>
      </c>
      <c r="AU1911">
        <f t="shared" si="58"/>
        <v>1</v>
      </c>
      <c r="AV1911">
        <f t="shared" si="59"/>
        <v>0</v>
      </c>
    </row>
    <row r="1912" spans="1:48" x14ac:dyDescent="0.25">
      <c r="A1912" t="s">
        <v>7182</v>
      </c>
      <c r="C1912" t="s">
        <v>7183</v>
      </c>
      <c r="D1912" t="s">
        <v>7184</v>
      </c>
      <c r="E1912" t="s">
        <v>2310</v>
      </c>
      <c r="F1912">
        <v>9</v>
      </c>
      <c r="G1912">
        <v>9.4</v>
      </c>
      <c r="H1912" t="s">
        <v>2323</v>
      </c>
      <c r="I1912" s="21">
        <v>38855</v>
      </c>
      <c r="J1912">
        <v>2006</v>
      </c>
      <c r="K1912" s="21">
        <v>38960</v>
      </c>
      <c r="L1912">
        <v>2006</v>
      </c>
      <c r="M1912" s="21">
        <v>39783</v>
      </c>
      <c r="N1912">
        <v>2008</v>
      </c>
      <c r="R1912" s="262">
        <v>900000</v>
      </c>
      <c r="S1912" t="s">
        <v>114</v>
      </c>
      <c r="T1912" t="s">
        <v>114</v>
      </c>
      <c r="U1912">
        <v>5</v>
      </c>
      <c r="W1912">
        <v>4810</v>
      </c>
      <c r="X1912">
        <v>1</v>
      </c>
      <c r="Y1912">
        <v>0</v>
      </c>
      <c r="Z1912">
        <v>0</v>
      </c>
      <c r="AA1912">
        <v>0</v>
      </c>
      <c r="AB1912">
        <v>0</v>
      </c>
      <c r="AC1912">
        <v>4810</v>
      </c>
      <c r="AD1912">
        <v>0</v>
      </c>
      <c r="AE1912">
        <v>0</v>
      </c>
      <c r="AF1912">
        <v>0</v>
      </c>
      <c r="AG1912">
        <v>0</v>
      </c>
      <c r="AH1912">
        <v>0</v>
      </c>
      <c r="AI1912">
        <v>0</v>
      </c>
      <c r="AJ1912">
        <v>0</v>
      </c>
      <c r="AK1912">
        <v>0</v>
      </c>
      <c r="AL1912">
        <v>0</v>
      </c>
      <c r="AM1912">
        <v>0</v>
      </c>
      <c r="AN1912">
        <v>0</v>
      </c>
      <c r="AO1912">
        <v>1</v>
      </c>
      <c r="AP1912">
        <v>0</v>
      </c>
      <c r="AQ1912">
        <v>0</v>
      </c>
      <c r="AR1912">
        <v>0</v>
      </c>
      <c r="AS1912">
        <v>0</v>
      </c>
      <c r="AT1912">
        <v>0</v>
      </c>
      <c r="AU1912">
        <f t="shared" si="58"/>
        <v>1</v>
      </c>
      <c r="AV1912">
        <f t="shared" si="59"/>
        <v>0</v>
      </c>
    </row>
    <row r="1913" spans="1:48" x14ac:dyDescent="0.25">
      <c r="A1913" t="s">
        <v>7185</v>
      </c>
      <c r="C1913" t="s">
        <v>7186</v>
      </c>
      <c r="D1913" t="s">
        <v>7187</v>
      </c>
      <c r="E1913" t="s">
        <v>1663</v>
      </c>
      <c r="F1913">
        <v>3</v>
      </c>
      <c r="G1913">
        <v>3.1</v>
      </c>
      <c r="H1913" t="s">
        <v>2017</v>
      </c>
      <c r="I1913" s="21">
        <v>38859</v>
      </c>
      <c r="J1913">
        <v>2006</v>
      </c>
      <c r="K1913" s="21">
        <v>38890</v>
      </c>
      <c r="L1913">
        <v>2006</v>
      </c>
      <c r="M1913" s="21">
        <v>39043</v>
      </c>
      <c r="N1913">
        <v>2006</v>
      </c>
      <c r="Q1913" s="262">
        <v>0</v>
      </c>
      <c r="S1913" t="s">
        <v>114</v>
      </c>
      <c r="T1913" t="s">
        <v>114</v>
      </c>
      <c r="W1913">
        <v>4486</v>
      </c>
      <c r="X1913">
        <v>1</v>
      </c>
      <c r="Y1913">
        <v>0</v>
      </c>
      <c r="Z1913">
        <v>0</v>
      </c>
      <c r="AA1913">
        <v>0</v>
      </c>
      <c r="AB1913">
        <v>0</v>
      </c>
      <c r="AC1913">
        <v>4486</v>
      </c>
      <c r="AD1913">
        <v>0</v>
      </c>
      <c r="AE1913">
        <v>0</v>
      </c>
      <c r="AF1913">
        <v>0</v>
      </c>
      <c r="AG1913">
        <v>0</v>
      </c>
      <c r="AH1913">
        <v>0</v>
      </c>
      <c r="AI1913">
        <v>0</v>
      </c>
      <c r="AJ1913">
        <v>0</v>
      </c>
      <c r="AK1913">
        <v>0</v>
      </c>
      <c r="AL1913">
        <v>0</v>
      </c>
      <c r="AM1913">
        <v>0</v>
      </c>
      <c r="AN1913">
        <v>0</v>
      </c>
      <c r="AO1913">
        <v>1</v>
      </c>
      <c r="AP1913">
        <v>0</v>
      </c>
      <c r="AQ1913">
        <v>0</v>
      </c>
      <c r="AR1913">
        <v>0</v>
      </c>
      <c r="AS1913">
        <v>0</v>
      </c>
      <c r="AT1913">
        <v>0</v>
      </c>
      <c r="AU1913">
        <f t="shared" si="58"/>
        <v>1</v>
      </c>
      <c r="AV1913">
        <f t="shared" si="59"/>
        <v>0</v>
      </c>
    </row>
    <row r="1914" spans="1:48" x14ac:dyDescent="0.25">
      <c r="A1914" t="s">
        <v>7188</v>
      </c>
      <c r="C1914" t="s">
        <v>7189</v>
      </c>
      <c r="D1914" t="s">
        <v>7190</v>
      </c>
      <c r="E1914" t="s">
        <v>2310</v>
      </c>
      <c r="F1914">
        <v>9</v>
      </c>
      <c r="G1914">
        <v>9.1</v>
      </c>
      <c r="H1914" t="s">
        <v>2323</v>
      </c>
      <c r="I1914" s="21">
        <v>38860</v>
      </c>
      <c r="J1914">
        <v>2006</v>
      </c>
      <c r="K1914" s="21">
        <v>38929</v>
      </c>
      <c r="L1914">
        <v>2006</v>
      </c>
      <c r="M1914" s="21">
        <v>38929</v>
      </c>
      <c r="N1914">
        <v>2006</v>
      </c>
      <c r="R1914" s="262">
        <v>10000</v>
      </c>
      <c r="S1914" t="s">
        <v>114</v>
      </c>
      <c r="T1914" t="s">
        <v>114</v>
      </c>
      <c r="U1914">
        <v>5</v>
      </c>
      <c r="W1914">
        <v>0</v>
      </c>
      <c r="X1914">
        <v>0</v>
      </c>
      <c r="Y1914">
        <v>0</v>
      </c>
      <c r="Z1914">
        <v>0</v>
      </c>
      <c r="AA1914">
        <v>0</v>
      </c>
      <c r="AB1914">
        <v>0</v>
      </c>
      <c r="AC1914">
        <v>0</v>
      </c>
      <c r="AD1914">
        <v>0</v>
      </c>
      <c r="AE1914">
        <v>0</v>
      </c>
      <c r="AF1914">
        <v>0</v>
      </c>
      <c r="AG1914">
        <v>0</v>
      </c>
      <c r="AH1914">
        <v>0</v>
      </c>
      <c r="AI1914">
        <v>0</v>
      </c>
      <c r="AJ1914">
        <v>0</v>
      </c>
      <c r="AK1914">
        <v>0</v>
      </c>
      <c r="AL1914">
        <v>0</v>
      </c>
      <c r="AM1914">
        <v>0</v>
      </c>
      <c r="AN1914">
        <v>0</v>
      </c>
      <c r="AO1914">
        <v>0</v>
      </c>
      <c r="AP1914">
        <v>0</v>
      </c>
      <c r="AQ1914">
        <v>0</v>
      </c>
      <c r="AR1914">
        <v>0</v>
      </c>
      <c r="AS1914">
        <v>0</v>
      </c>
      <c r="AT1914">
        <v>0</v>
      </c>
      <c r="AU1914">
        <f t="shared" si="58"/>
        <v>0</v>
      </c>
      <c r="AV1914">
        <f t="shared" si="59"/>
        <v>0</v>
      </c>
    </row>
    <row r="1915" spans="1:48" x14ac:dyDescent="0.25">
      <c r="A1915" t="s">
        <v>7191</v>
      </c>
      <c r="C1915" t="s">
        <v>7192</v>
      </c>
      <c r="D1915" t="s">
        <v>7193</v>
      </c>
      <c r="E1915" t="s">
        <v>2310</v>
      </c>
      <c r="F1915">
        <v>14</v>
      </c>
      <c r="G1915">
        <v>14.2</v>
      </c>
      <c r="H1915" t="s">
        <v>2017</v>
      </c>
      <c r="I1915" s="21">
        <v>38860</v>
      </c>
      <c r="J1915">
        <v>2006</v>
      </c>
      <c r="K1915" s="21">
        <v>38918</v>
      </c>
      <c r="L1915">
        <v>2006</v>
      </c>
      <c r="M1915" s="21">
        <v>39748</v>
      </c>
      <c r="N1915">
        <v>2008</v>
      </c>
      <c r="R1915" s="262">
        <v>350000</v>
      </c>
      <c r="S1915" t="s">
        <v>114</v>
      </c>
      <c r="T1915" t="s">
        <v>114</v>
      </c>
      <c r="U1915">
        <v>5</v>
      </c>
      <c r="W1915">
        <v>4625</v>
      </c>
      <c r="X1915">
        <v>1</v>
      </c>
      <c r="Y1915">
        <v>0</v>
      </c>
      <c r="Z1915">
        <v>0</v>
      </c>
      <c r="AA1915">
        <v>0</v>
      </c>
      <c r="AB1915">
        <v>0</v>
      </c>
      <c r="AC1915">
        <v>4625</v>
      </c>
      <c r="AD1915">
        <v>0</v>
      </c>
      <c r="AE1915">
        <v>0</v>
      </c>
      <c r="AF1915">
        <v>0</v>
      </c>
      <c r="AG1915">
        <v>0</v>
      </c>
      <c r="AH1915">
        <v>0</v>
      </c>
      <c r="AI1915">
        <v>0</v>
      </c>
      <c r="AJ1915">
        <v>0</v>
      </c>
      <c r="AK1915">
        <v>0</v>
      </c>
      <c r="AL1915">
        <v>0</v>
      </c>
      <c r="AM1915">
        <v>0</v>
      </c>
      <c r="AN1915">
        <v>0</v>
      </c>
      <c r="AO1915">
        <v>1</v>
      </c>
      <c r="AP1915">
        <v>0</v>
      </c>
      <c r="AQ1915">
        <v>0</v>
      </c>
      <c r="AR1915">
        <v>0</v>
      </c>
      <c r="AS1915">
        <v>0</v>
      </c>
      <c r="AT1915">
        <v>0</v>
      </c>
      <c r="AU1915">
        <f t="shared" si="58"/>
        <v>1</v>
      </c>
      <c r="AV1915">
        <f t="shared" si="59"/>
        <v>0</v>
      </c>
    </row>
    <row r="1916" spans="1:48" x14ac:dyDescent="0.25">
      <c r="A1916" t="s">
        <v>7194</v>
      </c>
      <c r="C1916" t="s">
        <v>7195</v>
      </c>
      <c r="D1916" t="s">
        <v>6081</v>
      </c>
      <c r="E1916" t="s">
        <v>2310</v>
      </c>
      <c r="F1916">
        <v>7</v>
      </c>
      <c r="G1916">
        <v>7.1</v>
      </c>
      <c r="H1916" t="s">
        <v>2017</v>
      </c>
      <c r="I1916" s="21">
        <v>38860</v>
      </c>
      <c r="J1916">
        <v>2006</v>
      </c>
      <c r="K1916" s="21">
        <v>38929</v>
      </c>
      <c r="L1916">
        <v>2006</v>
      </c>
      <c r="M1916" s="21">
        <v>39183</v>
      </c>
      <c r="N1916">
        <v>2007</v>
      </c>
      <c r="R1916" s="262">
        <v>420000</v>
      </c>
      <c r="S1916" t="s">
        <v>114</v>
      </c>
      <c r="T1916" t="s">
        <v>114</v>
      </c>
      <c r="U1916">
        <v>14</v>
      </c>
      <c r="W1916">
        <v>13500</v>
      </c>
      <c r="X1916">
        <v>0</v>
      </c>
      <c r="Y1916">
        <v>0</v>
      </c>
      <c r="Z1916">
        <v>0</v>
      </c>
      <c r="AA1916">
        <v>0</v>
      </c>
      <c r="AB1916">
        <v>0</v>
      </c>
      <c r="AC1916">
        <v>0</v>
      </c>
      <c r="AD1916">
        <v>0</v>
      </c>
      <c r="AE1916">
        <v>0</v>
      </c>
      <c r="AF1916">
        <v>0</v>
      </c>
      <c r="AG1916">
        <v>0</v>
      </c>
      <c r="AH1916">
        <v>0</v>
      </c>
      <c r="AI1916">
        <v>0</v>
      </c>
      <c r="AJ1916">
        <v>0</v>
      </c>
      <c r="AK1916">
        <v>0</v>
      </c>
      <c r="AL1916">
        <v>13500</v>
      </c>
      <c r="AM1916">
        <v>0</v>
      </c>
      <c r="AN1916">
        <v>0</v>
      </c>
      <c r="AO1916">
        <v>0</v>
      </c>
      <c r="AP1916">
        <v>0</v>
      </c>
      <c r="AQ1916">
        <v>0</v>
      </c>
      <c r="AR1916">
        <v>0</v>
      </c>
      <c r="AS1916">
        <v>0</v>
      </c>
      <c r="AT1916">
        <v>0</v>
      </c>
      <c r="AU1916">
        <f t="shared" si="58"/>
        <v>0</v>
      </c>
      <c r="AV1916">
        <f t="shared" si="59"/>
        <v>13500</v>
      </c>
    </row>
    <row r="1917" spans="1:48" x14ac:dyDescent="0.25">
      <c r="A1917" t="s">
        <v>7196</v>
      </c>
      <c r="C1917" t="s">
        <v>7197</v>
      </c>
      <c r="D1917" t="s">
        <v>7198</v>
      </c>
      <c r="E1917" t="s">
        <v>2310</v>
      </c>
      <c r="F1917">
        <v>15</v>
      </c>
      <c r="G1917">
        <v>15.3</v>
      </c>
      <c r="H1917" t="s">
        <v>2022</v>
      </c>
      <c r="I1917" s="21">
        <v>38860</v>
      </c>
      <c r="J1917">
        <v>2006</v>
      </c>
      <c r="K1917" s="21">
        <v>38919</v>
      </c>
      <c r="L1917">
        <v>2006</v>
      </c>
      <c r="M1917" s="21">
        <v>39225</v>
      </c>
      <c r="N1917">
        <v>2007</v>
      </c>
      <c r="R1917" s="262">
        <v>25000</v>
      </c>
      <c r="S1917" t="s">
        <v>114</v>
      </c>
      <c r="T1917" t="s">
        <v>114</v>
      </c>
      <c r="U1917">
        <v>5</v>
      </c>
      <c r="W1917">
        <v>1376</v>
      </c>
      <c r="X1917">
        <v>0</v>
      </c>
      <c r="Y1917">
        <v>0</v>
      </c>
      <c r="Z1917">
        <v>0</v>
      </c>
      <c r="AA1917">
        <v>0</v>
      </c>
      <c r="AB1917">
        <v>0</v>
      </c>
      <c r="AC1917">
        <v>1376</v>
      </c>
      <c r="AD1917">
        <v>0</v>
      </c>
      <c r="AE1917">
        <v>0</v>
      </c>
      <c r="AF1917">
        <v>0</v>
      </c>
      <c r="AG1917">
        <v>0</v>
      </c>
      <c r="AH1917">
        <v>0</v>
      </c>
      <c r="AI1917">
        <v>0</v>
      </c>
      <c r="AJ1917">
        <v>0</v>
      </c>
      <c r="AK1917">
        <v>0</v>
      </c>
      <c r="AL1917">
        <v>0</v>
      </c>
      <c r="AM1917">
        <v>0</v>
      </c>
      <c r="AN1917">
        <v>0</v>
      </c>
      <c r="AO1917">
        <v>0</v>
      </c>
      <c r="AP1917">
        <v>0</v>
      </c>
      <c r="AQ1917">
        <v>0</v>
      </c>
      <c r="AR1917">
        <v>0</v>
      </c>
      <c r="AS1917">
        <v>0</v>
      </c>
      <c r="AT1917">
        <v>0</v>
      </c>
      <c r="AU1917">
        <f t="shared" si="58"/>
        <v>0</v>
      </c>
      <c r="AV1917">
        <f t="shared" si="59"/>
        <v>0</v>
      </c>
    </row>
    <row r="1918" spans="1:48" x14ac:dyDescent="0.25">
      <c r="A1918" t="s">
        <v>7201</v>
      </c>
      <c r="C1918" t="s">
        <v>7202</v>
      </c>
      <c r="D1918" t="s">
        <v>6773</v>
      </c>
      <c r="E1918" t="s">
        <v>2310</v>
      </c>
      <c r="F1918">
        <v>9</v>
      </c>
      <c r="G1918">
        <v>9.3000000000000007</v>
      </c>
      <c r="H1918" t="s">
        <v>2323</v>
      </c>
      <c r="I1918" s="21">
        <v>38861</v>
      </c>
      <c r="J1918">
        <v>2006</v>
      </c>
      <c r="K1918" s="21">
        <v>38870</v>
      </c>
      <c r="L1918">
        <v>2006</v>
      </c>
      <c r="M1918" s="21">
        <v>38870</v>
      </c>
      <c r="N1918">
        <v>2006</v>
      </c>
      <c r="R1918" s="262">
        <v>0</v>
      </c>
      <c r="S1918" t="s">
        <v>114</v>
      </c>
      <c r="T1918" t="s">
        <v>114</v>
      </c>
      <c r="U1918">
        <v>5</v>
      </c>
      <c r="W1918">
        <v>0</v>
      </c>
      <c r="X1918">
        <v>0</v>
      </c>
      <c r="Y1918">
        <v>0</v>
      </c>
      <c r="Z1918">
        <v>0</v>
      </c>
      <c r="AA1918">
        <v>0</v>
      </c>
      <c r="AB1918">
        <v>0</v>
      </c>
      <c r="AC1918">
        <v>0</v>
      </c>
      <c r="AD1918">
        <v>0</v>
      </c>
      <c r="AE1918">
        <v>0</v>
      </c>
      <c r="AF1918">
        <v>0</v>
      </c>
      <c r="AG1918">
        <v>0</v>
      </c>
      <c r="AH1918">
        <v>0</v>
      </c>
      <c r="AI1918">
        <v>0</v>
      </c>
      <c r="AJ1918">
        <v>0</v>
      </c>
      <c r="AK1918">
        <v>0</v>
      </c>
      <c r="AL1918">
        <v>0</v>
      </c>
      <c r="AM1918">
        <v>0</v>
      </c>
      <c r="AN1918">
        <v>0</v>
      </c>
      <c r="AO1918">
        <v>0</v>
      </c>
      <c r="AP1918">
        <v>0</v>
      </c>
      <c r="AQ1918">
        <v>0</v>
      </c>
      <c r="AR1918">
        <v>0</v>
      </c>
      <c r="AS1918">
        <v>0</v>
      </c>
      <c r="AT1918">
        <v>0</v>
      </c>
      <c r="AU1918">
        <f t="shared" si="58"/>
        <v>0</v>
      </c>
      <c r="AV1918">
        <f t="shared" si="59"/>
        <v>0</v>
      </c>
    </row>
    <row r="1919" spans="1:48" x14ac:dyDescent="0.25">
      <c r="A1919" t="s">
        <v>7203</v>
      </c>
      <c r="C1919" t="s">
        <v>7204</v>
      </c>
      <c r="D1919" t="s">
        <v>7205</v>
      </c>
      <c r="E1919" t="s">
        <v>2310</v>
      </c>
      <c r="F1919">
        <v>14</v>
      </c>
      <c r="G1919">
        <v>14.1</v>
      </c>
      <c r="H1919" t="s">
        <v>2022</v>
      </c>
      <c r="I1919" s="21">
        <v>38861</v>
      </c>
      <c r="J1919">
        <v>2006</v>
      </c>
      <c r="K1919" s="21">
        <v>38868</v>
      </c>
      <c r="L1919">
        <v>2006</v>
      </c>
      <c r="M1919" s="21">
        <v>39094</v>
      </c>
      <c r="N1919">
        <v>2007</v>
      </c>
      <c r="R1919" s="262">
        <v>5000</v>
      </c>
      <c r="S1919" t="s">
        <v>114</v>
      </c>
      <c r="T1919" t="s">
        <v>114</v>
      </c>
      <c r="U1919">
        <v>5</v>
      </c>
      <c r="W1919">
        <v>1056</v>
      </c>
      <c r="X1919">
        <v>0</v>
      </c>
      <c r="Y1919">
        <v>0</v>
      </c>
      <c r="Z1919">
        <v>0</v>
      </c>
      <c r="AA1919">
        <v>0</v>
      </c>
      <c r="AB1919">
        <v>0</v>
      </c>
      <c r="AC1919">
        <v>1056</v>
      </c>
      <c r="AD1919">
        <v>0</v>
      </c>
      <c r="AE1919">
        <v>0</v>
      </c>
      <c r="AF1919">
        <v>0</v>
      </c>
      <c r="AG1919">
        <v>0</v>
      </c>
      <c r="AH1919">
        <v>0</v>
      </c>
      <c r="AI1919">
        <v>0</v>
      </c>
      <c r="AJ1919">
        <v>0</v>
      </c>
      <c r="AK1919">
        <v>0</v>
      </c>
      <c r="AL1919">
        <v>0</v>
      </c>
      <c r="AM1919">
        <v>0</v>
      </c>
      <c r="AN1919">
        <v>0</v>
      </c>
      <c r="AO1919">
        <v>0</v>
      </c>
      <c r="AP1919">
        <v>0</v>
      </c>
      <c r="AQ1919">
        <v>0</v>
      </c>
      <c r="AR1919">
        <v>0</v>
      </c>
      <c r="AS1919">
        <v>0</v>
      </c>
      <c r="AT1919">
        <v>0</v>
      </c>
      <c r="AU1919">
        <f t="shared" si="58"/>
        <v>0</v>
      </c>
      <c r="AV1919">
        <f t="shared" si="59"/>
        <v>0</v>
      </c>
    </row>
    <row r="1920" spans="1:48" x14ac:dyDescent="0.25">
      <c r="A1920" t="s">
        <v>7206</v>
      </c>
      <c r="C1920" t="s">
        <v>7207</v>
      </c>
      <c r="D1920" t="s">
        <v>5872</v>
      </c>
      <c r="E1920" t="s">
        <v>2310</v>
      </c>
      <c r="F1920">
        <v>8</v>
      </c>
      <c r="G1920">
        <v>8.1999999999999993</v>
      </c>
      <c r="H1920" t="s">
        <v>2022</v>
      </c>
      <c r="I1920" s="21">
        <v>38861</v>
      </c>
      <c r="J1920">
        <v>2006</v>
      </c>
      <c r="K1920" s="21">
        <v>38932</v>
      </c>
      <c r="L1920">
        <v>2006</v>
      </c>
      <c r="M1920" s="21">
        <v>39395</v>
      </c>
      <c r="N1920">
        <v>2007</v>
      </c>
      <c r="R1920" s="262">
        <v>275000</v>
      </c>
      <c r="S1920" t="s">
        <v>114</v>
      </c>
      <c r="T1920" t="s">
        <v>114</v>
      </c>
      <c r="U1920">
        <v>5</v>
      </c>
      <c r="W1920">
        <v>769</v>
      </c>
      <c r="X1920">
        <v>0</v>
      </c>
      <c r="Y1920">
        <v>0</v>
      </c>
      <c r="Z1920">
        <v>0</v>
      </c>
      <c r="AA1920">
        <v>0</v>
      </c>
      <c r="AB1920">
        <v>0</v>
      </c>
      <c r="AC1920">
        <v>769</v>
      </c>
      <c r="AD1920">
        <v>0</v>
      </c>
      <c r="AE1920">
        <v>0</v>
      </c>
      <c r="AF1920">
        <v>0</v>
      </c>
      <c r="AG1920">
        <v>0</v>
      </c>
      <c r="AH1920">
        <v>0</v>
      </c>
      <c r="AI1920">
        <v>0</v>
      </c>
      <c r="AJ1920">
        <v>0</v>
      </c>
      <c r="AK1920">
        <v>0</v>
      </c>
      <c r="AL1920">
        <v>0</v>
      </c>
      <c r="AM1920">
        <v>0</v>
      </c>
      <c r="AN1920">
        <v>0</v>
      </c>
      <c r="AO1920">
        <v>0</v>
      </c>
      <c r="AP1920">
        <v>0</v>
      </c>
      <c r="AQ1920">
        <v>0</v>
      </c>
      <c r="AR1920">
        <v>0</v>
      </c>
      <c r="AS1920">
        <v>0</v>
      </c>
      <c r="AT1920">
        <v>0</v>
      </c>
      <c r="AU1920">
        <f t="shared" si="58"/>
        <v>0</v>
      </c>
      <c r="AV1920">
        <f t="shared" si="59"/>
        <v>0</v>
      </c>
    </row>
    <row r="1921" spans="1:48" x14ac:dyDescent="0.25">
      <c r="A1921" t="s">
        <v>7208</v>
      </c>
      <c r="C1921" t="s">
        <v>7209</v>
      </c>
      <c r="D1921" t="s">
        <v>3197</v>
      </c>
      <c r="E1921" t="s">
        <v>2310</v>
      </c>
      <c r="F1921">
        <v>8</v>
      </c>
      <c r="G1921">
        <v>8.3000000000000007</v>
      </c>
      <c r="H1921" t="s">
        <v>2323</v>
      </c>
      <c r="I1921" s="21">
        <v>38861</v>
      </c>
      <c r="J1921">
        <v>2006</v>
      </c>
      <c r="K1921" s="21">
        <v>38932</v>
      </c>
      <c r="L1921">
        <v>2006</v>
      </c>
      <c r="M1921" s="21">
        <v>39318</v>
      </c>
      <c r="N1921">
        <v>2007</v>
      </c>
      <c r="R1921" s="262">
        <v>980000</v>
      </c>
      <c r="S1921" t="s">
        <v>114</v>
      </c>
      <c r="T1921" t="s">
        <v>114</v>
      </c>
      <c r="U1921">
        <v>5</v>
      </c>
      <c r="W1921">
        <v>4230</v>
      </c>
      <c r="X1921">
        <v>1</v>
      </c>
      <c r="Y1921">
        <v>0</v>
      </c>
      <c r="Z1921">
        <v>0</v>
      </c>
      <c r="AA1921">
        <v>0</v>
      </c>
      <c r="AB1921">
        <v>0</v>
      </c>
      <c r="AC1921">
        <v>4230</v>
      </c>
      <c r="AD1921">
        <v>0</v>
      </c>
      <c r="AE1921">
        <v>0</v>
      </c>
      <c r="AF1921">
        <v>0</v>
      </c>
      <c r="AG1921">
        <v>0</v>
      </c>
      <c r="AH1921">
        <v>0</v>
      </c>
      <c r="AI1921">
        <v>0</v>
      </c>
      <c r="AJ1921">
        <v>0</v>
      </c>
      <c r="AK1921">
        <v>0</v>
      </c>
      <c r="AL1921">
        <v>0</v>
      </c>
      <c r="AM1921">
        <v>0</v>
      </c>
      <c r="AN1921">
        <v>0</v>
      </c>
      <c r="AO1921">
        <v>1</v>
      </c>
      <c r="AP1921">
        <v>0</v>
      </c>
      <c r="AQ1921">
        <v>0</v>
      </c>
      <c r="AR1921">
        <v>0</v>
      </c>
      <c r="AS1921">
        <v>0</v>
      </c>
      <c r="AT1921">
        <v>0</v>
      </c>
      <c r="AU1921">
        <f t="shared" si="58"/>
        <v>1</v>
      </c>
      <c r="AV1921">
        <f t="shared" si="59"/>
        <v>0</v>
      </c>
    </row>
    <row r="1922" spans="1:48" x14ac:dyDescent="0.25">
      <c r="A1922" t="s">
        <v>7199</v>
      </c>
      <c r="C1922" t="s">
        <v>7200</v>
      </c>
      <c r="D1922" t="s">
        <v>2681</v>
      </c>
      <c r="E1922" t="s">
        <v>1663</v>
      </c>
      <c r="F1922">
        <v>2</v>
      </c>
      <c r="G1922">
        <v>2.2000000000000002</v>
      </c>
      <c r="H1922" t="s">
        <v>2327</v>
      </c>
      <c r="I1922" s="21">
        <v>38861</v>
      </c>
      <c r="J1922">
        <v>2006</v>
      </c>
      <c r="K1922" s="21">
        <v>38892</v>
      </c>
      <c r="L1922">
        <v>2006</v>
      </c>
      <c r="M1922" s="21">
        <v>39045</v>
      </c>
      <c r="N1922">
        <v>2006</v>
      </c>
      <c r="Q1922" s="262">
        <v>0</v>
      </c>
      <c r="S1922" t="s">
        <v>114</v>
      </c>
      <c r="T1922" t="s">
        <v>114</v>
      </c>
      <c r="W1922">
        <v>384</v>
      </c>
      <c r="X1922">
        <v>0</v>
      </c>
      <c r="Y1922">
        <v>0</v>
      </c>
      <c r="Z1922">
        <v>0</v>
      </c>
      <c r="AA1922">
        <v>0</v>
      </c>
      <c r="AB1922">
        <v>0</v>
      </c>
      <c r="AC1922">
        <v>384</v>
      </c>
      <c r="AD1922">
        <v>0</v>
      </c>
      <c r="AE1922">
        <v>0</v>
      </c>
      <c r="AF1922">
        <v>0</v>
      </c>
      <c r="AG1922">
        <v>0</v>
      </c>
      <c r="AH1922">
        <v>0</v>
      </c>
      <c r="AI1922">
        <v>0</v>
      </c>
      <c r="AJ1922">
        <v>0</v>
      </c>
      <c r="AK1922">
        <v>0</v>
      </c>
      <c r="AL1922">
        <v>0</v>
      </c>
      <c r="AM1922">
        <v>0</v>
      </c>
      <c r="AN1922">
        <v>0</v>
      </c>
      <c r="AO1922">
        <v>0</v>
      </c>
      <c r="AP1922">
        <v>0</v>
      </c>
      <c r="AQ1922">
        <v>0</v>
      </c>
      <c r="AR1922">
        <v>0</v>
      </c>
      <c r="AS1922">
        <v>0</v>
      </c>
      <c r="AT1922">
        <v>0</v>
      </c>
      <c r="AU1922">
        <f t="shared" si="58"/>
        <v>0</v>
      </c>
      <c r="AV1922">
        <f t="shared" si="59"/>
        <v>0</v>
      </c>
    </row>
    <row r="1923" spans="1:48" x14ac:dyDescent="0.25">
      <c r="A1923" t="s">
        <v>7210</v>
      </c>
      <c r="C1923" t="s">
        <v>7211</v>
      </c>
      <c r="D1923" t="s">
        <v>5913</v>
      </c>
      <c r="E1923" t="s">
        <v>2310</v>
      </c>
      <c r="F1923">
        <v>9</v>
      </c>
      <c r="G1923">
        <v>9.1</v>
      </c>
      <c r="H1923" t="s">
        <v>2323</v>
      </c>
      <c r="I1923" s="21">
        <v>38862</v>
      </c>
      <c r="J1923">
        <v>2006</v>
      </c>
      <c r="K1923" s="21">
        <v>38936</v>
      </c>
      <c r="L1923">
        <v>2006</v>
      </c>
      <c r="M1923" s="21">
        <v>38936</v>
      </c>
      <c r="N1923">
        <v>2006</v>
      </c>
      <c r="R1923" s="262">
        <v>0</v>
      </c>
      <c r="S1923" t="s">
        <v>114</v>
      </c>
      <c r="T1923" t="s">
        <v>114</v>
      </c>
      <c r="U1923">
        <v>5</v>
      </c>
      <c r="W1923">
        <v>6081</v>
      </c>
      <c r="X1923">
        <v>0</v>
      </c>
      <c r="Y1923">
        <v>0</v>
      </c>
      <c r="Z1923">
        <v>0</v>
      </c>
      <c r="AA1923">
        <v>0</v>
      </c>
      <c r="AB1923">
        <v>0</v>
      </c>
      <c r="AC1923">
        <v>6081</v>
      </c>
      <c r="AD1923">
        <v>0</v>
      </c>
      <c r="AE1923">
        <v>0</v>
      </c>
      <c r="AF1923">
        <v>0</v>
      </c>
      <c r="AG1923">
        <v>0</v>
      </c>
      <c r="AH1923">
        <v>0</v>
      </c>
      <c r="AI1923">
        <v>0</v>
      </c>
      <c r="AJ1923">
        <v>0</v>
      </c>
      <c r="AK1923">
        <v>0</v>
      </c>
      <c r="AL1923">
        <v>0</v>
      </c>
      <c r="AM1923">
        <v>0</v>
      </c>
      <c r="AN1923">
        <v>0</v>
      </c>
      <c r="AO1923">
        <v>0</v>
      </c>
      <c r="AP1923">
        <v>0</v>
      </c>
      <c r="AQ1923">
        <v>0</v>
      </c>
      <c r="AR1923">
        <v>0</v>
      </c>
      <c r="AS1923">
        <v>0</v>
      </c>
      <c r="AT1923">
        <v>0</v>
      </c>
      <c r="AU1923">
        <f t="shared" si="58"/>
        <v>0</v>
      </c>
      <c r="AV1923">
        <f t="shared" si="59"/>
        <v>0</v>
      </c>
    </row>
    <row r="1924" spans="1:48" x14ac:dyDescent="0.25">
      <c r="A1924" t="s">
        <v>7212</v>
      </c>
      <c r="C1924" t="s">
        <v>7213</v>
      </c>
      <c r="D1924" t="s">
        <v>5955</v>
      </c>
      <c r="E1924" t="s">
        <v>2310</v>
      </c>
      <c r="F1924">
        <v>9</v>
      </c>
      <c r="G1924">
        <v>9.1</v>
      </c>
      <c r="H1924" t="s">
        <v>2323</v>
      </c>
      <c r="I1924" s="21">
        <v>38862</v>
      </c>
      <c r="J1924">
        <v>2006</v>
      </c>
      <c r="K1924" s="21">
        <v>38922</v>
      </c>
      <c r="L1924">
        <v>2006</v>
      </c>
      <c r="M1924" s="21">
        <v>39266</v>
      </c>
      <c r="N1924">
        <v>2007</v>
      </c>
      <c r="R1924" s="262">
        <v>859000</v>
      </c>
      <c r="S1924" t="s">
        <v>114</v>
      </c>
      <c r="T1924" t="s">
        <v>114</v>
      </c>
      <c r="U1924">
        <v>7</v>
      </c>
      <c r="W1924">
        <v>4980</v>
      </c>
      <c r="X1924">
        <v>3</v>
      </c>
      <c r="Y1924">
        <v>0</v>
      </c>
      <c r="Z1924">
        <v>0</v>
      </c>
      <c r="AA1924">
        <v>0</v>
      </c>
      <c r="AB1924">
        <v>0</v>
      </c>
      <c r="AC1924">
        <v>0</v>
      </c>
      <c r="AD1924">
        <v>0</v>
      </c>
      <c r="AE1924">
        <v>4980</v>
      </c>
      <c r="AF1924">
        <v>0</v>
      </c>
      <c r="AG1924">
        <v>0</v>
      </c>
      <c r="AH1924">
        <v>0</v>
      </c>
      <c r="AI1924">
        <v>0</v>
      </c>
      <c r="AJ1924">
        <v>0</v>
      </c>
      <c r="AK1924">
        <v>0</v>
      </c>
      <c r="AL1924">
        <v>0</v>
      </c>
      <c r="AM1924">
        <v>0</v>
      </c>
      <c r="AN1924">
        <v>0</v>
      </c>
      <c r="AO1924">
        <v>0</v>
      </c>
      <c r="AP1924">
        <v>0</v>
      </c>
      <c r="AQ1924">
        <v>3</v>
      </c>
      <c r="AR1924">
        <v>0</v>
      </c>
      <c r="AS1924">
        <v>0</v>
      </c>
      <c r="AT1924">
        <v>0</v>
      </c>
      <c r="AU1924">
        <f t="shared" si="58"/>
        <v>3</v>
      </c>
      <c r="AV1924">
        <f t="shared" si="59"/>
        <v>0</v>
      </c>
    </row>
    <row r="1925" spans="1:48" x14ac:dyDescent="0.25">
      <c r="A1925" t="s">
        <v>7214</v>
      </c>
      <c r="C1925" t="s">
        <v>7215</v>
      </c>
      <c r="D1925" t="s">
        <v>7216</v>
      </c>
      <c r="E1925" t="s">
        <v>2310</v>
      </c>
      <c r="F1925">
        <v>14</v>
      </c>
      <c r="G1925">
        <v>14.1</v>
      </c>
      <c r="H1925" t="s">
        <v>2022</v>
      </c>
      <c r="I1925" s="21">
        <v>38862</v>
      </c>
      <c r="J1925">
        <v>2006</v>
      </c>
      <c r="K1925" s="21">
        <v>38916</v>
      </c>
      <c r="L1925">
        <v>2006</v>
      </c>
      <c r="M1925" s="21">
        <v>38916</v>
      </c>
      <c r="N1925">
        <v>2006</v>
      </c>
      <c r="R1925" s="262">
        <v>100000</v>
      </c>
      <c r="S1925" t="s">
        <v>114</v>
      </c>
      <c r="T1925" t="s">
        <v>114</v>
      </c>
      <c r="U1925">
        <v>5</v>
      </c>
      <c r="W1925">
        <v>1820</v>
      </c>
      <c r="X1925">
        <v>0</v>
      </c>
      <c r="Y1925">
        <v>0</v>
      </c>
      <c r="Z1925">
        <v>0</v>
      </c>
      <c r="AA1925">
        <v>0</v>
      </c>
      <c r="AB1925">
        <v>0</v>
      </c>
      <c r="AC1925">
        <v>1820</v>
      </c>
      <c r="AD1925">
        <v>0</v>
      </c>
      <c r="AE1925">
        <v>0</v>
      </c>
      <c r="AF1925">
        <v>0</v>
      </c>
      <c r="AG1925">
        <v>0</v>
      </c>
      <c r="AH1925">
        <v>0</v>
      </c>
      <c r="AI1925">
        <v>0</v>
      </c>
      <c r="AJ1925">
        <v>0</v>
      </c>
      <c r="AK1925">
        <v>0</v>
      </c>
      <c r="AL1925">
        <v>0</v>
      </c>
      <c r="AM1925">
        <v>0</v>
      </c>
      <c r="AN1925">
        <v>0</v>
      </c>
      <c r="AO1925">
        <v>0</v>
      </c>
      <c r="AP1925">
        <v>0</v>
      </c>
      <c r="AQ1925">
        <v>0</v>
      </c>
      <c r="AR1925">
        <v>0</v>
      </c>
      <c r="AS1925">
        <v>0</v>
      </c>
      <c r="AT1925">
        <v>0</v>
      </c>
      <c r="AU1925">
        <f t="shared" si="58"/>
        <v>0</v>
      </c>
      <c r="AV1925">
        <f t="shared" si="59"/>
        <v>0</v>
      </c>
    </row>
    <row r="1926" spans="1:48" x14ac:dyDescent="0.25">
      <c r="A1926" t="s">
        <v>7217</v>
      </c>
      <c r="C1926" t="s">
        <v>7218</v>
      </c>
      <c r="D1926" t="s">
        <v>6442</v>
      </c>
      <c r="E1926" t="s">
        <v>2310</v>
      </c>
      <c r="F1926">
        <v>8</v>
      </c>
      <c r="G1926">
        <v>8.1</v>
      </c>
      <c r="H1926" t="s">
        <v>2323</v>
      </c>
      <c r="I1926" s="21">
        <v>38869</v>
      </c>
      <c r="J1926">
        <v>2006</v>
      </c>
      <c r="K1926" s="21">
        <v>38929</v>
      </c>
      <c r="L1926">
        <v>2006</v>
      </c>
      <c r="M1926" s="21">
        <v>40809.377361111103</v>
      </c>
      <c r="N1926">
        <v>2011</v>
      </c>
      <c r="R1926" s="262">
        <v>800000</v>
      </c>
      <c r="S1926" t="s">
        <v>114</v>
      </c>
      <c r="T1926" t="s">
        <v>114</v>
      </c>
      <c r="U1926">
        <v>5</v>
      </c>
      <c r="W1926">
        <v>4191</v>
      </c>
      <c r="X1926">
        <v>0</v>
      </c>
      <c r="Y1926">
        <v>0</v>
      </c>
      <c r="Z1926">
        <v>0</v>
      </c>
      <c r="AA1926">
        <v>0</v>
      </c>
      <c r="AB1926">
        <v>0</v>
      </c>
      <c r="AC1926">
        <v>4191</v>
      </c>
      <c r="AD1926">
        <v>0</v>
      </c>
      <c r="AE1926">
        <v>0</v>
      </c>
      <c r="AF1926">
        <v>0</v>
      </c>
      <c r="AG1926">
        <v>0</v>
      </c>
      <c r="AH1926">
        <v>0</v>
      </c>
      <c r="AI1926">
        <v>0</v>
      </c>
      <c r="AJ1926">
        <v>0</v>
      </c>
      <c r="AK1926">
        <v>0</v>
      </c>
      <c r="AL1926">
        <v>0</v>
      </c>
      <c r="AM1926">
        <v>0</v>
      </c>
      <c r="AN1926">
        <v>0</v>
      </c>
      <c r="AO1926">
        <v>0</v>
      </c>
      <c r="AP1926">
        <v>0</v>
      </c>
      <c r="AQ1926">
        <v>0</v>
      </c>
      <c r="AR1926">
        <v>0</v>
      </c>
      <c r="AS1926">
        <v>0</v>
      </c>
      <c r="AT1926">
        <v>0</v>
      </c>
      <c r="AU1926">
        <f t="shared" si="58"/>
        <v>0</v>
      </c>
      <c r="AV1926">
        <f t="shared" si="59"/>
        <v>0</v>
      </c>
    </row>
    <row r="1927" spans="1:48" x14ac:dyDescent="0.25">
      <c r="A1927" t="s">
        <v>7219</v>
      </c>
      <c r="C1927" t="s">
        <v>7220</v>
      </c>
      <c r="D1927" t="s">
        <v>7221</v>
      </c>
      <c r="E1927" t="s">
        <v>2310</v>
      </c>
      <c r="F1927">
        <v>8</v>
      </c>
      <c r="G1927">
        <v>8.3000000000000007</v>
      </c>
      <c r="H1927" t="s">
        <v>2323</v>
      </c>
      <c r="I1927" s="21">
        <v>38870</v>
      </c>
      <c r="J1927">
        <v>2006</v>
      </c>
      <c r="K1927" s="21">
        <v>38929</v>
      </c>
      <c r="L1927">
        <v>2006</v>
      </c>
      <c r="M1927" s="21">
        <v>39237</v>
      </c>
      <c r="N1927">
        <v>2007</v>
      </c>
      <c r="R1927" s="262">
        <v>85000</v>
      </c>
      <c r="S1927" t="s">
        <v>114</v>
      </c>
      <c r="T1927" t="s">
        <v>114</v>
      </c>
      <c r="U1927">
        <v>7</v>
      </c>
      <c r="W1927">
        <v>1241</v>
      </c>
      <c r="X1927">
        <v>0</v>
      </c>
      <c r="Y1927">
        <v>0</v>
      </c>
      <c r="Z1927">
        <v>0</v>
      </c>
      <c r="AA1927">
        <v>0</v>
      </c>
      <c r="AB1927">
        <v>0</v>
      </c>
      <c r="AC1927">
        <v>0</v>
      </c>
      <c r="AD1927">
        <v>0</v>
      </c>
      <c r="AE1927">
        <v>1241</v>
      </c>
      <c r="AF1927">
        <v>0</v>
      </c>
      <c r="AG1927">
        <v>0</v>
      </c>
      <c r="AH1927">
        <v>0</v>
      </c>
      <c r="AI1927">
        <v>0</v>
      </c>
      <c r="AJ1927">
        <v>0</v>
      </c>
      <c r="AK1927">
        <v>0</v>
      </c>
      <c r="AL1927">
        <v>0</v>
      </c>
      <c r="AM1927">
        <v>0</v>
      </c>
      <c r="AN1927">
        <v>0</v>
      </c>
      <c r="AO1927">
        <v>0</v>
      </c>
      <c r="AP1927">
        <v>0</v>
      </c>
      <c r="AQ1927">
        <v>0</v>
      </c>
      <c r="AR1927">
        <v>0</v>
      </c>
      <c r="AS1927">
        <v>0</v>
      </c>
      <c r="AT1927">
        <v>0</v>
      </c>
      <c r="AU1927">
        <f t="shared" si="58"/>
        <v>0</v>
      </c>
      <c r="AV1927">
        <f t="shared" si="59"/>
        <v>0</v>
      </c>
    </row>
    <row r="1928" spans="1:48" x14ac:dyDescent="0.25">
      <c r="A1928" t="s">
        <v>7222</v>
      </c>
      <c r="C1928" t="s">
        <v>7223</v>
      </c>
      <c r="D1928" t="s">
        <v>7224</v>
      </c>
      <c r="E1928" t="s">
        <v>2310</v>
      </c>
      <c r="F1928">
        <v>9</v>
      </c>
      <c r="G1928">
        <v>9.3000000000000007</v>
      </c>
      <c r="H1928" t="s">
        <v>2323</v>
      </c>
      <c r="I1928" s="21">
        <v>38870</v>
      </c>
      <c r="J1928">
        <v>2006</v>
      </c>
      <c r="K1928" s="21">
        <v>38924</v>
      </c>
      <c r="L1928">
        <v>2006</v>
      </c>
      <c r="M1928" s="21">
        <v>39125</v>
      </c>
      <c r="N1928">
        <v>2007</v>
      </c>
      <c r="R1928" s="262">
        <v>150000</v>
      </c>
      <c r="S1928" t="s">
        <v>114</v>
      </c>
      <c r="T1928" t="s">
        <v>114</v>
      </c>
      <c r="U1928">
        <v>5</v>
      </c>
      <c r="W1928">
        <v>869</v>
      </c>
      <c r="X1928">
        <v>0</v>
      </c>
      <c r="Y1928">
        <v>0</v>
      </c>
      <c r="Z1928">
        <v>0</v>
      </c>
      <c r="AA1928">
        <v>0</v>
      </c>
      <c r="AB1928">
        <v>0</v>
      </c>
      <c r="AC1928">
        <v>869</v>
      </c>
      <c r="AD1928">
        <v>0</v>
      </c>
      <c r="AE1928">
        <v>0</v>
      </c>
      <c r="AF1928">
        <v>0</v>
      </c>
      <c r="AG1928">
        <v>0</v>
      </c>
      <c r="AH1928">
        <v>0</v>
      </c>
      <c r="AI1928">
        <v>0</v>
      </c>
      <c r="AJ1928">
        <v>0</v>
      </c>
      <c r="AK1928">
        <v>0</v>
      </c>
      <c r="AL1928">
        <v>0</v>
      </c>
      <c r="AM1928">
        <v>0</v>
      </c>
      <c r="AN1928">
        <v>0</v>
      </c>
      <c r="AO1928">
        <v>0</v>
      </c>
      <c r="AP1928">
        <v>0</v>
      </c>
      <c r="AQ1928">
        <v>0</v>
      </c>
      <c r="AR1928">
        <v>0</v>
      </c>
      <c r="AS1928">
        <v>0</v>
      </c>
      <c r="AT1928">
        <v>0</v>
      </c>
      <c r="AU1928">
        <f t="shared" si="58"/>
        <v>0</v>
      </c>
      <c r="AV1928">
        <f t="shared" si="59"/>
        <v>0</v>
      </c>
    </row>
    <row r="1929" spans="1:48" x14ac:dyDescent="0.25">
      <c r="A1929" t="s">
        <v>7225</v>
      </c>
      <c r="C1929" t="s">
        <v>3509</v>
      </c>
      <c r="D1929" t="s">
        <v>7226</v>
      </c>
      <c r="E1929" t="s">
        <v>2310</v>
      </c>
      <c r="F1929">
        <v>9</v>
      </c>
      <c r="G1929">
        <v>9.1</v>
      </c>
      <c r="H1929" t="s">
        <v>2323</v>
      </c>
      <c r="I1929" s="21">
        <v>38870</v>
      </c>
      <c r="J1929">
        <v>2006</v>
      </c>
      <c r="K1929" s="21">
        <v>38897</v>
      </c>
      <c r="L1929">
        <v>2006</v>
      </c>
      <c r="M1929" s="21">
        <v>39591</v>
      </c>
      <c r="N1929">
        <v>2008</v>
      </c>
      <c r="R1929" s="262">
        <v>1200000</v>
      </c>
      <c r="S1929" t="s">
        <v>114</v>
      </c>
      <c r="T1929" t="s">
        <v>114</v>
      </c>
      <c r="U1929">
        <v>5</v>
      </c>
      <c r="W1929">
        <v>6468</v>
      </c>
      <c r="X1929">
        <v>1</v>
      </c>
      <c r="Y1929">
        <v>0</v>
      </c>
      <c r="Z1929">
        <v>0</v>
      </c>
      <c r="AA1929">
        <v>0</v>
      </c>
      <c r="AB1929">
        <v>0</v>
      </c>
      <c r="AC1929">
        <v>6468</v>
      </c>
      <c r="AD1929">
        <v>0</v>
      </c>
      <c r="AE1929">
        <v>0</v>
      </c>
      <c r="AF1929">
        <v>0</v>
      </c>
      <c r="AG1929">
        <v>0</v>
      </c>
      <c r="AH1929">
        <v>0</v>
      </c>
      <c r="AI1929">
        <v>0</v>
      </c>
      <c r="AJ1929">
        <v>0</v>
      </c>
      <c r="AK1929">
        <v>0</v>
      </c>
      <c r="AL1929">
        <v>0</v>
      </c>
      <c r="AM1929">
        <v>0</v>
      </c>
      <c r="AN1929">
        <v>0</v>
      </c>
      <c r="AO1929">
        <v>1</v>
      </c>
      <c r="AP1929">
        <v>0</v>
      </c>
      <c r="AQ1929">
        <v>0</v>
      </c>
      <c r="AR1929">
        <v>0</v>
      </c>
      <c r="AS1929">
        <v>0</v>
      </c>
      <c r="AT1929">
        <v>0</v>
      </c>
      <c r="AU1929">
        <f t="shared" si="58"/>
        <v>1</v>
      </c>
      <c r="AV1929">
        <f t="shared" si="59"/>
        <v>0</v>
      </c>
    </row>
    <row r="1930" spans="1:48" x14ac:dyDescent="0.25">
      <c r="A1930" t="s">
        <v>7227</v>
      </c>
      <c r="C1930" t="s">
        <v>6047</v>
      </c>
      <c r="D1930" t="s">
        <v>7228</v>
      </c>
      <c r="E1930" t="s">
        <v>2310</v>
      </c>
      <c r="F1930">
        <v>14</v>
      </c>
      <c r="G1930">
        <v>14.2</v>
      </c>
      <c r="H1930" t="s">
        <v>2017</v>
      </c>
      <c r="I1930" s="21">
        <v>38873</v>
      </c>
      <c r="J1930">
        <v>2006</v>
      </c>
      <c r="K1930" s="21">
        <v>38897</v>
      </c>
      <c r="L1930">
        <v>2006</v>
      </c>
      <c r="M1930" s="21">
        <v>39303</v>
      </c>
      <c r="N1930">
        <v>2007</v>
      </c>
      <c r="R1930" s="262">
        <v>467000</v>
      </c>
      <c r="S1930" t="s">
        <v>114</v>
      </c>
      <c r="T1930" t="s">
        <v>114</v>
      </c>
      <c r="U1930">
        <v>5</v>
      </c>
      <c r="W1930">
        <v>3391</v>
      </c>
      <c r="X1930">
        <v>1</v>
      </c>
      <c r="Y1930">
        <v>0</v>
      </c>
      <c r="Z1930">
        <v>0</v>
      </c>
      <c r="AA1930">
        <v>0</v>
      </c>
      <c r="AB1930">
        <v>0</v>
      </c>
      <c r="AC1930">
        <v>3391</v>
      </c>
      <c r="AD1930">
        <v>0</v>
      </c>
      <c r="AE1930">
        <v>0</v>
      </c>
      <c r="AF1930">
        <v>0</v>
      </c>
      <c r="AG1930">
        <v>0</v>
      </c>
      <c r="AH1930">
        <v>0</v>
      </c>
      <c r="AI1930">
        <v>0</v>
      </c>
      <c r="AJ1930">
        <v>0</v>
      </c>
      <c r="AK1930">
        <v>0</v>
      </c>
      <c r="AL1930">
        <v>0</v>
      </c>
      <c r="AM1930">
        <v>0</v>
      </c>
      <c r="AN1930">
        <v>0</v>
      </c>
      <c r="AO1930">
        <v>1</v>
      </c>
      <c r="AP1930">
        <v>0</v>
      </c>
      <c r="AQ1930">
        <v>0</v>
      </c>
      <c r="AR1930">
        <v>0</v>
      </c>
      <c r="AS1930">
        <v>0</v>
      </c>
      <c r="AT1930">
        <v>0</v>
      </c>
      <c r="AU1930">
        <f t="shared" si="58"/>
        <v>1</v>
      </c>
      <c r="AV1930">
        <f t="shared" si="59"/>
        <v>0</v>
      </c>
    </row>
    <row r="1931" spans="1:48" x14ac:dyDescent="0.25">
      <c r="A1931" t="s">
        <v>7229</v>
      </c>
      <c r="C1931" t="s">
        <v>7230</v>
      </c>
      <c r="D1931" t="s">
        <v>7231</v>
      </c>
      <c r="E1931" t="s">
        <v>2310</v>
      </c>
      <c r="F1931">
        <v>8</v>
      </c>
      <c r="G1931">
        <v>8.1999999999999993</v>
      </c>
      <c r="H1931" t="s">
        <v>2022</v>
      </c>
      <c r="I1931" s="21">
        <v>38875</v>
      </c>
      <c r="J1931">
        <v>2006</v>
      </c>
      <c r="K1931" s="21">
        <v>38953</v>
      </c>
      <c r="L1931">
        <v>2006</v>
      </c>
      <c r="M1931" s="21">
        <v>39287</v>
      </c>
      <c r="N1931">
        <v>2007</v>
      </c>
      <c r="R1931" s="262">
        <v>330000</v>
      </c>
      <c r="S1931" t="s">
        <v>114</v>
      </c>
      <c r="T1931" t="s">
        <v>114</v>
      </c>
      <c r="U1931">
        <v>8</v>
      </c>
      <c r="W1931">
        <v>992</v>
      </c>
      <c r="X1931">
        <v>1</v>
      </c>
      <c r="Y1931">
        <v>0</v>
      </c>
      <c r="Z1931">
        <v>0</v>
      </c>
      <c r="AA1931">
        <v>0</v>
      </c>
      <c r="AB1931">
        <v>0</v>
      </c>
      <c r="AC1931">
        <v>0</v>
      </c>
      <c r="AD1931">
        <v>0</v>
      </c>
      <c r="AE1931">
        <v>0</v>
      </c>
      <c r="AF1931">
        <v>992</v>
      </c>
      <c r="AG1931">
        <v>0</v>
      </c>
      <c r="AH1931">
        <v>0</v>
      </c>
      <c r="AI1931">
        <v>0</v>
      </c>
      <c r="AJ1931">
        <v>0</v>
      </c>
      <c r="AK1931">
        <v>0</v>
      </c>
      <c r="AL1931">
        <v>0</v>
      </c>
      <c r="AM1931">
        <v>0</v>
      </c>
      <c r="AN1931">
        <v>0</v>
      </c>
      <c r="AO1931">
        <v>0</v>
      </c>
      <c r="AP1931">
        <v>0</v>
      </c>
      <c r="AQ1931">
        <v>0</v>
      </c>
      <c r="AR1931">
        <v>1</v>
      </c>
      <c r="AS1931">
        <v>0</v>
      </c>
      <c r="AT1931">
        <v>0</v>
      </c>
      <c r="AU1931">
        <f t="shared" si="58"/>
        <v>0</v>
      </c>
      <c r="AV1931">
        <f t="shared" si="59"/>
        <v>0</v>
      </c>
    </row>
    <row r="1932" spans="1:48" x14ac:dyDescent="0.25">
      <c r="A1932" t="s">
        <v>7232</v>
      </c>
      <c r="C1932" t="s">
        <v>2437</v>
      </c>
      <c r="D1932" t="s">
        <v>7231</v>
      </c>
      <c r="E1932" t="s">
        <v>2310</v>
      </c>
      <c r="F1932">
        <v>8</v>
      </c>
      <c r="G1932">
        <v>8.1999999999999993</v>
      </c>
      <c r="H1932" t="s">
        <v>2022</v>
      </c>
      <c r="I1932" s="21">
        <v>38875</v>
      </c>
      <c r="J1932">
        <v>2006</v>
      </c>
      <c r="K1932" s="21">
        <v>38953</v>
      </c>
      <c r="L1932">
        <v>2006</v>
      </c>
      <c r="M1932" s="21">
        <v>39184</v>
      </c>
      <c r="N1932">
        <v>2007</v>
      </c>
      <c r="R1932" s="262">
        <v>300000</v>
      </c>
      <c r="S1932" t="s">
        <v>114</v>
      </c>
      <c r="T1932" t="s">
        <v>114</v>
      </c>
      <c r="U1932">
        <v>5</v>
      </c>
      <c r="W1932">
        <v>2080</v>
      </c>
      <c r="X1932">
        <v>0</v>
      </c>
      <c r="Y1932">
        <v>0</v>
      </c>
      <c r="Z1932">
        <v>0</v>
      </c>
      <c r="AA1932">
        <v>0</v>
      </c>
      <c r="AB1932">
        <v>0</v>
      </c>
      <c r="AC1932">
        <v>2080</v>
      </c>
      <c r="AD1932">
        <v>0</v>
      </c>
      <c r="AE1932">
        <v>0</v>
      </c>
      <c r="AF1932">
        <v>0</v>
      </c>
      <c r="AG1932">
        <v>0</v>
      </c>
      <c r="AH1932">
        <v>0</v>
      </c>
      <c r="AI1932">
        <v>0</v>
      </c>
      <c r="AJ1932">
        <v>0</v>
      </c>
      <c r="AK1932">
        <v>0</v>
      </c>
      <c r="AL1932">
        <v>0</v>
      </c>
      <c r="AM1932">
        <v>0</v>
      </c>
      <c r="AN1932">
        <v>0</v>
      </c>
      <c r="AO1932">
        <v>0</v>
      </c>
      <c r="AP1932">
        <v>0</v>
      </c>
      <c r="AQ1932">
        <v>0</v>
      </c>
      <c r="AR1932">
        <v>0</v>
      </c>
      <c r="AS1932">
        <v>0</v>
      </c>
      <c r="AT1932">
        <v>0</v>
      </c>
      <c r="AU1932">
        <f t="shared" si="58"/>
        <v>0</v>
      </c>
      <c r="AV1932">
        <f t="shared" si="59"/>
        <v>0</v>
      </c>
    </row>
    <row r="1933" spans="1:48" x14ac:dyDescent="0.25">
      <c r="A1933" t="s">
        <v>7233</v>
      </c>
      <c r="C1933" t="s">
        <v>7234</v>
      </c>
      <c r="D1933" t="s">
        <v>7235</v>
      </c>
      <c r="E1933" t="s">
        <v>2310</v>
      </c>
      <c r="F1933">
        <v>9</v>
      </c>
      <c r="G1933">
        <v>9.3000000000000007</v>
      </c>
      <c r="H1933" t="s">
        <v>2323</v>
      </c>
      <c r="I1933" s="21">
        <v>38875</v>
      </c>
      <c r="J1933">
        <v>2006</v>
      </c>
      <c r="K1933" s="21">
        <v>38882</v>
      </c>
      <c r="L1933">
        <v>2006</v>
      </c>
      <c r="M1933" s="21">
        <v>39225</v>
      </c>
      <c r="N1933">
        <v>2007</v>
      </c>
      <c r="R1933" s="262">
        <v>16000</v>
      </c>
      <c r="S1933" t="s">
        <v>114</v>
      </c>
      <c r="T1933" t="s">
        <v>114</v>
      </c>
      <c r="U1933">
        <v>5</v>
      </c>
      <c r="W1933">
        <v>0</v>
      </c>
      <c r="X1933">
        <v>0</v>
      </c>
      <c r="Y1933">
        <v>0</v>
      </c>
      <c r="Z1933">
        <v>0</v>
      </c>
      <c r="AA1933">
        <v>0</v>
      </c>
      <c r="AB1933">
        <v>0</v>
      </c>
      <c r="AC1933">
        <v>0</v>
      </c>
      <c r="AD1933">
        <v>0</v>
      </c>
      <c r="AE1933">
        <v>0</v>
      </c>
      <c r="AF1933">
        <v>0</v>
      </c>
      <c r="AG1933">
        <v>0</v>
      </c>
      <c r="AH1933">
        <v>0</v>
      </c>
      <c r="AI1933">
        <v>0</v>
      </c>
      <c r="AJ1933">
        <v>0</v>
      </c>
      <c r="AK1933">
        <v>0</v>
      </c>
      <c r="AL1933">
        <v>0</v>
      </c>
      <c r="AM1933">
        <v>0</v>
      </c>
      <c r="AN1933">
        <v>0</v>
      </c>
      <c r="AO1933">
        <v>0</v>
      </c>
      <c r="AP1933">
        <v>0</v>
      </c>
      <c r="AQ1933">
        <v>0</v>
      </c>
      <c r="AR1933">
        <v>0</v>
      </c>
      <c r="AS1933">
        <v>0</v>
      </c>
      <c r="AT1933">
        <v>0</v>
      </c>
      <c r="AU1933">
        <f t="shared" si="58"/>
        <v>0</v>
      </c>
      <c r="AV1933">
        <f t="shared" si="59"/>
        <v>0</v>
      </c>
    </row>
    <row r="1934" spans="1:48" x14ac:dyDescent="0.25">
      <c r="A1934" t="s">
        <v>7236</v>
      </c>
      <c r="C1934" t="s">
        <v>7237</v>
      </c>
      <c r="D1934" t="s">
        <v>5424</v>
      </c>
      <c r="E1934" t="s">
        <v>2310</v>
      </c>
      <c r="F1934">
        <v>9</v>
      </c>
      <c r="G1934">
        <v>9.1</v>
      </c>
      <c r="H1934" t="s">
        <v>2323</v>
      </c>
      <c r="I1934" s="21">
        <v>38875</v>
      </c>
      <c r="J1934">
        <v>2006</v>
      </c>
      <c r="K1934" s="21">
        <v>38882</v>
      </c>
      <c r="L1934">
        <v>2006</v>
      </c>
      <c r="M1934" s="21">
        <v>39094</v>
      </c>
      <c r="N1934">
        <v>2007</v>
      </c>
      <c r="R1934" s="262">
        <v>20000</v>
      </c>
      <c r="S1934" t="s">
        <v>114</v>
      </c>
      <c r="T1934" t="s">
        <v>114</v>
      </c>
      <c r="U1934">
        <v>5</v>
      </c>
      <c r="W1934">
        <v>0</v>
      </c>
      <c r="X1934">
        <v>0</v>
      </c>
      <c r="Y1934">
        <v>0</v>
      </c>
      <c r="Z1934">
        <v>0</v>
      </c>
      <c r="AA1934">
        <v>0</v>
      </c>
      <c r="AB1934">
        <v>0</v>
      </c>
      <c r="AC1934">
        <v>0</v>
      </c>
      <c r="AD1934">
        <v>0</v>
      </c>
      <c r="AE1934">
        <v>0</v>
      </c>
      <c r="AF1934">
        <v>0</v>
      </c>
      <c r="AG1934">
        <v>0</v>
      </c>
      <c r="AH1934">
        <v>0</v>
      </c>
      <c r="AI1934">
        <v>0</v>
      </c>
      <c r="AJ1934">
        <v>0</v>
      </c>
      <c r="AK1934">
        <v>0</v>
      </c>
      <c r="AL1934">
        <v>0</v>
      </c>
      <c r="AM1934">
        <v>0</v>
      </c>
      <c r="AN1934">
        <v>0</v>
      </c>
      <c r="AO1934">
        <v>0</v>
      </c>
      <c r="AP1934">
        <v>0</v>
      </c>
      <c r="AQ1934">
        <v>0</v>
      </c>
      <c r="AR1934">
        <v>0</v>
      </c>
      <c r="AS1934">
        <v>0</v>
      </c>
      <c r="AT1934">
        <v>0</v>
      </c>
      <c r="AU1934">
        <f t="shared" si="58"/>
        <v>0</v>
      </c>
      <c r="AV1934">
        <f t="shared" si="59"/>
        <v>0</v>
      </c>
    </row>
    <row r="1935" spans="1:48" x14ac:dyDescent="0.25">
      <c r="A1935" t="s">
        <v>7238</v>
      </c>
      <c r="C1935" t="s">
        <v>7239</v>
      </c>
      <c r="D1935" t="s">
        <v>6064</v>
      </c>
      <c r="E1935" t="s">
        <v>2310</v>
      </c>
      <c r="F1935">
        <v>9</v>
      </c>
      <c r="G1935">
        <v>9.1999999999999993</v>
      </c>
      <c r="H1935" t="s">
        <v>2022</v>
      </c>
      <c r="I1935" s="21">
        <v>38875</v>
      </c>
      <c r="J1935">
        <v>2006</v>
      </c>
      <c r="K1935" s="21">
        <v>38882</v>
      </c>
      <c r="L1935">
        <v>2006</v>
      </c>
      <c r="M1935" s="21">
        <v>38882</v>
      </c>
      <c r="N1935">
        <v>2006</v>
      </c>
      <c r="R1935" s="262">
        <v>52000</v>
      </c>
      <c r="S1935" t="s">
        <v>114</v>
      </c>
      <c r="T1935" t="s">
        <v>114</v>
      </c>
      <c r="U1935">
        <v>5</v>
      </c>
      <c r="W1935">
        <v>0</v>
      </c>
      <c r="X1935">
        <v>0</v>
      </c>
      <c r="Y1935">
        <v>0</v>
      </c>
      <c r="Z1935">
        <v>0</v>
      </c>
      <c r="AA1935">
        <v>0</v>
      </c>
      <c r="AB1935">
        <v>0</v>
      </c>
      <c r="AC1935">
        <v>0</v>
      </c>
      <c r="AD1935">
        <v>0</v>
      </c>
      <c r="AE1935">
        <v>0</v>
      </c>
      <c r="AF1935">
        <v>0</v>
      </c>
      <c r="AG1935">
        <v>0</v>
      </c>
      <c r="AH1935">
        <v>0</v>
      </c>
      <c r="AI1935">
        <v>0</v>
      </c>
      <c r="AJ1935">
        <v>0</v>
      </c>
      <c r="AK1935">
        <v>0</v>
      </c>
      <c r="AL1935">
        <v>0</v>
      </c>
      <c r="AM1935">
        <v>0</v>
      </c>
      <c r="AN1935">
        <v>0</v>
      </c>
      <c r="AO1935">
        <v>0</v>
      </c>
      <c r="AP1935">
        <v>0</v>
      </c>
      <c r="AQ1935">
        <v>0</v>
      </c>
      <c r="AR1935">
        <v>0</v>
      </c>
      <c r="AS1935">
        <v>0</v>
      </c>
      <c r="AT1935">
        <v>0</v>
      </c>
      <c r="AU1935">
        <f t="shared" si="58"/>
        <v>0</v>
      </c>
      <c r="AV1935">
        <f t="shared" si="59"/>
        <v>0</v>
      </c>
    </row>
    <row r="1936" spans="1:48" x14ac:dyDescent="0.25">
      <c r="A1936" t="s">
        <v>7240</v>
      </c>
      <c r="C1936" t="s">
        <v>7241</v>
      </c>
      <c r="D1936" t="s">
        <v>6064</v>
      </c>
      <c r="E1936" t="s">
        <v>2310</v>
      </c>
      <c r="F1936">
        <v>9</v>
      </c>
      <c r="G1936">
        <v>9.1999999999999993</v>
      </c>
      <c r="H1936" t="s">
        <v>2022</v>
      </c>
      <c r="I1936" s="21">
        <v>38875</v>
      </c>
      <c r="J1936">
        <v>2006</v>
      </c>
      <c r="K1936" s="21">
        <v>38883</v>
      </c>
      <c r="L1936">
        <v>2006</v>
      </c>
      <c r="M1936" s="21">
        <v>38883</v>
      </c>
      <c r="N1936">
        <v>2006</v>
      </c>
      <c r="R1936" s="262">
        <v>62000</v>
      </c>
      <c r="S1936" t="s">
        <v>114</v>
      </c>
      <c r="T1936" t="s">
        <v>114</v>
      </c>
      <c r="U1936">
        <v>5</v>
      </c>
      <c r="W1936">
        <v>0</v>
      </c>
      <c r="X1936">
        <v>0</v>
      </c>
      <c r="Y1936">
        <v>0</v>
      </c>
      <c r="Z1936">
        <v>0</v>
      </c>
      <c r="AA1936">
        <v>0</v>
      </c>
      <c r="AB1936">
        <v>0</v>
      </c>
      <c r="AC1936">
        <v>0</v>
      </c>
      <c r="AD1936">
        <v>0</v>
      </c>
      <c r="AE1936">
        <v>0</v>
      </c>
      <c r="AF1936">
        <v>0</v>
      </c>
      <c r="AG1936">
        <v>0</v>
      </c>
      <c r="AH1936">
        <v>0</v>
      </c>
      <c r="AI1936">
        <v>0</v>
      </c>
      <c r="AJ1936">
        <v>0</v>
      </c>
      <c r="AK1936">
        <v>0</v>
      </c>
      <c r="AL1936">
        <v>0</v>
      </c>
      <c r="AM1936">
        <v>0</v>
      </c>
      <c r="AN1936">
        <v>0</v>
      </c>
      <c r="AO1936">
        <v>0</v>
      </c>
      <c r="AP1936">
        <v>0</v>
      </c>
      <c r="AQ1936">
        <v>0</v>
      </c>
      <c r="AR1936">
        <v>0</v>
      </c>
      <c r="AS1936">
        <v>0</v>
      </c>
      <c r="AT1936">
        <v>0</v>
      </c>
      <c r="AU1936">
        <f t="shared" si="58"/>
        <v>0</v>
      </c>
      <c r="AV1936">
        <f t="shared" si="59"/>
        <v>0</v>
      </c>
    </row>
    <row r="1937" spans="1:48" x14ac:dyDescent="0.25">
      <c r="A1937" t="s">
        <v>7242</v>
      </c>
      <c r="C1937" t="s">
        <v>6047</v>
      </c>
      <c r="D1937" t="s">
        <v>7243</v>
      </c>
      <c r="E1937" t="s">
        <v>2310</v>
      </c>
      <c r="F1937">
        <v>9</v>
      </c>
      <c r="G1937">
        <v>9.1999999999999993</v>
      </c>
      <c r="H1937" t="s">
        <v>2022</v>
      </c>
      <c r="I1937" s="21">
        <v>38875</v>
      </c>
      <c r="J1937">
        <v>2006</v>
      </c>
      <c r="K1937" s="21">
        <v>38924</v>
      </c>
      <c r="L1937">
        <v>2006</v>
      </c>
      <c r="M1937" s="21">
        <v>39738</v>
      </c>
      <c r="N1937">
        <v>2008</v>
      </c>
      <c r="R1937" s="262">
        <v>1000000</v>
      </c>
      <c r="S1937" t="s">
        <v>114</v>
      </c>
      <c r="T1937" t="s">
        <v>114</v>
      </c>
      <c r="U1937">
        <v>5</v>
      </c>
      <c r="W1937">
        <v>5057</v>
      </c>
      <c r="X1937">
        <v>1</v>
      </c>
      <c r="Y1937">
        <v>0</v>
      </c>
      <c r="Z1937">
        <v>0</v>
      </c>
      <c r="AA1937">
        <v>0</v>
      </c>
      <c r="AB1937">
        <v>0</v>
      </c>
      <c r="AC1937">
        <v>5057</v>
      </c>
      <c r="AD1937">
        <v>0</v>
      </c>
      <c r="AE1937">
        <v>0</v>
      </c>
      <c r="AF1937">
        <v>0</v>
      </c>
      <c r="AG1937">
        <v>0</v>
      </c>
      <c r="AH1937">
        <v>0</v>
      </c>
      <c r="AI1937">
        <v>0</v>
      </c>
      <c r="AJ1937">
        <v>0</v>
      </c>
      <c r="AK1937">
        <v>0</v>
      </c>
      <c r="AL1937">
        <v>0</v>
      </c>
      <c r="AM1937">
        <v>0</v>
      </c>
      <c r="AN1937">
        <v>0</v>
      </c>
      <c r="AO1937">
        <v>1</v>
      </c>
      <c r="AP1937">
        <v>0</v>
      </c>
      <c r="AQ1937">
        <v>0</v>
      </c>
      <c r="AR1937">
        <v>0</v>
      </c>
      <c r="AS1937">
        <v>0</v>
      </c>
      <c r="AT1937">
        <v>0</v>
      </c>
      <c r="AU1937">
        <f t="shared" si="58"/>
        <v>1</v>
      </c>
      <c r="AV1937">
        <f t="shared" si="59"/>
        <v>0</v>
      </c>
    </row>
    <row r="1938" spans="1:48" x14ac:dyDescent="0.25">
      <c r="A1938" t="s">
        <v>7244</v>
      </c>
      <c r="C1938" t="s">
        <v>7245</v>
      </c>
      <c r="D1938" t="s">
        <v>5872</v>
      </c>
      <c r="E1938" t="s">
        <v>2310</v>
      </c>
      <c r="F1938">
        <v>8</v>
      </c>
      <c r="G1938">
        <v>8.1999999999999993</v>
      </c>
      <c r="H1938" t="s">
        <v>2022</v>
      </c>
      <c r="I1938" s="21">
        <v>38876</v>
      </c>
      <c r="J1938">
        <v>2006</v>
      </c>
      <c r="K1938" s="21">
        <v>38931</v>
      </c>
      <c r="L1938">
        <v>2006</v>
      </c>
      <c r="M1938" s="21">
        <v>38931</v>
      </c>
      <c r="N1938">
        <v>2006</v>
      </c>
      <c r="R1938" s="262">
        <v>0</v>
      </c>
      <c r="S1938" t="s">
        <v>114</v>
      </c>
      <c r="T1938" t="s">
        <v>114</v>
      </c>
      <c r="U1938">
        <v>5</v>
      </c>
      <c r="W1938">
        <v>0</v>
      </c>
      <c r="X1938">
        <v>0</v>
      </c>
      <c r="Y1938">
        <v>0</v>
      </c>
      <c r="Z1938">
        <v>0</v>
      </c>
      <c r="AA1938">
        <v>0</v>
      </c>
      <c r="AB1938">
        <v>0</v>
      </c>
      <c r="AC1938">
        <v>0</v>
      </c>
      <c r="AD1938">
        <v>0</v>
      </c>
      <c r="AE1938">
        <v>0</v>
      </c>
      <c r="AF1938">
        <v>0</v>
      </c>
      <c r="AG1938">
        <v>0</v>
      </c>
      <c r="AH1938">
        <v>0</v>
      </c>
      <c r="AI1938">
        <v>0</v>
      </c>
      <c r="AJ1938">
        <v>0</v>
      </c>
      <c r="AK1938">
        <v>0</v>
      </c>
      <c r="AL1938">
        <v>0</v>
      </c>
      <c r="AM1938">
        <v>0</v>
      </c>
      <c r="AN1938">
        <v>0</v>
      </c>
      <c r="AO1938">
        <v>0</v>
      </c>
      <c r="AP1938">
        <v>0</v>
      </c>
      <c r="AQ1938">
        <v>0</v>
      </c>
      <c r="AR1938">
        <v>0</v>
      </c>
      <c r="AS1938">
        <v>0</v>
      </c>
      <c r="AT1938">
        <v>0</v>
      </c>
      <c r="AU1938">
        <f t="shared" si="58"/>
        <v>0</v>
      </c>
      <c r="AV1938">
        <f t="shared" si="59"/>
        <v>0</v>
      </c>
    </row>
    <row r="1939" spans="1:48" x14ac:dyDescent="0.25">
      <c r="A1939" t="s">
        <v>7246</v>
      </c>
      <c r="C1939" t="s">
        <v>7247</v>
      </c>
      <c r="D1939" t="s">
        <v>3203</v>
      </c>
      <c r="E1939" t="s">
        <v>2310</v>
      </c>
      <c r="F1939">
        <v>9</v>
      </c>
      <c r="G1939">
        <v>9.3000000000000007</v>
      </c>
      <c r="H1939" t="s">
        <v>2323</v>
      </c>
      <c r="I1939" s="21">
        <v>38876</v>
      </c>
      <c r="J1939">
        <v>2006</v>
      </c>
      <c r="K1939" s="21">
        <v>38890</v>
      </c>
      <c r="L1939">
        <v>2006</v>
      </c>
      <c r="M1939" s="21">
        <v>39261</v>
      </c>
      <c r="N1939">
        <v>2007</v>
      </c>
      <c r="R1939" s="262">
        <v>50000</v>
      </c>
      <c r="S1939" t="s">
        <v>114</v>
      </c>
      <c r="T1939" t="s">
        <v>114</v>
      </c>
      <c r="U1939">
        <v>5</v>
      </c>
      <c r="W1939">
        <v>0</v>
      </c>
      <c r="X1939">
        <v>0</v>
      </c>
      <c r="Y1939">
        <v>0</v>
      </c>
      <c r="Z1939">
        <v>0</v>
      </c>
      <c r="AA1939">
        <v>0</v>
      </c>
      <c r="AB1939">
        <v>0</v>
      </c>
      <c r="AC1939">
        <v>0</v>
      </c>
      <c r="AD1939">
        <v>0</v>
      </c>
      <c r="AE1939">
        <v>0</v>
      </c>
      <c r="AF1939">
        <v>0</v>
      </c>
      <c r="AG1939">
        <v>0</v>
      </c>
      <c r="AH1939">
        <v>0</v>
      </c>
      <c r="AI1939">
        <v>0</v>
      </c>
      <c r="AJ1939">
        <v>0</v>
      </c>
      <c r="AK1939">
        <v>0</v>
      </c>
      <c r="AL1939">
        <v>0</v>
      </c>
      <c r="AM1939">
        <v>0</v>
      </c>
      <c r="AN1939">
        <v>0</v>
      </c>
      <c r="AO1939">
        <v>0</v>
      </c>
      <c r="AP1939">
        <v>0</v>
      </c>
      <c r="AQ1939">
        <v>0</v>
      </c>
      <c r="AR1939">
        <v>0</v>
      </c>
      <c r="AS1939">
        <v>0</v>
      </c>
      <c r="AT1939">
        <v>0</v>
      </c>
      <c r="AU1939">
        <f t="shared" si="58"/>
        <v>0</v>
      </c>
      <c r="AV1939">
        <f t="shared" si="59"/>
        <v>0</v>
      </c>
    </row>
    <row r="1940" spans="1:48" x14ac:dyDescent="0.25">
      <c r="A1940" t="s">
        <v>7248</v>
      </c>
      <c r="C1940" t="s">
        <v>5909</v>
      </c>
      <c r="D1940" t="s">
        <v>7249</v>
      </c>
      <c r="E1940" t="s">
        <v>2310</v>
      </c>
      <c r="F1940">
        <v>12</v>
      </c>
      <c r="G1940">
        <v>12.3</v>
      </c>
      <c r="H1940" t="s">
        <v>2017</v>
      </c>
      <c r="I1940" s="21">
        <v>38876</v>
      </c>
      <c r="J1940">
        <v>2006</v>
      </c>
      <c r="K1940" s="21">
        <v>38925</v>
      </c>
      <c r="L1940">
        <v>2006</v>
      </c>
      <c r="M1940" s="21">
        <v>39373</v>
      </c>
      <c r="N1940">
        <v>2007</v>
      </c>
      <c r="R1940" s="262">
        <v>900000</v>
      </c>
      <c r="S1940" t="s">
        <v>114</v>
      </c>
      <c r="T1940" t="s">
        <v>114</v>
      </c>
      <c r="U1940">
        <v>5</v>
      </c>
      <c r="W1940">
        <v>4462</v>
      </c>
      <c r="X1940">
        <v>1</v>
      </c>
      <c r="Y1940">
        <v>0</v>
      </c>
      <c r="Z1940">
        <v>0</v>
      </c>
      <c r="AA1940">
        <v>0</v>
      </c>
      <c r="AB1940">
        <v>0</v>
      </c>
      <c r="AC1940">
        <v>4462</v>
      </c>
      <c r="AD1940">
        <v>0</v>
      </c>
      <c r="AE1940">
        <v>0</v>
      </c>
      <c r="AF1940">
        <v>0</v>
      </c>
      <c r="AG1940">
        <v>0</v>
      </c>
      <c r="AH1940">
        <v>0</v>
      </c>
      <c r="AI1940">
        <v>0</v>
      </c>
      <c r="AJ1940">
        <v>0</v>
      </c>
      <c r="AK1940">
        <v>0</v>
      </c>
      <c r="AL1940">
        <v>0</v>
      </c>
      <c r="AM1940">
        <v>0</v>
      </c>
      <c r="AN1940">
        <v>0</v>
      </c>
      <c r="AO1940">
        <v>1</v>
      </c>
      <c r="AP1940">
        <v>0</v>
      </c>
      <c r="AQ1940">
        <v>0</v>
      </c>
      <c r="AR1940">
        <v>0</v>
      </c>
      <c r="AS1940">
        <v>0</v>
      </c>
      <c r="AT1940">
        <v>0</v>
      </c>
      <c r="AU1940">
        <f t="shared" si="58"/>
        <v>1</v>
      </c>
      <c r="AV1940">
        <f t="shared" si="59"/>
        <v>0</v>
      </c>
    </row>
    <row r="1941" spans="1:48" x14ac:dyDescent="0.25">
      <c r="A1941" t="s">
        <v>7250</v>
      </c>
      <c r="C1941" t="s">
        <v>7251</v>
      </c>
      <c r="D1941" t="s">
        <v>7252</v>
      </c>
      <c r="E1941" t="s">
        <v>2310</v>
      </c>
      <c r="F1941">
        <v>9</v>
      </c>
      <c r="G1941">
        <v>9.1</v>
      </c>
      <c r="H1941" t="s">
        <v>2323</v>
      </c>
      <c r="I1941" s="21">
        <v>38876</v>
      </c>
      <c r="J1941">
        <v>2006</v>
      </c>
      <c r="K1941" s="21">
        <v>38931</v>
      </c>
      <c r="L1941">
        <v>2006</v>
      </c>
      <c r="M1941" s="21">
        <v>38931</v>
      </c>
      <c r="N1941">
        <v>2006</v>
      </c>
      <c r="R1941" s="262">
        <v>1300000</v>
      </c>
      <c r="S1941" t="s">
        <v>114</v>
      </c>
      <c r="T1941" t="s">
        <v>114</v>
      </c>
      <c r="U1941">
        <v>5</v>
      </c>
      <c r="W1941">
        <v>6314</v>
      </c>
      <c r="X1941">
        <v>1</v>
      </c>
      <c r="Y1941">
        <v>0</v>
      </c>
      <c r="Z1941">
        <v>0</v>
      </c>
      <c r="AA1941">
        <v>0</v>
      </c>
      <c r="AB1941">
        <v>0</v>
      </c>
      <c r="AC1941">
        <v>6314</v>
      </c>
      <c r="AD1941">
        <v>0</v>
      </c>
      <c r="AE1941">
        <v>0</v>
      </c>
      <c r="AF1941">
        <v>0</v>
      </c>
      <c r="AG1941">
        <v>0</v>
      </c>
      <c r="AH1941">
        <v>0</v>
      </c>
      <c r="AI1941">
        <v>0</v>
      </c>
      <c r="AJ1941">
        <v>0</v>
      </c>
      <c r="AK1941">
        <v>0</v>
      </c>
      <c r="AL1941">
        <v>0</v>
      </c>
      <c r="AM1941">
        <v>0</v>
      </c>
      <c r="AN1941">
        <v>0</v>
      </c>
      <c r="AO1941">
        <v>1</v>
      </c>
      <c r="AP1941">
        <v>0</v>
      </c>
      <c r="AQ1941">
        <v>0</v>
      </c>
      <c r="AR1941">
        <v>0</v>
      </c>
      <c r="AS1941">
        <v>0</v>
      </c>
      <c r="AT1941">
        <v>0</v>
      </c>
      <c r="AU1941">
        <f t="shared" si="58"/>
        <v>1</v>
      </c>
      <c r="AV1941">
        <f t="shared" si="59"/>
        <v>0</v>
      </c>
    </row>
    <row r="1942" spans="1:48" x14ac:dyDescent="0.25">
      <c r="A1942" t="s">
        <v>7253</v>
      </c>
      <c r="C1942" t="s">
        <v>7254</v>
      </c>
      <c r="D1942" t="s">
        <v>7255</v>
      </c>
      <c r="E1942" t="s">
        <v>1663</v>
      </c>
      <c r="F1942">
        <v>4</v>
      </c>
      <c r="G1942">
        <v>4.4000000000000004</v>
      </c>
      <c r="H1942" t="s">
        <v>2017</v>
      </c>
      <c r="I1942" s="21">
        <v>38878</v>
      </c>
      <c r="J1942">
        <v>2006</v>
      </c>
      <c r="K1942" s="21">
        <v>38908</v>
      </c>
      <c r="L1942">
        <v>2006</v>
      </c>
      <c r="M1942" s="21">
        <v>39061</v>
      </c>
      <c r="N1942">
        <v>2006</v>
      </c>
      <c r="Q1942" s="262">
        <v>0</v>
      </c>
      <c r="S1942" t="s">
        <v>114</v>
      </c>
      <c r="T1942" t="s">
        <v>114</v>
      </c>
      <c r="W1942">
        <v>911</v>
      </c>
      <c r="X1942">
        <v>0</v>
      </c>
      <c r="Y1942">
        <v>0</v>
      </c>
      <c r="Z1942">
        <v>0</v>
      </c>
      <c r="AA1942">
        <v>0</v>
      </c>
      <c r="AB1942">
        <v>0</v>
      </c>
      <c r="AC1942">
        <v>911</v>
      </c>
      <c r="AD1942">
        <v>0</v>
      </c>
      <c r="AE1942">
        <v>0</v>
      </c>
      <c r="AF1942">
        <v>0</v>
      </c>
      <c r="AG1942">
        <v>0</v>
      </c>
      <c r="AH1942">
        <v>0</v>
      </c>
      <c r="AI1942">
        <v>0</v>
      </c>
      <c r="AJ1942">
        <v>0</v>
      </c>
      <c r="AK1942">
        <v>0</v>
      </c>
      <c r="AL1942">
        <v>0</v>
      </c>
      <c r="AM1942">
        <v>0</v>
      </c>
      <c r="AN1942">
        <v>0</v>
      </c>
      <c r="AO1942">
        <v>0</v>
      </c>
      <c r="AP1942">
        <v>0</v>
      </c>
      <c r="AQ1942">
        <v>0</v>
      </c>
      <c r="AR1942">
        <v>0</v>
      </c>
      <c r="AS1942">
        <v>0</v>
      </c>
      <c r="AT1942">
        <v>0</v>
      </c>
      <c r="AU1942">
        <f t="shared" si="58"/>
        <v>0</v>
      </c>
      <c r="AV1942">
        <f t="shared" si="59"/>
        <v>0</v>
      </c>
    </row>
    <row r="1943" spans="1:48" x14ac:dyDescent="0.25">
      <c r="A1943" t="s">
        <v>7256</v>
      </c>
      <c r="C1943" t="s">
        <v>7257</v>
      </c>
      <c r="D1943" t="s">
        <v>7258</v>
      </c>
      <c r="E1943" t="s">
        <v>1663</v>
      </c>
      <c r="F1943">
        <v>3</v>
      </c>
      <c r="G1943">
        <v>3.1</v>
      </c>
      <c r="H1943" t="s">
        <v>2017</v>
      </c>
      <c r="I1943" s="21">
        <v>38878</v>
      </c>
      <c r="J1943">
        <v>2006</v>
      </c>
      <c r="K1943" s="21">
        <v>38908</v>
      </c>
      <c r="L1943">
        <v>2006</v>
      </c>
      <c r="M1943" s="21">
        <v>39061</v>
      </c>
      <c r="N1943">
        <v>2006</v>
      </c>
      <c r="Q1943" s="262">
        <v>0</v>
      </c>
      <c r="S1943" t="s">
        <v>114</v>
      </c>
      <c r="T1943" t="s">
        <v>114</v>
      </c>
      <c r="W1943">
        <v>1334</v>
      </c>
      <c r="X1943">
        <v>1</v>
      </c>
      <c r="Y1943">
        <v>0</v>
      </c>
      <c r="Z1943">
        <v>0</v>
      </c>
      <c r="AA1943">
        <v>0</v>
      </c>
      <c r="AB1943">
        <v>0</v>
      </c>
      <c r="AC1943">
        <v>1334</v>
      </c>
      <c r="AD1943">
        <v>0</v>
      </c>
      <c r="AE1943">
        <v>0</v>
      </c>
      <c r="AF1943">
        <v>0</v>
      </c>
      <c r="AG1943">
        <v>0</v>
      </c>
      <c r="AH1943">
        <v>0</v>
      </c>
      <c r="AI1943">
        <v>0</v>
      </c>
      <c r="AJ1943">
        <v>0</v>
      </c>
      <c r="AK1943">
        <v>0</v>
      </c>
      <c r="AL1943">
        <v>0</v>
      </c>
      <c r="AM1943">
        <v>0</v>
      </c>
      <c r="AN1943">
        <v>0</v>
      </c>
      <c r="AO1943">
        <v>1</v>
      </c>
      <c r="AP1943">
        <v>0</v>
      </c>
      <c r="AQ1943">
        <v>0</v>
      </c>
      <c r="AR1943">
        <v>0</v>
      </c>
      <c r="AS1943">
        <v>0</v>
      </c>
      <c r="AT1943">
        <v>0</v>
      </c>
      <c r="AU1943">
        <f t="shared" si="58"/>
        <v>1</v>
      </c>
      <c r="AV1943">
        <f t="shared" si="59"/>
        <v>0</v>
      </c>
    </row>
    <row r="1944" spans="1:48" x14ac:dyDescent="0.25">
      <c r="A1944" t="s">
        <v>7259</v>
      </c>
      <c r="C1944" t="s">
        <v>7260</v>
      </c>
      <c r="D1944" t="s">
        <v>7261</v>
      </c>
      <c r="E1944" t="s">
        <v>2310</v>
      </c>
      <c r="F1944">
        <v>8</v>
      </c>
      <c r="G1944">
        <v>8.1</v>
      </c>
      <c r="H1944" t="s">
        <v>2323</v>
      </c>
      <c r="I1944" s="21">
        <v>38880</v>
      </c>
      <c r="J1944">
        <v>2006</v>
      </c>
      <c r="K1944" s="21">
        <v>38946</v>
      </c>
      <c r="L1944">
        <v>2006</v>
      </c>
      <c r="M1944" s="21">
        <v>39720</v>
      </c>
      <c r="N1944">
        <v>2008</v>
      </c>
      <c r="R1944" s="262">
        <v>5200000</v>
      </c>
      <c r="S1944" t="s">
        <v>114</v>
      </c>
      <c r="T1944" t="s">
        <v>114</v>
      </c>
      <c r="U1944">
        <v>5</v>
      </c>
      <c r="W1944">
        <v>8770</v>
      </c>
      <c r="X1944">
        <v>1</v>
      </c>
      <c r="Y1944">
        <v>0</v>
      </c>
      <c r="Z1944">
        <v>0</v>
      </c>
      <c r="AA1944">
        <v>0</v>
      </c>
      <c r="AB1944">
        <v>0</v>
      </c>
      <c r="AC1944">
        <v>8770</v>
      </c>
      <c r="AD1944">
        <v>0</v>
      </c>
      <c r="AE1944">
        <v>0</v>
      </c>
      <c r="AF1944">
        <v>0</v>
      </c>
      <c r="AG1944">
        <v>0</v>
      </c>
      <c r="AH1944">
        <v>0</v>
      </c>
      <c r="AI1944">
        <v>0</v>
      </c>
      <c r="AJ1944">
        <v>0</v>
      </c>
      <c r="AK1944">
        <v>0</v>
      </c>
      <c r="AL1944">
        <v>0</v>
      </c>
      <c r="AM1944">
        <v>0</v>
      </c>
      <c r="AN1944">
        <v>0</v>
      </c>
      <c r="AO1944">
        <v>1</v>
      </c>
      <c r="AP1944">
        <v>0</v>
      </c>
      <c r="AQ1944">
        <v>0</v>
      </c>
      <c r="AR1944">
        <v>0</v>
      </c>
      <c r="AS1944">
        <v>0</v>
      </c>
      <c r="AT1944">
        <v>0</v>
      </c>
      <c r="AU1944">
        <f t="shared" si="58"/>
        <v>1</v>
      </c>
      <c r="AV1944">
        <f t="shared" si="59"/>
        <v>0</v>
      </c>
    </row>
    <row r="1945" spans="1:48" x14ac:dyDescent="0.25">
      <c r="A1945" t="s">
        <v>7262</v>
      </c>
      <c r="C1945" t="s">
        <v>4599</v>
      </c>
      <c r="D1945" t="s">
        <v>7263</v>
      </c>
      <c r="E1945" t="s">
        <v>2310</v>
      </c>
      <c r="F1945">
        <v>8</v>
      </c>
      <c r="G1945">
        <v>8.1999999999999993</v>
      </c>
      <c r="H1945" t="s">
        <v>2022</v>
      </c>
      <c r="I1945" s="21">
        <v>38881</v>
      </c>
      <c r="J1945">
        <v>2006</v>
      </c>
      <c r="K1945" s="21">
        <v>38917</v>
      </c>
      <c r="L1945">
        <v>2006</v>
      </c>
      <c r="M1945" s="21">
        <v>39125</v>
      </c>
      <c r="N1945">
        <v>2007</v>
      </c>
      <c r="R1945" s="262">
        <v>100000</v>
      </c>
      <c r="S1945" t="s">
        <v>114</v>
      </c>
      <c r="T1945" t="s">
        <v>114</v>
      </c>
      <c r="U1945">
        <v>5</v>
      </c>
      <c r="W1945">
        <v>0</v>
      </c>
      <c r="X1945">
        <v>0</v>
      </c>
      <c r="Y1945">
        <v>0</v>
      </c>
      <c r="Z1945">
        <v>0</v>
      </c>
      <c r="AA1945">
        <v>0</v>
      </c>
      <c r="AB1945">
        <v>0</v>
      </c>
      <c r="AC1945">
        <v>0</v>
      </c>
      <c r="AD1945">
        <v>0</v>
      </c>
      <c r="AE1945">
        <v>0</v>
      </c>
      <c r="AF1945">
        <v>0</v>
      </c>
      <c r="AG1945">
        <v>0</v>
      </c>
      <c r="AH1945">
        <v>0</v>
      </c>
      <c r="AI1945">
        <v>0</v>
      </c>
      <c r="AJ1945">
        <v>0</v>
      </c>
      <c r="AK1945">
        <v>0</v>
      </c>
      <c r="AL1945">
        <v>0</v>
      </c>
      <c r="AM1945">
        <v>0</v>
      </c>
      <c r="AN1945">
        <v>0</v>
      </c>
      <c r="AO1945">
        <v>0</v>
      </c>
      <c r="AP1945">
        <v>0</v>
      </c>
      <c r="AQ1945">
        <v>0</v>
      </c>
      <c r="AR1945">
        <v>0</v>
      </c>
      <c r="AS1945">
        <v>0</v>
      </c>
      <c r="AT1945">
        <v>0</v>
      </c>
      <c r="AU1945">
        <f t="shared" ref="AU1945:AU2008" si="60">SUM(AN1945:AQ1945,AS1945)</f>
        <v>0</v>
      </c>
      <c r="AV1945">
        <f t="shared" ref="AV1945:AV2008" si="61">SUM(Y1945:AB1945,AH1945:AM1945)</f>
        <v>0</v>
      </c>
    </row>
    <row r="1946" spans="1:48" x14ac:dyDescent="0.25">
      <c r="A1946" t="s">
        <v>7264</v>
      </c>
      <c r="C1946" t="s">
        <v>7265</v>
      </c>
      <c r="D1946" t="s">
        <v>7266</v>
      </c>
      <c r="E1946" t="s">
        <v>2310</v>
      </c>
      <c r="F1946">
        <v>12</v>
      </c>
      <c r="G1946">
        <v>12.2</v>
      </c>
      <c r="H1946" t="s">
        <v>2017</v>
      </c>
      <c r="I1946" s="21">
        <v>38887</v>
      </c>
      <c r="J1946">
        <v>2006</v>
      </c>
      <c r="K1946" s="21">
        <v>38944</v>
      </c>
      <c r="L1946">
        <v>2006</v>
      </c>
      <c r="M1946" s="21">
        <v>39297</v>
      </c>
      <c r="N1946">
        <v>2007</v>
      </c>
      <c r="R1946" s="262">
        <v>500000</v>
      </c>
      <c r="S1946" t="s">
        <v>114</v>
      </c>
      <c r="T1946" t="s">
        <v>114</v>
      </c>
      <c r="U1946">
        <v>10</v>
      </c>
      <c r="W1946">
        <v>11</v>
      </c>
      <c r="X1946">
        <v>0</v>
      </c>
      <c r="Y1946">
        <v>0</v>
      </c>
      <c r="Z1946">
        <v>0</v>
      </c>
      <c r="AA1946">
        <v>0</v>
      </c>
      <c r="AB1946">
        <v>0</v>
      </c>
      <c r="AC1946">
        <v>0</v>
      </c>
      <c r="AD1946">
        <v>0</v>
      </c>
      <c r="AE1946">
        <v>0</v>
      </c>
      <c r="AF1946">
        <v>0</v>
      </c>
      <c r="AG1946">
        <v>0</v>
      </c>
      <c r="AH1946">
        <v>11</v>
      </c>
      <c r="AI1946">
        <v>0</v>
      </c>
      <c r="AJ1946">
        <v>0</v>
      </c>
      <c r="AK1946">
        <v>0</v>
      </c>
      <c r="AL1946">
        <v>0</v>
      </c>
      <c r="AM1946">
        <v>0</v>
      </c>
      <c r="AN1946">
        <v>0</v>
      </c>
      <c r="AO1946">
        <v>0</v>
      </c>
      <c r="AP1946">
        <v>0</v>
      </c>
      <c r="AQ1946">
        <v>0</v>
      </c>
      <c r="AR1946">
        <v>0</v>
      </c>
      <c r="AS1946">
        <v>0</v>
      </c>
      <c r="AT1946">
        <v>0</v>
      </c>
      <c r="AU1946">
        <f t="shared" si="60"/>
        <v>0</v>
      </c>
      <c r="AV1946">
        <f t="shared" si="61"/>
        <v>11</v>
      </c>
    </row>
    <row r="1947" spans="1:48" x14ac:dyDescent="0.25">
      <c r="A1947" t="s">
        <v>7269</v>
      </c>
      <c r="C1947" t="s">
        <v>7270</v>
      </c>
      <c r="D1947" t="s">
        <v>7271</v>
      </c>
      <c r="E1947" t="s">
        <v>1663</v>
      </c>
      <c r="F1947">
        <v>6</v>
      </c>
      <c r="G1947">
        <v>6.2</v>
      </c>
      <c r="H1947" t="s">
        <v>2017</v>
      </c>
      <c r="I1947" s="21">
        <v>38888</v>
      </c>
      <c r="J1947">
        <v>2006</v>
      </c>
      <c r="K1947" s="21">
        <v>38918</v>
      </c>
      <c r="L1947">
        <v>2006</v>
      </c>
      <c r="M1947" s="21">
        <v>39071</v>
      </c>
      <c r="N1947">
        <v>2006</v>
      </c>
      <c r="Q1947" s="262">
        <v>0</v>
      </c>
      <c r="S1947" t="s">
        <v>114</v>
      </c>
      <c r="T1947" t="s">
        <v>114</v>
      </c>
      <c r="W1947">
        <v>6960</v>
      </c>
      <c r="X1947">
        <v>1</v>
      </c>
      <c r="Y1947">
        <v>0</v>
      </c>
      <c r="Z1947">
        <v>0</v>
      </c>
      <c r="AA1947">
        <v>0</v>
      </c>
      <c r="AB1947">
        <v>0</v>
      </c>
      <c r="AC1947">
        <v>6960</v>
      </c>
      <c r="AD1947">
        <v>0</v>
      </c>
      <c r="AE1947">
        <v>0</v>
      </c>
      <c r="AF1947">
        <v>0</v>
      </c>
      <c r="AG1947">
        <v>0</v>
      </c>
      <c r="AH1947">
        <v>0</v>
      </c>
      <c r="AI1947">
        <v>0</v>
      </c>
      <c r="AJ1947">
        <v>0</v>
      </c>
      <c r="AK1947">
        <v>0</v>
      </c>
      <c r="AL1947">
        <v>0</v>
      </c>
      <c r="AM1947">
        <v>0</v>
      </c>
      <c r="AN1947">
        <v>0</v>
      </c>
      <c r="AO1947">
        <v>1</v>
      </c>
      <c r="AP1947">
        <v>0</v>
      </c>
      <c r="AQ1947">
        <v>0</v>
      </c>
      <c r="AR1947">
        <v>0</v>
      </c>
      <c r="AS1947">
        <v>0</v>
      </c>
      <c r="AT1947">
        <v>0</v>
      </c>
      <c r="AU1947">
        <f t="shared" si="60"/>
        <v>1</v>
      </c>
      <c r="AV1947">
        <f t="shared" si="61"/>
        <v>0</v>
      </c>
    </row>
    <row r="1948" spans="1:48" x14ac:dyDescent="0.25">
      <c r="A1948" t="s">
        <v>7267</v>
      </c>
      <c r="C1948" t="s">
        <v>6180</v>
      </c>
      <c r="D1948" t="s">
        <v>7268</v>
      </c>
      <c r="E1948" t="s">
        <v>1663</v>
      </c>
      <c r="F1948">
        <v>5</v>
      </c>
      <c r="G1948">
        <v>5.5</v>
      </c>
      <c r="H1948" t="s">
        <v>2017</v>
      </c>
      <c r="I1948" s="21">
        <v>38888</v>
      </c>
      <c r="J1948">
        <v>2006</v>
      </c>
      <c r="K1948" s="21">
        <v>38918</v>
      </c>
      <c r="L1948">
        <v>2006</v>
      </c>
      <c r="M1948" s="21">
        <v>39071</v>
      </c>
      <c r="N1948">
        <v>2006</v>
      </c>
      <c r="Q1948" s="262">
        <v>0</v>
      </c>
      <c r="S1948" t="s">
        <v>114</v>
      </c>
      <c r="T1948" t="s">
        <v>114</v>
      </c>
      <c r="W1948">
        <v>600</v>
      </c>
      <c r="X1948">
        <v>0</v>
      </c>
      <c r="Y1948">
        <v>0</v>
      </c>
      <c r="Z1948">
        <v>0</v>
      </c>
      <c r="AA1948">
        <v>0</v>
      </c>
      <c r="AB1948">
        <v>0</v>
      </c>
      <c r="AC1948">
        <v>600</v>
      </c>
      <c r="AD1948">
        <v>0</v>
      </c>
      <c r="AE1948">
        <v>0</v>
      </c>
      <c r="AF1948">
        <v>0</v>
      </c>
      <c r="AG1948">
        <v>0</v>
      </c>
      <c r="AH1948">
        <v>0</v>
      </c>
      <c r="AI1948">
        <v>0</v>
      </c>
      <c r="AJ1948">
        <v>0</v>
      </c>
      <c r="AK1948">
        <v>0</v>
      </c>
      <c r="AL1948">
        <v>0</v>
      </c>
      <c r="AM1948">
        <v>0</v>
      </c>
      <c r="AN1948">
        <v>0</v>
      </c>
      <c r="AO1948">
        <v>0</v>
      </c>
      <c r="AP1948">
        <v>0</v>
      </c>
      <c r="AQ1948">
        <v>0</v>
      </c>
      <c r="AR1948">
        <v>0</v>
      </c>
      <c r="AS1948">
        <v>0</v>
      </c>
      <c r="AT1948">
        <v>0</v>
      </c>
      <c r="AU1948">
        <f t="shared" si="60"/>
        <v>0</v>
      </c>
      <c r="AV1948">
        <f t="shared" si="61"/>
        <v>0</v>
      </c>
    </row>
    <row r="1949" spans="1:48" x14ac:dyDescent="0.25">
      <c r="A1949" t="s">
        <v>7272</v>
      </c>
      <c r="C1949" t="s">
        <v>7273</v>
      </c>
      <c r="D1949" t="s">
        <v>7274</v>
      </c>
      <c r="E1949" t="s">
        <v>1663</v>
      </c>
      <c r="F1949">
        <v>6</v>
      </c>
      <c r="G1949">
        <v>6.2</v>
      </c>
      <c r="H1949" t="s">
        <v>2017</v>
      </c>
      <c r="I1949" s="21">
        <v>38890</v>
      </c>
      <c r="J1949">
        <v>2006</v>
      </c>
      <c r="K1949" s="21">
        <v>38920</v>
      </c>
      <c r="L1949">
        <v>2006</v>
      </c>
      <c r="M1949" s="21">
        <v>39073</v>
      </c>
      <c r="N1949">
        <v>2006</v>
      </c>
      <c r="Q1949" s="262">
        <v>0</v>
      </c>
      <c r="S1949" t="s">
        <v>114</v>
      </c>
      <c r="T1949" t="s">
        <v>114</v>
      </c>
      <c r="W1949">
        <v>7848</v>
      </c>
      <c r="X1949">
        <v>1</v>
      </c>
      <c r="Y1949">
        <v>0</v>
      </c>
      <c r="Z1949">
        <v>0</v>
      </c>
      <c r="AA1949">
        <v>0</v>
      </c>
      <c r="AB1949">
        <v>0</v>
      </c>
      <c r="AC1949">
        <v>7848</v>
      </c>
      <c r="AD1949">
        <v>0</v>
      </c>
      <c r="AE1949">
        <v>0</v>
      </c>
      <c r="AF1949">
        <v>0</v>
      </c>
      <c r="AG1949">
        <v>0</v>
      </c>
      <c r="AH1949">
        <v>0</v>
      </c>
      <c r="AI1949">
        <v>0</v>
      </c>
      <c r="AJ1949">
        <v>0</v>
      </c>
      <c r="AK1949">
        <v>0</v>
      </c>
      <c r="AL1949">
        <v>0</v>
      </c>
      <c r="AM1949">
        <v>0</v>
      </c>
      <c r="AN1949">
        <v>0</v>
      </c>
      <c r="AO1949">
        <v>1</v>
      </c>
      <c r="AP1949">
        <v>0</v>
      </c>
      <c r="AQ1949">
        <v>0</v>
      </c>
      <c r="AR1949">
        <v>0</v>
      </c>
      <c r="AS1949">
        <v>0</v>
      </c>
      <c r="AT1949">
        <v>0</v>
      </c>
      <c r="AU1949">
        <f t="shared" si="60"/>
        <v>1</v>
      </c>
      <c r="AV1949">
        <f t="shared" si="61"/>
        <v>0</v>
      </c>
    </row>
    <row r="1950" spans="1:48" x14ac:dyDescent="0.25">
      <c r="A1950" t="s">
        <v>7275</v>
      </c>
      <c r="C1950" t="s">
        <v>7276</v>
      </c>
      <c r="D1950" t="s">
        <v>5448</v>
      </c>
      <c r="E1950" t="s">
        <v>2310</v>
      </c>
      <c r="F1950">
        <v>9</v>
      </c>
      <c r="G1950">
        <v>9.4</v>
      </c>
      <c r="H1950" t="s">
        <v>2323</v>
      </c>
      <c r="I1950" s="21">
        <v>38890</v>
      </c>
      <c r="J1950">
        <v>2006</v>
      </c>
      <c r="K1950" s="21">
        <v>38980</v>
      </c>
      <c r="L1950">
        <v>2006</v>
      </c>
      <c r="M1950" s="21">
        <v>39461</v>
      </c>
      <c r="N1950">
        <v>2008</v>
      </c>
      <c r="R1950" s="262">
        <v>110000</v>
      </c>
      <c r="S1950" t="s">
        <v>114</v>
      </c>
      <c r="T1950" t="s">
        <v>114</v>
      </c>
      <c r="U1950">
        <v>5</v>
      </c>
      <c r="W1950">
        <v>348</v>
      </c>
      <c r="X1950">
        <v>0</v>
      </c>
      <c r="Y1950">
        <v>0</v>
      </c>
      <c r="Z1950">
        <v>0</v>
      </c>
      <c r="AA1950">
        <v>0</v>
      </c>
      <c r="AB1950">
        <v>0</v>
      </c>
      <c r="AC1950">
        <v>348</v>
      </c>
      <c r="AD1950">
        <v>0</v>
      </c>
      <c r="AE1950">
        <v>0</v>
      </c>
      <c r="AF1950">
        <v>0</v>
      </c>
      <c r="AG1950">
        <v>0</v>
      </c>
      <c r="AH1950">
        <v>0</v>
      </c>
      <c r="AI1950">
        <v>0</v>
      </c>
      <c r="AJ1950">
        <v>0</v>
      </c>
      <c r="AK1950">
        <v>0</v>
      </c>
      <c r="AL1950">
        <v>0</v>
      </c>
      <c r="AM1950">
        <v>0</v>
      </c>
      <c r="AN1950">
        <v>0</v>
      </c>
      <c r="AO1950">
        <v>0</v>
      </c>
      <c r="AP1950">
        <v>0</v>
      </c>
      <c r="AQ1950">
        <v>0</v>
      </c>
      <c r="AR1950">
        <v>0</v>
      </c>
      <c r="AS1950">
        <v>0</v>
      </c>
      <c r="AT1950">
        <v>0</v>
      </c>
      <c r="AU1950">
        <f t="shared" si="60"/>
        <v>0</v>
      </c>
      <c r="AV1950">
        <f t="shared" si="61"/>
        <v>0</v>
      </c>
    </row>
    <row r="1951" spans="1:48" x14ac:dyDescent="0.25">
      <c r="A1951" t="s">
        <v>7277</v>
      </c>
      <c r="C1951" t="s">
        <v>7278</v>
      </c>
      <c r="D1951" t="s">
        <v>7279</v>
      </c>
      <c r="E1951" t="s">
        <v>2310</v>
      </c>
      <c r="F1951">
        <v>9</v>
      </c>
      <c r="G1951">
        <v>9.1999999999999993</v>
      </c>
      <c r="H1951" t="s">
        <v>2022</v>
      </c>
      <c r="I1951" s="21">
        <v>38890</v>
      </c>
      <c r="J1951">
        <v>2006</v>
      </c>
      <c r="K1951" s="21">
        <v>38988</v>
      </c>
      <c r="L1951">
        <v>2006</v>
      </c>
      <c r="M1951" s="21">
        <v>39639</v>
      </c>
      <c r="N1951">
        <v>2008</v>
      </c>
      <c r="R1951" s="262">
        <v>1000000</v>
      </c>
      <c r="S1951" t="s">
        <v>114</v>
      </c>
      <c r="T1951" t="s">
        <v>114</v>
      </c>
      <c r="U1951">
        <v>5</v>
      </c>
      <c r="W1951">
        <v>3986</v>
      </c>
      <c r="X1951">
        <v>1</v>
      </c>
      <c r="Y1951">
        <v>0</v>
      </c>
      <c r="Z1951">
        <v>0</v>
      </c>
      <c r="AA1951">
        <v>0</v>
      </c>
      <c r="AB1951">
        <v>0</v>
      </c>
      <c r="AC1951">
        <v>3986</v>
      </c>
      <c r="AD1951">
        <v>0</v>
      </c>
      <c r="AE1951">
        <v>0</v>
      </c>
      <c r="AF1951">
        <v>0</v>
      </c>
      <c r="AG1951">
        <v>0</v>
      </c>
      <c r="AH1951">
        <v>0</v>
      </c>
      <c r="AI1951">
        <v>0</v>
      </c>
      <c r="AJ1951">
        <v>0</v>
      </c>
      <c r="AK1951">
        <v>0</v>
      </c>
      <c r="AL1951">
        <v>0</v>
      </c>
      <c r="AM1951">
        <v>0</v>
      </c>
      <c r="AN1951">
        <v>0</v>
      </c>
      <c r="AO1951">
        <v>1</v>
      </c>
      <c r="AP1951">
        <v>0</v>
      </c>
      <c r="AQ1951">
        <v>0</v>
      </c>
      <c r="AR1951">
        <v>0</v>
      </c>
      <c r="AS1951">
        <v>0</v>
      </c>
      <c r="AT1951">
        <v>0</v>
      </c>
      <c r="AU1951">
        <f t="shared" si="60"/>
        <v>1</v>
      </c>
      <c r="AV1951">
        <f t="shared" si="61"/>
        <v>0</v>
      </c>
    </row>
    <row r="1952" spans="1:48" x14ac:dyDescent="0.25">
      <c r="A1952" t="s">
        <v>7280</v>
      </c>
      <c r="C1952" t="s">
        <v>7281</v>
      </c>
      <c r="D1952" t="s">
        <v>7282</v>
      </c>
      <c r="E1952" t="s">
        <v>2310</v>
      </c>
      <c r="F1952">
        <v>15</v>
      </c>
      <c r="G1952">
        <v>15.2</v>
      </c>
      <c r="H1952" t="s">
        <v>2323</v>
      </c>
      <c r="I1952" s="21">
        <v>38891</v>
      </c>
      <c r="J1952">
        <v>2006</v>
      </c>
      <c r="K1952" s="21">
        <v>38937</v>
      </c>
      <c r="L1952">
        <v>2006</v>
      </c>
      <c r="M1952" s="21">
        <v>39148</v>
      </c>
      <c r="N1952">
        <v>2007</v>
      </c>
      <c r="R1952" s="262">
        <v>150000</v>
      </c>
      <c r="S1952" t="s">
        <v>114</v>
      </c>
      <c r="T1952" t="s">
        <v>114</v>
      </c>
      <c r="U1952">
        <v>5</v>
      </c>
      <c r="W1952">
        <v>580</v>
      </c>
      <c r="X1952">
        <v>0</v>
      </c>
      <c r="Y1952">
        <v>0</v>
      </c>
      <c r="Z1952">
        <v>0</v>
      </c>
      <c r="AA1952">
        <v>0</v>
      </c>
      <c r="AB1952">
        <v>0</v>
      </c>
      <c r="AC1952">
        <v>580</v>
      </c>
      <c r="AD1952">
        <v>0</v>
      </c>
      <c r="AE1952">
        <v>0</v>
      </c>
      <c r="AF1952">
        <v>0</v>
      </c>
      <c r="AG1952">
        <v>0</v>
      </c>
      <c r="AH1952">
        <v>0</v>
      </c>
      <c r="AI1952">
        <v>0</v>
      </c>
      <c r="AJ1952">
        <v>0</v>
      </c>
      <c r="AK1952">
        <v>0</v>
      </c>
      <c r="AL1952">
        <v>0</v>
      </c>
      <c r="AM1952">
        <v>0</v>
      </c>
      <c r="AN1952">
        <v>0</v>
      </c>
      <c r="AO1952">
        <v>0</v>
      </c>
      <c r="AP1952">
        <v>0</v>
      </c>
      <c r="AQ1952">
        <v>0</v>
      </c>
      <c r="AR1952">
        <v>0</v>
      </c>
      <c r="AS1952">
        <v>0</v>
      </c>
      <c r="AT1952">
        <v>0</v>
      </c>
      <c r="AU1952">
        <f t="shared" si="60"/>
        <v>0</v>
      </c>
      <c r="AV1952">
        <f t="shared" si="61"/>
        <v>0</v>
      </c>
    </row>
    <row r="1953" spans="1:48" x14ac:dyDescent="0.25">
      <c r="A1953" t="s">
        <v>7283</v>
      </c>
      <c r="C1953" t="s">
        <v>7284</v>
      </c>
      <c r="D1953" t="s">
        <v>4886</v>
      </c>
      <c r="E1953" t="s">
        <v>2310</v>
      </c>
      <c r="F1953">
        <v>9</v>
      </c>
      <c r="G1953">
        <v>9.1</v>
      </c>
      <c r="H1953" t="s">
        <v>2323</v>
      </c>
      <c r="I1953" s="21">
        <v>38894</v>
      </c>
      <c r="J1953">
        <v>2006</v>
      </c>
      <c r="K1953" s="21">
        <v>38911</v>
      </c>
      <c r="L1953">
        <v>2006</v>
      </c>
      <c r="M1953" s="21">
        <v>39507</v>
      </c>
      <c r="N1953">
        <v>2008</v>
      </c>
      <c r="R1953" s="262">
        <v>3000</v>
      </c>
      <c r="S1953" t="s">
        <v>114</v>
      </c>
      <c r="T1953" t="s">
        <v>114</v>
      </c>
      <c r="U1953">
        <v>4</v>
      </c>
      <c r="W1953">
        <v>0</v>
      </c>
      <c r="X1953">
        <v>0</v>
      </c>
      <c r="Y1953">
        <v>0</v>
      </c>
      <c r="Z1953">
        <v>0</v>
      </c>
      <c r="AA1953">
        <v>0</v>
      </c>
      <c r="AB1953">
        <v>0</v>
      </c>
      <c r="AC1953">
        <v>0</v>
      </c>
      <c r="AD1953">
        <v>0</v>
      </c>
      <c r="AE1953">
        <v>0</v>
      </c>
      <c r="AF1953">
        <v>0</v>
      </c>
      <c r="AG1953">
        <v>0</v>
      </c>
      <c r="AH1953">
        <v>0</v>
      </c>
      <c r="AI1953">
        <v>0</v>
      </c>
      <c r="AJ1953">
        <v>0</v>
      </c>
      <c r="AK1953">
        <v>0</v>
      </c>
      <c r="AL1953">
        <v>0</v>
      </c>
      <c r="AM1953">
        <v>0</v>
      </c>
      <c r="AN1953">
        <v>0</v>
      </c>
      <c r="AO1953">
        <v>0</v>
      </c>
      <c r="AP1953">
        <v>0</v>
      </c>
      <c r="AQ1953">
        <v>0</v>
      </c>
      <c r="AR1953">
        <v>0</v>
      </c>
      <c r="AS1953">
        <v>0</v>
      </c>
      <c r="AT1953">
        <v>0</v>
      </c>
      <c r="AU1953">
        <f t="shared" si="60"/>
        <v>0</v>
      </c>
      <c r="AV1953">
        <f t="shared" si="61"/>
        <v>0</v>
      </c>
    </row>
    <row r="1954" spans="1:48" x14ac:dyDescent="0.25">
      <c r="A1954" t="s">
        <v>7285</v>
      </c>
      <c r="C1954" t="s">
        <v>7286</v>
      </c>
      <c r="D1954" t="s">
        <v>7287</v>
      </c>
      <c r="E1954" t="s">
        <v>2310</v>
      </c>
      <c r="F1954">
        <v>10</v>
      </c>
      <c r="G1954">
        <v>10.1</v>
      </c>
      <c r="H1954" t="s">
        <v>2323</v>
      </c>
      <c r="I1954" s="21">
        <v>38895</v>
      </c>
      <c r="J1954">
        <v>2006</v>
      </c>
      <c r="K1954" s="21">
        <v>38917</v>
      </c>
      <c r="L1954">
        <v>2006</v>
      </c>
      <c r="M1954" s="21">
        <v>39301</v>
      </c>
      <c r="N1954">
        <v>2007</v>
      </c>
      <c r="R1954" s="262">
        <v>35000</v>
      </c>
      <c r="S1954" t="s">
        <v>114</v>
      </c>
      <c r="T1954" t="s">
        <v>114</v>
      </c>
      <c r="U1954">
        <v>5</v>
      </c>
      <c r="W1954">
        <v>1500</v>
      </c>
      <c r="X1954">
        <v>0</v>
      </c>
      <c r="Y1954">
        <v>0</v>
      </c>
      <c r="Z1954">
        <v>0</v>
      </c>
      <c r="AA1954">
        <v>0</v>
      </c>
      <c r="AB1954">
        <v>0</v>
      </c>
      <c r="AC1954">
        <v>1500</v>
      </c>
      <c r="AD1954">
        <v>0</v>
      </c>
      <c r="AE1954">
        <v>0</v>
      </c>
      <c r="AF1954">
        <v>0</v>
      </c>
      <c r="AG1954">
        <v>0</v>
      </c>
      <c r="AH1954">
        <v>0</v>
      </c>
      <c r="AI1954">
        <v>0</v>
      </c>
      <c r="AJ1954">
        <v>0</v>
      </c>
      <c r="AK1954">
        <v>0</v>
      </c>
      <c r="AL1954">
        <v>0</v>
      </c>
      <c r="AM1954">
        <v>0</v>
      </c>
      <c r="AN1954">
        <v>0</v>
      </c>
      <c r="AO1954">
        <v>0</v>
      </c>
      <c r="AP1954">
        <v>0</v>
      </c>
      <c r="AQ1954">
        <v>0</v>
      </c>
      <c r="AR1954">
        <v>0</v>
      </c>
      <c r="AS1954">
        <v>0</v>
      </c>
      <c r="AT1954">
        <v>0</v>
      </c>
      <c r="AU1954">
        <f t="shared" si="60"/>
        <v>0</v>
      </c>
      <c r="AV1954">
        <f t="shared" si="61"/>
        <v>0</v>
      </c>
    </row>
    <row r="1955" spans="1:48" x14ac:dyDescent="0.25">
      <c r="A1955" t="s">
        <v>7288</v>
      </c>
      <c r="C1955" t="s">
        <v>6047</v>
      </c>
      <c r="D1955" t="s">
        <v>7289</v>
      </c>
      <c r="E1955" t="s">
        <v>2310</v>
      </c>
      <c r="F1955">
        <v>9</v>
      </c>
      <c r="G1955">
        <v>9.4</v>
      </c>
      <c r="H1955" t="s">
        <v>2323</v>
      </c>
      <c r="I1955" s="21">
        <v>38895</v>
      </c>
      <c r="J1955">
        <v>2006</v>
      </c>
      <c r="K1955" s="21">
        <v>38947</v>
      </c>
      <c r="L1955">
        <v>2006</v>
      </c>
      <c r="M1955" s="21">
        <v>39618</v>
      </c>
      <c r="N1955">
        <v>2008</v>
      </c>
      <c r="R1955" s="262">
        <v>1800000</v>
      </c>
      <c r="S1955" t="s">
        <v>114</v>
      </c>
      <c r="T1955" t="s">
        <v>114</v>
      </c>
      <c r="U1955">
        <v>5</v>
      </c>
      <c r="W1955">
        <v>7386</v>
      </c>
      <c r="X1955">
        <v>1</v>
      </c>
      <c r="Y1955">
        <v>0</v>
      </c>
      <c r="Z1955">
        <v>0</v>
      </c>
      <c r="AA1955">
        <v>0</v>
      </c>
      <c r="AB1955">
        <v>0</v>
      </c>
      <c r="AC1955">
        <v>7386</v>
      </c>
      <c r="AD1955">
        <v>0</v>
      </c>
      <c r="AE1955">
        <v>0</v>
      </c>
      <c r="AF1955">
        <v>0</v>
      </c>
      <c r="AG1955">
        <v>0</v>
      </c>
      <c r="AH1955">
        <v>0</v>
      </c>
      <c r="AI1955">
        <v>0</v>
      </c>
      <c r="AJ1955">
        <v>0</v>
      </c>
      <c r="AK1955">
        <v>0</v>
      </c>
      <c r="AL1955">
        <v>0</v>
      </c>
      <c r="AM1955">
        <v>0</v>
      </c>
      <c r="AN1955">
        <v>0</v>
      </c>
      <c r="AO1955">
        <v>1</v>
      </c>
      <c r="AP1955">
        <v>0</v>
      </c>
      <c r="AQ1955">
        <v>0</v>
      </c>
      <c r="AR1955">
        <v>0</v>
      </c>
      <c r="AS1955">
        <v>0</v>
      </c>
      <c r="AT1955">
        <v>0</v>
      </c>
      <c r="AU1955">
        <f t="shared" si="60"/>
        <v>1</v>
      </c>
      <c r="AV1955">
        <f t="shared" si="61"/>
        <v>0</v>
      </c>
    </row>
    <row r="1956" spans="1:48" x14ac:dyDescent="0.25">
      <c r="A1956" t="s">
        <v>7290</v>
      </c>
      <c r="C1956" t="s">
        <v>7291</v>
      </c>
      <c r="D1956" t="s">
        <v>7292</v>
      </c>
      <c r="E1956" t="s">
        <v>2310</v>
      </c>
      <c r="F1956">
        <v>9</v>
      </c>
      <c r="G1956">
        <v>9.3000000000000007</v>
      </c>
      <c r="H1956" t="s">
        <v>2323</v>
      </c>
      <c r="I1956" s="21">
        <v>38896</v>
      </c>
      <c r="J1956">
        <v>2006</v>
      </c>
      <c r="K1956" s="21">
        <v>38924</v>
      </c>
      <c r="L1956">
        <v>2006</v>
      </c>
      <c r="M1956" s="21">
        <v>39471</v>
      </c>
      <c r="N1956">
        <v>2008</v>
      </c>
      <c r="R1956" s="262">
        <v>25000</v>
      </c>
      <c r="S1956" t="s">
        <v>114</v>
      </c>
      <c r="T1956" t="s">
        <v>114</v>
      </c>
      <c r="U1956">
        <v>5</v>
      </c>
      <c r="W1956">
        <v>213</v>
      </c>
      <c r="X1956">
        <v>0</v>
      </c>
      <c r="Y1956">
        <v>0</v>
      </c>
      <c r="Z1956">
        <v>0</v>
      </c>
      <c r="AA1956">
        <v>0</v>
      </c>
      <c r="AB1956">
        <v>0</v>
      </c>
      <c r="AC1956">
        <v>213</v>
      </c>
      <c r="AD1956">
        <v>0</v>
      </c>
      <c r="AE1956">
        <v>0</v>
      </c>
      <c r="AF1956">
        <v>0</v>
      </c>
      <c r="AG1956">
        <v>0</v>
      </c>
      <c r="AH1956">
        <v>0</v>
      </c>
      <c r="AI1956">
        <v>0</v>
      </c>
      <c r="AJ1956">
        <v>0</v>
      </c>
      <c r="AK1956">
        <v>0</v>
      </c>
      <c r="AL1956">
        <v>0</v>
      </c>
      <c r="AM1956">
        <v>0</v>
      </c>
      <c r="AN1956">
        <v>0</v>
      </c>
      <c r="AO1956">
        <v>0</v>
      </c>
      <c r="AP1956">
        <v>0</v>
      </c>
      <c r="AQ1956">
        <v>0</v>
      </c>
      <c r="AR1956">
        <v>0</v>
      </c>
      <c r="AS1956">
        <v>0</v>
      </c>
      <c r="AT1956">
        <v>0</v>
      </c>
      <c r="AU1956">
        <f t="shared" si="60"/>
        <v>0</v>
      </c>
      <c r="AV1956">
        <f t="shared" si="61"/>
        <v>0</v>
      </c>
    </row>
    <row r="1957" spans="1:48" x14ac:dyDescent="0.25">
      <c r="A1957" t="s">
        <v>7293</v>
      </c>
      <c r="C1957" t="s">
        <v>7294</v>
      </c>
      <c r="D1957" t="s">
        <v>7295</v>
      </c>
      <c r="E1957" t="s">
        <v>2310</v>
      </c>
      <c r="F1957">
        <v>12</v>
      </c>
      <c r="G1957">
        <v>12.3</v>
      </c>
      <c r="H1957" t="s">
        <v>2017</v>
      </c>
      <c r="I1957" s="21">
        <v>38896</v>
      </c>
      <c r="J1957">
        <v>2006</v>
      </c>
      <c r="K1957" s="21">
        <v>38924</v>
      </c>
      <c r="L1957">
        <v>2006</v>
      </c>
      <c r="M1957" s="21">
        <v>38924</v>
      </c>
      <c r="N1957">
        <v>2006</v>
      </c>
      <c r="R1957" s="262">
        <v>18000</v>
      </c>
      <c r="S1957" t="s">
        <v>114</v>
      </c>
      <c r="T1957" t="s">
        <v>114</v>
      </c>
      <c r="U1957">
        <v>5</v>
      </c>
      <c r="W1957">
        <v>0</v>
      </c>
      <c r="X1957">
        <v>0</v>
      </c>
      <c r="Y1957">
        <v>0</v>
      </c>
      <c r="Z1957">
        <v>0</v>
      </c>
      <c r="AA1957">
        <v>0</v>
      </c>
      <c r="AB1957">
        <v>0</v>
      </c>
      <c r="AC1957">
        <v>0</v>
      </c>
      <c r="AD1957">
        <v>0</v>
      </c>
      <c r="AE1957">
        <v>0</v>
      </c>
      <c r="AF1957">
        <v>0</v>
      </c>
      <c r="AG1957">
        <v>0</v>
      </c>
      <c r="AH1957">
        <v>0</v>
      </c>
      <c r="AI1957">
        <v>0</v>
      </c>
      <c r="AJ1957">
        <v>0</v>
      </c>
      <c r="AK1957">
        <v>0</v>
      </c>
      <c r="AL1957">
        <v>0</v>
      </c>
      <c r="AM1957">
        <v>0</v>
      </c>
      <c r="AN1957">
        <v>0</v>
      </c>
      <c r="AO1957">
        <v>0</v>
      </c>
      <c r="AP1957">
        <v>0</v>
      </c>
      <c r="AQ1957">
        <v>0</v>
      </c>
      <c r="AR1957">
        <v>0</v>
      </c>
      <c r="AS1957">
        <v>0</v>
      </c>
      <c r="AT1957">
        <v>0</v>
      </c>
      <c r="AU1957">
        <f t="shared" si="60"/>
        <v>0</v>
      </c>
      <c r="AV1957">
        <f t="shared" si="61"/>
        <v>0</v>
      </c>
    </row>
    <row r="1958" spans="1:48" x14ac:dyDescent="0.25">
      <c r="A1958" t="s">
        <v>7296</v>
      </c>
      <c r="C1958" t="s">
        <v>7297</v>
      </c>
      <c r="D1958" t="s">
        <v>7298</v>
      </c>
      <c r="E1958" t="s">
        <v>2310</v>
      </c>
      <c r="F1958">
        <v>9</v>
      </c>
      <c r="G1958">
        <v>9.1</v>
      </c>
      <c r="H1958" t="s">
        <v>2323</v>
      </c>
      <c r="I1958" s="21">
        <v>38897</v>
      </c>
      <c r="J1958">
        <v>2006</v>
      </c>
      <c r="K1958" s="21">
        <v>38947</v>
      </c>
      <c r="L1958">
        <v>2006</v>
      </c>
      <c r="M1958" s="21">
        <v>39682</v>
      </c>
      <c r="N1958">
        <v>2008</v>
      </c>
      <c r="R1958" s="262">
        <v>1100000</v>
      </c>
      <c r="S1958" t="s">
        <v>114</v>
      </c>
      <c r="T1958" t="s">
        <v>114</v>
      </c>
      <c r="U1958">
        <v>5</v>
      </c>
      <c r="W1958">
        <v>5040</v>
      </c>
      <c r="X1958">
        <v>1</v>
      </c>
      <c r="Y1958">
        <v>0</v>
      </c>
      <c r="Z1958">
        <v>0</v>
      </c>
      <c r="AA1958">
        <v>0</v>
      </c>
      <c r="AB1958">
        <v>0</v>
      </c>
      <c r="AC1958">
        <v>5040</v>
      </c>
      <c r="AD1958">
        <v>0</v>
      </c>
      <c r="AE1958">
        <v>0</v>
      </c>
      <c r="AF1958">
        <v>0</v>
      </c>
      <c r="AG1958">
        <v>0</v>
      </c>
      <c r="AH1958">
        <v>0</v>
      </c>
      <c r="AI1958">
        <v>0</v>
      </c>
      <c r="AJ1958">
        <v>0</v>
      </c>
      <c r="AK1958">
        <v>0</v>
      </c>
      <c r="AL1958">
        <v>0</v>
      </c>
      <c r="AM1958">
        <v>0</v>
      </c>
      <c r="AN1958">
        <v>0</v>
      </c>
      <c r="AO1958">
        <v>1</v>
      </c>
      <c r="AP1958">
        <v>0</v>
      </c>
      <c r="AQ1958">
        <v>0</v>
      </c>
      <c r="AR1958">
        <v>0</v>
      </c>
      <c r="AS1958">
        <v>0</v>
      </c>
      <c r="AT1958">
        <v>0</v>
      </c>
      <c r="AU1958">
        <f t="shared" si="60"/>
        <v>1</v>
      </c>
      <c r="AV1958">
        <f t="shared" si="61"/>
        <v>0</v>
      </c>
    </row>
    <row r="1959" spans="1:48" x14ac:dyDescent="0.25">
      <c r="A1959" t="s">
        <v>7299</v>
      </c>
      <c r="C1959" t="s">
        <v>7300</v>
      </c>
      <c r="D1959" t="s">
        <v>7301</v>
      </c>
      <c r="E1959" t="s">
        <v>2310</v>
      </c>
      <c r="F1959">
        <v>13</v>
      </c>
      <c r="G1959">
        <v>13.1</v>
      </c>
      <c r="H1959" t="s">
        <v>2327</v>
      </c>
      <c r="I1959" s="21">
        <v>38897</v>
      </c>
      <c r="J1959">
        <v>2006</v>
      </c>
      <c r="K1959" s="21">
        <v>38952</v>
      </c>
      <c r="L1959">
        <v>2006</v>
      </c>
      <c r="M1959" s="21">
        <v>39478</v>
      </c>
      <c r="N1959">
        <v>2008</v>
      </c>
      <c r="R1959" s="262">
        <v>4000000</v>
      </c>
      <c r="S1959" t="s">
        <v>114</v>
      </c>
      <c r="T1959" t="s">
        <v>114</v>
      </c>
      <c r="U1959">
        <v>15</v>
      </c>
      <c r="W1959">
        <v>2594</v>
      </c>
      <c r="X1959">
        <v>0</v>
      </c>
      <c r="Y1959">
        <v>0</v>
      </c>
      <c r="Z1959">
        <v>0</v>
      </c>
      <c r="AA1959">
        <v>0</v>
      </c>
      <c r="AB1959">
        <v>0</v>
      </c>
      <c r="AC1959">
        <v>0</v>
      </c>
      <c r="AD1959">
        <v>0</v>
      </c>
      <c r="AE1959">
        <v>0</v>
      </c>
      <c r="AF1959">
        <v>0</v>
      </c>
      <c r="AG1959">
        <v>0</v>
      </c>
      <c r="AH1959">
        <v>0</v>
      </c>
      <c r="AI1959">
        <v>0</v>
      </c>
      <c r="AJ1959">
        <v>0</v>
      </c>
      <c r="AK1959">
        <v>0</v>
      </c>
      <c r="AL1959">
        <v>0</v>
      </c>
      <c r="AM1959">
        <v>2594</v>
      </c>
      <c r="AN1959">
        <v>0</v>
      </c>
      <c r="AO1959">
        <v>0</v>
      </c>
      <c r="AP1959">
        <v>0</v>
      </c>
      <c r="AQ1959">
        <v>0</v>
      </c>
      <c r="AR1959">
        <v>0</v>
      </c>
      <c r="AS1959">
        <v>0</v>
      </c>
      <c r="AT1959">
        <v>0</v>
      </c>
      <c r="AU1959">
        <f t="shared" si="60"/>
        <v>0</v>
      </c>
      <c r="AV1959">
        <f t="shared" si="61"/>
        <v>2594</v>
      </c>
    </row>
    <row r="1960" spans="1:48" x14ac:dyDescent="0.25">
      <c r="A1960" t="s">
        <v>7302</v>
      </c>
      <c r="C1960" t="s">
        <v>7303</v>
      </c>
      <c r="D1960" t="s">
        <v>7304</v>
      </c>
      <c r="E1960" t="s">
        <v>2310</v>
      </c>
      <c r="F1960">
        <v>9</v>
      </c>
      <c r="G1960">
        <v>9.3000000000000007</v>
      </c>
      <c r="H1960" t="s">
        <v>2323</v>
      </c>
      <c r="I1960" s="21">
        <v>38897</v>
      </c>
      <c r="J1960">
        <v>2006</v>
      </c>
      <c r="K1960" s="21">
        <v>38925</v>
      </c>
      <c r="L1960">
        <v>2006</v>
      </c>
      <c r="M1960" s="21">
        <v>39491</v>
      </c>
      <c r="N1960">
        <v>2008</v>
      </c>
      <c r="R1960" s="262">
        <v>65000</v>
      </c>
      <c r="S1960" t="s">
        <v>114</v>
      </c>
      <c r="T1960" t="s">
        <v>114</v>
      </c>
      <c r="U1960">
        <v>5</v>
      </c>
      <c r="W1960">
        <v>268</v>
      </c>
      <c r="X1960">
        <v>0</v>
      </c>
      <c r="Y1960">
        <v>0</v>
      </c>
      <c r="Z1960">
        <v>0</v>
      </c>
      <c r="AA1960">
        <v>0</v>
      </c>
      <c r="AB1960">
        <v>0</v>
      </c>
      <c r="AC1960">
        <v>268</v>
      </c>
      <c r="AD1960">
        <v>0</v>
      </c>
      <c r="AE1960">
        <v>0</v>
      </c>
      <c r="AF1960">
        <v>0</v>
      </c>
      <c r="AG1960">
        <v>0</v>
      </c>
      <c r="AH1960">
        <v>0</v>
      </c>
      <c r="AI1960">
        <v>0</v>
      </c>
      <c r="AJ1960">
        <v>0</v>
      </c>
      <c r="AK1960">
        <v>0</v>
      </c>
      <c r="AL1960">
        <v>0</v>
      </c>
      <c r="AM1960">
        <v>0</v>
      </c>
      <c r="AN1960">
        <v>0</v>
      </c>
      <c r="AO1960">
        <v>0</v>
      </c>
      <c r="AP1960">
        <v>0</v>
      </c>
      <c r="AQ1960">
        <v>0</v>
      </c>
      <c r="AR1960">
        <v>0</v>
      </c>
      <c r="AS1960">
        <v>0</v>
      </c>
      <c r="AT1960">
        <v>0</v>
      </c>
      <c r="AU1960">
        <f t="shared" si="60"/>
        <v>0</v>
      </c>
      <c r="AV1960">
        <f t="shared" si="61"/>
        <v>0</v>
      </c>
    </row>
    <row r="1961" spans="1:48" x14ac:dyDescent="0.25">
      <c r="A1961" t="s">
        <v>7305</v>
      </c>
      <c r="C1961" t="s">
        <v>7306</v>
      </c>
      <c r="D1961" t="s">
        <v>5704</v>
      </c>
      <c r="E1961" t="s">
        <v>2310</v>
      </c>
      <c r="F1961">
        <v>9</v>
      </c>
      <c r="G1961">
        <v>9.4</v>
      </c>
      <c r="H1961" t="s">
        <v>2323</v>
      </c>
      <c r="I1961" s="21">
        <v>38898</v>
      </c>
      <c r="J1961">
        <v>2006</v>
      </c>
      <c r="K1961" s="21">
        <v>38950</v>
      </c>
      <c r="L1961">
        <v>2006</v>
      </c>
      <c r="M1961" s="21">
        <v>38950</v>
      </c>
      <c r="N1961">
        <v>2006</v>
      </c>
      <c r="R1961" s="262">
        <v>0</v>
      </c>
      <c r="S1961" t="s">
        <v>114</v>
      </c>
      <c r="T1961" t="s">
        <v>114</v>
      </c>
      <c r="U1961">
        <v>5</v>
      </c>
      <c r="W1961">
        <v>0</v>
      </c>
      <c r="X1961">
        <v>0</v>
      </c>
      <c r="Y1961">
        <v>0</v>
      </c>
      <c r="Z1961">
        <v>0</v>
      </c>
      <c r="AA1961">
        <v>0</v>
      </c>
      <c r="AB1961">
        <v>0</v>
      </c>
      <c r="AC1961">
        <v>0</v>
      </c>
      <c r="AD1961">
        <v>0</v>
      </c>
      <c r="AE1961">
        <v>0</v>
      </c>
      <c r="AF1961">
        <v>0</v>
      </c>
      <c r="AG1961">
        <v>0</v>
      </c>
      <c r="AH1961">
        <v>0</v>
      </c>
      <c r="AI1961">
        <v>0</v>
      </c>
      <c r="AJ1961">
        <v>0</v>
      </c>
      <c r="AK1961">
        <v>0</v>
      </c>
      <c r="AL1961">
        <v>0</v>
      </c>
      <c r="AM1961">
        <v>0</v>
      </c>
      <c r="AN1961">
        <v>0</v>
      </c>
      <c r="AO1961">
        <v>0</v>
      </c>
      <c r="AP1961">
        <v>0</v>
      </c>
      <c r="AQ1961">
        <v>0</v>
      </c>
      <c r="AR1961">
        <v>0</v>
      </c>
      <c r="AS1961">
        <v>0</v>
      </c>
      <c r="AT1961">
        <v>0</v>
      </c>
      <c r="AU1961">
        <f t="shared" si="60"/>
        <v>0</v>
      </c>
      <c r="AV1961">
        <f t="shared" si="61"/>
        <v>0</v>
      </c>
    </row>
    <row r="1962" spans="1:48" x14ac:dyDescent="0.25">
      <c r="A1962" t="s">
        <v>7307</v>
      </c>
      <c r="C1962" t="s">
        <v>7308</v>
      </c>
      <c r="D1962" t="s">
        <v>7309</v>
      </c>
      <c r="E1962" t="s">
        <v>2310</v>
      </c>
      <c r="F1962">
        <v>10</v>
      </c>
      <c r="G1962">
        <v>10.1</v>
      </c>
      <c r="H1962" t="s">
        <v>2323</v>
      </c>
      <c r="I1962" s="21">
        <v>38898</v>
      </c>
      <c r="J1962">
        <v>2006</v>
      </c>
      <c r="K1962" s="21">
        <v>38932</v>
      </c>
      <c r="L1962">
        <v>2006</v>
      </c>
      <c r="M1962" s="21">
        <v>39062</v>
      </c>
      <c r="N1962">
        <v>2006</v>
      </c>
      <c r="R1962" s="262">
        <v>140000</v>
      </c>
      <c r="S1962" t="s">
        <v>114</v>
      </c>
      <c r="T1962" t="s">
        <v>114</v>
      </c>
      <c r="U1962">
        <v>5</v>
      </c>
      <c r="W1962">
        <v>1692</v>
      </c>
      <c r="X1962">
        <v>1</v>
      </c>
      <c r="Y1962">
        <v>0</v>
      </c>
      <c r="Z1962">
        <v>0</v>
      </c>
      <c r="AA1962">
        <v>0</v>
      </c>
      <c r="AB1962">
        <v>0</v>
      </c>
      <c r="AC1962">
        <v>1692</v>
      </c>
      <c r="AD1962">
        <v>0</v>
      </c>
      <c r="AE1962">
        <v>0</v>
      </c>
      <c r="AF1962">
        <v>0</v>
      </c>
      <c r="AG1962">
        <v>0</v>
      </c>
      <c r="AH1962">
        <v>0</v>
      </c>
      <c r="AI1962">
        <v>0</v>
      </c>
      <c r="AJ1962">
        <v>0</v>
      </c>
      <c r="AK1962">
        <v>0</v>
      </c>
      <c r="AL1962">
        <v>0</v>
      </c>
      <c r="AM1962">
        <v>0</v>
      </c>
      <c r="AN1962">
        <v>0</v>
      </c>
      <c r="AO1962">
        <v>1</v>
      </c>
      <c r="AP1962">
        <v>0</v>
      </c>
      <c r="AQ1962">
        <v>0</v>
      </c>
      <c r="AR1962">
        <v>0</v>
      </c>
      <c r="AS1962">
        <v>0</v>
      </c>
      <c r="AT1962">
        <v>0</v>
      </c>
      <c r="AU1962">
        <f t="shared" si="60"/>
        <v>1</v>
      </c>
      <c r="AV1962">
        <f t="shared" si="61"/>
        <v>0</v>
      </c>
    </row>
    <row r="1963" spans="1:48" x14ac:dyDescent="0.25">
      <c r="A1963" t="s">
        <v>7310</v>
      </c>
      <c r="C1963" t="s">
        <v>7311</v>
      </c>
      <c r="D1963" t="s">
        <v>7312</v>
      </c>
      <c r="E1963" t="s">
        <v>2310</v>
      </c>
      <c r="F1963">
        <v>8</v>
      </c>
      <c r="G1963">
        <v>8.3000000000000007</v>
      </c>
      <c r="H1963" t="s">
        <v>2323</v>
      </c>
      <c r="I1963" s="21">
        <v>38898</v>
      </c>
      <c r="J1963">
        <v>2006</v>
      </c>
      <c r="K1963" s="21">
        <v>38945</v>
      </c>
      <c r="L1963">
        <v>2006</v>
      </c>
      <c r="M1963" s="21">
        <v>39385</v>
      </c>
      <c r="N1963">
        <v>2007</v>
      </c>
      <c r="R1963" s="262">
        <v>55000</v>
      </c>
      <c r="S1963" t="s">
        <v>114</v>
      </c>
      <c r="T1963" t="s">
        <v>114</v>
      </c>
      <c r="U1963">
        <v>5</v>
      </c>
      <c r="W1963">
        <v>528</v>
      </c>
      <c r="X1963">
        <v>0</v>
      </c>
      <c r="Y1963">
        <v>0</v>
      </c>
      <c r="Z1963">
        <v>0</v>
      </c>
      <c r="AA1963">
        <v>0</v>
      </c>
      <c r="AB1963">
        <v>0</v>
      </c>
      <c r="AC1963">
        <v>528</v>
      </c>
      <c r="AD1963">
        <v>0</v>
      </c>
      <c r="AE1963">
        <v>0</v>
      </c>
      <c r="AF1963">
        <v>0</v>
      </c>
      <c r="AG1963">
        <v>0</v>
      </c>
      <c r="AH1963">
        <v>0</v>
      </c>
      <c r="AI1963">
        <v>0</v>
      </c>
      <c r="AJ1963">
        <v>0</v>
      </c>
      <c r="AK1963">
        <v>0</v>
      </c>
      <c r="AL1963">
        <v>0</v>
      </c>
      <c r="AM1963">
        <v>0</v>
      </c>
      <c r="AN1963">
        <v>0</v>
      </c>
      <c r="AO1963">
        <v>0</v>
      </c>
      <c r="AP1963">
        <v>0</v>
      </c>
      <c r="AQ1963">
        <v>0</v>
      </c>
      <c r="AR1963">
        <v>0</v>
      </c>
      <c r="AS1963">
        <v>0</v>
      </c>
      <c r="AT1963">
        <v>0</v>
      </c>
      <c r="AU1963">
        <f t="shared" si="60"/>
        <v>0</v>
      </c>
      <c r="AV1963">
        <f t="shared" si="61"/>
        <v>0</v>
      </c>
    </row>
    <row r="1964" spans="1:48" x14ac:dyDescent="0.25">
      <c r="A1964" t="s">
        <v>7313</v>
      </c>
      <c r="C1964" t="s">
        <v>7314</v>
      </c>
      <c r="D1964" t="s">
        <v>7315</v>
      </c>
      <c r="E1964" t="s">
        <v>2310</v>
      </c>
      <c r="F1964">
        <v>11</v>
      </c>
      <c r="G1964">
        <v>11.2</v>
      </c>
      <c r="H1964" t="s">
        <v>2017</v>
      </c>
      <c r="I1964" s="21">
        <v>38903</v>
      </c>
      <c r="J1964">
        <v>2006</v>
      </c>
      <c r="K1964" s="21">
        <v>38972</v>
      </c>
      <c r="L1964">
        <v>2006</v>
      </c>
      <c r="M1964" s="21">
        <v>39442</v>
      </c>
      <c r="N1964">
        <v>2007</v>
      </c>
      <c r="R1964" s="262">
        <v>900000</v>
      </c>
      <c r="S1964" t="s">
        <v>114</v>
      </c>
      <c r="T1964" t="s">
        <v>114</v>
      </c>
      <c r="U1964">
        <v>12</v>
      </c>
      <c r="W1964">
        <v>5837</v>
      </c>
      <c r="X1964">
        <v>0</v>
      </c>
      <c r="Y1964">
        <v>0</v>
      </c>
      <c r="Z1964">
        <v>0</v>
      </c>
      <c r="AA1964">
        <v>0</v>
      </c>
      <c r="AB1964">
        <v>0</v>
      </c>
      <c r="AC1964">
        <v>0</v>
      </c>
      <c r="AD1964">
        <v>0</v>
      </c>
      <c r="AE1964">
        <v>0</v>
      </c>
      <c r="AF1964">
        <v>0</v>
      </c>
      <c r="AG1964">
        <v>0</v>
      </c>
      <c r="AH1964">
        <v>0</v>
      </c>
      <c r="AI1964">
        <v>0</v>
      </c>
      <c r="AJ1964">
        <v>5837</v>
      </c>
      <c r="AK1964">
        <v>0</v>
      </c>
      <c r="AL1964">
        <v>0</v>
      </c>
      <c r="AM1964">
        <v>0</v>
      </c>
      <c r="AN1964">
        <v>0</v>
      </c>
      <c r="AO1964">
        <v>0</v>
      </c>
      <c r="AP1964">
        <v>0</v>
      </c>
      <c r="AQ1964">
        <v>0</v>
      </c>
      <c r="AR1964">
        <v>0</v>
      </c>
      <c r="AS1964">
        <v>0</v>
      </c>
      <c r="AT1964">
        <v>0</v>
      </c>
      <c r="AU1964">
        <f t="shared" si="60"/>
        <v>0</v>
      </c>
      <c r="AV1964">
        <f t="shared" si="61"/>
        <v>5837</v>
      </c>
    </row>
    <row r="1965" spans="1:48" x14ac:dyDescent="0.25">
      <c r="A1965" t="s">
        <v>7316</v>
      </c>
      <c r="C1965" t="s">
        <v>7317</v>
      </c>
      <c r="D1965" t="s">
        <v>7315</v>
      </c>
      <c r="E1965" t="s">
        <v>2310</v>
      </c>
      <c r="F1965">
        <v>11</v>
      </c>
      <c r="G1965">
        <v>11.2</v>
      </c>
      <c r="H1965" t="s">
        <v>2017</v>
      </c>
      <c r="I1965" s="21">
        <v>38903</v>
      </c>
      <c r="J1965">
        <v>2006</v>
      </c>
      <c r="K1965" s="21">
        <v>38973</v>
      </c>
      <c r="L1965">
        <v>2006</v>
      </c>
      <c r="M1965" s="21">
        <v>40211.449039351799</v>
      </c>
      <c r="N1965">
        <v>2010</v>
      </c>
      <c r="R1965" s="262">
        <v>900000</v>
      </c>
      <c r="S1965" t="s">
        <v>114</v>
      </c>
      <c r="T1965" t="s">
        <v>114</v>
      </c>
      <c r="U1965">
        <v>12</v>
      </c>
      <c r="W1965">
        <v>5662</v>
      </c>
      <c r="X1965">
        <v>0</v>
      </c>
      <c r="Y1965">
        <v>0</v>
      </c>
      <c r="Z1965">
        <v>0</v>
      </c>
      <c r="AA1965">
        <v>0</v>
      </c>
      <c r="AB1965">
        <v>0</v>
      </c>
      <c r="AC1965">
        <v>0</v>
      </c>
      <c r="AD1965">
        <v>0</v>
      </c>
      <c r="AE1965">
        <v>0</v>
      </c>
      <c r="AF1965">
        <v>0</v>
      </c>
      <c r="AG1965">
        <v>0</v>
      </c>
      <c r="AH1965">
        <v>0</v>
      </c>
      <c r="AI1965">
        <v>0</v>
      </c>
      <c r="AJ1965">
        <v>5662</v>
      </c>
      <c r="AK1965">
        <v>0</v>
      </c>
      <c r="AL1965">
        <v>0</v>
      </c>
      <c r="AM1965">
        <v>0</v>
      </c>
      <c r="AN1965">
        <v>0</v>
      </c>
      <c r="AO1965">
        <v>0</v>
      </c>
      <c r="AP1965">
        <v>0</v>
      </c>
      <c r="AQ1965">
        <v>0</v>
      </c>
      <c r="AR1965">
        <v>0</v>
      </c>
      <c r="AS1965">
        <v>0</v>
      </c>
      <c r="AT1965">
        <v>0</v>
      </c>
      <c r="AU1965">
        <f t="shared" si="60"/>
        <v>0</v>
      </c>
      <c r="AV1965">
        <f t="shared" si="61"/>
        <v>5662</v>
      </c>
    </row>
    <row r="1966" spans="1:48" x14ac:dyDescent="0.25">
      <c r="A1966" t="s">
        <v>7318</v>
      </c>
      <c r="C1966" t="s">
        <v>7319</v>
      </c>
      <c r="D1966" t="s">
        <v>7320</v>
      </c>
      <c r="E1966" t="s">
        <v>2310</v>
      </c>
      <c r="F1966">
        <v>10</v>
      </c>
      <c r="G1966">
        <v>10.1</v>
      </c>
      <c r="H1966" t="s">
        <v>2323</v>
      </c>
      <c r="I1966" s="21">
        <v>38903</v>
      </c>
      <c r="J1966">
        <v>2006</v>
      </c>
      <c r="K1966" s="21">
        <v>38951</v>
      </c>
      <c r="L1966">
        <v>2006</v>
      </c>
      <c r="M1966" s="21">
        <v>39141</v>
      </c>
      <c r="N1966">
        <v>2007</v>
      </c>
      <c r="R1966" s="262">
        <v>150000</v>
      </c>
      <c r="S1966" t="s">
        <v>114</v>
      </c>
      <c r="T1966" t="s">
        <v>114</v>
      </c>
      <c r="U1966">
        <v>5</v>
      </c>
      <c r="W1966">
        <v>1540</v>
      </c>
      <c r="X1966">
        <v>1</v>
      </c>
      <c r="Y1966">
        <v>0</v>
      </c>
      <c r="Z1966">
        <v>0</v>
      </c>
      <c r="AA1966">
        <v>0</v>
      </c>
      <c r="AB1966">
        <v>0</v>
      </c>
      <c r="AC1966">
        <v>1540</v>
      </c>
      <c r="AD1966">
        <v>0</v>
      </c>
      <c r="AE1966">
        <v>0</v>
      </c>
      <c r="AF1966">
        <v>0</v>
      </c>
      <c r="AG1966">
        <v>0</v>
      </c>
      <c r="AH1966">
        <v>0</v>
      </c>
      <c r="AI1966">
        <v>0</v>
      </c>
      <c r="AJ1966">
        <v>0</v>
      </c>
      <c r="AK1966">
        <v>0</v>
      </c>
      <c r="AL1966">
        <v>0</v>
      </c>
      <c r="AM1966">
        <v>0</v>
      </c>
      <c r="AN1966">
        <v>0</v>
      </c>
      <c r="AO1966">
        <v>1</v>
      </c>
      <c r="AP1966">
        <v>0</v>
      </c>
      <c r="AQ1966">
        <v>0</v>
      </c>
      <c r="AR1966">
        <v>0</v>
      </c>
      <c r="AS1966">
        <v>0</v>
      </c>
      <c r="AT1966">
        <v>0</v>
      </c>
      <c r="AU1966">
        <f t="shared" si="60"/>
        <v>1</v>
      </c>
      <c r="AV1966">
        <f t="shared" si="61"/>
        <v>0</v>
      </c>
    </row>
    <row r="1967" spans="1:48" x14ac:dyDescent="0.25">
      <c r="A1967" t="s">
        <v>7321</v>
      </c>
      <c r="C1967" t="s">
        <v>2389</v>
      </c>
      <c r="D1967" t="s">
        <v>7322</v>
      </c>
      <c r="E1967" t="s">
        <v>2310</v>
      </c>
      <c r="F1967">
        <v>10</v>
      </c>
      <c r="G1967">
        <v>10.1</v>
      </c>
      <c r="H1967" t="s">
        <v>2323</v>
      </c>
      <c r="I1967" s="21">
        <v>38903</v>
      </c>
      <c r="J1967">
        <v>2006</v>
      </c>
      <c r="K1967" s="21">
        <v>38932</v>
      </c>
      <c r="L1967">
        <v>2006</v>
      </c>
      <c r="M1967" s="21">
        <v>39175</v>
      </c>
      <c r="N1967">
        <v>2007</v>
      </c>
      <c r="R1967" s="262">
        <v>24000</v>
      </c>
      <c r="S1967" t="s">
        <v>114</v>
      </c>
      <c r="T1967" t="s">
        <v>114</v>
      </c>
      <c r="U1967">
        <v>5</v>
      </c>
      <c r="W1967">
        <v>1200</v>
      </c>
      <c r="X1967">
        <v>0</v>
      </c>
      <c r="Y1967">
        <v>0</v>
      </c>
      <c r="Z1967">
        <v>0</v>
      </c>
      <c r="AA1967">
        <v>0</v>
      </c>
      <c r="AB1967">
        <v>0</v>
      </c>
      <c r="AC1967">
        <v>1200</v>
      </c>
      <c r="AD1967">
        <v>0</v>
      </c>
      <c r="AE1967">
        <v>0</v>
      </c>
      <c r="AF1967">
        <v>0</v>
      </c>
      <c r="AG1967">
        <v>0</v>
      </c>
      <c r="AH1967">
        <v>0</v>
      </c>
      <c r="AI1967">
        <v>0</v>
      </c>
      <c r="AJ1967">
        <v>0</v>
      </c>
      <c r="AK1967">
        <v>0</v>
      </c>
      <c r="AL1967">
        <v>0</v>
      </c>
      <c r="AM1967">
        <v>0</v>
      </c>
      <c r="AN1967">
        <v>0</v>
      </c>
      <c r="AO1967">
        <v>0</v>
      </c>
      <c r="AP1967">
        <v>0</v>
      </c>
      <c r="AQ1967">
        <v>0</v>
      </c>
      <c r="AR1967">
        <v>0</v>
      </c>
      <c r="AS1967">
        <v>0</v>
      </c>
      <c r="AT1967">
        <v>0</v>
      </c>
      <c r="AU1967">
        <f t="shared" si="60"/>
        <v>0</v>
      </c>
      <c r="AV1967">
        <f t="shared" si="61"/>
        <v>0</v>
      </c>
    </row>
    <row r="1968" spans="1:48" x14ac:dyDescent="0.25">
      <c r="A1968" t="s">
        <v>7325</v>
      </c>
      <c r="C1968" t="s">
        <v>7326</v>
      </c>
      <c r="D1968" t="s">
        <v>7327</v>
      </c>
      <c r="E1968" t="s">
        <v>2310</v>
      </c>
      <c r="F1968">
        <v>15</v>
      </c>
      <c r="G1968">
        <v>15.3</v>
      </c>
      <c r="H1968" t="s">
        <v>2022</v>
      </c>
      <c r="I1968" s="21">
        <v>38904</v>
      </c>
      <c r="J1968">
        <v>2006</v>
      </c>
      <c r="K1968" s="21">
        <v>38924</v>
      </c>
      <c r="L1968">
        <v>2006</v>
      </c>
      <c r="M1968" s="21">
        <v>39937</v>
      </c>
      <c r="N1968">
        <v>2009</v>
      </c>
      <c r="R1968" s="262">
        <v>60000</v>
      </c>
      <c r="S1968" t="s">
        <v>114</v>
      </c>
      <c r="T1968" t="s">
        <v>114</v>
      </c>
      <c r="U1968">
        <v>5</v>
      </c>
      <c r="W1968">
        <v>600</v>
      </c>
      <c r="X1968">
        <v>0</v>
      </c>
      <c r="Y1968">
        <v>0</v>
      </c>
      <c r="Z1968">
        <v>0</v>
      </c>
      <c r="AA1968">
        <v>0</v>
      </c>
      <c r="AB1968">
        <v>0</v>
      </c>
      <c r="AC1968">
        <v>600</v>
      </c>
      <c r="AD1968">
        <v>0</v>
      </c>
      <c r="AE1968">
        <v>0</v>
      </c>
      <c r="AF1968">
        <v>0</v>
      </c>
      <c r="AG1968">
        <v>0</v>
      </c>
      <c r="AH1968">
        <v>0</v>
      </c>
      <c r="AI1968">
        <v>0</v>
      </c>
      <c r="AJ1968">
        <v>0</v>
      </c>
      <c r="AK1968">
        <v>0</v>
      </c>
      <c r="AL1968">
        <v>0</v>
      </c>
      <c r="AM1968">
        <v>0</v>
      </c>
      <c r="AN1968">
        <v>0</v>
      </c>
      <c r="AO1968">
        <v>0</v>
      </c>
      <c r="AP1968">
        <v>0</v>
      </c>
      <c r="AQ1968">
        <v>0</v>
      </c>
      <c r="AR1968">
        <v>0</v>
      </c>
      <c r="AS1968">
        <v>0</v>
      </c>
      <c r="AT1968">
        <v>0</v>
      </c>
      <c r="AU1968">
        <f t="shared" si="60"/>
        <v>0</v>
      </c>
      <c r="AV1968">
        <f t="shared" si="61"/>
        <v>0</v>
      </c>
    </row>
    <row r="1969" spans="1:48" x14ac:dyDescent="0.25">
      <c r="A1969" t="s">
        <v>7328</v>
      </c>
      <c r="C1969" t="s">
        <v>7329</v>
      </c>
      <c r="D1969" t="s">
        <v>7330</v>
      </c>
      <c r="E1969" t="s">
        <v>2310</v>
      </c>
      <c r="F1969">
        <v>14</v>
      </c>
      <c r="G1969">
        <v>14.2</v>
      </c>
      <c r="H1969" t="s">
        <v>2017</v>
      </c>
      <c r="I1969" s="21">
        <v>38904</v>
      </c>
      <c r="J1969">
        <v>2006</v>
      </c>
      <c r="K1969" s="21">
        <v>38933</v>
      </c>
      <c r="L1969">
        <v>2006</v>
      </c>
      <c r="M1969" s="21">
        <v>39395</v>
      </c>
      <c r="N1969">
        <v>2007</v>
      </c>
      <c r="R1969" s="262">
        <v>275000</v>
      </c>
      <c r="S1969" t="s">
        <v>114</v>
      </c>
      <c r="T1969" t="s">
        <v>114</v>
      </c>
      <c r="U1969">
        <v>5</v>
      </c>
      <c r="W1969">
        <v>2600</v>
      </c>
      <c r="X1969">
        <v>1</v>
      </c>
      <c r="Y1969">
        <v>0</v>
      </c>
      <c r="Z1969">
        <v>0</v>
      </c>
      <c r="AA1969">
        <v>0</v>
      </c>
      <c r="AB1969">
        <v>0</v>
      </c>
      <c r="AC1969">
        <v>2600</v>
      </c>
      <c r="AD1969">
        <v>0</v>
      </c>
      <c r="AE1969">
        <v>0</v>
      </c>
      <c r="AF1969">
        <v>0</v>
      </c>
      <c r="AG1969">
        <v>0</v>
      </c>
      <c r="AH1969">
        <v>0</v>
      </c>
      <c r="AI1969">
        <v>0</v>
      </c>
      <c r="AJ1969">
        <v>0</v>
      </c>
      <c r="AK1969">
        <v>0</v>
      </c>
      <c r="AL1969">
        <v>0</v>
      </c>
      <c r="AM1969">
        <v>0</v>
      </c>
      <c r="AN1969">
        <v>0</v>
      </c>
      <c r="AO1969">
        <v>1</v>
      </c>
      <c r="AP1969">
        <v>0</v>
      </c>
      <c r="AQ1969">
        <v>0</v>
      </c>
      <c r="AR1969">
        <v>0</v>
      </c>
      <c r="AS1969">
        <v>0</v>
      </c>
      <c r="AT1969">
        <v>0</v>
      </c>
      <c r="AU1969">
        <f t="shared" si="60"/>
        <v>1</v>
      </c>
      <c r="AV1969">
        <f t="shared" si="61"/>
        <v>0</v>
      </c>
    </row>
    <row r="1970" spans="1:48" x14ac:dyDescent="0.25">
      <c r="A1970" t="s">
        <v>7331</v>
      </c>
      <c r="C1970" t="s">
        <v>3870</v>
      </c>
      <c r="D1970" t="s">
        <v>7330</v>
      </c>
      <c r="E1970" t="s">
        <v>2310</v>
      </c>
      <c r="F1970">
        <v>14</v>
      </c>
      <c r="G1970">
        <v>14.2</v>
      </c>
      <c r="H1970" t="s">
        <v>2017</v>
      </c>
      <c r="I1970" s="21">
        <v>38904</v>
      </c>
      <c r="J1970">
        <v>2006</v>
      </c>
      <c r="K1970" s="21">
        <v>38933</v>
      </c>
      <c r="L1970">
        <v>2006</v>
      </c>
      <c r="M1970" s="21">
        <v>39395</v>
      </c>
      <c r="N1970">
        <v>2007</v>
      </c>
      <c r="R1970" s="262">
        <v>30000</v>
      </c>
      <c r="S1970" t="s">
        <v>114</v>
      </c>
      <c r="T1970" t="s">
        <v>114</v>
      </c>
      <c r="U1970">
        <v>5</v>
      </c>
      <c r="W1970">
        <v>796</v>
      </c>
      <c r="X1970">
        <v>0</v>
      </c>
      <c r="Y1970">
        <v>0</v>
      </c>
      <c r="Z1970">
        <v>0</v>
      </c>
      <c r="AA1970">
        <v>0</v>
      </c>
      <c r="AB1970">
        <v>0</v>
      </c>
      <c r="AC1970">
        <v>796</v>
      </c>
      <c r="AD1970">
        <v>0</v>
      </c>
      <c r="AE1970">
        <v>0</v>
      </c>
      <c r="AF1970">
        <v>0</v>
      </c>
      <c r="AG1970">
        <v>0</v>
      </c>
      <c r="AH1970">
        <v>0</v>
      </c>
      <c r="AI1970">
        <v>0</v>
      </c>
      <c r="AJ1970">
        <v>0</v>
      </c>
      <c r="AK1970">
        <v>0</v>
      </c>
      <c r="AL1970">
        <v>0</v>
      </c>
      <c r="AM1970">
        <v>0</v>
      </c>
      <c r="AN1970">
        <v>0</v>
      </c>
      <c r="AO1970">
        <v>0</v>
      </c>
      <c r="AP1970">
        <v>0</v>
      </c>
      <c r="AQ1970">
        <v>0</v>
      </c>
      <c r="AR1970">
        <v>0</v>
      </c>
      <c r="AS1970">
        <v>0</v>
      </c>
      <c r="AT1970">
        <v>0</v>
      </c>
      <c r="AU1970">
        <f t="shared" si="60"/>
        <v>0</v>
      </c>
      <c r="AV1970">
        <f t="shared" si="61"/>
        <v>0</v>
      </c>
    </row>
    <row r="1971" spans="1:48" x14ac:dyDescent="0.25">
      <c r="A1971" t="s">
        <v>7323</v>
      </c>
      <c r="C1971" t="s">
        <v>7324</v>
      </c>
      <c r="D1971" t="s">
        <v>5197</v>
      </c>
      <c r="E1971" t="s">
        <v>1663</v>
      </c>
      <c r="F1971">
        <v>2</v>
      </c>
      <c r="G1971">
        <v>2.6</v>
      </c>
      <c r="H1971" t="s">
        <v>2327</v>
      </c>
      <c r="I1971" s="21">
        <v>38904</v>
      </c>
      <c r="J1971">
        <v>2006</v>
      </c>
      <c r="K1971" s="21">
        <v>38935</v>
      </c>
      <c r="L1971">
        <v>2006</v>
      </c>
      <c r="M1971" s="21">
        <v>39088</v>
      </c>
      <c r="N1971">
        <v>2007</v>
      </c>
      <c r="Q1971" s="262">
        <v>0</v>
      </c>
      <c r="S1971" t="s">
        <v>114</v>
      </c>
      <c r="T1971" t="s">
        <v>114</v>
      </c>
      <c r="W1971">
        <v>4444</v>
      </c>
      <c r="X1971">
        <v>1</v>
      </c>
      <c r="Y1971">
        <v>0</v>
      </c>
      <c r="Z1971">
        <v>0</v>
      </c>
      <c r="AA1971">
        <v>0</v>
      </c>
      <c r="AB1971">
        <v>0</v>
      </c>
      <c r="AC1971">
        <v>4444</v>
      </c>
      <c r="AD1971">
        <v>0</v>
      </c>
      <c r="AE1971">
        <v>0</v>
      </c>
      <c r="AF1971">
        <v>0</v>
      </c>
      <c r="AG1971">
        <v>0</v>
      </c>
      <c r="AH1971">
        <v>0</v>
      </c>
      <c r="AI1971">
        <v>0</v>
      </c>
      <c r="AJ1971">
        <v>0</v>
      </c>
      <c r="AK1971">
        <v>0</v>
      </c>
      <c r="AL1971">
        <v>0</v>
      </c>
      <c r="AM1971">
        <v>0</v>
      </c>
      <c r="AN1971">
        <v>0</v>
      </c>
      <c r="AO1971">
        <v>1</v>
      </c>
      <c r="AP1971">
        <v>0</v>
      </c>
      <c r="AQ1971">
        <v>0</v>
      </c>
      <c r="AR1971">
        <v>0</v>
      </c>
      <c r="AS1971">
        <v>0</v>
      </c>
      <c r="AT1971">
        <v>0</v>
      </c>
      <c r="AU1971">
        <f t="shared" si="60"/>
        <v>1</v>
      </c>
      <c r="AV1971">
        <f t="shared" si="61"/>
        <v>0</v>
      </c>
    </row>
    <row r="1972" spans="1:48" x14ac:dyDescent="0.25">
      <c r="A1972" t="s">
        <v>7332</v>
      </c>
      <c r="C1972" t="s">
        <v>7333</v>
      </c>
      <c r="D1972" t="s">
        <v>7334</v>
      </c>
      <c r="E1972" t="s">
        <v>2310</v>
      </c>
      <c r="F1972">
        <v>14</v>
      </c>
      <c r="G1972">
        <v>14.1</v>
      </c>
      <c r="H1972" t="s">
        <v>2022</v>
      </c>
      <c r="I1972" s="21">
        <v>38908</v>
      </c>
      <c r="J1972">
        <v>2006</v>
      </c>
      <c r="K1972" s="21">
        <v>38952</v>
      </c>
      <c r="L1972">
        <v>2006</v>
      </c>
      <c r="M1972" s="21">
        <v>39414</v>
      </c>
      <c r="N1972">
        <v>2007</v>
      </c>
      <c r="R1972" s="262">
        <v>75000</v>
      </c>
      <c r="S1972" t="s">
        <v>114</v>
      </c>
      <c r="T1972" t="s">
        <v>114</v>
      </c>
      <c r="U1972">
        <v>5</v>
      </c>
      <c r="W1972">
        <v>2320</v>
      </c>
      <c r="X1972">
        <v>0</v>
      </c>
      <c r="Y1972">
        <v>0</v>
      </c>
      <c r="Z1972">
        <v>0</v>
      </c>
      <c r="AA1972">
        <v>0</v>
      </c>
      <c r="AB1972">
        <v>0</v>
      </c>
      <c r="AC1972">
        <v>2320</v>
      </c>
      <c r="AD1972">
        <v>0</v>
      </c>
      <c r="AE1972">
        <v>0</v>
      </c>
      <c r="AF1972">
        <v>0</v>
      </c>
      <c r="AG1972">
        <v>0</v>
      </c>
      <c r="AH1972">
        <v>0</v>
      </c>
      <c r="AI1972">
        <v>0</v>
      </c>
      <c r="AJ1972">
        <v>0</v>
      </c>
      <c r="AK1972">
        <v>0</v>
      </c>
      <c r="AL1972">
        <v>0</v>
      </c>
      <c r="AM1972">
        <v>0</v>
      </c>
      <c r="AN1972">
        <v>0</v>
      </c>
      <c r="AO1972">
        <v>0</v>
      </c>
      <c r="AP1972">
        <v>0</v>
      </c>
      <c r="AQ1972">
        <v>0</v>
      </c>
      <c r="AR1972">
        <v>0</v>
      </c>
      <c r="AS1972">
        <v>0</v>
      </c>
      <c r="AT1972">
        <v>0</v>
      </c>
      <c r="AU1972">
        <f t="shared" si="60"/>
        <v>0</v>
      </c>
      <c r="AV1972">
        <f t="shared" si="61"/>
        <v>0</v>
      </c>
    </row>
    <row r="1973" spans="1:48" x14ac:dyDescent="0.25">
      <c r="A1973" t="s">
        <v>7335</v>
      </c>
      <c r="C1973" t="s">
        <v>7336</v>
      </c>
      <c r="D1973" t="s">
        <v>1881</v>
      </c>
      <c r="E1973" t="s">
        <v>2310</v>
      </c>
      <c r="F1973">
        <v>14</v>
      </c>
      <c r="G1973">
        <v>14.3</v>
      </c>
      <c r="H1973" t="s">
        <v>2327</v>
      </c>
      <c r="I1973" s="21">
        <v>38908</v>
      </c>
      <c r="J1973">
        <v>2006</v>
      </c>
      <c r="K1973" s="21">
        <v>38946</v>
      </c>
      <c r="L1973">
        <v>2006</v>
      </c>
      <c r="M1973" s="21">
        <v>38946</v>
      </c>
      <c r="N1973">
        <v>2006</v>
      </c>
      <c r="R1973" s="262">
        <v>85000</v>
      </c>
      <c r="S1973" t="s">
        <v>114</v>
      </c>
      <c r="T1973" t="s">
        <v>114</v>
      </c>
      <c r="U1973">
        <v>10</v>
      </c>
      <c r="W1973">
        <v>0</v>
      </c>
      <c r="X1973">
        <v>0</v>
      </c>
      <c r="Y1973">
        <v>0</v>
      </c>
      <c r="Z1973">
        <v>0</v>
      </c>
      <c r="AA1973">
        <v>0</v>
      </c>
      <c r="AB1973">
        <v>0</v>
      </c>
      <c r="AC1973">
        <v>0</v>
      </c>
      <c r="AD1973">
        <v>0</v>
      </c>
      <c r="AE1973">
        <v>0</v>
      </c>
      <c r="AF1973">
        <v>0</v>
      </c>
      <c r="AG1973">
        <v>0</v>
      </c>
      <c r="AH1973">
        <v>0</v>
      </c>
      <c r="AI1973">
        <v>0</v>
      </c>
      <c r="AJ1973">
        <v>0</v>
      </c>
      <c r="AK1973">
        <v>0</v>
      </c>
      <c r="AL1973">
        <v>0</v>
      </c>
      <c r="AM1973">
        <v>0</v>
      </c>
      <c r="AN1973">
        <v>0</v>
      </c>
      <c r="AO1973">
        <v>0</v>
      </c>
      <c r="AP1973">
        <v>0</v>
      </c>
      <c r="AQ1973">
        <v>0</v>
      </c>
      <c r="AR1973">
        <v>0</v>
      </c>
      <c r="AS1973">
        <v>0</v>
      </c>
      <c r="AT1973">
        <v>0</v>
      </c>
      <c r="AU1973">
        <f t="shared" si="60"/>
        <v>0</v>
      </c>
      <c r="AV1973">
        <f t="shared" si="61"/>
        <v>0</v>
      </c>
    </row>
    <row r="1974" spans="1:48" x14ac:dyDescent="0.25">
      <c r="A1974" t="s">
        <v>7337</v>
      </c>
      <c r="C1974" t="s">
        <v>3870</v>
      </c>
      <c r="D1974" t="s">
        <v>7338</v>
      </c>
      <c r="E1974" t="s">
        <v>2310</v>
      </c>
      <c r="F1974">
        <v>8</v>
      </c>
      <c r="G1974">
        <v>8.4</v>
      </c>
      <c r="H1974" t="s">
        <v>2017</v>
      </c>
      <c r="I1974" s="21">
        <v>38908</v>
      </c>
      <c r="J1974">
        <v>2006</v>
      </c>
      <c r="K1974" s="21">
        <v>38924</v>
      </c>
      <c r="L1974">
        <v>2006</v>
      </c>
      <c r="M1974" s="21">
        <v>38924</v>
      </c>
      <c r="N1974">
        <v>2006</v>
      </c>
      <c r="R1974" s="262">
        <v>8000</v>
      </c>
      <c r="S1974" t="s">
        <v>114</v>
      </c>
      <c r="T1974" t="s">
        <v>114</v>
      </c>
      <c r="U1974">
        <v>5</v>
      </c>
      <c r="W1974">
        <v>600</v>
      </c>
      <c r="X1974">
        <v>0</v>
      </c>
      <c r="Y1974">
        <v>0</v>
      </c>
      <c r="Z1974">
        <v>0</v>
      </c>
      <c r="AA1974">
        <v>0</v>
      </c>
      <c r="AB1974">
        <v>0</v>
      </c>
      <c r="AC1974">
        <v>600</v>
      </c>
      <c r="AD1974">
        <v>0</v>
      </c>
      <c r="AE1974">
        <v>0</v>
      </c>
      <c r="AF1974">
        <v>0</v>
      </c>
      <c r="AG1974">
        <v>0</v>
      </c>
      <c r="AH1974">
        <v>0</v>
      </c>
      <c r="AI1974">
        <v>0</v>
      </c>
      <c r="AJ1974">
        <v>0</v>
      </c>
      <c r="AK1974">
        <v>0</v>
      </c>
      <c r="AL1974">
        <v>0</v>
      </c>
      <c r="AM1974">
        <v>0</v>
      </c>
      <c r="AN1974">
        <v>0</v>
      </c>
      <c r="AO1974">
        <v>0</v>
      </c>
      <c r="AP1974">
        <v>0</v>
      </c>
      <c r="AQ1974">
        <v>0</v>
      </c>
      <c r="AR1974">
        <v>0</v>
      </c>
      <c r="AS1974">
        <v>0</v>
      </c>
      <c r="AT1974">
        <v>0</v>
      </c>
      <c r="AU1974">
        <f t="shared" si="60"/>
        <v>0</v>
      </c>
      <c r="AV1974">
        <f t="shared" si="61"/>
        <v>0</v>
      </c>
    </row>
    <row r="1975" spans="1:48" x14ac:dyDescent="0.25">
      <c r="A1975" t="s">
        <v>7339</v>
      </c>
      <c r="C1975" t="s">
        <v>7340</v>
      </c>
      <c r="D1975" t="s">
        <v>7341</v>
      </c>
      <c r="E1975" t="s">
        <v>2310</v>
      </c>
      <c r="F1975">
        <v>10</v>
      </c>
      <c r="G1975">
        <v>10.1</v>
      </c>
      <c r="H1975" t="s">
        <v>2323</v>
      </c>
      <c r="I1975" s="21">
        <v>38909</v>
      </c>
      <c r="J1975">
        <v>2006</v>
      </c>
      <c r="K1975" s="21">
        <v>38933</v>
      </c>
      <c r="L1975">
        <v>2006</v>
      </c>
      <c r="M1975" s="21">
        <v>39153</v>
      </c>
      <c r="N1975">
        <v>2007</v>
      </c>
      <c r="R1975" s="262">
        <v>100000</v>
      </c>
      <c r="S1975" t="s">
        <v>114</v>
      </c>
      <c r="T1975" t="s">
        <v>114</v>
      </c>
      <c r="U1975">
        <v>5</v>
      </c>
      <c r="W1975">
        <v>1306</v>
      </c>
      <c r="X1975">
        <v>0</v>
      </c>
      <c r="Y1975">
        <v>0</v>
      </c>
      <c r="Z1975">
        <v>0</v>
      </c>
      <c r="AA1975">
        <v>0</v>
      </c>
      <c r="AB1975">
        <v>0</v>
      </c>
      <c r="AC1975">
        <v>1306</v>
      </c>
      <c r="AD1975">
        <v>0</v>
      </c>
      <c r="AE1975">
        <v>0</v>
      </c>
      <c r="AF1975">
        <v>0</v>
      </c>
      <c r="AG1975">
        <v>0</v>
      </c>
      <c r="AH1975">
        <v>0</v>
      </c>
      <c r="AI1975">
        <v>0</v>
      </c>
      <c r="AJ1975">
        <v>0</v>
      </c>
      <c r="AK1975">
        <v>0</v>
      </c>
      <c r="AL1975">
        <v>0</v>
      </c>
      <c r="AM1975">
        <v>0</v>
      </c>
      <c r="AN1975">
        <v>0</v>
      </c>
      <c r="AO1975">
        <v>0</v>
      </c>
      <c r="AP1975">
        <v>0</v>
      </c>
      <c r="AQ1975">
        <v>0</v>
      </c>
      <c r="AR1975">
        <v>0</v>
      </c>
      <c r="AS1975">
        <v>0</v>
      </c>
      <c r="AT1975">
        <v>0</v>
      </c>
      <c r="AU1975">
        <f t="shared" si="60"/>
        <v>0</v>
      </c>
      <c r="AV1975">
        <f t="shared" si="61"/>
        <v>0</v>
      </c>
    </row>
    <row r="1976" spans="1:48" x14ac:dyDescent="0.25">
      <c r="A1976" t="s">
        <v>7342</v>
      </c>
      <c r="C1976" t="s">
        <v>7343</v>
      </c>
      <c r="D1976" t="s">
        <v>7344</v>
      </c>
      <c r="E1976" t="s">
        <v>2310</v>
      </c>
      <c r="F1976">
        <v>9</v>
      </c>
      <c r="G1976">
        <v>9.1999999999999993</v>
      </c>
      <c r="H1976" t="s">
        <v>2022</v>
      </c>
      <c r="I1976" s="21">
        <v>38909</v>
      </c>
      <c r="J1976">
        <v>2006</v>
      </c>
      <c r="K1976" s="21">
        <v>38931</v>
      </c>
      <c r="L1976">
        <v>2006</v>
      </c>
      <c r="M1976" s="21">
        <v>39101</v>
      </c>
      <c r="N1976">
        <v>2007</v>
      </c>
      <c r="R1976" s="262">
        <v>50000</v>
      </c>
      <c r="S1976" t="s">
        <v>114</v>
      </c>
      <c r="T1976" t="s">
        <v>114</v>
      </c>
      <c r="U1976">
        <v>5</v>
      </c>
      <c r="W1976">
        <v>0</v>
      </c>
      <c r="X1976">
        <v>0</v>
      </c>
      <c r="Y1976">
        <v>0</v>
      </c>
      <c r="Z1976">
        <v>0</v>
      </c>
      <c r="AA1976">
        <v>0</v>
      </c>
      <c r="AB1976">
        <v>0</v>
      </c>
      <c r="AC1976">
        <v>0</v>
      </c>
      <c r="AD1976">
        <v>0</v>
      </c>
      <c r="AE1976">
        <v>0</v>
      </c>
      <c r="AF1976">
        <v>0</v>
      </c>
      <c r="AG1976">
        <v>0</v>
      </c>
      <c r="AH1976">
        <v>0</v>
      </c>
      <c r="AI1976">
        <v>0</v>
      </c>
      <c r="AJ1976">
        <v>0</v>
      </c>
      <c r="AK1976">
        <v>0</v>
      </c>
      <c r="AL1976">
        <v>0</v>
      </c>
      <c r="AM1976">
        <v>0</v>
      </c>
      <c r="AN1976">
        <v>0</v>
      </c>
      <c r="AO1976">
        <v>0</v>
      </c>
      <c r="AP1976">
        <v>0</v>
      </c>
      <c r="AQ1976">
        <v>0</v>
      </c>
      <c r="AR1976">
        <v>0</v>
      </c>
      <c r="AS1976">
        <v>0</v>
      </c>
      <c r="AT1976">
        <v>0</v>
      </c>
      <c r="AU1976">
        <f t="shared" si="60"/>
        <v>0</v>
      </c>
      <c r="AV1976">
        <f t="shared" si="61"/>
        <v>0</v>
      </c>
    </row>
    <row r="1977" spans="1:48" x14ac:dyDescent="0.25">
      <c r="A1977" t="s">
        <v>7345</v>
      </c>
      <c r="C1977" t="s">
        <v>7346</v>
      </c>
      <c r="D1977" t="s">
        <v>2633</v>
      </c>
      <c r="E1977" t="s">
        <v>2310</v>
      </c>
      <c r="F1977">
        <v>8</v>
      </c>
      <c r="G1977">
        <v>8.1</v>
      </c>
      <c r="H1977" t="s">
        <v>2323</v>
      </c>
      <c r="I1977" s="21">
        <v>38909</v>
      </c>
      <c r="J1977">
        <v>2006</v>
      </c>
      <c r="K1977" s="21">
        <v>38973</v>
      </c>
      <c r="L1977">
        <v>2006</v>
      </c>
      <c r="M1977" s="21">
        <v>39771</v>
      </c>
      <c r="N1977">
        <v>2008</v>
      </c>
      <c r="R1977" s="262">
        <v>325000</v>
      </c>
      <c r="S1977" t="s">
        <v>114</v>
      </c>
      <c r="T1977" t="s">
        <v>114</v>
      </c>
      <c r="U1977">
        <v>5</v>
      </c>
      <c r="W1977">
        <v>1556</v>
      </c>
      <c r="X1977">
        <v>0</v>
      </c>
      <c r="Y1977">
        <v>0</v>
      </c>
      <c r="Z1977">
        <v>0</v>
      </c>
      <c r="AA1977">
        <v>0</v>
      </c>
      <c r="AB1977">
        <v>0</v>
      </c>
      <c r="AC1977">
        <v>1556</v>
      </c>
      <c r="AD1977">
        <v>0</v>
      </c>
      <c r="AE1977">
        <v>0</v>
      </c>
      <c r="AF1977">
        <v>0</v>
      </c>
      <c r="AG1977">
        <v>0</v>
      </c>
      <c r="AH1977">
        <v>0</v>
      </c>
      <c r="AI1977">
        <v>0</v>
      </c>
      <c r="AJ1977">
        <v>0</v>
      </c>
      <c r="AK1977">
        <v>0</v>
      </c>
      <c r="AL1977">
        <v>0</v>
      </c>
      <c r="AM1977">
        <v>0</v>
      </c>
      <c r="AN1977">
        <v>0</v>
      </c>
      <c r="AO1977">
        <v>0</v>
      </c>
      <c r="AP1977">
        <v>0</v>
      </c>
      <c r="AQ1977">
        <v>0</v>
      </c>
      <c r="AR1977">
        <v>0</v>
      </c>
      <c r="AS1977">
        <v>0</v>
      </c>
      <c r="AT1977">
        <v>0</v>
      </c>
      <c r="AU1977">
        <f t="shared" si="60"/>
        <v>0</v>
      </c>
      <c r="AV1977">
        <f t="shared" si="61"/>
        <v>0</v>
      </c>
    </row>
    <row r="1978" spans="1:48" x14ac:dyDescent="0.25">
      <c r="A1978" t="s">
        <v>7347</v>
      </c>
      <c r="C1978" t="s">
        <v>7348</v>
      </c>
      <c r="D1978" t="s">
        <v>7349</v>
      </c>
      <c r="E1978" t="s">
        <v>2310</v>
      </c>
      <c r="F1978">
        <v>15</v>
      </c>
      <c r="G1978">
        <v>15.2</v>
      </c>
      <c r="H1978" t="s">
        <v>2323</v>
      </c>
      <c r="I1978" s="21">
        <v>38910</v>
      </c>
      <c r="J1978">
        <v>2006</v>
      </c>
      <c r="K1978" s="21">
        <v>38933</v>
      </c>
      <c r="L1978">
        <v>2006</v>
      </c>
      <c r="M1978" s="21">
        <v>39245</v>
      </c>
      <c r="N1978">
        <v>2007</v>
      </c>
      <c r="R1978" s="262">
        <v>20000</v>
      </c>
      <c r="S1978" t="s">
        <v>114</v>
      </c>
      <c r="T1978" t="s">
        <v>114</v>
      </c>
      <c r="U1978">
        <v>5</v>
      </c>
      <c r="W1978">
        <v>88</v>
      </c>
      <c r="X1978">
        <v>0</v>
      </c>
      <c r="Y1978">
        <v>0</v>
      </c>
      <c r="Z1978">
        <v>0</v>
      </c>
      <c r="AA1978">
        <v>0</v>
      </c>
      <c r="AB1978">
        <v>0</v>
      </c>
      <c r="AC1978">
        <v>88</v>
      </c>
      <c r="AD1978">
        <v>0</v>
      </c>
      <c r="AE1978">
        <v>0</v>
      </c>
      <c r="AF1978">
        <v>0</v>
      </c>
      <c r="AG1978">
        <v>0</v>
      </c>
      <c r="AH1978">
        <v>0</v>
      </c>
      <c r="AI1978">
        <v>0</v>
      </c>
      <c r="AJ1978">
        <v>0</v>
      </c>
      <c r="AK1978">
        <v>0</v>
      </c>
      <c r="AL1978">
        <v>0</v>
      </c>
      <c r="AM1978">
        <v>0</v>
      </c>
      <c r="AN1978">
        <v>0</v>
      </c>
      <c r="AO1978">
        <v>0</v>
      </c>
      <c r="AP1978">
        <v>0</v>
      </c>
      <c r="AQ1978">
        <v>0</v>
      </c>
      <c r="AR1978">
        <v>0</v>
      </c>
      <c r="AS1978">
        <v>0</v>
      </c>
      <c r="AT1978">
        <v>0</v>
      </c>
      <c r="AU1978">
        <f t="shared" si="60"/>
        <v>0</v>
      </c>
      <c r="AV1978">
        <f t="shared" si="61"/>
        <v>0</v>
      </c>
    </row>
    <row r="1979" spans="1:48" x14ac:dyDescent="0.25">
      <c r="A1979" t="s">
        <v>7350</v>
      </c>
      <c r="C1979" t="s">
        <v>7351</v>
      </c>
      <c r="D1979" t="s">
        <v>7352</v>
      </c>
      <c r="E1979" t="s">
        <v>2310</v>
      </c>
      <c r="F1979">
        <v>15</v>
      </c>
      <c r="G1979">
        <v>15.3</v>
      </c>
      <c r="H1979" t="s">
        <v>2022</v>
      </c>
      <c r="I1979" s="21">
        <v>38910</v>
      </c>
      <c r="J1979">
        <v>2006</v>
      </c>
      <c r="K1979" s="21">
        <v>38989</v>
      </c>
      <c r="L1979">
        <v>2006</v>
      </c>
      <c r="M1979" s="21">
        <v>39681</v>
      </c>
      <c r="N1979">
        <v>2008</v>
      </c>
      <c r="R1979" s="262">
        <v>230000</v>
      </c>
      <c r="S1979" t="s">
        <v>114</v>
      </c>
      <c r="T1979" t="s">
        <v>114</v>
      </c>
      <c r="U1979">
        <v>5</v>
      </c>
      <c r="W1979">
        <v>3535</v>
      </c>
      <c r="X1979">
        <v>1</v>
      </c>
      <c r="Y1979">
        <v>0</v>
      </c>
      <c r="Z1979">
        <v>0</v>
      </c>
      <c r="AA1979">
        <v>0</v>
      </c>
      <c r="AB1979">
        <v>0</v>
      </c>
      <c r="AC1979">
        <v>3535</v>
      </c>
      <c r="AD1979">
        <v>0</v>
      </c>
      <c r="AE1979">
        <v>0</v>
      </c>
      <c r="AF1979">
        <v>0</v>
      </c>
      <c r="AG1979">
        <v>0</v>
      </c>
      <c r="AH1979">
        <v>0</v>
      </c>
      <c r="AI1979">
        <v>0</v>
      </c>
      <c r="AJ1979">
        <v>0</v>
      </c>
      <c r="AK1979">
        <v>0</v>
      </c>
      <c r="AL1979">
        <v>0</v>
      </c>
      <c r="AM1979">
        <v>0</v>
      </c>
      <c r="AN1979">
        <v>0</v>
      </c>
      <c r="AO1979">
        <v>1</v>
      </c>
      <c r="AP1979">
        <v>0</v>
      </c>
      <c r="AQ1979">
        <v>0</v>
      </c>
      <c r="AR1979">
        <v>0</v>
      </c>
      <c r="AS1979">
        <v>0</v>
      </c>
      <c r="AT1979">
        <v>0</v>
      </c>
      <c r="AU1979">
        <f t="shared" si="60"/>
        <v>1</v>
      </c>
      <c r="AV1979">
        <f t="shared" si="61"/>
        <v>0</v>
      </c>
    </row>
    <row r="1980" spans="1:48" x14ac:dyDescent="0.25">
      <c r="A1980" t="s">
        <v>7353</v>
      </c>
      <c r="C1980" t="s">
        <v>7354</v>
      </c>
      <c r="D1980" t="s">
        <v>7355</v>
      </c>
      <c r="E1980" t="s">
        <v>2310</v>
      </c>
      <c r="F1980">
        <v>8</v>
      </c>
      <c r="G1980">
        <v>8.3000000000000007</v>
      </c>
      <c r="H1980" t="s">
        <v>2323</v>
      </c>
      <c r="I1980" s="21">
        <v>38911</v>
      </c>
      <c r="J1980">
        <v>2006</v>
      </c>
      <c r="K1980" s="21">
        <v>38988</v>
      </c>
      <c r="L1980">
        <v>2006</v>
      </c>
      <c r="M1980" s="21">
        <v>39315</v>
      </c>
      <c r="N1980">
        <v>2007</v>
      </c>
      <c r="R1980" s="262">
        <v>500000</v>
      </c>
      <c r="S1980" t="s">
        <v>114</v>
      </c>
      <c r="T1980" t="s">
        <v>114</v>
      </c>
      <c r="U1980">
        <v>5</v>
      </c>
      <c r="W1980">
        <v>3318</v>
      </c>
      <c r="X1980">
        <v>1</v>
      </c>
      <c r="Y1980">
        <v>0</v>
      </c>
      <c r="Z1980">
        <v>0</v>
      </c>
      <c r="AA1980">
        <v>0</v>
      </c>
      <c r="AB1980">
        <v>0</v>
      </c>
      <c r="AC1980">
        <v>3318</v>
      </c>
      <c r="AD1980">
        <v>0</v>
      </c>
      <c r="AE1980">
        <v>0</v>
      </c>
      <c r="AF1980">
        <v>0</v>
      </c>
      <c r="AG1980">
        <v>0</v>
      </c>
      <c r="AH1980">
        <v>0</v>
      </c>
      <c r="AI1980">
        <v>0</v>
      </c>
      <c r="AJ1980">
        <v>0</v>
      </c>
      <c r="AK1980">
        <v>0</v>
      </c>
      <c r="AL1980">
        <v>0</v>
      </c>
      <c r="AM1980">
        <v>0</v>
      </c>
      <c r="AN1980">
        <v>0</v>
      </c>
      <c r="AO1980">
        <v>1</v>
      </c>
      <c r="AP1980">
        <v>0</v>
      </c>
      <c r="AQ1980">
        <v>0</v>
      </c>
      <c r="AR1980">
        <v>0</v>
      </c>
      <c r="AS1980">
        <v>0</v>
      </c>
      <c r="AT1980">
        <v>0</v>
      </c>
      <c r="AU1980">
        <f t="shared" si="60"/>
        <v>1</v>
      </c>
      <c r="AV1980">
        <f t="shared" si="61"/>
        <v>0</v>
      </c>
    </row>
    <row r="1981" spans="1:48" x14ac:dyDescent="0.25">
      <c r="A1981" t="s">
        <v>7356</v>
      </c>
      <c r="C1981" t="s">
        <v>7357</v>
      </c>
      <c r="D1981" t="s">
        <v>6064</v>
      </c>
      <c r="E1981" t="s">
        <v>2310</v>
      </c>
      <c r="F1981">
        <v>9</v>
      </c>
      <c r="G1981">
        <v>9.1999999999999993</v>
      </c>
      <c r="H1981" t="s">
        <v>2022</v>
      </c>
      <c r="I1981" s="21">
        <v>38912</v>
      </c>
      <c r="J1981">
        <v>2006</v>
      </c>
      <c r="K1981" s="21">
        <v>38939</v>
      </c>
      <c r="L1981">
        <v>2006</v>
      </c>
      <c r="M1981" s="21">
        <v>38939</v>
      </c>
      <c r="N1981">
        <v>2006</v>
      </c>
      <c r="R1981" s="262">
        <v>32400</v>
      </c>
      <c r="S1981" t="s">
        <v>114</v>
      </c>
      <c r="T1981" t="s">
        <v>114</v>
      </c>
      <c r="U1981">
        <v>5</v>
      </c>
      <c r="W1981">
        <v>0</v>
      </c>
      <c r="X1981">
        <v>0</v>
      </c>
      <c r="Y1981">
        <v>0</v>
      </c>
      <c r="Z1981">
        <v>0</v>
      </c>
      <c r="AA1981">
        <v>0</v>
      </c>
      <c r="AB1981">
        <v>0</v>
      </c>
      <c r="AC1981">
        <v>0</v>
      </c>
      <c r="AD1981">
        <v>0</v>
      </c>
      <c r="AE1981">
        <v>0</v>
      </c>
      <c r="AF1981">
        <v>0</v>
      </c>
      <c r="AG1981">
        <v>0</v>
      </c>
      <c r="AH1981">
        <v>0</v>
      </c>
      <c r="AI1981">
        <v>0</v>
      </c>
      <c r="AJ1981">
        <v>0</v>
      </c>
      <c r="AK1981">
        <v>0</v>
      </c>
      <c r="AL1981">
        <v>0</v>
      </c>
      <c r="AM1981">
        <v>0</v>
      </c>
      <c r="AN1981">
        <v>0</v>
      </c>
      <c r="AO1981">
        <v>0</v>
      </c>
      <c r="AP1981">
        <v>0</v>
      </c>
      <c r="AQ1981">
        <v>0</v>
      </c>
      <c r="AR1981">
        <v>0</v>
      </c>
      <c r="AS1981">
        <v>0</v>
      </c>
      <c r="AT1981">
        <v>0</v>
      </c>
      <c r="AU1981">
        <f t="shared" si="60"/>
        <v>0</v>
      </c>
      <c r="AV1981">
        <f t="shared" si="61"/>
        <v>0</v>
      </c>
    </row>
    <row r="1982" spans="1:48" x14ac:dyDescent="0.25">
      <c r="A1982" t="s">
        <v>7358</v>
      </c>
      <c r="C1982" t="s">
        <v>7359</v>
      </c>
      <c r="D1982" t="s">
        <v>2617</v>
      </c>
      <c r="E1982" t="s">
        <v>2310</v>
      </c>
      <c r="F1982">
        <v>5</v>
      </c>
      <c r="G1982">
        <v>5.5</v>
      </c>
      <c r="H1982" t="s">
        <v>2017</v>
      </c>
      <c r="I1982" s="21">
        <v>38912</v>
      </c>
      <c r="J1982">
        <v>2006</v>
      </c>
      <c r="K1982" s="21">
        <v>38936</v>
      </c>
      <c r="L1982">
        <v>2006</v>
      </c>
      <c r="M1982" s="21">
        <v>39286</v>
      </c>
      <c r="N1982">
        <v>2007</v>
      </c>
      <c r="R1982" s="262">
        <v>50000</v>
      </c>
      <c r="S1982" t="s">
        <v>114</v>
      </c>
      <c r="T1982" t="s">
        <v>114</v>
      </c>
      <c r="U1982">
        <v>5</v>
      </c>
      <c r="W1982">
        <v>274</v>
      </c>
      <c r="X1982">
        <v>0</v>
      </c>
      <c r="Y1982">
        <v>0</v>
      </c>
      <c r="Z1982">
        <v>0</v>
      </c>
      <c r="AA1982">
        <v>0</v>
      </c>
      <c r="AB1982">
        <v>0</v>
      </c>
      <c r="AC1982">
        <v>274</v>
      </c>
      <c r="AD1982">
        <v>0</v>
      </c>
      <c r="AE1982">
        <v>0</v>
      </c>
      <c r="AF1982">
        <v>0</v>
      </c>
      <c r="AG1982">
        <v>0</v>
      </c>
      <c r="AH1982">
        <v>0</v>
      </c>
      <c r="AI1982">
        <v>0</v>
      </c>
      <c r="AJ1982">
        <v>0</v>
      </c>
      <c r="AK1982">
        <v>0</v>
      </c>
      <c r="AL1982">
        <v>0</v>
      </c>
      <c r="AM1982">
        <v>0</v>
      </c>
      <c r="AN1982">
        <v>0</v>
      </c>
      <c r="AO1982">
        <v>0</v>
      </c>
      <c r="AP1982">
        <v>0</v>
      </c>
      <c r="AQ1982">
        <v>0</v>
      </c>
      <c r="AR1982">
        <v>0</v>
      </c>
      <c r="AS1982">
        <v>0</v>
      </c>
      <c r="AT1982">
        <v>0</v>
      </c>
      <c r="AU1982">
        <f t="shared" si="60"/>
        <v>0</v>
      </c>
      <c r="AV1982">
        <f t="shared" si="61"/>
        <v>0</v>
      </c>
    </row>
    <row r="1983" spans="1:48" x14ac:dyDescent="0.25">
      <c r="A1983" t="s">
        <v>7360</v>
      </c>
      <c r="C1983" t="s">
        <v>7361</v>
      </c>
      <c r="D1983" t="s">
        <v>7362</v>
      </c>
      <c r="E1983" t="s">
        <v>2310</v>
      </c>
      <c r="F1983">
        <v>9</v>
      </c>
      <c r="G1983">
        <v>9.1</v>
      </c>
      <c r="H1983" t="s">
        <v>2323</v>
      </c>
      <c r="I1983" s="21">
        <v>38912</v>
      </c>
      <c r="J1983">
        <v>2006</v>
      </c>
      <c r="K1983" s="21">
        <v>38945</v>
      </c>
      <c r="L1983">
        <v>2006</v>
      </c>
      <c r="M1983" s="21">
        <v>39101</v>
      </c>
      <c r="N1983">
        <v>2007</v>
      </c>
      <c r="R1983" s="262">
        <v>26000</v>
      </c>
      <c r="S1983" t="s">
        <v>114</v>
      </c>
      <c r="T1983" t="s">
        <v>114</v>
      </c>
      <c r="U1983">
        <v>5</v>
      </c>
      <c r="W1983">
        <v>740</v>
      </c>
      <c r="X1983">
        <v>0</v>
      </c>
      <c r="Y1983">
        <v>0</v>
      </c>
      <c r="Z1983">
        <v>0</v>
      </c>
      <c r="AA1983">
        <v>0</v>
      </c>
      <c r="AB1983">
        <v>0</v>
      </c>
      <c r="AC1983">
        <v>740</v>
      </c>
      <c r="AD1983">
        <v>0</v>
      </c>
      <c r="AE1983">
        <v>0</v>
      </c>
      <c r="AF1983">
        <v>0</v>
      </c>
      <c r="AG1983">
        <v>0</v>
      </c>
      <c r="AH1983">
        <v>0</v>
      </c>
      <c r="AI1983">
        <v>0</v>
      </c>
      <c r="AJ1983">
        <v>0</v>
      </c>
      <c r="AK1983">
        <v>0</v>
      </c>
      <c r="AL1983">
        <v>0</v>
      </c>
      <c r="AM1983">
        <v>0</v>
      </c>
      <c r="AN1983">
        <v>0</v>
      </c>
      <c r="AO1983">
        <v>0</v>
      </c>
      <c r="AP1983">
        <v>0</v>
      </c>
      <c r="AQ1983">
        <v>0</v>
      </c>
      <c r="AR1983">
        <v>0</v>
      </c>
      <c r="AS1983">
        <v>0</v>
      </c>
      <c r="AT1983">
        <v>0</v>
      </c>
      <c r="AU1983">
        <f t="shared" si="60"/>
        <v>0</v>
      </c>
      <c r="AV1983">
        <f t="shared" si="61"/>
        <v>0</v>
      </c>
    </row>
    <row r="1984" spans="1:48" x14ac:dyDescent="0.25">
      <c r="A1984" t="s">
        <v>7363</v>
      </c>
      <c r="C1984" t="s">
        <v>7364</v>
      </c>
      <c r="D1984" t="s">
        <v>7365</v>
      </c>
      <c r="E1984" t="s">
        <v>1663</v>
      </c>
      <c r="F1984">
        <v>2</v>
      </c>
      <c r="G1984">
        <v>2.6</v>
      </c>
      <c r="H1984" t="s">
        <v>2327</v>
      </c>
      <c r="I1984" s="21">
        <v>38915</v>
      </c>
      <c r="J1984">
        <v>2006</v>
      </c>
      <c r="K1984" s="21">
        <v>38946</v>
      </c>
      <c r="L1984">
        <v>2006</v>
      </c>
      <c r="M1984" s="21">
        <v>39099</v>
      </c>
      <c r="N1984">
        <v>2007</v>
      </c>
      <c r="Q1984" s="262">
        <v>0</v>
      </c>
      <c r="S1984" t="s">
        <v>114</v>
      </c>
      <c r="T1984" t="s">
        <v>114</v>
      </c>
      <c r="W1984">
        <v>9273</v>
      </c>
      <c r="X1984">
        <v>0</v>
      </c>
      <c r="Y1984">
        <v>0</v>
      </c>
      <c r="Z1984">
        <v>0</v>
      </c>
      <c r="AA1984">
        <v>0</v>
      </c>
      <c r="AB1984">
        <v>0</v>
      </c>
      <c r="AC1984">
        <v>0</v>
      </c>
      <c r="AD1984">
        <v>0</v>
      </c>
      <c r="AE1984">
        <v>0</v>
      </c>
      <c r="AF1984">
        <v>0</v>
      </c>
      <c r="AG1984">
        <v>0</v>
      </c>
      <c r="AH1984">
        <v>0</v>
      </c>
      <c r="AI1984">
        <v>0</v>
      </c>
      <c r="AJ1984">
        <v>9273</v>
      </c>
      <c r="AK1984">
        <v>0</v>
      </c>
      <c r="AL1984">
        <v>0</v>
      </c>
      <c r="AM1984">
        <v>0</v>
      </c>
      <c r="AN1984">
        <v>0</v>
      </c>
      <c r="AO1984">
        <v>0</v>
      </c>
      <c r="AP1984">
        <v>0</v>
      </c>
      <c r="AQ1984">
        <v>0</v>
      </c>
      <c r="AR1984">
        <v>0</v>
      </c>
      <c r="AS1984">
        <v>0</v>
      </c>
      <c r="AT1984">
        <v>0</v>
      </c>
      <c r="AU1984">
        <f t="shared" si="60"/>
        <v>0</v>
      </c>
      <c r="AV1984">
        <f t="shared" si="61"/>
        <v>9273</v>
      </c>
    </row>
    <row r="1985" spans="1:48" x14ac:dyDescent="0.25">
      <c r="A1985" t="s">
        <v>7366</v>
      </c>
      <c r="C1985" t="s">
        <v>7367</v>
      </c>
      <c r="D1985" t="s">
        <v>7008</v>
      </c>
      <c r="E1985" t="s">
        <v>2310</v>
      </c>
      <c r="F1985">
        <v>8</v>
      </c>
      <c r="G1985">
        <v>8.1</v>
      </c>
      <c r="H1985" t="s">
        <v>2323</v>
      </c>
      <c r="I1985" s="21">
        <v>38917</v>
      </c>
      <c r="J1985">
        <v>2006</v>
      </c>
      <c r="K1985" s="21">
        <v>38947</v>
      </c>
      <c r="L1985">
        <v>2006</v>
      </c>
      <c r="M1985" s="21">
        <v>40857.392210648097</v>
      </c>
      <c r="N1985">
        <v>2011</v>
      </c>
      <c r="R1985" s="262">
        <v>10000</v>
      </c>
      <c r="S1985" t="s">
        <v>114</v>
      </c>
      <c r="T1985" t="s">
        <v>114</v>
      </c>
      <c r="U1985">
        <v>5</v>
      </c>
      <c r="W1985">
        <v>177</v>
      </c>
      <c r="X1985">
        <v>0</v>
      </c>
      <c r="Y1985">
        <v>0</v>
      </c>
      <c r="Z1985">
        <v>0</v>
      </c>
      <c r="AA1985">
        <v>0</v>
      </c>
      <c r="AB1985">
        <v>0</v>
      </c>
      <c r="AC1985">
        <v>177</v>
      </c>
      <c r="AD1985">
        <v>0</v>
      </c>
      <c r="AE1985">
        <v>0</v>
      </c>
      <c r="AF1985">
        <v>0</v>
      </c>
      <c r="AG1985">
        <v>0</v>
      </c>
      <c r="AH1985">
        <v>0</v>
      </c>
      <c r="AI1985">
        <v>0</v>
      </c>
      <c r="AJ1985">
        <v>0</v>
      </c>
      <c r="AK1985">
        <v>0</v>
      </c>
      <c r="AL1985">
        <v>0</v>
      </c>
      <c r="AM1985">
        <v>0</v>
      </c>
      <c r="AN1985">
        <v>0</v>
      </c>
      <c r="AO1985">
        <v>0</v>
      </c>
      <c r="AP1985">
        <v>0</v>
      </c>
      <c r="AQ1985">
        <v>0</v>
      </c>
      <c r="AR1985">
        <v>0</v>
      </c>
      <c r="AS1985">
        <v>0</v>
      </c>
      <c r="AT1985">
        <v>0</v>
      </c>
      <c r="AU1985">
        <f t="shared" si="60"/>
        <v>0</v>
      </c>
      <c r="AV1985">
        <f t="shared" si="61"/>
        <v>0</v>
      </c>
    </row>
    <row r="1986" spans="1:48" x14ac:dyDescent="0.25">
      <c r="A1986" t="s">
        <v>7368</v>
      </c>
      <c r="C1986" t="s">
        <v>7369</v>
      </c>
      <c r="D1986" t="s">
        <v>7081</v>
      </c>
      <c r="E1986" t="s">
        <v>2310</v>
      </c>
      <c r="F1986">
        <v>12</v>
      </c>
      <c r="G1986">
        <v>12.3</v>
      </c>
      <c r="H1986" t="s">
        <v>2017</v>
      </c>
      <c r="I1986" s="21">
        <v>38917</v>
      </c>
      <c r="J1986">
        <v>2006</v>
      </c>
      <c r="K1986" s="21">
        <v>38950</v>
      </c>
      <c r="L1986">
        <v>2006</v>
      </c>
      <c r="M1986" s="21">
        <v>38950</v>
      </c>
      <c r="N1986">
        <v>2006</v>
      </c>
      <c r="R1986" s="262">
        <v>1500000</v>
      </c>
      <c r="S1986" t="s">
        <v>114</v>
      </c>
      <c r="T1986" t="s">
        <v>114</v>
      </c>
      <c r="U1986">
        <v>5</v>
      </c>
      <c r="W1986">
        <v>7439</v>
      </c>
      <c r="X1986">
        <v>0</v>
      </c>
      <c r="Y1986">
        <v>0</v>
      </c>
      <c r="Z1986">
        <v>0</v>
      </c>
      <c r="AA1986">
        <v>0</v>
      </c>
      <c r="AB1986">
        <v>0</v>
      </c>
      <c r="AC1986">
        <v>7439</v>
      </c>
      <c r="AD1986">
        <v>0</v>
      </c>
      <c r="AE1986">
        <v>0</v>
      </c>
      <c r="AF1986">
        <v>0</v>
      </c>
      <c r="AG1986">
        <v>0</v>
      </c>
      <c r="AH1986">
        <v>0</v>
      </c>
      <c r="AI1986">
        <v>0</v>
      </c>
      <c r="AJ1986">
        <v>0</v>
      </c>
      <c r="AK1986">
        <v>0</v>
      </c>
      <c r="AL1986">
        <v>0</v>
      </c>
      <c r="AM1986">
        <v>0</v>
      </c>
      <c r="AN1986">
        <v>0</v>
      </c>
      <c r="AO1986">
        <v>0</v>
      </c>
      <c r="AP1986">
        <v>0</v>
      </c>
      <c r="AQ1986">
        <v>0</v>
      </c>
      <c r="AR1986">
        <v>0</v>
      </c>
      <c r="AS1986">
        <v>0</v>
      </c>
      <c r="AT1986">
        <v>0</v>
      </c>
      <c r="AU1986">
        <f t="shared" si="60"/>
        <v>0</v>
      </c>
      <c r="AV1986">
        <f t="shared" si="61"/>
        <v>0</v>
      </c>
    </row>
    <row r="1987" spans="1:48" x14ac:dyDescent="0.25">
      <c r="A1987" t="s">
        <v>7370</v>
      </c>
      <c r="C1987" t="s">
        <v>7371</v>
      </c>
      <c r="D1987" t="s">
        <v>7372</v>
      </c>
      <c r="E1987" t="s">
        <v>2310</v>
      </c>
      <c r="F1987">
        <v>10</v>
      </c>
      <c r="G1987">
        <v>10.1</v>
      </c>
      <c r="H1987" t="s">
        <v>2323</v>
      </c>
      <c r="I1987" s="21">
        <v>38917</v>
      </c>
      <c r="J1987">
        <v>2006</v>
      </c>
      <c r="K1987" s="21">
        <v>38980</v>
      </c>
      <c r="L1987">
        <v>2006</v>
      </c>
      <c r="M1987" s="21">
        <v>39245</v>
      </c>
      <c r="N1987">
        <v>2007</v>
      </c>
      <c r="R1987" s="262">
        <v>257000</v>
      </c>
      <c r="S1987" t="s">
        <v>114</v>
      </c>
      <c r="T1987" t="s">
        <v>114</v>
      </c>
      <c r="U1987">
        <v>5</v>
      </c>
      <c r="W1987">
        <v>3347</v>
      </c>
      <c r="X1987">
        <v>1</v>
      </c>
      <c r="Y1987">
        <v>0</v>
      </c>
      <c r="Z1987">
        <v>0</v>
      </c>
      <c r="AA1987">
        <v>0</v>
      </c>
      <c r="AB1987">
        <v>0</v>
      </c>
      <c r="AC1987">
        <v>3347</v>
      </c>
      <c r="AD1987">
        <v>0</v>
      </c>
      <c r="AE1987">
        <v>0</v>
      </c>
      <c r="AF1987">
        <v>0</v>
      </c>
      <c r="AG1987">
        <v>0</v>
      </c>
      <c r="AH1987">
        <v>0</v>
      </c>
      <c r="AI1987">
        <v>0</v>
      </c>
      <c r="AJ1987">
        <v>0</v>
      </c>
      <c r="AK1987">
        <v>0</v>
      </c>
      <c r="AL1987">
        <v>0</v>
      </c>
      <c r="AM1987">
        <v>0</v>
      </c>
      <c r="AN1987">
        <v>0</v>
      </c>
      <c r="AO1987">
        <v>1</v>
      </c>
      <c r="AP1987">
        <v>0</v>
      </c>
      <c r="AQ1987">
        <v>0</v>
      </c>
      <c r="AR1987">
        <v>0</v>
      </c>
      <c r="AS1987">
        <v>0</v>
      </c>
      <c r="AT1987">
        <v>0</v>
      </c>
      <c r="AU1987">
        <f t="shared" si="60"/>
        <v>1</v>
      </c>
      <c r="AV1987">
        <f t="shared" si="61"/>
        <v>0</v>
      </c>
    </row>
    <row r="1988" spans="1:48" x14ac:dyDescent="0.25">
      <c r="A1988" t="s">
        <v>7373</v>
      </c>
      <c r="C1988" t="s">
        <v>7374</v>
      </c>
      <c r="D1988" t="s">
        <v>7375</v>
      </c>
      <c r="E1988" t="s">
        <v>2310</v>
      </c>
      <c r="F1988">
        <v>12</v>
      </c>
      <c r="G1988">
        <v>12.2</v>
      </c>
      <c r="H1988" t="s">
        <v>2017</v>
      </c>
      <c r="I1988" s="21">
        <v>38918</v>
      </c>
      <c r="J1988">
        <v>2006</v>
      </c>
      <c r="K1988" s="21">
        <v>38971</v>
      </c>
      <c r="L1988">
        <v>2006</v>
      </c>
      <c r="M1988" s="21">
        <v>40332.558692129598</v>
      </c>
      <c r="N1988">
        <v>2010</v>
      </c>
      <c r="R1988" s="262">
        <v>500000</v>
      </c>
      <c r="S1988" t="s">
        <v>114</v>
      </c>
      <c r="T1988" t="s">
        <v>114</v>
      </c>
      <c r="U1988">
        <v>5</v>
      </c>
      <c r="W1988">
        <v>4026</v>
      </c>
      <c r="X1988">
        <v>1</v>
      </c>
      <c r="Y1988">
        <v>0</v>
      </c>
      <c r="Z1988">
        <v>0</v>
      </c>
      <c r="AA1988">
        <v>0</v>
      </c>
      <c r="AB1988">
        <v>0</v>
      </c>
      <c r="AC1988">
        <v>4026</v>
      </c>
      <c r="AD1988">
        <v>0</v>
      </c>
      <c r="AE1988">
        <v>0</v>
      </c>
      <c r="AF1988">
        <v>0</v>
      </c>
      <c r="AG1988">
        <v>0</v>
      </c>
      <c r="AH1988">
        <v>0</v>
      </c>
      <c r="AI1988">
        <v>0</v>
      </c>
      <c r="AJ1988">
        <v>0</v>
      </c>
      <c r="AK1988">
        <v>0</v>
      </c>
      <c r="AL1988">
        <v>0</v>
      </c>
      <c r="AM1988">
        <v>0</v>
      </c>
      <c r="AN1988">
        <v>0</v>
      </c>
      <c r="AO1988">
        <v>1</v>
      </c>
      <c r="AP1988">
        <v>0</v>
      </c>
      <c r="AQ1988">
        <v>0</v>
      </c>
      <c r="AR1988">
        <v>0</v>
      </c>
      <c r="AS1988">
        <v>0</v>
      </c>
      <c r="AT1988">
        <v>0</v>
      </c>
      <c r="AU1988">
        <f t="shared" si="60"/>
        <v>1</v>
      </c>
      <c r="AV1988">
        <f t="shared" si="61"/>
        <v>0</v>
      </c>
    </row>
    <row r="1989" spans="1:48" x14ac:dyDescent="0.25">
      <c r="A1989" t="s">
        <v>7376</v>
      </c>
      <c r="C1989" t="s">
        <v>7377</v>
      </c>
      <c r="D1989" t="s">
        <v>6005</v>
      </c>
      <c r="E1989" t="s">
        <v>2310</v>
      </c>
      <c r="F1989">
        <v>9</v>
      </c>
      <c r="G1989">
        <v>9.3000000000000007</v>
      </c>
      <c r="H1989" t="s">
        <v>2323</v>
      </c>
      <c r="I1989" s="21">
        <v>38918</v>
      </c>
      <c r="J1989">
        <v>2006</v>
      </c>
      <c r="K1989" s="21">
        <v>38952</v>
      </c>
      <c r="L1989">
        <v>2006</v>
      </c>
      <c r="M1989" s="21">
        <v>39287</v>
      </c>
      <c r="N1989">
        <v>2007</v>
      </c>
      <c r="R1989" s="262">
        <v>140000</v>
      </c>
      <c r="S1989" t="s">
        <v>114</v>
      </c>
      <c r="T1989" t="s">
        <v>114</v>
      </c>
      <c r="U1989">
        <v>4</v>
      </c>
      <c r="W1989">
        <v>357</v>
      </c>
      <c r="X1989">
        <v>0</v>
      </c>
      <c r="Y1989">
        <v>0</v>
      </c>
      <c r="Z1989">
        <v>0</v>
      </c>
      <c r="AA1989">
        <v>0</v>
      </c>
      <c r="AB1989">
        <v>357</v>
      </c>
      <c r="AC1989">
        <v>0</v>
      </c>
      <c r="AD1989">
        <v>0</v>
      </c>
      <c r="AE1989">
        <v>0</v>
      </c>
      <c r="AF1989">
        <v>0</v>
      </c>
      <c r="AG1989">
        <v>0</v>
      </c>
      <c r="AH1989">
        <v>0</v>
      </c>
      <c r="AI1989">
        <v>0</v>
      </c>
      <c r="AJ1989">
        <v>0</v>
      </c>
      <c r="AK1989">
        <v>0</v>
      </c>
      <c r="AL1989">
        <v>0</v>
      </c>
      <c r="AM1989">
        <v>0</v>
      </c>
      <c r="AN1989">
        <v>0</v>
      </c>
      <c r="AO1989">
        <v>0</v>
      </c>
      <c r="AP1989">
        <v>0</v>
      </c>
      <c r="AQ1989">
        <v>0</v>
      </c>
      <c r="AR1989">
        <v>0</v>
      </c>
      <c r="AS1989">
        <v>0</v>
      </c>
      <c r="AT1989">
        <v>0</v>
      </c>
      <c r="AU1989">
        <f t="shared" si="60"/>
        <v>0</v>
      </c>
      <c r="AV1989">
        <f t="shared" si="61"/>
        <v>357</v>
      </c>
    </row>
    <row r="1990" spans="1:48" x14ac:dyDescent="0.25">
      <c r="A1990" t="s">
        <v>7378</v>
      </c>
      <c r="C1990" t="s">
        <v>7379</v>
      </c>
      <c r="D1990" t="s">
        <v>7380</v>
      </c>
      <c r="E1990" t="s">
        <v>2310</v>
      </c>
      <c r="F1990">
        <v>8</v>
      </c>
      <c r="G1990">
        <v>8.1999999999999993</v>
      </c>
      <c r="H1990" t="s">
        <v>2022</v>
      </c>
      <c r="I1990" s="21">
        <v>38918</v>
      </c>
      <c r="J1990">
        <v>2006</v>
      </c>
      <c r="K1990" s="21">
        <v>38985</v>
      </c>
      <c r="L1990">
        <v>2006</v>
      </c>
      <c r="M1990" s="21">
        <v>39507</v>
      </c>
      <c r="N1990">
        <v>2008</v>
      </c>
      <c r="R1990" s="262">
        <v>1800000</v>
      </c>
      <c r="S1990" t="s">
        <v>114</v>
      </c>
      <c r="T1990" t="s">
        <v>114</v>
      </c>
      <c r="U1990">
        <v>5</v>
      </c>
      <c r="W1990">
        <v>6132</v>
      </c>
      <c r="X1990">
        <v>1</v>
      </c>
      <c r="Y1990">
        <v>0</v>
      </c>
      <c r="Z1990">
        <v>0</v>
      </c>
      <c r="AA1990">
        <v>0</v>
      </c>
      <c r="AB1990">
        <v>0</v>
      </c>
      <c r="AC1990">
        <v>6132</v>
      </c>
      <c r="AD1990">
        <v>0</v>
      </c>
      <c r="AE1990">
        <v>0</v>
      </c>
      <c r="AF1990">
        <v>0</v>
      </c>
      <c r="AG1990">
        <v>0</v>
      </c>
      <c r="AH1990">
        <v>0</v>
      </c>
      <c r="AI1990">
        <v>0</v>
      </c>
      <c r="AJ1990">
        <v>0</v>
      </c>
      <c r="AK1990">
        <v>0</v>
      </c>
      <c r="AL1990">
        <v>0</v>
      </c>
      <c r="AM1990">
        <v>0</v>
      </c>
      <c r="AN1990">
        <v>0</v>
      </c>
      <c r="AO1990">
        <v>1</v>
      </c>
      <c r="AP1990">
        <v>0</v>
      </c>
      <c r="AQ1990">
        <v>0</v>
      </c>
      <c r="AR1990">
        <v>0</v>
      </c>
      <c r="AS1990">
        <v>0</v>
      </c>
      <c r="AT1990">
        <v>0</v>
      </c>
      <c r="AU1990">
        <f t="shared" si="60"/>
        <v>1</v>
      </c>
      <c r="AV1990">
        <f t="shared" si="61"/>
        <v>0</v>
      </c>
    </row>
    <row r="1991" spans="1:48" x14ac:dyDescent="0.25">
      <c r="A1991" t="s">
        <v>7381</v>
      </c>
      <c r="C1991" t="s">
        <v>7382</v>
      </c>
      <c r="D1991" t="s">
        <v>7383</v>
      </c>
      <c r="E1991" t="s">
        <v>2310</v>
      </c>
      <c r="F1991">
        <v>9</v>
      </c>
      <c r="G1991">
        <v>9.1999999999999993</v>
      </c>
      <c r="H1991" t="s">
        <v>2022</v>
      </c>
      <c r="I1991" s="21">
        <v>38922</v>
      </c>
      <c r="J1991">
        <v>2006</v>
      </c>
      <c r="K1991" s="21">
        <v>38953</v>
      </c>
      <c r="L1991">
        <v>2006</v>
      </c>
      <c r="M1991" s="21">
        <v>40311.4352546296</v>
      </c>
      <c r="N1991">
        <v>2010</v>
      </c>
      <c r="R1991" s="262">
        <v>126000</v>
      </c>
      <c r="S1991" t="s">
        <v>114</v>
      </c>
      <c r="T1991" t="s">
        <v>114</v>
      </c>
      <c r="U1991">
        <v>5</v>
      </c>
      <c r="W1991">
        <v>504</v>
      </c>
      <c r="X1991">
        <v>0</v>
      </c>
      <c r="Y1991">
        <v>0</v>
      </c>
      <c r="Z1991">
        <v>0</v>
      </c>
      <c r="AA1991">
        <v>0</v>
      </c>
      <c r="AB1991">
        <v>0</v>
      </c>
      <c r="AC1991">
        <v>504</v>
      </c>
      <c r="AD1991">
        <v>0</v>
      </c>
      <c r="AE1991">
        <v>0</v>
      </c>
      <c r="AF1991">
        <v>0</v>
      </c>
      <c r="AG1991">
        <v>0</v>
      </c>
      <c r="AH1991">
        <v>0</v>
      </c>
      <c r="AI1991">
        <v>0</v>
      </c>
      <c r="AJ1991">
        <v>0</v>
      </c>
      <c r="AK1991">
        <v>0</v>
      </c>
      <c r="AL1991">
        <v>0</v>
      </c>
      <c r="AM1991">
        <v>0</v>
      </c>
      <c r="AN1991">
        <v>0</v>
      </c>
      <c r="AO1991">
        <v>0</v>
      </c>
      <c r="AP1991">
        <v>0</v>
      </c>
      <c r="AQ1991">
        <v>0</v>
      </c>
      <c r="AR1991">
        <v>0</v>
      </c>
      <c r="AS1991">
        <v>0</v>
      </c>
      <c r="AT1991">
        <v>0</v>
      </c>
      <c r="AU1991">
        <f t="shared" si="60"/>
        <v>0</v>
      </c>
      <c r="AV1991">
        <f t="shared" si="61"/>
        <v>0</v>
      </c>
    </row>
    <row r="1992" spans="1:48" x14ac:dyDescent="0.25">
      <c r="A1992" t="s">
        <v>7384</v>
      </c>
      <c r="C1992" t="s">
        <v>7354</v>
      </c>
      <c r="D1992" t="s">
        <v>7385</v>
      </c>
      <c r="E1992" t="s">
        <v>2310</v>
      </c>
      <c r="F1992">
        <v>10</v>
      </c>
      <c r="G1992">
        <v>10.1</v>
      </c>
      <c r="H1992" t="s">
        <v>2323</v>
      </c>
      <c r="I1992" s="21">
        <v>38922</v>
      </c>
      <c r="J1992">
        <v>2006</v>
      </c>
      <c r="K1992" s="21">
        <v>38972</v>
      </c>
      <c r="L1992">
        <v>2006</v>
      </c>
      <c r="M1992" s="21">
        <v>39226</v>
      </c>
      <c r="N1992">
        <v>2007</v>
      </c>
      <c r="R1992" s="262">
        <v>150000</v>
      </c>
      <c r="S1992" t="s">
        <v>114</v>
      </c>
      <c r="T1992" t="s">
        <v>114</v>
      </c>
      <c r="U1992">
        <v>5</v>
      </c>
      <c r="W1992">
        <v>1772</v>
      </c>
      <c r="X1992">
        <v>1</v>
      </c>
      <c r="Y1992">
        <v>0</v>
      </c>
      <c r="Z1992">
        <v>0</v>
      </c>
      <c r="AA1992">
        <v>0</v>
      </c>
      <c r="AB1992">
        <v>0</v>
      </c>
      <c r="AC1992">
        <v>1772</v>
      </c>
      <c r="AD1992">
        <v>0</v>
      </c>
      <c r="AE1992">
        <v>0</v>
      </c>
      <c r="AF1992">
        <v>0</v>
      </c>
      <c r="AG1992">
        <v>0</v>
      </c>
      <c r="AH1992">
        <v>0</v>
      </c>
      <c r="AI1992">
        <v>0</v>
      </c>
      <c r="AJ1992">
        <v>0</v>
      </c>
      <c r="AK1992">
        <v>0</v>
      </c>
      <c r="AL1992">
        <v>0</v>
      </c>
      <c r="AM1992">
        <v>0</v>
      </c>
      <c r="AN1992">
        <v>0</v>
      </c>
      <c r="AO1992">
        <v>1</v>
      </c>
      <c r="AP1992">
        <v>0</v>
      </c>
      <c r="AQ1992">
        <v>0</v>
      </c>
      <c r="AR1992">
        <v>0</v>
      </c>
      <c r="AS1992">
        <v>0</v>
      </c>
      <c r="AT1992">
        <v>0</v>
      </c>
      <c r="AU1992">
        <f t="shared" si="60"/>
        <v>1</v>
      </c>
      <c r="AV1992">
        <f t="shared" si="61"/>
        <v>0</v>
      </c>
    </row>
    <row r="1993" spans="1:48" x14ac:dyDescent="0.25">
      <c r="A1993" t="s">
        <v>7389</v>
      </c>
      <c r="C1993" t="s">
        <v>7390</v>
      </c>
      <c r="D1993" t="s">
        <v>7391</v>
      </c>
      <c r="E1993" t="s">
        <v>2310</v>
      </c>
      <c r="F1993">
        <v>10</v>
      </c>
      <c r="G1993">
        <v>10.1</v>
      </c>
      <c r="H1993" t="s">
        <v>2323</v>
      </c>
      <c r="I1993" s="21">
        <v>38923</v>
      </c>
      <c r="J1993">
        <v>2006</v>
      </c>
      <c r="K1993" s="21">
        <v>38939</v>
      </c>
      <c r="L1993">
        <v>2006</v>
      </c>
      <c r="M1993" s="21">
        <v>39008</v>
      </c>
      <c r="N1993">
        <v>2006</v>
      </c>
      <c r="R1993" s="262">
        <v>5200</v>
      </c>
      <c r="S1993" t="s">
        <v>114</v>
      </c>
      <c r="T1993" t="s">
        <v>114</v>
      </c>
      <c r="U1993">
        <v>5</v>
      </c>
      <c r="W1993">
        <v>0</v>
      </c>
      <c r="X1993">
        <v>0</v>
      </c>
      <c r="Y1993">
        <v>0</v>
      </c>
      <c r="Z1993">
        <v>0</v>
      </c>
      <c r="AA1993">
        <v>0</v>
      </c>
      <c r="AB1993">
        <v>0</v>
      </c>
      <c r="AC1993">
        <v>0</v>
      </c>
      <c r="AD1993">
        <v>0</v>
      </c>
      <c r="AE1993">
        <v>0</v>
      </c>
      <c r="AF1993">
        <v>0</v>
      </c>
      <c r="AG1993">
        <v>0</v>
      </c>
      <c r="AH1993">
        <v>0</v>
      </c>
      <c r="AI1993">
        <v>0</v>
      </c>
      <c r="AJ1993">
        <v>0</v>
      </c>
      <c r="AK1993">
        <v>0</v>
      </c>
      <c r="AL1993">
        <v>0</v>
      </c>
      <c r="AM1993">
        <v>0</v>
      </c>
      <c r="AN1993">
        <v>0</v>
      </c>
      <c r="AO1993">
        <v>0</v>
      </c>
      <c r="AP1993">
        <v>0</v>
      </c>
      <c r="AQ1993">
        <v>0</v>
      </c>
      <c r="AR1993">
        <v>0</v>
      </c>
      <c r="AS1993">
        <v>0</v>
      </c>
      <c r="AT1993">
        <v>0</v>
      </c>
      <c r="AU1993">
        <f t="shared" si="60"/>
        <v>0</v>
      </c>
      <c r="AV1993">
        <f t="shared" si="61"/>
        <v>0</v>
      </c>
    </row>
    <row r="1994" spans="1:48" x14ac:dyDescent="0.25">
      <c r="A1994" t="s">
        <v>7386</v>
      </c>
      <c r="C1994" t="s">
        <v>7387</v>
      </c>
      <c r="D1994" t="s">
        <v>7388</v>
      </c>
      <c r="E1994" t="s">
        <v>1663</v>
      </c>
      <c r="F1994">
        <v>4</v>
      </c>
      <c r="G1994">
        <v>4.3</v>
      </c>
      <c r="H1994" t="s">
        <v>2327</v>
      </c>
      <c r="I1994" s="21">
        <v>38923</v>
      </c>
      <c r="J1994">
        <v>2006</v>
      </c>
      <c r="K1994" s="21">
        <v>38954</v>
      </c>
      <c r="L1994">
        <v>2006</v>
      </c>
      <c r="M1994" s="21">
        <v>39107</v>
      </c>
      <c r="N1994">
        <v>2007</v>
      </c>
      <c r="Q1994" s="262">
        <v>0</v>
      </c>
      <c r="S1994" t="s">
        <v>114</v>
      </c>
      <c r="T1994" t="s">
        <v>114</v>
      </c>
      <c r="W1994">
        <v>13463</v>
      </c>
      <c r="X1994">
        <v>0</v>
      </c>
      <c r="Y1994">
        <v>0</v>
      </c>
      <c r="Z1994">
        <v>0</v>
      </c>
      <c r="AA1994">
        <v>0</v>
      </c>
      <c r="AB1994">
        <v>0</v>
      </c>
      <c r="AC1994">
        <v>0</v>
      </c>
      <c r="AD1994">
        <v>0</v>
      </c>
      <c r="AE1994">
        <v>0</v>
      </c>
      <c r="AF1994">
        <v>0</v>
      </c>
      <c r="AG1994">
        <v>0</v>
      </c>
      <c r="AH1994">
        <v>0</v>
      </c>
      <c r="AI1994">
        <v>0</v>
      </c>
      <c r="AJ1994">
        <v>13463</v>
      </c>
      <c r="AK1994">
        <v>0</v>
      </c>
      <c r="AL1994">
        <v>0</v>
      </c>
      <c r="AM1994">
        <v>0</v>
      </c>
      <c r="AN1994">
        <v>0</v>
      </c>
      <c r="AO1994">
        <v>0</v>
      </c>
      <c r="AP1994">
        <v>0</v>
      </c>
      <c r="AQ1994">
        <v>0</v>
      </c>
      <c r="AR1994">
        <v>0</v>
      </c>
      <c r="AS1994">
        <v>0</v>
      </c>
      <c r="AT1994">
        <v>0</v>
      </c>
      <c r="AU1994">
        <f t="shared" si="60"/>
        <v>0</v>
      </c>
      <c r="AV1994">
        <f t="shared" si="61"/>
        <v>13463</v>
      </c>
    </row>
    <row r="1995" spans="1:48" x14ac:dyDescent="0.25">
      <c r="A1995" t="s">
        <v>7392</v>
      </c>
      <c r="C1995" t="s">
        <v>7393</v>
      </c>
      <c r="D1995" t="s">
        <v>7394</v>
      </c>
      <c r="E1995" t="s">
        <v>2310</v>
      </c>
      <c r="F1995">
        <v>9</v>
      </c>
      <c r="G1995">
        <v>9.3000000000000007</v>
      </c>
      <c r="H1995" t="s">
        <v>2323</v>
      </c>
      <c r="I1995" s="21">
        <v>38924</v>
      </c>
      <c r="J1995">
        <v>2006</v>
      </c>
      <c r="K1995" s="21">
        <v>38989</v>
      </c>
      <c r="L1995">
        <v>2006</v>
      </c>
      <c r="M1995" s="21">
        <v>39682</v>
      </c>
      <c r="N1995">
        <v>2008</v>
      </c>
      <c r="R1995" s="262">
        <v>1200000</v>
      </c>
      <c r="S1995" t="s">
        <v>114</v>
      </c>
      <c r="T1995" t="s">
        <v>114</v>
      </c>
      <c r="U1995">
        <v>5</v>
      </c>
      <c r="W1995">
        <v>5876</v>
      </c>
      <c r="X1995">
        <v>1</v>
      </c>
      <c r="Y1995">
        <v>0</v>
      </c>
      <c r="Z1995">
        <v>0</v>
      </c>
      <c r="AA1995">
        <v>0</v>
      </c>
      <c r="AB1995">
        <v>0</v>
      </c>
      <c r="AC1995">
        <v>5876</v>
      </c>
      <c r="AD1995">
        <v>0</v>
      </c>
      <c r="AE1995">
        <v>0</v>
      </c>
      <c r="AF1995">
        <v>0</v>
      </c>
      <c r="AG1995">
        <v>0</v>
      </c>
      <c r="AH1995">
        <v>0</v>
      </c>
      <c r="AI1995">
        <v>0</v>
      </c>
      <c r="AJ1995">
        <v>0</v>
      </c>
      <c r="AK1995">
        <v>0</v>
      </c>
      <c r="AL1995">
        <v>0</v>
      </c>
      <c r="AM1995">
        <v>0</v>
      </c>
      <c r="AN1995">
        <v>0</v>
      </c>
      <c r="AO1995">
        <v>1</v>
      </c>
      <c r="AP1995">
        <v>0</v>
      </c>
      <c r="AQ1995">
        <v>0</v>
      </c>
      <c r="AR1995">
        <v>0</v>
      </c>
      <c r="AS1995">
        <v>0</v>
      </c>
      <c r="AT1995">
        <v>0</v>
      </c>
      <c r="AU1995">
        <f t="shared" si="60"/>
        <v>1</v>
      </c>
      <c r="AV1995">
        <f t="shared" si="61"/>
        <v>0</v>
      </c>
    </row>
    <row r="1996" spans="1:48" x14ac:dyDescent="0.25">
      <c r="A1996" t="s">
        <v>7395</v>
      </c>
      <c r="C1996" t="s">
        <v>7396</v>
      </c>
      <c r="D1996" t="s">
        <v>7397</v>
      </c>
      <c r="E1996" t="s">
        <v>2310</v>
      </c>
      <c r="F1996">
        <v>15</v>
      </c>
      <c r="G1996">
        <v>15.2</v>
      </c>
      <c r="H1996" t="s">
        <v>2323</v>
      </c>
      <c r="I1996" s="21">
        <v>38924</v>
      </c>
      <c r="J1996">
        <v>2006</v>
      </c>
      <c r="K1996" s="21">
        <v>38973</v>
      </c>
      <c r="L1996">
        <v>2006</v>
      </c>
      <c r="M1996" s="21">
        <v>39224</v>
      </c>
      <c r="N1996">
        <v>2007</v>
      </c>
      <c r="R1996" s="262">
        <v>350000</v>
      </c>
      <c r="S1996" t="s">
        <v>114</v>
      </c>
      <c r="T1996" t="s">
        <v>114</v>
      </c>
      <c r="U1996">
        <v>5</v>
      </c>
      <c r="W1996">
        <v>2368</v>
      </c>
      <c r="X1996">
        <v>1</v>
      </c>
      <c r="Y1996">
        <v>0</v>
      </c>
      <c r="Z1996">
        <v>0</v>
      </c>
      <c r="AA1996">
        <v>0</v>
      </c>
      <c r="AB1996">
        <v>0</v>
      </c>
      <c r="AC1996">
        <v>2368</v>
      </c>
      <c r="AD1996">
        <v>0</v>
      </c>
      <c r="AE1996">
        <v>0</v>
      </c>
      <c r="AF1996">
        <v>0</v>
      </c>
      <c r="AG1996">
        <v>0</v>
      </c>
      <c r="AH1996">
        <v>0</v>
      </c>
      <c r="AI1996">
        <v>0</v>
      </c>
      <c r="AJ1996">
        <v>0</v>
      </c>
      <c r="AK1996">
        <v>0</v>
      </c>
      <c r="AL1996">
        <v>0</v>
      </c>
      <c r="AM1996">
        <v>0</v>
      </c>
      <c r="AN1996">
        <v>0</v>
      </c>
      <c r="AO1996">
        <v>1</v>
      </c>
      <c r="AP1996">
        <v>0</v>
      </c>
      <c r="AQ1996">
        <v>0</v>
      </c>
      <c r="AR1996">
        <v>0</v>
      </c>
      <c r="AS1996">
        <v>0</v>
      </c>
      <c r="AT1996">
        <v>0</v>
      </c>
      <c r="AU1996">
        <f t="shared" si="60"/>
        <v>1</v>
      </c>
      <c r="AV1996">
        <f t="shared" si="61"/>
        <v>0</v>
      </c>
    </row>
    <row r="1997" spans="1:48" x14ac:dyDescent="0.25">
      <c r="A1997" t="s">
        <v>7398</v>
      </c>
      <c r="C1997" t="s">
        <v>7399</v>
      </c>
      <c r="D1997" t="s">
        <v>7400</v>
      </c>
      <c r="E1997" t="s">
        <v>2310</v>
      </c>
      <c r="F1997">
        <v>9</v>
      </c>
      <c r="G1997">
        <v>9.4</v>
      </c>
      <c r="H1997" t="s">
        <v>2323</v>
      </c>
      <c r="I1997" s="21">
        <v>38924</v>
      </c>
      <c r="J1997">
        <v>2006</v>
      </c>
      <c r="K1997" s="21">
        <v>38961</v>
      </c>
      <c r="L1997">
        <v>2006</v>
      </c>
      <c r="M1997" s="21">
        <v>39643</v>
      </c>
      <c r="N1997">
        <v>2008</v>
      </c>
      <c r="R1997" s="262">
        <v>1750000</v>
      </c>
      <c r="S1997" t="s">
        <v>114</v>
      </c>
      <c r="T1997" t="s">
        <v>114</v>
      </c>
      <c r="U1997">
        <v>5</v>
      </c>
      <c r="W1997">
        <v>6499</v>
      </c>
      <c r="X1997">
        <v>1</v>
      </c>
      <c r="Y1997">
        <v>0</v>
      </c>
      <c r="Z1997">
        <v>0</v>
      </c>
      <c r="AA1997">
        <v>0</v>
      </c>
      <c r="AB1997">
        <v>0</v>
      </c>
      <c r="AC1997">
        <v>6499</v>
      </c>
      <c r="AD1997">
        <v>0</v>
      </c>
      <c r="AE1997">
        <v>0</v>
      </c>
      <c r="AF1997">
        <v>0</v>
      </c>
      <c r="AG1997">
        <v>0</v>
      </c>
      <c r="AH1997">
        <v>0</v>
      </c>
      <c r="AI1997">
        <v>0</v>
      </c>
      <c r="AJ1997">
        <v>0</v>
      </c>
      <c r="AK1997">
        <v>0</v>
      </c>
      <c r="AL1997">
        <v>0</v>
      </c>
      <c r="AM1997">
        <v>0</v>
      </c>
      <c r="AN1997">
        <v>0</v>
      </c>
      <c r="AO1997">
        <v>1</v>
      </c>
      <c r="AP1997">
        <v>0</v>
      </c>
      <c r="AQ1997">
        <v>0</v>
      </c>
      <c r="AR1997">
        <v>0</v>
      </c>
      <c r="AS1997">
        <v>0</v>
      </c>
      <c r="AT1997">
        <v>0</v>
      </c>
      <c r="AU1997">
        <f t="shared" si="60"/>
        <v>1</v>
      </c>
      <c r="AV1997">
        <f t="shared" si="61"/>
        <v>0</v>
      </c>
    </row>
    <row r="1998" spans="1:48" x14ac:dyDescent="0.25">
      <c r="A1998" t="s">
        <v>7401</v>
      </c>
      <c r="C1998" t="s">
        <v>6883</v>
      </c>
      <c r="D1998" t="s">
        <v>6566</v>
      </c>
      <c r="E1998" t="s">
        <v>2310</v>
      </c>
      <c r="F1998">
        <v>8</v>
      </c>
      <c r="G1998">
        <v>8.1999999999999993</v>
      </c>
      <c r="H1998" t="s">
        <v>2022</v>
      </c>
      <c r="I1998" s="21">
        <v>38925</v>
      </c>
      <c r="J1998">
        <v>2006</v>
      </c>
      <c r="K1998" s="21">
        <v>38957</v>
      </c>
      <c r="L1998">
        <v>2006</v>
      </c>
      <c r="M1998" s="21">
        <v>39440</v>
      </c>
      <c r="N1998">
        <v>2007</v>
      </c>
      <c r="R1998" s="262">
        <v>1000000</v>
      </c>
      <c r="S1998" t="s">
        <v>114</v>
      </c>
      <c r="T1998" t="s">
        <v>114</v>
      </c>
      <c r="U1998">
        <v>5</v>
      </c>
      <c r="W1998">
        <v>4990</v>
      </c>
      <c r="X1998">
        <v>1</v>
      </c>
      <c r="Y1998">
        <v>0</v>
      </c>
      <c r="Z1998">
        <v>0</v>
      </c>
      <c r="AA1998">
        <v>0</v>
      </c>
      <c r="AB1998">
        <v>0</v>
      </c>
      <c r="AC1998">
        <v>4990</v>
      </c>
      <c r="AD1998">
        <v>0</v>
      </c>
      <c r="AE1998">
        <v>0</v>
      </c>
      <c r="AF1998">
        <v>0</v>
      </c>
      <c r="AG1998">
        <v>0</v>
      </c>
      <c r="AH1998">
        <v>0</v>
      </c>
      <c r="AI1998">
        <v>0</v>
      </c>
      <c r="AJ1998">
        <v>0</v>
      </c>
      <c r="AK1998">
        <v>0</v>
      </c>
      <c r="AL1998">
        <v>0</v>
      </c>
      <c r="AM1998">
        <v>0</v>
      </c>
      <c r="AN1998">
        <v>0</v>
      </c>
      <c r="AO1998">
        <v>1</v>
      </c>
      <c r="AP1998">
        <v>0</v>
      </c>
      <c r="AQ1998">
        <v>0</v>
      </c>
      <c r="AR1998">
        <v>0</v>
      </c>
      <c r="AS1998">
        <v>0</v>
      </c>
      <c r="AT1998">
        <v>0</v>
      </c>
      <c r="AU1998">
        <f t="shared" si="60"/>
        <v>1</v>
      </c>
      <c r="AV1998">
        <f t="shared" si="61"/>
        <v>0</v>
      </c>
    </row>
    <row r="1999" spans="1:48" x14ac:dyDescent="0.25">
      <c r="A1999" t="s">
        <v>7402</v>
      </c>
      <c r="C1999" t="s">
        <v>7403</v>
      </c>
      <c r="D1999" t="s">
        <v>6566</v>
      </c>
      <c r="E1999" t="s">
        <v>2310</v>
      </c>
      <c r="F1999">
        <v>8</v>
      </c>
      <c r="G1999">
        <v>8.1999999999999993</v>
      </c>
      <c r="H1999" t="s">
        <v>2022</v>
      </c>
      <c r="I1999" s="21">
        <v>38925</v>
      </c>
      <c r="J1999">
        <v>2006</v>
      </c>
      <c r="K1999" s="21">
        <v>38957</v>
      </c>
      <c r="L1999">
        <v>2006</v>
      </c>
      <c r="M1999" s="21">
        <v>38957</v>
      </c>
      <c r="N1999">
        <v>2006</v>
      </c>
      <c r="R1999" s="262">
        <v>50000</v>
      </c>
      <c r="S1999" t="s">
        <v>114</v>
      </c>
      <c r="T1999" t="s">
        <v>114</v>
      </c>
      <c r="U1999">
        <v>5</v>
      </c>
      <c r="W1999">
        <v>576</v>
      </c>
      <c r="X1999">
        <v>0</v>
      </c>
      <c r="Y1999">
        <v>0</v>
      </c>
      <c r="Z1999">
        <v>0</v>
      </c>
      <c r="AA1999">
        <v>0</v>
      </c>
      <c r="AB1999">
        <v>0</v>
      </c>
      <c r="AC1999">
        <v>576</v>
      </c>
      <c r="AD1999">
        <v>0</v>
      </c>
      <c r="AE1999">
        <v>0</v>
      </c>
      <c r="AF1999">
        <v>0</v>
      </c>
      <c r="AG1999">
        <v>0</v>
      </c>
      <c r="AH1999">
        <v>0</v>
      </c>
      <c r="AI1999">
        <v>0</v>
      </c>
      <c r="AJ1999">
        <v>0</v>
      </c>
      <c r="AK1999">
        <v>0</v>
      </c>
      <c r="AL1999">
        <v>0</v>
      </c>
      <c r="AM1999">
        <v>0</v>
      </c>
      <c r="AN1999">
        <v>0</v>
      </c>
      <c r="AO1999">
        <v>0</v>
      </c>
      <c r="AP1999">
        <v>0</v>
      </c>
      <c r="AQ1999">
        <v>0</v>
      </c>
      <c r="AR1999">
        <v>0</v>
      </c>
      <c r="AS1999">
        <v>0</v>
      </c>
      <c r="AT1999">
        <v>0</v>
      </c>
      <c r="AU1999">
        <f t="shared" si="60"/>
        <v>0</v>
      </c>
      <c r="AV1999">
        <f t="shared" si="61"/>
        <v>0</v>
      </c>
    </row>
    <row r="2000" spans="1:48" x14ac:dyDescent="0.25">
      <c r="A2000" t="s">
        <v>7404</v>
      </c>
      <c r="C2000" t="s">
        <v>7405</v>
      </c>
      <c r="D2000" t="s">
        <v>7406</v>
      </c>
      <c r="E2000" t="s">
        <v>2310</v>
      </c>
      <c r="F2000">
        <v>13</v>
      </c>
      <c r="G2000">
        <v>13.3</v>
      </c>
      <c r="H2000" t="s">
        <v>2017</v>
      </c>
      <c r="I2000" s="21">
        <v>38925</v>
      </c>
      <c r="J2000">
        <v>2006</v>
      </c>
      <c r="K2000" s="21">
        <v>38966</v>
      </c>
      <c r="L2000">
        <v>2006</v>
      </c>
      <c r="M2000" s="21">
        <v>39479</v>
      </c>
      <c r="N2000">
        <v>2008</v>
      </c>
      <c r="R2000" s="262">
        <v>1110000</v>
      </c>
      <c r="S2000" t="s">
        <v>114</v>
      </c>
      <c r="T2000" t="s">
        <v>114</v>
      </c>
      <c r="U2000">
        <v>5</v>
      </c>
      <c r="W2000">
        <v>3700</v>
      </c>
      <c r="X2000">
        <v>1</v>
      </c>
      <c r="Y2000">
        <v>0</v>
      </c>
      <c r="Z2000">
        <v>0</v>
      </c>
      <c r="AA2000">
        <v>0</v>
      </c>
      <c r="AB2000">
        <v>0</v>
      </c>
      <c r="AC2000">
        <v>3700</v>
      </c>
      <c r="AD2000">
        <v>0</v>
      </c>
      <c r="AE2000">
        <v>0</v>
      </c>
      <c r="AF2000">
        <v>0</v>
      </c>
      <c r="AG2000">
        <v>0</v>
      </c>
      <c r="AH2000">
        <v>0</v>
      </c>
      <c r="AI2000">
        <v>0</v>
      </c>
      <c r="AJ2000">
        <v>0</v>
      </c>
      <c r="AK2000">
        <v>0</v>
      </c>
      <c r="AL2000">
        <v>0</v>
      </c>
      <c r="AM2000">
        <v>0</v>
      </c>
      <c r="AN2000">
        <v>0</v>
      </c>
      <c r="AO2000">
        <v>1</v>
      </c>
      <c r="AP2000">
        <v>0</v>
      </c>
      <c r="AQ2000">
        <v>0</v>
      </c>
      <c r="AR2000">
        <v>0</v>
      </c>
      <c r="AS2000">
        <v>0</v>
      </c>
      <c r="AT2000">
        <v>0</v>
      </c>
      <c r="AU2000">
        <f t="shared" si="60"/>
        <v>1</v>
      </c>
      <c r="AV2000">
        <f t="shared" si="61"/>
        <v>0</v>
      </c>
    </row>
    <row r="2001" spans="1:48" x14ac:dyDescent="0.25">
      <c r="A2001" t="s">
        <v>7407</v>
      </c>
      <c r="C2001" t="s">
        <v>7408</v>
      </c>
      <c r="D2001" t="s">
        <v>7409</v>
      </c>
      <c r="E2001" t="s">
        <v>2310</v>
      </c>
      <c r="F2001">
        <v>13</v>
      </c>
      <c r="G2001">
        <v>13.3</v>
      </c>
      <c r="H2001" t="s">
        <v>2017</v>
      </c>
      <c r="I2001" s="21">
        <v>38925</v>
      </c>
      <c r="J2001">
        <v>2006</v>
      </c>
      <c r="K2001" s="21">
        <v>38966</v>
      </c>
      <c r="L2001">
        <v>2006</v>
      </c>
      <c r="M2001" s="21">
        <v>39437</v>
      </c>
      <c r="N2001">
        <v>2007</v>
      </c>
      <c r="R2001" s="262">
        <v>1110000</v>
      </c>
      <c r="S2001" t="s">
        <v>114</v>
      </c>
      <c r="T2001" t="s">
        <v>114</v>
      </c>
      <c r="U2001">
        <v>5</v>
      </c>
      <c r="W2001">
        <v>3700</v>
      </c>
      <c r="X2001">
        <v>1</v>
      </c>
      <c r="Y2001">
        <v>0</v>
      </c>
      <c r="Z2001">
        <v>0</v>
      </c>
      <c r="AA2001">
        <v>0</v>
      </c>
      <c r="AB2001">
        <v>0</v>
      </c>
      <c r="AC2001">
        <v>3700</v>
      </c>
      <c r="AD2001">
        <v>0</v>
      </c>
      <c r="AE2001">
        <v>0</v>
      </c>
      <c r="AF2001">
        <v>0</v>
      </c>
      <c r="AG2001">
        <v>0</v>
      </c>
      <c r="AH2001">
        <v>0</v>
      </c>
      <c r="AI2001">
        <v>0</v>
      </c>
      <c r="AJ2001">
        <v>0</v>
      </c>
      <c r="AK2001">
        <v>0</v>
      </c>
      <c r="AL2001">
        <v>0</v>
      </c>
      <c r="AM2001">
        <v>0</v>
      </c>
      <c r="AN2001">
        <v>0</v>
      </c>
      <c r="AO2001">
        <v>1</v>
      </c>
      <c r="AP2001">
        <v>0</v>
      </c>
      <c r="AQ2001">
        <v>0</v>
      </c>
      <c r="AR2001">
        <v>0</v>
      </c>
      <c r="AS2001">
        <v>0</v>
      </c>
      <c r="AT2001">
        <v>0</v>
      </c>
      <c r="AU2001">
        <f t="shared" si="60"/>
        <v>1</v>
      </c>
      <c r="AV2001">
        <f t="shared" si="61"/>
        <v>0</v>
      </c>
    </row>
    <row r="2002" spans="1:48" x14ac:dyDescent="0.25">
      <c r="A2002" t="s">
        <v>7410</v>
      </c>
      <c r="C2002" t="s">
        <v>7411</v>
      </c>
      <c r="D2002" t="s">
        <v>7412</v>
      </c>
      <c r="E2002" t="s">
        <v>2310</v>
      </c>
      <c r="F2002">
        <v>13</v>
      </c>
      <c r="G2002">
        <v>13.3</v>
      </c>
      <c r="H2002" t="s">
        <v>2017</v>
      </c>
      <c r="I2002" s="21">
        <v>38925</v>
      </c>
      <c r="J2002">
        <v>2006</v>
      </c>
      <c r="K2002" s="21">
        <v>38966</v>
      </c>
      <c r="L2002">
        <v>2006</v>
      </c>
      <c r="M2002" s="21">
        <v>39428</v>
      </c>
      <c r="N2002">
        <v>2007</v>
      </c>
      <c r="R2002" s="262">
        <v>1110000</v>
      </c>
      <c r="S2002" t="s">
        <v>114</v>
      </c>
      <c r="T2002" t="s">
        <v>114</v>
      </c>
      <c r="U2002">
        <v>5</v>
      </c>
      <c r="W2002">
        <v>3700</v>
      </c>
      <c r="X2002">
        <v>1</v>
      </c>
      <c r="Y2002">
        <v>0</v>
      </c>
      <c r="Z2002">
        <v>0</v>
      </c>
      <c r="AA2002">
        <v>0</v>
      </c>
      <c r="AB2002">
        <v>0</v>
      </c>
      <c r="AC2002">
        <v>3700</v>
      </c>
      <c r="AD2002">
        <v>0</v>
      </c>
      <c r="AE2002">
        <v>0</v>
      </c>
      <c r="AF2002">
        <v>0</v>
      </c>
      <c r="AG2002">
        <v>0</v>
      </c>
      <c r="AH2002">
        <v>0</v>
      </c>
      <c r="AI2002">
        <v>0</v>
      </c>
      <c r="AJ2002">
        <v>0</v>
      </c>
      <c r="AK2002">
        <v>0</v>
      </c>
      <c r="AL2002">
        <v>0</v>
      </c>
      <c r="AM2002">
        <v>0</v>
      </c>
      <c r="AN2002">
        <v>0</v>
      </c>
      <c r="AO2002">
        <v>1</v>
      </c>
      <c r="AP2002">
        <v>0</v>
      </c>
      <c r="AQ2002">
        <v>0</v>
      </c>
      <c r="AR2002">
        <v>0</v>
      </c>
      <c r="AS2002">
        <v>0</v>
      </c>
      <c r="AT2002">
        <v>0</v>
      </c>
      <c r="AU2002">
        <f t="shared" si="60"/>
        <v>1</v>
      </c>
      <c r="AV2002">
        <f t="shared" si="61"/>
        <v>0</v>
      </c>
    </row>
    <row r="2003" spans="1:48" x14ac:dyDescent="0.25">
      <c r="A2003" t="s">
        <v>7413</v>
      </c>
      <c r="C2003" t="s">
        <v>7414</v>
      </c>
      <c r="D2003" t="s">
        <v>7415</v>
      </c>
      <c r="E2003" t="s">
        <v>2310</v>
      </c>
      <c r="F2003">
        <v>13</v>
      </c>
      <c r="G2003">
        <v>13.3</v>
      </c>
      <c r="H2003" t="s">
        <v>2017</v>
      </c>
      <c r="I2003" s="21">
        <v>38925</v>
      </c>
      <c r="J2003">
        <v>2006</v>
      </c>
      <c r="K2003" s="21">
        <v>38966</v>
      </c>
      <c r="L2003">
        <v>2006</v>
      </c>
      <c r="M2003" s="21">
        <v>39428</v>
      </c>
      <c r="N2003">
        <v>2007</v>
      </c>
      <c r="R2003" s="262">
        <v>1110000</v>
      </c>
      <c r="S2003" t="s">
        <v>114</v>
      </c>
      <c r="T2003" t="s">
        <v>114</v>
      </c>
      <c r="U2003">
        <v>5</v>
      </c>
      <c r="W2003">
        <v>3710</v>
      </c>
      <c r="X2003">
        <v>1</v>
      </c>
      <c r="Y2003">
        <v>0</v>
      </c>
      <c r="Z2003">
        <v>0</v>
      </c>
      <c r="AA2003">
        <v>0</v>
      </c>
      <c r="AB2003">
        <v>0</v>
      </c>
      <c r="AC2003">
        <v>3710</v>
      </c>
      <c r="AD2003">
        <v>0</v>
      </c>
      <c r="AE2003">
        <v>0</v>
      </c>
      <c r="AF2003">
        <v>0</v>
      </c>
      <c r="AG2003">
        <v>0</v>
      </c>
      <c r="AH2003">
        <v>0</v>
      </c>
      <c r="AI2003">
        <v>0</v>
      </c>
      <c r="AJ2003">
        <v>0</v>
      </c>
      <c r="AK2003">
        <v>0</v>
      </c>
      <c r="AL2003">
        <v>0</v>
      </c>
      <c r="AM2003">
        <v>0</v>
      </c>
      <c r="AN2003">
        <v>0</v>
      </c>
      <c r="AO2003">
        <v>1</v>
      </c>
      <c r="AP2003">
        <v>0</v>
      </c>
      <c r="AQ2003">
        <v>0</v>
      </c>
      <c r="AR2003">
        <v>0</v>
      </c>
      <c r="AS2003">
        <v>0</v>
      </c>
      <c r="AT2003">
        <v>0</v>
      </c>
      <c r="AU2003">
        <f t="shared" si="60"/>
        <v>1</v>
      </c>
      <c r="AV2003">
        <f t="shared" si="61"/>
        <v>0</v>
      </c>
    </row>
    <row r="2004" spans="1:48" x14ac:dyDescent="0.25">
      <c r="A2004" t="s">
        <v>7416</v>
      </c>
      <c r="C2004" t="s">
        <v>7417</v>
      </c>
      <c r="D2004" t="s">
        <v>7418</v>
      </c>
      <c r="E2004" t="s">
        <v>2310</v>
      </c>
      <c r="F2004">
        <v>10</v>
      </c>
      <c r="G2004">
        <v>10.1</v>
      </c>
      <c r="H2004" t="s">
        <v>2323</v>
      </c>
      <c r="I2004" s="21">
        <v>38926</v>
      </c>
      <c r="J2004">
        <v>2006</v>
      </c>
      <c r="K2004" s="21">
        <v>38981</v>
      </c>
      <c r="L2004">
        <v>2006</v>
      </c>
      <c r="M2004" s="21">
        <v>39275</v>
      </c>
      <c r="N2004">
        <v>2007</v>
      </c>
      <c r="R2004" s="262">
        <v>147000</v>
      </c>
      <c r="S2004" t="s">
        <v>114</v>
      </c>
      <c r="T2004" t="s">
        <v>114</v>
      </c>
      <c r="U2004">
        <v>5</v>
      </c>
      <c r="W2004">
        <v>2076</v>
      </c>
      <c r="X2004">
        <v>0</v>
      </c>
      <c r="Y2004">
        <v>0</v>
      </c>
      <c r="Z2004">
        <v>0</v>
      </c>
      <c r="AA2004">
        <v>0</v>
      </c>
      <c r="AB2004">
        <v>0</v>
      </c>
      <c r="AC2004">
        <v>2076</v>
      </c>
      <c r="AD2004">
        <v>0</v>
      </c>
      <c r="AE2004">
        <v>0</v>
      </c>
      <c r="AF2004">
        <v>0</v>
      </c>
      <c r="AG2004">
        <v>0</v>
      </c>
      <c r="AH2004">
        <v>0</v>
      </c>
      <c r="AI2004">
        <v>0</v>
      </c>
      <c r="AJ2004">
        <v>0</v>
      </c>
      <c r="AK2004">
        <v>0</v>
      </c>
      <c r="AL2004">
        <v>0</v>
      </c>
      <c r="AM2004">
        <v>0</v>
      </c>
      <c r="AN2004">
        <v>0</v>
      </c>
      <c r="AO2004">
        <v>0</v>
      </c>
      <c r="AP2004">
        <v>0</v>
      </c>
      <c r="AQ2004">
        <v>0</v>
      </c>
      <c r="AR2004">
        <v>0</v>
      </c>
      <c r="AS2004">
        <v>0</v>
      </c>
      <c r="AT2004">
        <v>0</v>
      </c>
      <c r="AU2004">
        <f t="shared" si="60"/>
        <v>0</v>
      </c>
      <c r="AV2004">
        <f t="shared" si="61"/>
        <v>0</v>
      </c>
    </row>
    <row r="2005" spans="1:48" x14ac:dyDescent="0.25">
      <c r="A2005" t="s">
        <v>7419</v>
      </c>
      <c r="C2005" t="s">
        <v>7420</v>
      </c>
      <c r="D2005" t="s">
        <v>7421</v>
      </c>
      <c r="E2005" t="s">
        <v>2310</v>
      </c>
      <c r="F2005">
        <v>9</v>
      </c>
      <c r="G2005">
        <v>9.3000000000000007</v>
      </c>
      <c r="H2005" t="s">
        <v>2323</v>
      </c>
      <c r="I2005" s="21">
        <v>38926</v>
      </c>
      <c r="J2005">
        <v>2006</v>
      </c>
      <c r="K2005" s="21">
        <v>38992</v>
      </c>
      <c r="L2005">
        <v>2006</v>
      </c>
      <c r="M2005" s="21">
        <v>39952</v>
      </c>
      <c r="N2005">
        <v>2009</v>
      </c>
      <c r="R2005" s="262">
        <v>327000</v>
      </c>
      <c r="S2005" t="s">
        <v>114</v>
      </c>
      <c r="T2005" t="s">
        <v>114</v>
      </c>
      <c r="U2005">
        <v>5</v>
      </c>
      <c r="W2005">
        <v>1092</v>
      </c>
      <c r="X2005">
        <v>0</v>
      </c>
      <c r="Y2005">
        <v>0</v>
      </c>
      <c r="Z2005">
        <v>0</v>
      </c>
      <c r="AA2005">
        <v>0</v>
      </c>
      <c r="AB2005">
        <v>0</v>
      </c>
      <c r="AC2005">
        <v>1092</v>
      </c>
      <c r="AD2005">
        <v>0</v>
      </c>
      <c r="AE2005">
        <v>0</v>
      </c>
      <c r="AF2005">
        <v>0</v>
      </c>
      <c r="AG2005">
        <v>0</v>
      </c>
      <c r="AH2005">
        <v>0</v>
      </c>
      <c r="AI2005">
        <v>0</v>
      </c>
      <c r="AJ2005">
        <v>0</v>
      </c>
      <c r="AK2005">
        <v>0</v>
      </c>
      <c r="AL2005">
        <v>0</v>
      </c>
      <c r="AM2005">
        <v>0</v>
      </c>
      <c r="AN2005">
        <v>0</v>
      </c>
      <c r="AO2005">
        <v>0</v>
      </c>
      <c r="AP2005">
        <v>0</v>
      </c>
      <c r="AQ2005">
        <v>0</v>
      </c>
      <c r="AR2005">
        <v>0</v>
      </c>
      <c r="AS2005">
        <v>0</v>
      </c>
      <c r="AT2005">
        <v>0</v>
      </c>
      <c r="AU2005">
        <f t="shared" si="60"/>
        <v>0</v>
      </c>
      <c r="AV2005">
        <f t="shared" si="61"/>
        <v>0</v>
      </c>
    </row>
    <row r="2006" spans="1:48" x14ac:dyDescent="0.25">
      <c r="A2006" t="s">
        <v>7422</v>
      </c>
      <c r="C2006" t="s">
        <v>7423</v>
      </c>
      <c r="D2006" t="s">
        <v>7424</v>
      </c>
      <c r="E2006" t="s">
        <v>2310</v>
      </c>
      <c r="F2006">
        <v>10</v>
      </c>
      <c r="G2006">
        <v>10.1</v>
      </c>
      <c r="H2006" t="s">
        <v>2323</v>
      </c>
      <c r="I2006" s="21">
        <v>38926</v>
      </c>
      <c r="J2006">
        <v>2006</v>
      </c>
      <c r="K2006" s="21">
        <v>38939</v>
      </c>
      <c r="L2006">
        <v>2006</v>
      </c>
      <c r="M2006" s="21">
        <v>39141</v>
      </c>
      <c r="N2006">
        <v>2007</v>
      </c>
      <c r="R2006" s="262">
        <v>40000</v>
      </c>
      <c r="S2006" t="s">
        <v>114</v>
      </c>
      <c r="T2006" t="s">
        <v>114</v>
      </c>
      <c r="U2006">
        <v>5</v>
      </c>
      <c r="W2006">
        <v>496</v>
      </c>
      <c r="X2006">
        <v>0</v>
      </c>
      <c r="Y2006">
        <v>0</v>
      </c>
      <c r="Z2006">
        <v>0</v>
      </c>
      <c r="AA2006">
        <v>0</v>
      </c>
      <c r="AB2006">
        <v>0</v>
      </c>
      <c r="AC2006">
        <v>496</v>
      </c>
      <c r="AD2006">
        <v>0</v>
      </c>
      <c r="AE2006">
        <v>0</v>
      </c>
      <c r="AF2006">
        <v>0</v>
      </c>
      <c r="AG2006">
        <v>0</v>
      </c>
      <c r="AH2006">
        <v>0</v>
      </c>
      <c r="AI2006">
        <v>0</v>
      </c>
      <c r="AJ2006">
        <v>0</v>
      </c>
      <c r="AK2006">
        <v>0</v>
      </c>
      <c r="AL2006">
        <v>0</v>
      </c>
      <c r="AM2006">
        <v>0</v>
      </c>
      <c r="AN2006">
        <v>0</v>
      </c>
      <c r="AO2006">
        <v>0</v>
      </c>
      <c r="AP2006">
        <v>0</v>
      </c>
      <c r="AQ2006">
        <v>0</v>
      </c>
      <c r="AR2006">
        <v>0</v>
      </c>
      <c r="AS2006">
        <v>0</v>
      </c>
      <c r="AT2006">
        <v>0</v>
      </c>
      <c r="AU2006">
        <f t="shared" si="60"/>
        <v>0</v>
      </c>
      <c r="AV2006">
        <f t="shared" si="61"/>
        <v>0</v>
      </c>
    </row>
    <row r="2007" spans="1:48" x14ac:dyDescent="0.25">
      <c r="A2007" t="s">
        <v>7425</v>
      </c>
      <c r="C2007" t="s">
        <v>7426</v>
      </c>
      <c r="D2007" t="s">
        <v>7427</v>
      </c>
      <c r="E2007" t="s">
        <v>2310</v>
      </c>
      <c r="F2007">
        <v>8</v>
      </c>
      <c r="G2007">
        <v>8.1999999999999993</v>
      </c>
      <c r="H2007" t="s">
        <v>2022</v>
      </c>
      <c r="I2007" s="21">
        <v>38929</v>
      </c>
      <c r="J2007">
        <v>2006</v>
      </c>
      <c r="K2007" s="21">
        <v>38960</v>
      </c>
      <c r="L2007">
        <v>2006</v>
      </c>
      <c r="M2007" s="21">
        <v>39210</v>
      </c>
      <c r="N2007">
        <v>2007</v>
      </c>
      <c r="R2007" s="262">
        <v>250000</v>
      </c>
      <c r="S2007" t="s">
        <v>114</v>
      </c>
      <c r="T2007" t="s">
        <v>114</v>
      </c>
      <c r="U2007">
        <v>5</v>
      </c>
      <c r="W2007">
        <v>144</v>
      </c>
      <c r="X2007">
        <v>0</v>
      </c>
      <c r="Y2007">
        <v>0</v>
      </c>
      <c r="Z2007">
        <v>0</v>
      </c>
      <c r="AA2007">
        <v>0</v>
      </c>
      <c r="AB2007">
        <v>0</v>
      </c>
      <c r="AC2007">
        <v>144</v>
      </c>
      <c r="AD2007">
        <v>0</v>
      </c>
      <c r="AE2007">
        <v>0</v>
      </c>
      <c r="AF2007">
        <v>0</v>
      </c>
      <c r="AG2007">
        <v>0</v>
      </c>
      <c r="AH2007">
        <v>0</v>
      </c>
      <c r="AI2007">
        <v>0</v>
      </c>
      <c r="AJ2007">
        <v>0</v>
      </c>
      <c r="AK2007">
        <v>0</v>
      </c>
      <c r="AL2007">
        <v>0</v>
      </c>
      <c r="AM2007">
        <v>0</v>
      </c>
      <c r="AN2007">
        <v>0</v>
      </c>
      <c r="AO2007">
        <v>0</v>
      </c>
      <c r="AP2007">
        <v>0</v>
      </c>
      <c r="AQ2007">
        <v>0</v>
      </c>
      <c r="AR2007">
        <v>0</v>
      </c>
      <c r="AS2007">
        <v>0</v>
      </c>
      <c r="AT2007">
        <v>0</v>
      </c>
      <c r="AU2007">
        <f t="shared" si="60"/>
        <v>0</v>
      </c>
      <c r="AV2007">
        <f t="shared" si="61"/>
        <v>0</v>
      </c>
    </row>
    <row r="2008" spans="1:48" x14ac:dyDescent="0.25">
      <c r="A2008" t="s">
        <v>7428</v>
      </c>
      <c r="C2008" t="s">
        <v>7429</v>
      </c>
      <c r="D2008" t="s">
        <v>1881</v>
      </c>
      <c r="E2008" t="s">
        <v>2310</v>
      </c>
      <c r="F2008">
        <v>14</v>
      </c>
      <c r="G2008">
        <v>14.3</v>
      </c>
      <c r="H2008" t="s">
        <v>2327</v>
      </c>
      <c r="I2008" s="21">
        <v>38929</v>
      </c>
      <c r="J2008">
        <v>2006</v>
      </c>
      <c r="R2008" s="262">
        <v>100000</v>
      </c>
      <c r="S2008" t="s">
        <v>114</v>
      </c>
      <c r="T2008" t="s">
        <v>114</v>
      </c>
      <c r="U2008">
        <v>11</v>
      </c>
      <c r="W2008">
        <v>0</v>
      </c>
      <c r="X2008">
        <v>0</v>
      </c>
      <c r="Y2008">
        <v>0</v>
      </c>
      <c r="Z2008">
        <v>0</v>
      </c>
      <c r="AA2008">
        <v>0</v>
      </c>
      <c r="AB2008">
        <v>0</v>
      </c>
      <c r="AC2008">
        <v>0</v>
      </c>
      <c r="AD2008">
        <v>0</v>
      </c>
      <c r="AE2008">
        <v>0</v>
      </c>
      <c r="AF2008">
        <v>0</v>
      </c>
      <c r="AG2008">
        <v>0</v>
      </c>
      <c r="AH2008">
        <v>0</v>
      </c>
      <c r="AI2008">
        <v>0</v>
      </c>
      <c r="AJ2008">
        <v>0</v>
      </c>
      <c r="AK2008">
        <v>0</v>
      </c>
      <c r="AL2008">
        <v>0</v>
      </c>
      <c r="AM2008">
        <v>0</v>
      </c>
      <c r="AN2008">
        <v>0</v>
      </c>
      <c r="AO2008">
        <v>0</v>
      </c>
      <c r="AP2008">
        <v>0</v>
      </c>
      <c r="AQ2008">
        <v>0</v>
      </c>
      <c r="AR2008">
        <v>0</v>
      </c>
      <c r="AS2008">
        <v>0</v>
      </c>
      <c r="AT2008">
        <v>0</v>
      </c>
      <c r="AU2008">
        <f t="shared" si="60"/>
        <v>0</v>
      </c>
      <c r="AV2008">
        <f t="shared" si="61"/>
        <v>0</v>
      </c>
    </row>
    <row r="2009" spans="1:48" x14ac:dyDescent="0.25">
      <c r="A2009" t="s">
        <v>7430</v>
      </c>
      <c r="C2009" t="s">
        <v>7431</v>
      </c>
      <c r="D2009" t="s">
        <v>1881</v>
      </c>
      <c r="E2009" t="s">
        <v>2310</v>
      </c>
      <c r="F2009">
        <v>14</v>
      </c>
      <c r="G2009">
        <v>14.3</v>
      </c>
      <c r="H2009" t="s">
        <v>2327</v>
      </c>
      <c r="I2009" s="21">
        <v>38929</v>
      </c>
      <c r="J2009">
        <v>2006</v>
      </c>
      <c r="K2009" s="21">
        <v>38958</v>
      </c>
      <c r="L2009">
        <v>2006</v>
      </c>
      <c r="M2009" s="21">
        <v>38958</v>
      </c>
      <c r="N2009">
        <v>2006</v>
      </c>
      <c r="R2009" s="262">
        <v>100000</v>
      </c>
      <c r="S2009" t="s">
        <v>114</v>
      </c>
      <c r="T2009" t="s">
        <v>114</v>
      </c>
      <c r="U2009">
        <v>10</v>
      </c>
      <c r="W2009">
        <v>300</v>
      </c>
      <c r="X2009">
        <v>0</v>
      </c>
      <c r="Y2009">
        <v>0</v>
      </c>
      <c r="Z2009">
        <v>0</v>
      </c>
      <c r="AA2009">
        <v>0</v>
      </c>
      <c r="AB2009">
        <v>0</v>
      </c>
      <c r="AC2009">
        <v>0</v>
      </c>
      <c r="AD2009">
        <v>0</v>
      </c>
      <c r="AE2009">
        <v>0</v>
      </c>
      <c r="AF2009">
        <v>0</v>
      </c>
      <c r="AG2009">
        <v>0</v>
      </c>
      <c r="AH2009">
        <v>300</v>
      </c>
      <c r="AI2009">
        <v>0</v>
      </c>
      <c r="AJ2009">
        <v>0</v>
      </c>
      <c r="AK2009">
        <v>0</v>
      </c>
      <c r="AL2009">
        <v>0</v>
      </c>
      <c r="AM2009">
        <v>0</v>
      </c>
      <c r="AN2009">
        <v>0</v>
      </c>
      <c r="AO2009">
        <v>0</v>
      </c>
      <c r="AP2009">
        <v>0</v>
      </c>
      <c r="AQ2009">
        <v>0</v>
      </c>
      <c r="AR2009">
        <v>0</v>
      </c>
      <c r="AS2009">
        <v>0</v>
      </c>
      <c r="AT2009">
        <v>0</v>
      </c>
      <c r="AU2009">
        <f t="shared" ref="AU2009:AU2072" si="62">SUM(AN2009:AQ2009,AS2009)</f>
        <v>0</v>
      </c>
      <c r="AV2009">
        <f t="shared" ref="AV2009:AV2072" si="63">SUM(Y2009:AB2009,AH2009:AM2009)</f>
        <v>300</v>
      </c>
    </row>
    <row r="2010" spans="1:48" x14ac:dyDescent="0.25">
      <c r="A2010" t="s">
        <v>7432</v>
      </c>
      <c r="C2010" t="s">
        <v>7433</v>
      </c>
      <c r="D2010" t="s">
        <v>7434</v>
      </c>
      <c r="E2010" t="s">
        <v>2310</v>
      </c>
      <c r="F2010">
        <v>10</v>
      </c>
      <c r="G2010">
        <v>10.1</v>
      </c>
      <c r="H2010" t="s">
        <v>2323</v>
      </c>
      <c r="I2010" s="21">
        <v>38929</v>
      </c>
      <c r="J2010">
        <v>2006</v>
      </c>
      <c r="K2010" s="21">
        <v>38959</v>
      </c>
      <c r="L2010">
        <v>2006</v>
      </c>
      <c r="M2010" s="21">
        <v>39219</v>
      </c>
      <c r="N2010">
        <v>2007</v>
      </c>
      <c r="R2010" s="262">
        <v>75000</v>
      </c>
      <c r="S2010" t="s">
        <v>114</v>
      </c>
      <c r="T2010" t="s">
        <v>114</v>
      </c>
      <c r="U2010">
        <v>5</v>
      </c>
      <c r="W2010">
        <v>1695</v>
      </c>
      <c r="X2010">
        <v>0</v>
      </c>
      <c r="Y2010">
        <v>0</v>
      </c>
      <c r="Z2010">
        <v>0</v>
      </c>
      <c r="AA2010">
        <v>0</v>
      </c>
      <c r="AB2010">
        <v>0</v>
      </c>
      <c r="AC2010">
        <v>1695</v>
      </c>
      <c r="AD2010">
        <v>0</v>
      </c>
      <c r="AE2010">
        <v>0</v>
      </c>
      <c r="AF2010">
        <v>0</v>
      </c>
      <c r="AG2010">
        <v>0</v>
      </c>
      <c r="AH2010">
        <v>0</v>
      </c>
      <c r="AI2010">
        <v>0</v>
      </c>
      <c r="AJ2010">
        <v>0</v>
      </c>
      <c r="AK2010">
        <v>0</v>
      </c>
      <c r="AL2010">
        <v>0</v>
      </c>
      <c r="AM2010">
        <v>0</v>
      </c>
      <c r="AN2010">
        <v>0</v>
      </c>
      <c r="AO2010">
        <v>0</v>
      </c>
      <c r="AP2010">
        <v>0</v>
      </c>
      <c r="AQ2010">
        <v>0</v>
      </c>
      <c r="AR2010">
        <v>0</v>
      </c>
      <c r="AS2010">
        <v>0</v>
      </c>
      <c r="AT2010">
        <v>0</v>
      </c>
      <c r="AU2010">
        <f t="shared" si="62"/>
        <v>0</v>
      </c>
      <c r="AV2010">
        <f t="shared" si="63"/>
        <v>0</v>
      </c>
    </row>
    <row r="2011" spans="1:48" x14ac:dyDescent="0.25">
      <c r="A2011" t="s">
        <v>7435</v>
      </c>
      <c r="C2011" t="s">
        <v>7436</v>
      </c>
      <c r="D2011" t="s">
        <v>7437</v>
      </c>
      <c r="E2011" t="s">
        <v>2310</v>
      </c>
      <c r="F2011">
        <v>9</v>
      </c>
      <c r="G2011">
        <v>9.1999999999999993</v>
      </c>
      <c r="H2011" t="s">
        <v>2022</v>
      </c>
      <c r="I2011" s="21">
        <v>38930</v>
      </c>
      <c r="J2011">
        <v>2006</v>
      </c>
      <c r="K2011" s="21">
        <v>38965</v>
      </c>
      <c r="L2011">
        <v>2006</v>
      </c>
      <c r="M2011" s="21">
        <v>39339</v>
      </c>
      <c r="N2011">
        <v>2007</v>
      </c>
      <c r="R2011" s="262">
        <v>30000</v>
      </c>
      <c r="S2011" t="s">
        <v>114</v>
      </c>
      <c r="T2011" t="s">
        <v>114</v>
      </c>
      <c r="U2011">
        <v>5</v>
      </c>
      <c r="W2011">
        <v>484</v>
      </c>
      <c r="X2011">
        <v>0</v>
      </c>
      <c r="Y2011">
        <v>0</v>
      </c>
      <c r="Z2011">
        <v>0</v>
      </c>
      <c r="AA2011">
        <v>0</v>
      </c>
      <c r="AB2011">
        <v>0</v>
      </c>
      <c r="AC2011">
        <v>484</v>
      </c>
      <c r="AD2011">
        <v>0</v>
      </c>
      <c r="AE2011">
        <v>0</v>
      </c>
      <c r="AF2011">
        <v>0</v>
      </c>
      <c r="AG2011">
        <v>0</v>
      </c>
      <c r="AH2011">
        <v>0</v>
      </c>
      <c r="AI2011">
        <v>0</v>
      </c>
      <c r="AJ2011">
        <v>0</v>
      </c>
      <c r="AK2011">
        <v>0</v>
      </c>
      <c r="AL2011">
        <v>0</v>
      </c>
      <c r="AM2011">
        <v>0</v>
      </c>
      <c r="AN2011">
        <v>0</v>
      </c>
      <c r="AO2011">
        <v>0</v>
      </c>
      <c r="AP2011">
        <v>0</v>
      </c>
      <c r="AQ2011">
        <v>0</v>
      </c>
      <c r="AR2011">
        <v>0</v>
      </c>
      <c r="AS2011">
        <v>0</v>
      </c>
      <c r="AT2011">
        <v>0</v>
      </c>
      <c r="AU2011">
        <f t="shared" si="62"/>
        <v>0</v>
      </c>
      <c r="AV2011">
        <f t="shared" si="63"/>
        <v>0</v>
      </c>
    </row>
    <row r="2012" spans="1:48" x14ac:dyDescent="0.25">
      <c r="A2012" t="s">
        <v>7438</v>
      </c>
      <c r="C2012" t="s">
        <v>7439</v>
      </c>
      <c r="D2012" t="s">
        <v>7440</v>
      </c>
      <c r="E2012" t="s">
        <v>2310</v>
      </c>
      <c r="F2012">
        <v>12</v>
      </c>
      <c r="G2012">
        <v>12.3</v>
      </c>
      <c r="H2012" t="s">
        <v>2017</v>
      </c>
      <c r="I2012" s="21">
        <v>38930</v>
      </c>
      <c r="J2012">
        <v>2006</v>
      </c>
      <c r="K2012" s="21">
        <v>38960</v>
      </c>
      <c r="L2012">
        <v>2006</v>
      </c>
      <c r="M2012" s="21">
        <v>39749</v>
      </c>
      <c r="N2012">
        <v>2008</v>
      </c>
      <c r="R2012" s="262">
        <v>302000</v>
      </c>
      <c r="S2012" t="s">
        <v>114</v>
      </c>
      <c r="T2012" t="s">
        <v>114</v>
      </c>
      <c r="U2012">
        <v>5</v>
      </c>
      <c r="W2012">
        <v>3588</v>
      </c>
      <c r="X2012">
        <v>1</v>
      </c>
      <c r="Y2012">
        <v>0</v>
      </c>
      <c r="Z2012">
        <v>0</v>
      </c>
      <c r="AA2012">
        <v>0</v>
      </c>
      <c r="AB2012">
        <v>0</v>
      </c>
      <c r="AC2012">
        <v>3588</v>
      </c>
      <c r="AD2012">
        <v>0</v>
      </c>
      <c r="AE2012">
        <v>0</v>
      </c>
      <c r="AF2012">
        <v>0</v>
      </c>
      <c r="AG2012">
        <v>0</v>
      </c>
      <c r="AH2012">
        <v>0</v>
      </c>
      <c r="AI2012">
        <v>0</v>
      </c>
      <c r="AJ2012">
        <v>0</v>
      </c>
      <c r="AK2012">
        <v>0</v>
      </c>
      <c r="AL2012">
        <v>0</v>
      </c>
      <c r="AM2012">
        <v>0</v>
      </c>
      <c r="AN2012">
        <v>0</v>
      </c>
      <c r="AO2012">
        <v>1</v>
      </c>
      <c r="AP2012">
        <v>0</v>
      </c>
      <c r="AQ2012">
        <v>0</v>
      </c>
      <c r="AR2012">
        <v>0</v>
      </c>
      <c r="AS2012">
        <v>0</v>
      </c>
      <c r="AT2012">
        <v>0</v>
      </c>
      <c r="AU2012">
        <f t="shared" si="62"/>
        <v>1</v>
      </c>
      <c r="AV2012">
        <f t="shared" si="63"/>
        <v>0</v>
      </c>
    </row>
    <row r="2013" spans="1:48" x14ac:dyDescent="0.25">
      <c r="A2013" t="s">
        <v>7441</v>
      </c>
      <c r="C2013" t="s">
        <v>7442</v>
      </c>
      <c r="D2013" t="s">
        <v>7440</v>
      </c>
      <c r="E2013" t="s">
        <v>2310</v>
      </c>
      <c r="F2013">
        <v>12</v>
      </c>
      <c r="G2013">
        <v>12.3</v>
      </c>
      <c r="H2013" t="s">
        <v>2017</v>
      </c>
      <c r="I2013" s="21">
        <v>38930</v>
      </c>
      <c r="J2013">
        <v>2006</v>
      </c>
      <c r="K2013" s="21">
        <v>38960</v>
      </c>
      <c r="L2013">
        <v>2006</v>
      </c>
      <c r="M2013" s="21">
        <v>43626.677294178196</v>
      </c>
      <c r="N2013">
        <v>2019</v>
      </c>
      <c r="R2013" s="262">
        <v>200000</v>
      </c>
      <c r="S2013" t="s">
        <v>114</v>
      </c>
      <c r="T2013" t="s">
        <v>114</v>
      </c>
      <c r="U2013">
        <v>8</v>
      </c>
      <c r="W2013">
        <v>800</v>
      </c>
      <c r="X2013">
        <v>1</v>
      </c>
      <c r="Y2013">
        <v>0</v>
      </c>
      <c r="Z2013">
        <v>0</v>
      </c>
      <c r="AA2013">
        <v>0</v>
      </c>
      <c r="AB2013">
        <v>0</v>
      </c>
      <c r="AC2013">
        <v>400</v>
      </c>
      <c r="AD2013">
        <v>0</v>
      </c>
      <c r="AE2013">
        <v>0</v>
      </c>
      <c r="AF2013">
        <v>400</v>
      </c>
      <c r="AG2013">
        <v>0</v>
      </c>
      <c r="AH2013">
        <v>0</v>
      </c>
      <c r="AI2013">
        <v>0</v>
      </c>
      <c r="AJ2013">
        <v>0</v>
      </c>
      <c r="AK2013">
        <v>0</v>
      </c>
      <c r="AL2013">
        <v>0</v>
      </c>
      <c r="AM2013">
        <v>0</v>
      </c>
      <c r="AN2013">
        <v>0</v>
      </c>
      <c r="AO2013">
        <v>0</v>
      </c>
      <c r="AP2013">
        <v>0</v>
      </c>
      <c r="AQ2013">
        <v>0</v>
      </c>
      <c r="AR2013">
        <v>1</v>
      </c>
      <c r="AS2013">
        <v>0</v>
      </c>
      <c r="AT2013">
        <v>0</v>
      </c>
      <c r="AU2013">
        <f t="shared" si="62"/>
        <v>0</v>
      </c>
      <c r="AV2013">
        <f t="shared" si="63"/>
        <v>0</v>
      </c>
    </row>
    <row r="2014" spans="1:48" x14ac:dyDescent="0.25">
      <c r="A2014" t="s">
        <v>7443</v>
      </c>
      <c r="C2014" t="s">
        <v>7444</v>
      </c>
      <c r="D2014" t="s">
        <v>7445</v>
      </c>
      <c r="E2014" t="s">
        <v>2310</v>
      </c>
      <c r="F2014">
        <v>9</v>
      </c>
      <c r="G2014">
        <v>9.3000000000000007</v>
      </c>
      <c r="H2014" t="s">
        <v>2323</v>
      </c>
      <c r="I2014" s="21">
        <v>38931</v>
      </c>
      <c r="J2014">
        <v>2006</v>
      </c>
      <c r="K2014" s="21">
        <v>38965</v>
      </c>
      <c r="L2014">
        <v>2006</v>
      </c>
      <c r="M2014" s="21">
        <v>39146</v>
      </c>
      <c r="N2014">
        <v>2007</v>
      </c>
      <c r="R2014" s="262">
        <v>175000</v>
      </c>
      <c r="S2014" t="s">
        <v>114</v>
      </c>
      <c r="T2014" t="s">
        <v>114</v>
      </c>
      <c r="U2014">
        <v>5</v>
      </c>
      <c r="W2014">
        <v>2256</v>
      </c>
      <c r="X2014">
        <v>1</v>
      </c>
      <c r="Y2014">
        <v>0</v>
      </c>
      <c r="Z2014">
        <v>0</v>
      </c>
      <c r="AA2014">
        <v>0</v>
      </c>
      <c r="AB2014">
        <v>0</v>
      </c>
      <c r="AC2014">
        <v>2256</v>
      </c>
      <c r="AD2014">
        <v>0</v>
      </c>
      <c r="AE2014">
        <v>0</v>
      </c>
      <c r="AF2014">
        <v>0</v>
      </c>
      <c r="AG2014">
        <v>0</v>
      </c>
      <c r="AH2014">
        <v>0</v>
      </c>
      <c r="AI2014">
        <v>0</v>
      </c>
      <c r="AJ2014">
        <v>0</v>
      </c>
      <c r="AK2014">
        <v>0</v>
      </c>
      <c r="AL2014">
        <v>0</v>
      </c>
      <c r="AM2014">
        <v>0</v>
      </c>
      <c r="AN2014">
        <v>0</v>
      </c>
      <c r="AO2014">
        <v>1</v>
      </c>
      <c r="AP2014">
        <v>0</v>
      </c>
      <c r="AQ2014">
        <v>0</v>
      </c>
      <c r="AR2014">
        <v>0</v>
      </c>
      <c r="AS2014">
        <v>0</v>
      </c>
      <c r="AT2014">
        <v>0</v>
      </c>
      <c r="AU2014">
        <f t="shared" si="62"/>
        <v>1</v>
      </c>
      <c r="AV2014">
        <f t="shared" si="63"/>
        <v>0</v>
      </c>
    </row>
    <row r="2015" spans="1:48" x14ac:dyDescent="0.25">
      <c r="A2015" t="s">
        <v>7446</v>
      </c>
      <c r="C2015" t="s">
        <v>7447</v>
      </c>
      <c r="D2015" t="s">
        <v>7448</v>
      </c>
      <c r="E2015" t="s">
        <v>1663</v>
      </c>
      <c r="F2015">
        <v>6</v>
      </c>
      <c r="G2015">
        <v>6.2</v>
      </c>
      <c r="H2015" t="s">
        <v>2017</v>
      </c>
      <c r="I2015" s="21">
        <v>38932</v>
      </c>
      <c r="J2015">
        <v>2006</v>
      </c>
      <c r="K2015" s="21">
        <v>38963</v>
      </c>
      <c r="L2015">
        <v>2006</v>
      </c>
      <c r="M2015" s="21">
        <v>39116</v>
      </c>
      <c r="N2015">
        <v>2007</v>
      </c>
      <c r="Q2015" s="262">
        <v>0</v>
      </c>
      <c r="S2015" t="s">
        <v>114</v>
      </c>
      <c r="T2015" t="s">
        <v>114</v>
      </c>
      <c r="W2015">
        <v>73</v>
      </c>
      <c r="X2015">
        <v>0</v>
      </c>
      <c r="Y2015">
        <v>0</v>
      </c>
      <c r="Z2015">
        <v>0</v>
      </c>
      <c r="AA2015">
        <v>0</v>
      </c>
      <c r="AB2015">
        <v>0</v>
      </c>
      <c r="AC2015">
        <v>73</v>
      </c>
      <c r="AD2015">
        <v>0</v>
      </c>
      <c r="AE2015">
        <v>0</v>
      </c>
      <c r="AF2015">
        <v>0</v>
      </c>
      <c r="AG2015">
        <v>0</v>
      </c>
      <c r="AH2015">
        <v>0</v>
      </c>
      <c r="AI2015">
        <v>0</v>
      </c>
      <c r="AJ2015">
        <v>0</v>
      </c>
      <c r="AK2015">
        <v>0</v>
      </c>
      <c r="AL2015">
        <v>0</v>
      </c>
      <c r="AM2015">
        <v>0</v>
      </c>
      <c r="AN2015">
        <v>0</v>
      </c>
      <c r="AO2015">
        <v>0</v>
      </c>
      <c r="AP2015">
        <v>0</v>
      </c>
      <c r="AQ2015">
        <v>0</v>
      </c>
      <c r="AR2015">
        <v>0</v>
      </c>
      <c r="AS2015">
        <v>0</v>
      </c>
      <c r="AT2015">
        <v>0</v>
      </c>
      <c r="AU2015">
        <f t="shared" si="62"/>
        <v>0</v>
      </c>
      <c r="AV2015">
        <f t="shared" si="63"/>
        <v>0</v>
      </c>
    </row>
    <row r="2016" spans="1:48" x14ac:dyDescent="0.25">
      <c r="A2016" t="s">
        <v>7449</v>
      </c>
      <c r="C2016" t="s">
        <v>7450</v>
      </c>
      <c r="D2016" t="s">
        <v>7451</v>
      </c>
      <c r="E2016" t="s">
        <v>2310</v>
      </c>
      <c r="F2016">
        <v>10</v>
      </c>
      <c r="G2016">
        <v>10.1</v>
      </c>
      <c r="H2016" t="s">
        <v>2323</v>
      </c>
      <c r="I2016" s="21">
        <v>38932</v>
      </c>
      <c r="J2016">
        <v>2006</v>
      </c>
      <c r="K2016" s="21">
        <v>38981</v>
      </c>
      <c r="L2016">
        <v>2006</v>
      </c>
      <c r="M2016" s="21">
        <v>38981</v>
      </c>
      <c r="N2016">
        <v>2006</v>
      </c>
      <c r="R2016" s="262">
        <v>280000</v>
      </c>
      <c r="S2016" t="s">
        <v>114</v>
      </c>
      <c r="T2016" t="s">
        <v>114</v>
      </c>
      <c r="U2016">
        <v>5</v>
      </c>
      <c r="W2016">
        <v>2553</v>
      </c>
      <c r="X2016">
        <v>1</v>
      </c>
      <c r="Y2016">
        <v>0</v>
      </c>
      <c r="Z2016">
        <v>0</v>
      </c>
      <c r="AA2016">
        <v>0</v>
      </c>
      <c r="AB2016">
        <v>0</v>
      </c>
      <c r="AC2016">
        <v>2553</v>
      </c>
      <c r="AD2016">
        <v>0</v>
      </c>
      <c r="AE2016">
        <v>0</v>
      </c>
      <c r="AF2016">
        <v>0</v>
      </c>
      <c r="AG2016">
        <v>0</v>
      </c>
      <c r="AH2016">
        <v>0</v>
      </c>
      <c r="AI2016">
        <v>0</v>
      </c>
      <c r="AJ2016">
        <v>0</v>
      </c>
      <c r="AK2016">
        <v>0</v>
      </c>
      <c r="AL2016">
        <v>0</v>
      </c>
      <c r="AM2016">
        <v>0</v>
      </c>
      <c r="AN2016">
        <v>0</v>
      </c>
      <c r="AO2016">
        <v>1</v>
      </c>
      <c r="AP2016">
        <v>0</v>
      </c>
      <c r="AQ2016">
        <v>0</v>
      </c>
      <c r="AR2016">
        <v>0</v>
      </c>
      <c r="AS2016">
        <v>0</v>
      </c>
      <c r="AT2016">
        <v>0</v>
      </c>
      <c r="AU2016">
        <f t="shared" si="62"/>
        <v>1</v>
      </c>
      <c r="AV2016">
        <f t="shared" si="63"/>
        <v>0</v>
      </c>
    </row>
    <row r="2017" spans="1:48" x14ac:dyDescent="0.25">
      <c r="A2017" t="s">
        <v>7452</v>
      </c>
      <c r="C2017" t="s">
        <v>7453</v>
      </c>
      <c r="D2017" t="s">
        <v>7454</v>
      </c>
      <c r="E2017" t="s">
        <v>2310</v>
      </c>
      <c r="F2017">
        <v>15</v>
      </c>
      <c r="G2017">
        <v>15.1</v>
      </c>
      <c r="H2017" t="s">
        <v>2022</v>
      </c>
      <c r="I2017" s="21">
        <v>38932</v>
      </c>
      <c r="J2017">
        <v>2006</v>
      </c>
      <c r="K2017" s="21">
        <v>39008</v>
      </c>
      <c r="L2017">
        <v>2006</v>
      </c>
      <c r="M2017" s="21">
        <v>39008</v>
      </c>
      <c r="N2017">
        <v>2006</v>
      </c>
      <c r="R2017" s="262">
        <v>39000</v>
      </c>
      <c r="S2017" t="s">
        <v>114</v>
      </c>
      <c r="T2017" t="s">
        <v>114</v>
      </c>
      <c r="U2017">
        <v>5</v>
      </c>
      <c r="W2017">
        <v>440</v>
      </c>
      <c r="X2017">
        <v>1</v>
      </c>
      <c r="Y2017">
        <v>0</v>
      </c>
      <c r="Z2017">
        <v>0</v>
      </c>
      <c r="AA2017">
        <v>0</v>
      </c>
      <c r="AB2017">
        <v>0</v>
      </c>
      <c r="AC2017">
        <v>440</v>
      </c>
      <c r="AD2017">
        <v>0</v>
      </c>
      <c r="AE2017">
        <v>0</v>
      </c>
      <c r="AF2017">
        <v>0</v>
      </c>
      <c r="AG2017">
        <v>0</v>
      </c>
      <c r="AH2017">
        <v>0</v>
      </c>
      <c r="AI2017">
        <v>0</v>
      </c>
      <c r="AJ2017">
        <v>0</v>
      </c>
      <c r="AK2017">
        <v>0</v>
      </c>
      <c r="AL2017">
        <v>0</v>
      </c>
      <c r="AM2017">
        <v>0</v>
      </c>
      <c r="AN2017">
        <v>0</v>
      </c>
      <c r="AO2017">
        <v>1</v>
      </c>
      <c r="AP2017">
        <v>0</v>
      </c>
      <c r="AQ2017">
        <v>0</v>
      </c>
      <c r="AR2017">
        <v>0</v>
      </c>
      <c r="AS2017">
        <v>0</v>
      </c>
      <c r="AT2017">
        <v>0</v>
      </c>
      <c r="AU2017">
        <f t="shared" si="62"/>
        <v>1</v>
      </c>
      <c r="AV2017">
        <f t="shared" si="63"/>
        <v>0</v>
      </c>
    </row>
    <row r="2018" spans="1:48" x14ac:dyDescent="0.25">
      <c r="A2018" t="s">
        <v>7455</v>
      </c>
      <c r="C2018" t="s">
        <v>7183</v>
      </c>
      <c r="D2018" t="s">
        <v>7456</v>
      </c>
      <c r="E2018" t="s">
        <v>2310</v>
      </c>
      <c r="F2018">
        <v>11</v>
      </c>
      <c r="G2018">
        <v>11.3</v>
      </c>
      <c r="H2018" t="s">
        <v>2017</v>
      </c>
      <c r="I2018" s="21">
        <v>38936</v>
      </c>
      <c r="J2018">
        <v>2006</v>
      </c>
      <c r="K2018" s="21">
        <v>38971</v>
      </c>
      <c r="L2018">
        <v>2006</v>
      </c>
      <c r="M2018" s="21">
        <v>39315</v>
      </c>
      <c r="N2018">
        <v>2007</v>
      </c>
      <c r="R2018" s="262">
        <v>966000</v>
      </c>
      <c r="S2018" t="s">
        <v>114</v>
      </c>
      <c r="T2018" t="s">
        <v>114</v>
      </c>
      <c r="U2018">
        <v>5</v>
      </c>
      <c r="W2018">
        <v>3864</v>
      </c>
      <c r="X2018">
        <v>1</v>
      </c>
      <c r="Y2018">
        <v>0</v>
      </c>
      <c r="Z2018">
        <v>0</v>
      </c>
      <c r="AA2018">
        <v>0</v>
      </c>
      <c r="AB2018">
        <v>0</v>
      </c>
      <c r="AC2018">
        <v>3864</v>
      </c>
      <c r="AD2018">
        <v>0</v>
      </c>
      <c r="AE2018">
        <v>0</v>
      </c>
      <c r="AF2018">
        <v>0</v>
      </c>
      <c r="AG2018">
        <v>0</v>
      </c>
      <c r="AH2018">
        <v>0</v>
      </c>
      <c r="AI2018">
        <v>0</v>
      </c>
      <c r="AJ2018">
        <v>0</v>
      </c>
      <c r="AK2018">
        <v>0</v>
      </c>
      <c r="AL2018">
        <v>0</v>
      </c>
      <c r="AM2018">
        <v>0</v>
      </c>
      <c r="AN2018">
        <v>0</v>
      </c>
      <c r="AO2018">
        <v>1</v>
      </c>
      <c r="AP2018">
        <v>0</v>
      </c>
      <c r="AQ2018">
        <v>0</v>
      </c>
      <c r="AR2018">
        <v>0</v>
      </c>
      <c r="AS2018">
        <v>0</v>
      </c>
      <c r="AT2018">
        <v>0</v>
      </c>
      <c r="AU2018">
        <f t="shared" si="62"/>
        <v>1</v>
      </c>
      <c r="AV2018">
        <f t="shared" si="63"/>
        <v>0</v>
      </c>
    </row>
    <row r="2019" spans="1:48" x14ac:dyDescent="0.25">
      <c r="A2019" t="s">
        <v>7457</v>
      </c>
      <c r="C2019" t="s">
        <v>7458</v>
      </c>
      <c r="D2019" t="s">
        <v>3477</v>
      </c>
      <c r="E2019" t="s">
        <v>2310</v>
      </c>
      <c r="F2019">
        <v>9</v>
      </c>
      <c r="G2019">
        <v>9.1999999999999993</v>
      </c>
      <c r="H2019" t="s">
        <v>2022</v>
      </c>
      <c r="I2019" s="21">
        <v>38936</v>
      </c>
      <c r="J2019">
        <v>2006</v>
      </c>
      <c r="K2019" s="21">
        <v>38961</v>
      </c>
      <c r="L2019">
        <v>2006</v>
      </c>
      <c r="M2019" s="21">
        <v>39275</v>
      </c>
      <c r="N2019">
        <v>2007</v>
      </c>
      <c r="R2019" s="262">
        <v>275000</v>
      </c>
      <c r="S2019" t="s">
        <v>114</v>
      </c>
      <c r="T2019" t="s">
        <v>114</v>
      </c>
      <c r="U2019">
        <v>5</v>
      </c>
      <c r="W2019">
        <v>1098</v>
      </c>
      <c r="X2019">
        <v>0</v>
      </c>
      <c r="Y2019">
        <v>0</v>
      </c>
      <c r="Z2019">
        <v>0</v>
      </c>
      <c r="AA2019">
        <v>0</v>
      </c>
      <c r="AB2019">
        <v>0</v>
      </c>
      <c r="AC2019">
        <v>1098</v>
      </c>
      <c r="AD2019">
        <v>0</v>
      </c>
      <c r="AE2019">
        <v>0</v>
      </c>
      <c r="AF2019">
        <v>0</v>
      </c>
      <c r="AG2019">
        <v>0</v>
      </c>
      <c r="AH2019">
        <v>0</v>
      </c>
      <c r="AI2019">
        <v>0</v>
      </c>
      <c r="AJ2019">
        <v>0</v>
      </c>
      <c r="AK2019">
        <v>0</v>
      </c>
      <c r="AL2019">
        <v>0</v>
      </c>
      <c r="AM2019">
        <v>0</v>
      </c>
      <c r="AN2019">
        <v>0</v>
      </c>
      <c r="AO2019">
        <v>0</v>
      </c>
      <c r="AP2019">
        <v>0</v>
      </c>
      <c r="AQ2019">
        <v>0</v>
      </c>
      <c r="AR2019">
        <v>0</v>
      </c>
      <c r="AS2019">
        <v>0</v>
      </c>
      <c r="AT2019">
        <v>0</v>
      </c>
      <c r="AU2019">
        <f t="shared" si="62"/>
        <v>0</v>
      </c>
      <c r="AV2019">
        <f t="shared" si="63"/>
        <v>0</v>
      </c>
    </row>
    <row r="2020" spans="1:48" x14ac:dyDescent="0.25">
      <c r="A2020" t="s">
        <v>7459</v>
      </c>
      <c r="C2020" t="s">
        <v>7460</v>
      </c>
      <c r="D2020" t="s">
        <v>7461</v>
      </c>
      <c r="E2020" t="s">
        <v>2310</v>
      </c>
      <c r="F2020">
        <v>5</v>
      </c>
      <c r="G2020">
        <v>5.5</v>
      </c>
      <c r="H2020" t="s">
        <v>2017</v>
      </c>
      <c r="I2020" s="21">
        <v>38937</v>
      </c>
      <c r="J2020">
        <v>2006</v>
      </c>
      <c r="K2020" s="21">
        <v>38965</v>
      </c>
      <c r="L2020">
        <v>2006</v>
      </c>
      <c r="M2020" s="21">
        <v>39420</v>
      </c>
      <c r="N2020">
        <v>2007</v>
      </c>
      <c r="R2020" s="262">
        <v>45000</v>
      </c>
      <c r="S2020" t="s">
        <v>114</v>
      </c>
      <c r="T2020" t="s">
        <v>114</v>
      </c>
      <c r="U2020">
        <v>5</v>
      </c>
      <c r="W2020">
        <v>269</v>
      </c>
      <c r="X2020">
        <v>0</v>
      </c>
      <c r="Y2020">
        <v>0</v>
      </c>
      <c r="Z2020">
        <v>0</v>
      </c>
      <c r="AA2020">
        <v>0</v>
      </c>
      <c r="AB2020">
        <v>0</v>
      </c>
      <c r="AC2020">
        <v>269</v>
      </c>
      <c r="AD2020">
        <v>0</v>
      </c>
      <c r="AE2020">
        <v>0</v>
      </c>
      <c r="AF2020">
        <v>0</v>
      </c>
      <c r="AG2020">
        <v>0</v>
      </c>
      <c r="AH2020">
        <v>0</v>
      </c>
      <c r="AI2020">
        <v>0</v>
      </c>
      <c r="AJ2020">
        <v>0</v>
      </c>
      <c r="AK2020">
        <v>0</v>
      </c>
      <c r="AL2020">
        <v>0</v>
      </c>
      <c r="AM2020">
        <v>0</v>
      </c>
      <c r="AN2020">
        <v>0</v>
      </c>
      <c r="AO2020">
        <v>0</v>
      </c>
      <c r="AP2020">
        <v>0</v>
      </c>
      <c r="AQ2020">
        <v>0</v>
      </c>
      <c r="AR2020">
        <v>0</v>
      </c>
      <c r="AS2020">
        <v>0</v>
      </c>
      <c r="AT2020">
        <v>0</v>
      </c>
      <c r="AU2020">
        <f t="shared" si="62"/>
        <v>0</v>
      </c>
      <c r="AV2020">
        <f t="shared" si="63"/>
        <v>0</v>
      </c>
    </row>
    <row r="2021" spans="1:48" x14ac:dyDescent="0.25">
      <c r="A2021" t="s">
        <v>7462</v>
      </c>
      <c r="C2021" t="s">
        <v>6444</v>
      </c>
      <c r="D2021" t="s">
        <v>7261</v>
      </c>
      <c r="E2021" t="s">
        <v>2310</v>
      </c>
      <c r="F2021">
        <v>8</v>
      </c>
      <c r="G2021">
        <v>8.1</v>
      </c>
      <c r="H2021" t="s">
        <v>2323</v>
      </c>
      <c r="I2021" s="21">
        <v>38939</v>
      </c>
      <c r="J2021">
        <v>2006</v>
      </c>
      <c r="K2021" s="21">
        <v>38978</v>
      </c>
      <c r="L2021">
        <v>2006</v>
      </c>
      <c r="M2021" s="21">
        <v>43626.6778611111</v>
      </c>
      <c r="N2021">
        <v>2019</v>
      </c>
      <c r="R2021" s="262">
        <v>300000</v>
      </c>
      <c r="S2021" t="s">
        <v>114</v>
      </c>
      <c r="T2021" t="s">
        <v>114</v>
      </c>
      <c r="U2021">
        <v>8</v>
      </c>
      <c r="W2021">
        <v>1047</v>
      </c>
      <c r="X2021">
        <v>1</v>
      </c>
      <c r="Y2021">
        <v>0</v>
      </c>
      <c r="Z2021">
        <v>0</v>
      </c>
      <c r="AA2021">
        <v>0</v>
      </c>
      <c r="AB2021">
        <v>0</v>
      </c>
      <c r="AC2021">
        <v>57</v>
      </c>
      <c r="AD2021">
        <v>0</v>
      </c>
      <c r="AE2021">
        <v>0</v>
      </c>
      <c r="AF2021">
        <v>990</v>
      </c>
      <c r="AG2021">
        <v>0</v>
      </c>
      <c r="AH2021">
        <v>0</v>
      </c>
      <c r="AI2021">
        <v>0</v>
      </c>
      <c r="AJ2021">
        <v>0</v>
      </c>
      <c r="AK2021">
        <v>0</v>
      </c>
      <c r="AL2021">
        <v>0</v>
      </c>
      <c r="AM2021">
        <v>0</v>
      </c>
      <c r="AN2021">
        <v>0</v>
      </c>
      <c r="AO2021">
        <v>0</v>
      </c>
      <c r="AP2021">
        <v>0</v>
      </c>
      <c r="AQ2021">
        <v>0</v>
      </c>
      <c r="AR2021">
        <v>1</v>
      </c>
      <c r="AS2021">
        <v>0</v>
      </c>
      <c r="AT2021">
        <v>0</v>
      </c>
      <c r="AU2021">
        <f t="shared" si="62"/>
        <v>0</v>
      </c>
      <c r="AV2021">
        <f t="shared" si="63"/>
        <v>0</v>
      </c>
    </row>
    <row r="2022" spans="1:48" x14ac:dyDescent="0.25">
      <c r="A2022" t="s">
        <v>7463</v>
      </c>
      <c r="C2022" t="s">
        <v>7464</v>
      </c>
      <c r="D2022" t="s">
        <v>7465</v>
      </c>
      <c r="E2022" t="s">
        <v>2310</v>
      </c>
      <c r="F2022">
        <v>9</v>
      </c>
      <c r="G2022">
        <v>9.3000000000000007</v>
      </c>
      <c r="H2022" t="s">
        <v>2323</v>
      </c>
      <c r="I2022" s="21">
        <v>38939</v>
      </c>
      <c r="J2022">
        <v>2006</v>
      </c>
      <c r="K2022" s="21">
        <v>38973</v>
      </c>
      <c r="L2022">
        <v>2006</v>
      </c>
      <c r="M2022" s="21">
        <v>39363</v>
      </c>
      <c r="N2022">
        <v>2007</v>
      </c>
      <c r="R2022" s="262">
        <v>150000</v>
      </c>
      <c r="S2022" t="s">
        <v>114</v>
      </c>
      <c r="T2022" t="s">
        <v>114</v>
      </c>
      <c r="U2022">
        <v>5</v>
      </c>
      <c r="W2022">
        <v>340</v>
      </c>
      <c r="X2022">
        <v>0</v>
      </c>
      <c r="Y2022">
        <v>0</v>
      </c>
      <c r="Z2022">
        <v>0</v>
      </c>
      <c r="AA2022">
        <v>0</v>
      </c>
      <c r="AB2022">
        <v>0</v>
      </c>
      <c r="AC2022">
        <v>340</v>
      </c>
      <c r="AD2022">
        <v>0</v>
      </c>
      <c r="AE2022">
        <v>0</v>
      </c>
      <c r="AF2022">
        <v>0</v>
      </c>
      <c r="AG2022">
        <v>0</v>
      </c>
      <c r="AH2022">
        <v>0</v>
      </c>
      <c r="AI2022">
        <v>0</v>
      </c>
      <c r="AJ2022">
        <v>0</v>
      </c>
      <c r="AK2022">
        <v>0</v>
      </c>
      <c r="AL2022">
        <v>0</v>
      </c>
      <c r="AM2022">
        <v>0</v>
      </c>
      <c r="AN2022">
        <v>0</v>
      </c>
      <c r="AO2022">
        <v>0</v>
      </c>
      <c r="AP2022">
        <v>0</v>
      </c>
      <c r="AQ2022">
        <v>0</v>
      </c>
      <c r="AR2022">
        <v>0</v>
      </c>
      <c r="AS2022">
        <v>0</v>
      </c>
      <c r="AT2022">
        <v>0</v>
      </c>
      <c r="AU2022">
        <f t="shared" si="62"/>
        <v>0</v>
      </c>
      <c r="AV2022">
        <f t="shared" si="63"/>
        <v>0</v>
      </c>
    </row>
    <row r="2023" spans="1:48" x14ac:dyDescent="0.25">
      <c r="A2023" t="s">
        <v>7466</v>
      </c>
      <c r="C2023" t="s">
        <v>7467</v>
      </c>
      <c r="D2023" t="s">
        <v>7468</v>
      </c>
      <c r="E2023" t="s">
        <v>2310</v>
      </c>
      <c r="F2023">
        <v>14</v>
      </c>
      <c r="G2023">
        <v>14.1</v>
      </c>
      <c r="H2023" t="s">
        <v>2022</v>
      </c>
      <c r="I2023" s="21">
        <v>38939</v>
      </c>
      <c r="J2023">
        <v>2006</v>
      </c>
      <c r="K2023" s="21">
        <v>39003</v>
      </c>
      <c r="L2023">
        <v>2006</v>
      </c>
      <c r="M2023" s="21">
        <v>39471</v>
      </c>
      <c r="N2023">
        <v>2008</v>
      </c>
      <c r="R2023" s="262">
        <v>355000</v>
      </c>
      <c r="S2023" t="s">
        <v>114</v>
      </c>
      <c r="T2023" t="s">
        <v>114</v>
      </c>
      <c r="U2023">
        <v>5</v>
      </c>
      <c r="W2023">
        <v>4546</v>
      </c>
      <c r="X2023">
        <v>1</v>
      </c>
      <c r="Y2023">
        <v>0</v>
      </c>
      <c r="Z2023">
        <v>0</v>
      </c>
      <c r="AA2023">
        <v>0</v>
      </c>
      <c r="AB2023">
        <v>0</v>
      </c>
      <c r="AC2023">
        <v>4546</v>
      </c>
      <c r="AD2023">
        <v>0</v>
      </c>
      <c r="AE2023">
        <v>0</v>
      </c>
      <c r="AF2023">
        <v>0</v>
      </c>
      <c r="AG2023">
        <v>0</v>
      </c>
      <c r="AH2023">
        <v>0</v>
      </c>
      <c r="AI2023">
        <v>0</v>
      </c>
      <c r="AJ2023">
        <v>0</v>
      </c>
      <c r="AK2023">
        <v>0</v>
      </c>
      <c r="AL2023">
        <v>0</v>
      </c>
      <c r="AM2023">
        <v>0</v>
      </c>
      <c r="AN2023">
        <v>0</v>
      </c>
      <c r="AO2023">
        <v>1</v>
      </c>
      <c r="AP2023">
        <v>0</v>
      </c>
      <c r="AQ2023">
        <v>0</v>
      </c>
      <c r="AR2023">
        <v>0</v>
      </c>
      <c r="AS2023">
        <v>0</v>
      </c>
      <c r="AT2023">
        <v>0</v>
      </c>
      <c r="AU2023">
        <f t="shared" si="62"/>
        <v>1</v>
      </c>
      <c r="AV2023">
        <f t="shared" si="63"/>
        <v>0</v>
      </c>
    </row>
    <row r="2024" spans="1:48" x14ac:dyDescent="0.25">
      <c r="A2024" t="s">
        <v>7469</v>
      </c>
      <c r="C2024" t="s">
        <v>7470</v>
      </c>
      <c r="D2024" t="s">
        <v>7158</v>
      </c>
      <c r="E2024" t="s">
        <v>2310</v>
      </c>
      <c r="F2024">
        <v>9</v>
      </c>
      <c r="G2024">
        <v>9.3000000000000007</v>
      </c>
      <c r="H2024" t="s">
        <v>2323</v>
      </c>
      <c r="I2024" s="21">
        <v>38940</v>
      </c>
      <c r="J2024">
        <v>2006</v>
      </c>
      <c r="K2024" s="21">
        <v>38973</v>
      </c>
      <c r="L2024">
        <v>2006</v>
      </c>
      <c r="M2024" s="21">
        <v>38973</v>
      </c>
      <c r="N2024">
        <v>2006</v>
      </c>
      <c r="R2024" s="262">
        <v>10000</v>
      </c>
      <c r="S2024" t="s">
        <v>114</v>
      </c>
      <c r="T2024" t="s">
        <v>114</v>
      </c>
      <c r="U2024">
        <v>5</v>
      </c>
      <c r="W2024">
        <v>39</v>
      </c>
      <c r="X2024">
        <v>0</v>
      </c>
      <c r="Y2024">
        <v>0</v>
      </c>
      <c r="Z2024">
        <v>0</v>
      </c>
      <c r="AA2024">
        <v>0</v>
      </c>
      <c r="AB2024">
        <v>0</v>
      </c>
      <c r="AC2024">
        <v>39</v>
      </c>
      <c r="AD2024">
        <v>0</v>
      </c>
      <c r="AE2024">
        <v>0</v>
      </c>
      <c r="AF2024">
        <v>0</v>
      </c>
      <c r="AG2024">
        <v>0</v>
      </c>
      <c r="AH2024">
        <v>0</v>
      </c>
      <c r="AI2024">
        <v>0</v>
      </c>
      <c r="AJ2024">
        <v>0</v>
      </c>
      <c r="AK2024">
        <v>0</v>
      </c>
      <c r="AL2024">
        <v>0</v>
      </c>
      <c r="AM2024">
        <v>0</v>
      </c>
      <c r="AN2024">
        <v>0</v>
      </c>
      <c r="AO2024">
        <v>0</v>
      </c>
      <c r="AP2024">
        <v>0</v>
      </c>
      <c r="AQ2024">
        <v>0</v>
      </c>
      <c r="AR2024">
        <v>0</v>
      </c>
      <c r="AS2024">
        <v>0</v>
      </c>
      <c r="AT2024">
        <v>0</v>
      </c>
      <c r="AU2024">
        <f t="shared" si="62"/>
        <v>0</v>
      </c>
      <c r="AV2024">
        <f t="shared" si="63"/>
        <v>0</v>
      </c>
    </row>
    <row r="2025" spans="1:48" x14ac:dyDescent="0.25">
      <c r="A2025" t="s">
        <v>7471</v>
      </c>
      <c r="C2025" t="s">
        <v>7472</v>
      </c>
      <c r="D2025" t="s">
        <v>4454</v>
      </c>
      <c r="E2025" t="s">
        <v>2310</v>
      </c>
      <c r="F2025">
        <v>9</v>
      </c>
      <c r="G2025">
        <v>9.3000000000000007</v>
      </c>
      <c r="H2025" t="s">
        <v>2323</v>
      </c>
      <c r="I2025" s="21">
        <v>38940</v>
      </c>
      <c r="J2025">
        <v>2006</v>
      </c>
      <c r="K2025" s="21">
        <v>38993</v>
      </c>
      <c r="L2025">
        <v>2006</v>
      </c>
      <c r="M2025" s="21">
        <v>39434</v>
      </c>
      <c r="N2025">
        <v>2007</v>
      </c>
      <c r="R2025" s="262">
        <v>185000</v>
      </c>
      <c r="S2025" t="s">
        <v>114</v>
      </c>
      <c r="T2025" t="s">
        <v>114</v>
      </c>
      <c r="U2025">
        <v>21</v>
      </c>
      <c r="W2025">
        <v>2450</v>
      </c>
      <c r="X2025">
        <v>1</v>
      </c>
      <c r="Y2025">
        <v>0</v>
      </c>
      <c r="Z2025">
        <v>0</v>
      </c>
      <c r="AA2025">
        <v>0</v>
      </c>
      <c r="AB2025">
        <v>0</v>
      </c>
      <c r="AC2025">
        <v>0</v>
      </c>
      <c r="AD2025">
        <v>0</v>
      </c>
      <c r="AE2025">
        <v>850</v>
      </c>
      <c r="AF2025">
        <v>0</v>
      </c>
      <c r="AG2025">
        <v>0</v>
      </c>
      <c r="AH2025">
        <v>0</v>
      </c>
      <c r="AI2025">
        <v>0</v>
      </c>
      <c r="AJ2025">
        <v>1600</v>
      </c>
      <c r="AK2025">
        <v>0</v>
      </c>
      <c r="AL2025">
        <v>0</v>
      </c>
      <c r="AM2025">
        <v>0</v>
      </c>
      <c r="AN2025">
        <v>0</v>
      </c>
      <c r="AO2025">
        <v>0</v>
      </c>
      <c r="AP2025">
        <v>0</v>
      </c>
      <c r="AQ2025">
        <v>1</v>
      </c>
      <c r="AR2025">
        <v>0</v>
      </c>
      <c r="AS2025">
        <v>0</v>
      </c>
      <c r="AT2025">
        <v>0</v>
      </c>
      <c r="AU2025">
        <f t="shared" si="62"/>
        <v>1</v>
      </c>
      <c r="AV2025">
        <f t="shared" si="63"/>
        <v>1600</v>
      </c>
    </row>
    <row r="2026" spans="1:48" x14ac:dyDescent="0.25">
      <c r="A2026" t="s">
        <v>7473</v>
      </c>
      <c r="C2026" t="s">
        <v>7474</v>
      </c>
      <c r="D2026" t="s">
        <v>7475</v>
      </c>
      <c r="E2026" t="s">
        <v>2310</v>
      </c>
      <c r="F2026">
        <v>9</v>
      </c>
      <c r="G2026">
        <v>9.3000000000000007</v>
      </c>
      <c r="H2026" t="s">
        <v>2323</v>
      </c>
      <c r="I2026" s="21">
        <v>38940</v>
      </c>
      <c r="J2026">
        <v>2006</v>
      </c>
      <c r="K2026" s="21">
        <v>38993</v>
      </c>
      <c r="L2026">
        <v>2006</v>
      </c>
      <c r="M2026" s="21">
        <v>39434</v>
      </c>
      <c r="N2026">
        <v>2007</v>
      </c>
      <c r="R2026" s="262">
        <v>347000</v>
      </c>
      <c r="S2026" t="s">
        <v>114</v>
      </c>
      <c r="T2026" t="s">
        <v>114</v>
      </c>
      <c r="U2026">
        <v>21</v>
      </c>
      <c r="W2026">
        <v>4860</v>
      </c>
      <c r="X2026">
        <v>2</v>
      </c>
      <c r="Y2026">
        <v>0</v>
      </c>
      <c r="Z2026">
        <v>0</v>
      </c>
      <c r="AA2026">
        <v>0</v>
      </c>
      <c r="AB2026">
        <v>0</v>
      </c>
      <c r="AC2026">
        <v>0</v>
      </c>
      <c r="AD2026">
        <v>0</v>
      </c>
      <c r="AE2026">
        <v>1600</v>
      </c>
      <c r="AF2026">
        <v>0</v>
      </c>
      <c r="AG2026">
        <v>0</v>
      </c>
      <c r="AH2026">
        <v>0</v>
      </c>
      <c r="AI2026">
        <v>0</v>
      </c>
      <c r="AJ2026">
        <v>3260</v>
      </c>
      <c r="AK2026">
        <v>0</v>
      </c>
      <c r="AL2026">
        <v>0</v>
      </c>
      <c r="AM2026">
        <v>0</v>
      </c>
      <c r="AN2026">
        <v>0</v>
      </c>
      <c r="AO2026">
        <v>0</v>
      </c>
      <c r="AP2026">
        <v>0</v>
      </c>
      <c r="AQ2026">
        <v>2</v>
      </c>
      <c r="AR2026">
        <v>0</v>
      </c>
      <c r="AS2026">
        <v>0</v>
      </c>
      <c r="AT2026">
        <v>0</v>
      </c>
      <c r="AU2026">
        <f t="shared" si="62"/>
        <v>2</v>
      </c>
      <c r="AV2026">
        <f t="shared" si="63"/>
        <v>3260</v>
      </c>
    </row>
    <row r="2027" spans="1:48" x14ac:dyDescent="0.25">
      <c r="A2027" t="s">
        <v>7476</v>
      </c>
      <c r="C2027" t="s">
        <v>7477</v>
      </c>
      <c r="D2027" t="s">
        <v>7478</v>
      </c>
      <c r="E2027" t="s">
        <v>2310</v>
      </c>
      <c r="F2027">
        <v>8</v>
      </c>
      <c r="G2027">
        <v>8.3000000000000007</v>
      </c>
      <c r="H2027" t="s">
        <v>2323</v>
      </c>
      <c r="I2027" s="21">
        <v>38940</v>
      </c>
      <c r="J2027">
        <v>2006</v>
      </c>
      <c r="K2027" s="21">
        <v>38951</v>
      </c>
      <c r="L2027">
        <v>2006</v>
      </c>
      <c r="M2027" s="21">
        <v>39051</v>
      </c>
      <c r="N2027">
        <v>2006</v>
      </c>
      <c r="R2027" s="262">
        <v>5000</v>
      </c>
      <c r="S2027" t="s">
        <v>114</v>
      </c>
      <c r="T2027" t="s">
        <v>114</v>
      </c>
      <c r="U2027">
        <v>5</v>
      </c>
      <c r="W2027">
        <v>364</v>
      </c>
      <c r="X2027">
        <v>0</v>
      </c>
      <c r="Y2027">
        <v>0</v>
      </c>
      <c r="Z2027">
        <v>0</v>
      </c>
      <c r="AA2027">
        <v>0</v>
      </c>
      <c r="AB2027">
        <v>0</v>
      </c>
      <c r="AC2027">
        <v>364</v>
      </c>
      <c r="AD2027">
        <v>0</v>
      </c>
      <c r="AE2027">
        <v>0</v>
      </c>
      <c r="AF2027">
        <v>0</v>
      </c>
      <c r="AG2027">
        <v>0</v>
      </c>
      <c r="AH2027">
        <v>0</v>
      </c>
      <c r="AI2027">
        <v>0</v>
      </c>
      <c r="AJ2027">
        <v>0</v>
      </c>
      <c r="AK2027">
        <v>0</v>
      </c>
      <c r="AL2027">
        <v>0</v>
      </c>
      <c r="AM2027">
        <v>0</v>
      </c>
      <c r="AN2027">
        <v>0</v>
      </c>
      <c r="AO2027">
        <v>0</v>
      </c>
      <c r="AP2027">
        <v>0</v>
      </c>
      <c r="AQ2027">
        <v>0</v>
      </c>
      <c r="AR2027">
        <v>0</v>
      </c>
      <c r="AS2027">
        <v>0</v>
      </c>
      <c r="AT2027">
        <v>0</v>
      </c>
      <c r="AU2027">
        <f t="shared" si="62"/>
        <v>0</v>
      </c>
      <c r="AV2027">
        <f t="shared" si="63"/>
        <v>0</v>
      </c>
    </row>
    <row r="2028" spans="1:48" x14ac:dyDescent="0.25">
      <c r="A2028" t="s">
        <v>7479</v>
      </c>
      <c r="C2028" t="s">
        <v>7480</v>
      </c>
      <c r="D2028" t="s">
        <v>6484</v>
      </c>
      <c r="E2028" t="s">
        <v>2310</v>
      </c>
      <c r="F2028">
        <v>11</v>
      </c>
      <c r="G2028">
        <v>11.2</v>
      </c>
      <c r="H2028" t="s">
        <v>2017</v>
      </c>
      <c r="I2028" s="21">
        <v>38943</v>
      </c>
      <c r="J2028">
        <v>2006</v>
      </c>
      <c r="K2028" s="21">
        <v>38981</v>
      </c>
      <c r="L2028">
        <v>2006</v>
      </c>
      <c r="M2028" s="21">
        <v>40184.598877314798</v>
      </c>
      <c r="N2028">
        <v>2010</v>
      </c>
      <c r="R2028" s="262">
        <v>250000</v>
      </c>
      <c r="S2028" t="s">
        <v>114</v>
      </c>
      <c r="T2028" t="s">
        <v>114</v>
      </c>
      <c r="U2028">
        <v>5</v>
      </c>
      <c r="W2028">
        <v>2247</v>
      </c>
      <c r="X2028">
        <v>0</v>
      </c>
      <c r="Y2028">
        <v>0</v>
      </c>
      <c r="Z2028">
        <v>0</v>
      </c>
      <c r="AA2028">
        <v>0</v>
      </c>
      <c r="AB2028">
        <v>0</v>
      </c>
      <c r="AC2028">
        <v>2247</v>
      </c>
      <c r="AD2028">
        <v>0</v>
      </c>
      <c r="AE2028">
        <v>0</v>
      </c>
      <c r="AF2028">
        <v>0</v>
      </c>
      <c r="AG2028">
        <v>0</v>
      </c>
      <c r="AH2028">
        <v>0</v>
      </c>
      <c r="AI2028">
        <v>0</v>
      </c>
      <c r="AJ2028">
        <v>0</v>
      </c>
      <c r="AK2028">
        <v>0</v>
      </c>
      <c r="AL2028">
        <v>0</v>
      </c>
      <c r="AM2028">
        <v>0</v>
      </c>
      <c r="AN2028">
        <v>0</v>
      </c>
      <c r="AO2028">
        <v>0</v>
      </c>
      <c r="AP2028">
        <v>0</v>
      </c>
      <c r="AQ2028">
        <v>0</v>
      </c>
      <c r="AR2028">
        <v>0</v>
      </c>
      <c r="AS2028">
        <v>0</v>
      </c>
      <c r="AT2028">
        <v>0</v>
      </c>
      <c r="AU2028">
        <f t="shared" si="62"/>
        <v>0</v>
      </c>
      <c r="AV2028">
        <f t="shared" si="63"/>
        <v>0</v>
      </c>
    </row>
    <row r="2029" spans="1:48" x14ac:dyDescent="0.25">
      <c r="A2029" t="s">
        <v>7481</v>
      </c>
      <c r="C2029" t="s">
        <v>7482</v>
      </c>
      <c r="D2029" t="s">
        <v>7483</v>
      </c>
      <c r="E2029" t="s">
        <v>2310</v>
      </c>
      <c r="F2029">
        <v>9</v>
      </c>
      <c r="G2029">
        <v>9.4</v>
      </c>
      <c r="H2029" t="s">
        <v>2323</v>
      </c>
      <c r="I2029" s="21">
        <v>38943</v>
      </c>
      <c r="J2029">
        <v>2006</v>
      </c>
      <c r="K2029" s="21">
        <v>38979</v>
      </c>
      <c r="L2029">
        <v>2006</v>
      </c>
      <c r="M2029" s="21">
        <v>39275</v>
      </c>
      <c r="N2029">
        <v>2007</v>
      </c>
      <c r="R2029" s="262">
        <v>160000</v>
      </c>
      <c r="S2029" t="s">
        <v>114</v>
      </c>
      <c r="T2029" t="s">
        <v>114</v>
      </c>
      <c r="U2029">
        <v>5</v>
      </c>
      <c r="W2029">
        <v>348</v>
      </c>
      <c r="X2029">
        <v>0</v>
      </c>
      <c r="Y2029">
        <v>0</v>
      </c>
      <c r="Z2029">
        <v>0</v>
      </c>
      <c r="AA2029">
        <v>0</v>
      </c>
      <c r="AB2029">
        <v>0</v>
      </c>
      <c r="AC2029">
        <v>348</v>
      </c>
      <c r="AD2029">
        <v>0</v>
      </c>
      <c r="AE2029">
        <v>0</v>
      </c>
      <c r="AF2029">
        <v>0</v>
      </c>
      <c r="AG2029">
        <v>0</v>
      </c>
      <c r="AH2029">
        <v>0</v>
      </c>
      <c r="AI2029">
        <v>0</v>
      </c>
      <c r="AJ2029">
        <v>0</v>
      </c>
      <c r="AK2029">
        <v>0</v>
      </c>
      <c r="AL2029">
        <v>0</v>
      </c>
      <c r="AM2029">
        <v>0</v>
      </c>
      <c r="AN2029">
        <v>0</v>
      </c>
      <c r="AO2029">
        <v>0</v>
      </c>
      <c r="AP2029">
        <v>0</v>
      </c>
      <c r="AQ2029">
        <v>0</v>
      </c>
      <c r="AR2029">
        <v>0</v>
      </c>
      <c r="AS2029">
        <v>0</v>
      </c>
      <c r="AT2029">
        <v>0</v>
      </c>
      <c r="AU2029">
        <f t="shared" si="62"/>
        <v>0</v>
      </c>
      <c r="AV2029">
        <f t="shared" si="63"/>
        <v>0</v>
      </c>
    </row>
    <row r="2030" spans="1:48" x14ac:dyDescent="0.25">
      <c r="A2030" t="s">
        <v>7484</v>
      </c>
      <c r="C2030" t="s">
        <v>7485</v>
      </c>
      <c r="D2030" t="s">
        <v>7486</v>
      </c>
      <c r="E2030" t="s">
        <v>2310</v>
      </c>
      <c r="F2030">
        <v>9</v>
      </c>
      <c r="G2030">
        <v>9.1999999999999993</v>
      </c>
      <c r="H2030" t="s">
        <v>2022</v>
      </c>
      <c r="I2030" s="21">
        <v>38943</v>
      </c>
      <c r="J2030">
        <v>2006</v>
      </c>
      <c r="K2030" s="21">
        <v>38978</v>
      </c>
      <c r="L2030">
        <v>2006</v>
      </c>
      <c r="M2030" s="21">
        <v>38978</v>
      </c>
      <c r="N2030">
        <v>2006</v>
      </c>
      <c r="R2030" s="262">
        <v>150000</v>
      </c>
      <c r="S2030" t="s">
        <v>114</v>
      </c>
      <c r="T2030" t="s">
        <v>114</v>
      </c>
      <c r="U2030">
        <v>5</v>
      </c>
      <c r="W2030">
        <v>1854</v>
      </c>
      <c r="X2030">
        <v>0</v>
      </c>
      <c r="Y2030">
        <v>0</v>
      </c>
      <c r="Z2030">
        <v>0</v>
      </c>
      <c r="AA2030">
        <v>0</v>
      </c>
      <c r="AB2030">
        <v>0</v>
      </c>
      <c r="AC2030">
        <v>1854</v>
      </c>
      <c r="AD2030">
        <v>0</v>
      </c>
      <c r="AE2030">
        <v>0</v>
      </c>
      <c r="AF2030">
        <v>0</v>
      </c>
      <c r="AG2030">
        <v>0</v>
      </c>
      <c r="AH2030">
        <v>0</v>
      </c>
      <c r="AI2030">
        <v>0</v>
      </c>
      <c r="AJ2030">
        <v>0</v>
      </c>
      <c r="AK2030">
        <v>0</v>
      </c>
      <c r="AL2030">
        <v>0</v>
      </c>
      <c r="AM2030">
        <v>0</v>
      </c>
      <c r="AN2030">
        <v>0</v>
      </c>
      <c r="AO2030">
        <v>0</v>
      </c>
      <c r="AP2030">
        <v>0</v>
      </c>
      <c r="AQ2030">
        <v>0</v>
      </c>
      <c r="AR2030">
        <v>0</v>
      </c>
      <c r="AS2030">
        <v>0</v>
      </c>
      <c r="AT2030">
        <v>0</v>
      </c>
      <c r="AU2030">
        <f t="shared" si="62"/>
        <v>0</v>
      </c>
      <c r="AV2030">
        <f t="shared" si="63"/>
        <v>0</v>
      </c>
    </row>
    <row r="2031" spans="1:48" x14ac:dyDescent="0.25">
      <c r="A2031" t="s">
        <v>7487</v>
      </c>
      <c r="C2031" t="s">
        <v>7354</v>
      </c>
      <c r="D2031" t="s">
        <v>7488</v>
      </c>
      <c r="E2031" t="s">
        <v>2310</v>
      </c>
      <c r="F2031">
        <v>10</v>
      </c>
      <c r="G2031">
        <v>10.1</v>
      </c>
      <c r="H2031" t="s">
        <v>2323</v>
      </c>
      <c r="I2031" s="21">
        <v>38944</v>
      </c>
      <c r="J2031">
        <v>2006</v>
      </c>
      <c r="K2031" s="21">
        <v>38982</v>
      </c>
      <c r="L2031">
        <v>2006</v>
      </c>
      <c r="M2031" s="21">
        <v>39401</v>
      </c>
      <c r="N2031">
        <v>2007</v>
      </c>
      <c r="R2031" s="262">
        <v>405000</v>
      </c>
      <c r="S2031" t="s">
        <v>114</v>
      </c>
      <c r="T2031" t="s">
        <v>114</v>
      </c>
      <c r="U2031">
        <v>5</v>
      </c>
      <c r="W2031">
        <v>4867</v>
      </c>
      <c r="X2031">
        <v>1</v>
      </c>
      <c r="Y2031">
        <v>0</v>
      </c>
      <c r="Z2031">
        <v>0</v>
      </c>
      <c r="AA2031">
        <v>0</v>
      </c>
      <c r="AB2031">
        <v>0</v>
      </c>
      <c r="AC2031">
        <v>4867</v>
      </c>
      <c r="AD2031">
        <v>0</v>
      </c>
      <c r="AE2031">
        <v>0</v>
      </c>
      <c r="AF2031">
        <v>0</v>
      </c>
      <c r="AG2031">
        <v>0</v>
      </c>
      <c r="AH2031">
        <v>0</v>
      </c>
      <c r="AI2031">
        <v>0</v>
      </c>
      <c r="AJ2031">
        <v>0</v>
      </c>
      <c r="AK2031">
        <v>0</v>
      </c>
      <c r="AL2031">
        <v>0</v>
      </c>
      <c r="AM2031">
        <v>0</v>
      </c>
      <c r="AN2031">
        <v>0</v>
      </c>
      <c r="AO2031">
        <v>1</v>
      </c>
      <c r="AP2031">
        <v>0</v>
      </c>
      <c r="AQ2031">
        <v>0</v>
      </c>
      <c r="AR2031">
        <v>0</v>
      </c>
      <c r="AS2031">
        <v>0</v>
      </c>
      <c r="AT2031">
        <v>0</v>
      </c>
      <c r="AU2031">
        <f t="shared" si="62"/>
        <v>1</v>
      </c>
      <c r="AV2031">
        <f t="shared" si="63"/>
        <v>0</v>
      </c>
    </row>
    <row r="2032" spans="1:48" x14ac:dyDescent="0.25">
      <c r="A2032" t="s">
        <v>7489</v>
      </c>
      <c r="C2032" t="s">
        <v>6795</v>
      </c>
      <c r="D2032" t="s">
        <v>6036</v>
      </c>
      <c r="E2032" t="s">
        <v>2310</v>
      </c>
      <c r="F2032">
        <v>15</v>
      </c>
      <c r="G2032">
        <v>15.2</v>
      </c>
      <c r="H2032" t="s">
        <v>2323</v>
      </c>
      <c r="I2032" s="21">
        <v>38945</v>
      </c>
      <c r="J2032">
        <v>2006</v>
      </c>
      <c r="K2032" s="21">
        <v>39009</v>
      </c>
      <c r="L2032">
        <v>2006</v>
      </c>
      <c r="M2032" s="21">
        <v>40689.533935185202</v>
      </c>
      <c r="N2032">
        <v>2011</v>
      </c>
      <c r="R2032" s="262">
        <v>3200000</v>
      </c>
      <c r="S2032" t="s">
        <v>114</v>
      </c>
      <c r="T2032" t="s">
        <v>114</v>
      </c>
      <c r="U2032">
        <v>5</v>
      </c>
      <c r="W2032">
        <v>12858</v>
      </c>
      <c r="X2032">
        <v>1</v>
      </c>
      <c r="Y2032">
        <v>0</v>
      </c>
      <c r="Z2032">
        <v>0</v>
      </c>
      <c r="AA2032">
        <v>0</v>
      </c>
      <c r="AB2032">
        <v>0</v>
      </c>
      <c r="AC2032">
        <v>12858</v>
      </c>
      <c r="AD2032">
        <v>0</v>
      </c>
      <c r="AE2032">
        <v>0</v>
      </c>
      <c r="AF2032">
        <v>0</v>
      </c>
      <c r="AG2032">
        <v>0</v>
      </c>
      <c r="AH2032">
        <v>0</v>
      </c>
      <c r="AI2032">
        <v>0</v>
      </c>
      <c r="AJ2032">
        <v>0</v>
      </c>
      <c r="AK2032">
        <v>0</v>
      </c>
      <c r="AL2032">
        <v>0</v>
      </c>
      <c r="AM2032">
        <v>0</v>
      </c>
      <c r="AN2032">
        <v>0</v>
      </c>
      <c r="AO2032">
        <v>1</v>
      </c>
      <c r="AP2032">
        <v>0</v>
      </c>
      <c r="AQ2032">
        <v>0</v>
      </c>
      <c r="AR2032">
        <v>0</v>
      </c>
      <c r="AS2032">
        <v>0</v>
      </c>
      <c r="AT2032">
        <v>0</v>
      </c>
      <c r="AU2032">
        <f t="shared" si="62"/>
        <v>1</v>
      </c>
      <c r="AV2032">
        <f t="shared" si="63"/>
        <v>0</v>
      </c>
    </row>
    <row r="2033" spans="1:48" x14ac:dyDescent="0.25">
      <c r="A2033" t="s">
        <v>7490</v>
      </c>
      <c r="C2033" t="s">
        <v>7491</v>
      </c>
      <c r="D2033" t="s">
        <v>6036</v>
      </c>
      <c r="E2033" t="s">
        <v>2310</v>
      </c>
      <c r="F2033">
        <v>15</v>
      </c>
      <c r="G2033">
        <v>15.2</v>
      </c>
      <c r="H2033" t="s">
        <v>2323</v>
      </c>
      <c r="I2033" s="21">
        <v>38945</v>
      </c>
      <c r="J2033">
        <v>2006</v>
      </c>
      <c r="K2033" s="21">
        <v>39009</v>
      </c>
      <c r="L2033">
        <v>2006</v>
      </c>
      <c r="M2033" s="21">
        <v>39009</v>
      </c>
      <c r="N2033">
        <v>2006</v>
      </c>
      <c r="R2033" s="262">
        <v>76000</v>
      </c>
      <c r="S2033" t="s">
        <v>114</v>
      </c>
      <c r="T2033" t="s">
        <v>114</v>
      </c>
      <c r="U2033">
        <v>5</v>
      </c>
      <c r="W2033">
        <v>430</v>
      </c>
      <c r="X2033">
        <v>0</v>
      </c>
      <c r="Y2033">
        <v>0</v>
      </c>
      <c r="Z2033">
        <v>0</v>
      </c>
      <c r="AA2033">
        <v>0</v>
      </c>
      <c r="AB2033">
        <v>0</v>
      </c>
      <c r="AC2033">
        <v>430</v>
      </c>
      <c r="AD2033">
        <v>0</v>
      </c>
      <c r="AE2033">
        <v>0</v>
      </c>
      <c r="AF2033">
        <v>0</v>
      </c>
      <c r="AG2033">
        <v>0</v>
      </c>
      <c r="AH2033">
        <v>0</v>
      </c>
      <c r="AI2033">
        <v>0</v>
      </c>
      <c r="AJ2033">
        <v>0</v>
      </c>
      <c r="AK2033">
        <v>0</v>
      </c>
      <c r="AL2033">
        <v>0</v>
      </c>
      <c r="AM2033">
        <v>0</v>
      </c>
      <c r="AN2033">
        <v>0</v>
      </c>
      <c r="AO2033">
        <v>0</v>
      </c>
      <c r="AP2033">
        <v>0</v>
      </c>
      <c r="AQ2033">
        <v>0</v>
      </c>
      <c r="AR2033">
        <v>0</v>
      </c>
      <c r="AS2033">
        <v>0</v>
      </c>
      <c r="AT2033">
        <v>0</v>
      </c>
      <c r="AU2033">
        <f t="shared" si="62"/>
        <v>0</v>
      </c>
      <c r="AV2033">
        <f t="shared" si="63"/>
        <v>0</v>
      </c>
    </row>
    <row r="2034" spans="1:48" x14ac:dyDescent="0.25">
      <c r="A2034" t="s">
        <v>7492</v>
      </c>
      <c r="C2034" t="s">
        <v>7493</v>
      </c>
      <c r="D2034" t="s">
        <v>7494</v>
      </c>
      <c r="E2034" t="s">
        <v>2310</v>
      </c>
      <c r="F2034">
        <v>13</v>
      </c>
      <c r="G2034">
        <v>13.3</v>
      </c>
      <c r="H2034" t="s">
        <v>2017</v>
      </c>
      <c r="I2034" s="21">
        <v>38945</v>
      </c>
      <c r="J2034">
        <v>2006</v>
      </c>
      <c r="K2034" s="21">
        <v>38980</v>
      </c>
      <c r="L2034">
        <v>2006</v>
      </c>
      <c r="M2034" s="21">
        <v>39624</v>
      </c>
      <c r="N2034">
        <v>2008</v>
      </c>
      <c r="R2034" s="262">
        <v>1110000</v>
      </c>
      <c r="S2034" t="s">
        <v>114</v>
      </c>
      <c r="T2034" t="s">
        <v>114</v>
      </c>
      <c r="U2034">
        <v>5</v>
      </c>
      <c r="W2034">
        <v>3700</v>
      </c>
      <c r="X2034">
        <v>1</v>
      </c>
      <c r="Y2034">
        <v>0</v>
      </c>
      <c r="Z2034">
        <v>0</v>
      </c>
      <c r="AA2034">
        <v>0</v>
      </c>
      <c r="AB2034">
        <v>0</v>
      </c>
      <c r="AC2034">
        <v>3700</v>
      </c>
      <c r="AD2034">
        <v>0</v>
      </c>
      <c r="AE2034">
        <v>0</v>
      </c>
      <c r="AF2034">
        <v>0</v>
      </c>
      <c r="AG2034">
        <v>0</v>
      </c>
      <c r="AH2034">
        <v>0</v>
      </c>
      <c r="AI2034">
        <v>0</v>
      </c>
      <c r="AJ2034">
        <v>0</v>
      </c>
      <c r="AK2034">
        <v>0</v>
      </c>
      <c r="AL2034">
        <v>0</v>
      </c>
      <c r="AM2034">
        <v>0</v>
      </c>
      <c r="AN2034">
        <v>0</v>
      </c>
      <c r="AO2034">
        <v>1</v>
      </c>
      <c r="AP2034">
        <v>0</v>
      </c>
      <c r="AQ2034">
        <v>0</v>
      </c>
      <c r="AR2034">
        <v>0</v>
      </c>
      <c r="AS2034">
        <v>0</v>
      </c>
      <c r="AT2034">
        <v>0</v>
      </c>
      <c r="AU2034">
        <f t="shared" si="62"/>
        <v>1</v>
      </c>
      <c r="AV2034">
        <f t="shared" si="63"/>
        <v>0</v>
      </c>
    </row>
    <row r="2035" spans="1:48" x14ac:dyDescent="0.25">
      <c r="A2035" t="s">
        <v>7495</v>
      </c>
      <c r="C2035" t="s">
        <v>7496</v>
      </c>
      <c r="D2035" t="s">
        <v>7497</v>
      </c>
      <c r="E2035" t="s">
        <v>2310</v>
      </c>
      <c r="F2035">
        <v>13</v>
      </c>
      <c r="G2035">
        <v>13.3</v>
      </c>
      <c r="H2035" t="s">
        <v>2017</v>
      </c>
      <c r="I2035" s="21">
        <v>38945</v>
      </c>
      <c r="J2035">
        <v>2006</v>
      </c>
      <c r="K2035" s="21">
        <v>38980</v>
      </c>
      <c r="L2035">
        <v>2006</v>
      </c>
      <c r="M2035" s="21">
        <v>39590</v>
      </c>
      <c r="N2035">
        <v>2008</v>
      </c>
      <c r="R2035" s="262">
        <v>1120000</v>
      </c>
      <c r="S2035" t="s">
        <v>114</v>
      </c>
      <c r="T2035" t="s">
        <v>114</v>
      </c>
      <c r="U2035">
        <v>5</v>
      </c>
      <c r="W2035">
        <v>4049</v>
      </c>
      <c r="X2035">
        <v>1</v>
      </c>
      <c r="Y2035">
        <v>0</v>
      </c>
      <c r="Z2035">
        <v>0</v>
      </c>
      <c r="AA2035">
        <v>0</v>
      </c>
      <c r="AB2035">
        <v>0</v>
      </c>
      <c r="AC2035">
        <v>4049</v>
      </c>
      <c r="AD2035">
        <v>0</v>
      </c>
      <c r="AE2035">
        <v>0</v>
      </c>
      <c r="AF2035">
        <v>0</v>
      </c>
      <c r="AG2035">
        <v>0</v>
      </c>
      <c r="AH2035">
        <v>0</v>
      </c>
      <c r="AI2035">
        <v>0</v>
      </c>
      <c r="AJ2035">
        <v>0</v>
      </c>
      <c r="AK2035">
        <v>0</v>
      </c>
      <c r="AL2035">
        <v>0</v>
      </c>
      <c r="AM2035">
        <v>0</v>
      </c>
      <c r="AN2035">
        <v>0</v>
      </c>
      <c r="AO2035">
        <v>1</v>
      </c>
      <c r="AP2035">
        <v>0</v>
      </c>
      <c r="AQ2035">
        <v>0</v>
      </c>
      <c r="AR2035">
        <v>0</v>
      </c>
      <c r="AS2035">
        <v>0</v>
      </c>
      <c r="AT2035">
        <v>0</v>
      </c>
      <c r="AU2035">
        <f t="shared" si="62"/>
        <v>1</v>
      </c>
      <c r="AV2035">
        <f t="shared" si="63"/>
        <v>0</v>
      </c>
    </row>
    <row r="2036" spans="1:48" x14ac:dyDescent="0.25">
      <c r="A2036" t="s">
        <v>7498</v>
      </c>
      <c r="C2036" t="s">
        <v>7499</v>
      </c>
      <c r="D2036" t="s">
        <v>7500</v>
      </c>
      <c r="E2036" t="s">
        <v>2310</v>
      </c>
      <c r="F2036">
        <v>13</v>
      </c>
      <c r="G2036">
        <v>13.3</v>
      </c>
      <c r="H2036" t="s">
        <v>2017</v>
      </c>
      <c r="I2036" s="21">
        <v>38945</v>
      </c>
      <c r="J2036">
        <v>2006</v>
      </c>
      <c r="K2036" s="21">
        <v>38980</v>
      </c>
      <c r="L2036">
        <v>2006</v>
      </c>
      <c r="M2036" s="21">
        <v>39657</v>
      </c>
      <c r="N2036">
        <v>2008</v>
      </c>
      <c r="R2036" s="262">
        <v>1110000</v>
      </c>
      <c r="S2036" t="s">
        <v>114</v>
      </c>
      <c r="T2036" t="s">
        <v>114</v>
      </c>
      <c r="U2036">
        <v>5</v>
      </c>
      <c r="W2036">
        <v>3700</v>
      </c>
      <c r="X2036">
        <v>1</v>
      </c>
      <c r="Y2036">
        <v>0</v>
      </c>
      <c r="Z2036">
        <v>0</v>
      </c>
      <c r="AA2036">
        <v>0</v>
      </c>
      <c r="AB2036">
        <v>0</v>
      </c>
      <c r="AC2036">
        <v>3700</v>
      </c>
      <c r="AD2036">
        <v>0</v>
      </c>
      <c r="AE2036">
        <v>0</v>
      </c>
      <c r="AF2036">
        <v>0</v>
      </c>
      <c r="AG2036">
        <v>0</v>
      </c>
      <c r="AH2036">
        <v>0</v>
      </c>
      <c r="AI2036">
        <v>0</v>
      </c>
      <c r="AJ2036">
        <v>0</v>
      </c>
      <c r="AK2036">
        <v>0</v>
      </c>
      <c r="AL2036">
        <v>0</v>
      </c>
      <c r="AM2036">
        <v>0</v>
      </c>
      <c r="AN2036">
        <v>0</v>
      </c>
      <c r="AO2036">
        <v>1</v>
      </c>
      <c r="AP2036">
        <v>0</v>
      </c>
      <c r="AQ2036">
        <v>0</v>
      </c>
      <c r="AR2036">
        <v>0</v>
      </c>
      <c r="AS2036">
        <v>0</v>
      </c>
      <c r="AT2036">
        <v>0</v>
      </c>
      <c r="AU2036">
        <f t="shared" si="62"/>
        <v>1</v>
      </c>
      <c r="AV2036">
        <f t="shared" si="63"/>
        <v>0</v>
      </c>
    </row>
    <row r="2037" spans="1:48" x14ac:dyDescent="0.25">
      <c r="A2037" t="s">
        <v>7501</v>
      </c>
      <c r="C2037" t="s">
        <v>7502</v>
      </c>
      <c r="D2037" t="s">
        <v>7503</v>
      </c>
      <c r="E2037" t="s">
        <v>2310</v>
      </c>
      <c r="F2037">
        <v>13</v>
      </c>
      <c r="G2037">
        <v>13.3</v>
      </c>
      <c r="H2037" t="s">
        <v>2017</v>
      </c>
      <c r="I2037" s="21">
        <v>38946</v>
      </c>
      <c r="J2037">
        <v>2006</v>
      </c>
      <c r="K2037" s="21">
        <v>38980</v>
      </c>
      <c r="L2037">
        <v>2006</v>
      </c>
      <c r="M2037" s="21">
        <v>39513</v>
      </c>
      <c r="N2037">
        <v>2008</v>
      </c>
      <c r="R2037" s="262">
        <v>1110000</v>
      </c>
      <c r="S2037" t="s">
        <v>114</v>
      </c>
      <c r="T2037" t="s">
        <v>114</v>
      </c>
      <c r="U2037">
        <v>5</v>
      </c>
      <c r="W2037">
        <v>3700</v>
      </c>
      <c r="X2037">
        <v>1</v>
      </c>
      <c r="Y2037">
        <v>0</v>
      </c>
      <c r="Z2037">
        <v>0</v>
      </c>
      <c r="AA2037">
        <v>0</v>
      </c>
      <c r="AB2037">
        <v>0</v>
      </c>
      <c r="AC2037">
        <v>3700</v>
      </c>
      <c r="AD2037">
        <v>0</v>
      </c>
      <c r="AE2037">
        <v>0</v>
      </c>
      <c r="AF2037">
        <v>0</v>
      </c>
      <c r="AG2037">
        <v>0</v>
      </c>
      <c r="AH2037">
        <v>0</v>
      </c>
      <c r="AI2037">
        <v>0</v>
      </c>
      <c r="AJ2037">
        <v>0</v>
      </c>
      <c r="AK2037">
        <v>0</v>
      </c>
      <c r="AL2037">
        <v>0</v>
      </c>
      <c r="AM2037">
        <v>0</v>
      </c>
      <c r="AN2037">
        <v>0</v>
      </c>
      <c r="AO2037">
        <v>1</v>
      </c>
      <c r="AP2037">
        <v>0</v>
      </c>
      <c r="AQ2037">
        <v>0</v>
      </c>
      <c r="AR2037">
        <v>0</v>
      </c>
      <c r="AS2037">
        <v>0</v>
      </c>
      <c r="AT2037">
        <v>0</v>
      </c>
      <c r="AU2037">
        <f t="shared" si="62"/>
        <v>1</v>
      </c>
      <c r="AV2037">
        <f t="shared" si="63"/>
        <v>0</v>
      </c>
    </row>
    <row r="2038" spans="1:48" x14ac:dyDescent="0.25">
      <c r="A2038" t="s">
        <v>7504</v>
      </c>
      <c r="C2038" t="s">
        <v>7354</v>
      </c>
      <c r="D2038" t="s">
        <v>7505</v>
      </c>
      <c r="E2038" t="s">
        <v>2310</v>
      </c>
      <c r="F2038">
        <v>9</v>
      </c>
      <c r="G2038">
        <v>9.4</v>
      </c>
      <c r="H2038" t="s">
        <v>2323</v>
      </c>
      <c r="I2038" s="21">
        <v>38946</v>
      </c>
      <c r="J2038">
        <v>2006</v>
      </c>
      <c r="K2038" s="21">
        <v>38999</v>
      </c>
      <c r="L2038">
        <v>2006</v>
      </c>
      <c r="M2038" s="21">
        <v>39395</v>
      </c>
      <c r="N2038">
        <v>2007</v>
      </c>
      <c r="R2038" s="262">
        <v>1300000</v>
      </c>
      <c r="S2038" t="s">
        <v>114</v>
      </c>
      <c r="T2038" t="s">
        <v>114</v>
      </c>
      <c r="U2038">
        <v>5</v>
      </c>
      <c r="W2038">
        <v>4196</v>
      </c>
      <c r="X2038">
        <v>1</v>
      </c>
      <c r="Y2038">
        <v>0</v>
      </c>
      <c r="Z2038">
        <v>0</v>
      </c>
      <c r="AA2038">
        <v>0</v>
      </c>
      <c r="AB2038">
        <v>0</v>
      </c>
      <c r="AC2038">
        <v>4196</v>
      </c>
      <c r="AD2038">
        <v>0</v>
      </c>
      <c r="AE2038">
        <v>0</v>
      </c>
      <c r="AF2038">
        <v>0</v>
      </c>
      <c r="AG2038">
        <v>0</v>
      </c>
      <c r="AH2038">
        <v>0</v>
      </c>
      <c r="AI2038">
        <v>0</v>
      </c>
      <c r="AJ2038">
        <v>0</v>
      </c>
      <c r="AK2038">
        <v>0</v>
      </c>
      <c r="AL2038">
        <v>0</v>
      </c>
      <c r="AM2038">
        <v>0</v>
      </c>
      <c r="AN2038">
        <v>0</v>
      </c>
      <c r="AO2038">
        <v>1</v>
      </c>
      <c r="AP2038">
        <v>0</v>
      </c>
      <c r="AQ2038">
        <v>0</v>
      </c>
      <c r="AR2038">
        <v>0</v>
      </c>
      <c r="AS2038">
        <v>0</v>
      </c>
      <c r="AT2038">
        <v>0</v>
      </c>
      <c r="AU2038">
        <f t="shared" si="62"/>
        <v>1</v>
      </c>
      <c r="AV2038">
        <f t="shared" si="63"/>
        <v>0</v>
      </c>
    </row>
    <row r="2039" spans="1:48" x14ac:dyDescent="0.25">
      <c r="A2039" t="s">
        <v>7506</v>
      </c>
      <c r="C2039" t="s">
        <v>7507</v>
      </c>
      <c r="D2039" t="s">
        <v>7508</v>
      </c>
      <c r="E2039" t="s">
        <v>2310</v>
      </c>
      <c r="F2039">
        <v>8</v>
      </c>
      <c r="G2039">
        <v>8.4</v>
      </c>
      <c r="H2039" t="s">
        <v>2017</v>
      </c>
      <c r="I2039" s="21">
        <v>38946</v>
      </c>
      <c r="J2039">
        <v>2006</v>
      </c>
      <c r="K2039" s="21">
        <v>38986</v>
      </c>
      <c r="L2039">
        <v>2006</v>
      </c>
      <c r="M2039" s="21">
        <v>39078</v>
      </c>
      <c r="N2039">
        <v>2006</v>
      </c>
      <c r="R2039" s="262">
        <v>238000</v>
      </c>
      <c r="S2039" t="s">
        <v>114</v>
      </c>
      <c r="T2039" t="s">
        <v>114</v>
      </c>
      <c r="U2039">
        <v>5</v>
      </c>
      <c r="W2039">
        <v>2396</v>
      </c>
      <c r="X2039">
        <v>1</v>
      </c>
      <c r="Y2039">
        <v>0</v>
      </c>
      <c r="Z2039">
        <v>0</v>
      </c>
      <c r="AA2039">
        <v>0</v>
      </c>
      <c r="AB2039">
        <v>0</v>
      </c>
      <c r="AC2039">
        <v>2396</v>
      </c>
      <c r="AD2039">
        <v>0</v>
      </c>
      <c r="AE2039">
        <v>0</v>
      </c>
      <c r="AF2039">
        <v>0</v>
      </c>
      <c r="AG2039">
        <v>0</v>
      </c>
      <c r="AH2039">
        <v>0</v>
      </c>
      <c r="AI2039">
        <v>0</v>
      </c>
      <c r="AJ2039">
        <v>0</v>
      </c>
      <c r="AK2039">
        <v>0</v>
      </c>
      <c r="AL2039">
        <v>0</v>
      </c>
      <c r="AM2039">
        <v>0</v>
      </c>
      <c r="AN2039">
        <v>0</v>
      </c>
      <c r="AO2039">
        <v>1</v>
      </c>
      <c r="AP2039">
        <v>0</v>
      </c>
      <c r="AQ2039">
        <v>0</v>
      </c>
      <c r="AR2039">
        <v>0</v>
      </c>
      <c r="AS2039">
        <v>0</v>
      </c>
      <c r="AT2039">
        <v>0</v>
      </c>
      <c r="AU2039">
        <f t="shared" si="62"/>
        <v>1</v>
      </c>
      <c r="AV2039">
        <f t="shared" si="63"/>
        <v>0</v>
      </c>
    </row>
    <row r="2040" spans="1:48" x14ac:dyDescent="0.25">
      <c r="A2040" t="s">
        <v>7509</v>
      </c>
      <c r="C2040" t="s">
        <v>7507</v>
      </c>
      <c r="D2040" t="s">
        <v>7510</v>
      </c>
      <c r="E2040" t="s">
        <v>2310</v>
      </c>
      <c r="F2040">
        <v>8</v>
      </c>
      <c r="G2040">
        <v>8.4</v>
      </c>
      <c r="H2040" t="s">
        <v>2017</v>
      </c>
      <c r="I2040" s="21">
        <v>38946</v>
      </c>
      <c r="J2040">
        <v>2006</v>
      </c>
      <c r="K2040" s="21">
        <v>38987</v>
      </c>
      <c r="L2040">
        <v>2006</v>
      </c>
      <c r="M2040" s="21">
        <v>39217</v>
      </c>
      <c r="N2040">
        <v>2007</v>
      </c>
      <c r="R2040" s="262">
        <v>238000</v>
      </c>
      <c r="S2040" t="s">
        <v>114</v>
      </c>
      <c r="T2040" t="s">
        <v>114</v>
      </c>
      <c r="U2040">
        <v>5</v>
      </c>
      <c r="W2040">
        <v>2396</v>
      </c>
      <c r="X2040">
        <v>1</v>
      </c>
      <c r="Y2040">
        <v>0</v>
      </c>
      <c r="Z2040">
        <v>0</v>
      </c>
      <c r="AA2040">
        <v>0</v>
      </c>
      <c r="AB2040">
        <v>0</v>
      </c>
      <c r="AC2040">
        <v>2396</v>
      </c>
      <c r="AD2040">
        <v>0</v>
      </c>
      <c r="AE2040">
        <v>0</v>
      </c>
      <c r="AF2040">
        <v>0</v>
      </c>
      <c r="AG2040">
        <v>0</v>
      </c>
      <c r="AH2040">
        <v>0</v>
      </c>
      <c r="AI2040">
        <v>0</v>
      </c>
      <c r="AJ2040">
        <v>0</v>
      </c>
      <c r="AK2040">
        <v>0</v>
      </c>
      <c r="AL2040">
        <v>0</v>
      </c>
      <c r="AM2040">
        <v>0</v>
      </c>
      <c r="AN2040">
        <v>0</v>
      </c>
      <c r="AO2040">
        <v>1</v>
      </c>
      <c r="AP2040">
        <v>0</v>
      </c>
      <c r="AQ2040">
        <v>0</v>
      </c>
      <c r="AR2040">
        <v>0</v>
      </c>
      <c r="AS2040">
        <v>0</v>
      </c>
      <c r="AT2040">
        <v>0</v>
      </c>
      <c r="AU2040">
        <f t="shared" si="62"/>
        <v>1</v>
      </c>
      <c r="AV2040">
        <f t="shared" si="63"/>
        <v>0</v>
      </c>
    </row>
    <row r="2041" spans="1:48" x14ac:dyDescent="0.25">
      <c r="A2041" t="s">
        <v>7511</v>
      </c>
      <c r="C2041" t="s">
        <v>7512</v>
      </c>
      <c r="D2041" t="s">
        <v>7513</v>
      </c>
      <c r="E2041" t="s">
        <v>2310</v>
      </c>
      <c r="F2041">
        <v>8</v>
      </c>
      <c r="G2041">
        <v>8.4</v>
      </c>
      <c r="H2041" t="s">
        <v>2017</v>
      </c>
      <c r="I2041" s="21">
        <v>38946</v>
      </c>
      <c r="J2041">
        <v>2006</v>
      </c>
      <c r="K2041" s="21">
        <v>38987</v>
      </c>
      <c r="L2041">
        <v>2006</v>
      </c>
      <c r="M2041" s="21">
        <v>39478</v>
      </c>
      <c r="N2041">
        <v>2008</v>
      </c>
      <c r="R2041" s="262">
        <v>238000</v>
      </c>
      <c r="S2041" t="s">
        <v>114</v>
      </c>
      <c r="T2041" t="s">
        <v>114</v>
      </c>
      <c r="U2041">
        <v>5</v>
      </c>
      <c r="W2041">
        <v>2396</v>
      </c>
      <c r="X2041">
        <v>1</v>
      </c>
      <c r="Y2041">
        <v>0</v>
      </c>
      <c r="Z2041">
        <v>0</v>
      </c>
      <c r="AA2041">
        <v>0</v>
      </c>
      <c r="AB2041">
        <v>0</v>
      </c>
      <c r="AC2041">
        <v>2396</v>
      </c>
      <c r="AD2041">
        <v>0</v>
      </c>
      <c r="AE2041">
        <v>0</v>
      </c>
      <c r="AF2041">
        <v>0</v>
      </c>
      <c r="AG2041">
        <v>0</v>
      </c>
      <c r="AH2041">
        <v>0</v>
      </c>
      <c r="AI2041">
        <v>0</v>
      </c>
      <c r="AJ2041">
        <v>0</v>
      </c>
      <c r="AK2041">
        <v>0</v>
      </c>
      <c r="AL2041">
        <v>0</v>
      </c>
      <c r="AM2041">
        <v>0</v>
      </c>
      <c r="AN2041">
        <v>0</v>
      </c>
      <c r="AO2041">
        <v>1</v>
      </c>
      <c r="AP2041">
        <v>0</v>
      </c>
      <c r="AQ2041">
        <v>0</v>
      </c>
      <c r="AR2041">
        <v>0</v>
      </c>
      <c r="AS2041">
        <v>0</v>
      </c>
      <c r="AT2041">
        <v>0</v>
      </c>
      <c r="AU2041">
        <f t="shared" si="62"/>
        <v>1</v>
      </c>
      <c r="AV2041">
        <f t="shared" si="63"/>
        <v>0</v>
      </c>
    </row>
    <row r="2042" spans="1:48" x14ac:dyDescent="0.25">
      <c r="A2042" t="s">
        <v>7514</v>
      </c>
      <c r="C2042" t="s">
        <v>7515</v>
      </c>
      <c r="D2042" t="s">
        <v>7516</v>
      </c>
      <c r="E2042" t="s">
        <v>1663</v>
      </c>
      <c r="F2042">
        <v>6</v>
      </c>
      <c r="G2042">
        <v>6.1</v>
      </c>
      <c r="H2042" t="s">
        <v>2017</v>
      </c>
      <c r="I2042" s="21">
        <v>38950</v>
      </c>
      <c r="J2042">
        <v>2006</v>
      </c>
      <c r="K2042" s="21">
        <v>38981</v>
      </c>
      <c r="L2042">
        <v>2006</v>
      </c>
      <c r="M2042" s="21">
        <v>39134</v>
      </c>
      <c r="N2042">
        <v>2007</v>
      </c>
      <c r="Q2042" s="262">
        <v>0</v>
      </c>
      <c r="S2042" t="s">
        <v>114</v>
      </c>
      <c r="T2042" t="s">
        <v>114</v>
      </c>
      <c r="W2042">
        <v>6260</v>
      </c>
      <c r="X2042">
        <v>1</v>
      </c>
      <c r="Y2042">
        <v>0</v>
      </c>
      <c r="Z2042">
        <v>0</v>
      </c>
      <c r="AA2042">
        <v>0</v>
      </c>
      <c r="AB2042">
        <v>0</v>
      </c>
      <c r="AC2042">
        <v>6260</v>
      </c>
      <c r="AD2042">
        <v>0</v>
      </c>
      <c r="AE2042">
        <v>0</v>
      </c>
      <c r="AF2042">
        <v>0</v>
      </c>
      <c r="AG2042">
        <v>0</v>
      </c>
      <c r="AH2042">
        <v>0</v>
      </c>
      <c r="AI2042">
        <v>0</v>
      </c>
      <c r="AJ2042">
        <v>0</v>
      </c>
      <c r="AK2042">
        <v>0</v>
      </c>
      <c r="AL2042">
        <v>0</v>
      </c>
      <c r="AM2042">
        <v>0</v>
      </c>
      <c r="AN2042">
        <v>0</v>
      </c>
      <c r="AO2042">
        <v>1</v>
      </c>
      <c r="AP2042">
        <v>0</v>
      </c>
      <c r="AQ2042">
        <v>0</v>
      </c>
      <c r="AR2042">
        <v>0</v>
      </c>
      <c r="AS2042">
        <v>0</v>
      </c>
      <c r="AT2042">
        <v>0</v>
      </c>
      <c r="AU2042">
        <f t="shared" si="62"/>
        <v>1</v>
      </c>
      <c r="AV2042">
        <f t="shared" si="63"/>
        <v>0</v>
      </c>
    </row>
    <row r="2043" spans="1:48" x14ac:dyDescent="0.25">
      <c r="A2043" t="s">
        <v>7517</v>
      </c>
      <c r="C2043" t="s">
        <v>7518</v>
      </c>
      <c r="D2043" t="s">
        <v>7519</v>
      </c>
      <c r="E2043" t="s">
        <v>2310</v>
      </c>
      <c r="F2043">
        <v>15</v>
      </c>
      <c r="G2043">
        <v>15.1</v>
      </c>
      <c r="H2043" t="s">
        <v>2022</v>
      </c>
      <c r="I2043" s="21">
        <v>38950</v>
      </c>
      <c r="J2043">
        <v>2006</v>
      </c>
      <c r="K2043" s="21">
        <v>38972</v>
      </c>
      <c r="L2043">
        <v>2006</v>
      </c>
      <c r="M2043" s="21">
        <v>39414</v>
      </c>
      <c r="N2043">
        <v>2007</v>
      </c>
      <c r="R2043" s="262">
        <v>150000</v>
      </c>
      <c r="S2043" t="s">
        <v>114</v>
      </c>
      <c r="T2043" t="s">
        <v>114</v>
      </c>
      <c r="U2043">
        <v>5</v>
      </c>
      <c r="W2043">
        <v>233</v>
      </c>
      <c r="X2043">
        <v>0</v>
      </c>
      <c r="Y2043">
        <v>0</v>
      </c>
      <c r="Z2043">
        <v>0</v>
      </c>
      <c r="AA2043">
        <v>0</v>
      </c>
      <c r="AB2043">
        <v>0</v>
      </c>
      <c r="AC2043">
        <v>233</v>
      </c>
      <c r="AD2043">
        <v>0</v>
      </c>
      <c r="AE2043">
        <v>0</v>
      </c>
      <c r="AF2043">
        <v>0</v>
      </c>
      <c r="AG2043">
        <v>0</v>
      </c>
      <c r="AH2043">
        <v>0</v>
      </c>
      <c r="AI2043">
        <v>0</v>
      </c>
      <c r="AJ2043">
        <v>0</v>
      </c>
      <c r="AK2043">
        <v>0</v>
      </c>
      <c r="AL2043">
        <v>0</v>
      </c>
      <c r="AM2043">
        <v>0</v>
      </c>
      <c r="AN2043">
        <v>0</v>
      </c>
      <c r="AO2043">
        <v>0</v>
      </c>
      <c r="AP2043">
        <v>0</v>
      </c>
      <c r="AQ2043">
        <v>0</v>
      </c>
      <c r="AR2043">
        <v>0</v>
      </c>
      <c r="AS2043">
        <v>0</v>
      </c>
      <c r="AT2043">
        <v>0</v>
      </c>
      <c r="AU2043">
        <f t="shared" si="62"/>
        <v>0</v>
      </c>
      <c r="AV2043">
        <f t="shared" si="63"/>
        <v>0</v>
      </c>
    </row>
    <row r="2044" spans="1:48" x14ac:dyDescent="0.25">
      <c r="A2044" t="s">
        <v>7520</v>
      </c>
      <c r="C2044" t="s">
        <v>7521</v>
      </c>
      <c r="D2044" t="s">
        <v>7522</v>
      </c>
      <c r="E2044" t="s">
        <v>2310</v>
      </c>
      <c r="F2044">
        <v>11</v>
      </c>
      <c r="G2044">
        <v>11.2</v>
      </c>
      <c r="H2044" t="s">
        <v>2017</v>
      </c>
      <c r="I2044" s="21">
        <v>38950</v>
      </c>
      <c r="J2044">
        <v>2006</v>
      </c>
      <c r="K2044" s="21">
        <v>38965</v>
      </c>
      <c r="L2044">
        <v>2006</v>
      </c>
      <c r="M2044" s="21">
        <v>39287</v>
      </c>
      <c r="N2044">
        <v>2007</v>
      </c>
      <c r="R2044" s="262">
        <v>6000</v>
      </c>
      <c r="S2044" t="s">
        <v>114</v>
      </c>
      <c r="T2044" t="s">
        <v>114</v>
      </c>
      <c r="U2044">
        <v>5</v>
      </c>
      <c r="W2044">
        <v>48</v>
      </c>
      <c r="X2044">
        <v>0</v>
      </c>
      <c r="Y2044">
        <v>0</v>
      </c>
      <c r="Z2044">
        <v>0</v>
      </c>
      <c r="AA2044">
        <v>0</v>
      </c>
      <c r="AB2044">
        <v>0</v>
      </c>
      <c r="AC2044">
        <v>48</v>
      </c>
      <c r="AD2044">
        <v>0</v>
      </c>
      <c r="AE2044">
        <v>0</v>
      </c>
      <c r="AF2044">
        <v>0</v>
      </c>
      <c r="AG2044">
        <v>0</v>
      </c>
      <c r="AH2044">
        <v>0</v>
      </c>
      <c r="AI2044">
        <v>0</v>
      </c>
      <c r="AJ2044">
        <v>0</v>
      </c>
      <c r="AK2044">
        <v>0</v>
      </c>
      <c r="AL2044">
        <v>0</v>
      </c>
      <c r="AM2044">
        <v>0</v>
      </c>
      <c r="AN2044">
        <v>0</v>
      </c>
      <c r="AO2044">
        <v>0</v>
      </c>
      <c r="AP2044">
        <v>0</v>
      </c>
      <c r="AQ2044">
        <v>0</v>
      </c>
      <c r="AR2044">
        <v>0</v>
      </c>
      <c r="AS2044">
        <v>0</v>
      </c>
      <c r="AT2044">
        <v>0</v>
      </c>
      <c r="AU2044">
        <f t="shared" si="62"/>
        <v>0</v>
      </c>
      <c r="AV2044">
        <f t="shared" si="63"/>
        <v>0</v>
      </c>
    </row>
    <row r="2045" spans="1:48" x14ac:dyDescent="0.25">
      <c r="A2045" t="s">
        <v>7523</v>
      </c>
      <c r="C2045" t="s">
        <v>7524</v>
      </c>
      <c r="D2045" t="s">
        <v>6463</v>
      </c>
      <c r="E2045" t="s">
        <v>2310</v>
      </c>
      <c r="F2045">
        <v>9</v>
      </c>
      <c r="G2045">
        <v>9.1999999999999993</v>
      </c>
      <c r="H2045" t="s">
        <v>2022</v>
      </c>
      <c r="I2045" s="21">
        <v>38951</v>
      </c>
      <c r="J2045">
        <v>2006</v>
      </c>
      <c r="K2045" s="21">
        <v>38994</v>
      </c>
      <c r="L2045">
        <v>2006</v>
      </c>
      <c r="M2045" s="21">
        <v>38994</v>
      </c>
      <c r="N2045">
        <v>2006</v>
      </c>
      <c r="R2045" s="262">
        <v>20000</v>
      </c>
      <c r="S2045" t="s">
        <v>114</v>
      </c>
      <c r="T2045" t="s">
        <v>114</v>
      </c>
      <c r="U2045">
        <v>5</v>
      </c>
      <c r="W2045">
        <v>467</v>
      </c>
      <c r="X2045">
        <v>0</v>
      </c>
      <c r="Y2045">
        <v>0</v>
      </c>
      <c r="Z2045">
        <v>0</v>
      </c>
      <c r="AA2045">
        <v>0</v>
      </c>
      <c r="AB2045">
        <v>0</v>
      </c>
      <c r="AC2045">
        <v>467</v>
      </c>
      <c r="AD2045">
        <v>0</v>
      </c>
      <c r="AE2045">
        <v>0</v>
      </c>
      <c r="AF2045">
        <v>0</v>
      </c>
      <c r="AG2045">
        <v>0</v>
      </c>
      <c r="AH2045">
        <v>0</v>
      </c>
      <c r="AI2045">
        <v>0</v>
      </c>
      <c r="AJ2045">
        <v>0</v>
      </c>
      <c r="AK2045">
        <v>0</v>
      </c>
      <c r="AL2045">
        <v>0</v>
      </c>
      <c r="AM2045">
        <v>0</v>
      </c>
      <c r="AN2045">
        <v>0</v>
      </c>
      <c r="AO2045">
        <v>0</v>
      </c>
      <c r="AP2045">
        <v>0</v>
      </c>
      <c r="AQ2045">
        <v>0</v>
      </c>
      <c r="AR2045">
        <v>0</v>
      </c>
      <c r="AS2045">
        <v>0</v>
      </c>
      <c r="AT2045">
        <v>0</v>
      </c>
      <c r="AU2045">
        <f t="shared" si="62"/>
        <v>0</v>
      </c>
      <c r="AV2045">
        <f t="shared" si="63"/>
        <v>0</v>
      </c>
    </row>
    <row r="2046" spans="1:48" x14ac:dyDescent="0.25">
      <c r="A2046" t="s">
        <v>7525</v>
      </c>
      <c r="C2046" t="s">
        <v>7526</v>
      </c>
      <c r="D2046" t="s">
        <v>7062</v>
      </c>
      <c r="E2046" t="s">
        <v>2310</v>
      </c>
      <c r="F2046">
        <v>9</v>
      </c>
      <c r="G2046">
        <v>9.3000000000000007</v>
      </c>
      <c r="H2046" t="s">
        <v>2323</v>
      </c>
      <c r="I2046" s="21">
        <v>38952</v>
      </c>
      <c r="J2046">
        <v>2006</v>
      </c>
      <c r="K2046" s="21">
        <v>38958</v>
      </c>
      <c r="L2046">
        <v>2006</v>
      </c>
      <c r="M2046" s="21">
        <v>38958</v>
      </c>
      <c r="N2046">
        <v>2006</v>
      </c>
      <c r="R2046" s="262">
        <v>10000</v>
      </c>
      <c r="S2046" t="s">
        <v>114</v>
      </c>
      <c r="T2046" t="s">
        <v>114</v>
      </c>
      <c r="U2046">
        <v>5</v>
      </c>
      <c r="W2046">
        <v>96</v>
      </c>
      <c r="X2046">
        <v>0</v>
      </c>
      <c r="Y2046">
        <v>0</v>
      </c>
      <c r="Z2046">
        <v>0</v>
      </c>
      <c r="AA2046">
        <v>0</v>
      </c>
      <c r="AB2046">
        <v>0</v>
      </c>
      <c r="AC2046">
        <v>96</v>
      </c>
      <c r="AD2046">
        <v>0</v>
      </c>
      <c r="AE2046">
        <v>0</v>
      </c>
      <c r="AF2046">
        <v>0</v>
      </c>
      <c r="AG2046">
        <v>0</v>
      </c>
      <c r="AH2046">
        <v>0</v>
      </c>
      <c r="AI2046">
        <v>0</v>
      </c>
      <c r="AJ2046">
        <v>0</v>
      </c>
      <c r="AK2046">
        <v>0</v>
      </c>
      <c r="AL2046">
        <v>0</v>
      </c>
      <c r="AM2046">
        <v>0</v>
      </c>
      <c r="AN2046">
        <v>0</v>
      </c>
      <c r="AO2046">
        <v>0</v>
      </c>
      <c r="AP2046">
        <v>0</v>
      </c>
      <c r="AQ2046">
        <v>0</v>
      </c>
      <c r="AR2046">
        <v>0</v>
      </c>
      <c r="AS2046">
        <v>0</v>
      </c>
      <c r="AT2046">
        <v>0</v>
      </c>
      <c r="AU2046">
        <f t="shared" si="62"/>
        <v>0</v>
      </c>
      <c r="AV2046">
        <f t="shared" si="63"/>
        <v>0</v>
      </c>
    </row>
    <row r="2047" spans="1:48" x14ac:dyDescent="0.25">
      <c r="A2047" t="s">
        <v>7527</v>
      </c>
      <c r="C2047" t="s">
        <v>7528</v>
      </c>
      <c r="D2047" t="s">
        <v>7064</v>
      </c>
      <c r="E2047" t="s">
        <v>2310</v>
      </c>
      <c r="F2047">
        <v>9</v>
      </c>
      <c r="G2047">
        <v>9.3000000000000007</v>
      </c>
      <c r="H2047" t="s">
        <v>2323</v>
      </c>
      <c r="I2047" s="21">
        <v>38952</v>
      </c>
      <c r="J2047">
        <v>2006</v>
      </c>
      <c r="K2047" s="21">
        <v>38958</v>
      </c>
      <c r="L2047">
        <v>2006</v>
      </c>
      <c r="M2047" s="21">
        <v>38958</v>
      </c>
      <c r="N2047">
        <v>2006</v>
      </c>
      <c r="R2047" s="262">
        <v>10000</v>
      </c>
      <c r="S2047" t="s">
        <v>114</v>
      </c>
      <c r="T2047" t="s">
        <v>114</v>
      </c>
      <c r="U2047">
        <v>5</v>
      </c>
      <c r="W2047">
        <v>96</v>
      </c>
      <c r="X2047">
        <v>0</v>
      </c>
      <c r="Y2047">
        <v>0</v>
      </c>
      <c r="Z2047">
        <v>0</v>
      </c>
      <c r="AA2047">
        <v>0</v>
      </c>
      <c r="AB2047">
        <v>0</v>
      </c>
      <c r="AC2047">
        <v>96</v>
      </c>
      <c r="AD2047">
        <v>0</v>
      </c>
      <c r="AE2047">
        <v>0</v>
      </c>
      <c r="AF2047">
        <v>0</v>
      </c>
      <c r="AG2047">
        <v>0</v>
      </c>
      <c r="AH2047">
        <v>0</v>
      </c>
      <c r="AI2047">
        <v>0</v>
      </c>
      <c r="AJ2047">
        <v>0</v>
      </c>
      <c r="AK2047">
        <v>0</v>
      </c>
      <c r="AL2047">
        <v>0</v>
      </c>
      <c r="AM2047">
        <v>0</v>
      </c>
      <c r="AN2047">
        <v>0</v>
      </c>
      <c r="AO2047">
        <v>0</v>
      </c>
      <c r="AP2047">
        <v>0</v>
      </c>
      <c r="AQ2047">
        <v>0</v>
      </c>
      <c r="AR2047">
        <v>0</v>
      </c>
      <c r="AS2047">
        <v>0</v>
      </c>
      <c r="AT2047">
        <v>0</v>
      </c>
      <c r="AU2047">
        <f t="shared" si="62"/>
        <v>0</v>
      </c>
      <c r="AV2047">
        <f t="shared" si="63"/>
        <v>0</v>
      </c>
    </row>
    <row r="2048" spans="1:48" x14ac:dyDescent="0.25">
      <c r="A2048" t="s">
        <v>7529</v>
      </c>
      <c r="C2048" t="s">
        <v>7530</v>
      </c>
      <c r="D2048" t="s">
        <v>6377</v>
      </c>
      <c r="E2048" t="s">
        <v>2310</v>
      </c>
      <c r="F2048">
        <v>9</v>
      </c>
      <c r="G2048">
        <v>9.4</v>
      </c>
      <c r="H2048" t="s">
        <v>2323</v>
      </c>
      <c r="I2048" s="21">
        <v>38953</v>
      </c>
      <c r="J2048">
        <v>2006</v>
      </c>
      <c r="R2048" s="262">
        <v>0</v>
      </c>
      <c r="S2048" t="s">
        <v>114</v>
      </c>
      <c r="T2048" t="s">
        <v>114</v>
      </c>
      <c r="U2048">
        <v>5</v>
      </c>
      <c r="W2048">
        <v>0</v>
      </c>
      <c r="X2048">
        <v>0</v>
      </c>
      <c r="Y2048">
        <v>0</v>
      </c>
      <c r="Z2048">
        <v>0</v>
      </c>
      <c r="AA2048">
        <v>0</v>
      </c>
      <c r="AB2048">
        <v>0</v>
      </c>
      <c r="AC2048">
        <v>0</v>
      </c>
      <c r="AD2048">
        <v>0</v>
      </c>
      <c r="AE2048">
        <v>0</v>
      </c>
      <c r="AF2048">
        <v>0</v>
      </c>
      <c r="AG2048">
        <v>0</v>
      </c>
      <c r="AH2048">
        <v>0</v>
      </c>
      <c r="AI2048">
        <v>0</v>
      </c>
      <c r="AJ2048">
        <v>0</v>
      </c>
      <c r="AK2048">
        <v>0</v>
      </c>
      <c r="AL2048">
        <v>0</v>
      </c>
      <c r="AM2048">
        <v>0</v>
      </c>
      <c r="AN2048">
        <v>0</v>
      </c>
      <c r="AO2048">
        <v>0</v>
      </c>
      <c r="AP2048">
        <v>0</v>
      </c>
      <c r="AQ2048">
        <v>0</v>
      </c>
      <c r="AR2048">
        <v>0</v>
      </c>
      <c r="AS2048">
        <v>0</v>
      </c>
      <c r="AT2048">
        <v>0</v>
      </c>
      <c r="AU2048">
        <f t="shared" si="62"/>
        <v>0</v>
      </c>
      <c r="AV2048">
        <f t="shared" si="63"/>
        <v>0</v>
      </c>
    </row>
    <row r="2049" spans="1:48" x14ac:dyDescent="0.25">
      <c r="A2049" t="s">
        <v>7531</v>
      </c>
      <c r="C2049" t="s">
        <v>7532</v>
      </c>
      <c r="D2049" t="s">
        <v>2453</v>
      </c>
      <c r="E2049" t="s">
        <v>2310</v>
      </c>
      <c r="F2049">
        <v>13</v>
      </c>
      <c r="G2049">
        <v>13.1</v>
      </c>
      <c r="H2049" t="s">
        <v>2327</v>
      </c>
      <c r="I2049" s="21">
        <v>38953</v>
      </c>
      <c r="J2049">
        <v>2006</v>
      </c>
      <c r="K2049" s="21">
        <v>38974</v>
      </c>
      <c r="L2049">
        <v>2006</v>
      </c>
      <c r="M2049" s="21">
        <v>39134</v>
      </c>
      <c r="N2049">
        <v>2007</v>
      </c>
      <c r="R2049" s="262">
        <v>28000</v>
      </c>
      <c r="S2049" t="s">
        <v>114</v>
      </c>
      <c r="T2049" t="s">
        <v>114</v>
      </c>
      <c r="U2049">
        <v>15</v>
      </c>
      <c r="W2049">
        <v>160</v>
      </c>
      <c r="X2049">
        <v>0</v>
      </c>
      <c r="Y2049">
        <v>0</v>
      </c>
      <c r="Z2049">
        <v>0</v>
      </c>
      <c r="AA2049">
        <v>0</v>
      </c>
      <c r="AB2049">
        <v>0</v>
      </c>
      <c r="AC2049">
        <v>0</v>
      </c>
      <c r="AD2049">
        <v>0</v>
      </c>
      <c r="AE2049">
        <v>0</v>
      </c>
      <c r="AF2049">
        <v>0</v>
      </c>
      <c r="AG2049">
        <v>0</v>
      </c>
      <c r="AH2049">
        <v>0</v>
      </c>
      <c r="AI2049">
        <v>0</v>
      </c>
      <c r="AJ2049">
        <v>0</v>
      </c>
      <c r="AK2049">
        <v>0</v>
      </c>
      <c r="AL2049">
        <v>0</v>
      </c>
      <c r="AM2049">
        <v>160</v>
      </c>
      <c r="AN2049">
        <v>0</v>
      </c>
      <c r="AO2049">
        <v>0</v>
      </c>
      <c r="AP2049">
        <v>0</v>
      </c>
      <c r="AQ2049">
        <v>0</v>
      </c>
      <c r="AR2049">
        <v>0</v>
      </c>
      <c r="AS2049">
        <v>0</v>
      </c>
      <c r="AT2049">
        <v>0</v>
      </c>
      <c r="AU2049">
        <f t="shared" si="62"/>
        <v>0</v>
      </c>
      <c r="AV2049">
        <f t="shared" si="63"/>
        <v>160</v>
      </c>
    </row>
    <row r="2050" spans="1:48" x14ac:dyDescent="0.25">
      <c r="A2050" t="s">
        <v>7533</v>
      </c>
      <c r="C2050" t="s">
        <v>7354</v>
      </c>
      <c r="D2050" t="s">
        <v>7534</v>
      </c>
      <c r="E2050" t="s">
        <v>2310</v>
      </c>
      <c r="F2050">
        <v>12</v>
      </c>
      <c r="G2050">
        <v>12.3</v>
      </c>
      <c r="H2050" t="s">
        <v>2017</v>
      </c>
      <c r="I2050" s="21">
        <v>38959</v>
      </c>
      <c r="J2050">
        <v>2006</v>
      </c>
      <c r="K2050" s="21">
        <v>38999</v>
      </c>
      <c r="L2050">
        <v>2006</v>
      </c>
      <c r="M2050" s="21">
        <v>39485</v>
      </c>
      <c r="N2050">
        <v>2008</v>
      </c>
      <c r="R2050" s="262">
        <v>950000</v>
      </c>
      <c r="S2050" t="s">
        <v>114</v>
      </c>
      <c r="T2050" t="s">
        <v>114</v>
      </c>
      <c r="U2050">
        <v>5</v>
      </c>
      <c r="W2050">
        <v>4292</v>
      </c>
      <c r="X2050">
        <v>1</v>
      </c>
      <c r="Y2050">
        <v>0</v>
      </c>
      <c r="Z2050">
        <v>0</v>
      </c>
      <c r="AA2050">
        <v>0</v>
      </c>
      <c r="AB2050">
        <v>0</v>
      </c>
      <c r="AC2050">
        <v>4292</v>
      </c>
      <c r="AD2050">
        <v>0</v>
      </c>
      <c r="AE2050">
        <v>0</v>
      </c>
      <c r="AF2050">
        <v>0</v>
      </c>
      <c r="AG2050">
        <v>0</v>
      </c>
      <c r="AH2050">
        <v>0</v>
      </c>
      <c r="AI2050">
        <v>0</v>
      </c>
      <c r="AJ2050">
        <v>0</v>
      </c>
      <c r="AK2050">
        <v>0</v>
      </c>
      <c r="AL2050">
        <v>0</v>
      </c>
      <c r="AM2050">
        <v>0</v>
      </c>
      <c r="AN2050">
        <v>0</v>
      </c>
      <c r="AO2050">
        <v>1</v>
      </c>
      <c r="AP2050">
        <v>0</v>
      </c>
      <c r="AQ2050">
        <v>0</v>
      </c>
      <c r="AR2050">
        <v>0</v>
      </c>
      <c r="AS2050">
        <v>0</v>
      </c>
      <c r="AT2050">
        <v>0</v>
      </c>
      <c r="AU2050">
        <f t="shared" si="62"/>
        <v>1</v>
      </c>
      <c r="AV2050">
        <f t="shared" si="63"/>
        <v>0</v>
      </c>
    </row>
    <row r="2051" spans="1:48" x14ac:dyDescent="0.25">
      <c r="A2051" t="s">
        <v>7535</v>
      </c>
      <c r="C2051" t="s">
        <v>7354</v>
      </c>
      <c r="D2051" t="s">
        <v>7536</v>
      </c>
      <c r="E2051" t="s">
        <v>2310</v>
      </c>
      <c r="F2051">
        <v>8</v>
      </c>
      <c r="G2051">
        <v>8.1999999999999993</v>
      </c>
      <c r="H2051" t="s">
        <v>2022</v>
      </c>
      <c r="I2051" s="21">
        <v>38960</v>
      </c>
      <c r="J2051">
        <v>2006</v>
      </c>
      <c r="K2051" s="21">
        <v>39006</v>
      </c>
      <c r="L2051">
        <v>2006</v>
      </c>
      <c r="M2051" s="21">
        <v>39434</v>
      </c>
      <c r="N2051">
        <v>2007</v>
      </c>
      <c r="R2051" s="262">
        <v>1000000</v>
      </c>
      <c r="S2051" t="s">
        <v>114</v>
      </c>
      <c r="T2051" t="s">
        <v>114</v>
      </c>
      <c r="U2051">
        <v>5</v>
      </c>
      <c r="W2051">
        <v>5555</v>
      </c>
      <c r="X2051">
        <v>1</v>
      </c>
      <c r="Y2051">
        <v>0</v>
      </c>
      <c r="Z2051">
        <v>0</v>
      </c>
      <c r="AA2051">
        <v>0</v>
      </c>
      <c r="AB2051">
        <v>0</v>
      </c>
      <c r="AC2051">
        <v>5555</v>
      </c>
      <c r="AD2051">
        <v>0</v>
      </c>
      <c r="AE2051">
        <v>0</v>
      </c>
      <c r="AF2051">
        <v>0</v>
      </c>
      <c r="AG2051">
        <v>0</v>
      </c>
      <c r="AH2051">
        <v>0</v>
      </c>
      <c r="AI2051">
        <v>0</v>
      </c>
      <c r="AJ2051">
        <v>0</v>
      </c>
      <c r="AK2051">
        <v>0</v>
      </c>
      <c r="AL2051">
        <v>0</v>
      </c>
      <c r="AM2051">
        <v>0</v>
      </c>
      <c r="AN2051">
        <v>0</v>
      </c>
      <c r="AO2051">
        <v>1</v>
      </c>
      <c r="AP2051">
        <v>0</v>
      </c>
      <c r="AQ2051">
        <v>0</v>
      </c>
      <c r="AR2051">
        <v>0</v>
      </c>
      <c r="AS2051">
        <v>0</v>
      </c>
      <c r="AT2051">
        <v>0</v>
      </c>
      <c r="AU2051">
        <f t="shared" si="62"/>
        <v>1</v>
      </c>
      <c r="AV2051">
        <f t="shared" si="63"/>
        <v>0</v>
      </c>
    </row>
    <row r="2052" spans="1:48" x14ac:dyDescent="0.25">
      <c r="A2052" t="s">
        <v>7537</v>
      </c>
      <c r="C2052" t="s">
        <v>5048</v>
      </c>
      <c r="D2052" t="s">
        <v>7536</v>
      </c>
      <c r="E2052" t="s">
        <v>2310</v>
      </c>
      <c r="F2052">
        <v>8</v>
      </c>
      <c r="G2052">
        <v>8.1999999999999993</v>
      </c>
      <c r="H2052" t="s">
        <v>2022</v>
      </c>
      <c r="I2052" s="21">
        <v>38960</v>
      </c>
      <c r="J2052">
        <v>2006</v>
      </c>
      <c r="K2052" s="21">
        <v>39006</v>
      </c>
      <c r="L2052">
        <v>2006</v>
      </c>
      <c r="M2052" s="21">
        <v>39006</v>
      </c>
      <c r="N2052">
        <v>2006</v>
      </c>
      <c r="R2052" s="262">
        <v>100000</v>
      </c>
      <c r="S2052" t="s">
        <v>114</v>
      </c>
      <c r="T2052" t="s">
        <v>114</v>
      </c>
      <c r="U2052">
        <v>5</v>
      </c>
      <c r="W2052">
        <v>864</v>
      </c>
      <c r="X2052">
        <v>0</v>
      </c>
      <c r="Y2052">
        <v>0</v>
      </c>
      <c r="Z2052">
        <v>0</v>
      </c>
      <c r="AA2052">
        <v>0</v>
      </c>
      <c r="AB2052">
        <v>0</v>
      </c>
      <c r="AC2052">
        <v>864</v>
      </c>
      <c r="AD2052">
        <v>0</v>
      </c>
      <c r="AE2052">
        <v>0</v>
      </c>
      <c r="AF2052">
        <v>0</v>
      </c>
      <c r="AG2052">
        <v>0</v>
      </c>
      <c r="AH2052">
        <v>0</v>
      </c>
      <c r="AI2052">
        <v>0</v>
      </c>
      <c r="AJ2052">
        <v>0</v>
      </c>
      <c r="AK2052">
        <v>0</v>
      </c>
      <c r="AL2052">
        <v>0</v>
      </c>
      <c r="AM2052">
        <v>0</v>
      </c>
      <c r="AN2052">
        <v>0</v>
      </c>
      <c r="AO2052">
        <v>0</v>
      </c>
      <c r="AP2052">
        <v>0</v>
      </c>
      <c r="AQ2052">
        <v>0</v>
      </c>
      <c r="AR2052">
        <v>0</v>
      </c>
      <c r="AS2052">
        <v>0</v>
      </c>
      <c r="AT2052">
        <v>0</v>
      </c>
      <c r="AU2052">
        <f t="shared" si="62"/>
        <v>0</v>
      </c>
      <c r="AV2052">
        <f t="shared" si="63"/>
        <v>0</v>
      </c>
    </row>
    <row r="2053" spans="1:48" x14ac:dyDescent="0.25">
      <c r="A2053" t="s">
        <v>7538</v>
      </c>
      <c r="C2053" t="s">
        <v>7539</v>
      </c>
      <c r="D2053" t="s">
        <v>3626</v>
      </c>
      <c r="E2053" t="s">
        <v>2310</v>
      </c>
      <c r="F2053">
        <v>15</v>
      </c>
      <c r="G2053">
        <v>15.1</v>
      </c>
      <c r="H2053" t="s">
        <v>2022</v>
      </c>
      <c r="I2053" s="21">
        <v>38960</v>
      </c>
      <c r="J2053">
        <v>2006</v>
      </c>
      <c r="K2053" s="21">
        <v>39006</v>
      </c>
      <c r="L2053">
        <v>2006</v>
      </c>
      <c r="M2053" s="21">
        <v>39239</v>
      </c>
      <c r="N2053">
        <v>2007</v>
      </c>
      <c r="R2053" s="262">
        <v>5000</v>
      </c>
      <c r="S2053" t="s">
        <v>114</v>
      </c>
      <c r="T2053" t="s">
        <v>114</v>
      </c>
      <c r="U2053">
        <v>11</v>
      </c>
      <c r="W2053">
        <v>6</v>
      </c>
      <c r="X2053">
        <v>1</v>
      </c>
      <c r="Y2053">
        <v>0</v>
      </c>
      <c r="Z2053">
        <v>0</v>
      </c>
      <c r="AA2053">
        <v>0</v>
      </c>
      <c r="AB2053">
        <v>0</v>
      </c>
      <c r="AC2053">
        <v>0</v>
      </c>
      <c r="AD2053">
        <v>0</v>
      </c>
      <c r="AE2053">
        <v>0</v>
      </c>
      <c r="AF2053">
        <v>0</v>
      </c>
      <c r="AG2053">
        <v>0</v>
      </c>
      <c r="AH2053">
        <v>0</v>
      </c>
      <c r="AI2053">
        <v>6</v>
      </c>
      <c r="AJ2053">
        <v>0</v>
      </c>
      <c r="AK2053">
        <v>0</v>
      </c>
      <c r="AL2053">
        <v>0</v>
      </c>
      <c r="AM2053">
        <v>0</v>
      </c>
      <c r="AN2053">
        <v>0</v>
      </c>
      <c r="AO2053">
        <v>0</v>
      </c>
      <c r="AP2053">
        <v>0</v>
      </c>
      <c r="AQ2053">
        <v>0</v>
      </c>
      <c r="AR2053">
        <v>0</v>
      </c>
      <c r="AS2053">
        <v>0</v>
      </c>
      <c r="AT2053">
        <v>1</v>
      </c>
      <c r="AU2053">
        <f t="shared" si="62"/>
        <v>0</v>
      </c>
      <c r="AV2053">
        <f t="shared" si="63"/>
        <v>6</v>
      </c>
    </row>
    <row r="2054" spans="1:48" x14ac:dyDescent="0.25">
      <c r="A2054" t="s">
        <v>7540</v>
      </c>
      <c r="C2054" t="s">
        <v>7541</v>
      </c>
      <c r="D2054" t="s">
        <v>2898</v>
      </c>
      <c r="E2054" t="s">
        <v>2310</v>
      </c>
      <c r="F2054">
        <v>9</v>
      </c>
      <c r="G2054">
        <v>9.3000000000000007</v>
      </c>
      <c r="H2054" t="s">
        <v>2323</v>
      </c>
      <c r="I2054" s="21">
        <v>38965</v>
      </c>
      <c r="J2054">
        <v>2006</v>
      </c>
      <c r="K2054" s="21">
        <v>39009</v>
      </c>
      <c r="L2054">
        <v>2006</v>
      </c>
      <c r="M2054" s="21">
        <v>39261</v>
      </c>
      <c r="N2054">
        <v>2007</v>
      </c>
      <c r="R2054" s="262">
        <v>200000</v>
      </c>
      <c r="S2054" t="s">
        <v>114</v>
      </c>
      <c r="T2054" t="s">
        <v>114</v>
      </c>
      <c r="U2054">
        <v>8</v>
      </c>
      <c r="W2054">
        <v>997</v>
      </c>
      <c r="X2054">
        <v>1</v>
      </c>
      <c r="Y2054">
        <v>0</v>
      </c>
      <c r="Z2054">
        <v>0</v>
      </c>
      <c r="AA2054">
        <v>0</v>
      </c>
      <c r="AB2054">
        <v>0</v>
      </c>
      <c r="AC2054">
        <v>0</v>
      </c>
      <c r="AD2054">
        <v>0</v>
      </c>
      <c r="AE2054">
        <v>0</v>
      </c>
      <c r="AF2054">
        <v>997</v>
      </c>
      <c r="AG2054">
        <v>0</v>
      </c>
      <c r="AH2054">
        <v>0</v>
      </c>
      <c r="AI2054">
        <v>0</v>
      </c>
      <c r="AJ2054">
        <v>0</v>
      </c>
      <c r="AK2054">
        <v>0</v>
      </c>
      <c r="AL2054">
        <v>0</v>
      </c>
      <c r="AM2054">
        <v>0</v>
      </c>
      <c r="AN2054">
        <v>0</v>
      </c>
      <c r="AO2054">
        <v>0</v>
      </c>
      <c r="AP2054">
        <v>0</v>
      </c>
      <c r="AQ2054">
        <v>0</v>
      </c>
      <c r="AR2054">
        <v>1</v>
      </c>
      <c r="AS2054">
        <v>0</v>
      </c>
      <c r="AT2054">
        <v>0</v>
      </c>
      <c r="AU2054">
        <f t="shared" si="62"/>
        <v>0</v>
      </c>
      <c r="AV2054">
        <f t="shared" si="63"/>
        <v>0</v>
      </c>
    </row>
    <row r="2055" spans="1:48" x14ac:dyDescent="0.25">
      <c r="A2055" t="s">
        <v>7542</v>
      </c>
      <c r="C2055" t="s">
        <v>7543</v>
      </c>
      <c r="D2055" t="s">
        <v>7544</v>
      </c>
      <c r="E2055" t="s">
        <v>2310</v>
      </c>
      <c r="F2055">
        <v>9</v>
      </c>
      <c r="G2055">
        <v>9.1999999999999993</v>
      </c>
      <c r="H2055" t="s">
        <v>2022</v>
      </c>
      <c r="I2055" s="21">
        <v>38965</v>
      </c>
      <c r="J2055">
        <v>2006</v>
      </c>
      <c r="K2055" s="21">
        <v>39001</v>
      </c>
      <c r="L2055">
        <v>2006</v>
      </c>
      <c r="M2055" s="21">
        <v>39455</v>
      </c>
      <c r="N2055">
        <v>2008</v>
      </c>
      <c r="R2055" s="262">
        <v>500000</v>
      </c>
      <c r="S2055" t="s">
        <v>114</v>
      </c>
      <c r="T2055" t="s">
        <v>114</v>
      </c>
      <c r="U2055">
        <v>5</v>
      </c>
      <c r="W2055">
        <v>1191</v>
      </c>
      <c r="X2055">
        <v>0</v>
      </c>
      <c r="Y2055">
        <v>0</v>
      </c>
      <c r="Z2055">
        <v>0</v>
      </c>
      <c r="AA2055">
        <v>0</v>
      </c>
      <c r="AB2055">
        <v>0</v>
      </c>
      <c r="AC2055">
        <v>1191</v>
      </c>
      <c r="AD2055">
        <v>0</v>
      </c>
      <c r="AE2055">
        <v>0</v>
      </c>
      <c r="AF2055">
        <v>0</v>
      </c>
      <c r="AG2055">
        <v>0</v>
      </c>
      <c r="AH2055">
        <v>0</v>
      </c>
      <c r="AI2055">
        <v>0</v>
      </c>
      <c r="AJ2055">
        <v>0</v>
      </c>
      <c r="AK2055">
        <v>0</v>
      </c>
      <c r="AL2055">
        <v>0</v>
      </c>
      <c r="AM2055">
        <v>0</v>
      </c>
      <c r="AN2055">
        <v>0</v>
      </c>
      <c r="AO2055">
        <v>0</v>
      </c>
      <c r="AP2055">
        <v>0</v>
      </c>
      <c r="AQ2055">
        <v>0</v>
      </c>
      <c r="AR2055">
        <v>0</v>
      </c>
      <c r="AS2055">
        <v>0</v>
      </c>
      <c r="AT2055">
        <v>0</v>
      </c>
      <c r="AU2055">
        <f t="shared" si="62"/>
        <v>0</v>
      </c>
      <c r="AV2055">
        <f t="shared" si="63"/>
        <v>0</v>
      </c>
    </row>
    <row r="2056" spans="1:48" x14ac:dyDescent="0.25">
      <c r="A2056" t="s">
        <v>7545</v>
      </c>
      <c r="C2056" t="s">
        <v>7546</v>
      </c>
      <c r="D2056" t="s">
        <v>7544</v>
      </c>
      <c r="E2056" t="s">
        <v>2310</v>
      </c>
      <c r="F2056">
        <v>9</v>
      </c>
      <c r="G2056">
        <v>9.1999999999999993</v>
      </c>
      <c r="H2056" t="s">
        <v>2022</v>
      </c>
      <c r="I2056" s="21">
        <v>38965</v>
      </c>
      <c r="J2056">
        <v>2006</v>
      </c>
      <c r="K2056" s="21">
        <v>39001</v>
      </c>
      <c r="L2056">
        <v>2006</v>
      </c>
      <c r="M2056" s="21">
        <v>39471</v>
      </c>
      <c r="N2056">
        <v>2008</v>
      </c>
      <c r="R2056" s="262">
        <v>200000</v>
      </c>
      <c r="S2056" t="s">
        <v>114</v>
      </c>
      <c r="T2056" t="s">
        <v>114</v>
      </c>
      <c r="U2056">
        <v>5</v>
      </c>
      <c r="W2056">
        <v>1263</v>
      </c>
      <c r="X2056">
        <v>0</v>
      </c>
      <c r="Y2056">
        <v>0</v>
      </c>
      <c r="Z2056">
        <v>0</v>
      </c>
      <c r="AA2056">
        <v>0</v>
      </c>
      <c r="AB2056">
        <v>0</v>
      </c>
      <c r="AC2056">
        <v>1263</v>
      </c>
      <c r="AD2056">
        <v>0</v>
      </c>
      <c r="AE2056">
        <v>0</v>
      </c>
      <c r="AF2056">
        <v>0</v>
      </c>
      <c r="AG2056">
        <v>0</v>
      </c>
      <c r="AH2056">
        <v>0</v>
      </c>
      <c r="AI2056">
        <v>0</v>
      </c>
      <c r="AJ2056">
        <v>0</v>
      </c>
      <c r="AK2056">
        <v>0</v>
      </c>
      <c r="AL2056">
        <v>0</v>
      </c>
      <c r="AM2056">
        <v>0</v>
      </c>
      <c r="AN2056">
        <v>0</v>
      </c>
      <c r="AO2056">
        <v>0</v>
      </c>
      <c r="AP2056">
        <v>0</v>
      </c>
      <c r="AQ2056">
        <v>0</v>
      </c>
      <c r="AR2056">
        <v>0</v>
      </c>
      <c r="AS2056">
        <v>0</v>
      </c>
      <c r="AT2056">
        <v>0</v>
      </c>
      <c r="AU2056">
        <f t="shared" si="62"/>
        <v>0</v>
      </c>
      <c r="AV2056">
        <f t="shared" si="63"/>
        <v>0</v>
      </c>
    </row>
    <row r="2057" spans="1:48" x14ac:dyDescent="0.25">
      <c r="A2057" t="s">
        <v>7547</v>
      </c>
      <c r="C2057" t="s">
        <v>7548</v>
      </c>
      <c r="D2057" t="s">
        <v>6770</v>
      </c>
      <c r="E2057" t="s">
        <v>2310</v>
      </c>
      <c r="F2057">
        <v>11</v>
      </c>
      <c r="G2057">
        <v>11.2</v>
      </c>
      <c r="H2057" t="s">
        <v>2017</v>
      </c>
      <c r="I2057" s="21">
        <v>38966</v>
      </c>
      <c r="J2057">
        <v>2006</v>
      </c>
      <c r="K2057" s="21">
        <v>39003</v>
      </c>
      <c r="L2057">
        <v>2006</v>
      </c>
      <c r="M2057" s="21">
        <v>39003</v>
      </c>
      <c r="N2057">
        <v>2006</v>
      </c>
      <c r="R2057" s="262">
        <v>500000</v>
      </c>
      <c r="S2057" t="s">
        <v>114</v>
      </c>
      <c r="T2057" t="s">
        <v>114</v>
      </c>
      <c r="U2057">
        <v>5</v>
      </c>
      <c r="W2057">
        <v>1608</v>
      </c>
      <c r="X2057">
        <v>0</v>
      </c>
      <c r="Y2057">
        <v>0</v>
      </c>
      <c r="Z2057">
        <v>0</v>
      </c>
      <c r="AA2057">
        <v>0</v>
      </c>
      <c r="AB2057">
        <v>0</v>
      </c>
      <c r="AC2057">
        <v>1608</v>
      </c>
      <c r="AD2057">
        <v>0</v>
      </c>
      <c r="AE2057">
        <v>0</v>
      </c>
      <c r="AF2057">
        <v>0</v>
      </c>
      <c r="AG2057">
        <v>0</v>
      </c>
      <c r="AH2057">
        <v>0</v>
      </c>
      <c r="AI2057">
        <v>0</v>
      </c>
      <c r="AJ2057">
        <v>0</v>
      </c>
      <c r="AK2057">
        <v>0</v>
      </c>
      <c r="AL2057">
        <v>0</v>
      </c>
      <c r="AM2057">
        <v>0</v>
      </c>
      <c r="AN2057">
        <v>0</v>
      </c>
      <c r="AO2057">
        <v>0</v>
      </c>
      <c r="AP2057">
        <v>0</v>
      </c>
      <c r="AQ2057">
        <v>0</v>
      </c>
      <c r="AR2057">
        <v>0</v>
      </c>
      <c r="AS2057">
        <v>0</v>
      </c>
      <c r="AT2057">
        <v>0</v>
      </c>
      <c r="AU2057">
        <f t="shared" si="62"/>
        <v>0</v>
      </c>
      <c r="AV2057">
        <f t="shared" si="63"/>
        <v>0</v>
      </c>
    </row>
    <row r="2058" spans="1:48" x14ac:dyDescent="0.25">
      <c r="A2058" t="s">
        <v>7549</v>
      </c>
      <c r="C2058" t="s">
        <v>7550</v>
      </c>
      <c r="D2058" t="s">
        <v>5287</v>
      </c>
      <c r="E2058" t="s">
        <v>2310</v>
      </c>
      <c r="F2058">
        <v>8</v>
      </c>
      <c r="G2058">
        <v>8.1999999999999993</v>
      </c>
      <c r="H2058" t="s">
        <v>2022</v>
      </c>
      <c r="I2058" s="21">
        <v>38966</v>
      </c>
      <c r="J2058">
        <v>2006</v>
      </c>
      <c r="K2058" s="21">
        <v>39009</v>
      </c>
      <c r="L2058">
        <v>2006</v>
      </c>
      <c r="M2058" s="21">
        <v>39009</v>
      </c>
      <c r="N2058">
        <v>2006</v>
      </c>
      <c r="R2058" s="262">
        <v>0</v>
      </c>
      <c r="S2058" t="s">
        <v>114</v>
      </c>
      <c r="T2058" t="s">
        <v>114</v>
      </c>
      <c r="U2058">
        <v>5</v>
      </c>
      <c r="W2058">
        <v>0</v>
      </c>
      <c r="X2058">
        <v>0</v>
      </c>
      <c r="Y2058">
        <v>0</v>
      </c>
      <c r="Z2058">
        <v>0</v>
      </c>
      <c r="AA2058">
        <v>0</v>
      </c>
      <c r="AB2058">
        <v>0</v>
      </c>
      <c r="AC2058">
        <v>0</v>
      </c>
      <c r="AD2058">
        <v>0</v>
      </c>
      <c r="AE2058">
        <v>0</v>
      </c>
      <c r="AF2058">
        <v>0</v>
      </c>
      <c r="AG2058">
        <v>0</v>
      </c>
      <c r="AH2058">
        <v>0</v>
      </c>
      <c r="AI2058">
        <v>0</v>
      </c>
      <c r="AJ2058">
        <v>0</v>
      </c>
      <c r="AK2058">
        <v>0</v>
      </c>
      <c r="AL2058">
        <v>0</v>
      </c>
      <c r="AM2058">
        <v>0</v>
      </c>
      <c r="AN2058">
        <v>0</v>
      </c>
      <c r="AO2058">
        <v>0</v>
      </c>
      <c r="AP2058">
        <v>0</v>
      </c>
      <c r="AQ2058">
        <v>0</v>
      </c>
      <c r="AR2058">
        <v>0</v>
      </c>
      <c r="AS2058">
        <v>0</v>
      </c>
      <c r="AT2058">
        <v>0</v>
      </c>
      <c r="AU2058">
        <f t="shared" si="62"/>
        <v>0</v>
      </c>
      <c r="AV2058">
        <f t="shared" si="63"/>
        <v>0</v>
      </c>
    </row>
    <row r="2059" spans="1:48" x14ac:dyDescent="0.25">
      <c r="A2059" t="s">
        <v>7551</v>
      </c>
      <c r="C2059" t="s">
        <v>7552</v>
      </c>
      <c r="D2059" t="s">
        <v>7553</v>
      </c>
      <c r="E2059" t="s">
        <v>2310</v>
      </c>
      <c r="F2059">
        <v>8</v>
      </c>
      <c r="G2059">
        <v>8.1</v>
      </c>
      <c r="H2059" t="s">
        <v>2323</v>
      </c>
      <c r="I2059" s="21">
        <v>38966</v>
      </c>
      <c r="J2059">
        <v>2006</v>
      </c>
      <c r="K2059" s="21">
        <v>39058</v>
      </c>
      <c r="L2059">
        <v>2006</v>
      </c>
      <c r="M2059" s="21">
        <v>40087.350405092599</v>
      </c>
      <c r="N2059">
        <v>2009</v>
      </c>
      <c r="R2059" s="262">
        <v>3000000</v>
      </c>
      <c r="S2059" t="s">
        <v>114</v>
      </c>
      <c r="T2059" t="s">
        <v>114</v>
      </c>
      <c r="U2059">
        <v>5</v>
      </c>
      <c r="W2059">
        <v>7998</v>
      </c>
      <c r="X2059">
        <v>1</v>
      </c>
      <c r="Y2059">
        <v>0</v>
      </c>
      <c r="Z2059">
        <v>0</v>
      </c>
      <c r="AA2059">
        <v>0</v>
      </c>
      <c r="AB2059">
        <v>0</v>
      </c>
      <c r="AC2059">
        <v>7998</v>
      </c>
      <c r="AD2059">
        <v>0</v>
      </c>
      <c r="AE2059">
        <v>0</v>
      </c>
      <c r="AF2059">
        <v>0</v>
      </c>
      <c r="AG2059">
        <v>0</v>
      </c>
      <c r="AH2059">
        <v>0</v>
      </c>
      <c r="AI2059">
        <v>0</v>
      </c>
      <c r="AJ2059">
        <v>0</v>
      </c>
      <c r="AK2059">
        <v>0</v>
      </c>
      <c r="AL2059">
        <v>0</v>
      </c>
      <c r="AM2059">
        <v>0</v>
      </c>
      <c r="AN2059">
        <v>0</v>
      </c>
      <c r="AO2059">
        <v>1</v>
      </c>
      <c r="AP2059">
        <v>0</v>
      </c>
      <c r="AQ2059">
        <v>0</v>
      </c>
      <c r="AR2059">
        <v>0</v>
      </c>
      <c r="AS2059">
        <v>0</v>
      </c>
      <c r="AT2059">
        <v>0</v>
      </c>
      <c r="AU2059">
        <f t="shared" si="62"/>
        <v>1</v>
      </c>
      <c r="AV2059">
        <f t="shared" si="63"/>
        <v>0</v>
      </c>
    </row>
    <row r="2060" spans="1:48" x14ac:dyDescent="0.25">
      <c r="A2060" t="s">
        <v>7554</v>
      </c>
      <c r="C2060" t="s">
        <v>7555</v>
      </c>
      <c r="D2060" t="s">
        <v>7553</v>
      </c>
      <c r="E2060" t="s">
        <v>2310</v>
      </c>
      <c r="F2060">
        <v>8</v>
      </c>
      <c r="G2060">
        <v>8.1</v>
      </c>
      <c r="H2060" t="s">
        <v>2323</v>
      </c>
      <c r="I2060" s="21">
        <v>38966</v>
      </c>
      <c r="J2060">
        <v>2006</v>
      </c>
      <c r="K2060" s="21">
        <v>39211</v>
      </c>
      <c r="L2060">
        <v>2007</v>
      </c>
      <c r="M2060" s="21">
        <v>40087.587812500002</v>
      </c>
      <c r="N2060">
        <v>2009</v>
      </c>
      <c r="R2060" s="262">
        <v>300000</v>
      </c>
      <c r="S2060" t="s">
        <v>114</v>
      </c>
      <c r="T2060" t="s">
        <v>114</v>
      </c>
      <c r="U2060">
        <v>5</v>
      </c>
      <c r="W2060">
        <v>1092</v>
      </c>
      <c r="X2060">
        <v>0</v>
      </c>
      <c r="Y2060">
        <v>0</v>
      </c>
      <c r="Z2060">
        <v>0</v>
      </c>
      <c r="AA2060">
        <v>0</v>
      </c>
      <c r="AB2060">
        <v>0</v>
      </c>
      <c r="AC2060">
        <v>1092</v>
      </c>
      <c r="AD2060">
        <v>0</v>
      </c>
      <c r="AE2060">
        <v>0</v>
      </c>
      <c r="AF2060">
        <v>0</v>
      </c>
      <c r="AG2060">
        <v>0</v>
      </c>
      <c r="AH2060">
        <v>0</v>
      </c>
      <c r="AI2060">
        <v>0</v>
      </c>
      <c r="AJ2060">
        <v>0</v>
      </c>
      <c r="AK2060">
        <v>0</v>
      </c>
      <c r="AL2060">
        <v>0</v>
      </c>
      <c r="AM2060">
        <v>0</v>
      </c>
      <c r="AN2060">
        <v>0</v>
      </c>
      <c r="AO2060">
        <v>0</v>
      </c>
      <c r="AP2060">
        <v>0</v>
      </c>
      <c r="AQ2060">
        <v>0</v>
      </c>
      <c r="AR2060">
        <v>0</v>
      </c>
      <c r="AS2060">
        <v>0</v>
      </c>
      <c r="AT2060">
        <v>0</v>
      </c>
      <c r="AU2060">
        <f t="shared" si="62"/>
        <v>0</v>
      </c>
      <c r="AV2060">
        <f t="shared" si="63"/>
        <v>0</v>
      </c>
    </row>
    <row r="2061" spans="1:48" x14ac:dyDescent="0.25">
      <c r="A2061" t="s">
        <v>7556</v>
      </c>
      <c r="C2061" t="s">
        <v>7557</v>
      </c>
      <c r="D2061" t="s">
        <v>7553</v>
      </c>
      <c r="E2061" t="s">
        <v>2310</v>
      </c>
      <c r="F2061">
        <v>8</v>
      </c>
      <c r="G2061">
        <v>8.1</v>
      </c>
      <c r="H2061" t="s">
        <v>2323</v>
      </c>
      <c r="I2061" s="21">
        <v>38966</v>
      </c>
      <c r="J2061">
        <v>2006</v>
      </c>
      <c r="K2061" s="21">
        <v>39211</v>
      </c>
      <c r="L2061">
        <v>2007</v>
      </c>
      <c r="M2061" s="21">
        <v>40087.597662036998</v>
      </c>
      <c r="N2061">
        <v>2009</v>
      </c>
      <c r="R2061" s="262">
        <v>200000</v>
      </c>
      <c r="S2061" t="s">
        <v>114</v>
      </c>
      <c r="T2061" t="s">
        <v>114</v>
      </c>
      <c r="U2061">
        <v>5</v>
      </c>
      <c r="W2061">
        <v>900</v>
      </c>
      <c r="X2061">
        <v>0</v>
      </c>
      <c r="Y2061">
        <v>0</v>
      </c>
      <c r="Z2061">
        <v>0</v>
      </c>
      <c r="AA2061">
        <v>0</v>
      </c>
      <c r="AB2061">
        <v>0</v>
      </c>
      <c r="AC2061">
        <v>900</v>
      </c>
      <c r="AD2061">
        <v>0</v>
      </c>
      <c r="AE2061">
        <v>0</v>
      </c>
      <c r="AF2061">
        <v>0</v>
      </c>
      <c r="AG2061">
        <v>0</v>
      </c>
      <c r="AH2061">
        <v>0</v>
      </c>
      <c r="AI2061">
        <v>0</v>
      </c>
      <c r="AJ2061">
        <v>0</v>
      </c>
      <c r="AK2061">
        <v>0</v>
      </c>
      <c r="AL2061">
        <v>0</v>
      </c>
      <c r="AM2061">
        <v>0</v>
      </c>
      <c r="AN2061">
        <v>0</v>
      </c>
      <c r="AO2061">
        <v>0</v>
      </c>
      <c r="AP2061">
        <v>0</v>
      </c>
      <c r="AQ2061">
        <v>0</v>
      </c>
      <c r="AR2061">
        <v>0</v>
      </c>
      <c r="AS2061">
        <v>0</v>
      </c>
      <c r="AT2061">
        <v>0</v>
      </c>
      <c r="AU2061">
        <f t="shared" si="62"/>
        <v>0</v>
      </c>
      <c r="AV2061">
        <f t="shared" si="63"/>
        <v>0</v>
      </c>
    </row>
    <row r="2062" spans="1:48" x14ac:dyDescent="0.25">
      <c r="A2062" t="s">
        <v>7558</v>
      </c>
      <c r="C2062" t="s">
        <v>7354</v>
      </c>
      <c r="D2062" t="s">
        <v>7559</v>
      </c>
      <c r="E2062" t="s">
        <v>2310</v>
      </c>
      <c r="F2062">
        <v>9</v>
      </c>
      <c r="G2062">
        <v>9.3000000000000007</v>
      </c>
      <c r="H2062" t="s">
        <v>2323</v>
      </c>
      <c r="I2062" s="21">
        <v>38967</v>
      </c>
      <c r="J2062">
        <v>2006</v>
      </c>
      <c r="K2062" s="21">
        <v>39065</v>
      </c>
      <c r="L2062">
        <v>2006</v>
      </c>
      <c r="M2062" s="21">
        <v>39065</v>
      </c>
      <c r="N2062">
        <v>2006</v>
      </c>
      <c r="R2062" s="262">
        <v>1500000</v>
      </c>
      <c r="S2062" t="s">
        <v>114</v>
      </c>
      <c r="T2062" t="s">
        <v>114</v>
      </c>
      <c r="U2062">
        <v>5</v>
      </c>
      <c r="W2062">
        <v>4806</v>
      </c>
      <c r="X2062">
        <v>1</v>
      </c>
      <c r="Y2062">
        <v>0</v>
      </c>
      <c r="Z2062">
        <v>0</v>
      </c>
      <c r="AA2062">
        <v>0</v>
      </c>
      <c r="AB2062">
        <v>0</v>
      </c>
      <c r="AC2062">
        <v>4806</v>
      </c>
      <c r="AD2062">
        <v>0</v>
      </c>
      <c r="AE2062">
        <v>0</v>
      </c>
      <c r="AF2062">
        <v>0</v>
      </c>
      <c r="AG2062">
        <v>0</v>
      </c>
      <c r="AH2062">
        <v>0</v>
      </c>
      <c r="AI2062">
        <v>0</v>
      </c>
      <c r="AJ2062">
        <v>0</v>
      </c>
      <c r="AK2062">
        <v>0</v>
      </c>
      <c r="AL2062">
        <v>0</v>
      </c>
      <c r="AM2062">
        <v>0</v>
      </c>
      <c r="AN2062">
        <v>0</v>
      </c>
      <c r="AO2062">
        <v>1</v>
      </c>
      <c r="AP2062">
        <v>0</v>
      </c>
      <c r="AQ2062">
        <v>0</v>
      </c>
      <c r="AR2062">
        <v>0</v>
      </c>
      <c r="AS2062">
        <v>0</v>
      </c>
      <c r="AT2062">
        <v>0</v>
      </c>
      <c r="AU2062">
        <f t="shared" si="62"/>
        <v>1</v>
      </c>
      <c r="AV2062">
        <f t="shared" si="63"/>
        <v>0</v>
      </c>
    </row>
    <row r="2063" spans="1:48" x14ac:dyDescent="0.25">
      <c r="A2063" t="s">
        <v>7560</v>
      </c>
      <c r="C2063" t="s">
        <v>7561</v>
      </c>
      <c r="D2063" t="s">
        <v>2995</v>
      </c>
      <c r="E2063" t="s">
        <v>2310</v>
      </c>
      <c r="F2063">
        <v>15</v>
      </c>
      <c r="G2063">
        <v>15.2</v>
      </c>
      <c r="H2063" t="s">
        <v>2323</v>
      </c>
      <c r="I2063" s="21">
        <v>38967</v>
      </c>
      <c r="J2063">
        <v>2006</v>
      </c>
      <c r="K2063" s="21">
        <v>39007</v>
      </c>
      <c r="L2063">
        <v>2006</v>
      </c>
      <c r="M2063" s="21">
        <v>39385</v>
      </c>
      <c r="N2063">
        <v>2007</v>
      </c>
      <c r="R2063" s="262">
        <v>500000</v>
      </c>
      <c r="S2063" t="s">
        <v>114</v>
      </c>
      <c r="T2063" t="s">
        <v>114</v>
      </c>
      <c r="U2063">
        <v>15</v>
      </c>
      <c r="W2063">
        <v>3360</v>
      </c>
      <c r="X2063">
        <v>0</v>
      </c>
      <c r="Y2063">
        <v>0</v>
      </c>
      <c r="Z2063">
        <v>0</v>
      </c>
      <c r="AA2063">
        <v>0</v>
      </c>
      <c r="AB2063">
        <v>0</v>
      </c>
      <c r="AC2063">
        <v>0</v>
      </c>
      <c r="AD2063">
        <v>0</v>
      </c>
      <c r="AE2063">
        <v>0</v>
      </c>
      <c r="AF2063">
        <v>0</v>
      </c>
      <c r="AG2063">
        <v>0</v>
      </c>
      <c r="AH2063">
        <v>0</v>
      </c>
      <c r="AI2063">
        <v>0</v>
      </c>
      <c r="AJ2063">
        <v>0</v>
      </c>
      <c r="AK2063">
        <v>0</v>
      </c>
      <c r="AL2063">
        <v>0</v>
      </c>
      <c r="AM2063">
        <v>3360</v>
      </c>
      <c r="AN2063">
        <v>0</v>
      </c>
      <c r="AO2063">
        <v>0</v>
      </c>
      <c r="AP2063">
        <v>0</v>
      </c>
      <c r="AQ2063">
        <v>0</v>
      </c>
      <c r="AR2063">
        <v>0</v>
      </c>
      <c r="AS2063">
        <v>0</v>
      </c>
      <c r="AT2063">
        <v>0</v>
      </c>
      <c r="AU2063">
        <f t="shared" si="62"/>
        <v>0</v>
      </c>
      <c r="AV2063">
        <f t="shared" si="63"/>
        <v>3360</v>
      </c>
    </row>
    <row r="2064" spans="1:48" x14ac:dyDescent="0.25">
      <c r="A2064" t="s">
        <v>7562</v>
      </c>
      <c r="C2064" t="s">
        <v>7563</v>
      </c>
      <c r="D2064" t="s">
        <v>7564</v>
      </c>
      <c r="E2064" t="s">
        <v>2310</v>
      </c>
      <c r="F2064">
        <v>12</v>
      </c>
      <c r="G2064">
        <v>12.2</v>
      </c>
      <c r="H2064" t="s">
        <v>2017</v>
      </c>
      <c r="I2064" s="21">
        <v>38967</v>
      </c>
      <c r="J2064">
        <v>2006</v>
      </c>
      <c r="K2064" s="21">
        <v>38999</v>
      </c>
      <c r="L2064">
        <v>2006</v>
      </c>
      <c r="M2064" s="21">
        <v>39260</v>
      </c>
      <c r="N2064">
        <v>2007</v>
      </c>
      <c r="R2064" s="262">
        <v>28000</v>
      </c>
      <c r="S2064" t="s">
        <v>114</v>
      </c>
      <c r="T2064" t="s">
        <v>114</v>
      </c>
      <c r="U2064">
        <v>15</v>
      </c>
      <c r="W2064">
        <v>60</v>
      </c>
      <c r="X2064">
        <v>0</v>
      </c>
      <c r="Y2064">
        <v>0</v>
      </c>
      <c r="Z2064">
        <v>0</v>
      </c>
      <c r="AA2064">
        <v>0</v>
      </c>
      <c r="AB2064">
        <v>0</v>
      </c>
      <c r="AC2064">
        <v>0</v>
      </c>
      <c r="AD2064">
        <v>0</v>
      </c>
      <c r="AE2064">
        <v>0</v>
      </c>
      <c r="AF2064">
        <v>0</v>
      </c>
      <c r="AG2064">
        <v>0</v>
      </c>
      <c r="AH2064">
        <v>0</v>
      </c>
      <c r="AI2064">
        <v>0</v>
      </c>
      <c r="AJ2064">
        <v>0</v>
      </c>
      <c r="AK2064">
        <v>0</v>
      </c>
      <c r="AL2064">
        <v>0</v>
      </c>
      <c r="AM2064">
        <v>60</v>
      </c>
      <c r="AN2064">
        <v>0</v>
      </c>
      <c r="AO2064">
        <v>0</v>
      </c>
      <c r="AP2064">
        <v>0</v>
      </c>
      <c r="AQ2064">
        <v>0</v>
      </c>
      <c r="AR2064">
        <v>0</v>
      </c>
      <c r="AS2064">
        <v>0</v>
      </c>
      <c r="AT2064">
        <v>0</v>
      </c>
      <c r="AU2064">
        <f t="shared" si="62"/>
        <v>0</v>
      </c>
      <c r="AV2064">
        <f t="shared" si="63"/>
        <v>60</v>
      </c>
    </row>
    <row r="2065" spans="1:48" x14ac:dyDescent="0.25">
      <c r="A2065" t="s">
        <v>7565</v>
      </c>
      <c r="C2065" t="s">
        <v>7566</v>
      </c>
      <c r="D2065" t="s">
        <v>7567</v>
      </c>
      <c r="E2065" t="s">
        <v>2310</v>
      </c>
      <c r="F2065">
        <v>9</v>
      </c>
      <c r="G2065">
        <v>9.1</v>
      </c>
      <c r="H2065" t="s">
        <v>2323</v>
      </c>
      <c r="I2065" s="21">
        <v>38968</v>
      </c>
      <c r="J2065">
        <v>2006</v>
      </c>
      <c r="K2065" s="21">
        <v>38999</v>
      </c>
      <c r="L2065">
        <v>2006</v>
      </c>
      <c r="M2065" s="21">
        <v>39560</v>
      </c>
      <c r="N2065">
        <v>2008</v>
      </c>
      <c r="R2065" s="262">
        <v>1300000</v>
      </c>
      <c r="S2065" t="s">
        <v>114</v>
      </c>
      <c r="T2065" t="s">
        <v>114</v>
      </c>
      <c r="U2065">
        <v>5</v>
      </c>
      <c r="W2065">
        <v>5219</v>
      </c>
      <c r="X2065">
        <v>1</v>
      </c>
      <c r="Y2065">
        <v>0</v>
      </c>
      <c r="Z2065">
        <v>0</v>
      </c>
      <c r="AA2065">
        <v>0</v>
      </c>
      <c r="AB2065">
        <v>0</v>
      </c>
      <c r="AC2065">
        <v>5219</v>
      </c>
      <c r="AD2065">
        <v>0</v>
      </c>
      <c r="AE2065">
        <v>0</v>
      </c>
      <c r="AF2065">
        <v>0</v>
      </c>
      <c r="AG2065">
        <v>0</v>
      </c>
      <c r="AH2065">
        <v>0</v>
      </c>
      <c r="AI2065">
        <v>0</v>
      </c>
      <c r="AJ2065">
        <v>0</v>
      </c>
      <c r="AK2065">
        <v>0</v>
      </c>
      <c r="AL2065">
        <v>0</v>
      </c>
      <c r="AM2065">
        <v>0</v>
      </c>
      <c r="AN2065">
        <v>0</v>
      </c>
      <c r="AO2065">
        <v>1</v>
      </c>
      <c r="AP2065">
        <v>0</v>
      </c>
      <c r="AQ2065">
        <v>0</v>
      </c>
      <c r="AR2065">
        <v>0</v>
      </c>
      <c r="AS2065">
        <v>0</v>
      </c>
      <c r="AT2065">
        <v>0</v>
      </c>
      <c r="AU2065">
        <f t="shared" si="62"/>
        <v>1</v>
      </c>
      <c r="AV2065">
        <f t="shared" si="63"/>
        <v>0</v>
      </c>
    </row>
    <row r="2066" spans="1:48" x14ac:dyDescent="0.25">
      <c r="A2066" t="s">
        <v>7568</v>
      </c>
      <c r="C2066" t="s">
        <v>7569</v>
      </c>
      <c r="D2066" t="s">
        <v>7570</v>
      </c>
      <c r="E2066" t="s">
        <v>2310</v>
      </c>
      <c r="F2066">
        <v>10</v>
      </c>
      <c r="G2066">
        <v>10.1</v>
      </c>
      <c r="H2066" t="s">
        <v>2323</v>
      </c>
      <c r="I2066" s="21">
        <v>38971</v>
      </c>
      <c r="J2066">
        <v>2006</v>
      </c>
      <c r="K2066" s="21">
        <v>38989</v>
      </c>
      <c r="L2066">
        <v>2006</v>
      </c>
      <c r="M2066" s="21">
        <v>39359</v>
      </c>
      <c r="N2066">
        <v>2007</v>
      </c>
      <c r="R2066" s="262">
        <v>130000</v>
      </c>
      <c r="S2066" t="s">
        <v>114</v>
      </c>
      <c r="T2066" t="s">
        <v>114</v>
      </c>
      <c r="U2066">
        <v>5</v>
      </c>
      <c r="W2066">
        <v>1392</v>
      </c>
      <c r="X2066">
        <v>1</v>
      </c>
      <c r="Y2066">
        <v>0</v>
      </c>
      <c r="Z2066">
        <v>0</v>
      </c>
      <c r="AA2066">
        <v>0</v>
      </c>
      <c r="AB2066">
        <v>0</v>
      </c>
      <c r="AC2066">
        <v>1392</v>
      </c>
      <c r="AD2066">
        <v>0</v>
      </c>
      <c r="AE2066">
        <v>0</v>
      </c>
      <c r="AF2066">
        <v>0</v>
      </c>
      <c r="AG2066">
        <v>0</v>
      </c>
      <c r="AH2066">
        <v>0</v>
      </c>
      <c r="AI2066">
        <v>0</v>
      </c>
      <c r="AJ2066">
        <v>0</v>
      </c>
      <c r="AK2066">
        <v>0</v>
      </c>
      <c r="AL2066">
        <v>0</v>
      </c>
      <c r="AM2066">
        <v>0</v>
      </c>
      <c r="AN2066">
        <v>0</v>
      </c>
      <c r="AO2066">
        <v>1</v>
      </c>
      <c r="AP2066">
        <v>0</v>
      </c>
      <c r="AQ2066">
        <v>0</v>
      </c>
      <c r="AR2066">
        <v>0</v>
      </c>
      <c r="AS2066">
        <v>0</v>
      </c>
      <c r="AT2066">
        <v>0</v>
      </c>
      <c r="AU2066">
        <f t="shared" si="62"/>
        <v>1</v>
      </c>
      <c r="AV2066">
        <f t="shared" si="63"/>
        <v>0</v>
      </c>
    </row>
    <row r="2067" spans="1:48" x14ac:dyDescent="0.25">
      <c r="A2067" t="s">
        <v>7571</v>
      </c>
      <c r="C2067" t="s">
        <v>7572</v>
      </c>
      <c r="D2067" t="s">
        <v>7573</v>
      </c>
      <c r="E2067" t="s">
        <v>2310</v>
      </c>
      <c r="F2067">
        <v>10</v>
      </c>
      <c r="G2067">
        <v>10.1</v>
      </c>
      <c r="H2067" t="s">
        <v>2323</v>
      </c>
      <c r="I2067" s="21">
        <v>38971</v>
      </c>
      <c r="J2067">
        <v>2006</v>
      </c>
      <c r="K2067" s="21">
        <v>38994</v>
      </c>
      <c r="L2067">
        <v>2006</v>
      </c>
      <c r="M2067" s="21">
        <v>39219</v>
      </c>
      <c r="N2067">
        <v>2007</v>
      </c>
      <c r="R2067" s="262">
        <v>135000</v>
      </c>
      <c r="S2067" t="s">
        <v>114</v>
      </c>
      <c r="T2067" t="s">
        <v>114</v>
      </c>
      <c r="U2067">
        <v>5</v>
      </c>
      <c r="W2067">
        <v>1765</v>
      </c>
      <c r="X2067">
        <v>1</v>
      </c>
      <c r="Y2067">
        <v>0</v>
      </c>
      <c r="Z2067">
        <v>0</v>
      </c>
      <c r="AA2067">
        <v>0</v>
      </c>
      <c r="AB2067">
        <v>0</v>
      </c>
      <c r="AC2067">
        <v>1765</v>
      </c>
      <c r="AD2067">
        <v>0</v>
      </c>
      <c r="AE2067">
        <v>0</v>
      </c>
      <c r="AF2067">
        <v>0</v>
      </c>
      <c r="AG2067">
        <v>0</v>
      </c>
      <c r="AH2067">
        <v>0</v>
      </c>
      <c r="AI2067">
        <v>0</v>
      </c>
      <c r="AJ2067">
        <v>0</v>
      </c>
      <c r="AK2067">
        <v>0</v>
      </c>
      <c r="AL2067">
        <v>0</v>
      </c>
      <c r="AM2067">
        <v>0</v>
      </c>
      <c r="AN2067">
        <v>0</v>
      </c>
      <c r="AO2067">
        <v>1</v>
      </c>
      <c r="AP2067">
        <v>0</v>
      </c>
      <c r="AQ2067">
        <v>0</v>
      </c>
      <c r="AR2067">
        <v>0</v>
      </c>
      <c r="AS2067">
        <v>0</v>
      </c>
      <c r="AT2067">
        <v>0</v>
      </c>
      <c r="AU2067">
        <f t="shared" si="62"/>
        <v>1</v>
      </c>
      <c r="AV2067">
        <f t="shared" si="63"/>
        <v>0</v>
      </c>
    </row>
    <row r="2068" spans="1:48" x14ac:dyDescent="0.25">
      <c r="A2068" t="s">
        <v>7574</v>
      </c>
      <c r="C2068" t="s">
        <v>6444</v>
      </c>
      <c r="D2068" t="s">
        <v>5685</v>
      </c>
      <c r="E2068" t="s">
        <v>2310</v>
      </c>
      <c r="F2068">
        <v>9</v>
      </c>
      <c r="G2068">
        <v>9.1</v>
      </c>
      <c r="H2068" t="s">
        <v>2323</v>
      </c>
      <c r="I2068" s="21">
        <v>38972</v>
      </c>
      <c r="J2068">
        <v>2006</v>
      </c>
      <c r="K2068" s="21">
        <v>38989</v>
      </c>
      <c r="L2068">
        <v>2006</v>
      </c>
      <c r="M2068" s="21">
        <v>39217</v>
      </c>
      <c r="N2068">
        <v>2007</v>
      </c>
      <c r="R2068" s="262">
        <v>190000</v>
      </c>
      <c r="S2068" t="s">
        <v>114</v>
      </c>
      <c r="T2068" t="s">
        <v>114</v>
      </c>
      <c r="U2068">
        <v>8</v>
      </c>
      <c r="W2068">
        <v>984</v>
      </c>
      <c r="X2068">
        <v>1</v>
      </c>
      <c r="Y2068">
        <v>0</v>
      </c>
      <c r="Z2068">
        <v>0</v>
      </c>
      <c r="AA2068">
        <v>0</v>
      </c>
      <c r="AB2068">
        <v>0</v>
      </c>
      <c r="AC2068">
        <v>0</v>
      </c>
      <c r="AD2068">
        <v>0</v>
      </c>
      <c r="AE2068">
        <v>0</v>
      </c>
      <c r="AF2068">
        <v>984</v>
      </c>
      <c r="AG2068">
        <v>0</v>
      </c>
      <c r="AH2068">
        <v>0</v>
      </c>
      <c r="AI2068">
        <v>0</v>
      </c>
      <c r="AJ2068">
        <v>0</v>
      </c>
      <c r="AK2068">
        <v>0</v>
      </c>
      <c r="AL2068">
        <v>0</v>
      </c>
      <c r="AM2068">
        <v>0</v>
      </c>
      <c r="AN2068">
        <v>0</v>
      </c>
      <c r="AO2068">
        <v>0</v>
      </c>
      <c r="AP2068">
        <v>0</v>
      </c>
      <c r="AQ2068">
        <v>0</v>
      </c>
      <c r="AR2068">
        <v>1</v>
      </c>
      <c r="AS2068">
        <v>0</v>
      </c>
      <c r="AT2068">
        <v>0</v>
      </c>
      <c r="AU2068">
        <f t="shared" si="62"/>
        <v>0</v>
      </c>
      <c r="AV2068">
        <f t="shared" si="63"/>
        <v>0</v>
      </c>
    </row>
    <row r="2069" spans="1:48" x14ac:dyDescent="0.25">
      <c r="A2069" t="s">
        <v>7575</v>
      </c>
      <c r="C2069" t="s">
        <v>7183</v>
      </c>
      <c r="D2069" t="s">
        <v>7576</v>
      </c>
      <c r="E2069" t="s">
        <v>2310</v>
      </c>
      <c r="F2069">
        <v>11</v>
      </c>
      <c r="G2069">
        <v>11.3</v>
      </c>
      <c r="H2069" t="s">
        <v>2017</v>
      </c>
      <c r="I2069" s="21">
        <v>38973</v>
      </c>
      <c r="J2069">
        <v>2006</v>
      </c>
      <c r="K2069" s="21">
        <v>39016</v>
      </c>
      <c r="L2069">
        <v>2006</v>
      </c>
      <c r="M2069" s="21">
        <v>39377</v>
      </c>
      <c r="N2069">
        <v>2007</v>
      </c>
      <c r="R2069" s="262">
        <v>625000</v>
      </c>
      <c r="S2069" t="s">
        <v>114</v>
      </c>
      <c r="T2069" t="s">
        <v>114</v>
      </c>
      <c r="U2069">
        <v>5</v>
      </c>
      <c r="W2069">
        <v>4518</v>
      </c>
      <c r="X2069">
        <v>1</v>
      </c>
      <c r="Y2069">
        <v>0</v>
      </c>
      <c r="Z2069">
        <v>0</v>
      </c>
      <c r="AA2069">
        <v>0</v>
      </c>
      <c r="AB2069">
        <v>0</v>
      </c>
      <c r="AC2069">
        <v>4518</v>
      </c>
      <c r="AD2069">
        <v>0</v>
      </c>
      <c r="AE2069">
        <v>0</v>
      </c>
      <c r="AF2069">
        <v>0</v>
      </c>
      <c r="AG2069">
        <v>0</v>
      </c>
      <c r="AH2069">
        <v>0</v>
      </c>
      <c r="AI2069">
        <v>0</v>
      </c>
      <c r="AJ2069">
        <v>0</v>
      </c>
      <c r="AK2069">
        <v>0</v>
      </c>
      <c r="AL2069">
        <v>0</v>
      </c>
      <c r="AM2069">
        <v>0</v>
      </c>
      <c r="AN2069">
        <v>0</v>
      </c>
      <c r="AO2069">
        <v>1</v>
      </c>
      <c r="AP2069">
        <v>0</v>
      </c>
      <c r="AQ2069">
        <v>0</v>
      </c>
      <c r="AR2069">
        <v>0</v>
      </c>
      <c r="AS2069">
        <v>0</v>
      </c>
      <c r="AT2069">
        <v>0</v>
      </c>
      <c r="AU2069">
        <f t="shared" si="62"/>
        <v>1</v>
      </c>
      <c r="AV2069">
        <f t="shared" si="63"/>
        <v>0</v>
      </c>
    </row>
    <row r="2070" spans="1:48" x14ac:dyDescent="0.25">
      <c r="A2070" t="s">
        <v>7577</v>
      </c>
      <c r="C2070" t="s">
        <v>4934</v>
      </c>
      <c r="D2070" t="s">
        <v>7578</v>
      </c>
      <c r="E2070" t="s">
        <v>2310</v>
      </c>
      <c r="F2070">
        <v>8</v>
      </c>
      <c r="G2070">
        <v>8.1999999999999993</v>
      </c>
      <c r="H2070" t="s">
        <v>2022</v>
      </c>
      <c r="I2070" s="21">
        <v>38973</v>
      </c>
      <c r="J2070">
        <v>2006</v>
      </c>
      <c r="K2070" s="21">
        <v>39009</v>
      </c>
      <c r="L2070">
        <v>2006</v>
      </c>
      <c r="M2070" s="21">
        <v>40577.429791666698</v>
      </c>
      <c r="N2070">
        <v>2011</v>
      </c>
      <c r="R2070" s="262">
        <v>200000</v>
      </c>
      <c r="S2070" t="s">
        <v>114</v>
      </c>
      <c r="T2070" t="s">
        <v>114</v>
      </c>
      <c r="U2070">
        <v>5</v>
      </c>
      <c r="W2070">
        <v>2000</v>
      </c>
      <c r="X2070">
        <v>0</v>
      </c>
      <c r="Y2070">
        <v>0</v>
      </c>
      <c r="Z2070">
        <v>0</v>
      </c>
      <c r="AA2070">
        <v>0</v>
      </c>
      <c r="AB2070">
        <v>0</v>
      </c>
      <c r="AC2070">
        <v>2000</v>
      </c>
      <c r="AD2070">
        <v>0</v>
      </c>
      <c r="AE2070">
        <v>0</v>
      </c>
      <c r="AF2070">
        <v>0</v>
      </c>
      <c r="AG2070">
        <v>0</v>
      </c>
      <c r="AH2070">
        <v>0</v>
      </c>
      <c r="AI2070">
        <v>0</v>
      </c>
      <c r="AJ2070">
        <v>0</v>
      </c>
      <c r="AK2070">
        <v>0</v>
      </c>
      <c r="AL2070">
        <v>0</v>
      </c>
      <c r="AM2070">
        <v>0</v>
      </c>
      <c r="AN2070">
        <v>0</v>
      </c>
      <c r="AO2070">
        <v>0</v>
      </c>
      <c r="AP2070">
        <v>0</v>
      </c>
      <c r="AQ2070">
        <v>0</v>
      </c>
      <c r="AR2070">
        <v>0</v>
      </c>
      <c r="AS2070">
        <v>0</v>
      </c>
      <c r="AT2070">
        <v>0</v>
      </c>
      <c r="AU2070">
        <f t="shared" si="62"/>
        <v>0</v>
      </c>
      <c r="AV2070">
        <f t="shared" si="63"/>
        <v>0</v>
      </c>
    </row>
    <row r="2071" spans="1:48" x14ac:dyDescent="0.25">
      <c r="A2071" t="s">
        <v>7579</v>
      </c>
      <c r="C2071" t="s">
        <v>7580</v>
      </c>
      <c r="D2071" t="s">
        <v>4503</v>
      </c>
      <c r="E2071" t="s">
        <v>2310</v>
      </c>
      <c r="F2071">
        <v>15</v>
      </c>
      <c r="G2071">
        <v>15.3</v>
      </c>
      <c r="H2071" t="s">
        <v>2022</v>
      </c>
      <c r="I2071" s="21">
        <v>38974</v>
      </c>
      <c r="J2071">
        <v>2006</v>
      </c>
      <c r="K2071" s="21">
        <v>39014</v>
      </c>
      <c r="L2071">
        <v>2006</v>
      </c>
      <c r="M2071" s="21">
        <v>39121</v>
      </c>
      <c r="N2071">
        <v>2007</v>
      </c>
      <c r="R2071" s="262">
        <v>35000</v>
      </c>
      <c r="S2071" t="s">
        <v>114</v>
      </c>
      <c r="T2071" t="s">
        <v>114</v>
      </c>
      <c r="U2071">
        <v>5</v>
      </c>
      <c r="W2071">
        <v>0</v>
      </c>
      <c r="X2071">
        <v>0</v>
      </c>
      <c r="Y2071">
        <v>0</v>
      </c>
      <c r="Z2071">
        <v>0</v>
      </c>
      <c r="AA2071">
        <v>0</v>
      </c>
      <c r="AB2071">
        <v>0</v>
      </c>
      <c r="AC2071">
        <v>0</v>
      </c>
      <c r="AD2071">
        <v>0</v>
      </c>
      <c r="AE2071">
        <v>0</v>
      </c>
      <c r="AF2071">
        <v>0</v>
      </c>
      <c r="AG2071">
        <v>0</v>
      </c>
      <c r="AH2071">
        <v>0</v>
      </c>
      <c r="AI2071">
        <v>0</v>
      </c>
      <c r="AJ2071">
        <v>0</v>
      </c>
      <c r="AK2071">
        <v>0</v>
      </c>
      <c r="AL2071">
        <v>0</v>
      </c>
      <c r="AM2071">
        <v>0</v>
      </c>
      <c r="AN2071">
        <v>0</v>
      </c>
      <c r="AO2071">
        <v>0</v>
      </c>
      <c r="AP2071">
        <v>0</v>
      </c>
      <c r="AQ2071">
        <v>0</v>
      </c>
      <c r="AR2071">
        <v>0</v>
      </c>
      <c r="AS2071">
        <v>0</v>
      </c>
      <c r="AT2071">
        <v>0</v>
      </c>
      <c r="AU2071">
        <f t="shared" si="62"/>
        <v>0</v>
      </c>
      <c r="AV2071">
        <f t="shared" si="63"/>
        <v>0</v>
      </c>
    </row>
    <row r="2072" spans="1:48" x14ac:dyDescent="0.25">
      <c r="A2072" t="s">
        <v>7581</v>
      </c>
      <c r="C2072" t="s">
        <v>7582</v>
      </c>
      <c r="D2072" t="s">
        <v>7583</v>
      </c>
      <c r="E2072" t="s">
        <v>2310</v>
      </c>
      <c r="F2072">
        <v>10</v>
      </c>
      <c r="G2072">
        <v>10.1</v>
      </c>
      <c r="H2072" t="s">
        <v>2323</v>
      </c>
      <c r="I2072" s="21">
        <v>38978</v>
      </c>
      <c r="J2072">
        <v>2006</v>
      </c>
      <c r="K2072" s="21">
        <v>39002</v>
      </c>
      <c r="L2072">
        <v>2006</v>
      </c>
      <c r="M2072" s="21">
        <v>39682</v>
      </c>
      <c r="N2072">
        <v>2008</v>
      </c>
      <c r="R2072" s="262">
        <v>40000</v>
      </c>
      <c r="S2072" t="s">
        <v>114</v>
      </c>
      <c r="T2072" t="s">
        <v>114</v>
      </c>
      <c r="U2072">
        <v>5</v>
      </c>
      <c r="W2072">
        <v>415</v>
      </c>
      <c r="X2072">
        <v>0</v>
      </c>
      <c r="Y2072">
        <v>0</v>
      </c>
      <c r="Z2072">
        <v>0</v>
      </c>
      <c r="AA2072">
        <v>0</v>
      </c>
      <c r="AB2072">
        <v>0</v>
      </c>
      <c r="AC2072">
        <v>415</v>
      </c>
      <c r="AD2072">
        <v>0</v>
      </c>
      <c r="AE2072">
        <v>0</v>
      </c>
      <c r="AF2072">
        <v>0</v>
      </c>
      <c r="AG2072">
        <v>0</v>
      </c>
      <c r="AH2072">
        <v>0</v>
      </c>
      <c r="AI2072">
        <v>0</v>
      </c>
      <c r="AJ2072">
        <v>0</v>
      </c>
      <c r="AK2072">
        <v>0</v>
      </c>
      <c r="AL2072">
        <v>0</v>
      </c>
      <c r="AM2072">
        <v>0</v>
      </c>
      <c r="AN2072">
        <v>0</v>
      </c>
      <c r="AO2072">
        <v>0</v>
      </c>
      <c r="AP2072">
        <v>0</v>
      </c>
      <c r="AQ2072">
        <v>0</v>
      </c>
      <c r="AR2072">
        <v>0</v>
      </c>
      <c r="AS2072">
        <v>0</v>
      </c>
      <c r="AT2072">
        <v>0</v>
      </c>
      <c r="AU2072">
        <f t="shared" si="62"/>
        <v>0</v>
      </c>
      <c r="AV2072">
        <f t="shared" si="63"/>
        <v>0</v>
      </c>
    </row>
    <row r="2073" spans="1:48" x14ac:dyDescent="0.25">
      <c r="A2073" t="s">
        <v>7584</v>
      </c>
      <c r="C2073" t="s">
        <v>7585</v>
      </c>
      <c r="D2073" t="s">
        <v>7114</v>
      </c>
      <c r="E2073" t="s">
        <v>2310</v>
      </c>
      <c r="F2073">
        <v>9</v>
      </c>
      <c r="G2073">
        <v>9.4</v>
      </c>
      <c r="H2073" t="s">
        <v>2323</v>
      </c>
      <c r="I2073" s="21">
        <v>38986</v>
      </c>
      <c r="J2073">
        <v>2006</v>
      </c>
      <c r="K2073" s="21">
        <v>39015</v>
      </c>
      <c r="L2073">
        <v>2006</v>
      </c>
      <c r="M2073" s="21">
        <v>39015</v>
      </c>
      <c r="N2073">
        <v>2006</v>
      </c>
      <c r="R2073" s="262">
        <v>6000</v>
      </c>
      <c r="S2073" t="s">
        <v>114</v>
      </c>
      <c r="T2073" t="s">
        <v>114</v>
      </c>
      <c r="U2073">
        <v>5</v>
      </c>
      <c r="W2073">
        <v>0</v>
      </c>
      <c r="X2073">
        <v>0</v>
      </c>
      <c r="Y2073">
        <v>0</v>
      </c>
      <c r="Z2073">
        <v>0</v>
      </c>
      <c r="AA2073">
        <v>0</v>
      </c>
      <c r="AB2073">
        <v>0</v>
      </c>
      <c r="AC2073">
        <v>0</v>
      </c>
      <c r="AD2073">
        <v>0</v>
      </c>
      <c r="AE2073">
        <v>0</v>
      </c>
      <c r="AF2073">
        <v>0</v>
      </c>
      <c r="AG2073">
        <v>0</v>
      </c>
      <c r="AH2073">
        <v>0</v>
      </c>
      <c r="AI2073">
        <v>0</v>
      </c>
      <c r="AJ2073">
        <v>0</v>
      </c>
      <c r="AK2073">
        <v>0</v>
      </c>
      <c r="AL2073">
        <v>0</v>
      </c>
      <c r="AM2073">
        <v>0</v>
      </c>
      <c r="AN2073">
        <v>0</v>
      </c>
      <c r="AO2073">
        <v>0</v>
      </c>
      <c r="AP2073">
        <v>0</v>
      </c>
      <c r="AQ2073">
        <v>0</v>
      </c>
      <c r="AR2073">
        <v>0</v>
      </c>
      <c r="AS2073">
        <v>0</v>
      </c>
      <c r="AT2073">
        <v>0</v>
      </c>
      <c r="AU2073">
        <f t="shared" ref="AU2073:AU2136" si="64">SUM(AN2073:AQ2073,AS2073)</f>
        <v>0</v>
      </c>
      <c r="AV2073">
        <f t="shared" ref="AV2073:AV2136" si="65">SUM(Y2073:AB2073,AH2073:AM2073)</f>
        <v>0</v>
      </c>
    </row>
    <row r="2074" spans="1:48" x14ac:dyDescent="0.25">
      <c r="A2074" t="s">
        <v>7586</v>
      </c>
      <c r="C2074" t="s">
        <v>7587</v>
      </c>
      <c r="D2074" t="s">
        <v>7588</v>
      </c>
      <c r="E2074" t="s">
        <v>2310</v>
      </c>
      <c r="F2074">
        <v>9</v>
      </c>
      <c r="G2074">
        <v>9.4</v>
      </c>
      <c r="H2074" t="s">
        <v>2323</v>
      </c>
      <c r="I2074" s="21">
        <v>38986</v>
      </c>
      <c r="J2074">
        <v>2006</v>
      </c>
      <c r="K2074" s="21">
        <v>39008</v>
      </c>
      <c r="L2074">
        <v>2006</v>
      </c>
      <c r="M2074" s="21">
        <v>39008</v>
      </c>
      <c r="N2074">
        <v>2006</v>
      </c>
      <c r="R2074" s="262">
        <v>3296000</v>
      </c>
      <c r="S2074" t="s">
        <v>114</v>
      </c>
      <c r="T2074" t="s">
        <v>114</v>
      </c>
      <c r="U2074">
        <v>5</v>
      </c>
      <c r="W2074">
        <v>13182</v>
      </c>
      <c r="X2074">
        <v>1</v>
      </c>
      <c r="Y2074">
        <v>0</v>
      </c>
      <c r="Z2074">
        <v>0</v>
      </c>
      <c r="AA2074">
        <v>0</v>
      </c>
      <c r="AB2074">
        <v>0</v>
      </c>
      <c r="AC2074">
        <v>13182</v>
      </c>
      <c r="AD2074">
        <v>0</v>
      </c>
      <c r="AE2074">
        <v>0</v>
      </c>
      <c r="AF2074">
        <v>0</v>
      </c>
      <c r="AG2074">
        <v>0</v>
      </c>
      <c r="AH2074">
        <v>0</v>
      </c>
      <c r="AI2074">
        <v>0</v>
      </c>
      <c r="AJ2074">
        <v>0</v>
      </c>
      <c r="AK2074">
        <v>0</v>
      </c>
      <c r="AL2074">
        <v>0</v>
      </c>
      <c r="AM2074">
        <v>0</v>
      </c>
      <c r="AN2074">
        <v>0</v>
      </c>
      <c r="AO2074">
        <v>1</v>
      </c>
      <c r="AP2074">
        <v>0</v>
      </c>
      <c r="AQ2074">
        <v>0</v>
      </c>
      <c r="AR2074">
        <v>0</v>
      </c>
      <c r="AS2074">
        <v>0</v>
      </c>
      <c r="AT2074">
        <v>0</v>
      </c>
      <c r="AU2074">
        <f t="shared" si="64"/>
        <v>1</v>
      </c>
      <c r="AV2074">
        <f t="shared" si="65"/>
        <v>0</v>
      </c>
    </row>
    <row r="2075" spans="1:48" x14ac:dyDescent="0.25">
      <c r="A2075" t="s">
        <v>7589</v>
      </c>
      <c r="C2075" t="s">
        <v>7590</v>
      </c>
      <c r="D2075" t="s">
        <v>4323</v>
      </c>
      <c r="E2075" t="s">
        <v>2310</v>
      </c>
      <c r="F2075">
        <v>9</v>
      </c>
      <c r="G2075">
        <v>9.3000000000000007</v>
      </c>
      <c r="H2075" t="s">
        <v>2323</v>
      </c>
      <c r="I2075" s="21">
        <v>38986</v>
      </c>
      <c r="J2075">
        <v>2006</v>
      </c>
      <c r="K2075" s="21">
        <v>39021</v>
      </c>
      <c r="L2075">
        <v>2006</v>
      </c>
      <c r="M2075" s="21">
        <v>39021</v>
      </c>
      <c r="N2075">
        <v>2006</v>
      </c>
      <c r="R2075" s="262">
        <v>14000</v>
      </c>
      <c r="S2075" t="s">
        <v>114</v>
      </c>
      <c r="T2075" t="s">
        <v>114</v>
      </c>
      <c r="U2075">
        <v>15</v>
      </c>
      <c r="W2075">
        <v>304</v>
      </c>
      <c r="X2075">
        <v>0</v>
      </c>
      <c r="Y2075">
        <v>0</v>
      </c>
      <c r="Z2075">
        <v>0</v>
      </c>
      <c r="AA2075">
        <v>0</v>
      </c>
      <c r="AB2075">
        <v>0</v>
      </c>
      <c r="AC2075">
        <v>0</v>
      </c>
      <c r="AD2075">
        <v>0</v>
      </c>
      <c r="AE2075">
        <v>0</v>
      </c>
      <c r="AF2075">
        <v>0</v>
      </c>
      <c r="AG2075">
        <v>0</v>
      </c>
      <c r="AH2075">
        <v>0</v>
      </c>
      <c r="AI2075">
        <v>0</v>
      </c>
      <c r="AJ2075">
        <v>0</v>
      </c>
      <c r="AK2075">
        <v>0</v>
      </c>
      <c r="AL2075">
        <v>0</v>
      </c>
      <c r="AM2075">
        <v>304</v>
      </c>
      <c r="AN2075">
        <v>0</v>
      </c>
      <c r="AO2075">
        <v>0</v>
      </c>
      <c r="AP2075">
        <v>0</v>
      </c>
      <c r="AQ2075">
        <v>0</v>
      </c>
      <c r="AR2075">
        <v>0</v>
      </c>
      <c r="AS2075">
        <v>0</v>
      </c>
      <c r="AT2075">
        <v>0</v>
      </c>
      <c r="AU2075">
        <f t="shared" si="64"/>
        <v>0</v>
      </c>
      <c r="AV2075">
        <f t="shared" si="65"/>
        <v>304</v>
      </c>
    </row>
    <row r="2076" spans="1:48" x14ac:dyDescent="0.25">
      <c r="A2076" t="s">
        <v>7591</v>
      </c>
      <c r="C2076" t="s">
        <v>7592</v>
      </c>
      <c r="D2076" t="s">
        <v>7593</v>
      </c>
      <c r="E2076" t="s">
        <v>2310</v>
      </c>
      <c r="F2076">
        <v>9</v>
      </c>
      <c r="G2076">
        <v>9.3000000000000007</v>
      </c>
      <c r="H2076" t="s">
        <v>2323</v>
      </c>
      <c r="I2076" s="21">
        <v>38987</v>
      </c>
      <c r="J2076">
        <v>2006</v>
      </c>
      <c r="K2076" s="21">
        <v>39008</v>
      </c>
      <c r="L2076">
        <v>2006</v>
      </c>
      <c r="M2076" s="21">
        <v>39225</v>
      </c>
      <c r="N2076">
        <v>2007</v>
      </c>
      <c r="R2076" s="262">
        <v>15000</v>
      </c>
      <c r="S2076" t="s">
        <v>114</v>
      </c>
      <c r="T2076" t="s">
        <v>114</v>
      </c>
      <c r="U2076">
        <v>5</v>
      </c>
      <c r="W2076">
        <v>0</v>
      </c>
      <c r="X2076">
        <v>0</v>
      </c>
      <c r="Y2076">
        <v>0</v>
      </c>
      <c r="Z2076">
        <v>0</v>
      </c>
      <c r="AA2076">
        <v>0</v>
      </c>
      <c r="AB2076">
        <v>0</v>
      </c>
      <c r="AC2076">
        <v>0</v>
      </c>
      <c r="AD2076">
        <v>0</v>
      </c>
      <c r="AE2076">
        <v>0</v>
      </c>
      <c r="AF2076">
        <v>0</v>
      </c>
      <c r="AG2076">
        <v>0</v>
      </c>
      <c r="AH2076">
        <v>0</v>
      </c>
      <c r="AI2076">
        <v>0</v>
      </c>
      <c r="AJ2076">
        <v>0</v>
      </c>
      <c r="AK2076">
        <v>0</v>
      </c>
      <c r="AL2076">
        <v>0</v>
      </c>
      <c r="AM2076">
        <v>0</v>
      </c>
      <c r="AN2076">
        <v>0</v>
      </c>
      <c r="AO2076">
        <v>0</v>
      </c>
      <c r="AP2076">
        <v>0</v>
      </c>
      <c r="AQ2076">
        <v>0</v>
      </c>
      <c r="AR2076">
        <v>0</v>
      </c>
      <c r="AS2076">
        <v>0</v>
      </c>
      <c r="AT2076">
        <v>0</v>
      </c>
      <c r="AU2076">
        <f t="shared" si="64"/>
        <v>0</v>
      </c>
      <c r="AV2076">
        <f t="shared" si="65"/>
        <v>0</v>
      </c>
    </row>
    <row r="2077" spans="1:48" x14ac:dyDescent="0.25">
      <c r="A2077" t="s">
        <v>7594</v>
      </c>
      <c r="C2077" t="s">
        <v>7595</v>
      </c>
      <c r="D2077" t="s">
        <v>7596</v>
      </c>
      <c r="E2077" t="s">
        <v>2310</v>
      </c>
      <c r="F2077">
        <v>13</v>
      </c>
      <c r="G2077">
        <v>13.1</v>
      </c>
      <c r="H2077" t="s">
        <v>2327</v>
      </c>
      <c r="I2077" s="21">
        <v>38988</v>
      </c>
      <c r="J2077">
        <v>2006</v>
      </c>
      <c r="K2077" s="21">
        <v>39056</v>
      </c>
      <c r="L2077">
        <v>2006</v>
      </c>
      <c r="M2077" s="21">
        <v>39503</v>
      </c>
      <c r="N2077">
        <v>2008</v>
      </c>
      <c r="R2077" s="262">
        <v>698000</v>
      </c>
      <c r="S2077" t="s">
        <v>114</v>
      </c>
      <c r="T2077" t="s">
        <v>114</v>
      </c>
      <c r="U2077">
        <v>11</v>
      </c>
      <c r="W2077">
        <v>1130</v>
      </c>
      <c r="X2077">
        <v>-2</v>
      </c>
      <c r="Y2077">
        <v>0</v>
      </c>
      <c r="Z2077">
        <v>0</v>
      </c>
      <c r="AA2077">
        <v>0</v>
      </c>
      <c r="AB2077">
        <v>0</v>
      </c>
      <c r="AC2077">
        <v>0</v>
      </c>
      <c r="AD2077">
        <v>0</v>
      </c>
      <c r="AE2077">
        <v>0</v>
      </c>
      <c r="AF2077">
        <v>0</v>
      </c>
      <c r="AG2077">
        <v>0</v>
      </c>
      <c r="AH2077">
        <v>0</v>
      </c>
      <c r="AI2077">
        <v>1130</v>
      </c>
      <c r="AJ2077">
        <v>0</v>
      </c>
      <c r="AK2077">
        <v>0</v>
      </c>
      <c r="AL2077">
        <v>0</v>
      </c>
      <c r="AM2077">
        <v>0</v>
      </c>
      <c r="AN2077">
        <v>0</v>
      </c>
      <c r="AO2077">
        <v>0</v>
      </c>
      <c r="AP2077">
        <v>0</v>
      </c>
      <c r="AQ2077">
        <v>0</v>
      </c>
      <c r="AR2077">
        <v>0</v>
      </c>
      <c r="AS2077">
        <v>0</v>
      </c>
      <c r="AT2077">
        <v>-2</v>
      </c>
      <c r="AU2077">
        <f t="shared" si="64"/>
        <v>0</v>
      </c>
      <c r="AV2077">
        <f t="shared" si="65"/>
        <v>1130</v>
      </c>
    </row>
    <row r="2078" spans="1:48" x14ac:dyDescent="0.25">
      <c r="A2078" t="s">
        <v>7597</v>
      </c>
      <c r="C2078" t="s">
        <v>7598</v>
      </c>
      <c r="D2078" t="s">
        <v>7599</v>
      </c>
      <c r="E2078" t="s">
        <v>2310</v>
      </c>
      <c r="F2078">
        <v>12</v>
      </c>
      <c r="G2078">
        <v>12.3</v>
      </c>
      <c r="H2078" t="s">
        <v>2017</v>
      </c>
      <c r="I2078" s="21">
        <v>38989</v>
      </c>
      <c r="J2078">
        <v>2006</v>
      </c>
      <c r="K2078" s="21">
        <v>39023</v>
      </c>
      <c r="L2078">
        <v>2006</v>
      </c>
      <c r="M2078" s="21">
        <v>39262</v>
      </c>
      <c r="N2078">
        <v>2007</v>
      </c>
      <c r="R2078" s="262">
        <v>250000</v>
      </c>
      <c r="S2078" t="s">
        <v>114</v>
      </c>
      <c r="T2078" t="s">
        <v>114</v>
      </c>
      <c r="U2078">
        <v>5</v>
      </c>
      <c r="W2078">
        <v>1046</v>
      </c>
      <c r="X2078">
        <v>0</v>
      </c>
      <c r="Y2078">
        <v>0</v>
      </c>
      <c r="Z2078">
        <v>0</v>
      </c>
      <c r="AA2078">
        <v>0</v>
      </c>
      <c r="AB2078">
        <v>0</v>
      </c>
      <c r="AC2078">
        <v>1046</v>
      </c>
      <c r="AD2078">
        <v>0</v>
      </c>
      <c r="AE2078">
        <v>0</v>
      </c>
      <c r="AF2078">
        <v>0</v>
      </c>
      <c r="AG2078">
        <v>0</v>
      </c>
      <c r="AH2078">
        <v>0</v>
      </c>
      <c r="AI2078">
        <v>0</v>
      </c>
      <c r="AJ2078">
        <v>0</v>
      </c>
      <c r="AK2078">
        <v>0</v>
      </c>
      <c r="AL2078">
        <v>0</v>
      </c>
      <c r="AM2078">
        <v>0</v>
      </c>
      <c r="AN2078">
        <v>0</v>
      </c>
      <c r="AO2078">
        <v>0</v>
      </c>
      <c r="AP2078">
        <v>0</v>
      </c>
      <c r="AQ2078">
        <v>0</v>
      </c>
      <c r="AR2078">
        <v>0</v>
      </c>
      <c r="AS2078">
        <v>0</v>
      </c>
      <c r="AT2078">
        <v>0</v>
      </c>
      <c r="AU2078">
        <f t="shared" si="64"/>
        <v>0</v>
      </c>
      <c r="AV2078">
        <f t="shared" si="65"/>
        <v>0</v>
      </c>
    </row>
    <row r="2079" spans="1:48" x14ac:dyDescent="0.25">
      <c r="A2079" t="s">
        <v>7600</v>
      </c>
      <c r="C2079" t="s">
        <v>7601</v>
      </c>
      <c r="D2079" t="s">
        <v>7602</v>
      </c>
      <c r="E2079" t="s">
        <v>2310</v>
      </c>
      <c r="F2079">
        <v>7</v>
      </c>
      <c r="G2079">
        <v>7.2</v>
      </c>
      <c r="H2079" t="s">
        <v>2017</v>
      </c>
      <c r="I2079" s="21">
        <v>38989</v>
      </c>
      <c r="J2079">
        <v>2006</v>
      </c>
      <c r="K2079" s="21">
        <v>39017</v>
      </c>
      <c r="L2079">
        <v>2006</v>
      </c>
      <c r="M2079" s="21">
        <v>39560</v>
      </c>
      <c r="N2079">
        <v>2008</v>
      </c>
      <c r="R2079" s="262">
        <v>200000</v>
      </c>
      <c r="S2079" t="s">
        <v>114</v>
      </c>
      <c r="T2079" t="s">
        <v>114</v>
      </c>
      <c r="U2079">
        <v>5</v>
      </c>
      <c r="W2079">
        <v>3664</v>
      </c>
      <c r="X2079">
        <v>1</v>
      </c>
      <c r="Y2079">
        <v>0</v>
      </c>
      <c r="Z2079">
        <v>0</v>
      </c>
      <c r="AA2079">
        <v>0</v>
      </c>
      <c r="AB2079">
        <v>0</v>
      </c>
      <c r="AC2079">
        <v>3664</v>
      </c>
      <c r="AD2079">
        <v>0</v>
      </c>
      <c r="AE2079">
        <v>0</v>
      </c>
      <c r="AF2079">
        <v>0</v>
      </c>
      <c r="AG2079">
        <v>0</v>
      </c>
      <c r="AH2079">
        <v>0</v>
      </c>
      <c r="AI2079">
        <v>0</v>
      </c>
      <c r="AJ2079">
        <v>0</v>
      </c>
      <c r="AK2079">
        <v>0</v>
      </c>
      <c r="AL2079">
        <v>0</v>
      </c>
      <c r="AM2079">
        <v>0</v>
      </c>
      <c r="AN2079">
        <v>0</v>
      </c>
      <c r="AO2079">
        <v>1</v>
      </c>
      <c r="AP2079">
        <v>0</v>
      </c>
      <c r="AQ2079">
        <v>0</v>
      </c>
      <c r="AR2079">
        <v>0</v>
      </c>
      <c r="AS2079">
        <v>0</v>
      </c>
      <c r="AT2079">
        <v>0</v>
      </c>
      <c r="AU2079">
        <f t="shared" si="64"/>
        <v>1</v>
      </c>
      <c r="AV2079">
        <f t="shared" si="65"/>
        <v>0</v>
      </c>
    </row>
    <row r="2080" spans="1:48" x14ac:dyDescent="0.25">
      <c r="A2080" t="s">
        <v>7603</v>
      </c>
      <c r="C2080" t="s">
        <v>7604</v>
      </c>
      <c r="D2080" t="s">
        <v>7605</v>
      </c>
      <c r="E2080" t="s">
        <v>2310</v>
      </c>
      <c r="F2080">
        <v>8</v>
      </c>
      <c r="G2080">
        <v>8.1</v>
      </c>
      <c r="H2080" t="s">
        <v>2323</v>
      </c>
      <c r="I2080" s="21">
        <v>38993</v>
      </c>
      <c r="J2080">
        <v>2006</v>
      </c>
      <c r="K2080" s="21">
        <v>39043</v>
      </c>
      <c r="L2080">
        <v>2006</v>
      </c>
      <c r="M2080" s="21">
        <v>39688</v>
      </c>
      <c r="N2080">
        <v>2008</v>
      </c>
      <c r="R2080" s="262">
        <v>2000000</v>
      </c>
      <c r="S2080" t="s">
        <v>114</v>
      </c>
      <c r="T2080" t="s">
        <v>114</v>
      </c>
      <c r="U2080">
        <v>5</v>
      </c>
      <c r="W2080">
        <v>10000</v>
      </c>
      <c r="X2080">
        <v>1</v>
      </c>
      <c r="Y2080">
        <v>0</v>
      </c>
      <c r="Z2080">
        <v>0</v>
      </c>
      <c r="AA2080">
        <v>0</v>
      </c>
      <c r="AB2080">
        <v>0</v>
      </c>
      <c r="AC2080">
        <v>10000</v>
      </c>
      <c r="AD2080">
        <v>0</v>
      </c>
      <c r="AE2080">
        <v>0</v>
      </c>
      <c r="AF2080">
        <v>0</v>
      </c>
      <c r="AG2080">
        <v>0</v>
      </c>
      <c r="AH2080">
        <v>0</v>
      </c>
      <c r="AI2080">
        <v>0</v>
      </c>
      <c r="AJ2080">
        <v>0</v>
      </c>
      <c r="AK2080">
        <v>0</v>
      </c>
      <c r="AL2080">
        <v>0</v>
      </c>
      <c r="AM2080">
        <v>0</v>
      </c>
      <c r="AN2080">
        <v>0</v>
      </c>
      <c r="AO2080">
        <v>1</v>
      </c>
      <c r="AP2080">
        <v>0</v>
      </c>
      <c r="AQ2080">
        <v>0</v>
      </c>
      <c r="AR2080">
        <v>0</v>
      </c>
      <c r="AS2080">
        <v>0</v>
      </c>
      <c r="AT2080">
        <v>0</v>
      </c>
      <c r="AU2080">
        <f t="shared" si="64"/>
        <v>1</v>
      </c>
      <c r="AV2080">
        <f t="shared" si="65"/>
        <v>0</v>
      </c>
    </row>
    <row r="2081" spans="1:48" x14ac:dyDescent="0.25">
      <c r="A2081" t="s">
        <v>7606</v>
      </c>
      <c r="C2081" t="s">
        <v>7607</v>
      </c>
      <c r="D2081" t="s">
        <v>7608</v>
      </c>
      <c r="E2081" t="s">
        <v>2310</v>
      </c>
      <c r="F2081">
        <v>9</v>
      </c>
      <c r="G2081">
        <v>9.3000000000000007</v>
      </c>
      <c r="H2081" t="s">
        <v>2323</v>
      </c>
      <c r="I2081" s="21">
        <v>38993</v>
      </c>
      <c r="J2081">
        <v>2006</v>
      </c>
      <c r="K2081" s="21">
        <v>39043</v>
      </c>
      <c r="L2081">
        <v>2006</v>
      </c>
      <c r="M2081" s="21">
        <v>39591</v>
      </c>
      <c r="N2081">
        <v>2008</v>
      </c>
      <c r="R2081" s="262">
        <v>500000</v>
      </c>
      <c r="S2081" t="s">
        <v>114</v>
      </c>
      <c r="T2081" t="s">
        <v>114</v>
      </c>
      <c r="U2081">
        <v>5</v>
      </c>
      <c r="W2081">
        <v>1058</v>
      </c>
      <c r="X2081">
        <v>1</v>
      </c>
      <c r="Y2081">
        <v>0</v>
      </c>
      <c r="Z2081">
        <v>0</v>
      </c>
      <c r="AA2081">
        <v>0</v>
      </c>
      <c r="AB2081">
        <v>0</v>
      </c>
      <c r="AC2081">
        <v>1058</v>
      </c>
      <c r="AD2081">
        <v>0</v>
      </c>
      <c r="AE2081">
        <v>0</v>
      </c>
      <c r="AF2081">
        <v>0</v>
      </c>
      <c r="AG2081">
        <v>0</v>
      </c>
      <c r="AH2081">
        <v>0</v>
      </c>
      <c r="AI2081">
        <v>0</v>
      </c>
      <c r="AJ2081">
        <v>0</v>
      </c>
      <c r="AK2081">
        <v>0</v>
      </c>
      <c r="AL2081">
        <v>0</v>
      </c>
      <c r="AM2081">
        <v>0</v>
      </c>
      <c r="AN2081">
        <v>0</v>
      </c>
      <c r="AO2081">
        <v>1</v>
      </c>
      <c r="AP2081">
        <v>0</v>
      </c>
      <c r="AQ2081">
        <v>0</v>
      </c>
      <c r="AR2081">
        <v>0</v>
      </c>
      <c r="AS2081">
        <v>0</v>
      </c>
      <c r="AT2081">
        <v>0</v>
      </c>
      <c r="AU2081">
        <f t="shared" si="64"/>
        <v>1</v>
      </c>
      <c r="AV2081">
        <f t="shared" si="65"/>
        <v>0</v>
      </c>
    </row>
    <row r="2082" spans="1:48" x14ac:dyDescent="0.25">
      <c r="A2082" t="s">
        <v>7609</v>
      </c>
      <c r="C2082" t="s">
        <v>4934</v>
      </c>
      <c r="D2082" t="s">
        <v>6015</v>
      </c>
      <c r="E2082" t="s">
        <v>2310</v>
      </c>
      <c r="F2082">
        <v>9</v>
      </c>
      <c r="G2082">
        <v>9.3000000000000007</v>
      </c>
      <c r="H2082" t="s">
        <v>2323</v>
      </c>
      <c r="I2082" s="21">
        <v>38994</v>
      </c>
      <c r="J2082">
        <v>2006</v>
      </c>
      <c r="K2082" s="21">
        <v>39016</v>
      </c>
      <c r="L2082">
        <v>2006</v>
      </c>
      <c r="M2082" s="21">
        <v>39749</v>
      </c>
      <c r="N2082">
        <v>2008</v>
      </c>
      <c r="R2082" s="262">
        <v>150000</v>
      </c>
      <c r="S2082" t="s">
        <v>114</v>
      </c>
      <c r="T2082" t="s">
        <v>114</v>
      </c>
      <c r="U2082">
        <v>5</v>
      </c>
      <c r="W2082">
        <v>1872</v>
      </c>
      <c r="X2082">
        <v>0</v>
      </c>
      <c r="Y2082">
        <v>0</v>
      </c>
      <c r="Z2082">
        <v>0</v>
      </c>
      <c r="AA2082">
        <v>0</v>
      </c>
      <c r="AB2082">
        <v>0</v>
      </c>
      <c r="AC2082">
        <v>1872</v>
      </c>
      <c r="AD2082">
        <v>0</v>
      </c>
      <c r="AE2082">
        <v>0</v>
      </c>
      <c r="AF2082">
        <v>0</v>
      </c>
      <c r="AG2082">
        <v>0</v>
      </c>
      <c r="AH2082">
        <v>0</v>
      </c>
      <c r="AI2082">
        <v>0</v>
      </c>
      <c r="AJ2082">
        <v>0</v>
      </c>
      <c r="AK2082">
        <v>0</v>
      </c>
      <c r="AL2082">
        <v>0</v>
      </c>
      <c r="AM2082">
        <v>0</v>
      </c>
      <c r="AN2082">
        <v>0</v>
      </c>
      <c r="AO2082">
        <v>0</v>
      </c>
      <c r="AP2082">
        <v>0</v>
      </c>
      <c r="AQ2082">
        <v>0</v>
      </c>
      <c r="AR2082">
        <v>0</v>
      </c>
      <c r="AS2082">
        <v>0</v>
      </c>
      <c r="AT2082">
        <v>0</v>
      </c>
      <c r="AU2082">
        <f t="shared" si="64"/>
        <v>0</v>
      </c>
      <c r="AV2082">
        <f t="shared" si="65"/>
        <v>0</v>
      </c>
    </row>
    <row r="2083" spans="1:48" x14ac:dyDescent="0.25">
      <c r="A2083" t="s">
        <v>7610</v>
      </c>
      <c r="C2083" t="s">
        <v>7611</v>
      </c>
      <c r="D2083" t="s">
        <v>7612</v>
      </c>
      <c r="E2083" t="s">
        <v>2310</v>
      </c>
      <c r="F2083">
        <v>8</v>
      </c>
      <c r="G2083">
        <v>8.1999999999999993</v>
      </c>
      <c r="H2083" t="s">
        <v>2022</v>
      </c>
      <c r="I2083" s="21">
        <v>38995</v>
      </c>
      <c r="J2083">
        <v>2006</v>
      </c>
      <c r="K2083" s="21">
        <v>39021</v>
      </c>
      <c r="L2083">
        <v>2006</v>
      </c>
      <c r="M2083" s="21">
        <v>39358</v>
      </c>
      <c r="N2083">
        <v>2007</v>
      </c>
      <c r="R2083" s="262">
        <v>175000</v>
      </c>
      <c r="S2083" t="s">
        <v>114</v>
      </c>
      <c r="T2083" t="s">
        <v>114</v>
      </c>
      <c r="U2083">
        <v>5</v>
      </c>
      <c r="W2083">
        <v>2782</v>
      </c>
      <c r="X2083">
        <v>0</v>
      </c>
      <c r="Y2083">
        <v>0</v>
      </c>
      <c r="Z2083">
        <v>0</v>
      </c>
      <c r="AA2083">
        <v>0</v>
      </c>
      <c r="AB2083">
        <v>0</v>
      </c>
      <c r="AC2083">
        <v>2782</v>
      </c>
      <c r="AD2083">
        <v>0</v>
      </c>
      <c r="AE2083">
        <v>0</v>
      </c>
      <c r="AF2083">
        <v>0</v>
      </c>
      <c r="AG2083">
        <v>0</v>
      </c>
      <c r="AH2083">
        <v>0</v>
      </c>
      <c r="AI2083">
        <v>0</v>
      </c>
      <c r="AJ2083">
        <v>0</v>
      </c>
      <c r="AK2083">
        <v>0</v>
      </c>
      <c r="AL2083">
        <v>0</v>
      </c>
      <c r="AM2083">
        <v>0</v>
      </c>
      <c r="AN2083">
        <v>0</v>
      </c>
      <c r="AO2083">
        <v>0</v>
      </c>
      <c r="AP2083">
        <v>0</v>
      </c>
      <c r="AQ2083">
        <v>0</v>
      </c>
      <c r="AR2083">
        <v>0</v>
      </c>
      <c r="AS2083">
        <v>0</v>
      </c>
      <c r="AT2083">
        <v>0</v>
      </c>
      <c r="AU2083">
        <f t="shared" si="64"/>
        <v>0</v>
      </c>
      <c r="AV2083">
        <f t="shared" si="65"/>
        <v>0</v>
      </c>
    </row>
    <row r="2084" spans="1:48" x14ac:dyDescent="0.25">
      <c r="A2084" t="s">
        <v>7613</v>
      </c>
      <c r="C2084" t="s">
        <v>7614</v>
      </c>
      <c r="D2084" t="s">
        <v>7615</v>
      </c>
      <c r="E2084" t="s">
        <v>2310</v>
      </c>
      <c r="F2084">
        <v>9</v>
      </c>
      <c r="G2084">
        <v>9.1999999999999993</v>
      </c>
      <c r="H2084" t="s">
        <v>2022</v>
      </c>
      <c r="I2084" s="21">
        <v>38995</v>
      </c>
      <c r="J2084">
        <v>2006</v>
      </c>
      <c r="K2084" s="21">
        <v>39022</v>
      </c>
      <c r="L2084">
        <v>2006</v>
      </c>
      <c r="M2084" s="21">
        <v>39713</v>
      </c>
      <c r="N2084">
        <v>2008</v>
      </c>
      <c r="R2084" s="262">
        <v>750000</v>
      </c>
      <c r="S2084" t="s">
        <v>114</v>
      </c>
      <c r="T2084" t="s">
        <v>114</v>
      </c>
      <c r="U2084">
        <v>5</v>
      </c>
      <c r="W2084">
        <v>185</v>
      </c>
      <c r="X2084">
        <v>0</v>
      </c>
      <c r="Y2084">
        <v>0</v>
      </c>
      <c r="Z2084">
        <v>0</v>
      </c>
      <c r="AA2084">
        <v>0</v>
      </c>
      <c r="AB2084">
        <v>0</v>
      </c>
      <c r="AC2084">
        <v>185</v>
      </c>
      <c r="AD2084">
        <v>0</v>
      </c>
      <c r="AE2084">
        <v>0</v>
      </c>
      <c r="AF2084">
        <v>0</v>
      </c>
      <c r="AG2084">
        <v>0</v>
      </c>
      <c r="AH2084">
        <v>0</v>
      </c>
      <c r="AI2084">
        <v>0</v>
      </c>
      <c r="AJ2084">
        <v>0</v>
      </c>
      <c r="AK2084">
        <v>0</v>
      </c>
      <c r="AL2084">
        <v>0</v>
      </c>
      <c r="AM2084">
        <v>0</v>
      </c>
      <c r="AN2084">
        <v>0</v>
      </c>
      <c r="AO2084">
        <v>0</v>
      </c>
      <c r="AP2084">
        <v>0</v>
      </c>
      <c r="AQ2084">
        <v>0</v>
      </c>
      <c r="AR2084">
        <v>0</v>
      </c>
      <c r="AS2084">
        <v>0</v>
      </c>
      <c r="AT2084">
        <v>0</v>
      </c>
      <c r="AU2084">
        <f t="shared" si="64"/>
        <v>0</v>
      </c>
      <c r="AV2084">
        <f t="shared" si="65"/>
        <v>0</v>
      </c>
    </row>
    <row r="2085" spans="1:48" x14ac:dyDescent="0.25">
      <c r="A2085" t="s">
        <v>7616</v>
      </c>
      <c r="C2085" t="s">
        <v>7617</v>
      </c>
      <c r="D2085" t="s">
        <v>7618</v>
      </c>
      <c r="E2085" t="s">
        <v>1663</v>
      </c>
      <c r="F2085">
        <v>3</v>
      </c>
      <c r="G2085">
        <v>3.2</v>
      </c>
      <c r="H2085" t="s">
        <v>2327</v>
      </c>
      <c r="I2085" s="21">
        <v>38996</v>
      </c>
      <c r="J2085">
        <v>2006</v>
      </c>
      <c r="K2085" s="21">
        <v>39027</v>
      </c>
      <c r="L2085">
        <v>2006</v>
      </c>
      <c r="M2085" s="21">
        <v>39178</v>
      </c>
      <c r="N2085">
        <v>2007</v>
      </c>
      <c r="Q2085" s="262">
        <v>0</v>
      </c>
      <c r="S2085" t="s">
        <v>114</v>
      </c>
      <c r="T2085" t="s">
        <v>114</v>
      </c>
      <c r="W2085">
        <v>3120</v>
      </c>
      <c r="X2085">
        <v>1</v>
      </c>
      <c r="Y2085">
        <v>0</v>
      </c>
      <c r="Z2085">
        <v>0</v>
      </c>
      <c r="AA2085">
        <v>0</v>
      </c>
      <c r="AB2085">
        <v>0</v>
      </c>
      <c r="AC2085">
        <v>0</v>
      </c>
      <c r="AD2085">
        <v>3120</v>
      </c>
      <c r="AE2085">
        <v>0</v>
      </c>
      <c r="AF2085">
        <v>0</v>
      </c>
      <c r="AG2085">
        <v>0</v>
      </c>
      <c r="AH2085">
        <v>0</v>
      </c>
      <c r="AI2085">
        <v>0</v>
      </c>
      <c r="AJ2085">
        <v>0</v>
      </c>
      <c r="AK2085">
        <v>0</v>
      </c>
      <c r="AL2085">
        <v>0</v>
      </c>
      <c r="AM2085">
        <v>0</v>
      </c>
      <c r="AN2085">
        <v>0</v>
      </c>
      <c r="AO2085">
        <v>0</v>
      </c>
      <c r="AP2085">
        <v>1</v>
      </c>
      <c r="AQ2085">
        <v>0</v>
      </c>
      <c r="AR2085">
        <v>0</v>
      </c>
      <c r="AS2085">
        <v>0</v>
      </c>
      <c r="AT2085">
        <v>0</v>
      </c>
      <c r="AU2085">
        <f t="shared" si="64"/>
        <v>1</v>
      </c>
      <c r="AV2085">
        <f t="shared" si="65"/>
        <v>0</v>
      </c>
    </row>
    <row r="2086" spans="1:48" x14ac:dyDescent="0.25">
      <c r="A2086" t="s">
        <v>7619</v>
      </c>
      <c r="C2086" t="s">
        <v>7620</v>
      </c>
      <c r="D2086" t="s">
        <v>7621</v>
      </c>
      <c r="E2086" t="s">
        <v>1663</v>
      </c>
      <c r="F2086">
        <v>3</v>
      </c>
      <c r="G2086">
        <v>3.2</v>
      </c>
      <c r="H2086" t="s">
        <v>2327</v>
      </c>
      <c r="I2086" s="21">
        <v>38996</v>
      </c>
      <c r="J2086">
        <v>2006</v>
      </c>
      <c r="K2086" s="21">
        <v>39027</v>
      </c>
      <c r="L2086">
        <v>2006</v>
      </c>
      <c r="M2086" s="21">
        <v>39178</v>
      </c>
      <c r="N2086">
        <v>2007</v>
      </c>
      <c r="Q2086" s="262">
        <v>0</v>
      </c>
      <c r="S2086" t="s">
        <v>114</v>
      </c>
      <c r="T2086" t="s">
        <v>114</v>
      </c>
      <c r="W2086">
        <v>3120</v>
      </c>
      <c r="X2086">
        <v>1</v>
      </c>
      <c r="Y2086">
        <v>0</v>
      </c>
      <c r="Z2086">
        <v>0</v>
      </c>
      <c r="AA2086">
        <v>0</v>
      </c>
      <c r="AB2086">
        <v>0</v>
      </c>
      <c r="AC2086">
        <v>0</v>
      </c>
      <c r="AD2086">
        <v>3120</v>
      </c>
      <c r="AE2086">
        <v>0</v>
      </c>
      <c r="AF2086">
        <v>0</v>
      </c>
      <c r="AG2086">
        <v>0</v>
      </c>
      <c r="AH2086">
        <v>0</v>
      </c>
      <c r="AI2086">
        <v>0</v>
      </c>
      <c r="AJ2086">
        <v>0</v>
      </c>
      <c r="AK2086">
        <v>0</v>
      </c>
      <c r="AL2086">
        <v>0</v>
      </c>
      <c r="AM2086">
        <v>0</v>
      </c>
      <c r="AN2086">
        <v>0</v>
      </c>
      <c r="AO2086">
        <v>0</v>
      </c>
      <c r="AP2086">
        <v>1</v>
      </c>
      <c r="AQ2086">
        <v>0</v>
      </c>
      <c r="AR2086">
        <v>0</v>
      </c>
      <c r="AS2086">
        <v>0</v>
      </c>
      <c r="AT2086">
        <v>0</v>
      </c>
      <c r="AU2086">
        <f t="shared" si="64"/>
        <v>1</v>
      </c>
      <c r="AV2086">
        <f t="shared" si="65"/>
        <v>0</v>
      </c>
    </row>
    <row r="2087" spans="1:48" x14ac:dyDescent="0.25">
      <c r="A2087" t="s">
        <v>7622</v>
      </c>
      <c r="C2087" t="s">
        <v>7623</v>
      </c>
      <c r="D2087" t="s">
        <v>7624</v>
      </c>
      <c r="E2087" t="s">
        <v>1663</v>
      </c>
      <c r="F2087">
        <v>3</v>
      </c>
      <c r="G2087">
        <v>3.1</v>
      </c>
      <c r="H2087" t="s">
        <v>2017</v>
      </c>
      <c r="I2087" s="21">
        <v>38996</v>
      </c>
      <c r="J2087">
        <v>2006</v>
      </c>
      <c r="K2087" s="21">
        <v>39027</v>
      </c>
      <c r="L2087">
        <v>2006</v>
      </c>
      <c r="M2087" s="21">
        <v>39178</v>
      </c>
      <c r="N2087">
        <v>2007</v>
      </c>
      <c r="Q2087" s="262">
        <v>0</v>
      </c>
      <c r="S2087" t="s">
        <v>114</v>
      </c>
      <c r="T2087" t="s">
        <v>114</v>
      </c>
      <c r="W2087">
        <v>3848</v>
      </c>
      <c r="X2087">
        <v>1</v>
      </c>
      <c r="Y2087">
        <v>0</v>
      </c>
      <c r="Z2087">
        <v>0</v>
      </c>
      <c r="AA2087">
        <v>0</v>
      </c>
      <c r="AB2087">
        <v>0</v>
      </c>
      <c r="AC2087">
        <v>3848</v>
      </c>
      <c r="AD2087">
        <v>0</v>
      </c>
      <c r="AE2087">
        <v>0</v>
      </c>
      <c r="AF2087">
        <v>0</v>
      </c>
      <c r="AG2087">
        <v>0</v>
      </c>
      <c r="AH2087">
        <v>0</v>
      </c>
      <c r="AI2087">
        <v>0</v>
      </c>
      <c r="AJ2087">
        <v>0</v>
      </c>
      <c r="AK2087">
        <v>0</v>
      </c>
      <c r="AL2087">
        <v>0</v>
      </c>
      <c r="AM2087">
        <v>0</v>
      </c>
      <c r="AN2087">
        <v>0</v>
      </c>
      <c r="AO2087">
        <v>1</v>
      </c>
      <c r="AP2087">
        <v>0</v>
      </c>
      <c r="AQ2087">
        <v>0</v>
      </c>
      <c r="AR2087">
        <v>0</v>
      </c>
      <c r="AS2087">
        <v>0</v>
      </c>
      <c r="AT2087">
        <v>0</v>
      </c>
      <c r="AU2087">
        <f t="shared" si="64"/>
        <v>1</v>
      </c>
      <c r="AV2087">
        <f t="shared" si="65"/>
        <v>0</v>
      </c>
    </row>
    <row r="2088" spans="1:48" x14ac:dyDescent="0.25">
      <c r="A2088" t="s">
        <v>7625</v>
      </c>
      <c r="C2088" t="s">
        <v>7626</v>
      </c>
      <c r="D2088" t="s">
        <v>4315</v>
      </c>
      <c r="E2088" t="s">
        <v>2310</v>
      </c>
      <c r="F2088">
        <v>15</v>
      </c>
      <c r="G2088">
        <v>15.1</v>
      </c>
      <c r="H2088" t="s">
        <v>2022</v>
      </c>
      <c r="I2088" s="21">
        <v>39000</v>
      </c>
      <c r="J2088">
        <v>2006</v>
      </c>
      <c r="K2088" s="21">
        <v>39055</v>
      </c>
      <c r="L2088">
        <v>2006</v>
      </c>
      <c r="M2088" s="21">
        <v>39373</v>
      </c>
      <c r="N2088">
        <v>2007</v>
      </c>
      <c r="R2088" s="262">
        <v>30000</v>
      </c>
      <c r="S2088" t="s">
        <v>114</v>
      </c>
      <c r="T2088" t="s">
        <v>114</v>
      </c>
      <c r="U2088">
        <v>10</v>
      </c>
      <c r="W2088">
        <v>0</v>
      </c>
      <c r="X2088">
        <v>0</v>
      </c>
      <c r="Y2088">
        <v>0</v>
      </c>
      <c r="Z2088">
        <v>0</v>
      </c>
      <c r="AA2088">
        <v>0</v>
      </c>
      <c r="AB2088">
        <v>0</v>
      </c>
      <c r="AC2088">
        <v>0</v>
      </c>
      <c r="AD2088">
        <v>0</v>
      </c>
      <c r="AE2088">
        <v>0</v>
      </c>
      <c r="AF2088">
        <v>0</v>
      </c>
      <c r="AG2088">
        <v>0</v>
      </c>
      <c r="AH2088">
        <v>0</v>
      </c>
      <c r="AI2088">
        <v>0</v>
      </c>
      <c r="AJ2088">
        <v>0</v>
      </c>
      <c r="AK2088">
        <v>0</v>
      </c>
      <c r="AL2088">
        <v>0</v>
      </c>
      <c r="AM2088">
        <v>0</v>
      </c>
      <c r="AN2088">
        <v>0</v>
      </c>
      <c r="AO2088">
        <v>0</v>
      </c>
      <c r="AP2088">
        <v>0</v>
      </c>
      <c r="AQ2088">
        <v>0</v>
      </c>
      <c r="AR2088">
        <v>0</v>
      </c>
      <c r="AS2088">
        <v>0</v>
      </c>
      <c r="AT2088">
        <v>0</v>
      </c>
      <c r="AU2088">
        <f t="shared" si="64"/>
        <v>0</v>
      </c>
      <c r="AV2088">
        <f t="shared" si="65"/>
        <v>0</v>
      </c>
    </row>
    <row r="2089" spans="1:48" x14ac:dyDescent="0.25">
      <c r="A2089" t="s">
        <v>7627</v>
      </c>
      <c r="C2089" t="s">
        <v>7628</v>
      </c>
      <c r="D2089" t="s">
        <v>3272</v>
      </c>
      <c r="E2089" t="s">
        <v>2310</v>
      </c>
      <c r="F2089">
        <v>9</v>
      </c>
      <c r="G2089">
        <v>9.1999999999999993</v>
      </c>
      <c r="H2089" t="s">
        <v>2022</v>
      </c>
      <c r="I2089" s="21">
        <v>39000</v>
      </c>
      <c r="J2089">
        <v>2006</v>
      </c>
      <c r="K2089" s="21">
        <v>39021</v>
      </c>
      <c r="L2089">
        <v>2006</v>
      </c>
      <c r="M2089" s="21">
        <v>40240.429039351897</v>
      </c>
      <c r="N2089">
        <v>2010</v>
      </c>
      <c r="R2089" s="262">
        <v>215000</v>
      </c>
      <c r="S2089" t="s">
        <v>114</v>
      </c>
      <c r="T2089" t="s">
        <v>114</v>
      </c>
      <c r="U2089">
        <v>5</v>
      </c>
      <c r="W2089">
        <v>710</v>
      </c>
      <c r="X2089">
        <v>0</v>
      </c>
      <c r="Y2089">
        <v>0</v>
      </c>
      <c r="Z2089">
        <v>0</v>
      </c>
      <c r="AA2089">
        <v>0</v>
      </c>
      <c r="AB2089">
        <v>0</v>
      </c>
      <c r="AC2089">
        <v>710</v>
      </c>
      <c r="AD2089">
        <v>0</v>
      </c>
      <c r="AE2089">
        <v>0</v>
      </c>
      <c r="AF2089">
        <v>0</v>
      </c>
      <c r="AG2089">
        <v>0</v>
      </c>
      <c r="AH2089">
        <v>0</v>
      </c>
      <c r="AI2089">
        <v>0</v>
      </c>
      <c r="AJ2089">
        <v>0</v>
      </c>
      <c r="AK2089">
        <v>0</v>
      </c>
      <c r="AL2089">
        <v>0</v>
      </c>
      <c r="AM2089">
        <v>0</v>
      </c>
      <c r="AN2089">
        <v>0</v>
      </c>
      <c r="AO2089">
        <v>0</v>
      </c>
      <c r="AP2089">
        <v>0</v>
      </c>
      <c r="AQ2089">
        <v>0</v>
      </c>
      <c r="AR2089">
        <v>0</v>
      </c>
      <c r="AS2089">
        <v>0</v>
      </c>
      <c r="AT2089">
        <v>0</v>
      </c>
      <c r="AU2089">
        <f t="shared" si="64"/>
        <v>0</v>
      </c>
      <c r="AV2089">
        <f t="shared" si="65"/>
        <v>0</v>
      </c>
    </row>
    <row r="2090" spans="1:48" x14ac:dyDescent="0.25">
      <c r="A2090" t="s">
        <v>7629</v>
      </c>
      <c r="C2090" t="s">
        <v>7630</v>
      </c>
      <c r="D2090" t="s">
        <v>4208</v>
      </c>
      <c r="E2090" t="s">
        <v>2310</v>
      </c>
      <c r="F2090">
        <v>15</v>
      </c>
      <c r="G2090">
        <v>15.1</v>
      </c>
      <c r="H2090" t="s">
        <v>2022</v>
      </c>
      <c r="I2090" s="21">
        <v>39007</v>
      </c>
      <c r="J2090">
        <v>2006</v>
      </c>
      <c r="K2090" s="21">
        <v>39027</v>
      </c>
      <c r="L2090">
        <v>2006</v>
      </c>
      <c r="M2090" s="21">
        <v>39591</v>
      </c>
      <c r="N2090">
        <v>2008</v>
      </c>
      <c r="R2090" s="262">
        <v>65000</v>
      </c>
      <c r="S2090" t="s">
        <v>114</v>
      </c>
      <c r="T2090" t="s">
        <v>114</v>
      </c>
      <c r="U2090">
        <v>11</v>
      </c>
      <c r="W2090">
        <v>480</v>
      </c>
      <c r="X2090">
        <v>1</v>
      </c>
      <c r="Y2090">
        <v>0</v>
      </c>
      <c r="Z2090">
        <v>0</v>
      </c>
      <c r="AA2090">
        <v>0</v>
      </c>
      <c r="AB2090">
        <v>0</v>
      </c>
      <c r="AC2090">
        <v>0</v>
      </c>
      <c r="AD2090">
        <v>0</v>
      </c>
      <c r="AE2090">
        <v>0</v>
      </c>
      <c r="AF2090">
        <v>0</v>
      </c>
      <c r="AG2090">
        <v>0</v>
      </c>
      <c r="AH2090">
        <v>0</v>
      </c>
      <c r="AI2090">
        <v>480</v>
      </c>
      <c r="AJ2090">
        <v>0</v>
      </c>
      <c r="AK2090">
        <v>0</v>
      </c>
      <c r="AL2090">
        <v>0</v>
      </c>
      <c r="AM2090">
        <v>0</v>
      </c>
      <c r="AN2090">
        <v>0</v>
      </c>
      <c r="AO2090">
        <v>0</v>
      </c>
      <c r="AP2090">
        <v>0</v>
      </c>
      <c r="AQ2090">
        <v>0</v>
      </c>
      <c r="AR2090">
        <v>0</v>
      </c>
      <c r="AS2090">
        <v>0</v>
      </c>
      <c r="AT2090">
        <v>1</v>
      </c>
      <c r="AU2090">
        <f t="shared" si="64"/>
        <v>0</v>
      </c>
      <c r="AV2090">
        <f t="shared" si="65"/>
        <v>480</v>
      </c>
    </row>
    <row r="2091" spans="1:48" x14ac:dyDescent="0.25">
      <c r="A2091" t="s">
        <v>7634</v>
      </c>
      <c r="C2091" t="s">
        <v>7635</v>
      </c>
      <c r="D2091" t="s">
        <v>7636</v>
      </c>
      <c r="E2091" t="s">
        <v>2310</v>
      </c>
      <c r="F2091">
        <v>13</v>
      </c>
      <c r="G2091">
        <v>13.3</v>
      </c>
      <c r="H2091" t="s">
        <v>2017</v>
      </c>
      <c r="I2091" s="21">
        <v>39008</v>
      </c>
      <c r="J2091">
        <v>2006</v>
      </c>
      <c r="K2091" s="21">
        <v>39064</v>
      </c>
      <c r="L2091">
        <v>2006</v>
      </c>
      <c r="M2091" s="21">
        <v>39793</v>
      </c>
      <c r="N2091">
        <v>2008</v>
      </c>
      <c r="R2091" s="262">
        <v>1300000</v>
      </c>
      <c r="S2091" t="s">
        <v>114</v>
      </c>
      <c r="T2091" t="s">
        <v>114</v>
      </c>
      <c r="U2091">
        <v>5</v>
      </c>
      <c r="W2091">
        <v>6045</v>
      </c>
      <c r="X2091">
        <v>1</v>
      </c>
      <c r="Y2091">
        <v>0</v>
      </c>
      <c r="Z2091">
        <v>0</v>
      </c>
      <c r="AA2091">
        <v>0</v>
      </c>
      <c r="AB2091">
        <v>0</v>
      </c>
      <c r="AC2091">
        <v>6045</v>
      </c>
      <c r="AD2091">
        <v>0</v>
      </c>
      <c r="AE2091">
        <v>0</v>
      </c>
      <c r="AF2091">
        <v>0</v>
      </c>
      <c r="AG2091">
        <v>0</v>
      </c>
      <c r="AH2091">
        <v>0</v>
      </c>
      <c r="AI2091">
        <v>0</v>
      </c>
      <c r="AJ2091">
        <v>0</v>
      </c>
      <c r="AK2091">
        <v>0</v>
      </c>
      <c r="AL2091">
        <v>0</v>
      </c>
      <c r="AM2091">
        <v>0</v>
      </c>
      <c r="AN2091">
        <v>0</v>
      </c>
      <c r="AO2091">
        <v>1</v>
      </c>
      <c r="AP2091">
        <v>0</v>
      </c>
      <c r="AQ2091">
        <v>0</v>
      </c>
      <c r="AR2091">
        <v>0</v>
      </c>
      <c r="AS2091">
        <v>0</v>
      </c>
      <c r="AT2091">
        <v>0</v>
      </c>
      <c r="AU2091">
        <f t="shared" si="64"/>
        <v>1</v>
      </c>
      <c r="AV2091">
        <f t="shared" si="65"/>
        <v>0</v>
      </c>
    </row>
    <row r="2092" spans="1:48" x14ac:dyDescent="0.25">
      <c r="A2092" t="s">
        <v>7631</v>
      </c>
      <c r="C2092" t="s">
        <v>7632</v>
      </c>
      <c r="D2092" t="s">
        <v>7633</v>
      </c>
      <c r="E2092" t="s">
        <v>1663</v>
      </c>
      <c r="F2092">
        <v>5</v>
      </c>
      <c r="G2092">
        <v>5.0999999999999996</v>
      </c>
      <c r="H2092" t="s">
        <v>2327</v>
      </c>
      <c r="I2092" s="21">
        <v>39008</v>
      </c>
      <c r="J2092">
        <v>2006</v>
      </c>
      <c r="K2092" s="21">
        <v>39039</v>
      </c>
      <c r="L2092">
        <v>2006</v>
      </c>
      <c r="M2092" s="21">
        <v>39190</v>
      </c>
      <c r="N2092">
        <v>2007</v>
      </c>
      <c r="Q2092" s="262">
        <v>0</v>
      </c>
      <c r="S2092" t="s">
        <v>114</v>
      </c>
      <c r="T2092" t="s">
        <v>114</v>
      </c>
      <c r="W2092">
        <v>1056</v>
      </c>
      <c r="X2092">
        <v>0</v>
      </c>
      <c r="Y2092">
        <v>0</v>
      </c>
      <c r="Z2092">
        <v>0</v>
      </c>
      <c r="AA2092">
        <v>0</v>
      </c>
      <c r="AB2092">
        <v>0</v>
      </c>
      <c r="AC2092">
        <v>0</v>
      </c>
      <c r="AD2092">
        <v>0</v>
      </c>
      <c r="AE2092">
        <v>0</v>
      </c>
      <c r="AF2092">
        <v>0</v>
      </c>
      <c r="AG2092">
        <v>0</v>
      </c>
      <c r="AH2092">
        <v>0</v>
      </c>
      <c r="AI2092">
        <v>0</v>
      </c>
      <c r="AJ2092">
        <v>0</v>
      </c>
      <c r="AK2092">
        <v>1056</v>
      </c>
      <c r="AL2092">
        <v>0</v>
      </c>
      <c r="AM2092">
        <v>0</v>
      </c>
      <c r="AN2092">
        <v>0</v>
      </c>
      <c r="AO2092">
        <v>0</v>
      </c>
      <c r="AP2092">
        <v>0</v>
      </c>
      <c r="AQ2092">
        <v>0</v>
      </c>
      <c r="AR2092">
        <v>0</v>
      </c>
      <c r="AS2092">
        <v>0</v>
      </c>
      <c r="AT2092">
        <v>0</v>
      </c>
      <c r="AU2092">
        <f t="shared" si="64"/>
        <v>0</v>
      </c>
      <c r="AV2092">
        <f t="shared" si="65"/>
        <v>1056</v>
      </c>
    </row>
    <row r="2093" spans="1:48" x14ac:dyDescent="0.25">
      <c r="A2093" t="s">
        <v>7637</v>
      </c>
      <c r="C2093" t="s">
        <v>7638</v>
      </c>
      <c r="D2093" t="s">
        <v>7639</v>
      </c>
      <c r="E2093" t="s">
        <v>1663</v>
      </c>
      <c r="F2093">
        <v>5</v>
      </c>
      <c r="G2093">
        <v>5.0999999999999996</v>
      </c>
      <c r="H2093" t="s">
        <v>2327</v>
      </c>
      <c r="I2093" s="21">
        <v>39013</v>
      </c>
      <c r="J2093">
        <v>2006</v>
      </c>
      <c r="K2093" s="21">
        <v>39044</v>
      </c>
      <c r="L2093">
        <v>2006</v>
      </c>
      <c r="M2093" s="21">
        <v>39195</v>
      </c>
      <c r="N2093">
        <v>2007</v>
      </c>
      <c r="Q2093" s="262">
        <v>0</v>
      </c>
      <c r="S2093" t="s">
        <v>114</v>
      </c>
      <c r="T2093" t="s">
        <v>114</v>
      </c>
      <c r="W2093">
        <v>4942</v>
      </c>
      <c r="X2093">
        <v>0</v>
      </c>
      <c r="Y2093">
        <v>0</v>
      </c>
      <c r="Z2093">
        <v>0</v>
      </c>
      <c r="AA2093">
        <v>0</v>
      </c>
      <c r="AB2093">
        <v>0</v>
      </c>
      <c r="AC2093">
        <v>0</v>
      </c>
      <c r="AD2093">
        <v>0</v>
      </c>
      <c r="AE2093">
        <v>0</v>
      </c>
      <c r="AF2093">
        <v>0</v>
      </c>
      <c r="AG2093">
        <v>0</v>
      </c>
      <c r="AH2093">
        <v>0</v>
      </c>
      <c r="AI2093">
        <v>0</v>
      </c>
      <c r="AJ2093">
        <v>4942</v>
      </c>
      <c r="AK2093">
        <v>0</v>
      </c>
      <c r="AL2093">
        <v>0</v>
      </c>
      <c r="AM2093">
        <v>0</v>
      </c>
      <c r="AN2093">
        <v>0</v>
      </c>
      <c r="AO2093">
        <v>0</v>
      </c>
      <c r="AP2093">
        <v>0</v>
      </c>
      <c r="AQ2093">
        <v>0</v>
      </c>
      <c r="AR2093">
        <v>0</v>
      </c>
      <c r="AS2093">
        <v>0</v>
      </c>
      <c r="AT2093">
        <v>0</v>
      </c>
      <c r="AU2093">
        <f t="shared" si="64"/>
        <v>0</v>
      </c>
      <c r="AV2093">
        <f t="shared" si="65"/>
        <v>4942</v>
      </c>
    </row>
    <row r="2094" spans="1:48" x14ac:dyDescent="0.25">
      <c r="A2094" t="s">
        <v>7640</v>
      </c>
      <c r="C2094" t="s">
        <v>7641</v>
      </c>
      <c r="D2094" t="s">
        <v>7642</v>
      </c>
      <c r="E2094" t="s">
        <v>2310</v>
      </c>
      <c r="F2094">
        <v>9</v>
      </c>
      <c r="G2094">
        <v>9.1999999999999993</v>
      </c>
      <c r="H2094" t="s">
        <v>2022</v>
      </c>
      <c r="I2094" s="21">
        <v>39014</v>
      </c>
      <c r="J2094">
        <v>2006</v>
      </c>
      <c r="K2094" s="21">
        <v>39069</v>
      </c>
      <c r="L2094">
        <v>2006</v>
      </c>
      <c r="M2094" s="21">
        <v>39069</v>
      </c>
      <c r="N2094">
        <v>2006</v>
      </c>
      <c r="R2094" s="262">
        <v>300000</v>
      </c>
      <c r="S2094" t="s">
        <v>114</v>
      </c>
      <c r="T2094" t="s">
        <v>114</v>
      </c>
      <c r="U2094">
        <v>5</v>
      </c>
      <c r="W2094">
        <v>1364</v>
      </c>
      <c r="X2094">
        <v>0</v>
      </c>
      <c r="Y2094">
        <v>0</v>
      </c>
      <c r="Z2094">
        <v>0</v>
      </c>
      <c r="AA2094">
        <v>0</v>
      </c>
      <c r="AB2094">
        <v>0</v>
      </c>
      <c r="AC2094">
        <v>1364</v>
      </c>
      <c r="AD2094">
        <v>0</v>
      </c>
      <c r="AE2094">
        <v>0</v>
      </c>
      <c r="AF2094">
        <v>0</v>
      </c>
      <c r="AG2094">
        <v>0</v>
      </c>
      <c r="AH2094">
        <v>0</v>
      </c>
      <c r="AI2094">
        <v>0</v>
      </c>
      <c r="AJ2094">
        <v>0</v>
      </c>
      <c r="AK2094">
        <v>0</v>
      </c>
      <c r="AL2094">
        <v>0</v>
      </c>
      <c r="AM2094">
        <v>0</v>
      </c>
      <c r="AN2094">
        <v>0</v>
      </c>
      <c r="AO2094">
        <v>0</v>
      </c>
      <c r="AP2094">
        <v>0</v>
      </c>
      <c r="AQ2094">
        <v>0</v>
      </c>
      <c r="AR2094">
        <v>0</v>
      </c>
      <c r="AS2094">
        <v>0</v>
      </c>
      <c r="AT2094">
        <v>0</v>
      </c>
      <c r="AU2094">
        <f t="shared" si="64"/>
        <v>0</v>
      </c>
      <c r="AV2094">
        <f t="shared" si="65"/>
        <v>0</v>
      </c>
    </row>
    <row r="2095" spans="1:48" x14ac:dyDescent="0.25">
      <c r="A2095" t="s">
        <v>7643</v>
      </c>
      <c r="C2095" t="s">
        <v>7644</v>
      </c>
      <c r="D2095" t="s">
        <v>5838</v>
      </c>
      <c r="E2095" t="s">
        <v>2310</v>
      </c>
      <c r="F2095">
        <v>8</v>
      </c>
      <c r="G2095">
        <v>8.1</v>
      </c>
      <c r="H2095" t="s">
        <v>2323</v>
      </c>
      <c r="I2095" s="21">
        <v>39014</v>
      </c>
      <c r="J2095">
        <v>2006</v>
      </c>
      <c r="K2095" s="21">
        <v>39027</v>
      </c>
      <c r="L2095">
        <v>2006</v>
      </c>
      <c r="M2095" s="21">
        <v>39027</v>
      </c>
      <c r="N2095">
        <v>2006</v>
      </c>
      <c r="R2095" s="262">
        <v>36000</v>
      </c>
      <c r="S2095" t="s">
        <v>114</v>
      </c>
      <c r="T2095" t="s">
        <v>114</v>
      </c>
      <c r="U2095">
        <v>5</v>
      </c>
      <c r="W2095">
        <v>180</v>
      </c>
      <c r="X2095">
        <v>0</v>
      </c>
      <c r="Y2095">
        <v>0</v>
      </c>
      <c r="Z2095">
        <v>0</v>
      </c>
      <c r="AA2095">
        <v>0</v>
      </c>
      <c r="AB2095">
        <v>0</v>
      </c>
      <c r="AC2095">
        <v>180</v>
      </c>
      <c r="AD2095">
        <v>0</v>
      </c>
      <c r="AE2095">
        <v>0</v>
      </c>
      <c r="AF2095">
        <v>0</v>
      </c>
      <c r="AG2095">
        <v>0</v>
      </c>
      <c r="AH2095">
        <v>0</v>
      </c>
      <c r="AI2095">
        <v>0</v>
      </c>
      <c r="AJ2095">
        <v>0</v>
      </c>
      <c r="AK2095">
        <v>0</v>
      </c>
      <c r="AL2095">
        <v>0</v>
      </c>
      <c r="AM2095">
        <v>0</v>
      </c>
      <c r="AN2095">
        <v>0</v>
      </c>
      <c r="AO2095">
        <v>0</v>
      </c>
      <c r="AP2095">
        <v>0</v>
      </c>
      <c r="AQ2095">
        <v>0</v>
      </c>
      <c r="AR2095">
        <v>0</v>
      </c>
      <c r="AS2095">
        <v>0</v>
      </c>
      <c r="AT2095">
        <v>0</v>
      </c>
      <c r="AU2095">
        <f t="shared" si="64"/>
        <v>0</v>
      </c>
      <c r="AV2095">
        <f t="shared" si="65"/>
        <v>0</v>
      </c>
    </row>
    <row r="2096" spans="1:48" x14ac:dyDescent="0.25">
      <c r="A2096" t="s">
        <v>7645</v>
      </c>
      <c r="C2096" t="s">
        <v>7646</v>
      </c>
      <c r="D2096" t="s">
        <v>7647</v>
      </c>
      <c r="E2096" t="s">
        <v>2310</v>
      </c>
      <c r="F2096">
        <v>15</v>
      </c>
      <c r="G2096">
        <v>15.2</v>
      </c>
      <c r="H2096" t="s">
        <v>2323</v>
      </c>
      <c r="I2096" s="21">
        <v>39014</v>
      </c>
      <c r="J2096">
        <v>2006</v>
      </c>
      <c r="K2096" s="21">
        <v>39027</v>
      </c>
      <c r="L2096">
        <v>2006</v>
      </c>
      <c r="M2096" s="21">
        <v>39646</v>
      </c>
      <c r="N2096">
        <v>2008</v>
      </c>
      <c r="R2096" s="262">
        <v>140000</v>
      </c>
      <c r="S2096" t="s">
        <v>114</v>
      </c>
      <c r="T2096" t="s">
        <v>114</v>
      </c>
      <c r="U2096">
        <v>5</v>
      </c>
      <c r="W2096">
        <v>393</v>
      </c>
      <c r="X2096">
        <v>0</v>
      </c>
      <c r="Y2096">
        <v>0</v>
      </c>
      <c r="Z2096">
        <v>0</v>
      </c>
      <c r="AA2096">
        <v>0</v>
      </c>
      <c r="AB2096">
        <v>0</v>
      </c>
      <c r="AC2096">
        <v>393</v>
      </c>
      <c r="AD2096">
        <v>0</v>
      </c>
      <c r="AE2096">
        <v>0</v>
      </c>
      <c r="AF2096">
        <v>0</v>
      </c>
      <c r="AG2096">
        <v>0</v>
      </c>
      <c r="AH2096">
        <v>0</v>
      </c>
      <c r="AI2096">
        <v>0</v>
      </c>
      <c r="AJ2096">
        <v>0</v>
      </c>
      <c r="AK2096">
        <v>0</v>
      </c>
      <c r="AL2096">
        <v>0</v>
      </c>
      <c r="AM2096">
        <v>0</v>
      </c>
      <c r="AN2096">
        <v>0</v>
      </c>
      <c r="AO2096">
        <v>0</v>
      </c>
      <c r="AP2096">
        <v>0</v>
      </c>
      <c r="AQ2096">
        <v>0</v>
      </c>
      <c r="AR2096">
        <v>0</v>
      </c>
      <c r="AS2096">
        <v>0</v>
      </c>
      <c r="AT2096">
        <v>0</v>
      </c>
      <c r="AU2096">
        <f t="shared" si="64"/>
        <v>0</v>
      </c>
      <c r="AV2096">
        <f t="shared" si="65"/>
        <v>0</v>
      </c>
    </row>
    <row r="2097" spans="1:48" x14ac:dyDescent="0.25">
      <c r="A2097" t="s">
        <v>7648</v>
      </c>
      <c r="C2097" t="s">
        <v>7649</v>
      </c>
      <c r="D2097" t="s">
        <v>7578</v>
      </c>
      <c r="E2097" t="s">
        <v>2310</v>
      </c>
      <c r="F2097">
        <v>8</v>
      </c>
      <c r="G2097">
        <v>8.1999999999999993</v>
      </c>
      <c r="H2097" t="s">
        <v>2022</v>
      </c>
      <c r="I2097" s="21">
        <v>39022</v>
      </c>
      <c r="J2097">
        <v>2006</v>
      </c>
      <c r="K2097" s="21">
        <v>39065</v>
      </c>
      <c r="L2097">
        <v>2006</v>
      </c>
      <c r="M2097" s="21">
        <v>40577.457766203697</v>
      </c>
      <c r="N2097">
        <v>2011</v>
      </c>
      <c r="R2097" s="262">
        <v>1000000</v>
      </c>
      <c r="S2097" t="s">
        <v>114</v>
      </c>
      <c r="T2097" t="s">
        <v>114</v>
      </c>
      <c r="U2097">
        <v>5</v>
      </c>
      <c r="W2097">
        <v>7345</v>
      </c>
      <c r="X2097">
        <v>1</v>
      </c>
      <c r="Y2097">
        <v>0</v>
      </c>
      <c r="Z2097">
        <v>0</v>
      </c>
      <c r="AA2097">
        <v>0</v>
      </c>
      <c r="AB2097">
        <v>0</v>
      </c>
      <c r="AC2097">
        <v>7345</v>
      </c>
      <c r="AD2097">
        <v>0</v>
      </c>
      <c r="AE2097">
        <v>0</v>
      </c>
      <c r="AF2097">
        <v>0</v>
      </c>
      <c r="AG2097">
        <v>0</v>
      </c>
      <c r="AH2097">
        <v>0</v>
      </c>
      <c r="AI2097">
        <v>0</v>
      </c>
      <c r="AJ2097">
        <v>0</v>
      </c>
      <c r="AK2097">
        <v>0</v>
      </c>
      <c r="AL2097">
        <v>0</v>
      </c>
      <c r="AM2097">
        <v>0</v>
      </c>
      <c r="AN2097">
        <v>0</v>
      </c>
      <c r="AO2097">
        <v>1</v>
      </c>
      <c r="AP2097">
        <v>0</v>
      </c>
      <c r="AQ2097">
        <v>0</v>
      </c>
      <c r="AR2097">
        <v>0</v>
      </c>
      <c r="AS2097">
        <v>0</v>
      </c>
      <c r="AT2097">
        <v>0</v>
      </c>
      <c r="AU2097">
        <f t="shared" si="64"/>
        <v>1</v>
      </c>
      <c r="AV2097">
        <f t="shared" si="65"/>
        <v>0</v>
      </c>
    </row>
    <row r="2098" spans="1:48" x14ac:dyDescent="0.25">
      <c r="A2098" t="s">
        <v>7650</v>
      </c>
      <c r="C2098" t="s">
        <v>7651</v>
      </c>
      <c r="D2098" t="s">
        <v>7104</v>
      </c>
      <c r="E2098" t="s">
        <v>2310</v>
      </c>
      <c r="F2098">
        <v>8</v>
      </c>
      <c r="G2098">
        <v>8.1999999999999993</v>
      </c>
      <c r="H2098" t="s">
        <v>2022</v>
      </c>
      <c r="I2098" s="21">
        <v>39028</v>
      </c>
      <c r="J2098">
        <v>2006</v>
      </c>
      <c r="K2098" s="21">
        <v>39049</v>
      </c>
      <c r="L2098">
        <v>2006</v>
      </c>
      <c r="M2098" s="21">
        <v>39049</v>
      </c>
      <c r="N2098">
        <v>2006</v>
      </c>
      <c r="R2098" s="262">
        <v>300000</v>
      </c>
      <c r="S2098" t="s">
        <v>114</v>
      </c>
      <c r="T2098" t="s">
        <v>114</v>
      </c>
      <c r="U2098">
        <v>5</v>
      </c>
      <c r="W2098">
        <v>1544</v>
      </c>
      <c r="X2098">
        <v>0</v>
      </c>
      <c r="Y2098">
        <v>0</v>
      </c>
      <c r="Z2098">
        <v>0</v>
      </c>
      <c r="AA2098">
        <v>0</v>
      </c>
      <c r="AB2098">
        <v>0</v>
      </c>
      <c r="AC2098">
        <v>1544</v>
      </c>
      <c r="AD2098">
        <v>0</v>
      </c>
      <c r="AE2098">
        <v>0</v>
      </c>
      <c r="AF2098">
        <v>0</v>
      </c>
      <c r="AG2098">
        <v>0</v>
      </c>
      <c r="AH2098">
        <v>0</v>
      </c>
      <c r="AI2098">
        <v>0</v>
      </c>
      <c r="AJ2098">
        <v>0</v>
      </c>
      <c r="AK2098">
        <v>0</v>
      </c>
      <c r="AL2098">
        <v>0</v>
      </c>
      <c r="AM2098">
        <v>0</v>
      </c>
      <c r="AN2098">
        <v>0</v>
      </c>
      <c r="AO2098">
        <v>0</v>
      </c>
      <c r="AP2098">
        <v>0</v>
      </c>
      <c r="AQ2098">
        <v>0</v>
      </c>
      <c r="AR2098">
        <v>0</v>
      </c>
      <c r="AS2098">
        <v>0</v>
      </c>
      <c r="AT2098">
        <v>0</v>
      </c>
      <c r="AU2098">
        <f t="shared" si="64"/>
        <v>0</v>
      </c>
      <c r="AV2098">
        <f t="shared" si="65"/>
        <v>0</v>
      </c>
    </row>
    <row r="2099" spans="1:48" x14ac:dyDescent="0.25">
      <c r="A2099" t="s">
        <v>7652</v>
      </c>
      <c r="C2099" t="s">
        <v>7653</v>
      </c>
      <c r="D2099" t="s">
        <v>7654</v>
      </c>
      <c r="E2099" t="s">
        <v>2310</v>
      </c>
      <c r="F2099">
        <v>11</v>
      </c>
      <c r="G2099">
        <v>11.2</v>
      </c>
      <c r="H2099" t="s">
        <v>2017</v>
      </c>
      <c r="I2099" s="21">
        <v>39028</v>
      </c>
      <c r="J2099">
        <v>2006</v>
      </c>
      <c r="K2099" s="21">
        <v>39048</v>
      </c>
      <c r="L2099">
        <v>2006</v>
      </c>
      <c r="M2099" s="21">
        <v>39359</v>
      </c>
      <c r="N2099">
        <v>2007</v>
      </c>
      <c r="R2099" s="262">
        <v>30000</v>
      </c>
      <c r="S2099" t="s">
        <v>114</v>
      </c>
      <c r="T2099" t="s">
        <v>114</v>
      </c>
      <c r="U2099">
        <v>8</v>
      </c>
      <c r="W2099">
        <v>0</v>
      </c>
      <c r="X2099">
        <v>1</v>
      </c>
      <c r="Y2099">
        <v>0</v>
      </c>
      <c r="Z2099">
        <v>0</v>
      </c>
      <c r="AA2099">
        <v>0</v>
      </c>
      <c r="AB2099">
        <v>0</v>
      </c>
      <c r="AC2099">
        <v>-960</v>
      </c>
      <c r="AD2099">
        <v>0</v>
      </c>
      <c r="AE2099">
        <v>0</v>
      </c>
      <c r="AF2099">
        <v>960</v>
      </c>
      <c r="AG2099">
        <v>0</v>
      </c>
      <c r="AH2099">
        <v>0</v>
      </c>
      <c r="AI2099">
        <v>0</v>
      </c>
      <c r="AJ2099">
        <v>0</v>
      </c>
      <c r="AK2099">
        <v>0</v>
      </c>
      <c r="AL2099">
        <v>0</v>
      </c>
      <c r="AM2099">
        <v>0</v>
      </c>
      <c r="AN2099">
        <v>0</v>
      </c>
      <c r="AO2099">
        <v>0</v>
      </c>
      <c r="AP2099">
        <v>0</v>
      </c>
      <c r="AQ2099">
        <v>0</v>
      </c>
      <c r="AR2099">
        <v>1</v>
      </c>
      <c r="AS2099">
        <v>0</v>
      </c>
      <c r="AT2099">
        <v>0</v>
      </c>
      <c r="AU2099">
        <f t="shared" si="64"/>
        <v>0</v>
      </c>
      <c r="AV2099">
        <f t="shared" si="65"/>
        <v>0</v>
      </c>
    </row>
    <row r="2100" spans="1:48" x14ac:dyDescent="0.25">
      <c r="A2100" t="s">
        <v>7655</v>
      </c>
      <c r="C2100" t="s">
        <v>7656</v>
      </c>
      <c r="D2100" t="s">
        <v>7657</v>
      </c>
      <c r="E2100" t="s">
        <v>2310</v>
      </c>
      <c r="F2100">
        <v>15</v>
      </c>
      <c r="G2100">
        <v>15.1</v>
      </c>
      <c r="H2100" t="s">
        <v>2022</v>
      </c>
      <c r="I2100" s="21">
        <v>39029</v>
      </c>
      <c r="J2100">
        <v>2006</v>
      </c>
      <c r="K2100" s="21">
        <v>39036</v>
      </c>
      <c r="L2100">
        <v>2006</v>
      </c>
      <c r="M2100" s="21">
        <v>39232</v>
      </c>
      <c r="N2100">
        <v>2007</v>
      </c>
      <c r="R2100" s="262">
        <v>40000</v>
      </c>
      <c r="S2100" t="s">
        <v>114</v>
      </c>
      <c r="T2100" t="s">
        <v>114</v>
      </c>
      <c r="U2100">
        <v>15</v>
      </c>
      <c r="W2100">
        <v>-3</v>
      </c>
      <c r="X2100">
        <v>0</v>
      </c>
      <c r="Y2100">
        <v>0</v>
      </c>
      <c r="Z2100">
        <v>0</v>
      </c>
      <c r="AA2100">
        <v>0</v>
      </c>
      <c r="AB2100">
        <v>0</v>
      </c>
      <c r="AC2100">
        <v>0</v>
      </c>
      <c r="AD2100">
        <v>0</v>
      </c>
      <c r="AE2100">
        <v>0</v>
      </c>
      <c r="AF2100">
        <v>0</v>
      </c>
      <c r="AG2100">
        <v>0</v>
      </c>
      <c r="AH2100">
        <v>0</v>
      </c>
      <c r="AI2100">
        <v>0</v>
      </c>
      <c r="AJ2100">
        <v>0</v>
      </c>
      <c r="AK2100">
        <v>0</v>
      </c>
      <c r="AL2100">
        <v>0</v>
      </c>
      <c r="AM2100">
        <v>-3</v>
      </c>
      <c r="AN2100">
        <v>0</v>
      </c>
      <c r="AO2100">
        <v>0</v>
      </c>
      <c r="AP2100">
        <v>0</v>
      </c>
      <c r="AQ2100">
        <v>0</v>
      </c>
      <c r="AR2100">
        <v>0</v>
      </c>
      <c r="AS2100">
        <v>0</v>
      </c>
      <c r="AT2100">
        <v>0</v>
      </c>
      <c r="AU2100">
        <f t="shared" si="64"/>
        <v>0</v>
      </c>
      <c r="AV2100">
        <f t="shared" si="65"/>
        <v>-3</v>
      </c>
    </row>
    <row r="2101" spans="1:48" x14ac:dyDescent="0.25">
      <c r="A2101" t="s">
        <v>7658</v>
      </c>
      <c r="C2101" t="s">
        <v>7659</v>
      </c>
      <c r="D2101" t="s">
        <v>7660</v>
      </c>
      <c r="E2101" t="s">
        <v>1663</v>
      </c>
      <c r="F2101">
        <v>3</v>
      </c>
      <c r="G2101">
        <v>3.1</v>
      </c>
      <c r="H2101" t="s">
        <v>2017</v>
      </c>
      <c r="I2101" s="21">
        <v>39035</v>
      </c>
      <c r="J2101">
        <v>2006</v>
      </c>
      <c r="K2101" s="21">
        <v>39065</v>
      </c>
      <c r="L2101">
        <v>2006</v>
      </c>
      <c r="M2101" s="21">
        <v>39216</v>
      </c>
      <c r="N2101">
        <v>2007</v>
      </c>
      <c r="Q2101" s="262">
        <v>0</v>
      </c>
      <c r="S2101" t="s">
        <v>114</v>
      </c>
      <c r="T2101" t="s">
        <v>114</v>
      </c>
      <c r="W2101">
        <v>862</v>
      </c>
      <c r="X2101">
        <v>0</v>
      </c>
      <c r="Y2101">
        <v>0</v>
      </c>
      <c r="Z2101">
        <v>0</v>
      </c>
      <c r="AA2101">
        <v>0</v>
      </c>
      <c r="AB2101">
        <v>0</v>
      </c>
      <c r="AC2101">
        <v>862</v>
      </c>
      <c r="AD2101">
        <v>0</v>
      </c>
      <c r="AE2101">
        <v>0</v>
      </c>
      <c r="AF2101">
        <v>0</v>
      </c>
      <c r="AG2101">
        <v>0</v>
      </c>
      <c r="AH2101">
        <v>0</v>
      </c>
      <c r="AI2101">
        <v>0</v>
      </c>
      <c r="AJ2101">
        <v>0</v>
      </c>
      <c r="AK2101">
        <v>0</v>
      </c>
      <c r="AL2101">
        <v>0</v>
      </c>
      <c r="AM2101">
        <v>0</v>
      </c>
      <c r="AN2101">
        <v>0</v>
      </c>
      <c r="AO2101">
        <v>0</v>
      </c>
      <c r="AP2101">
        <v>0</v>
      </c>
      <c r="AQ2101">
        <v>0</v>
      </c>
      <c r="AR2101">
        <v>0</v>
      </c>
      <c r="AS2101">
        <v>0</v>
      </c>
      <c r="AT2101">
        <v>0</v>
      </c>
      <c r="AU2101">
        <f t="shared" si="64"/>
        <v>0</v>
      </c>
      <c r="AV2101">
        <f t="shared" si="65"/>
        <v>0</v>
      </c>
    </row>
    <row r="2102" spans="1:48" x14ac:dyDescent="0.25">
      <c r="A2102" t="s">
        <v>7661</v>
      </c>
      <c r="C2102" t="s">
        <v>7662</v>
      </c>
      <c r="D2102" t="s">
        <v>3151</v>
      </c>
      <c r="E2102" t="s">
        <v>2310</v>
      </c>
      <c r="F2102">
        <v>13</v>
      </c>
      <c r="G2102">
        <v>13.3</v>
      </c>
      <c r="H2102" t="s">
        <v>2017</v>
      </c>
      <c r="I2102" s="21">
        <v>39036</v>
      </c>
      <c r="J2102">
        <v>2006</v>
      </c>
      <c r="K2102" s="21">
        <v>39049</v>
      </c>
      <c r="L2102">
        <v>2006</v>
      </c>
      <c r="M2102" s="21">
        <v>40466.606736111098</v>
      </c>
      <c r="N2102">
        <v>2010</v>
      </c>
      <c r="R2102" s="262">
        <v>25000</v>
      </c>
      <c r="S2102" t="s">
        <v>114</v>
      </c>
      <c r="T2102" t="s">
        <v>114</v>
      </c>
      <c r="U2102">
        <v>5</v>
      </c>
      <c r="W2102">
        <v>0</v>
      </c>
      <c r="X2102">
        <v>0</v>
      </c>
      <c r="Y2102">
        <v>0</v>
      </c>
      <c r="Z2102">
        <v>0</v>
      </c>
      <c r="AA2102">
        <v>0</v>
      </c>
      <c r="AB2102">
        <v>0</v>
      </c>
      <c r="AC2102">
        <v>0</v>
      </c>
      <c r="AD2102">
        <v>0</v>
      </c>
      <c r="AE2102">
        <v>0</v>
      </c>
      <c r="AF2102">
        <v>0</v>
      </c>
      <c r="AG2102">
        <v>0</v>
      </c>
      <c r="AH2102">
        <v>0</v>
      </c>
      <c r="AI2102">
        <v>0</v>
      </c>
      <c r="AJ2102">
        <v>0</v>
      </c>
      <c r="AK2102">
        <v>0</v>
      </c>
      <c r="AL2102">
        <v>0</v>
      </c>
      <c r="AM2102">
        <v>0</v>
      </c>
      <c r="AN2102">
        <v>0</v>
      </c>
      <c r="AO2102">
        <v>0</v>
      </c>
      <c r="AP2102">
        <v>0</v>
      </c>
      <c r="AQ2102">
        <v>0</v>
      </c>
      <c r="AR2102">
        <v>0</v>
      </c>
      <c r="AS2102">
        <v>0</v>
      </c>
      <c r="AT2102">
        <v>0</v>
      </c>
      <c r="AU2102">
        <f t="shared" si="64"/>
        <v>0</v>
      </c>
      <c r="AV2102">
        <f t="shared" si="65"/>
        <v>0</v>
      </c>
    </row>
    <row r="2103" spans="1:48" x14ac:dyDescent="0.25">
      <c r="A2103" t="s">
        <v>7663</v>
      </c>
      <c r="C2103" t="s">
        <v>3509</v>
      </c>
      <c r="D2103" t="s">
        <v>7664</v>
      </c>
      <c r="E2103" t="s">
        <v>2310</v>
      </c>
      <c r="F2103">
        <v>10</v>
      </c>
      <c r="G2103">
        <v>10.1</v>
      </c>
      <c r="H2103" t="s">
        <v>2323</v>
      </c>
      <c r="I2103" s="21">
        <v>39037</v>
      </c>
      <c r="J2103">
        <v>2006</v>
      </c>
      <c r="K2103" s="21">
        <v>39113</v>
      </c>
      <c r="L2103">
        <v>2007</v>
      </c>
      <c r="M2103" s="21">
        <v>39437</v>
      </c>
      <c r="N2103">
        <v>2007</v>
      </c>
      <c r="R2103" s="262">
        <v>65000</v>
      </c>
      <c r="S2103" t="s">
        <v>114</v>
      </c>
      <c r="T2103" t="s">
        <v>114</v>
      </c>
      <c r="U2103">
        <v>5</v>
      </c>
      <c r="W2103">
        <v>1453</v>
      </c>
      <c r="X2103">
        <v>1</v>
      </c>
      <c r="Y2103">
        <v>0</v>
      </c>
      <c r="Z2103">
        <v>0</v>
      </c>
      <c r="AA2103">
        <v>0</v>
      </c>
      <c r="AB2103">
        <v>0</v>
      </c>
      <c r="AC2103">
        <v>1453</v>
      </c>
      <c r="AD2103">
        <v>0</v>
      </c>
      <c r="AE2103">
        <v>0</v>
      </c>
      <c r="AF2103">
        <v>0</v>
      </c>
      <c r="AG2103">
        <v>0</v>
      </c>
      <c r="AH2103">
        <v>0</v>
      </c>
      <c r="AI2103">
        <v>0</v>
      </c>
      <c r="AJ2103">
        <v>0</v>
      </c>
      <c r="AK2103">
        <v>0</v>
      </c>
      <c r="AL2103">
        <v>0</v>
      </c>
      <c r="AM2103">
        <v>0</v>
      </c>
      <c r="AN2103">
        <v>0</v>
      </c>
      <c r="AO2103">
        <v>1</v>
      </c>
      <c r="AP2103">
        <v>0</v>
      </c>
      <c r="AQ2103">
        <v>0</v>
      </c>
      <c r="AR2103">
        <v>0</v>
      </c>
      <c r="AS2103">
        <v>0</v>
      </c>
      <c r="AT2103">
        <v>0</v>
      </c>
      <c r="AU2103">
        <f t="shared" si="64"/>
        <v>1</v>
      </c>
      <c r="AV2103">
        <f t="shared" si="65"/>
        <v>0</v>
      </c>
    </row>
    <row r="2104" spans="1:48" x14ac:dyDescent="0.25">
      <c r="A2104" t="s">
        <v>7665</v>
      </c>
      <c r="C2104" t="s">
        <v>7666</v>
      </c>
      <c r="D2104" t="s">
        <v>7667</v>
      </c>
      <c r="E2104" t="s">
        <v>2310</v>
      </c>
      <c r="F2104">
        <v>10</v>
      </c>
      <c r="G2104">
        <v>10.1</v>
      </c>
      <c r="H2104" t="s">
        <v>2323</v>
      </c>
      <c r="I2104" s="21">
        <v>39037</v>
      </c>
      <c r="J2104">
        <v>2006</v>
      </c>
      <c r="K2104" s="21">
        <v>39113</v>
      </c>
      <c r="L2104">
        <v>2007</v>
      </c>
      <c r="M2104" s="21">
        <v>39646</v>
      </c>
      <c r="N2104">
        <v>2008</v>
      </c>
      <c r="R2104" s="262">
        <v>65000</v>
      </c>
      <c r="S2104" t="s">
        <v>114</v>
      </c>
      <c r="T2104" t="s">
        <v>114</v>
      </c>
      <c r="U2104">
        <v>5</v>
      </c>
      <c r="W2104">
        <v>1453</v>
      </c>
      <c r="X2104">
        <v>1</v>
      </c>
      <c r="Y2104">
        <v>0</v>
      </c>
      <c r="Z2104">
        <v>0</v>
      </c>
      <c r="AA2104">
        <v>0</v>
      </c>
      <c r="AB2104">
        <v>0</v>
      </c>
      <c r="AC2104">
        <v>1453</v>
      </c>
      <c r="AD2104">
        <v>0</v>
      </c>
      <c r="AE2104">
        <v>0</v>
      </c>
      <c r="AF2104">
        <v>0</v>
      </c>
      <c r="AG2104">
        <v>0</v>
      </c>
      <c r="AH2104">
        <v>0</v>
      </c>
      <c r="AI2104">
        <v>0</v>
      </c>
      <c r="AJ2104">
        <v>0</v>
      </c>
      <c r="AK2104">
        <v>0</v>
      </c>
      <c r="AL2104">
        <v>0</v>
      </c>
      <c r="AM2104">
        <v>0</v>
      </c>
      <c r="AN2104">
        <v>0</v>
      </c>
      <c r="AO2104">
        <v>1</v>
      </c>
      <c r="AP2104">
        <v>0</v>
      </c>
      <c r="AQ2104">
        <v>0</v>
      </c>
      <c r="AR2104">
        <v>0</v>
      </c>
      <c r="AS2104">
        <v>0</v>
      </c>
      <c r="AT2104">
        <v>0</v>
      </c>
      <c r="AU2104">
        <f t="shared" si="64"/>
        <v>1</v>
      </c>
      <c r="AV2104">
        <f t="shared" si="65"/>
        <v>0</v>
      </c>
    </row>
    <row r="2105" spans="1:48" x14ac:dyDescent="0.25">
      <c r="A2105" t="s">
        <v>7668</v>
      </c>
      <c r="C2105" t="s">
        <v>7669</v>
      </c>
      <c r="D2105" t="s">
        <v>7670</v>
      </c>
      <c r="E2105" t="s">
        <v>2310</v>
      </c>
      <c r="F2105">
        <v>12</v>
      </c>
      <c r="G2105">
        <v>12.3</v>
      </c>
      <c r="H2105" t="s">
        <v>2017</v>
      </c>
      <c r="I2105" s="21">
        <v>39038</v>
      </c>
      <c r="J2105">
        <v>2006</v>
      </c>
      <c r="K2105" s="21">
        <v>39128</v>
      </c>
      <c r="L2105">
        <v>2007</v>
      </c>
      <c r="M2105" s="21">
        <v>39651</v>
      </c>
      <c r="N2105">
        <v>2008</v>
      </c>
      <c r="R2105" s="262">
        <v>1000000</v>
      </c>
      <c r="S2105" t="s">
        <v>114</v>
      </c>
      <c r="T2105" t="s">
        <v>114</v>
      </c>
      <c r="U2105">
        <v>5</v>
      </c>
      <c r="W2105">
        <v>4998</v>
      </c>
      <c r="X2105">
        <v>1</v>
      </c>
      <c r="Y2105">
        <v>0</v>
      </c>
      <c r="Z2105">
        <v>0</v>
      </c>
      <c r="AA2105">
        <v>0</v>
      </c>
      <c r="AB2105">
        <v>0</v>
      </c>
      <c r="AC2105">
        <v>4998</v>
      </c>
      <c r="AD2105">
        <v>0</v>
      </c>
      <c r="AE2105">
        <v>0</v>
      </c>
      <c r="AF2105">
        <v>0</v>
      </c>
      <c r="AG2105">
        <v>0</v>
      </c>
      <c r="AH2105">
        <v>0</v>
      </c>
      <c r="AI2105">
        <v>0</v>
      </c>
      <c r="AJ2105">
        <v>0</v>
      </c>
      <c r="AK2105">
        <v>0</v>
      </c>
      <c r="AL2105">
        <v>0</v>
      </c>
      <c r="AM2105">
        <v>0</v>
      </c>
      <c r="AN2105">
        <v>0</v>
      </c>
      <c r="AO2105">
        <v>1</v>
      </c>
      <c r="AP2105">
        <v>0</v>
      </c>
      <c r="AQ2105">
        <v>0</v>
      </c>
      <c r="AR2105">
        <v>0</v>
      </c>
      <c r="AS2105">
        <v>0</v>
      </c>
      <c r="AT2105">
        <v>0</v>
      </c>
      <c r="AU2105">
        <f t="shared" si="64"/>
        <v>1</v>
      </c>
      <c r="AV2105">
        <f t="shared" si="65"/>
        <v>0</v>
      </c>
    </row>
    <row r="2106" spans="1:48" x14ac:dyDescent="0.25">
      <c r="A2106" t="s">
        <v>7671</v>
      </c>
      <c r="C2106" t="s">
        <v>7672</v>
      </c>
      <c r="D2106" t="s">
        <v>7670</v>
      </c>
      <c r="E2106" t="s">
        <v>2310</v>
      </c>
      <c r="F2106">
        <v>12</v>
      </c>
      <c r="G2106">
        <v>12.3</v>
      </c>
      <c r="H2106" t="s">
        <v>2017</v>
      </c>
      <c r="I2106" s="21">
        <v>39038</v>
      </c>
      <c r="J2106">
        <v>2006</v>
      </c>
      <c r="K2106" s="21">
        <v>39128</v>
      </c>
      <c r="L2106">
        <v>2007</v>
      </c>
      <c r="M2106" s="21">
        <v>39651</v>
      </c>
      <c r="N2106">
        <v>2008</v>
      </c>
      <c r="R2106" s="262">
        <v>350000</v>
      </c>
      <c r="S2106" t="s">
        <v>114</v>
      </c>
      <c r="T2106" t="s">
        <v>114</v>
      </c>
      <c r="U2106">
        <v>8</v>
      </c>
      <c r="W2106">
        <v>2584</v>
      </c>
      <c r="X2106">
        <v>1</v>
      </c>
      <c r="Y2106">
        <v>0</v>
      </c>
      <c r="Z2106">
        <v>0</v>
      </c>
      <c r="AA2106">
        <v>0</v>
      </c>
      <c r="AB2106">
        <v>0</v>
      </c>
      <c r="AC2106">
        <v>1584</v>
      </c>
      <c r="AD2106">
        <v>0</v>
      </c>
      <c r="AE2106">
        <v>0</v>
      </c>
      <c r="AF2106">
        <v>1000</v>
      </c>
      <c r="AG2106">
        <v>0</v>
      </c>
      <c r="AH2106">
        <v>0</v>
      </c>
      <c r="AI2106">
        <v>0</v>
      </c>
      <c r="AJ2106">
        <v>0</v>
      </c>
      <c r="AK2106">
        <v>0</v>
      </c>
      <c r="AL2106">
        <v>0</v>
      </c>
      <c r="AM2106">
        <v>0</v>
      </c>
      <c r="AN2106">
        <v>0</v>
      </c>
      <c r="AO2106">
        <v>0</v>
      </c>
      <c r="AP2106">
        <v>0</v>
      </c>
      <c r="AQ2106">
        <v>0</v>
      </c>
      <c r="AR2106">
        <v>1</v>
      </c>
      <c r="AS2106">
        <v>0</v>
      </c>
      <c r="AT2106">
        <v>0</v>
      </c>
      <c r="AU2106">
        <f t="shared" si="64"/>
        <v>0</v>
      </c>
      <c r="AV2106">
        <f t="shared" si="65"/>
        <v>0</v>
      </c>
    </row>
    <row r="2107" spans="1:48" x14ac:dyDescent="0.25">
      <c r="A2107" t="s">
        <v>7673</v>
      </c>
      <c r="C2107" t="s">
        <v>7674</v>
      </c>
      <c r="D2107" t="s">
        <v>7675</v>
      </c>
      <c r="E2107" t="s">
        <v>2310</v>
      </c>
      <c r="F2107">
        <v>14</v>
      </c>
      <c r="G2107">
        <v>14.1</v>
      </c>
      <c r="H2107" t="s">
        <v>2022</v>
      </c>
      <c r="I2107" s="21">
        <v>39042</v>
      </c>
      <c r="J2107">
        <v>2006</v>
      </c>
      <c r="K2107" s="21">
        <v>39142</v>
      </c>
      <c r="L2107">
        <v>2007</v>
      </c>
      <c r="M2107" s="21">
        <v>41061.656435185199</v>
      </c>
      <c r="N2107">
        <v>2012</v>
      </c>
      <c r="R2107" s="262">
        <v>131000</v>
      </c>
      <c r="S2107" t="s">
        <v>114</v>
      </c>
      <c r="T2107" t="s">
        <v>114</v>
      </c>
      <c r="U2107">
        <v>8</v>
      </c>
      <c r="W2107">
        <v>2046</v>
      </c>
      <c r="X2107">
        <v>1</v>
      </c>
      <c r="Y2107">
        <v>0</v>
      </c>
      <c r="Z2107">
        <v>0</v>
      </c>
      <c r="AA2107">
        <v>0</v>
      </c>
      <c r="AB2107">
        <v>0</v>
      </c>
      <c r="AC2107">
        <v>1152</v>
      </c>
      <c r="AD2107">
        <v>0</v>
      </c>
      <c r="AE2107">
        <v>0</v>
      </c>
      <c r="AF2107">
        <v>894</v>
      </c>
      <c r="AG2107">
        <v>0</v>
      </c>
      <c r="AH2107">
        <v>0</v>
      </c>
      <c r="AI2107">
        <v>0</v>
      </c>
      <c r="AJ2107">
        <v>0</v>
      </c>
      <c r="AK2107">
        <v>0</v>
      </c>
      <c r="AL2107">
        <v>0</v>
      </c>
      <c r="AM2107">
        <v>0</v>
      </c>
      <c r="AN2107">
        <v>0</v>
      </c>
      <c r="AO2107">
        <v>0</v>
      </c>
      <c r="AP2107">
        <v>0</v>
      </c>
      <c r="AQ2107">
        <v>0</v>
      </c>
      <c r="AR2107">
        <v>1</v>
      </c>
      <c r="AS2107">
        <v>0</v>
      </c>
      <c r="AT2107">
        <v>0</v>
      </c>
      <c r="AU2107">
        <f t="shared" si="64"/>
        <v>0</v>
      </c>
      <c r="AV2107">
        <f t="shared" si="65"/>
        <v>0</v>
      </c>
    </row>
    <row r="2108" spans="1:48" x14ac:dyDescent="0.25">
      <c r="A2108" t="s">
        <v>7676</v>
      </c>
      <c r="C2108" t="s">
        <v>7677</v>
      </c>
      <c r="D2108" t="s">
        <v>7421</v>
      </c>
      <c r="E2108" t="s">
        <v>2310</v>
      </c>
      <c r="F2108">
        <v>9</v>
      </c>
      <c r="G2108">
        <v>9.3000000000000007</v>
      </c>
      <c r="H2108" t="s">
        <v>2323</v>
      </c>
      <c r="I2108" s="21">
        <v>39052</v>
      </c>
      <c r="J2108">
        <v>2006</v>
      </c>
      <c r="R2108" s="262">
        <v>0</v>
      </c>
      <c r="S2108" t="s">
        <v>114</v>
      </c>
      <c r="T2108" t="s">
        <v>114</v>
      </c>
      <c r="U2108">
        <v>5</v>
      </c>
      <c r="W2108">
        <v>0</v>
      </c>
      <c r="X2108">
        <v>0</v>
      </c>
      <c r="Y2108">
        <v>0</v>
      </c>
      <c r="Z2108">
        <v>0</v>
      </c>
      <c r="AA2108">
        <v>0</v>
      </c>
      <c r="AB2108">
        <v>0</v>
      </c>
      <c r="AC2108">
        <v>0</v>
      </c>
      <c r="AD2108">
        <v>0</v>
      </c>
      <c r="AE2108">
        <v>0</v>
      </c>
      <c r="AF2108">
        <v>0</v>
      </c>
      <c r="AG2108">
        <v>0</v>
      </c>
      <c r="AH2108">
        <v>0</v>
      </c>
      <c r="AI2108">
        <v>0</v>
      </c>
      <c r="AJ2108">
        <v>0</v>
      </c>
      <c r="AK2108">
        <v>0</v>
      </c>
      <c r="AL2108">
        <v>0</v>
      </c>
      <c r="AM2108">
        <v>0</v>
      </c>
      <c r="AN2108">
        <v>0</v>
      </c>
      <c r="AO2108">
        <v>0</v>
      </c>
      <c r="AP2108">
        <v>0</v>
      </c>
      <c r="AQ2108">
        <v>0</v>
      </c>
      <c r="AR2108">
        <v>0</v>
      </c>
      <c r="AS2108">
        <v>0</v>
      </c>
      <c r="AT2108">
        <v>0</v>
      </c>
      <c r="AU2108">
        <f t="shared" si="64"/>
        <v>0</v>
      </c>
      <c r="AV2108">
        <f t="shared" si="65"/>
        <v>0</v>
      </c>
    </row>
    <row r="2109" spans="1:48" x14ac:dyDescent="0.25">
      <c r="A2109" t="s">
        <v>7678</v>
      </c>
      <c r="C2109" t="s">
        <v>7679</v>
      </c>
      <c r="D2109" t="s">
        <v>7680</v>
      </c>
      <c r="E2109" t="s">
        <v>2310</v>
      </c>
      <c r="F2109">
        <v>9</v>
      </c>
      <c r="G2109">
        <v>9.3000000000000007</v>
      </c>
      <c r="H2109" t="s">
        <v>2323</v>
      </c>
      <c r="I2109" s="21">
        <v>39052</v>
      </c>
      <c r="J2109">
        <v>2006</v>
      </c>
      <c r="K2109" s="21">
        <v>39090</v>
      </c>
      <c r="L2109">
        <v>2007</v>
      </c>
      <c r="M2109" s="21">
        <v>39682</v>
      </c>
      <c r="N2109">
        <v>2008</v>
      </c>
      <c r="R2109" s="262">
        <v>1500000</v>
      </c>
      <c r="S2109" t="s">
        <v>114</v>
      </c>
      <c r="T2109" t="s">
        <v>114</v>
      </c>
      <c r="U2109">
        <v>5</v>
      </c>
      <c r="W2109">
        <v>4882</v>
      </c>
      <c r="X2109">
        <v>1</v>
      </c>
      <c r="Y2109">
        <v>0</v>
      </c>
      <c r="Z2109">
        <v>0</v>
      </c>
      <c r="AA2109">
        <v>0</v>
      </c>
      <c r="AB2109">
        <v>0</v>
      </c>
      <c r="AC2109">
        <v>4882</v>
      </c>
      <c r="AD2109">
        <v>0</v>
      </c>
      <c r="AE2109">
        <v>0</v>
      </c>
      <c r="AF2109">
        <v>0</v>
      </c>
      <c r="AG2109">
        <v>0</v>
      </c>
      <c r="AH2109">
        <v>0</v>
      </c>
      <c r="AI2109">
        <v>0</v>
      </c>
      <c r="AJ2109">
        <v>0</v>
      </c>
      <c r="AK2109">
        <v>0</v>
      </c>
      <c r="AL2109">
        <v>0</v>
      </c>
      <c r="AM2109">
        <v>0</v>
      </c>
      <c r="AN2109">
        <v>0</v>
      </c>
      <c r="AO2109">
        <v>1</v>
      </c>
      <c r="AP2109">
        <v>0</v>
      </c>
      <c r="AQ2109">
        <v>0</v>
      </c>
      <c r="AR2109">
        <v>0</v>
      </c>
      <c r="AS2109">
        <v>0</v>
      </c>
      <c r="AT2109">
        <v>0</v>
      </c>
      <c r="AU2109">
        <f t="shared" si="64"/>
        <v>1</v>
      </c>
      <c r="AV2109">
        <f t="shared" si="65"/>
        <v>0</v>
      </c>
    </row>
    <row r="2110" spans="1:48" x14ac:dyDescent="0.25">
      <c r="A2110" t="s">
        <v>7683</v>
      </c>
      <c r="C2110" t="s">
        <v>2538</v>
      </c>
      <c r="D2110" t="s">
        <v>7684</v>
      </c>
      <c r="E2110" t="s">
        <v>2310</v>
      </c>
      <c r="F2110">
        <v>9</v>
      </c>
      <c r="G2110">
        <v>9.1999999999999993</v>
      </c>
      <c r="H2110" t="s">
        <v>2022</v>
      </c>
      <c r="I2110" s="21">
        <v>39063</v>
      </c>
      <c r="J2110">
        <v>2006</v>
      </c>
      <c r="K2110" s="21">
        <v>39114</v>
      </c>
      <c r="L2110">
        <v>2007</v>
      </c>
      <c r="M2110" s="21">
        <v>39114</v>
      </c>
      <c r="N2110">
        <v>2007</v>
      </c>
      <c r="R2110" s="262">
        <v>300000</v>
      </c>
      <c r="S2110" t="s">
        <v>114</v>
      </c>
      <c r="T2110" t="s">
        <v>114</v>
      </c>
      <c r="U2110">
        <v>5</v>
      </c>
      <c r="W2110">
        <v>-43</v>
      </c>
      <c r="X2110">
        <v>0</v>
      </c>
      <c r="Y2110">
        <v>0</v>
      </c>
      <c r="Z2110">
        <v>0</v>
      </c>
      <c r="AA2110">
        <v>0</v>
      </c>
      <c r="AB2110">
        <v>0</v>
      </c>
      <c r="AC2110">
        <v>-43</v>
      </c>
      <c r="AD2110">
        <v>0</v>
      </c>
      <c r="AE2110">
        <v>0</v>
      </c>
      <c r="AF2110">
        <v>0</v>
      </c>
      <c r="AG2110">
        <v>0</v>
      </c>
      <c r="AH2110">
        <v>0</v>
      </c>
      <c r="AI2110">
        <v>0</v>
      </c>
      <c r="AJ2110">
        <v>0</v>
      </c>
      <c r="AK2110">
        <v>0</v>
      </c>
      <c r="AL2110">
        <v>0</v>
      </c>
      <c r="AM2110">
        <v>0</v>
      </c>
      <c r="AN2110">
        <v>0</v>
      </c>
      <c r="AO2110">
        <v>0</v>
      </c>
      <c r="AP2110">
        <v>0</v>
      </c>
      <c r="AQ2110">
        <v>0</v>
      </c>
      <c r="AR2110">
        <v>0</v>
      </c>
      <c r="AS2110">
        <v>0</v>
      </c>
      <c r="AT2110">
        <v>0</v>
      </c>
      <c r="AU2110">
        <f t="shared" si="64"/>
        <v>0</v>
      </c>
      <c r="AV2110">
        <f t="shared" si="65"/>
        <v>0</v>
      </c>
    </row>
    <row r="2111" spans="1:48" x14ac:dyDescent="0.25">
      <c r="A2111" t="s">
        <v>7681</v>
      </c>
      <c r="C2111" t="s">
        <v>7682</v>
      </c>
      <c r="D2111" t="s">
        <v>3902</v>
      </c>
      <c r="E2111" t="s">
        <v>1663</v>
      </c>
      <c r="F2111">
        <v>1</v>
      </c>
      <c r="G2111">
        <v>1.2</v>
      </c>
      <c r="H2111" t="s">
        <v>2017</v>
      </c>
      <c r="I2111" s="21">
        <v>39063</v>
      </c>
      <c r="J2111">
        <v>2006</v>
      </c>
      <c r="K2111" s="21">
        <v>39094</v>
      </c>
      <c r="L2111">
        <v>2007</v>
      </c>
      <c r="M2111" s="21">
        <v>39245</v>
      </c>
      <c r="N2111">
        <v>2007</v>
      </c>
      <c r="Q2111" s="262">
        <v>75000</v>
      </c>
      <c r="S2111" t="s">
        <v>114</v>
      </c>
      <c r="T2111" t="s">
        <v>114</v>
      </c>
      <c r="W2111">
        <v>360</v>
      </c>
      <c r="X2111">
        <v>0</v>
      </c>
      <c r="Y2111">
        <v>0</v>
      </c>
      <c r="Z2111">
        <v>0</v>
      </c>
      <c r="AA2111">
        <v>0</v>
      </c>
      <c r="AB2111">
        <v>0</v>
      </c>
      <c r="AC2111">
        <v>0</v>
      </c>
      <c r="AD2111">
        <v>0</v>
      </c>
      <c r="AE2111">
        <v>0</v>
      </c>
      <c r="AF2111">
        <v>0</v>
      </c>
      <c r="AG2111">
        <v>0</v>
      </c>
      <c r="AH2111">
        <v>360</v>
      </c>
      <c r="AI2111">
        <v>0</v>
      </c>
      <c r="AJ2111">
        <v>0</v>
      </c>
      <c r="AK2111">
        <v>0</v>
      </c>
      <c r="AL2111">
        <v>0</v>
      </c>
      <c r="AM2111">
        <v>0</v>
      </c>
      <c r="AN2111">
        <v>0</v>
      </c>
      <c r="AO2111">
        <v>0</v>
      </c>
      <c r="AP2111">
        <v>0</v>
      </c>
      <c r="AQ2111">
        <v>0</v>
      </c>
      <c r="AR2111">
        <v>0</v>
      </c>
      <c r="AS2111">
        <v>0</v>
      </c>
      <c r="AT2111">
        <v>0</v>
      </c>
      <c r="AU2111">
        <f t="shared" si="64"/>
        <v>0</v>
      </c>
      <c r="AV2111">
        <f t="shared" si="65"/>
        <v>360</v>
      </c>
    </row>
    <row r="2112" spans="1:48" x14ac:dyDescent="0.25">
      <c r="A2112" t="s">
        <v>7685</v>
      </c>
      <c r="C2112" t="s">
        <v>7686</v>
      </c>
      <c r="D2112" t="s">
        <v>6531</v>
      </c>
      <c r="E2112" t="s">
        <v>2310</v>
      </c>
      <c r="F2112">
        <v>9</v>
      </c>
      <c r="G2112">
        <v>9.3000000000000007</v>
      </c>
      <c r="H2112" t="s">
        <v>2323</v>
      </c>
      <c r="I2112" s="21">
        <v>39064</v>
      </c>
      <c r="J2112">
        <v>2006</v>
      </c>
      <c r="K2112" s="21">
        <v>39147</v>
      </c>
      <c r="L2112">
        <v>2007</v>
      </c>
      <c r="M2112" s="21">
        <v>40184.6620833333</v>
      </c>
      <c r="N2112">
        <v>2010</v>
      </c>
      <c r="R2112" s="262">
        <v>1800000</v>
      </c>
      <c r="S2112" t="s">
        <v>114</v>
      </c>
      <c r="T2112" t="s">
        <v>114</v>
      </c>
      <c r="U2112">
        <v>5</v>
      </c>
      <c r="W2112">
        <v>7703</v>
      </c>
      <c r="X2112">
        <v>1</v>
      </c>
      <c r="Y2112">
        <v>0</v>
      </c>
      <c r="Z2112">
        <v>0</v>
      </c>
      <c r="AA2112">
        <v>0</v>
      </c>
      <c r="AB2112">
        <v>0</v>
      </c>
      <c r="AC2112">
        <v>7703</v>
      </c>
      <c r="AD2112">
        <v>0</v>
      </c>
      <c r="AE2112">
        <v>0</v>
      </c>
      <c r="AF2112">
        <v>0</v>
      </c>
      <c r="AG2112">
        <v>0</v>
      </c>
      <c r="AH2112">
        <v>0</v>
      </c>
      <c r="AI2112">
        <v>0</v>
      </c>
      <c r="AJ2112">
        <v>0</v>
      </c>
      <c r="AK2112">
        <v>0</v>
      </c>
      <c r="AL2112">
        <v>0</v>
      </c>
      <c r="AM2112">
        <v>0</v>
      </c>
      <c r="AN2112">
        <v>0</v>
      </c>
      <c r="AO2112">
        <v>1</v>
      </c>
      <c r="AP2112">
        <v>0</v>
      </c>
      <c r="AQ2112">
        <v>0</v>
      </c>
      <c r="AR2112">
        <v>0</v>
      </c>
      <c r="AS2112">
        <v>0</v>
      </c>
      <c r="AT2112">
        <v>0</v>
      </c>
      <c r="AU2112">
        <f t="shared" si="64"/>
        <v>1</v>
      </c>
      <c r="AV2112">
        <f t="shared" si="65"/>
        <v>0</v>
      </c>
    </row>
    <row r="2113" spans="1:48" x14ac:dyDescent="0.25">
      <c r="A2113" t="s">
        <v>7687</v>
      </c>
      <c r="C2113" t="s">
        <v>7688</v>
      </c>
      <c r="D2113" t="s">
        <v>7689</v>
      </c>
      <c r="E2113" t="s">
        <v>2310</v>
      </c>
      <c r="F2113">
        <v>8</v>
      </c>
      <c r="G2113">
        <v>8.1</v>
      </c>
      <c r="H2113" t="s">
        <v>2323</v>
      </c>
      <c r="I2113" s="21">
        <v>39065</v>
      </c>
      <c r="J2113">
        <v>2006</v>
      </c>
      <c r="K2113" s="21">
        <v>39104</v>
      </c>
      <c r="L2113">
        <v>2007</v>
      </c>
      <c r="M2113" s="21">
        <v>39478</v>
      </c>
      <c r="N2113">
        <v>2008</v>
      </c>
      <c r="R2113" s="262">
        <v>300000</v>
      </c>
      <c r="S2113" t="s">
        <v>114</v>
      </c>
      <c r="T2113" t="s">
        <v>114</v>
      </c>
      <c r="U2113">
        <v>5</v>
      </c>
      <c r="W2113">
        <v>1337</v>
      </c>
      <c r="X2113">
        <v>0</v>
      </c>
      <c r="Y2113">
        <v>0</v>
      </c>
      <c r="Z2113">
        <v>0</v>
      </c>
      <c r="AA2113">
        <v>0</v>
      </c>
      <c r="AB2113">
        <v>0</v>
      </c>
      <c r="AC2113">
        <v>1337</v>
      </c>
      <c r="AD2113">
        <v>0</v>
      </c>
      <c r="AE2113">
        <v>0</v>
      </c>
      <c r="AF2113">
        <v>0</v>
      </c>
      <c r="AG2113">
        <v>0</v>
      </c>
      <c r="AH2113">
        <v>0</v>
      </c>
      <c r="AI2113">
        <v>0</v>
      </c>
      <c r="AJ2113">
        <v>0</v>
      </c>
      <c r="AK2113">
        <v>0</v>
      </c>
      <c r="AL2113">
        <v>0</v>
      </c>
      <c r="AM2113">
        <v>0</v>
      </c>
      <c r="AN2113">
        <v>0</v>
      </c>
      <c r="AO2113">
        <v>0</v>
      </c>
      <c r="AP2113">
        <v>0</v>
      </c>
      <c r="AQ2113">
        <v>0</v>
      </c>
      <c r="AR2113">
        <v>0</v>
      </c>
      <c r="AS2113">
        <v>0</v>
      </c>
      <c r="AT2113">
        <v>0</v>
      </c>
      <c r="AU2113">
        <f t="shared" si="64"/>
        <v>0</v>
      </c>
      <c r="AV2113">
        <f t="shared" si="65"/>
        <v>0</v>
      </c>
    </row>
    <row r="2114" spans="1:48" x14ac:dyDescent="0.25">
      <c r="A2114" t="s">
        <v>7690</v>
      </c>
      <c r="C2114" t="s">
        <v>7691</v>
      </c>
      <c r="D2114" t="s">
        <v>5802</v>
      </c>
      <c r="E2114" t="s">
        <v>2310</v>
      </c>
      <c r="F2114">
        <v>13</v>
      </c>
      <c r="G2114">
        <v>13.1</v>
      </c>
      <c r="H2114" t="s">
        <v>2327</v>
      </c>
      <c r="I2114" s="21">
        <v>39072</v>
      </c>
      <c r="J2114">
        <v>2006</v>
      </c>
      <c r="R2114" s="262">
        <v>50000</v>
      </c>
      <c r="S2114" t="s">
        <v>114</v>
      </c>
      <c r="T2114" t="s">
        <v>114</v>
      </c>
      <c r="U2114">
        <v>10</v>
      </c>
      <c r="W2114">
        <v>0</v>
      </c>
      <c r="X2114">
        <v>0</v>
      </c>
      <c r="Y2114">
        <v>0</v>
      </c>
      <c r="Z2114">
        <v>0</v>
      </c>
      <c r="AA2114">
        <v>0</v>
      </c>
      <c r="AB2114">
        <v>0</v>
      </c>
      <c r="AC2114">
        <v>0</v>
      </c>
      <c r="AD2114">
        <v>0</v>
      </c>
      <c r="AE2114">
        <v>0</v>
      </c>
      <c r="AF2114">
        <v>0</v>
      </c>
      <c r="AG2114">
        <v>0</v>
      </c>
      <c r="AH2114">
        <v>0</v>
      </c>
      <c r="AI2114">
        <v>0</v>
      </c>
      <c r="AJ2114">
        <v>0</v>
      </c>
      <c r="AK2114">
        <v>0</v>
      </c>
      <c r="AL2114">
        <v>0</v>
      </c>
      <c r="AM2114">
        <v>0</v>
      </c>
      <c r="AN2114">
        <v>0</v>
      </c>
      <c r="AO2114">
        <v>0</v>
      </c>
      <c r="AP2114">
        <v>0</v>
      </c>
      <c r="AQ2114">
        <v>0</v>
      </c>
      <c r="AR2114">
        <v>0</v>
      </c>
      <c r="AS2114">
        <v>0</v>
      </c>
      <c r="AT2114">
        <v>0</v>
      </c>
      <c r="AU2114">
        <f t="shared" si="64"/>
        <v>0</v>
      </c>
      <c r="AV2114">
        <f t="shared" si="65"/>
        <v>0</v>
      </c>
    </row>
    <row r="2115" spans="1:48" x14ac:dyDescent="0.25">
      <c r="A2115" t="s">
        <v>7692</v>
      </c>
      <c r="C2115" t="s">
        <v>7693</v>
      </c>
      <c r="D2115" t="s">
        <v>7694</v>
      </c>
      <c r="E2115" t="s">
        <v>1663</v>
      </c>
      <c r="F2115">
        <v>2</v>
      </c>
      <c r="G2115">
        <v>2.2999999999999998</v>
      </c>
      <c r="H2115" t="s">
        <v>2327</v>
      </c>
      <c r="I2115" s="21">
        <v>39073</v>
      </c>
      <c r="J2115">
        <v>2006</v>
      </c>
      <c r="K2115" s="21">
        <v>39104</v>
      </c>
      <c r="L2115">
        <v>2007</v>
      </c>
      <c r="M2115" s="21">
        <v>39255</v>
      </c>
      <c r="N2115">
        <v>2007</v>
      </c>
      <c r="Q2115" s="262">
        <v>250000</v>
      </c>
      <c r="S2115" t="s">
        <v>114</v>
      </c>
      <c r="T2115" t="s">
        <v>114</v>
      </c>
      <c r="W2115">
        <v>1858</v>
      </c>
      <c r="X2115">
        <v>0</v>
      </c>
      <c r="Y2115">
        <v>0</v>
      </c>
      <c r="Z2115">
        <v>0</v>
      </c>
      <c r="AA2115">
        <v>0</v>
      </c>
      <c r="AB2115">
        <v>0</v>
      </c>
      <c r="AC2115">
        <v>0</v>
      </c>
      <c r="AD2115">
        <v>0</v>
      </c>
      <c r="AE2115">
        <v>0</v>
      </c>
      <c r="AF2115">
        <v>0</v>
      </c>
      <c r="AG2115">
        <v>0</v>
      </c>
      <c r="AH2115">
        <v>1858</v>
      </c>
      <c r="AI2115">
        <v>0</v>
      </c>
      <c r="AJ2115">
        <v>0</v>
      </c>
      <c r="AK2115">
        <v>0</v>
      </c>
      <c r="AL2115">
        <v>0</v>
      </c>
      <c r="AM2115">
        <v>0</v>
      </c>
      <c r="AN2115">
        <v>0</v>
      </c>
      <c r="AO2115">
        <v>0</v>
      </c>
      <c r="AP2115">
        <v>0</v>
      </c>
      <c r="AQ2115">
        <v>0</v>
      </c>
      <c r="AR2115">
        <v>0</v>
      </c>
      <c r="AS2115">
        <v>0</v>
      </c>
      <c r="AT2115">
        <v>0</v>
      </c>
      <c r="AU2115">
        <f t="shared" si="64"/>
        <v>0</v>
      </c>
      <c r="AV2115">
        <f t="shared" si="65"/>
        <v>1858</v>
      </c>
    </row>
    <row r="2116" spans="1:48" x14ac:dyDescent="0.25">
      <c r="A2116" t="s">
        <v>7695</v>
      </c>
      <c r="C2116" t="s">
        <v>7696</v>
      </c>
      <c r="D2116" t="s">
        <v>6933</v>
      </c>
      <c r="E2116" t="s">
        <v>2310</v>
      </c>
      <c r="F2116">
        <v>9</v>
      </c>
      <c r="G2116">
        <v>9.3000000000000007</v>
      </c>
      <c r="H2116" t="s">
        <v>2323</v>
      </c>
      <c r="I2116" s="21">
        <v>39077</v>
      </c>
      <c r="J2116">
        <v>2006</v>
      </c>
      <c r="K2116" s="21">
        <v>39112</v>
      </c>
      <c r="L2116">
        <v>2007</v>
      </c>
      <c r="M2116" s="21">
        <v>39112</v>
      </c>
      <c r="N2116">
        <v>2007</v>
      </c>
      <c r="R2116" s="262">
        <v>20000</v>
      </c>
      <c r="S2116" t="s">
        <v>114</v>
      </c>
      <c r="T2116" t="s">
        <v>114</v>
      </c>
      <c r="U2116">
        <v>5</v>
      </c>
      <c r="W2116">
        <v>200</v>
      </c>
      <c r="X2116">
        <v>0</v>
      </c>
      <c r="Y2116">
        <v>0</v>
      </c>
      <c r="Z2116">
        <v>0</v>
      </c>
      <c r="AA2116">
        <v>0</v>
      </c>
      <c r="AB2116">
        <v>0</v>
      </c>
      <c r="AC2116">
        <v>200</v>
      </c>
      <c r="AD2116">
        <v>0</v>
      </c>
      <c r="AE2116">
        <v>0</v>
      </c>
      <c r="AF2116">
        <v>0</v>
      </c>
      <c r="AG2116">
        <v>0</v>
      </c>
      <c r="AH2116">
        <v>0</v>
      </c>
      <c r="AI2116">
        <v>0</v>
      </c>
      <c r="AJ2116">
        <v>0</v>
      </c>
      <c r="AK2116">
        <v>0</v>
      </c>
      <c r="AL2116">
        <v>0</v>
      </c>
      <c r="AM2116">
        <v>0</v>
      </c>
      <c r="AN2116">
        <v>0</v>
      </c>
      <c r="AO2116">
        <v>0</v>
      </c>
      <c r="AP2116">
        <v>0</v>
      </c>
      <c r="AQ2116">
        <v>0</v>
      </c>
      <c r="AR2116">
        <v>0</v>
      </c>
      <c r="AS2116">
        <v>0</v>
      </c>
      <c r="AT2116">
        <v>0</v>
      </c>
      <c r="AU2116">
        <f t="shared" si="64"/>
        <v>0</v>
      </c>
      <c r="AV2116">
        <f t="shared" si="65"/>
        <v>0</v>
      </c>
    </row>
    <row r="2117" spans="1:48" x14ac:dyDescent="0.25">
      <c r="A2117" t="s">
        <v>7701</v>
      </c>
      <c r="C2117" t="s">
        <v>7702</v>
      </c>
      <c r="D2117" t="s">
        <v>7703</v>
      </c>
      <c r="E2117" t="s">
        <v>2310</v>
      </c>
      <c r="F2117">
        <v>9</v>
      </c>
      <c r="G2117">
        <v>9.3000000000000007</v>
      </c>
      <c r="H2117" t="s">
        <v>2323</v>
      </c>
      <c r="I2117" s="21">
        <v>39094</v>
      </c>
      <c r="J2117">
        <v>2007</v>
      </c>
      <c r="K2117" s="21">
        <v>39114</v>
      </c>
      <c r="L2117">
        <v>2007</v>
      </c>
      <c r="M2117" s="21">
        <v>39161</v>
      </c>
      <c r="N2117">
        <v>2007</v>
      </c>
      <c r="R2117" s="262">
        <v>10000</v>
      </c>
      <c r="S2117" t="s">
        <v>114</v>
      </c>
      <c r="T2117" t="s">
        <v>114</v>
      </c>
      <c r="U2117">
        <v>5</v>
      </c>
      <c r="W2117">
        <v>0</v>
      </c>
      <c r="X2117">
        <v>0</v>
      </c>
      <c r="Y2117">
        <v>0</v>
      </c>
      <c r="Z2117">
        <v>0</v>
      </c>
      <c r="AA2117">
        <v>0</v>
      </c>
      <c r="AB2117">
        <v>0</v>
      </c>
      <c r="AC2117">
        <v>0</v>
      </c>
      <c r="AD2117">
        <v>0</v>
      </c>
      <c r="AE2117">
        <v>0</v>
      </c>
      <c r="AF2117">
        <v>0</v>
      </c>
      <c r="AG2117">
        <v>0</v>
      </c>
      <c r="AH2117">
        <v>0</v>
      </c>
      <c r="AI2117">
        <v>0</v>
      </c>
      <c r="AJ2117">
        <v>0</v>
      </c>
      <c r="AK2117">
        <v>0</v>
      </c>
      <c r="AL2117">
        <v>0</v>
      </c>
      <c r="AM2117">
        <v>0</v>
      </c>
      <c r="AN2117">
        <v>0</v>
      </c>
      <c r="AO2117">
        <v>0</v>
      </c>
      <c r="AP2117">
        <v>0</v>
      </c>
      <c r="AQ2117">
        <v>0</v>
      </c>
      <c r="AR2117">
        <v>0</v>
      </c>
      <c r="AS2117">
        <v>0</v>
      </c>
      <c r="AT2117">
        <v>0</v>
      </c>
      <c r="AU2117">
        <f t="shared" si="64"/>
        <v>0</v>
      </c>
      <c r="AV2117">
        <f t="shared" si="65"/>
        <v>0</v>
      </c>
    </row>
    <row r="2118" spans="1:48" x14ac:dyDescent="0.25">
      <c r="A2118" t="s">
        <v>7697</v>
      </c>
      <c r="C2118" t="s">
        <v>7698</v>
      </c>
      <c r="D2118" t="s">
        <v>3958</v>
      </c>
      <c r="E2118" t="s">
        <v>1663</v>
      </c>
      <c r="F2118">
        <v>5</v>
      </c>
      <c r="G2118">
        <v>5.5</v>
      </c>
      <c r="H2118" t="s">
        <v>2017</v>
      </c>
      <c r="I2118" s="21">
        <v>39094</v>
      </c>
      <c r="J2118">
        <v>2007</v>
      </c>
      <c r="K2118" s="21">
        <v>39125</v>
      </c>
      <c r="L2118">
        <v>2007</v>
      </c>
      <c r="M2118" s="21">
        <v>39275</v>
      </c>
      <c r="N2118">
        <v>2007</v>
      </c>
      <c r="Q2118" s="262">
        <v>0</v>
      </c>
      <c r="S2118" t="s">
        <v>114</v>
      </c>
      <c r="T2118" t="s">
        <v>114</v>
      </c>
      <c r="W2118">
        <v>15707</v>
      </c>
      <c r="X2118">
        <v>15</v>
      </c>
      <c r="Y2118">
        <v>0</v>
      </c>
      <c r="Z2118">
        <v>0</v>
      </c>
      <c r="AA2118">
        <v>0</v>
      </c>
      <c r="AB2118">
        <v>0</v>
      </c>
      <c r="AC2118">
        <v>0</v>
      </c>
      <c r="AD2118">
        <v>0</v>
      </c>
      <c r="AE2118">
        <v>15707</v>
      </c>
      <c r="AF2118">
        <v>0</v>
      </c>
      <c r="AG2118">
        <v>0</v>
      </c>
      <c r="AH2118">
        <v>0</v>
      </c>
      <c r="AI2118">
        <v>0</v>
      </c>
      <c r="AJ2118">
        <v>0</v>
      </c>
      <c r="AK2118">
        <v>0</v>
      </c>
      <c r="AL2118">
        <v>0</v>
      </c>
      <c r="AM2118">
        <v>0</v>
      </c>
      <c r="AN2118">
        <v>0</v>
      </c>
      <c r="AO2118">
        <v>0</v>
      </c>
      <c r="AP2118">
        <v>0</v>
      </c>
      <c r="AQ2118">
        <v>15</v>
      </c>
      <c r="AR2118">
        <v>0</v>
      </c>
      <c r="AS2118">
        <v>0</v>
      </c>
      <c r="AT2118">
        <v>0</v>
      </c>
      <c r="AU2118">
        <f t="shared" si="64"/>
        <v>15</v>
      </c>
      <c r="AV2118">
        <f t="shared" si="65"/>
        <v>0</v>
      </c>
    </row>
    <row r="2119" spans="1:48" x14ac:dyDescent="0.25">
      <c r="A2119" t="s">
        <v>7699</v>
      </c>
      <c r="C2119" t="s">
        <v>7700</v>
      </c>
      <c r="D2119" t="s">
        <v>3958</v>
      </c>
      <c r="E2119" t="s">
        <v>1663</v>
      </c>
      <c r="F2119">
        <v>5</v>
      </c>
      <c r="G2119">
        <v>5.5</v>
      </c>
      <c r="H2119" t="s">
        <v>2017</v>
      </c>
      <c r="I2119" s="21">
        <v>39094</v>
      </c>
      <c r="J2119">
        <v>2007</v>
      </c>
      <c r="K2119" s="21">
        <v>39125</v>
      </c>
      <c r="L2119">
        <v>2007</v>
      </c>
      <c r="M2119" s="21">
        <v>39275</v>
      </c>
      <c r="N2119">
        <v>2007</v>
      </c>
      <c r="Q2119" s="262">
        <v>0</v>
      </c>
      <c r="S2119" t="s">
        <v>114</v>
      </c>
      <c r="T2119" t="s">
        <v>114</v>
      </c>
      <c r="W2119">
        <v>15707</v>
      </c>
      <c r="X2119">
        <v>15</v>
      </c>
      <c r="Y2119">
        <v>0</v>
      </c>
      <c r="Z2119">
        <v>0</v>
      </c>
      <c r="AA2119">
        <v>0</v>
      </c>
      <c r="AB2119">
        <v>0</v>
      </c>
      <c r="AC2119">
        <v>0</v>
      </c>
      <c r="AD2119">
        <v>0</v>
      </c>
      <c r="AE2119">
        <v>15707</v>
      </c>
      <c r="AF2119">
        <v>0</v>
      </c>
      <c r="AG2119">
        <v>0</v>
      </c>
      <c r="AH2119">
        <v>0</v>
      </c>
      <c r="AI2119">
        <v>0</v>
      </c>
      <c r="AJ2119">
        <v>0</v>
      </c>
      <c r="AK2119">
        <v>0</v>
      </c>
      <c r="AL2119">
        <v>0</v>
      </c>
      <c r="AM2119">
        <v>0</v>
      </c>
      <c r="AN2119">
        <v>0</v>
      </c>
      <c r="AO2119">
        <v>0</v>
      </c>
      <c r="AP2119">
        <v>0</v>
      </c>
      <c r="AQ2119">
        <v>15</v>
      </c>
      <c r="AR2119">
        <v>0</v>
      </c>
      <c r="AS2119">
        <v>0</v>
      </c>
      <c r="AT2119">
        <v>0</v>
      </c>
      <c r="AU2119">
        <f t="shared" si="64"/>
        <v>15</v>
      </c>
      <c r="AV2119">
        <f t="shared" si="65"/>
        <v>0</v>
      </c>
    </row>
    <row r="2120" spans="1:48" x14ac:dyDescent="0.25">
      <c r="A2120" t="s">
        <v>7704</v>
      </c>
      <c r="C2120" t="s">
        <v>7705</v>
      </c>
      <c r="D2120" t="s">
        <v>7231</v>
      </c>
      <c r="E2120" t="s">
        <v>2310</v>
      </c>
      <c r="F2120">
        <v>8</v>
      </c>
      <c r="G2120">
        <v>8.1999999999999993</v>
      </c>
      <c r="H2120" t="s">
        <v>2022</v>
      </c>
      <c r="I2120" s="21">
        <v>39098</v>
      </c>
      <c r="J2120">
        <v>2007</v>
      </c>
      <c r="K2120" s="21">
        <v>39149</v>
      </c>
      <c r="L2120">
        <v>2007</v>
      </c>
      <c r="M2120" s="21">
        <v>39547</v>
      </c>
      <c r="N2120">
        <v>2008</v>
      </c>
      <c r="R2120" s="262">
        <v>2000000</v>
      </c>
      <c r="S2120" t="s">
        <v>114</v>
      </c>
      <c r="T2120" t="s">
        <v>114</v>
      </c>
      <c r="U2120">
        <v>5</v>
      </c>
      <c r="W2120">
        <v>6795</v>
      </c>
      <c r="X2120">
        <v>1</v>
      </c>
      <c r="Y2120">
        <v>0</v>
      </c>
      <c r="Z2120">
        <v>0</v>
      </c>
      <c r="AA2120">
        <v>0</v>
      </c>
      <c r="AB2120">
        <v>0</v>
      </c>
      <c r="AC2120">
        <v>6795</v>
      </c>
      <c r="AD2120">
        <v>0</v>
      </c>
      <c r="AE2120">
        <v>0</v>
      </c>
      <c r="AF2120">
        <v>0</v>
      </c>
      <c r="AG2120">
        <v>0</v>
      </c>
      <c r="AH2120">
        <v>0</v>
      </c>
      <c r="AI2120">
        <v>0</v>
      </c>
      <c r="AJ2120">
        <v>0</v>
      </c>
      <c r="AK2120">
        <v>0</v>
      </c>
      <c r="AL2120">
        <v>0</v>
      </c>
      <c r="AM2120">
        <v>0</v>
      </c>
      <c r="AN2120">
        <v>0</v>
      </c>
      <c r="AO2120">
        <v>1</v>
      </c>
      <c r="AP2120">
        <v>0</v>
      </c>
      <c r="AQ2120">
        <v>0</v>
      </c>
      <c r="AR2120">
        <v>0</v>
      </c>
      <c r="AS2120">
        <v>0</v>
      </c>
      <c r="AT2120">
        <v>0</v>
      </c>
      <c r="AU2120">
        <f t="shared" si="64"/>
        <v>1</v>
      </c>
      <c r="AV2120">
        <f t="shared" si="65"/>
        <v>0</v>
      </c>
    </row>
    <row r="2121" spans="1:48" x14ac:dyDescent="0.25">
      <c r="A2121" t="s">
        <v>7706</v>
      </c>
      <c r="C2121" t="s">
        <v>7707</v>
      </c>
      <c r="D2121" t="s">
        <v>7708</v>
      </c>
      <c r="E2121" t="s">
        <v>2310</v>
      </c>
      <c r="F2121">
        <v>10</v>
      </c>
      <c r="G2121">
        <v>10.1</v>
      </c>
      <c r="H2121" t="s">
        <v>2323</v>
      </c>
      <c r="I2121" s="21">
        <v>39105</v>
      </c>
      <c r="J2121">
        <v>2007</v>
      </c>
      <c r="K2121" s="21">
        <v>39153</v>
      </c>
      <c r="L2121">
        <v>2007</v>
      </c>
      <c r="M2121" s="21">
        <v>39622</v>
      </c>
      <c r="N2121">
        <v>2008</v>
      </c>
      <c r="R2121" s="262">
        <v>250000</v>
      </c>
      <c r="S2121" t="s">
        <v>114</v>
      </c>
      <c r="T2121" t="s">
        <v>114</v>
      </c>
      <c r="U2121">
        <v>5</v>
      </c>
      <c r="W2121">
        <v>2574</v>
      </c>
      <c r="X2121">
        <v>1</v>
      </c>
      <c r="Y2121">
        <v>0</v>
      </c>
      <c r="Z2121">
        <v>0</v>
      </c>
      <c r="AA2121">
        <v>0</v>
      </c>
      <c r="AB2121">
        <v>0</v>
      </c>
      <c r="AC2121">
        <v>2574</v>
      </c>
      <c r="AD2121">
        <v>0</v>
      </c>
      <c r="AE2121">
        <v>0</v>
      </c>
      <c r="AF2121">
        <v>0</v>
      </c>
      <c r="AG2121">
        <v>0</v>
      </c>
      <c r="AH2121">
        <v>0</v>
      </c>
      <c r="AI2121">
        <v>0</v>
      </c>
      <c r="AJ2121">
        <v>0</v>
      </c>
      <c r="AK2121">
        <v>0</v>
      </c>
      <c r="AL2121">
        <v>0</v>
      </c>
      <c r="AM2121">
        <v>0</v>
      </c>
      <c r="AN2121">
        <v>0</v>
      </c>
      <c r="AO2121">
        <v>1</v>
      </c>
      <c r="AP2121">
        <v>0</v>
      </c>
      <c r="AQ2121">
        <v>0</v>
      </c>
      <c r="AR2121">
        <v>0</v>
      </c>
      <c r="AS2121">
        <v>0</v>
      </c>
      <c r="AT2121">
        <v>0</v>
      </c>
      <c r="AU2121">
        <f t="shared" si="64"/>
        <v>1</v>
      </c>
      <c r="AV2121">
        <f t="shared" si="65"/>
        <v>0</v>
      </c>
    </row>
    <row r="2122" spans="1:48" x14ac:dyDescent="0.25">
      <c r="A2122" t="s">
        <v>7709</v>
      </c>
      <c r="C2122" t="s">
        <v>7710</v>
      </c>
      <c r="D2122" t="s">
        <v>7711</v>
      </c>
      <c r="E2122" t="s">
        <v>2310</v>
      </c>
      <c r="F2122">
        <v>7</v>
      </c>
      <c r="G2122">
        <v>7.1</v>
      </c>
      <c r="H2122" t="s">
        <v>2017</v>
      </c>
      <c r="I2122" s="21">
        <v>39106</v>
      </c>
      <c r="J2122">
        <v>2007</v>
      </c>
      <c r="K2122" s="21">
        <v>39196</v>
      </c>
      <c r="L2122">
        <v>2007</v>
      </c>
      <c r="M2122" s="21">
        <v>39196</v>
      </c>
      <c r="N2122">
        <v>2007</v>
      </c>
      <c r="R2122" s="262">
        <v>563000</v>
      </c>
      <c r="S2122" t="s">
        <v>114</v>
      </c>
      <c r="T2122" t="s">
        <v>114</v>
      </c>
      <c r="U2122">
        <v>14</v>
      </c>
      <c r="W2122">
        <v>8661</v>
      </c>
      <c r="X2122">
        <v>0</v>
      </c>
      <c r="Y2122">
        <v>0</v>
      </c>
      <c r="Z2122">
        <v>0</v>
      </c>
      <c r="AA2122">
        <v>0</v>
      </c>
      <c r="AB2122">
        <v>0</v>
      </c>
      <c r="AC2122">
        <v>0</v>
      </c>
      <c r="AD2122">
        <v>0</v>
      </c>
      <c r="AE2122">
        <v>0</v>
      </c>
      <c r="AF2122">
        <v>0</v>
      </c>
      <c r="AG2122">
        <v>0</v>
      </c>
      <c r="AH2122">
        <v>0</v>
      </c>
      <c r="AI2122">
        <v>0</v>
      </c>
      <c r="AJ2122">
        <v>0</v>
      </c>
      <c r="AK2122">
        <v>0</v>
      </c>
      <c r="AL2122">
        <v>8661</v>
      </c>
      <c r="AM2122">
        <v>0</v>
      </c>
      <c r="AN2122">
        <v>0</v>
      </c>
      <c r="AO2122">
        <v>0</v>
      </c>
      <c r="AP2122">
        <v>0</v>
      </c>
      <c r="AQ2122">
        <v>0</v>
      </c>
      <c r="AR2122">
        <v>0</v>
      </c>
      <c r="AS2122">
        <v>0</v>
      </c>
      <c r="AT2122">
        <v>0</v>
      </c>
      <c r="AU2122">
        <f t="shared" si="64"/>
        <v>0</v>
      </c>
      <c r="AV2122">
        <f t="shared" si="65"/>
        <v>8661</v>
      </c>
    </row>
    <row r="2123" spans="1:48" x14ac:dyDescent="0.25">
      <c r="A2123" t="s">
        <v>7712</v>
      </c>
      <c r="C2123" t="s">
        <v>7713</v>
      </c>
      <c r="D2123" t="s">
        <v>7714</v>
      </c>
      <c r="E2123" t="s">
        <v>2310</v>
      </c>
      <c r="F2123">
        <v>9</v>
      </c>
      <c r="G2123">
        <v>9.1</v>
      </c>
      <c r="H2123" t="s">
        <v>2323</v>
      </c>
      <c r="I2123" s="21">
        <v>39106</v>
      </c>
      <c r="J2123">
        <v>2007</v>
      </c>
      <c r="K2123" s="21">
        <v>39147</v>
      </c>
      <c r="L2123">
        <v>2007</v>
      </c>
      <c r="M2123" s="21">
        <v>39449</v>
      </c>
      <c r="N2123">
        <v>2008</v>
      </c>
      <c r="R2123" s="262">
        <v>450000</v>
      </c>
      <c r="S2123" t="s">
        <v>114</v>
      </c>
      <c r="T2123" t="s">
        <v>114</v>
      </c>
      <c r="U2123">
        <v>5</v>
      </c>
      <c r="W2123">
        <v>1789</v>
      </c>
      <c r="X2123">
        <v>0</v>
      </c>
      <c r="Y2123">
        <v>0</v>
      </c>
      <c r="Z2123">
        <v>0</v>
      </c>
      <c r="AA2123">
        <v>0</v>
      </c>
      <c r="AB2123">
        <v>0</v>
      </c>
      <c r="AC2123">
        <v>1789</v>
      </c>
      <c r="AD2123">
        <v>0</v>
      </c>
      <c r="AE2123">
        <v>0</v>
      </c>
      <c r="AF2123">
        <v>0</v>
      </c>
      <c r="AG2123">
        <v>0</v>
      </c>
      <c r="AH2123">
        <v>0</v>
      </c>
      <c r="AI2123">
        <v>0</v>
      </c>
      <c r="AJ2123">
        <v>0</v>
      </c>
      <c r="AK2123">
        <v>0</v>
      </c>
      <c r="AL2123">
        <v>0</v>
      </c>
      <c r="AM2123">
        <v>0</v>
      </c>
      <c r="AN2123">
        <v>0</v>
      </c>
      <c r="AO2123">
        <v>0</v>
      </c>
      <c r="AP2123">
        <v>0</v>
      </c>
      <c r="AQ2123">
        <v>0</v>
      </c>
      <c r="AR2123">
        <v>0</v>
      </c>
      <c r="AS2123">
        <v>0</v>
      </c>
      <c r="AT2123">
        <v>0</v>
      </c>
      <c r="AU2123">
        <f t="shared" si="64"/>
        <v>0</v>
      </c>
      <c r="AV2123">
        <f t="shared" si="65"/>
        <v>0</v>
      </c>
    </row>
    <row r="2124" spans="1:48" x14ac:dyDescent="0.25">
      <c r="A2124" t="s">
        <v>7721</v>
      </c>
      <c r="C2124" t="s">
        <v>7722</v>
      </c>
      <c r="D2124" t="s">
        <v>4822</v>
      </c>
      <c r="E2124" t="s">
        <v>2310</v>
      </c>
      <c r="F2124">
        <v>10</v>
      </c>
      <c r="G2124">
        <v>10.1</v>
      </c>
      <c r="H2124" t="s">
        <v>2323</v>
      </c>
      <c r="I2124" s="21">
        <v>39107</v>
      </c>
      <c r="J2124">
        <v>2007</v>
      </c>
      <c r="K2124" s="21">
        <v>39146</v>
      </c>
      <c r="L2124">
        <v>2007</v>
      </c>
      <c r="M2124" s="21">
        <v>39146</v>
      </c>
      <c r="N2124">
        <v>2007</v>
      </c>
      <c r="R2124" s="262">
        <v>55000</v>
      </c>
      <c r="S2124" t="s">
        <v>114</v>
      </c>
      <c r="T2124" t="s">
        <v>114</v>
      </c>
      <c r="U2124">
        <v>5</v>
      </c>
      <c r="W2124">
        <v>462</v>
      </c>
      <c r="X2124">
        <v>0</v>
      </c>
      <c r="Y2124">
        <v>0</v>
      </c>
      <c r="Z2124">
        <v>0</v>
      </c>
      <c r="AA2124">
        <v>0</v>
      </c>
      <c r="AB2124">
        <v>0</v>
      </c>
      <c r="AC2124">
        <v>462</v>
      </c>
      <c r="AD2124">
        <v>0</v>
      </c>
      <c r="AE2124">
        <v>0</v>
      </c>
      <c r="AF2124">
        <v>0</v>
      </c>
      <c r="AG2124">
        <v>0</v>
      </c>
      <c r="AH2124">
        <v>0</v>
      </c>
      <c r="AI2124">
        <v>0</v>
      </c>
      <c r="AJ2124">
        <v>0</v>
      </c>
      <c r="AK2124">
        <v>0</v>
      </c>
      <c r="AL2124">
        <v>0</v>
      </c>
      <c r="AM2124">
        <v>0</v>
      </c>
      <c r="AN2124">
        <v>0</v>
      </c>
      <c r="AO2124">
        <v>0</v>
      </c>
      <c r="AP2124">
        <v>0</v>
      </c>
      <c r="AQ2124">
        <v>0</v>
      </c>
      <c r="AR2124">
        <v>0</v>
      </c>
      <c r="AS2124">
        <v>0</v>
      </c>
      <c r="AT2124">
        <v>0</v>
      </c>
      <c r="AU2124">
        <f t="shared" si="64"/>
        <v>0</v>
      </c>
      <c r="AV2124">
        <f t="shared" si="65"/>
        <v>0</v>
      </c>
    </row>
    <row r="2125" spans="1:48" x14ac:dyDescent="0.25">
      <c r="A2125" t="s">
        <v>7723</v>
      </c>
      <c r="C2125" t="s">
        <v>7144</v>
      </c>
      <c r="D2125" t="s">
        <v>7724</v>
      </c>
      <c r="E2125" t="s">
        <v>2310</v>
      </c>
      <c r="F2125">
        <v>9</v>
      </c>
      <c r="G2125">
        <v>9.1</v>
      </c>
      <c r="H2125" t="s">
        <v>2323</v>
      </c>
      <c r="I2125" s="21">
        <v>39107</v>
      </c>
      <c r="J2125">
        <v>2007</v>
      </c>
      <c r="K2125" s="21">
        <v>39154</v>
      </c>
      <c r="L2125">
        <v>2007</v>
      </c>
      <c r="M2125" s="21">
        <v>39513</v>
      </c>
      <c r="N2125">
        <v>2008</v>
      </c>
      <c r="R2125" s="262">
        <v>780000</v>
      </c>
      <c r="S2125" t="s">
        <v>114</v>
      </c>
      <c r="T2125" t="s">
        <v>114</v>
      </c>
      <c r="U2125">
        <v>5</v>
      </c>
      <c r="W2125">
        <v>4242</v>
      </c>
      <c r="X2125">
        <v>1</v>
      </c>
      <c r="Y2125">
        <v>0</v>
      </c>
      <c r="Z2125">
        <v>0</v>
      </c>
      <c r="AA2125">
        <v>0</v>
      </c>
      <c r="AB2125">
        <v>0</v>
      </c>
      <c r="AC2125">
        <v>4242</v>
      </c>
      <c r="AD2125">
        <v>0</v>
      </c>
      <c r="AE2125">
        <v>0</v>
      </c>
      <c r="AF2125">
        <v>0</v>
      </c>
      <c r="AG2125">
        <v>0</v>
      </c>
      <c r="AH2125">
        <v>0</v>
      </c>
      <c r="AI2125">
        <v>0</v>
      </c>
      <c r="AJ2125">
        <v>0</v>
      </c>
      <c r="AK2125">
        <v>0</v>
      </c>
      <c r="AL2125">
        <v>0</v>
      </c>
      <c r="AM2125">
        <v>0</v>
      </c>
      <c r="AN2125">
        <v>0</v>
      </c>
      <c r="AO2125">
        <v>1</v>
      </c>
      <c r="AP2125">
        <v>0</v>
      </c>
      <c r="AQ2125">
        <v>0</v>
      </c>
      <c r="AR2125">
        <v>0</v>
      </c>
      <c r="AS2125">
        <v>0</v>
      </c>
      <c r="AT2125">
        <v>0</v>
      </c>
      <c r="AU2125">
        <f t="shared" si="64"/>
        <v>1</v>
      </c>
      <c r="AV2125">
        <f t="shared" si="65"/>
        <v>0</v>
      </c>
    </row>
    <row r="2126" spans="1:48" x14ac:dyDescent="0.25">
      <c r="A2126" t="s">
        <v>7725</v>
      </c>
      <c r="C2126" t="s">
        <v>7726</v>
      </c>
      <c r="D2126" t="s">
        <v>7727</v>
      </c>
      <c r="E2126" t="s">
        <v>2310</v>
      </c>
      <c r="F2126">
        <v>9</v>
      </c>
      <c r="G2126">
        <v>9.1999999999999993</v>
      </c>
      <c r="H2126" t="s">
        <v>2022</v>
      </c>
      <c r="I2126" s="21">
        <v>39107</v>
      </c>
      <c r="J2126">
        <v>2007</v>
      </c>
      <c r="K2126" s="21">
        <v>39178</v>
      </c>
      <c r="L2126">
        <v>2007</v>
      </c>
      <c r="M2126" s="21">
        <v>40077.338032407402</v>
      </c>
      <c r="N2126">
        <v>2009</v>
      </c>
      <c r="R2126" s="262">
        <v>2737000</v>
      </c>
      <c r="S2126" t="s">
        <v>114</v>
      </c>
      <c r="T2126" t="s">
        <v>114</v>
      </c>
      <c r="U2126">
        <v>5</v>
      </c>
      <c r="W2126">
        <v>9123</v>
      </c>
      <c r="X2126">
        <v>1</v>
      </c>
      <c r="Y2126">
        <v>0</v>
      </c>
      <c r="Z2126">
        <v>0</v>
      </c>
      <c r="AA2126">
        <v>0</v>
      </c>
      <c r="AB2126">
        <v>0</v>
      </c>
      <c r="AC2126">
        <v>9123</v>
      </c>
      <c r="AD2126">
        <v>0</v>
      </c>
      <c r="AE2126">
        <v>0</v>
      </c>
      <c r="AF2126">
        <v>0</v>
      </c>
      <c r="AG2126">
        <v>0</v>
      </c>
      <c r="AH2126">
        <v>0</v>
      </c>
      <c r="AI2126">
        <v>0</v>
      </c>
      <c r="AJ2126">
        <v>0</v>
      </c>
      <c r="AK2126">
        <v>0</v>
      </c>
      <c r="AL2126">
        <v>0</v>
      </c>
      <c r="AM2126">
        <v>0</v>
      </c>
      <c r="AN2126">
        <v>0</v>
      </c>
      <c r="AO2126">
        <v>1</v>
      </c>
      <c r="AP2126">
        <v>0</v>
      </c>
      <c r="AQ2126">
        <v>0</v>
      </c>
      <c r="AR2126">
        <v>0</v>
      </c>
      <c r="AS2126">
        <v>0</v>
      </c>
      <c r="AT2126">
        <v>0</v>
      </c>
      <c r="AU2126">
        <f t="shared" si="64"/>
        <v>1</v>
      </c>
      <c r="AV2126">
        <f t="shared" si="65"/>
        <v>0</v>
      </c>
    </row>
    <row r="2127" spans="1:48" x14ac:dyDescent="0.25">
      <c r="A2127" t="s">
        <v>7715</v>
      </c>
      <c r="C2127" t="s">
        <v>7716</v>
      </c>
      <c r="D2127" t="s">
        <v>7717</v>
      </c>
      <c r="E2127" t="s">
        <v>1663</v>
      </c>
      <c r="F2127">
        <v>3</v>
      </c>
      <c r="G2127">
        <v>3.1</v>
      </c>
      <c r="H2127" t="s">
        <v>2017</v>
      </c>
      <c r="I2127" s="21">
        <v>39107</v>
      </c>
      <c r="J2127">
        <v>2007</v>
      </c>
      <c r="K2127" s="21">
        <v>39138</v>
      </c>
      <c r="L2127">
        <v>2007</v>
      </c>
      <c r="M2127" s="21">
        <v>39288</v>
      </c>
      <c r="N2127">
        <v>2007</v>
      </c>
      <c r="Q2127" s="262">
        <v>0</v>
      </c>
      <c r="S2127" t="s">
        <v>114</v>
      </c>
      <c r="T2127" t="s">
        <v>114</v>
      </c>
      <c r="W2127">
        <v>1021</v>
      </c>
      <c r="X2127">
        <v>1</v>
      </c>
      <c r="Y2127">
        <v>0</v>
      </c>
      <c r="Z2127">
        <v>0</v>
      </c>
      <c r="AA2127">
        <v>0</v>
      </c>
      <c r="AB2127">
        <v>0</v>
      </c>
      <c r="AC2127">
        <v>1021</v>
      </c>
      <c r="AD2127">
        <v>0</v>
      </c>
      <c r="AE2127">
        <v>0</v>
      </c>
      <c r="AF2127">
        <v>0</v>
      </c>
      <c r="AG2127">
        <v>0</v>
      </c>
      <c r="AH2127">
        <v>0</v>
      </c>
      <c r="AI2127">
        <v>0</v>
      </c>
      <c r="AJ2127">
        <v>0</v>
      </c>
      <c r="AK2127">
        <v>0</v>
      </c>
      <c r="AL2127">
        <v>0</v>
      </c>
      <c r="AM2127">
        <v>0</v>
      </c>
      <c r="AN2127">
        <v>0</v>
      </c>
      <c r="AO2127">
        <v>1</v>
      </c>
      <c r="AP2127">
        <v>0</v>
      </c>
      <c r="AQ2127">
        <v>0</v>
      </c>
      <c r="AR2127">
        <v>0</v>
      </c>
      <c r="AS2127">
        <v>0</v>
      </c>
      <c r="AT2127">
        <v>0</v>
      </c>
      <c r="AU2127">
        <f t="shared" si="64"/>
        <v>1</v>
      </c>
      <c r="AV2127">
        <f t="shared" si="65"/>
        <v>0</v>
      </c>
    </row>
    <row r="2128" spans="1:48" x14ac:dyDescent="0.25">
      <c r="A2128" t="s">
        <v>7718</v>
      </c>
      <c r="C2128" t="s">
        <v>7719</v>
      </c>
      <c r="D2128" t="s">
        <v>7720</v>
      </c>
      <c r="E2128" t="s">
        <v>1663</v>
      </c>
      <c r="F2128">
        <v>3</v>
      </c>
      <c r="G2128">
        <v>3.1</v>
      </c>
      <c r="H2128" t="s">
        <v>2017</v>
      </c>
      <c r="I2128" s="21">
        <v>39107</v>
      </c>
      <c r="J2128">
        <v>2007</v>
      </c>
      <c r="K2128" s="21">
        <v>39138</v>
      </c>
      <c r="L2128">
        <v>2007</v>
      </c>
      <c r="M2128" s="21">
        <v>39288</v>
      </c>
      <c r="N2128">
        <v>2007</v>
      </c>
      <c r="Q2128" s="262">
        <v>0</v>
      </c>
      <c r="S2128" t="s">
        <v>114</v>
      </c>
      <c r="T2128" t="s">
        <v>114</v>
      </c>
      <c r="W2128">
        <v>1383</v>
      </c>
      <c r="X2128">
        <v>1</v>
      </c>
      <c r="Y2128">
        <v>0</v>
      </c>
      <c r="Z2128">
        <v>0</v>
      </c>
      <c r="AA2128">
        <v>0</v>
      </c>
      <c r="AB2128">
        <v>0</v>
      </c>
      <c r="AC2128">
        <v>1383</v>
      </c>
      <c r="AD2128">
        <v>0</v>
      </c>
      <c r="AE2128">
        <v>0</v>
      </c>
      <c r="AF2128">
        <v>0</v>
      </c>
      <c r="AG2128">
        <v>0</v>
      </c>
      <c r="AH2128">
        <v>0</v>
      </c>
      <c r="AI2128">
        <v>0</v>
      </c>
      <c r="AJ2128">
        <v>0</v>
      </c>
      <c r="AK2128">
        <v>0</v>
      </c>
      <c r="AL2128">
        <v>0</v>
      </c>
      <c r="AM2128">
        <v>0</v>
      </c>
      <c r="AN2128">
        <v>0</v>
      </c>
      <c r="AO2128">
        <v>1</v>
      </c>
      <c r="AP2128">
        <v>0</v>
      </c>
      <c r="AQ2128">
        <v>0</v>
      </c>
      <c r="AR2128">
        <v>0</v>
      </c>
      <c r="AS2128">
        <v>0</v>
      </c>
      <c r="AT2128">
        <v>0</v>
      </c>
      <c r="AU2128">
        <f t="shared" si="64"/>
        <v>1</v>
      </c>
      <c r="AV2128">
        <f t="shared" si="65"/>
        <v>0</v>
      </c>
    </row>
    <row r="2129" spans="1:48" x14ac:dyDescent="0.25">
      <c r="A2129" t="s">
        <v>7728</v>
      </c>
      <c r="C2129" t="s">
        <v>7729</v>
      </c>
      <c r="D2129" t="s">
        <v>6005</v>
      </c>
      <c r="E2129" t="s">
        <v>2310</v>
      </c>
      <c r="F2129">
        <v>9</v>
      </c>
      <c r="G2129">
        <v>9.3000000000000007</v>
      </c>
      <c r="H2129" t="s">
        <v>2323</v>
      </c>
      <c r="I2129" s="21">
        <v>39112</v>
      </c>
      <c r="J2129">
        <v>2007</v>
      </c>
      <c r="K2129" s="21">
        <v>39154</v>
      </c>
      <c r="L2129">
        <v>2007</v>
      </c>
      <c r="M2129" s="21">
        <v>39359</v>
      </c>
      <c r="N2129">
        <v>2007</v>
      </c>
      <c r="R2129" s="262">
        <v>50000</v>
      </c>
      <c r="S2129" t="s">
        <v>114</v>
      </c>
      <c r="T2129" t="s">
        <v>114</v>
      </c>
      <c r="U2129">
        <v>4</v>
      </c>
      <c r="W2129">
        <v>540</v>
      </c>
      <c r="X2129">
        <v>0</v>
      </c>
      <c r="Y2129">
        <v>0</v>
      </c>
      <c r="Z2129">
        <v>0</v>
      </c>
      <c r="AA2129">
        <v>0</v>
      </c>
      <c r="AB2129">
        <v>540</v>
      </c>
      <c r="AC2129">
        <v>0</v>
      </c>
      <c r="AD2129">
        <v>0</v>
      </c>
      <c r="AE2129">
        <v>0</v>
      </c>
      <c r="AF2129">
        <v>0</v>
      </c>
      <c r="AG2129">
        <v>0</v>
      </c>
      <c r="AH2129">
        <v>0</v>
      </c>
      <c r="AI2129">
        <v>0</v>
      </c>
      <c r="AJ2129">
        <v>0</v>
      </c>
      <c r="AK2129">
        <v>0</v>
      </c>
      <c r="AL2129">
        <v>0</v>
      </c>
      <c r="AM2129">
        <v>0</v>
      </c>
      <c r="AN2129">
        <v>0</v>
      </c>
      <c r="AO2129">
        <v>0</v>
      </c>
      <c r="AP2129">
        <v>0</v>
      </c>
      <c r="AQ2129">
        <v>0</v>
      </c>
      <c r="AR2129">
        <v>0</v>
      </c>
      <c r="AS2129">
        <v>0</v>
      </c>
      <c r="AT2129">
        <v>0</v>
      </c>
      <c r="AU2129">
        <f t="shared" si="64"/>
        <v>0</v>
      </c>
      <c r="AV2129">
        <f t="shared" si="65"/>
        <v>540</v>
      </c>
    </row>
    <row r="2130" spans="1:48" x14ac:dyDescent="0.25">
      <c r="A2130" t="s">
        <v>7730</v>
      </c>
      <c r="C2130" t="s">
        <v>7731</v>
      </c>
      <c r="D2130" t="s">
        <v>5885</v>
      </c>
      <c r="E2130" t="s">
        <v>2310</v>
      </c>
      <c r="F2130">
        <v>11</v>
      </c>
      <c r="G2130">
        <v>11.2</v>
      </c>
      <c r="H2130" t="s">
        <v>2017</v>
      </c>
      <c r="I2130" s="21">
        <v>39112</v>
      </c>
      <c r="J2130">
        <v>2007</v>
      </c>
      <c r="K2130" s="21">
        <v>39125</v>
      </c>
      <c r="L2130">
        <v>2007</v>
      </c>
      <c r="M2130" s="21">
        <v>40372.385810185202</v>
      </c>
      <c r="N2130">
        <v>2010</v>
      </c>
      <c r="R2130" s="262">
        <v>25000</v>
      </c>
      <c r="S2130" t="s">
        <v>114</v>
      </c>
      <c r="T2130" t="s">
        <v>114</v>
      </c>
      <c r="U2130">
        <v>5</v>
      </c>
      <c r="W2130">
        <v>22</v>
      </c>
      <c r="X2130">
        <v>0</v>
      </c>
      <c r="Y2130">
        <v>0</v>
      </c>
      <c r="Z2130">
        <v>0</v>
      </c>
      <c r="AA2130">
        <v>0</v>
      </c>
      <c r="AB2130">
        <v>0</v>
      </c>
      <c r="AC2130">
        <v>22</v>
      </c>
      <c r="AD2130">
        <v>0</v>
      </c>
      <c r="AE2130">
        <v>0</v>
      </c>
      <c r="AF2130">
        <v>0</v>
      </c>
      <c r="AG2130">
        <v>0</v>
      </c>
      <c r="AH2130">
        <v>0</v>
      </c>
      <c r="AI2130">
        <v>0</v>
      </c>
      <c r="AJ2130">
        <v>0</v>
      </c>
      <c r="AK2130">
        <v>0</v>
      </c>
      <c r="AL2130">
        <v>0</v>
      </c>
      <c r="AM2130">
        <v>0</v>
      </c>
      <c r="AN2130">
        <v>0</v>
      </c>
      <c r="AO2130">
        <v>0</v>
      </c>
      <c r="AP2130">
        <v>0</v>
      </c>
      <c r="AQ2130">
        <v>0</v>
      </c>
      <c r="AR2130">
        <v>0</v>
      </c>
      <c r="AS2130">
        <v>0</v>
      </c>
      <c r="AT2130">
        <v>0</v>
      </c>
      <c r="AU2130">
        <f t="shared" si="64"/>
        <v>0</v>
      </c>
      <c r="AV2130">
        <f t="shared" si="65"/>
        <v>0</v>
      </c>
    </row>
    <row r="2131" spans="1:48" x14ac:dyDescent="0.25">
      <c r="A2131" t="s">
        <v>7737</v>
      </c>
      <c r="C2131" t="s">
        <v>7679</v>
      </c>
      <c r="D2131" t="s">
        <v>7738</v>
      </c>
      <c r="E2131" t="s">
        <v>2310</v>
      </c>
      <c r="F2131">
        <v>8</v>
      </c>
      <c r="G2131">
        <v>8.1</v>
      </c>
      <c r="H2131" t="s">
        <v>2323</v>
      </c>
      <c r="I2131" s="21">
        <v>39113</v>
      </c>
      <c r="J2131">
        <v>2007</v>
      </c>
      <c r="K2131" s="21">
        <v>39155</v>
      </c>
      <c r="L2131">
        <v>2007</v>
      </c>
      <c r="M2131" s="21">
        <v>39896</v>
      </c>
      <c r="N2131">
        <v>2009</v>
      </c>
      <c r="R2131" s="262">
        <v>1800000</v>
      </c>
      <c r="S2131" t="s">
        <v>114</v>
      </c>
      <c r="T2131" t="s">
        <v>114</v>
      </c>
      <c r="U2131">
        <v>5</v>
      </c>
      <c r="W2131">
        <v>7320</v>
      </c>
      <c r="X2131">
        <v>1</v>
      </c>
      <c r="Y2131">
        <v>0</v>
      </c>
      <c r="Z2131">
        <v>0</v>
      </c>
      <c r="AA2131">
        <v>0</v>
      </c>
      <c r="AB2131">
        <v>0</v>
      </c>
      <c r="AC2131">
        <v>7320</v>
      </c>
      <c r="AD2131">
        <v>0</v>
      </c>
      <c r="AE2131">
        <v>0</v>
      </c>
      <c r="AF2131">
        <v>0</v>
      </c>
      <c r="AG2131">
        <v>0</v>
      </c>
      <c r="AH2131">
        <v>0</v>
      </c>
      <c r="AI2131">
        <v>0</v>
      </c>
      <c r="AJ2131">
        <v>0</v>
      </c>
      <c r="AK2131">
        <v>0</v>
      </c>
      <c r="AL2131">
        <v>0</v>
      </c>
      <c r="AM2131">
        <v>0</v>
      </c>
      <c r="AN2131">
        <v>0</v>
      </c>
      <c r="AO2131">
        <v>1</v>
      </c>
      <c r="AP2131">
        <v>0</v>
      </c>
      <c r="AQ2131">
        <v>0</v>
      </c>
      <c r="AR2131">
        <v>0</v>
      </c>
      <c r="AS2131">
        <v>0</v>
      </c>
      <c r="AT2131">
        <v>0</v>
      </c>
      <c r="AU2131">
        <f t="shared" si="64"/>
        <v>1</v>
      </c>
      <c r="AV2131">
        <f t="shared" si="65"/>
        <v>0</v>
      </c>
    </row>
    <row r="2132" spans="1:48" x14ac:dyDescent="0.25">
      <c r="A2132" t="s">
        <v>7739</v>
      </c>
      <c r="C2132" t="s">
        <v>7740</v>
      </c>
      <c r="D2132" t="s">
        <v>7741</v>
      </c>
      <c r="E2132" t="s">
        <v>2310</v>
      </c>
      <c r="F2132">
        <v>11</v>
      </c>
      <c r="G2132">
        <v>11.2</v>
      </c>
      <c r="H2132" t="s">
        <v>2017</v>
      </c>
      <c r="I2132" s="21">
        <v>39113</v>
      </c>
      <c r="J2132">
        <v>2007</v>
      </c>
      <c r="K2132" s="21">
        <v>39121</v>
      </c>
      <c r="L2132">
        <v>2007</v>
      </c>
      <c r="M2132" s="21">
        <v>39750</v>
      </c>
      <c r="N2132">
        <v>2008</v>
      </c>
      <c r="R2132" s="262">
        <v>27000</v>
      </c>
      <c r="S2132" t="s">
        <v>114</v>
      </c>
      <c r="T2132" t="s">
        <v>114</v>
      </c>
      <c r="U2132">
        <v>3</v>
      </c>
      <c r="W2132">
        <v>96</v>
      </c>
      <c r="X2132">
        <v>0</v>
      </c>
      <c r="Y2132">
        <v>0</v>
      </c>
      <c r="Z2132">
        <v>0</v>
      </c>
      <c r="AA2132">
        <v>96</v>
      </c>
      <c r="AB2132">
        <v>0</v>
      </c>
      <c r="AC2132">
        <v>0</v>
      </c>
      <c r="AD2132">
        <v>0</v>
      </c>
      <c r="AE2132">
        <v>0</v>
      </c>
      <c r="AF2132">
        <v>0</v>
      </c>
      <c r="AG2132">
        <v>0</v>
      </c>
      <c r="AH2132">
        <v>0</v>
      </c>
      <c r="AI2132">
        <v>0</v>
      </c>
      <c r="AJ2132">
        <v>0</v>
      </c>
      <c r="AK2132">
        <v>0</v>
      </c>
      <c r="AL2132">
        <v>0</v>
      </c>
      <c r="AM2132">
        <v>0</v>
      </c>
      <c r="AN2132">
        <v>0</v>
      </c>
      <c r="AO2132">
        <v>0</v>
      </c>
      <c r="AP2132">
        <v>0</v>
      </c>
      <c r="AQ2132">
        <v>0</v>
      </c>
      <c r="AR2132">
        <v>0</v>
      </c>
      <c r="AS2132">
        <v>0</v>
      </c>
      <c r="AT2132">
        <v>0</v>
      </c>
      <c r="AU2132">
        <f t="shared" si="64"/>
        <v>0</v>
      </c>
      <c r="AV2132">
        <f t="shared" si="65"/>
        <v>96</v>
      </c>
    </row>
    <row r="2133" spans="1:48" x14ac:dyDescent="0.25">
      <c r="A2133" t="s">
        <v>7732</v>
      </c>
      <c r="C2133" t="s">
        <v>7716</v>
      </c>
      <c r="D2133" t="s">
        <v>7733</v>
      </c>
      <c r="E2133" t="s">
        <v>1663</v>
      </c>
      <c r="F2133">
        <v>3</v>
      </c>
      <c r="G2133">
        <v>3.1</v>
      </c>
      <c r="H2133" t="s">
        <v>2017</v>
      </c>
      <c r="I2133" s="21">
        <v>39113</v>
      </c>
      <c r="J2133">
        <v>2007</v>
      </c>
      <c r="K2133" s="21">
        <v>39141</v>
      </c>
      <c r="L2133">
        <v>2007</v>
      </c>
      <c r="M2133" s="21">
        <v>39294</v>
      </c>
      <c r="N2133">
        <v>2007</v>
      </c>
      <c r="Q2133" s="262">
        <v>0</v>
      </c>
      <c r="S2133" t="s">
        <v>114</v>
      </c>
      <c r="T2133" t="s">
        <v>114</v>
      </c>
      <c r="W2133">
        <v>1216</v>
      </c>
      <c r="X2133">
        <v>1</v>
      </c>
      <c r="Y2133">
        <v>0</v>
      </c>
      <c r="Z2133">
        <v>0</v>
      </c>
      <c r="AA2133">
        <v>0</v>
      </c>
      <c r="AB2133">
        <v>0</v>
      </c>
      <c r="AC2133">
        <v>1216</v>
      </c>
      <c r="AD2133">
        <v>0</v>
      </c>
      <c r="AE2133">
        <v>0</v>
      </c>
      <c r="AF2133">
        <v>0</v>
      </c>
      <c r="AG2133">
        <v>0</v>
      </c>
      <c r="AH2133">
        <v>0</v>
      </c>
      <c r="AI2133">
        <v>0</v>
      </c>
      <c r="AJ2133">
        <v>0</v>
      </c>
      <c r="AK2133">
        <v>0</v>
      </c>
      <c r="AL2133">
        <v>0</v>
      </c>
      <c r="AM2133">
        <v>0</v>
      </c>
      <c r="AN2133">
        <v>0</v>
      </c>
      <c r="AO2133">
        <v>1</v>
      </c>
      <c r="AP2133">
        <v>0</v>
      </c>
      <c r="AQ2133">
        <v>0</v>
      </c>
      <c r="AR2133">
        <v>0</v>
      </c>
      <c r="AS2133">
        <v>0</v>
      </c>
      <c r="AT2133">
        <v>0</v>
      </c>
      <c r="AU2133">
        <f t="shared" si="64"/>
        <v>1</v>
      </c>
      <c r="AV2133">
        <f t="shared" si="65"/>
        <v>0</v>
      </c>
    </row>
    <row r="2134" spans="1:48" x14ac:dyDescent="0.25">
      <c r="A2134" t="s">
        <v>7734</v>
      </c>
      <c r="C2134" t="s">
        <v>7735</v>
      </c>
      <c r="D2134" t="s">
        <v>7736</v>
      </c>
      <c r="E2134" t="s">
        <v>1663</v>
      </c>
      <c r="F2134">
        <v>3</v>
      </c>
      <c r="G2134">
        <v>3.1</v>
      </c>
      <c r="H2134" t="s">
        <v>2017</v>
      </c>
      <c r="I2134" s="21">
        <v>39113</v>
      </c>
      <c r="J2134">
        <v>2007</v>
      </c>
      <c r="K2134" s="21">
        <v>39141</v>
      </c>
      <c r="L2134">
        <v>2007</v>
      </c>
      <c r="M2134" s="21">
        <v>39294</v>
      </c>
      <c r="N2134">
        <v>2007</v>
      </c>
      <c r="Q2134" s="262">
        <v>0</v>
      </c>
      <c r="S2134" t="s">
        <v>114</v>
      </c>
      <c r="T2134" t="s">
        <v>114</v>
      </c>
      <c r="W2134">
        <v>1476</v>
      </c>
      <c r="X2134">
        <v>1</v>
      </c>
      <c r="Y2134">
        <v>0</v>
      </c>
      <c r="Z2134">
        <v>0</v>
      </c>
      <c r="AA2134">
        <v>0</v>
      </c>
      <c r="AB2134">
        <v>0</v>
      </c>
      <c r="AC2134">
        <v>1476</v>
      </c>
      <c r="AD2134">
        <v>0</v>
      </c>
      <c r="AE2134">
        <v>0</v>
      </c>
      <c r="AF2134">
        <v>0</v>
      </c>
      <c r="AG2134">
        <v>0</v>
      </c>
      <c r="AH2134">
        <v>0</v>
      </c>
      <c r="AI2134">
        <v>0</v>
      </c>
      <c r="AJ2134">
        <v>0</v>
      </c>
      <c r="AK2134">
        <v>0</v>
      </c>
      <c r="AL2134">
        <v>0</v>
      </c>
      <c r="AM2134">
        <v>0</v>
      </c>
      <c r="AN2134">
        <v>0</v>
      </c>
      <c r="AO2134">
        <v>1</v>
      </c>
      <c r="AP2134">
        <v>0</v>
      </c>
      <c r="AQ2134">
        <v>0</v>
      </c>
      <c r="AR2134">
        <v>0</v>
      </c>
      <c r="AS2134">
        <v>0</v>
      </c>
      <c r="AT2134">
        <v>0</v>
      </c>
      <c r="AU2134">
        <f t="shared" si="64"/>
        <v>1</v>
      </c>
      <c r="AV2134">
        <f t="shared" si="65"/>
        <v>0</v>
      </c>
    </row>
    <row r="2135" spans="1:48" x14ac:dyDescent="0.25">
      <c r="A2135" t="s">
        <v>7742</v>
      </c>
      <c r="C2135" t="s">
        <v>7743</v>
      </c>
      <c r="D2135" t="s">
        <v>2676</v>
      </c>
      <c r="E2135" t="s">
        <v>2310</v>
      </c>
      <c r="F2135">
        <v>15</v>
      </c>
      <c r="G2135">
        <v>15.4</v>
      </c>
      <c r="H2135" t="s">
        <v>2323</v>
      </c>
      <c r="I2135" s="21">
        <v>39114</v>
      </c>
      <c r="J2135">
        <v>2007</v>
      </c>
      <c r="K2135" s="21">
        <v>39121</v>
      </c>
      <c r="L2135">
        <v>2007</v>
      </c>
      <c r="M2135" s="21">
        <v>39454</v>
      </c>
      <c r="N2135">
        <v>2008</v>
      </c>
      <c r="R2135" s="262">
        <v>85000</v>
      </c>
      <c r="S2135" t="s">
        <v>114</v>
      </c>
      <c r="T2135" t="s">
        <v>114</v>
      </c>
      <c r="U2135">
        <v>13</v>
      </c>
      <c r="W2135">
        <v>0</v>
      </c>
      <c r="X2135">
        <v>0</v>
      </c>
      <c r="Y2135">
        <v>0</v>
      </c>
      <c r="Z2135">
        <v>0</v>
      </c>
      <c r="AA2135">
        <v>0</v>
      </c>
      <c r="AB2135">
        <v>0</v>
      </c>
      <c r="AC2135">
        <v>0</v>
      </c>
      <c r="AD2135">
        <v>0</v>
      </c>
      <c r="AE2135">
        <v>0</v>
      </c>
      <c r="AF2135">
        <v>0</v>
      </c>
      <c r="AG2135">
        <v>0</v>
      </c>
      <c r="AH2135">
        <v>0</v>
      </c>
      <c r="AI2135">
        <v>0</v>
      </c>
      <c r="AJ2135">
        <v>0</v>
      </c>
      <c r="AK2135">
        <v>0</v>
      </c>
      <c r="AL2135">
        <v>0</v>
      </c>
      <c r="AM2135">
        <v>0</v>
      </c>
      <c r="AN2135">
        <v>0</v>
      </c>
      <c r="AO2135">
        <v>0</v>
      </c>
      <c r="AP2135">
        <v>0</v>
      </c>
      <c r="AQ2135">
        <v>0</v>
      </c>
      <c r="AR2135">
        <v>0</v>
      </c>
      <c r="AS2135">
        <v>0</v>
      </c>
      <c r="AT2135">
        <v>0</v>
      </c>
      <c r="AU2135">
        <f t="shared" si="64"/>
        <v>0</v>
      </c>
      <c r="AV2135">
        <f t="shared" si="65"/>
        <v>0</v>
      </c>
    </row>
    <row r="2136" spans="1:48" x14ac:dyDescent="0.25">
      <c r="A2136" t="s">
        <v>7744</v>
      </c>
      <c r="C2136" t="s">
        <v>7745</v>
      </c>
      <c r="D2136" t="s">
        <v>2741</v>
      </c>
      <c r="E2136" t="s">
        <v>2310</v>
      </c>
      <c r="F2136">
        <v>8</v>
      </c>
      <c r="G2136">
        <v>8.1</v>
      </c>
      <c r="H2136" t="s">
        <v>2323</v>
      </c>
      <c r="I2136" s="21">
        <v>39119</v>
      </c>
      <c r="J2136">
        <v>2007</v>
      </c>
      <c r="K2136" s="21">
        <v>39142</v>
      </c>
      <c r="L2136">
        <v>2007</v>
      </c>
      <c r="M2136" s="21">
        <v>39261</v>
      </c>
      <c r="N2136">
        <v>2007</v>
      </c>
      <c r="R2136" s="262">
        <v>45000</v>
      </c>
      <c r="S2136" t="s">
        <v>114</v>
      </c>
      <c r="T2136" t="s">
        <v>114</v>
      </c>
      <c r="U2136">
        <v>5</v>
      </c>
      <c r="W2136">
        <v>1</v>
      </c>
      <c r="X2136">
        <v>0</v>
      </c>
      <c r="Y2136">
        <v>0</v>
      </c>
      <c r="Z2136">
        <v>0</v>
      </c>
      <c r="AA2136">
        <v>0</v>
      </c>
      <c r="AB2136">
        <v>0</v>
      </c>
      <c r="AC2136">
        <v>1</v>
      </c>
      <c r="AD2136">
        <v>0</v>
      </c>
      <c r="AE2136">
        <v>0</v>
      </c>
      <c r="AF2136">
        <v>0</v>
      </c>
      <c r="AG2136">
        <v>0</v>
      </c>
      <c r="AH2136">
        <v>0</v>
      </c>
      <c r="AI2136">
        <v>0</v>
      </c>
      <c r="AJ2136">
        <v>0</v>
      </c>
      <c r="AK2136">
        <v>0</v>
      </c>
      <c r="AL2136">
        <v>0</v>
      </c>
      <c r="AM2136">
        <v>0</v>
      </c>
      <c r="AN2136">
        <v>0</v>
      </c>
      <c r="AO2136">
        <v>0</v>
      </c>
      <c r="AP2136">
        <v>0</v>
      </c>
      <c r="AQ2136">
        <v>0</v>
      </c>
      <c r="AR2136">
        <v>0</v>
      </c>
      <c r="AS2136">
        <v>0</v>
      </c>
      <c r="AT2136">
        <v>0</v>
      </c>
      <c r="AU2136">
        <f t="shared" si="64"/>
        <v>0</v>
      </c>
      <c r="AV2136">
        <f t="shared" si="65"/>
        <v>0</v>
      </c>
    </row>
    <row r="2137" spans="1:48" x14ac:dyDescent="0.25">
      <c r="A2137" t="s">
        <v>7746</v>
      </c>
      <c r="C2137" t="s">
        <v>7679</v>
      </c>
      <c r="D2137" t="s">
        <v>7747</v>
      </c>
      <c r="E2137" t="s">
        <v>2310</v>
      </c>
      <c r="F2137">
        <v>8</v>
      </c>
      <c r="G2137">
        <v>8.1</v>
      </c>
      <c r="H2137" t="s">
        <v>2323</v>
      </c>
      <c r="I2137" s="21">
        <v>39120</v>
      </c>
      <c r="J2137">
        <v>2007</v>
      </c>
      <c r="K2137" s="21">
        <v>39158</v>
      </c>
      <c r="L2137">
        <v>2007</v>
      </c>
      <c r="M2137" s="21">
        <v>40016.586157407401</v>
      </c>
      <c r="N2137">
        <v>2009</v>
      </c>
      <c r="R2137" s="262">
        <v>2100000</v>
      </c>
      <c r="S2137" t="s">
        <v>114</v>
      </c>
      <c r="T2137" t="s">
        <v>114</v>
      </c>
      <c r="U2137">
        <v>5</v>
      </c>
      <c r="W2137">
        <v>7947</v>
      </c>
      <c r="X2137">
        <v>1</v>
      </c>
      <c r="Y2137">
        <v>0</v>
      </c>
      <c r="Z2137">
        <v>0</v>
      </c>
      <c r="AA2137">
        <v>0</v>
      </c>
      <c r="AB2137">
        <v>0</v>
      </c>
      <c r="AC2137">
        <v>7947</v>
      </c>
      <c r="AD2137">
        <v>0</v>
      </c>
      <c r="AE2137">
        <v>0</v>
      </c>
      <c r="AF2137">
        <v>0</v>
      </c>
      <c r="AG2137">
        <v>0</v>
      </c>
      <c r="AH2137">
        <v>0</v>
      </c>
      <c r="AI2137">
        <v>0</v>
      </c>
      <c r="AJ2137">
        <v>0</v>
      </c>
      <c r="AK2137">
        <v>0</v>
      </c>
      <c r="AL2137">
        <v>0</v>
      </c>
      <c r="AM2137">
        <v>0</v>
      </c>
      <c r="AN2137">
        <v>0</v>
      </c>
      <c r="AO2137">
        <v>1</v>
      </c>
      <c r="AP2137">
        <v>0</v>
      </c>
      <c r="AQ2137">
        <v>0</v>
      </c>
      <c r="AR2137">
        <v>0</v>
      </c>
      <c r="AS2137">
        <v>0</v>
      </c>
      <c r="AT2137">
        <v>0</v>
      </c>
      <c r="AU2137">
        <f t="shared" ref="AU2137:AU2200" si="66">SUM(AN2137:AQ2137,AS2137)</f>
        <v>1</v>
      </c>
      <c r="AV2137">
        <f t="shared" ref="AV2137:AV2200" si="67">SUM(Y2137:AB2137,AH2137:AM2137)</f>
        <v>0</v>
      </c>
    </row>
    <row r="2138" spans="1:48" x14ac:dyDescent="0.25">
      <c r="A2138" t="s">
        <v>7748</v>
      </c>
      <c r="C2138" t="s">
        <v>7749</v>
      </c>
      <c r="D2138" t="s">
        <v>7750</v>
      </c>
      <c r="E2138" t="s">
        <v>2310</v>
      </c>
      <c r="F2138">
        <v>9</v>
      </c>
      <c r="G2138">
        <v>9.1999999999999993</v>
      </c>
      <c r="H2138" t="s">
        <v>2022</v>
      </c>
      <c r="I2138" s="21">
        <v>39120</v>
      </c>
      <c r="J2138">
        <v>2007</v>
      </c>
      <c r="K2138" s="21">
        <v>39142</v>
      </c>
      <c r="L2138">
        <v>2007</v>
      </c>
      <c r="M2138" s="21">
        <v>39381</v>
      </c>
      <c r="N2138">
        <v>2007</v>
      </c>
      <c r="R2138" s="262">
        <v>55000</v>
      </c>
      <c r="S2138" t="s">
        <v>114</v>
      </c>
      <c r="T2138" t="s">
        <v>114</v>
      </c>
      <c r="U2138">
        <v>5</v>
      </c>
      <c r="W2138">
        <v>180</v>
      </c>
      <c r="X2138">
        <v>0</v>
      </c>
      <c r="Y2138">
        <v>0</v>
      </c>
      <c r="Z2138">
        <v>0</v>
      </c>
      <c r="AA2138">
        <v>0</v>
      </c>
      <c r="AB2138">
        <v>0</v>
      </c>
      <c r="AC2138">
        <v>180</v>
      </c>
      <c r="AD2138">
        <v>0</v>
      </c>
      <c r="AE2138">
        <v>0</v>
      </c>
      <c r="AF2138">
        <v>0</v>
      </c>
      <c r="AG2138">
        <v>0</v>
      </c>
      <c r="AH2138">
        <v>0</v>
      </c>
      <c r="AI2138">
        <v>0</v>
      </c>
      <c r="AJ2138">
        <v>0</v>
      </c>
      <c r="AK2138">
        <v>0</v>
      </c>
      <c r="AL2138">
        <v>0</v>
      </c>
      <c r="AM2138">
        <v>0</v>
      </c>
      <c r="AN2138">
        <v>0</v>
      </c>
      <c r="AO2138">
        <v>0</v>
      </c>
      <c r="AP2138">
        <v>0</v>
      </c>
      <c r="AQ2138">
        <v>0</v>
      </c>
      <c r="AR2138">
        <v>0</v>
      </c>
      <c r="AS2138">
        <v>0</v>
      </c>
      <c r="AT2138">
        <v>0</v>
      </c>
      <c r="AU2138">
        <f t="shared" si="66"/>
        <v>0</v>
      </c>
      <c r="AV2138">
        <f t="shared" si="67"/>
        <v>0</v>
      </c>
    </row>
    <row r="2139" spans="1:48" x14ac:dyDescent="0.25">
      <c r="A2139" t="s">
        <v>7751</v>
      </c>
      <c r="C2139" t="s">
        <v>7752</v>
      </c>
      <c r="D2139" t="s">
        <v>7753</v>
      </c>
      <c r="E2139" t="s">
        <v>2310</v>
      </c>
      <c r="F2139">
        <v>9</v>
      </c>
      <c r="G2139">
        <v>9.1</v>
      </c>
      <c r="H2139" t="s">
        <v>2323</v>
      </c>
      <c r="I2139" s="21">
        <v>39121</v>
      </c>
      <c r="J2139">
        <v>2007</v>
      </c>
      <c r="K2139" s="21">
        <v>39160</v>
      </c>
      <c r="L2139">
        <v>2007</v>
      </c>
      <c r="M2139" s="21">
        <v>39682</v>
      </c>
      <c r="N2139">
        <v>2008</v>
      </c>
      <c r="R2139" s="262">
        <v>1200000</v>
      </c>
      <c r="S2139" t="s">
        <v>114</v>
      </c>
      <c r="T2139" t="s">
        <v>114</v>
      </c>
      <c r="U2139">
        <v>5</v>
      </c>
      <c r="W2139">
        <v>4728</v>
      </c>
      <c r="X2139">
        <v>1</v>
      </c>
      <c r="Y2139">
        <v>0</v>
      </c>
      <c r="Z2139">
        <v>0</v>
      </c>
      <c r="AA2139">
        <v>0</v>
      </c>
      <c r="AB2139">
        <v>0</v>
      </c>
      <c r="AC2139">
        <v>4728</v>
      </c>
      <c r="AD2139">
        <v>0</v>
      </c>
      <c r="AE2139">
        <v>0</v>
      </c>
      <c r="AF2139">
        <v>0</v>
      </c>
      <c r="AG2139">
        <v>0</v>
      </c>
      <c r="AH2139">
        <v>0</v>
      </c>
      <c r="AI2139">
        <v>0</v>
      </c>
      <c r="AJ2139">
        <v>0</v>
      </c>
      <c r="AK2139">
        <v>0</v>
      </c>
      <c r="AL2139">
        <v>0</v>
      </c>
      <c r="AM2139">
        <v>0</v>
      </c>
      <c r="AN2139">
        <v>0</v>
      </c>
      <c r="AO2139">
        <v>1</v>
      </c>
      <c r="AP2139">
        <v>0</v>
      </c>
      <c r="AQ2139">
        <v>0</v>
      </c>
      <c r="AR2139">
        <v>0</v>
      </c>
      <c r="AS2139">
        <v>0</v>
      </c>
      <c r="AT2139">
        <v>0</v>
      </c>
      <c r="AU2139">
        <f t="shared" si="66"/>
        <v>1</v>
      </c>
      <c r="AV2139">
        <f t="shared" si="67"/>
        <v>0</v>
      </c>
    </row>
    <row r="2140" spans="1:48" x14ac:dyDescent="0.25">
      <c r="A2140" t="s">
        <v>7754</v>
      </c>
      <c r="C2140" t="s">
        <v>7393</v>
      </c>
      <c r="D2140" t="s">
        <v>7755</v>
      </c>
      <c r="E2140" t="s">
        <v>2310</v>
      </c>
      <c r="F2140">
        <v>10</v>
      </c>
      <c r="G2140">
        <v>10.1</v>
      </c>
      <c r="H2140" t="s">
        <v>2323</v>
      </c>
      <c r="I2140" s="21">
        <v>39122</v>
      </c>
      <c r="J2140">
        <v>2007</v>
      </c>
      <c r="K2140" s="21">
        <v>39169</v>
      </c>
      <c r="L2140">
        <v>2007</v>
      </c>
      <c r="M2140" s="21">
        <v>39682</v>
      </c>
      <c r="N2140">
        <v>2008</v>
      </c>
      <c r="R2140" s="262">
        <v>675000</v>
      </c>
      <c r="S2140" t="s">
        <v>114</v>
      </c>
      <c r="T2140" t="s">
        <v>114</v>
      </c>
      <c r="U2140">
        <v>5</v>
      </c>
      <c r="W2140">
        <v>4353</v>
      </c>
      <c r="X2140">
        <v>1</v>
      </c>
      <c r="Y2140">
        <v>0</v>
      </c>
      <c r="Z2140">
        <v>0</v>
      </c>
      <c r="AA2140">
        <v>0</v>
      </c>
      <c r="AB2140">
        <v>0</v>
      </c>
      <c r="AC2140">
        <v>4353</v>
      </c>
      <c r="AD2140">
        <v>0</v>
      </c>
      <c r="AE2140">
        <v>0</v>
      </c>
      <c r="AF2140">
        <v>0</v>
      </c>
      <c r="AG2140">
        <v>0</v>
      </c>
      <c r="AH2140">
        <v>0</v>
      </c>
      <c r="AI2140">
        <v>0</v>
      </c>
      <c r="AJ2140">
        <v>0</v>
      </c>
      <c r="AK2140">
        <v>0</v>
      </c>
      <c r="AL2140">
        <v>0</v>
      </c>
      <c r="AM2140">
        <v>0</v>
      </c>
      <c r="AN2140">
        <v>0</v>
      </c>
      <c r="AO2140">
        <v>1</v>
      </c>
      <c r="AP2140">
        <v>0</v>
      </c>
      <c r="AQ2140">
        <v>0</v>
      </c>
      <c r="AR2140">
        <v>0</v>
      </c>
      <c r="AS2140">
        <v>0</v>
      </c>
      <c r="AT2140">
        <v>0</v>
      </c>
      <c r="AU2140">
        <f t="shared" si="66"/>
        <v>1</v>
      </c>
      <c r="AV2140">
        <f t="shared" si="67"/>
        <v>0</v>
      </c>
    </row>
    <row r="2141" spans="1:48" x14ac:dyDescent="0.25">
      <c r="A2141" t="s">
        <v>7756</v>
      </c>
      <c r="C2141" t="s">
        <v>7757</v>
      </c>
      <c r="D2141" t="s">
        <v>7758</v>
      </c>
      <c r="E2141" t="s">
        <v>2310</v>
      </c>
      <c r="F2141">
        <v>14</v>
      </c>
      <c r="G2141">
        <v>14.1</v>
      </c>
      <c r="H2141" t="s">
        <v>2022</v>
      </c>
      <c r="I2141" s="21">
        <v>39122</v>
      </c>
      <c r="J2141">
        <v>2007</v>
      </c>
      <c r="K2141" s="21">
        <v>39171</v>
      </c>
      <c r="L2141">
        <v>2007</v>
      </c>
      <c r="M2141" s="21">
        <v>39526</v>
      </c>
      <c r="N2141">
        <v>2008</v>
      </c>
      <c r="R2141" s="262">
        <v>700000</v>
      </c>
      <c r="S2141" t="s">
        <v>114</v>
      </c>
      <c r="T2141" t="s">
        <v>114</v>
      </c>
      <c r="U2141">
        <v>5</v>
      </c>
      <c r="W2141">
        <v>4594</v>
      </c>
      <c r="X2141">
        <v>1</v>
      </c>
      <c r="Y2141">
        <v>0</v>
      </c>
      <c r="Z2141">
        <v>0</v>
      </c>
      <c r="AA2141">
        <v>0</v>
      </c>
      <c r="AB2141">
        <v>0</v>
      </c>
      <c r="AC2141">
        <v>4594</v>
      </c>
      <c r="AD2141">
        <v>0</v>
      </c>
      <c r="AE2141">
        <v>0</v>
      </c>
      <c r="AF2141">
        <v>0</v>
      </c>
      <c r="AG2141">
        <v>0</v>
      </c>
      <c r="AH2141">
        <v>0</v>
      </c>
      <c r="AI2141">
        <v>0</v>
      </c>
      <c r="AJ2141">
        <v>0</v>
      </c>
      <c r="AK2141">
        <v>0</v>
      </c>
      <c r="AL2141">
        <v>0</v>
      </c>
      <c r="AM2141">
        <v>0</v>
      </c>
      <c r="AN2141">
        <v>0</v>
      </c>
      <c r="AO2141">
        <v>1</v>
      </c>
      <c r="AP2141">
        <v>0</v>
      </c>
      <c r="AQ2141">
        <v>0</v>
      </c>
      <c r="AR2141">
        <v>0</v>
      </c>
      <c r="AS2141">
        <v>0</v>
      </c>
      <c r="AT2141">
        <v>0</v>
      </c>
      <c r="AU2141">
        <f t="shared" si="66"/>
        <v>1</v>
      </c>
      <c r="AV2141">
        <f t="shared" si="67"/>
        <v>0</v>
      </c>
    </row>
    <row r="2142" spans="1:48" x14ac:dyDescent="0.25">
      <c r="A2142" t="s">
        <v>7759</v>
      </c>
      <c r="C2142" t="s">
        <v>7760</v>
      </c>
      <c r="D2142" t="s">
        <v>7758</v>
      </c>
      <c r="E2142" t="s">
        <v>2310</v>
      </c>
      <c r="F2142">
        <v>14</v>
      </c>
      <c r="G2142">
        <v>14.1</v>
      </c>
      <c r="H2142" t="s">
        <v>2022</v>
      </c>
      <c r="I2142" s="21">
        <v>39122</v>
      </c>
      <c r="J2142">
        <v>2007</v>
      </c>
      <c r="K2142" s="21">
        <v>39171</v>
      </c>
      <c r="L2142">
        <v>2007</v>
      </c>
      <c r="M2142" s="21">
        <v>39507</v>
      </c>
      <c r="N2142">
        <v>2008</v>
      </c>
      <c r="R2142" s="262">
        <v>50000</v>
      </c>
      <c r="S2142" t="s">
        <v>114</v>
      </c>
      <c r="T2142" t="s">
        <v>114</v>
      </c>
      <c r="U2142">
        <v>5</v>
      </c>
      <c r="W2142">
        <v>400</v>
      </c>
      <c r="X2142">
        <v>0</v>
      </c>
      <c r="Y2142">
        <v>0</v>
      </c>
      <c r="Z2142">
        <v>0</v>
      </c>
      <c r="AA2142">
        <v>0</v>
      </c>
      <c r="AB2142">
        <v>0</v>
      </c>
      <c r="AC2142">
        <v>400</v>
      </c>
      <c r="AD2142">
        <v>0</v>
      </c>
      <c r="AE2142">
        <v>0</v>
      </c>
      <c r="AF2142">
        <v>0</v>
      </c>
      <c r="AG2142">
        <v>0</v>
      </c>
      <c r="AH2142">
        <v>0</v>
      </c>
      <c r="AI2142">
        <v>0</v>
      </c>
      <c r="AJ2142">
        <v>0</v>
      </c>
      <c r="AK2142">
        <v>0</v>
      </c>
      <c r="AL2142">
        <v>0</v>
      </c>
      <c r="AM2142">
        <v>0</v>
      </c>
      <c r="AN2142">
        <v>0</v>
      </c>
      <c r="AO2142">
        <v>0</v>
      </c>
      <c r="AP2142">
        <v>0</v>
      </c>
      <c r="AQ2142">
        <v>0</v>
      </c>
      <c r="AR2142">
        <v>0</v>
      </c>
      <c r="AS2142">
        <v>0</v>
      </c>
      <c r="AT2142">
        <v>0</v>
      </c>
      <c r="AU2142">
        <f t="shared" si="66"/>
        <v>0</v>
      </c>
      <c r="AV2142">
        <f t="shared" si="67"/>
        <v>0</v>
      </c>
    </row>
    <row r="2143" spans="1:48" x14ac:dyDescent="0.25">
      <c r="A2143" t="s">
        <v>7761</v>
      </c>
      <c r="C2143" t="s">
        <v>7762</v>
      </c>
      <c r="D2143" t="s">
        <v>3262</v>
      </c>
      <c r="E2143" t="s">
        <v>2310</v>
      </c>
      <c r="F2143">
        <v>14</v>
      </c>
      <c r="G2143">
        <v>14.1</v>
      </c>
      <c r="H2143" t="s">
        <v>2022</v>
      </c>
      <c r="I2143" s="21">
        <v>39122</v>
      </c>
      <c r="J2143">
        <v>2007</v>
      </c>
      <c r="K2143" s="21">
        <v>39167</v>
      </c>
      <c r="L2143">
        <v>2007</v>
      </c>
      <c r="M2143" s="21">
        <v>40270.624918981499</v>
      </c>
      <c r="N2143">
        <v>2010</v>
      </c>
      <c r="R2143" s="262">
        <v>297000</v>
      </c>
      <c r="S2143" t="s">
        <v>114</v>
      </c>
      <c r="T2143" t="s">
        <v>114</v>
      </c>
      <c r="U2143">
        <v>5</v>
      </c>
      <c r="W2143">
        <v>3240</v>
      </c>
      <c r="X2143">
        <v>1</v>
      </c>
      <c r="Y2143">
        <v>0</v>
      </c>
      <c r="Z2143">
        <v>0</v>
      </c>
      <c r="AA2143">
        <v>0</v>
      </c>
      <c r="AB2143">
        <v>0</v>
      </c>
      <c r="AC2143">
        <v>3240</v>
      </c>
      <c r="AD2143">
        <v>0</v>
      </c>
      <c r="AE2143">
        <v>0</v>
      </c>
      <c r="AF2143">
        <v>0</v>
      </c>
      <c r="AG2143">
        <v>0</v>
      </c>
      <c r="AH2143">
        <v>0</v>
      </c>
      <c r="AI2143">
        <v>0</v>
      </c>
      <c r="AJ2143">
        <v>0</v>
      </c>
      <c r="AK2143">
        <v>0</v>
      </c>
      <c r="AL2143">
        <v>0</v>
      </c>
      <c r="AM2143">
        <v>0</v>
      </c>
      <c r="AN2143">
        <v>0</v>
      </c>
      <c r="AO2143">
        <v>1</v>
      </c>
      <c r="AP2143">
        <v>0</v>
      </c>
      <c r="AQ2143">
        <v>0</v>
      </c>
      <c r="AR2143">
        <v>0</v>
      </c>
      <c r="AS2143">
        <v>0</v>
      </c>
      <c r="AT2143">
        <v>0</v>
      </c>
      <c r="AU2143">
        <f t="shared" si="66"/>
        <v>1</v>
      </c>
      <c r="AV2143">
        <f t="shared" si="67"/>
        <v>0</v>
      </c>
    </row>
    <row r="2144" spans="1:48" x14ac:dyDescent="0.25">
      <c r="A2144" t="s">
        <v>7763</v>
      </c>
      <c r="C2144" t="s">
        <v>7764</v>
      </c>
      <c r="D2144" t="s">
        <v>7765</v>
      </c>
      <c r="E2144" t="s">
        <v>2310</v>
      </c>
      <c r="F2144">
        <v>9</v>
      </c>
      <c r="G2144">
        <v>9.1</v>
      </c>
      <c r="H2144" t="s">
        <v>2323</v>
      </c>
      <c r="I2144" s="21">
        <v>39125</v>
      </c>
      <c r="J2144">
        <v>2007</v>
      </c>
      <c r="K2144" s="21">
        <v>39160</v>
      </c>
      <c r="L2144">
        <v>2007</v>
      </c>
      <c r="M2144" s="21">
        <v>39412</v>
      </c>
      <c r="N2144">
        <v>2007</v>
      </c>
      <c r="R2144" s="262">
        <v>125000</v>
      </c>
      <c r="S2144" t="s">
        <v>114</v>
      </c>
      <c r="T2144" t="s">
        <v>114</v>
      </c>
      <c r="U2144">
        <v>5</v>
      </c>
      <c r="W2144">
        <v>700</v>
      </c>
      <c r="X2144">
        <v>0</v>
      </c>
      <c r="Y2144">
        <v>0</v>
      </c>
      <c r="Z2144">
        <v>0</v>
      </c>
      <c r="AA2144">
        <v>0</v>
      </c>
      <c r="AB2144">
        <v>0</v>
      </c>
      <c r="AC2144">
        <v>700</v>
      </c>
      <c r="AD2144">
        <v>0</v>
      </c>
      <c r="AE2144">
        <v>0</v>
      </c>
      <c r="AF2144">
        <v>0</v>
      </c>
      <c r="AG2144">
        <v>0</v>
      </c>
      <c r="AH2144">
        <v>0</v>
      </c>
      <c r="AI2144">
        <v>0</v>
      </c>
      <c r="AJ2144">
        <v>0</v>
      </c>
      <c r="AK2144">
        <v>0</v>
      </c>
      <c r="AL2144">
        <v>0</v>
      </c>
      <c r="AM2144">
        <v>0</v>
      </c>
      <c r="AN2144">
        <v>0</v>
      </c>
      <c r="AO2144">
        <v>0</v>
      </c>
      <c r="AP2144">
        <v>0</v>
      </c>
      <c r="AQ2144">
        <v>0</v>
      </c>
      <c r="AR2144">
        <v>0</v>
      </c>
      <c r="AS2144">
        <v>0</v>
      </c>
      <c r="AT2144">
        <v>0</v>
      </c>
      <c r="AU2144">
        <f t="shared" si="66"/>
        <v>0</v>
      </c>
      <c r="AV2144">
        <f t="shared" si="67"/>
        <v>0</v>
      </c>
    </row>
    <row r="2145" spans="1:48" x14ac:dyDescent="0.25">
      <c r="A2145" t="s">
        <v>7766</v>
      </c>
      <c r="C2145" t="s">
        <v>7767</v>
      </c>
      <c r="D2145" t="s">
        <v>1577</v>
      </c>
      <c r="E2145" t="s">
        <v>2310</v>
      </c>
      <c r="F2145">
        <v>15</v>
      </c>
      <c r="G2145">
        <v>15.4</v>
      </c>
      <c r="H2145" t="s">
        <v>2323</v>
      </c>
      <c r="I2145" s="21">
        <v>39125</v>
      </c>
      <c r="J2145">
        <v>2007</v>
      </c>
      <c r="K2145" s="21">
        <v>39175</v>
      </c>
      <c r="L2145">
        <v>2007</v>
      </c>
      <c r="M2145" s="21">
        <v>40066.691122685203</v>
      </c>
      <c r="N2145">
        <v>2009</v>
      </c>
      <c r="Q2145" s="262">
        <v>2800000</v>
      </c>
      <c r="R2145" s="262">
        <v>2800000</v>
      </c>
      <c r="S2145" t="s">
        <v>114</v>
      </c>
      <c r="T2145" t="s">
        <v>114</v>
      </c>
      <c r="U2145">
        <v>5</v>
      </c>
      <c r="W2145">
        <v>10098</v>
      </c>
      <c r="X2145">
        <v>1</v>
      </c>
      <c r="Y2145">
        <v>0</v>
      </c>
      <c r="Z2145">
        <v>0</v>
      </c>
      <c r="AA2145">
        <v>0</v>
      </c>
      <c r="AB2145">
        <v>0</v>
      </c>
      <c r="AC2145">
        <v>10098</v>
      </c>
      <c r="AD2145">
        <v>0</v>
      </c>
      <c r="AE2145">
        <v>0</v>
      </c>
      <c r="AF2145">
        <v>0</v>
      </c>
      <c r="AG2145">
        <v>0</v>
      </c>
      <c r="AH2145">
        <v>0</v>
      </c>
      <c r="AI2145">
        <v>0</v>
      </c>
      <c r="AJ2145">
        <v>0</v>
      </c>
      <c r="AK2145">
        <v>0</v>
      </c>
      <c r="AL2145">
        <v>0</v>
      </c>
      <c r="AM2145">
        <v>0</v>
      </c>
      <c r="AN2145">
        <v>0</v>
      </c>
      <c r="AO2145">
        <v>1</v>
      </c>
      <c r="AP2145">
        <v>0</v>
      </c>
      <c r="AQ2145">
        <v>0</v>
      </c>
      <c r="AR2145">
        <v>0</v>
      </c>
      <c r="AS2145">
        <v>0</v>
      </c>
      <c r="AT2145">
        <v>0</v>
      </c>
      <c r="AU2145">
        <f t="shared" si="66"/>
        <v>1</v>
      </c>
      <c r="AV2145">
        <f t="shared" si="67"/>
        <v>0</v>
      </c>
    </row>
    <row r="2146" spans="1:48" x14ac:dyDescent="0.25">
      <c r="A2146" t="s">
        <v>7768</v>
      </c>
      <c r="C2146" t="s">
        <v>7769</v>
      </c>
      <c r="D2146" t="s">
        <v>7770</v>
      </c>
      <c r="E2146" t="s">
        <v>2310</v>
      </c>
      <c r="F2146">
        <v>12</v>
      </c>
      <c r="G2146">
        <v>12.3</v>
      </c>
      <c r="H2146" t="s">
        <v>2017</v>
      </c>
      <c r="I2146" s="21">
        <v>39128</v>
      </c>
      <c r="J2146">
        <v>2007</v>
      </c>
      <c r="K2146" s="21">
        <v>39170</v>
      </c>
      <c r="L2146">
        <v>2007</v>
      </c>
      <c r="M2146" s="21">
        <v>39170</v>
      </c>
      <c r="N2146">
        <v>2007</v>
      </c>
      <c r="R2146" s="262">
        <v>140000</v>
      </c>
      <c r="S2146" t="s">
        <v>114</v>
      </c>
      <c r="T2146" t="s">
        <v>114</v>
      </c>
      <c r="U2146">
        <v>5</v>
      </c>
      <c r="W2146">
        <v>1254</v>
      </c>
      <c r="X2146">
        <v>0</v>
      </c>
      <c r="Y2146">
        <v>0</v>
      </c>
      <c r="Z2146">
        <v>0</v>
      </c>
      <c r="AA2146">
        <v>0</v>
      </c>
      <c r="AB2146">
        <v>0</v>
      </c>
      <c r="AC2146">
        <v>1254</v>
      </c>
      <c r="AD2146">
        <v>0</v>
      </c>
      <c r="AE2146">
        <v>0</v>
      </c>
      <c r="AF2146">
        <v>0</v>
      </c>
      <c r="AG2146">
        <v>0</v>
      </c>
      <c r="AH2146">
        <v>0</v>
      </c>
      <c r="AI2146">
        <v>0</v>
      </c>
      <c r="AJ2146">
        <v>0</v>
      </c>
      <c r="AK2146">
        <v>0</v>
      </c>
      <c r="AL2146">
        <v>0</v>
      </c>
      <c r="AM2146">
        <v>0</v>
      </c>
      <c r="AN2146">
        <v>0</v>
      </c>
      <c r="AO2146">
        <v>0</v>
      </c>
      <c r="AP2146">
        <v>0</v>
      </c>
      <c r="AQ2146">
        <v>0</v>
      </c>
      <c r="AR2146">
        <v>0</v>
      </c>
      <c r="AS2146">
        <v>0</v>
      </c>
      <c r="AT2146">
        <v>0</v>
      </c>
      <c r="AU2146">
        <f t="shared" si="66"/>
        <v>0</v>
      </c>
      <c r="AV2146">
        <f t="shared" si="67"/>
        <v>0</v>
      </c>
    </row>
    <row r="2147" spans="1:48" x14ac:dyDescent="0.25">
      <c r="A2147" t="s">
        <v>7771</v>
      </c>
      <c r="C2147" t="s">
        <v>7772</v>
      </c>
      <c r="D2147" t="s">
        <v>7773</v>
      </c>
      <c r="E2147" t="s">
        <v>2310</v>
      </c>
      <c r="F2147">
        <v>11</v>
      </c>
      <c r="G2147">
        <v>11.3</v>
      </c>
      <c r="H2147" t="s">
        <v>2017</v>
      </c>
      <c r="I2147" s="21">
        <v>39128</v>
      </c>
      <c r="J2147">
        <v>2007</v>
      </c>
      <c r="K2147" s="21">
        <v>39170</v>
      </c>
      <c r="L2147">
        <v>2007</v>
      </c>
      <c r="M2147" s="21">
        <v>39385</v>
      </c>
      <c r="N2147">
        <v>2007</v>
      </c>
      <c r="R2147" s="262">
        <v>60000</v>
      </c>
      <c r="S2147" t="s">
        <v>114</v>
      </c>
      <c r="T2147" t="s">
        <v>114</v>
      </c>
      <c r="U2147">
        <v>5</v>
      </c>
      <c r="W2147">
        <v>306</v>
      </c>
      <c r="X2147">
        <v>0</v>
      </c>
      <c r="Y2147">
        <v>0</v>
      </c>
      <c r="Z2147">
        <v>0</v>
      </c>
      <c r="AA2147">
        <v>0</v>
      </c>
      <c r="AB2147">
        <v>0</v>
      </c>
      <c r="AC2147">
        <v>306</v>
      </c>
      <c r="AD2147">
        <v>0</v>
      </c>
      <c r="AE2147">
        <v>0</v>
      </c>
      <c r="AF2147">
        <v>0</v>
      </c>
      <c r="AG2147">
        <v>0</v>
      </c>
      <c r="AH2147">
        <v>0</v>
      </c>
      <c r="AI2147">
        <v>0</v>
      </c>
      <c r="AJ2147">
        <v>0</v>
      </c>
      <c r="AK2147">
        <v>0</v>
      </c>
      <c r="AL2147">
        <v>0</v>
      </c>
      <c r="AM2147">
        <v>0</v>
      </c>
      <c r="AN2147">
        <v>0</v>
      </c>
      <c r="AO2147">
        <v>0</v>
      </c>
      <c r="AP2147">
        <v>0</v>
      </c>
      <c r="AQ2147">
        <v>0</v>
      </c>
      <c r="AR2147">
        <v>0</v>
      </c>
      <c r="AS2147">
        <v>0</v>
      </c>
      <c r="AT2147">
        <v>0</v>
      </c>
      <c r="AU2147">
        <f t="shared" si="66"/>
        <v>0</v>
      </c>
      <c r="AV2147">
        <f t="shared" si="67"/>
        <v>0</v>
      </c>
    </row>
    <row r="2148" spans="1:48" x14ac:dyDescent="0.25">
      <c r="A2148" t="s">
        <v>7774</v>
      </c>
      <c r="C2148" t="s">
        <v>7775</v>
      </c>
      <c r="D2148" t="s">
        <v>7776</v>
      </c>
      <c r="E2148" t="s">
        <v>2310</v>
      </c>
      <c r="F2148">
        <v>8</v>
      </c>
      <c r="G2148">
        <v>8.1</v>
      </c>
      <c r="H2148" t="s">
        <v>2323</v>
      </c>
      <c r="I2148" s="21">
        <v>39128</v>
      </c>
      <c r="J2148">
        <v>2007</v>
      </c>
      <c r="K2148" s="21">
        <v>39176</v>
      </c>
      <c r="L2148">
        <v>2007</v>
      </c>
      <c r="M2148" s="21">
        <v>39622</v>
      </c>
      <c r="N2148">
        <v>2008</v>
      </c>
      <c r="R2148" s="262">
        <v>750000</v>
      </c>
      <c r="S2148" t="s">
        <v>114</v>
      </c>
      <c r="T2148" t="s">
        <v>114</v>
      </c>
      <c r="U2148">
        <v>5</v>
      </c>
      <c r="W2148">
        <v>2698</v>
      </c>
      <c r="X2148">
        <v>0</v>
      </c>
      <c r="Y2148">
        <v>0</v>
      </c>
      <c r="Z2148">
        <v>0</v>
      </c>
      <c r="AA2148">
        <v>0</v>
      </c>
      <c r="AB2148">
        <v>0</v>
      </c>
      <c r="AC2148">
        <v>2698</v>
      </c>
      <c r="AD2148">
        <v>0</v>
      </c>
      <c r="AE2148">
        <v>0</v>
      </c>
      <c r="AF2148">
        <v>0</v>
      </c>
      <c r="AG2148">
        <v>0</v>
      </c>
      <c r="AH2148">
        <v>0</v>
      </c>
      <c r="AI2148">
        <v>0</v>
      </c>
      <c r="AJ2148">
        <v>0</v>
      </c>
      <c r="AK2148">
        <v>0</v>
      </c>
      <c r="AL2148">
        <v>0</v>
      </c>
      <c r="AM2148">
        <v>0</v>
      </c>
      <c r="AN2148">
        <v>0</v>
      </c>
      <c r="AO2148">
        <v>0</v>
      </c>
      <c r="AP2148">
        <v>0</v>
      </c>
      <c r="AQ2148">
        <v>0</v>
      </c>
      <c r="AR2148">
        <v>0</v>
      </c>
      <c r="AS2148">
        <v>0</v>
      </c>
      <c r="AT2148">
        <v>0</v>
      </c>
      <c r="AU2148">
        <f t="shared" si="66"/>
        <v>0</v>
      </c>
      <c r="AV2148">
        <f t="shared" si="67"/>
        <v>0</v>
      </c>
    </row>
    <row r="2149" spans="1:48" x14ac:dyDescent="0.25">
      <c r="A2149" t="s">
        <v>7777</v>
      </c>
      <c r="C2149" t="s">
        <v>7778</v>
      </c>
      <c r="D2149" t="s">
        <v>7779</v>
      </c>
      <c r="E2149" t="s">
        <v>1663</v>
      </c>
      <c r="F2149">
        <v>3</v>
      </c>
      <c r="G2149">
        <v>3.1</v>
      </c>
      <c r="H2149" t="s">
        <v>2017</v>
      </c>
      <c r="I2149" s="21">
        <v>39129</v>
      </c>
      <c r="J2149">
        <v>2007</v>
      </c>
      <c r="K2149" s="21">
        <v>39157</v>
      </c>
      <c r="L2149">
        <v>2007</v>
      </c>
      <c r="M2149" s="21">
        <v>39310</v>
      </c>
      <c r="N2149">
        <v>2007</v>
      </c>
      <c r="Q2149" s="262">
        <v>0</v>
      </c>
      <c r="S2149" t="s">
        <v>114</v>
      </c>
      <c r="T2149" t="s">
        <v>114</v>
      </c>
      <c r="W2149">
        <v>4722</v>
      </c>
      <c r="X2149">
        <v>1</v>
      </c>
      <c r="Y2149">
        <v>0</v>
      </c>
      <c r="Z2149">
        <v>0</v>
      </c>
      <c r="AA2149">
        <v>0</v>
      </c>
      <c r="AB2149">
        <v>0</v>
      </c>
      <c r="AC2149">
        <v>4722</v>
      </c>
      <c r="AD2149">
        <v>0</v>
      </c>
      <c r="AE2149">
        <v>0</v>
      </c>
      <c r="AF2149">
        <v>0</v>
      </c>
      <c r="AG2149">
        <v>0</v>
      </c>
      <c r="AH2149">
        <v>0</v>
      </c>
      <c r="AI2149">
        <v>0</v>
      </c>
      <c r="AJ2149">
        <v>0</v>
      </c>
      <c r="AK2149">
        <v>0</v>
      </c>
      <c r="AL2149">
        <v>0</v>
      </c>
      <c r="AM2149">
        <v>0</v>
      </c>
      <c r="AN2149">
        <v>0</v>
      </c>
      <c r="AO2149">
        <v>1</v>
      </c>
      <c r="AP2149">
        <v>0</v>
      </c>
      <c r="AQ2149">
        <v>0</v>
      </c>
      <c r="AR2149">
        <v>0</v>
      </c>
      <c r="AS2149">
        <v>0</v>
      </c>
      <c r="AT2149">
        <v>0</v>
      </c>
      <c r="AU2149">
        <f t="shared" si="66"/>
        <v>1</v>
      </c>
      <c r="AV2149">
        <f t="shared" si="67"/>
        <v>0</v>
      </c>
    </row>
    <row r="2150" spans="1:48" x14ac:dyDescent="0.25">
      <c r="A2150" t="s">
        <v>7780</v>
      </c>
      <c r="C2150" t="s">
        <v>7781</v>
      </c>
      <c r="D2150" t="s">
        <v>7782</v>
      </c>
      <c r="E2150" t="s">
        <v>2310</v>
      </c>
      <c r="F2150">
        <v>12</v>
      </c>
      <c r="G2150">
        <v>12.3</v>
      </c>
      <c r="H2150" t="s">
        <v>2017</v>
      </c>
      <c r="I2150" s="21">
        <v>39133</v>
      </c>
      <c r="J2150">
        <v>2007</v>
      </c>
      <c r="K2150" s="21">
        <v>39171</v>
      </c>
      <c r="L2150">
        <v>2007</v>
      </c>
      <c r="M2150" s="21">
        <v>39385</v>
      </c>
      <c r="N2150">
        <v>2007</v>
      </c>
      <c r="R2150" s="262">
        <v>150000</v>
      </c>
      <c r="S2150" t="s">
        <v>114</v>
      </c>
      <c r="T2150" t="s">
        <v>114</v>
      </c>
      <c r="U2150">
        <v>5</v>
      </c>
      <c r="W2150">
        <v>484</v>
      </c>
      <c r="X2150">
        <v>0</v>
      </c>
      <c r="Y2150">
        <v>0</v>
      </c>
      <c r="Z2150">
        <v>0</v>
      </c>
      <c r="AA2150">
        <v>0</v>
      </c>
      <c r="AB2150">
        <v>0</v>
      </c>
      <c r="AC2150">
        <v>484</v>
      </c>
      <c r="AD2150">
        <v>0</v>
      </c>
      <c r="AE2150">
        <v>0</v>
      </c>
      <c r="AF2150">
        <v>0</v>
      </c>
      <c r="AG2150">
        <v>0</v>
      </c>
      <c r="AH2150">
        <v>0</v>
      </c>
      <c r="AI2150">
        <v>0</v>
      </c>
      <c r="AJ2150">
        <v>0</v>
      </c>
      <c r="AK2150">
        <v>0</v>
      </c>
      <c r="AL2150">
        <v>0</v>
      </c>
      <c r="AM2150">
        <v>0</v>
      </c>
      <c r="AN2150">
        <v>0</v>
      </c>
      <c r="AO2150">
        <v>0</v>
      </c>
      <c r="AP2150">
        <v>0</v>
      </c>
      <c r="AQ2150">
        <v>0</v>
      </c>
      <c r="AR2150">
        <v>0</v>
      </c>
      <c r="AS2150">
        <v>0</v>
      </c>
      <c r="AT2150">
        <v>0</v>
      </c>
      <c r="AU2150">
        <f t="shared" si="66"/>
        <v>0</v>
      </c>
      <c r="AV2150">
        <f t="shared" si="67"/>
        <v>0</v>
      </c>
    </row>
    <row r="2151" spans="1:48" x14ac:dyDescent="0.25">
      <c r="A2151" t="s">
        <v>7783</v>
      </c>
      <c r="C2151" t="s">
        <v>7784</v>
      </c>
      <c r="D2151" t="s">
        <v>7785</v>
      </c>
      <c r="E2151" t="s">
        <v>2310</v>
      </c>
      <c r="F2151">
        <v>8</v>
      </c>
      <c r="G2151">
        <v>8.1</v>
      </c>
      <c r="H2151" t="s">
        <v>2323</v>
      </c>
      <c r="I2151" s="21">
        <v>39133</v>
      </c>
      <c r="J2151">
        <v>2007</v>
      </c>
      <c r="K2151" s="21">
        <v>39161</v>
      </c>
      <c r="L2151">
        <v>2007</v>
      </c>
      <c r="M2151" s="21">
        <v>39161</v>
      </c>
      <c r="N2151">
        <v>2007</v>
      </c>
      <c r="R2151" s="262">
        <v>51000</v>
      </c>
      <c r="S2151" t="s">
        <v>114</v>
      </c>
      <c r="T2151" t="s">
        <v>114</v>
      </c>
      <c r="U2151">
        <v>5</v>
      </c>
      <c r="W2151">
        <v>550</v>
      </c>
      <c r="X2151">
        <v>0</v>
      </c>
      <c r="Y2151">
        <v>0</v>
      </c>
      <c r="Z2151">
        <v>0</v>
      </c>
      <c r="AA2151">
        <v>0</v>
      </c>
      <c r="AB2151">
        <v>0</v>
      </c>
      <c r="AC2151">
        <v>550</v>
      </c>
      <c r="AD2151">
        <v>0</v>
      </c>
      <c r="AE2151">
        <v>0</v>
      </c>
      <c r="AF2151">
        <v>0</v>
      </c>
      <c r="AG2151">
        <v>0</v>
      </c>
      <c r="AH2151">
        <v>0</v>
      </c>
      <c r="AI2151">
        <v>0</v>
      </c>
      <c r="AJ2151">
        <v>0</v>
      </c>
      <c r="AK2151">
        <v>0</v>
      </c>
      <c r="AL2151">
        <v>0</v>
      </c>
      <c r="AM2151">
        <v>0</v>
      </c>
      <c r="AN2151">
        <v>0</v>
      </c>
      <c r="AO2151">
        <v>0</v>
      </c>
      <c r="AP2151">
        <v>0</v>
      </c>
      <c r="AQ2151">
        <v>0</v>
      </c>
      <c r="AR2151">
        <v>0</v>
      </c>
      <c r="AS2151">
        <v>0</v>
      </c>
      <c r="AT2151">
        <v>0</v>
      </c>
      <c r="AU2151">
        <f t="shared" si="66"/>
        <v>0</v>
      </c>
      <c r="AV2151">
        <f t="shared" si="67"/>
        <v>0</v>
      </c>
    </row>
    <row r="2152" spans="1:48" x14ac:dyDescent="0.25">
      <c r="A2152" t="s">
        <v>7786</v>
      </c>
      <c r="C2152" t="s">
        <v>7787</v>
      </c>
      <c r="D2152" t="s">
        <v>5713</v>
      </c>
      <c r="E2152" t="s">
        <v>2310</v>
      </c>
      <c r="F2152">
        <v>7</v>
      </c>
      <c r="G2152">
        <v>7.2</v>
      </c>
      <c r="H2152" t="s">
        <v>2017</v>
      </c>
      <c r="I2152" s="21">
        <v>39135</v>
      </c>
      <c r="J2152">
        <v>2007</v>
      </c>
      <c r="K2152" s="21">
        <v>39160</v>
      </c>
      <c r="L2152">
        <v>2007</v>
      </c>
      <c r="M2152" s="21">
        <v>39462</v>
      </c>
      <c r="N2152">
        <v>2008</v>
      </c>
      <c r="R2152" s="262">
        <v>250000</v>
      </c>
      <c r="S2152" t="s">
        <v>114</v>
      </c>
      <c r="T2152" t="s">
        <v>114</v>
      </c>
      <c r="U2152">
        <v>5</v>
      </c>
      <c r="W2152">
        <v>1952</v>
      </c>
      <c r="X2152">
        <v>0</v>
      </c>
      <c r="Y2152">
        <v>0</v>
      </c>
      <c r="Z2152">
        <v>0</v>
      </c>
      <c r="AA2152">
        <v>0</v>
      </c>
      <c r="AB2152">
        <v>0</v>
      </c>
      <c r="AC2152">
        <v>1952</v>
      </c>
      <c r="AD2152">
        <v>0</v>
      </c>
      <c r="AE2152">
        <v>0</v>
      </c>
      <c r="AF2152">
        <v>0</v>
      </c>
      <c r="AG2152">
        <v>0</v>
      </c>
      <c r="AH2152">
        <v>0</v>
      </c>
      <c r="AI2152">
        <v>0</v>
      </c>
      <c r="AJ2152">
        <v>0</v>
      </c>
      <c r="AK2152">
        <v>0</v>
      </c>
      <c r="AL2152">
        <v>0</v>
      </c>
      <c r="AM2152">
        <v>0</v>
      </c>
      <c r="AN2152">
        <v>0</v>
      </c>
      <c r="AO2152">
        <v>0</v>
      </c>
      <c r="AP2152">
        <v>0</v>
      </c>
      <c r="AQ2152">
        <v>0</v>
      </c>
      <c r="AR2152">
        <v>0</v>
      </c>
      <c r="AS2152">
        <v>0</v>
      </c>
      <c r="AT2152">
        <v>0</v>
      </c>
      <c r="AU2152">
        <f t="shared" si="66"/>
        <v>0</v>
      </c>
      <c r="AV2152">
        <f t="shared" si="67"/>
        <v>0</v>
      </c>
    </row>
    <row r="2153" spans="1:48" x14ac:dyDescent="0.25">
      <c r="A2153" t="s">
        <v>7790</v>
      </c>
      <c r="C2153" t="s">
        <v>7791</v>
      </c>
      <c r="D2153" t="s">
        <v>7005</v>
      </c>
      <c r="E2153" t="s">
        <v>2310</v>
      </c>
      <c r="F2153">
        <v>9</v>
      </c>
      <c r="G2153">
        <v>9.4</v>
      </c>
      <c r="H2153" t="s">
        <v>2323</v>
      </c>
      <c r="I2153" s="21">
        <v>39136</v>
      </c>
      <c r="J2153">
        <v>2007</v>
      </c>
      <c r="K2153" s="21">
        <v>39196</v>
      </c>
      <c r="L2153">
        <v>2007</v>
      </c>
      <c r="M2153" s="21">
        <v>39196</v>
      </c>
      <c r="N2153">
        <v>2007</v>
      </c>
      <c r="R2153" s="262">
        <v>0</v>
      </c>
      <c r="S2153" t="s">
        <v>114</v>
      </c>
      <c r="T2153" t="s">
        <v>114</v>
      </c>
      <c r="U2153">
        <v>5</v>
      </c>
      <c r="W2153">
        <v>0</v>
      </c>
      <c r="X2153">
        <v>0</v>
      </c>
      <c r="Y2153">
        <v>0</v>
      </c>
      <c r="Z2153">
        <v>0</v>
      </c>
      <c r="AA2153">
        <v>0</v>
      </c>
      <c r="AB2153">
        <v>0</v>
      </c>
      <c r="AC2153">
        <v>0</v>
      </c>
      <c r="AD2153">
        <v>0</v>
      </c>
      <c r="AE2153">
        <v>0</v>
      </c>
      <c r="AF2153">
        <v>0</v>
      </c>
      <c r="AG2153">
        <v>0</v>
      </c>
      <c r="AH2153">
        <v>0</v>
      </c>
      <c r="AI2153">
        <v>0</v>
      </c>
      <c r="AJ2153">
        <v>0</v>
      </c>
      <c r="AK2153">
        <v>0</v>
      </c>
      <c r="AL2153">
        <v>0</v>
      </c>
      <c r="AM2153">
        <v>0</v>
      </c>
      <c r="AN2153">
        <v>0</v>
      </c>
      <c r="AO2153">
        <v>0</v>
      </c>
      <c r="AP2153">
        <v>0</v>
      </c>
      <c r="AQ2153">
        <v>0</v>
      </c>
      <c r="AR2153">
        <v>0</v>
      </c>
      <c r="AS2153">
        <v>0</v>
      </c>
      <c r="AT2153">
        <v>0</v>
      </c>
      <c r="AU2153">
        <f t="shared" si="66"/>
        <v>0</v>
      </c>
      <c r="AV2153">
        <f t="shared" si="67"/>
        <v>0</v>
      </c>
    </row>
    <row r="2154" spans="1:48" x14ac:dyDescent="0.25">
      <c r="A2154" t="s">
        <v>7792</v>
      </c>
      <c r="C2154" t="s">
        <v>7793</v>
      </c>
      <c r="D2154" t="s">
        <v>7794</v>
      </c>
      <c r="E2154" t="s">
        <v>2310</v>
      </c>
      <c r="F2154">
        <v>9</v>
      </c>
      <c r="G2154">
        <v>9.1</v>
      </c>
      <c r="H2154" t="s">
        <v>2323</v>
      </c>
      <c r="I2154" s="21">
        <v>39136</v>
      </c>
      <c r="J2154">
        <v>2007</v>
      </c>
      <c r="K2154" s="21">
        <v>39175</v>
      </c>
      <c r="L2154">
        <v>2007</v>
      </c>
      <c r="M2154" s="21">
        <v>39437</v>
      </c>
      <c r="N2154">
        <v>2007</v>
      </c>
      <c r="R2154" s="262">
        <v>491800</v>
      </c>
      <c r="S2154" t="s">
        <v>114</v>
      </c>
      <c r="T2154" t="s">
        <v>114</v>
      </c>
      <c r="U2154">
        <v>5</v>
      </c>
      <c r="W2154">
        <v>3151</v>
      </c>
      <c r="X2154">
        <v>0</v>
      </c>
      <c r="Y2154">
        <v>0</v>
      </c>
      <c r="Z2154">
        <v>0</v>
      </c>
      <c r="AA2154">
        <v>0</v>
      </c>
      <c r="AB2154">
        <v>0</v>
      </c>
      <c r="AC2154">
        <v>3151</v>
      </c>
      <c r="AD2154">
        <v>0</v>
      </c>
      <c r="AE2154">
        <v>0</v>
      </c>
      <c r="AF2154">
        <v>0</v>
      </c>
      <c r="AG2154">
        <v>0</v>
      </c>
      <c r="AH2154">
        <v>0</v>
      </c>
      <c r="AI2154">
        <v>0</v>
      </c>
      <c r="AJ2154">
        <v>0</v>
      </c>
      <c r="AK2154">
        <v>0</v>
      </c>
      <c r="AL2154">
        <v>0</v>
      </c>
      <c r="AM2154">
        <v>0</v>
      </c>
      <c r="AN2154">
        <v>0</v>
      </c>
      <c r="AO2154">
        <v>0</v>
      </c>
      <c r="AP2154">
        <v>0</v>
      </c>
      <c r="AQ2154">
        <v>0</v>
      </c>
      <c r="AR2154">
        <v>0</v>
      </c>
      <c r="AS2154">
        <v>0</v>
      </c>
      <c r="AT2154">
        <v>0</v>
      </c>
      <c r="AU2154">
        <f t="shared" si="66"/>
        <v>0</v>
      </c>
      <c r="AV2154">
        <f t="shared" si="67"/>
        <v>0</v>
      </c>
    </row>
    <row r="2155" spans="1:48" x14ac:dyDescent="0.25">
      <c r="A2155" t="s">
        <v>7795</v>
      </c>
      <c r="C2155" t="s">
        <v>7796</v>
      </c>
      <c r="D2155" t="s">
        <v>7797</v>
      </c>
      <c r="E2155" t="s">
        <v>2310</v>
      </c>
      <c r="F2155">
        <v>9</v>
      </c>
      <c r="G2155">
        <v>9.3000000000000007</v>
      </c>
      <c r="H2155" t="s">
        <v>2323</v>
      </c>
      <c r="I2155" s="21">
        <v>39136</v>
      </c>
      <c r="J2155">
        <v>2007</v>
      </c>
      <c r="K2155" s="21">
        <v>39188</v>
      </c>
      <c r="L2155">
        <v>2007</v>
      </c>
      <c r="M2155" s="21">
        <v>39437</v>
      </c>
      <c r="N2155">
        <v>2007</v>
      </c>
      <c r="R2155" s="262">
        <v>300000</v>
      </c>
      <c r="S2155" t="s">
        <v>114</v>
      </c>
      <c r="T2155" t="s">
        <v>114</v>
      </c>
      <c r="U2155">
        <v>8</v>
      </c>
      <c r="W2155">
        <v>2268</v>
      </c>
      <c r="X2155">
        <v>1</v>
      </c>
      <c r="Y2155">
        <v>0</v>
      </c>
      <c r="Z2155">
        <v>0</v>
      </c>
      <c r="AA2155">
        <v>0</v>
      </c>
      <c r="AB2155">
        <v>0</v>
      </c>
      <c r="AC2155">
        <v>1269</v>
      </c>
      <c r="AD2155">
        <v>0</v>
      </c>
      <c r="AE2155">
        <v>0</v>
      </c>
      <c r="AF2155">
        <v>999</v>
      </c>
      <c r="AG2155">
        <v>0</v>
      </c>
      <c r="AH2155">
        <v>0</v>
      </c>
      <c r="AI2155">
        <v>0</v>
      </c>
      <c r="AJ2155">
        <v>0</v>
      </c>
      <c r="AK2155">
        <v>0</v>
      </c>
      <c r="AL2155">
        <v>0</v>
      </c>
      <c r="AM2155">
        <v>0</v>
      </c>
      <c r="AN2155">
        <v>0</v>
      </c>
      <c r="AO2155">
        <v>0</v>
      </c>
      <c r="AP2155">
        <v>0</v>
      </c>
      <c r="AQ2155">
        <v>0</v>
      </c>
      <c r="AR2155">
        <v>1</v>
      </c>
      <c r="AS2155">
        <v>0</v>
      </c>
      <c r="AT2155">
        <v>0</v>
      </c>
      <c r="AU2155">
        <f t="shared" si="66"/>
        <v>0</v>
      </c>
      <c r="AV2155">
        <f t="shared" si="67"/>
        <v>0</v>
      </c>
    </row>
    <row r="2156" spans="1:48" x14ac:dyDescent="0.25">
      <c r="A2156" t="s">
        <v>7798</v>
      </c>
      <c r="C2156" t="s">
        <v>4825</v>
      </c>
      <c r="D2156" t="s">
        <v>7799</v>
      </c>
      <c r="E2156" t="s">
        <v>2310</v>
      </c>
      <c r="F2156">
        <v>13</v>
      </c>
      <c r="G2156">
        <v>13.3</v>
      </c>
      <c r="H2156" t="s">
        <v>2017</v>
      </c>
      <c r="I2156" s="21">
        <v>39136</v>
      </c>
      <c r="J2156">
        <v>2007</v>
      </c>
      <c r="K2156" s="21">
        <v>39156</v>
      </c>
      <c r="L2156">
        <v>2007</v>
      </c>
      <c r="M2156" s="21">
        <v>39300</v>
      </c>
      <c r="N2156">
        <v>2007</v>
      </c>
      <c r="R2156" s="262">
        <v>400000</v>
      </c>
      <c r="S2156" t="s">
        <v>114</v>
      </c>
      <c r="T2156" t="s">
        <v>114</v>
      </c>
      <c r="U2156">
        <v>5</v>
      </c>
      <c r="W2156">
        <v>0</v>
      </c>
      <c r="X2156">
        <v>0</v>
      </c>
      <c r="Y2156">
        <v>0</v>
      </c>
      <c r="Z2156">
        <v>0</v>
      </c>
      <c r="AA2156">
        <v>0</v>
      </c>
      <c r="AB2156">
        <v>0</v>
      </c>
      <c r="AC2156">
        <v>0</v>
      </c>
      <c r="AD2156">
        <v>0</v>
      </c>
      <c r="AE2156">
        <v>0</v>
      </c>
      <c r="AF2156">
        <v>0</v>
      </c>
      <c r="AG2156">
        <v>0</v>
      </c>
      <c r="AH2156">
        <v>0</v>
      </c>
      <c r="AI2156">
        <v>0</v>
      </c>
      <c r="AJ2156">
        <v>0</v>
      </c>
      <c r="AK2156">
        <v>0</v>
      </c>
      <c r="AL2156">
        <v>0</v>
      </c>
      <c r="AM2156">
        <v>0</v>
      </c>
      <c r="AN2156">
        <v>0</v>
      </c>
      <c r="AO2156">
        <v>0</v>
      </c>
      <c r="AP2156">
        <v>0</v>
      </c>
      <c r="AQ2156">
        <v>0</v>
      </c>
      <c r="AR2156">
        <v>0</v>
      </c>
      <c r="AS2156">
        <v>0</v>
      </c>
      <c r="AT2156">
        <v>0</v>
      </c>
      <c r="AU2156">
        <f t="shared" si="66"/>
        <v>0</v>
      </c>
      <c r="AV2156">
        <f t="shared" si="67"/>
        <v>0</v>
      </c>
    </row>
    <row r="2157" spans="1:48" x14ac:dyDescent="0.25">
      <c r="A2157" t="s">
        <v>7788</v>
      </c>
      <c r="C2157" t="s">
        <v>7789</v>
      </c>
      <c r="D2157" t="s">
        <v>3958</v>
      </c>
      <c r="E2157" t="s">
        <v>1663</v>
      </c>
      <c r="F2157">
        <v>5</v>
      </c>
      <c r="G2157">
        <v>5.5</v>
      </c>
      <c r="H2157" t="s">
        <v>2017</v>
      </c>
      <c r="I2157" s="21">
        <v>39136</v>
      </c>
      <c r="J2157">
        <v>2007</v>
      </c>
      <c r="K2157" s="21">
        <v>39164</v>
      </c>
      <c r="L2157">
        <v>2007</v>
      </c>
      <c r="M2157" s="21">
        <v>39317</v>
      </c>
      <c r="N2157">
        <v>2007</v>
      </c>
      <c r="Q2157" s="262">
        <v>0</v>
      </c>
      <c r="S2157" t="s">
        <v>114</v>
      </c>
      <c r="T2157" t="s">
        <v>114</v>
      </c>
      <c r="W2157">
        <v>2900</v>
      </c>
      <c r="X2157">
        <v>0</v>
      </c>
      <c r="Y2157">
        <v>0</v>
      </c>
      <c r="Z2157">
        <v>0</v>
      </c>
      <c r="AA2157">
        <v>0</v>
      </c>
      <c r="AB2157">
        <v>0</v>
      </c>
      <c r="AC2157">
        <v>0</v>
      </c>
      <c r="AD2157">
        <v>0</v>
      </c>
      <c r="AE2157">
        <v>2900</v>
      </c>
      <c r="AF2157">
        <v>0</v>
      </c>
      <c r="AG2157">
        <v>0</v>
      </c>
      <c r="AH2157">
        <v>0</v>
      </c>
      <c r="AI2157">
        <v>0</v>
      </c>
      <c r="AJ2157">
        <v>0</v>
      </c>
      <c r="AK2157">
        <v>0</v>
      </c>
      <c r="AL2157">
        <v>0</v>
      </c>
      <c r="AM2157">
        <v>0</v>
      </c>
      <c r="AN2157">
        <v>0</v>
      </c>
      <c r="AO2157">
        <v>0</v>
      </c>
      <c r="AP2157">
        <v>0</v>
      </c>
      <c r="AQ2157">
        <v>0</v>
      </c>
      <c r="AR2157">
        <v>0</v>
      </c>
      <c r="AS2157">
        <v>0</v>
      </c>
      <c r="AT2157">
        <v>0</v>
      </c>
      <c r="AU2157">
        <f t="shared" si="66"/>
        <v>0</v>
      </c>
      <c r="AV2157">
        <f t="shared" si="67"/>
        <v>0</v>
      </c>
    </row>
    <row r="2158" spans="1:48" x14ac:dyDescent="0.25">
      <c r="A2158" t="s">
        <v>7800</v>
      </c>
      <c r="C2158" t="s">
        <v>7354</v>
      </c>
      <c r="D2158" t="s">
        <v>7801</v>
      </c>
      <c r="E2158" t="s">
        <v>2310</v>
      </c>
      <c r="F2158">
        <v>8</v>
      </c>
      <c r="G2158">
        <v>8.1999999999999993</v>
      </c>
      <c r="H2158" t="s">
        <v>2022</v>
      </c>
      <c r="I2158" s="21">
        <v>39139</v>
      </c>
      <c r="J2158">
        <v>2007</v>
      </c>
      <c r="K2158" s="21">
        <v>39139</v>
      </c>
      <c r="L2158">
        <v>2007</v>
      </c>
      <c r="M2158" s="21">
        <v>40162.680555555598</v>
      </c>
      <c r="N2158">
        <v>2009</v>
      </c>
      <c r="R2158" s="262">
        <v>10373000</v>
      </c>
      <c r="S2158" t="s">
        <v>114</v>
      </c>
      <c r="T2158" t="s">
        <v>114</v>
      </c>
      <c r="U2158">
        <v>5</v>
      </c>
      <c r="W2158">
        <v>9400</v>
      </c>
      <c r="X2158">
        <v>1</v>
      </c>
      <c r="Y2158">
        <v>0</v>
      </c>
      <c r="Z2158">
        <v>0</v>
      </c>
      <c r="AA2158">
        <v>0</v>
      </c>
      <c r="AB2158">
        <v>0</v>
      </c>
      <c r="AC2158">
        <v>9400</v>
      </c>
      <c r="AD2158">
        <v>0</v>
      </c>
      <c r="AE2158">
        <v>0</v>
      </c>
      <c r="AF2158">
        <v>0</v>
      </c>
      <c r="AG2158">
        <v>0</v>
      </c>
      <c r="AH2158">
        <v>0</v>
      </c>
      <c r="AI2158">
        <v>0</v>
      </c>
      <c r="AJ2158">
        <v>0</v>
      </c>
      <c r="AK2158">
        <v>0</v>
      </c>
      <c r="AL2158">
        <v>0</v>
      </c>
      <c r="AM2158">
        <v>0</v>
      </c>
      <c r="AN2158">
        <v>0</v>
      </c>
      <c r="AO2158">
        <v>1</v>
      </c>
      <c r="AP2158">
        <v>0</v>
      </c>
      <c r="AQ2158">
        <v>0</v>
      </c>
      <c r="AR2158">
        <v>0</v>
      </c>
      <c r="AS2158">
        <v>0</v>
      </c>
      <c r="AT2158">
        <v>0</v>
      </c>
      <c r="AU2158">
        <f t="shared" si="66"/>
        <v>1</v>
      </c>
      <c r="AV2158">
        <f t="shared" si="67"/>
        <v>0</v>
      </c>
    </row>
    <row r="2159" spans="1:48" x14ac:dyDescent="0.25">
      <c r="A2159" t="s">
        <v>7802</v>
      </c>
      <c r="C2159" t="s">
        <v>7803</v>
      </c>
      <c r="D2159" t="s">
        <v>7804</v>
      </c>
      <c r="E2159" t="s">
        <v>2310</v>
      </c>
      <c r="F2159">
        <v>10</v>
      </c>
      <c r="G2159">
        <v>10.1</v>
      </c>
      <c r="H2159" t="s">
        <v>2323</v>
      </c>
      <c r="I2159" s="21">
        <v>39140</v>
      </c>
      <c r="J2159">
        <v>2007</v>
      </c>
      <c r="K2159" s="21">
        <v>39237</v>
      </c>
      <c r="L2159">
        <v>2007</v>
      </c>
      <c r="M2159" s="21">
        <v>39647</v>
      </c>
      <c r="N2159">
        <v>2008</v>
      </c>
      <c r="R2159" s="262">
        <v>1550000</v>
      </c>
      <c r="S2159" t="s">
        <v>114</v>
      </c>
      <c r="T2159" t="s">
        <v>114</v>
      </c>
      <c r="U2159">
        <v>5</v>
      </c>
      <c r="W2159">
        <v>4712</v>
      </c>
      <c r="X2159">
        <v>1</v>
      </c>
      <c r="Y2159">
        <v>0</v>
      </c>
      <c r="Z2159">
        <v>0</v>
      </c>
      <c r="AA2159">
        <v>0</v>
      </c>
      <c r="AB2159">
        <v>0</v>
      </c>
      <c r="AC2159">
        <v>4712</v>
      </c>
      <c r="AD2159">
        <v>0</v>
      </c>
      <c r="AE2159">
        <v>0</v>
      </c>
      <c r="AF2159">
        <v>0</v>
      </c>
      <c r="AG2159">
        <v>0</v>
      </c>
      <c r="AH2159">
        <v>0</v>
      </c>
      <c r="AI2159">
        <v>0</v>
      </c>
      <c r="AJ2159">
        <v>0</v>
      </c>
      <c r="AK2159">
        <v>0</v>
      </c>
      <c r="AL2159">
        <v>0</v>
      </c>
      <c r="AM2159">
        <v>0</v>
      </c>
      <c r="AN2159">
        <v>0</v>
      </c>
      <c r="AO2159">
        <v>1</v>
      </c>
      <c r="AP2159">
        <v>0</v>
      </c>
      <c r="AQ2159">
        <v>0</v>
      </c>
      <c r="AR2159">
        <v>0</v>
      </c>
      <c r="AS2159">
        <v>0</v>
      </c>
      <c r="AT2159">
        <v>0</v>
      </c>
      <c r="AU2159">
        <f t="shared" si="66"/>
        <v>1</v>
      </c>
      <c r="AV2159">
        <f t="shared" si="67"/>
        <v>0</v>
      </c>
    </row>
    <row r="2160" spans="1:48" x14ac:dyDescent="0.25">
      <c r="A2160" t="s">
        <v>7805</v>
      </c>
      <c r="C2160" t="s">
        <v>7806</v>
      </c>
      <c r="D2160" t="s">
        <v>7807</v>
      </c>
      <c r="E2160" t="s">
        <v>2310</v>
      </c>
      <c r="F2160">
        <v>7</v>
      </c>
      <c r="G2160">
        <v>7.1</v>
      </c>
      <c r="H2160" t="s">
        <v>2017</v>
      </c>
      <c r="I2160" s="21">
        <v>39140</v>
      </c>
      <c r="J2160">
        <v>2007</v>
      </c>
      <c r="K2160" s="21">
        <v>39231</v>
      </c>
      <c r="L2160">
        <v>2007</v>
      </c>
      <c r="M2160" s="21">
        <v>39287</v>
      </c>
      <c r="N2160">
        <v>2007</v>
      </c>
      <c r="R2160" s="262">
        <v>25000</v>
      </c>
      <c r="S2160" t="s">
        <v>114</v>
      </c>
      <c r="T2160" t="s">
        <v>114</v>
      </c>
      <c r="U2160">
        <v>14</v>
      </c>
      <c r="W2160">
        <v>0</v>
      </c>
      <c r="X2160">
        <v>0</v>
      </c>
      <c r="Y2160">
        <v>0</v>
      </c>
      <c r="Z2160">
        <v>0</v>
      </c>
      <c r="AA2160">
        <v>0</v>
      </c>
      <c r="AB2160">
        <v>0</v>
      </c>
      <c r="AC2160">
        <v>0</v>
      </c>
      <c r="AD2160">
        <v>0</v>
      </c>
      <c r="AE2160">
        <v>0</v>
      </c>
      <c r="AF2160">
        <v>0</v>
      </c>
      <c r="AG2160">
        <v>0</v>
      </c>
      <c r="AH2160">
        <v>0</v>
      </c>
      <c r="AI2160">
        <v>0</v>
      </c>
      <c r="AJ2160">
        <v>0</v>
      </c>
      <c r="AK2160">
        <v>0</v>
      </c>
      <c r="AL2160">
        <v>0</v>
      </c>
      <c r="AM2160">
        <v>0</v>
      </c>
      <c r="AN2160">
        <v>0</v>
      </c>
      <c r="AO2160">
        <v>0</v>
      </c>
      <c r="AP2160">
        <v>0</v>
      </c>
      <c r="AQ2160">
        <v>0</v>
      </c>
      <c r="AR2160">
        <v>0</v>
      </c>
      <c r="AS2160">
        <v>0</v>
      </c>
      <c r="AT2160">
        <v>0</v>
      </c>
      <c r="AU2160">
        <f t="shared" si="66"/>
        <v>0</v>
      </c>
      <c r="AV2160">
        <f t="shared" si="67"/>
        <v>0</v>
      </c>
    </row>
    <row r="2161" spans="1:48" x14ac:dyDescent="0.25">
      <c r="A2161" t="s">
        <v>7808</v>
      </c>
      <c r="C2161" t="s">
        <v>7552</v>
      </c>
      <c r="D2161" t="s">
        <v>7809</v>
      </c>
      <c r="E2161" t="s">
        <v>2310</v>
      </c>
      <c r="F2161">
        <v>9</v>
      </c>
      <c r="G2161">
        <v>9.3000000000000007</v>
      </c>
      <c r="H2161" t="s">
        <v>2323</v>
      </c>
      <c r="I2161" s="21">
        <v>39140</v>
      </c>
      <c r="J2161">
        <v>2007</v>
      </c>
      <c r="K2161" s="21">
        <v>39181</v>
      </c>
      <c r="L2161">
        <v>2007</v>
      </c>
      <c r="M2161" s="21">
        <v>39850</v>
      </c>
      <c r="N2161">
        <v>2009</v>
      </c>
      <c r="R2161" s="262">
        <v>1325000</v>
      </c>
      <c r="S2161" t="s">
        <v>114</v>
      </c>
      <c r="T2161" t="s">
        <v>114</v>
      </c>
      <c r="U2161">
        <v>5</v>
      </c>
      <c r="W2161">
        <v>4520</v>
      </c>
      <c r="X2161">
        <v>1</v>
      </c>
      <c r="Y2161">
        <v>0</v>
      </c>
      <c r="Z2161">
        <v>0</v>
      </c>
      <c r="AA2161">
        <v>0</v>
      </c>
      <c r="AB2161">
        <v>0</v>
      </c>
      <c r="AC2161">
        <v>4520</v>
      </c>
      <c r="AD2161">
        <v>0</v>
      </c>
      <c r="AE2161">
        <v>0</v>
      </c>
      <c r="AF2161">
        <v>0</v>
      </c>
      <c r="AG2161">
        <v>0</v>
      </c>
      <c r="AH2161">
        <v>0</v>
      </c>
      <c r="AI2161">
        <v>0</v>
      </c>
      <c r="AJ2161">
        <v>0</v>
      </c>
      <c r="AK2161">
        <v>0</v>
      </c>
      <c r="AL2161">
        <v>0</v>
      </c>
      <c r="AM2161">
        <v>0</v>
      </c>
      <c r="AN2161">
        <v>0</v>
      </c>
      <c r="AO2161">
        <v>1</v>
      </c>
      <c r="AP2161">
        <v>0</v>
      </c>
      <c r="AQ2161">
        <v>0</v>
      </c>
      <c r="AR2161">
        <v>0</v>
      </c>
      <c r="AS2161">
        <v>0</v>
      </c>
      <c r="AT2161">
        <v>0</v>
      </c>
      <c r="AU2161">
        <f t="shared" si="66"/>
        <v>1</v>
      </c>
      <c r="AV2161">
        <f t="shared" si="67"/>
        <v>0</v>
      </c>
    </row>
    <row r="2162" spans="1:48" x14ac:dyDescent="0.25">
      <c r="A2162" t="s">
        <v>7810</v>
      </c>
      <c r="C2162" t="s">
        <v>7811</v>
      </c>
      <c r="D2162" t="s">
        <v>7352</v>
      </c>
      <c r="E2162" t="s">
        <v>2310</v>
      </c>
      <c r="F2162">
        <v>15</v>
      </c>
      <c r="G2162">
        <v>15.3</v>
      </c>
      <c r="H2162" t="s">
        <v>2022</v>
      </c>
      <c r="I2162" s="21">
        <v>39141</v>
      </c>
      <c r="J2162">
        <v>2007</v>
      </c>
      <c r="K2162" s="21">
        <v>39177</v>
      </c>
      <c r="L2162">
        <v>2007</v>
      </c>
      <c r="M2162" s="21">
        <v>39646</v>
      </c>
      <c r="N2162">
        <v>2008</v>
      </c>
      <c r="R2162" s="262">
        <v>125000</v>
      </c>
      <c r="S2162" t="s">
        <v>114</v>
      </c>
      <c r="T2162" t="s">
        <v>114</v>
      </c>
      <c r="U2162">
        <v>8</v>
      </c>
      <c r="W2162">
        <v>2021</v>
      </c>
      <c r="X2162">
        <v>1</v>
      </c>
      <c r="Y2162">
        <v>0</v>
      </c>
      <c r="Z2162">
        <v>0</v>
      </c>
      <c r="AA2162">
        <v>0</v>
      </c>
      <c r="AB2162">
        <v>0</v>
      </c>
      <c r="AC2162">
        <v>1141</v>
      </c>
      <c r="AD2162">
        <v>0</v>
      </c>
      <c r="AE2162">
        <v>0</v>
      </c>
      <c r="AF2162">
        <v>880</v>
      </c>
      <c r="AG2162">
        <v>0</v>
      </c>
      <c r="AH2162">
        <v>0</v>
      </c>
      <c r="AI2162">
        <v>0</v>
      </c>
      <c r="AJ2162">
        <v>0</v>
      </c>
      <c r="AK2162">
        <v>0</v>
      </c>
      <c r="AL2162">
        <v>0</v>
      </c>
      <c r="AM2162">
        <v>0</v>
      </c>
      <c r="AN2162">
        <v>0</v>
      </c>
      <c r="AO2162">
        <v>0</v>
      </c>
      <c r="AP2162">
        <v>0</v>
      </c>
      <c r="AQ2162">
        <v>0</v>
      </c>
      <c r="AR2162">
        <v>1</v>
      </c>
      <c r="AS2162">
        <v>0</v>
      </c>
      <c r="AT2162">
        <v>0</v>
      </c>
      <c r="AU2162">
        <f t="shared" si="66"/>
        <v>0</v>
      </c>
      <c r="AV2162">
        <f t="shared" si="67"/>
        <v>0</v>
      </c>
    </row>
    <row r="2163" spans="1:48" x14ac:dyDescent="0.25">
      <c r="A2163" t="s">
        <v>7812</v>
      </c>
      <c r="C2163" t="s">
        <v>7354</v>
      </c>
      <c r="D2163" t="s">
        <v>7813</v>
      </c>
      <c r="E2163" t="s">
        <v>2310</v>
      </c>
      <c r="F2163">
        <v>9</v>
      </c>
      <c r="G2163">
        <v>9.1999999999999993</v>
      </c>
      <c r="H2163" t="s">
        <v>2022</v>
      </c>
      <c r="I2163" s="21">
        <v>39142</v>
      </c>
      <c r="J2163">
        <v>2007</v>
      </c>
      <c r="K2163" s="21">
        <v>39196</v>
      </c>
      <c r="L2163">
        <v>2007</v>
      </c>
      <c r="M2163" s="21">
        <v>40075</v>
      </c>
      <c r="N2163">
        <v>2009</v>
      </c>
      <c r="R2163" s="262">
        <v>2125000</v>
      </c>
      <c r="S2163" t="s">
        <v>114</v>
      </c>
      <c r="T2163" t="s">
        <v>114</v>
      </c>
      <c r="U2163">
        <v>5</v>
      </c>
      <c r="W2163">
        <v>8501</v>
      </c>
      <c r="X2163">
        <v>1</v>
      </c>
      <c r="Y2163">
        <v>0</v>
      </c>
      <c r="Z2163">
        <v>0</v>
      </c>
      <c r="AA2163">
        <v>0</v>
      </c>
      <c r="AB2163">
        <v>0</v>
      </c>
      <c r="AC2163">
        <v>8501</v>
      </c>
      <c r="AD2163">
        <v>0</v>
      </c>
      <c r="AE2163">
        <v>0</v>
      </c>
      <c r="AF2163">
        <v>0</v>
      </c>
      <c r="AG2163">
        <v>0</v>
      </c>
      <c r="AH2163">
        <v>0</v>
      </c>
      <c r="AI2163">
        <v>0</v>
      </c>
      <c r="AJ2163">
        <v>0</v>
      </c>
      <c r="AK2163">
        <v>0</v>
      </c>
      <c r="AL2163">
        <v>0</v>
      </c>
      <c r="AM2163">
        <v>0</v>
      </c>
      <c r="AN2163">
        <v>0</v>
      </c>
      <c r="AO2163">
        <v>1</v>
      </c>
      <c r="AP2163">
        <v>0</v>
      </c>
      <c r="AQ2163">
        <v>0</v>
      </c>
      <c r="AR2163">
        <v>0</v>
      </c>
      <c r="AS2163">
        <v>0</v>
      </c>
      <c r="AT2163">
        <v>0</v>
      </c>
      <c r="AU2163">
        <f t="shared" si="66"/>
        <v>1</v>
      </c>
      <c r="AV2163">
        <f t="shared" si="67"/>
        <v>0</v>
      </c>
    </row>
    <row r="2164" spans="1:48" x14ac:dyDescent="0.25">
      <c r="A2164" t="s">
        <v>7814</v>
      </c>
      <c r="C2164" t="s">
        <v>7815</v>
      </c>
      <c r="D2164" t="s">
        <v>4389</v>
      </c>
      <c r="E2164" t="s">
        <v>2310</v>
      </c>
      <c r="F2164">
        <v>15</v>
      </c>
      <c r="G2164">
        <v>15.2</v>
      </c>
      <c r="H2164" t="s">
        <v>2323</v>
      </c>
      <c r="I2164" s="21">
        <v>39142</v>
      </c>
      <c r="J2164">
        <v>2007</v>
      </c>
      <c r="K2164" s="21">
        <v>39190</v>
      </c>
      <c r="L2164">
        <v>2007</v>
      </c>
      <c r="M2164" s="21">
        <v>39682</v>
      </c>
      <c r="N2164">
        <v>2008</v>
      </c>
      <c r="R2164" s="262">
        <v>75000</v>
      </c>
      <c r="S2164" t="s">
        <v>114</v>
      </c>
      <c r="T2164" t="s">
        <v>114</v>
      </c>
      <c r="U2164">
        <v>8</v>
      </c>
      <c r="W2164">
        <v>1625</v>
      </c>
      <c r="X2164">
        <v>1</v>
      </c>
      <c r="Y2164">
        <v>0</v>
      </c>
      <c r="Z2164">
        <v>0</v>
      </c>
      <c r="AA2164">
        <v>0</v>
      </c>
      <c r="AB2164">
        <v>0</v>
      </c>
      <c r="AC2164">
        <v>625</v>
      </c>
      <c r="AD2164">
        <v>0</v>
      </c>
      <c r="AE2164">
        <v>0</v>
      </c>
      <c r="AF2164">
        <v>1000</v>
      </c>
      <c r="AG2164">
        <v>0</v>
      </c>
      <c r="AH2164">
        <v>0</v>
      </c>
      <c r="AI2164">
        <v>0</v>
      </c>
      <c r="AJ2164">
        <v>0</v>
      </c>
      <c r="AK2164">
        <v>0</v>
      </c>
      <c r="AL2164">
        <v>0</v>
      </c>
      <c r="AM2164">
        <v>0</v>
      </c>
      <c r="AN2164">
        <v>0</v>
      </c>
      <c r="AO2164">
        <v>0</v>
      </c>
      <c r="AP2164">
        <v>0</v>
      </c>
      <c r="AQ2164">
        <v>0</v>
      </c>
      <c r="AR2164">
        <v>1</v>
      </c>
      <c r="AS2164">
        <v>0</v>
      </c>
      <c r="AT2164">
        <v>0</v>
      </c>
      <c r="AU2164">
        <f t="shared" si="66"/>
        <v>0</v>
      </c>
      <c r="AV2164">
        <f t="shared" si="67"/>
        <v>0</v>
      </c>
    </row>
    <row r="2165" spans="1:48" x14ac:dyDescent="0.25">
      <c r="A2165" t="s">
        <v>7816</v>
      </c>
      <c r="C2165" t="s">
        <v>7817</v>
      </c>
      <c r="D2165" t="s">
        <v>4331</v>
      </c>
      <c r="E2165" t="s">
        <v>2310</v>
      </c>
      <c r="F2165">
        <v>8</v>
      </c>
      <c r="G2165">
        <v>8.1999999999999993</v>
      </c>
      <c r="H2165" t="s">
        <v>2022</v>
      </c>
      <c r="I2165" s="21">
        <v>39142</v>
      </c>
      <c r="J2165">
        <v>2007</v>
      </c>
      <c r="K2165" s="21">
        <v>39198</v>
      </c>
      <c r="L2165">
        <v>2007</v>
      </c>
      <c r="M2165" s="21">
        <v>39478</v>
      </c>
      <c r="N2165">
        <v>2008</v>
      </c>
      <c r="R2165" s="262">
        <v>350000</v>
      </c>
      <c r="S2165" t="s">
        <v>114</v>
      </c>
      <c r="T2165" t="s">
        <v>114</v>
      </c>
      <c r="U2165">
        <v>5</v>
      </c>
      <c r="W2165">
        <v>2298</v>
      </c>
      <c r="X2165">
        <v>0</v>
      </c>
      <c r="Y2165">
        <v>0</v>
      </c>
      <c r="Z2165">
        <v>0</v>
      </c>
      <c r="AA2165">
        <v>0</v>
      </c>
      <c r="AB2165">
        <v>0</v>
      </c>
      <c r="AC2165">
        <v>2298</v>
      </c>
      <c r="AD2165">
        <v>0</v>
      </c>
      <c r="AE2165">
        <v>0</v>
      </c>
      <c r="AF2165">
        <v>0</v>
      </c>
      <c r="AG2165">
        <v>0</v>
      </c>
      <c r="AH2165">
        <v>0</v>
      </c>
      <c r="AI2165">
        <v>0</v>
      </c>
      <c r="AJ2165">
        <v>0</v>
      </c>
      <c r="AK2165">
        <v>0</v>
      </c>
      <c r="AL2165">
        <v>0</v>
      </c>
      <c r="AM2165">
        <v>0</v>
      </c>
      <c r="AN2165">
        <v>0</v>
      </c>
      <c r="AO2165">
        <v>0</v>
      </c>
      <c r="AP2165">
        <v>0</v>
      </c>
      <c r="AQ2165">
        <v>0</v>
      </c>
      <c r="AR2165">
        <v>0</v>
      </c>
      <c r="AS2165">
        <v>0</v>
      </c>
      <c r="AT2165">
        <v>0</v>
      </c>
      <c r="AU2165">
        <f t="shared" si="66"/>
        <v>0</v>
      </c>
      <c r="AV2165">
        <f t="shared" si="67"/>
        <v>0</v>
      </c>
    </row>
    <row r="2166" spans="1:48" x14ac:dyDescent="0.25">
      <c r="A2166" t="s">
        <v>7818</v>
      </c>
      <c r="C2166" t="s">
        <v>7819</v>
      </c>
      <c r="D2166" t="s">
        <v>6015</v>
      </c>
      <c r="E2166" t="s">
        <v>2310</v>
      </c>
      <c r="F2166">
        <v>9</v>
      </c>
      <c r="G2166">
        <v>9.3000000000000007</v>
      </c>
      <c r="H2166" t="s">
        <v>2323</v>
      </c>
      <c r="I2166" s="21">
        <v>39143</v>
      </c>
      <c r="J2166">
        <v>2007</v>
      </c>
      <c r="K2166" s="21">
        <v>39190</v>
      </c>
      <c r="L2166">
        <v>2007</v>
      </c>
      <c r="M2166" s="21">
        <v>39652</v>
      </c>
      <c r="N2166">
        <v>2008</v>
      </c>
      <c r="R2166" s="262">
        <v>2000000</v>
      </c>
      <c r="S2166" t="s">
        <v>114</v>
      </c>
      <c r="T2166" t="s">
        <v>114</v>
      </c>
      <c r="U2166">
        <v>5</v>
      </c>
      <c r="W2166">
        <v>7721</v>
      </c>
      <c r="X2166">
        <v>1</v>
      </c>
      <c r="Y2166">
        <v>0</v>
      </c>
      <c r="Z2166">
        <v>0</v>
      </c>
      <c r="AA2166">
        <v>0</v>
      </c>
      <c r="AB2166">
        <v>0</v>
      </c>
      <c r="AC2166">
        <v>7721</v>
      </c>
      <c r="AD2166">
        <v>0</v>
      </c>
      <c r="AE2166">
        <v>0</v>
      </c>
      <c r="AF2166">
        <v>0</v>
      </c>
      <c r="AG2166">
        <v>0</v>
      </c>
      <c r="AH2166">
        <v>0</v>
      </c>
      <c r="AI2166">
        <v>0</v>
      </c>
      <c r="AJ2166">
        <v>0</v>
      </c>
      <c r="AK2166">
        <v>0</v>
      </c>
      <c r="AL2166">
        <v>0</v>
      </c>
      <c r="AM2166">
        <v>0</v>
      </c>
      <c r="AN2166">
        <v>0</v>
      </c>
      <c r="AO2166">
        <v>1</v>
      </c>
      <c r="AP2166">
        <v>0</v>
      </c>
      <c r="AQ2166">
        <v>0</v>
      </c>
      <c r="AR2166">
        <v>0</v>
      </c>
      <c r="AS2166">
        <v>0</v>
      </c>
      <c r="AT2166">
        <v>0</v>
      </c>
      <c r="AU2166">
        <f t="shared" si="66"/>
        <v>1</v>
      </c>
      <c r="AV2166">
        <f t="shared" si="67"/>
        <v>0</v>
      </c>
    </row>
    <row r="2167" spans="1:48" x14ac:dyDescent="0.25">
      <c r="A2167" t="s">
        <v>7820</v>
      </c>
      <c r="C2167" t="s">
        <v>7821</v>
      </c>
      <c r="D2167" t="s">
        <v>7822</v>
      </c>
      <c r="E2167" t="s">
        <v>2310</v>
      </c>
      <c r="F2167">
        <v>8</v>
      </c>
      <c r="G2167">
        <v>8.1999999999999993</v>
      </c>
      <c r="H2167" t="s">
        <v>2022</v>
      </c>
      <c r="I2167" s="21">
        <v>39146</v>
      </c>
      <c r="J2167">
        <v>2007</v>
      </c>
      <c r="K2167" s="21">
        <v>39185</v>
      </c>
      <c r="L2167">
        <v>2007</v>
      </c>
      <c r="M2167" s="21">
        <v>39800</v>
      </c>
      <c r="N2167">
        <v>2008</v>
      </c>
      <c r="R2167" s="262">
        <v>600000</v>
      </c>
      <c r="S2167" t="s">
        <v>114</v>
      </c>
      <c r="T2167" t="s">
        <v>114</v>
      </c>
      <c r="U2167">
        <v>5</v>
      </c>
      <c r="W2167">
        <v>1270</v>
      </c>
      <c r="X2167">
        <v>0</v>
      </c>
      <c r="Y2167">
        <v>0</v>
      </c>
      <c r="Z2167">
        <v>0</v>
      </c>
      <c r="AA2167">
        <v>0</v>
      </c>
      <c r="AB2167">
        <v>0</v>
      </c>
      <c r="AC2167">
        <v>1270</v>
      </c>
      <c r="AD2167">
        <v>0</v>
      </c>
      <c r="AE2167">
        <v>0</v>
      </c>
      <c r="AF2167">
        <v>0</v>
      </c>
      <c r="AG2167">
        <v>0</v>
      </c>
      <c r="AH2167">
        <v>0</v>
      </c>
      <c r="AI2167">
        <v>0</v>
      </c>
      <c r="AJ2167">
        <v>0</v>
      </c>
      <c r="AK2167">
        <v>0</v>
      </c>
      <c r="AL2167">
        <v>0</v>
      </c>
      <c r="AM2167">
        <v>0</v>
      </c>
      <c r="AN2167">
        <v>0</v>
      </c>
      <c r="AO2167">
        <v>0</v>
      </c>
      <c r="AP2167">
        <v>0</v>
      </c>
      <c r="AQ2167">
        <v>0</v>
      </c>
      <c r="AR2167">
        <v>0</v>
      </c>
      <c r="AS2167">
        <v>0</v>
      </c>
      <c r="AT2167">
        <v>0</v>
      </c>
      <c r="AU2167">
        <f t="shared" si="66"/>
        <v>0</v>
      </c>
      <c r="AV2167">
        <f t="shared" si="67"/>
        <v>0</v>
      </c>
    </row>
    <row r="2168" spans="1:48" x14ac:dyDescent="0.25">
      <c r="A2168" t="s">
        <v>7823</v>
      </c>
      <c r="C2168" t="s">
        <v>7824</v>
      </c>
      <c r="D2168" t="s">
        <v>7825</v>
      </c>
      <c r="E2168" t="s">
        <v>2310</v>
      </c>
      <c r="F2168">
        <v>15</v>
      </c>
      <c r="G2168">
        <v>15.2</v>
      </c>
      <c r="H2168" t="s">
        <v>2323</v>
      </c>
      <c r="I2168" s="21">
        <v>39148</v>
      </c>
      <c r="J2168">
        <v>2007</v>
      </c>
      <c r="K2168" s="21">
        <v>39210</v>
      </c>
      <c r="L2168">
        <v>2007</v>
      </c>
      <c r="M2168" s="21">
        <v>41208.596516203703</v>
      </c>
      <c r="N2168">
        <v>2012</v>
      </c>
      <c r="R2168" s="262">
        <v>860000</v>
      </c>
      <c r="S2168" t="s">
        <v>114</v>
      </c>
      <c r="T2168" t="s">
        <v>114</v>
      </c>
      <c r="U2168">
        <v>5</v>
      </c>
      <c r="W2168">
        <v>3987</v>
      </c>
      <c r="X2168">
        <v>1</v>
      </c>
      <c r="Y2168">
        <v>0</v>
      </c>
      <c r="Z2168">
        <v>0</v>
      </c>
      <c r="AA2168">
        <v>0</v>
      </c>
      <c r="AB2168">
        <v>0</v>
      </c>
      <c r="AC2168">
        <v>3987</v>
      </c>
      <c r="AD2168">
        <v>0</v>
      </c>
      <c r="AE2168">
        <v>0</v>
      </c>
      <c r="AF2168">
        <v>0</v>
      </c>
      <c r="AG2168">
        <v>0</v>
      </c>
      <c r="AH2168">
        <v>0</v>
      </c>
      <c r="AI2168">
        <v>0</v>
      </c>
      <c r="AJ2168">
        <v>0</v>
      </c>
      <c r="AK2168">
        <v>0</v>
      </c>
      <c r="AL2168">
        <v>0</v>
      </c>
      <c r="AM2168">
        <v>0</v>
      </c>
      <c r="AN2168">
        <v>0</v>
      </c>
      <c r="AO2168">
        <v>1</v>
      </c>
      <c r="AP2168">
        <v>0</v>
      </c>
      <c r="AQ2168">
        <v>0</v>
      </c>
      <c r="AR2168">
        <v>0</v>
      </c>
      <c r="AS2168">
        <v>0</v>
      </c>
      <c r="AT2168">
        <v>0</v>
      </c>
      <c r="AU2168">
        <f t="shared" si="66"/>
        <v>1</v>
      </c>
      <c r="AV2168">
        <f t="shared" si="67"/>
        <v>0</v>
      </c>
    </row>
    <row r="2169" spans="1:48" x14ac:dyDescent="0.25">
      <c r="A2169" t="s">
        <v>7826</v>
      </c>
      <c r="C2169" t="s">
        <v>7827</v>
      </c>
      <c r="D2169" t="s">
        <v>7828</v>
      </c>
      <c r="E2169" t="s">
        <v>2310</v>
      </c>
      <c r="F2169">
        <v>10</v>
      </c>
      <c r="G2169">
        <v>10.1</v>
      </c>
      <c r="H2169" t="s">
        <v>2323</v>
      </c>
      <c r="I2169" s="21">
        <v>39149</v>
      </c>
      <c r="J2169">
        <v>2007</v>
      </c>
      <c r="K2169" s="21">
        <v>39198</v>
      </c>
      <c r="L2169">
        <v>2007</v>
      </c>
      <c r="M2169" s="21">
        <v>39820</v>
      </c>
      <c r="N2169">
        <v>2009</v>
      </c>
      <c r="R2169" s="262">
        <v>550000</v>
      </c>
      <c r="S2169" t="s">
        <v>114</v>
      </c>
      <c r="T2169" t="s">
        <v>114</v>
      </c>
      <c r="U2169">
        <v>5</v>
      </c>
      <c r="W2169">
        <v>4055</v>
      </c>
      <c r="X2169">
        <v>1</v>
      </c>
      <c r="Y2169">
        <v>0</v>
      </c>
      <c r="Z2169">
        <v>0</v>
      </c>
      <c r="AA2169">
        <v>0</v>
      </c>
      <c r="AB2169">
        <v>0</v>
      </c>
      <c r="AC2169">
        <v>4055</v>
      </c>
      <c r="AD2169">
        <v>0</v>
      </c>
      <c r="AE2169">
        <v>0</v>
      </c>
      <c r="AF2169">
        <v>0</v>
      </c>
      <c r="AG2169">
        <v>0</v>
      </c>
      <c r="AH2169">
        <v>0</v>
      </c>
      <c r="AI2169">
        <v>0</v>
      </c>
      <c r="AJ2169">
        <v>0</v>
      </c>
      <c r="AK2169">
        <v>0</v>
      </c>
      <c r="AL2169">
        <v>0</v>
      </c>
      <c r="AM2169">
        <v>0</v>
      </c>
      <c r="AN2169">
        <v>0</v>
      </c>
      <c r="AO2169">
        <v>1</v>
      </c>
      <c r="AP2169">
        <v>0</v>
      </c>
      <c r="AQ2169">
        <v>0</v>
      </c>
      <c r="AR2169">
        <v>0</v>
      </c>
      <c r="AS2169">
        <v>0</v>
      </c>
      <c r="AT2169">
        <v>0</v>
      </c>
      <c r="AU2169">
        <f t="shared" si="66"/>
        <v>1</v>
      </c>
      <c r="AV2169">
        <f t="shared" si="67"/>
        <v>0</v>
      </c>
    </row>
    <row r="2170" spans="1:48" x14ac:dyDescent="0.25">
      <c r="A2170" t="s">
        <v>7829</v>
      </c>
      <c r="C2170" t="s">
        <v>7830</v>
      </c>
      <c r="D2170" t="s">
        <v>7831</v>
      </c>
      <c r="E2170" t="s">
        <v>2310</v>
      </c>
      <c r="F2170">
        <v>9</v>
      </c>
      <c r="G2170">
        <v>9.3000000000000007</v>
      </c>
      <c r="H2170" t="s">
        <v>2323</v>
      </c>
      <c r="I2170" s="21">
        <v>39149</v>
      </c>
      <c r="J2170">
        <v>2007</v>
      </c>
      <c r="K2170" s="21">
        <v>39195</v>
      </c>
      <c r="L2170">
        <v>2007</v>
      </c>
      <c r="M2170" s="21">
        <v>39682</v>
      </c>
      <c r="N2170">
        <v>2008</v>
      </c>
      <c r="R2170" s="262">
        <v>1323000</v>
      </c>
      <c r="S2170" t="s">
        <v>114</v>
      </c>
      <c r="T2170" t="s">
        <v>114</v>
      </c>
      <c r="U2170">
        <v>5</v>
      </c>
      <c r="W2170">
        <v>5565</v>
      </c>
      <c r="X2170">
        <v>1</v>
      </c>
      <c r="Y2170">
        <v>0</v>
      </c>
      <c r="Z2170">
        <v>0</v>
      </c>
      <c r="AA2170">
        <v>0</v>
      </c>
      <c r="AB2170">
        <v>0</v>
      </c>
      <c r="AC2170">
        <v>5565</v>
      </c>
      <c r="AD2170">
        <v>0</v>
      </c>
      <c r="AE2170">
        <v>0</v>
      </c>
      <c r="AF2170">
        <v>0</v>
      </c>
      <c r="AG2170">
        <v>0</v>
      </c>
      <c r="AH2170">
        <v>0</v>
      </c>
      <c r="AI2170">
        <v>0</v>
      </c>
      <c r="AJ2170">
        <v>0</v>
      </c>
      <c r="AK2170">
        <v>0</v>
      </c>
      <c r="AL2170">
        <v>0</v>
      </c>
      <c r="AM2170">
        <v>0</v>
      </c>
      <c r="AN2170">
        <v>0</v>
      </c>
      <c r="AO2170">
        <v>1</v>
      </c>
      <c r="AP2170">
        <v>0</v>
      </c>
      <c r="AQ2170">
        <v>0</v>
      </c>
      <c r="AR2170">
        <v>0</v>
      </c>
      <c r="AS2170">
        <v>0</v>
      </c>
      <c r="AT2170">
        <v>0</v>
      </c>
      <c r="AU2170">
        <f t="shared" si="66"/>
        <v>1</v>
      </c>
      <c r="AV2170">
        <f t="shared" si="67"/>
        <v>0</v>
      </c>
    </row>
    <row r="2171" spans="1:48" x14ac:dyDescent="0.25">
      <c r="A2171" t="s">
        <v>7832</v>
      </c>
      <c r="C2171" t="s">
        <v>7833</v>
      </c>
      <c r="D2171" t="s">
        <v>7834</v>
      </c>
      <c r="E2171" t="s">
        <v>2310</v>
      </c>
      <c r="F2171">
        <v>14</v>
      </c>
      <c r="G2171">
        <v>14.2</v>
      </c>
      <c r="H2171" t="s">
        <v>2017</v>
      </c>
      <c r="I2171" s="21">
        <v>39149</v>
      </c>
      <c r="J2171">
        <v>2007</v>
      </c>
      <c r="K2171" s="21">
        <v>39198</v>
      </c>
      <c r="L2171">
        <v>2007</v>
      </c>
      <c r="M2171" s="21">
        <v>39442</v>
      </c>
      <c r="N2171">
        <v>2007</v>
      </c>
      <c r="R2171" s="262">
        <v>400000</v>
      </c>
      <c r="S2171" t="s">
        <v>114</v>
      </c>
      <c r="T2171" t="s">
        <v>114</v>
      </c>
      <c r="U2171">
        <v>5</v>
      </c>
      <c r="W2171">
        <v>4770</v>
      </c>
      <c r="X2171">
        <v>1</v>
      </c>
      <c r="Y2171">
        <v>0</v>
      </c>
      <c r="Z2171">
        <v>0</v>
      </c>
      <c r="AA2171">
        <v>0</v>
      </c>
      <c r="AB2171">
        <v>0</v>
      </c>
      <c r="AC2171">
        <v>4770</v>
      </c>
      <c r="AD2171">
        <v>0</v>
      </c>
      <c r="AE2171">
        <v>0</v>
      </c>
      <c r="AF2171">
        <v>0</v>
      </c>
      <c r="AG2171">
        <v>0</v>
      </c>
      <c r="AH2171">
        <v>0</v>
      </c>
      <c r="AI2171">
        <v>0</v>
      </c>
      <c r="AJ2171">
        <v>0</v>
      </c>
      <c r="AK2171">
        <v>0</v>
      </c>
      <c r="AL2171">
        <v>0</v>
      </c>
      <c r="AM2171">
        <v>0</v>
      </c>
      <c r="AN2171">
        <v>0</v>
      </c>
      <c r="AO2171">
        <v>1</v>
      </c>
      <c r="AP2171">
        <v>0</v>
      </c>
      <c r="AQ2171">
        <v>0</v>
      </c>
      <c r="AR2171">
        <v>0</v>
      </c>
      <c r="AS2171">
        <v>0</v>
      </c>
      <c r="AT2171">
        <v>0</v>
      </c>
      <c r="AU2171">
        <f t="shared" si="66"/>
        <v>1</v>
      </c>
      <c r="AV2171">
        <f t="shared" si="67"/>
        <v>0</v>
      </c>
    </row>
    <row r="2172" spans="1:48" x14ac:dyDescent="0.25">
      <c r="A2172" t="s">
        <v>7835</v>
      </c>
      <c r="C2172" t="s">
        <v>7836</v>
      </c>
      <c r="D2172" t="s">
        <v>7837</v>
      </c>
      <c r="E2172" t="s">
        <v>2310</v>
      </c>
      <c r="F2172">
        <v>8</v>
      </c>
      <c r="G2172">
        <v>8.3000000000000007</v>
      </c>
      <c r="H2172" t="s">
        <v>2323</v>
      </c>
      <c r="I2172" s="21">
        <v>39150</v>
      </c>
      <c r="J2172">
        <v>2007</v>
      </c>
      <c r="K2172" s="21">
        <v>39171</v>
      </c>
      <c r="L2172">
        <v>2007</v>
      </c>
      <c r="M2172" s="21">
        <v>39639</v>
      </c>
      <c r="N2172">
        <v>2008</v>
      </c>
      <c r="R2172" s="262">
        <v>31000</v>
      </c>
      <c r="S2172" t="s">
        <v>114</v>
      </c>
      <c r="T2172" t="s">
        <v>114</v>
      </c>
      <c r="U2172">
        <v>5</v>
      </c>
      <c r="W2172">
        <v>864</v>
      </c>
      <c r="X2172">
        <v>0</v>
      </c>
      <c r="Y2172">
        <v>0</v>
      </c>
      <c r="Z2172">
        <v>0</v>
      </c>
      <c r="AA2172">
        <v>0</v>
      </c>
      <c r="AB2172">
        <v>0</v>
      </c>
      <c r="AC2172">
        <v>864</v>
      </c>
      <c r="AD2172">
        <v>0</v>
      </c>
      <c r="AE2172">
        <v>0</v>
      </c>
      <c r="AF2172">
        <v>0</v>
      </c>
      <c r="AG2172">
        <v>0</v>
      </c>
      <c r="AH2172">
        <v>0</v>
      </c>
      <c r="AI2172">
        <v>0</v>
      </c>
      <c r="AJ2172">
        <v>0</v>
      </c>
      <c r="AK2172">
        <v>0</v>
      </c>
      <c r="AL2172">
        <v>0</v>
      </c>
      <c r="AM2172">
        <v>0</v>
      </c>
      <c r="AN2172">
        <v>0</v>
      </c>
      <c r="AO2172">
        <v>0</v>
      </c>
      <c r="AP2172">
        <v>0</v>
      </c>
      <c r="AQ2172">
        <v>0</v>
      </c>
      <c r="AR2172">
        <v>0</v>
      </c>
      <c r="AS2172">
        <v>0</v>
      </c>
      <c r="AT2172">
        <v>0</v>
      </c>
      <c r="AU2172">
        <f t="shared" si="66"/>
        <v>0</v>
      </c>
      <c r="AV2172">
        <f t="shared" si="67"/>
        <v>0</v>
      </c>
    </row>
    <row r="2173" spans="1:48" x14ac:dyDescent="0.25">
      <c r="A2173" t="s">
        <v>7838</v>
      </c>
      <c r="C2173" t="s">
        <v>7839</v>
      </c>
      <c r="D2173" t="s">
        <v>7840</v>
      </c>
      <c r="E2173" t="s">
        <v>2310</v>
      </c>
      <c r="F2173">
        <v>13</v>
      </c>
      <c r="G2173">
        <v>13.3</v>
      </c>
      <c r="H2173" t="s">
        <v>2017</v>
      </c>
      <c r="I2173" s="21">
        <v>39153</v>
      </c>
      <c r="J2173">
        <v>2007</v>
      </c>
      <c r="K2173" s="21">
        <v>39224</v>
      </c>
      <c r="L2173">
        <v>2007</v>
      </c>
      <c r="M2173" s="21">
        <v>39876</v>
      </c>
      <c r="N2173">
        <v>2009</v>
      </c>
      <c r="R2173" s="262">
        <v>3700000</v>
      </c>
      <c r="S2173" t="s">
        <v>114</v>
      </c>
      <c r="T2173" t="s">
        <v>114</v>
      </c>
      <c r="U2173">
        <v>5</v>
      </c>
      <c r="W2173">
        <v>12130</v>
      </c>
      <c r="X2173">
        <v>1</v>
      </c>
      <c r="Y2173">
        <v>0</v>
      </c>
      <c r="Z2173">
        <v>0</v>
      </c>
      <c r="AA2173">
        <v>0</v>
      </c>
      <c r="AB2173">
        <v>0</v>
      </c>
      <c r="AC2173">
        <v>12130</v>
      </c>
      <c r="AD2173">
        <v>0</v>
      </c>
      <c r="AE2173">
        <v>0</v>
      </c>
      <c r="AF2173">
        <v>0</v>
      </c>
      <c r="AG2173">
        <v>0</v>
      </c>
      <c r="AH2173">
        <v>0</v>
      </c>
      <c r="AI2173">
        <v>0</v>
      </c>
      <c r="AJ2173">
        <v>0</v>
      </c>
      <c r="AK2173">
        <v>0</v>
      </c>
      <c r="AL2173">
        <v>0</v>
      </c>
      <c r="AM2173">
        <v>0</v>
      </c>
      <c r="AN2173">
        <v>0</v>
      </c>
      <c r="AO2173">
        <v>1</v>
      </c>
      <c r="AP2173">
        <v>0</v>
      </c>
      <c r="AQ2173">
        <v>0</v>
      </c>
      <c r="AR2173">
        <v>0</v>
      </c>
      <c r="AS2173">
        <v>0</v>
      </c>
      <c r="AT2173">
        <v>0</v>
      </c>
      <c r="AU2173">
        <f t="shared" si="66"/>
        <v>1</v>
      </c>
      <c r="AV2173">
        <f t="shared" si="67"/>
        <v>0</v>
      </c>
    </row>
    <row r="2174" spans="1:48" x14ac:dyDescent="0.25">
      <c r="A2174" t="s">
        <v>7841</v>
      </c>
      <c r="C2174" t="s">
        <v>7842</v>
      </c>
      <c r="D2174" t="s">
        <v>7843</v>
      </c>
      <c r="E2174" t="s">
        <v>2310</v>
      </c>
      <c r="F2174">
        <v>8</v>
      </c>
      <c r="G2174">
        <v>8.3000000000000007</v>
      </c>
      <c r="H2174" t="s">
        <v>2323</v>
      </c>
      <c r="I2174" s="21">
        <v>39154</v>
      </c>
      <c r="J2174">
        <v>2007</v>
      </c>
      <c r="K2174" s="21">
        <v>39161</v>
      </c>
      <c r="L2174">
        <v>2007</v>
      </c>
      <c r="M2174" s="21">
        <v>39161</v>
      </c>
      <c r="N2174">
        <v>2007</v>
      </c>
      <c r="R2174" s="262">
        <v>75000</v>
      </c>
      <c r="S2174" t="s">
        <v>114</v>
      </c>
      <c r="T2174" t="s">
        <v>114</v>
      </c>
      <c r="U2174">
        <v>5</v>
      </c>
      <c r="W2174">
        <v>161</v>
      </c>
      <c r="X2174">
        <v>0</v>
      </c>
      <c r="Y2174">
        <v>0</v>
      </c>
      <c r="Z2174">
        <v>0</v>
      </c>
      <c r="AA2174">
        <v>0</v>
      </c>
      <c r="AB2174">
        <v>0</v>
      </c>
      <c r="AC2174">
        <v>161</v>
      </c>
      <c r="AD2174">
        <v>0</v>
      </c>
      <c r="AE2174">
        <v>0</v>
      </c>
      <c r="AF2174">
        <v>0</v>
      </c>
      <c r="AG2174">
        <v>0</v>
      </c>
      <c r="AH2174">
        <v>0</v>
      </c>
      <c r="AI2174">
        <v>0</v>
      </c>
      <c r="AJ2174">
        <v>0</v>
      </c>
      <c r="AK2174">
        <v>0</v>
      </c>
      <c r="AL2174">
        <v>0</v>
      </c>
      <c r="AM2174">
        <v>0</v>
      </c>
      <c r="AN2174">
        <v>0</v>
      </c>
      <c r="AO2174">
        <v>0</v>
      </c>
      <c r="AP2174">
        <v>0</v>
      </c>
      <c r="AQ2174">
        <v>0</v>
      </c>
      <c r="AR2174">
        <v>0</v>
      </c>
      <c r="AS2174">
        <v>0</v>
      </c>
      <c r="AT2174">
        <v>0</v>
      </c>
      <c r="AU2174">
        <f t="shared" si="66"/>
        <v>0</v>
      </c>
      <c r="AV2174">
        <f t="shared" si="67"/>
        <v>0</v>
      </c>
    </row>
    <row r="2175" spans="1:48" x14ac:dyDescent="0.25">
      <c r="A2175" t="s">
        <v>7844</v>
      </c>
      <c r="C2175" t="s">
        <v>7482</v>
      </c>
      <c r="D2175" t="s">
        <v>7845</v>
      </c>
      <c r="E2175" t="s">
        <v>2310</v>
      </c>
      <c r="F2175">
        <v>9</v>
      </c>
      <c r="G2175">
        <v>9.4</v>
      </c>
      <c r="H2175" t="s">
        <v>2323</v>
      </c>
      <c r="I2175" s="21">
        <v>39154</v>
      </c>
      <c r="J2175">
        <v>2007</v>
      </c>
      <c r="K2175" s="21">
        <v>39204</v>
      </c>
      <c r="L2175">
        <v>2007</v>
      </c>
      <c r="M2175" s="21">
        <v>39764</v>
      </c>
      <c r="N2175">
        <v>2008</v>
      </c>
      <c r="R2175" s="262">
        <v>80000</v>
      </c>
      <c r="S2175" t="s">
        <v>114</v>
      </c>
      <c r="T2175" t="s">
        <v>114</v>
      </c>
      <c r="U2175">
        <v>5</v>
      </c>
      <c r="W2175">
        <v>392</v>
      </c>
      <c r="X2175">
        <v>0</v>
      </c>
      <c r="Y2175">
        <v>0</v>
      </c>
      <c r="Z2175">
        <v>0</v>
      </c>
      <c r="AA2175">
        <v>0</v>
      </c>
      <c r="AB2175">
        <v>0</v>
      </c>
      <c r="AC2175">
        <v>392</v>
      </c>
      <c r="AD2175">
        <v>0</v>
      </c>
      <c r="AE2175">
        <v>0</v>
      </c>
      <c r="AF2175">
        <v>0</v>
      </c>
      <c r="AG2175">
        <v>0</v>
      </c>
      <c r="AH2175">
        <v>0</v>
      </c>
      <c r="AI2175">
        <v>0</v>
      </c>
      <c r="AJ2175">
        <v>0</v>
      </c>
      <c r="AK2175">
        <v>0</v>
      </c>
      <c r="AL2175">
        <v>0</v>
      </c>
      <c r="AM2175">
        <v>0</v>
      </c>
      <c r="AN2175">
        <v>0</v>
      </c>
      <c r="AO2175">
        <v>0</v>
      </c>
      <c r="AP2175">
        <v>0</v>
      </c>
      <c r="AQ2175">
        <v>0</v>
      </c>
      <c r="AR2175">
        <v>0</v>
      </c>
      <c r="AS2175">
        <v>0</v>
      </c>
      <c r="AT2175">
        <v>0</v>
      </c>
      <c r="AU2175">
        <f t="shared" si="66"/>
        <v>0</v>
      </c>
      <c r="AV2175">
        <f t="shared" si="67"/>
        <v>0</v>
      </c>
    </row>
    <row r="2176" spans="1:48" x14ac:dyDescent="0.25">
      <c r="A2176" t="s">
        <v>7846</v>
      </c>
      <c r="C2176" t="s">
        <v>7847</v>
      </c>
      <c r="D2176" t="s">
        <v>7848</v>
      </c>
      <c r="E2176" t="s">
        <v>2310</v>
      </c>
      <c r="F2176">
        <v>10</v>
      </c>
      <c r="G2176">
        <v>10.1</v>
      </c>
      <c r="H2176" t="s">
        <v>2323</v>
      </c>
      <c r="I2176" s="21">
        <v>39154</v>
      </c>
      <c r="J2176">
        <v>2007</v>
      </c>
      <c r="K2176" s="21">
        <v>39188</v>
      </c>
      <c r="L2176">
        <v>2007</v>
      </c>
      <c r="M2176" s="21">
        <v>39682</v>
      </c>
      <c r="N2176">
        <v>2008</v>
      </c>
      <c r="R2176" s="262">
        <v>200000</v>
      </c>
      <c r="S2176" t="s">
        <v>114</v>
      </c>
      <c r="T2176" t="s">
        <v>114</v>
      </c>
      <c r="U2176">
        <v>5</v>
      </c>
      <c r="W2176">
        <v>4316</v>
      </c>
      <c r="X2176">
        <v>0</v>
      </c>
      <c r="Y2176">
        <v>0</v>
      </c>
      <c r="Z2176">
        <v>0</v>
      </c>
      <c r="AA2176">
        <v>0</v>
      </c>
      <c r="AB2176">
        <v>0</v>
      </c>
      <c r="AC2176">
        <v>4316</v>
      </c>
      <c r="AD2176">
        <v>0</v>
      </c>
      <c r="AE2176">
        <v>0</v>
      </c>
      <c r="AF2176">
        <v>0</v>
      </c>
      <c r="AG2176">
        <v>0</v>
      </c>
      <c r="AH2176">
        <v>0</v>
      </c>
      <c r="AI2176">
        <v>0</v>
      </c>
      <c r="AJ2176">
        <v>0</v>
      </c>
      <c r="AK2176">
        <v>0</v>
      </c>
      <c r="AL2176">
        <v>0</v>
      </c>
      <c r="AM2176">
        <v>0</v>
      </c>
      <c r="AN2176">
        <v>0</v>
      </c>
      <c r="AO2176">
        <v>0</v>
      </c>
      <c r="AP2176">
        <v>0</v>
      </c>
      <c r="AQ2176">
        <v>0</v>
      </c>
      <c r="AR2176">
        <v>0</v>
      </c>
      <c r="AS2176">
        <v>0</v>
      </c>
      <c r="AT2176">
        <v>0</v>
      </c>
      <c r="AU2176">
        <f t="shared" si="66"/>
        <v>0</v>
      </c>
      <c r="AV2176">
        <f t="shared" si="67"/>
        <v>0</v>
      </c>
    </row>
    <row r="2177" spans="1:48" x14ac:dyDescent="0.25">
      <c r="A2177" t="s">
        <v>7849</v>
      </c>
      <c r="C2177" t="s">
        <v>7850</v>
      </c>
      <c r="D2177" t="s">
        <v>7851</v>
      </c>
      <c r="E2177" t="s">
        <v>2310</v>
      </c>
      <c r="F2177">
        <v>10</v>
      </c>
      <c r="G2177">
        <v>10.1</v>
      </c>
      <c r="H2177" t="s">
        <v>2323</v>
      </c>
      <c r="I2177" s="21">
        <v>39155</v>
      </c>
      <c r="J2177">
        <v>2007</v>
      </c>
      <c r="K2177" s="21">
        <v>39174</v>
      </c>
      <c r="L2177">
        <v>2007</v>
      </c>
      <c r="M2177" s="21">
        <v>39423</v>
      </c>
      <c r="N2177">
        <v>2007</v>
      </c>
      <c r="R2177" s="262">
        <v>110000</v>
      </c>
      <c r="S2177" t="s">
        <v>114</v>
      </c>
      <c r="T2177" t="s">
        <v>114</v>
      </c>
      <c r="U2177">
        <v>5</v>
      </c>
      <c r="W2177">
        <v>446</v>
      </c>
      <c r="X2177">
        <v>0</v>
      </c>
      <c r="Y2177">
        <v>0</v>
      </c>
      <c r="Z2177">
        <v>0</v>
      </c>
      <c r="AA2177">
        <v>0</v>
      </c>
      <c r="AB2177">
        <v>0</v>
      </c>
      <c r="AC2177">
        <v>446</v>
      </c>
      <c r="AD2177">
        <v>0</v>
      </c>
      <c r="AE2177">
        <v>0</v>
      </c>
      <c r="AF2177">
        <v>0</v>
      </c>
      <c r="AG2177">
        <v>0</v>
      </c>
      <c r="AH2177">
        <v>0</v>
      </c>
      <c r="AI2177">
        <v>0</v>
      </c>
      <c r="AJ2177">
        <v>0</v>
      </c>
      <c r="AK2177">
        <v>0</v>
      </c>
      <c r="AL2177">
        <v>0</v>
      </c>
      <c r="AM2177">
        <v>0</v>
      </c>
      <c r="AN2177">
        <v>0</v>
      </c>
      <c r="AO2177">
        <v>0</v>
      </c>
      <c r="AP2177">
        <v>0</v>
      </c>
      <c r="AQ2177">
        <v>0</v>
      </c>
      <c r="AR2177">
        <v>0</v>
      </c>
      <c r="AS2177">
        <v>0</v>
      </c>
      <c r="AT2177">
        <v>0</v>
      </c>
      <c r="AU2177">
        <f t="shared" si="66"/>
        <v>0</v>
      </c>
      <c r="AV2177">
        <f t="shared" si="67"/>
        <v>0</v>
      </c>
    </row>
    <row r="2178" spans="1:48" x14ac:dyDescent="0.25">
      <c r="A2178" t="s">
        <v>7852</v>
      </c>
      <c r="C2178" t="s">
        <v>7853</v>
      </c>
      <c r="D2178" t="s">
        <v>7854</v>
      </c>
      <c r="E2178" t="s">
        <v>2310</v>
      </c>
      <c r="F2178">
        <v>9</v>
      </c>
      <c r="G2178">
        <v>9.4</v>
      </c>
      <c r="H2178" t="s">
        <v>2323</v>
      </c>
      <c r="I2178" s="21">
        <v>39155</v>
      </c>
      <c r="J2178">
        <v>2007</v>
      </c>
      <c r="K2178" s="21">
        <v>39190</v>
      </c>
      <c r="L2178">
        <v>2007</v>
      </c>
      <c r="M2178" s="21">
        <v>39434</v>
      </c>
      <c r="N2178">
        <v>2007</v>
      </c>
      <c r="R2178" s="262">
        <v>220000</v>
      </c>
      <c r="S2178" t="s">
        <v>114</v>
      </c>
      <c r="T2178" t="s">
        <v>114</v>
      </c>
      <c r="U2178">
        <v>5</v>
      </c>
      <c r="W2178">
        <v>573</v>
      </c>
      <c r="X2178">
        <v>0</v>
      </c>
      <c r="Y2178">
        <v>0</v>
      </c>
      <c r="Z2178">
        <v>0</v>
      </c>
      <c r="AA2178">
        <v>0</v>
      </c>
      <c r="AB2178">
        <v>0</v>
      </c>
      <c r="AC2178">
        <v>573</v>
      </c>
      <c r="AD2178">
        <v>0</v>
      </c>
      <c r="AE2178">
        <v>0</v>
      </c>
      <c r="AF2178">
        <v>0</v>
      </c>
      <c r="AG2178">
        <v>0</v>
      </c>
      <c r="AH2178">
        <v>0</v>
      </c>
      <c r="AI2178">
        <v>0</v>
      </c>
      <c r="AJ2178">
        <v>0</v>
      </c>
      <c r="AK2178">
        <v>0</v>
      </c>
      <c r="AL2178">
        <v>0</v>
      </c>
      <c r="AM2178">
        <v>0</v>
      </c>
      <c r="AN2178">
        <v>0</v>
      </c>
      <c r="AO2178">
        <v>0</v>
      </c>
      <c r="AP2178">
        <v>0</v>
      </c>
      <c r="AQ2178">
        <v>0</v>
      </c>
      <c r="AR2178">
        <v>0</v>
      </c>
      <c r="AS2178">
        <v>0</v>
      </c>
      <c r="AT2178">
        <v>0</v>
      </c>
      <c r="AU2178">
        <f t="shared" si="66"/>
        <v>0</v>
      </c>
      <c r="AV2178">
        <f t="shared" si="67"/>
        <v>0</v>
      </c>
    </row>
    <row r="2179" spans="1:48" x14ac:dyDescent="0.25">
      <c r="A2179" t="s">
        <v>7855</v>
      </c>
      <c r="C2179" t="s">
        <v>7856</v>
      </c>
      <c r="D2179" t="s">
        <v>7857</v>
      </c>
      <c r="E2179" t="s">
        <v>2310</v>
      </c>
      <c r="F2179">
        <v>9</v>
      </c>
      <c r="G2179">
        <v>9.3000000000000007</v>
      </c>
      <c r="H2179" t="s">
        <v>2323</v>
      </c>
      <c r="I2179" s="21">
        <v>39155</v>
      </c>
      <c r="J2179">
        <v>2007</v>
      </c>
      <c r="K2179" s="21">
        <v>39203</v>
      </c>
      <c r="L2179">
        <v>2007</v>
      </c>
      <c r="M2179" s="21">
        <v>39696</v>
      </c>
      <c r="N2179">
        <v>2008</v>
      </c>
      <c r="R2179" s="262">
        <v>1500000</v>
      </c>
      <c r="S2179" t="s">
        <v>114</v>
      </c>
      <c r="T2179" t="s">
        <v>114</v>
      </c>
      <c r="U2179">
        <v>5</v>
      </c>
      <c r="W2179">
        <v>5183</v>
      </c>
      <c r="X2179">
        <v>1</v>
      </c>
      <c r="Y2179">
        <v>0</v>
      </c>
      <c r="Z2179">
        <v>0</v>
      </c>
      <c r="AA2179">
        <v>0</v>
      </c>
      <c r="AB2179">
        <v>0</v>
      </c>
      <c r="AC2179">
        <v>5183</v>
      </c>
      <c r="AD2179">
        <v>0</v>
      </c>
      <c r="AE2179">
        <v>0</v>
      </c>
      <c r="AF2179">
        <v>0</v>
      </c>
      <c r="AG2179">
        <v>0</v>
      </c>
      <c r="AH2179">
        <v>0</v>
      </c>
      <c r="AI2179">
        <v>0</v>
      </c>
      <c r="AJ2179">
        <v>0</v>
      </c>
      <c r="AK2179">
        <v>0</v>
      </c>
      <c r="AL2179">
        <v>0</v>
      </c>
      <c r="AM2179">
        <v>0</v>
      </c>
      <c r="AN2179">
        <v>0</v>
      </c>
      <c r="AO2179">
        <v>1</v>
      </c>
      <c r="AP2179">
        <v>0</v>
      </c>
      <c r="AQ2179">
        <v>0</v>
      </c>
      <c r="AR2179">
        <v>0</v>
      </c>
      <c r="AS2179">
        <v>0</v>
      </c>
      <c r="AT2179">
        <v>0</v>
      </c>
      <c r="AU2179">
        <f t="shared" si="66"/>
        <v>1</v>
      </c>
      <c r="AV2179">
        <f t="shared" si="67"/>
        <v>0</v>
      </c>
    </row>
    <row r="2180" spans="1:48" x14ac:dyDescent="0.25">
      <c r="A2180" t="s">
        <v>7858</v>
      </c>
      <c r="C2180" t="s">
        <v>7859</v>
      </c>
      <c r="D2180" t="s">
        <v>7860</v>
      </c>
      <c r="E2180" t="s">
        <v>2310</v>
      </c>
      <c r="F2180">
        <v>15</v>
      </c>
      <c r="G2180">
        <v>15.2</v>
      </c>
      <c r="H2180" t="s">
        <v>2323</v>
      </c>
      <c r="I2180" s="21">
        <v>39156</v>
      </c>
      <c r="J2180">
        <v>2007</v>
      </c>
      <c r="K2180" s="21">
        <v>39170</v>
      </c>
      <c r="L2180">
        <v>2007</v>
      </c>
      <c r="M2180" s="21">
        <v>39170</v>
      </c>
      <c r="N2180">
        <v>2007</v>
      </c>
      <c r="R2180" s="262">
        <v>75000</v>
      </c>
      <c r="S2180" t="s">
        <v>114</v>
      </c>
      <c r="T2180" t="s">
        <v>114</v>
      </c>
      <c r="U2180">
        <v>5</v>
      </c>
      <c r="W2180">
        <v>0</v>
      </c>
      <c r="X2180">
        <v>0</v>
      </c>
      <c r="Y2180">
        <v>0</v>
      </c>
      <c r="Z2180">
        <v>0</v>
      </c>
      <c r="AA2180">
        <v>0</v>
      </c>
      <c r="AB2180">
        <v>0</v>
      </c>
      <c r="AC2180">
        <v>0</v>
      </c>
      <c r="AD2180">
        <v>0</v>
      </c>
      <c r="AE2180">
        <v>0</v>
      </c>
      <c r="AF2180">
        <v>0</v>
      </c>
      <c r="AG2180">
        <v>0</v>
      </c>
      <c r="AH2180">
        <v>0</v>
      </c>
      <c r="AI2180">
        <v>0</v>
      </c>
      <c r="AJ2180">
        <v>0</v>
      </c>
      <c r="AK2180">
        <v>0</v>
      </c>
      <c r="AL2180">
        <v>0</v>
      </c>
      <c r="AM2180">
        <v>0</v>
      </c>
      <c r="AN2180">
        <v>0</v>
      </c>
      <c r="AO2180">
        <v>0</v>
      </c>
      <c r="AP2180">
        <v>0</v>
      </c>
      <c r="AQ2180">
        <v>0</v>
      </c>
      <c r="AR2180">
        <v>0</v>
      </c>
      <c r="AS2180">
        <v>0</v>
      </c>
      <c r="AT2180">
        <v>0</v>
      </c>
      <c r="AU2180">
        <f t="shared" si="66"/>
        <v>0</v>
      </c>
      <c r="AV2180">
        <f t="shared" si="67"/>
        <v>0</v>
      </c>
    </row>
    <row r="2181" spans="1:48" x14ac:dyDescent="0.25">
      <c r="A2181" t="s">
        <v>7861</v>
      </c>
      <c r="C2181" t="s">
        <v>7862</v>
      </c>
      <c r="D2181" t="s">
        <v>7863</v>
      </c>
      <c r="E2181" t="s">
        <v>2310</v>
      </c>
      <c r="F2181">
        <v>9</v>
      </c>
      <c r="G2181">
        <v>9.3000000000000007</v>
      </c>
      <c r="H2181" t="s">
        <v>2323</v>
      </c>
      <c r="I2181" s="21">
        <v>39156</v>
      </c>
      <c r="J2181">
        <v>2007</v>
      </c>
      <c r="K2181" s="21">
        <v>39170</v>
      </c>
      <c r="L2181">
        <v>2007</v>
      </c>
      <c r="M2181" s="21">
        <v>39826</v>
      </c>
      <c r="N2181">
        <v>2009</v>
      </c>
      <c r="R2181" s="262">
        <v>87000</v>
      </c>
      <c r="S2181" t="s">
        <v>114</v>
      </c>
      <c r="T2181" t="s">
        <v>114</v>
      </c>
      <c r="U2181">
        <v>5</v>
      </c>
      <c r="W2181">
        <v>2337</v>
      </c>
      <c r="X2181">
        <v>0</v>
      </c>
      <c r="Y2181">
        <v>0</v>
      </c>
      <c r="Z2181">
        <v>0</v>
      </c>
      <c r="AA2181">
        <v>0</v>
      </c>
      <c r="AB2181">
        <v>0</v>
      </c>
      <c r="AC2181">
        <v>2337</v>
      </c>
      <c r="AD2181">
        <v>0</v>
      </c>
      <c r="AE2181">
        <v>0</v>
      </c>
      <c r="AF2181">
        <v>0</v>
      </c>
      <c r="AG2181">
        <v>0</v>
      </c>
      <c r="AH2181">
        <v>0</v>
      </c>
      <c r="AI2181">
        <v>0</v>
      </c>
      <c r="AJ2181">
        <v>0</v>
      </c>
      <c r="AK2181">
        <v>0</v>
      </c>
      <c r="AL2181">
        <v>0</v>
      </c>
      <c r="AM2181">
        <v>0</v>
      </c>
      <c r="AN2181">
        <v>0</v>
      </c>
      <c r="AO2181">
        <v>0</v>
      </c>
      <c r="AP2181">
        <v>0</v>
      </c>
      <c r="AQ2181">
        <v>0</v>
      </c>
      <c r="AR2181">
        <v>0</v>
      </c>
      <c r="AS2181">
        <v>0</v>
      </c>
      <c r="AT2181">
        <v>0</v>
      </c>
      <c r="AU2181">
        <f t="shared" si="66"/>
        <v>0</v>
      </c>
      <c r="AV2181">
        <f t="shared" si="67"/>
        <v>0</v>
      </c>
    </row>
    <row r="2182" spans="1:48" x14ac:dyDescent="0.25">
      <c r="A2182" t="s">
        <v>7864</v>
      </c>
      <c r="C2182" t="s">
        <v>7865</v>
      </c>
      <c r="D2182" t="s">
        <v>7866</v>
      </c>
      <c r="E2182" t="s">
        <v>2310</v>
      </c>
      <c r="F2182">
        <v>9</v>
      </c>
      <c r="G2182">
        <v>9.4</v>
      </c>
      <c r="H2182" t="s">
        <v>2323</v>
      </c>
      <c r="I2182" s="21">
        <v>39160</v>
      </c>
      <c r="J2182">
        <v>2007</v>
      </c>
      <c r="K2182" s="21">
        <v>39209</v>
      </c>
      <c r="L2182">
        <v>2007</v>
      </c>
      <c r="M2182" s="21">
        <v>39209</v>
      </c>
      <c r="N2182">
        <v>2007</v>
      </c>
      <c r="R2182" s="262">
        <v>20000</v>
      </c>
      <c r="S2182" t="s">
        <v>114</v>
      </c>
      <c r="T2182" t="s">
        <v>114</v>
      </c>
      <c r="U2182">
        <v>5</v>
      </c>
      <c r="W2182">
        <v>132</v>
      </c>
      <c r="X2182">
        <v>0</v>
      </c>
      <c r="Y2182">
        <v>0</v>
      </c>
      <c r="Z2182">
        <v>0</v>
      </c>
      <c r="AA2182">
        <v>0</v>
      </c>
      <c r="AB2182">
        <v>0</v>
      </c>
      <c r="AC2182">
        <v>132</v>
      </c>
      <c r="AD2182">
        <v>0</v>
      </c>
      <c r="AE2182">
        <v>0</v>
      </c>
      <c r="AF2182">
        <v>0</v>
      </c>
      <c r="AG2182">
        <v>0</v>
      </c>
      <c r="AH2182">
        <v>0</v>
      </c>
      <c r="AI2182">
        <v>0</v>
      </c>
      <c r="AJ2182">
        <v>0</v>
      </c>
      <c r="AK2182">
        <v>0</v>
      </c>
      <c r="AL2182">
        <v>0</v>
      </c>
      <c r="AM2182">
        <v>0</v>
      </c>
      <c r="AN2182">
        <v>0</v>
      </c>
      <c r="AO2182">
        <v>0</v>
      </c>
      <c r="AP2182">
        <v>0</v>
      </c>
      <c r="AQ2182">
        <v>0</v>
      </c>
      <c r="AR2182">
        <v>0</v>
      </c>
      <c r="AS2182">
        <v>0</v>
      </c>
      <c r="AT2182">
        <v>0</v>
      </c>
      <c r="AU2182">
        <f t="shared" si="66"/>
        <v>0</v>
      </c>
      <c r="AV2182">
        <f t="shared" si="67"/>
        <v>0</v>
      </c>
    </row>
    <row r="2183" spans="1:48" x14ac:dyDescent="0.25">
      <c r="A2183" t="s">
        <v>7867</v>
      </c>
      <c r="C2183" t="s">
        <v>7868</v>
      </c>
      <c r="D2183" t="s">
        <v>7869</v>
      </c>
      <c r="E2183" t="s">
        <v>2310</v>
      </c>
      <c r="F2183">
        <v>10</v>
      </c>
      <c r="G2183">
        <v>10.1</v>
      </c>
      <c r="H2183" t="s">
        <v>2323</v>
      </c>
      <c r="I2183" s="21">
        <v>39161</v>
      </c>
      <c r="J2183">
        <v>2007</v>
      </c>
      <c r="M2183" s="21">
        <v>40199.601886574099</v>
      </c>
      <c r="N2183">
        <v>2010</v>
      </c>
      <c r="R2183" s="262">
        <v>25000</v>
      </c>
      <c r="S2183" t="s">
        <v>114</v>
      </c>
      <c r="T2183" t="s">
        <v>114</v>
      </c>
      <c r="U2183">
        <v>5</v>
      </c>
      <c r="W2183">
        <v>188</v>
      </c>
      <c r="X2183">
        <v>0</v>
      </c>
      <c r="Y2183">
        <v>0</v>
      </c>
      <c r="Z2183">
        <v>0</v>
      </c>
      <c r="AA2183">
        <v>0</v>
      </c>
      <c r="AB2183">
        <v>0</v>
      </c>
      <c r="AC2183">
        <v>188</v>
      </c>
      <c r="AD2183">
        <v>0</v>
      </c>
      <c r="AE2183">
        <v>0</v>
      </c>
      <c r="AF2183">
        <v>0</v>
      </c>
      <c r="AG2183">
        <v>0</v>
      </c>
      <c r="AH2183">
        <v>0</v>
      </c>
      <c r="AI2183">
        <v>0</v>
      </c>
      <c r="AJ2183">
        <v>0</v>
      </c>
      <c r="AK2183">
        <v>0</v>
      </c>
      <c r="AL2183">
        <v>0</v>
      </c>
      <c r="AM2183">
        <v>0</v>
      </c>
      <c r="AN2183">
        <v>0</v>
      </c>
      <c r="AO2183">
        <v>0</v>
      </c>
      <c r="AP2183">
        <v>0</v>
      </c>
      <c r="AQ2183">
        <v>0</v>
      </c>
      <c r="AR2183">
        <v>0</v>
      </c>
      <c r="AS2183">
        <v>0</v>
      </c>
      <c r="AT2183">
        <v>0</v>
      </c>
      <c r="AU2183">
        <f t="shared" si="66"/>
        <v>0</v>
      </c>
      <c r="AV2183">
        <f t="shared" si="67"/>
        <v>0</v>
      </c>
    </row>
    <row r="2184" spans="1:48" x14ac:dyDescent="0.25">
      <c r="A2184" t="s">
        <v>7870</v>
      </c>
      <c r="C2184" t="s">
        <v>7871</v>
      </c>
      <c r="D2184" t="s">
        <v>7872</v>
      </c>
      <c r="E2184" t="s">
        <v>1663</v>
      </c>
      <c r="F2184">
        <v>6</v>
      </c>
      <c r="G2184">
        <v>6.1</v>
      </c>
      <c r="H2184" t="s">
        <v>2017</v>
      </c>
      <c r="I2184" s="21">
        <v>39162</v>
      </c>
      <c r="J2184">
        <v>2007</v>
      </c>
      <c r="K2184" s="21">
        <v>39193</v>
      </c>
      <c r="L2184">
        <v>2007</v>
      </c>
      <c r="M2184" s="21">
        <v>39346</v>
      </c>
      <c r="N2184">
        <v>2007</v>
      </c>
      <c r="Q2184" s="262">
        <v>0</v>
      </c>
      <c r="S2184" t="s">
        <v>114</v>
      </c>
      <c r="T2184" t="s">
        <v>114</v>
      </c>
      <c r="W2184">
        <v>4225</v>
      </c>
      <c r="X2184">
        <v>1</v>
      </c>
      <c r="Y2184">
        <v>0</v>
      </c>
      <c r="Z2184">
        <v>0</v>
      </c>
      <c r="AA2184">
        <v>0</v>
      </c>
      <c r="AB2184">
        <v>0</v>
      </c>
      <c r="AC2184">
        <v>4225</v>
      </c>
      <c r="AD2184">
        <v>0</v>
      </c>
      <c r="AE2184">
        <v>0</v>
      </c>
      <c r="AF2184">
        <v>0</v>
      </c>
      <c r="AG2184">
        <v>0</v>
      </c>
      <c r="AH2184">
        <v>0</v>
      </c>
      <c r="AI2184">
        <v>0</v>
      </c>
      <c r="AJ2184">
        <v>0</v>
      </c>
      <c r="AK2184">
        <v>0</v>
      </c>
      <c r="AL2184">
        <v>0</v>
      </c>
      <c r="AM2184">
        <v>0</v>
      </c>
      <c r="AN2184">
        <v>0</v>
      </c>
      <c r="AO2184">
        <v>1</v>
      </c>
      <c r="AP2184">
        <v>0</v>
      </c>
      <c r="AQ2184">
        <v>0</v>
      </c>
      <c r="AR2184">
        <v>0</v>
      </c>
      <c r="AS2184">
        <v>0</v>
      </c>
      <c r="AT2184">
        <v>0</v>
      </c>
      <c r="AU2184">
        <f t="shared" si="66"/>
        <v>1</v>
      </c>
      <c r="AV2184">
        <f t="shared" si="67"/>
        <v>0</v>
      </c>
    </row>
    <row r="2185" spans="1:48" x14ac:dyDescent="0.25">
      <c r="A2185" t="s">
        <v>7873</v>
      </c>
      <c r="C2185" t="s">
        <v>7679</v>
      </c>
      <c r="D2185" t="s">
        <v>7874</v>
      </c>
      <c r="E2185" t="s">
        <v>2310</v>
      </c>
      <c r="F2185">
        <v>11</v>
      </c>
      <c r="G2185">
        <v>11.2</v>
      </c>
      <c r="H2185" t="s">
        <v>2017</v>
      </c>
      <c r="I2185" s="21">
        <v>39162</v>
      </c>
      <c r="J2185">
        <v>2007</v>
      </c>
      <c r="K2185" s="21">
        <v>39205</v>
      </c>
      <c r="L2185">
        <v>2007</v>
      </c>
      <c r="M2185" s="21">
        <v>39547</v>
      </c>
      <c r="N2185">
        <v>2008</v>
      </c>
      <c r="R2185" s="262">
        <v>400000</v>
      </c>
      <c r="S2185" t="s">
        <v>114</v>
      </c>
      <c r="T2185" t="s">
        <v>114</v>
      </c>
      <c r="U2185">
        <v>5</v>
      </c>
      <c r="W2185">
        <v>3274</v>
      </c>
      <c r="X2185">
        <v>1</v>
      </c>
      <c r="Y2185">
        <v>0</v>
      </c>
      <c r="Z2185">
        <v>0</v>
      </c>
      <c r="AA2185">
        <v>0</v>
      </c>
      <c r="AB2185">
        <v>0</v>
      </c>
      <c r="AC2185">
        <v>3274</v>
      </c>
      <c r="AD2185">
        <v>0</v>
      </c>
      <c r="AE2185">
        <v>0</v>
      </c>
      <c r="AF2185">
        <v>0</v>
      </c>
      <c r="AG2185">
        <v>0</v>
      </c>
      <c r="AH2185">
        <v>0</v>
      </c>
      <c r="AI2185">
        <v>0</v>
      </c>
      <c r="AJ2185">
        <v>0</v>
      </c>
      <c r="AK2185">
        <v>0</v>
      </c>
      <c r="AL2185">
        <v>0</v>
      </c>
      <c r="AM2185">
        <v>0</v>
      </c>
      <c r="AN2185">
        <v>0</v>
      </c>
      <c r="AO2185">
        <v>1</v>
      </c>
      <c r="AP2185">
        <v>0</v>
      </c>
      <c r="AQ2185">
        <v>0</v>
      </c>
      <c r="AR2185">
        <v>0</v>
      </c>
      <c r="AS2185">
        <v>0</v>
      </c>
      <c r="AT2185">
        <v>0</v>
      </c>
      <c r="AU2185">
        <f t="shared" si="66"/>
        <v>1</v>
      </c>
      <c r="AV2185">
        <f t="shared" si="67"/>
        <v>0</v>
      </c>
    </row>
    <row r="2186" spans="1:48" x14ac:dyDescent="0.25">
      <c r="A2186" t="s">
        <v>7875</v>
      </c>
      <c r="C2186" t="s">
        <v>6178</v>
      </c>
      <c r="D2186" t="s">
        <v>3327</v>
      </c>
      <c r="E2186" t="s">
        <v>2310</v>
      </c>
      <c r="F2186">
        <v>9</v>
      </c>
      <c r="G2186">
        <v>9.3000000000000007</v>
      </c>
      <c r="H2186" t="s">
        <v>2323</v>
      </c>
      <c r="I2186" s="21">
        <v>39163</v>
      </c>
      <c r="J2186">
        <v>2007</v>
      </c>
      <c r="K2186" s="21">
        <v>39209</v>
      </c>
      <c r="L2186">
        <v>2007</v>
      </c>
      <c r="M2186" s="21">
        <v>39209</v>
      </c>
      <c r="N2186">
        <v>2007</v>
      </c>
      <c r="R2186" s="262">
        <v>100000</v>
      </c>
      <c r="S2186" t="s">
        <v>114</v>
      </c>
      <c r="T2186" t="s">
        <v>114</v>
      </c>
      <c r="U2186">
        <v>5</v>
      </c>
      <c r="W2186">
        <v>720</v>
      </c>
      <c r="X2186">
        <v>0</v>
      </c>
      <c r="Y2186">
        <v>0</v>
      </c>
      <c r="Z2186">
        <v>0</v>
      </c>
      <c r="AA2186">
        <v>0</v>
      </c>
      <c r="AB2186">
        <v>0</v>
      </c>
      <c r="AC2186">
        <v>720</v>
      </c>
      <c r="AD2186">
        <v>0</v>
      </c>
      <c r="AE2186">
        <v>0</v>
      </c>
      <c r="AF2186">
        <v>0</v>
      </c>
      <c r="AG2186">
        <v>0</v>
      </c>
      <c r="AH2186">
        <v>0</v>
      </c>
      <c r="AI2186">
        <v>0</v>
      </c>
      <c r="AJ2186">
        <v>0</v>
      </c>
      <c r="AK2186">
        <v>0</v>
      </c>
      <c r="AL2186">
        <v>0</v>
      </c>
      <c r="AM2186">
        <v>0</v>
      </c>
      <c r="AN2186">
        <v>0</v>
      </c>
      <c r="AO2186">
        <v>0</v>
      </c>
      <c r="AP2186">
        <v>0</v>
      </c>
      <c r="AQ2186">
        <v>0</v>
      </c>
      <c r="AR2186">
        <v>0</v>
      </c>
      <c r="AS2186">
        <v>0</v>
      </c>
      <c r="AT2186">
        <v>0</v>
      </c>
      <c r="AU2186">
        <f t="shared" si="66"/>
        <v>0</v>
      </c>
      <c r="AV2186">
        <f t="shared" si="67"/>
        <v>0</v>
      </c>
    </row>
    <row r="2187" spans="1:48" x14ac:dyDescent="0.25">
      <c r="A2187" t="s">
        <v>7876</v>
      </c>
      <c r="C2187" t="s">
        <v>7877</v>
      </c>
      <c r="D2187" t="s">
        <v>7878</v>
      </c>
      <c r="E2187" t="s">
        <v>2310</v>
      </c>
      <c r="F2187">
        <v>13</v>
      </c>
      <c r="G2187">
        <v>13.3</v>
      </c>
      <c r="H2187" t="s">
        <v>2017</v>
      </c>
      <c r="I2187" s="21">
        <v>39163</v>
      </c>
      <c r="J2187">
        <v>2007</v>
      </c>
      <c r="K2187" s="21">
        <v>39219</v>
      </c>
      <c r="L2187">
        <v>2007</v>
      </c>
      <c r="M2187" s="21">
        <v>39437</v>
      </c>
      <c r="N2187">
        <v>2007</v>
      </c>
      <c r="R2187" s="262">
        <v>400000</v>
      </c>
      <c r="S2187" t="s">
        <v>114</v>
      </c>
      <c r="T2187" t="s">
        <v>114</v>
      </c>
      <c r="U2187">
        <v>8</v>
      </c>
      <c r="W2187">
        <v>2006</v>
      </c>
      <c r="X2187">
        <v>1</v>
      </c>
      <c r="Y2187">
        <v>0</v>
      </c>
      <c r="Z2187">
        <v>0</v>
      </c>
      <c r="AA2187">
        <v>0</v>
      </c>
      <c r="AB2187">
        <v>0</v>
      </c>
      <c r="AC2187">
        <v>1033</v>
      </c>
      <c r="AD2187">
        <v>0</v>
      </c>
      <c r="AE2187">
        <v>0</v>
      </c>
      <c r="AF2187">
        <v>973</v>
      </c>
      <c r="AG2187">
        <v>0</v>
      </c>
      <c r="AH2187">
        <v>0</v>
      </c>
      <c r="AI2187">
        <v>0</v>
      </c>
      <c r="AJ2187">
        <v>0</v>
      </c>
      <c r="AK2187">
        <v>0</v>
      </c>
      <c r="AL2187">
        <v>0</v>
      </c>
      <c r="AM2187">
        <v>0</v>
      </c>
      <c r="AN2187">
        <v>0</v>
      </c>
      <c r="AO2187">
        <v>0</v>
      </c>
      <c r="AP2187">
        <v>0</v>
      </c>
      <c r="AQ2187">
        <v>0</v>
      </c>
      <c r="AR2187">
        <v>1</v>
      </c>
      <c r="AS2187">
        <v>0</v>
      </c>
      <c r="AT2187">
        <v>0</v>
      </c>
      <c r="AU2187">
        <f t="shared" si="66"/>
        <v>0</v>
      </c>
      <c r="AV2187">
        <f t="shared" si="67"/>
        <v>0</v>
      </c>
    </row>
    <row r="2188" spans="1:48" x14ac:dyDescent="0.25">
      <c r="A2188" t="s">
        <v>7879</v>
      </c>
      <c r="C2188" t="s">
        <v>7880</v>
      </c>
      <c r="D2188" t="s">
        <v>7881</v>
      </c>
      <c r="E2188" t="s">
        <v>2310</v>
      </c>
      <c r="F2188">
        <v>14</v>
      </c>
      <c r="G2188">
        <v>14.1</v>
      </c>
      <c r="H2188" t="s">
        <v>2022</v>
      </c>
      <c r="I2188" s="21">
        <v>39164</v>
      </c>
      <c r="J2188">
        <v>2007</v>
      </c>
      <c r="K2188" s="21">
        <v>39197</v>
      </c>
      <c r="L2188">
        <v>2007</v>
      </c>
      <c r="M2188" s="21">
        <v>39700</v>
      </c>
      <c r="N2188">
        <v>2008</v>
      </c>
      <c r="R2188" s="262">
        <v>90000</v>
      </c>
      <c r="S2188" t="s">
        <v>114</v>
      </c>
      <c r="T2188" t="s">
        <v>114</v>
      </c>
      <c r="U2188">
        <v>5</v>
      </c>
      <c r="W2188">
        <v>988</v>
      </c>
      <c r="X2188">
        <v>0</v>
      </c>
      <c r="Y2188">
        <v>0</v>
      </c>
      <c r="Z2188">
        <v>0</v>
      </c>
      <c r="AA2188">
        <v>0</v>
      </c>
      <c r="AB2188">
        <v>0</v>
      </c>
      <c r="AC2188">
        <v>988</v>
      </c>
      <c r="AD2188">
        <v>0</v>
      </c>
      <c r="AE2188">
        <v>0</v>
      </c>
      <c r="AF2188">
        <v>0</v>
      </c>
      <c r="AG2188">
        <v>0</v>
      </c>
      <c r="AH2188">
        <v>0</v>
      </c>
      <c r="AI2188">
        <v>0</v>
      </c>
      <c r="AJ2188">
        <v>0</v>
      </c>
      <c r="AK2188">
        <v>0</v>
      </c>
      <c r="AL2188">
        <v>0</v>
      </c>
      <c r="AM2188">
        <v>0</v>
      </c>
      <c r="AN2188">
        <v>0</v>
      </c>
      <c r="AO2188">
        <v>0</v>
      </c>
      <c r="AP2188">
        <v>0</v>
      </c>
      <c r="AQ2188">
        <v>0</v>
      </c>
      <c r="AR2188">
        <v>0</v>
      </c>
      <c r="AS2188">
        <v>0</v>
      </c>
      <c r="AT2188">
        <v>0</v>
      </c>
      <c r="AU2188">
        <f t="shared" si="66"/>
        <v>0</v>
      </c>
      <c r="AV2188">
        <f t="shared" si="67"/>
        <v>0</v>
      </c>
    </row>
    <row r="2189" spans="1:48" x14ac:dyDescent="0.25">
      <c r="A2189" t="s">
        <v>7882</v>
      </c>
      <c r="C2189" t="s">
        <v>7883</v>
      </c>
      <c r="D2189" t="s">
        <v>7884</v>
      </c>
      <c r="E2189" t="s">
        <v>2310</v>
      </c>
      <c r="F2189">
        <v>9</v>
      </c>
      <c r="G2189">
        <v>9.1999999999999993</v>
      </c>
      <c r="H2189" t="s">
        <v>2022</v>
      </c>
      <c r="I2189" s="21">
        <v>39164</v>
      </c>
      <c r="J2189">
        <v>2007</v>
      </c>
      <c r="K2189" s="21">
        <v>39258</v>
      </c>
      <c r="L2189">
        <v>2007</v>
      </c>
      <c r="M2189" s="21">
        <v>39258</v>
      </c>
      <c r="N2189">
        <v>2007</v>
      </c>
      <c r="R2189" s="262">
        <v>150000</v>
      </c>
      <c r="S2189" t="s">
        <v>114</v>
      </c>
      <c r="T2189" t="s">
        <v>114</v>
      </c>
      <c r="U2189">
        <v>5</v>
      </c>
      <c r="W2189">
        <v>522</v>
      </c>
      <c r="X2189">
        <v>0</v>
      </c>
      <c r="Y2189">
        <v>0</v>
      </c>
      <c r="Z2189">
        <v>0</v>
      </c>
      <c r="AA2189">
        <v>0</v>
      </c>
      <c r="AB2189">
        <v>0</v>
      </c>
      <c r="AC2189">
        <v>522</v>
      </c>
      <c r="AD2189">
        <v>0</v>
      </c>
      <c r="AE2189">
        <v>0</v>
      </c>
      <c r="AF2189">
        <v>0</v>
      </c>
      <c r="AG2189">
        <v>0</v>
      </c>
      <c r="AH2189">
        <v>0</v>
      </c>
      <c r="AI2189">
        <v>0</v>
      </c>
      <c r="AJ2189">
        <v>0</v>
      </c>
      <c r="AK2189">
        <v>0</v>
      </c>
      <c r="AL2189">
        <v>0</v>
      </c>
      <c r="AM2189">
        <v>0</v>
      </c>
      <c r="AN2189">
        <v>0</v>
      </c>
      <c r="AO2189">
        <v>0</v>
      </c>
      <c r="AP2189">
        <v>0</v>
      </c>
      <c r="AQ2189">
        <v>0</v>
      </c>
      <c r="AR2189">
        <v>0</v>
      </c>
      <c r="AS2189">
        <v>0</v>
      </c>
      <c r="AT2189">
        <v>0</v>
      </c>
      <c r="AU2189">
        <f t="shared" si="66"/>
        <v>0</v>
      </c>
      <c r="AV2189">
        <f t="shared" si="67"/>
        <v>0</v>
      </c>
    </row>
    <row r="2190" spans="1:48" x14ac:dyDescent="0.25">
      <c r="A2190" t="s">
        <v>7885</v>
      </c>
      <c r="C2190" t="s">
        <v>7886</v>
      </c>
      <c r="D2190" t="s">
        <v>7887</v>
      </c>
      <c r="E2190" t="s">
        <v>1663</v>
      </c>
      <c r="F2190">
        <v>3</v>
      </c>
      <c r="G2190">
        <v>3.1</v>
      </c>
      <c r="H2190" t="s">
        <v>2017</v>
      </c>
      <c r="I2190" s="21">
        <v>39167</v>
      </c>
      <c r="J2190">
        <v>2007</v>
      </c>
      <c r="K2190" s="21">
        <v>39198</v>
      </c>
      <c r="L2190">
        <v>2007</v>
      </c>
      <c r="M2190" s="21">
        <v>39351</v>
      </c>
      <c r="N2190">
        <v>2007</v>
      </c>
      <c r="Q2190" s="262">
        <v>0</v>
      </c>
      <c r="S2190" t="s">
        <v>114</v>
      </c>
      <c r="T2190" t="s">
        <v>114</v>
      </c>
      <c r="W2190">
        <v>5010</v>
      </c>
      <c r="X2190">
        <v>1</v>
      </c>
      <c r="Y2190">
        <v>0</v>
      </c>
      <c r="Z2190">
        <v>0</v>
      </c>
      <c r="AA2190">
        <v>0</v>
      </c>
      <c r="AB2190">
        <v>0</v>
      </c>
      <c r="AC2190">
        <v>5010</v>
      </c>
      <c r="AD2190">
        <v>0</v>
      </c>
      <c r="AE2190">
        <v>0</v>
      </c>
      <c r="AF2190">
        <v>0</v>
      </c>
      <c r="AG2190">
        <v>0</v>
      </c>
      <c r="AH2190">
        <v>0</v>
      </c>
      <c r="AI2190">
        <v>0</v>
      </c>
      <c r="AJ2190">
        <v>0</v>
      </c>
      <c r="AK2190">
        <v>0</v>
      </c>
      <c r="AL2190">
        <v>0</v>
      </c>
      <c r="AM2190">
        <v>0</v>
      </c>
      <c r="AN2190">
        <v>0</v>
      </c>
      <c r="AO2190">
        <v>1</v>
      </c>
      <c r="AP2190">
        <v>0</v>
      </c>
      <c r="AQ2190">
        <v>0</v>
      </c>
      <c r="AR2190">
        <v>0</v>
      </c>
      <c r="AS2190">
        <v>0</v>
      </c>
      <c r="AT2190">
        <v>0</v>
      </c>
      <c r="AU2190">
        <f t="shared" si="66"/>
        <v>1</v>
      </c>
      <c r="AV2190">
        <f t="shared" si="67"/>
        <v>0</v>
      </c>
    </row>
    <row r="2191" spans="1:48" x14ac:dyDescent="0.25">
      <c r="A2191" t="s">
        <v>7888</v>
      </c>
      <c r="C2191" t="s">
        <v>5963</v>
      </c>
      <c r="D2191" t="s">
        <v>7889</v>
      </c>
      <c r="E2191" t="s">
        <v>1663</v>
      </c>
      <c r="F2191">
        <v>3</v>
      </c>
      <c r="G2191">
        <v>3.1</v>
      </c>
      <c r="H2191" t="s">
        <v>2017</v>
      </c>
      <c r="I2191" s="21">
        <v>39167</v>
      </c>
      <c r="J2191">
        <v>2007</v>
      </c>
      <c r="K2191" s="21">
        <v>39198</v>
      </c>
      <c r="L2191">
        <v>2007</v>
      </c>
      <c r="M2191" s="21">
        <v>39351</v>
      </c>
      <c r="N2191">
        <v>2007</v>
      </c>
      <c r="Q2191" s="262">
        <v>0</v>
      </c>
      <c r="S2191" t="s">
        <v>114</v>
      </c>
      <c r="T2191" t="s">
        <v>114</v>
      </c>
      <c r="W2191">
        <v>3290</v>
      </c>
      <c r="X2191">
        <v>1</v>
      </c>
      <c r="Y2191">
        <v>0</v>
      </c>
      <c r="Z2191">
        <v>0</v>
      </c>
      <c r="AA2191">
        <v>0</v>
      </c>
      <c r="AB2191">
        <v>0</v>
      </c>
      <c r="AC2191">
        <v>3290</v>
      </c>
      <c r="AD2191">
        <v>0</v>
      </c>
      <c r="AE2191">
        <v>0</v>
      </c>
      <c r="AF2191">
        <v>0</v>
      </c>
      <c r="AG2191">
        <v>0</v>
      </c>
      <c r="AH2191">
        <v>0</v>
      </c>
      <c r="AI2191">
        <v>0</v>
      </c>
      <c r="AJ2191">
        <v>0</v>
      </c>
      <c r="AK2191">
        <v>0</v>
      </c>
      <c r="AL2191">
        <v>0</v>
      </c>
      <c r="AM2191">
        <v>0</v>
      </c>
      <c r="AN2191">
        <v>0</v>
      </c>
      <c r="AO2191">
        <v>1</v>
      </c>
      <c r="AP2191">
        <v>0</v>
      </c>
      <c r="AQ2191">
        <v>0</v>
      </c>
      <c r="AR2191">
        <v>0</v>
      </c>
      <c r="AS2191">
        <v>0</v>
      </c>
      <c r="AT2191">
        <v>0</v>
      </c>
      <c r="AU2191">
        <f t="shared" si="66"/>
        <v>1</v>
      </c>
      <c r="AV2191">
        <f t="shared" si="67"/>
        <v>0</v>
      </c>
    </row>
    <row r="2192" spans="1:48" x14ac:dyDescent="0.25">
      <c r="A2192" t="s">
        <v>7890</v>
      </c>
      <c r="C2192" t="s">
        <v>5963</v>
      </c>
      <c r="D2192" t="s">
        <v>7891</v>
      </c>
      <c r="E2192" t="s">
        <v>1663</v>
      </c>
      <c r="F2192">
        <v>3</v>
      </c>
      <c r="G2192">
        <v>3.1</v>
      </c>
      <c r="H2192" t="s">
        <v>2017</v>
      </c>
      <c r="I2192" s="21">
        <v>39167</v>
      </c>
      <c r="J2192">
        <v>2007</v>
      </c>
      <c r="K2192" s="21">
        <v>39198</v>
      </c>
      <c r="L2192">
        <v>2007</v>
      </c>
      <c r="M2192" s="21">
        <v>39351</v>
      </c>
      <c r="N2192">
        <v>2007</v>
      </c>
      <c r="Q2192" s="262">
        <v>0</v>
      </c>
      <c r="S2192" t="s">
        <v>114</v>
      </c>
      <c r="T2192" t="s">
        <v>114</v>
      </c>
      <c r="W2192">
        <v>3290</v>
      </c>
      <c r="X2192">
        <v>1</v>
      </c>
      <c r="Y2192">
        <v>0</v>
      </c>
      <c r="Z2192">
        <v>0</v>
      </c>
      <c r="AA2192">
        <v>0</v>
      </c>
      <c r="AB2192">
        <v>0</v>
      </c>
      <c r="AC2192">
        <v>3290</v>
      </c>
      <c r="AD2192">
        <v>0</v>
      </c>
      <c r="AE2192">
        <v>0</v>
      </c>
      <c r="AF2192">
        <v>0</v>
      </c>
      <c r="AG2192">
        <v>0</v>
      </c>
      <c r="AH2192">
        <v>0</v>
      </c>
      <c r="AI2192">
        <v>0</v>
      </c>
      <c r="AJ2192">
        <v>0</v>
      </c>
      <c r="AK2192">
        <v>0</v>
      </c>
      <c r="AL2192">
        <v>0</v>
      </c>
      <c r="AM2192">
        <v>0</v>
      </c>
      <c r="AN2192">
        <v>0</v>
      </c>
      <c r="AO2192">
        <v>1</v>
      </c>
      <c r="AP2192">
        <v>0</v>
      </c>
      <c r="AQ2192">
        <v>0</v>
      </c>
      <c r="AR2192">
        <v>0</v>
      </c>
      <c r="AS2192">
        <v>0</v>
      </c>
      <c r="AT2192">
        <v>0</v>
      </c>
      <c r="AU2192">
        <f t="shared" si="66"/>
        <v>1</v>
      </c>
      <c r="AV2192">
        <f t="shared" si="67"/>
        <v>0</v>
      </c>
    </row>
    <row r="2193" spans="1:48" x14ac:dyDescent="0.25">
      <c r="A2193" t="s">
        <v>7892</v>
      </c>
      <c r="C2193" t="s">
        <v>5829</v>
      </c>
      <c r="D2193" t="s">
        <v>7893</v>
      </c>
      <c r="E2193" t="s">
        <v>1663</v>
      </c>
      <c r="F2193">
        <v>3</v>
      </c>
      <c r="G2193">
        <v>3.1</v>
      </c>
      <c r="H2193" t="s">
        <v>2017</v>
      </c>
      <c r="I2193" s="21">
        <v>39167</v>
      </c>
      <c r="J2193">
        <v>2007</v>
      </c>
      <c r="K2193" s="21">
        <v>39198</v>
      </c>
      <c r="L2193">
        <v>2007</v>
      </c>
      <c r="M2193" s="21">
        <v>39351</v>
      </c>
      <c r="N2193">
        <v>2007</v>
      </c>
      <c r="Q2193" s="262">
        <v>0</v>
      </c>
      <c r="S2193" t="s">
        <v>114</v>
      </c>
      <c r="T2193" t="s">
        <v>114</v>
      </c>
      <c r="W2193">
        <v>3290</v>
      </c>
      <c r="X2193">
        <v>1</v>
      </c>
      <c r="Y2193">
        <v>0</v>
      </c>
      <c r="Z2193">
        <v>0</v>
      </c>
      <c r="AA2193">
        <v>0</v>
      </c>
      <c r="AB2193">
        <v>0</v>
      </c>
      <c r="AC2193">
        <v>3290</v>
      </c>
      <c r="AD2193">
        <v>0</v>
      </c>
      <c r="AE2193">
        <v>0</v>
      </c>
      <c r="AF2193">
        <v>0</v>
      </c>
      <c r="AG2193">
        <v>0</v>
      </c>
      <c r="AH2193">
        <v>0</v>
      </c>
      <c r="AI2193">
        <v>0</v>
      </c>
      <c r="AJ2193">
        <v>0</v>
      </c>
      <c r="AK2193">
        <v>0</v>
      </c>
      <c r="AL2193">
        <v>0</v>
      </c>
      <c r="AM2193">
        <v>0</v>
      </c>
      <c r="AN2193">
        <v>0</v>
      </c>
      <c r="AO2193">
        <v>1</v>
      </c>
      <c r="AP2193">
        <v>0</v>
      </c>
      <c r="AQ2193">
        <v>0</v>
      </c>
      <c r="AR2193">
        <v>0</v>
      </c>
      <c r="AS2193">
        <v>0</v>
      </c>
      <c r="AT2193">
        <v>0</v>
      </c>
      <c r="AU2193">
        <f t="shared" si="66"/>
        <v>1</v>
      </c>
      <c r="AV2193">
        <f t="shared" si="67"/>
        <v>0</v>
      </c>
    </row>
    <row r="2194" spans="1:48" x14ac:dyDescent="0.25">
      <c r="A2194" t="s">
        <v>7894</v>
      </c>
      <c r="C2194" t="s">
        <v>7895</v>
      </c>
      <c r="D2194" t="s">
        <v>7866</v>
      </c>
      <c r="E2194" t="s">
        <v>2310</v>
      </c>
      <c r="F2194">
        <v>9</v>
      </c>
      <c r="G2194">
        <v>9.4</v>
      </c>
      <c r="H2194" t="s">
        <v>2323</v>
      </c>
      <c r="I2194" s="21">
        <v>39168</v>
      </c>
      <c r="J2194">
        <v>2007</v>
      </c>
      <c r="K2194" s="21">
        <v>39210</v>
      </c>
      <c r="L2194">
        <v>2007</v>
      </c>
      <c r="M2194" s="21">
        <v>39703</v>
      </c>
      <c r="N2194">
        <v>2008</v>
      </c>
      <c r="R2194" s="262">
        <v>300000</v>
      </c>
      <c r="S2194" t="s">
        <v>114</v>
      </c>
      <c r="T2194" t="s">
        <v>114</v>
      </c>
      <c r="U2194">
        <v>8</v>
      </c>
      <c r="W2194">
        <v>1830</v>
      </c>
      <c r="X2194">
        <v>1</v>
      </c>
      <c r="Y2194">
        <v>0</v>
      </c>
      <c r="Z2194">
        <v>0</v>
      </c>
      <c r="AA2194">
        <v>0</v>
      </c>
      <c r="AB2194">
        <v>0</v>
      </c>
      <c r="AC2194">
        <v>1050</v>
      </c>
      <c r="AD2194">
        <v>0</v>
      </c>
      <c r="AE2194">
        <v>0</v>
      </c>
      <c r="AF2194">
        <v>780</v>
      </c>
      <c r="AG2194">
        <v>0</v>
      </c>
      <c r="AH2194">
        <v>0</v>
      </c>
      <c r="AI2194">
        <v>0</v>
      </c>
      <c r="AJ2194">
        <v>0</v>
      </c>
      <c r="AK2194">
        <v>0</v>
      </c>
      <c r="AL2194">
        <v>0</v>
      </c>
      <c r="AM2194">
        <v>0</v>
      </c>
      <c r="AN2194">
        <v>0</v>
      </c>
      <c r="AO2194">
        <v>0</v>
      </c>
      <c r="AP2194">
        <v>0</v>
      </c>
      <c r="AQ2194">
        <v>0</v>
      </c>
      <c r="AR2194">
        <v>1</v>
      </c>
      <c r="AS2194">
        <v>0</v>
      </c>
      <c r="AT2194">
        <v>0</v>
      </c>
      <c r="AU2194">
        <f t="shared" si="66"/>
        <v>0</v>
      </c>
      <c r="AV2194">
        <f t="shared" si="67"/>
        <v>0</v>
      </c>
    </row>
    <row r="2195" spans="1:48" x14ac:dyDescent="0.25">
      <c r="A2195" t="s">
        <v>7896</v>
      </c>
      <c r="C2195" t="s">
        <v>7897</v>
      </c>
      <c r="D2195" t="s">
        <v>7801</v>
      </c>
      <c r="E2195" t="s">
        <v>2310</v>
      </c>
      <c r="F2195">
        <v>8</v>
      </c>
      <c r="G2195">
        <v>8.1999999999999993</v>
      </c>
      <c r="H2195" t="s">
        <v>2022</v>
      </c>
      <c r="I2195" s="21">
        <v>39169</v>
      </c>
      <c r="J2195">
        <v>2007</v>
      </c>
      <c r="K2195" s="21">
        <v>39203</v>
      </c>
      <c r="L2195">
        <v>2007</v>
      </c>
      <c r="M2195" s="21">
        <v>40021.493136574099</v>
      </c>
      <c r="N2195">
        <v>2009</v>
      </c>
      <c r="R2195" s="262">
        <v>2500000</v>
      </c>
      <c r="S2195" t="s">
        <v>114</v>
      </c>
      <c r="T2195" t="s">
        <v>114</v>
      </c>
      <c r="U2195">
        <v>5</v>
      </c>
      <c r="W2195">
        <v>4735</v>
      </c>
      <c r="X2195">
        <v>1</v>
      </c>
      <c r="Y2195">
        <v>0</v>
      </c>
      <c r="Z2195">
        <v>0</v>
      </c>
      <c r="AA2195">
        <v>0</v>
      </c>
      <c r="AB2195">
        <v>0</v>
      </c>
      <c r="AC2195">
        <v>4735</v>
      </c>
      <c r="AD2195">
        <v>0</v>
      </c>
      <c r="AE2195">
        <v>0</v>
      </c>
      <c r="AF2195">
        <v>0</v>
      </c>
      <c r="AG2195">
        <v>0</v>
      </c>
      <c r="AH2195">
        <v>0</v>
      </c>
      <c r="AI2195">
        <v>0</v>
      </c>
      <c r="AJ2195">
        <v>0</v>
      </c>
      <c r="AK2195">
        <v>0</v>
      </c>
      <c r="AL2195">
        <v>0</v>
      </c>
      <c r="AM2195">
        <v>0</v>
      </c>
      <c r="AN2195">
        <v>0</v>
      </c>
      <c r="AO2195">
        <v>1</v>
      </c>
      <c r="AP2195">
        <v>0</v>
      </c>
      <c r="AQ2195">
        <v>0</v>
      </c>
      <c r="AR2195">
        <v>0</v>
      </c>
      <c r="AS2195">
        <v>0</v>
      </c>
      <c r="AT2195">
        <v>0</v>
      </c>
      <c r="AU2195">
        <f t="shared" si="66"/>
        <v>1</v>
      </c>
      <c r="AV2195">
        <f t="shared" si="67"/>
        <v>0</v>
      </c>
    </row>
    <row r="2196" spans="1:48" x14ac:dyDescent="0.25">
      <c r="A2196" t="s">
        <v>7898</v>
      </c>
      <c r="C2196" t="s">
        <v>7899</v>
      </c>
      <c r="D2196" t="s">
        <v>7900</v>
      </c>
      <c r="E2196" t="s">
        <v>2310</v>
      </c>
      <c r="F2196">
        <v>15</v>
      </c>
      <c r="G2196">
        <v>15.2</v>
      </c>
      <c r="H2196" t="s">
        <v>2323</v>
      </c>
      <c r="I2196" s="21">
        <v>39169</v>
      </c>
      <c r="J2196">
        <v>2007</v>
      </c>
      <c r="K2196" s="21">
        <v>39190</v>
      </c>
      <c r="L2196">
        <v>2007</v>
      </c>
      <c r="M2196" s="21">
        <v>39190</v>
      </c>
      <c r="N2196">
        <v>2007</v>
      </c>
      <c r="R2196" s="262">
        <v>25000</v>
      </c>
      <c r="S2196" t="s">
        <v>114</v>
      </c>
      <c r="T2196" t="s">
        <v>114</v>
      </c>
      <c r="U2196">
        <v>5</v>
      </c>
      <c r="W2196">
        <v>0</v>
      </c>
      <c r="X2196">
        <v>0</v>
      </c>
      <c r="Y2196">
        <v>0</v>
      </c>
      <c r="Z2196">
        <v>0</v>
      </c>
      <c r="AA2196">
        <v>0</v>
      </c>
      <c r="AB2196">
        <v>0</v>
      </c>
      <c r="AC2196">
        <v>0</v>
      </c>
      <c r="AD2196">
        <v>0</v>
      </c>
      <c r="AE2196">
        <v>0</v>
      </c>
      <c r="AF2196">
        <v>0</v>
      </c>
      <c r="AG2196">
        <v>0</v>
      </c>
      <c r="AH2196">
        <v>0</v>
      </c>
      <c r="AI2196">
        <v>0</v>
      </c>
      <c r="AJ2196">
        <v>0</v>
      </c>
      <c r="AK2196">
        <v>0</v>
      </c>
      <c r="AL2196">
        <v>0</v>
      </c>
      <c r="AM2196">
        <v>0</v>
      </c>
      <c r="AN2196">
        <v>0</v>
      </c>
      <c r="AO2196">
        <v>0</v>
      </c>
      <c r="AP2196">
        <v>0</v>
      </c>
      <c r="AQ2196">
        <v>0</v>
      </c>
      <c r="AR2196">
        <v>0</v>
      </c>
      <c r="AS2196">
        <v>0</v>
      </c>
      <c r="AT2196">
        <v>0</v>
      </c>
      <c r="AU2196">
        <f t="shared" si="66"/>
        <v>0</v>
      </c>
      <c r="AV2196">
        <f t="shared" si="67"/>
        <v>0</v>
      </c>
    </row>
    <row r="2197" spans="1:48" x14ac:dyDescent="0.25">
      <c r="A2197" t="s">
        <v>7911</v>
      </c>
      <c r="C2197" t="s">
        <v>7912</v>
      </c>
      <c r="D2197" t="s">
        <v>7913</v>
      </c>
      <c r="E2197" t="s">
        <v>2310</v>
      </c>
      <c r="F2197">
        <v>13</v>
      </c>
      <c r="G2197">
        <v>13.3</v>
      </c>
      <c r="H2197" t="s">
        <v>2017</v>
      </c>
      <c r="I2197" s="21">
        <v>39170</v>
      </c>
      <c r="J2197">
        <v>2007</v>
      </c>
      <c r="K2197" s="21">
        <v>39265</v>
      </c>
      <c r="L2197">
        <v>2007</v>
      </c>
      <c r="M2197" s="21">
        <v>40520.6196180556</v>
      </c>
      <c r="N2197">
        <v>2010</v>
      </c>
      <c r="R2197" s="262">
        <v>125000</v>
      </c>
      <c r="S2197" t="s">
        <v>114</v>
      </c>
      <c r="T2197" t="s">
        <v>114</v>
      </c>
      <c r="U2197">
        <v>8</v>
      </c>
      <c r="W2197">
        <v>997</v>
      </c>
      <c r="X2197">
        <v>1</v>
      </c>
      <c r="Y2197">
        <v>0</v>
      </c>
      <c r="Z2197">
        <v>0</v>
      </c>
      <c r="AA2197">
        <v>0</v>
      </c>
      <c r="AB2197">
        <v>0</v>
      </c>
      <c r="AC2197">
        <v>0</v>
      </c>
      <c r="AD2197">
        <v>0</v>
      </c>
      <c r="AE2197">
        <v>0</v>
      </c>
      <c r="AF2197">
        <v>997</v>
      </c>
      <c r="AG2197">
        <v>0</v>
      </c>
      <c r="AH2197">
        <v>0</v>
      </c>
      <c r="AI2197">
        <v>0</v>
      </c>
      <c r="AJ2197">
        <v>0</v>
      </c>
      <c r="AK2197">
        <v>0</v>
      </c>
      <c r="AL2197">
        <v>0</v>
      </c>
      <c r="AM2197">
        <v>0</v>
      </c>
      <c r="AN2197">
        <v>0</v>
      </c>
      <c r="AO2197">
        <v>0</v>
      </c>
      <c r="AP2197">
        <v>0</v>
      </c>
      <c r="AQ2197">
        <v>0</v>
      </c>
      <c r="AR2197">
        <v>1</v>
      </c>
      <c r="AS2197">
        <v>0</v>
      </c>
      <c r="AT2197">
        <v>0</v>
      </c>
      <c r="AU2197">
        <f t="shared" si="66"/>
        <v>0</v>
      </c>
      <c r="AV2197">
        <f t="shared" si="67"/>
        <v>0</v>
      </c>
    </row>
    <row r="2198" spans="1:48" x14ac:dyDescent="0.25">
      <c r="A2198" t="s">
        <v>7914</v>
      </c>
      <c r="C2198" t="s">
        <v>7915</v>
      </c>
      <c r="D2198" t="s">
        <v>7916</v>
      </c>
      <c r="E2198" t="s">
        <v>2310</v>
      </c>
      <c r="F2198">
        <v>8</v>
      </c>
      <c r="G2198">
        <v>8.1</v>
      </c>
      <c r="H2198" t="s">
        <v>2323</v>
      </c>
      <c r="I2198" s="21">
        <v>39170</v>
      </c>
      <c r="J2198">
        <v>2007</v>
      </c>
      <c r="K2198" s="21">
        <v>39273</v>
      </c>
      <c r="L2198">
        <v>2007</v>
      </c>
      <c r="M2198" s="21">
        <v>39724</v>
      </c>
      <c r="N2198">
        <v>2008</v>
      </c>
      <c r="R2198" s="262">
        <v>400000</v>
      </c>
      <c r="S2198" t="s">
        <v>114</v>
      </c>
      <c r="T2198" t="s">
        <v>114</v>
      </c>
      <c r="U2198">
        <v>5</v>
      </c>
      <c r="W2198">
        <v>2177</v>
      </c>
      <c r="X2198">
        <v>0</v>
      </c>
      <c r="Y2198">
        <v>0</v>
      </c>
      <c r="Z2198">
        <v>0</v>
      </c>
      <c r="AA2198">
        <v>0</v>
      </c>
      <c r="AB2198">
        <v>0</v>
      </c>
      <c r="AC2198">
        <v>2177</v>
      </c>
      <c r="AD2198">
        <v>0</v>
      </c>
      <c r="AE2198">
        <v>0</v>
      </c>
      <c r="AF2198">
        <v>0</v>
      </c>
      <c r="AG2198">
        <v>0</v>
      </c>
      <c r="AH2198">
        <v>0</v>
      </c>
      <c r="AI2198">
        <v>0</v>
      </c>
      <c r="AJ2198">
        <v>0</v>
      </c>
      <c r="AK2198">
        <v>0</v>
      </c>
      <c r="AL2198">
        <v>0</v>
      </c>
      <c r="AM2198">
        <v>0</v>
      </c>
      <c r="AN2198">
        <v>0</v>
      </c>
      <c r="AO2198">
        <v>0</v>
      </c>
      <c r="AP2198">
        <v>0</v>
      </c>
      <c r="AQ2198">
        <v>0</v>
      </c>
      <c r="AR2198">
        <v>0</v>
      </c>
      <c r="AS2198">
        <v>0</v>
      </c>
      <c r="AT2198">
        <v>0</v>
      </c>
      <c r="AU2198">
        <f t="shared" si="66"/>
        <v>0</v>
      </c>
      <c r="AV2198">
        <f t="shared" si="67"/>
        <v>0</v>
      </c>
    </row>
    <row r="2199" spans="1:48" x14ac:dyDescent="0.25">
      <c r="A2199" t="s">
        <v>7917</v>
      </c>
      <c r="C2199" t="s">
        <v>7918</v>
      </c>
      <c r="D2199" t="s">
        <v>7913</v>
      </c>
      <c r="E2199" t="s">
        <v>2310</v>
      </c>
      <c r="F2199">
        <v>13</v>
      </c>
      <c r="G2199">
        <v>13.3</v>
      </c>
      <c r="H2199" t="s">
        <v>2017</v>
      </c>
      <c r="I2199" s="21">
        <v>39170</v>
      </c>
      <c r="J2199">
        <v>2007</v>
      </c>
      <c r="K2199" s="21">
        <v>39265</v>
      </c>
      <c r="L2199">
        <v>2007</v>
      </c>
      <c r="M2199" s="21">
        <v>40520.631886574098</v>
      </c>
      <c r="N2199">
        <v>2010</v>
      </c>
      <c r="R2199" s="262">
        <v>200000</v>
      </c>
      <c r="S2199" t="s">
        <v>114</v>
      </c>
      <c r="T2199" t="s">
        <v>114</v>
      </c>
      <c r="U2199">
        <v>5</v>
      </c>
      <c r="W2199">
        <v>2223</v>
      </c>
      <c r="X2199">
        <v>0</v>
      </c>
      <c r="Y2199">
        <v>0</v>
      </c>
      <c r="Z2199">
        <v>0</v>
      </c>
      <c r="AA2199">
        <v>0</v>
      </c>
      <c r="AB2199">
        <v>0</v>
      </c>
      <c r="AC2199">
        <v>2223</v>
      </c>
      <c r="AD2199">
        <v>0</v>
      </c>
      <c r="AE2199">
        <v>0</v>
      </c>
      <c r="AF2199">
        <v>0</v>
      </c>
      <c r="AG2199">
        <v>0</v>
      </c>
      <c r="AH2199">
        <v>0</v>
      </c>
      <c r="AI2199">
        <v>0</v>
      </c>
      <c r="AJ2199">
        <v>0</v>
      </c>
      <c r="AK2199">
        <v>0</v>
      </c>
      <c r="AL2199">
        <v>0</v>
      </c>
      <c r="AM2199">
        <v>0</v>
      </c>
      <c r="AN2199">
        <v>0</v>
      </c>
      <c r="AO2199">
        <v>0</v>
      </c>
      <c r="AP2199">
        <v>0</v>
      </c>
      <c r="AQ2199">
        <v>0</v>
      </c>
      <c r="AR2199">
        <v>0</v>
      </c>
      <c r="AS2199">
        <v>0</v>
      </c>
      <c r="AT2199">
        <v>0</v>
      </c>
      <c r="AU2199">
        <f t="shared" si="66"/>
        <v>0</v>
      </c>
      <c r="AV2199">
        <f t="shared" si="67"/>
        <v>0</v>
      </c>
    </row>
    <row r="2200" spans="1:48" x14ac:dyDescent="0.25">
      <c r="A2200" t="s">
        <v>7901</v>
      </c>
      <c r="C2200" t="s">
        <v>7902</v>
      </c>
      <c r="D2200" t="s">
        <v>7903</v>
      </c>
      <c r="E2200" t="s">
        <v>1663</v>
      </c>
      <c r="F2200">
        <v>3</v>
      </c>
      <c r="G2200">
        <v>3.1</v>
      </c>
      <c r="H2200" t="s">
        <v>2017</v>
      </c>
      <c r="I2200" s="21">
        <v>39170</v>
      </c>
      <c r="J2200">
        <v>2007</v>
      </c>
      <c r="K2200" s="21">
        <v>39201</v>
      </c>
      <c r="L2200">
        <v>2007</v>
      </c>
      <c r="M2200" s="21">
        <v>39354</v>
      </c>
      <c r="N2200">
        <v>2007</v>
      </c>
      <c r="Q2200" s="262">
        <v>0</v>
      </c>
      <c r="S2200" t="s">
        <v>114</v>
      </c>
      <c r="T2200" t="s">
        <v>114</v>
      </c>
      <c r="W2200">
        <v>3716</v>
      </c>
      <c r="X2200">
        <v>2</v>
      </c>
      <c r="Y2200">
        <v>0</v>
      </c>
      <c r="Z2200">
        <v>0</v>
      </c>
      <c r="AA2200">
        <v>0</v>
      </c>
      <c r="AB2200">
        <v>0</v>
      </c>
      <c r="AC2200">
        <v>3006</v>
      </c>
      <c r="AD2200">
        <v>0</v>
      </c>
      <c r="AE2200">
        <v>710</v>
      </c>
      <c r="AF2200">
        <v>0</v>
      </c>
      <c r="AG2200">
        <v>0</v>
      </c>
      <c r="AH2200">
        <v>0</v>
      </c>
      <c r="AI2200">
        <v>0</v>
      </c>
      <c r="AJ2200">
        <v>0</v>
      </c>
      <c r="AK2200">
        <v>0</v>
      </c>
      <c r="AL2200">
        <v>0</v>
      </c>
      <c r="AM2200">
        <v>0</v>
      </c>
      <c r="AN2200">
        <v>0</v>
      </c>
      <c r="AO2200">
        <v>1</v>
      </c>
      <c r="AP2200">
        <v>0</v>
      </c>
      <c r="AQ2200">
        <v>1</v>
      </c>
      <c r="AR2200">
        <v>0</v>
      </c>
      <c r="AS2200">
        <v>0</v>
      </c>
      <c r="AT2200">
        <v>0</v>
      </c>
      <c r="AU2200">
        <f t="shared" si="66"/>
        <v>2</v>
      </c>
      <c r="AV2200">
        <f t="shared" si="67"/>
        <v>0</v>
      </c>
    </row>
    <row r="2201" spans="1:48" x14ac:dyDescent="0.25">
      <c r="A2201" t="s">
        <v>7904</v>
      </c>
      <c r="C2201" t="s">
        <v>7905</v>
      </c>
      <c r="D2201" t="s">
        <v>7903</v>
      </c>
      <c r="E2201" t="s">
        <v>1663</v>
      </c>
      <c r="F2201">
        <v>3</v>
      </c>
      <c r="G2201">
        <v>3.1</v>
      </c>
      <c r="H2201" t="s">
        <v>2017</v>
      </c>
      <c r="I2201" s="21">
        <v>39170</v>
      </c>
      <c r="J2201">
        <v>2007</v>
      </c>
      <c r="K2201" s="21">
        <v>39201</v>
      </c>
      <c r="L2201">
        <v>2007</v>
      </c>
      <c r="M2201" s="21">
        <v>39354</v>
      </c>
      <c r="N2201">
        <v>2007</v>
      </c>
      <c r="Q2201" s="262">
        <v>0</v>
      </c>
      <c r="S2201" t="s">
        <v>114</v>
      </c>
      <c r="T2201" t="s">
        <v>114</v>
      </c>
      <c r="W2201">
        <v>1586</v>
      </c>
      <c r="X2201">
        <v>1</v>
      </c>
      <c r="Y2201">
        <v>0</v>
      </c>
      <c r="Z2201">
        <v>0</v>
      </c>
      <c r="AA2201">
        <v>0</v>
      </c>
      <c r="AB2201">
        <v>0</v>
      </c>
      <c r="AC2201">
        <v>0</v>
      </c>
      <c r="AD2201">
        <v>0</v>
      </c>
      <c r="AE2201">
        <v>1586</v>
      </c>
      <c r="AF2201">
        <v>0</v>
      </c>
      <c r="AG2201">
        <v>0</v>
      </c>
      <c r="AH2201">
        <v>0</v>
      </c>
      <c r="AI2201">
        <v>0</v>
      </c>
      <c r="AJ2201">
        <v>0</v>
      </c>
      <c r="AK2201">
        <v>0</v>
      </c>
      <c r="AL2201">
        <v>0</v>
      </c>
      <c r="AM2201">
        <v>0</v>
      </c>
      <c r="AN2201">
        <v>0</v>
      </c>
      <c r="AO2201">
        <v>0</v>
      </c>
      <c r="AP2201">
        <v>0</v>
      </c>
      <c r="AQ2201">
        <v>1</v>
      </c>
      <c r="AR2201">
        <v>0</v>
      </c>
      <c r="AS2201">
        <v>0</v>
      </c>
      <c r="AT2201">
        <v>0</v>
      </c>
      <c r="AU2201">
        <f t="shared" ref="AU2201:AU2264" si="68">SUM(AN2201:AQ2201,AS2201)</f>
        <v>1</v>
      </c>
      <c r="AV2201">
        <f t="shared" ref="AV2201:AV2264" si="69">SUM(Y2201:AB2201,AH2201:AM2201)</f>
        <v>0</v>
      </c>
    </row>
    <row r="2202" spans="1:48" x14ac:dyDescent="0.25">
      <c r="A2202" t="s">
        <v>7906</v>
      </c>
      <c r="C2202" t="s">
        <v>7907</v>
      </c>
      <c r="D2202" t="s">
        <v>7908</v>
      </c>
      <c r="E2202" t="s">
        <v>1663</v>
      </c>
      <c r="F2202">
        <v>3</v>
      </c>
      <c r="G2202">
        <v>3.1</v>
      </c>
      <c r="H2202" t="s">
        <v>2017</v>
      </c>
      <c r="I2202" s="21">
        <v>39170</v>
      </c>
      <c r="J2202">
        <v>2007</v>
      </c>
      <c r="K2202" s="21">
        <v>39201</v>
      </c>
      <c r="L2202">
        <v>2007</v>
      </c>
      <c r="M2202" s="21">
        <v>39354</v>
      </c>
      <c r="N2202">
        <v>2007</v>
      </c>
      <c r="Q2202" s="262">
        <v>0</v>
      </c>
      <c r="S2202" t="s">
        <v>114</v>
      </c>
      <c r="T2202" t="s">
        <v>114</v>
      </c>
      <c r="W2202">
        <v>3716</v>
      </c>
      <c r="X2202">
        <v>2</v>
      </c>
      <c r="Y2202">
        <v>0</v>
      </c>
      <c r="Z2202">
        <v>0</v>
      </c>
      <c r="AA2202">
        <v>0</v>
      </c>
      <c r="AB2202">
        <v>0</v>
      </c>
      <c r="AC2202">
        <v>3006</v>
      </c>
      <c r="AD2202">
        <v>0</v>
      </c>
      <c r="AE2202">
        <v>710</v>
      </c>
      <c r="AF2202">
        <v>0</v>
      </c>
      <c r="AG2202">
        <v>0</v>
      </c>
      <c r="AH2202">
        <v>0</v>
      </c>
      <c r="AI2202">
        <v>0</v>
      </c>
      <c r="AJ2202">
        <v>0</v>
      </c>
      <c r="AK2202">
        <v>0</v>
      </c>
      <c r="AL2202">
        <v>0</v>
      </c>
      <c r="AM2202">
        <v>0</v>
      </c>
      <c r="AN2202">
        <v>0</v>
      </c>
      <c r="AO2202">
        <v>1</v>
      </c>
      <c r="AP2202">
        <v>0</v>
      </c>
      <c r="AQ2202">
        <v>1</v>
      </c>
      <c r="AR2202">
        <v>0</v>
      </c>
      <c r="AS2202">
        <v>0</v>
      </c>
      <c r="AT2202">
        <v>0</v>
      </c>
      <c r="AU2202">
        <f t="shared" si="68"/>
        <v>2</v>
      </c>
      <c r="AV2202">
        <f t="shared" si="69"/>
        <v>0</v>
      </c>
    </row>
    <row r="2203" spans="1:48" x14ac:dyDescent="0.25">
      <c r="A2203" t="s">
        <v>7909</v>
      </c>
      <c r="C2203" t="s">
        <v>7910</v>
      </c>
      <c r="D2203" t="s">
        <v>7908</v>
      </c>
      <c r="E2203" t="s">
        <v>1663</v>
      </c>
      <c r="F2203">
        <v>3</v>
      </c>
      <c r="G2203">
        <v>3.1</v>
      </c>
      <c r="H2203" t="s">
        <v>2017</v>
      </c>
      <c r="I2203" s="21">
        <v>39170</v>
      </c>
      <c r="J2203">
        <v>2007</v>
      </c>
      <c r="K2203" s="21">
        <v>39201</v>
      </c>
      <c r="L2203">
        <v>2007</v>
      </c>
      <c r="M2203" s="21">
        <v>39354</v>
      </c>
      <c r="N2203">
        <v>2007</v>
      </c>
      <c r="Q2203" s="262">
        <v>0</v>
      </c>
      <c r="S2203" t="s">
        <v>114</v>
      </c>
      <c r="T2203" t="s">
        <v>114</v>
      </c>
      <c r="W2203">
        <v>1586</v>
      </c>
      <c r="X2203">
        <v>1</v>
      </c>
      <c r="Y2203">
        <v>0</v>
      </c>
      <c r="Z2203">
        <v>0</v>
      </c>
      <c r="AA2203">
        <v>0</v>
      </c>
      <c r="AB2203">
        <v>0</v>
      </c>
      <c r="AC2203">
        <v>0</v>
      </c>
      <c r="AD2203">
        <v>0</v>
      </c>
      <c r="AE2203">
        <v>1586</v>
      </c>
      <c r="AF2203">
        <v>0</v>
      </c>
      <c r="AG2203">
        <v>0</v>
      </c>
      <c r="AH2203">
        <v>0</v>
      </c>
      <c r="AI2203">
        <v>0</v>
      </c>
      <c r="AJ2203">
        <v>0</v>
      </c>
      <c r="AK2203">
        <v>0</v>
      </c>
      <c r="AL2203">
        <v>0</v>
      </c>
      <c r="AM2203">
        <v>0</v>
      </c>
      <c r="AN2203">
        <v>0</v>
      </c>
      <c r="AO2203">
        <v>0</v>
      </c>
      <c r="AP2203">
        <v>0</v>
      </c>
      <c r="AQ2203">
        <v>1</v>
      </c>
      <c r="AR2203">
        <v>0</v>
      </c>
      <c r="AS2203">
        <v>0</v>
      </c>
      <c r="AT2203">
        <v>0</v>
      </c>
      <c r="AU2203">
        <f t="shared" si="68"/>
        <v>1</v>
      </c>
      <c r="AV2203">
        <f t="shared" si="69"/>
        <v>0</v>
      </c>
    </row>
    <row r="2204" spans="1:48" x14ac:dyDescent="0.25">
      <c r="A2204" t="s">
        <v>7919</v>
      </c>
      <c r="C2204" t="s">
        <v>7920</v>
      </c>
      <c r="D2204" t="s">
        <v>7921</v>
      </c>
      <c r="E2204" t="s">
        <v>2310</v>
      </c>
      <c r="F2204">
        <v>9</v>
      </c>
      <c r="G2204">
        <v>9.3000000000000007</v>
      </c>
      <c r="H2204" t="s">
        <v>2323</v>
      </c>
      <c r="I2204" s="21">
        <v>39171</v>
      </c>
      <c r="J2204">
        <v>2007</v>
      </c>
      <c r="K2204" s="21">
        <v>39225</v>
      </c>
      <c r="L2204">
        <v>2007</v>
      </c>
      <c r="M2204" s="21">
        <v>39225</v>
      </c>
      <c r="N2204">
        <v>2007</v>
      </c>
      <c r="R2204" s="262">
        <v>1800000</v>
      </c>
      <c r="S2204" t="s">
        <v>114</v>
      </c>
      <c r="T2204" t="s">
        <v>114</v>
      </c>
      <c r="U2204">
        <v>5</v>
      </c>
      <c r="W2204">
        <v>13665</v>
      </c>
      <c r="X2204">
        <v>1</v>
      </c>
      <c r="Y2204">
        <v>0</v>
      </c>
      <c r="Z2204">
        <v>0</v>
      </c>
      <c r="AA2204">
        <v>0</v>
      </c>
      <c r="AB2204">
        <v>0</v>
      </c>
      <c r="AC2204">
        <v>13665</v>
      </c>
      <c r="AD2204">
        <v>0</v>
      </c>
      <c r="AE2204">
        <v>0</v>
      </c>
      <c r="AF2204">
        <v>0</v>
      </c>
      <c r="AG2204">
        <v>0</v>
      </c>
      <c r="AH2204">
        <v>0</v>
      </c>
      <c r="AI2204">
        <v>0</v>
      </c>
      <c r="AJ2204">
        <v>0</v>
      </c>
      <c r="AK2204">
        <v>0</v>
      </c>
      <c r="AL2204">
        <v>0</v>
      </c>
      <c r="AM2204">
        <v>0</v>
      </c>
      <c r="AN2204">
        <v>0</v>
      </c>
      <c r="AO2204">
        <v>1</v>
      </c>
      <c r="AP2204">
        <v>0</v>
      </c>
      <c r="AQ2204">
        <v>0</v>
      </c>
      <c r="AR2204">
        <v>0</v>
      </c>
      <c r="AS2204">
        <v>0</v>
      </c>
      <c r="AT2204">
        <v>0</v>
      </c>
      <c r="AU2204">
        <f t="shared" si="68"/>
        <v>1</v>
      </c>
      <c r="AV2204">
        <f t="shared" si="69"/>
        <v>0</v>
      </c>
    </row>
    <row r="2205" spans="1:48" x14ac:dyDescent="0.25">
      <c r="A2205" t="s">
        <v>7922</v>
      </c>
      <c r="C2205" t="s">
        <v>7923</v>
      </c>
      <c r="D2205" t="s">
        <v>7161</v>
      </c>
      <c r="E2205" t="s">
        <v>2310</v>
      </c>
      <c r="F2205">
        <v>8</v>
      </c>
      <c r="G2205">
        <v>8.1999999999999993</v>
      </c>
      <c r="H2205" t="s">
        <v>2022</v>
      </c>
      <c r="I2205" s="21">
        <v>39171</v>
      </c>
      <c r="J2205">
        <v>2007</v>
      </c>
      <c r="K2205" s="21">
        <v>39258</v>
      </c>
      <c r="L2205">
        <v>2007</v>
      </c>
      <c r="M2205" s="21">
        <v>39700</v>
      </c>
      <c r="N2205">
        <v>2008</v>
      </c>
      <c r="R2205" s="262">
        <v>160000</v>
      </c>
      <c r="S2205" t="s">
        <v>114</v>
      </c>
      <c r="T2205" t="s">
        <v>114</v>
      </c>
      <c r="U2205">
        <v>5</v>
      </c>
      <c r="W2205">
        <v>1075</v>
      </c>
      <c r="X2205">
        <v>0</v>
      </c>
      <c r="Y2205">
        <v>0</v>
      </c>
      <c r="Z2205">
        <v>0</v>
      </c>
      <c r="AA2205">
        <v>0</v>
      </c>
      <c r="AB2205">
        <v>0</v>
      </c>
      <c r="AC2205">
        <v>1075</v>
      </c>
      <c r="AD2205">
        <v>0</v>
      </c>
      <c r="AE2205">
        <v>0</v>
      </c>
      <c r="AF2205">
        <v>0</v>
      </c>
      <c r="AG2205">
        <v>0</v>
      </c>
      <c r="AH2205">
        <v>0</v>
      </c>
      <c r="AI2205">
        <v>0</v>
      </c>
      <c r="AJ2205">
        <v>0</v>
      </c>
      <c r="AK2205">
        <v>0</v>
      </c>
      <c r="AL2205">
        <v>0</v>
      </c>
      <c r="AM2205">
        <v>0</v>
      </c>
      <c r="AN2205">
        <v>0</v>
      </c>
      <c r="AO2205">
        <v>0</v>
      </c>
      <c r="AP2205">
        <v>0</v>
      </c>
      <c r="AQ2205">
        <v>0</v>
      </c>
      <c r="AR2205">
        <v>0</v>
      </c>
      <c r="AS2205">
        <v>0</v>
      </c>
      <c r="AT2205">
        <v>0</v>
      </c>
      <c r="AU2205">
        <f t="shared" si="68"/>
        <v>0</v>
      </c>
      <c r="AV2205">
        <f t="shared" si="69"/>
        <v>0</v>
      </c>
    </row>
    <row r="2206" spans="1:48" x14ac:dyDescent="0.25">
      <c r="A2206" t="s">
        <v>7924</v>
      </c>
      <c r="C2206" t="s">
        <v>7925</v>
      </c>
      <c r="D2206" t="s">
        <v>7926</v>
      </c>
      <c r="E2206" t="s">
        <v>2310</v>
      </c>
      <c r="F2206">
        <v>15</v>
      </c>
      <c r="G2206">
        <v>15.4</v>
      </c>
      <c r="H2206" t="s">
        <v>2323</v>
      </c>
      <c r="I2206" s="21">
        <v>39174</v>
      </c>
      <c r="J2206">
        <v>2007</v>
      </c>
      <c r="K2206" s="21">
        <v>39210</v>
      </c>
      <c r="L2206">
        <v>2007</v>
      </c>
      <c r="M2206" s="21">
        <v>39381</v>
      </c>
      <c r="N2206">
        <v>2007</v>
      </c>
      <c r="R2206" s="262">
        <v>40000</v>
      </c>
      <c r="S2206" t="s">
        <v>114</v>
      </c>
      <c r="T2206" t="s">
        <v>114</v>
      </c>
      <c r="U2206">
        <v>5</v>
      </c>
      <c r="W2206">
        <v>87</v>
      </c>
      <c r="X2206">
        <v>0</v>
      </c>
      <c r="Y2206">
        <v>0</v>
      </c>
      <c r="Z2206">
        <v>0</v>
      </c>
      <c r="AA2206">
        <v>0</v>
      </c>
      <c r="AB2206">
        <v>0</v>
      </c>
      <c r="AC2206">
        <v>87</v>
      </c>
      <c r="AD2206">
        <v>0</v>
      </c>
      <c r="AE2206">
        <v>0</v>
      </c>
      <c r="AF2206">
        <v>0</v>
      </c>
      <c r="AG2206">
        <v>0</v>
      </c>
      <c r="AH2206">
        <v>0</v>
      </c>
      <c r="AI2206">
        <v>0</v>
      </c>
      <c r="AJ2206">
        <v>0</v>
      </c>
      <c r="AK2206">
        <v>0</v>
      </c>
      <c r="AL2206">
        <v>0</v>
      </c>
      <c r="AM2206">
        <v>0</v>
      </c>
      <c r="AN2206">
        <v>0</v>
      </c>
      <c r="AO2206">
        <v>0</v>
      </c>
      <c r="AP2206">
        <v>0</v>
      </c>
      <c r="AQ2206">
        <v>0</v>
      </c>
      <c r="AR2206">
        <v>0</v>
      </c>
      <c r="AS2206">
        <v>0</v>
      </c>
      <c r="AT2206">
        <v>0</v>
      </c>
      <c r="AU2206">
        <f t="shared" si="68"/>
        <v>0</v>
      </c>
      <c r="AV2206">
        <f t="shared" si="69"/>
        <v>0</v>
      </c>
    </row>
    <row r="2207" spans="1:48" x14ac:dyDescent="0.25">
      <c r="A2207" t="s">
        <v>7927</v>
      </c>
      <c r="C2207" t="s">
        <v>7928</v>
      </c>
      <c r="D2207" t="s">
        <v>7929</v>
      </c>
      <c r="E2207" t="s">
        <v>2310</v>
      </c>
      <c r="F2207">
        <v>11</v>
      </c>
      <c r="G2207">
        <v>11.2</v>
      </c>
      <c r="H2207" t="s">
        <v>2017</v>
      </c>
      <c r="I2207" s="21">
        <v>39174</v>
      </c>
      <c r="J2207">
        <v>2007</v>
      </c>
      <c r="K2207" s="21">
        <v>39203</v>
      </c>
      <c r="L2207">
        <v>2007</v>
      </c>
      <c r="M2207" s="21">
        <v>39412</v>
      </c>
      <c r="N2207">
        <v>2007</v>
      </c>
      <c r="R2207" s="262">
        <v>100000</v>
      </c>
      <c r="S2207" t="s">
        <v>114</v>
      </c>
      <c r="T2207" t="s">
        <v>114</v>
      </c>
      <c r="U2207">
        <v>8</v>
      </c>
      <c r="W2207">
        <v>336</v>
      </c>
      <c r="X2207">
        <v>1</v>
      </c>
      <c r="Y2207">
        <v>0</v>
      </c>
      <c r="Z2207">
        <v>0</v>
      </c>
      <c r="AA2207">
        <v>0</v>
      </c>
      <c r="AB2207">
        <v>0</v>
      </c>
      <c r="AC2207">
        <v>-196</v>
      </c>
      <c r="AD2207">
        <v>0</v>
      </c>
      <c r="AE2207">
        <v>0</v>
      </c>
      <c r="AF2207">
        <v>532</v>
      </c>
      <c r="AG2207">
        <v>0</v>
      </c>
      <c r="AH2207">
        <v>0</v>
      </c>
      <c r="AI2207">
        <v>0</v>
      </c>
      <c r="AJ2207">
        <v>0</v>
      </c>
      <c r="AK2207">
        <v>0</v>
      </c>
      <c r="AL2207">
        <v>0</v>
      </c>
      <c r="AM2207">
        <v>0</v>
      </c>
      <c r="AN2207">
        <v>0</v>
      </c>
      <c r="AO2207">
        <v>0</v>
      </c>
      <c r="AP2207">
        <v>0</v>
      </c>
      <c r="AQ2207">
        <v>0</v>
      </c>
      <c r="AR2207">
        <v>1</v>
      </c>
      <c r="AS2207">
        <v>0</v>
      </c>
      <c r="AT2207">
        <v>0</v>
      </c>
      <c r="AU2207">
        <f t="shared" si="68"/>
        <v>0</v>
      </c>
      <c r="AV2207">
        <f t="shared" si="69"/>
        <v>0</v>
      </c>
    </row>
    <row r="2208" spans="1:48" x14ac:dyDescent="0.25">
      <c r="A2208" t="s">
        <v>7930</v>
      </c>
      <c r="C2208" t="s">
        <v>7931</v>
      </c>
      <c r="D2208" t="s">
        <v>7932</v>
      </c>
      <c r="E2208" t="s">
        <v>2310</v>
      </c>
      <c r="F2208">
        <v>10</v>
      </c>
      <c r="G2208">
        <v>10.1</v>
      </c>
      <c r="H2208" t="s">
        <v>2323</v>
      </c>
      <c r="I2208" s="21">
        <v>39174</v>
      </c>
      <c r="J2208">
        <v>2007</v>
      </c>
      <c r="K2208" s="21">
        <v>39198</v>
      </c>
      <c r="L2208">
        <v>2007</v>
      </c>
      <c r="M2208" s="21">
        <v>39560</v>
      </c>
      <c r="N2208">
        <v>2008</v>
      </c>
      <c r="R2208" s="262">
        <v>200000</v>
      </c>
      <c r="S2208" t="s">
        <v>114</v>
      </c>
      <c r="T2208" t="s">
        <v>114</v>
      </c>
      <c r="U2208">
        <v>5</v>
      </c>
      <c r="W2208">
        <v>255</v>
      </c>
      <c r="X2208">
        <v>0</v>
      </c>
      <c r="Y2208">
        <v>0</v>
      </c>
      <c r="Z2208">
        <v>0</v>
      </c>
      <c r="AA2208">
        <v>0</v>
      </c>
      <c r="AB2208">
        <v>0</v>
      </c>
      <c r="AC2208">
        <v>255</v>
      </c>
      <c r="AD2208">
        <v>0</v>
      </c>
      <c r="AE2208">
        <v>0</v>
      </c>
      <c r="AF2208">
        <v>0</v>
      </c>
      <c r="AG2208">
        <v>0</v>
      </c>
      <c r="AH2208">
        <v>0</v>
      </c>
      <c r="AI2208">
        <v>0</v>
      </c>
      <c r="AJ2208">
        <v>0</v>
      </c>
      <c r="AK2208">
        <v>0</v>
      </c>
      <c r="AL2208">
        <v>0</v>
      </c>
      <c r="AM2208">
        <v>0</v>
      </c>
      <c r="AN2208">
        <v>0</v>
      </c>
      <c r="AO2208">
        <v>0</v>
      </c>
      <c r="AP2208">
        <v>0</v>
      </c>
      <c r="AQ2208">
        <v>0</v>
      </c>
      <c r="AR2208">
        <v>0</v>
      </c>
      <c r="AS2208">
        <v>0</v>
      </c>
      <c r="AT2208">
        <v>0</v>
      </c>
      <c r="AU2208">
        <f t="shared" si="68"/>
        <v>0</v>
      </c>
      <c r="AV2208">
        <f t="shared" si="69"/>
        <v>0</v>
      </c>
    </row>
    <row r="2209" spans="1:48" x14ac:dyDescent="0.25">
      <c r="A2209" t="s">
        <v>7933</v>
      </c>
      <c r="C2209" t="s">
        <v>7934</v>
      </c>
      <c r="D2209" t="s">
        <v>7935</v>
      </c>
      <c r="E2209" t="s">
        <v>2310</v>
      </c>
      <c r="F2209">
        <v>9</v>
      </c>
      <c r="G2209">
        <v>9.1999999999999993</v>
      </c>
      <c r="H2209" t="s">
        <v>2022</v>
      </c>
      <c r="I2209" s="21">
        <v>39175</v>
      </c>
      <c r="J2209">
        <v>2007</v>
      </c>
      <c r="K2209" s="21">
        <v>39233</v>
      </c>
      <c r="L2209">
        <v>2007</v>
      </c>
      <c r="M2209" s="21">
        <v>39482</v>
      </c>
      <c r="N2209">
        <v>2008</v>
      </c>
      <c r="R2209" s="262">
        <v>180000</v>
      </c>
      <c r="S2209" t="s">
        <v>114</v>
      </c>
      <c r="T2209" t="s">
        <v>114</v>
      </c>
      <c r="U2209">
        <v>5</v>
      </c>
      <c r="W2209">
        <v>910</v>
      </c>
      <c r="X2209">
        <v>0</v>
      </c>
      <c r="Y2209">
        <v>0</v>
      </c>
      <c r="Z2209">
        <v>0</v>
      </c>
      <c r="AA2209">
        <v>0</v>
      </c>
      <c r="AB2209">
        <v>0</v>
      </c>
      <c r="AC2209">
        <v>910</v>
      </c>
      <c r="AD2209">
        <v>0</v>
      </c>
      <c r="AE2209">
        <v>0</v>
      </c>
      <c r="AF2209">
        <v>0</v>
      </c>
      <c r="AG2209">
        <v>0</v>
      </c>
      <c r="AH2209">
        <v>0</v>
      </c>
      <c r="AI2209">
        <v>0</v>
      </c>
      <c r="AJ2209">
        <v>0</v>
      </c>
      <c r="AK2209">
        <v>0</v>
      </c>
      <c r="AL2209">
        <v>0</v>
      </c>
      <c r="AM2209">
        <v>0</v>
      </c>
      <c r="AN2209">
        <v>0</v>
      </c>
      <c r="AO2209">
        <v>0</v>
      </c>
      <c r="AP2209">
        <v>0</v>
      </c>
      <c r="AQ2209">
        <v>0</v>
      </c>
      <c r="AR2209">
        <v>0</v>
      </c>
      <c r="AS2209">
        <v>0</v>
      </c>
      <c r="AT2209">
        <v>0</v>
      </c>
      <c r="AU2209">
        <f t="shared" si="68"/>
        <v>0</v>
      </c>
      <c r="AV2209">
        <f t="shared" si="69"/>
        <v>0</v>
      </c>
    </row>
    <row r="2210" spans="1:48" x14ac:dyDescent="0.25">
      <c r="A2210" t="s">
        <v>7936</v>
      </c>
      <c r="C2210" t="s">
        <v>7403</v>
      </c>
      <c r="D2210" t="s">
        <v>7312</v>
      </c>
      <c r="E2210" t="s">
        <v>2310</v>
      </c>
      <c r="F2210">
        <v>8</v>
      </c>
      <c r="G2210">
        <v>8.3000000000000007</v>
      </c>
      <c r="H2210" t="s">
        <v>2323</v>
      </c>
      <c r="I2210" s="21">
        <v>39175</v>
      </c>
      <c r="J2210">
        <v>2007</v>
      </c>
      <c r="K2210" s="21">
        <v>39211</v>
      </c>
      <c r="L2210">
        <v>2007</v>
      </c>
      <c r="M2210" s="21">
        <v>39211</v>
      </c>
      <c r="N2210">
        <v>2007</v>
      </c>
      <c r="R2210" s="262">
        <v>50000</v>
      </c>
      <c r="S2210" t="s">
        <v>114</v>
      </c>
      <c r="T2210" t="s">
        <v>114</v>
      </c>
      <c r="U2210">
        <v>5</v>
      </c>
      <c r="W2210">
        <v>784</v>
      </c>
      <c r="X2210">
        <v>0</v>
      </c>
      <c r="Y2210">
        <v>0</v>
      </c>
      <c r="Z2210">
        <v>0</v>
      </c>
      <c r="AA2210">
        <v>0</v>
      </c>
      <c r="AB2210">
        <v>0</v>
      </c>
      <c r="AC2210">
        <v>784</v>
      </c>
      <c r="AD2210">
        <v>0</v>
      </c>
      <c r="AE2210">
        <v>0</v>
      </c>
      <c r="AF2210">
        <v>0</v>
      </c>
      <c r="AG2210">
        <v>0</v>
      </c>
      <c r="AH2210">
        <v>0</v>
      </c>
      <c r="AI2210">
        <v>0</v>
      </c>
      <c r="AJ2210">
        <v>0</v>
      </c>
      <c r="AK2210">
        <v>0</v>
      </c>
      <c r="AL2210">
        <v>0</v>
      </c>
      <c r="AM2210">
        <v>0</v>
      </c>
      <c r="AN2210">
        <v>0</v>
      </c>
      <c r="AO2210">
        <v>0</v>
      </c>
      <c r="AP2210">
        <v>0</v>
      </c>
      <c r="AQ2210">
        <v>0</v>
      </c>
      <c r="AR2210">
        <v>0</v>
      </c>
      <c r="AS2210">
        <v>0</v>
      </c>
      <c r="AT2210">
        <v>0</v>
      </c>
      <c r="AU2210">
        <f t="shared" si="68"/>
        <v>0</v>
      </c>
      <c r="AV2210">
        <f t="shared" si="69"/>
        <v>0</v>
      </c>
    </row>
    <row r="2211" spans="1:48" x14ac:dyDescent="0.25">
      <c r="A2211" t="s">
        <v>7937</v>
      </c>
      <c r="C2211" t="s">
        <v>7938</v>
      </c>
      <c r="D2211" t="s">
        <v>7939</v>
      </c>
      <c r="E2211" t="s">
        <v>1663</v>
      </c>
      <c r="F2211">
        <v>6</v>
      </c>
      <c r="G2211">
        <v>6.1</v>
      </c>
      <c r="H2211" t="s">
        <v>2017</v>
      </c>
      <c r="I2211" s="21">
        <v>39176</v>
      </c>
      <c r="J2211">
        <v>2007</v>
      </c>
      <c r="K2211" s="21">
        <v>39206</v>
      </c>
      <c r="L2211">
        <v>2007</v>
      </c>
      <c r="M2211" s="21">
        <v>39359</v>
      </c>
      <c r="N2211">
        <v>2007</v>
      </c>
      <c r="Q2211" s="262">
        <v>0</v>
      </c>
      <c r="S2211" t="s">
        <v>114</v>
      </c>
      <c r="T2211" t="s">
        <v>114</v>
      </c>
      <c r="W2211">
        <v>433</v>
      </c>
      <c r="X2211">
        <v>0</v>
      </c>
      <c r="Y2211">
        <v>0</v>
      </c>
      <c r="Z2211">
        <v>0</v>
      </c>
      <c r="AA2211">
        <v>0</v>
      </c>
      <c r="AB2211">
        <v>0</v>
      </c>
      <c r="AC2211">
        <v>433</v>
      </c>
      <c r="AD2211">
        <v>0</v>
      </c>
      <c r="AE2211">
        <v>0</v>
      </c>
      <c r="AF2211">
        <v>0</v>
      </c>
      <c r="AG2211">
        <v>0</v>
      </c>
      <c r="AH2211">
        <v>0</v>
      </c>
      <c r="AI2211">
        <v>0</v>
      </c>
      <c r="AJ2211">
        <v>0</v>
      </c>
      <c r="AK2211">
        <v>0</v>
      </c>
      <c r="AL2211">
        <v>0</v>
      </c>
      <c r="AM2211">
        <v>0</v>
      </c>
      <c r="AN2211">
        <v>0</v>
      </c>
      <c r="AO2211">
        <v>0</v>
      </c>
      <c r="AP2211">
        <v>0</v>
      </c>
      <c r="AQ2211">
        <v>0</v>
      </c>
      <c r="AR2211">
        <v>0</v>
      </c>
      <c r="AS2211">
        <v>0</v>
      </c>
      <c r="AT2211">
        <v>0</v>
      </c>
      <c r="AU2211">
        <f t="shared" si="68"/>
        <v>0</v>
      </c>
      <c r="AV2211">
        <f t="shared" si="69"/>
        <v>0</v>
      </c>
    </row>
    <row r="2212" spans="1:48" x14ac:dyDescent="0.25">
      <c r="A2212" t="s">
        <v>7940</v>
      </c>
      <c r="C2212" t="s">
        <v>7941</v>
      </c>
      <c r="D2212" t="s">
        <v>7161</v>
      </c>
      <c r="E2212" t="s">
        <v>2310</v>
      </c>
      <c r="F2212">
        <v>8</v>
      </c>
      <c r="G2212">
        <v>8.1999999999999993</v>
      </c>
      <c r="H2212" t="s">
        <v>2022</v>
      </c>
      <c r="I2212" s="21">
        <v>39176</v>
      </c>
      <c r="J2212">
        <v>2007</v>
      </c>
      <c r="K2212" s="21">
        <v>39259</v>
      </c>
      <c r="L2212">
        <v>2007</v>
      </c>
      <c r="M2212" s="21">
        <v>39259</v>
      </c>
      <c r="N2212">
        <v>2007</v>
      </c>
      <c r="R2212" s="262">
        <v>10000</v>
      </c>
      <c r="S2212" t="s">
        <v>114</v>
      </c>
      <c r="T2212" t="s">
        <v>114</v>
      </c>
      <c r="U2212">
        <v>5</v>
      </c>
      <c r="W2212">
        <v>0</v>
      </c>
      <c r="X2212">
        <v>0</v>
      </c>
      <c r="Y2212">
        <v>0</v>
      </c>
      <c r="Z2212">
        <v>0</v>
      </c>
      <c r="AA2212">
        <v>0</v>
      </c>
      <c r="AB2212">
        <v>0</v>
      </c>
      <c r="AC2212">
        <v>0</v>
      </c>
      <c r="AD2212">
        <v>0</v>
      </c>
      <c r="AE2212">
        <v>0</v>
      </c>
      <c r="AF2212">
        <v>0</v>
      </c>
      <c r="AG2212">
        <v>0</v>
      </c>
      <c r="AH2212">
        <v>0</v>
      </c>
      <c r="AI2212">
        <v>0</v>
      </c>
      <c r="AJ2212">
        <v>0</v>
      </c>
      <c r="AK2212">
        <v>0</v>
      </c>
      <c r="AL2212">
        <v>0</v>
      </c>
      <c r="AM2212">
        <v>0</v>
      </c>
      <c r="AN2212">
        <v>0</v>
      </c>
      <c r="AO2212">
        <v>0</v>
      </c>
      <c r="AP2212">
        <v>0</v>
      </c>
      <c r="AQ2212">
        <v>0</v>
      </c>
      <c r="AR2212">
        <v>0</v>
      </c>
      <c r="AS2212">
        <v>0</v>
      </c>
      <c r="AT2212">
        <v>0</v>
      </c>
      <c r="AU2212">
        <f t="shared" si="68"/>
        <v>0</v>
      </c>
      <c r="AV2212">
        <f t="shared" si="69"/>
        <v>0</v>
      </c>
    </row>
    <row r="2213" spans="1:48" x14ac:dyDescent="0.25">
      <c r="A2213" t="s">
        <v>7942</v>
      </c>
      <c r="C2213" t="s">
        <v>7403</v>
      </c>
      <c r="D2213" t="s">
        <v>7943</v>
      </c>
      <c r="E2213" t="s">
        <v>2310</v>
      </c>
      <c r="F2213">
        <v>10</v>
      </c>
      <c r="G2213">
        <v>10.1</v>
      </c>
      <c r="H2213" t="s">
        <v>2323</v>
      </c>
      <c r="I2213" s="21">
        <v>39176</v>
      </c>
      <c r="J2213">
        <v>2007</v>
      </c>
      <c r="K2213" s="21">
        <v>39198</v>
      </c>
      <c r="L2213">
        <v>2007</v>
      </c>
      <c r="M2213" s="21">
        <v>40430.573252314804</v>
      </c>
      <c r="N2213">
        <v>2010</v>
      </c>
      <c r="R2213" s="262">
        <v>36000</v>
      </c>
      <c r="S2213" t="s">
        <v>114</v>
      </c>
      <c r="T2213" t="s">
        <v>114</v>
      </c>
      <c r="U2213">
        <v>5</v>
      </c>
      <c r="W2213">
        <v>832</v>
      </c>
      <c r="X2213">
        <v>0</v>
      </c>
      <c r="Y2213">
        <v>0</v>
      </c>
      <c r="Z2213">
        <v>0</v>
      </c>
      <c r="AA2213">
        <v>0</v>
      </c>
      <c r="AB2213">
        <v>0</v>
      </c>
      <c r="AC2213">
        <v>832</v>
      </c>
      <c r="AD2213">
        <v>0</v>
      </c>
      <c r="AE2213">
        <v>0</v>
      </c>
      <c r="AF2213">
        <v>0</v>
      </c>
      <c r="AG2213">
        <v>0</v>
      </c>
      <c r="AH2213">
        <v>0</v>
      </c>
      <c r="AI2213">
        <v>0</v>
      </c>
      <c r="AJ2213">
        <v>0</v>
      </c>
      <c r="AK2213">
        <v>0</v>
      </c>
      <c r="AL2213">
        <v>0</v>
      </c>
      <c r="AM2213">
        <v>0</v>
      </c>
      <c r="AN2213">
        <v>0</v>
      </c>
      <c r="AO2213">
        <v>0</v>
      </c>
      <c r="AP2213">
        <v>0</v>
      </c>
      <c r="AQ2213">
        <v>0</v>
      </c>
      <c r="AR2213">
        <v>0</v>
      </c>
      <c r="AS2213">
        <v>0</v>
      </c>
      <c r="AT2213">
        <v>0</v>
      </c>
      <c r="AU2213">
        <f t="shared" si="68"/>
        <v>0</v>
      </c>
      <c r="AV2213">
        <f t="shared" si="69"/>
        <v>0</v>
      </c>
    </row>
    <row r="2214" spans="1:48" x14ac:dyDescent="0.25">
      <c r="A2214" t="s">
        <v>7944</v>
      </c>
      <c r="C2214" t="s">
        <v>7945</v>
      </c>
      <c r="D2214" t="s">
        <v>7946</v>
      </c>
      <c r="E2214" t="s">
        <v>2310</v>
      </c>
      <c r="F2214">
        <v>10</v>
      </c>
      <c r="G2214">
        <v>10.1</v>
      </c>
      <c r="H2214" t="s">
        <v>2323</v>
      </c>
      <c r="I2214" s="21">
        <v>39177</v>
      </c>
      <c r="J2214">
        <v>2007</v>
      </c>
      <c r="K2214" s="21">
        <v>39210</v>
      </c>
      <c r="L2214">
        <v>2007</v>
      </c>
      <c r="M2214" s="21">
        <v>41229.587372685201</v>
      </c>
      <c r="N2214">
        <v>2012</v>
      </c>
      <c r="R2214" s="262">
        <v>4200</v>
      </c>
      <c r="S2214" t="s">
        <v>114</v>
      </c>
      <c r="T2214" t="s">
        <v>114</v>
      </c>
      <c r="U2214">
        <v>5</v>
      </c>
      <c r="W2214">
        <v>0</v>
      </c>
      <c r="X2214">
        <v>0</v>
      </c>
      <c r="Y2214">
        <v>0</v>
      </c>
      <c r="Z2214">
        <v>0</v>
      </c>
      <c r="AA2214">
        <v>0</v>
      </c>
      <c r="AB2214">
        <v>0</v>
      </c>
      <c r="AC2214">
        <v>0</v>
      </c>
      <c r="AD2214">
        <v>0</v>
      </c>
      <c r="AE2214">
        <v>0</v>
      </c>
      <c r="AF2214">
        <v>0</v>
      </c>
      <c r="AG2214">
        <v>0</v>
      </c>
      <c r="AH2214">
        <v>0</v>
      </c>
      <c r="AI2214">
        <v>0</v>
      </c>
      <c r="AJ2214">
        <v>0</v>
      </c>
      <c r="AK2214">
        <v>0</v>
      </c>
      <c r="AL2214">
        <v>0</v>
      </c>
      <c r="AM2214">
        <v>0</v>
      </c>
      <c r="AN2214">
        <v>0</v>
      </c>
      <c r="AO2214">
        <v>0</v>
      </c>
      <c r="AP2214">
        <v>0</v>
      </c>
      <c r="AQ2214">
        <v>0</v>
      </c>
      <c r="AR2214">
        <v>0</v>
      </c>
      <c r="AS2214">
        <v>0</v>
      </c>
      <c r="AT2214">
        <v>0</v>
      </c>
      <c r="AU2214">
        <f t="shared" si="68"/>
        <v>0</v>
      </c>
      <c r="AV2214">
        <f t="shared" si="69"/>
        <v>0</v>
      </c>
    </row>
    <row r="2215" spans="1:48" x14ac:dyDescent="0.25">
      <c r="A2215" t="s">
        <v>7947</v>
      </c>
      <c r="C2215" t="s">
        <v>7649</v>
      </c>
      <c r="D2215" t="s">
        <v>7948</v>
      </c>
      <c r="E2215" t="s">
        <v>2310</v>
      </c>
      <c r="F2215">
        <v>8</v>
      </c>
      <c r="G2215">
        <v>8.3000000000000007</v>
      </c>
      <c r="H2215" t="s">
        <v>2323</v>
      </c>
      <c r="I2215" s="21">
        <v>39177</v>
      </c>
      <c r="J2215">
        <v>2007</v>
      </c>
      <c r="K2215" s="21">
        <v>39252</v>
      </c>
      <c r="L2215">
        <v>2007</v>
      </c>
      <c r="M2215" s="21">
        <v>39897</v>
      </c>
      <c r="N2215">
        <v>2009</v>
      </c>
      <c r="R2215" s="262">
        <v>650000</v>
      </c>
      <c r="S2215" t="s">
        <v>114</v>
      </c>
      <c r="T2215" t="s">
        <v>114</v>
      </c>
      <c r="U2215">
        <v>5</v>
      </c>
      <c r="W2215">
        <v>4168</v>
      </c>
      <c r="X2215">
        <v>1</v>
      </c>
      <c r="Y2215">
        <v>0</v>
      </c>
      <c r="Z2215">
        <v>0</v>
      </c>
      <c r="AA2215">
        <v>0</v>
      </c>
      <c r="AB2215">
        <v>0</v>
      </c>
      <c r="AC2215">
        <v>4168</v>
      </c>
      <c r="AD2215">
        <v>0</v>
      </c>
      <c r="AE2215">
        <v>0</v>
      </c>
      <c r="AF2215">
        <v>0</v>
      </c>
      <c r="AG2215">
        <v>0</v>
      </c>
      <c r="AH2215">
        <v>0</v>
      </c>
      <c r="AI2215">
        <v>0</v>
      </c>
      <c r="AJ2215">
        <v>0</v>
      </c>
      <c r="AK2215">
        <v>0</v>
      </c>
      <c r="AL2215">
        <v>0</v>
      </c>
      <c r="AM2215">
        <v>0</v>
      </c>
      <c r="AN2215">
        <v>0</v>
      </c>
      <c r="AO2215">
        <v>1</v>
      </c>
      <c r="AP2215">
        <v>0</v>
      </c>
      <c r="AQ2215">
        <v>0</v>
      </c>
      <c r="AR2215">
        <v>0</v>
      </c>
      <c r="AS2215">
        <v>0</v>
      </c>
      <c r="AT2215">
        <v>0</v>
      </c>
      <c r="AU2215">
        <f t="shared" si="68"/>
        <v>1</v>
      </c>
      <c r="AV2215">
        <f t="shared" si="69"/>
        <v>0</v>
      </c>
    </row>
    <row r="2216" spans="1:48" x14ac:dyDescent="0.25">
      <c r="A2216" t="s">
        <v>7949</v>
      </c>
      <c r="C2216" t="s">
        <v>7950</v>
      </c>
      <c r="D2216" t="s">
        <v>7951</v>
      </c>
      <c r="E2216" t="s">
        <v>2310</v>
      </c>
      <c r="F2216">
        <v>7</v>
      </c>
      <c r="G2216">
        <v>7.2</v>
      </c>
      <c r="H2216" t="s">
        <v>2017</v>
      </c>
      <c r="I2216" s="21">
        <v>39181</v>
      </c>
      <c r="J2216">
        <v>2007</v>
      </c>
      <c r="K2216" s="21">
        <v>39260</v>
      </c>
      <c r="L2216">
        <v>2007</v>
      </c>
      <c r="M2216" s="21">
        <v>39471</v>
      </c>
      <c r="N2216">
        <v>2008</v>
      </c>
      <c r="R2216" s="262">
        <v>350000</v>
      </c>
      <c r="S2216" t="s">
        <v>114</v>
      </c>
      <c r="T2216" t="s">
        <v>114</v>
      </c>
      <c r="U2216">
        <v>5</v>
      </c>
      <c r="W2216">
        <v>3869</v>
      </c>
      <c r="X2216">
        <v>1</v>
      </c>
      <c r="Y2216">
        <v>0</v>
      </c>
      <c r="Z2216">
        <v>0</v>
      </c>
      <c r="AA2216">
        <v>0</v>
      </c>
      <c r="AB2216">
        <v>0</v>
      </c>
      <c r="AC2216">
        <v>3869</v>
      </c>
      <c r="AD2216">
        <v>0</v>
      </c>
      <c r="AE2216">
        <v>0</v>
      </c>
      <c r="AF2216">
        <v>0</v>
      </c>
      <c r="AG2216">
        <v>0</v>
      </c>
      <c r="AH2216">
        <v>0</v>
      </c>
      <c r="AI2216">
        <v>0</v>
      </c>
      <c r="AJ2216">
        <v>0</v>
      </c>
      <c r="AK2216">
        <v>0</v>
      </c>
      <c r="AL2216">
        <v>0</v>
      </c>
      <c r="AM2216">
        <v>0</v>
      </c>
      <c r="AN2216">
        <v>0</v>
      </c>
      <c r="AO2216">
        <v>1</v>
      </c>
      <c r="AP2216">
        <v>0</v>
      </c>
      <c r="AQ2216">
        <v>0</v>
      </c>
      <c r="AR2216">
        <v>0</v>
      </c>
      <c r="AS2216">
        <v>0</v>
      </c>
      <c r="AT2216">
        <v>0</v>
      </c>
      <c r="AU2216">
        <f t="shared" si="68"/>
        <v>1</v>
      </c>
      <c r="AV2216">
        <f t="shared" si="69"/>
        <v>0</v>
      </c>
    </row>
    <row r="2217" spans="1:48" x14ac:dyDescent="0.25">
      <c r="A2217" t="s">
        <v>7955</v>
      </c>
      <c r="C2217" t="s">
        <v>7956</v>
      </c>
      <c r="D2217" t="s">
        <v>7957</v>
      </c>
      <c r="E2217" t="s">
        <v>2310</v>
      </c>
      <c r="F2217">
        <v>15</v>
      </c>
      <c r="G2217">
        <v>15.3</v>
      </c>
      <c r="H2217" t="s">
        <v>2022</v>
      </c>
      <c r="I2217" s="21">
        <v>39182</v>
      </c>
      <c r="J2217">
        <v>2007</v>
      </c>
      <c r="K2217" s="21">
        <v>39210</v>
      </c>
      <c r="L2217">
        <v>2007</v>
      </c>
      <c r="M2217" s="21">
        <v>39975</v>
      </c>
      <c r="N2217">
        <v>2009</v>
      </c>
      <c r="R2217" s="262">
        <v>850000</v>
      </c>
      <c r="S2217" t="s">
        <v>114</v>
      </c>
      <c r="T2217" t="s">
        <v>114</v>
      </c>
      <c r="U2217">
        <v>5</v>
      </c>
      <c r="W2217">
        <v>3949</v>
      </c>
      <c r="X2217">
        <v>1</v>
      </c>
      <c r="Y2217">
        <v>0</v>
      </c>
      <c r="Z2217">
        <v>0</v>
      </c>
      <c r="AA2217">
        <v>0</v>
      </c>
      <c r="AB2217">
        <v>0</v>
      </c>
      <c r="AC2217">
        <v>3949</v>
      </c>
      <c r="AD2217">
        <v>0</v>
      </c>
      <c r="AE2217">
        <v>0</v>
      </c>
      <c r="AF2217">
        <v>0</v>
      </c>
      <c r="AG2217">
        <v>0</v>
      </c>
      <c r="AH2217">
        <v>0</v>
      </c>
      <c r="AI2217">
        <v>0</v>
      </c>
      <c r="AJ2217">
        <v>0</v>
      </c>
      <c r="AK2217">
        <v>0</v>
      </c>
      <c r="AL2217">
        <v>0</v>
      </c>
      <c r="AM2217">
        <v>0</v>
      </c>
      <c r="AN2217">
        <v>0</v>
      </c>
      <c r="AO2217">
        <v>1</v>
      </c>
      <c r="AP2217">
        <v>0</v>
      </c>
      <c r="AQ2217">
        <v>0</v>
      </c>
      <c r="AR2217">
        <v>0</v>
      </c>
      <c r="AS2217">
        <v>0</v>
      </c>
      <c r="AT2217">
        <v>0</v>
      </c>
      <c r="AU2217">
        <f t="shared" si="68"/>
        <v>1</v>
      </c>
      <c r="AV2217">
        <f t="shared" si="69"/>
        <v>0</v>
      </c>
    </row>
    <row r="2218" spans="1:48" x14ac:dyDescent="0.25">
      <c r="A2218" t="s">
        <v>7958</v>
      </c>
      <c r="C2218" t="s">
        <v>7959</v>
      </c>
      <c r="D2218" t="s">
        <v>7957</v>
      </c>
      <c r="E2218" t="s">
        <v>2310</v>
      </c>
      <c r="F2218">
        <v>15</v>
      </c>
      <c r="G2218">
        <v>15.3</v>
      </c>
      <c r="H2218" t="s">
        <v>2022</v>
      </c>
      <c r="I2218" s="21">
        <v>39182</v>
      </c>
      <c r="J2218">
        <v>2007</v>
      </c>
      <c r="K2218" s="21">
        <v>39198</v>
      </c>
      <c r="L2218">
        <v>2007</v>
      </c>
      <c r="M2218" s="21">
        <v>40015.7028125</v>
      </c>
      <c r="N2218">
        <v>2009</v>
      </c>
      <c r="R2218" s="262">
        <v>34000</v>
      </c>
      <c r="S2218" t="s">
        <v>114</v>
      </c>
      <c r="T2218" t="s">
        <v>114</v>
      </c>
      <c r="U2218">
        <v>5</v>
      </c>
      <c r="W2218">
        <v>171</v>
      </c>
      <c r="X2218">
        <v>0</v>
      </c>
      <c r="Y2218">
        <v>0</v>
      </c>
      <c r="Z2218">
        <v>0</v>
      </c>
      <c r="AA2218">
        <v>0</v>
      </c>
      <c r="AB2218">
        <v>0</v>
      </c>
      <c r="AC2218">
        <v>171</v>
      </c>
      <c r="AD2218">
        <v>0</v>
      </c>
      <c r="AE2218">
        <v>0</v>
      </c>
      <c r="AF2218">
        <v>0</v>
      </c>
      <c r="AG2218">
        <v>0</v>
      </c>
      <c r="AH2218">
        <v>0</v>
      </c>
      <c r="AI2218">
        <v>0</v>
      </c>
      <c r="AJ2218">
        <v>0</v>
      </c>
      <c r="AK2218">
        <v>0</v>
      </c>
      <c r="AL2218">
        <v>0</v>
      </c>
      <c r="AM2218">
        <v>0</v>
      </c>
      <c r="AN2218">
        <v>0</v>
      </c>
      <c r="AO2218">
        <v>0</v>
      </c>
      <c r="AP2218">
        <v>0</v>
      </c>
      <c r="AQ2218">
        <v>0</v>
      </c>
      <c r="AR2218">
        <v>0</v>
      </c>
      <c r="AS2218">
        <v>0</v>
      </c>
      <c r="AT2218">
        <v>0</v>
      </c>
      <c r="AU2218">
        <f t="shared" si="68"/>
        <v>0</v>
      </c>
      <c r="AV2218">
        <f t="shared" si="69"/>
        <v>0</v>
      </c>
    </row>
    <row r="2219" spans="1:48" x14ac:dyDescent="0.25">
      <c r="A2219" t="s">
        <v>7960</v>
      </c>
      <c r="C2219" t="s">
        <v>7961</v>
      </c>
      <c r="D2219" t="s">
        <v>7962</v>
      </c>
      <c r="E2219" t="s">
        <v>2310</v>
      </c>
      <c r="F2219">
        <v>8</v>
      </c>
      <c r="G2219">
        <v>8.1</v>
      </c>
      <c r="H2219" t="s">
        <v>2323</v>
      </c>
      <c r="I2219" s="21">
        <v>39182</v>
      </c>
      <c r="J2219">
        <v>2007</v>
      </c>
      <c r="K2219" s="21">
        <v>39234</v>
      </c>
      <c r="L2219">
        <v>2007</v>
      </c>
      <c r="M2219" s="21">
        <v>39800</v>
      </c>
      <c r="N2219">
        <v>2008</v>
      </c>
      <c r="R2219" s="262">
        <v>700000</v>
      </c>
      <c r="S2219" t="s">
        <v>114</v>
      </c>
      <c r="T2219" t="s">
        <v>114</v>
      </c>
      <c r="U2219">
        <v>5</v>
      </c>
      <c r="W2219">
        <v>1845</v>
      </c>
      <c r="X2219">
        <v>0</v>
      </c>
      <c r="Y2219">
        <v>0</v>
      </c>
      <c r="Z2219">
        <v>0</v>
      </c>
      <c r="AA2219">
        <v>0</v>
      </c>
      <c r="AB2219">
        <v>0</v>
      </c>
      <c r="AC2219">
        <v>1845</v>
      </c>
      <c r="AD2219">
        <v>0</v>
      </c>
      <c r="AE2219">
        <v>0</v>
      </c>
      <c r="AF2219">
        <v>0</v>
      </c>
      <c r="AG2219">
        <v>0</v>
      </c>
      <c r="AH2219">
        <v>0</v>
      </c>
      <c r="AI2219">
        <v>0</v>
      </c>
      <c r="AJ2219">
        <v>0</v>
      </c>
      <c r="AK2219">
        <v>0</v>
      </c>
      <c r="AL2219">
        <v>0</v>
      </c>
      <c r="AM2219">
        <v>0</v>
      </c>
      <c r="AN2219">
        <v>0</v>
      </c>
      <c r="AO2219">
        <v>0</v>
      </c>
      <c r="AP2219">
        <v>0</v>
      </c>
      <c r="AQ2219">
        <v>0</v>
      </c>
      <c r="AR2219">
        <v>0</v>
      </c>
      <c r="AS2219">
        <v>0</v>
      </c>
      <c r="AT2219">
        <v>0</v>
      </c>
      <c r="AU2219">
        <f t="shared" si="68"/>
        <v>0</v>
      </c>
      <c r="AV2219">
        <f t="shared" si="69"/>
        <v>0</v>
      </c>
    </row>
    <row r="2220" spans="1:48" x14ac:dyDescent="0.25">
      <c r="A2220" t="s">
        <v>7963</v>
      </c>
      <c r="C2220" t="s">
        <v>7964</v>
      </c>
      <c r="D2220" t="s">
        <v>6865</v>
      </c>
      <c r="E2220" t="s">
        <v>2310</v>
      </c>
      <c r="F2220">
        <v>12</v>
      </c>
      <c r="G2220">
        <v>12.3</v>
      </c>
      <c r="H2220" t="s">
        <v>2017</v>
      </c>
      <c r="I2220" s="21">
        <v>39182</v>
      </c>
      <c r="J2220">
        <v>2007</v>
      </c>
      <c r="K2220" s="21">
        <v>39237</v>
      </c>
      <c r="L2220">
        <v>2007</v>
      </c>
      <c r="M2220" s="21">
        <v>39654</v>
      </c>
      <c r="N2220">
        <v>2008</v>
      </c>
      <c r="R2220" s="262">
        <v>200000</v>
      </c>
      <c r="S2220" t="s">
        <v>114</v>
      </c>
      <c r="T2220" t="s">
        <v>114</v>
      </c>
      <c r="U2220">
        <v>5</v>
      </c>
      <c r="W2220">
        <v>985</v>
      </c>
      <c r="X2220">
        <v>0</v>
      </c>
      <c r="Y2220">
        <v>0</v>
      </c>
      <c r="Z2220">
        <v>0</v>
      </c>
      <c r="AA2220">
        <v>0</v>
      </c>
      <c r="AB2220">
        <v>0</v>
      </c>
      <c r="AC2220">
        <v>985</v>
      </c>
      <c r="AD2220">
        <v>0</v>
      </c>
      <c r="AE2220">
        <v>0</v>
      </c>
      <c r="AF2220">
        <v>0</v>
      </c>
      <c r="AG2220">
        <v>0</v>
      </c>
      <c r="AH2220">
        <v>0</v>
      </c>
      <c r="AI2220">
        <v>0</v>
      </c>
      <c r="AJ2220">
        <v>0</v>
      </c>
      <c r="AK2220">
        <v>0</v>
      </c>
      <c r="AL2220">
        <v>0</v>
      </c>
      <c r="AM2220">
        <v>0</v>
      </c>
      <c r="AN2220">
        <v>0</v>
      </c>
      <c r="AO2220">
        <v>0</v>
      </c>
      <c r="AP2220">
        <v>0</v>
      </c>
      <c r="AQ2220">
        <v>0</v>
      </c>
      <c r="AR2220">
        <v>0</v>
      </c>
      <c r="AS2220">
        <v>0</v>
      </c>
      <c r="AT2220">
        <v>0</v>
      </c>
      <c r="AU2220">
        <f t="shared" si="68"/>
        <v>0</v>
      </c>
      <c r="AV2220">
        <f t="shared" si="69"/>
        <v>0</v>
      </c>
    </row>
    <row r="2221" spans="1:48" x14ac:dyDescent="0.25">
      <c r="A2221" t="s">
        <v>7952</v>
      </c>
      <c r="C2221" t="s">
        <v>7953</v>
      </c>
      <c r="D2221" t="s">
        <v>7954</v>
      </c>
      <c r="E2221" t="s">
        <v>1663</v>
      </c>
      <c r="F2221">
        <v>2</v>
      </c>
      <c r="G2221">
        <v>2.2999999999999998</v>
      </c>
      <c r="H2221" t="s">
        <v>2327</v>
      </c>
      <c r="I2221" s="21">
        <v>39182</v>
      </c>
      <c r="J2221">
        <v>2007</v>
      </c>
      <c r="K2221" s="21">
        <v>39212</v>
      </c>
      <c r="L2221">
        <v>2007</v>
      </c>
      <c r="M2221" s="21">
        <v>39365</v>
      </c>
      <c r="N2221">
        <v>2007</v>
      </c>
      <c r="Q2221" s="262">
        <v>0</v>
      </c>
      <c r="S2221" t="s">
        <v>114</v>
      </c>
      <c r="T2221" t="s">
        <v>114</v>
      </c>
      <c r="W2221">
        <v>95528</v>
      </c>
      <c r="X2221">
        <v>0</v>
      </c>
      <c r="Y2221">
        <v>0</v>
      </c>
      <c r="Z2221">
        <v>0</v>
      </c>
      <c r="AA2221">
        <v>0</v>
      </c>
      <c r="AB2221">
        <v>0</v>
      </c>
      <c r="AC2221">
        <v>0</v>
      </c>
      <c r="AD2221">
        <v>0</v>
      </c>
      <c r="AE2221">
        <v>0</v>
      </c>
      <c r="AF2221">
        <v>0</v>
      </c>
      <c r="AG2221">
        <v>0</v>
      </c>
      <c r="AH2221">
        <v>0</v>
      </c>
      <c r="AI2221">
        <v>0</v>
      </c>
      <c r="AJ2221">
        <v>0</v>
      </c>
      <c r="AK2221">
        <v>0</v>
      </c>
      <c r="AL2221">
        <v>0</v>
      </c>
      <c r="AM2221">
        <v>95528</v>
      </c>
      <c r="AN2221">
        <v>0</v>
      </c>
      <c r="AO2221">
        <v>0</v>
      </c>
      <c r="AP2221">
        <v>0</v>
      </c>
      <c r="AQ2221">
        <v>0</v>
      </c>
      <c r="AR2221">
        <v>0</v>
      </c>
      <c r="AS2221">
        <v>0</v>
      </c>
      <c r="AT2221">
        <v>0</v>
      </c>
      <c r="AU2221">
        <f t="shared" si="68"/>
        <v>0</v>
      </c>
      <c r="AV2221">
        <f t="shared" si="69"/>
        <v>95528</v>
      </c>
    </row>
    <row r="2222" spans="1:48" x14ac:dyDescent="0.25">
      <c r="A2222" t="s">
        <v>7965</v>
      </c>
      <c r="C2222" t="s">
        <v>7966</v>
      </c>
      <c r="D2222" t="s">
        <v>7967</v>
      </c>
      <c r="E2222" t="s">
        <v>2310</v>
      </c>
      <c r="F2222">
        <v>11</v>
      </c>
      <c r="G2222">
        <v>11.2</v>
      </c>
      <c r="H2222" t="s">
        <v>2017</v>
      </c>
      <c r="I2222" s="21">
        <v>39183</v>
      </c>
      <c r="J2222">
        <v>2007</v>
      </c>
      <c r="K2222" s="21">
        <v>39211</v>
      </c>
      <c r="L2222">
        <v>2007</v>
      </c>
      <c r="M2222" s="21">
        <v>39423</v>
      </c>
      <c r="N2222">
        <v>2007</v>
      </c>
      <c r="R2222" s="262">
        <v>70000</v>
      </c>
      <c r="S2222" t="s">
        <v>114</v>
      </c>
      <c r="T2222" t="s">
        <v>114</v>
      </c>
      <c r="U2222">
        <v>7</v>
      </c>
      <c r="W2222">
        <v>1025</v>
      </c>
      <c r="X2222">
        <v>2</v>
      </c>
      <c r="Y2222">
        <v>0</v>
      </c>
      <c r="Z2222">
        <v>0</v>
      </c>
      <c r="AA2222">
        <v>0</v>
      </c>
      <c r="AB2222">
        <v>0</v>
      </c>
      <c r="AC2222">
        <v>0</v>
      </c>
      <c r="AD2222">
        <v>0</v>
      </c>
      <c r="AE2222">
        <v>1025</v>
      </c>
      <c r="AF2222">
        <v>0</v>
      </c>
      <c r="AG2222">
        <v>0</v>
      </c>
      <c r="AH2222">
        <v>0</v>
      </c>
      <c r="AI2222">
        <v>0</v>
      </c>
      <c r="AJ2222">
        <v>0</v>
      </c>
      <c r="AK2222">
        <v>0</v>
      </c>
      <c r="AL2222">
        <v>0</v>
      </c>
      <c r="AM2222">
        <v>0</v>
      </c>
      <c r="AN2222">
        <v>0</v>
      </c>
      <c r="AO2222">
        <v>0</v>
      </c>
      <c r="AP2222">
        <v>0</v>
      </c>
      <c r="AQ2222">
        <v>2</v>
      </c>
      <c r="AR2222">
        <v>0</v>
      </c>
      <c r="AS2222">
        <v>0</v>
      </c>
      <c r="AT2222">
        <v>0</v>
      </c>
      <c r="AU2222">
        <f t="shared" si="68"/>
        <v>2</v>
      </c>
      <c r="AV2222">
        <f t="shared" si="69"/>
        <v>0</v>
      </c>
    </row>
    <row r="2223" spans="1:48" x14ac:dyDescent="0.25">
      <c r="A2223" t="s">
        <v>7968</v>
      </c>
      <c r="C2223" t="s">
        <v>7969</v>
      </c>
      <c r="D2223" t="s">
        <v>7970</v>
      </c>
      <c r="E2223" t="s">
        <v>2310</v>
      </c>
      <c r="F2223">
        <v>8</v>
      </c>
      <c r="G2223">
        <v>8.1999999999999993</v>
      </c>
      <c r="H2223" t="s">
        <v>2022</v>
      </c>
      <c r="I2223" s="21">
        <v>39183</v>
      </c>
      <c r="J2223">
        <v>2007</v>
      </c>
      <c r="K2223" s="21">
        <v>39232</v>
      </c>
      <c r="L2223">
        <v>2007</v>
      </c>
      <c r="M2223" s="21">
        <v>39805</v>
      </c>
      <c r="N2223">
        <v>2008</v>
      </c>
      <c r="R2223" s="262">
        <v>1500000</v>
      </c>
      <c r="S2223" t="s">
        <v>114</v>
      </c>
      <c r="T2223" t="s">
        <v>114</v>
      </c>
      <c r="U2223">
        <v>5</v>
      </c>
      <c r="W2223">
        <v>-106</v>
      </c>
      <c r="X2223">
        <v>0</v>
      </c>
      <c r="Y2223">
        <v>0</v>
      </c>
      <c r="Z2223">
        <v>0</v>
      </c>
      <c r="AA2223">
        <v>0</v>
      </c>
      <c r="AB2223">
        <v>0</v>
      </c>
      <c r="AC2223">
        <v>-106</v>
      </c>
      <c r="AD2223">
        <v>0</v>
      </c>
      <c r="AE2223">
        <v>0</v>
      </c>
      <c r="AF2223">
        <v>0</v>
      </c>
      <c r="AG2223">
        <v>0</v>
      </c>
      <c r="AH2223">
        <v>0</v>
      </c>
      <c r="AI2223">
        <v>0</v>
      </c>
      <c r="AJ2223">
        <v>0</v>
      </c>
      <c r="AK2223">
        <v>0</v>
      </c>
      <c r="AL2223">
        <v>0</v>
      </c>
      <c r="AM2223">
        <v>0</v>
      </c>
      <c r="AN2223">
        <v>0</v>
      </c>
      <c r="AO2223">
        <v>0</v>
      </c>
      <c r="AP2223">
        <v>0</v>
      </c>
      <c r="AQ2223">
        <v>0</v>
      </c>
      <c r="AR2223">
        <v>0</v>
      </c>
      <c r="AS2223">
        <v>0</v>
      </c>
      <c r="AT2223">
        <v>0</v>
      </c>
      <c r="AU2223">
        <f t="shared" si="68"/>
        <v>0</v>
      </c>
      <c r="AV2223">
        <f t="shared" si="69"/>
        <v>0</v>
      </c>
    </row>
    <row r="2224" spans="1:48" x14ac:dyDescent="0.25">
      <c r="A2224" t="s">
        <v>7971</v>
      </c>
      <c r="C2224" t="s">
        <v>7972</v>
      </c>
      <c r="D2224" t="s">
        <v>7973</v>
      </c>
      <c r="E2224" t="s">
        <v>2310</v>
      </c>
      <c r="F2224">
        <v>9</v>
      </c>
      <c r="G2224">
        <v>9.3000000000000007</v>
      </c>
      <c r="H2224" t="s">
        <v>2323</v>
      </c>
      <c r="I2224" s="21">
        <v>39184</v>
      </c>
      <c r="J2224">
        <v>2007</v>
      </c>
      <c r="K2224" s="21">
        <v>39272</v>
      </c>
      <c r="L2224">
        <v>2007</v>
      </c>
      <c r="M2224" s="21">
        <v>39834</v>
      </c>
      <c r="N2224">
        <v>2009</v>
      </c>
      <c r="R2224" s="262">
        <v>1300000</v>
      </c>
      <c r="S2224" t="s">
        <v>114</v>
      </c>
      <c r="T2224" t="s">
        <v>114</v>
      </c>
      <c r="U2224">
        <v>5</v>
      </c>
      <c r="W2224">
        <v>5588</v>
      </c>
      <c r="X2224">
        <v>1</v>
      </c>
      <c r="Y2224">
        <v>0</v>
      </c>
      <c r="Z2224">
        <v>0</v>
      </c>
      <c r="AA2224">
        <v>0</v>
      </c>
      <c r="AB2224">
        <v>0</v>
      </c>
      <c r="AC2224">
        <v>5588</v>
      </c>
      <c r="AD2224">
        <v>0</v>
      </c>
      <c r="AE2224">
        <v>0</v>
      </c>
      <c r="AF2224">
        <v>0</v>
      </c>
      <c r="AG2224">
        <v>0</v>
      </c>
      <c r="AH2224">
        <v>0</v>
      </c>
      <c r="AI2224">
        <v>0</v>
      </c>
      <c r="AJ2224">
        <v>0</v>
      </c>
      <c r="AK2224">
        <v>0</v>
      </c>
      <c r="AL2224">
        <v>0</v>
      </c>
      <c r="AM2224">
        <v>0</v>
      </c>
      <c r="AN2224">
        <v>0</v>
      </c>
      <c r="AO2224">
        <v>1</v>
      </c>
      <c r="AP2224">
        <v>0</v>
      </c>
      <c r="AQ2224">
        <v>0</v>
      </c>
      <c r="AR2224">
        <v>0</v>
      </c>
      <c r="AS2224">
        <v>0</v>
      </c>
      <c r="AT2224">
        <v>0</v>
      </c>
      <c r="AU2224">
        <f t="shared" si="68"/>
        <v>1</v>
      </c>
      <c r="AV2224">
        <f t="shared" si="69"/>
        <v>0</v>
      </c>
    </row>
    <row r="2225" spans="1:48" x14ac:dyDescent="0.25">
      <c r="A2225" t="s">
        <v>7974</v>
      </c>
      <c r="C2225" t="s">
        <v>7975</v>
      </c>
      <c r="D2225" t="s">
        <v>7976</v>
      </c>
      <c r="E2225" t="s">
        <v>2310</v>
      </c>
      <c r="F2225">
        <v>11</v>
      </c>
      <c r="G2225">
        <v>11.2</v>
      </c>
      <c r="H2225" t="s">
        <v>2017</v>
      </c>
      <c r="I2225" s="21">
        <v>39184</v>
      </c>
      <c r="J2225">
        <v>2007</v>
      </c>
      <c r="K2225" s="21">
        <v>39209</v>
      </c>
      <c r="L2225">
        <v>2007</v>
      </c>
      <c r="M2225" s="21">
        <v>39463</v>
      </c>
      <c r="N2225">
        <v>2008</v>
      </c>
      <c r="R2225" s="262">
        <v>70000</v>
      </c>
      <c r="S2225" t="s">
        <v>114</v>
      </c>
      <c r="T2225" t="s">
        <v>114</v>
      </c>
      <c r="U2225">
        <v>15</v>
      </c>
      <c r="W2225">
        <v>0</v>
      </c>
      <c r="X2225">
        <v>0</v>
      </c>
      <c r="Y2225">
        <v>0</v>
      </c>
      <c r="Z2225">
        <v>0</v>
      </c>
      <c r="AA2225">
        <v>0</v>
      </c>
      <c r="AB2225">
        <v>0</v>
      </c>
      <c r="AC2225">
        <v>0</v>
      </c>
      <c r="AD2225">
        <v>0</v>
      </c>
      <c r="AE2225">
        <v>0</v>
      </c>
      <c r="AF2225">
        <v>0</v>
      </c>
      <c r="AG2225">
        <v>0</v>
      </c>
      <c r="AH2225">
        <v>0</v>
      </c>
      <c r="AI2225">
        <v>0</v>
      </c>
      <c r="AJ2225">
        <v>0</v>
      </c>
      <c r="AK2225">
        <v>0</v>
      </c>
      <c r="AL2225">
        <v>0</v>
      </c>
      <c r="AM2225">
        <v>0</v>
      </c>
      <c r="AN2225">
        <v>0</v>
      </c>
      <c r="AO2225">
        <v>0</v>
      </c>
      <c r="AP2225">
        <v>0</v>
      </c>
      <c r="AQ2225">
        <v>0</v>
      </c>
      <c r="AR2225">
        <v>0</v>
      </c>
      <c r="AS2225">
        <v>0</v>
      </c>
      <c r="AT2225">
        <v>0</v>
      </c>
      <c r="AU2225">
        <f t="shared" si="68"/>
        <v>0</v>
      </c>
      <c r="AV2225">
        <f t="shared" si="69"/>
        <v>0</v>
      </c>
    </row>
    <row r="2226" spans="1:48" x14ac:dyDescent="0.25">
      <c r="A2226" t="s">
        <v>7977</v>
      </c>
      <c r="C2226" t="s">
        <v>7393</v>
      </c>
      <c r="D2226" t="s">
        <v>7978</v>
      </c>
      <c r="E2226" t="s">
        <v>2310</v>
      </c>
      <c r="F2226">
        <v>9</v>
      </c>
      <c r="G2226">
        <v>9.1999999999999993</v>
      </c>
      <c r="H2226" t="s">
        <v>2022</v>
      </c>
      <c r="I2226" s="21">
        <v>39184</v>
      </c>
      <c r="J2226">
        <v>2007</v>
      </c>
      <c r="K2226" s="21">
        <v>39212</v>
      </c>
      <c r="L2226">
        <v>2007</v>
      </c>
      <c r="M2226" s="21">
        <v>39797</v>
      </c>
      <c r="N2226">
        <v>2008</v>
      </c>
      <c r="R2226" s="262">
        <v>1100000</v>
      </c>
      <c r="S2226" t="s">
        <v>114</v>
      </c>
      <c r="T2226" t="s">
        <v>114</v>
      </c>
      <c r="U2226">
        <v>5</v>
      </c>
      <c r="W2226">
        <v>5100</v>
      </c>
      <c r="X2226">
        <v>1</v>
      </c>
      <c r="Y2226">
        <v>0</v>
      </c>
      <c r="Z2226">
        <v>0</v>
      </c>
      <c r="AA2226">
        <v>0</v>
      </c>
      <c r="AB2226">
        <v>0</v>
      </c>
      <c r="AC2226">
        <v>5100</v>
      </c>
      <c r="AD2226">
        <v>0</v>
      </c>
      <c r="AE2226">
        <v>0</v>
      </c>
      <c r="AF2226">
        <v>0</v>
      </c>
      <c r="AG2226">
        <v>0</v>
      </c>
      <c r="AH2226">
        <v>0</v>
      </c>
      <c r="AI2226">
        <v>0</v>
      </c>
      <c r="AJ2226">
        <v>0</v>
      </c>
      <c r="AK2226">
        <v>0</v>
      </c>
      <c r="AL2226">
        <v>0</v>
      </c>
      <c r="AM2226">
        <v>0</v>
      </c>
      <c r="AN2226">
        <v>0</v>
      </c>
      <c r="AO2226">
        <v>1</v>
      </c>
      <c r="AP2226">
        <v>0</v>
      </c>
      <c r="AQ2226">
        <v>0</v>
      </c>
      <c r="AR2226">
        <v>0</v>
      </c>
      <c r="AS2226">
        <v>0</v>
      </c>
      <c r="AT2226">
        <v>0</v>
      </c>
      <c r="AU2226">
        <f t="shared" si="68"/>
        <v>1</v>
      </c>
      <c r="AV2226">
        <f t="shared" si="69"/>
        <v>0</v>
      </c>
    </row>
    <row r="2227" spans="1:48" x14ac:dyDescent="0.25">
      <c r="A2227" t="s">
        <v>7979</v>
      </c>
      <c r="C2227" t="s">
        <v>7980</v>
      </c>
      <c r="D2227" t="s">
        <v>7978</v>
      </c>
      <c r="E2227" t="s">
        <v>2310</v>
      </c>
      <c r="F2227">
        <v>9</v>
      </c>
      <c r="G2227">
        <v>9.1999999999999993</v>
      </c>
      <c r="H2227" t="s">
        <v>2022</v>
      </c>
      <c r="I2227" s="21">
        <v>39184</v>
      </c>
      <c r="J2227">
        <v>2007</v>
      </c>
      <c r="K2227" s="21">
        <v>39212</v>
      </c>
      <c r="L2227">
        <v>2007</v>
      </c>
      <c r="M2227" s="21">
        <v>40003.396944444401</v>
      </c>
      <c r="N2227">
        <v>2009</v>
      </c>
      <c r="R2227" s="262">
        <v>250000</v>
      </c>
      <c r="S2227" t="s">
        <v>114</v>
      </c>
      <c r="T2227" t="s">
        <v>114</v>
      </c>
      <c r="U2227">
        <v>8</v>
      </c>
      <c r="W2227">
        <v>1196</v>
      </c>
      <c r="X2227">
        <v>1</v>
      </c>
      <c r="Y2227">
        <v>0</v>
      </c>
      <c r="Z2227">
        <v>0</v>
      </c>
      <c r="AA2227">
        <v>0</v>
      </c>
      <c r="AB2227">
        <v>0</v>
      </c>
      <c r="AC2227">
        <v>306</v>
      </c>
      <c r="AD2227">
        <v>0</v>
      </c>
      <c r="AE2227">
        <v>0</v>
      </c>
      <c r="AF2227">
        <v>890</v>
      </c>
      <c r="AG2227">
        <v>0</v>
      </c>
      <c r="AH2227">
        <v>0</v>
      </c>
      <c r="AI2227">
        <v>0</v>
      </c>
      <c r="AJ2227">
        <v>0</v>
      </c>
      <c r="AK2227">
        <v>0</v>
      </c>
      <c r="AL2227">
        <v>0</v>
      </c>
      <c r="AM2227">
        <v>0</v>
      </c>
      <c r="AN2227">
        <v>0</v>
      </c>
      <c r="AO2227">
        <v>0</v>
      </c>
      <c r="AP2227">
        <v>0</v>
      </c>
      <c r="AQ2227">
        <v>0</v>
      </c>
      <c r="AR2227">
        <v>1</v>
      </c>
      <c r="AS2227">
        <v>0</v>
      </c>
      <c r="AT2227">
        <v>0</v>
      </c>
      <c r="AU2227">
        <f t="shared" si="68"/>
        <v>0</v>
      </c>
      <c r="AV2227">
        <f t="shared" si="69"/>
        <v>0</v>
      </c>
    </row>
    <row r="2228" spans="1:48" x14ac:dyDescent="0.25">
      <c r="A2228" t="s">
        <v>7981</v>
      </c>
      <c r="C2228" t="s">
        <v>7982</v>
      </c>
      <c r="D2228" t="s">
        <v>7983</v>
      </c>
      <c r="E2228" t="s">
        <v>2310</v>
      </c>
      <c r="F2228">
        <v>9</v>
      </c>
      <c r="G2228">
        <v>9.1</v>
      </c>
      <c r="H2228" t="s">
        <v>2323</v>
      </c>
      <c r="I2228" s="21">
        <v>39185</v>
      </c>
      <c r="J2228">
        <v>2007</v>
      </c>
      <c r="K2228" s="21">
        <v>39211</v>
      </c>
      <c r="L2228">
        <v>2007</v>
      </c>
      <c r="M2228" s="21">
        <v>39834</v>
      </c>
      <c r="N2228">
        <v>2009</v>
      </c>
      <c r="R2228" s="262">
        <v>1250000</v>
      </c>
      <c r="S2228" t="s">
        <v>114</v>
      </c>
      <c r="T2228" t="s">
        <v>114</v>
      </c>
      <c r="U2228">
        <v>5</v>
      </c>
      <c r="W2228">
        <v>4989</v>
      </c>
      <c r="X2228">
        <v>1</v>
      </c>
      <c r="Y2228">
        <v>0</v>
      </c>
      <c r="Z2228">
        <v>0</v>
      </c>
      <c r="AA2228">
        <v>0</v>
      </c>
      <c r="AB2228">
        <v>0</v>
      </c>
      <c r="AC2228">
        <v>4989</v>
      </c>
      <c r="AD2228">
        <v>0</v>
      </c>
      <c r="AE2228">
        <v>0</v>
      </c>
      <c r="AF2228">
        <v>0</v>
      </c>
      <c r="AG2228">
        <v>0</v>
      </c>
      <c r="AH2228">
        <v>0</v>
      </c>
      <c r="AI2228">
        <v>0</v>
      </c>
      <c r="AJ2228">
        <v>0</v>
      </c>
      <c r="AK2228">
        <v>0</v>
      </c>
      <c r="AL2228">
        <v>0</v>
      </c>
      <c r="AM2228">
        <v>0</v>
      </c>
      <c r="AN2228">
        <v>0</v>
      </c>
      <c r="AO2228">
        <v>1</v>
      </c>
      <c r="AP2228">
        <v>0</v>
      </c>
      <c r="AQ2228">
        <v>0</v>
      </c>
      <c r="AR2228">
        <v>0</v>
      </c>
      <c r="AS2228">
        <v>0</v>
      </c>
      <c r="AT2228">
        <v>0</v>
      </c>
      <c r="AU2228">
        <f t="shared" si="68"/>
        <v>1</v>
      </c>
      <c r="AV2228">
        <f t="shared" si="69"/>
        <v>0</v>
      </c>
    </row>
    <row r="2229" spans="1:48" x14ac:dyDescent="0.25">
      <c r="A2229" t="s">
        <v>7984</v>
      </c>
      <c r="C2229" t="s">
        <v>7985</v>
      </c>
      <c r="D2229" t="s">
        <v>7986</v>
      </c>
      <c r="E2229" t="s">
        <v>2310</v>
      </c>
      <c r="F2229">
        <v>9</v>
      </c>
      <c r="G2229">
        <v>9.1</v>
      </c>
      <c r="H2229" t="s">
        <v>2323</v>
      </c>
      <c r="I2229" s="21">
        <v>39188</v>
      </c>
      <c r="J2229">
        <v>2007</v>
      </c>
      <c r="K2229" s="21">
        <v>39211</v>
      </c>
      <c r="L2229">
        <v>2007</v>
      </c>
      <c r="M2229" s="21">
        <v>39377</v>
      </c>
      <c r="N2229">
        <v>2007</v>
      </c>
      <c r="R2229" s="262">
        <v>35000</v>
      </c>
      <c r="S2229" t="s">
        <v>114</v>
      </c>
      <c r="T2229" t="s">
        <v>114</v>
      </c>
      <c r="U2229">
        <v>5</v>
      </c>
      <c r="W2229">
        <v>620</v>
      </c>
      <c r="X2229">
        <v>0</v>
      </c>
      <c r="Y2229">
        <v>0</v>
      </c>
      <c r="Z2229">
        <v>0</v>
      </c>
      <c r="AA2229">
        <v>0</v>
      </c>
      <c r="AB2229">
        <v>0</v>
      </c>
      <c r="AC2229">
        <v>620</v>
      </c>
      <c r="AD2229">
        <v>0</v>
      </c>
      <c r="AE2229">
        <v>0</v>
      </c>
      <c r="AF2229">
        <v>0</v>
      </c>
      <c r="AG2229">
        <v>0</v>
      </c>
      <c r="AH2229">
        <v>0</v>
      </c>
      <c r="AI2229">
        <v>0</v>
      </c>
      <c r="AJ2229">
        <v>0</v>
      </c>
      <c r="AK2229">
        <v>0</v>
      </c>
      <c r="AL2229">
        <v>0</v>
      </c>
      <c r="AM2229">
        <v>0</v>
      </c>
      <c r="AN2229">
        <v>0</v>
      </c>
      <c r="AO2229">
        <v>0</v>
      </c>
      <c r="AP2229">
        <v>0</v>
      </c>
      <c r="AQ2229">
        <v>0</v>
      </c>
      <c r="AR2229">
        <v>0</v>
      </c>
      <c r="AS2229">
        <v>0</v>
      </c>
      <c r="AT2229">
        <v>0</v>
      </c>
      <c r="AU2229">
        <f t="shared" si="68"/>
        <v>0</v>
      </c>
      <c r="AV2229">
        <f t="shared" si="69"/>
        <v>0</v>
      </c>
    </row>
    <row r="2230" spans="1:48" x14ac:dyDescent="0.25">
      <c r="A2230" t="s">
        <v>7987</v>
      </c>
      <c r="C2230" t="s">
        <v>7969</v>
      </c>
      <c r="D2230" t="s">
        <v>7988</v>
      </c>
      <c r="E2230" t="s">
        <v>2310</v>
      </c>
      <c r="F2230">
        <v>8</v>
      </c>
      <c r="G2230">
        <v>8.1999999999999993</v>
      </c>
      <c r="H2230" t="s">
        <v>2022</v>
      </c>
      <c r="I2230" s="21">
        <v>39188</v>
      </c>
      <c r="J2230">
        <v>2007</v>
      </c>
      <c r="K2230" s="21">
        <v>39197</v>
      </c>
      <c r="L2230">
        <v>2007</v>
      </c>
      <c r="M2230" s="21">
        <v>39379</v>
      </c>
      <c r="N2230">
        <v>2007</v>
      </c>
      <c r="R2230" s="262">
        <v>75000</v>
      </c>
      <c r="S2230" t="s">
        <v>114</v>
      </c>
      <c r="T2230" t="s">
        <v>114</v>
      </c>
      <c r="U2230">
        <v>5</v>
      </c>
      <c r="W2230">
        <v>144</v>
      </c>
      <c r="X2230">
        <v>0</v>
      </c>
      <c r="Y2230">
        <v>0</v>
      </c>
      <c r="Z2230">
        <v>0</v>
      </c>
      <c r="AA2230">
        <v>0</v>
      </c>
      <c r="AB2230">
        <v>0</v>
      </c>
      <c r="AC2230">
        <v>144</v>
      </c>
      <c r="AD2230">
        <v>0</v>
      </c>
      <c r="AE2230">
        <v>0</v>
      </c>
      <c r="AF2230">
        <v>0</v>
      </c>
      <c r="AG2230">
        <v>0</v>
      </c>
      <c r="AH2230">
        <v>0</v>
      </c>
      <c r="AI2230">
        <v>0</v>
      </c>
      <c r="AJ2230">
        <v>0</v>
      </c>
      <c r="AK2230">
        <v>0</v>
      </c>
      <c r="AL2230">
        <v>0</v>
      </c>
      <c r="AM2230">
        <v>0</v>
      </c>
      <c r="AN2230">
        <v>0</v>
      </c>
      <c r="AO2230">
        <v>0</v>
      </c>
      <c r="AP2230">
        <v>0</v>
      </c>
      <c r="AQ2230">
        <v>0</v>
      </c>
      <c r="AR2230">
        <v>0</v>
      </c>
      <c r="AS2230">
        <v>0</v>
      </c>
      <c r="AT2230">
        <v>0</v>
      </c>
      <c r="AU2230">
        <f t="shared" si="68"/>
        <v>0</v>
      </c>
      <c r="AV2230">
        <f t="shared" si="69"/>
        <v>0</v>
      </c>
    </row>
    <row r="2231" spans="1:48" x14ac:dyDescent="0.25">
      <c r="A2231" t="s">
        <v>7989</v>
      </c>
      <c r="C2231" t="s">
        <v>7990</v>
      </c>
      <c r="D2231" t="s">
        <v>7991</v>
      </c>
      <c r="E2231" t="s">
        <v>2310</v>
      </c>
      <c r="F2231">
        <v>12</v>
      </c>
      <c r="G2231">
        <v>12.2</v>
      </c>
      <c r="H2231" t="s">
        <v>2017</v>
      </c>
      <c r="I2231" s="21">
        <v>39189</v>
      </c>
      <c r="J2231">
        <v>2007</v>
      </c>
      <c r="K2231" s="21">
        <v>39246</v>
      </c>
      <c r="L2231">
        <v>2007</v>
      </c>
      <c r="M2231" s="21">
        <v>39713</v>
      </c>
      <c r="N2231">
        <v>2008</v>
      </c>
      <c r="R2231" s="262">
        <v>250000</v>
      </c>
      <c r="S2231" t="s">
        <v>114</v>
      </c>
      <c r="T2231" t="s">
        <v>114</v>
      </c>
      <c r="U2231">
        <v>5</v>
      </c>
      <c r="W2231">
        <v>1289</v>
      </c>
      <c r="X2231">
        <v>0</v>
      </c>
      <c r="Y2231">
        <v>0</v>
      </c>
      <c r="Z2231">
        <v>0</v>
      </c>
      <c r="AA2231">
        <v>0</v>
      </c>
      <c r="AB2231">
        <v>0</v>
      </c>
      <c r="AC2231">
        <v>1289</v>
      </c>
      <c r="AD2231">
        <v>0</v>
      </c>
      <c r="AE2231">
        <v>0</v>
      </c>
      <c r="AF2231">
        <v>0</v>
      </c>
      <c r="AG2231">
        <v>0</v>
      </c>
      <c r="AH2231">
        <v>0</v>
      </c>
      <c r="AI2231">
        <v>0</v>
      </c>
      <c r="AJ2231">
        <v>0</v>
      </c>
      <c r="AK2231">
        <v>0</v>
      </c>
      <c r="AL2231">
        <v>0</v>
      </c>
      <c r="AM2231">
        <v>0</v>
      </c>
      <c r="AN2231">
        <v>0</v>
      </c>
      <c r="AO2231">
        <v>0</v>
      </c>
      <c r="AP2231">
        <v>0</v>
      </c>
      <c r="AQ2231">
        <v>0</v>
      </c>
      <c r="AR2231">
        <v>0</v>
      </c>
      <c r="AS2231">
        <v>0</v>
      </c>
      <c r="AT2231">
        <v>0</v>
      </c>
      <c r="AU2231">
        <f t="shared" si="68"/>
        <v>0</v>
      </c>
      <c r="AV2231">
        <f t="shared" si="69"/>
        <v>0</v>
      </c>
    </row>
    <row r="2232" spans="1:48" x14ac:dyDescent="0.25">
      <c r="A2232" t="s">
        <v>7992</v>
      </c>
      <c r="C2232" t="s">
        <v>7993</v>
      </c>
      <c r="D2232" t="s">
        <v>7994</v>
      </c>
      <c r="E2232" t="s">
        <v>2310</v>
      </c>
      <c r="F2232">
        <v>8</v>
      </c>
      <c r="G2232">
        <v>8.1</v>
      </c>
      <c r="H2232" t="s">
        <v>2323</v>
      </c>
      <c r="I2232" s="21">
        <v>39189</v>
      </c>
      <c r="J2232">
        <v>2007</v>
      </c>
      <c r="K2232" s="21">
        <v>39251</v>
      </c>
      <c r="L2232">
        <v>2007</v>
      </c>
      <c r="M2232" s="21">
        <v>40042.381678240701</v>
      </c>
      <c r="N2232">
        <v>2009</v>
      </c>
      <c r="R2232" s="262">
        <v>2350000</v>
      </c>
      <c r="S2232" t="s">
        <v>114</v>
      </c>
      <c r="T2232" t="s">
        <v>114</v>
      </c>
      <c r="U2232">
        <v>5</v>
      </c>
      <c r="W2232">
        <v>4992</v>
      </c>
      <c r="X2232">
        <v>1</v>
      </c>
      <c r="Y2232">
        <v>0</v>
      </c>
      <c r="Z2232">
        <v>0</v>
      </c>
      <c r="AA2232">
        <v>0</v>
      </c>
      <c r="AB2232">
        <v>0</v>
      </c>
      <c r="AC2232">
        <v>4992</v>
      </c>
      <c r="AD2232">
        <v>0</v>
      </c>
      <c r="AE2232">
        <v>0</v>
      </c>
      <c r="AF2232">
        <v>0</v>
      </c>
      <c r="AG2232">
        <v>0</v>
      </c>
      <c r="AH2232">
        <v>0</v>
      </c>
      <c r="AI2232">
        <v>0</v>
      </c>
      <c r="AJ2232">
        <v>0</v>
      </c>
      <c r="AK2232">
        <v>0</v>
      </c>
      <c r="AL2232">
        <v>0</v>
      </c>
      <c r="AM2232">
        <v>0</v>
      </c>
      <c r="AN2232">
        <v>0</v>
      </c>
      <c r="AO2232">
        <v>1</v>
      </c>
      <c r="AP2232">
        <v>0</v>
      </c>
      <c r="AQ2232">
        <v>0</v>
      </c>
      <c r="AR2232">
        <v>0</v>
      </c>
      <c r="AS2232">
        <v>0</v>
      </c>
      <c r="AT2232">
        <v>0</v>
      </c>
      <c r="AU2232">
        <f t="shared" si="68"/>
        <v>1</v>
      </c>
      <c r="AV2232">
        <f t="shared" si="69"/>
        <v>0</v>
      </c>
    </row>
    <row r="2233" spans="1:48" x14ac:dyDescent="0.25">
      <c r="A2233" t="s">
        <v>7995</v>
      </c>
      <c r="C2233" t="s">
        <v>6444</v>
      </c>
      <c r="D2233" t="s">
        <v>7994</v>
      </c>
      <c r="E2233" t="s">
        <v>2310</v>
      </c>
      <c r="F2233">
        <v>8</v>
      </c>
      <c r="G2233">
        <v>8.1</v>
      </c>
      <c r="H2233" t="s">
        <v>2323</v>
      </c>
      <c r="I2233" s="21">
        <v>39189</v>
      </c>
      <c r="J2233">
        <v>2007</v>
      </c>
      <c r="K2233" s="21">
        <v>39251</v>
      </c>
      <c r="L2233">
        <v>2007</v>
      </c>
      <c r="M2233" s="21">
        <v>39864</v>
      </c>
      <c r="N2233">
        <v>2009</v>
      </c>
      <c r="R2233" s="262">
        <v>150000</v>
      </c>
      <c r="S2233" t="s">
        <v>114</v>
      </c>
      <c r="T2233" t="s">
        <v>114</v>
      </c>
      <c r="U2233">
        <v>8</v>
      </c>
      <c r="W2233">
        <v>893</v>
      </c>
      <c r="X2233">
        <v>1</v>
      </c>
      <c r="Y2233">
        <v>0</v>
      </c>
      <c r="Z2233">
        <v>0</v>
      </c>
      <c r="AA2233">
        <v>0</v>
      </c>
      <c r="AB2233">
        <v>0</v>
      </c>
      <c r="AC2233">
        <v>0</v>
      </c>
      <c r="AD2233">
        <v>0</v>
      </c>
      <c r="AE2233">
        <v>0</v>
      </c>
      <c r="AF2233">
        <v>893</v>
      </c>
      <c r="AG2233">
        <v>0</v>
      </c>
      <c r="AH2233">
        <v>0</v>
      </c>
      <c r="AI2233">
        <v>0</v>
      </c>
      <c r="AJ2233">
        <v>0</v>
      </c>
      <c r="AK2233">
        <v>0</v>
      </c>
      <c r="AL2233">
        <v>0</v>
      </c>
      <c r="AM2233">
        <v>0</v>
      </c>
      <c r="AN2233">
        <v>0</v>
      </c>
      <c r="AO2233">
        <v>0</v>
      </c>
      <c r="AP2233">
        <v>0</v>
      </c>
      <c r="AQ2233">
        <v>0</v>
      </c>
      <c r="AR2233">
        <v>1</v>
      </c>
      <c r="AS2233">
        <v>0</v>
      </c>
      <c r="AT2233">
        <v>0</v>
      </c>
      <c r="AU2233">
        <f t="shared" si="68"/>
        <v>0</v>
      </c>
      <c r="AV2233">
        <f t="shared" si="69"/>
        <v>0</v>
      </c>
    </row>
    <row r="2234" spans="1:48" x14ac:dyDescent="0.25">
      <c r="A2234" t="s">
        <v>7996</v>
      </c>
      <c r="C2234" t="s">
        <v>7997</v>
      </c>
      <c r="D2234" t="s">
        <v>7998</v>
      </c>
      <c r="E2234" t="s">
        <v>2310</v>
      </c>
      <c r="F2234">
        <v>15</v>
      </c>
      <c r="G2234">
        <v>15.2</v>
      </c>
      <c r="H2234" t="s">
        <v>2323</v>
      </c>
      <c r="I2234" s="21">
        <v>39190</v>
      </c>
      <c r="J2234">
        <v>2007</v>
      </c>
      <c r="K2234" s="21">
        <v>39239</v>
      </c>
      <c r="L2234">
        <v>2007</v>
      </c>
      <c r="M2234" s="21">
        <v>39591</v>
      </c>
      <c r="N2234">
        <v>2008</v>
      </c>
      <c r="R2234" s="262">
        <v>250000</v>
      </c>
      <c r="S2234" t="s">
        <v>114</v>
      </c>
      <c r="T2234" t="s">
        <v>114</v>
      </c>
      <c r="U2234">
        <v>5</v>
      </c>
      <c r="W2234">
        <v>2033</v>
      </c>
      <c r="X2234">
        <v>0</v>
      </c>
      <c r="Y2234">
        <v>0</v>
      </c>
      <c r="Z2234">
        <v>0</v>
      </c>
      <c r="AA2234">
        <v>0</v>
      </c>
      <c r="AB2234">
        <v>0</v>
      </c>
      <c r="AC2234">
        <v>2033</v>
      </c>
      <c r="AD2234">
        <v>0</v>
      </c>
      <c r="AE2234">
        <v>0</v>
      </c>
      <c r="AF2234">
        <v>0</v>
      </c>
      <c r="AG2234">
        <v>0</v>
      </c>
      <c r="AH2234">
        <v>0</v>
      </c>
      <c r="AI2234">
        <v>0</v>
      </c>
      <c r="AJ2234">
        <v>0</v>
      </c>
      <c r="AK2234">
        <v>0</v>
      </c>
      <c r="AL2234">
        <v>0</v>
      </c>
      <c r="AM2234">
        <v>0</v>
      </c>
      <c r="AN2234">
        <v>0</v>
      </c>
      <c r="AO2234">
        <v>0</v>
      </c>
      <c r="AP2234">
        <v>0</v>
      </c>
      <c r="AQ2234">
        <v>0</v>
      </c>
      <c r="AR2234">
        <v>0</v>
      </c>
      <c r="AS2234">
        <v>0</v>
      </c>
      <c r="AT2234">
        <v>0</v>
      </c>
      <c r="AU2234">
        <f t="shared" si="68"/>
        <v>0</v>
      </c>
      <c r="AV2234">
        <f t="shared" si="69"/>
        <v>0</v>
      </c>
    </row>
    <row r="2235" spans="1:48" x14ac:dyDescent="0.25">
      <c r="A2235" t="s">
        <v>7999</v>
      </c>
      <c r="C2235" t="s">
        <v>8000</v>
      </c>
      <c r="D2235" t="s">
        <v>8001</v>
      </c>
      <c r="E2235" t="s">
        <v>2310</v>
      </c>
      <c r="F2235">
        <v>10</v>
      </c>
      <c r="G2235">
        <v>10.1</v>
      </c>
      <c r="H2235" t="s">
        <v>2323</v>
      </c>
      <c r="I2235" s="21">
        <v>39190</v>
      </c>
      <c r="J2235">
        <v>2007</v>
      </c>
      <c r="K2235" s="21">
        <v>39218</v>
      </c>
      <c r="L2235">
        <v>2007</v>
      </c>
      <c r="M2235" s="21">
        <v>39639</v>
      </c>
      <c r="N2235">
        <v>2008</v>
      </c>
      <c r="R2235" s="262">
        <v>8600</v>
      </c>
      <c r="S2235" t="s">
        <v>114</v>
      </c>
      <c r="T2235" t="s">
        <v>114</v>
      </c>
      <c r="U2235">
        <v>5</v>
      </c>
      <c r="W2235">
        <v>49</v>
      </c>
      <c r="X2235">
        <v>0</v>
      </c>
      <c r="Y2235">
        <v>0</v>
      </c>
      <c r="Z2235">
        <v>0</v>
      </c>
      <c r="AA2235">
        <v>0</v>
      </c>
      <c r="AB2235">
        <v>0</v>
      </c>
      <c r="AC2235">
        <v>49</v>
      </c>
      <c r="AD2235">
        <v>0</v>
      </c>
      <c r="AE2235">
        <v>0</v>
      </c>
      <c r="AF2235">
        <v>0</v>
      </c>
      <c r="AG2235">
        <v>0</v>
      </c>
      <c r="AH2235">
        <v>0</v>
      </c>
      <c r="AI2235">
        <v>0</v>
      </c>
      <c r="AJ2235">
        <v>0</v>
      </c>
      <c r="AK2235">
        <v>0</v>
      </c>
      <c r="AL2235">
        <v>0</v>
      </c>
      <c r="AM2235">
        <v>0</v>
      </c>
      <c r="AN2235">
        <v>0</v>
      </c>
      <c r="AO2235">
        <v>0</v>
      </c>
      <c r="AP2235">
        <v>0</v>
      </c>
      <c r="AQ2235">
        <v>0</v>
      </c>
      <c r="AR2235">
        <v>0</v>
      </c>
      <c r="AS2235">
        <v>0</v>
      </c>
      <c r="AT2235">
        <v>0</v>
      </c>
      <c r="AU2235">
        <f t="shared" si="68"/>
        <v>0</v>
      </c>
      <c r="AV2235">
        <f t="shared" si="69"/>
        <v>0</v>
      </c>
    </row>
    <row r="2236" spans="1:48" x14ac:dyDescent="0.25">
      <c r="A2236" t="s">
        <v>8002</v>
      </c>
      <c r="C2236" t="s">
        <v>3870</v>
      </c>
      <c r="D2236" t="s">
        <v>8003</v>
      </c>
      <c r="E2236" t="s">
        <v>2310</v>
      </c>
      <c r="F2236">
        <v>8</v>
      </c>
      <c r="G2236">
        <v>8.4</v>
      </c>
      <c r="H2236" t="s">
        <v>2017</v>
      </c>
      <c r="I2236" s="21">
        <v>39191</v>
      </c>
      <c r="J2236">
        <v>2007</v>
      </c>
      <c r="K2236" s="21">
        <v>39248</v>
      </c>
      <c r="L2236">
        <v>2007</v>
      </c>
      <c r="M2236" s="21">
        <v>39666</v>
      </c>
      <c r="N2236">
        <v>2008</v>
      </c>
      <c r="R2236" s="262">
        <v>59000</v>
      </c>
      <c r="S2236" t="s">
        <v>114</v>
      </c>
      <c r="T2236" t="s">
        <v>114</v>
      </c>
      <c r="U2236">
        <v>5</v>
      </c>
      <c r="W2236">
        <v>1056</v>
      </c>
      <c r="X2236">
        <v>0</v>
      </c>
      <c r="Y2236">
        <v>0</v>
      </c>
      <c r="Z2236">
        <v>0</v>
      </c>
      <c r="AA2236">
        <v>0</v>
      </c>
      <c r="AB2236">
        <v>0</v>
      </c>
      <c r="AC2236">
        <v>1056</v>
      </c>
      <c r="AD2236">
        <v>0</v>
      </c>
      <c r="AE2236">
        <v>0</v>
      </c>
      <c r="AF2236">
        <v>0</v>
      </c>
      <c r="AG2236">
        <v>0</v>
      </c>
      <c r="AH2236">
        <v>0</v>
      </c>
      <c r="AI2236">
        <v>0</v>
      </c>
      <c r="AJ2236">
        <v>0</v>
      </c>
      <c r="AK2236">
        <v>0</v>
      </c>
      <c r="AL2236">
        <v>0</v>
      </c>
      <c r="AM2236">
        <v>0</v>
      </c>
      <c r="AN2236">
        <v>0</v>
      </c>
      <c r="AO2236">
        <v>0</v>
      </c>
      <c r="AP2236">
        <v>0</v>
      </c>
      <c r="AQ2236">
        <v>0</v>
      </c>
      <c r="AR2236">
        <v>0</v>
      </c>
      <c r="AS2236">
        <v>0</v>
      </c>
      <c r="AT2236">
        <v>0</v>
      </c>
      <c r="AU2236">
        <f t="shared" si="68"/>
        <v>0</v>
      </c>
      <c r="AV2236">
        <f t="shared" si="69"/>
        <v>0</v>
      </c>
    </row>
    <row r="2237" spans="1:48" x14ac:dyDescent="0.25">
      <c r="A2237" t="s">
        <v>8004</v>
      </c>
      <c r="C2237" t="s">
        <v>7393</v>
      </c>
      <c r="D2237" t="s">
        <v>8005</v>
      </c>
      <c r="E2237" t="s">
        <v>2310</v>
      </c>
      <c r="F2237">
        <v>10</v>
      </c>
      <c r="G2237">
        <v>10.1</v>
      </c>
      <c r="H2237" t="s">
        <v>2323</v>
      </c>
      <c r="I2237" s="21">
        <v>39191</v>
      </c>
      <c r="J2237">
        <v>2007</v>
      </c>
      <c r="K2237" s="21">
        <v>39226</v>
      </c>
      <c r="L2237">
        <v>2007</v>
      </c>
      <c r="M2237" s="21">
        <v>39591</v>
      </c>
      <c r="N2237">
        <v>2008</v>
      </c>
      <c r="R2237" s="262">
        <v>600000</v>
      </c>
      <c r="S2237" t="s">
        <v>114</v>
      </c>
      <c r="T2237" t="s">
        <v>114</v>
      </c>
      <c r="U2237">
        <v>5</v>
      </c>
      <c r="W2237">
        <v>4490</v>
      </c>
      <c r="X2237">
        <v>1</v>
      </c>
      <c r="Y2237">
        <v>0</v>
      </c>
      <c r="Z2237">
        <v>0</v>
      </c>
      <c r="AA2237">
        <v>0</v>
      </c>
      <c r="AB2237">
        <v>0</v>
      </c>
      <c r="AC2237">
        <v>4490</v>
      </c>
      <c r="AD2237">
        <v>0</v>
      </c>
      <c r="AE2237">
        <v>0</v>
      </c>
      <c r="AF2237">
        <v>0</v>
      </c>
      <c r="AG2237">
        <v>0</v>
      </c>
      <c r="AH2237">
        <v>0</v>
      </c>
      <c r="AI2237">
        <v>0</v>
      </c>
      <c r="AJ2237">
        <v>0</v>
      </c>
      <c r="AK2237">
        <v>0</v>
      </c>
      <c r="AL2237">
        <v>0</v>
      </c>
      <c r="AM2237">
        <v>0</v>
      </c>
      <c r="AN2237">
        <v>0</v>
      </c>
      <c r="AO2237">
        <v>1</v>
      </c>
      <c r="AP2237">
        <v>0</v>
      </c>
      <c r="AQ2237">
        <v>0</v>
      </c>
      <c r="AR2237">
        <v>0</v>
      </c>
      <c r="AS2237">
        <v>0</v>
      </c>
      <c r="AT2237">
        <v>0</v>
      </c>
      <c r="AU2237">
        <f t="shared" si="68"/>
        <v>1</v>
      </c>
      <c r="AV2237">
        <f t="shared" si="69"/>
        <v>0</v>
      </c>
    </row>
    <row r="2238" spans="1:48" x14ac:dyDescent="0.25">
      <c r="A2238" t="s">
        <v>8006</v>
      </c>
      <c r="C2238" t="s">
        <v>8007</v>
      </c>
      <c r="D2238" t="s">
        <v>6658</v>
      </c>
      <c r="E2238" t="s">
        <v>2310</v>
      </c>
      <c r="F2238">
        <v>9</v>
      </c>
      <c r="G2238">
        <v>9.1999999999999993</v>
      </c>
      <c r="H2238" t="s">
        <v>2022</v>
      </c>
      <c r="I2238" s="21">
        <v>39192</v>
      </c>
      <c r="J2238">
        <v>2007</v>
      </c>
      <c r="K2238" s="21">
        <v>39252</v>
      </c>
      <c r="L2238">
        <v>2007</v>
      </c>
      <c r="M2238" s="21">
        <v>39252</v>
      </c>
      <c r="N2238">
        <v>2007</v>
      </c>
      <c r="R2238" s="262">
        <v>2000000</v>
      </c>
      <c r="S2238" t="s">
        <v>114</v>
      </c>
      <c r="T2238" t="s">
        <v>114</v>
      </c>
      <c r="U2238">
        <v>1</v>
      </c>
      <c r="W2238">
        <v>5564</v>
      </c>
      <c r="X2238">
        <v>0</v>
      </c>
      <c r="Y2238">
        <v>5564</v>
      </c>
      <c r="Z2238">
        <v>0</v>
      </c>
      <c r="AA2238">
        <v>0</v>
      </c>
      <c r="AB2238">
        <v>0</v>
      </c>
      <c r="AC2238">
        <v>0</v>
      </c>
      <c r="AD2238">
        <v>0</v>
      </c>
      <c r="AE2238">
        <v>0</v>
      </c>
      <c r="AF2238">
        <v>0</v>
      </c>
      <c r="AG2238">
        <v>0</v>
      </c>
      <c r="AH2238">
        <v>0</v>
      </c>
      <c r="AI2238">
        <v>0</v>
      </c>
      <c r="AJ2238">
        <v>0</v>
      </c>
      <c r="AK2238">
        <v>0</v>
      </c>
      <c r="AL2238">
        <v>0</v>
      </c>
      <c r="AM2238">
        <v>0</v>
      </c>
      <c r="AN2238">
        <v>0</v>
      </c>
      <c r="AO2238">
        <v>0</v>
      </c>
      <c r="AP2238">
        <v>0</v>
      </c>
      <c r="AQ2238">
        <v>0</v>
      </c>
      <c r="AR2238">
        <v>0</v>
      </c>
      <c r="AS2238">
        <v>0</v>
      </c>
      <c r="AT2238">
        <v>0</v>
      </c>
      <c r="AU2238">
        <f t="shared" si="68"/>
        <v>0</v>
      </c>
      <c r="AV2238">
        <f t="shared" si="69"/>
        <v>5564</v>
      </c>
    </row>
    <row r="2239" spans="1:48" x14ac:dyDescent="0.25">
      <c r="A2239" t="s">
        <v>8008</v>
      </c>
      <c r="C2239" t="s">
        <v>8009</v>
      </c>
      <c r="D2239" t="s">
        <v>6491</v>
      </c>
      <c r="E2239" t="s">
        <v>2310</v>
      </c>
      <c r="F2239">
        <v>8</v>
      </c>
      <c r="G2239">
        <v>8.1999999999999993</v>
      </c>
      <c r="H2239" t="s">
        <v>2022</v>
      </c>
      <c r="I2239" s="21">
        <v>39192</v>
      </c>
      <c r="J2239">
        <v>2007</v>
      </c>
      <c r="K2239" s="21">
        <v>39232</v>
      </c>
      <c r="L2239">
        <v>2007</v>
      </c>
      <c r="M2239" s="21">
        <v>39532</v>
      </c>
      <c r="N2239">
        <v>2008</v>
      </c>
      <c r="R2239" s="262">
        <v>195200</v>
      </c>
      <c r="S2239" t="s">
        <v>114</v>
      </c>
      <c r="T2239" t="s">
        <v>114</v>
      </c>
      <c r="U2239">
        <v>8</v>
      </c>
      <c r="W2239">
        <v>836</v>
      </c>
      <c r="X2239">
        <v>1</v>
      </c>
      <c r="Y2239">
        <v>0</v>
      </c>
      <c r="Z2239">
        <v>0</v>
      </c>
      <c r="AA2239">
        <v>0</v>
      </c>
      <c r="AB2239">
        <v>0</v>
      </c>
      <c r="AC2239">
        <v>0</v>
      </c>
      <c r="AD2239">
        <v>0</v>
      </c>
      <c r="AE2239">
        <v>0</v>
      </c>
      <c r="AF2239">
        <v>836</v>
      </c>
      <c r="AG2239">
        <v>0</v>
      </c>
      <c r="AH2239">
        <v>0</v>
      </c>
      <c r="AI2239">
        <v>0</v>
      </c>
      <c r="AJ2239">
        <v>0</v>
      </c>
      <c r="AK2239">
        <v>0</v>
      </c>
      <c r="AL2239">
        <v>0</v>
      </c>
      <c r="AM2239">
        <v>0</v>
      </c>
      <c r="AN2239">
        <v>0</v>
      </c>
      <c r="AO2239">
        <v>0</v>
      </c>
      <c r="AP2239">
        <v>0</v>
      </c>
      <c r="AQ2239">
        <v>0</v>
      </c>
      <c r="AR2239">
        <v>1</v>
      </c>
      <c r="AS2239">
        <v>0</v>
      </c>
      <c r="AT2239">
        <v>0</v>
      </c>
      <c r="AU2239">
        <f t="shared" si="68"/>
        <v>0</v>
      </c>
      <c r="AV2239">
        <f t="shared" si="69"/>
        <v>0</v>
      </c>
    </row>
    <row r="2240" spans="1:48" x14ac:dyDescent="0.25">
      <c r="A2240" t="s">
        <v>8010</v>
      </c>
      <c r="C2240" t="s">
        <v>8011</v>
      </c>
      <c r="D2240" t="s">
        <v>7689</v>
      </c>
      <c r="E2240" t="s">
        <v>2310</v>
      </c>
      <c r="F2240">
        <v>8</v>
      </c>
      <c r="G2240">
        <v>8.1</v>
      </c>
      <c r="H2240" t="s">
        <v>2323</v>
      </c>
      <c r="I2240" s="21">
        <v>39195</v>
      </c>
      <c r="J2240">
        <v>2007</v>
      </c>
      <c r="K2240" s="21">
        <v>39259</v>
      </c>
      <c r="L2240">
        <v>2007</v>
      </c>
      <c r="M2240" s="21">
        <v>39259</v>
      </c>
      <c r="N2240">
        <v>2007</v>
      </c>
      <c r="R2240" s="262">
        <v>20000</v>
      </c>
      <c r="S2240" t="s">
        <v>114</v>
      </c>
      <c r="T2240" t="s">
        <v>114</v>
      </c>
      <c r="U2240">
        <v>5</v>
      </c>
      <c r="W2240">
        <v>110</v>
      </c>
      <c r="X2240">
        <v>0</v>
      </c>
      <c r="Y2240">
        <v>0</v>
      </c>
      <c r="Z2240">
        <v>0</v>
      </c>
      <c r="AA2240">
        <v>0</v>
      </c>
      <c r="AB2240">
        <v>0</v>
      </c>
      <c r="AC2240">
        <v>110</v>
      </c>
      <c r="AD2240">
        <v>0</v>
      </c>
      <c r="AE2240">
        <v>0</v>
      </c>
      <c r="AF2240">
        <v>0</v>
      </c>
      <c r="AG2240">
        <v>0</v>
      </c>
      <c r="AH2240">
        <v>0</v>
      </c>
      <c r="AI2240">
        <v>0</v>
      </c>
      <c r="AJ2240">
        <v>0</v>
      </c>
      <c r="AK2240">
        <v>0</v>
      </c>
      <c r="AL2240">
        <v>0</v>
      </c>
      <c r="AM2240">
        <v>0</v>
      </c>
      <c r="AN2240">
        <v>0</v>
      </c>
      <c r="AO2240">
        <v>0</v>
      </c>
      <c r="AP2240">
        <v>0</v>
      </c>
      <c r="AQ2240">
        <v>0</v>
      </c>
      <c r="AR2240">
        <v>0</v>
      </c>
      <c r="AS2240">
        <v>0</v>
      </c>
      <c r="AT2240">
        <v>0</v>
      </c>
      <c r="AU2240">
        <f t="shared" si="68"/>
        <v>0</v>
      </c>
      <c r="AV2240">
        <f t="shared" si="69"/>
        <v>0</v>
      </c>
    </row>
    <row r="2241" spans="1:48" x14ac:dyDescent="0.25">
      <c r="A2241" t="s">
        <v>8015</v>
      </c>
      <c r="C2241" t="s">
        <v>8016</v>
      </c>
      <c r="D2241" t="s">
        <v>8017</v>
      </c>
      <c r="E2241" t="s">
        <v>1663</v>
      </c>
      <c r="F2241">
        <v>6</v>
      </c>
      <c r="G2241">
        <v>6.1</v>
      </c>
      <c r="H2241" t="s">
        <v>2017</v>
      </c>
      <c r="I2241" s="21">
        <v>39196</v>
      </c>
      <c r="J2241">
        <v>2007</v>
      </c>
      <c r="K2241" s="21">
        <v>39226</v>
      </c>
      <c r="L2241">
        <v>2007</v>
      </c>
      <c r="M2241" s="21">
        <v>39379</v>
      </c>
      <c r="N2241">
        <v>2007</v>
      </c>
      <c r="Q2241" s="262">
        <v>0</v>
      </c>
      <c r="S2241" t="s">
        <v>114</v>
      </c>
      <c r="T2241" t="s">
        <v>114</v>
      </c>
      <c r="W2241">
        <v>1353</v>
      </c>
      <c r="X2241">
        <v>0</v>
      </c>
      <c r="Y2241">
        <v>0</v>
      </c>
      <c r="Z2241">
        <v>0</v>
      </c>
      <c r="AA2241">
        <v>0</v>
      </c>
      <c r="AB2241">
        <v>0</v>
      </c>
      <c r="AC2241">
        <v>1353</v>
      </c>
      <c r="AD2241">
        <v>0</v>
      </c>
      <c r="AE2241">
        <v>0</v>
      </c>
      <c r="AF2241">
        <v>0</v>
      </c>
      <c r="AG2241">
        <v>0</v>
      </c>
      <c r="AH2241">
        <v>0</v>
      </c>
      <c r="AI2241">
        <v>0</v>
      </c>
      <c r="AJ2241">
        <v>0</v>
      </c>
      <c r="AK2241">
        <v>0</v>
      </c>
      <c r="AL2241">
        <v>0</v>
      </c>
      <c r="AM2241">
        <v>0</v>
      </c>
      <c r="AN2241">
        <v>0</v>
      </c>
      <c r="AO2241">
        <v>0</v>
      </c>
      <c r="AP2241">
        <v>0</v>
      </c>
      <c r="AQ2241">
        <v>0</v>
      </c>
      <c r="AR2241">
        <v>0</v>
      </c>
      <c r="AS2241">
        <v>0</v>
      </c>
      <c r="AT2241">
        <v>0</v>
      </c>
      <c r="AU2241">
        <f t="shared" si="68"/>
        <v>0</v>
      </c>
      <c r="AV2241">
        <f t="shared" si="69"/>
        <v>0</v>
      </c>
    </row>
    <row r="2242" spans="1:48" x14ac:dyDescent="0.25">
      <c r="A2242" t="s">
        <v>8012</v>
      </c>
      <c r="C2242" t="s">
        <v>8013</v>
      </c>
      <c r="D2242" t="s">
        <v>8014</v>
      </c>
      <c r="E2242" t="s">
        <v>1663</v>
      </c>
      <c r="F2242">
        <v>2</v>
      </c>
      <c r="G2242">
        <v>2.2999999999999998</v>
      </c>
      <c r="H2242" t="s">
        <v>2327</v>
      </c>
      <c r="I2242" s="21">
        <v>39196</v>
      </c>
      <c r="J2242">
        <v>2007</v>
      </c>
      <c r="K2242" s="21">
        <v>39226</v>
      </c>
      <c r="L2242">
        <v>2007</v>
      </c>
      <c r="M2242" s="21">
        <v>39379</v>
      </c>
      <c r="N2242">
        <v>2007</v>
      </c>
      <c r="Q2242" s="262">
        <v>0</v>
      </c>
      <c r="S2242" t="s">
        <v>114</v>
      </c>
      <c r="T2242" t="s">
        <v>114</v>
      </c>
      <c r="W2242">
        <v>267</v>
      </c>
      <c r="X2242">
        <v>0</v>
      </c>
      <c r="Y2242">
        <v>0</v>
      </c>
      <c r="Z2242">
        <v>0</v>
      </c>
      <c r="AA2242">
        <v>0</v>
      </c>
      <c r="AB2242">
        <v>0</v>
      </c>
      <c r="AC2242">
        <v>0</v>
      </c>
      <c r="AD2242">
        <v>0</v>
      </c>
      <c r="AE2242">
        <v>0</v>
      </c>
      <c r="AF2242">
        <v>0</v>
      </c>
      <c r="AG2242">
        <v>0</v>
      </c>
      <c r="AH2242">
        <v>0</v>
      </c>
      <c r="AI2242">
        <v>0</v>
      </c>
      <c r="AJ2242">
        <v>0</v>
      </c>
      <c r="AK2242">
        <v>267</v>
      </c>
      <c r="AL2242">
        <v>0</v>
      </c>
      <c r="AM2242">
        <v>0</v>
      </c>
      <c r="AN2242">
        <v>0</v>
      </c>
      <c r="AO2242">
        <v>0</v>
      </c>
      <c r="AP2242">
        <v>0</v>
      </c>
      <c r="AQ2242">
        <v>0</v>
      </c>
      <c r="AR2242">
        <v>0</v>
      </c>
      <c r="AS2242">
        <v>0</v>
      </c>
      <c r="AT2242">
        <v>0</v>
      </c>
      <c r="AU2242">
        <f t="shared" si="68"/>
        <v>0</v>
      </c>
      <c r="AV2242">
        <f t="shared" si="69"/>
        <v>267</v>
      </c>
    </row>
    <row r="2243" spans="1:48" x14ac:dyDescent="0.25">
      <c r="A2243" t="s">
        <v>8018</v>
      </c>
      <c r="C2243" t="s">
        <v>8019</v>
      </c>
      <c r="D2243" t="s">
        <v>8020</v>
      </c>
      <c r="E2243" t="s">
        <v>1663</v>
      </c>
      <c r="F2243">
        <v>2</v>
      </c>
      <c r="G2243">
        <v>2.2999999999999998</v>
      </c>
      <c r="H2243" t="s">
        <v>2327</v>
      </c>
      <c r="I2243" s="21">
        <v>39197</v>
      </c>
      <c r="J2243">
        <v>2007</v>
      </c>
      <c r="K2243" s="21">
        <v>39227</v>
      </c>
      <c r="L2243">
        <v>2007</v>
      </c>
      <c r="M2243" s="21">
        <v>39380</v>
      </c>
      <c r="N2243">
        <v>2007</v>
      </c>
      <c r="Q2243" s="262">
        <v>0</v>
      </c>
      <c r="S2243" t="s">
        <v>114</v>
      </c>
      <c r="T2243" t="s">
        <v>114</v>
      </c>
      <c r="W2243">
        <v>23542</v>
      </c>
      <c r="X2243">
        <v>1</v>
      </c>
      <c r="Y2243">
        <v>0</v>
      </c>
      <c r="Z2243">
        <v>0</v>
      </c>
      <c r="AA2243">
        <v>0</v>
      </c>
      <c r="AB2243">
        <v>0</v>
      </c>
      <c r="AC2243">
        <v>0</v>
      </c>
      <c r="AD2243">
        <v>4200</v>
      </c>
      <c r="AE2243">
        <v>0</v>
      </c>
      <c r="AF2243">
        <v>0</v>
      </c>
      <c r="AG2243">
        <v>0</v>
      </c>
      <c r="AH2243">
        <v>0</v>
      </c>
      <c r="AI2243">
        <v>0</v>
      </c>
      <c r="AJ2243">
        <v>9671</v>
      </c>
      <c r="AK2243">
        <v>9671</v>
      </c>
      <c r="AL2243">
        <v>0</v>
      </c>
      <c r="AM2243">
        <v>0</v>
      </c>
      <c r="AN2243">
        <v>0</v>
      </c>
      <c r="AO2243">
        <v>0</v>
      </c>
      <c r="AP2243">
        <v>1</v>
      </c>
      <c r="AQ2243">
        <v>0</v>
      </c>
      <c r="AR2243">
        <v>0</v>
      </c>
      <c r="AS2243">
        <v>0</v>
      </c>
      <c r="AT2243">
        <v>0</v>
      </c>
      <c r="AU2243">
        <f t="shared" si="68"/>
        <v>1</v>
      </c>
      <c r="AV2243">
        <f t="shared" si="69"/>
        <v>19342</v>
      </c>
    </row>
    <row r="2244" spans="1:48" x14ac:dyDescent="0.25">
      <c r="A2244" t="s">
        <v>8021</v>
      </c>
      <c r="C2244" t="s">
        <v>7669</v>
      </c>
      <c r="D2244" t="s">
        <v>8022</v>
      </c>
      <c r="E2244" t="s">
        <v>2310</v>
      </c>
      <c r="F2244">
        <v>9</v>
      </c>
      <c r="G2244">
        <v>9.3000000000000007</v>
      </c>
      <c r="H2244" t="s">
        <v>2323</v>
      </c>
      <c r="I2244" s="21">
        <v>39198</v>
      </c>
      <c r="J2244">
        <v>2007</v>
      </c>
      <c r="K2244" s="21">
        <v>39258</v>
      </c>
      <c r="L2244">
        <v>2007</v>
      </c>
      <c r="M2244" s="21">
        <v>40092.591122685197</v>
      </c>
      <c r="N2244">
        <v>2009</v>
      </c>
      <c r="R2244" s="262">
        <v>1000000</v>
      </c>
      <c r="S2244" t="s">
        <v>114</v>
      </c>
      <c r="T2244" t="s">
        <v>114</v>
      </c>
      <c r="U2244">
        <v>5</v>
      </c>
      <c r="W2244">
        <v>4972</v>
      </c>
      <c r="X2244">
        <v>1</v>
      </c>
      <c r="Y2244">
        <v>0</v>
      </c>
      <c r="Z2244">
        <v>0</v>
      </c>
      <c r="AA2244">
        <v>0</v>
      </c>
      <c r="AB2244">
        <v>0</v>
      </c>
      <c r="AC2244">
        <v>4972</v>
      </c>
      <c r="AD2244">
        <v>0</v>
      </c>
      <c r="AE2244">
        <v>0</v>
      </c>
      <c r="AF2244">
        <v>0</v>
      </c>
      <c r="AG2244">
        <v>0</v>
      </c>
      <c r="AH2244">
        <v>0</v>
      </c>
      <c r="AI2244">
        <v>0</v>
      </c>
      <c r="AJ2244">
        <v>0</v>
      </c>
      <c r="AK2244">
        <v>0</v>
      </c>
      <c r="AL2244">
        <v>0</v>
      </c>
      <c r="AM2244">
        <v>0</v>
      </c>
      <c r="AN2244">
        <v>0</v>
      </c>
      <c r="AO2244">
        <v>1</v>
      </c>
      <c r="AP2244">
        <v>0</v>
      </c>
      <c r="AQ2244">
        <v>0</v>
      </c>
      <c r="AR2244">
        <v>0</v>
      </c>
      <c r="AS2244">
        <v>0</v>
      </c>
      <c r="AT2244">
        <v>0</v>
      </c>
      <c r="AU2244">
        <f t="shared" si="68"/>
        <v>1</v>
      </c>
      <c r="AV2244">
        <f t="shared" si="69"/>
        <v>0</v>
      </c>
    </row>
    <row r="2245" spans="1:48" x14ac:dyDescent="0.25">
      <c r="A2245" t="s">
        <v>8023</v>
      </c>
      <c r="C2245" t="s">
        <v>3870</v>
      </c>
      <c r="D2245" t="s">
        <v>8022</v>
      </c>
      <c r="E2245" t="s">
        <v>2310</v>
      </c>
      <c r="F2245">
        <v>9</v>
      </c>
      <c r="G2245">
        <v>9.3000000000000007</v>
      </c>
      <c r="H2245" t="s">
        <v>2323</v>
      </c>
      <c r="I2245" s="21">
        <v>39198</v>
      </c>
      <c r="J2245">
        <v>2007</v>
      </c>
      <c r="K2245" s="21">
        <v>39259</v>
      </c>
      <c r="L2245">
        <v>2007</v>
      </c>
      <c r="M2245" s="21">
        <v>40092.674456018503</v>
      </c>
      <c r="N2245">
        <v>2009</v>
      </c>
      <c r="R2245" s="262">
        <v>80000</v>
      </c>
      <c r="S2245" t="s">
        <v>114</v>
      </c>
      <c r="T2245" t="s">
        <v>114</v>
      </c>
      <c r="U2245">
        <v>5</v>
      </c>
      <c r="W2245">
        <v>1020</v>
      </c>
      <c r="X2245">
        <v>0</v>
      </c>
      <c r="Y2245">
        <v>0</v>
      </c>
      <c r="Z2245">
        <v>0</v>
      </c>
      <c r="AA2245">
        <v>0</v>
      </c>
      <c r="AB2245">
        <v>0</v>
      </c>
      <c r="AC2245">
        <v>1020</v>
      </c>
      <c r="AD2245">
        <v>0</v>
      </c>
      <c r="AE2245">
        <v>0</v>
      </c>
      <c r="AF2245">
        <v>0</v>
      </c>
      <c r="AG2245">
        <v>0</v>
      </c>
      <c r="AH2245">
        <v>0</v>
      </c>
      <c r="AI2245">
        <v>0</v>
      </c>
      <c r="AJ2245">
        <v>0</v>
      </c>
      <c r="AK2245">
        <v>0</v>
      </c>
      <c r="AL2245">
        <v>0</v>
      </c>
      <c r="AM2245">
        <v>0</v>
      </c>
      <c r="AN2245">
        <v>0</v>
      </c>
      <c r="AO2245">
        <v>0</v>
      </c>
      <c r="AP2245">
        <v>0</v>
      </c>
      <c r="AQ2245">
        <v>0</v>
      </c>
      <c r="AR2245">
        <v>0</v>
      </c>
      <c r="AS2245">
        <v>0</v>
      </c>
      <c r="AT2245">
        <v>0</v>
      </c>
      <c r="AU2245">
        <f t="shared" si="68"/>
        <v>0</v>
      </c>
      <c r="AV2245">
        <f t="shared" si="69"/>
        <v>0</v>
      </c>
    </row>
    <row r="2246" spans="1:48" x14ac:dyDescent="0.25">
      <c r="A2246" t="s">
        <v>8024</v>
      </c>
      <c r="C2246" t="s">
        <v>8025</v>
      </c>
      <c r="D2246" t="s">
        <v>8026</v>
      </c>
      <c r="E2246" t="s">
        <v>2310</v>
      </c>
      <c r="F2246">
        <v>12</v>
      </c>
      <c r="G2246">
        <v>12.1</v>
      </c>
      <c r="H2246" t="s">
        <v>2327</v>
      </c>
      <c r="I2246" s="21">
        <v>39202</v>
      </c>
      <c r="J2246">
        <v>2007</v>
      </c>
      <c r="K2246" s="21">
        <v>39224</v>
      </c>
      <c r="L2246">
        <v>2007</v>
      </c>
      <c r="M2246" s="21">
        <v>40190.673587963</v>
      </c>
      <c r="N2246">
        <v>2010</v>
      </c>
      <c r="R2246" s="262">
        <v>20000</v>
      </c>
      <c r="S2246" t="s">
        <v>114</v>
      </c>
      <c r="T2246" t="s">
        <v>114</v>
      </c>
      <c r="U2246">
        <v>13</v>
      </c>
      <c r="W2246">
        <v>0</v>
      </c>
      <c r="X2246">
        <v>0</v>
      </c>
      <c r="Y2246">
        <v>0</v>
      </c>
      <c r="Z2246">
        <v>0</v>
      </c>
      <c r="AA2246">
        <v>0</v>
      </c>
      <c r="AB2246">
        <v>0</v>
      </c>
      <c r="AC2246">
        <v>0</v>
      </c>
      <c r="AD2246">
        <v>0</v>
      </c>
      <c r="AE2246">
        <v>0</v>
      </c>
      <c r="AF2246">
        <v>0</v>
      </c>
      <c r="AG2246">
        <v>0</v>
      </c>
      <c r="AH2246">
        <v>0</v>
      </c>
      <c r="AI2246">
        <v>0</v>
      </c>
      <c r="AJ2246">
        <v>0</v>
      </c>
      <c r="AK2246">
        <v>0</v>
      </c>
      <c r="AL2246">
        <v>0</v>
      </c>
      <c r="AM2246">
        <v>0</v>
      </c>
      <c r="AN2246">
        <v>0</v>
      </c>
      <c r="AO2246">
        <v>0</v>
      </c>
      <c r="AP2246">
        <v>0</v>
      </c>
      <c r="AQ2246">
        <v>0</v>
      </c>
      <c r="AR2246">
        <v>0</v>
      </c>
      <c r="AS2246">
        <v>0</v>
      </c>
      <c r="AT2246">
        <v>0</v>
      </c>
      <c r="AU2246">
        <f t="shared" si="68"/>
        <v>0</v>
      </c>
      <c r="AV2246">
        <f t="shared" si="69"/>
        <v>0</v>
      </c>
    </row>
    <row r="2247" spans="1:48" x14ac:dyDescent="0.25">
      <c r="A2247" t="s">
        <v>8027</v>
      </c>
      <c r="C2247" t="s">
        <v>8028</v>
      </c>
      <c r="D2247" t="s">
        <v>8029</v>
      </c>
      <c r="E2247" t="s">
        <v>2310</v>
      </c>
      <c r="F2247">
        <v>9</v>
      </c>
      <c r="G2247">
        <v>9.3000000000000007</v>
      </c>
      <c r="H2247" t="s">
        <v>2323</v>
      </c>
      <c r="I2247" s="21">
        <v>39203</v>
      </c>
      <c r="J2247">
        <v>2007</v>
      </c>
      <c r="K2247" s="21">
        <v>39265</v>
      </c>
      <c r="L2247">
        <v>2007</v>
      </c>
      <c r="M2247" s="21">
        <v>40025.551435185203</v>
      </c>
      <c r="N2247">
        <v>2009</v>
      </c>
      <c r="R2247" s="262">
        <v>1411000</v>
      </c>
      <c r="S2247" t="s">
        <v>114</v>
      </c>
      <c r="T2247" t="s">
        <v>114</v>
      </c>
      <c r="U2247">
        <v>5</v>
      </c>
      <c r="W2247">
        <v>5591</v>
      </c>
      <c r="X2247">
        <v>1</v>
      </c>
      <c r="Y2247">
        <v>0</v>
      </c>
      <c r="Z2247">
        <v>0</v>
      </c>
      <c r="AA2247">
        <v>0</v>
      </c>
      <c r="AB2247">
        <v>0</v>
      </c>
      <c r="AC2247">
        <v>5591</v>
      </c>
      <c r="AD2247">
        <v>0</v>
      </c>
      <c r="AE2247">
        <v>0</v>
      </c>
      <c r="AF2247">
        <v>0</v>
      </c>
      <c r="AG2247">
        <v>0</v>
      </c>
      <c r="AH2247">
        <v>0</v>
      </c>
      <c r="AI2247">
        <v>0</v>
      </c>
      <c r="AJ2247">
        <v>0</v>
      </c>
      <c r="AK2247">
        <v>0</v>
      </c>
      <c r="AL2247">
        <v>0</v>
      </c>
      <c r="AM2247">
        <v>0</v>
      </c>
      <c r="AN2247">
        <v>0</v>
      </c>
      <c r="AO2247">
        <v>1</v>
      </c>
      <c r="AP2247">
        <v>0</v>
      </c>
      <c r="AQ2247">
        <v>0</v>
      </c>
      <c r="AR2247">
        <v>0</v>
      </c>
      <c r="AS2247">
        <v>0</v>
      </c>
      <c r="AT2247">
        <v>0</v>
      </c>
      <c r="AU2247">
        <f t="shared" si="68"/>
        <v>1</v>
      </c>
      <c r="AV2247">
        <f t="shared" si="69"/>
        <v>0</v>
      </c>
    </row>
    <row r="2248" spans="1:48" x14ac:dyDescent="0.25">
      <c r="A2248" t="s">
        <v>8030</v>
      </c>
      <c r="C2248" t="s">
        <v>8031</v>
      </c>
      <c r="D2248" t="s">
        <v>7315</v>
      </c>
      <c r="E2248" t="s">
        <v>2310</v>
      </c>
      <c r="F2248">
        <v>11</v>
      </c>
      <c r="G2248">
        <v>11.2</v>
      </c>
      <c r="H2248" t="s">
        <v>2017</v>
      </c>
      <c r="I2248" s="21">
        <v>39209</v>
      </c>
      <c r="J2248">
        <v>2007</v>
      </c>
      <c r="K2248" s="21">
        <v>39247</v>
      </c>
      <c r="L2248">
        <v>2007</v>
      </c>
      <c r="M2248" s="21">
        <v>39086</v>
      </c>
      <c r="N2248">
        <v>2007</v>
      </c>
      <c r="R2248" s="262">
        <v>450000</v>
      </c>
      <c r="S2248" t="s">
        <v>114</v>
      </c>
      <c r="T2248" t="s">
        <v>114</v>
      </c>
      <c r="U2248">
        <v>12</v>
      </c>
      <c r="W2248">
        <v>0</v>
      </c>
      <c r="X2248">
        <v>0</v>
      </c>
      <c r="Y2248">
        <v>0</v>
      </c>
      <c r="Z2248">
        <v>0</v>
      </c>
      <c r="AA2248">
        <v>0</v>
      </c>
      <c r="AB2248">
        <v>0</v>
      </c>
      <c r="AC2248">
        <v>0</v>
      </c>
      <c r="AD2248">
        <v>0</v>
      </c>
      <c r="AE2248">
        <v>0</v>
      </c>
      <c r="AF2248">
        <v>0</v>
      </c>
      <c r="AG2248">
        <v>0</v>
      </c>
      <c r="AH2248">
        <v>0</v>
      </c>
      <c r="AI2248">
        <v>0</v>
      </c>
      <c r="AJ2248">
        <v>0</v>
      </c>
      <c r="AK2248">
        <v>0</v>
      </c>
      <c r="AL2248">
        <v>0</v>
      </c>
      <c r="AM2248">
        <v>0</v>
      </c>
      <c r="AN2248">
        <v>0</v>
      </c>
      <c r="AO2248">
        <v>0</v>
      </c>
      <c r="AP2248">
        <v>0</v>
      </c>
      <c r="AQ2248">
        <v>0</v>
      </c>
      <c r="AR2248">
        <v>0</v>
      </c>
      <c r="AS2248">
        <v>0</v>
      </c>
      <c r="AT2248">
        <v>0</v>
      </c>
      <c r="AU2248">
        <f t="shared" si="68"/>
        <v>0</v>
      </c>
      <c r="AV2248">
        <f t="shared" si="69"/>
        <v>0</v>
      </c>
    </row>
    <row r="2249" spans="1:48" x14ac:dyDescent="0.25">
      <c r="A2249" t="s">
        <v>8034</v>
      </c>
      <c r="C2249" t="s">
        <v>8035</v>
      </c>
      <c r="D2249" t="s">
        <v>8036</v>
      </c>
      <c r="E2249" t="s">
        <v>2310</v>
      </c>
      <c r="F2249">
        <v>12</v>
      </c>
      <c r="G2249">
        <v>12.2</v>
      </c>
      <c r="H2249" t="s">
        <v>2017</v>
      </c>
      <c r="I2249" s="21">
        <v>39211</v>
      </c>
      <c r="J2249">
        <v>2007</v>
      </c>
      <c r="K2249" s="21">
        <v>39259</v>
      </c>
      <c r="L2249">
        <v>2007</v>
      </c>
      <c r="M2249" s="21">
        <v>39259</v>
      </c>
      <c r="N2249">
        <v>2007</v>
      </c>
      <c r="R2249" s="262">
        <v>175000</v>
      </c>
      <c r="S2249" t="s">
        <v>114</v>
      </c>
      <c r="T2249" t="s">
        <v>114</v>
      </c>
      <c r="U2249">
        <v>8</v>
      </c>
      <c r="W2249">
        <v>1668</v>
      </c>
      <c r="X2249">
        <v>1</v>
      </c>
      <c r="Y2249">
        <v>0</v>
      </c>
      <c r="Z2249">
        <v>0</v>
      </c>
      <c r="AA2249">
        <v>0</v>
      </c>
      <c r="AB2249">
        <v>0</v>
      </c>
      <c r="AC2249">
        <v>671</v>
      </c>
      <c r="AD2249">
        <v>0</v>
      </c>
      <c r="AE2249">
        <v>0</v>
      </c>
      <c r="AF2249">
        <v>997</v>
      </c>
      <c r="AG2249">
        <v>0</v>
      </c>
      <c r="AH2249">
        <v>0</v>
      </c>
      <c r="AI2249">
        <v>0</v>
      </c>
      <c r="AJ2249">
        <v>0</v>
      </c>
      <c r="AK2249">
        <v>0</v>
      </c>
      <c r="AL2249">
        <v>0</v>
      </c>
      <c r="AM2249">
        <v>0</v>
      </c>
      <c r="AN2249">
        <v>0</v>
      </c>
      <c r="AO2249">
        <v>0</v>
      </c>
      <c r="AP2249">
        <v>0</v>
      </c>
      <c r="AQ2249">
        <v>0</v>
      </c>
      <c r="AR2249">
        <v>1</v>
      </c>
      <c r="AS2249">
        <v>0</v>
      </c>
      <c r="AT2249">
        <v>0</v>
      </c>
      <c r="AU2249">
        <f t="shared" si="68"/>
        <v>0</v>
      </c>
      <c r="AV2249">
        <f t="shared" si="69"/>
        <v>0</v>
      </c>
    </row>
    <row r="2250" spans="1:48" x14ac:dyDescent="0.25">
      <c r="A2250" t="s">
        <v>8037</v>
      </c>
      <c r="C2250" t="s">
        <v>8038</v>
      </c>
      <c r="D2250" t="s">
        <v>7205</v>
      </c>
      <c r="E2250" t="s">
        <v>2310</v>
      </c>
      <c r="F2250">
        <v>14</v>
      </c>
      <c r="G2250">
        <v>14.1</v>
      </c>
      <c r="H2250" t="s">
        <v>2022</v>
      </c>
      <c r="I2250" s="21">
        <v>39211</v>
      </c>
      <c r="J2250">
        <v>2007</v>
      </c>
      <c r="K2250" s="21">
        <v>39232</v>
      </c>
      <c r="L2250">
        <v>2007</v>
      </c>
      <c r="M2250" s="21">
        <v>39232</v>
      </c>
      <c r="N2250">
        <v>2007</v>
      </c>
      <c r="R2250" s="262">
        <v>15000</v>
      </c>
      <c r="S2250" t="s">
        <v>114</v>
      </c>
      <c r="T2250" t="s">
        <v>114</v>
      </c>
      <c r="U2250">
        <v>5</v>
      </c>
      <c r="W2250">
        <v>76</v>
      </c>
      <c r="X2250">
        <v>1</v>
      </c>
      <c r="Y2250">
        <v>0</v>
      </c>
      <c r="Z2250">
        <v>0</v>
      </c>
      <c r="AA2250">
        <v>0</v>
      </c>
      <c r="AB2250">
        <v>0</v>
      </c>
      <c r="AC2250">
        <v>76</v>
      </c>
      <c r="AD2250">
        <v>0</v>
      </c>
      <c r="AE2250">
        <v>0</v>
      </c>
      <c r="AF2250">
        <v>0</v>
      </c>
      <c r="AG2250">
        <v>0</v>
      </c>
      <c r="AH2250">
        <v>0</v>
      </c>
      <c r="AI2250">
        <v>0</v>
      </c>
      <c r="AJ2250">
        <v>0</v>
      </c>
      <c r="AK2250">
        <v>0</v>
      </c>
      <c r="AL2250">
        <v>0</v>
      </c>
      <c r="AM2250">
        <v>0</v>
      </c>
      <c r="AN2250">
        <v>0</v>
      </c>
      <c r="AO2250">
        <v>1</v>
      </c>
      <c r="AP2250">
        <v>0</v>
      </c>
      <c r="AQ2250">
        <v>0</v>
      </c>
      <c r="AR2250">
        <v>0</v>
      </c>
      <c r="AS2250">
        <v>0</v>
      </c>
      <c r="AT2250">
        <v>0</v>
      </c>
      <c r="AU2250">
        <f t="shared" si="68"/>
        <v>1</v>
      </c>
      <c r="AV2250">
        <f t="shared" si="69"/>
        <v>0</v>
      </c>
    </row>
    <row r="2251" spans="1:48" x14ac:dyDescent="0.25">
      <c r="A2251" t="s">
        <v>8032</v>
      </c>
      <c r="C2251" t="s">
        <v>5963</v>
      </c>
      <c r="D2251" t="s">
        <v>8033</v>
      </c>
      <c r="E2251" t="s">
        <v>1663</v>
      </c>
      <c r="F2251">
        <v>2</v>
      </c>
      <c r="G2251">
        <v>2.2999999999999998</v>
      </c>
      <c r="H2251" t="s">
        <v>2327</v>
      </c>
      <c r="I2251" s="21">
        <v>39211</v>
      </c>
      <c r="J2251">
        <v>2007</v>
      </c>
      <c r="K2251" s="21">
        <v>39242</v>
      </c>
      <c r="L2251">
        <v>2007</v>
      </c>
      <c r="M2251" s="21">
        <v>39395</v>
      </c>
      <c r="N2251">
        <v>2007</v>
      </c>
      <c r="Q2251" s="262">
        <v>0</v>
      </c>
      <c r="S2251" t="s">
        <v>114</v>
      </c>
      <c r="T2251" t="s">
        <v>114</v>
      </c>
      <c r="W2251">
        <v>2700</v>
      </c>
      <c r="X2251">
        <v>1</v>
      </c>
      <c r="Y2251">
        <v>0</v>
      </c>
      <c r="Z2251">
        <v>0</v>
      </c>
      <c r="AA2251">
        <v>0</v>
      </c>
      <c r="AB2251">
        <v>0</v>
      </c>
      <c r="AC2251">
        <v>2700</v>
      </c>
      <c r="AD2251">
        <v>0</v>
      </c>
      <c r="AE2251">
        <v>0</v>
      </c>
      <c r="AF2251">
        <v>0</v>
      </c>
      <c r="AG2251">
        <v>0</v>
      </c>
      <c r="AH2251">
        <v>0</v>
      </c>
      <c r="AI2251">
        <v>0</v>
      </c>
      <c r="AJ2251">
        <v>0</v>
      </c>
      <c r="AK2251">
        <v>0</v>
      </c>
      <c r="AL2251">
        <v>0</v>
      </c>
      <c r="AM2251">
        <v>0</v>
      </c>
      <c r="AN2251">
        <v>0</v>
      </c>
      <c r="AO2251">
        <v>1</v>
      </c>
      <c r="AP2251">
        <v>0</v>
      </c>
      <c r="AQ2251">
        <v>0</v>
      </c>
      <c r="AR2251">
        <v>0</v>
      </c>
      <c r="AS2251">
        <v>0</v>
      </c>
      <c r="AT2251">
        <v>0</v>
      </c>
      <c r="AU2251">
        <f t="shared" si="68"/>
        <v>1</v>
      </c>
      <c r="AV2251">
        <f t="shared" si="69"/>
        <v>0</v>
      </c>
    </row>
    <row r="2252" spans="1:48" x14ac:dyDescent="0.25">
      <c r="A2252" t="s">
        <v>8039</v>
      </c>
      <c r="C2252" t="s">
        <v>8040</v>
      </c>
      <c r="D2252" t="s">
        <v>7427</v>
      </c>
      <c r="E2252" t="s">
        <v>2310</v>
      </c>
      <c r="F2252">
        <v>8</v>
      </c>
      <c r="G2252">
        <v>8.1999999999999993</v>
      </c>
      <c r="H2252" t="s">
        <v>2022</v>
      </c>
      <c r="I2252" s="21">
        <v>39212</v>
      </c>
      <c r="J2252">
        <v>2007</v>
      </c>
      <c r="K2252" s="21">
        <v>39254</v>
      </c>
      <c r="L2252">
        <v>2007</v>
      </c>
      <c r="M2252" s="21">
        <v>39254</v>
      </c>
      <c r="N2252">
        <v>2007</v>
      </c>
      <c r="R2252" s="262">
        <v>200000</v>
      </c>
      <c r="S2252" t="s">
        <v>114</v>
      </c>
      <c r="T2252" t="s">
        <v>114</v>
      </c>
      <c r="U2252">
        <v>5</v>
      </c>
      <c r="W2252">
        <v>1920</v>
      </c>
      <c r="X2252">
        <v>0</v>
      </c>
      <c r="Y2252">
        <v>0</v>
      </c>
      <c r="Z2252">
        <v>0</v>
      </c>
      <c r="AA2252">
        <v>0</v>
      </c>
      <c r="AB2252">
        <v>0</v>
      </c>
      <c r="AC2252">
        <v>1920</v>
      </c>
      <c r="AD2252">
        <v>0</v>
      </c>
      <c r="AE2252">
        <v>0</v>
      </c>
      <c r="AF2252">
        <v>0</v>
      </c>
      <c r="AG2252">
        <v>0</v>
      </c>
      <c r="AH2252">
        <v>0</v>
      </c>
      <c r="AI2252">
        <v>0</v>
      </c>
      <c r="AJ2252">
        <v>0</v>
      </c>
      <c r="AK2252">
        <v>0</v>
      </c>
      <c r="AL2252">
        <v>0</v>
      </c>
      <c r="AM2252">
        <v>0</v>
      </c>
      <c r="AN2252">
        <v>0</v>
      </c>
      <c r="AO2252">
        <v>0</v>
      </c>
      <c r="AP2252">
        <v>0</v>
      </c>
      <c r="AQ2252">
        <v>0</v>
      </c>
      <c r="AR2252">
        <v>0</v>
      </c>
      <c r="AS2252">
        <v>0</v>
      </c>
      <c r="AT2252">
        <v>0</v>
      </c>
      <c r="AU2252">
        <f t="shared" si="68"/>
        <v>0</v>
      </c>
      <c r="AV2252">
        <f t="shared" si="69"/>
        <v>0</v>
      </c>
    </row>
    <row r="2253" spans="1:48" x14ac:dyDescent="0.25">
      <c r="A2253" t="s">
        <v>8041</v>
      </c>
      <c r="C2253" t="s">
        <v>8042</v>
      </c>
      <c r="D2253" t="s">
        <v>8043</v>
      </c>
      <c r="E2253" t="s">
        <v>2310</v>
      </c>
      <c r="F2253">
        <v>8</v>
      </c>
      <c r="G2253">
        <v>8.3000000000000007</v>
      </c>
      <c r="H2253" t="s">
        <v>2323</v>
      </c>
      <c r="I2253" s="21">
        <v>39212</v>
      </c>
      <c r="J2253">
        <v>2007</v>
      </c>
      <c r="K2253" s="21">
        <v>39260</v>
      </c>
      <c r="L2253">
        <v>2007</v>
      </c>
      <c r="M2253" s="21">
        <v>39806</v>
      </c>
      <c r="N2253">
        <v>2008</v>
      </c>
      <c r="R2253" s="262">
        <v>50000</v>
      </c>
      <c r="S2253" t="s">
        <v>114</v>
      </c>
      <c r="T2253" t="s">
        <v>114</v>
      </c>
      <c r="U2253">
        <v>4</v>
      </c>
      <c r="W2253">
        <v>3200</v>
      </c>
      <c r="X2253">
        <v>0</v>
      </c>
      <c r="Y2253">
        <v>0</v>
      </c>
      <c r="Z2253">
        <v>0</v>
      </c>
      <c r="AA2253">
        <v>0</v>
      </c>
      <c r="AB2253">
        <v>3200</v>
      </c>
      <c r="AC2253">
        <v>0</v>
      </c>
      <c r="AD2253">
        <v>0</v>
      </c>
      <c r="AE2253">
        <v>0</v>
      </c>
      <c r="AF2253">
        <v>0</v>
      </c>
      <c r="AG2253">
        <v>0</v>
      </c>
      <c r="AH2253">
        <v>0</v>
      </c>
      <c r="AI2253">
        <v>0</v>
      </c>
      <c r="AJ2253">
        <v>0</v>
      </c>
      <c r="AK2253">
        <v>0</v>
      </c>
      <c r="AL2253">
        <v>0</v>
      </c>
      <c r="AM2253">
        <v>0</v>
      </c>
      <c r="AN2253">
        <v>0</v>
      </c>
      <c r="AO2253">
        <v>0</v>
      </c>
      <c r="AP2253">
        <v>0</v>
      </c>
      <c r="AQ2253">
        <v>0</v>
      </c>
      <c r="AR2253">
        <v>0</v>
      </c>
      <c r="AS2253">
        <v>0</v>
      </c>
      <c r="AT2253">
        <v>0</v>
      </c>
      <c r="AU2253">
        <f t="shared" si="68"/>
        <v>0</v>
      </c>
      <c r="AV2253">
        <f t="shared" si="69"/>
        <v>3200</v>
      </c>
    </row>
    <row r="2254" spans="1:48" x14ac:dyDescent="0.25">
      <c r="A2254" t="s">
        <v>8046</v>
      </c>
      <c r="C2254" t="s">
        <v>8047</v>
      </c>
      <c r="D2254" t="s">
        <v>8048</v>
      </c>
      <c r="E2254" t="s">
        <v>2310</v>
      </c>
      <c r="F2254">
        <v>8</v>
      </c>
      <c r="G2254">
        <v>8.3000000000000007</v>
      </c>
      <c r="H2254" t="s">
        <v>2323</v>
      </c>
      <c r="I2254" s="21">
        <v>39217</v>
      </c>
      <c r="J2254">
        <v>2007</v>
      </c>
      <c r="K2254" s="21">
        <v>39261</v>
      </c>
      <c r="L2254">
        <v>2007</v>
      </c>
      <c r="M2254" s="21">
        <v>39682</v>
      </c>
      <c r="N2254">
        <v>2008</v>
      </c>
      <c r="R2254" s="262">
        <v>275000</v>
      </c>
      <c r="S2254" t="s">
        <v>114</v>
      </c>
      <c r="T2254" t="s">
        <v>114</v>
      </c>
      <c r="U2254">
        <v>5</v>
      </c>
      <c r="W2254">
        <v>5440</v>
      </c>
      <c r="X2254">
        <v>0</v>
      </c>
      <c r="Y2254">
        <v>0</v>
      </c>
      <c r="Z2254">
        <v>0</v>
      </c>
      <c r="AA2254">
        <v>0</v>
      </c>
      <c r="AB2254">
        <v>0</v>
      </c>
      <c r="AC2254">
        <v>5440</v>
      </c>
      <c r="AD2254">
        <v>0</v>
      </c>
      <c r="AE2254">
        <v>0</v>
      </c>
      <c r="AF2254">
        <v>0</v>
      </c>
      <c r="AG2254">
        <v>0</v>
      </c>
      <c r="AH2254">
        <v>0</v>
      </c>
      <c r="AI2254">
        <v>0</v>
      </c>
      <c r="AJ2254">
        <v>0</v>
      </c>
      <c r="AK2254">
        <v>0</v>
      </c>
      <c r="AL2254">
        <v>0</v>
      </c>
      <c r="AM2254">
        <v>0</v>
      </c>
      <c r="AN2254">
        <v>0</v>
      </c>
      <c r="AO2254">
        <v>0</v>
      </c>
      <c r="AP2254">
        <v>0</v>
      </c>
      <c r="AQ2254">
        <v>0</v>
      </c>
      <c r="AR2254">
        <v>0</v>
      </c>
      <c r="AS2254">
        <v>0</v>
      </c>
      <c r="AT2254">
        <v>0</v>
      </c>
      <c r="AU2254">
        <f t="shared" si="68"/>
        <v>0</v>
      </c>
      <c r="AV2254">
        <f t="shared" si="69"/>
        <v>0</v>
      </c>
    </row>
    <row r="2255" spans="1:48" x14ac:dyDescent="0.25">
      <c r="A2255" t="s">
        <v>8049</v>
      </c>
      <c r="C2255" t="s">
        <v>8050</v>
      </c>
      <c r="D2255" t="s">
        <v>8048</v>
      </c>
      <c r="E2255" t="s">
        <v>2310</v>
      </c>
      <c r="F2255">
        <v>8</v>
      </c>
      <c r="G2255">
        <v>8.3000000000000007</v>
      </c>
      <c r="H2255" t="s">
        <v>2323</v>
      </c>
      <c r="I2255" s="21">
        <v>39217</v>
      </c>
      <c r="J2255">
        <v>2007</v>
      </c>
      <c r="K2255" s="21">
        <v>39261</v>
      </c>
      <c r="L2255">
        <v>2007</v>
      </c>
      <c r="M2255" s="21">
        <v>39457</v>
      </c>
      <c r="N2255">
        <v>2008</v>
      </c>
      <c r="R2255" s="262">
        <v>225000</v>
      </c>
      <c r="S2255" t="s">
        <v>114</v>
      </c>
      <c r="T2255" t="s">
        <v>114</v>
      </c>
      <c r="U2255">
        <v>5</v>
      </c>
      <c r="W2255">
        <v>2240</v>
      </c>
      <c r="X2255">
        <v>1</v>
      </c>
      <c r="Y2255">
        <v>0</v>
      </c>
      <c r="Z2255">
        <v>0</v>
      </c>
      <c r="AA2255">
        <v>0</v>
      </c>
      <c r="AB2255">
        <v>0</v>
      </c>
      <c r="AC2255">
        <v>2240</v>
      </c>
      <c r="AD2255">
        <v>0</v>
      </c>
      <c r="AE2255">
        <v>0</v>
      </c>
      <c r="AF2255">
        <v>0</v>
      </c>
      <c r="AG2255">
        <v>0</v>
      </c>
      <c r="AH2255">
        <v>0</v>
      </c>
      <c r="AI2255">
        <v>0</v>
      </c>
      <c r="AJ2255">
        <v>0</v>
      </c>
      <c r="AK2255">
        <v>0</v>
      </c>
      <c r="AL2255">
        <v>0</v>
      </c>
      <c r="AM2255">
        <v>0</v>
      </c>
      <c r="AN2255">
        <v>0</v>
      </c>
      <c r="AO2255">
        <v>1</v>
      </c>
      <c r="AP2255">
        <v>0</v>
      </c>
      <c r="AQ2255">
        <v>0</v>
      </c>
      <c r="AR2255">
        <v>0</v>
      </c>
      <c r="AS2255">
        <v>0</v>
      </c>
      <c r="AT2255">
        <v>0</v>
      </c>
      <c r="AU2255">
        <f t="shared" si="68"/>
        <v>1</v>
      </c>
      <c r="AV2255">
        <f t="shared" si="69"/>
        <v>0</v>
      </c>
    </row>
    <row r="2256" spans="1:48" x14ac:dyDescent="0.25">
      <c r="A2256" t="s">
        <v>8044</v>
      </c>
      <c r="C2256" t="s">
        <v>5718</v>
      </c>
      <c r="D2256" t="s">
        <v>8045</v>
      </c>
      <c r="E2256" t="s">
        <v>1663</v>
      </c>
      <c r="F2256">
        <v>4</v>
      </c>
      <c r="G2256">
        <v>4.4000000000000004</v>
      </c>
      <c r="H2256" t="s">
        <v>2017</v>
      </c>
      <c r="I2256" s="21">
        <v>39217</v>
      </c>
      <c r="J2256">
        <v>2007</v>
      </c>
      <c r="K2256" s="21">
        <v>39248</v>
      </c>
      <c r="L2256">
        <v>2007</v>
      </c>
      <c r="M2256" s="21">
        <v>39401</v>
      </c>
      <c r="N2256">
        <v>2007</v>
      </c>
      <c r="Q2256" s="262">
        <v>0</v>
      </c>
      <c r="S2256" t="s">
        <v>114</v>
      </c>
      <c r="T2256" t="s">
        <v>114</v>
      </c>
      <c r="W2256">
        <v>60</v>
      </c>
      <c r="X2256">
        <v>0</v>
      </c>
      <c r="Y2256">
        <v>0</v>
      </c>
      <c r="Z2256">
        <v>0</v>
      </c>
      <c r="AA2256">
        <v>0</v>
      </c>
      <c r="AB2256">
        <v>0</v>
      </c>
      <c r="AC2256">
        <v>60</v>
      </c>
      <c r="AD2256">
        <v>0</v>
      </c>
      <c r="AE2256">
        <v>0</v>
      </c>
      <c r="AF2256">
        <v>0</v>
      </c>
      <c r="AG2256">
        <v>0</v>
      </c>
      <c r="AH2256">
        <v>0</v>
      </c>
      <c r="AI2256">
        <v>0</v>
      </c>
      <c r="AJ2256">
        <v>0</v>
      </c>
      <c r="AK2256">
        <v>0</v>
      </c>
      <c r="AL2256">
        <v>0</v>
      </c>
      <c r="AM2256">
        <v>0</v>
      </c>
      <c r="AN2256">
        <v>0</v>
      </c>
      <c r="AO2256">
        <v>0</v>
      </c>
      <c r="AP2256">
        <v>0</v>
      </c>
      <c r="AQ2256">
        <v>0</v>
      </c>
      <c r="AR2256">
        <v>0</v>
      </c>
      <c r="AS2256">
        <v>0</v>
      </c>
      <c r="AT2256">
        <v>0</v>
      </c>
      <c r="AU2256">
        <f t="shared" si="68"/>
        <v>0</v>
      </c>
      <c r="AV2256">
        <f t="shared" si="69"/>
        <v>0</v>
      </c>
    </row>
    <row r="2257" spans="1:48" x14ac:dyDescent="0.25">
      <c r="A2257" t="s">
        <v>8051</v>
      </c>
      <c r="C2257" t="s">
        <v>8052</v>
      </c>
      <c r="D2257" t="s">
        <v>7235</v>
      </c>
      <c r="E2257" t="s">
        <v>2310</v>
      </c>
      <c r="F2257">
        <v>9</v>
      </c>
      <c r="G2257">
        <v>9.3000000000000007</v>
      </c>
      <c r="H2257" t="s">
        <v>2323</v>
      </c>
      <c r="I2257" s="21">
        <v>39218</v>
      </c>
      <c r="J2257">
        <v>2007</v>
      </c>
      <c r="K2257" s="21">
        <v>39245</v>
      </c>
      <c r="L2257">
        <v>2007</v>
      </c>
      <c r="M2257" s="21">
        <v>39245</v>
      </c>
      <c r="N2257">
        <v>2007</v>
      </c>
      <c r="R2257" s="262">
        <v>15000</v>
      </c>
      <c r="S2257" t="s">
        <v>114</v>
      </c>
      <c r="T2257" t="s">
        <v>114</v>
      </c>
      <c r="U2257">
        <v>5</v>
      </c>
      <c r="W2257">
        <v>0</v>
      </c>
      <c r="X2257">
        <v>0</v>
      </c>
      <c r="Y2257">
        <v>0</v>
      </c>
      <c r="Z2257">
        <v>0</v>
      </c>
      <c r="AA2257">
        <v>0</v>
      </c>
      <c r="AB2257">
        <v>0</v>
      </c>
      <c r="AC2257">
        <v>0</v>
      </c>
      <c r="AD2257">
        <v>0</v>
      </c>
      <c r="AE2257">
        <v>0</v>
      </c>
      <c r="AF2257">
        <v>0</v>
      </c>
      <c r="AG2257">
        <v>0</v>
      </c>
      <c r="AH2257">
        <v>0</v>
      </c>
      <c r="AI2257">
        <v>0</v>
      </c>
      <c r="AJ2257">
        <v>0</v>
      </c>
      <c r="AK2257">
        <v>0</v>
      </c>
      <c r="AL2257">
        <v>0</v>
      </c>
      <c r="AM2257">
        <v>0</v>
      </c>
      <c r="AN2257">
        <v>0</v>
      </c>
      <c r="AO2257">
        <v>0</v>
      </c>
      <c r="AP2257">
        <v>0</v>
      </c>
      <c r="AQ2257">
        <v>0</v>
      </c>
      <c r="AR2257">
        <v>0</v>
      </c>
      <c r="AS2257">
        <v>0</v>
      </c>
      <c r="AT2257">
        <v>0</v>
      </c>
      <c r="AU2257">
        <f t="shared" si="68"/>
        <v>0</v>
      </c>
      <c r="AV2257">
        <f t="shared" si="69"/>
        <v>0</v>
      </c>
    </row>
    <row r="2258" spans="1:48" x14ac:dyDescent="0.25">
      <c r="A2258" t="s">
        <v>8053</v>
      </c>
      <c r="C2258" t="s">
        <v>8054</v>
      </c>
      <c r="D2258" t="s">
        <v>7383</v>
      </c>
      <c r="E2258" t="s">
        <v>2310</v>
      </c>
      <c r="F2258">
        <v>9</v>
      </c>
      <c r="G2258">
        <v>9.1999999999999993</v>
      </c>
      <c r="H2258" t="s">
        <v>2022</v>
      </c>
      <c r="I2258" s="21">
        <v>39219</v>
      </c>
      <c r="J2258">
        <v>2007</v>
      </c>
      <c r="K2258" s="21">
        <v>39246</v>
      </c>
      <c r="L2258">
        <v>2007</v>
      </c>
      <c r="M2258" s="21">
        <v>40093.471365740697</v>
      </c>
      <c r="N2258">
        <v>2009</v>
      </c>
      <c r="R2258" s="262">
        <v>172000</v>
      </c>
      <c r="S2258" t="s">
        <v>114</v>
      </c>
      <c r="T2258" t="s">
        <v>114</v>
      </c>
      <c r="U2258">
        <v>5</v>
      </c>
      <c r="W2258">
        <v>0</v>
      </c>
      <c r="X2258">
        <v>0</v>
      </c>
      <c r="Y2258">
        <v>0</v>
      </c>
      <c r="Z2258">
        <v>0</v>
      </c>
      <c r="AA2258">
        <v>0</v>
      </c>
      <c r="AB2258">
        <v>0</v>
      </c>
      <c r="AC2258">
        <v>0</v>
      </c>
      <c r="AD2258">
        <v>0</v>
      </c>
      <c r="AE2258">
        <v>0</v>
      </c>
      <c r="AF2258">
        <v>0</v>
      </c>
      <c r="AG2258">
        <v>0</v>
      </c>
      <c r="AH2258">
        <v>0</v>
      </c>
      <c r="AI2258">
        <v>0</v>
      </c>
      <c r="AJ2258">
        <v>0</v>
      </c>
      <c r="AK2258">
        <v>0</v>
      </c>
      <c r="AL2258">
        <v>0</v>
      </c>
      <c r="AM2258">
        <v>0</v>
      </c>
      <c r="AN2258">
        <v>0</v>
      </c>
      <c r="AO2258">
        <v>0</v>
      </c>
      <c r="AP2258">
        <v>0</v>
      </c>
      <c r="AQ2258">
        <v>0</v>
      </c>
      <c r="AR2258">
        <v>0</v>
      </c>
      <c r="AS2258">
        <v>0</v>
      </c>
      <c r="AT2258">
        <v>0</v>
      </c>
      <c r="AU2258">
        <f t="shared" si="68"/>
        <v>0</v>
      </c>
      <c r="AV2258">
        <f t="shared" si="69"/>
        <v>0</v>
      </c>
    </row>
    <row r="2259" spans="1:48" x14ac:dyDescent="0.25">
      <c r="A2259" t="s">
        <v>8055</v>
      </c>
      <c r="C2259" t="s">
        <v>8056</v>
      </c>
      <c r="D2259" t="s">
        <v>8057</v>
      </c>
      <c r="E2259" t="s">
        <v>2310</v>
      </c>
      <c r="F2259">
        <v>9</v>
      </c>
      <c r="G2259">
        <v>9.3000000000000007</v>
      </c>
      <c r="H2259" t="s">
        <v>2323</v>
      </c>
      <c r="I2259" s="21">
        <v>39219</v>
      </c>
      <c r="J2259">
        <v>2007</v>
      </c>
      <c r="K2259" s="21">
        <v>39253</v>
      </c>
      <c r="L2259">
        <v>2007</v>
      </c>
      <c r="M2259" s="21">
        <v>39253</v>
      </c>
      <c r="N2259">
        <v>2007</v>
      </c>
      <c r="R2259" s="262">
        <v>50000</v>
      </c>
      <c r="S2259" t="s">
        <v>114</v>
      </c>
      <c r="T2259" t="s">
        <v>114</v>
      </c>
      <c r="U2259">
        <v>5</v>
      </c>
      <c r="W2259">
        <v>1865</v>
      </c>
      <c r="X2259">
        <v>0</v>
      </c>
      <c r="Y2259">
        <v>0</v>
      </c>
      <c r="Z2259">
        <v>0</v>
      </c>
      <c r="AA2259">
        <v>0</v>
      </c>
      <c r="AB2259">
        <v>0</v>
      </c>
      <c r="AC2259">
        <v>1865</v>
      </c>
      <c r="AD2259">
        <v>0</v>
      </c>
      <c r="AE2259">
        <v>0</v>
      </c>
      <c r="AF2259">
        <v>0</v>
      </c>
      <c r="AG2259">
        <v>0</v>
      </c>
      <c r="AH2259">
        <v>0</v>
      </c>
      <c r="AI2259">
        <v>0</v>
      </c>
      <c r="AJ2259">
        <v>0</v>
      </c>
      <c r="AK2259">
        <v>0</v>
      </c>
      <c r="AL2259">
        <v>0</v>
      </c>
      <c r="AM2259">
        <v>0</v>
      </c>
      <c r="AN2259">
        <v>0</v>
      </c>
      <c r="AO2259">
        <v>0</v>
      </c>
      <c r="AP2259">
        <v>0</v>
      </c>
      <c r="AQ2259">
        <v>0</v>
      </c>
      <c r="AR2259">
        <v>0</v>
      </c>
      <c r="AS2259">
        <v>0</v>
      </c>
      <c r="AT2259">
        <v>0</v>
      </c>
      <c r="AU2259">
        <f t="shared" si="68"/>
        <v>0</v>
      </c>
      <c r="AV2259">
        <f t="shared" si="69"/>
        <v>0</v>
      </c>
    </row>
    <row r="2260" spans="1:48" x14ac:dyDescent="0.25">
      <c r="A2260" t="s">
        <v>8058</v>
      </c>
      <c r="C2260" t="s">
        <v>8059</v>
      </c>
      <c r="D2260" t="s">
        <v>5424</v>
      </c>
      <c r="E2260" t="s">
        <v>2310</v>
      </c>
      <c r="F2260">
        <v>9</v>
      </c>
      <c r="G2260">
        <v>9.1</v>
      </c>
      <c r="H2260" t="s">
        <v>2323</v>
      </c>
      <c r="I2260" s="21">
        <v>39219</v>
      </c>
      <c r="J2260">
        <v>2007</v>
      </c>
      <c r="K2260" s="21">
        <v>39258</v>
      </c>
      <c r="L2260">
        <v>2007</v>
      </c>
      <c r="M2260" s="21">
        <v>39456</v>
      </c>
      <c r="N2260">
        <v>2008</v>
      </c>
      <c r="R2260" s="262">
        <v>160000</v>
      </c>
      <c r="S2260" t="s">
        <v>114</v>
      </c>
      <c r="T2260" t="s">
        <v>114</v>
      </c>
      <c r="U2260">
        <v>5</v>
      </c>
      <c r="W2260">
        <v>791</v>
      </c>
      <c r="X2260">
        <v>0</v>
      </c>
      <c r="Y2260">
        <v>0</v>
      </c>
      <c r="Z2260">
        <v>0</v>
      </c>
      <c r="AA2260">
        <v>0</v>
      </c>
      <c r="AB2260">
        <v>0</v>
      </c>
      <c r="AC2260">
        <v>791</v>
      </c>
      <c r="AD2260">
        <v>0</v>
      </c>
      <c r="AE2260">
        <v>0</v>
      </c>
      <c r="AF2260">
        <v>0</v>
      </c>
      <c r="AG2260">
        <v>0</v>
      </c>
      <c r="AH2260">
        <v>0</v>
      </c>
      <c r="AI2260">
        <v>0</v>
      </c>
      <c r="AJ2260">
        <v>0</v>
      </c>
      <c r="AK2260">
        <v>0</v>
      </c>
      <c r="AL2260">
        <v>0</v>
      </c>
      <c r="AM2260">
        <v>0</v>
      </c>
      <c r="AN2260">
        <v>0</v>
      </c>
      <c r="AO2260">
        <v>0</v>
      </c>
      <c r="AP2260">
        <v>0</v>
      </c>
      <c r="AQ2260">
        <v>0</v>
      </c>
      <c r="AR2260">
        <v>0</v>
      </c>
      <c r="AS2260">
        <v>0</v>
      </c>
      <c r="AT2260">
        <v>0</v>
      </c>
      <c r="AU2260">
        <f t="shared" si="68"/>
        <v>0</v>
      </c>
      <c r="AV2260">
        <f t="shared" si="69"/>
        <v>0</v>
      </c>
    </row>
    <row r="2261" spans="1:48" x14ac:dyDescent="0.25">
      <c r="A2261" t="s">
        <v>8060</v>
      </c>
      <c r="C2261" t="s">
        <v>8061</v>
      </c>
      <c r="D2261" t="s">
        <v>8062</v>
      </c>
      <c r="E2261" t="s">
        <v>2310</v>
      </c>
      <c r="F2261">
        <v>9</v>
      </c>
      <c r="G2261">
        <v>9.3000000000000007</v>
      </c>
      <c r="H2261" t="s">
        <v>2323</v>
      </c>
      <c r="I2261" s="21">
        <v>39219</v>
      </c>
      <c r="J2261">
        <v>2007</v>
      </c>
      <c r="K2261" s="21">
        <v>39272</v>
      </c>
      <c r="L2261">
        <v>2007</v>
      </c>
      <c r="M2261" s="21">
        <v>39454</v>
      </c>
      <c r="N2261">
        <v>2008</v>
      </c>
      <c r="R2261" s="262">
        <v>105000</v>
      </c>
      <c r="S2261" t="s">
        <v>114</v>
      </c>
      <c r="T2261" t="s">
        <v>114</v>
      </c>
      <c r="U2261">
        <v>8</v>
      </c>
      <c r="W2261">
        <v>880</v>
      </c>
      <c r="X2261">
        <v>1</v>
      </c>
      <c r="Y2261">
        <v>0</v>
      </c>
      <c r="Z2261">
        <v>0</v>
      </c>
      <c r="AA2261">
        <v>0</v>
      </c>
      <c r="AB2261">
        <v>0</v>
      </c>
      <c r="AC2261">
        <v>-116</v>
      </c>
      <c r="AD2261">
        <v>0</v>
      </c>
      <c r="AE2261">
        <v>0</v>
      </c>
      <c r="AF2261">
        <v>996</v>
      </c>
      <c r="AG2261">
        <v>0</v>
      </c>
      <c r="AH2261">
        <v>0</v>
      </c>
      <c r="AI2261">
        <v>0</v>
      </c>
      <c r="AJ2261">
        <v>0</v>
      </c>
      <c r="AK2261">
        <v>0</v>
      </c>
      <c r="AL2261">
        <v>0</v>
      </c>
      <c r="AM2261">
        <v>0</v>
      </c>
      <c r="AN2261">
        <v>0</v>
      </c>
      <c r="AO2261">
        <v>0</v>
      </c>
      <c r="AP2261">
        <v>0</v>
      </c>
      <c r="AQ2261">
        <v>0</v>
      </c>
      <c r="AR2261">
        <v>1</v>
      </c>
      <c r="AS2261">
        <v>0</v>
      </c>
      <c r="AT2261">
        <v>0</v>
      </c>
      <c r="AU2261">
        <f t="shared" si="68"/>
        <v>0</v>
      </c>
      <c r="AV2261">
        <f t="shared" si="69"/>
        <v>0</v>
      </c>
    </row>
    <row r="2262" spans="1:48" x14ac:dyDescent="0.25">
      <c r="A2262" t="s">
        <v>8063</v>
      </c>
      <c r="C2262" t="s">
        <v>8064</v>
      </c>
      <c r="D2262" t="s">
        <v>8065</v>
      </c>
      <c r="E2262" t="s">
        <v>2310</v>
      </c>
      <c r="F2262">
        <v>15</v>
      </c>
      <c r="G2262">
        <v>15.3</v>
      </c>
      <c r="H2262" t="s">
        <v>2022</v>
      </c>
      <c r="I2262" s="21">
        <v>39220</v>
      </c>
      <c r="J2262">
        <v>2007</v>
      </c>
      <c r="K2262" s="21">
        <v>39300</v>
      </c>
      <c r="L2262">
        <v>2007</v>
      </c>
      <c r="M2262" s="21">
        <v>39682</v>
      </c>
      <c r="N2262">
        <v>2008</v>
      </c>
      <c r="R2262" s="262">
        <v>150000</v>
      </c>
      <c r="S2262" t="s">
        <v>114</v>
      </c>
      <c r="T2262" t="s">
        <v>114</v>
      </c>
      <c r="U2262">
        <v>5</v>
      </c>
      <c r="W2262">
        <v>3392</v>
      </c>
      <c r="X2262">
        <v>1</v>
      </c>
      <c r="Y2262">
        <v>0</v>
      </c>
      <c r="Z2262">
        <v>0</v>
      </c>
      <c r="AA2262">
        <v>0</v>
      </c>
      <c r="AB2262">
        <v>0</v>
      </c>
      <c r="AC2262">
        <v>3392</v>
      </c>
      <c r="AD2262">
        <v>0</v>
      </c>
      <c r="AE2262">
        <v>0</v>
      </c>
      <c r="AF2262">
        <v>0</v>
      </c>
      <c r="AG2262">
        <v>0</v>
      </c>
      <c r="AH2262">
        <v>0</v>
      </c>
      <c r="AI2262">
        <v>0</v>
      </c>
      <c r="AJ2262">
        <v>0</v>
      </c>
      <c r="AK2262">
        <v>0</v>
      </c>
      <c r="AL2262">
        <v>0</v>
      </c>
      <c r="AM2262">
        <v>0</v>
      </c>
      <c r="AN2262">
        <v>0</v>
      </c>
      <c r="AO2262">
        <v>1</v>
      </c>
      <c r="AP2262">
        <v>0</v>
      </c>
      <c r="AQ2262">
        <v>0</v>
      </c>
      <c r="AR2262">
        <v>0</v>
      </c>
      <c r="AS2262">
        <v>0</v>
      </c>
      <c r="AT2262">
        <v>0</v>
      </c>
      <c r="AU2262">
        <f t="shared" si="68"/>
        <v>1</v>
      </c>
      <c r="AV2262">
        <f t="shared" si="69"/>
        <v>0</v>
      </c>
    </row>
    <row r="2263" spans="1:48" x14ac:dyDescent="0.25">
      <c r="A2263" t="s">
        <v>8066</v>
      </c>
      <c r="C2263" t="s">
        <v>8067</v>
      </c>
      <c r="D2263" t="s">
        <v>8068</v>
      </c>
      <c r="E2263" t="s">
        <v>2310</v>
      </c>
      <c r="F2263">
        <v>14</v>
      </c>
      <c r="G2263">
        <v>14.1</v>
      </c>
      <c r="H2263" t="s">
        <v>2022</v>
      </c>
      <c r="I2263" s="21">
        <v>39220</v>
      </c>
      <c r="J2263">
        <v>2007</v>
      </c>
      <c r="K2263" s="21">
        <v>39275</v>
      </c>
      <c r="L2263">
        <v>2007</v>
      </c>
      <c r="M2263" s="21">
        <v>40275.409930555601</v>
      </c>
      <c r="N2263">
        <v>2010</v>
      </c>
      <c r="R2263" s="262">
        <v>1400000</v>
      </c>
      <c r="S2263" t="s">
        <v>114</v>
      </c>
      <c r="T2263" t="s">
        <v>114</v>
      </c>
      <c r="U2263">
        <v>5</v>
      </c>
      <c r="W2263">
        <v>6127</v>
      </c>
      <c r="X2263">
        <v>1</v>
      </c>
      <c r="Y2263">
        <v>0</v>
      </c>
      <c r="Z2263">
        <v>0</v>
      </c>
      <c r="AA2263">
        <v>0</v>
      </c>
      <c r="AB2263">
        <v>0</v>
      </c>
      <c r="AC2263">
        <v>6127</v>
      </c>
      <c r="AD2263">
        <v>0</v>
      </c>
      <c r="AE2263">
        <v>0</v>
      </c>
      <c r="AF2263">
        <v>0</v>
      </c>
      <c r="AG2263">
        <v>0</v>
      </c>
      <c r="AH2263">
        <v>0</v>
      </c>
      <c r="AI2263">
        <v>0</v>
      </c>
      <c r="AJ2263">
        <v>0</v>
      </c>
      <c r="AK2263">
        <v>0</v>
      </c>
      <c r="AL2263">
        <v>0</v>
      </c>
      <c r="AM2263">
        <v>0</v>
      </c>
      <c r="AN2263">
        <v>0</v>
      </c>
      <c r="AO2263">
        <v>1</v>
      </c>
      <c r="AP2263">
        <v>0</v>
      </c>
      <c r="AQ2263">
        <v>0</v>
      </c>
      <c r="AR2263">
        <v>0</v>
      </c>
      <c r="AS2263">
        <v>0</v>
      </c>
      <c r="AT2263">
        <v>0</v>
      </c>
      <c r="AU2263">
        <f t="shared" si="68"/>
        <v>1</v>
      </c>
      <c r="AV2263">
        <f t="shared" si="69"/>
        <v>0</v>
      </c>
    </row>
    <row r="2264" spans="1:48" x14ac:dyDescent="0.25">
      <c r="A2264" t="s">
        <v>8069</v>
      </c>
      <c r="C2264" t="s">
        <v>8070</v>
      </c>
      <c r="D2264" t="s">
        <v>5799</v>
      </c>
      <c r="E2264" t="s">
        <v>2310</v>
      </c>
      <c r="F2264">
        <v>14</v>
      </c>
      <c r="G2264">
        <v>14.1</v>
      </c>
      <c r="H2264" t="s">
        <v>2022</v>
      </c>
      <c r="I2264" s="21">
        <v>39220</v>
      </c>
      <c r="J2264">
        <v>2007</v>
      </c>
      <c r="K2264" s="21">
        <v>39275</v>
      </c>
      <c r="L2264">
        <v>2007</v>
      </c>
      <c r="M2264" s="21">
        <v>39967</v>
      </c>
      <c r="N2264">
        <v>2009</v>
      </c>
      <c r="R2264" s="262">
        <v>202000</v>
      </c>
      <c r="S2264" t="s">
        <v>114</v>
      </c>
      <c r="T2264" t="s">
        <v>114</v>
      </c>
      <c r="U2264">
        <v>5</v>
      </c>
      <c r="W2264">
        <v>6148</v>
      </c>
      <c r="X2264">
        <v>0</v>
      </c>
      <c r="Y2264">
        <v>0</v>
      </c>
      <c r="Z2264">
        <v>0</v>
      </c>
      <c r="AA2264">
        <v>0</v>
      </c>
      <c r="AB2264">
        <v>0</v>
      </c>
      <c r="AC2264">
        <v>6148</v>
      </c>
      <c r="AD2264">
        <v>0</v>
      </c>
      <c r="AE2264">
        <v>0</v>
      </c>
      <c r="AF2264">
        <v>0</v>
      </c>
      <c r="AG2264">
        <v>0</v>
      </c>
      <c r="AH2264">
        <v>0</v>
      </c>
      <c r="AI2264">
        <v>0</v>
      </c>
      <c r="AJ2264">
        <v>0</v>
      </c>
      <c r="AK2264">
        <v>0</v>
      </c>
      <c r="AL2264">
        <v>0</v>
      </c>
      <c r="AM2264">
        <v>0</v>
      </c>
      <c r="AN2264">
        <v>0</v>
      </c>
      <c r="AO2264">
        <v>0</v>
      </c>
      <c r="AP2264">
        <v>0</v>
      </c>
      <c r="AQ2264">
        <v>0</v>
      </c>
      <c r="AR2264">
        <v>0</v>
      </c>
      <c r="AS2264">
        <v>0</v>
      </c>
      <c r="AT2264">
        <v>0</v>
      </c>
      <c r="AU2264">
        <f t="shared" si="68"/>
        <v>0</v>
      </c>
      <c r="AV2264">
        <f t="shared" si="69"/>
        <v>0</v>
      </c>
    </row>
    <row r="2265" spans="1:48" x14ac:dyDescent="0.25">
      <c r="A2265" t="s">
        <v>8071</v>
      </c>
      <c r="C2265" t="s">
        <v>8072</v>
      </c>
      <c r="D2265" t="s">
        <v>8073</v>
      </c>
      <c r="E2265" t="s">
        <v>2310</v>
      </c>
      <c r="F2265">
        <v>14</v>
      </c>
      <c r="G2265">
        <v>14.1</v>
      </c>
      <c r="H2265" t="s">
        <v>2022</v>
      </c>
      <c r="I2265" s="21">
        <v>39223</v>
      </c>
      <c r="J2265">
        <v>2007</v>
      </c>
      <c r="K2265" s="21">
        <v>39253</v>
      </c>
      <c r="L2265">
        <v>2007</v>
      </c>
      <c r="M2265" s="21">
        <v>40281.457280092603</v>
      </c>
      <c r="N2265">
        <v>2010</v>
      </c>
      <c r="R2265" s="262">
        <v>103000</v>
      </c>
      <c r="S2265" t="s">
        <v>114</v>
      </c>
      <c r="T2265" t="s">
        <v>114</v>
      </c>
      <c r="U2265">
        <v>5</v>
      </c>
      <c r="W2265">
        <v>1555</v>
      </c>
      <c r="X2265">
        <v>0</v>
      </c>
      <c r="Y2265">
        <v>0</v>
      </c>
      <c r="Z2265">
        <v>0</v>
      </c>
      <c r="AA2265">
        <v>0</v>
      </c>
      <c r="AB2265">
        <v>0</v>
      </c>
      <c r="AC2265">
        <v>1555</v>
      </c>
      <c r="AD2265">
        <v>0</v>
      </c>
      <c r="AE2265">
        <v>0</v>
      </c>
      <c r="AF2265">
        <v>0</v>
      </c>
      <c r="AG2265">
        <v>0</v>
      </c>
      <c r="AH2265">
        <v>0</v>
      </c>
      <c r="AI2265">
        <v>0</v>
      </c>
      <c r="AJ2265">
        <v>0</v>
      </c>
      <c r="AK2265">
        <v>0</v>
      </c>
      <c r="AL2265">
        <v>0</v>
      </c>
      <c r="AM2265">
        <v>0</v>
      </c>
      <c r="AN2265">
        <v>0</v>
      </c>
      <c r="AO2265">
        <v>0</v>
      </c>
      <c r="AP2265">
        <v>0</v>
      </c>
      <c r="AQ2265">
        <v>0</v>
      </c>
      <c r="AR2265">
        <v>0</v>
      </c>
      <c r="AS2265">
        <v>0</v>
      </c>
      <c r="AT2265">
        <v>0</v>
      </c>
      <c r="AU2265">
        <f t="shared" ref="AU2265:AU2328" si="70">SUM(AN2265:AQ2265,AS2265)</f>
        <v>0</v>
      </c>
      <c r="AV2265">
        <f t="shared" ref="AV2265:AV2328" si="71">SUM(Y2265:AB2265,AH2265:AM2265)</f>
        <v>0</v>
      </c>
    </row>
    <row r="2266" spans="1:48" x14ac:dyDescent="0.25">
      <c r="A2266" t="s">
        <v>8074</v>
      </c>
      <c r="C2266" t="s">
        <v>8075</v>
      </c>
      <c r="D2266" t="s">
        <v>8076</v>
      </c>
      <c r="E2266" t="s">
        <v>2310</v>
      </c>
      <c r="F2266">
        <v>7</v>
      </c>
      <c r="G2266">
        <v>7.1</v>
      </c>
      <c r="H2266" t="s">
        <v>2017</v>
      </c>
      <c r="I2266" s="21">
        <v>39223</v>
      </c>
      <c r="J2266">
        <v>2007</v>
      </c>
      <c r="K2266" s="21">
        <v>39245</v>
      </c>
      <c r="L2266">
        <v>2007</v>
      </c>
      <c r="M2266" s="21">
        <v>39581</v>
      </c>
      <c r="N2266">
        <v>2008</v>
      </c>
      <c r="R2266" s="262">
        <v>1400000</v>
      </c>
      <c r="S2266" t="s">
        <v>114</v>
      </c>
      <c r="T2266" t="s">
        <v>114</v>
      </c>
      <c r="U2266">
        <v>21</v>
      </c>
      <c r="W2266">
        <v>6916</v>
      </c>
      <c r="X2266">
        <v>2</v>
      </c>
      <c r="Y2266">
        <v>0</v>
      </c>
      <c r="Z2266">
        <v>0</v>
      </c>
      <c r="AA2266">
        <v>0</v>
      </c>
      <c r="AB2266">
        <v>0</v>
      </c>
      <c r="AC2266">
        <v>0</v>
      </c>
      <c r="AD2266">
        <v>0</v>
      </c>
      <c r="AE2266">
        <v>1690</v>
      </c>
      <c r="AF2266">
        <v>0</v>
      </c>
      <c r="AG2266">
        <v>0</v>
      </c>
      <c r="AH2266">
        <v>0</v>
      </c>
      <c r="AI2266">
        <v>0</v>
      </c>
      <c r="AJ2266">
        <v>0</v>
      </c>
      <c r="AK2266">
        <v>0</v>
      </c>
      <c r="AL2266">
        <v>5226</v>
      </c>
      <c r="AM2266">
        <v>0</v>
      </c>
      <c r="AN2266">
        <v>0</v>
      </c>
      <c r="AO2266">
        <v>0</v>
      </c>
      <c r="AP2266">
        <v>0</v>
      </c>
      <c r="AQ2266">
        <v>2</v>
      </c>
      <c r="AR2266">
        <v>0</v>
      </c>
      <c r="AS2266">
        <v>0</v>
      </c>
      <c r="AT2266">
        <v>0</v>
      </c>
      <c r="AU2266">
        <f t="shared" si="70"/>
        <v>2</v>
      </c>
      <c r="AV2266">
        <f t="shared" si="71"/>
        <v>5226</v>
      </c>
    </row>
    <row r="2267" spans="1:48" x14ac:dyDescent="0.25">
      <c r="A2267" t="s">
        <v>8077</v>
      </c>
      <c r="C2267" t="s">
        <v>8078</v>
      </c>
      <c r="D2267" t="s">
        <v>8079</v>
      </c>
      <c r="E2267" t="s">
        <v>2310</v>
      </c>
      <c r="F2267">
        <v>10</v>
      </c>
      <c r="G2267">
        <v>10.1</v>
      </c>
      <c r="H2267" t="s">
        <v>2323</v>
      </c>
      <c r="I2267" s="21">
        <v>39223</v>
      </c>
      <c r="J2267">
        <v>2007</v>
      </c>
      <c r="K2267" s="21">
        <v>39260</v>
      </c>
      <c r="L2267">
        <v>2007</v>
      </c>
      <c r="M2267" s="21">
        <v>39260</v>
      </c>
      <c r="N2267">
        <v>2007</v>
      </c>
      <c r="R2267" s="262">
        <v>84000</v>
      </c>
      <c r="S2267" t="s">
        <v>114</v>
      </c>
      <c r="T2267" t="s">
        <v>114</v>
      </c>
      <c r="U2267">
        <v>5</v>
      </c>
      <c r="W2267">
        <v>638</v>
      </c>
      <c r="X2267">
        <v>0</v>
      </c>
      <c r="Y2267">
        <v>0</v>
      </c>
      <c r="Z2267">
        <v>0</v>
      </c>
      <c r="AA2267">
        <v>0</v>
      </c>
      <c r="AB2267">
        <v>0</v>
      </c>
      <c r="AC2267">
        <v>638</v>
      </c>
      <c r="AD2267">
        <v>0</v>
      </c>
      <c r="AE2267">
        <v>0</v>
      </c>
      <c r="AF2267">
        <v>0</v>
      </c>
      <c r="AG2267">
        <v>0</v>
      </c>
      <c r="AH2267">
        <v>0</v>
      </c>
      <c r="AI2267">
        <v>0</v>
      </c>
      <c r="AJ2267">
        <v>0</v>
      </c>
      <c r="AK2267">
        <v>0</v>
      </c>
      <c r="AL2267">
        <v>0</v>
      </c>
      <c r="AM2267">
        <v>0</v>
      </c>
      <c r="AN2267">
        <v>0</v>
      </c>
      <c r="AO2267">
        <v>0</v>
      </c>
      <c r="AP2267">
        <v>0</v>
      </c>
      <c r="AQ2267">
        <v>0</v>
      </c>
      <c r="AR2267">
        <v>0</v>
      </c>
      <c r="AS2267">
        <v>0</v>
      </c>
      <c r="AT2267">
        <v>0</v>
      </c>
      <c r="AU2267">
        <f t="shared" si="70"/>
        <v>0</v>
      </c>
      <c r="AV2267">
        <f t="shared" si="71"/>
        <v>0</v>
      </c>
    </row>
    <row r="2268" spans="1:48" x14ac:dyDescent="0.25">
      <c r="A2268" t="s">
        <v>8080</v>
      </c>
      <c r="C2268" t="s">
        <v>8016</v>
      </c>
      <c r="D2268" t="s">
        <v>8081</v>
      </c>
      <c r="E2268" t="s">
        <v>1663</v>
      </c>
      <c r="F2268">
        <v>5</v>
      </c>
      <c r="G2268">
        <v>5.5</v>
      </c>
      <c r="H2268" t="s">
        <v>2017</v>
      </c>
      <c r="I2268" s="21">
        <v>39224</v>
      </c>
      <c r="J2268">
        <v>2007</v>
      </c>
      <c r="K2268" s="21">
        <v>39255</v>
      </c>
      <c r="L2268">
        <v>2007</v>
      </c>
      <c r="M2268" s="21">
        <v>39408</v>
      </c>
      <c r="N2268">
        <v>2007</v>
      </c>
      <c r="Q2268" s="262">
        <v>60000</v>
      </c>
      <c r="S2268" t="s">
        <v>114</v>
      </c>
      <c r="T2268" t="s">
        <v>114</v>
      </c>
      <c r="W2268">
        <v>600</v>
      </c>
      <c r="X2268">
        <v>0</v>
      </c>
      <c r="Y2268">
        <v>0</v>
      </c>
      <c r="Z2268">
        <v>0</v>
      </c>
      <c r="AA2268">
        <v>0</v>
      </c>
      <c r="AB2268">
        <v>0</v>
      </c>
      <c r="AC2268">
        <v>600</v>
      </c>
      <c r="AD2268">
        <v>0</v>
      </c>
      <c r="AE2268">
        <v>0</v>
      </c>
      <c r="AF2268">
        <v>0</v>
      </c>
      <c r="AG2268">
        <v>0</v>
      </c>
      <c r="AH2268">
        <v>0</v>
      </c>
      <c r="AI2268">
        <v>0</v>
      </c>
      <c r="AJ2268">
        <v>0</v>
      </c>
      <c r="AK2268">
        <v>0</v>
      </c>
      <c r="AL2268">
        <v>0</v>
      </c>
      <c r="AM2268">
        <v>0</v>
      </c>
      <c r="AN2268">
        <v>0</v>
      </c>
      <c r="AO2268">
        <v>0</v>
      </c>
      <c r="AP2268">
        <v>0</v>
      </c>
      <c r="AQ2268">
        <v>0</v>
      </c>
      <c r="AR2268">
        <v>0</v>
      </c>
      <c r="AS2268">
        <v>0</v>
      </c>
      <c r="AT2268">
        <v>0</v>
      </c>
      <c r="AU2268">
        <f t="shared" si="70"/>
        <v>0</v>
      </c>
      <c r="AV2268">
        <f t="shared" si="71"/>
        <v>0</v>
      </c>
    </row>
    <row r="2269" spans="1:48" x14ac:dyDescent="0.25">
      <c r="A2269" t="s">
        <v>8082</v>
      </c>
      <c r="C2269" t="s">
        <v>8083</v>
      </c>
      <c r="D2269" t="s">
        <v>8084</v>
      </c>
      <c r="E2269" t="s">
        <v>2310</v>
      </c>
      <c r="F2269">
        <v>9</v>
      </c>
      <c r="G2269">
        <v>9.3000000000000007</v>
      </c>
      <c r="H2269" t="s">
        <v>2323</v>
      </c>
      <c r="I2269" s="21">
        <v>39224</v>
      </c>
      <c r="J2269">
        <v>2007</v>
      </c>
      <c r="K2269" s="21">
        <v>39254</v>
      </c>
      <c r="L2269">
        <v>2007</v>
      </c>
      <c r="M2269" s="21">
        <v>39254</v>
      </c>
      <c r="N2269">
        <v>2007</v>
      </c>
      <c r="R2269" s="262">
        <v>24000</v>
      </c>
      <c r="S2269" t="s">
        <v>114</v>
      </c>
      <c r="T2269" t="s">
        <v>114</v>
      </c>
      <c r="U2269">
        <v>5</v>
      </c>
      <c r="W2269">
        <v>95</v>
      </c>
      <c r="X2269">
        <v>0</v>
      </c>
      <c r="Y2269">
        <v>0</v>
      </c>
      <c r="Z2269">
        <v>0</v>
      </c>
      <c r="AA2269">
        <v>0</v>
      </c>
      <c r="AB2269">
        <v>0</v>
      </c>
      <c r="AC2269">
        <v>95</v>
      </c>
      <c r="AD2269">
        <v>0</v>
      </c>
      <c r="AE2269">
        <v>0</v>
      </c>
      <c r="AF2269">
        <v>0</v>
      </c>
      <c r="AG2269">
        <v>0</v>
      </c>
      <c r="AH2269">
        <v>0</v>
      </c>
      <c r="AI2269">
        <v>0</v>
      </c>
      <c r="AJ2269">
        <v>0</v>
      </c>
      <c r="AK2269">
        <v>0</v>
      </c>
      <c r="AL2269">
        <v>0</v>
      </c>
      <c r="AM2269">
        <v>0</v>
      </c>
      <c r="AN2269">
        <v>0</v>
      </c>
      <c r="AO2269">
        <v>0</v>
      </c>
      <c r="AP2269">
        <v>0</v>
      </c>
      <c r="AQ2269">
        <v>0</v>
      </c>
      <c r="AR2269">
        <v>0</v>
      </c>
      <c r="AS2269">
        <v>0</v>
      </c>
      <c r="AT2269">
        <v>0</v>
      </c>
      <c r="AU2269">
        <f t="shared" si="70"/>
        <v>0</v>
      </c>
      <c r="AV2269">
        <f t="shared" si="71"/>
        <v>0</v>
      </c>
    </row>
    <row r="2270" spans="1:48" x14ac:dyDescent="0.25">
      <c r="A2270" t="s">
        <v>8085</v>
      </c>
      <c r="C2270" t="s">
        <v>8086</v>
      </c>
      <c r="D2270" t="s">
        <v>8087</v>
      </c>
      <c r="E2270" t="s">
        <v>2310</v>
      </c>
      <c r="F2270">
        <v>8</v>
      </c>
      <c r="G2270">
        <v>8.3000000000000007</v>
      </c>
      <c r="H2270" t="s">
        <v>2323</v>
      </c>
      <c r="I2270" s="21">
        <v>39224</v>
      </c>
      <c r="J2270">
        <v>2007</v>
      </c>
      <c r="K2270" s="21">
        <v>39344</v>
      </c>
      <c r="L2270">
        <v>2007</v>
      </c>
      <c r="M2270" s="21">
        <v>40534.5906944444</v>
      </c>
      <c r="N2270">
        <v>2010</v>
      </c>
      <c r="R2270" s="262">
        <v>1336000</v>
      </c>
      <c r="S2270" t="s">
        <v>114</v>
      </c>
      <c r="T2270" t="s">
        <v>114</v>
      </c>
      <c r="U2270">
        <v>5</v>
      </c>
      <c r="W2270">
        <v>2939</v>
      </c>
      <c r="X2270">
        <v>1</v>
      </c>
      <c r="Y2270">
        <v>0</v>
      </c>
      <c r="Z2270">
        <v>0</v>
      </c>
      <c r="AA2270">
        <v>0</v>
      </c>
      <c r="AB2270">
        <v>0</v>
      </c>
      <c r="AC2270">
        <v>2939</v>
      </c>
      <c r="AD2270">
        <v>0</v>
      </c>
      <c r="AE2270">
        <v>0</v>
      </c>
      <c r="AF2270">
        <v>0</v>
      </c>
      <c r="AG2270">
        <v>0</v>
      </c>
      <c r="AH2270">
        <v>0</v>
      </c>
      <c r="AI2270">
        <v>0</v>
      </c>
      <c r="AJ2270">
        <v>0</v>
      </c>
      <c r="AK2270">
        <v>0</v>
      </c>
      <c r="AL2270">
        <v>0</v>
      </c>
      <c r="AM2270">
        <v>0</v>
      </c>
      <c r="AN2270">
        <v>0</v>
      </c>
      <c r="AO2270">
        <v>1</v>
      </c>
      <c r="AP2270">
        <v>0</v>
      </c>
      <c r="AQ2270">
        <v>0</v>
      </c>
      <c r="AR2270">
        <v>0</v>
      </c>
      <c r="AS2270">
        <v>0</v>
      </c>
      <c r="AT2270">
        <v>0</v>
      </c>
      <c r="AU2270">
        <f t="shared" si="70"/>
        <v>1</v>
      </c>
      <c r="AV2270">
        <f t="shared" si="71"/>
        <v>0</v>
      </c>
    </row>
    <row r="2271" spans="1:48" x14ac:dyDescent="0.25">
      <c r="A2271" t="s">
        <v>8088</v>
      </c>
      <c r="C2271" t="s">
        <v>8089</v>
      </c>
      <c r="D2271" t="s">
        <v>8090</v>
      </c>
      <c r="E2271" t="s">
        <v>2310</v>
      </c>
      <c r="F2271">
        <v>8</v>
      </c>
      <c r="G2271">
        <v>8.3000000000000007</v>
      </c>
      <c r="H2271" t="s">
        <v>2323</v>
      </c>
      <c r="I2271" s="21">
        <v>39224</v>
      </c>
      <c r="J2271">
        <v>2007</v>
      </c>
      <c r="K2271" s="21">
        <v>39315</v>
      </c>
      <c r="L2271">
        <v>2007</v>
      </c>
      <c r="M2271" s="21">
        <v>40534.5707638889</v>
      </c>
      <c r="N2271">
        <v>2010</v>
      </c>
      <c r="R2271" s="262">
        <v>1476000</v>
      </c>
      <c r="S2271" t="s">
        <v>114</v>
      </c>
      <c r="T2271" t="s">
        <v>114</v>
      </c>
      <c r="U2271">
        <v>5</v>
      </c>
      <c r="W2271">
        <v>3476</v>
      </c>
      <c r="X2271">
        <v>1</v>
      </c>
      <c r="Y2271">
        <v>0</v>
      </c>
      <c r="Z2271">
        <v>0</v>
      </c>
      <c r="AA2271">
        <v>0</v>
      </c>
      <c r="AB2271">
        <v>0</v>
      </c>
      <c r="AC2271">
        <v>3476</v>
      </c>
      <c r="AD2271">
        <v>0</v>
      </c>
      <c r="AE2271">
        <v>0</v>
      </c>
      <c r="AF2271">
        <v>0</v>
      </c>
      <c r="AG2271">
        <v>0</v>
      </c>
      <c r="AH2271">
        <v>0</v>
      </c>
      <c r="AI2271">
        <v>0</v>
      </c>
      <c r="AJ2271">
        <v>0</v>
      </c>
      <c r="AK2271">
        <v>0</v>
      </c>
      <c r="AL2271">
        <v>0</v>
      </c>
      <c r="AM2271">
        <v>0</v>
      </c>
      <c r="AN2271">
        <v>0</v>
      </c>
      <c r="AO2271">
        <v>1</v>
      </c>
      <c r="AP2271">
        <v>0</v>
      </c>
      <c r="AQ2271">
        <v>0</v>
      </c>
      <c r="AR2271">
        <v>0</v>
      </c>
      <c r="AS2271">
        <v>0</v>
      </c>
      <c r="AT2271">
        <v>0</v>
      </c>
      <c r="AU2271">
        <f t="shared" si="70"/>
        <v>1</v>
      </c>
      <c r="AV2271">
        <f t="shared" si="71"/>
        <v>0</v>
      </c>
    </row>
    <row r="2272" spans="1:48" x14ac:dyDescent="0.25">
      <c r="A2272" t="s">
        <v>8091</v>
      </c>
      <c r="C2272" t="s">
        <v>8092</v>
      </c>
      <c r="D2272" t="s">
        <v>8093</v>
      </c>
      <c r="E2272" t="s">
        <v>2310</v>
      </c>
      <c r="F2272">
        <v>8</v>
      </c>
      <c r="G2272">
        <v>8.3000000000000007</v>
      </c>
      <c r="H2272" t="s">
        <v>2323</v>
      </c>
      <c r="I2272" s="21">
        <v>39224</v>
      </c>
      <c r="J2272">
        <v>2007</v>
      </c>
      <c r="K2272" s="21">
        <v>39344</v>
      </c>
      <c r="L2272">
        <v>2007</v>
      </c>
      <c r="M2272" s="21">
        <v>40534.563900462999</v>
      </c>
      <c r="N2272">
        <v>2010</v>
      </c>
      <c r="R2272" s="262">
        <v>1226000</v>
      </c>
      <c r="S2272" t="s">
        <v>114</v>
      </c>
      <c r="T2272" t="s">
        <v>114</v>
      </c>
      <c r="U2272">
        <v>5</v>
      </c>
      <c r="W2272">
        <v>2939</v>
      </c>
      <c r="X2272">
        <v>1</v>
      </c>
      <c r="Y2272">
        <v>0</v>
      </c>
      <c r="Z2272">
        <v>0</v>
      </c>
      <c r="AA2272">
        <v>0</v>
      </c>
      <c r="AB2272">
        <v>0</v>
      </c>
      <c r="AC2272">
        <v>2939</v>
      </c>
      <c r="AD2272">
        <v>0</v>
      </c>
      <c r="AE2272">
        <v>0</v>
      </c>
      <c r="AF2272">
        <v>0</v>
      </c>
      <c r="AG2272">
        <v>0</v>
      </c>
      <c r="AH2272">
        <v>0</v>
      </c>
      <c r="AI2272">
        <v>0</v>
      </c>
      <c r="AJ2272">
        <v>0</v>
      </c>
      <c r="AK2272">
        <v>0</v>
      </c>
      <c r="AL2272">
        <v>0</v>
      </c>
      <c r="AM2272">
        <v>0</v>
      </c>
      <c r="AN2272">
        <v>0</v>
      </c>
      <c r="AO2272">
        <v>1</v>
      </c>
      <c r="AP2272">
        <v>0</v>
      </c>
      <c r="AQ2272">
        <v>0</v>
      </c>
      <c r="AR2272">
        <v>0</v>
      </c>
      <c r="AS2272">
        <v>0</v>
      </c>
      <c r="AT2272">
        <v>0</v>
      </c>
      <c r="AU2272">
        <f t="shared" si="70"/>
        <v>1</v>
      </c>
      <c r="AV2272">
        <f t="shared" si="71"/>
        <v>0</v>
      </c>
    </row>
    <row r="2273" spans="1:48" x14ac:dyDescent="0.25">
      <c r="A2273" t="s">
        <v>8094</v>
      </c>
      <c r="C2273" t="s">
        <v>8095</v>
      </c>
      <c r="D2273" t="s">
        <v>8096</v>
      </c>
      <c r="E2273" t="s">
        <v>2310</v>
      </c>
      <c r="F2273">
        <v>8</v>
      </c>
      <c r="G2273">
        <v>8.3000000000000007</v>
      </c>
      <c r="H2273" t="s">
        <v>2323</v>
      </c>
      <c r="I2273" s="21">
        <v>39224</v>
      </c>
      <c r="J2273">
        <v>2007</v>
      </c>
      <c r="K2273" s="21">
        <v>39316</v>
      </c>
      <c r="L2273">
        <v>2007</v>
      </c>
      <c r="M2273" s="21">
        <v>40534.555277777799</v>
      </c>
      <c r="N2273">
        <v>2010</v>
      </c>
      <c r="R2273" s="262">
        <v>1487300</v>
      </c>
      <c r="S2273" t="s">
        <v>114</v>
      </c>
      <c r="T2273" t="s">
        <v>114</v>
      </c>
      <c r="U2273">
        <v>5</v>
      </c>
      <c r="W2273">
        <v>3314</v>
      </c>
      <c r="X2273">
        <v>1</v>
      </c>
      <c r="Y2273">
        <v>0</v>
      </c>
      <c r="Z2273">
        <v>0</v>
      </c>
      <c r="AA2273">
        <v>0</v>
      </c>
      <c r="AB2273">
        <v>0</v>
      </c>
      <c r="AC2273">
        <v>3314</v>
      </c>
      <c r="AD2273">
        <v>0</v>
      </c>
      <c r="AE2273">
        <v>0</v>
      </c>
      <c r="AF2273">
        <v>0</v>
      </c>
      <c r="AG2273">
        <v>0</v>
      </c>
      <c r="AH2273">
        <v>0</v>
      </c>
      <c r="AI2273">
        <v>0</v>
      </c>
      <c r="AJ2273">
        <v>0</v>
      </c>
      <c r="AK2273">
        <v>0</v>
      </c>
      <c r="AL2273">
        <v>0</v>
      </c>
      <c r="AM2273">
        <v>0</v>
      </c>
      <c r="AN2273">
        <v>0</v>
      </c>
      <c r="AO2273">
        <v>1</v>
      </c>
      <c r="AP2273">
        <v>0</v>
      </c>
      <c r="AQ2273">
        <v>0</v>
      </c>
      <c r="AR2273">
        <v>0</v>
      </c>
      <c r="AS2273">
        <v>0</v>
      </c>
      <c r="AT2273">
        <v>0</v>
      </c>
      <c r="AU2273">
        <f t="shared" si="70"/>
        <v>1</v>
      </c>
      <c r="AV2273">
        <f t="shared" si="71"/>
        <v>0</v>
      </c>
    </row>
    <row r="2274" spans="1:48" x14ac:dyDescent="0.25">
      <c r="A2274" t="s">
        <v>8097</v>
      </c>
      <c r="C2274" t="s">
        <v>8098</v>
      </c>
      <c r="D2274" t="s">
        <v>8099</v>
      </c>
      <c r="E2274" t="s">
        <v>2310</v>
      </c>
      <c r="F2274">
        <v>10</v>
      </c>
      <c r="G2274">
        <v>10.1</v>
      </c>
      <c r="H2274" t="s">
        <v>2323</v>
      </c>
      <c r="I2274" s="21">
        <v>39225</v>
      </c>
      <c r="J2274">
        <v>2007</v>
      </c>
      <c r="K2274" s="21">
        <v>39254</v>
      </c>
      <c r="L2274">
        <v>2007</v>
      </c>
      <c r="M2274" s="21">
        <v>39682</v>
      </c>
      <c r="N2274">
        <v>2008</v>
      </c>
      <c r="R2274" s="262">
        <v>69000</v>
      </c>
      <c r="S2274" t="s">
        <v>114</v>
      </c>
      <c r="T2274" t="s">
        <v>114</v>
      </c>
      <c r="U2274">
        <v>5</v>
      </c>
      <c r="W2274">
        <v>576</v>
      </c>
      <c r="X2274">
        <v>0</v>
      </c>
      <c r="Y2274">
        <v>0</v>
      </c>
      <c r="Z2274">
        <v>0</v>
      </c>
      <c r="AA2274">
        <v>0</v>
      </c>
      <c r="AB2274">
        <v>0</v>
      </c>
      <c r="AC2274">
        <v>576</v>
      </c>
      <c r="AD2274">
        <v>0</v>
      </c>
      <c r="AE2274">
        <v>0</v>
      </c>
      <c r="AF2274">
        <v>0</v>
      </c>
      <c r="AG2274">
        <v>0</v>
      </c>
      <c r="AH2274">
        <v>0</v>
      </c>
      <c r="AI2274">
        <v>0</v>
      </c>
      <c r="AJ2274">
        <v>0</v>
      </c>
      <c r="AK2274">
        <v>0</v>
      </c>
      <c r="AL2274">
        <v>0</v>
      </c>
      <c r="AM2274">
        <v>0</v>
      </c>
      <c r="AN2274">
        <v>0</v>
      </c>
      <c r="AO2274">
        <v>0</v>
      </c>
      <c r="AP2274">
        <v>0</v>
      </c>
      <c r="AQ2274">
        <v>0</v>
      </c>
      <c r="AR2274">
        <v>0</v>
      </c>
      <c r="AS2274">
        <v>0</v>
      </c>
      <c r="AT2274">
        <v>0</v>
      </c>
      <c r="AU2274">
        <f t="shared" si="70"/>
        <v>0</v>
      </c>
      <c r="AV2274">
        <f t="shared" si="71"/>
        <v>0</v>
      </c>
    </row>
    <row r="2275" spans="1:48" x14ac:dyDescent="0.25">
      <c r="A2275" t="s">
        <v>8100</v>
      </c>
      <c r="C2275" t="s">
        <v>8101</v>
      </c>
      <c r="D2275" t="s">
        <v>8102</v>
      </c>
      <c r="E2275" t="s">
        <v>2310</v>
      </c>
      <c r="F2275">
        <v>10</v>
      </c>
      <c r="G2275">
        <v>10.1</v>
      </c>
      <c r="H2275" t="s">
        <v>2323</v>
      </c>
      <c r="I2275" s="21">
        <v>39225</v>
      </c>
      <c r="J2275">
        <v>2007</v>
      </c>
      <c r="K2275" s="21">
        <v>39279</v>
      </c>
      <c r="L2275">
        <v>2007</v>
      </c>
      <c r="M2275" s="21">
        <v>39629</v>
      </c>
      <c r="N2275">
        <v>2008</v>
      </c>
      <c r="R2275" s="262">
        <v>80000</v>
      </c>
      <c r="S2275" t="s">
        <v>114</v>
      </c>
      <c r="T2275" t="s">
        <v>114</v>
      </c>
      <c r="U2275">
        <v>5</v>
      </c>
      <c r="W2275">
        <v>1288</v>
      </c>
      <c r="X2275">
        <v>1</v>
      </c>
      <c r="Y2275">
        <v>0</v>
      </c>
      <c r="Z2275">
        <v>0</v>
      </c>
      <c r="AA2275">
        <v>0</v>
      </c>
      <c r="AB2275">
        <v>0</v>
      </c>
      <c r="AC2275">
        <v>1288</v>
      </c>
      <c r="AD2275">
        <v>0</v>
      </c>
      <c r="AE2275">
        <v>0</v>
      </c>
      <c r="AF2275">
        <v>0</v>
      </c>
      <c r="AG2275">
        <v>0</v>
      </c>
      <c r="AH2275">
        <v>0</v>
      </c>
      <c r="AI2275">
        <v>0</v>
      </c>
      <c r="AJ2275">
        <v>0</v>
      </c>
      <c r="AK2275">
        <v>0</v>
      </c>
      <c r="AL2275">
        <v>0</v>
      </c>
      <c r="AM2275">
        <v>0</v>
      </c>
      <c r="AN2275">
        <v>0</v>
      </c>
      <c r="AO2275">
        <v>1</v>
      </c>
      <c r="AP2275">
        <v>0</v>
      </c>
      <c r="AQ2275">
        <v>0</v>
      </c>
      <c r="AR2275">
        <v>0</v>
      </c>
      <c r="AS2275">
        <v>0</v>
      </c>
      <c r="AT2275">
        <v>0</v>
      </c>
      <c r="AU2275">
        <f t="shared" si="70"/>
        <v>1</v>
      </c>
      <c r="AV2275">
        <f t="shared" si="71"/>
        <v>0</v>
      </c>
    </row>
    <row r="2276" spans="1:48" x14ac:dyDescent="0.25">
      <c r="A2276" t="s">
        <v>8103</v>
      </c>
      <c r="C2276" t="s">
        <v>8104</v>
      </c>
      <c r="D2276" t="s">
        <v>8105</v>
      </c>
      <c r="E2276" t="s">
        <v>2310</v>
      </c>
      <c r="F2276">
        <v>10</v>
      </c>
      <c r="G2276">
        <v>10.1</v>
      </c>
      <c r="H2276" t="s">
        <v>2323</v>
      </c>
      <c r="I2276" s="21">
        <v>39225</v>
      </c>
      <c r="J2276">
        <v>2007</v>
      </c>
      <c r="K2276" s="21">
        <v>39279</v>
      </c>
      <c r="L2276">
        <v>2007</v>
      </c>
      <c r="M2276" s="21">
        <v>39778</v>
      </c>
      <c r="N2276">
        <v>2008</v>
      </c>
      <c r="R2276" s="262">
        <v>92000</v>
      </c>
      <c r="S2276" t="s">
        <v>114</v>
      </c>
      <c r="T2276" t="s">
        <v>114</v>
      </c>
      <c r="U2276">
        <v>5</v>
      </c>
      <c r="W2276">
        <v>1440</v>
      </c>
      <c r="X2276">
        <v>1</v>
      </c>
      <c r="Y2276">
        <v>0</v>
      </c>
      <c r="Z2276">
        <v>0</v>
      </c>
      <c r="AA2276">
        <v>0</v>
      </c>
      <c r="AB2276">
        <v>0</v>
      </c>
      <c r="AC2276">
        <v>1440</v>
      </c>
      <c r="AD2276">
        <v>0</v>
      </c>
      <c r="AE2276">
        <v>0</v>
      </c>
      <c r="AF2276">
        <v>0</v>
      </c>
      <c r="AG2276">
        <v>0</v>
      </c>
      <c r="AH2276">
        <v>0</v>
      </c>
      <c r="AI2276">
        <v>0</v>
      </c>
      <c r="AJ2276">
        <v>0</v>
      </c>
      <c r="AK2276">
        <v>0</v>
      </c>
      <c r="AL2276">
        <v>0</v>
      </c>
      <c r="AM2276">
        <v>0</v>
      </c>
      <c r="AN2276">
        <v>0</v>
      </c>
      <c r="AO2276">
        <v>1</v>
      </c>
      <c r="AP2276">
        <v>0</v>
      </c>
      <c r="AQ2276">
        <v>0</v>
      </c>
      <c r="AR2276">
        <v>0</v>
      </c>
      <c r="AS2276">
        <v>0</v>
      </c>
      <c r="AT2276">
        <v>0</v>
      </c>
      <c r="AU2276">
        <f t="shared" si="70"/>
        <v>1</v>
      </c>
      <c r="AV2276">
        <f t="shared" si="71"/>
        <v>0</v>
      </c>
    </row>
    <row r="2277" spans="1:48" x14ac:dyDescent="0.25">
      <c r="A2277" t="s">
        <v>8106</v>
      </c>
      <c r="C2277" t="s">
        <v>8107</v>
      </c>
      <c r="D2277" t="s">
        <v>3386</v>
      </c>
      <c r="E2277" t="s">
        <v>2310</v>
      </c>
      <c r="F2277">
        <v>15</v>
      </c>
      <c r="G2277">
        <v>15.2</v>
      </c>
      <c r="H2277" t="s">
        <v>2323</v>
      </c>
      <c r="I2277" s="21">
        <v>39226</v>
      </c>
      <c r="J2277">
        <v>2007</v>
      </c>
      <c r="K2277" s="21">
        <v>39237</v>
      </c>
      <c r="L2277">
        <v>2007</v>
      </c>
      <c r="M2277" s="21">
        <v>39241</v>
      </c>
      <c r="N2277">
        <v>2007</v>
      </c>
      <c r="R2277" s="262">
        <v>7500</v>
      </c>
      <c r="S2277" t="s">
        <v>114</v>
      </c>
      <c r="T2277" t="s">
        <v>114</v>
      </c>
      <c r="U2277">
        <v>12</v>
      </c>
      <c r="W2277">
        <v>1056</v>
      </c>
      <c r="X2277">
        <v>0</v>
      </c>
      <c r="Y2277">
        <v>0</v>
      </c>
      <c r="Z2277">
        <v>0</v>
      </c>
      <c r="AA2277">
        <v>0</v>
      </c>
      <c r="AB2277">
        <v>0</v>
      </c>
      <c r="AC2277">
        <v>0</v>
      </c>
      <c r="AD2277">
        <v>0</v>
      </c>
      <c r="AE2277">
        <v>0</v>
      </c>
      <c r="AF2277">
        <v>0</v>
      </c>
      <c r="AG2277">
        <v>0</v>
      </c>
      <c r="AH2277">
        <v>0</v>
      </c>
      <c r="AI2277">
        <v>0</v>
      </c>
      <c r="AJ2277">
        <v>1056</v>
      </c>
      <c r="AK2277">
        <v>0</v>
      </c>
      <c r="AL2277">
        <v>0</v>
      </c>
      <c r="AM2277">
        <v>0</v>
      </c>
      <c r="AN2277">
        <v>0</v>
      </c>
      <c r="AO2277">
        <v>0</v>
      </c>
      <c r="AP2277">
        <v>0</v>
      </c>
      <c r="AQ2277">
        <v>0</v>
      </c>
      <c r="AR2277">
        <v>0</v>
      </c>
      <c r="AS2277">
        <v>0</v>
      </c>
      <c r="AT2277">
        <v>0</v>
      </c>
      <c r="AU2277">
        <f t="shared" si="70"/>
        <v>0</v>
      </c>
      <c r="AV2277">
        <f t="shared" si="71"/>
        <v>1056</v>
      </c>
    </row>
    <row r="2278" spans="1:48" x14ac:dyDescent="0.25">
      <c r="A2278" t="s">
        <v>8108</v>
      </c>
      <c r="C2278" t="s">
        <v>8109</v>
      </c>
      <c r="D2278" t="s">
        <v>8110</v>
      </c>
      <c r="E2278" t="s">
        <v>2310</v>
      </c>
      <c r="F2278">
        <v>14</v>
      </c>
      <c r="G2278">
        <v>14.1</v>
      </c>
      <c r="H2278" t="s">
        <v>2022</v>
      </c>
      <c r="I2278" s="21">
        <v>39226</v>
      </c>
      <c r="J2278">
        <v>2007</v>
      </c>
      <c r="K2278" s="21">
        <v>39286</v>
      </c>
      <c r="L2278">
        <v>2007</v>
      </c>
      <c r="M2278" s="21">
        <v>39454</v>
      </c>
      <c r="N2278">
        <v>2008</v>
      </c>
      <c r="R2278" s="262">
        <v>150000</v>
      </c>
      <c r="S2278" t="s">
        <v>114</v>
      </c>
      <c r="T2278" t="s">
        <v>114</v>
      </c>
      <c r="U2278">
        <v>5</v>
      </c>
      <c r="W2278">
        <v>653</v>
      </c>
      <c r="X2278">
        <v>0</v>
      </c>
      <c r="Y2278">
        <v>0</v>
      </c>
      <c r="Z2278">
        <v>0</v>
      </c>
      <c r="AA2278">
        <v>0</v>
      </c>
      <c r="AB2278">
        <v>0</v>
      </c>
      <c r="AC2278">
        <v>653</v>
      </c>
      <c r="AD2278">
        <v>0</v>
      </c>
      <c r="AE2278">
        <v>0</v>
      </c>
      <c r="AF2278">
        <v>0</v>
      </c>
      <c r="AG2278">
        <v>0</v>
      </c>
      <c r="AH2278">
        <v>0</v>
      </c>
      <c r="AI2278">
        <v>0</v>
      </c>
      <c r="AJ2278">
        <v>0</v>
      </c>
      <c r="AK2278">
        <v>0</v>
      </c>
      <c r="AL2278">
        <v>0</v>
      </c>
      <c r="AM2278">
        <v>0</v>
      </c>
      <c r="AN2278">
        <v>0</v>
      </c>
      <c r="AO2278">
        <v>0</v>
      </c>
      <c r="AP2278">
        <v>0</v>
      </c>
      <c r="AQ2278">
        <v>0</v>
      </c>
      <c r="AR2278">
        <v>0</v>
      </c>
      <c r="AS2278">
        <v>0</v>
      </c>
      <c r="AT2278">
        <v>0</v>
      </c>
      <c r="AU2278">
        <f t="shared" si="70"/>
        <v>0</v>
      </c>
      <c r="AV2278">
        <f t="shared" si="71"/>
        <v>0</v>
      </c>
    </row>
    <row r="2279" spans="1:48" x14ac:dyDescent="0.25">
      <c r="A2279" t="s">
        <v>8111</v>
      </c>
      <c r="C2279" t="s">
        <v>8112</v>
      </c>
      <c r="D2279" t="s">
        <v>8113</v>
      </c>
      <c r="E2279" t="s">
        <v>2310</v>
      </c>
      <c r="F2279">
        <v>8</v>
      </c>
      <c r="G2279">
        <v>8.1999999999999993</v>
      </c>
      <c r="H2279" t="s">
        <v>2022</v>
      </c>
      <c r="I2279" s="21">
        <v>39231</v>
      </c>
      <c r="J2279">
        <v>2007</v>
      </c>
      <c r="K2279" s="21">
        <v>39280</v>
      </c>
      <c r="L2279">
        <v>2007</v>
      </c>
      <c r="M2279" s="21">
        <v>39834</v>
      </c>
      <c r="N2279">
        <v>2009</v>
      </c>
      <c r="R2279" s="262">
        <v>2500000</v>
      </c>
      <c r="S2279" t="s">
        <v>114</v>
      </c>
      <c r="T2279" t="s">
        <v>114</v>
      </c>
      <c r="U2279">
        <v>5</v>
      </c>
      <c r="W2279">
        <v>7125</v>
      </c>
      <c r="X2279">
        <v>1</v>
      </c>
      <c r="Y2279">
        <v>0</v>
      </c>
      <c r="Z2279">
        <v>0</v>
      </c>
      <c r="AA2279">
        <v>0</v>
      </c>
      <c r="AB2279">
        <v>0</v>
      </c>
      <c r="AC2279">
        <v>7125</v>
      </c>
      <c r="AD2279">
        <v>0</v>
      </c>
      <c r="AE2279">
        <v>0</v>
      </c>
      <c r="AF2279">
        <v>0</v>
      </c>
      <c r="AG2279">
        <v>0</v>
      </c>
      <c r="AH2279">
        <v>0</v>
      </c>
      <c r="AI2279">
        <v>0</v>
      </c>
      <c r="AJ2279">
        <v>0</v>
      </c>
      <c r="AK2279">
        <v>0</v>
      </c>
      <c r="AL2279">
        <v>0</v>
      </c>
      <c r="AM2279">
        <v>0</v>
      </c>
      <c r="AN2279">
        <v>0</v>
      </c>
      <c r="AO2279">
        <v>1</v>
      </c>
      <c r="AP2279">
        <v>0</v>
      </c>
      <c r="AQ2279">
        <v>0</v>
      </c>
      <c r="AR2279">
        <v>0</v>
      </c>
      <c r="AS2279">
        <v>0</v>
      </c>
      <c r="AT2279">
        <v>0</v>
      </c>
      <c r="AU2279">
        <f t="shared" si="70"/>
        <v>1</v>
      </c>
      <c r="AV2279">
        <f t="shared" si="71"/>
        <v>0</v>
      </c>
    </row>
    <row r="2280" spans="1:48" x14ac:dyDescent="0.25">
      <c r="A2280" t="s">
        <v>8114</v>
      </c>
      <c r="C2280" t="s">
        <v>8115</v>
      </c>
      <c r="D2280" t="s">
        <v>8116</v>
      </c>
      <c r="E2280" t="s">
        <v>2310</v>
      </c>
      <c r="F2280">
        <v>8</v>
      </c>
      <c r="G2280">
        <v>8.1</v>
      </c>
      <c r="H2280" t="s">
        <v>2323</v>
      </c>
      <c r="I2280" s="21">
        <v>39231</v>
      </c>
      <c r="J2280">
        <v>2007</v>
      </c>
      <c r="K2280" s="21">
        <v>39281</v>
      </c>
      <c r="L2280">
        <v>2007</v>
      </c>
      <c r="M2280" s="21">
        <v>39881</v>
      </c>
      <c r="N2280">
        <v>2009</v>
      </c>
      <c r="R2280" s="262">
        <v>400000</v>
      </c>
      <c r="S2280" t="s">
        <v>114</v>
      </c>
      <c r="T2280" t="s">
        <v>114</v>
      </c>
      <c r="U2280">
        <v>8</v>
      </c>
      <c r="W2280">
        <v>1000</v>
      </c>
      <c r="X2280">
        <v>1</v>
      </c>
      <c r="Y2280">
        <v>0</v>
      </c>
      <c r="Z2280">
        <v>0</v>
      </c>
      <c r="AA2280">
        <v>0</v>
      </c>
      <c r="AB2280">
        <v>0</v>
      </c>
      <c r="AC2280">
        <v>0</v>
      </c>
      <c r="AD2280">
        <v>0</v>
      </c>
      <c r="AE2280">
        <v>0</v>
      </c>
      <c r="AF2280">
        <v>1000</v>
      </c>
      <c r="AG2280">
        <v>0</v>
      </c>
      <c r="AH2280">
        <v>0</v>
      </c>
      <c r="AI2280">
        <v>0</v>
      </c>
      <c r="AJ2280">
        <v>0</v>
      </c>
      <c r="AK2280">
        <v>0</v>
      </c>
      <c r="AL2280">
        <v>0</v>
      </c>
      <c r="AM2280">
        <v>0</v>
      </c>
      <c r="AN2280">
        <v>0</v>
      </c>
      <c r="AO2280">
        <v>0</v>
      </c>
      <c r="AP2280">
        <v>0</v>
      </c>
      <c r="AQ2280">
        <v>0</v>
      </c>
      <c r="AR2280">
        <v>1</v>
      </c>
      <c r="AS2280">
        <v>0</v>
      </c>
      <c r="AT2280">
        <v>0</v>
      </c>
      <c r="AU2280">
        <f t="shared" si="70"/>
        <v>0</v>
      </c>
      <c r="AV2280">
        <f t="shared" si="71"/>
        <v>0</v>
      </c>
    </row>
    <row r="2281" spans="1:48" x14ac:dyDescent="0.25">
      <c r="A2281" t="s">
        <v>8117</v>
      </c>
      <c r="C2281" t="s">
        <v>8118</v>
      </c>
      <c r="D2281" t="s">
        <v>8119</v>
      </c>
      <c r="E2281" t="s">
        <v>2310</v>
      </c>
      <c r="F2281">
        <v>10</v>
      </c>
      <c r="G2281">
        <v>10.1</v>
      </c>
      <c r="H2281" t="s">
        <v>2323</v>
      </c>
      <c r="I2281" s="21">
        <v>39231</v>
      </c>
      <c r="J2281">
        <v>2007</v>
      </c>
      <c r="K2281" s="21">
        <v>39281</v>
      </c>
      <c r="L2281">
        <v>2007</v>
      </c>
      <c r="M2281" s="21">
        <v>39805</v>
      </c>
      <c r="N2281">
        <v>2008</v>
      </c>
      <c r="R2281" s="262">
        <v>125000</v>
      </c>
      <c r="S2281" t="s">
        <v>114</v>
      </c>
      <c r="T2281" t="s">
        <v>114</v>
      </c>
      <c r="U2281">
        <v>5</v>
      </c>
      <c r="W2281">
        <v>516</v>
      </c>
      <c r="X2281">
        <v>0</v>
      </c>
      <c r="Y2281">
        <v>0</v>
      </c>
      <c r="Z2281">
        <v>0</v>
      </c>
      <c r="AA2281">
        <v>0</v>
      </c>
      <c r="AB2281">
        <v>0</v>
      </c>
      <c r="AC2281">
        <v>516</v>
      </c>
      <c r="AD2281">
        <v>0</v>
      </c>
      <c r="AE2281">
        <v>0</v>
      </c>
      <c r="AF2281">
        <v>0</v>
      </c>
      <c r="AG2281">
        <v>0</v>
      </c>
      <c r="AH2281">
        <v>0</v>
      </c>
      <c r="AI2281">
        <v>0</v>
      </c>
      <c r="AJ2281">
        <v>0</v>
      </c>
      <c r="AK2281">
        <v>0</v>
      </c>
      <c r="AL2281">
        <v>0</v>
      </c>
      <c r="AM2281">
        <v>0</v>
      </c>
      <c r="AN2281">
        <v>0</v>
      </c>
      <c r="AO2281">
        <v>0</v>
      </c>
      <c r="AP2281">
        <v>0</v>
      </c>
      <c r="AQ2281">
        <v>0</v>
      </c>
      <c r="AR2281">
        <v>0</v>
      </c>
      <c r="AS2281">
        <v>0</v>
      </c>
      <c r="AT2281">
        <v>0</v>
      </c>
      <c r="AU2281">
        <f t="shared" si="70"/>
        <v>0</v>
      </c>
      <c r="AV2281">
        <f t="shared" si="71"/>
        <v>0</v>
      </c>
    </row>
    <row r="2282" spans="1:48" x14ac:dyDescent="0.25">
      <c r="A2282" t="s">
        <v>8120</v>
      </c>
      <c r="C2282" t="s">
        <v>8121</v>
      </c>
      <c r="D2282" t="s">
        <v>8122</v>
      </c>
      <c r="E2282" t="s">
        <v>2310</v>
      </c>
      <c r="F2282">
        <v>10</v>
      </c>
      <c r="G2282">
        <v>10.1</v>
      </c>
      <c r="H2282" t="s">
        <v>2323</v>
      </c>
      <c r="I2282" s="21">
        <v>39232</v>
      </c>
      <c r="J2282">
        <v>2007</v>
      </c>
      <c r="K2282" s="21">
        <v>39279</v>
      </c>
      <c r="L2282">
        <v>2007</v>
      </c>
      <c r="M2282" s="21">
        <v>39560</v>
      </c>
      <c r="N2282">
        <v>2008</v>
      </c>
      <c r="R2282" s="262">
        <v>700000</v>
      </c>
      <c r="S2282" t="s">
        <v>114</v>
      </c>
      <c r="T2282" t="s">
        <v>114</v>
      </c>
      <c r="U2282">
        <v>5</v>
      </c>
      <c r="W2282">
        <v>4019</v>
      </c>
      <c r="X2282">
        <v>1</v>
      </c>
      <c r="Y2282">
        <v>0</v>
      </c>
      <c r="Z2282">
        <v>0</v>
      </c>
      <c r="AA2282">
        <v>0</v>
      </c>
      <c r="AB2282">
        <v>0</v>
      </c>
      <c r="AC2282">
        <v>4019</v>
      </c>
      <c r="AD2282">
        <v>0</v>
      </c>
      <c r="AE2282">
        <v>0</v>
      </c>
      <c r="AF2282">
        <v>0</v>
      </c>
      <c r="AG2282">
        <v>0</v>
      </c>
      <c r="AH2282">
        <v>0</v>
      </c>
      <c r="AI2282">
        <v>0</v>
      </c>
      <c r="AJ2282">
        <v>0</v>
      </c>
      <c r="AK2282">
        <v>0</v>
      </c>
      <c r="AL2282">
        <v>0</v>
      </c>
      <c r="AM2282">
        <v>0</v>
      </c>
      <c r="AN2282">
        <v>0</v>
      </c>
      <c r="AO2282">
        <v>1</v>
      </c>
      <c r="AP2282">
        <v>0</v>
      </c>
      <c r="AQ2282">
        <v>0</v>
      </c>
      <c r="AR2282">
        <v>0</v>
      </c>
      <c r="AS2282">
        <v>0</v>
      </c>
      <c r="AT2282">
        <v>0</v>
      </c>
      <c r="AU2282">
        <f t="shared" si="70"/>
        <v>1</v>
      </c>
      <c r="AV2282">
        <f t="shared" si="71"/>
        <v>0</v>
      </c>
    </row>
    <row r="2283" spans="1:48" x14ac:dyDescent="0.25">
      <c r="A2283" t="s">
        <v>8123</v>
      </c>
      <c r="C2283" t="s">
        <v>8124</v>
      </c>
      <c r="D2283" t="s">
        <v>8125</v>
      </c>
      <c r="E2283" t="s">
        <v>2310</v>
      </c>
      <c r="F2283">
        <v>15</v>
      </c>
      <c r="G2283">
        <v>15.2</v>
      </c>
      <c r="H2283" t="s">
        <v>2323</v>
      </c>
      <c r="I2283" s="21">
        <v>39232</v>
      </c>
      <c r="J2283">
        <v>2007</v>
      </c>
      <c r="K2283" s="21">
        <v>39286</v>
      </c>
      <c r="L2283">
        <v>2007</v>
      </c>
      <c r="M2283" s="21">
        <v>39639</v>
      </c>
      <c r="N2283">
        <v>2008</v>
      </c>
      <c r="R2283" s="262">
        <v>150000</v>
      </c>
      <c r="S2283" t="s">
        <v>114</v>
      </c>
      <c r="T2283" t="s">
        <v>114</v>
      </c>
      <c r="U2283">
        <v>5</v>
      </c>
      <c r="W2283">
        <v>800</v>
      </c>
      <c r="X2283">
        <v>0</v>
      </c>
      <c r="Y2283">
        <v>0</v>
      </c>
      <c r="Z2283">
        <v>0</v>
      </c>
      <c r="AA2283">
        <v>0</v>
      </c>
      <c r="AB2283">
        <v>0</v>
      </c>
      <c r="AC2283">
        <v>800</v>
      </c>
      <c r="AD2283">
        <v>0</v>
      </c>
      <c r="AE2283">
        <v>0</v>
      </c>
      <c r="AF2283">
        <v>0</v>
      </c>
      <c r="AG2283">
        <v>0</v>
      </c>
      <c r="AH2283">
        <v>0</v>
      </c>
      <c r="AI2283">
        <v>0</v>
      </c>
      <c r="AJ2283">
        <v>0</v>
      </c>
      <c r="AK2283">
        <v>0</v>
      </c>
      <c r="AL2283">
        <v>0</v>
      </c>
      <c r="AM2283">
        <v>0</v>
      </c>
      <c r="AN2283">
        <v>0</v>
      </c>
      <c r="AO2283">
        <v>0</v>
      </c>
      <c r="AP2283">
        <v>0</v>
      </c>
      <c r="AQ2283">
        <v>0</v>
      </c>
      <c r="AR2283">
        <v>0</v>
      </c>
      <c r="AS2283">
        <v>0</v>
      </c>
      <c r="AT2283">
        <v>0</v>
      </c>
      <c r="AU2283">
        <f t="shared" si="70"/>
        <v>0</v>
      </c>
      <c r="AV2283">
        <f t="shared" si="71"/>
        <v>0</v>
      </c>
    </row>
    <row r="2284" spans="1:48" x14ac:dyDescent="0.25">
      <c r="A2284" t="s">
        <v>8126</v>
      </c>
      <c r="C2284" t="s">
        <v>8127</v>
      </c>
      <c r="D2284" t="s">
        <v>8128</v>
      </c>
      <c r="E2284" t="s">
        <v>1663</v>
      </c>
      <c r="F2284">
        <v>6</v>
      </c>
      <c r="G2284">
        <v>6.1</v>
      </c>
      <c r="H2284" t="s">
        <v>2017</v>
      </c>
      <c r="I2284" s="21">
        <v>39233</v>
      </c>
      <c r="J2284">
        <v>2007</v>
      </c>
      <c r="K2284" s="21">
        <v>39263</v>
      </c>
      <c r="L2284">
        <v>2007</v>
      </c>
      <c r="M2284" s="21">
        <v>39416</v>
      </c>
      <c r="N2284">
        <v>2007</v>
      </c>
      <c r="Q2284" s="262">
        <v>0</v>
      </c>
      <c r="S2284" t="s">
        <v>114</v>
      </c>
      <c r="T2284" t="s">
        <v>114</v>
      </c>
      <c r="W2284">
        <v>4265</v>
      </c>
      <c r="X2284">
        <v>1</v>
      </c>
      <c r="Y2284">
        <v>0</v>
      </c>
      <c r="Z2284">
        <v>0</v>
      </c>
      <c r="AA2284">
        <v>0</v>
      </c>
      <c r="AB2284">
        <v>0</v>
      </c>
      <c r="AC2284">
        <v>4265</v>
      </c>
      <c r="AD2284">
        <v>0</v>
      </c>
      <c r="AE2284">
        <v>0</v>
      </c>
      <c r="AF2284">
        <v>0</v>
      </c>
      <c r="AG2284">
        <v>0</v>
      </c>
      <c r="AH2284">
        <v>0</v>
      </c>
      <c r="AI2284">
        <v>0</v>
      </c>
      <c r="AJ2284">
        <v>0</v>
      </c>
      <c r="AK2284">
        <v>0</v>
      </c>
      <c r="AL2284">
        <v>0</v>
      </c>
      <c r="AM2284">
        <v>0</v>
      </c>
      <c r="AN2284">
        <v>0</v>
      </c>
      <c r="AO2284">
        <v>1</v>
      </c>
      <c r="AP2284">
        <v>0</v>
      </c>
      <c r="AQ2284">
        <v>0</v>
      </c>
      <c r="AR2284">
        <v>0</v>
      </c>
      <c r="AS2284">
        <v>0</v>
      </c>
      <c r="AT2284">
        <v>0</v>
      </c>
      <c r="AU2284">
        <f t="shared" si="70"/>
        <v>1</v>
      </c>
      <c r="AV2284">
        <f t="shared" si="71"/>
        <v>0</v>
      </c>
    </row>
    <row r="2285" spans="1:48" x14ac:dyDescent="0.25">
      <c r="A2285" t="s">
        <v>8129</v>
      </c>
      <c r="C2285" t="s">
        <v>8130</v>
      </c>
      <c r="D2285" t="s">
        <v>8131</v>
      </c>
      <c r="E2285" t="s">
        <v>2310</v>
      </c>
      <c r="F2285">
        <v>9</v>
      </c>
      <c r="G2285">
        <v>9.3000000000000007</v>
      </c>
      <c r="H2285" t="s">
        <v>2323</v>
      </c>
      <c r="I2285" s="21">
        <v>39233</v>
      </c>
      <c r="J2285">
        <v>2007</v>
      </c>
      <c r="K2285" s="21">
        <v>39280</v>
      </c>
      <c r="L2285">
        <v>2007</v>
      </c>
      <c r="M2285" s="21">
        <v>39624</v>
      </c>
      <c r="N2285">
        <v>2008</v>
      </c>
      <c r="R2285" s="262">
        <v>230000</v>
      </c>
      <c r="S2285" t="s">
        <v>114</v>
      </c>
      <c r="T2285" t="s">
        <v>114</v>
      </c>
      <c r="U2285">
        <v>5</v>
      </c>
      <c r="W2285">
        <v>1385</v>
      </c>
      <c r="X2285">
        <v>0</v>
      </c>
      <c r="Y2285">
        <v>0</v>
      </c>
      <c r="Z2285">
        <v>0</v>
      </c>
      <c r="AA2285">
        <v>0</v>
      </c>
      <c r="AB2285">
        <v>0</v>
      </c>
      <c r="AC2285">
        <v>1385</v>
      </c>
      <c r="AD2285">
        <v>0</v>
      </c>
      <c r="AE2285">
        <v>0</v>
      </c>
      <c r="AF2285">
        <v>0</v>
      </c>
      <c r="AG2285">
        <v>0</v>
      </c>
      <c r="AH2285">
        <v>0</v>
      </c>
      <c r="AI2285">
        <v>0</v>
      </c>
      <c r="AJ2285">
        <v>0</v>
      </c>
      <c r="AK2285">
        <v>0</v>
      </c>
      <c r="AL2285">
        <v>0</v>
      </c>
      <c r="AM2285">
        <v>0</v>
      </c>
      <c r="AN2285">
        <v>0</v>
      </c>
      <c r="AO2285">
        <v>0</v>
      </c>
      <c r="AP2285">
        <v>0</v>
      </c>
      <c r="AQ2285">
        <v>0</v>
      </c>
      <c r="AR2285">
        <v>0</v>
      </c>
      <c r="AS2285">
        <v>0</v>
      </c>
      <c r="AT2285">
        <v>0</v>
      </c>
      <c r="AU2285">
        <f t="shared" si="70"/>
        <v>0</v>
      </c>
      <c r="AV2285">
        <f t="shared" si="71"/>
        <v>0</v>
      </c>
    </row>
    <row r="2286" spans="1:48" x14ac:dyDescent="0.25">
      <c r="A2286" t="s">
        <v>8132</v>
      </c>
      <c r="C2286" t="s">
        <v>4934</v>
      </c>
      <c r="D2286" t="s">
        <v>8133</v>
      </c>
      <c r="E2286" t="s">
        <v>2310</v>
      </c>
      <c r="F2286">
        <v>9</v>
      </c>
      <c r="G2286">
        <v>9.3000000000000007</v>
      </c>
      <c r="H2286" t="s">
        <v>2323</v>
      </c>
      <c r="I2286" s="21">
        <v>39233</v>
      </c>
      <c r="J2286">
        <v>2007</v>
      </c>
      <c r="M2286" s="21">
        <v>39749</v>
      </c>
      <c r="N2286">
        <v>2008</v>
      </c>
      <c r="R2286" s="262">
        <v>70000</v>
      </c>
      <c r="S2286" t="s">
        <v>114</v>
      </c>
      <c r="T2286" t="s">
        <v>114</v>
      </c>
      <c r="U2286">
        <v>5</v>
      </c>
      <c r="W2286">
        <v>1500</v>
      </c>
      <c r="X2286">
        <v>0</v>
      </c>
      <c r="Y2286">
        <v>0</v>
      </c>
      <c r="Z2286">
        <v>0</v>
      </c>
      <c r="AA2286">
        <v>0</v>
      </c>
      <c r="AB2286">
        <v>0</v>
      </c>
      <c r="AC2286">
        <v>1500</v>
      </c>
      <c r="AD2286">
        <v>0</v>
      </c>
      <c r="AE2286">
        <v>0</v>
      </c>
      <c r="AF2286">
        <v>0</v>
      </c>
      <c r="AG2286">
        <v>0</v>
      </c>
      <c r="AH2286">
        <v>0</v>
      </c>
      <c r="AI2286">
        <v>0</v>
      </c>
      <c r="AJ2286">
        <v>0</v>
      </c>
      <c r="AK2286">
        <v>0</v>
      </c>
      <c r="AL2286">
        <v>0</v>
      </c>
      <c r="AM2286">
        <v>0</v>
      </c>
      <c r="AN2286">
        <v>0</v>
      </c>
      <c r="AO2286">
        <v>0</v>
      </c>
      <c r="AP2286">
        <v>0</v>
      </c>
      <c r="AQ2286">
        <v>0</v>
      </c>
      <c r="AR2286">
        <v>0</v>
      </c>
      <c r="AS2286">
        <v>0</v>
      </c>
      <c r="AT2286">
        <v>0</v>
      </c>
      <c r="AU2286">
        <f t="shared" si="70"/>
        <v>0</v>
      </c>
      <c r="AV2286">
        <f t="shared" si="71"/>
        <v>0</v>
      </c>
    </row>
    <row r="2287" spans="1:48" x14ac:dyDescent="0.25">
      <c r="A2287" t="s">
        <v>8134</v>
      </c>
      <c r="C2287" t="s">
        <v>8135</v>
      </c>
      <c r="D2287" t="s">
        <v>8110</v>
      </c>
      <c r="E2287" t="s">
        <v>2310</v>
      </c>
      <c r="F2287">
        <v>14</v>
      </c>
      <c r="G2287">
        <v>14.1</v>
      </c>
      <c r="H2287" t="s">
        <v>2022</v>
      </c>
      <c r="I2287" s="21">
        <v>39240</v>
      </c>
      <c r="J2287">
        <v>2007</v>
      </c>
      <c r="K2287" s="21">
        <v>39286</v>
      </c>
      <c r="L2287">
        <v>2007</v>
      </c>
      <c r="M2287" s="21">
        <v>43626.594801736101</v>
      </c>
      <c r="N2287">
        <v>2019</v>
      </c>
      <c r="R2287" s="262">
        <v>150000</v>
      </c>
      <c r="S2287" t="s">
        <v>114</v>
      </c>
      <c r="T2287" t="s">
        <v>114</v>
      </c>
      <c r="U2287">
        <v>8</v>
      </c>
      <c r="W2287">
        <v>1744</v>
      </c>
      <c r="X2287">
        <v>1</v>
      </c>
      <c r="Y2287">
        <v>0</v>
      </c>
      <c r="Z2287">
        <v>0</v>
      </c>
      <c r="AA2287">
        <v>0</v>
      </c>
      <c r="AB2287">
        <v>0</v>
      </c>
      <c r="AC2287">
        <v>1286</v>
      </c>
      <c r="AD2287">
        <v>0</v>
      </c>
      <c r="AE2287">
        <v>0</v>
      </c>
      <c r="AF2287">
        <v>458</v>
      </c>
      <c r="AG2287">
        <v>0</v>
      </c>
      <c r="AH2287">
        <v>0</v>
      </c>
      <c r="AI2287">
        <v>0</v>
      </c>
      <c r="AJ2287">
        <v>0</v>
      </c>
      <c r="AK2287">
        <v>0</v>
      </c>
      <c r="AL2287">
        <v>0</v>
      </c>
      <c r="AM2287">
        <v>0</v>
      </c>
      <c r="AN2287">
        <v>0</v>
      </c>
      <c r="AO2287">
        <v>0</v>
      </c>
      <c r="AP2287">
        <v>0</v>
      </c>
      <c r="AQ2287">
        <v>0</v>
      </c>
      <c r="AR2287">
        <v>1</v>
      </c>
      <c r="AS2287">
        <v>0</v>
      </c>
      <c r="AT2287">
        <v>0</v>
      </c>
      <c r="AU2287">
        <f t="shared" si="70"/>
        <v>0</v>
      </c>
      <c r="AV2287">
        <f t="shared" si="71"/>
        <v>0</v>
      </c>
    </row>
    <row r="2288" spans="1:48" x14ac:dyDescent="0.25">
      <c r="A2288" t="s">
        <v>8136</v>
      </c>
      <c r="C2288" t="s">
        <v>7393</v>
      </c>
      <c r="D2288" t="s">
        <v>8137</v>
      </c>
      <c r="E2288" t="s">
        <v>2310</v>
      </c>
      <c r="F2288">
        <v>10</v>
      </c>
      <c r="G2288">
        <v>10.1</v>
      </c>
      <c r="H2288" t="s">
        <v>2323</v>
      </c>
      <c r="I2288" s="21">
        <v>39240</v>
      </c>
      <c r="J2288">
        <v>2007</v>
      </c>
      <c r="K2288" s="21">
        <v>39286</v>
      </c>
      <c r="L2288">
        <v>2007</v>
      </c>
      <c r="M2288" s="21">
        <v>39682</v>
      </c>
      <c r="N2288">
        <v>2008</v>
      </c>
      <c r="R2288" s="262">
        <v>400000</v>
      </c>
      <c r="S2288" t="s">
        <v>114</v>
      </c>
      <c r="T2288" t="s">
        <v>114</v>
      </c>
      <c r="U2288">
        <v>5</v>
      </c>
      <c r="W2288">
        <v>3261</v>
      </c>
      <c r="X2288">
        <v>1</v>
      </c>
      <c r="Y2288">
        <v>0</v>
      </c>
      <c r="Z2288">
        <v>0</v>
      </c>
      <c r="AA2288">
        <v>0</v>
      </c>
      <c r="AB2288">
        <v>0</v>
      </c>
      <c r="AC2288">
        <v>3261</v>
      </c>
      <c r="AD2288">
        <v>0</v>
      </c>
      <c r="AE2288">
        <v>0</v>
      </c>
      <c r="AF2288">
        <v>0</v>
      </c>
      <c r="AG2288">
        <v>0</v>
      </c>
      <c r="AH2288">
        <v>0</v>
      </c>
      <c r="AI2288">
        <v>0</v>
      </c>
      <c r="AJ2288">
        <v>0</v>
      </c>
      <c r="AK2288">
        <v>0</v>
      </c>
      <c r="AL2288">
        <v>0</v>
      </c>
      <c r="AM2288">
        <v>0</v>
      </c>
      <c r="AN2288">
        <v>0</v>
      </c>
      <c r="AO2288">
        <v>1</v>
      </c>
      <c r="AP2288">
        <v>0</v>
      </c>
      <c r="AQ2288">
        <v>0</v>
      </c>
      <c r="AR2288">
        <v>0</v>
      </c>
      <c r="AS2288">
        <v>0</v>
      </c>
      <c r="AT2288">
        <v>0</v>
      </c>
      <c r="AU2288">
        <f t="shared" si="70"/>
        <v>1</v>
      </c>
      <c r="AV2288">
        <f t="shared" si="71"/>
        <v>0</v>
      </c>
    </row>
    <row r="2289" spans="1:48" x14ac:dyDescent="0.25">
      <c r="A2289" t="s">
        <v>8138</v>
      </c>
      <c r="C2289" t="s">
        <v>8139</v>
      </c>
      <c r="D2289" t="s">
        <v>6633</v>
      </c>
      <c r="E2289" t="s">
        <v>2310</v>
      </c>
      <c r="F2289">
        <v>12</v>
      </c>
      <c r="G2289">
        <v>12.1</v>
      </c>
      <c r="H2289" t="s">
        <v>2327</v>
      </c>
      <c r="I2289" s="21">
        <v>39241</v>
      </c>
      <c r="J2289">
        <v>2007</v>
      </c>
      <c r="K2289" s="21">
        <v>39293</v>
      </c>
      <c r="L2289">
        <v>2007</v>
      </c>
      <c r="M2289" s="21">
        <v>39461</v>
      </c>
      <c r="N2289">
        <v>2008</v>
      </c>
      <c r="R2289" s="262">
        <v>150000</v>
      </c>
      <c r="S2289" t="s">
        <v>114</v>
      </c>
      <c r="T2289" t="s">
        <v>114</v>
      </c>
      <c r="U2289">
        <v>12</v>
      </c>
      <c r="W2289">
        <v>0</v>
      </c>
      <c r="X2289">
        <v>0</v>
      </c>
      <c r="Y2289">
        <v>0</v>
      </c>
      <c r="Z2289">
        <v>0</v>
      </c>
      <c r="AA2289">
        <v>0</v>
      </c>
      <c r="AB2289">
        <v>0</v>
      </c>
      <c r="AC2289">
        <v>0</v>
      </c>
      <c r="AD2289">
        <v>0</v>
      </c>
      <c r="AE2289">
        <v>0</v>
      </c>
      <c r="AF2289">
        <v>0</v>
      </c>
      <c r="AG2289">
        <v>0</v>
      </c>
      <c r="AH2289">
        <v>0</v>
      </c>
      <c r="AI2289">
        <v>0</v>
      </c>
      <c r="AJ2289">
        <v>0</v>
      </c>
      <c r="AK2289">
        <v>0</v>
      </c>
      <c r="AL2289">
        <v>0</v>
      </c>
      <c r="AM2289">
        <v>0</v>
      </c>
      <c r="AN2289">
        <v>0</v>
      </c>
      <c r="AO2289">
        <v>0</v>
      </c>
      <c r="AP2289">
        <v>0</v>
      </c>
      <c r="AQ2289">
        <v>0</v>
      </c>
      <c r="AR2289">
        <v>0</v>
      </c>
      <c r="AS2289">
        <v>0</v>
      </c>
      <c r="AT2289">
        <v>0</v>
      </c>
      <c r="AU2289">
        <f t="shared" si="70"/>
        <v>0</v>
      </c>
      <c r="AV2289">
        <f t="shared" si="71"/>
        <v>0</v>
      </c>
    </row>
    <row r="2290" spans="1:48" x14ac:dyDescent="0.25">
      <c r="A2290" t="s">
        <v>8140</v>
      </c>
      <c r="C2290" t="s">
        <v>8141</v>
      </c>
      <c r="D2290" t="s">
        <v>8142</v>
      </c>
      <c r="E2290" t="s">
        <v>2310</v>
      </c>
      <c r="F2290">
        <v>14</v>
      </c>
      <c r="G2290">
        <v>14.1</v>
      </c>
      <c r="H2290" t="s">
        <v>2022</v>
      </c>
      <c r="I2290" s="21">
        <v>39244</v>
      </c>
      <c r="J2290">
        <v>2007</v>
      </c>
      <c r="K2290" s="21">
        <v>39293</v>
      </c>
      <c r="L2290">
        <v>2007</v>
      </c>
      <c r="M2290" s="21">
        <v>39293</v>
      </c>
      <c r="N2290">
        <v>2007</v>
      </c>
      <c r="R2290" s="262">
        <v>90000</v>
      </c>
      <c r="S2290" t="s">
        <v>114</v>
      </c>
      <c r="T2290" t="s">
        <v>114</v>
      </c>
      <c r="U2290">
        <v>5</v>
      </c>
      <c r="W2290">
        <v>1164</v>
      </c>
      <c r="X2290">
        <v>0</v>
      </c>
      <c r="Y2290">
        <v>0</v>
      </c>
      <c r="Z2290">
        <v>0</v>
      </c>
      <c r="AA2290">
        <v>0</v>
      </c>
      <c r="AB2290">
        <v>0</v>
      </c>
      <c r="AC2290">
        <v>1164</v>
      </c>
      <c r="AD2290">
        <v>0</v>
      </c>
      <c r="AE2290">
        <v>0</v>
      </c>
      <c r="AF2290">
        <v>0</v>
      </c>
      <c r="AG2290">
        <v>0</v>
      </c>
      <c r="AH2290">
        <v>0</v>
      </c>
      <c r="AI2290">
        <v>0</v>
      </c>
      <c r="AJ2290">
        <v>0</v>
      </c>
      <c r="AK2290">
        <v>0</v>
      </c>
      <c r="AL2290">
        <v>0</v>
      </c>
      <c r="AM2290">
        <v>0</v>
      </c>
      <c r="AN2290">
        <v>0</v>
      </c>
      <c r="AO2290">
        <v>0</v>
      </c>
      <c r="AP2290">
        <v>0</v>
      </c>
      <c r="AQ2290">
        <v>0</v>
      </c>
      <c r="AR2290">
        <v>0</v>
      </c>
      <c r="AS2290">
        <v>0</v>
      </c>
      <c r="AT2290">
        <v>0</v>
      </c>
      <c r="AU2290">
        <f t="shared" si="70"/>
        <v>0</v>
      </c>
      <c r="AV2290">
        <f t="shared" si="71"/>
        <v>0</v>
      </c>
    </row>
    <row r="2291" spans="1:48" x14ac:dyDescent="0.25">
      <c r="A2291" t="s">
        <v>8140</v>
      </c>
      <c r="B2291" t="s">
        <v>8143</v>
      </c>
      <c r="C2291" t="s">
        <v>8141</v>
      </c>
      <c r="D2291" t="s">
        <v>8142</v>
      </c>
      <c r="E2291" t="s">
        <v>2310</v>
      </c>
      <c r="F2291">
        <v>14</v>
      </c>
      <c r="G2291">
        <v>14.1</v>
      </c>
      <c r="H2291" t="s">
        <v>2022</v>
      </c>
      <c r="I2291" s="21">
        <v>39244</v>
      </c>
      <c r="J2291">
        <v>2007</v>
      </c>
      <c r="K2291" s="21">
        <v>39293</v>
      </c>
      <c r="L2291">
        <v>2007</v>
      </c>
      <c r="M2291" s="21">
        <v>39293</v>
      </c>
      <c r="N2291">
        <v>2007</v>
      </c>
      <c r="S2291" t="s">
        <v>114</v>
      </c>
      <c r="T2291" t="s">
        <v>114</v>
      </c>
      <c r="V2291">
        <v>0</v>
      </c>
      <c r="W2291">
        <v>292</v>
      </c>
      <c r="X2291">
        <v>0</v>
      </c>
      <c r="Y2291">
        <v>0</v>
      </c>
      <c r="Z2291">
        <v>0</v>
      </c>
      <c r="AA2291">
        <v>0</v>
      </c>
      <c r="AB2291">
        <v>0</v>
      </c>
      <c r="AC2291">
        <v>292</v>
      </c>
      <c r="AD2291">
        <v>0</v>
      </c>
      <c r="AE2291">
        <v>0</v>
      </c>
      <c r="AF2291">
        <v>0</v>
      </c>
      <c r="AG2291">
        <v>0</v>
      </c>
      <c r="AH2291">
        <v>0</v>
      </c>
      <c r="AI2291">
        <v>0</v>
      </c>
      <c r="AJ2291">
        <v>0</v>
      </c>
      <c r="AK2291">
        <v>0</v>
      </c>
      <c r="AL2291">
        <v>0</v>
      </c>
      <c r="AM2291">
        <v>0</v>
      </c>
      <c r="AN2291">
        <v>0</v>
      </c>
      <c r="AO2291">
        <v>0</v>
      </c>
      <c r="AP2291">
        <v>0</v>
      </c>
      <c r="AQ2291">
        <v>0</v>
      </c>
      <c r="AR2291">
        <v>0</v>
      </c>
      <c r="AS2291">
        <v>0</v>
      </c>
      <c r="AT2291">
        <v>0</v>
      </c>
      <c r="AU2291">
        <f t="shared" si="70"/>
        <v>0</v>
      </c>
      <c r="AV2291">
        <f t="shared" si="71"/>
        <v>0</v>
      </c>
    </row>
    <row r="2292" spans="1:48" x14ac:dyDescent="0.25">
      <c r="A2292" t="s">
        <v>8144</v>
      </c>
      <c r="C2292" t="s">
        <v>8145</v>
      </c>
      <c r="D2292" t="s">
        <v>3234</v>
      </c>
      <c r="E2292" t="s">
        <v>1663</v>
      </c>
      <c r="F2292">
        <v>2</v>
      </c>
      <c r="G2292">
        <v>2.4</v>
      </c>
      <c r="H2292" t="s">
        <v>2017</v>
      </c>
      <c r="I2292" s="21">
        <v>39245</v>
      </c>
      <c r="J2292">
        <v>2007</v>
      </c>
      <c r="K2292" s="21">
        <v>39275</v>
      </c>
      <c r="L2292">
        <v>2007</v>
      </c>
      <c r="M2292" s="21">
        <v>39428</v>
      </c>
      <c r="N2292">
        <v>2007</v>
      </c>
      <c r="Q2292" s="262">
        <v>0</v>
      </c>
      <c r="S2292" t="s">
        <v>114</v>
      </c>
      <c r="T2292" t="s">
        <v>114</v>
      </c>
      <c r="W2292">
        <v>83000</v>
      </c>
      <c r="X2292">
        <v>0</v>
      </c>
      <c r="Y2292">
        <v>0</v>
      </c>
      <c r="Z2292">
        <v>0</v>
      </c>
      <c r="AA2292">
        <v>0</v>
      </c>
      <c r="AB2292">
        <v>0</v>
      </c>
      <c r="AC2292">
        <v>0</v>
      </c>
      <c r="AD2292">
        <v>0</v>
      </c>
      <c r="AE2292">
        <v>0</v>
      </c>
      <c r="AF2292">
        <v>0</v>
      </c>
      <c r="AG2292">
        <v>0</v>
      </c>
      <c r="AH2292">
        <v>0</v>
      </c>
      <c r="AI2292">
        <v>0</v>
      </c>
      <c r="AJ2292">
        <v>0</v>
      </c>
      <c r="AK2292">
        <v>0</v>
      </c>
      <c r="AL2292">
        <v>0</v>
      </c>
      <c r="AM2292">
        <v>83000</v>
      </c>
      <c r="AN2292">
        <v>0</v>
      </c>
      <c r="AO2292">
        <v>0</v>
      </c>
      <c r="AP2292">
        <v>0</v>
      </c>
      <c r="AQ2292">
        <v>0</v>
      </c>
      <c r="AR2292">
        <v>0</v>
      </c>
      <c r="AS2292">
        <v>0</v>
      </c>
      <c r="AT2292">
        <v>0</v>
      </c>
      <c r="AU2292">
        <f t="shared" si="70"/>
        <v>0</v>
      </c>
      <c r="AV2292">
        <f t="shared" si="71"/>
        <v>83000</v>
      </c>
    </row>
    <row r="2293" spans="1:48" x14ac:dyDescent="0.25">
      <c r="A2293" t="s">
        <v>8146</v>
      </c>
      <c r="C2293" t="s">
        <v>8147</v>
      </c>
      <c r="D2293" t="s">
        <v>2636</v>
      </c>
      <c r="E2293" t="s">
        <v>2310</v>
      </c>
      <c r="F2293">
        <v>9</v>
      </c>
      <c r="G2293">
        <v>9.1999999999999993</v>
      </c>
      <c r="H2293" t="s">
        <v>2022</v>
      </c>
      <c r="I2293" s="21">
        <v>39246</v>
      </c>
      <c r="J2293">
        <v>2007</v>
      </c>
      <c r="K2293" s="21">
        <v>39323</v>
      </c>
      <c r="L2293">
        <v>2007</v>
      </c>
      <c r="M2293" s="21">
        <v>40025.5945601852</v>
      </c>
      <c r="N2293">
        <v>2009</v>
      </c>
      <c r="R2293" s="262">
        <v>5000000</v>
      </c>
      <c r="S2293" t="s">
        <v>114</v>
      </c>
      <c r="T2293" t="s">
        <v>114</v>
      </c>
      <c r="U2293">
        <v>5</v>
      </c>
      <c r="W2293">
        <v>14610</v>
      </c>
      <c r="X2293">
        <v>1</v>
      </c>
      <c r="Y2293">
        <v>0</v>
      </c>
      <c r="Z2293">
        <v>0</v>
      </c>
      <c r="AA2293">
        <v>0</v>
      </c>
      <c r="AB2293">
        <v>0</v>
      </c>
      <c r="AC2293">
        <v>14610</v>
      </c>
      <c r="AD2293">
        <v>0</v>
      </c>
      <c r="AE2293">
        <v>0</v>
      </c>
      <c r="AF2293">
        <v>0</v>
      </c>
      <c r="AG2293">
        <v>0</v>
      </c>
      <c r="AH2293">
        <v>0</v>
      </c>
      <c r="AI2293">
        <v>0</v>
      </c>
      <c r="AJ2293">
        <v>0</v>
      </c>
      <c r="AK2293">
        <v>0</v>
      </c>
      <c r="AL2293">
        <v>0</v>
      </c>
      <c r="AM2293">
        <v>0</v>
      </c>
      <c r="AN2293">
        <v>0</v>
      </c>
      <c r="AO2293">
        <v>1</v>
      </c>
      <c r="AP2293">
        <v>0</v>
      </c>
      <c r="AQ2293">
        <v>0</v>
      </c>
      <c r="AR2293">
        <v>0</v>
      </c>
      <c r="AS2293">
        <v>0</v>
      </c>
      <c r="AT2293">
        <v>0</v>
      </c>
      <c r="AU2293">
        <f t="shared" si="70"/>
        <v>1</v>
      </c>
      <c r="AV2293">
        <f t="shared" si="71"/>
        <v>0</v>
      </c>
    </row>
    <row r="2294" spans="1:48" x14ac:dyDescent="0.25">
      <c r="A2294" t="s">
        <v>8148</v>
      </c>
      <c r="C2294" t="s">
        <v>8149</v>
      </c>
      <c r="D2294" t="s">
        <v>8150</v>
      </c>
      <c r="E2294" t="s">
        <v>2310</v>
      </c>
      <c r="F2294">
        <v>9</v>
      </c>
      <c r="G2294">
        <v>9.1</v>
      </c>
      <c r="H2294" t="s">
        <v>2323</v>
      </c>
      <c r="I2294" s="21">
        <v>39247</v>
      </c>
      <c r="J2294">
        <v>2007</v>
      </c>
      <c r="K2294" s="21">
        <v>39349</v>
      </c>
      <c r="L2294">
        <v>2007</v>
      </c>
      <c r="M2294" s="21">
        <v>40381.495324074102</v>
      </c>
      <c r="N2294">
        <v>2010</v>
      </c>
      <c r="R2294" s="262">
        <v>10800000</v>
      </c>
      <c r="S2294" t="s">
        <v>114</v>
      </c>
      <c r="T2294" t="s">
        <v>114</v>
      </c>
      <c r="U2294">
        <v>6</v>
      </c>
      <c r="W2294">
        <v>8431</v>
      </c>
      <c r="X2294">
        <v>2</v>
      </c>
      <c r="Y2294">
        <v>0</v>
      </c>
      <c r="Z2294">
        <v>0</v>
      </c>
      <c r="AA2294">
        <v>0</v>
      </c>
      <c r="AB2294">
        <v>0</v>
      </c>
      <c r="AC2294">
        <v>8431</v>
      </c>
      <c r="AD2294">
        <v>0</v>
      </c>
      <c r="AE2294">
        <v>0</v>
      </c>
      <c r="AF2294">
        <v>0</v>
      </c>
      <c r="AG2294">
        <v>0</v>
      </c>
      <c r="AH2294">
        <v>0</v>
      </c>
      <c r="AI2294">
        <v>0</v>
      </c>
      <c r="AJ2294">
        <v>0</v>
      </c>
      <c r="AK2294">
        <v>0</v>
      </c>
      <c r="AL2294">
        <v>0</v>
      </c>
      <c r="AM2294">
        <v>0</v>
      </c>
      <c r="AN2294">
        <v>0</v>
      </c>
      <c r="AO2294">
        <v>0</v>
      </c>
      <c r="AP2294">
        <v>2</v>
      </c>
      <c r="AQ2294">
        <v>0</v>
      </c>
      <c r="AR2294">
        <v>0</v>
      </c>
      <c r="AS2294">
        <v>0</v>
      </c>
      <c r="AT2294">
        <v>0</v>
      </c>
      <c r="AU2294">
        <f t="shared" si="70"/>
        <v>2</v>
      </c>
      <c r="AV2294">
        <f t="shared" si="71"/>
        <v>0</v>
      </c>
    </row>
    <row r="2295" spans="1:48" x14ac:dyDescent="0.25">
      <c r="A2295" t="s">
        <v>8151</v>
      </c>
      <c r="C2295" t="s">
        <v>8152</v>
      </c>
      <c r="D2295" t="s">
        <v>8153</v>
      </c>
      <c r="E2295" t="s">
        <v>2310</v>
      </c>
      <c r="F2295">
        <v>8</v>
      </c>
      <c r="G2295">
        <v>8.3000000000000007</v>
      </c>
      <c r="H2295" t="s">
        <v>2323</v>
      </c>
      <c r="I2295" s="21">
        <v>39247</v>
      </c>
      <c r="J2295">
        <v>2007</v>
      </c>
      <c r="K2295" s="21">
        <v>39287</v>
      </c>
      <c r="L2295">
        <v>2007</v>
      </c>
      <c r="M2295" s="21">
        <v>39622</v>
      </c>
      <c r="N2295">
        <v>2008</v>
      </c>
      <c r="R2295" s="262">
        <v>200000</v>
      </c>
      <c r="S2295" t="s">
        <v>114</v>
      </c>
      <c r="T2295" t="s">
        <v>114</v>
      </c>
      <c r="U2295">
        <v>8</v>
      </c>
      <c r="W2295">
        <v>999</v>
      </c>
      <c r="X2295">
        <v>1</v>
      </c>
      <c r="Y2295">
        <v>0</v>
      </c>
      <c r="Z2295">
        <v>0</v>
      </c>
      <c r="AA2295">
        <v>0</v>
      </c>
      <c r="AB2295">
        <v>0</v>
      </c>
      <c r="AC2295">
        <v>0</v>
      </c>
      <c r="AD2295">
        <v>0</v>
      </c>
      <c r="AE2295">
        <v>0</v>
      </c>
      <c r="AF2295">
        <v>999</v>
      </c>
      <c r="AG2295">
        <v>0</v>
      </c>
      <c r="AH2295">
        <v>0</v>
      </c>
      <c r="AI2295">
        <v>0</v>
      </c>
      <c r="AJ2295">
        <v>0</v>
      </c>
      <c r="AK2295">
        <v>0</v>
      </c>
      <c r="AL2295">
        <v>0</v>
      </c>
      <c r="AM2295">
        <v>0</v>
      </c>
      <c r="AN2295">
        <v>0</v>
      </c>
      <c r="AO2295">
        <v>0</v>
      </c>
      <c r="AP2295">
        <v>0</v>
      </c>
      <c r="AQ2295">
        <v>0</v>
      </c>
      <c r="AR2295">
        <v>1</v>
      </c>
      <c r="AS2295">
        <v>0</v>
      </c>
      <c r="AT2295">
        <v>0</v>
      </c>
      <c r="AU2295">
        <f t="shared" si="70"/>
        <v>0</v>
      </c>
      <c r="AV2295">
        <f t="shared" si="71"/>
        <v>0</v>
      </c>
    </row>
    <row r="2296" spans="1:48" x14ac:dyDescent="0.25">
      <c r="A2296" t="s">
        <v>8154</v>
      </c>
      <c r="C2296" t="s">
        <v>8155</v>
      </c>
      <c r="D2296" t="s">
        <v>8153</v>
      </c>
      <c r="E2296" t="s">
        <v>2310</v>
      </c>
      <c r="F2296">
        <v>8</v>
      </c>
      <c r="G2296">
        <v>8.3000000000000007</v>
      </c>
      <c r="H2296" t="s">
        <v>2323</v>
      </c>
      <c r="I2296" s="21">
        <v>39247</v>
      </c>
      <c r="J2296">
        <v>2007</v>
      </c>
      <c r="K2296" s="21">
        <v>39287</v>
      </c>
      <c r="L2296">
        <v>2007</v>
      </c>
      <c r="M2296" s="21">
        <v>39622</v>
      </c>
      <c r="N2296">
        <v>2008</v>
      </c>
      <c r="R2296" s="262">
        <v>100000</v>
      </c>
      <c r="S2296" t="s">
        <v>114</v>
      </c>
      <c r="T2296" t="s">
        <v>114</v>
      </c>
      <c r="U2296">
        <v>5</v>
      </c>
      <c r="W2296">
        <v>1500</v>
      </c>
      <c r="X2296">
        <v>0</v>
      </c>
      <c r="Y2296">
        <v>0</v>
      </c>
      <c r="Z2296">
        <v>0</v>
      </c>
      <c r="AA2296">
        <v>0</v>
      </c>
      <c r="AB2296">
        <v>0</v>
      </c>
      <c r="AC2296">
        <v>1500</v>
      </c>
      <c r="AD2296">
        <v>0</v>
      </c>
      <c r="AE2296">
        <v>0</v>
      </c>
      <c r="AF2296">
        <v>0</v>
      </c>
      <c r="AG2296">
        <v>0</v>
      </c>
      <c r="AH2296">
        <v>0</v>
      </c>
      <c r="AI2296">
        <v>0</v>
      </c>
      <c r="AJ2296">
        <v>0</v>
      </c>
      <c r="AK2296">
        <v>0</v>
      </c>
      <c r="AL2296">
        <v>0</v>
      </c>
      <c r="AM2296">
        <v>0</v>
      </c>
      <c r="AN2296">
        <v>0</v>
      </c>
      <c r="AO2296">
        <v>0</v>
      </c>
      <c r="AP2296">
        <v>0</v>
      </c>
      <c r="AQ2296">
        <v>0</v>
      </c>
      <c r="AR2296">
        <v>0</v>
      </c>
      <c r="AS2296">
        <v>0</v>
      </c>
      <c r="AT2296">
        <v>0</v>
      </c>
      <c r="AU2296">
        <f t="shared" si="70"/>
        <v>0</v>
      </c>
      <c r="AV2296">
        <f t="shared" si="71"/>
        <v>0</v>
      </c>
    </row>
    <row r="2297" spans="1:48" x14ac:dyDescent="0.25">
      <c r="A2297" t="s">
        <v>8156</v>
      </c>
      <c r="C2297" t="s">
        <v>8157</v>
      </c>
      <c r="D2297" t="s">
        <v>8158</v>
      </c>
      <c r="E2297" t="s">
        <v>1663</v>
      </c>
      <c r="F2297">
        <v>3</v>
      </c>
      <c r="G2297">
        <v>3.1</v>
      </c>
      <c r="H2297" t="s">
        <v>2017</v>
      </c>
      <c r="I2297" s="21">
        <v>39248</v>
      </c>
      <c r="J2297">
        <v>2007</v>
      </c>
      <c r="K2297" s="21">
        <v>39278</v>
      </c>
      <c r="L2297">
        <v>2007</v>
      </c>
      <c r="M2297" s="21">
        <v>39431</v>
      </c>
      <c r="N2297">
        <v>2007</v>
      </c>
      <c r="Q2297" s="262">
        <v>0</v>
      </c>
      <c r="S2297" t="s">
        <v>114</v>
      </c>
      <c r="T2297" t="s">
        <v>114</v>
      </c>
      <c r="W2297">
        <v>1811</v>
      </c>
      <c r="X2297">
        <v>1</v>
      </c>
      <c r="Y2297">
        <v>0</v>
      </c>
      <c r="Z2297">
        <v>0</v>
      </c>
      <c r="AA2297">
        <v>0</v>
      </c>
      <c r="AB2297">
        <v>0</v>
      </c>
      <c r="AC2297">
        <v>0</v>
      </c>
      <c r="AD2297">
        <v>1811</v>
      </c>
      <c r="AE2297">
        <v>0</v>
      </c>
      <c r="AF2297">
        <v>0</v>
      </c>
      <c r="AG2297">
        <v>0</v>
      </c>
      <c r="AH2297">
        <v>0</v>
      </c>
      <c r="AI2297">
        <v>0</v>
      </c>
      <c r="AJ2297">
        <v>0</v>
      </c>
      <c r="AK2297">
        <v>0</v>
      </c>
      <c r="AL2297">
        <v>0</v>
      </c>
      <c r="AM2297">
        <v>0</v>
      </c>
      <c r="AN2297">
        <v>0</v>
      </c>
      <c r="AO2297">
        <v>0</v>
      </c>
      <c r="AP2297">
        <v>1</v>
      </c>
      <c r="AQ2297">
        <v>0</v>
      </c>
      <c r="AR2297">
        <v>0</v>
      </c>
      <c r="AS2297">
        <v>0</v>
      </c>
      <c r="AT2297">
        <v>0</v>
      </c>
      <c r="AU2297">
        <f t="shared" si="70"/>
        <v>1</v>
      </c>
      <c r="AV2297">
        <f t="shared" si="71"/>
        <v>0</v>
      </c>
    </row>
    <row r="2298" spans="1:48" x14ac:dyDescent="0.25">
      <c r="A2298" t="s">
        <v>8159</v>
      </c>
      <c r="C2298" t="s">
        <v>8160</v>
      </c>
      <c r="D2298" t="s">
        <v>7567</v>
      </c>
      <c r="E2298" t="s">
        <v>2310</v>
      </c>
      <c r="F2298">
        <v>9</v>
      </c>
      <c r="G2298">
        <v>9.1</v>
      </c>
      <c r="H2298" t="s">
        <v>2323</v>
      </c>
      <c r="I2298" s="21">
        <v>39251</v>
      </c>
      <c r="J2298">
        <v>2007</v>
      </c>
      <c r="K2298" s="21">
        <v>39260</v>
      </c>
      <c r="L2298">
        <v>2007</v>
      </c>
      <c r="M2298" s="21">
        <v>39260</v>
      </c>
      <c r="N2298">
        <v>2007</v>
      </c>
      <c r="R2298" s="262">
        <v>75000</v>
      </c>
      <c r="S2298" t="s">
        <v>114</v>
      </c>
      <c r="T2298" t="s">
        <v>114</v>
      </c>
      <c r="U2298">
        <v>5</v>
      </c>
      <c r="W2298">
        <v>240</v>
      </c>
      <c r="X2298">
        <v>0</v>
      </c>
      <c r="Y2298">
        <v>0</v>
      </c>
      <c r="Z2298">
        <v>0</v>
      </c>
      <c r="AA2298">
        <v>0</v>
      </c>
      <c r="AB2298">
        <v>0</v>
      </c>
      <c r="AC2298">
        <v>240</v>
      </c>
      <c r="AD2298">
        <v>0</v>
      </c>
      <c r="AE2298">
        <v>0</v>
      </c>
      <c r="AF2298">
        <v>0</v>
      </c>
      <c r="AG2298">
        <v>0</v>
      </c>
      <c r="AH2298">
        <v>0</v>
      </c>
      <c r="AI2298">
        <v>0</v>
      </c>
      <c r="AJ2298">
        <v>0</v>
      </c>
      <c r="AK2298">
        <v>0</v>
      </c>
      <c r="AL2298">
        <v>0</v>
      </c>
      <c r="AM2298">
        <v>0</v>
      </c>
      <c r="AN2298">
        <v>0</v>
      </c>
      <c r="AO2298">
        <v>0</v>
      </c>
      <c r="AP2298">
        <v>0</v>
      </c>
      <c r="AQ2298">
        <v>0</v>
      </c>
      <c r="AR2298">
        <v>0</v>
      </c>
      <c r="AS2298">
        <v>0</v>
      </c>
      <c r="AT2298">
        <v>0</v>
      </c>
      <c r="AU2298">
        <f t="shared" si="70"/>
        <v>0</v>
      </c>
      <c r="AV2298">
        <f t="shared" si="71"/>
        <v>0</v>
      </c>
    </row>
    <row r="2299" spans="1:48" x14ac:dyDescent="0.25">
      <c r="A2299" t="s">
        <v>8161</v>
      </c>
      <c r="C2299" t="s">
        <v>8162</v>
      </c>
      <c r="D2299" t="s">
        <v>7900</v>
      </c>
      <c r="E2299" t="s">
        <v>2310</v>
      </c>
      <c r="F2299">
        <v>15</v>
      </c>
      <c r="G2299">
        <v>15.2</v>
      </c>
      <c r="H2299" t="s">
        <v>2323</v>
      </c>
      <c r="I2299" s="21">
        <v>39251</v>
      </c>
      <c r="J2299">
        <v>2007</v>
      </c>
      <c r="K2299" s="21">
        <v>39287</v>
      </c>
      <c r="L2299">
        <v>2007</v>
      </c>
      <c r="M2299" s="21">
        <v>39287</v>
      </c>
      <c r="N2299">
        <v>2007</v>
      </c>
      <c r="R2299" s="262">
        <v>28000</v>
      </c>
      <c r="S2299" t="s">
        <v>114</v>
      </c>
      <c r="T2299" t="s">
        <v>114</v>
      </c>
      <c r="U2299">
        <v>5</v>
      </c>
      <c r="W2299">
        <v>750</v>
      </c>
      <c r="X2299">
        <v>0</v>
      </c>
      <c r="Y2299">
        <v>0</v>
      </c>
      <c r="Z2299">
        <v>0</v>
      </c>
      <c r="AA2299">
        <v>0</v>
      </c>
      <c r="AB2299">
        <v>0</v>
      </c>
      <c r="AC2299">
        <v>750</v>
      </c>
      <c r="AD2299">
        <v>0</v>
      </c>
      <c r="AE2299">
        <v>0</v>
      </c>
      <c r="AF2299">
        <v>0</v>
      </c>
      <c r="AG2299">
        <v>0</v>
      </c>
      <c r="AH2299">
        <v>0</v>
      </c>
      <c r="AI2299">
        <v>0</v>
      </c>
      <c r="AJ2299">
        <v>0</v>
      </c>
      <c r="AK2299">
        <v>0</v>
      </c>
      <c r="AL2299">
        <v>0</v>
      </c>
      <c r="AM2299">
        <v>0</v>
      </c>
      <c r="AN2299">
        <v>0</v>
      </c>
      <c r="AO2299">
        <v>0</v>
      </c>
      <c r="AP2299">
        <v>0</v>
      </c>
      <c r="AQ2299">
        <v>0</v>
      </c>
      <c r="AR2299">
        <v>0</v>
      </c>
      <c r="AS2299">
        <v>0</v>
      </c>
      <c r="AT2299">
        <v>0</v>
      </c>
      <c r="AU2299">
        <f t="shared" si="70"/>
        <v>0</v>
      </c>
      <c r="AV2299">
        <f t="shared" si="71"/>
        <v>0</v>
      </c>
    </row>
    <row r="2300" spans="1:48" x14ac:dyDescent="0.25">
      <c r="A2300" t="s">
        <v>8169</v>
      </c>
      <c r="C2300" t="s">
        <v>8170</v>
      </c>
      <c r="D2300" t="s">
        <v>8171</v>
      </c>
      <c r="E2300" t="s">
        <v>2310</v>
      </c>
      <c r="F2300">
        <v>15</v>
      </c>
      <c r="G2300">
        <v>15.1</v>
      </c>
      <c r="H2300" t="s">
        <v>2022</v>
      </c>
      <c r="I2300" s="21">
        <v>39252</v>
      </c>
      <c r="J2300">
        <v>2007</v>
      </c>
      <c r="K2300" s="21">
        <v>39352</v>
      </c>
      <c r="L2300">
        <v>2007</v>
      </c>
      <c r="M2300" s="21">
        <v>39850</v>
      </c>
      <c r="N2300">
        <v>2009</v>
      </c>
      <c r="R2300" s="262">
        <v>14000</v>
      </c>
      <c r="S2300" t="s">
        <v>114</v>
      </c>
      <c r="T2300" t="s">
        <v>114</v>
      </c>
      <c r="U2300">
        <v>3</v>
      </c>
      <c r="W2300">
        <v>192</v>
      </c>
      <c r="X2300">
        <v>0</v>
      </c>
      <c r="Y2300">
        <v>0</v>
      </c>
      <c r="Z2300">
        <v>0</v>
      </c>
      <c r="AA2300">
        <v>192</v>
      </c>
      <c r="AB2300">
        <v>0</v>
      </c>
      <c r="AC2300">
        <v>0</v>
      </c>
      <c r="AD2300">
        <v>0</v>
      </c>
      <c r="AE2300">
        <v>0</v>
      </c>
      <c r="AF2300">
        <v>0</v>
      </c>
      <c r="AG2300">
        <v>0</v>
      </c>
      <c r="AH2300">
        <v>0</v>
      </c>
      <c r="AI2300">
        <v>0</v>
      </c>
      <c r="AJ2300">
        <v>0</v>
      </c>
      <c r="AK2300">
        <v>0</v>
      </c>
      <c r="AL2300">
        <v>0</v>
      </c>
      <c r="AM2300">
        <v>0</v>
      </c>
      <c r="AN2300">
        <v>0</v>
      </c>
      <c r="AO2300">
        <v>0</v>
      </c>
      <c r="AP2300">
        <v>0</v>
      </c>
      <c r="AQ2300">
        <v>0</v>
      </c>
      <c r="AR2300">
        <v>0</v>
      </c>
      <c r="AS2300">
        <v>0</v>
      </c>
      <c r="AT2300">
        <v>0</v>
      </c>
      <c r="AU2300">
        <f t="shared" si="70"/>
        <v>0</v>
      </c>
      <c r="AV2300">
        <f t="shared" si="71"/>
        <v>192</v>
      </c>
    </row>
    <row r="2301" spans="1:48" x14ac:dyDescent="0.25">
      <c r="A2301" t="s">
        <v>8172</v>
      </c>
      <c r="C2301" t="s">
        <v>8173</v>
      </c>
      <c r="D2301" t="s">
        <v>8174</v>
      </c>
      <c r="E2301" t="s">
        <v>2310</v>
      </c>
      <c r="F2301">
        <v>9</v>
      </c>
      <c r="G2301">
        <v>9.1</v>
      </c>
      <c r="H2301" t="s">
        <v>2323</v>
      </c>
      <c r="I2301" s="21">
        <v>39252</v>
      </c>
      <c r="J2301">
        <v>2007</v>
      </c>
      <c r="K2301" s="21">
        <v>39322</v>
      </c>
      <c r="L2301">
        <v>2007</v>
      </c>
      <c r="M2301" s="21">
        <v>40003.458310185197</v>
      </c>
      <c r="N2301">
        <v>2009</v>
      </c>
      <c r="R2301" s="262">
        <v>1400000</v>
      </c>
      <c r="S2301" t="s">
        <v>114</v>
      </c>
      <c r="T2301" t="s">
        <v>114</v>
      </c>
      <c r="U2301">
        <v>5</v>
      </c>
      <c r="W2301">
        <v>5593</v>
      </c>
      <c r="X2301">
        <v>1</v>
      </c>
      <c r="Y2301">
        <v>0</v>
      </c>
      <c r="Z2301">
        <v>0</v>
      </c>
      <c r="AA2301">
        <v>0</v>
      </c>
      <c r="AB2301">
        <v>0</v>
      </c>
      <c r="AC2301">
        <v>5593</v>
      </c>
      <c r="AD2301">
        <v>0</v>
      </c>
      <c r="AE2301">
        <v>0</v>
      </c>
      <c r="AF2301">
        <v>0</v>
      </c>
      <c r="AG2301">
        <v>0</v>
      </c>
      <c r="AH2301">
        <v>0</v>
      </c>
      <c r="AI2301">
        <v>0</v>
      </c>
      <c r="AJ2301">
        <v>0</v>
      </c>
      <c r="AK2301">
        <v>0</v>
      </c>
      <c r="AL2301">
        <v>0</v>
      </c>
      <c r="AM2301">
        <v>0</v>
      </c>
      <c r="AN2301">
        <v>0</v>
      </c>
      <c r="AO2301">
        <v>1</v>
      </c>
      <c r="AP2301">
        <v>0</v>
      </c>
      <c r="AQ2301">
        <v>0</v>
      </c>
      <c r="AR2301">
        <v>0</v>
      </c>
      <c r="AS2301">
        <v>0</v>
      </c>
      <c r="AT2301">
        <v>0</v>
      </c>
      <c r="AU2301">
        <f t="shared" si="70"/>
        <v>1</v>
      </c>
      <c r="AV2301">
        <f t="shared" si="71"/>
        <v>0</v>
      </c>
    </row>
    <row r="2302" spans="1:48" x14ac:dyDescent="0.25">
      <c r="A2302" t="s">
        <v>8163</v>
      </c>
      <c r="C2302" t="s">
        <v>8164</v>
      </c>
      <c r="D2302" t="s">
        <v>8165</v>
      </c>
      <c r="E2302" t="s">
        <v>1663</v>
      </c>
      <c r="F2302">
        <v>3</v>
      </c>
      <c r="G2302">
        <v>3.1</v>
      </c>
      <c r="H2302" t="s">
        <v>2017</v>
      </c>
      <c r="I2302" s="21">
        <v>39252</v>
      </c>
      <c r="J2302">
        <v>2007</v>
      </c>
      <c r="K2302" s="21">
        <v>39282</v>
      </c>
      <c r="L2302">
        <v>2007</v>
      </c>
      <c r="M2302" s="21">
        <v>39435</v>
      </c>
      <c r="N2302">
        <v>2007</v>
      </c>
      <c r="Q2302" s="262">
        <v>0</v>
      </c>
      <c r="S2302" t="s">
        <v>114</v>
      </c>
      <c r="T2302" t="s">
        <v>114</v>
      </c>
      <c r="W2302">
        <v>2814</v>
      </c>
      <c r="X2302">
        <v>1</v>
      </c>
      <c r="Y2302">
        <v>0</v>
      </c>
      <c r="Z2302">
        <v>0</v>
      </c>
      <c r="AA2302">
        <v>0</v>
      </c>
      <c r="AB2302">
        <v>0</v>
      </c>
      <c r="AC2302">
        <v>0</v>
      </c>
      <c r="AD2302">
        <v>2814</v>
      </c>
      <c r="AE2302">
        <v>0</v>
      </c>
      <c r="AF2302">
        <v>0</v>
      </c>
      <c r="AG2302">
        <v>0</v>
      </c>
      <c r="AH2302">
        <v>0</v>
      </c>
      <c r="AI2302">
        <v>0</v>
      </c>
      <c r="AJ2302">
        <v>0</v>
      </c>
      <c r="AK2302">
        <v>0</v>
      </c>
      <c r="AL2302">
        <v>0</v>
      </c>
      <c r="AM2302">
        <v>0</v>
      </c>
      <c r="AN2302">
        <v>0</v>
      </c>
      <c r="AO2302">
        <v>0</v>
      </c>
      <c r="AP2302">
        <v>1</v>
      </c>
      <c r="AQ2302">
        <v>0</v>
      </c>
      <c r="AR2302">
        <v>0</v>
      </c>
      <c r="AS2302">
        <v>0</v>
      </c>
      <c r="AT2302">
        <v>0</v>
      </c>
      <c r="AU2302">
        <f t="shared" si="70"/>
        <v>1</v>
      </c>
      <c r="AV2302">
        <f t="shared" si="71"/>
        <v>0</v>
      </c>
    </row>
    <row r="2303" spans="1:48" x14ac:dyDescent="0.25">
      <c r="A2303" t="s">
        <v>8166</v>
      </c>
      <c r="C2303" t="s">
        <v>8167</v>
      </c>
      <c r="D2303" t="s">
        <v>8168</v>
      </c>
      <c r="E2303" t="s">
        <v>1663</v>
      </c>
      <c r="F2303">
        <v>3</v>
      </c>
      <c r="G2303">
        <v>3.1</v>
      </c>
      <c r="H2303" t="s">
        <v>2017</v>
      </c>
      <c r="I2303" s="21">
        <v>39252</v>
      </c>
      <c r="J2303">
        <v>2007</v>
      </c>
      <c r="K2303" s="21">
        <v>39282</v>
      </c>
      <c r="L2303">
        <v>2007</v>
      </c>
      <c r="M2303" s="21">
        <v>39435</v>
      </c>
      <c r="N2303">
        <v>2007</v>
      </c>
      <c r="Q2303" s="262">
        <v>0</v>
      </c>
      <c r="S2303" t="s">
        <v>114</v>
      </c>
      <c r="T2303" t="s">
        <v>114</v>
      </c>
      <c r="W2303">
        <v>2814</v>
      </c>
      <c r="X2303">
        <v>1</v>
      </c>
      <c r="Y2303">
        <v>0</v>
      </c>
      <c r="Z2303">
        <v>0</v>
      </c>
      <c r="AA2303">
        <v>0</v>
      </c>
      <c r="AB2303">
        <v>0</v>
      </c>
      <c r="AC2303">
        <v>0</v>
      </c>
      <c r="AD2303">
        <v>2814</v>
      </c>
      <c r="AE2303">
        <v>0</v>
      </c>
      <c r="AF2303">
        <v>0</v>
      </c>
      <c r="AG2303">
        <v>0</v>
      </c>
      <c r="AH2303">
        <v>0</v>
      </c>
      <c r="AI2303">
        <v>0</v>
      </c>
      <c r="AJ2303">
        <v>0</v>
      </c>
      <c r="AK2303">
        <v>0</v>
      </c>
      <c r="AL2303">
        <v>0</v>
      </c>
      <c r="AM2303">
        <v>0</v>
      </c>
      <c r="AN2303">
        <v>0</v>
      </c>
      <c r="AO2303">
        <v>0</v>
      </c>
      <c r="AP2303">
        <v>1</v>
      </c>
      <c r="AQ2303">
        <v>0</v>
      </c>
      <c r="AR2303">
        <v>0</v>
      </c>
      <c r="AS2303">
        <v>0</v>
      </c>
      <c r="AT2303">
        <v>0</v>
      </c>
      <c r="AU2303">
        <f t="shared" si="70"/>
        <v>1</v>
      </c>
      <c r="AV2303">
        <f t="shared" si="71"/>
        <v>0</v>
      </c>
    </row>
    <row r="2304" spans="1:48" x14ac:dyDescent="0.25">
      <c r="A2304" t="s">
        <v>8175</v>
      </c>
      <c r="C2304" t="s">
        <v>8176</v>
      </c>
      <c r="D2304" t="s">
        <v>8177</v>
      </c>
      <c r="E2304" t="s">
        <v>2310</v>
      </c>
      <c r="F2304">
        <v>9</v>
      </c>
      <c r="G2304">
        <v>9.3000000000000007</v>
      </c>
      <c r="H2304" t="s">
        <v>2323</v>
      </c>
      <c r="I2304" s="21">
        <v>39254</v>
      </c>
      <c r="J2304">
        <v>2007</v>
      </c>
      <c r="K2304" s="21">
        <v>39295</v>
      </c>
      <c r="L2304">
        <v>2007</v>
      </c>
      <c r="M2304" s="21">
        <v>39715</v>
      </c>
      <c r="N2304">
        <v>2008</v>
      </c>
      <c r="R2304" s="262">
        <v>1400000</v>
      </c>
      <c r="S2304" t="s">
        <v>114</v>
      </c>
      <c r="T2304" t="s">
        <v>114</v>
      </c>
      <c r="U2304">
        <v>5</v>
      </c>
      <c r="W2304">
        <v>4843</v>
      </c>
      <c r="X2304">
        <v>1</v>
      </c>
      <c r="Y2304">
        <v>0</v>
      </c>
      <c r="Z2304">
        <v>0</v>
      </c>
      <c r="AA2304">
        <v>0</v>
      </c>
      <c r="AB2304">
        <v>0</v>
      </c>
      <c r="AC2304">
        <v>4843</v>
      </c>
      <c r="AD2304">
        <v>0</v>
      </c>
      <c r="AE2304">
        <v>0</v>
      </c>
      <c r="AF2304">
        <v>0</v>
      </c>
      <c r="AG2304">
        <v>0</v>
      </c>
      <c r="AH2304">
        <v>0</v>
      </c>
      <c r="AI2304">
        <v>0</v>
      </c>
      <c r="AJ2304">
        <v>0</v>
      </c>
      <c r="AK2304">
        <v>0</v>
      </c>
      <c r="AL2304">
        <v>0</v>
      </c>
      <c r="AM2304">
        <v>0</v>
      </c>
      <c r="AN2304">
        <v>0</v>
      </c>
      <c r="AO2304">
        <v>1</v>
      </c>
      <c r="AP2304">
        <v>0</v>
      </c>
      <c r="AQ2304">
        <v>0</v>
      </c>
      <c r="AR2304">
        <v>0</v>
      </c>
      <c r="AS2304">
        <v>0</v>
      </c>
      <c r="AT2304">
        <v>0</v>
      </c>
      <c r="AU2304">
        <f t="shared" si="70"/>
        <v>1</v>
      </c>
      <c r="AV2304">
        <f t="shared" si="71"/>
        <v>0</v>
      </c>
    </row>
    <row r="2305" spans="1:48" x14ac:dyDescent="0.25">
      <c r="A2305" t="s">
        <v>8178</v>
      </c>
      <c r="C2305" t="s">
        <v>8179</v>
      </c>
      <c r="D2305" t="s">
        <v>8180</v>
      </c>
      <c r="E2305" t="s">
        <v>2310</v>
      </c>
      <c r="F2305">
        <v>8</v>
      </c>
      <c r="G2305">
        <v>8.1999999999999993</v>
      </c>
      <c r="H2305" t="s">
        <v>2022</v>
      </c>
      <c r="I2305" s="21">
        <v>39254</v>
      </c>
      <c r="J2305">
        <v>2007</v>
      </c>
      <c r="K2305" s="21">
        <v>39260</v>
      </c>
      <c r="L2305">
        <v>2007</v>
      </c>
      <c r="M2305" s="21">
        <v>39639</v>
      </c>
      <c r="N2305">
        <v>2008</v>
      </c>
      <c r="R2305" s="262">
        <v>25000</v>
      </c>
      <c r="S2305" t="s">
        <v>114</v>
      </c>
      <c r="T2305" t="s">
        <v>114</v>
      </c>
      <c r="U2305">
        <v>5</v>
      </c>
      <c r="W2305">
        <v>0</v>
      </c>
      <c r="X2305">
        <v>0</v>
      </c>
      <c r="Y2305">
        <v>0</v>
      </c>
      <c r="Z2305">
        <v>0</v>
      </c>
      <c r="AA2305">
        <v>0</v>
      </c>
      <c r="AB2305">
        <v>0</v>
      </c>
      <c r="AC2305">
        <v>0</v>
      </c>
      <c r="AD2305">
        <v>0</v>
      </c>
      <c r="AE2305">
        <v>0</v>
      </c>
      <c r="AF2305">
        <v>0</v>
      </c>
      <c r="AG2305">
        <v>0</v>
      </c>
      <c r="AH2305">
        <v>0</v>
      </c>
      <c r="AI2305">
        <v>0</v>
      </c>
      <c r="AJ2305">
        <v>0</v>
      </c>
      <c r="AK2305">
        <v>0</v>
      </c>
      <c r="AL2305">
        <v>0</v>
      </c>
      <c r="AM2305">
        <v>0</v>
      </c>
      <c r="AN2305">
        <v>0</v>
      </c>
      <c r="AO2305">
        <v>0</v>
      </c>
      <c r="AP2305">
        <v>0</v>
      </c>
      <c r="AQ2305">
        <v>0</v>
      </c>
      <c r="AR2305">
        <v>0</v>
      </c>
      <c r="AS2305">
        <v>0</v>
      </c>
      <c r="AT2305">
        <v>0</v>
      </c>
      <c r="AU2305">
        <f t="shared" si="70"/>
        <v>0</v>
      </c>
      <c r="AV2305">
        <f t="shared" si="71"/>
        <v>0</v>
      </c>
    </row>
    <row r="2306" spans="1:48" x14ac:dyDescent="0.25">
      <c r="A2306" t="s">
        <v>8181</v>
      </c>
      <c r="C2306" t="s">
        <v>8182</v>
      </c>
      <c r="D2306" t="s">
        <v>8183</v>
      </c>
      <c r="E2306" t="s">
        <v>2310</v>
      </c>
      <c r="F2306">
        <v>10</v>
      </c>
      <c r="G2306">
        <v>10.1</v>
      </c>
      <c r="H2306" t="s">
        <v>2323</v>
      </c>
      <c r="I2306" s="21">
        <v>39258</v>
      </c>
      <c r="J2306">
        <v>2007</v>
      </c>
      <c r="K2306" s="21">
        <v>39374</v>
      </c>
      <c r="L2306">
        <v>2007</v>
      </c>
      <c r="M2306" s="21">
        <v>39961</v>
      </c>
      <c r="N2306">
        <v>2009</v>
      </c>
      <c r="R2306" s="262">
        <v>495000</v>
      </c>
      <c r="S2306" t="s">
        <v>114</v>
      </c>
      <c r="T2306" t="s">
        <v>114</v>
      </c>
      <c r="U2306">
        <v>5</v>
      </c>
      <c r="W2306">
        <v>3634</v>
      </c>
      <c r="X2306">
        <v>1</v>
      </c>
      <c r="Y2306">
        <v>0</v>
      </c>
      <c r="Z2306">
        <v>0</v>
      </c>
      <c r="AA2306">
        <v>0</v>
      </c>
      <c r="AB2306">
        <v>0</v>
      </c>
      <c r="AC2306">
        <v>3634</v>
      </c>
      <c r="AD2306">
        <v>0</v>
      </c>
      <c r="AE2306">
        <v>0</v>
      </c>
      <c r="AF2306">
        <v>0</v>
      </c>
      <c r="AG2306">
        <v>0</v>
      </c>
      <c r="AH2306">
        <v>0</v>
      </c>
      <c r="AI2306">
        <v>0</v>
      </c>
      <c r="AJ2306">
        <v>0</v>
      </c>
      <c r="AK2306">
        <v>0</v>
      </c>
      <c r="AL2306">
        <v>0</v>
      </c>
      <c r="AM2306">
        <v>0</v>
      </c>
      <c r="AN2306">
        <v>0</v>
      </c>
      <c r="AO2306">
        <v>1</v>
      </c>
      <c r="AP2306">
        <v>0</v>
      </c>
      <c r="AQ2306">
        <v>0</v>
      </c>
      <c r="AR2306">
        <v>0</v>
      </c>
      <c r="AS2306">
        <v>0</v>
      </c>
      <c r="AT2306">
        <v>0</v>
      </c>
      <c r="AU2306">
        <f t="shared" si="70"/>
        <v>1</v>
      </c>
      <c r="AV2306">
        <f t="shared" si="71"/>
        <v>0</v>
      </c>
    </row>
    <row r="2307" spans="1:48" x14ac:dyDescent="0.25">
      <c r="A2307" t="s">
        <v>8184</v>
      </c>
      <c r="C2307" t="s">
        <v>8185</v>
      </c>
      <c r="D2307" t="s">
        <v>8186</v>
      </c>
      <c r="E2307" t="s">
        <v>2310</v>
      </c>
      <c r="F2307">
        <v>13</v>
      </c>
      <c r="G2307">
        <v>13.1</v>
      </c>
      <c r="H2307" t="s">
        <v>2327</v>
      </c>
      <c r="I2307" s="21">
        <v>39259</v>
      </c>
      <c r="J2307">
        <v>2007</v>
      </c>
      <c r="K2307" s="21">
        <v>39524</v>
      </c>
      <c r="L2307">
        <v>2008</v>
      </c>
      <c r="M2307" s="21">
        <v>40023.549270833297</v>
      </c>
      <c r="N2307">
        <v>2009</v>
      </c>
      <c r="R2307" s="262">
        <v>19500000</v>
      </c>
      <c r="S2307" t="s">
        <v>114</v>
      </c>
      <c r="T2307" t="s">
        <v>114</v>
      </c>
      <c r="U2307">
        <v>21</v>
      </c>
      <c r="W2307">
        <v>52004</v>
      </c>
      <c r="X2307">
        <v>28</v>
      </c>
      <c r="Y2307">
        <v>0</v>
      </c>
      <c r="Z2307">
        <v>0</v>
      </c>
      <c r="AA2307">
        <v>0</v>
      </c>
      <c r="AB2307">
        <v>0</v>
      </c>
      <c r="AC2307">
        <v>0</v>
      </c>
      <c r="AD2307">
        <v>0</v>
      </c>
      <c r="AE2307">
        <v>895</v>
      </c>
      <c r="AF2307">
        <v>0</v>
      </c>
      <c r="AG2307">
        <v>0</v>
      </c>
      <c r="AH2307">
        <v>0</v>
      </c>
      <c r="AI2307">
        <v>47412</v>
      </c>
      <c r="AJ2307">
        <v>0</v>
      </c>
      <c r="AK2307">
        <v>3697</v>
      </c>
      <c r="AL2307">
        <v>0</v>
      </c>
      <c r="AM2307">
        <v>0</v>
      </c>
      <c r="AN2307">
        <v>0</v>
      </c>
      <c r="AO2307">
        <v>0</v>
      </c>
      <c r="AP2307">
        <v>0</v>
      </c>
      <c r="AQ2307">
        <v>3</v>
      </c>
      <c r="AR2307">
        <v>0</v>
      </c>
      <c r="AS2307">
        <v>0</v>
      </c>
      <c r="AT2307">
        <v>25</v>
      </c>
      <c r="AU2307">
        <f t="shared" si="70"/>
        <v>3</v>
      </c>
      <c r="AV2307">
        <f t="shared" si="71"/>
        <v>51109</v>
      </c>
    </row>
    <row r="2308" spans="1:48" x14ac:dyDescent="0.25">
      <c r="A2308" t="s">
        <v>8187</v>
      </c>
      <c r="C2308" t="s">
        <v>8188</v>
      </c>
      <c r="D2308" t="s">
        <v>8189</v>
      </c>
      <c r="E2308" t="s">
        <v>2310</v>
      </c>
      <c r="F2308">
        <v>13</v>
      </c>
      <c r="G2308">
        <v>13.3</v>
      </c>
      <c r="H2308" t="s">
        <v>2017</v>
      </c>
      <c r="I2308" s="21">
        <v>39259</v>
      </c>
      <c r="J2308">
        <v>2007</v>
      </c>
      <c r="K2308" s="21">
        <v>39309</v>
      </c>
      <c r="L2308">
        <v>2007</v>
      </c>
      <c r="M2308" s="21">
        <v>39309</v>
      </c>
      <c r="N2308">
        <v>2007</v>
      </c>
      <c r="R2308" s="262">
        <v>100000</v>
      </c>
      <c r="S2308" t="s">
        <v>114</v>
      </c>
      <c r="T2308" t="s">
        <v>114</v>
      </c>
      <c r="U2308">
        <v>5</v>
      </c>
      <c r="W2308">
        <v>144</v>
      </c>
      <c r="X2308">
        <v>1</v>
      </c>
      <c r="Y2308">
        <v>0</v>
      </c>
      <c r="Z2308">
        <v>0</v>
      </c>
      <c r="AA2308">
        <v>0</v>
      </c>
      <c r="AB2308">
        <v>0</v>
      </c>
      <c r="AC2308">
        <v>144</v>
      </c>
      <c r="AD2308">
        <v>0</v>
      </c>
      <c r="AE2308">
        <v>0</v>
      </c>
      <c r="AF2308">
        <v>0</v>
      </c>
      <c r="AG2308">
        <v>0</v>
      </c>
      <c r="AH2308">
        <v>0</v>
      </c>
      <c r="AI2308">
        <v>0</v>
      </c>
      <c r="AJ2308">
        <v>0</v>
      </c>
      <c r="AK2308">
        <v>0</v>
      </c>
      <c r="AL2308">
        <v>0</v>
      </c>
      <c r="AM2308">
        <v>0</v>
      </c>
      <c r="AN2308">
        <v>0</v>
      </c>
      <c r="AO2308">
        <v>1</v>
      </c>
      <c r="AP2308">
        <v>0</v>
      </c>
      <c r="AQ2308">
        <v>0</v>
      </c>
      <c r="AR2308">
        <v>0</v>
      </c>
      <c r="AS2308">
        <v>0</v>
      </c>
      <c r="AT2308">
        <v>0</v>
      </c>
      <c r="AU2308">
        <f t="shared" si="70"/>
        <v>1</v>
      </c>
      <c r="AV2308">
        <f t="shared" si="71"/>
        <v>0</v>
      </c>
    </row>
    <row r="2309" spans="1:48" x14ac:dyDescent="0.25">
      <c r="A2309" t="s">
        <v>8190</v>
      </c>
      <c r="C2309" t="s">
        <v>7354</v>
      </c>
      <c r="D2309" t="s">
        <v>8191</v>
      </c>
      <c r="E2309" t="s">
        <v>2310</v>
      </c>
      <c r="F2309">
        <v>12</v>
      </c>
      <c r="G2309">
        <v>12.2</v>
      </c>
      <c r="H2309" t="s">
        <v>2017</v>
      </c>
      <c r="I2309" s="21">
        <v>39261</v>
      </c>
      <c r="J2309">
        <v>2007</v>
      </c>
      <c r="K2309" s="21">
        <v>39310</v>
      </c>
      <c r="L2309">
        <v>2007</v>
      </c>
      <c r="M2309" s="21">
        <v>39581</v>
      </c>
      <c r="N2309">
        <v>2008</v>
      </c>
      <c r="R2309" s="262">
        <v>800000</v>
      </c>
      <c r="S2309" t="s">
        <v>114</v>
      </c>
      <c r="T2309" t="s">
        <v>114</v>
      </c>
      <c r="U2309">
        <v>5</v>
      </c>
      <c r="W2309">
        <v>3242</v>
      </c>
      <c r="X2309">
        <v>1</v>
      </c>
      <c r="Y2309">
        <v>0</v>
      </c>
      <c r="Z2309">
        <v>0</v>
      </c>
      <c r="AA2309">
        <v>0</v>
      </c>
      <c r="AB2309">
        <v>0</v>
      </c>
      <c r="AC2309">
        <v>3242</v>
      </c>
      <c r="AD2309">
        <v>0</v>
      </c>
      <c r="AE2309">
        <v>0</v>
      </c>
      <c r="AF2309">
        <v>0</v>
      </c>
      <c r="AG2309">
        <v>0</v>
      </c>
      <c r="AH2309">
        <v>0</v>
      </c>
      <c r="AI2309">
        <v>0</v>
      </c>
      <c r="AJ2309">
        <v>0</v>
      </c>
      <c r="AK2309">
        <v>0</v>
      </c>
      <c r="AL2309">
        <v>0</v>
      </c>
      <c r="AM2309">
        <v>0</v>
      </c>
      <c r="AN2309">
        <v>0</v>
      </c>
      <c r="AO2309">
        <v>1</v>
      </c>
      <c r="AP2309">
        <v>0</v>
      </c>
      <c r="AQ2309">
        <v>0</v>
      </c>
      <c r="AR2309">
        <v>0</v>
      </c>
      <c r="AS2309">
        <v>0</v>
      </c>
      <c r="AT2309">
        <v>0</v>
      </c>
      <c r="AU2309">
        <f t="shared" si="70"/>
        <v>1</v>
      </c>
      <c r="AV2309">
        <f t="shared" si="71"/>
        <v>0</v>
      </c>
    </row>
    <row r="2310" spans="1:48" x14ac:dyDescent="0.25">
      <c r="A2310" t="s">
        <v>8192</v>
      </c>
      <c r="C2310" t="s">
        <v>8193</v>
      </c>
      <c r="D2310" t="s">
        <v>8194</v>
      </c>
      <c r="E2310" t="s">
        <v>2310</v>
      </c>
      <c r="F2310">
        <v>7</v>
      </c>
      <c r="G2310">
        <v>7.1</v>
      </c>
      <c r="H2310" t="s">
        <v>2017</v>
      </c>
      <c r="I2310" s="21">
        <v>39262</v>
      </c>
      <c r="J2310">
        <v>2007</v>
      </c>
      <c r="K2310" s="21">
        <v>39350</v>
      </c>
      <c r="L2310">
        <v>2007</v>
      </c>
      <c r="M2310" s="21">
        <v>39878</v>
      </c>
      <c r="N2310">
        <v>2009</v>
      </c>
      <c r="R2310" s="262">
        <v>375000</v>
      </c>
      <c r="S2310" t="s">
        <v>114</v>
      </c>
      <c r="T2310" t="s">
        <v>114</v>
      </c>
      <c r="U2310">
        <v>14</v>
      </c>
      <c r="W2310">
        <v>3315</v>
      </c>
      <c r="X2310">
        <v>0</v>
      </c>
      <c r="Y2310">
        <v>0</v>
      </c>
      <c r="Z2310">
        <v>0</v>
      </c>
      <c r="AA2310">
        <v>0</v>
      </c>
      <c r="AB2310">
        <v>0</v>
      </c>
      <c r="AC2310">
        <v>0</v>
      </c>
      <c r="AD2310">
        <v>0</v>
      </c>
      <c r="AE2310">
        <v>0</v>
      </c>
      <c r="AF2310">
        <v>0</v>
      </c>
      <c r="AG2310">
        <v>0</v>
      </c>
      <c r="AH2310">
        <v>0</v>
      </c>
      <c r="AI2310">
        <v>0</v>
      </c>
      <c r="AJ2310">
        <v>0</v>
      </c>
      <c r="AK2310">
        <v>0</v>
      </c>
      <c r="AL2310">
        <v>3315</v>
      </c>
      <c r="AM2310">
        <v>0</v>
      </c>
      <c r="AN2310">
        <v>0</v>
      </c>
      <c r="AO2310">
        <v>0</v>
      </c>
      <c r="AP2310">
        <v>0</v>
      </c>
      <c r="AQ2310">
        <v>0</v>
      </c>
      <c r="AR2310">
        <v>0</v>
      </c>
      <c r="AS2310">
        <v>0</v>
      </c>
      <c r="AT2310">
        <v>0</v>
      </c>
      <c r="AU2310">
        <f t="shared" si="70"/>
        <v>0</v>
      </c>
      <c r="AV2310">
        <f t="shared" si="71"/>
        <v>3315</v>
      </c>
    </row>
    <row r="2311" spans="1:48" x14ac:dyDescent="0.25">
      <c r="A2311" t="s">
        <v>8195</v>
      </c>
      <c r="C2311" t="s">
        <v>8196</v>
      </c>
      <c r="D2311" t="s">
        <v>4769</v>
      </c>
      <c r="E2311" t="s">
        <v>2310</v>
      </c>
      <c r="F2311">
        <v>9</v>
      </c>
      <c r="G2311">
        <v>9.3000000000000007</v>
      </c>
      <c r="H2311" t="s">
        <v>2323</v>
      </c>
      <c r="I2311" s="21">
        <v>39265</v>
      </c>
      <c r="J2311">
        <v>2007</v>
      </c>
      <c r="K2311" s="21">
        <v>39316</v>
      </c>
      <c r="L2311">
        <v>2007</v>
      </c>
      <c r="M2311" s="21">
        <v>39493</v>
      </c>
      <c r="N2311">
        <v>2008</v>
      </c>
      <c r="R2311" s="262">
        <v>160000</v>
      </c>
      <c r="S2311" t="s">
        <v>114</v>
      </c>
      <c r="T2311" t="s">
        <v>114</v>
      </c>
      <c r="U2311">
        <v>5</v>
      </c>
      <c r="W2311">
        <v>905</v>
      </c>
      <c r="X2311">
        <v>1</v>
      </c>
      <c r="Y2311">
        <v>0</v>
      </c>
      <c r="Z2311">
        <v>0</v>
      </c>
      <c r="AA2311">
        <v>0</v>
      </c>
      <c r="AB2311">
        <v>0</v>
      </c>
      <c r="AC2311">
        <v>905</v>
      </c>
      <c r="AD2311">
        <v>0</v>
      </c>
      <c r="AE2311">
        <v>0</v>
      </c>
      <c r="AF2311">
        <v>0</v>
      </c>
      <c r="AG2311">
        <v>0</v>
      </c>
      <c r="AH2311">
        <v>0</v>
      </c>
      <c r="AI2311">
        <v>0</v>
      </c>
      <c r="AJ2311">
        <v>0</v>
      </c>
      <c r="AK2311">
        <v>0</v>
      </c>
      <c r="AL2311">
        <v>0</v>
      </c>
      <c r="AM2311">
        <v>0</v>
      </c>
      <c r="AN2311">
        <v>0</v>
      </c>
      <c r="AO2311">
        <v>1</v>
      </c>
      <c r="AP2311">
        <v>0</v>
      </c>
      <c r="AQ2311">
        <v>0</v>
      </c>
      <c r="AR2311">
        <v>0</v>
      </c>
      <c r="AS2311">
        <v>0</v>
      </c>
      <c r="AT2311">
        <v>0</v>
      </c>
      <c r="AU2311">
        <f t="shared" si="70"/>
        <v>1</v>
      </c>
      <c r="AV2311">
        <f t="shared" si="71"/>
        <v>0</v>
      </c>
    </row>
    <row r="2312" spans="1:48" x14ac:dyDescent="0.25">
      <c r="A2312" t="s">
        <v>8197</v>
      </c>
      <c r="C2312" t="s">
        <v>8198</v>
      </c>
      <c r="D2312" t="s">
        <v>7279</v>
      </c>
      <c r="E2312" t="s">
        <v>2310</v>
      </c>
      <c r="F2312">
        <v>9</v>
      </c>
      <c r="G2312">
        <v>9.1999999999999993</v>
      </c>
      <c r="H2312" t="s">
        <v>2022</v>
      </c>
      <c r="I2312" s="21">
        <v>39266</v>
      </c>
      <c r="J2312">
        <v>2007</v>
      </c>
      <c r="K2312" s="21">
        <v>39553</v>
      </c>
      <c r="L2312">
        <v>2008</v>
      </c>
      <c r="M2312" s="21">
        <v>39553</v>
      </c>
      <c r="N2312">
        <v>2008</v>
      </c>
      <c r="R2312" s="262">
        <v>0</v>
      </c>
      <c r="S2312" t="s">
        <v>114</v>
      </c>
      <c r="T2312" t="s">
        <v>114</v>
      </c>
      <c r="U2312">
        <v>5</v>
      </c>
      <c r="W2312">
        <v>0</v>
      </c>
      <c r="X2312">
        <v>0</v>
      </c>
      <c r="Y2312">
        <v>0</v>
      </c>
      <c r="Z2312">
        <v>0</v>
      </c>
      <c r="AA2312">
        <v>0</v>
      </c>
      <c r="AB2312">
        <v>0</v>
      </c>
      <c r="AC2312">
        <v>0</v>
      </c>
      <c r="AD2312">
        <v>0</v>
      </c>
      <c r="AE2312">
        <v>0</v>
      </c>
      <c r="AF2312">
        <v>0</v>
      </c>
      <c r="AG2312">
        <v>0</v>
      </c>
      <c r="AH2312">
        <v>0</v>
      </c>
      <c r="AI2312">
        <v>0</v>
      </c>
      <c r="AJ2312">
        <v>0</v>
      </c>
      <c r="AK2312">
        <v>0</v>
      </c>
      <c r="AL2312">
        <v>0</v>
      </c>
      <c r="AM2312">
        <v>0</v>
      </c>
      <c r="AN2312">
        <v>0</v>
      </c>
      <c r="AO2312">
        <v>0</v>
      </c>
      <c r="AP2312">
        <v>0</v>
      </c>
      <c r="AQ2312">
        <v>0</v>
      </c>
      <c r="AR2312">
        <v>0</v>
      </c>
      <c r="AS2312">
        <v>0</v>
      </c>
      <c r="AT2312">
        <v>0</v>
      </c>
      <c r="AU2312">
        <f t="shared" si="70"/>
        <v>0</v>
      </c>
      <c r="AV2312">
        <f t="shared" si="71"/>
        <v>0</v>
      </c>
    </row>
    <row r="2313" spans="1:48" x14ac:dyDescent="0.25">
      <c r="A2313" t="s">
        <v>8199</v>
      </c>
      <c r="C2313" t="s">
        <v>8200</v>
      </c>
      <c r="D2313" t="s">
        <v>8201</v>
      </c>
      <c r="E2313" t="s">
        <v>2310</v>
      </c>
      <c r="F2313">
        <v>9</v>
      </c>
      <c r="G2313">
        <v>9.4</v>
      </c>
      <c r="H2313" t="s">
        <v>2323</v>
      </c>
      <c r="I2313" s="21">
        <v>39268</v>
      </c>
      <c r="J2313">
        <v>2007</v>
      </c>
      <c r="K2313" s="21">
        <v>39352</v>
      </c>
      <c r="L2313">
        <v>2007</v>
      </c>
      <c r="M2313" s="21">
        <v>40466.5854861111</v>
      </c>
      <c r="N2313">
        <v>2010</v>
      </c>
      <c r="R2313" s="262">
        <v>3000000</v>
      </c>
      <c r="S2313" t="s">
        <v>114</v>
      </c>
      <c r="T2313" t="s">
        <v>114</v>
      </c>
      <c r="U2313">
        <v>5</v>
      </c>
      <c r="W2313">
        <v>7912</v>
      </c>
      <c r="X2313">
        <v>1</v>
      </c>
      <c r="Y2313">
        <v>0</v>
      </c>
      <c r="Z2313">
        <v>0</v>
      </c>
      <c r="AA2313">
        <v>0</v>
      </c>
      <c r="AB2313">
        <v>0</v>
      </c>
      <c r="AC2313">
        <v>7912</v>
      </c>
      <c r="AD2313">
        <v>0</v>
      </c>
      <c r="AE2313">
        <v>0</v>
      </c>
      <c r="AF2313">
        <v>0</v>
      </c>
      <c r="AG2313">
        <v>0</v>
      </c>
      <c r="AH2313">
        <v>0</v>
      </c>
      <c r="AI2313">
        <v>0</v>
      </c>
      <c r="AJ2313">
        <v>0</v>
      </c>
      <c r="AK2313">
        <v>0</v>
      </c>
      <c r="AL2313">
        <v>0</v>
      </c>
      <c r="AM2313">
        <v>0</v>
      </c>
      <c r="AN2313">
        <v>0</v>
      </c>
      <c r="AO2313">
        <v>1</v>
      </c>
      <c r="AP2313">
        <v>0</v>
      </c>
      <c r="AQ2313">
        <v>0</v>
      </c>
      <c r="AR2313">
        <v>0</v>
      </c>
      <c r="AS2313">
        <v>0</v>
      </c>
      <c r="AT2313">
        <v>0</v>
      </c>
      <c r="AU2313">
        <f t="shared" si="70"/>
        <v>1</v>
      </c>
      <c r="AV2313">
        <f t="shared" si="71"/>
        <v>0</v>
      </c>
    </row>
    <row r="2314" spans="1:48" x14ac:dyDescent="0.25">
      <c r="A2314" t="s">
        <v>8202</v>
      </c>
      <c r="C2314" t="s">
        <v>8203</v>
      </c>
      <c r="D2314" t="s">
        <v>8201</v>
      </c>
      <c r="E2314" t="s">
        <v>2310</v>
      </c>
      <c r="F2314">
        <v>9</v>
      </c>
      <c r="G2314">
        <v>9.4</v>
      </c>
      <c r="H2314" t="s">
        <v>2323</v>
      </c>
      <c r="I2314" s="21">
        <v>39268</v>
      </c>
      <c r="J2314">
        <v>2007</v>
      </c>
      <c r="K2314" s="21">
        <v>39352</v>
      </c>
      <c r="L2314">
        <v>2007</v>
      </c>
      <c r="M2314" s="21">
        <v>40451.403425925899</v>
      </c>
      <c r="N2314">
        <v>2010</v>
      </c>
      <c r="R2314" s="262">
        <v>350000</v>
      </c>
      <c r="S2314" t="s">
        <v>114</v>
      </c>
      <c r="T2314" t="s">
        <v>114</v>
      </c>
      <c r="U2314">
        <v>8</v>
      </c>
      <c r="W2314">
        <v>995</v>
      </c>
      <c r="X2314">
        <v>1</v>
      </c>
      <c r="Y2314">
        <v>0</v>
      </c>
      <c r="Z2314">
        <v>0</v>
      </c>
      <c r="AA2314">
        <v>0</v>
      </c>
      <c r="AB2314">
        <v>0</v>
      </c>
      <c r="AC2314">
        <v>0</v>
      </c>
      <c r="AD2314">
        <v>0</v>
      </c>
      <c r="AE2314">
        <v>0</v>
      </c>
      <c r="AF2314">
        <v>995</v>
      </c>
      <c r="AG2314">
        <v>0</v>
      </c>
      <c r="AH2314">
        <v>0</v>
      </c>
      <c r="AI2314">
        <v>0</v>
      </c>
      <c r="AJ2314">
        <v>0</v>
      </c>
      <c r="AK2314">
        <v>0</v>
      </c>
      <c r="AL2314">
        <v>0</v>
      </c>
      <c r="AM2314">
        <v>0</v>
      </c>
      <c r="AN2314">
        <v>0</v>
      </c>
      <c r="AO2314">
        <v>0</v>
      </c>
      <c r="AP2314">
        <v>0</v>
      </c>
      <c r="AQ2314">
        <v>0</v>
      </c>
      <c r="AR2314">
        <v>1</v>
      </c>
      <c r="AS2314">
        <v>0</v>
      </c>
      <c r="AT2314">
        <v>0</v>
      </c>
      <c r="AU2314">
        <f t="shared" si="70"/>
        <v>0</v>
      </c>
      <c r="AV2314">
        <f t="shared" si="71"/>
        <v>0</v>
      </c>
    </row>
    <row r="2315" spans="1:48" x14ac:dyDescent="0.25">
      <c r="A2315" t="s">
        <v>8204</v>
      </c>
      <c r="C2315" t="s">
        <v>8205</v>
      </c>
      <c r="D2315" t="s">
        <v>7840</v>
      </c>
      <c r="E2315" t="s">
        <v>2310</v>
      </c>
      <c r="F2315">
        <v>13</v>
      </c>
      <c r="G2315">
        <v>13.3</v>
      </c>
      <c r="H2315" t="s">
        <v>2017</v>
      </c>
      <c r="I2315" s="21">
        <v>39269</v>
      </c>
      <c r="J2315">
        <v>2007</v>
      </c>
      <c r="K2315" s="21">
        <v>39301</v>
      </c>
      <c r="L2315">
        <v>2007</v>
      </c>
      <c r="M2315" s="21">
        <v>39301</v>
      </c>
      <c r="N2315">
        <v>2007</v>
      </c>
      <c r="R2315" s="262">
        <v>37000</v>
      </c>
      <c r="S2315" t="s">
        <v>114</v>
      </c>
      <c r="T2315" t="s">
        <v>114</v>
      </c>
      <c r="U2315">
        <v>5</v>
      </c>
      <c r="W2315">
        <v>134</v>
      </c>
      <c r="X2315">
        <v>0</v>
      </c>
      <c r="Y2315">
        <v>0</v>
      </c>
      <c r="Z2315">
        <v>0</v>
      </c>
      <c r="AA2315">
        <v>0</v>
      </c>
      <c r="AB2315">
        <v>0</v>
      </c>
      <c r="AC2315">
        <v>134</v>
      </c>
      <c r="AD2315">
        <v>0</v>
      </c>
      <c r="AE2315">
        <v>0</v>
      </c>
      <c r="AF2315">
        <v>0</v>
      </c>
      <c r="AG2315">
        <v>0</v>
      </c>
      <c r="AH2315">
        <v>0</v>
      </c>
      <c r="AI2315">
        <v>0</v>
      </c>
      <c r="AJ2315">
        <v>0</v>
      </c>
      <c r="AK2315">
        <v>0</v>
      </c>
      <c r="AL2315">
        <v>0</v>
      </c>
      <c r="AM2315">
        <v>0</v>
      </c>
      <c r="AN2315">
        <v>0</v>
      </c>
      <c r="AO2315">
        <v>0</v>
      </c>
      <c r="AP2315">
        <v>0</v>
      </c>
      <c r="AQ2315">
        <v>0</v>
      </c>
      <c r="AR2315">
        <v>0</v>
      </c>
      <c r="AS2315">
        <v>0</v>
      </c>
      <c r="AT2315">
        <v>0</v>
      </c>
      <c r="AU2315">
        <f t="shared" si="70"/>
        <v>0</v>
      </c>
      <c r="AV2315">
        <f t="shared" si="71"/>
        <v>0</v>
      </c>
    </row>
    <row r="2316" spans="1:48" x14ac:dyDescent="0.25">
      <c r="A2316" t="s">
        <v>8206</v>
      </c>
      <c r="C2316" t="s">
        <v>8207</v>
      </c>
      <c r="D2316" t="s">
        <v>8208</v>
      </c>
      <c r="E2316" t="s">
        <v>2310</v>
      </c>
      <c r="F2316">
        <v>12</v>
      </c>
      <c r="G2316">
        <v>12.3</v>
      </c>
      <c r="H2316" t="s">
        <v>2017</v>
      </c>
      <c r="I2316" s="21">
        <v>39269</v>
      </c>
      <c r="J2316">
        <v>2007</v>
      </c>
      <c r="K2316" s="21">
        <v>39324</v>
      </c>
      <c r="L2316">
        <v>2007</v>
      </c>
      <c r="M2316" s="21">
        <v>39624</v>
      </c>
      <c r="N2316">
        <v>2008</v>
      </c>
      <c r="R2316" s="262">
        <v>350000</v>
      </c>
      <c r="S2316" t="s">
        <v>114</v>
      </c>
      <c r="T2316" t="s">
        <v>114</v>
      </c>
      <c r="U2316">
        <v>5</v>
      </c>
      <c r="W2316">
        <v>688</v>
      </c>
      <c r="X2316">
        <v>0</v>
      </c>
      <c r="Y2316">
        <v>0</v>
      </c>
      <c r="Z2316">
        <v>0</v>
      </c>
      <c r="AA2316">
        <v>0</v>
      </c>
      <c r="AB2316">
        <v>0</v>
      </c>
      <c r="AC2316">
        <v>688</v>
      </c>
      <c r="AD2316">
        <v>0</v>
      </c>
      <c r="AE2316">
        <v>0</v>
      </c>
      <c r="AF2316">
        <v>0</v>
      </c>
      <c r="AG2316">
        <v>0</v>
      </c>
      <c r="AH2316">
        <v>0</v>
      </c>
      <c r="AI2316">
        <v>0</v>
      </c>
      <c r="AJ2316">
        <v>0</v>
      </c>
      <c r="AK2316">
        <v>0</v>
      </c>
      <c r="AL2316">
        <v>0</v>
      </c>
      <c r="AM2316">
        <v>0</v>
      </c>
      <c r="AN2316">
        <v>0</v>
      </c>
      <c r="AO2316">
        <v>0</v>
      </c>
      <c r="AP2316">
        <v>0</v>
      </c>
      <c r="AQ2316">
        <v>0</v>
      </c>
      <c r="AR2316">
        <v>0</v>
      </c>
      <c r="AS2316">
        <v>0</v>
      </c>
      <c r="AT2316">
        <v>0</v>
      </c>
      <c r="AU2316">
        <f t="shared" si="70"/>
        <v>0</v>
      </c>
      <c r="AV2316">
        <f t="shared" si="71"/>
        <v>0</v>
      </c>
    </row>
    <row r="2317" spans="1:48" x14ac:dyDescent="0.25">
      <c r="A2317" t="s">
        <v>8209</v>
      </c>
      <c r="C2317" t="s">
        <v>8210</v>
      </c>
      <c r="D2317" t="s">
        <v>8211</v>
      </c>
      <c r="E2317" t="s">
        <v>2310</v>
      </c>
      <c r="F2317">
        <v>9</v>
      </c>
      <c r="G2317">
        <v>9.1</v>
      </c>
      <c r="H2317" t="s">
        <v>2323</v>
      </c>
      <c r="I2317" s="21">
        <v>39272</v>
      </c>
      <c r="J2317">
        <v>2007</v>
      </c>
      <c r="K2317" s="21">
        <v>39274</v>
      </c>
      <c r="L2317">
        <v>2007</v>
      </c>
      <c r="M2317" s="21">
        <v>40290.389745370398</v>
      </c>
      <c r="N2317">
        <v>2010</v>
      </c>
      <c r="R2317" s="262">
        <v>70000</v>
      </c>
      <c r="S2317" t="s">
        <v>114</v>
      </c>
      <c r="T2317" t="s">
        <v>114</v>
      </c>
      <c r="U2317">
        <v>5</v>
      </c>
      <c r="W2317">
        <v>520</v>
      </c>
      <c r="X2317">
        <v>0</v>
      </c>
      <c r="Y2317">
        <v>0</v>
      </c>
      <c r="Z2317">
        <v>0</v>
      </c>
      <c r="AA2317">
        <v>0</v>
      </c>
      <c r="AB2317">
        <v>0</v>
      </c>
      <c r="AC2317">
        <v>520</v>
      </c>
      <c r="AD2317">
        <v>0</v>
      </c>
      <c r="AE2317">
        <v>0</v>
      </c>
      <c r="AF2317">
        <v>0</v>
      </c>
      <c r="AG2317">
        <v>0</v>
      </c>
      <c r="AH2317">
        <v>0</v>
      </c>
      <c r="AI2317">
        <v>0</v>
      </c>
      <c r="AJ2317">
        <v>0</v>
      </c>
      <c r="AK2317">
        <v>0</v>
      </c>
      <c r="AL2317">
        <v>0</v>
      </c>
      <c r="AM2317">
        <v>0</v>
      </c>
      <c r="AN2317">
        <v>0</v>
      </c>
      <c r="AO2317">
        <v>0</v>
      </c>
      <c r="AP2317">
        <v>0</v>
      </c>
      <c r="AQ2317">
        <v>0</v>
      </c>
      <c r="AR2317">
        <v>0</v>
      </c>
      <c r="AS2317">
        <v>0</v>
      </c>
      <c r="AT2317">
        <v>0</v>
      </c>
      <c r="AU2317">
        <f t="shared" si="70"/>
        <v>0</v>
      </c>
      <c r="AV2317">
        <f t="shared" si="71"/>
        <v>0</v>
      </c>
    </row>
    <row r="2318" spans="1:48" x14ac:dyDescent="0.25">
      <c r="A2318" t="s">
        <v>8215</v>
      </c>
      <c r="C2318" t="s">
        <v>8216</v>
      </c>
      <c r="D2318" t="s">
        <v>8217</v>
      </c>
      <c r="E2318" t="s">
        <v>1663</v>
      </c>
      <c r="F2318">
        <v>5</v>
      </c>
      <c r="G2318">
        <v>5.5</v>
      </c>
      <c r="H2318" t="s">
        <v>2017</v>
      </c>
      <c r="I2318" s="21">
        <v>39273</v>
      </c>
      <c r="J2318">
        <v>2007</v>
      </c>
      <c r="K2318" s="21">
        <v>39304</v>
      </c>
      <c r="L2318">
        <v>2007</v>
      </c>
      <c r="M2318" s="21">
        <v>39457</v>
      </c>
      <c r="N2318">
        <v>2008</v>
      </c>
      <c r="Q2318" s="262">
        <v>181200</v>
      </c>
      <c r="S2318" t="s">
        <v>114</v>
      </c>
      <c r="T2318" t="s">
        <v>114</v>
      </c>
      <c r="W2318">
        <v>4098</v>
      </c>
      <c r="X2318">
        <v>1</v>
      </c>
      <c r="Y2318">
        <v>0</v>
      </c>
      <c r="Z2318">
        <v>0</v>
      </c>
      <c r="AA2318">
        <v>0</v>
      </c>
      <c r="AB2318">
        <v>0</v>
      </c>
      <c r="AC2318">
        <v>4098</v>
      </c>
      <c r="AD2318">
        <v>0</v>
      </c>
      <c r="AE2318">
        <v>0</v>
      </c>
      <c r="AF2318">
        <v>0</v>
      </c>
      <c r="AG2318">
        <v>0</v>
      </c>
      <c r="AH2318">
        <v>0</v>
      </c>
      <c r="AI2318">
        <v>0</v>
      </c>
      <c r="AJ2318">
        <v>0</v>
      </c>
      <c r="AK2318">
        <v>0</v>
      </c>
      <c r="AL2318">
        <v>0</v>
      </c>
      <c r="AM2318">
        <v>0</v>
      </c>
      <c r="AN2318">
        <v>0</v>
      </c>
      <c r="AO2318">
        <v>1</v>
      </c>
      <c r="AP2318">
        <v>0</v>
      </c>
      <c r="AQ2318">
        <v>0</v>
      </c>
      <c r="AR2318">
        <v>0</v>
      </c>
      <c r="AS2318">
        <v>0</v>
      </c>
      <c r="AT2318">
        <v>0</v>
      </c>
      <c r="AU2318">
        <f t="shared" si="70"/>
        <v>1</v>
      </c>
      <c r="AV2318">
        <f t="shared" si="71"/>
        <v>0</v>
      </c>
    </row>
    <row r="2319" spans="1:48" x14ac:dyDescent="0.25">
      <c r="A2319" t="s">
        <v>8221</v>
      </c>
      <c r="C2319" t="s">
        <v>7649</v>
      </c>
      <c r="D2319" t="s">
        <v>8222</v>
      </c>
      <c r="E2319" t="s">
        <v>2310</v>
      </c>
      <c r="F2319">
        <v>9</v>
      </c>
      <c r="G2319">
        <v>9.1999999999999993</v>
      </c>
      <c r="H2319" t="s">
        <v>2022</v>
      </c>
      <c r="I2319" s="21">
        <v>39273</v>
      </c>
      <c r="J2319">
        <v>2007</v>
      </c>
      <c r="K2319" s="21">
        <v>39337</v>
      </c>
      <c r="L2319">
        <v>2007</v>
      </c>
      <c r="M2319" s="21">
        <v>40184.579884259299</v>
      </c>
      <c r="N2319">
        <v>2010</v>
      </c>
      <c r="R2319" s="262">
        <v>3000000</v>
      </c>
      <c r="S2319" t="s">
        <v>114</v>
      </c>
      <c r="T2319" t="s">
        <v>114</v>
      </c>
      <c r="U2319">
        <v>5</v>
      </c>
      <c r="W2319">
        <v>7075</v>
      </c>
      <c r="X2319">
        <v>1</v>
      </c>
      <c r="Y2319">
        <v>0</v>
      </c>
      <c r="Z2319">
        <v>0</v>
      </c>
      <c r="AA2319">
        <v>0</v>
      </c>
      <c r="AB2319">
        <v>0</v>
      </c>
      <c r="AC2319">
        <v>7075</v>
      </c>
      <c r="AD2319">
        <v>0</v>
      </c>
      <c r="AE2319">
        <v>0</v>
      </c>
      <c r="AF2319">
        <v>0</v>
      </c>
      <c r="AG2319">
        <v>0</v>
      </c>
      <c r="AH2319">
        <v>0</v>
      </c>
      <c r="AI2319">
        <v>0</v>
      </c>
      <c r="AJ2319">
        <v>0</v>
      </c>
      <c r="AK2319">
        <v>0</v>
      </c>
      <c r="AL2319">
        <v>0</v>
      </c>
      <c r="AM2319">
        <v>0</v>
      </c>
      <c r="AN2319">
        <v>0</v>
      </c>
      <c r="AO2319">
        <v>1</v>
      </c>
      <c r="AP2319">
        <v>0</v>
      </c>
      <c r="AQ2319">
        <v>0</v>
      </c>
      <c r="AR2319">
        <v>0</v>
      </c>
      <c r="AS2319">
        <v>0</v>
      </c>
      <c r="AT2319">
        <v>0</v>
      </c>
      <c r="AU2319">
        <f t="shared" si="70"/>
        <v>1</v>
      </c>
      <c r="AV2319">
        <f t="shared" si="71"/>
        <v>0</v>
      </c>
    </row>
    <row r="2320" spans="1:48" x14ac:dyDescent="0.25">
      <c r="A2320" t="s">
        <v>8223</v>
      </c>
      <c r="C2320" t="s">
        <v>8224</v>
      </c>
      <c r="D2320" t="s">
        <v>8225</v>
      </c>
      <c r="E2320" t="s">
        <v>2310</v>
      </c>
      <c r="F2320">
        <v>15</v>
      </c>
      <c r="G2320">
        <v>15.2</v>
      </c>
      <c r="H2320" t="s">
        <v>2323</v>
      </c>
      <c r="I2320" s="21">
        <v>39273</v>
      </c>
      <c r="J2320">
        <v>2007</v>
      </c>
      <c r="K2320" s="21">
        <v>39351</v>
      </c>
      <c r="L2320">
        <v>2007</v>
      </c>
      <c r="M2320" s="21">
        <v>39351</v>
      </c>
      <c r="N2320">
        <v>2007</v>
      </c>
      <c r="R2320" s="262">
        <v>228000</v>
      </c>
      <c r="S2320" t="s">
        <v>114</v>
      </c>
      <c r="T2320" t="s">
        <v>114</v>
      </c>
      <c r="U2320">
        <v>5</v>
      </c>
      <c r="W2320">
        <v>1136</v>
      </c>
      <c r="X2320">
        <v>0</v>
      </c>
      <c r="Y2320">
        <v>0</v>
      </c>
      <c r="Z2320">
        <v>0</v>
      </c>
      <c r="AA2320">
        <v>0</v>
      </c>
      <c r="AB2320">
        <v>0</v>
      </c>
      <c r="AC2320">
        <v>1136</v>
      </c>
      <c r="AD2320">
        <v>0</v>
      </c>
      <c r="AE2320">
        <v>0</v>
      </c>
      <c r="AF2320">
        <v>0</v>
      </c>
      <c r="AG2320">
        <v>0</v>
      </c>
      <c r="AH2320">
        <v>0</v>
      </c>
      <c r="AI2320">
        <v>0</v>
      </c>
      <c r="AJ2320">
        <v>0</v>
      </c>
      <c r="AK2320">
        <v>0</v>
      </c>
      <c r="AL2320">
        <v>0</v>
      </c>
      <c r="AM2320">
        <v>0</v>
      </c>
      <c r="AN2320">
        <v>0</v>
      </c>
      <c r="AO2320">
        <v>0</v>
      </c>
      <c r="AP2320">
        <v>0</v>
      </c>
      <c r="AQ2320">
        <v>0</v>
      </c>
      <c r="AR2320">
        <v>0</v>
      </c>
      <c r="AS2320">
        <v>0</v>
      </c>
      <c r="AT2320">
        <v>0</v>
      </c>
      <c r="AU2320">
        <f t="shared" si="70"/>
        <v>0</v>
      </c>
      <c r="AV2320">
        <f t="shared" si="71"/>
        <v>0</v>
      </c>
    </row>
    <row r="2321" spans="1:48" x14ac:dyDescent="0.25">
      <c r="A2321" t="s">
        <v>8226</v>
      </c>
      <c r="C2321" t="s">
        <v>8227</v>
      </c>
      <c r="D2321" t="s">
        <v>4047</v>
      </c>
      <c r="E2321" t="s">
        <v>2310</v>
      </c>
      <c r="F2321">
        <v>12</v>
      </c>
      <c r="G2321">
        <v>12.3</v>
      </c>
      <c r="H2321" t="s">
        <v>2017</v>
      </c>
      <c r="I2321" s="21">
        <v>39273</v>
      </c>
      <c r="J2321">
        <v>2007</v>
      </c>
      <c r="K2321" s="21">
        <v>39317</v>
      </c>
      <c r="L2321">
        <v>2007</v>
      </c>
      <c r="M2321" s="21">
        <v>39639</v>
      </c>
      <c r="N2321">
        <v>2008</v>
      </c>
      <c r="R2321" s="262">
        <v>175000</v>
      </c>
      <c r="S2321" t="s">
        <v>114</v>
      </c>
      <c r="T2321" t="s">
        <v>114</v>
      </c>
      <c r="U2321">
        <v>5</v>
      </c>
      <c r="W2321">
        <v>800</v>
      </c>
      <c r="X2321">
        <v>0</v>
      </c>
      <c r="Y2321">
        <v>0</v>
      </c>
      <c r="Z2321">
        <v>0</v>
      </c>
      <c r="AA2321">
        <v>0</v>
      </c>
      <c r="AB2321">
        <v>0</v>
      </c>
      <c r="AC2321">
        <v>800</v>
      </c>
      <c r="AD2321">
        <v>0</v>
      </c>
      <c r="AE2321">
        <v>0</v>
      </c>
      <c r="AF2321">
        <v>0</v>
      </c>
      <c r="AG2321">
        <v>0</v>
      </c>
      <c r="AH2321">
        <v>0</v>
      </c>
      <c r="AI2321">
        <v>0</v>
      </c>
      <c r="AJ2321">
        <v>0</v>
      </c>
      <c r="AK2321">
        <v>0</v>
      </c>
      <c r="AL2321">
        <v>0</v>
      </c>
      <c r="AM2321">
        <v>0</v>
      </c>
      <c r="AN2321">
        <v>0</v>
      </c>
      <c r="AO2321">
        <v>0</v>
      </c>
      <c r="AP2321">
        <v>0</v>
      </c>
      <c r="AQ2321">
        <v>0</v>
      </c>
      <c r="AR2321">
        <v>0</v>
      </c>
      <c r="AS2321">
        <v>0</v>
      </c>
      <c r="AT2321">
        <v>0</v>
      </c>
      <c r="AU2321">
        <f t="shared" si="70"/>
        <v>0</v>
      </c>
      <c r="AV2321">
        <f t="shared" si="71"/>
        <v>0</v>
      </c>
    </row>
    <row r="2322" spans="1:48" x14ac:dyDescent="0.25">
      <c r="A2322" t="s">
        <v>8212</v>
      </c>
      <c r="C2322" t="s">
        <v>8213</v>
      </c>
      <c r="D2322" t="s">
        <v>8214</v>
      </c>
      <c r="E2322" t="s">
        <v>1663</v>
      </c>
      <c r="F2322">
        <v>3</v>
      </c>
      <c r="G2322">
        <v>3.1</v>
      </c>
      <c r="H2322" t="s">
        <v>2017</v>
      </c>
      <c r="I2322" s="21">
        <v>39273</v>
      </c>
      <c r="J2322">
        <v>2007</v>
      </c>
      <c r="K2322" s="21">
        <v>39304</v>
      </c>
      <c r="L2322">
        <v>2007</v>
      </c>
      <c r="M2322" s="21">
        <v>39457</v>
      </c>
      <c r="N2322">
        <v>2008</v>
      </c>
      <c r="Q2322" s="262">
        <v>0</v>
      </c>
      <c r="S2322" t="s">
        <v>114</v>
      </c>
      <c r="T2322" t="s">
        <v>114</v>
      </c>
      <c r="W2322">
        <v>4943</v>
      </c>
      <c r="X2322">
        <v>1</v>
      </c>
      <c r="Y2322">
        <v>0</v>
      </c>
      <c r="Z2322">
        <v>0</v>
      </c>
      <c r="AA2322">
        <v>0</v>
      </c>
      <c r="AB2322">
        <v>0</v>
      </c>
      <c r="AC2322">
        <v>4943</v>
      </c>
      <c r="AD2322">
        <v>0</v>
      </c>
      <c r="AE2322">
        <v>0</v>
      </c>
      <c r="AF2322">
        <v>0</v>
      </c>
      <c r="AG2322">
        <v>0</v>
      </c>
      <c r="AH2322">
        <v>0</v>
      </c>
      <c r="AI2322">
        <v>0</v>
      </c>
      <c r="AJ2322">
        <v>0</v>
      </c>
      <c r="AK2322">
        <v>0</v>
      </c>
      <c r="AL2322">
        <v>0</v>
      </c>
      <c r="AM2322">
        <v>0</v>
      </c>
      <c r="AN2322">
        <v>0</v>
      </c>
      <c r="AO2322">
        <v>1</v>
      </c>
      <c r="AP2322">
        <v>0</v>
      </c>
      <c r="AQ2322">
        <v>0</v>
      </c>
      <c r="AR2322">
        <v>0</v>
      </c>
      <c r="AS2322">
        <v>0</v>
      </c>
      <c r="AT2322">
        <v>0</v>
      </c>
      <c r="AU2322">
        <f t="shared" si="70"/>
        <v>1</v>
      </c>
      <c r="AV2322">
        <f t="shared" si="71"/>
        <v>0</v>
      </c>
    </row>
    <row r="2323" spans="1:48" x14ac:dyDescent="0.25">
      <c r="A2323" t="s">
        <v>8218</v>
      </c>
      <c r="C2323" t="s">
        <v>8219</v>
      </c>
      <c r="D2323" t="s">
        <v>8220</v>
      </c>
      <c r="E2323" t="s">
        <v>1663</v>
      </c>
      <c r="F2323">
        <v>3</v>
      </c>
      <c r="G2323">
        <v>3.1</v>
      </c>
      <c r="H2323" t="s">
        <v>2017</v>
      </c>
      <c r="I2323" s="21">
        <v>39273</v>
      </c>
      <c r="J2323">
        <v>2007</v>
      </c>
      <c r="K2323" s="21">
        <v>39304</v>
      </c>
      <c r="L2323">
        <v>2007</v>
      </c>
      <c r="M2323" s="21">
        <v>39457</v>
      </c>
      <c r="N2323">
        <v>2008</v>
      </c>
      <c r="Q2323" s="262">
        <v>0</v>
      </c>
      <c r="S2323" t="s">
        <v>114</v>
      </c>
      <c r="T2323" t="s">
        <v>114</v>
      </c>
      <c r="W2323">
        <v>3758</v>
      </c>
      <c r="X2323">
        <v>1</v>
      </c>
      <c r="Y2323">
        <v>0</v>
      </c>
      <c r="Z2323">
        <v>0</v>
      </c>
      <c r="AA2323">
        <v>0</v>
      </c>
      <c r="AB2323">
        <v>0</v>
      </c>
      <c r="AC2323">
        <v>3758</v>
      </c>
      <c r="AD2323">
        <v>0</v>
      </c>
      <c r="AE2323">
        <v>0</v>
      </c>
      <c r="AF2323">
        <v>0</v>
      </c>
      <c r="AG2323">
        <v>0</v>
      </c>
      <c r="AH2323">
        <v>0</v>
      </c>
      <c r="AI2323">
        <v>0</v>
      </c>
      <c r="AJ2323">
        <v>0</v>
      </c>
      <c r="AK2323">
        <v>0</v>
      </c>
      <c r="AL2323">
        <v>0</v>
      </c>
      <c r="AM2323">
        <v>0</v>
      </c>
      <c r="AN2323">
        <v>0</v>
      </c>
      <c r="AO2323">
        <v>1</v>
      </c>
      <c r="AP2323">
        <v>0</v>
      </c>
      <c r="AQ2323">
        <v>0</v>
      </c>
      <c r="AR2323">
        <v>0</v>
      </c>
      <c r="AS2323">
        <v>0</v>
      </c>
      <c r="AT2323">
        <v>0</v>
      </c>
      <c r="AU2323">
        <f t="shared" si="70"/>
        <v>1</v>
      </c>
      <c r="AV2323">
        <f t="shared" si="71"/>
        <v>0</v>
      </c>
    </row>
    <row r="2324" spans="1:48" x14ac:dyDescent="0.25">
      <c r="A2324" t="s">
        <v>8228</v>
      </c>
      <c r="C2324" t="s">
        <v>8016</v>
      </c>
      <c r="D2324" t="s">
        <v>8229</v>
      </c>
      <c r="E2324" t="s">
        <v>1663</v>
      </c>
      <c r="F2324">
        <v>6</v>
      </c>
      <c r="G2324">
        <v>6.1</v>
      </c>
      <c r="H2324" t="s">
        <v>2017</v>
      </c>
      <c r="I2324" s="21">
        <v>39274</v>
      </c>
      <c r="J2324">
        <v>2007</v>
      </c>
      <c r="K2324" s="21">
        <v>39305</v>
      </c>
      <c r="L2324">
        <v>2007</v>
      </c>
      <c r="M2324" s="21">
        <v>39458</v>
      </c>
      <c r="N2324">
        <v>2008</v>
      </c>
      <c r="Q2324" s="262">
        <v>300000</v>
      </c>
      <c r="S2324" t="s">
        <v>114</v>
      </c>
      <c r="T2324" t="s">
        <v>114</v>
      </c>
      <c r="W2324">
        <v>5940</v>
      </c>
      <c r="X2324">
        <v>1</v>
      </c>
      <c r="Y2324">
        <v>0</v>
      </c>
      <c r="Z2324">
        <v>0</v>
      </c>
      <c r="AA2324">
        <v>0</v>
      </c>
      <c r="AB2324">
        <v>0</v>
      </c>
      <c r="AC2324">
        <v>5940</v>
      </c>
      <c r="AD2324">
        <v>0</v>
      </c>
      <c r="AE2324">
        <v>0</v>
      </c>
      <c r="AF2324">
        <v>0</v>
      </c>
      <c r="AG2324">
        <v>0</v>
      </c>
      <c r="AH2324">
        <v>0</v>
      </c>
      <c r="AI2324">
        <v>0</v>
      </c>
      <c r="AJ2324">
        <v>0</v>
      </c>
      <c r="AK2324">
        <v>0</v>
      </c>
      <c r="AL2324">
        <v>0</v>
      </c>
      <c r="AM2324">
        <v>0</v>
      </c>
      <c r="AN2324">
        <v>0</v>
      </c>
      <c r="AO2324">
        <v>1</v>
      </c>
      <c r="AP2324">
        <v>0</v>
      </c>
      <c r="AQ2324">
        <v>0</v>
      </c>
      <c r="AR2324">
        <v>0</v>
      </c>
      <c r="AS2324">
        <v>0</v>
      </c>
      <c r="AT2324">
        <v>0</v>
      </c>
      <c r="AU2324">
        <f t="shared" si="70"/>
        <v>1</v>
      </c>
      <c r="AV2324">
        <f t="shared" si="71"/>
        <v>0</v>
      </c>
    </row>
    <row r="2325" spans="1:48" x14ac:dyDescent="0.25">
      <c r="A2325" t="s">
        <v>18779</v>
      </c>
      <c r="B2325" t="s">
        <v>114</v>
      </c>
      <c r="C2325" t="s">
        <v>18780</v>
      </c>
      <c r="D2325" t="s">
        <v>8486</v>
      </c>
      <c r="E2325" t="s">
        <v>2310</v>
      </c>
      <c r="F2325">
        <v>14</v>
      </c>
      <c r="G2325">
        <v>14.1</v>
      </c>
      <c r="H2325" t="s">
        <v>2022</v>
      </c>
      <c r="I2325" s="21">
        <v>39274</v>
      </c>
      <c r="J2325">
        <v>2007</v>
      </c>
      <c r="K2325" s="21">
        <v>39321</v>
      </c>
      <c r="L2325">
        <v>2007</v>
      </c>
      <c r="M2325" s="21">
        <v>43626.684376354169</v>
      </c>
      <c r="N2325">
        <v>2019</v>
      </c>
      <c r="R2325" s="262">
        <v>120000</v>
      </c>
      <c r="S2325" t="s">
        <v>13254</v>
      </c>
      <c r="U2325">
        <v>5</v>
      </c>
      <c r="W2325">
        <v>1584</v>
      </c>
      <c r="X2325">
        <v>0</v>
      </c>
      <c r="Y2325">
        <v>0</v>
      </c>
      <c r="Z2325">
        <v>0</v>
      </c>
      <c r="AA2325">
        <v>0</v>
      </c>
      <c r="AB2325">
        <v>0</v>
      </c>
      <c r="AC2325">
        <v>1584</v>
      </c>
      <c r="AD2325">
        <v>0</v>
      </c>
      <c r="AE2325">
        <v>0</v>
      </c>
      <c r="AF2325">
        <v>0</v>
      </c>
      <c r="AG2325">
        <v>0</v>
      </c>
      <c r="AH2325">
        <v>0</v>
      </c>
      <c r="AI2325">
        <v>0</v>
      </c>
      <c r="AJ2325">
        <v>0</v>
      </c>
      <c r="AK2325">
        <v>0</v>
      </c>
      <c r="AL2325">
        <v>0</v>
      </c>
      <c r="AM2325">
        <v>0</v>
      </c>
      <c r="AN2325">
        <v>0</v>
      </c>
      <c r="AO2325">
        <v>0</v>
      </c>
      <c r="AP2325">
        <v>0</v>
      </c>
      <c r="AQ2325">
        <v>0</v>
      </c>
      <c r="AR2325">
        <v>0</v>
      </c>
      <c r="AS2325">
        <v>0</v>
      </c>
      <c r="AT2325">
        <v>0</v>
      </c>
      <c r="AU2325">
        <f t="shared" si="70"/>
        <v>0</v>
      </c>
      <c r="AV2325">
        <f t="shared" si="71"/>
        <v>0</v>
      </c>
    </row>
    <row r="2326" spans="1:48" x14ac:dyDescent="0.25">
      <c r="A2326" t="s">
        <v>8233</v>
      </c>
      <c r="C2326" t="s">
        <v>8234</v>
      </c>
      <c r="D2326" t="s">
        <v>3696</v>
      </c>
      <c r="E2326" t="s">
        <v>2310</v>
      </c>
      <c r="F2326">
        <v>8</v>
      </c>
      <c r="G2326">
        <v>8.1</v>
      </c>
      <c r="H2326" t="s">
        <v>2323</v>
      </c>
      <c r="I2326" s="21">
        <v>39275</v>
      </c>
      <c r="J2326">
        <v>2007</v>
      </c>
      <c r="K2326" s="21">
        <v>39295</v>
      </c>
      <c r="L2326">
        <v>2007</v>
      </c>
      <c r="M2326" s="21">
        <v>39454</v>
      </c>
      <c r="N2326">
        <v>2008</v>
      </c>
      <c r="R2326" s="262">
        <v>30000</v>
      </c>
      <c r="S2326" t="s">
        <v>114</v>
      </c>
      <c r="T2326" t="s">
        <v>114</v>
      </c>
      <c r="U2326">
        <v>5</v>
      </c>
      <c r="W2326">
        <v>85</v>
      </c>
      <c r="X2326">
        <v>0</v>
      </c>
      <c r="Y2326">
        <v>0</v>
      </c>
      <c r="Z2326">
        <v>0</v>
      </c>
      <c r="AA2326">
        <v>0</v>
      </c>
      <c r="AB2326">
        <v>0</v>
      </c>
      <c r="AC2326">
        <v>85</v>
      </c>
      <c r="AD2326">
        <v>0</v>
      </c>
      <c r="AE2326">
        <v>0</v>
      </c>
      <c r="AF2326">
        <v>0</v>
      </c>
      <c r="AG2326">
        <v>0</v>
      </c>
      <c r="AH2326">
        <v>0</v>
      </c>
      <c r="AI2326">
        <v>0</v>
      </c>
      <c r="AJ2326">
        <v>0</v>
      </c>
      <c r="AK2326">
        <v>0</v>
      </c>
      <c r="AL2326">
        <v>0</v>
      </c>
      <c r="AM2326">
        <v>0</v>
      </c>
      <c r="AN2326">
        <v>0</v>
      </c>
      <c r="AO2326">
        <v>0</v>
      </c>
      <c r="AP2326">
        <v>0</v>
      </c>
      <c r="AQ2326">
        <v>0</v>
      </c>
      <c r="AR2326">
        <v>0</v>
      </c>
      <c r="AS2326">
        <v>0</v>
      </c>
      <c r="AT2326">
        <v>0</v>
      </c>
      <c r="AU2326">
        <f t="shared" si="70"/>
        <v>0</v>
      </c>
      <c r="AV2326">
        <f t="shared" si="71"/>
        <v>0</v>
      </c>
    </row>
    <row r="2327" spans="1:48" x14ac:dyDescent="0.25">
      <c r="A2327" t="s">
        <v>8230</v>
      </c>
      <c r="C2327" t="s">
        <v>8231</v>
      </c>
      <c r="D2327" t="s">
        <v>8232</v>
      </c>
      <c r="E2327" t="s">
        <v>1663</v>
      </c>
      <c r="F2327">
        <v>2</v>
      </c>
      <c r="G2327">
        <v>2.2999999999999998</v>
      </c>
      <c r="H2327" t="s">
        <v>2327</v>
      </c>
      <c r="I2327" s="21">
        <v>39275</v>
      </c>
      <c r="J2327">
        <v>2007</v>
      </c>
      <c r="K2327" s="21">
        <v>39306</v>
      </c>
      <c r="L2327">
        <v>2007</v>
      </c>
      <c r="M2327" s="21">
        <v>39459</v>
      </c>
      <c r="N2327">
        <v>2008</v>
      </c>
      <c r="Q2327" s="262">
        <v>0</v>
      </c>
      <c r="S2327" t="s">
        <v>114</v>
      </c>
      <c r="T2327" t="s">
        <v>114</v>
      </c>
      <c r="W2327">
        <v>26838</v>
      </c>
      <c r="X2327">
        <v>9</v>
      </c>
      <c r="Y2327">
        <v>0</v>
      </c>
      <c r="Z2327">
        <v>0</v>
      </c>
      <c r="AA2327">
        <v>0</v>
      </c>
      <c r="AB2327">
        <v>0</v>
      </c>
      <c r="AC2327">
        <v>0</v>
      </c>
      <c r="AD2327">
        <v>0</v>
      </c>
      <c r="AE2327">
        <v>0</v>
      </c>
      <c r="AF2327">
        <v>0</v>
      </c>
      <c r="AG2327">
        <v>0</v>
      </c>
      <c r="AH2327">
        <v>0</v>
      </c>
      <c r="AI2327">
        <v>26838</v>
      </c>
      <c r="AJ2327">
        <v>0</v>
      </c>
      <c r="AK2327">
        <v>0</v>
      </c>
      <c r="AL2327">
        <v>0</v>
      </c>
      <c r="AM2327">
        <v>0</v>
      </c>
      <c r="AN2327">
        <v>0</v>
      </c>
      <c r="AO2327">
        <v>0</v>
      </c>
      <c r="AP2327">
        <v>0</v>
      </c>
      <c r="AQ2327">
        <v>0</v>
      </c>
      <c r="AR2327">
        <v>0</v>
      </c>
      <c r="AS2327">
        <v>0</v>
      </c>
      <c r="AT2327">
        <v>9</v>
      </c>
      <c r="AU2327">
        <f t="shared" si="70"/>
        <v>0</v>
      </c>
      <c r="AV2327">
        <f t="shared" si="71"/>
        <v>26838</v>
      </c>
    </row>
    <row r="2328" spans="1:48" x14ac:dyDescent="0.25">
      <c r="A2328" t="s">
        <v>8235</v>
      </c>
      <c r="C2328" t="s">
        <v>8236</v>
      </c>
      <c r="D2328" t="s">
        <v>8237</v>
      </c>
      <c r="E2328" t="s">
        <v>1663</v>
      </c>
      <c r="F2328">
        <v>3</v>
      </c>
      <c r="G2328">
        <v>3.1</v>
      </c>
      <c r="H2328" t="s">
        <v>2017</v>
      </c>
      <c r="I2328" s="21">
        <v>39276</v>
      </c>
      <c r="J2328">
        <v>2007</v>
      </c>
      <c r="K2328" s="21">
        <v>39307</v>
      </c>
      <c r="L2328">
        <v>2007</v>
      </c>
      <c r="M2328" s="21">
        <v>39460</v>
      </c>
      <c r="N2328">
        <v>2008</v>
      </c>
      <c r="Q2328" s="262">
        <v>0</v>
      </c>
      <c r="S2328" t="s">
        <v>114</v>
      </c>
      <c r="T2328" t="s">
        <v>114</v>
      </c>
      <c r="W2328">
        <v>2810</v>
      </c>
      <c r="X2328">
        <v>1</v>
      </c>
      <c r="Y2328">
        <v>0</v>
      </c>
      <c r="Z2328">
        <v>0</v>
      </c>
      <c r="AA2328">
        <v>0</v>
      </c>
      <c r="AB2328">
        <v>0</v>
      </c>
      <c r="AC2328">
        <v>2810</v>
      </c>
      <c r="AD2328">
        <v>0</v>
      </c>
      <c r="AE2328">
        <v>0</v>
      </c>
      <c r="AF2328">
        <v>0</v>
      </c>
      <c r="AG2328">
        <v>0</v>
      </c>
      <c r="AH2328">
        <v>0</v>
      </c>
      <c r="AI2328">
        <v>0</v>
      </c>
      <c r="AJ2328">
        <v>0</v>
      </c>
      <c r="AK2328">
        <v>0</v>
      </c>
      <c r="AL2328">
        <v>0</v>
      </c>
      <c r="AM2328">
        <v>0</v>
      </c>
      <c r="AN2328">
        <v>0</v>
      </c>
      <c r="AO2328">
        <v>1</v>
      </c>
      <c r="AP2328">
        <v>0</v>
      </c>
      <c r="AQ2328">
        <v>0</v>
      </c>
      <c r="AR2328">
        <v>0</v>
      </c>
      <c r="AS2328">
        <v>0</v>
      </c>
      <c r="AT2328">
        <v>0</v>
      </c>
      <c r="AU2328">
        <f t="shared" si="70"/>
        <v>1</v>
      </c>
      <c r="AV2328">
        <f t="shared" si="71"/>
        <v>0</v>
      </c>
    </row>
    <row r="2329" spans="1:48" x14ac:dyDescent="0.25">
      <c r="A2329" t="s">
        <v>8238</v>
      </c>
      <c r="C2329" t="s">
        <v>8239</v>
      </c>
      <c r="D2329" t="s">
        <v>4886</v>
      </c>
      <c r="E2329" t="s">
        <v>2310</v>
      </c>
      <c r="F2329">
        <v>9</v>
      </c>
      <c r="G2329">
        <v>9.1</v>
      </c>
      <c r="H2329" t="s">
        <v>2323</v>
      </c>
      <c r="I2329" s="21">
        <v>39279</v>
      </c>
      <c r="J2329">
        <v>2007</v>
      </c>
      <c r="K2329" s="21">
        <v>39302</v>
      </c>
      <c r="L2329">
        <v>2007</v>
      </c>
      <c r="M2329" s="21">
        <v>40199.653738425899</v>
      </c>
      <c r="N2329">
        <v>2010</v>
      </c>
      <c r="R2329" s="262">
        <v>50000</v>
      </c>
      <c r="S2329" t="s">
        <v>114</v>
      </c>
      <c r="T2329" t="s">
        <v>114</v>
      </c>
      <c r="U2329">
        <v>7</v>
      </c>
      <c r="W2329">
        <v>300</v>
      </c>
      <c r="X2329">
        <v>0</v>
      </c>
      <c r="Y2329">
        <v>0</v>
      </c>
      <c r="Z2329">
        <v>0</v>
      </c>
      <c r="AA2329">
        <v>0</v>
      </c>
      <c r="AB2329">
        <v>0</v>
      </c>
      <c r="AC2329">
        <v>0</v>
      </c>
      <c r="AD2329">
        <v>0</v>
      </c>
      <c r="AE2329">
        <v>300</v>
      </c>
      <c r="AF2329">
        <v>0</v>
      </c>
      <c r="AG2329">
        <v>0</v>
      </c>
      <c r="AH2329">
        <v>0</v>
      </c>
      <c r="AI2329">
        <v>0</v>
      </c>
      <c r="AJ2329">
        <v>0</v>
      </c>
      <c r="AK2329">
        <v>0</v>
      </c>
      <c r="AL2329">
        <v>0</v>
      </c>
      <c r="AM2329">
        <v>0</v>
      </c>
      <c r="AN2329">
        <v>0</v>
      </c>
      <c r="AO2329">
        <v>0</v>
      </c>
      <c r="AP2329">
        <v>0</v>
      </c>
      <c r="AQ2329">
        <v>0</v>
      </c>
      <c r="AR2329">
        <v>0</v>
      </c>
      <c r="AS2329">
        <v>0</v>
      </c>
      <c r="AT2329">
        <v>0</v>
      </c>
      <c r="AU2329">
        <f t="shared" ref="AU2329:AU2392" si="72">SUM(AN2329:AQ2329,AS2329)</f>
        <v>0</v>
      </c>
      <c r="AV2329">
        <f t="shared" ref="AV2329:AV2392" si="73">SUM(Y2329:AB2329,AH2329:AM2329)</f>
        <v>0</v>
      </c>
    </row>
    <row r="2330" spans="1:48" x14ac:dyDescent="0.25">
      <c r="A2330" t="s">
        <v>8240</v>
      </c>
      <c r="C2330" t="s">
        <v>8241</v>
      </c>
      <c r="D2330" t="s">
        <v>8242</v>
      </c>
      <c r="E2330" t="s">
        <v>2310</v>
      </c>
      <c r="F2330">
        <v>8</v>
      </c>
      <c r="G2330">
        <v>8.3000000000000007</v>
      </c>
      <c r="H2330" t="s">
        <v>2323</v>
      </c>
      <c r="I2330" s="21">
        <v>39280</v>
      </c>
      <c r="J2330">
        <v>2007</v>
      </c>
      <c r="K2330" s="21">
        <v>39293</v>
      </c>
      <c r="L2330">
        <v>2007</v>
      </c>
      <c r="M2330" s="21">
        <v>39293</v>
      </c>
      <c r="N2330">
        <v>2007</v>
      </c>
      <c r="R2330" s="262">
        <v>10000</v>
      </c>
      <c r="S2330" t="s">
        <v>114</v>
      </c>
      <c r="T2330" t="s">
        <v>114</v>
      </c>
      <c r="U2330">
        <v>5</v>
      </c>
      <c r="W2330">
        <v>226</v>
      </c>
      <c r="X2330">
        <v>0</v>
      </c>
      <c r="Y2330">
        <v>0</v>
      </c>
      <c r="Z2330">
        <v>0</v>
      </c>
      <c r="AA2330">
        <v>0</v>
      </c>
      <c r="AB2330">
        <v>0</v>
      </c>
      <c r="AC2330">
        <v>226</v>
      </c>
      <c r="AD2330">
        <v>0</v>
      </c>
      <c r="AE2330">
        <v>0</v>
      </c>
      <c r="AF2330">
        <v>0</v>
      </c>
      <c r="AG2330">
        <v>0</v>
      </c>
      <c r="AH2330">
        <v>0</v>
      </c>
      <c r="AI2330">
        <v>0</v>
      </c>
      <c r="AJ2330">
        <v>0</v>
      </c>
      <c r="AK2330">
        <v>0</v>
      </c>
      <c r="AL2330">
        <v>0</v>
      </c>
      <c r="AM2330">
        <v>0</v>
      </c>
      <c r="AN2330">
        <v>0</v>
      </c>
      <c r="AO2330">
        <v>0</v>
      </c>
      <c r="AP2330">
        <v>0</v>
      </c>
      <c r="AQ2330">
        <v>0</v>
      </c>
      <c r="AR2330">
        <v>0</v>
      </c>
      <c r="AS2330">
        <v>0</v>
      </c>
      <c r="AT2330">
        <v>0</v>
      </c>
      <c r="AU2330">
        <f t="shared" si="72"/>
        <v>0</v>
      </c>
      <c r="AV2330">
        <f t="shared" si="73"/>
        <v>0</v>
      </c>
    </row>
    <row r="2331" spans="1:48" x14ac:dyDescent="0.25">
      <c r="A2331" t="s">
        <v>8243</v>
      </c>
      <c r="C2331" t="s">
        <v>8244</v>
      </c>
      <c r="D2331" t="s">
        <v>8245</v>
      </c>
      <c r="E2331" t="s">
        <v>2310</v>
      </c>
      <c r="F2331">
        <v>10</v>
      </c>
      <c r="G2331">
        <v>10.1</v>
      </c>
      <c r="H2331" t="s">
        <v>2323</v>
      </c>
      <c r="I2331" s="21">
        <v>39280</v>
      </c>
      <c r="J2331">
        <v>2007</v>
      </c>
      <c r="K2331" s="21">
        <v>39350</v>
      </c>
      <c r="L2331">
        <v>2007</v>
      </c>
      <c r="M2331" s="21">
        <v>39521</v>
      </c>
      <c r="N2331">
        <v>2008</v>
      </c>
      <c r="R2331" s="262">
        <v>280000</v>
      </c>
      <c r="S2331" t="s">
        <v>114</v>
      </c>
      <c r="T2331" t="s">
        <v>114</v>
      </c>
      <c r="U2331">
        <v>5</v>
      </c>
      <c r="W2331">
        <v>2725</v>
      </c>
      <c r="X2331">
        <v>1</v>
      </c>
      <c r="Y2331">
        <v>0</v>
      </c>
      <c r="Z2331">
        <v>0</v>
      </c>
      <c r="AA2331">
        <v>0</v>
      </c>
      <c r="AB2331">
        <v>0</v>
      </c>
      <c r="AC2331">
        <v>2725</v>
      </c>
      <c r="AD2331">
        <v>0</v>
      </c>
      <c r="AE2331">
        <v>0</v>
      </c>
      <c r="AF2331">
        <v>0</v>
      </c>
      <c r="AG2331">
        <v>0</v>
      </c>
      <c r="AH2331">
        <v>0</v>
      </c>
      <c r="AI2331">
        <v>0</v>
      </c>
      <c r="AJ2331">
        <v>0</v>
      </c>
      <c r="AK2331">
        <v>0</v>
      </c>
      <c r="AL2331">
        <v>0</v>
      </c>
      <c r="AM2331">
        <v>0</v>
      </c>
      <c r="AN2331">
        <v>0</v>
      </c>
      <c r="AO2331">
        <v>1</v>
      </c>
      <c r="AP2331">
        <v>0</v>
      </c>
      <c r="AQ2331">
        <v>0</v>
      </c>
      <c r="AR2331">
        <v>0</v>
      </c>
      <c r="AS2331">
        <v>0</v>
      </c>
      <c r="AT2331">
        <v>0</v>
      </c>
      <c r="AU2331">
        <f t="shared" si="72"/>
        <v>1</v>
      </c>
      <c r="AV2331">
        <f t="shared" si="73"/>
        <v>0</v>
      </c>
    </row>
    <row r="2332" spans="1:48" x14ac:dyDescent="0.25">
      <c r="A2332" t="s">
        <v>8246</v>
      </c>
      <c r="C2332" t="s">
        <v>8247</v>
      </c>
      <c r="D2332" t="s">
        <v>7315</v>
      </c>
      <c r="E2332" t="s">
        <v>2310</v>
      </c>
      <c r="F2332">
        <v>11</v>
      </c>
      <c r="G2332">
        <v>11.2</v>
      </c>
      <c r="H2332" t="s">
        <v>2017</v>
      </c>
      <c r="I2332" s="21">
        <v>39280</v>
      </c>
      <c r="J2332">
        <v>2007</v>
      </c>
      <c r="K2332" s="21">
        <v>39308</v>
      </c>
      <c r="L2332">
        <v>2007</v>
      </c>
      <c r="M2332" s="21">
        <v>40372.385312500002</v>
      </c>
      <c r="N2332">
        <v>2010</v>
      </c>
      <c r="R2332" s="262">
        <v>75000</v>
      </c>
      <c r="S2332" t="s">
        <v>114</v>
      </c>
      <c r="T2332" t="s">
        <v>114</v>
      </c>
      <c r="U2332">
        <v>12</v>
      </c>
      <c r="W2332">
        <v>0</v>
      </c>
      <c r="X2332">
        <v>0</v>
      </c>
      <c r="Y2332">
        <v>0</v>
      </c>
      <c r="Z2332">
        <v>0</v>
      </c>
      <c r="AA2332">
        <v>0</v>
      </c>
      <c r="AB2332">
        <v>0</v>
      </c>
      <c r="AC2332">
        <v>0</v>
      </c>
      <c r="AD2332">
        <v>0</v>
      </c>
      <c r="AE2332">
        <v>0</v>
      </c>
      <c r="AF2332">
        <v>0</v>
      </c>
      <c r="AG2332">
        <v>0</v>
      </c>
      <c r="AH2332">
        <v>0</v>
      </c>
      <c r="AI2332">
        <v>0</v>
      </c>
      <c r="AJ2332">
        <v>0</v>
      </c>
      <c r="AK2332">
        <v>0</v>
      </c>
      <c r="AL2332">
        <v>0</v>
      </c>
      <c r="AM2332">
        <v>0</v>
      </c>
      <c r="AN2332">
        <v>0</v>
      </c>
      <c r="AO2332">
        <v>0</v>
      </c>
      <c r="AP2332">
        <v>0</v>
      </c>
      <c r="AQ2332">
        <v>0</v>
      </c>
      <c r="AR2332">
        <v>0</v>
      </c>
      <c r="AS2332">
        <v>0</v>
      </c>
      <c r="AT2332">
        <v>0</v>
      </c>
      <c r="AU2332">
        <f t="shared" si="72"/>
        <v>0</v>
      </c>
      <c r="AV2332">
        <f t="shared" si="73"/>
        <v>0</v>
      </c>
    </row>
    <row r="2333" spans="1:48" x14ac:dyDescent="0.25">
      <c r="A2333" t="s">
        <v>8248</v>
      </c>
      <c r="C2333" t="s">
        <v>8249</v>
      </c>
      <c r="D2333" t="s">
        <v>7315</v>
      </c>
      <c r="E2333" t="s">
        <v>2310</v>
      </c>
      <c r="F2333">
        <v>11</v>
      </c>
      <c r="G2333">
        <v>11.2</v>
      </c>
      <c r="H2333" t="s">
        <v>2017</v>
      </c>
      <c r="I2333" s="21">
        <v>39280</v>
      </c>
      <c r="J2333">
        <v>2007</v>
      </c>
      <c r="K2333" s="21">
        <v>39308</v>
      </c>
      <c r="L2333">
        <v>2007</v>
      </c>
      <c r="M2333" s="21">
        <v>39511</v>
      </c>
      <c r="N2333">
        <v>2008</v>
      </c>
      <c r="R2333" s="262">
        <v>125000</v>
      </c>
      <c r="S2333" t="s">
        <v>114</v>
      </c>
      <c r="T2333" t="s">
        <v>114</v>
      </c>
      <c r="U2333">
        <v>12</v>
      </c>
      <c r="W2333">
        <v>0</v>
      </c>
      <c r="X2333">
        <v>0</v>
      </c>
      <c r="Y2333">
        <v>0</v>
      </c>
      <c r="Z2333">
        <v>0</v>
      </c>
      <c r="AA2333">
        <v>0</v>
      </c>
      <c r="AB2333">
        <v>0</v>
      </c>
      <c r="AC2333">
        <v>0</v>
      </c>
      <c r="AD2333">
        <v>0</v>
      </c>
      <c r="AE2333">
        <v>0</v>
      </c>
      <c r="AF2333">
        <v>0</v>
      </c>
      <c r="AG2333">
        <v>0</v>
      </c>
      <c r="AH2333">
        <v>0</v>
      </c>
      <c r="AI2333">
        <v>0</v>
      </c>
      <c r="AJ2333">
        <v>0</v>
      </c>
      <c r="AK2333">
        <v>0</v>
      </c>
      <c r="AL2333">
        <v>0</v>
      </c>
      <c r="AM2333">
        <v>0</v>
      </c>
      <c r="AN2333">
        <v>0</v>
      </c>
      <c r="AO2333">
        <v>0</v>
      </c>
      <c r="AP2333">
        <v>0</v>
      </c>
      <c r="AQ2333">
        <v>0</v>
      </c>
      <c r="AR2333">
        <v>0</v>
      </c>
      <c r="AS2333">
        <v>0</v>
      </c>
      <c r="AT2333">
        <v>0</v>
      </c>
      <c r="AU2333">
        <f t="shared" si="72"/>
        <v>0</v>
      </c>
      <c r="AV2333">
        <f t="shared" si="73"/>
        <v>0</v>
      </c>
    </row>
    <row r="2334" spans="1:48" x14ac:dyDescent="0.25">
      <c r="A2334" t="s">
        <v>8250</v>
      </c>
      <c r="C2334" t="s">
        <v>8251</v>
      </c>
      <c r="D2334" t="s">
        <v>8252</v>
      </c>
      <c r="E2334" t="s">
        <v>2310</v>
      </c>
      <c r="F2334">
        <v>15</v>
      </c>
      <c r="G2334">
        <v>15.2</v>
      </c>
      <c r="H2334" t="s">
        <v>2323</v>
      </c>
      <c r="I2334" s="21">
        <v>39281</v>
      </c>
      <c r="J2334">
        <v>2007</v>
      </c>
      <c r="K2334" s="21">
        <v>39301</v>
      </c>
      <c r="L2334">
        <v>2007</v>
      </c>
      <c r="M2334" s="21">
        <v>39301</v>
      </c>
      <c r="N2334">
        <v>2007</v>
      </c>
      <c r="R2334" s="262">
        <v>10000</v>
      </c>
      <c r="S2334" t="s">
        <v>114</v>
      </c>
      <c r="T2334" t="s">
        <v>114</v>
      </c>
      <c r="U2334">
        <v>5</v>
      </c>
      <c r="W2334">
        <v>1080</v>
      </c>
      <c r="X2334">
        <v>0</v>
      </c>
      <c r="Y2334">
        <v>0</v>
      </c>
      <c r="Z2334">
        <v>0</v>
      </c>
      <c r="AA2334">
        <v>0</v>
      </c>
      <c r="AB2334">
        <v>0</v>
      </c>
      <c r="AC2334">
        <v>1080</v>
      </c>
      <c r="AD2334">
        <v>0</v>
      </c>
      <c r="AE2334">
        <v>0</v>
      </c>
      <c r="AF2334">
        <v>0</v>
      </c>
      <c r="AG2334">
        <v>0</v>
      </c>
      <c r="AH2334">
        <v>0</v>
      </c>
      <c r="AI2334">
        <v>0</v>
      </c>
      <c r="AJ2334">
        <v>0</v>
      </c>
      <c r="AK2334">
        <v>0</v>
      </c>
      <c r="AL2334">
        <v>0</v>
      </c>
      <c r="AM2334">
        <v>0</v>
      </c>
      <c r="AN2334">
        <v>0</v>
      </c>
      <c r="AO2334">
        <v>0</v>
      </c>
      <c r="AP2334">
        <v>0</v>
      </c>
      <c r="AQ2334">
        <v>0</v>
      </c>
      <c r="AR2334">
        <v>0</v>
      </c>
      <c r="AS2334">
        <v>0</v>
      </c>
      <c r="AT2334">
        <v>0</v>
      </c>
      <c r="AU2334">
        <f t="shared" si="72"/>
        <v>0</v>
      </c>
      <c r="AV2334">
        <f t="shared" si="73"/>
        <v>0</v>
      </c>
    </row>
    <row r="2335" spans="1:48" x14ac:dyDescent="0.25">
      <c r="A2335" t="s">
        <v>8253</v>
      </c>
      <c r="C2335" t="s">
        <v>8254</v>
      </c>
      <c r="D2335" t="s">
        <v>8255</v>
      </c>
      <c r="E2335" t="s">
        <v>2310</v>
      </c>
      <c r="F2335">
        <v>14</v>
      </c>
      <c r="G2335">
        <v>14.2</v>
      </c>
      <c r="H2335" t="s">
        <v>2017</v>
      </c>
      <c r="I2335" s="21">
        <v>39281</v>
      </c>
      <c r="J2335">
        <v>2007</v>
      </c>
      <c r="K2335" s="21">
        <v>39330</v>
      </c>
      <c r="L2335">
        <v>2007</v>
      </c>
      <c r="M2335" s="21">
        <v>39330</v>
      </c>
      <c r="N2335">
        <v>2007</v>
      </c>
      <c r="R2335" s="262">
        <v>380000</v>
      </c>
      <c r="S2335" t="s">
        <v>114</v>
      </c>
      <c r="T2335" t="s">
        <v>114</v>
      </c>
      <c r="U2335">
        <v>5</v>
      </c>
      <c r="W2335">
        <v>1900</v>
      </c>
      <c r="X2335">
        <v>1</v>
      </c>
      <c r="Y2335">
        <v>0</v>
      </c>
      <c r="Z2335">
        <v>0</v>
      </c>
      <c r="AA2335">
        <v>0</v>
      </c>
      <c r="AB2335">
        <v>0</v>
      </c>
      <c r="AC2335">
        <v>1900</v>
      </c>
      <c r="AD2335">
        <v>0</v>
      </c>
      <c r="AE2335">
        <v>0</v>
      </c>
      <c r="AF2335">
        <v>0</v>
      </c>
      <c r="AG2335">
        <v>0</v>
      </c>
      <c r="AH2335">
        <v>0</v>
      </c>
      <c r="AI2335">
        <v>0</v>
      </c>
      <c r="AJ2335">
        <v>0</v>
      </c>
      <c r="AK2335">
        <v>0</v>
      </c>
      <c r="AL2335">
        <v>0</v>
      </c>
      <c r="AM2335">
        <v>0</v>
      </c>
      <c r="AN2335">
        <v>0</v>
      </c>
      <c r="AO2335">
        <v>1</v>
      </c>
      <c r="AP2335">
        <v>0</v>
      </c>
      <c r="AQ2335">
        <v>0</v>
      </c>
      <c r="AR2335">
        <v>0</v>
      </c>
      <c r="AS2335">
        <v>0</v>
      </c>
      <c r="AT2335">
        <v>0</v>
      </c>
      <c r="AU2335">
        <f t="shared" si="72"/>
        <v>1</v>
      </c>
      <c r="AV2335">
        <f t="shared" si="73"/>
        <v>0</v>
      </c>
    </row>
    <row r="2336" spans="1:48" x14ac:dyDescent="0.25">
      <c r="A2336" t="s">
        <v>8259</v>
      </c>
      <c r="C2336" t="s">
        <v>8260</v>
      </c>
      <c r="D2336" t="s">
        <v>8261</v>
      </c>
      <c r="E2336" t="s">
        <v>1663</v>
      </c>
      <c r="F2336">
        <v>6</v>
      </c>
      <c r="G2336">
        <v>6.1</v>
      </c>
      <c r="H2336" t="s">
        <v>2017</v>
      </c>
      <c r="I2336" s="21">
        <v>39282</v>
      </c>
      <c r="J2336">
        <v>2007</v>
      </c>
      <c r="K2336" s="21">
        <v>39313</v>
      </c>
      <c r="L2336">
        <v>2007</v>
      </c>
      <c r="M2336" s="21">
        <v>39466</v>
      </c>
      <c r="N2336">
        <v>2008</v>
      </c>
      <c r="Q2336" s="262">
        <v>0</v>
      </c>
      <c r="S2336" t="s">
        <v>114</v>
      </c>
      <c r="T2336" t="s">
        <v>114</v>
      </c>
      <c r="W2336">
        <v>4078</v>
      </c>
      <c r="X2336">
        <v>1</v>
      </c>
      <c r="Y2336">
        <v>0</v>
      </c>
      <c r="Z2336">
        <v>0</v>
      </c>
      <c r="AA2336">
        <v>0</v>
      </c>
      <c r="AB2336">
        <v>0</v>
      </c>
      <c r="AC2336">
        <v>4078</v>
      </c>
      <c r="AD2336">
        <v>0</v>
      </c>
      <c r="AE2336">
        <v>0</v>
      </c>
      <c r="AF2336">
        <v>0</v>
      </c>
      <c r="AG2336">
        <v>0</v>
      </c>
      <c r="AH2336">
        <v>0</v>
      </c>
      <c r="AI2336">
        <v>0</v>
      </c>
      <c r="AJ2336">
        <v>0</v>
      </c>
      <c r="AK2336">
        <v>0</v>
      </c>
      <c r="AL2336">
        <v>0</v>
      </c>
      <c r="AM2336">
        <v>0</v>
      </c>
      <c r="AN2336">
        <v>0</v>
      </c>
      <c r="AO2336">
        <v>1</v>
      </c>
      <c r="AP2336">
        <v>0</v>
      </c>
      <c r="AQ2336">
        <v>0</v>
      </c>
      <c r="AR2336">
        <v>0</v>
      </c>
      <c r="AS2336">
        <v>0</v>
      </c>
      <c r="AT2336">
        <v>0</v>
      </c>
      <c r="AU2336">
        <f t="shared" si="72"/>
        <v>1</v>
      </c>
      <c r="AV2336">
        <f t="shared" si="73"/>
        <v>0</v>
      </c>
    </row>
    <row r="2337" spans="1:48" x14ac:dyDescent="0.25">
      <c r="A2337" t="s">
        <v>8256</v>
      </c>
      <c r="C2337" t="s">
        <v>8257</v>
      </c>
      <c r="D2337" t="s">
        <v>8258</v>
      </c>
      <c r="E2337" t="s">
        <v>1663</v>
      </c>
      <c r="F2337">
        <v>5</v>
      </c>
      <c r="G2337">
        <v>5.5</v>
      </c>
      <c r="H2337" t="s">
        <v>2017</v>
      </c>
      <c r="I2337" s="21">
        <v>39282</v>
      </c>
      <c r="J2337">
        <v>2007</v>
      </c>
      <c r="K2337" s="21">
        <v>39313</v>
      </c>
      <c r="L2337">
        <v>2007</v>
      </c>
      <c r="M2337" s="21">
        <v>39466</v>
      </c>
      <c r="N2337">
        <v>2008</v>
      </c>
      <c r="Q2337" s="262">
        <v>0</v>
      </c>
      <c r="S2337" t="s">
        <v>114</v>
      </c>
      <c r="T2337" t="s">
        <v>114</v>
      </c>
      <c r="W2337">
        <v>2856</v>
      </c>
      <c r="X2337">
        <v>1</v>
      </c>
      <c r="Y2337">
        <v>0</v>
      </c>
      <c r="Z2337">
        <v>0</v>
      </c>
      <c r="AA2337">
        <v>0</v>
      </c>
      <c r="AB2337">
        <v>0</v>
      </c>
      <c r="AC2337">
        <v>2856</v>
      </c>
      <c r="AD2337">
        <v>0</v>
      </c>
      <c r="AE2337">
        <v>0</v>
      </c>
      <c r="AF2337">
        <v>0</v>
      </c>
      <c r="AG2337">
        <v>0</v>
      </c>
      <c r="AH2337">
        <v>0</v>
      </c>
      <c r="AI2337">
        <v>0</v>
      </c>
      <c r="AJ2337">
        <v>0</v>
      </c>
      <c r="AK2337">
        <v>0</v>
      </c>
      <c r="AL2337">
        <v>0</v>
      </c>
      <c r="AM2337">
        <v>0</v>
      </c>
      <c r="AN2337">
        <v>0</v>
      </c>
      <c r="AO2337">
        <v>1</v>
      </c>
      <c r="AP2337">
        <v>0</v>
      </c>
      <c r="AQ2337">
        <v>0</v>
      </c>
      <c r="AR2337">
        <v>0</v>
      </c>
      <c r="AS2337">
        <v>0</v>
      </c>
      <c r="AT2337">
        <v>0</v>
      </c>
      <c r="AU2337">
        <f t="shared" si="72"/>
        <v>1</v>
      </c>
      <c r="AV2337">
        <f t="shared" si="73"/>
        <v>0</v>
      </c>
    </row>
    <row r="2338" spans="1:48" x14ac:dyDescent="0.25">
      <c r="A2338" t="s">
        <v>8262</v>
      </c>
      <c r="C2338" t="s">
        <v>7354</v>
      </c>
      <c r="D2338" t="s">
        <v>8263</v>
      </c>
      <c r="E2338" t="s">
        <v>2310</v>
      </c>
      <c r="F2338">
        <v>9</v>
      </c>
      <c r="G2338">
        <v>9.1999999999999993</v>
      </c>
      <c r="H2338" t="s">
        <v>2022</v>
      </c>
      <c r="I2338" s="21">
        <v>39282</v>
      </c>
      <c r="J2338">
        <v>2007</v>
      </c>
      <c r="K2338" s="21">
        <v>39358</v>
      </c>
      <c r="L2338">
        <v>2007</v>
      </c>
      <c r="M2338" s="21">
        <v>39944</v>
      </c>
      <c r="N2338">
        <v>2009</v>
      </c>
      <c r="R2338" s="262">
        <v>936000</v>
      </c>
      <c r="S2338" t="s">
        <v>114</v>
      </c>
      <c r="T2338" t="s">
        <v>114</v>
      </c>
      <c r="U2338">
        <v>5</v>
      </c>
      <c r="W2338">
        <v>4097</v>
      </c>
      <c r="X2338">
        <v>1</v>
      </c>
      <c r="Y2338">
        <v>0</v>
      </c>
      <c r="Z2338">
        <v>0</v>
      </c>
      <c r="AA2338">
        <v>0</v>
      </c>
      <c r="AB2338">
        <v>0</v>
      </c>
      <c r="AC2338">
        <v>4097</v>
      </c>
      <c r="AD2338">
        <v>0</v>
      </c>
      <c r="AE2338">
        <v>0</v>
      </c>
      <c r="AF2338">
        <v>0</v>
      </c>
      <c r="AG2338">
        <v>0</v>
      </c>
      <c r="AH2338">
        <v>0</v>
      </c>
      <c r="AI2338">
        <v>0</v>
      </c>
      <c r="AJ2338">
        <v>0</v>
      </c>
      <c r="AK2338">
        <v>0</v>
      </c>
      <c r="AL2338">
        <v>0</v>
      </c>
      <c r="AM2338">
        <v>0</v>
      </c>
      <c r="AN2338">
        <v>0</v>
      </c>
      <c r="AO2338">
        <v>1</v>
      </c>
      <c r="AP2338">
        <v>0</v>
      </c>
      <c r="AQ2338">
        <v>0</v>
      </c>
      <c r="AR2338">
        <v>0</v>
      </c>
      <c r="AS2338">
        <v>0</v>
      </c>
      <c r="AT2338">
        <v>0</v>
      </c>
      <c r="AU2338">
        <f t="shared" si="72"/>
        <v>1</v>
      </c>
      <c r="AV2338">
        <f t="shared" si="73"/>
        <v>0</v>
      </c>
    </row>
    <row r="2339" spans="1:48" x14ac:dyDescent="0.25">
      <c r="A2339" t="s">
        <v>8264</v>
      </c>
      <c r="C2339" t="s">
        <v>8265</v>
      </c>
      <c r="D2339" t="s">
        <v>8266</v>
      </c>
      <c r="E2339" t="s">
        <v>2310</v>
      </c>
      <c r="F2339">
        <v>9</v>
      </c>
      <c r="G2339">
        <v>9.1999999999999993</v>
      </c>
      <c r="H2339" t="s">
        <v>2022</v>
      </c>
      <c r="I2339" s="21">
        <v>39282</v>
      </c>
      <c r="J2339">
        <v>2007</v>
      </c>
      <c r="K2339" s="21">
        <v>39356</v>
      </c>
      <c r="L2339">
        <v>2007</v>
      </c>
      <c r="M2339" s="21">
        <v>40213.624710648102</v>
      </c>
      <c r="N2339">
        <v>2010</v>
      </c>
      <c r="R2339" s="262">
        <v>500000</v>
      </c>
      <c r="S2339" t="s">
        <v>114</v>
      </c>
      <c r="T2339" t="s">
        <v>114</v>
      </c>
      <c r="U2339">
        <v>5</v>
      </c>
      <c r="W2339">
        <v>1886</v>
      </c>
      <c r="X2339">
        <v>0</v>
      </c>
      <c r="Y2339">
        <v>0</v>
      </c>
      <c r="Z2339">
        <v>0</v>
      </c>
      <c r="AA2339">
        <v>0</v>
      </c>
      <c r="AB2339">
        <v>0</v>
      </c>
      <c r="AC2339">
        <v>1886</v>
      </c>
      <c r="AD2339">
        <v>0</v>
      </c>
      <c r="AE2339">
        <v>0</v>
      </c>
      <c r="AF2339">
        <v>0</v>
      </c>
      <c r="AG2339">
        <v>0</v>
      </c>
      <c r="AH2339">
        <v>0</v>
      </c>
      <c r="AI2339">
        <v>0</v>
      </c>
      <c r="AJ2339">
        <v>0</v>
      </c>
      <c r="AK2339">
        <v>0</v>
      </c>
      <c r="AL2339">
        <v>0</v>
      </c>
      <c r="AM2339">
        <v>0</v>
      </c>
      <c r="AN2339">
        <v>0</v>
      </c>
      <c r="AO2339">
        <v>0</v>
      </c>
      <c r="AP2339">
        <v>0</v>
      </c>
      <c r="AQ2339">
        <v>0</v>
      </c>
      <c r="AR2339">
        <v>0</v>
      </c>
      <c r="AS2339">
        <v>0</v>
      </c>
      <c r="AT2339">
        <v>0</v>
      </c>
      <c r="AU2339">
        <f t="shared" si="72"/>
        <v>0</v>
      </c>
      <c r="AV2339">
        <f t="shared" si="73"/>
        <v>0</v>
      </c>
    </row>
    <row r="2340" spans="1:48" x14ac:dyDescent="0.25">
      <c r="A2340" t="s">
        <v>8267</v>
      </c>
      <c r="C2340" t="s">
        <v>8268</v>
      </c>
      <c r="D2340" t="s">
        <v>2652</v>
      </c>
      <c r="E2340" t="s">
        <v>2310</v>
      </c>
      <c r="F2340">
        <v>15</v>
      </c>
      <c r="G2340">
        <v>15.2</v>
      </c>
      <c r="H2340" t="s">
        <v>2323</v>
      </c>
      <c r="I2340" s="21">
        <v>39283</v>
      </c>
      <c r="J2340">
        <v>2007</v>
      </c>
      <c r="K2340" s="21">
        <v>39343</v>
      </c>
      <c r="L2340">
        <v>2007</v>
      </c>
      <c r="M2340" s="21">
        <v>40254.3578009259</v>
      </c>
      <c r="N2340">
        <v>2010</v>
      </c>
      <c r="R2340" s="262">
        <v>98000</v>
      </c>
      <c r="S2340" t="s">
        <v>114</v>
      </c>
      <c r="T2340" t="s">
        <v>114</v>
      </c>
      <c r="U2340">
        <v>8</v>
      </c>
      <c r="W2340">
        <v>1248</v>
      </c>
      <c r="X2340">
        <v>1</v>
      </c>
      <c r="Y2340">
        <v>0</v>
      </c>
      <c r="Z2340">
        <v>0</v>
      </c>
      <c r="AA2340">
        <v>0</v>
      </c>
      <c r="AB2340">
        <v>0</v>
      </c>
      <c r="AC2340">
        <v>624</v>
      </c>
      <c r="AD2340">
        <v>0</v>
      </c>
      <c r="AE2340">
        <v>0</v>
      </c>
      <c r="AF2340">
        <v>624</v>
      </c>
      <c r="AG2340">
        <v>0</v>
      </c>
      <c r="AH2340">
        <v>0</v>
      </c>
      <c r="AI2340">
        <v>0</v>
      </c>
      <c r="AJ2340">
        <v>0</v>
      </c>
      <c r="AK2340">
        <v>0</v>
      </c>
      <c r="AL2340">
        <v>0</v>
      </c>
      <c r="AM2340">
        <v>0</v>
      </c>
      <c r="AN2340">
        <v>0</v>
      </c>
      <c r="AO2340">
        <v>0</v>
      </c>
      <c r="AP2340">
        <v>0</v>
      </c>
      <c r="AQ2340">
        <v>0</v>
      </c>
      <c r="AR2340">
        <v>1</v>
      </c>
      <c r="AS2340">
        <v>0</v>
      </c>
      <c r="AT2340">
        <v>0</v>
      </c>
      <c r="AU2340">
        <f t="shared" si="72"/>
        <v>0</v>
      </c>
      <c r="AV2340">
        <f t="shared" si="73"/>
        <v>0</v>
      </c>
    </row>
    <row r="2341" spans="1:48" x14ac:dyDescent="0.25">
      <c r="A2341" t="s">
        <v>8269</v>
      </c>
      <c r="C2341" t="s">
        <v>8270</v>
      </c>
      <c r="D2341" t="s">
        <v>8271</v>
      </c>
      <c r="E2341" t="s">
        <v>2310</v>
      </c>
      <c r="F2341">
        <v>15</v>
      </c>
      <c r="G2341">
        <v>15.2</v>
      </c>
      <c r="H2341" t="s">
        <v>2323</v>
      </c>
      <c r="I2341" s="21">
        <v>39283</v>
      </c>
      <c r="J2341">
        <v>2007</v>
      </c>
      <c r="K2341" s="21">
        <v>39343</v>
      </c>
      <c r="L2341">
        <v>2007</v>
      </c>
      <c r="M2341" s="21">
        <v>39343</v>
      </c>
      <c r="N2341">
        <v>2007</v>
      </c>
      <c r="R2341" s="262">
        <v>15000</v>
      </c>
      <c r="S2341" t="s">
        <v>114</v>
      </c>
      <c r="T2341" t="s">
        <v>114</v>
      </c>
      <c r="U2341">
        <v>3</v>
      </c>
      <c r="W2341">
        <v>72</v>
      </c>
      <c r="X2341">
        <v>0</v>
      </c>
      <c r="Y2341">
        <v>0</v>
      </c>
      <c r="Z2341">
        <v>0</v>
      </c>
      <c r="AA2341">
        <v>72</v>
      </c>
      <c r="AB2341">
        <v>0</v>
      </c>
      <c r="AC2341">
        <v>0</v>
      </c>
      <c r="AD2341">
        <v>0</v>
      </c>
      <c r="AE2341">
        <v>0</v>
      </c>
      <c r="AF2341">
        <v>0</v>
      </c>
      <c r="AG2341">
        <v>0</v>
      </c>
      <c r="AH2341">
        <v>0</v>
      </c>
      <c r="AI2341">
        <v>0</v>
      </c>
      <c r="AJ2341">
        <v>0</v>
      </c>
      <c r="AK2341">
        <v>0</v>
      </c>
      <c r="AL2341">
        <v>0</v>
      </c>
      <c r="AM2341">
        <v>0</v>
      </c>
      <c r="AN2341">
        <v>0</v>
      </c>
      <c r="AO2341">
        <v>0</v>
      </c>
      <c r="AP2341">
        <v>0</v>
      </c>
      <c r="AQ2341">
        <v>0</v>
      </c>
      <c r="AR2341">
        <v>0</v>
      </c>
      <c r="AS2341">
        <v>0</v>
      </c>
      <c r="AT2341">
        <v>0</v>
      </c>
      <c r="AU2341">
        <f t="shared" si="72"/>
        <v>0</v>
      </c>
      <c r="AV2341">
        <f t="shared" si="73"/>
        <v>72</v>
      </c>
    </row>
    <row r="2342" spans="1:48" x14ac:dyDescent="0.25">
      <c r="A2342" t="s">
        <v>8272</v>
      </c>
      <c r="C2342" t="s">
        <v>8273</v>
      </c>
      <c r="D2342" t="s">
        <v>8274</v>
      </c>
      <c r="E2342" t="s">
        <v>2310</v>
      </c>
      <c r="F2342">
        <v>10</v>
      </c>
      <c r="G2342">
        <v>10.1</v>
      </c>
      <c r="H2342" t="s">
        <v>2323</v>
      </c>
      <c r="I2342" s="21">
        <v>39286</v>
      </c>
      <c r="J2342">
        <v>2007</v>
      </c>
      <c r="K2342" s="21">
        <v>39338</v>
      </c>
      <c r="L2342">
        <v>2007</v>
      </c>
      <c r="M2342" s="21">
        <v>40137.393101851798</v>
      </c>
      <c r="N2342">
        <v>2009</v>
      </c>
      <c r="R2342" s="262">
        <v>120000</v>
      </c>
      <c r="S2342" t="s">
        <v>114</v>
      </c>
      <c r="T2342" t="s">
        <v>114</v>
      </c>
      <c r="U2342">
        <v>5</v>
      </c>
      <c r="W2342">
        <v>900</v>
      </c>
      <c r="X2342">
        <v>0</v>
      </c>
      <c r="Y2342">
        <v>0</v>
      </c>
      <c r="Z2342">
        <v>0</v>
      </c>
      <c r="AA2342">
        <v>0</v>
      </c>
      <c r="AB2342">
        <v>0</v>
      </c>
      <c r="AC2342">
        <v>900</v>
      </c>
      <c r="AD2342">
        <v>0</v>
      </c>
      <c r="AE2342">
        <v>0</v>
      </c>
      <c r="AF2342">
        <v>0</v>
      </c>
      <c r="AG2342">
        <v>0</v>
      </c>
      <c r="AH2342">
        <v>0</v>
      </c>
      <c r="AI2342">
        <v>0</v>
      </c>
      <c r="AJ2342">
        <v>0</v>
      </c>
      <c r="AK2342">
        <v>0</v>
      </c>
      <c r="AL2342">
        <v>0</v>
      </c>
      <c r="AM2342">
        <v>0</v>
      </c>
      <c r="AN2342">
        <v>0</v>
      </c>
      <c r="AO2342">
        <v>0</v>
      </c>
      <c r="AP2342">
        <v>0</v>
      </c>
      <c r="AQ2342">
        <v>0</v>
      </c>
      <c r="AR2342">
        <v>0</v>
      </c>
      <c r="AS2342">
        <v>0</v>
      </c>
      <c r="AT2342">
        <v>0</v>
      </c>
      <c r="AU2342">
        <f t="shared" si="72"/>
        <v>0</v>
      </c>
      <c r="AV2342">
        <f t="shared" si="73"/>
        <v>0</v>
      </c>
    </row>
    <row r="2343" spans="1:48" x14ac:dyDescent="0.25">
      <c r="A2343" t="s">
        <v>8275</v>
      </c>
      <c r="C2343" t="s">
        <v>8276</v>
      </c>
      <c r="D2343" t="s">
        <v>6064</v>
      </c>
      <c r="E2343" t="s">
        <v>2310</v>
      </c>
      <c r="F2343">
        <v>9</v>
      </c>
      <c r="G2343">
        <v>9.1999999999999993</v>
      </c>
      <c r="H2343" t="s">
        <v>2022</v>
      </c>
      <c r="I2343" s="21">
        <v>39287</v>
      </c>
      <c r="J2343">
        <v>2007</v>
      </c>
      <c r="K2343" s="21">
        <v>39307</v>
      </c>
      <c r="L2343">
        <v>2007</v>
      </c>
      <c r="M2343" s="21">
        <v>39307</v>
      </c>
      <c r="N2343">
        <v>2007</v>
      </c>
      <c r="R2343" s="262">
        <v>0</v>
      </c>
      <c r="S2343" t="s">
        <v>114</v>
      </c>
      <c r="T2343" t="s">
        <v>114</v>
      </c>
      <c r="U2343">
        <v>5</v>
      </c>
      <c r="W2343">
        <v>1410</v>
      </c>
      <c r="X2343">
        <v>0</v>
      </c>
      <c r="Y2343">
        <v>0</v>
      </c>
      <c r="Z2343">
        <v>0</v>
      </c>
      <c r="AA2343">
        <v>0</v>
      </c>
      <c r="AB2343">
        <v>0</v>
      </c>
      <c r="AC2343">
        <v>1410</v>
      </c>
      <c r="AD2343">
        <v>0</v>
      </c>
      <c r="AE2343">
        <v>0</v>
      </c>
      <c r="AF2343">
        <v>0</v>
      </c>
      <c r="AG2343">
        <v>0</v>
      </c>
      <c r="AH2343">
        <v>0</v>
      </c>
      <c r="AI2343">
        <v>0</v>
      </c>
      <c r="AJ2343">
        <v>0</v>
      </c>
      <c r="AK2343">
        <v>0</v>
      </c>
      <c r="AL2343">
        <v>0</v>
      </c>
      <c r="AM2343">
        <v>0</v>
      </c>
      <c r="AN2343">
        <v>0</v>
      </c>
      <c r="AO2343">
        <v>0</v>
      </c>
      <c r="AP2343">
        <v>0</v>
      </c>
      <c r="AQ2343">
        <v>0</v>
      </c>
      <c r="AR2343">
        <v>0</v>
      </c>
      <c r="AS2343">
        <v>0</v>
      </c>
      <c r="AT2343">
        <v>0</v>
      </c>
      <c r="AU2343">
        <f t="shared" si="72"/>
        <v>0</v>
      </c>
      <c r="AV2343">
        <f t="shared" si="73"/>
        <v>0</v>
      </c>
    </row>
    <row r="2344" spans="1:48" x14ac:dyDescent="0.25">
      <c r="A2344" t="s">
        <v>8277</v>
      </c>
      <c r="C2344" t="s">
        <v>8278</v>
      </c>
      <c r="D2344" t="s">
        <v>3146</v>
      </c>
      <c r="E2344" t="s">
        <v>2310</v>
      </c>
      <c r="F2344">
        <v>15</v>
      </c>
      <c r="G2344">
        <v>15.3</v>
      </c>
      <c r="H2344" t="s">
        <v>2022</v>
      </c>
      <c r="I2344" s="21">
        <v>39288</v>
      </c>
      <c r="J2344">
        <v>2007</v>
      </c>
      <c r="K2344" s="21">
        <v>39324</v>
      </c>
      <c r="L2344">
        <v>2007</v>
      </c>
      <c r="M2344" s="21">
        <v>40108.339537036998</v>
      </c>
      <c r="N2344">
        <v>2009</v>
      </c>
      <c r="R2344" s="262">
        <v>600000</v>
      </c>
      <c r="S2344" t="s">
        <v>114</v>
      </c>
      <c r="T2344" t="s">
        <v>114</v>
      </c>
      <c r="U2344">
        <v>8</v>
      </c>
      <c r="W2344">
        <v>2019</v>
      </c>
      <c r="X2344">
        <v>1</v>
      </c>
      <c r="Y2344">
        <v>0</v>
      </c>
      <c r="Z2344">
        <v>0</v>
      </c>
      <c r="AA2344">
        <v>0</v>
      </c>
      <c r="AB2344">
        <v>0</v>
      </c>
      <c r="AC2344">
        <v>1024</v>
      </c>
      <c r="AD2344">
        <v>0</v>
      </c>
      <c r="AE2344">
        <v>0</v>
      </c>
      <c r="AF2344">
        <v>995</v>
      </c>
      <c r="AG2344">
        <v>0</v>
      </c>
      <c r="AH2344">
        <v>0</v>
      </c>
      <c r="AI2344">
        <v>0</v>
      </c>
      <c r="AJ2344">
        <v>0</v>
      </c>
      <c r="AK2344">
        <v>0</v>
      </c>
      <c r="AL2344">
        <v>0</v>
      </c>
      <c r="AM2344">
        <v>0</v>
      </c>
      <c r="AN2344">
        <v>0</v>
      </c>
      <c r="AO2344">
        <v>0</v>
      </c>
      <c r="AP2344">
        <v>0</v>
      </c>
      <c r="AQ2344">
        <v>0</v>
      </c>
      <c r="AR2344">
        <v>1</v>
      </c>
      <c r="AS2344">
        <v>0</v>
      </c>
      <c r="AT2344">
        <v>0</v>
      </c>
      <c r="AU2344">
        <f t="shared" si="72"/>
        <v>0</v>
      </c>
      <c r="AV2344">
        <f t="shared" si="73"/>
        <v>0</v>
      </c>
    </row>
    <row r="2345" spans="1:48" x14ac:dyDescent="0.25">
      <c r="A2345" t="s">
        <v>8279</v>
      </c>
      <c r="C2345" t="s">
        <v>8280</v>
      </c>
      <c r="D2345" t="s">
        <v>8281</v>
      </c>
      <c r="E2345" t="s">
        <v>2310</v>
      </c>
      <c r="F2345">
        <v>9</v>
      </c>
      <c r="G2345">
        <v>9.3000000000000007</v>
      </c>
      <c r="H2345" t="s">
        <v>2323</v>
      </c>
      <c r="I2345" s="21">
        <v>39288</v>
      </c>
      <c r="J2345">
        <v>2007</v>
      </c>
      <c r="K2345" s="21">
        <v>39342</v>
      </c>
      <c r="L2345">
        <v>2007</v>
      </c>
      <c r="M2345" s="21">
        <v>40067.617268518501</v>
      </c>
      <c r="N2345">
        <v>2009</v>
      </c>
      <c r="R2345" s="262">
        <v>800000</v>
      </c>
      <c r="S2345" t="s">
        <v>114</v>
      </c>
      <c r="T2345" t="s">
        <v>114</v>
      </c>
      <c r="U2345">
        <v>5</v>
      </c>
      <c r="W2345">
        <v>5170</v>
      </c>
      <c r="X2345">
        <v>1</v>
      </c>
      <c r="Y2345">
        <v>0</v>
      </c>
      <c r="Z2345">
        <v>0</v>
      </c>
      <c r="AA2345">
        <v>0</v>
      </c>
      <c r="AB2345">
        <v>0</v>
      </c>
      <c r="AC2345">
        <v>5170</v>
      </c>
      <c r="AD2345">
        <v>0</v>
      </c>
      <c r="AE2345">
        <v>0</v>
      </c>
      <c r="AF2345">
        <v>0</v>
      </c>
      <c r="AG2345">
        <v>0</v>
      </c>
      <c r="AH2345">
        <v>0</v>
      </c>
      <c r="AI2345">
        <v>0</v>
      </c>
      <c r="AJ2345">
        <v>0</v>
      </c>
      <c r="AK2345">
        <v>0</v>
      </c>
      <c r="AL2345">
        <v>0</v>
      </c>
      <c r="AM2345">
        <v>0</v>
      </c>
      <c r="AN2345">
        <v>0</v>
      </c>
      <c r="AO2345">
        <v>1</v>
      </c>
      <c r="AP2345">
        <v>0</v>
      </c>
      <c r="AQ2345">
        <v>0</v>
      </c>
      <c r="AR2345">
        <v>0</v>
      </c>
      <c r="AS2345">
        <v>0</v>
      </c>
      <c r="AT2345">
        <v>0</v>
      </c>
      <c r="AU2345">
        <f t="shared" si="72"/>
        <v>1</v>
      </c>
      <c r="AV2345">
        <f t="shared" si="73"/>
        <v>0</v>
      </c>
    </row>
    <row r="2346" spans="1:48" x14ac:dyDescent="0.25">
      <c r="A2346" t="s">
        <v>8282</v>
      </c>
      <c r="C2346" t="s">
        <v>8283</v>
      </c>
      <c r="D2346" t="s">
        <v>8281</v>
      </c>
      <c r="E2346" t="s">
        <v>2310</v>
      </c>
      <c r="F2346">
        <v>9</v>
      </c>
      <c r="G2346">
        <v>9.3000000000000007</v>
      </c>
      <c r="H2346" t="s">
        <v>2323</v>
      </c>
      <c r="I2346" s="21">
        <v>39288</v>
      </c>
      <c r="J2346">
        <v>2007</v>
      </c>
      <c r="K2346" s="21">
        <v>39343</v>
      </c>
      <c r="L2346">
        <v>2007</v>
      </c>
      <c r="M2346" s="21">
        <v>40067.623217592598</v>
      </c>
      <c r="N2346">
        <v>2009</v>
      </c>
      <c r="R2346" s="262">
        <v>200000</v>
      </c>
      <c r="S2346" t="s">
        <v>114</v>
      </c>
      <c r="T2346" t="s">
        <v>114</v>
      </c>
      <c r="U2346">
        <v>8</v>
      </c>
      <c r="W2346">
        <v>1948</v>
      </c>
      <c r="X2346">
        <v>1</v>
      </c>
      <c r="Y2346">
        <v>0</v>
      </c>
      <c r="Z2346">
        <v>0</v>
      </c>
      <c r="AA2346">
        <v>0</v>
      </c>
      <c r="AB2346">
        <v>0</v>
      </c>
      <c r="AC2346">
        <v>960</v>
      </c>
      <c r="AD2346">
        <v>0</v>
      </c>
      <c r="AE2346">
        <v>0</v>
      </c>
      <c r="AF2346">
        <v>988</v>
      </c>
      <c r="AG2346">
        <v>0</v>
      </c>
      <c r="AH2346">
        <v>0</v>
      </c>
      <c r="AI2346">
        <v>0</v>
      </c>
      <c r="AJ2346">
        <v>0</v>
      </c>
      <c r="AK2346">
        <v>0</v>
      </c>
      <c r="AL2346">
        <v>0</v>
      </c>
      <c r="AM2346">
        <v>0</v>
      </c>
      <c r="AN2346">
        <v>0</v>
      </c>
      <c r="AO2346">
        <v>0</v>
      </c>
      <c r="AP2346">
        <v>0</v>
      </c>
      <c r="AQ2346">
        <v>0</v>
      </c>
      <c r="AR2346">
        <v>1</v>
      </c>
      <c r="AS2346">
        <v>0</v>
      </c>
      <c r="AT2346">
        <v>0</v>
      </c>
      <c r="AU2346">
        <f t="shared" si="72"/>
        <v>0</v>
      </c>
      <c r="AV2346">
        <f t="shared" si="73"/>
        <v>0</v>
      </c>
    </row>
    <row r="2347" spans="1:48" x14ac:dyDescent="0.25">
      <c r="A2347" t="s">
        <v>8287</v>
      </c>
      <c r="C2347" t="s">
        <v>8288</v>
      </c>
      <c r="D2347" t="s">
        <v>8289</v>
      </c>
      <c r="E2347" t="s">
        <v>2310</v>
      </c>
      <c r="F2347">
        <v>15</v>
      </c>
      <c r="G2347">
        <v>15.2</v>
      </c>
      <c r="H2347" t="s">
        <v>2323</v>
      </c>
      <c r="I2347" s="21">
        <v>39289</v>
      </c>
      <c r="J2347">
        <v>2007</v>
      </c>
      <c r="K2347" s="21">
        <v>39308</v>
      </c>
      <c r="L2347">
        <v>2007</v>
      </c>
      <c r="M2347" s="21">
        <v>39568</v>
      </c>
      <c r="N2347">
        <v>2008</v>
      </c>
      <c r="R2347" s="262">
        <v>60000</v>
      </c>
      <c r="S2347" t="s">
        <v>114</v>
      </c>
      <c r="T2347" t="s">
        <v>114</v>
      </c>
      <c r="U2347">
        <v>5</v>
      </c>
      <c r="W2347">
        <v>0</v>
      </c>
      <c r="X2347">
        <v>0</v>
      </c>
      <c r="Y2347">
        <v>0</v>
      </c>
      <c r="Z2347">
        <v>0</v>
      </c>
      <c r="AA2347">
        <v>0</v>
      </c>
      <c r="AB2347">
        <v>0</v>
      </c>
      <c r="AC2347">
        <v>0</v>
      </c>
      <c r="AD2347">
        <v>0</v>
      </c>
      <c r="AE2347">
        <v>0</v>
      </c>
      <c r="AF2347">
        <v>0</v>
      </c>
      <c r="AG2347">
        <v>0</v>
      </c>
      <c r="AH2347">
        <v>0</v>
      </c>
      <c r="AI2347">
        <v>0</v>
      </c>
      <c r="AJ2347">
        <v>0</v>
      </c>
      <c r="AK2347">
        <v>0</v>
      </c>
      <c r="AL2347">
        <v>0</v>
      </c>
      <c r="AM2347">
        <v>0</v>
      </c>
      <c r="AN2347">
        <v>0</v>
      </c>
      <c r="AO2347">
        <v>0</v>
      </c>
      <c r="AP2347">
        <v>0</v>
      </c>
      <c r="AQ2347">
        <v>0</v>
      </c>
      <c r="AR2347">
        <v>0</v>
      </c>
      <c r="AS2347">
        <v>0</v>
      </c>
      <c r="AT2347">
        <v>0</v>
      </c>
      <c r="AU2347">
        <f t="shared" si="72"/>
        <v>0</v>
      </c>
      <c r="AV2347">
        <f t="shared" si="73"/>
        <v>0</v>
      </c>
    </row>
    <row r="2348" spans="1:48" x14ac:dyDescent="0.25">
      <c r="A2348" t="s">
        <v>8290</v>
      </c>
      <c r="C2348" t="s">
        <v>8291</v>
      </c>
      <c r="D2348" t="s">
        <v>2162</v>
      </c>
      <c r="E2348" t="s">
        <v>2310</v>
      </c>
      <c r="F2348">
        <v>8</v>
      </c>
      <c r="G2348">
        <v>8.1999999999999993</v>
      </c>
      <c r="H2348" t="s">
        <v>2022</v>
      </c>
      <c r="I2348" s="21">
        <v>39289</v>
      </c>
      <c r="J2348">
        <v>2007</v>
      </c>
      <c r="K2348" s="21">
        <v>39762</v>
      </c>
      <c r="L2348">
        <v>2008</v>
      </c>
      <c r="M2348" s="21">
        <v>40522.567337963003</v>
      </c>
      <c r="N2348">
        <v>2010</v>
      </c>
      <c r="R2348" s="262">
        <v>100000</v>
      </c>
      <c r="S2348" t="s">
        <v>114</v>
      </c>
      <c r="T2348" t="s">
        <v>114</v>
      </c>
      <c r="U2348">
        <v>5</v>
      </c>
      <c r="W2348">
        <v>374</v>
      </c>
      <c r="X2348">
        <v>0</v>
      </c>
      <c r="Y2348">
        <v>0</v>
      </c>
      <c r="Z2348">
        <v>0</v>
      </c>
      <c r="AA2348">
        <v>0</v>
      </c>
      <c r="AB2348">
        <v>0</v>
      </c>
      <c r="AC2348">
        <v>374</v>
      </c>
      <c r="AD2348">
        <v>0</v>
      </c>
      <c r="AE2348">
        <v>0</v>
      </c>
      <c r="AF2348">
        <v>0</v>
      </c>
      <c r="AG2348">
        <v>0</v>
      </c>
      <c r="AH2348">
        <v>0</v>
      </c>
      <c r="AI2348">
        <v>0</v>
      </c>
      <c r="AJ2348">
        <v>0</v>
      </c>
      <c r="AK2348">
        <v>0</v>
      </c>
      <c r="AL2348">
        <v>0</v>
      </c>
      <c r="AM2348">
        <v>0</v>
      </c>
      <c r="AN2348">
        <v>0</v>
      </c>
      <c r="AO2348">
        <v>0</v>
      </c>
      <c r="AP2348">
        <v>0</v>
      </c>
      <c r="AQ2348">
        <v>0</v>
      </c>
      <c r="AR2348">
        <v>0</v>
      </c>
      <c r="AS2348">
        <v>0</v>
      </c>
      <c r="AT2348">
        <v>0</v>
      </c>
      <c r="AU2348">
        <f t="shared" si="72"/>
        <v>0</v>
      </c>
      <c r="AV2348">
        <f t="shared" si="73"/>
        <v>0</v>
      </c>
    </row>
    <row r="2349" spans="1:48" x14ac:dyDescent="0.25">
      <c r="A2349" t="s">
        <v>8284</v>
      </c>
      <c r="C2349" t="s">
        <v>8285</v>
      </c>
      <c r="D2349" t="s">
        <v>8286</v>
      </c>
      <c r="E2349" t="s">
        <v>1663</v>
      </c>
      <c r="F2349">
        <v>3</v>
      </c>
      <c r="G2349">
        <v>3.1</v>
      </c>
      <c r="H2349" t="s">
        <v>2017</v>
      </c>
      <c r="I2349" s="21">
        <v>39289</v>
      </c>
      <c r="J2349">
        <v>2007</v>
      </c>
      <c r="K2349" s="21">
        <v>39320</v>
      </c>
      <c r="L2349">
        <v>2007</v>
      </c>
      <c r="M2349" s="21">
        <v>39473</v>
      </c>
      <c r="N2349">
        <v>2008</v>
      </c>
      <c r="Q2349" s="262">
        <v>0</v>
      </c>
      <c r="S2349" t="s">
        <v>114</v>
      </c>
      <c r="T2349" t="s">
        <v>114</v>
      </c>
      <c r="W2349">
        <v>3112</v>
      </c>
      <c r="X2349">
        <v>1</v>
      </c>
      <c r="Y2349">
        <v>0</v>
      </c>
      <c r="Z2349">
        <v>0</v>
      </c>
      <c r="AA2349">
        <v>0</v>
      </c>
      <c r="AB2349">
        <v>0</v>
      </c>
      <c r="AC2349">
        <v>3112</v>
      </c>
      <c r="AD2349">
        <v>0</v>
      </c>
      <c r="AE2349">
        <v>0</v>
      </c>
      <c r="AF2349">
        <v>0</v>
      </c>
      <c r="AG2349">
        <v>0</v>
      </c>
      <c r="AH2349">
        <v>0</v>
      </c>
      <c r="AI2349">
        <v>0</v>
      </c>
      <c r="AJ2349">
        <v>0</v>
      </c>
      <c r="AK2349">
        <v>0</v>
      </c>
      <c r="AL2349">
        <v>0</v>
      </c>
      <c r="AM2349">
        <v>0</v>
      </c>
      <c r="AN2349">
        <v>0</v>
      </c>
      <c r="AO2349">
        <v>1</v>
      </c>
      <c r="AP2349">
        <v>0</v>
      </c>
      <c r="AQ2349">
        <v>0</v>
      </c>
      <c r="AR2349">
        <v>0</v>
      </c>
      <c r="AS2349">
        <v>0</v>
      </c>
      <c r="AT2349">
        <v>0</v>
      </c>
      <c r="AU2349">
        <f t="shared" si="72"/>
        <v>1</v>
      </c>
      <c r="AV2349">
        <f t="shared" si="73"/>
        <v>0</v>
      </c>
    </row>
    <row r="2350" spans="1:48" x14ac:dyDescent="0.25">
      <c r="A2350" t="s">
        <v>8295</v>
      </c>
      <c r="C2350" t="s">
        <v>8296</v>
      </c>
      <c r="D2350" t="s">
        <v>8297</v>
      </c>
      <c r="E2350" t="s">
        <v>1663</v>
      </c>
      <c r="F2350">
        <v>5</v>
      </c>
      <c r="G2350">
        <v>5.5</v>
      </c>
      <c r="H2350" t="s">
        <v>2017</v>
      </c>
      <c r="I2350" s="21">
        <v>39293</v>
      </c>
      <c r="J2350">
        <v>2007</v>
      </c>
      <c r="K2350" s="21">
        <v>39324</v>
      </c>
      <c r="L2350">
        <v>2007</v>
      </c>
      <c r="M2350" s="21">
        <v>39477</v>
      </c>
      <c r="N2350">
        <v>2008</v>
      </c>
      <c r="Q2350" s="262">
        <v>90000</v>
      </c>
      <c r="S2350" t="s">
        <v>114</v>
      </c>
      <c r="T2350" t="s">
        <v>114</v>
      </c>
      <c r="W2350">
        <v>1368</v>
      </c>
      <c r="X2350">
        <v>1</v>
      </c>
      <c r="Y2350">
        <v>0</v>
      </c>
      <c r="Z2350">
        <v>0</v>
      </c>
      <c r="AA2350">
        <v>0</v>
      </c>
      <c r="AB2350">
        <v>0</v>
      </c>
      <c r="AC2350">
        <v>0</v>
      </c>
      <c r="AD2350">
        <v>1368</v>
      </c>
      <c r="AE2350">
        <v>0</v>
      </c>
      <c r="AF2350">
        <v>0</v>
      </c>
      <c r="AG2350">
        <v>0</v>
      </c>
      <c r="AH2350">
        <v>0</v>
      </c>
      <c r="AI2350">
        <v>0</v>
      </c>
      <c r="AJ2350">
        <v>0</v>
      </c>
      <c r="AK2350">
        <v>0</v>
      </c>
      <c r="AL2350">
        <v>0</v>
      </c>
      <c r="AM2350">
        <v>0</v>
      </c>
      <c r="AN2350">
        <v>0</v>
      </c>
      <c r="AO2350">
        <v>0</v>
      </c>
      <c r="AP2350">
        <v>1</v>
      </c>
      <c r="AQ2350">
        <v>0</v>
      </c>
      <c r="AR2350">
        <v>0</v>
      </c>
      <c r="AS2350">
        <v>0</v>
      </c>
      <c r="AT2350">
        <v>0</v>
      </c>
      <c r="AU2350">
        <f t="shared" si="72"/>
        <v>1</v>
      </c>
      <c r="AV2350">
        <f t="shared" si="73"/>
        <v>0</v>
      </c>
    </row>
    <row r="2351" spans="1:48" x14ac:dyDescent="0.25">
      <c r="A2351" t="s">
        <v>8292</v>
      </c>
      <c r="C2351" t="s">
        <v>8293</v>
      </c>
      <c r="D2351" t="s">
        <v>8294</v>
      </c>
      <c r="E2351" t="s">
        <v>1663</v>
      </c>
      <c r="F2351">
        <v>3</v>
      </c>
      <c r="G2351">
        <v>3.1</v>
      </c>
      <c r="H2351" t="s">
        <v>2017</v>
      </c>
      <c r="I2351" s="21">
        <v>39293</v>
      </c>
      <c r="J2351">
        <v>2007</v>
      </c>
      <c r="K2351" s="21">
        <v>39324</v>
      </c>
      <c r="L2351">
        <v>2007</v>
      </c>
      <c r="M2351" s="21">
        <v>39477</v>
      </c>
      <c r="N2351">
        <v>2008</v>
      </c>
      <c r="Q2351" s="262">
        <v>0</v>
      </c>
      <c r="S2351" t="s">
        <v>114</v>
      </c>
      <c r="T2351" t="s">
        <v>114</v>
      </c>
      <c r="W2351">
        <v>2182</v>
      </c>
      <c r="X2351">
        <v>1</v>
      </c>
      <c r="Y2351">
        <v>0</v>
      </c>
      <c r="Z2351">
        <v>0</v>
      </c>
      <c r="AA2351">
        <v>0</v>
      </c>
      <c r="AB2351">
        <v>0</v>
      </c>
      <c r="AC2351">
        <v>0</v>
      </c>
      <c r="AD2351">
        <v>2182</v>
      </c>
      <c r="AE2351">
        <v>0</v>
      </c>
      <c r="AF2351">
        <v>0</v>
      </c>
      <c r="AG2351">
        <v>0</v>
      </c>
      <c r="AH2351">
        <v>0</v>
      </c>
      <c r="AI2351">
        <v>0</v>
      </c>
      <c r="AJ2351">
        <v>0</v>
      </c>
      <c r="AK2351">
        <v>0</v>
      </c>
      <c r="AL2351">
        <v>0</v>
      </c>
      <c r="AM2351">
        <v>0</v>
      </c>
      <c r="AN2351">
        <v>0</v>
      </c>
      <c r="AO2351">
        <v>0</v>
      </c>
      <c r="AP2351">
        <v>1</v>
      </c>
      <c r="AQ2351">
        <v>0</v>
      </c>
      <c r="AR2351">
        <v>0</v>
      </c>
      <c r="AS2351">
        <v>0</v>
      </c>
      <c r="AT2351">
        <v>0</v>
      </c>
      <c r="AU2351">
        <f t="shared" si="72"/>
        <v>1</v>
      </c>
      <c r="AV2351">
        <f t="shared" si="73"/>
        <v>0</v>
      </c>
    </row>
    <row r="2352" spans="1:48" x14ac:dyDescent="0.25">
      <c r="A2352" t="s">
        <v>8303</v>
      </c>
      <c r="C2352" t="s">
        <v>8304</v>
      </c>
      <c r="D2352" t="s">
        <v>8305</v>
      </c>
      <c r="E2352" t="s">
        <v>2310</v>
      </c>
      <c r="F2352">
        <v>12</v>
      </c>
      <c r="G2352">
        <v>12.3</v>
      </c>
      <c r="H2352" t="s">
        <v>2017</v>
      </c>
      <c r="I2352" s="21">
        <v>39294</v>
      </c>
      <c r="J2352">
        <v>2007</v>
      </c>
      <c r="K2352" s="21">
        <v>39357</v>
      </c>
      <c r="L2352">
        <v>2007</v>
      </c>
      <c r="M2352" s="21">
        <v>39904</v>
      </c>
      <c r="N2352">
        <v>2009</v>
      </c>
      <c r="R2352" s="262">
        <v>400000</v>
      </c>
      <c r="S2352" t="s">
        <v>114</v>
      </c>
      <c r="T2352" t="s">
        <v>114</v>
      </c>
      <c r="U2352">
        <v>5</v>
      </c>
      <c r="W2352">
        <v>2517</v>
      </c>
      <c r="X2352">
        <v>0</v>
      </c>
      <c r="Y2352">
        <v>0</v>
      </c>
      <c r="Z2352">
        <v>0</v>
      </c>
      <c r="AA2352">
        <v>0</v>
      </c>
      <c r="AB2352">
        <v>0</v>
      </c>
      <c r="AC2352">
        <v>2517</v>
      </c>
      <c r="AD2352">
        <v>0</v>
      </c>
      <c r="AE2352">
        <v>0</v>
      </c>
      <c r="AF2352">
        <v>0</v>
      </c>
      <c r="AG2352">
        <v>0</v>
      </c>
      <c r="AH2352">
        <v>0</v>
      </c>
      <c r="AI2352">
        <v>0</v>
      </c>
      <c r="AJ2352">
        <v>0</v>
      </c>
      <c r="AK2352">
        <v>0</v>
      </c>
      <c r="AL2352">
        <v>0</v>
      </c>
      <c r="AM2352">
        <v>0</v>
      </c>
      <c r="AN2352">
        <v>0</v>
      </c>
      <c r="AO2352">
        <v>0</v>
      </c>
      <c r="AP2352">
        <v>0</v>
      </c>
      <c r="AQ2352">
        <v>0</v>
      </c>
      <c r="AR2352">
        <v>0</v>
      </c>
      <c r="AS2352">
        <v>0</v>
      </c>
      <c r="AT2352">
        <v>0</v>
      </c>
      <c r="AU2352">
        <f t="shared" si="72"/>
        <v>0</v>
      </c>
      <c r="AV2352">
        <f t="shared" si="73"/>
        <v>0</v>
      </c>
    </row>
    <row r="2353" spans="1:48" x14ac:dyDescent="0.25">
      <c r="A2353" t="s">
        <v>8306</v>
      </c>
      <c r="C2353" t="s">
        <v>8307</v>
      </c>
      <c r="D2353" t="s">
        <v>8308</v>
      </c>
      <c r="E2353" t="s">
        <v>2310</v>
      </c>
      <c r="F2353">
        <v>8</v>
      </c>
      <c r="G2353">
        <v>8.1999999999999993</v>
      </c>
      <c r="H2353" t="s">
        <v>2022</v>
      </c>
      <c r="I2353" s="21">
        <v>39294</v>
      </c>
      <c r="J2353">
        <v>2007</v>
      </c>
      <c r="K2353" s="21">
        <v>39371</v>
      </c>
      <c r="L2353">
        <v>2007</v>
      </c>
      <c r="M2353" s="21">
        <v>39371</v>
      </c>
      <c r="N2353">
        <v>2007</v>
      </c>
      <c r="R2353" s="262">
        <v>20000</v>
      </c>
      <c r="S2353" t="s">
        <v>114</v>
      </c>
      <c r="T2353" t="s">
        <v>114</v>
      </c>
      <c r="U2353">
        <v>5</v>
      </c>
      <c r="W2353">
        <v>120</v>
      </c>
      <c r="X2353">
        <v>0</v>
      </c>
      <c r="Y2353">
        <v>0</v>
      </c>
      <c r="Z2353">
        <v>0</v>
      </c>
      <c r="AA2353">
        <v>0</v>
      </c>
      <c r="AB2353">
        <v>0</v>
      </c>
      <c r="AC2353">
        <v>120</v>
      </c>
      <c r="AD2353">
        <v>0</v>
      </c>
      <c r="AE2353">
        <v>0</v>
      </c>
      <c r="AF2353">
        <v>0</v>
      </c>
      <c r="AG2353">
        <v>0</v>
      </c>
      <c r="AH2353">
        <v>0</v>
      </c>
      <c r="AI2353">
        <v>0</v>
      </c>
      <c r="AJ2353">
        <v>0</v>
      </c>
      <c r="AK2353">
        <v>0</v>
      </c>
      <c r="AL2353">
        <v>0</v>
      </c>
      <c r="AM2353">
        <v>0</v>
      </c>
      <c r="AN2353">
        <v>0</v>
      </c>
      <c r="AO2353">
        <v>0</v>
      </c>
      <c r="AP2353">
        <v>0</v>
      </c>
      <c r="AQ2353">
        <v>0</v>
      </c>
      <c r="AR2353">
        <v>0</v>
      </c>
      <c r="AS2353">
        <v>0</v>
      </c>
      <c r="AT2353">
        <v>0</v>
      </c>
      <c r="AU2353">
        <f t="shared" si="72"/>
        <v>0</v>
      </c>
      <c r="AV2353">
        <f t="shared" si="73"/>
        <v>0</v>
      </c>
    </row>
    <row r="2354" spans="1:48" x14ac:dyDescent="0.25">
      <c r="A2354" t="s">
        <v>8298</v>
      </c>
      <c r="C2354" t="s">
        <v>8299</v>
      </c>
      <c r="D2354" t="s">
        <v>8300</v>
      </c>
      <c r="E2354" t="s">
        <v>1663</v>
      </c>
      <c r="F2354">
        <v>4</v>
      </c>
      <c r="G2354">
        <v>4.4000000000000004</v>
      </c>
      <c r="H2354" t="s">
        <v>2017</v>
      </c>
      <c r="I2354" s="21">
        <v>39294</v>
      </c>
      <c r="J2354">
        <v>2007</v>
      </c>
      <c r="K2354" s="21">
        <v>39325</v>
      </c>
      <c r="L2354">
        <v>2007</v>
      </c>
      <c r="M2354" s="21">
        <v>39478</v>
      </c>
      <c r="N2354">
        <v>2008</v>
      </c>
      <c r="Q2354" s="262">
        <v>0</v>
      </c>
      <c r="S2354" t="s">
        <v>114</v>
      </c>
      <c r="T2354" t="s">
        <v>114</v>
      </c>
      <c r="W2354">
        <v>288</v>
      </c>
      <c r="X2354">
        <v>0</v>
      </c>
      <c r="Y2354">
        <v>0</v>
      </c>
      <c r="Z2354">
        <v>0</v>
      </c>
      <c r="AA2354">
        <v>0</v>
      </c>
      <c r="AB2354">
        <v>0</v>
      </c>
      <c r="AC2354">
        <v>288</v>
      </c>
      <c r="AD2354">
        <v>0</v>
      </c>
      <c r="AE2354">
        <v>0</v>
      </c>
      <c r="AF2354">
        <v>0</v>
      </c>
      <c r="AG2354">
        <v>0</v>
      </c>
      <c r="AH2354">
        <v>0</v>
      </c>
      <c r="AI2354">
        <v>0</v>
      </c>
      <c r="AJ2354">
        <v>0</v>
      </c>
      <c r="AK2354">
        <v>0</v>
      </c>
      <c r="AL2354">
        <v>0</v>
      </c>
      <c r="AM2354">
        <v>0</v>
      </c>
      <c r="AN2354">
        <v>0</v>
      </c>
      <c r="AO2354">
        <v>0</v>
      </c>
      <c r="AP2354">
        <v>0</v>
      </c>
      <c r="AQ2354">
        <v>0</v>
      </c>
      <c r="AR2354">
        <v>0</v>
      </c>
      <c r="AS2354">
        <v>0</v>
      </c>
      <c r="AT2354">
        <v>0</v>
      </c>
      <c r="AU2354">
        <f t="shared" si="72"/>
        <v>0</v>
      </c>
      <c r="AV2354">
        <f t="shared" si="73"/>
        <v>0</v>
      </c>
    </row>
    <row r="2355" spans="1:48" x14ac:dyDescent="0.25">
      <c r="A2355" t="s">
        <v>8301</v>
      </c>
      <c r="C2355" t="s">
        <v>5963</v>
      </c>
      <c r="D2355" t="s">
        <v>8302</v>
      </c>
      <c r="E2355" t="s">
        <v>1663</v>
      </c>
      <c r="F2355">
        <v>4</v>
      </c>
      <c r="G2355">
        <v>4.2</v>
      </c>
      <c r="H2355" t="s">
        <v>2327</v>
      </c>
      <c r="I2355" s="21">
        <v>39294</v>
      </c>
      <c r="J2355">
        <v>2007</v>
      </c>
      <c r="K2355" s="21">
        <v>39325</v>
      </c>
      <c r="L2355">
        <v>2007</v>
      </c>
      <c r="M2355" s="21">
        <v>39478</v>
      </c>
      <c r="N2355">
        <v>2008</v>
      </c>
      <c r="Q2355" s="262">
        <v>0</v>
      </c>
      <c r="S2355" t="s">
        <v>114</v>
      </c>
      <c r="T2355" t="s">
        <v>114</v>
      </c>
      <c r="W2355">
        <v>2892</v>
      </c>
      <c r="X2355">
        <v>1</v>
      </c>
      <c r="Y2355">
        <v>0</v>
      </c>
      <c r="Z2355">
        <v>0</v>
      </c>
      <c r="AA2355">
        <v>0</v>
      </c>
      <c r="AB2355">
        <v>0</v>
      </c>
      <c r="AC2355">
        <v>2892</v>
      </c>
      <c r="AD2355">
        <v>0</v>
      </c>
      <c r="AE2355">
        <v>0</v>
      </c>
      <c r="AF2355">
        <v>0</v>
      </c>
      <c r="AG2355">
        <v>0</v>
      </c>
      <c r="AH2355">
        <v>0</v>
      </c>
      <c r="AI2355">
        <v>0</v>
      </c>
      <c r="AJ2355">
        <v>0</v>
      </c>
      <c r="AK2355">
        <v>0</v>
      </c>
      <c r="AL2355">
        <v>0</v>
      </c>
      <c r="AM2355">
        <v>0</v>
      </c>
      <c r="AN2355">
        <v>0</v>
      </c>
      <c r="AO2355">
        <v>1</v>
      </c>
      <c r="AP2355">
        <v>0</v>
      </c>
      <c r="AQ2355">
        <v>0</v>
      </c>
      <c r="AR2355">
        <v>0</v>
      </c>
      <c r="AS2355">
        <v>0</v>
      </c>
      <c r="AT2355">
        <v>0</v>
      </c>
      <c r="AU2355">
        <f t="shared" si="72"/>
        <v>1</v>
      </c>
      <c r="AV2355">
        <f t="shared" si="73"/>
        <v>0</v>
      </c>
    </row>
    <row r="2356" spans="1:48" x14ac:dyDescent="0.25">
      <c r="A2356" t="s">
        <v>8309</v>
      </c>
      <c r="C2356" t="s">
        <v>8310</v>
      </c>
      <c r="D2356" t="s">
        <v>6066</v>
      </c>
      <c r="E2356" t="s">
        <v>2310</v>
      </c>
      <c r="F2356">
        <v>9</v>
      </c>
      <c r="G2356">
        <v>9.1</v>
      </c>
      <c r="H2356" t="s">
        <v>2323</v>
      </c>
      <c r="I2356" s="21">
        <v>39295</v>
      </c>
      <c r="J2356">
        <v>2007</v>
      </c>
      <c r="K2356" s="21">
        <v>39323</v>
      </c>
      <c r="L2356">
        <v>2007</v>
      </c>
      <c r="M2356" s="21">
        <v>39414</v>
      </c>
      <c r="N2356">
        <v>2007</v>
      </c>
      <c r="R2356" s="262">
        <v>115000</v>
      </c>
      <c r="S2356" t="s">
        <v>114</v>
      </c>
      <c r="T2356" t="s">
        <v>114</v>
      </c>
      <c r="U2356">
        <v>5</v>
      </c>
      <c r="W2356">
        <v>0</v>
      </c>
      <c r="X2356">
        <v>0</v>
      </c>
      <c r="Y2356">
        <v>0</v>
      </c>
      <c r="Z2356">
        <v>0</v>
      </c>
      <c r="AA2356">
        <v>0</v>
      </c>
      <c r="AB2356">
        <v>0</v>
      </c>
      <c r="AC2356">
        <v>0</v>
      </c>
      <c r="AD2356">
        <v>0</v>
      </c>
      <c r="AE2356">
        <v>0</v>
      </c>
      <c r="AF2356">
        <v>0</v>
      </c>
      <c r="AG2356">
        <v>0</v>
      </c>
      <c r="AH2356">
        <v>0</v>
      </c>
      <c r="AI2356">
        <v>0</v>
      </c>
      <c r="AJ2356">
        <v>0</v>
      </c>
      <c r="AK2356">
        <v>0</v>
      </c>
      <c r="AL2356">
        <v>0</v>
      </c>
      <c r="AM2356">
        <v>0</v>
      </c>
      <c r="AN2356">
        <v>0</v>
      </c>
      <c r="AO2356">
        <v>0</v>
      </c>
      <c r="AP2356">
        <v>0</v>
      </c>
      <c r="AQ2356">
        <v>0</v>
      </c>
      <c r="AR2356">
        <v>0</v>
      </c>
      <c r="AS2356">
        <v>0</v>
      </c>
      <c r="AT2356">
        <v>0</v>
      </c>
      <c r="AU2356">
        <f t="shared" si="72"/>
        <v>0</v>
      </c>
      <c r="AV2356">
        <f t="shared" si="73"/>
        <v>0</v>
      </c>
    </row>
    <row r="2357" spans="1:48" x14ac:dyDescent="0.25">
      <c r="A2357" t="s">
        <v>8311</v>
      </c>
      <c r="C2357" t="s">
        <v>8312</v>
      </c>
      <c r="D2357" t="s">
        <v>6036</v>
      </c>
      <c r="E2357" t="s">
        <v>2310</v>
      </c>
      <c r="F2357">
        <v>15</v>
      </c>
      <c r="G2357">
        <v>15.2</v>
      </c>
      <c r="H2357" t="s">
        <v>2323</v>
      </c>
      <c r="I2357" s="21">
        <v>39295</v>
      </c>
      <c r="J2357">
        <v>2007</v>
      </c>
      <c r="K2357" s="21">
        <v>39377</v>
      </c>
      <c r="L2357">
        <v>2007</v>
      </c>
      <c r="M2357" s="21">
        <v>40213.6491550926</v>
      </c>
      <c r="N2357">
        <v>2010</v>
      </c>
      <c r="R2357" s="262">
        <v>200000</v>
      </c>
      <c r="S2357" t="s">
        <v>114</v>
      </c>
      <c r="T2357" t="s">
        <v>114</v>
      </c>
      <c r="U2357">
        <v>8</v>
      </c>
      <c r="W2357">
        <v>987</v>
      </c>
      <c r="X2357">
        <v>1</v>
      </c>
      <c r="Y2357">
        <v>0</v>
      </c>
      <c r="Z2357">
        <v>0</v>
      </c>
      <c r="AA2357">
        <v>0</v>
      </c>
      <c r="AB2357">
        <v>0</v>
      </c>
      <c r="AC2357">
        <v>0</v>
      </c>
      <c r="AD2357">
        <v>0</v>
      </c>
      <c r="AE2357">
        <v>0</v>
      </c>
      <c r="AF2357">
        <v>987</v>
      </c>
      <c r="AG2357">
        <v>0</v>
      </c>
      <c r="AH2357">
        <v>0</v>
      </c>
      <c r="AI2357">
        <v>0</v>
      </c>
      <c r="AJ2357">
        <v>0</v>
      </c>
      <c r="AK2357">
        <v>0</v>
      </c>
      <c r="AL2357">
        <v>0</v>
      </c>
      <c r="AM2357">
        <v>0</v>
      </c>
      <c r="AN2357">
        <v>0</v>
      </c>
      <c r="AO2357">
        <v>0</v>
      </c>
      <c r="AP2357">
        <v>0</v>
      </c>
      <c r="AQ2357">
        <v>0</v>
      </c>
      <c r="AR2357">
        <v>1</v>
      </c>
      <c r="AS2357">
        <v>0</v>
      </c>
      <c r="AT2357">
        <v>0</v>
      </c>
      <c r="AU2357">
        <f t="shared" si="72"/>
        <v>0</v>
      </c>
      <c r="AV2357">
        <f t="shared" si="73"/>
        <v>0</v>
      </c>
    </row>
    <row r="2358" spans="1:48" x14ac:dyDescent="0.25">
      <c r="A2358" t="s">
        <v>8313</v>
      </c>
      <c r="C2358" t="s">
        <v>7354</v>
      </c>
      <c r="D2358" t="s">
        <v>8314</v>
      </c>
      <c r="E2358" t="s">
        <v>2310</v>
      </c>
      <c r="F2358">
        <v>8</v>
      </c>
      <c r="G2358">
        <v>8.3000000000000007</v>
      </c>
      <c r="H2358" t="s">
        <v>2323</v>
      </c>
      <c r="I2358" s="21">
        <v>39296</v>
      </c>
      <c r="J2358">
        <v>2007</v>
      </c>
      <c r="K2358" s="21">
        <v>39359</v>
      </c>
      <c r="L2358">
        <v>2007</v>
      </c>
      <c r="M2358" s="21">
        <v>41165.384305555599</v>
      </c>
      <c r="N2358">
        <v>2012</v>
      </c>
      <c r="R2358" s="262">
        <v>1350000</v>
      </c>
      <c r="S2358" t="s">
        <v>114</v>
      </c>
      <c r="T2358" t="s">
        <v>114</v>
      </c>
      <c r="U2358">
        <v>5</v>
      </c>
      <c r="W2358">
        <v>5498</v>
      </c>
      <c r="X2358">
        <v>1</v>
      </c>
      <c r="Y2358">
        <v>0</v>
      </c>
      <c r="Z2358">
        <v>0</v>
      </c>
      <c r="AA2358">
        <v>0</v>
      </c>
      <c r="AB2358">
        <v>0</v>
      </c>
      <c r="AC2358">
        <v>5498</v>
      </c>
      <c r="AD2358">
        <v>0</v>
      </c>
      <c r="AE2358">
        <v>0</v>
      </c>
      <c r="AF2358">
        <v>0</v>
      </c>
      <c r="AG2358">
        <v>0</v>
      </c>
      <c r="AH2358">
        <v>0</v>
      </c>
      <c r="AI2358">
        <v>0</v>
      </c>
      <c r="AJ2358">
        <v>0</v>
      </c>
      <c r="AK2358">
        <v>0</v>
      </c>
      <c r="AL2358">
        <v>0</v>
      </c>
      <c r="AM2358">
        <v>0</v>
      </c>
      <c r="AN2358">
        <v>0</v>
      </c>
      <c r="AO2358">
        <v>1</v>
      </c>
      <c r="AP2358">
        <v>0</v>
      </c>
      <c r="AQ2358">
        <v>0</v>
      </c>
      <c r="AR2358">
        <v>0</v>
      </c>
      <c r="AS2358">
        <v>0</v>
      </c>
      <c r="AT2358">
        <v>0</v>
      </c>
      <c r="AU2358">
        <f t="shared" si="72"/>
        <v>1</v>
      </c>
      <c r="AV2358">
        <f t="shared" si="73"/>
        <v>0</v>
      </c>
    </row>
    <row r="2359" spans="1:48" x14ac:dyDescent="0.25">
      <c r="A2359" t="s">
        <v>8315</v>
      </c>
      <c r="C2359" t="s">
        <v>8316</v>
      </c>
      <c r="D2359" t="s">
        <v>8317</v>
      </c>
      <c r="E2359" t="s">
        <v>2310</v>
      </c>
      <c r="F2359">
        <v>14</v>
      </c>
      <c r="G2359">
        <v>14.2</v>
      </c>
      <c r="H2359" t="s">
        <v>2017</v>
      </c>
      <c r="I2359" s="21">
        <v>39296</v>
      </c>
      <c r="J2359">
        <v>2007</v>
      </c>
      <c r="K2359" s="21">
        <v>39345</v>
      </c>
      <c r="L2359">
        <v>2007</v>
      </c>
      <c r="M2359" s="21">
        <v>39638</v>
      </c>
      <c r="N2359">
        <v>2008</v>
      </c>
      <c r="R2359" s="262">
        <v>45000</v>
      </c>
      <c r="S2359" t="s">
        <v>114</v>
      </c>
      <c r="T2359" t="s">
        <v>114</v>
      </c>
      <c r="U2359">
        <v>3</v>
      </c>
      <c r="W2359">
        <v>468</v>
      </c>
      <c r="X2359">
        <v>0</v>
      </c>
      <c r="Y2359">
        <v>0</v>
      </c>
      <c r="Z2359">
        <v>0</v>
      </c>
      <c r="AA2359">
        <v>468</v>
      </c>
      <c r="AB2359">
        <v>0</v>
      </c>
      <c r="AC2359">
        <v>0</v>
      </c>
      <c r="AD2359">
        <v>0</v>
      </c>
      <c r="AE2359">
        <v>0</v>
      </c>
      <c r="AF2359">
        <v>0</v>
      </c>
      <c r="AG2359">
        <v>0</v>
      </c>
      <c r="AH2359">
        <v>0</v>
      </c>
      <c r="AI2359">
        <v>0</v>
      </c>
      <c r="AJ2359">
        <v>0</v>
      </c>
      <c r="AK2359">
        <v>0</v>
      </c>
      <c r="AL2359">
        <v>0</v>
      </c>
      <c r="AM2359">
        <v>0</v>
      </c>
      <c r="AN2359">
        <v>0</v>
      </c>
      <c r="AO2359">
        <v>0</v>
      </c>
      <c r="AP2359">
        <v>0</v>
      </c>
      <c r="AQ2359">
        <v>0</v>
      </c>
      <c r="AR2359">
        <v>0</v>
      </c>
      <c r="AS2359">
        <v>0</v>
      </c>
      <c r="AT2359">
        <v>0</v>
      </c>
      <c r="AU2359">
        <f t="shared" si="72"/>
        <v>0</v>
      </c>
      <c r="AV2359">
        <f t="shared" si="73"/>
        <v>468</v>
      </c>
    </row>
    <row r="2360" spans="1:48" x14ac:dyDescent="0.25">
      <c r="A2360" t="s">
        <v>8318</v>
      </c>
      <c r="C2360" t="s">
        <v>8319</v>
      </c>
      <c r="D2360" t="s">
        <v>2354</v>
      </c>
      <c r="E2360" t="s">
        <v>2310</v>
      </c>
      <c r="F2360">
        <v>8</v>
      </c>
      <c r="G2360">
        <v>8.1</v>
      </c>
      <c r="H2360" t="s">
        <v>2323</v>
      </c>
      <c r="I2360" s="21">
        <v>39296</v>
      </c>
      <c r="J2360">
        <v>2007</v>
      </c>
      <c r="K2360" s="21">
        <v>39302</v>
      </c>
      <c r="L2360">
        <v>2007</v>
      </c>
      <c r="M2360" s="21">
        <v>39624</v>
      </c>
      <c r="N2360">
        <v>2008</v>
      </c>
      <c r="R2360" s="262">
        <v>20000</v>
      </c>
      <c r="S2360" t="s">
        <v>114</v>
      </c>
      <c r="T2360" t="s">
        <v>114</v>
      </c>
      <c r="U2360">
        <v>15</v>
      </c>
      <c r="W2360">
        <v>2184</v>
      </c>
      <c r="X2360">
        <v>0</v>
      </c>
      <c r="Y2360">
        <v>0</v>
      </c>
      <c r="Z2360">
        <v>0</v>
      </c>
      <c r="AA2360">
        <v>0</v>
      </c>
      <c r="AB2360">
        <v>0</v>
      </c>
      <c r="AC2360">
        <v>0</v>
      </c>
      <c r="AD2360">
        <v>0</v>
      </c>
      <c r="AE2360">
        <v>0</v>
      </c>
      <c r="AF2360">
        <v>0</v>
      </c>
      <c r="AG2360">
        <v>0</v>
      </c>
      <c r="AH2360">
        <v>0</v>
      </c>
      <c r="AI2360">
        <v>0</v>
      </c>
      <c r="AJ2360">
        <v>0</v>
      </c>
      <c r="AK2360">
        <v>0</v>
      </c>
      <c r="AL2360">
        <v>0</v>
      </c>
      <c r="AM2360">
        <v>2184</v>
      </c>
      <c r="AN2360">
        <v>0</v>
      </c>
      <c r="AO2360">
        <v>0</v>
      </c>
      <c r="AP2360">
        <v>0</v>
      </c>
      <c r="AQ2360">
        <v>0</v>
      </c>
      <c r="AR2360">
        <v>0</v>
      </c>
      <c r="AS2360">
        <v>0</v>
      </c>
      <c r="AT2360">
        <v>0</v>
      </c>
      <c r="AU2360">
        <f t="shared" si="72"/>
        <v>0</v>
      </c>
      <c r="AV2360">
        <f t="shared" si="73"/>
        <v>2184</v>
      </c>
    </row>
    <row r="2361" spans="1:48" x14ac:dyDescent="0.25">
      <c r="A2361" t="s">
        <v>8320</v>
      </c>
      <c r="C2361" t="s">
        <v>8321</v>
      </c>
      <c r="D2361" t="s">
        <v>8322</v>
      </c>
      <c r="E2361" t="s">
        <v>2310</v>
      </c>
      <c r="F2361">
        <v>11</v>
      </c>
      <c r="G2361">
        <v>11.2</v>
      </c>
      <c r="H2361" t="s">
        <v>2017</v>
      </c>
      <c r="I2361" s="21">
        <v>39297</v>
      </c>
      <c r="J2361">
        <v>2007</v>
      </c>
      <c r="K2361" s="21">
        <v>39377</v>
      </c>
      <c r="L2361">
        <v>2007</v>
      </c>
      <c r="M2361" s="21">
        <v>39681</v>
      </c>
      <c r="N2361">
        <v>2008</v>
      </c>
      <c r="R2361" s="262">
        <v>190000</v>
      </c>
      <c r="S2361" t="s">
        <v>114</v>
      </c>
      <c r="T2361" t="s">
        <v>114</v>
      </c>
      <c r="U2361">
        <v>5</v>
      </c>
      <c r="W2361">
        <v>2123</v>
      </c>
      <c r="X2361">
        <v>1</v>
      </c>
      <c r="Y2361">
        <v>0</v>
      </c>
      <c r="Z2361">
        <v>0</v>
      </c>
      <c r="AA2361">
        <v>0</v>
      </c>
      <c r="AB2361">
        <v>0</v>
      </c>
      <c r="AC2361">
        <v>2123</v>
      </c>
      <c r="AD2361">
        <v>0</v>
      </c>
      <c r="AE2361">
        <v>0</v>
      </c>
      <c r="AF2361">
        <v>0</v>
      </c>
      <c r="AG2361">
        <v>0</v>
      </c>
      <c r="AH2361">
        <v>0</v>
      </c>
      <c r="AI2361">
        <v>0</v>
      </c>
      <c r="AJ2361">
        <v>0</v>
      </c>
      <c r="AK2361">
        <v>0</v>
      </c>
      <c r="AL2361">
        <v>0</v>
      </c>
      <c r="AM2361">
        <v>0</v>
      </c>
      <c r="AN2361">
        <v>0</v>
      </c>
      <c r="AO2361">
        <v>1</v>
      </c>
      <c r="AP2361">
        <v>0</v>
      </c>
      <c r="AQ2361">
        <v>0</v>
      </c>
      <c r="AR2361">
        <v>0</v>
      </c>
      <c r="AS2361">
        <v>0</v>
      </c>
      <c r="AT2361">
        <v>0</v>
      </c>
      <c r="AU2361">
        <f t="shared" si="72"/>
        <v>1</v>
      </c>
      <c r="AV2361">
        <f t="shared" si="73"/>
        <v>0</v>
      </c>
    </row>
    <row r="2362" spans="1:48" x14ac:dyDescent="0.25">
      <c r="A2362" t="s">
        <v>8323</v>
      </c>
      <c r="C2362" t="s">
        <v>8324</v>
      </c>
      <c r="D2362" t="s">
        <v>7727</v>
      </c>
      <c r="E2362" t="s">
        <v>2310</v>
      </c>
      <c r="F2362">
        <v>9</v>
      </c>
      <c r="G2362">
        <v>9.1999999999999993</v>
      </c>
      <c r="H2362" t="s">
        <v>2022</v>
      </c>
      <c r="I2362" s="21">
        <v>39300</v>
      </c>
      <c r="J2362">
        <v>2007</v>
      </c>
      <c r="K2362" s="21">
        <v>39300</v>
      </c>
      <c r="L2362">
        <v>2007</v>
      </c>
      <c r="M2362" s="21">
        <v>39300</v>
      </c>
      <c r="N2362">
        <v>2007</v>
      </c>
      <c r="R2362" s="262">
        <v>12000</v>
      </c>
      <c r="S2362" t="s">
        <v>114</v>
      </c>
      <c r="T2362" t="s">
        <v>114</v>
      </c>
      <c r="U2362">
        <v>5</v>
      </c>
      <c r="W2362">
        <v>0</v>
      </c>
      <c r="X2362">
        <v>0</v>
      </c>
      <c r="Y2362">
        <v>0</v>
      </c>
      <c r="Z2362">
        <v>0</v>
      </c>
      <c r="AA2362">
        <v>0</v>
      </c>
      <c r="AB2362">
        <v>0</v>
      </c>
      <c r="AC2362">
        <v>0</v>
      </c>
      <c r="AD2362">
        <v>0</v>
      </c>
      <c r="AE2362">
        <v>0</v>
      </c>
      <c r="AF2362">
        <v>0</v>
      </c>
      <c r="AG2362">
        <v>0</v>
      </c>
      <c r="AH2362">
        <v>0</v>
      </c>
      <c r="AI2362">
        <v>0</v>
      </c>
      <c r="AJ2362">
        <v>0</v>
      </c>
      <c r="AK2362">
        <v>0</v>
      </c>
      <c r="AL2362">
        <v>0</v>
      </c>
      <c r="AM2362">
        <v>0</v>
      </c>
      <c r="AN2362">
        <v>0</v>
      </c>
      <c r="AO2362">
        <v>0</v>
      </c>
      <c r="AP2362">
        <v>0</v>
      </c>
      <c r="AQ2362">
        <v>0</v>
      </c>
      <c r="AR2362">
        <v>0</v>
      </c>
      <c r="AS2362">
        <v>0</v>
      </c>
      <c r="AT2362">
        <v>0</v>
      </c>
      <c r="AU2362">
        <f t="shared" si="72"/>
        <v>0</v>
      </c>
      <c r="AV2362">
        <f t="shared" si="73"/>
        <v>0</v>
      </c>
    </row>
    <row r="2363" spans="1:48" x14ac:dyDescent="0.25">
      <c r="A2363" t="s">
        <v>8325</v>
      </c>
      <c r="C2363" t="s">
        <v>8326</v>
      </c>
      <c r="D2363" t="s">
        <v>3663</v>
      </c>
      <c r="E2363" t="s">
        <v>2310</v>
      </c>
      <c r="F2363">
        <v>9</v>
      </c>
      <c r="G2363">
        <v>9.3000000000000007</v>
      </c>
      <c r="H2363" t="s">
        <v>2323</v>
      </c>
      <c r="I2363" s="21">
        <v>39301</v>
      </c>
      <c r="J2363">
        <v>2007</v>
      </c>
      <c r="K2363" s="21">
        <v>39358</v>
      </c>
      <c r="L2363">
        <v>2007</v>
      </c>
      <c r="M2363" s="21">
        <v>40288.425115740698</v>
      </c>
      <c r="N2363">
        <v>2010</v>
      </c>
      <c r="R2363" s="262">
        <v>75000</v>
      </c>
      <c r="S2363" t="s">
        <v>114</v>
      </c>
      <c r="T2363" t="s">
        <v>114</v>
      </c>
      <c r="U2363">
        <v>5</v>
      </c>
      <c r="W2363">
        <v>482</v>
      </c>
      <c r="X2363">
        <v>0</v>
      </c>
      <c r="Y2363">
        <v>0</v>
      </c>
      <c r="Z2363">
        <v>0</v>
      </c>
      <c r="AA2363">
        <v>0</v>
      </c>
      <c r="AB2363">
        <v>0</v>
      </c>
      <c r="AC2363">
        <v>482</v>
      </c>
      <c r="AD2363">
        <v>0</v>
      </c>
      <c r="AE2363">
        <v>0</v>
      </c>
      <c r="AF2363">
        <v>0</v>
      </c>
      <c r="AG2363">
        <v>0</v>
      </c>
      <c r="AH2363">
        <v>0</v>
      </c>
      <c r="AI2363">
        <v>0</v>
      </c>
      <c r="AJ2363">
        <v>0</v>
      </c>
      <c r="AK2363">
        <v>0</v>
      </c>
      <c r="AL2363">
        <v>0</v>
      </c>
      <c r="AM2363">
        <v>0</v>
      </c>
      <c r="AN2363">
        <v>0</v>
      </c>
      <c r="AO2363">
        <v>0</v>
      </c>
      <c r="AP2363">
        <v>0</v>
      </c>
      <c r="AQ2363">
        <v>0</v>
      </c>
      <c r="AR2363">
        <v>0</v>
      </c>
      <c r="AS2363">
        <v>0</v>
      </c>
      <c r="AT2363">
        <v>0</v>
      </c>
      <c r="AU2363">
        <f t="shared" si="72"/>
        <v>0</v>
      </c>
      <c r="AV2363">
        <f t="shared" si="73"/>
        <v>0</v>
      </c>
    </row>
    <row r="2364" spans="1:48" x14ac:dyDescent="0.25">
      <c r="A2364" t="s">
        <v>8327</v>
      </c>
      <c r="C2364" t="s">
        <v>8328</v>
      </c>
      <c r="D2364" t="s">
        <v>8329</v>
      </c>
      <c r="E2364" t="s">
        <v>2310</v>
      </c>
      <c r="F2364">
        <v>9</v>
      </c>
      <c r="G2364">
        <v>9.1999999999999993</v>
      </c>
      <c r="H2364" t="s">
        <v>2022</v>
      </c>
      <c r="I2364" s="21">
        <v>39301</v>
      </c>
      <c r="J2364">
        <v>2007</v>
      </c>
      <c r="K2364" s="21">
        <v>39351</v>
      </c>
      <c r="L2364">
        <v>2007</v>
      </c>
      <c r="M2364" s="21">
        <v>40591.460162037001</v>
      </c>
      <c r="N2364">
        <v>2011</v>
      </c>
      <c r="R2364" s="262">
        <v>220000</v>
      </c>
      <c r="S2364" t="s">
        <v>114</v>
      </c>
      <c r="T2364" t="s">
        <v>114</v>
      </c>
      <c r="U2364">
        <v>7</v>
      </c>
      <c r="W2364">
        <v>1860</v>
      </c>
      <c r="X2364">
        <v>1</v>
      </c>
      <c r="Y2364">
        <v>0</v>
      </c>
      <c r="Z2364">
        <v>0</v>
      </c>
      <c r="AA2364">
        <v>0</v>
      </c>
      <c r="AB2364">
        <v>0</v>
      </c>
      <c r="AC2364">
        <v>0</v>
      </c>
      <c r="AD2364">
        <v>0</v>
      </c>
      <c r="AE2364">
        <v>1860</v>
      </c>
      <c r="AF2364">
        <v>0</v>
      </c>
      <c r="AG2364">
        <v>0</v>
      </c>
      <c r="AH2364">
        <v>0</v>
      </c>
      <c r="AI2364">
        <v>0</v>
      </c>
      <c r="AJ2364">
        <v>0</v>
      </c>
      <c r="AK2364">
        <v>0</v>
      </c>
      <c r="AL2364">
        <v>0</v>
      </c>
      <c r="AM2364">
        <v>0</v>
      </c>
      <c r="AN2364">
        <v>0</v>
      </c>
      <c r="AO2364">
        <v>0</v>
      </c>
      <c r="AP2364">
        <v>0</v>
      </c>
      <c r="AQ2364">
        <v>1</v>
      </c>
      <c r="AR2364">
        <v>0</v>
      </c>
      <c r="AS2364">
        <v>0</v>
      </c>
      <c r="AT2364">
        <v>0</v>
      </c>
      <c r="AU2364">
        <f t="shared" si="72"/>
        <v>1</v>
      </c>
      <c r="AV2364">
        <f t="shared" si="73"/>
        <v>0</v>
      </c>
    </row>
    <row r="2365" spans="1:48" x14ac:dyDescent="0.25">
      <c r="A2365" t="s">
        <v>8330</v>
      </c>
      <c r="C2365" t="s">
        <v>8331</v>
      </c>
      <c r="D2365" t="s">
        <v>8332</v>
      </c>
      <c r="E2365" t="s">
        <v>2310</v>
      </c>
      <c r="F2365">
        <v>9</v>
      </c>
      <c r="G2365">
        <v>9.4</v>
      </c>
      <c r="H2365" t="s">
        <v>2323</v>
      </c>
      <c r="I2365" s="21">
        <v>39301</v>
      </c>
      <c r="J2365">
        <v>2007</v>
      </c>
      <c r="K2365" s="21">
        <v>39388</v>
      </c>
      <c r="L2365">
        <v>2007</v>
      </c>
      <c r="M2365" s="21">
        <v>39618</v>
      </c>
      <c r="N2365">
        <v>2008</v>
      </c>
      <c r="R2365" s="262">
        <v>315000</v>
      </c>
      <c r="S2365" t="s">
        <v>114</v>
      </c>
      <c r="T2365" t="s">
        <v>114</v>
      </c>
      <c r="U2365">
        <v>5</v>
      </c>
      <c r="W2365">
        <v>1254</v>
      </c>
      <c r="X2365">
        <v>0</v>
      </c>
      <c r="Y2365">
        <v>0</v>
      </c>
      <c r="Z2365">
        <v>0</v>
      </c>
      <c r="AA2365">
        <v>0</v>
      </c>
      <c r="AB2365">
        <v>0</v>
      </c>
      <c r="AC2365">
        <v>1254</v>
      </c>
      <c r="AD2365">
        <v>0</v>
      </c>
      <c r="AE2365">
        <v>0</v>
      </c>
      <c r="AF2365">
        <v>0</v>
      </c>
      <c r="AG2365">
        <v>0</v>
      </c>
      <c r="AH2365">
        <v>0</v>
      </c>
      <c r="AI2365">
        <v>0</v>
      </c>
      <c r="AJ2365">
        <v>0</v>
      </c>
      <c r="AK2365">
        <v>0</v>
      </c>
      <c r="AL2365">
        <v>0</v>
      </c>
      <c r="AM2365">
        <v>0</v>
      </c>
      <c r="AN2365">
        <v>0</v>
      </c>
      <c r="AO2365">
        <v>0</v>
      </c>
      <c r="AP2365">
        <v>0</v>
      </c>
      <c r="AQ2365">
        <v>0</v>
      </c>
      <c r="AR2365">
        <v>0</v>
      </c>
      <c r="AS2365">
        <v>0</v>
      </c>
      <c r="AT2365">
        <v>0</v>
      </c>
      <c r="AU2365">
        <f t="shared" si="72"/>
        <v>0</v>
      </c>
      <c r="AV2365">
        <f t="shared" si="73"/>
        <v>0</v>
      </c>
    </row>
    <row r="2366" spans="1:48" x14ac:dyDescent="0.25">
      <c r="A2366" t="s">
        <v>8333</v>
      </c>
      <c r="C2366" t="s">
        <v>8334</v>
      </c>
      <c r="D2366" t="s">
        <v>8332</v>
      </c>
      <c r="E2366" t="s">
        <v>2310</v>
      </c>
      <c r="F2366">
        <v>9</v>
      </c>
      <c r="G2366">
        <v>9.4</v>
      </c>
      <c r="H2366" t="s">
        <v>2323</v>
      </c>
      <c r="I2366" s="21">
        <v>39301</v>
      </c>
      <c r="J2366">
        <v>2007</v>
      </c>
      <c r="K2366" s="21">
        <v>39363</v>
      </c>
      <c r="L2366">
        <v>2007</v>
      </c>
      <c r="M2366" s="21">
        <v>39363</v>
      </c>
      <c r="N2366">
        <v>2007</v>
      </c>
      <c r="R2366" s="262">
        <v>35000</v>
      </c>
      <c r="S2366" t="s">
        <v>114</v>
      </c>
      <c r="T2366" t="s">
        <v>114</v>
      </c>
      <c r="U2366">
        <v>5</v>
      </c>
      <c r="W2366">
        <v>0</v>
      </c>
      <c r="X2366">
        <v>0</v>
      </c>
      <c r="Y2366">
        <v>0</v>
      </c>
      <c r="Z2366">
        <v>0</v>
      </c>
      <c r="AA2366">
        <v>0</v>
      </c>
      <c r="AB2366">
        <v>0</v>
      </c>
      <c r="AC2366">
        <v>0</v>
      </c>
      <c r="AD2366">
        <v>0</v>
      </c>
      <c r="AE2366">
        <v>0</v>
      </c>
      <c r="AF2366">
        <v>0</v>
      </c>
      <c r="AG2366">
        <v>0</v>
      </c>
      <c r="AH2366">
        <v>0</v>
      </c>
      <c r="AI2366">
        <v>0</v>
      </c>
      <c r="AJ2366">
        <v>0</v>
      </c>
      <c r="AK2366">
        <v>0</v>
      </c>
      <c r="AL2366">
        <v>0</v>
      </c>
      <c r="AM2366">
        <v>0</v>
      </c>
      <c r="AN2366">
        <v>0</v>
      </c>
      <c r="AO2366">
        <v>0</v>
      </c>
      <c r="AP2366">
        <v>0</v>
      </c>
      <c r="AQ2366">
        <v>0</v>
      </c>
      <c r="AR2366">
        <v>0</v>
      </c>
      <c r="AS2366">
        <v>0</v>
      </c>
      <c r="AT2366">
        <v>0</v>
      </c>
      <c r="AU2366">
        <f t="shared" si="72"/>
        <v>0</v>
      </c>
      <c r="AV2366">
        <f t="shared" si="73"/>
        <v>0</v>
      </c>
    </row>
    <row r="2367" spans="1:48" x14ac:dyDescent="0.25">
      <c r="A2367" t="s">
        <v>8335</v>
      </c>
      <c r="C2367" t="s">
        <v>8336</v>
      </c>
      <c r="D2367" t="s">
        <v>8337</v>
      </c>
      <c r="E2367" t="s">
        <v>2310</v>
      </c>
      <c r="F2367">
        <v>9</v>
      </c>
      <c r="G2367">
        <v>9.4</v>
      </c>
      <c r="H2367" t="s">
        <v>2323</v>
      </c>
      <c r="I2367" s="21">
        <v>39301</v>
      </c>
      <c r="J2367">
        <v>2007</v>
      </c>
      <c r="K2367" s="21">
        <v>39388</v>
      </c>
      <c r="L2367">
        <v>2007</v>
      </c>
      <c r="M2367" s="21">
        <v>39764</v>
      </c>
      <c r="N2367">
        <v>2008</v>
      </c>
      <c r="R2367" s="262">
        <v>470000</v>
      </c>
      <c r="S2367" t="s">
        <v>114</v>
      </c>
      <c r="T2367" t="s">
        <v>114</v>
      </c>
      <c r="U2367">
        <v>5</v>
      </c>
      <c r="W2367">
        <v>842</v>
      </c>
      <c r="X2367">
        <v>0</v>
      </c>
      <c r="Y2367">
        <v>0</v>
      </c>
      <c r="Z2367">
        <v>0</v>
      </c>
      <c r="AA2367">
        <v>0</v>
      </c>
      <c r="AB2367">
        <v>0</v>
      </c>
      <c r="AC2367">
        <v>842</v>
      </c>
      <c r="AD2367">
        <v>0</v>
      </c>
      <c r="AE2367">
        <v>0</v>
      </c>
      <c r="AF2367">
        <v>0</v>
      </c>
      <c r="AG2367">
        <v>0</v>
      </c>
      <c r="AH2367">
        <v>0</v>
      </c>
      <c r="AI2367">
        <v>0</v>
      </c>
      <c r="AJ2367">
        <v>0</v>
      </c>
      <c r="AK2367">
        <v>0</v>
      </c>
      <c r="AL2367">
        <v>0</v>
      </c>
      <c r="AM2367">
        <v>0</v>
      </c>
      <c r="AN2367">
        <v>0</v>
      </c>
      <c r="AO2367">
        <v>0</v>
      </c>
      <c r="AP2367">
        <v>0</v>
      </c>
      <c r="AQ2367">
        <v>0</v>
      </c>
      <c r="AR2367">
        <v>0</v>
      </c>
      <c r="AS2367">
        <v>0</v>
      </c>
      <c r="AT2367">
        <v>0</v>
      </c>
      <c r="AU2367">
        <f t="shared" si="72"/>
        <v>0</v>
      </c>
      <c r="AV2367">
        <f t="shared" si="73"/>
        <v>0</v>
      </c>
    </row>
    <row r="2368" spans="1:48" x14ac:dyDescent="0.25">
      <c r="A2368" t="s">
        <v>8338</v>
      </c>
      <c r="C2368" t="s">
        <v>8339</v>
      </c>
      <c r="D2368" t="s">
        <v>8337</v>
      </c>
      <c r="E2368" t="s">
        <v>2310</v>
      </c>
      <c r="F2368">
        <v>9</v>
      </c>
      <c r="G2368">
        <v>9.4</v>
      </c>
      <c r="H2368" t="s">
        <v>2323</v>
      </c>
      <c r="I2368" s="21">
        <v>39301</v>
      </c>
      <c r="J2368">
        <v>2007</v>
      </c>
      <c r="K2368" s="21">
        <v>39349</v>
      </c>
      <c r="L2368">
        <v>2007</v>
      </c>
      <c r="M2368" s="21">
        <v>39349</v>
      </c>
      <c r="N2368">
        <v>2007</v>
      </c>
      <c r="R2368" s="262">
        <v>11000</v>
      </c>
      <c r="S2368" t="s">
        <v>114</v>
      </c>
      <c r="T2368" t="s">
        <v>114</v>
      </c>
      <c r="U2368">
        <v>5</v>
      </c>
      <c r="W2368">
        <v>0</v>
      </c>
      <c r="X2368">
        <v>0</v>
      </c>
      <c r="Y2368">
        <v>0</v>
      </c>
      <c r="Z2368">
        <v>0</v>
      </c>
      <c r="AA2368">
        <v>0</v>
      </c>
      <c r="AB2368">
        <v>0</v>
      </c>
      <c r="AC2368">
        <v>0</v>
      </c>
      <c r="AD2368">
        <v>0</v>
      </c>
      <c r="AE2368">
        <v>0</v>
      </c>
      <c r="AF2368">
        <v>0</v>
      </c>
      <c r="AG2368">
        <v>0</v>
      </c>
      <c r="AH2368">
        <v>0</v>
      </c>
      <c r="AI2368">
        <v>0</v>
      </c>
      <c r="AJ2368">
        <v>0</v>
      </c>
      <c r="AK2368">
        <v>0</v>
      </c>
      <c r="AL2368">
        <v>0</v>
      </c>
      <c r="AM2368">
        <v>0</v>
      </c>
      <c r="AN2368">
        <v>0</v>
      </c>
      <c r="AO2368">
        <v>0</v>
      </c>
      <c r="AP2368">
        <v>0</v>
      </c>
      <c r="AQ2368">
        <v>0</v>
      </c>
      <c r="AR2368">
        <v>0</v>
      </c>
      <c r="AS2368">
        <v>0</v>
      </c>
      <c r="AT2368">
        <v>0</v>
      </c>
      <c r="AU2368">
        <f t="shared" si="72"/>
        <v>0</v>
      </c>
      <c r="AV2368">
        <f t="shared" si="73"/>
        <v>0</v>
      </c>
    </row>
    <row r="2369" spans="1:48" x14ac:dyDescent="0.25">
      <c r="A2369" t="s">
        <v>8340</v>
      </c>
      <c r="C2369" t="s">
        <v>3102</v>
      </c>
      <c r="D2369" t="s">
        <v>4965</v>
      </c>
      <c r="E2369" t="s">
        <v>2310</v>
      </c>
      <c r="F2369">
        <v>9</v>
      </c>
      <c r="G2369">
        <v>9.1999999999999993</v>
      </c>
      <c r="H2369" t="s">
        <v>2022</v>
      </c>
      <c r="I2369" s="21">
        <v>39302</v>
      </c>
      <c r="J2369">
        <v>2007</v>
      </c>
      <c r="K2369" s="21">
        <v>39387</v>
      </c>
      <c r="L2369">
        <v>2007</v>
      </c>
      <c r="M2369" s="21">
        <v>39617</v>
      </c>
      <c r="N2369">
        <v>2008</v>
      </c>
      <c r="R2369" s="262">
        <v>200000</v>
      </c>
      <c r="S2369" t="s">
        <v>114</v>
      </c>
      <c r="T2369" t="s">
        <v>114</v>
      </c>
      <c r="U2369">
        <v>5</v>
      </c>
      <c r="W2369">
        <v>1080</v>
      </c>
      <c r="X2369">
        <v>0</v>
      </c>
      <c r="Y2369">
        <v>0</v>
      </c>
      <c r="Z2369">
        <v>0</v>
      </c>
      <c r="AA2369">
        <v>0</v>
      </c>
      <c r="AB2369">
        <v>0</v>
      </c>
      <c r="AC2369">
        <v>1080</v>
      </c>
      <c r="AD2369">
        <v>0</v>
      </c>
      <c r="AE2369">
        <v>0</v>
      </c>
      <c r="AF2369">
        <v>0</v>
      </c>
      <c r="AG2369">
        <v>0</v>
      </c>
      <c r="AH2369">
        <v>0</v>
      </c>
      <c r="AI2369">
        <v>0</v>
      </c>
      <c r="AJ2369">
        <v>0</v>
      </c>
      <c r="AK2369">
        <v>0</v>
      </c>
      <c r="AL2369">
        <v>0</v>
      </c>
      <c r="AM2369">
        <v>0</v>
      </c>
      <c r="AN2369">
        <v>0</v>
      </c>
      <c r="AO2369">
        <v>0</v>
      </c>
      <c r="AP2369">
        <v>0</v>
      </c>
      <c r="AQ2369">
        <v>0</v>
      </c>
      <c r="AR2369">
        <v>0</v>
      </c>
      <c r="AS2369">
        <v>0</v>
      </c>
      <c r="AT2369">
        <v>0</v>
      </c>
      <c r="AU2369">
        <f t="shared" si="72"/>
        <v>0</v>
      </c>
      <c r="AV2369">
        <f t="shared" si="73"/>
        <v>0</v>
      </c>
    </row>
    <row r="2370" spans="1:48" x14ac:dyDescent="0.25">
      <c r="A2370" t="s">
        <v>8341</v>
      </c>
      <c r="C2370" t="s">
        <v>8342</v>
      </c>
      <c r="D2370" t="s">
        <v>8343</v>
      </c>
      <c r="E2370" t="s">
        <v>2310</v>
      </c>
      <c r="F2370">
        <v>14</v>
      </c>
      <c r="G2370">
        <v>14.1</v>
      </c>
      <c r="H2370" t="s">
        <v>2022</v>
      </c>
      <c r="I2370" s="21">
        <v>39302</v>
      </c>
      <c r="J2370">
        <v>2007</v>
      </c>
      <c r="K2370" s="21">
        <v>39346</v>
      </c>
      <c r="L2370">
        <v>2007</v>
      </c>
      <c r="M2370" s="21">
        <v>39878</v>
      </c>
      <c r="N2370">
        <v>2009</v>
      </c>
      <c r="R2370" s="262">
        <v>550000</v>
      </c>
      <c r="S2370" t="s">
        <v>114</v>
      </c>
      <c r="T2370" t="s">
        <v>114</v>
      </c>
      <c r="U2370">
        <v>5</v>
      </c>
      <c r="W2370">
        <v>922</v>
      </c>
      <c r="X2370">
        <v>0</v>
      </c>
      <c r="Y2370">
        <v>0</v>
      </c>
      <c r="Z2370">
        <v>0</v>
      </c>
      <c r="AA2370">
        <v>0</v>
      </c>
      <c r="AB2370">
        <v>0</v>
      </c>
      <c r="AC2370">
        <v>922</v>
      </c>
      <c r="AD2370">
        <v>0</v>
      </c>
      <c r="AE2370">
        <v>0</v>
      </c>
      <c r="AF2370">
        <v>0</v>
      </c>
      <c r="AG2370">
        <v>0</v>
      </c>
      <c r="AH2370">
        <v>0</v>
      </c>
      <c r="AI2370">
        <v>0</v>
      </c>
      <c r="AJ2370">
        <v>0</v>
      </c>
      <c r="AK2370">
        <v>0</v>
      </c>
      <c r="AL2370">
        <v>0</v>
      </c>
      <c r="AM2370">
        <v>0</v>
      </c>
      <c r="AN2370">
        <v>0</v>
      </c>
      <c r="AO2370">
        <v>0</v>
      </c>
      <c r="AP2370">
        <v>0</v>
      </c>
      <c r="AQ2370">
        <v>0</v>
      </c>
      <c r="AR2370">
        <v>0</v>
      </c>
      <c r="AS2370">
        <v>0</v>
      </c>
      <c r="AT2370">
        <v>0</v>
      </c>
      <c r="AU2370">
        <f t="shared" si="72"/>
        <v>0</v>
      </c>
      <c r="AV2370">
        <f t="shared" si="73"/>
        <v>0</v>
      </c>
    </row>
    <row r="2371" spans="1:48" x14ac:dyDescent="0.25">
      <c r="A2371" t="s">
        <v>8344</v>
      </c>
      <c r="C2371" t="s">
        <v>8345</v>
      </c>
      <c r="D2371" t="s">
        <v>7822</v>
      </c>
      <c r="E2371" t="s">
        <v>2310</v>
      </c>
      <c r="F2371">
        <v>8</v>
      </c>
      <c r="G2371">
        <v>8.1999999999999993</v>
      </c>
      <c r="H2371" t="s">
        <v>2022</v>
      </c>
      <c r="I2371" s="21">
        <v>39303</v>
      </c>
      <c r="J2371">
        <v>2007</v>
      </c>
      <c r="K2371" s="21">
        <v>39378</v>
      </c>
      <c r="L2371">
        <v>2007</v>
      </c>
      <c r="M2371" s="21">
        <v>40157.402314814797</v>
      </c>
      <c r="N2371">
        <v>2009</v>
      </c>
      <c r="R2371" s="262">
        <v>65000</v>
      </c>
      <c r="S2371" t="s">
        <v>114</v>
      </c>
      <c r="T2371" t="s">
        <v>114</v>
      </c>
      <c r="U2371">
        <v>5</v>
      </c>
      <c r="W2371">
        <v>314</v>
      </c>
      <c r="X2371">
        <v>0</v>
      </c>
      <c r="Y2371">
        <v>0</v>
      </c>
      <c r="Z2371">
        <v>0</v>
      </c>
      <c r="AA2371">
        <v>0</v>
      </c>
      <c r="AB2371">
        <v>0</v>
      </c>
      <c r="AC2371">
        <v>314</v>
      </c>
      <c r="AD2371">
        <v>0</v>
      </c>
      <c r="AE2371">
        <v>0</v>
      </c>
      <c r="AF2371">
        <v>0</v>
      </c>
      <c r="AG2371">
        <v>0</v>
      </c>
      <c r="AH2371">
        <v>0</v>
      </c>
      <c r="AI2371">
        <v>0</v>
      </c>
      <c r="AJ2371">
        <v>0</v>
      </c>
      <c r="AK2371">
        <v>0</v>
      </c>
      <c r="AL2371">
        <v>0</v>
      </c>
      <c r="AM2371">
        <v>0</v>
      </c>
      <c r="AN2371">
        <v>0</v>
      </c>
      <c r="AO2371">
        <v>0</v>
      </c>
      <c r="AP2371">
        <v>0</v>
      </c>
      <c r="AQ2371">
        <v>0</v>
      </c>
      <c r="AR2371">
        <v>0</v>
      </c>
      <c r="AS2371">
        <v>0</v>
      </c>
      <c r="AT2371">
        <v>0</v>
      </c>
      <c r="AU2371">
        <f t="shared" si="72"/>
        <v>0</v>
      </c>
      <c r="AV2371">
        <f t="shared" si="73"/>
        <v>0</v>
      </c>
    </row>
    <row r="2372" spans="1:48" x14ac:dyDescent="0.25">
      <c r="A2372" t="s">
        <v>8346</v>
      </c>
      <c r="C2372" t="s">
        <v>8347</v>
      </c>
      <c r="D2372" t="s">
        <v>8348</v>
      </c>
      <c r="E2372" t="s">
        <v>2310</v>
      </c>
      <c r="F2372">
        <v>15</v>
      </c>
      <c r="G2372">
        <v>15.2</v>
      </c>
      <c r="H2372" t="s">
        <v>2323</v>
      </c>
      <c r="I2372" s="21">
        <v>39307</v>
      </c>
      <c r="J2372">
        <v>2007</v>
      </c>
      <c r="K2372" s="21">
        <v>39371</v>
      </c>
      <c r="L2372">
        <v>2007</v>
      </c>
      <c r="M2372" s="21">
        <v>40592.370428240698</v>
      </c>
      <c r="N2372">
        <v>2011</v>
      </c>
      <c r="R2372" s="262">
        <v>267000</v>
      </c>
      <c r="S2372" t="s">
        <v>114</v>
      </c>
      <c r="T2372" t="s">
        <v>114</v>
      </c>
      <c r="U2372">
        <v>5</v>
      </c>
      <c r="W2372">
        <v>1021</v>
      </c>
      <c r="X2372">
        <v>0</v>
      </c>
      <c r="Y2372">
        <v>0</v>
      </c>
      <c r="Z2372">
        <v>0</v>
      </c>
      <c r="AA2372">
        <v>0</v>
      </c>
      <c r="AB2372">
        <v>0</v>
      </c>
      <c r="AC2372">
        <v>1021</v>
      </c>
      <c r="AD2372">
        <v>0</v>
      </c>
      <c r="AE2372">
        <v>0</v>
      </c>
      <c r="AF2372">
        <v>0</v>
      </c>
      <c r="AG2372">
        <v>0</v>
      </c>
      <c r="AH2372">
        <v>0</v>
      </c>
      <c r="AI2372">
        <v>0</v>
      </c>
      <c r="AJ2372">
        <v>0</v>
      </c>
      <c r="AK2372">
        <v>0</v>
      </c>
      <c r="AL2372">
        <v>0</v>
      </c>
      <c r="AM2372">
        <v>0</v>
      </c>
      <c r="AN2372">
        <v>0</v>
      </c>
      <c r="AO2372">
        <v>0</v>
      </c>
      <c r="AP2372">
        <v>0</v>
      </c>
      <c r="AQ2372">
        <v>0</v>
      </c>
      <c r="AR2372">
        <v>0</v>
      </c>
      <c r="AS2372">
        <v>0</v>
      </c>
      <c r="AT2372">
        <v>0</v>
      </c>
      <c r="AU2372">
        <f t="shared" si="72"/>
        <v>0</v>
      </c>
      <c r="AV2372">
        <f t="shared" si="73"/>
        <v>0</v>
      </c>
    </row>
    <row r="2373" spans="1:48" x14ac:dyDescent="0.25">
      <c r="A2373" t="s">
        <v>8349</v>
      </c>
      <c r="C2373" t="s">
        <v>8350</v>
      </c>
      <c r="D2373" t="s">
        <v>8351</v>
      </c>
      <c r="E2373" t="s">
        <v>2310</v>
      </c>
      <c r="F2373">
        <v>8</v>
      </c>
      <c r="G2373">
        <v>8.1</v>
      </c>
      <c r="H2373" t="s">
        <v>2323</v>
      </c>
      <c r="I2373" s="21">
        <v>39309</v>
      </c>
      <c r="J2373">
        <v>2007</v>
      </c>
      <c r="K2373" s="21">
        <v>39367</v>
      </c>
      <c r="L2373">
        <v>2007</v>
      </c>
      <c r="M2373" s="21">
        <v>40003.585277777798</v>
      </c>
      <c r="N2373">
        <v>2009</v>
      </c>
      <c r="R2373" s="262">
        <v>3000000</v>
      </c>
      <c r="S2373" t="s">
        <v>114</v>
      </c>
      <c r="T2373" t="s">
        <v>114</v>
      </c>
      <c r="U2373">
        <v>5</v>
      </c>
      <c r="W2373">
        <v>6327</v>
      </c>
      <c r="X2373">
        <v>1</v>
      </c>
      <c r="Y2373">
        <v>0</v>
      </c>
      <c r="Z2373">
        <v>0</v>
      </c>
      <c r="AA2373">
        <v>0</v>
      </c>
      <c r="AB2373">
        <v>0</v>
      </c>
      <c r="AC2373">
        <v>6327</v>
      </c>
      <c r="AD2373">
        <v>0</v>
      </c>
      <c r="AE2373">
        <v>0</v>
      </c>
      <c r="AF2373">
        <v>0</v>
      </c>
      <c r="AG2373">
        <v>0</v>
      </c>
      <c r="AH2373">
        <v>0</v>
      </c>
      <c r="AI2373">
        <v>0</v>
      </c>
      <c r="AJ2373">
        <v>0</v>
      </c>
      <c r="AK2373">
        <v>0</v>
      </c>
      <c r="AL2373">
        <v>0</v>
      </c>
      <c r="AM2373">
        <v>0</v>
      </c>
      <c r="AN2373">
        <v>0</v>
      </c>
      <c r="AO2373">
        <v>1</v>
      </c>
      <c r="AP2373">
        <v>0</v>
      </c>
      <c r="AQ2373">
        <v>0</v>
      </c>
      <c r="AR2373">
        <v>0</v>
      </c>
      <c r="AS2373">
        <v>0</v>
      </c>
      <c r="AT2373">
        <v>0</v>
      </c>
      <c r="AU2373">
        <f t="shared" si="72"/>
        <v>1</v>
      </c>
      <c r="AV2373">
        <f t="shared" si="73"/>
        <v>0</v>
      </c>
    </row>
    <row r="2374" spans="1:48" x14ac:dyDescent="0.25">
      <c r="A2374" t="s">
        <v>8352</v>
      </c>
      <c r="C2374" t="s">
        <v>8353</v>
      </c>
      <c r="D2374" t="s">
        <v>2599</v>
      </c>
      <c r="E2374" t="s">
        <v>2310</v>
      </c>
      <c r="F2374">
        <v>13</v>
      </c>
      <c r="G2374">
        <v>13.1</v>
      </c>
      <c r="H2374" t="s">
        <v>2327</v>
      </c>
      <c r="I2374" s="21">
        <v>39310</v>
      </c>
      <c r="J2374">
        <v>2007</v>
      </c>
      <c r="K2374" s="21">
        <v>39386</v>
      </c>
      <c r="L2374">
        <v>2007</v>
      </c>
      <c r="M2374" s="21">
        <v>39799</v>
      </c>
      <c r="N2374">
        <v>2008</v>
      </c>
      <c r="R2374" s="262">
        <v>15000000</v>
      </c>
      <c r="S2374" t="s">
        <v>114</v>
      </c>
      <c r="T2374" t="s">
        <v>114</v>
      </c>
      <c r="U2374">
        <v>4</v>
      </c>
      <c r="W2374">
        <v>7424</v>
      </c>
      <c r="X2374">
        <v>0</v>
      </c>
      <c r="Y2374">
        <v>0</v>
      </c>
      <c r="Z2374">
        <v>0</v>
      </c>
      <c r="AA2374">
        <v>0</v>
      </c>
      <c r="AB2374">
        <v>7424</v>
      </c>
      <c r="AC2374">
        <v>0</v>
      </c>
      <c r="AD2374">
        <v>0</v>
      </c>
      <c r="AE2374">
        <v>0</v>
      </c>
      <c r="AF2374">
        <v>0</v>
      </c>
      <c r="AG2374">
        <v>0</v>
      </c>
      <c r="AH2374">
        <v>0</v>
      </c>
      <c r="AI2374">
        <v>0</v>
      </c>
      <c r="AJ2374">
        <v>0</v>
      </c>
      <c r="AK2374">
        <v>0</v>
      </c>
      <c r="AL2374">
        <v>0</v>
      </c>
      <c r="AM2374">
        <v>0</v>
      </c>
      <c r="AN2374">
        <v>0</v>
      </c>
      <c r="AO2374">
        <v>0</v>
      </c>
      <c r="AP2374">
        <v>0</v>
      </c>
      <c r="AQ2374">
        <v>0</v>
      </c>
      <c r="AR2374">
        <v>0</v>
      </c>
      <c r="AS2374">
        <v>0</v>
      </c>
      <c r="AT2374">
        <v>0</v>
      </c>
      <c r="AU2374">
        <f t="shared" si="72"/>
        <v>0</v>
      </c>
      <c r="AV2374">
        <f t="shared" si="73"/>
        <v>7424</v>
      </c>
    </row>
    <row r="2375" spans="1:48" x14ac:dyDescent="0.25">
      <c r="A2375" t="s">
        <v>8358</v>
      </c>
      <c r="C2375" t="s">
        <v>8359</v>
      </c>
      <c r="D2375" t="s">
        <v>8360</v>
      </c>
      <c r="E2375" t="s">
        <v>2310</v>
      </c>
      <c r="F2375">
        <v>9</v>
      </c>
      <c r="G2375">
        <v>9.3000000000000007</v>
      </c>
      <c r="H2375" t="s">
        <v>2323</v>
      </c>
      <c r="I2375" s="21">
        <v>39311</v>
      </c>
      <c r="J2375">
        <v>2007</v>
      </c>
      <c r="K2375" s="21">
        <v>39401</v>
      </c>
      <c r="L2375">
        <v>2007</v>
      </c>
      <c r="M2375" s="21">
        <v>40305.441979166702</v>
      </c>
      <c r="N2375">
        <v>2010</v>
      </c>
      <c r="R2375" s="262">
        <v>600000</v>
      </c>
      <c r="S2375" t="s">
        <v>114</v>
      </c>
      <c r="T2375" t="s">
        <v>114</v>
      </c>
      <c r="U2375">
        <v>5</v>
      </c>
      <c r="W2375">
        <v>1203</v>
      </c>
      <c r="X2375">
        <v>1</v>
      </c>
      <c r="Y2375">
        <v>0</v>
      </c>
      <c r="Z2375">
        <v>0</v>
      </c>
      <c r="AA2375">
        <v>0</v>
      </c>
      <c r="AB2375">
        <v>0</v>
      </c>
      <c r="AC2375">
        <v>1203</v>
      </c>
      <c r="AD2375">
        <v>0</v>
      </c>
      <c r="AE2375">
        <v>0</v>
      </c>
      <c r="AF2375">
        <v>0</v>
      </c>
      <c r="AG2375">
        <v>0</v>
      </c>
      <c r="AH2375">
        <v>0</v>
      </c>
      <c r="AI2375">
        <v>0</v>
      </c>
      <c r="AJ2375">
        <v>0</v>
      </c>
      <c r="AK2375">
        <v>0</v>
      </c>
      <c r="AL2375">
        <v>0</v>
      </c>
      <c r="AM2375">
        <v>0</v>
      </c>
      <c r="AN2375">
        <v>0</v>
      </c>
      <c r="AO2375">
        <v>1</v>
      </c>
      <c r="AP2375">
        <v>0</v>
      </c>
      <c r="AQ2375">
        <v>0</v>
      </c>
      <c r="AR2375">
        <v>0</v>
      </c>
      <c r="AS2375">
        <v>0</v>
      </c>
      <c r="AT2375">
        <v>0</v>
      </c>
      <c r="AU2375">
        <f t="shared" si="72"/>
        <v>1</v>
      </c>
      <c r="AV2375">
        <f t="shared" si="73"/>
        <v>0</v>
      </c>
    </row>
    <row r="2376" spans="1:48" x14ac:dyDescent="0.25">
      <c r="A2376" t="s">
        <v>8361</v>
      </c>
      <c r="C2376" t="s">
        <v>8362</v>
      </c>
      <c r="D2376" t="s">
        <v>8360</v>
      </c>
      <c r="E2376" t="s">
        <v>2310</v>
      </c>
      <c r="F2376">
        <v>9</v>
      </c>
      <c r="G2376">
        <v>9.3000000000000007</v>
      </c>
      <c r="H2376" t="s">
        <v>2323</v>
      </c>
      <c r="I2376" s="21">
        <v>39311</v>
      </c>
      <c r="J2376">
        <v>2007</v>
      </c>
      <c r="K2376" s="21">
        <v>39401</v>
      </c>
      <c r="L2376">
        <v>2007</v>
      </c>
      <c r="M2376" s="21">
        <v>40305.456481481502</v>
      </c>
      <c r="N2376">
        <v>2010</v>
      </c>
      <c r="R2376" s="262">
        <v>350000</v>
      </c>
      <c r="S2376" t="s">
        <v>114</v>
      </c>
      <c r="T2376" t="s">
        <v>114</v>
      </c>
      <c r="U2376">
        <v>5</v>
      </c>
      <c r="W2376">
        <v>2794</v>
      </c>
      <c r="X2376">
        <v>0</v>
      </c>
      <c r="Y2376">
        <v>0</v>
      </c>
      <c r="Z2376">
        <v>0</v>
      </c>
      <c r="AA2376">
        <v>0</v>
      </c>
      <c r="AB2376">
        <v>0</v>
      </c>
      <c r="AC2376">
        <v>2794</v>
      </c>
      <c r="AD2376">
        <v>0</v>
      </c>
      <c r="AE2376">
        <v>0</v>
      </c>
      <c r="AF2376">
        <v>0</v>
      </c>
      <c r="AG2376">
        <v>0</v>
      </c>
      <c r="AH2376">
        <v>0</v>
      </c>
      <c r="AI2376">
        <v>0</v>
      </c>
      <c r="AJ2376">
        <v>0</v>
      </c>
      <c r="AK2376">
        <v>0</v>
      </c>
      <c r="AL2376">
        <v>0</v>
      </c>
      <c r="AM2376">
        <v>0</v>
      </c>
      <c r="AN2376">
        <v>0</v>
      </c>
      <c r="AO2376">
        <v>0</v>
      </c>
      <c r="AP2376">
        <v>0</v>
      </c>
      <c r="AQ2376">
        <v>0</v>
      </c>
      <c r="AR2376">
        <v>0</v>
      </c>
      <c r="AS2376">
        <v>0</v>
      </c>
      <c r="AT2376">
        <v>0</v>
      </c>
      <c r="AU2376">
        <f t="shared" si="72"/>
        <v>0</v>
      </c>
      <c r="AV2376">
        <f t="shared" si="73"/>
        <v>0</v>
      </c>
    </row>
    <row r="2377" spans="1:48" x14ac:dyDescent="0.25">
      <c r="A2377" t="s">
        <v>8363</v>
      </c>
      <c r="C2377" t="s">
        <v>8364</v>
      </c>
      <c r="D2377" t="s">
        <v>4763</v>
      </c>
      <c r="E2377" t="s">
        <v>2310</v>
      </c>
      <c r="F2377">
        <v>15</v>
      </c>
      <c r="G2377">
        <v>15.2</v>
      </c>
      <c r="H2377" t="s">
        <v>2323</v>
      </c>
      <c r="I2377" s="21">
        <v>39311</v>
      </c>
      <c r="J2377">
        <v>2007</v>
      </c>
      <c r="K2377" s="21">
        <v>39343</v>
      </c>
      <c r="L2377">
        <v>2007</v>
      </c>
      <c r="M2377" s="21">
        <v>39639</v>
      </c>
      <c r="N2377">
        <v>2008</v>
      </c>
      <c r="R2377" s="262">
        <v>12500</v>
      </c>
      <c r="S2377" t="s">
        <v>114</v>
      </c>
      <c r="T2377" t="s">
        <v>114</v>
      </c>
      <c r="U2377">
        <v>5</v>
      </c>
      <c r="W2377">
        <v>0</v>
      </c>
      <c r="X2377">
        <v>0</v>
      </c>
      <c r="Y2377">
        <v>0</v>
      </c>
      <c r="Z2377">
        <v>0</v>
      </c>
      <c r="AA2377">
        <v>0</v>
      </c>
      <c r="AB2377">
        <v>0</v>
      </c>
      <c r="AC2377">
        <v>0</v>
      </c>
      <c r="AD2377">
        <v>0</v>
      </c>
      <c r="AE2377">
        <v>0</v>
      </c>
      <c r="AF2377">
        <v>0</v>
      </c>
      <c r="AG2377">
        <v>0</v>
      </c>
      <c r="AH2377">
        <v>0</v>
      </c>
      <c r="AI2377">
        <v>0</v>
      </c>
      <c r="AJ2377">
        <v>0</v>
      </c>
      <c r="AK2377">
        <v>0</v>
      </c>
      <c r="AL2377">
        <v>0</v>
      </c>
      <c r="AM2377">
        <v>0</v>
      </c>
      <c r="AN2377">
        <v>0</v>
      </c>
      <c r="AO2377">
        <v>0</v>
      </c>
      <c r="AP2377">
        <v>0</v>
      </c>
      <c r="AQ2377">
        <v>0</v>
      </c>
      <c r="AR2377">
        <v>0</v>
      </c>
      <c r="AS2377">
        <v>0</v>
      </c>
      <c r="AT2377">
        <v>0</v>
      </c>
      <c r="AU2377">
        <f t="shared" si="72"/>
        <v>0</v>
      </c>
      <c r="AV2377">
        <f t="shared" si="73"/>
        <v>0</v>
      </c>
    </row>
    <row r="2378" spans="1:48" x14ac:dyDescent="0.25">
      <c r="A2378" t="s">
        <v>8365</v>
      </c>
      <c r="C2378" t="s">
        <v>8366</v>
      </c>
      <c r="D2378" t="s">
        <v>8367</v>
      </c>
      <c r="E2378" t="s">
        <v>2310</v>
      </c>
      <c r="F2378">
        <v>14</v>
      </c>
      <c r="G2378">
        <v>14.1</v>
      </c>
      <c r="H2378" t="s">
        <v>2022</v>
      </c>
      <c r="I2378" s="21">
        <v>39311</v>
      </c>
      <c r="J2378">
        <v>2007</v>
      </c>
      <c r="K2378" s="21">
        <v>39366</v>
      </c>
      <c r="L2378">
        <v>2007</v>
      </c>
      <c r="M2378" s="21">
        <v>40002.696099537003</v>
      </c>
      <c r="N2378">
        <v>2009</v>
      </c>
      <c r="R2378" s="262">
        <v>900000</v>
      </c>
      <c r="S2378" t="s">
        <v>114</v>
      </c>
      <c r="T2378" t="s">
        <v>114</v>
      </c>
      <c r="U2378">
        <v>5</v>
      </c>
      <c r="W2378">
        <v>4822</v>
      </c>
      <c r="X2378">
        <v>1</v>
      </c>
      <c r="Y2378">
        <v>0</v>
      </c>
      <c r="Z2378">
        <v>0</v>
      </c>
      <c r="AA2378">
        <v>0</v>
      </c>
      <c r="AB2378">
        <v>0</v>
      </c>
      <c r="AC2378">
        <v>4822</v>
      </c>
      <c r="AD2378">
        <v>0</v>
      </c>
      <c r="AE2378">
        <v>0</v>
      </c>
      <c r="AF2378">
        <v>0</v>
      </c>
      <c r="AG2378">
        <v>0</v>
      </c>
      <c r="AH2378">
        <v>0</v>
      </c>
      <c r="AI2378">
        <v>0</v>
      </c>
      <c r="AJ2378">
        <v>0</v>
      </c>
      <c r="AK2378">
        <v>0</v>
      </c>
      <c r="AL2378">
        <v>0</v>
      </c>
      <c r="AM2378">
        <v>0</v>
      </c>
      <c r="AN2378">
        <v>0</v>
      </c>
      <c r="AO2378">
        <v>1</v>
      </c>
      <c r="AP2378">
        <v>0</v>
      </c>
      <c r="AQ2378">
        <v>0</v>
      </c>
      <c r="AR2378">
        <v>0</v>
      </c>
      <c r="AS2378">
        <v>0</v>
      </c>
      <c r="AT2378">
        <v>0</v>
      </c>
      <c r="AU2378">
        <f t="shared" si="72"/>
        <v>1</v>
      </c>
      <c r="AV2378">
        <f t="shared" si="73"/>
        <v>0</v>
      </c>
    </row>
    <row r="2379" spans="1:48" x14ac:dyDescent="0.25">
      <c r="A2379" t="s">
        <v>8354</v>
      </c>
      <c r="C2379" t="s">
        <v>5963</v>
      </c>
      <c r="D2379" t="s">
        <v>8355</v>
      </c>
      <c r="E2379" t="s">
        <v>1663</v>
      </c>
      <c r="F2379">
        <v>3</v>
      </c>
      <c r="G2379">
        <v>3.1</v>
      </c>
      <c r="H2379" t="s">
        <v>2017</v>
      </c>
      <c r="I2379" s="21">
        <v>39311</v>
      </c>
      <c r="J2379">
        <v>2007</v>
      </c>
      <c r="K2379" s="21">
        <v>39342</v>
      </c>
      <c r="L2379">
        <v>2007</v>
      </c>
      <c r="M2379" s="21">
        <v>39495</v>
      </c>
      <c r="N2379">
        <v>2008</v>
      </c>
      <c r="Q2379" s="262">
        <v>0</v>
      </c>
      <c r="S2379" t="s">
        <v>114</v>
      </c>
      <c r="T2379" t="s">
        <v>114</v>
      </c>
      <c r="W2379">
        <v>1827</v>
      </c>
      <c r="X2379">
        <v>1</v>
      </c>
      <c r="Y2379">
        <v>0</v>
      </c>
      <c r="Z2379">
        <v>0</v>
      </c>
      <c r="AA2379">
        <v>0</v>
      </c>
      <c r="AB2379">
        <v>0</v>
      </c>
      <c r="AC2379">
        <v>1827</v>
      </c>
      <c r="AD2379">
        <v>0</v>
      </c>
      <c r="AE2379">
        <v>0</v>
      </c>
      <c r="AF2379">
        <v>0</v>
      </c>
      <c r="AG2379">
        <v>0</v>
      </c>
      <c r="AH2379">
        <v>0</v>
      </c>
      <c r="AI2379">
        <v>0</v>
      </c>
      <c r="AJ2379">
        <v>0</v>
      </c>
      <c r="AK2379">
        <v>0</v>
      </c>
      <c r="AL2379">
        <v>0</v>
      </c>
      <c r="AM2379">
        <v>0</v>
      </c>
      <c r="AN2379">
        <v>0</v>
      </c>
      <c r="AO2379">
        <v>1</v>
      </c>
      <c r="AP2379">
        <v>0</v>
      </c>
      <c r="AQ2379">
        <v>0</v>
      </c>
      <c r="AR2379">
        <v>0</v>
      </c>
      <c r="AS2379">
        <v>0</v>
      </c>
      <c r="AT2379">
        <v>0</v>
      </c>
      <c r="AU2379">
        <f t="shared" si="72"/>
        <v>1</v>
      </c>
      <c r="AV2379">
        <f t="shared" si="73"/>
        <v>0</v>
      </c>
    </row>
    <row r="2380" spans="1:48" x14ac:dyDescent="0.25">
      <c r="A2380" t="s">
        <v>8356</v>
      </c>
      <c r="C2380" t="s">
        <v>8213</v>
      </c>
      <c r="D2380" t="s">
        <v>8357</v>
      </c>
      <c r="E2380" t="s">
        <v>1663</v>
      </c>
      <c r="F2380">
        <v>3</v>
      </c>
      <c r="G2380">
        <v>3.1</v>
      </c>
      <c r="H2380" t="s">
        <v>2017</v>
      </c>
      <c r="I2380" s="21">
        <v>39311</v>
      </c>
      <c r="J2380">
        <v>2007</v>
      </c>
      <c r="K2380" s="21">
        <v>39342</v>
      </c>
      <c r="L2380">
        <v>2007</v>
      </c>
      <c r="M2380" s="21">
        <v>39495</v>
      </c>
      <c r="N2380">
        <v>2008</v>
      </c>
      <c r="Q2380" s="262">
        <v>0</v>
      </c>
      <c r="S2380" t="s">
        <v>114</v>
      </c>
      <c r="T2380" t="s">
        <v>114</v>
      </c>
      <c r="W2380">
        <v>1510</v>
      </c>
      <c r="X2380">
        <v>1</v>
      </c>
      <c r="Y2380">
        <v>0</v>
      </c>
      <c r="Z2380">
        <v>0</v>
      </c>
      <c r="AA2380">
        <v>0</v>
      </c>
      <c r="AB2380">
        <v>0</v>
      </c>
      <c r="AC2380">
        <v>1510</v>
      </c>
      <c r="AD2380">
        <v>0</v>
      </c>
      <c r="AE2380">
        <v>0</v>
      </c>
      <c r="AF2380">
        <v>0</v>
      </c>
      <c r="AG2380">
        <v>0</v>
      </c>
      <c r="AH2380">
        <v>0</v>
      </c>
      <c r="AI2380">
        <v>0</v>
      </c>
      <c r="AJ2380">
        <v>0</v>
      </c>
      <c r="AK2380">
        <v>0</v>
      </c>
      <c r="AL2380">
        <v>0</v>
      </c>
      <c r="AM2380">
        <v>0</v>
      </c>
      <c r="AN2380">
        <v>0</v>
      </c>
      <c r="AO2380">
        <v>1</v>
      </c>
      <c r="AP2380">
        <v>0</v>
      </c>
      <c r="AQ2380">
        <v>0</v>
      </c>
      <c r="AR2380">
        <v>0</v>
      </c>
      <c r="AS2380">
        <v>0</v>
      </c>
      <c r="AT2380">
        <v>0</v>
      </c>
      <c r="AU2380">
        <f t="shared" si="72"/>
        <v>1</v>
      </c>
      <c r="AV2380">
        <f t="shared" si="73"/>
        <v>0</v>
      </c>
    </row>
    <row r="2381" spans="1:48" x14ac:dyDescent="0.25">
      <c r="A2381" t="s">
        <v>8368</v>
      </c>
      <c r="C2381" t="s">
        <v>8369</v>
      </c>
      <c r="D2381" t="s">
        <v>8370</v>
      </c>
      <c r="E2381" t="s">
        <v>2310</v>
      </c>
      <c r="F2381">
        <v>9</v>
      </c>
      <c r="G2381">
        <v>9.1</v>
      </c>
      <c r="H2381" t="s">
        <v>2323</v>
      </c>
      <c r="I2381" s="21">
        <v>39314</v>
      </c>
      <c r="J2381">
        <v>2007</v>
      </c>
      <c r="K2381" s="21">
        <v>39357</v>
      </c>
      <c r="L2381">
        <v>2007</v>
      </c>
      <c r="M2381" s="21">
        <v>39834</v>
      </c>
      <c r="N2381">
        <v>2009</v>
      </c>
      <c r="R2381" s="262">
        <v>80000</v>
      </c>
      <c r="S2381" t="s">
        <v>114</v>
      </c>
      <c r="T2381" t="s">
        <v>114</v>
      </c>
      <c r="U2381">
        <v>5</v>
      </c>
      <c r="W2381">
        <v>1344</v>
      </c>
      <c r="X2381">
        <v>0</v>
      </c>
      <c r="Y2381">
        <v>0</v>
      </c>
      <c r="Z2381">
        <v>0</v>
      </c>
      <c r="AA2381">
        <v>0</v>
      </c>
      <c r="AB2381">
        <v>0</v>
      </c>
      <c r="AC2381">
        <v>1344</v>
      </c>
      <c r="AD2381">
        <v>0</v>
      </c>
      <c r="AE2381">
        <v>0</v>
      </c>
      <c r="AF2381">
        <v>0</v>
      </c>
      <c r="AG2381">
        <v>0</v>
      </c>
      <c r="AH2381">
        <v>0</v>
      </c>
      <c r="AI2381">
        <v>0</v>
      </c>
      <c r="AJ2381">
        <v>0</v>
      </c>
      <c r="AK2381">
        <v>0</v>
      </c>
      <c r="AL2381">
        <v>0</v>
      </c>
      <c r="AM2381">
        <v>0</v>
      </c>
      <c r="AN2381">
        <v>0</v>
      </c>
      <c r="AO2381">
        <v>0</v>
      </c>
      <c r="AP2381">
        <v>0</v>
      </c>
      <c r="AQ2381">
        <v>0</v>
      </c>
      <c r="AR2381">
        <v>0</v>
      </c>
      <c r="AS2381">
        <v>0</v>
      </c>
      <c r="AT2381">
        <v>0</v>
      </c>
      <c r="AU2381">
        <f t="shared" si="72"/>
        <v>0</v>
      </c>
      <c r="AV2381">
        <f t="shared" si="73"/>
        <v>0</v>
      </c>
    </row>
    <row r="2382" spans="1:48" x14ac:dyDescent="0.25">
      <c r="A2382" t="s">
        <v>8371</v>
      </c>
      <c r="C2382" t="s">
        <v>7393</v>
      </c>
      <c r="D2382" t="s">
        <v>8372</v>
      </c>
      <c r="E2382" t="s">
        <v>2310</v>
      </c>
      <c r="F2382">
        <v>9</v>
      </c>
      <c r="G2382">
        <v>9.1999999999999993</v>
      </c>
      <c r="H2382" t="s">
        <v>2022</v>
      </c>
      <c r="I2382" s="21">
        <v>39314</v>
      </c>
      <c r="J2382">
        <v>2007</v>
      </c>
      <c r="K2382" s="21">
        <v>39401</v>
      </c>
      <c r="L2382">
        <v>2007</v>
      </c>
      <c r="M2382" s="21">
        <v>40184.647280092599</v>
      </c>
      <c r="N2382">
        <v>2010</v>
      </c>
      <c r="R2382" s="262">
        <v>2300000</v>
      </c>
      <c r="S2382" t="s">
        <v>114</v>
      </c>
      <c r="T2382" t="s">
        <v>114</v>
      </c>
      <c r="U2382">
        <v>5</v>
      </c>
      <c r="W2382">
        <v>7636</v>
      </c>
      <c r="X2382">
        <v>1</v>
      </c>
      <c r="Y2382">
        <v>0</v>
      </c>
      <c r="Z2382">
        <v>0</v>
      </c>
      <c r="AA2382">
        <v>0</v>
      </c>
      <c r="AB2382">
        <v>0</v>
      </c>
      <c r="AC2382">
        <v>7636</v>
      </c>
      <c r="AD2382">
        <v>0</v>
      </c>
      <c r="AE2382">
        <v>0</v>
      </c>
      <c r="AF2382">
        <v>0</v>
      </c>
      <c r="AG2382">
        <v>0</v>
      </c>
      <c r="AH2382">
        <v>0</v>
      </c>
      <c r="AI2382">
        <v>0</v>
      </c>
      <c r="AJ2382">
        <v>0</v>
      </c>
      <c r="AK2382">
        <v>0</v>
      </c>
      <c r="AL2382">
        <v>0</v>
      </c>
      <c r="AM2382">
        <v>0</v>
      </c>
      <c r="AN2382">
        <v>0</v>
      </c>
      <c r="AO2382">
        <v>1</v>
      </c>
      <c r="AP2382">
        <v>0</v>
      </c>
      <c r="AQ2382">
        <v>0</v>
      </c>
      <c r="AR2382">
        <v>0</v>
      </c>
      <c r="AS2382">
        <v>0</v>
      </c>
      <c r="AT2382">
        <v>0</v>
      </c>
      <c r="AU2382">
        <f t="shared" si="72"/>
        <v>1</v>
      </c>
      <c r="AV2382">
        <f t="shared" si="73"/>
        <v>0</v>
      </c>
    </row>
    <row r="2383" spans="1:48" x14ac:dyDescent="0.25">
      <c r="A2383" t="s">
        <v>8373</v>
      </c>
      <c r="C2383" t="s">
        <v>5963</v>
      </c>
      <c r="D2383" t="s">
        <v>8374</v>
      </c>
      <c r="E2383" t="s">
        <v>1663</v>
      </c>
      <c r="F2383">
        <v>6</v>
      </c>
      <c r="G2383">
        <v>6.1</v>
      </c>
      <c r="H2383" t="s">
        <v>2017</v>
      </c>
      <c r="I2383" s="21">
        <v>39315</v>
      </c>
      <c r="J2383">
        <v>2007</v>
      </c>
      <c r="K2383" s="21">
        <v>39346</v>
      </c>
      <c r="L2383">
        <v>2007</v>
      </c>
      <c r="M2383" s="21">
        <v>39499</v>
      </c>
      <c r="N2383">
        <v>2008</v>
      </c>
      <c r="Q2383" s="262">
        <v>0</v>
      </c>
      <c r="S2383" t="s">
        <v>114</v>
      </c>
      <c r="T2383" t="s">
        <v>114</v>
      </c>
      <c r="W2383">
        <v>4153</v>
      </c>
      <c r="X2383">
        <v>1</v>
      </c>
      <c r="Y2383">
        <v>0</v>
      </c>
      <c r="Z2383">
        <v>0</v>
      </c>
      <c r="AA2383">
        <v>0</v>
      </c>
      <c r="AB2383">
        <v>0</v>
      </c>
      <c r="AC2383">
        <v>4153</v>
      </c>
      <c r="AD2383">
        <v>0</v>
      </c>
      <c r="AE2383">
        <v>0</v>
      </c>
      <c r="AF2383">
        <v>0</v>
      </c>
      <c r="AG2383">
        <v>0</v>
      </c>
      <c r="AH2383">
        <v>0</v>
      </c>
      <c r="AI2383">
        <v>0</v>
      </c>
      <c r="AJ2383">
        <v>0</v>
      </c>
      <c r="AK2383">
        <v>0</v>
      </c>
      <c r="AL2383">
        <v>0</v>
      </c>
      <c r="AM2383">
        <v>0</v>
      </c>
      <c r="AN2383">
        <v>0</v>
      </c>
      <c r="AO2383">
        <v>1</v>
      </c>
      <c r="AP2383">
        <v>0</v>
      </c>
      <c r="AQ2383">
        <v>0</v>
      </c>
      <c r="AR2383">
        <v>0</v>
      </c>
      <c r="AS2383">
        <v>0</v>
      </c>
      <c r="AT2383">
        <v>0</v>
      </c>
      <c r="AU2383">
        <f t="shared" si="72"/>
        <v>1</v>
      </c>
      <c r="AV2383">
        <f t="shared" si="73"/>
        <v>0</v>
      </c>
    </row>
    <row r="2384" spans="1:48" x14ac:dyDescent="0.25">
      <c r="A2384" t="s">
        <v>8379</v>
      </c>
      <c r="C2384" t="s">
        <v>8380</v>
      </c>
      <c r="D2384" t="s">
        <v>2753</v>
      </c>
      <c r="E2384" t="s">
        <v>2310</v>
      </c>
      <c r="F2384">
        <v>13</v>
      </c>
      <c r="G2384">
        <v>13.3</v>
      </c>
      <c r="H2384" t="s">
        <v>2017</v>
      </c>
      <c r="I2384" s="21">
        <v>39315</v>
      </c>
      <c r="J2384">
        <v>2007</v>
      </c>
      <c r="K2384" s="21">
        <v>39386</v>
      </c>
      <c r="L2384">
        <v>2007</v>
      </c>
      <c r="M2384" s="21">
        <v>39850</v>
      </c>
      <c r="N2384">
        <v>2009</v>
      </c>
      <c r="R2384" s="262">
        <v>175000</v>
      </c>
      <c r="S2384" t="s">
        <v>114</v>
      </c>
      <c r="T2384" t="s">
        <v>114</v>
      </c>
      <c r="U2384">
        <v>5</v>
      </c>
      <c r="W2384">
        <v>132</v>
      </c>
      <c r="X2384">
        <v>0</v>
      </c>
      <c r="Y2384">
        <v>0</v>
      </c>
      <c r="Z2384">
        <v>0</v>
      </c>
      <c r="AA2384">
        <v>0</v>
      </c>
      <c r="AB2384">
        <v>0</v>
      </c>
      <c r="AC2384">
        <v>132</v>
      </c>
      <c r="AD2384">
        <v>0</v>
      </c>
      <c r="AE2384">
        <v>0</v>
      </c>
      <c r="AF2384">
        <v>0</v>
      </c>
      <c r="AG2384">
        <v>0</v>
      </c>
      <c r="AH2384">
        <v>0</v>
      </c>
      <c r="AI2384">
        <v>0</v>
      </c>
      <c r="AJ2384">
        <v>0</v>
      </c>
      <c r="AK2384">
        <v>0</v>
      </c>
      <c r="AL2384">
        <v>0</v>
      </c>
      <c r="AM2384">
        <v>0</v>
      </c>
      <c r="AN2384">
        <v>0</v>
      </c>
      <c r="AO2384">
        <v>0</v>
      </c>
      <c r="AP2384">
        <v>0</v>
      </c>
      <c r="AQ2384">
        <v>0</v>
      </c>
      <c r="AR2384">
        <v>0</v>
      </c>
      <c r="AS2384">
        <v>0</v>
      </c>
      <c r="AT2384">
        <v>0</v>
      </c>
      <c r="AU2384">
        <f t="shared" si="72"/>
        <v>0</v>
      </c>
      <c r="AV2384">
        <f t="shared" si="73"/>
        <v>0</v>
      </c>
    </row>
    <row r="2385" spans="1:48" x14ac:dyDescent="0.25">
      <c r="A2385" t="s">
        <v>8375</v>
      </c>
      <c r="C2385" t="s">
        <v>5963</v>
      </c>
      <c r="D2385" t="s">
        <v>8376</v>
      </c>
      <c r="E2385" t="s">
        <v>1663</v>
      </c>
      <c r="F2385">
        <v>3</v>
      </c>
      <c r="G2385">
        <v>3.1</v>
      </c>
      <c r="H2385" t="s">
        <v>2017</v>
      </c>
      <c r="I2385" s="21">
        <v>39315</v>
      </c>
      <c r="J2385">
        <v>2007</v>
      </c>
      <c r="K2385" s="21">
        <v>39346</v>
      </c>
      <c r="L2385">
        <v>2007</v>
      </c>
      <c r="M2385" s="21">
        <v>39499</v>
      </c>
      <c r="N2385">
        <v>2008</v>
      </c>
      <c r="Q2385" s="262">
        <v>0</v>
      </c>
      <c r="S2385" t="s">
        <v>114</v>
      </c>
      <c r="T2385" t="s">
        <v>114</v>
      </c>
      <c r="W2385">
        <v>4564</v>
      </c>
      <c r="X2385">
        <v>1</v>
      </c>
      <c r="Y2385">
        <v>0</v>
      </c>
      <c r="Z2385">
        <v>0</v>
      </c>
      <c r="AA2385">
        <v>0</v>
      </c>
      <c r="AB2385">
        <v>0</v>
      </c>
      <c r="AC2385">
        <v>4564</v>
      </c>
      <c r="AD2385">
        <v>0</v>
      </c>
      <c r="AE2385">
        <v>0</v>
      </c>
      <c r="AF2385">
        <v>0</v>
      </c>
      <c r="AG2385">
        <v>0</v>
      </c>
      <c r="AH2385">
        <v>0</v>
      </c>
      <c r="AI2385">
        <v>0</v>
      </c>
      <c r="AJ2385">
        <v>0</v>
      </c>
      <c r="AK2385">
        <v>0</v>
      </c>
      <c r="AL2385">
        <v>0</v>
      </c>
      <c r="AM2385">
        <v>0</v>
      </c>
      <c r="AN2385">
        <v>0</v>
      </c>
      <c r="AO2385">
        <v>1</v>
      </c>
      <c r="AP2385">
        <v>0</v>
      </c>
      <c r="AQ2385">
        <v>0</v>
      </c>
      <c r="AR2385">
        <v>0</v>
      </c>
      <c r="AS2385">
        <v>0</v>
      </c>
      <c r="AT2385">
        <v>0</v>
      </c>
      <c r="AU2385">
        <f t="shared" si="72"/>
        <v>1</v>
      </c>
      <c r="AV2385">
        <f t="shared" si="73"/>
        <v>0</v>
      </c>
    </row>
    <row r="2386" spans="1:48" x14ac:dyDescent="0.25">
      <c r="A2386" t="s">
        <v>8377</v>
      </c>
      <c r="C2386" t="s">
        <v>8213</v>
      </c>
      <c r="D2386" t="s">
        <v>8378</v>
      </c>
      <c r="E2386" t="s">
        <v>1663</v>
      </c>
      <c r="F2386">
        <v>3</v>
      </c>
      <c r="G2386">
        <v>3.1</v>
      </c>
      <c r="H2386" t="s">
        <v>2017</v>
      </c>
      <c r="I2386" s="21">
        <v>39315</v>
      </c>
      <c r="J2386">
        <v>2007</v>
      </c>
      <c r="K2386" s="21">
        <v>39346</v>
      </c>
      <c r="L2386">
        <v>2007</v>
      </c>
      <c r="M2386" s="21">
        <v>39499</v>
      </c>
      <c r="N2386">
        <v>2008</v>
      </c>
      <c r="Q2386" s="262">
        <v>0</v>
      </c>
      <c r="S2386" t="s">
        <v>114</v>
      </c>
      <c r="T2386" t="s">
        <v>114</v>
      </c>
      <c r="W2386">
        <v>4564</v>
      </c>
      <c r="X2386">
        <v>1</v>
      </c>
      <c r="Y2386">
        <v>0</v>
      </c>
      <c r="Z2386">
        <v>0</v>
      </c>
      <c r="AA2386">
        <v>0</v>
      </c>
      <c r="AB2386">
        <v>0</v>
      </c>
      <c r="AC2386">
        <v>4564</v>
      </c>
      <c r="AD2386">
        <v>0</v>
      </c>
      <c r="AE2386">
        <v>0</v>
      </c>
      <c r="AF2386">
        <v>0</v>
      </c>
      <c r="AG2386">
        <v>0</v>
      </c>
      <c r="AH2386">
        <v>0</v>
      </c>
      <c r="AI2386">
        <v>0</v>
      </c>
      <c r="AJ2386">
        <v>0</v>
      </c>
      <c r="AK2386">
        <v>0</v>
      </c>
      <c r="AL2386">
        <v>0</v>
      </c>
      <c r="AM2386">
        <v>0</v>
      </c>
      <c r="AN2386">
        <v>0</v>
      </c>
      <c r="AO2386">
        <v>1</v>
      </c>
      <c r="AP2386">
        <v>0</v>
      </c>
      <c r="AQ2386">
        <v>0</v>
      </c>
      <c r="AR2386">
        <v>0</v>
      </c>
      <c r="AS2386">
        <v>0</v>
      </c>
      <c r="AT2386">
        <v>0</v>
      </c>
      <c r="AU2386">
        <f t="shared" si="72"/>
        <v>1</v>
      </c>
      <c r="AV2386">
        <f t="shared" si="73"/>
        <v>0</v>
      </c>
    </row>
    <row r="2387" spans="1:48" x14ac:dyDescent="0.25">
      <c r="A2387" t="s">
        <v>8381</v>
      </c>
      <c r="C2387" t="s">
        <v>8382</v>
      </c>
      <c r="D2387" t="s">
        <v>7948</v>
      </c>
      <c r="E2387" t="s">
        <v>2310</v>
      </c>
      <c r="F2387">
        <v>8</v>
      </c>
      <c r="G2387">
        <v>8.3000000000000007</v>
      </c>
      <c r="H2387" t="s">
        <v>2323</v>
      </c>
      <c r="I2387" s="21">
        <v>39316</v>
      </c>
      <c r="J2387">
        <v>2007</v>
      </c>
      <c r="K2387" s="21">
        <v>39436</v>
      </c>
      <c r="L2387">
        <v>2007</v>
      </c>
      <c r="M2387" s="21">
        <v>39436</v>
      </c>
      <c r="N2387">
        <v>2007</v>
      </c>
      <c r="R2387" s="262">
        <v>120000</v>
      </c>
      <c r="S2387" t="s">
        <v>114</v>
      </c>
      <c r="T2387" t="s">
        <v>114</v>
      </c>
      <c r="U2387">
        <v>5</v>
      </c>
      <c r="W2387">
        <v>517</v>
      </c>
      <c r="X2387">
        <v>0</v>
      </c>
      <c r="Y2387">
        <v>0</v>
      </c>
      <c r="Z2387">
        <v>0</v>
      </c>
      <c r="AA2387">
        <v>0</v>
      </c>
      <c r="AB2387">
        <v>0</v>
      </c>
      <c r="AC2387">
        <v>517</v>
      </c>
      <c r="AD2387">
        <v>0</v>
      </c>
      <c r="AE2387">
        <v>0</v>
      </c>
      <c r="AF2387">
        <v>0</v>
      </c>
      <c r="AG2387">
        <v>0</v>
      </c>
      <c r="AH2387">
        <v>0</v>
      </c>
      <c r="AI2387">
        <v>0</v>
      </c>
      <c r="AJ2387">
        <v>0</v>
      </c>
      <c r="AK2387">
        <v>0</v>
      </c>
      <c r="AL2387">
        <v>0</v>
      </c>
      <c r="AM2387">
        <v>0</v>
      </c>
      <c r="AN2387">
        <v>0</v>
      </c>
      <c r="AO2387">
        <v>0</v>
      </c>
      <c r="AP2387">
        <v>0</v>
      </c>
      <c r="AQ2387">
        <v>0</v>
      </c>
      <c r="AR2387">
        <v>0</v>
      </c>
      <c r="AS2387">
        <v>0</v>
      </c>
      <c r="AT2387">
        <v>0</v>
      </c>
      <c r="AU2387">
        <f t="shared" si="72"/>
        <v>0</v>
      </c>
      <c r="AV2387">
        <f t="shared" si="73"/>
        <v>0</v>
      </c>
    </row>
    <row r="2388" spans="1:48" x14ac:dyDescent="0.25">
      <c r="A2388" t="s">
        <v>8383</v>
      </c>
      <c r="C2388" t="s">
        <v>8384</v>
      </c>
      <c r="D2388" t="s">
        <v>7948</v>
      </c>
      <c r="E2388" t="s">
        <v>2310</v>
      </c>
      <c r="F2388">
        <v>8</v>
      </c>
      <c r="G2388">
        <v>8.3000000000000007</v>
      </c>
      <c r="H2388" t="s">
        <v>2323</v>
      </c>
      <c r="I2388" s="21">
        <v>39316</v>
      </c>
      <c r="J2388">
        <v>2007</v>
      </c>
      <c r="K2388" s="21">
        <v>39910</v>
      </c>
      <c r="L2388">
        <v>2009</v>
      </c>
      <c r="M2388" s="21">
        <v>39910</v>
      </c>
      <c r="N2388">
        <v>2009</v>
      </c>
      <c r="R2388" s="262">
        <v>120000</v>
      </c>
      <c r="S2388" t="s">
        <v>114</v>
      </c>
      <c r="T2388" t="s">
        <v>114</v>
      </c>
      <c r="U2388">
        <v>5</v>
      </c>
      <c r="W2388">
        <v>517</v>
      </c>
      <c r="X2388">
        <v>0</v>
      </c>
      <c r="Y2388">
        <v>0</v>
      </c>
      <c r="Z2388">
        <v>0</v>
      </c>
      <c r="AA2388">
        <v>0</v>
      </c>
      <c r="AB2388">
        <v>0</v>
      </c>
      <c r="AC2388">
        <v>517</v>
      </c>
      <c r="AD2388">
        <v>0</v>
      </c>
      <c r="AE2388">
        <v>0</v>
      </c>
      <c r="AF2388">
        <v>0</v>
      </c>
      <c r="AG2388">
        <v>0</v>
      </c>
      <c r="AH2388">
        <v>0</v>
      </c>
      <c r="AI2388">
        <v>0</v>
      </c>
      <c r="AJ2388">
        <v>0</v>
      </c>
      <c r="AK2388">
        <v>0</v>
      </c>
      <c r="AL2388">
        <v>0</v>
      </c>
      <c r="AM2388">
        <v>0</v>
      </c>
      <c r="AN2388">
        <v>0</v>
      </c>
      <c r="AO2388">
        <v>0</v>
      </c>
      <c r="AP2388">
        <v>0</v>
      </c>
      <c r="AQ2388">
        <v>0</v>
      </c>
      <c r="AR2388">
        <v>0</v>
      </c>
      <c r="AS2388">
        <v>0</v>
      </c>
      <c r="AT2388">
        <v>0</v>
      </c>
      <c r="AU2388">
        <f t="shared" si="72"/>
        <v>0</v>
      </c>
      <c r="AV2388">
        <f t="shared" si="73"/>
        <v>0</v>
      </c>
    </row>
    <row r="2389" spans="1:48" x14ac:dyDescent="0.25">
      <c r="A2389" t="s">
        <v>8385</v>
      </c>
      <c r="C2389" t="s">
        <v>8386</v>
      </c>
      <c r="D2389" t="s">
        <v>8119</v>
      </c>
      <c r="E2389" t="s">
        <v>2310</v>
      </c>
      <c r="F2389">
        <v>10</v>
      </c>
      <c r="G2389">
        <v>10.1</v>
      </c>
      <c r="H2389" t="s">
        <v>2323</v>
      </c>
      <c r="I2389" s="21">
        <v>39317</v>
      </c>
      <c r="J2389">
        <v>2007</v>
      </c>
      <c r="K2389" s="21">
        <v>39337</v>
      </c>
      <c r="L2389">
        <v>2007</v>
      </c>
      <c r="M2389" s="21">
        <v>40157.471423611103</v>
      </c>
      <c r="N2389">
        <v>2009</v>
      </c>
      <c r="R2389" s="262">
        <v>0</v>
      </c>
      <c r="S2389" t="s">
        <v>114</v>
      </c>
      <c r="T2389" t="s">
        <v>114</v>
      </c>
      <c r="U2389">
        <v>5</v>
      </c>
      <c r="W2389">
        <v>65</v>
      </c>
      <c r="X2389">
        <v>0</v>
      </c>
      <c r="Y2389">
        <v>0</v>
      </c>
      <c r="Z2389">
        <v>0</v>
      </c>
      <c r="AA2389">
        <v>0</v>
      </c>
      <c r="AB2389">
        <v>0</v>
      </c>
      <c r="AC2389">
        <v>65</v>
      </c>
      <c r="AD2389">
        <v>0</v>
      </c>
      <c r="AE2389">
        <v>0</v>
      </c>
      <c r="AF2389">
        <v>0</v>
      </c>
      <c r="AG2389">
        <v>0</v>
      </c>
      <c r="AH2389">
        <v>0</v>
      </c>
      <c r="AI2389">
        <v>0</v>
      </c>
      <c r="AJ2389">
        <v>0</v>
      </c>
      <c r="AK2389">
        <v>0</v>
      </c>
      <c r="AL2389">
        <v>0</v>
      </c>
      <c r="AM2389">
        <v>0</v>
      </c>
      <c r="AN2389">
        <v>0</v>
      </c>
      <c r="AO2389">
        <v>0</v>
      </c>
      <c r="AP2389">
        <v>0</v>
      </c>
      <c r="AQ2389">
        <v>0</v>
      </c>
      <c r="AR2389">
        <v>0</v>
      </c>
      <c r="AS2389">
        <v>0</v>
      </c>
      <c r="AT2389">
        <v>0</v>
      </c>
      <c r="AU2389">
        <f t="shared" si="72"/>
        <v>0</v>
      </c>
      <c r="AV2389">
        <f t="shared" si="73"/>
        <v>0</v>
      </c>
    </row>
    <row r="2390" spans="1:48" x14ac:dyDescent="0.25">
      <c r="A2390" t="s">
        <v>8387</v>
      </c>
      <c r="C2390" t="s">
        <v>8388</v>
      </c>
      <c r="D2390" t="s">
        <v>1881</v>
      </c>
      <c r="E2390" t="s">
        <v>2310</v>
      </c>
      <c r="F2390">
        <v>14</v>
      </c>
      <c r="G2390">
        <v>14.3</v>
      </c>
      <c r="H2390" t="s">
        <v>2327</v>
      </c>
      <c r="I2390" s="21">
        <v>39317</v>
      </c>
      <c r="J2390">
        <v>2007</v>
      </c>
      <c r="K2390" s="21">
        <v>39356</v>
      </c>
      <c r="L2390">
        <v>2007</v>
      </c>
      <c r="M2390" s="21">
        <v>39461</v>
      </c>
      <c r="N2390">
        <v>2008</v>
      </c>
      <c r="R2390" s="262">
        <v>200000</v>
      </c>
      <c r="S2390" t="s">
        <v>114</v>
      </c>
      <c r="T2390" t="s">
        <v>114</v>
      </c>
      <c r="U2390">
        <v>4</v>
      </c>
      <c r="W2390">
        <v>0</v>
      </c>
      <c r="X2390">
        <v>0</v>
      </c>
      <c r="Y2390">
        <v>0</v>
      </c>
      <c r="Z2390">
        <v>0</v>
      </c>
      <c r="AA2390">
        <v>0</v>
      </c>
      <c r="AB2390">
        <v>0</v>
      </c>
      <c r="AC2390">
        <v>0</v>
      </c>
      <c r="AD2390">
        <v>0</v>
      </c>
      <c r="AE2390">
        <v>0</v>
      </c>
      <c r="AF2390">
        <v>0</v>
      </c>
      <c r="AG2390">
        <v>0</v>
      </c>
      <c r="AH2390">
        <v>0</v>
      </c>
      <c r="AI2390">
        <v>0</v>
      </c>
      <c r="AJ2390">
        <v>0</v>
      </c>
      <c r="AK2390">
        <v>0</v>
      </c>
      <c r="AL2390">
        <v>0</v>
      </c>
      <c r="AM2390">
        <v>0</v>
      </c>
      <c r="AN2390">
        <v>0</v>
      </c>
      <c r="AO2390">
        <v>0</v>
      </c>
      <c r="AP2390">
        <v>0</v>
      </c>
      <c r="AQ2390">
        <v>0</v>
      </c>
      <c r="AR2390">
        <v>0</v>
      </c>
      <c r="AS2390">
        <v>0</v>
      </c>
      <c r="AT2390">
        <v>0</v>
      </c>
      <c r="AU2390">
        <f t="shared" si="72"/>
        <v>0</v>
      </c>
      <c r="AV2390">
        <f t="shared" si="73"/>
        <v>0</v>
      </c>
    </row>
    <row r="2391" spans="1:48" x14ac:dyDescent="0.25">
      <c r="A2391" t="s">
        <v>8389</v>
      </c>
      <c r="C2391" t="s">
        <v>8390</v>
      </c>
      <c r="D2391" t="s">
        <v>8391</v>
      </c>
      <c r="E2391" t="s">
        <v>2310</v>
      </c>
      <c r="F2391">
        <v>8</v>
      </c>
      <c r="G2391">
        <v>8.1</v>
      </c>
      <c r="H2391" t="s">
        <v>2323</v>
      </c>
      <c r="I2391" s="21">
        <v>39317</v>
      </c>
      <c r="J2391">
        <v>2007</v>
      </c>
      <c r="K2391" s="21">
        <v>39357</v>
      </c>
      <c r="L2391">
        <v>2007</v>
      </c>
      <c r="M2391" s="21">
        <v>39793</v>
      </c>
      <c r="N2391">
        <v>2008</v>
      </c>
      <c r="R2391" s="262">
        <v>650000</v>
      </c>
      <c r="S2391" t="s">
        <v>114</v>
      </c>
      <c r="T2391" t="s">
        <v>114</v>
      </c>
      <c r="U2391">
        <v>5</v>
      </c>
      <c r="W2391">
        <v>4520</v>
      </c>
      <c r="X2391">
        <v>1</v>
      </c>
      <c r="Y2391">
        <v>0</v>
      </c>
      <c r="Z2391">
        <v>0</v>
      </c>
      <c r="AA2391">
        <v>0</v>
      </c>
      <c r="AB2391">
        <v>0</v>
      </c>
      <c r="AC2391">
        <v>4520</v>
      </c>
      <c r="AD2391">
        <v>0</v>
      </c>
      <c r="AE2391">
        <v>0</v>
      </c>
      <c r="AF2391">
        <v>0</v>
      </c>
      <c r="AG2391">
        <v>0</v>
      </c>
      <c r="AH2391">
        <v>0</v>
      </c>
      <c r="AI2391">
        <v>0</v>
      </c>
      <c r="AJ2391">
        <v>0</v>
      </c>
      <c r="AK2391">
        <v>0</v>
      </c>
      <c r="AL2391">
        <v>0</v>
      </c>
      <c r="AM2391">
        <v>0</v>
      </c>
      <c r="AN2391">
        <v>0</v>
      </c>
      <c r="AO2391">
        <v>1</v>
      </c>
      <c r="AP2391">
        <v>0</v>
      </c>
      <c r="AQ2391">
        <v>0</v>
      </c>
      <c r="AR2391">
        <v>0</v>
      </c>
      <c r="AS2391">
        <v>0</v>
      </c>
      <c r="AT2391">
        <v>0</v>
      </c>
      <c r="AU2391">
        <f t="shared" si="72"/>
        <v>1</v>
      </c>
      <c r="AV2391">
        <f t="shared" si="73"/>
        <v>0</v>
      </c>
    </row>
    <row r="2392" spans="1:48" x14ac:dyDescent="0.25">
      <c r="A2392" t="s">
        <v>8392</v>
      </c>
      <c r="C2392" t="s">
        <v>8393</v>
      </c>
      <c r="D2392" t="s">
        <v>8394</v>
      </c>
      <c r="E2392" t="s">
        <v>2310</v>
      </c>
      <c r="F2392">
        <v>11</v>
      </c>
      <c r="G2392">
        <v>11.2</v>
      </c>
      <c r="H2392" t="s">
        <v>2017</v>
      </c>
      <c r="I2392" s="21">
        <v>39321</v>
      </c>
      <c r="J2392">
        <v>2007</v>
      </c>
      <c r="K2392" s="21">
        <v>39350</v>
      </c>
      <c r="L2392">
        <v>2007</v>
      </c>
      <c r="M2392" s="21">
        <v>40106.458715277797</v>
      </c>
      <c r="N2392">
        <v>2009</v>
      </c>
      <c r="R2392" s="262">
        <v>100000</v>
      </c>
      <c r="S2392" t="s">
        <v>114</v>
      </c>
      <c r="T2392" t="s">
        <v>114</v>
      </c>
      <c r="U2392">
        <v>8</v>
      </c>
      <c r="W2392">
        <v>1000</v>
      </c>
      <c r="X2392">
        <v>1</v>
      </c>
      <c r="Y2392">
        <v>0</v>
      </c>
      <c r="Z2392">
        <v>0</v>
      </c>
      <c r="AA2392">
        <v>0</v>
      </c>
      <c r="AB2392">
        <v>0</v>
      </c>
      <c r="AC2392">
        <v>0</v>
      </c>
      <c r="AD2392">
        <v>0</v>
      </c>
      <c r="AE2392">
        <v>0</v>
      </c>
      <c r="AF2392">
        <v>1000</v>
      </c>
      <c r="AG2392">
        <v>0</v>
      </c>
      <c r="AH2392">
        <v>0</v>
      </c>
      <c r="AI2392">
        <v>0</v>
      </c>
      <c r="AJ2392">
        <v>0</v>
      </c>
      <c r="AK2392">
        <v>0</v>
      </c>
      <c r="AL2392">
        <v>0</v>
      </c>
      <c r="AM2392">
        <v>0</v>
      </c>
      <c r="AN2392">
        <v>0</v>
      </c>
      <c r="AO2392">
        <v>0</v>
      </c>
      <c r="AP2392">
        <v>0</v>
      </c>
      <c r="AQ2392">
        <v>0</v>
      </c>
      <c r="AR2392">
        <v>1</v>
      </c>
      <c r="AS2392">
        <v>0</v>
      </c>
      <c r="AT2392">
        <v>0</v>
      </c>
      <c r="AU2392">
        <f t="shared" si="72"/>
        <v>0</v>
      </c>
      <c r="AV2392">
        <f t="shared" si="73"/>
        <v>0</v>
      </c>
    </row>
    <row r="2393" spans="1:48" x14ac:dyDescent="0.25">
      <c r="A2393" t="s">
        <v>8395</v>
      </c>
      <c r="C2393" t="s">
        <v>8396</v>
      </c>
      <c r="D2393" t="s">
        <v>3634</v>
      </c>
      <c r="E2393" t="s">
        <v>2310</v>
      </c>
      <c r="F2393">
        <v>9</v>
      </c>
      <c r="G2393">
        <v>9.3000000000000007</v>
      </c>
      <c r="H2393" t="s">
        <v>2323</v>
      </c>
      <c r="I2393" s="21">
        <v>39322</v>
      </c>
      <c r="J2393">
        <v>2007</v>
      </c>
      <c r="K2393" s="21">
        <v>39350</v>
      </c>
      <c r="L2393">
        <v>2007</v>
      </c>
      <c r="M2393" s="21">
        <v>39931</v>
      </c>
      <c r="N2393">
        <v>2009</v>
      </c>
      <c r="R2393" s="262">
        <v>850000</v>
      </c>
      <c r="S2393" t="s">
        <v>114</v>
      </c>
      <c r="T2393" t="s">
        <v>114</v>
      </c>
      <c r="U2393">
        <v>5</v>
      </c>
      <c r="W2393">
        <v>4372</v>
      </c>
      <c r="X2393">
        <v>0</v>
      </c>
      <c r="Y2393">
        <v>0</v>
      </c>
      <c r="Z2393">
        <v>0</v>
      </c>
      <c r="AA2393">
        <v>0</v>
      </c>
      <c r="AB2393">
        <v>0</v>
      </c>
      <c r="AC2393">
        <v>4372</v>
      </c>
      <c r="AD2393">
        <v>0</v>
      </c>
      <c r="AE2393">
        <v>0</v>
      </c>
      <c r="AF2393">
        <v>0</v>
      </c>
      <c r="AG2393">
        <v>0</v>
      </c>
      <c r="AH2393">
        <v>0</v>
      </c>
      <c r="AI2393">
        <v>0</v>
      </c>
      <c r="AJ2393">
        <v>0</v>
      </c>
      <c r="AK2393">
        <v>0</v>
      </c>
      <c r="AL2393">
        <v>0</v>
      </c>
      <c r="AM2393">
        <v>0</v>
      </c>
      <c r="AN2393">
        <v>0</v>
      </c>
      <c r="AO2393">
        <v>0</v>
      </c>
      <c r="AP2393">
        <v>0</v>
      </c>
      <c r="AQ2393">
        <v>0</v>
      </c>
      <c r="AR2393">
        <v>0</v>
      </c>
      <c r="AS2393">
        <v>0</v>
      </c>
      <c r="AT2393">
        <v>0</v>
      </c>
      <c r="AU2393">
        <f t="shared" ref="AU2393:AU2456" si="74">SUM(AN2393:AQ2393,AS2393)</f>
        <v>0</v>
      </c>
      <c r="AV2393">
        <f t="shared" ref="AV2393:AV2456" si="75">SUM(Y2393:AB2393,AH2393:AM2393)</f>
        <v>0</v>
      </c>
    </row>
    <row r="2394" spans="1:48" x14ac:dyDescent="0.25">
      <c r="A2394" t="s">
        <v>8397</v>
      </c>
      <c r="C2394" t="s">
        <v>8398</v>
      </c>
      <c r="D2394" t="s">
        <v>4389</v>
      </c>
      <c r="E2394" t="s">
        <v>2310</v>
      </c>
      <c r="F2394">
        <v>15</v>
      </c>
      <c r="G2394">
        <v>15.2</v>
      </c>
      <c r="H2394" t="s">
        <v>2323</v>
      </c>
      <c r="I2394" s="21">
        <v>39322</v>
      </c>
      <c r="J2394">
        <v>2007</v>
      </c>
      <c r="K2394" s="21">
        <v>39491</v>
      </c>
      <c r="L2394">
        <v>2008</v>
      </c>
      <c r="M2394" s="21">
        <v>40156.491307870398</v>
      </c>
      <c r="N2394">
        <v>2009</v>
      </c>
      <c r="R2394" s="262">
        <v>750000</v>
      </c>
      <c r="S2394" t="s">
        <v>114</v>
      </c>
      <c r="T2394" t="s">
        <v>114</v>
      </c>
      <c r="U2394">
        <v>5</v>
      </c>
      <c r="W2394">
        <v>5878</v>
      </c>
      <c r="X2394">
        <v>1</v>
      </c>
      <c r="Y2394">
        <v>0</v>
      </c>
      <c r="Z2394">
        <v>0</v>
      </c>
      <c r="AA2394">
        <v>0</v>
      </c>
      <c r="AB2394">
        <v>0</v>
      </c>
      <c r="AC2394">
        <v>5878</v>
      </c>
      <c r="AD2394">
        <v>0</v>
      </c>
      <c r="AE2394">
        <v>0</v>
      </c>
      <c r="AF2394">
        <v>0</v>
      </c>
      <c r="AG2394">
        <v>0</v>
      </c>
      <c r="AH2394">
        <v>0</v>
      </c>
      <c r="AI2394">
        <v>0</v>
      </c>
      <c r="AJ2394">
        <v>0</v>
      </c>
      <c r="AK2394">
        <v>0</v>
      </c>
      <c r="AL2394">
        <v>0</v>
      </c>
      <c r="AM2394">
        <v>0</v>
      </c>
      <c r="AN2394">
        <v>0</v>
      </c>
      <c r="AO2394">
        <v>1</v>
      </c>
      <c r="AP2394">
        <v>0</v>
      </c>
      <c r="AQ2394">
        <v>0</v>
      </c>
      <c r="AR2394">
        <v>0</v>
      </c>
      <c r="AS2394">
        <v>0</v>
      </c>
      <c r="AT2394">
        <v>0</v>
      </c>
      <c r="AU2394">
        <f t="shared" si="74"/>
        <v>1</v>
      </c>
      <c r="AV2394">
        <f t="shared" si="75"/>
        <v>0</v>
      </c>
    </row>
    <row r="2395" spans="1:48" x14ac:dyDescent="0.25">
      <c r="A2395" t="s">
        <v>8399</v>
      </c>
      <c r="C2395" t="s">
        <v>8400</v>
      </c>
      <c r="D2395" t="s">
        <v>8401</v>
      </c>
      <c r="E2395" t="s">
        <v>2310</v>
      </c>
      <c r="F2395">
        <v>9</v>
      </c>
      <c r="G2395">
        <v>9.3000000000000007</v>
      </c>
      <c r="H2395" t="s">
        <v>2323</v>
      </c>
      <c r="I2395" s="21">
        <v>39323</v>
      </c>
      <c r="J2395">
        <v>2007</v>
      </c>
      <c r="K2395" s="21">
        <v>39350</v>
      </c>
      <c r="L2395">
        <v>2007</v>
      </c>
      <c r="M2395" s="21">
        <v>39834</v>
      </c>
      <c r="N2395">
        <v>2009</v>
      </c>
      <c r="R2395" s="262">
        <v>60000</v>
      </c>
      <c r="S2395" t="s">
        <v>114</v>
      </c>
      <c r="T2395" t="s">
        <v>114</v>
      </c>
      <c r="U2395">
        <v>5</v>
      </c>
      <c r="W2395">
        <v>1600</v>
      </c>
      <c r="X2395">
        <v>0</v>
      </c>
      <c r="Y2395">
        <v>0</v>
      </c>
      <c r="Z2395">
        <v>0</v>
      </c>
      <c r="AA2395">
        <v>0</v>
      </c>
      <c r="AB2395">
        <v>0</v>
      </c>
      <c r="AC2395">
        <v>1600</v>
      </c>
      <c r="AD2395">
        <v>0</v>
      </c>
      <c r="AE2395">
        <v>0</v>
      </c>
      <c r="AF2395">
        <v>0</v>
      </c>
      <c r="AG2395">
        <v>0</v>
      </c>
      <c r="AH2395">
        <v>0</v>
      </c>
      <c r="AI2395">
        <v>0</v>
      </c>
      <c r="AJ2395">
        <v>0</v>
      </c>
      <c r="AK2395">
        <v>0</v>
      </c>
      <c r="AL2395">
        <v>0</v>
      </c>
      <c r="AM2395">
        <v>0</v>
      </c>
      <c r="AN2395">
        <v>0</v>
      </c>
      <c r="AO2395">
        <v>0</v>
      </c>
      <c r="AP2395">
        <v>0</v>
      </c>
      <c r="AQ2395">
        <v>0</v>
      </c>
      <c r="AR2395">
        <v>0</v>
      </c>
      <c r="AS2395">
        <v>0</v>
      </c>
      <c r="AT2395">
        <v>0</v>
      </c>
      <c r="AU2395">
        <f t="shared" si="74"/>
        <v>0</v>
      </c>
      <c r="AV2395">
        <f t="shared" si="75"/>
        <v>0</v>
      </c>
    </row>
    <row r="2396" spans="1:48" x14ac:dyDescent="0.25">
      <c r="A2396" t="s">
        <v>8402</v>
      </c>
      <c r="C2396" t="s">
        <v>8403</v>
      </c>
      <c r="D2396" t="s">
        <v>8404</v>
      </c>
      <c r="E2396" t="s">
        <v>2310</v>
      </c>
      <c r="F2396">
        <v>7</v>
      </c>
      <c r="G2396">
        <v>7.1</v>
      </c>
      <c r="H2396" t="s">
        <v>2017</v>
      </c>
      <c r="I2396" s="21">
        <v>39329</v>
      </c>
      <c r="J2396">
        <v>2007</v>
      </c>
      <c r="K2396" s="21">
        <v>39363</v>
      </c>
      <c r="L2396">
        <v>2007</v>
      </c>
      <c r="M2396" s="21">
        <v>39526</v>
      </c>
      <c r="N2396">
        <v>2008</v>
      </c>
      <c r="R2396" s="262">
        <v>30000</v>
      </c>
      <c r="S2396" t="s">
        <v>114</v>
      </c>
      <c r="T2396" t="s">
        <v>114</v>
      </c>
      <c r="U2396">
        <v>14</v>
      </c>
      <c r="W2396">
        <v>371</v>
      </c>
      <c r="X2396">
        <v>0</v>
      </c>
      <c r="Y2396">
        <v>0</v>
      </c>
      <c r="Z2396">
        <v>0</v>
      </c>
      <c r="AA2396">
        <v>0</v>
      </c>
      <c r="AB2396">
        <v>0</v>
      </c>
      <c r="AC2396">
        <v>0</v>
      </c>
      <c r="AD2396">
        <v>0</v>
      </c>
      <c r="AE2396">
        <v>0</v>
      </c>
      <c r="AF2396">
        <v>0</v>
      </c>
      <c r="AG2396">
        <v>0</v>
      </c>
      <c r="AH2396">
        <v>0</v>
      </c>
      <c r="AI2396">
        <v>0</v>
      </c>
      <c r="AJ2396">
        <v>0</v>
      </c>
      <c r="AK2396">
        <v>0</v>
      </c>
      <c r="AL2396">
        <v>371</v>
      </c>
      <c r="AM2396">
        <v>0</v>
      </c>
      <c r="AN2396">
        <v>0</v>
      </c>
      <c r="AO2396">
        <v>0</v>
      </c>
      <c r="AP2396">
        <v>0</v>
      </c>
      <c r="AQ2396">
        <v>0</v>
      </c>
      <c r="AR2396">
        <v>0</v>
      </c>
      <c r="AS2396">
        <v>0</v>
      </c>
      <c r="AT2396">
        <v>0</v>
      </c>
      <c r="AU2396">
        <f t="shared" si="74"/>
        <v>0</v>
      </c>
      <c r="AV2396">
        <f t="shared" si="75"/>
        <v>371</v>
      </c>
    </row>
    <row r="2397" spans="1:48" x14ac:dyDescent="0.25">
      <c r="A2397" t="s">
        <v>8408</v>
      </c>
      <c r="C2397" t="s">
        <v>7450</v>
      </c>
      <c r="D2397" t="s">
        <v>8409</v>
      </c>
      <c r="E2397" t="s">
        <v>2310</v>
      </c>
      <c r="F2397">
        <v>11</v>
      </c>
      <c r="G2397">
        <v>11.2</v>
      </c>
      <c r="H2397" t="s">
        <v>2017</v>
      </c>
      <c r="I2397" s="21">
        <v>39330</v>
      </c>
      <c r="J2397">
        <v>2007</v>
      </c>
      <c r="K2397" s="21">
        <v>39387</v>
      </c>
      <c r="L2397">
        <v>2007</v>
      </c>
      <c r="M2397" s="21">
        <v>39776</v>
      </c>
      <c r="N2397">
        <v>2008</v>
      </c>
      <c r="R2397" s="262">
        <v>130000</v>
      </c>
      <c r="S2397" t="s">
        <v>114</v>
      </c>
      <c r="T2397" t="s">
        <v>114</v>
      </c>
      <c r="U2397">
        <v>5</v>
      </c>
      <c r="W2397">
        <v>1200</v>
      </c>
      <c r="X2397">
        <v>1</v>
      </c>
      <c r="Y2397">
        <v>0</v>
      </c>
      <c r="Z2397">
        <v>0</v>
      </c>
      <c r="AA2397">
        <v>0</v>
      </c>
      <c r="AB2397">
        <v>0</v>
      </c>
      <c r="AC2397">
        <v>1200</v>
      </c>
      <c r="AD2397">
        <v>0</v>
      </c>
      <c r="AE2397">
        <v>0</v>
      </c>
      <c r="AF2397">
        <v>0</v>
      </c>
      <c r="AG2397">
        <v>0</v>
      </c>
      <c r="AH2397">
        <v>0</v>
      </c>
      <c r="AI2397">
        <v>0</v>
      </c>
      <c r="AJ2397">
        <v>0</v>
      </c>
      <c r="AK2397">
        <v>0</v>
      </c>
      <c r="AL2397">
        <v>0</v>
      </c>
      <c r="AM2397">
        <v>0</v>
      </c>
      <c r="AN2397">
        <v>0</v>
      </c>
      <c r="AO2397">
        <v>1</v>
      </c>
      <c r="AP2397">
        <v>0</v>
      </c>
      <c r="AQ2397">
        <v>0</v>
      </c>
      <c r="AR2397">
        <v>0</v>
      </c>
      <c r="AS2397">
        <v>0</v>
      </c>
      <c r="AT2397">
        <v>0</v>
      </c>
      <c r="AU2397">
        <f t="shared" si="74"/>
        <v>1</v>
      </c>
      <c r="AV2397">
        <f t="shared" si="75"/>
        <v>0</v>
      </c>
    </row>
    <row r="2398" spans="1:48" x14ac:dyDescent="0.25">
      <c r="A2398" t="s">
        <v>8405</v>
      </c>
      <c r="C2398" t="s">
        <v>8406</v>
      </c>
      <c r="D2398" t="s">
        <v>8407</v>
      </c>
      <c r="E2398" t="s">
        <v>1663</v>
      </c>
      <c r="F2398">
        <v>2</v>
      </c>
      <c r="G2398">
        <v>2.1</v>
      </c>
      <c r="H2398" t="s">
        <v>2327</v>
      </c>
      <c r="I2398" s="21">
        <v>39330</v>
      </c>
      <c r="J2398">
        <v>2007</v>
      </c>
      <c r="K2398" s="21">
        <v>39360</v>
      </c>
      <c r="L2398">
        <v>2007</v>
      </c>
      <c r="M2398" s="21">
        <v>39512</v>
      </c>
      <c r="N2398">
        <v>2008</v>
      </c>
      <c r="Q2398" s="262">
        <v>0</v>
      </c>
      <c r="S2398" t="s">
        <v>114</v>
      </c>
      <c r="T2398" t="s">
        <v>114</v>
      </c>
      <c r="W2398">
        <v>9659</v>
      </c>
      <c r="X2398">
        <v>6</v>
      </c>
      <c r="Y2398">
        <v>0</v>
      </c>
      <c r="Z2398">
        <v>0</v>
      </c>
      <c r="AA2398">
        <v>0</v>
      </c>
      <c r="AB2398">
        <v>0</v>
      </c>
      <c r="AC2398">
        <v>0</v>
      </c>
      <c r="AD2398">
        <v>0</v>
      </c>
      <c r="AE2398">
        <v>0</v>
      </c>
      <c r="AF2398">
        <v>0</v>
      </c>
      <c r="AG2398">
        <v>0</v>
      </c>
      <c r="AH2398">
        <v>0</v>
      </c>
      <c r="AI2398">
        <v>9659</v>
      </c>
      <c r="AJ2398">
        <v>0</v>
      </c>
      <c r="AK2398">
        <v>0</v>
      </c>
      <c r="AL2398">
        <v>0</v>
      </c>
      <c r="AM2398">
        <v>0</v>
      </c>
      <c r="AN2398">
        <v>0</v>
      </c>
      <c r="AO2398">
        <v>0</v>
      </c>
      <c r="AP2398">
        <v>0</v>
      </c>
      <c r="AQ2398">
        <v>0</v>
      </c>
      <c r="AR2398">
        <v>0</v>
      </c>
      <c r="AS2398">
        <v>0</v>
      </c>
      <c r="AT2398">
        <v>6</v>
      </c>
      <c r="AU2398">
        <f t="shared" si="74"/>
        <v>0</v>
      </c>
      <c r="AV2398">
        <f t="shared" si="75"/>
        <v>9659</v>
      </c>
    </row>
    <row r="2399" spans="1:48" x14ac:dyDescent="0.25">
      <c r="A2399" t="s">
        <v>8410</v>
      </c>
      <c r="C2399" t="s">
        <v>7354</v>
      </c>
      <c r="D2399" t="s">
        <v>8411</v>
      </c>
      <c r="E2399" t="s">
        <v>2310</v>
      </c>
      <c r="F2399">
        <v>10</v>
      </c>
      <c r="G2399">
        <v>10.1</v>
      </c>
      <c r="H2399" t="s">
        <v>2323</v>
      </c>
      <c r="I2399" s="21">
        <v>39331</v>
      </c>
      <c r="J2399">
        <v>2007</v>
      </c>
      <c r="K2399" s="21">
        <v>39373</v>
      </c>
      <c r="L2399">
        <v>2007</v>
      </c>
      <c r="M2399" s="21">
        <v>39778</v>
      </c>
      <c r="N2399">
        <v>2008</v>
      </c>
      <c r="R2399" s="262">
        <v>800000</v>
      </c>
      <c r="S2399" t="s">
        <v>114</v>
      </c>
      <c r="T2399" t="s">
        <v>114</v>
      </c>
      <c r="U2399">
        <v>5</v>
      </c>
      <c r="W2399">
        <v>4556</v>
      </c>
      <c r="X2399">
        <v>1</v>
      </c>
      <c r="Y2399">
        <v>0</v>
      </c>
      <c r="Z2399">
        <v>0</v>
      </c>
      <c r="AA2399">
        <v>0</v>
      </c>
      <c r="AB2399">
        <v>0</v>
      </c>
      <c r="AC2399">
        <v>4556</v>
      </c>
      <c r="AD2399">
        <v>0</v>
      </c>
      <c r="AE2399">
        <v>0</v>
      </c>
      <c r="AF2399">
        <v>0</v>
      </c>
      <c r="AG2399">
        <v>0</v>
      </c>
      <c r="AH2399">
        <v>0</v>
      </c>
      <c r="AI2399">
        <v>0</v>
      </c>
      <c r="AJ2399">
        <v>0</v>
      </c>
      <c r="AK2399">
        <v>0</v>
      </c>
      <c r="AL2399">
        <v>0</v>
      </c>
      <c r="AM2399">
        <v>0</v>
      </c>
      <c r="AN2399">
        <v>0</v>
      </c>
      <c r="AO2399">
        <v>1</v>
      </c>
      <c r="AP2399">
        <v>0</v>
      </c>
      <c r="AQ2399">
        <v>0</v>
      </c>
      <c r="AR2399">
        <v>0</v>
      </c>
      <c r="AS2399">
        <v>0</v>
      </c>
      <c r="AT2399">
        <v>0</v>
      </c>
      <c r="AU2399">
        <f t="shared" si="74"/>
        <v>1</v>
      </c>
      <c r="AV2399">
        <f t="shared" si="75"/>
        <v>0</v>
      </c>
    </row>
    <row r="2400" spans="1:48" x14ac:dyDescent="0.25">
      <c r="A2400" t="s">
        <v>8417</v>
      </c>
      <c r="C2400" t="s">
        <v>7393</v>
      </c>
      <c r="D2400" t="s">
        <v>8418</v>
      </c>
      <c r="E2400" t="s">
        <v>2310</v>
      </c>
      <c r="F2400">
        <v>10</v>
      </c>
      <c r="G2400">
        <v>10.1</v>
      </c>
      <c r="H2400" t="s">
        <v>2323</v>
      </c>
      <c r="I2400" s="21">
        <v>39332</v>
      </c>
      <c r="J2400">
        <v>2007</v>
      </c>
      <c r="K2400" s="21">
        <v>39373</v>
      </c>
      <c r="L2400">
        <v>2007</v>
      </c>
      <c r="M2400" s="21">
        <v>40233.587592592601</v>
      </c>
      <c r="N2400">
        <v>2010</v>
      </c>
      <c r="R2400" s="262">
        <v>800000</v>
      </c>
      <c r="S2400" t="s">
        <v>114</v>
      </c>
      <c r="T2400" t="s">
        <v>114</v>
      </c>
      <c r="U2400">
        <v>5</v>
      </c>
      <c r="W2400">
        <v>4296</v>
      </c>
      <c r="X2400">
        <v>1</v>
      </c>
      <c r="Y2400">
        <v>0</v>
      </c>
      <c r="Z2400">
        <v>0</v>
      </c>
      <c r="AA2400">
        <v>0</v>
      </c>
      <c r="AB2400">
        <v>0</v>
      </c>
      <c r="AC2400">
        <v>4296</v>
      </c>
      <c r="AD2400">
        <v>0</v>
      </c>
      <c r="AE2400">
        <v>0</v>
      </c>
      <c r="AF2400">
        <v>0</v>
      </c>
      <c r="AG2400">
        <v>0</v>
      </c>
      <c r="AH2400">
        <v>0</v>
      </c>
      <c r="AI2400">
        <v>0</v>
      </c>
      <c r="AJ2400">
        <v>0</v>
      </c>
      <c r="AK2400">
        <v>0</v>
      </c>
      <c r="AL2400">
        <v>0</v>
      </c>
      <c r="AM2400">
        <v>0</v>
      </c>
      <c r="AN2400">
        <v>0</v>
      </c>
      <c r="AO2400">
        <v>1</v>
      </c>
      <c r="AP2400">
        <v>0</v>
      </c>
      <c r="AQ2400">
        <v>0</v>
      </c>
      <c r="AR2400">
        <v>0</v>
      </c>
      <c r="AS2400">
        <v>0</v>
      </c>
      <c r="AT2400">
        <v>0</v>
      </c>
      <c r="AU2400">
        <f t="shared" si="74"/>
        <v>1</v>
      </c>
      <c r="AV2400">
        <f t="shared" si="75"/>
        <v>0</v>
      </c>
    </row>
    <row r="2401" spans="1:48" x14ac:dyDescent="0.25">
      <c r="A2401" t="s">
        <v>8419</v>
      </c>
      <c r="C2401" t="s">
        <v>8420</v>
      </c>
      <c r="D2401" t="s">
        <v>8421</v>
      </c>
      <c r="E2401" t="s">
        <v>2310</v>
      </c>
      <c r="F2401">
        <v>8</v>
      </c>
      <c r="G2401">
        <v>8.1</v>
      </c>
      <c r="H2401" t="s">
        <v>2323</v>
      </c>
      <c r="I2401" s="21">
        <v>39332</v>
      </c>
      <c r="J2401">
        <v>2007</v>
      </c>
      <c r="K2401" s="21">
        <v>39414</v>
      </c>
      <c r="L2401">
        <v>2007</v>
      </c>
      <c r="M2401" s="21">
        <v>40053.567847222199</v>
      </c>
      <c r="N2401">
        <v>2009</v>
      </c>
      <c r="R2401" s="262">
        <v>2131000</v>
      </c>
      <c r="S2401" t="s">
        <v>114</v>
      </c>
      <c r="T2401" t="s">
        <v>114</v>
      </c>
      <c r="U2401">
        <v>5</v>
      </c>
      <c r="W2401">
        <v>7105</v>
      </c>
      <c r="X2401">
        <v>1</v>
      </c>
      <c r="Y2401">
        <v>0</v>
      </c>
      <c r="Z2401">
        <v>0</v>
      </c>
      <c r="AA2401">
        <v>0</v>
      </c>
      <c r="AB2401">
        <v>0</v>
      </c>
      <c r="AC2401">
        <v>7105</v>
      </c>
      <c r="AD2401">
        <v>0</v>
      </c>
      <c r="AE2401">
        <v>0</v>
      </c>
      <c r="AF2401">
        <v>0</v>
      </c>
      <c r="AG2401">
        <v>0</v>
      </c>
      <c r="AH2401">
        <v>0</v>
      </c>
      <c r="AI2401">
        <v>0</v>
      </c>
      <c r="AJ2401">
        <v>0</v>
      </c>
      <c r="AK2401">
        <v>0</v>
      </c>
      <c r="AL2401">
        <v>0</v>
      </c>
      <c r="AM2401">
        <v>0</v>
      </c>
      <c r="AN2401">
        <v>0</v>
      </c>
      <c r="AO2401">
        <v>1</v>
      </c>
      <c r="AP2401">
        <v>0</v>
      </c>
      <c r="AQ2401">
        <v>0</v>
      </c>
      <c r="AR2401">
        <v>0</v>
      </c>
      <c r="AS2401">
        <v>0</v>
      </c>
      <c r="AT2401">
        <v>0</v>
      </c>
      <c r="AU2401">
        <f t="shared" si="74"/>
        <v>1</v>
      </c>
      <c r="AV2401">
        <f t="shared" si="75"/>
        <v>0</v>
      </c>
    </row>
    <row r="2402" spans="1:48" x14ac:dyDescent="0.25">
      <c r="A2402" t="s">
        <v>8422</v>
      </c>
      <c r="C2402" t="s">
        <v>8423</v>
      </c>
      <c r="D2402" t="s">
        <v>8424</v>
      </c>
      <c r="E2402" t="s">
        <v>2310</v>
      </c>
      <c r="F2402">
        <v>12</v>
      </c>
      <c r="G2402">
        <v>12.3</v>
      </c>
      <c r="H2402" t="s">
        <v>2017</v>
      </c>
      <c r="I2402" s="21">
        <v>39332</v>
      </c>
      <c r="J2402">
        <v>2007</v>
      </c>
      <c r="K2402" s="21">
        <v>39403</v>
      </c>
      <c r="L2402">
        <v>2007</v>
      </c>
      <c r="M2402" s="21">
        <v>39403</v>
      </c>
      <c r="N2402">
        <v>2007</v>
      </c>
      <c r="R2402" s="262">
        <v>300000</v>
      </c>
      <c r="S2402" t="s">
        <v>114</v>
      </c>
      <c r="T2402" t="s">
        <v>114</v>
      </c>
      <c r="U2402">
        <v>5</v>
      </c>
      <c r="W2402">
        <v>907</v>
      </c>
      <c r="X2402">
        <v>0</v>
      </c>
      <c r="Y2402">
        <v>0</v>
      </c>
      <c r="Z2402">
        <v>0</v>
      </c>
      <c r="AA2402">
        <v>0</v>
      </c>
      <c r="AB2402">
        <v>0</v>
      </c>
      <c r="AC2402">
        <v>907</v>
      </c>
      <c r="AD2402">
        <v>0</v>
      </c>
      <c r="AE2402">
        <v>0</v>
      </c>
      <c r="AF2402">
        <v>0</v>
      </c>
      <c r="AG2402">
        <v>0</v>
      </c>
      <c r="AH2402">
        <v>0</v>
      </c>
      <c r="AI2402">
        <v>0</v>
      </c>
      <c r="AJ2402">
        <v>0</v>
      </c>
      <c r="AK2402">
        <v>0</v>
      </c>
      <c r="AL2402">
        <v>0</v>
      </c>
      <c r="AM2402">
        <v>0</v>
      </c>
      <c r="AN2402">
        <v>0</v>
      </c>
      <c r="AO2402">
        <v>0</v>
      </c>
      <c r="AP2402">
        <v>0</v>
      </c>
      <c r="AQ2402">
        <v>0</v>
      </c>
      <c r="AR2402">
        <v>0</v>
      </c>
      <c r="AS2402">
        <v>0</v>
      </c>
      <c r="AT2402">
        <v>0</v>
      </c>
      <c r="AU2402">
        <f t="shared" si="74"/>
        <v>0</v>
      </c>
      <c r="AV2402">
        <f t="shared" si="75"/>
        <v>0</v>
      </c>
    </row>
    <row r="2403" spans="1:48" x14ac:dyDescent="0.25">
      <c r="A2403" t="s">
        <v>8412</v>
      </c>
      <c r="C2403" t="s">
        <v>8413</v>
      </c>
      <c r="D2403" t="s">
        <v>8414</v>
      </c>
      <c r="E2403" t="s">
        <v>1663</v>
      </c>
      <c r="F2403">
        <v>2</v>
      </c>
      <c r="G2403">
        <v>2.6</v>
      </c>
      <c r="H2403" t="s">
        <v>2327</v>
      </c>
      <c r="I2403" s="21">
        <v>39332</v>
      </c>
      <c r="J2403">
        <v>2007</v>
      </c>
      <c r="K2403" s="21">
        <v>39362</v>
      </c>
      <c r="L2403">
        <v>2007</v>
      </c>
      <c r="M2403" s="21">
        <v>39514</v>
      </c>
      <c r="N2403">
        <v>2008</v>
      </c>
      <c r="Q2403" s="262">
        <v>0</v>
      </c>
      <c r="S2403" t="s">
        <v>114</v>
      </c>
      <c r="T2403" t="s">
        <v>114</v>
      </c>
      <c r="W2403">
        <v>6500</v>
      </c>
      <c r="X2403">
        <v>1</v>
      </c>
      <c r="Y2403">
        <v>0</v>
      </c>
      <c r="Z2403">
        <v>0</v>
      </c>
      <c r="AA2403">
        <v>0</v>
      </c>
      <c r="AB2403">
        <v>0</v>
      </c>
      <c r="AC2403">
        <v>0</v>
      </c>
      <c r="AD2403">
        <v>0</v>
      </c>
      <c r="AE2403">
        <v>2000</v>
      </c>
      <c r="AF2403">
        <v>0</v>
      </c>
      <c r="AG2403">
        <v>0</v>
      </c>
      <c r="AH2403">
        <v>0</v>
      </c>
      <c r="AI2403">
        <v>0</v>
      </c>
      <c r="AJ2403">
        <v>4500</v>
      </c>
      <c r="AK2403">
        <v>0</v>
      </c>
      <c r="AL2403">
        <v>0</v>
      </c>
      <c r="AM2403">
        <v>0</v>
      </c>
      <c r="AN2403">
        <v>0</v>
      </c>
      <c r="AO2403">
        <v>0</v>
      </c>
      <c r="AP2403">
        <v>0</v>
      </c>
      <c r="AQ2403">
        <v>1</v>
      </c>
      <c r="AR2403">
        <v>0</v>
      </c>
      <c r="AS2403">
        <v>0</v>
      </c>
      <c r="AT2403">
        <v>0</v>
      </c>
      <c r="AU2403">
        <f t="shared" si="74"/>
        <v>1</v>
      </c>
      <c r="AV2403">
        <f t="shared" si="75"/>
        <v>4500</v>
      </c>
    </row>
    <row r="2404" spans="1:48" x14ac:dyDescent="0.25">
      <c r="A2404" t="s">
        <v>8415</v>
      </c>
      <c r="C2404" t="s">
        <v>8416</v>
      </c>
      <c r="D2404" t="s">
        <v>8414</v>
      </c>
      <c r="E2404" t="s">
        <v>1663</v>
      </c>
      <c r="F2404">
        <v>2</v>
      </c>
      <c r="G2404">
        <v>2.6</v>
      </c>
      <c r="H2404" t="s">
        <v>2327</v>
      </c>
      <c r="I2404" s="21">
        <v>39332</v>
      </c>
      <c r="J2404">
        <v>2007</v>
      </c>
      <c r="K2404" s="21">
        <v>39362</v>
      </c>
      <c r="L2404">
        <v>2007</v>
      </c>
      <c r="M2404" s="21">
        <v>39514</v>
      </c>
      <c r="N2404">
        <v>2008</v>
      </c>
      <c r="Q2404" s="262">
        <v>0</v>
      </c>
      <c r="S2404" t="s">
        <v>114</v>
      </c>
      <c r="T2404" t="s">
        <v>114</v>
      </c>
      <c r="W2404">
        <v>6500</v>
      </c>
      <c r="X2404">
        <v>1</v>
      </c>
      <c r="Y2404">
        <v>0</v>
      </c>
      <c r="Z2404">
        <v>0</v>
      </c>
      <c r="AA2404">
        <v>0</v>
      </c>
      <c r="AB2404">
        <v>0</v>
      </c>
      <c r="AC2404">
        <v>0</v>
      </c>
      <c r="AD2404">
        <v>0</v>
      </c>
      <c r="AE2404">
        <v>2000</v>
      </c>
      <c r="AF2404">
        <v>0</v>
      </c>
      <c r="AG2404">
        <v>0</v>
      </c>
      <c r="AH2404">
        <v>0</v>
      </c>
      <c r="AI2404">
        <v>0</v>
      </c>
      <c r="AJ2404">
        <v>4500</v>
      </c>
      <c r="AK2404">
        <v>0</v>
      </c>
      <c r="AL2404">
        <v>0</v>
      </c>
      <c r="AM2404">
        <v>0</v>
      </c>
      <c r="AN2404">
        <v>0</v>
      </c>
      <c r="AO2404">
        <v>0</v>
      </c>
      <c r="AP2404">
        <v>0</v>
      </c>
      <c r="AQ2404">
        <v>1</v>
      </c>
      <c r="AR2404">
        <v>0</v>
      </c>
      <c r="AS2404">
        <v>0</v>
      </c>
      <c r="AT2404">
        <v>0</v>
      </c>
      <c r="AU2404">
        <f t="shared" si="74"/>
        <v>1</v>
      </c>
      <c r="AV2404">
        <f t="shared" si="75"/>
        <v>4500</v>
      </c>
    </row>
    <row r="2405" spans="1:48" x14ac:dyDescent="0.25">
      <c r="A2405" t="s">
        <v>8425</v>
      </c>
      <c r="C2405" t="s">
        <v>8426</v>
      </c>
      <c r="D2405" t="s">
        <v>8427</v>
      </c>
      <c r="E2405" t="s">
        <v>2310</v>
      </c>
      <c r="F2405">
        <v>7</v>
      </c>
      <c r="G2405">
        <v>7.1</v>
      </c>
      <c r="H2405" t="s">
        <v>2017</v>
      </c>
      <c r="I2405" s="21">
        <v>39335</v>
      </c>
      <c r="J2405">
        <v>2007</v>
      </c>
      <c r="K2405" s="21">
        <v>39338</v>
      </c>
      <c r="L2405">
        <v>2007</v>
      </c>
      <c r="M2405" s="21">
        <v>39658</v>
      </c>
      <c r="N2405">
        <v>2008</v>
      </c>
      <c r="R2405" s="262">
        <v>1000</v>
      </c>
      <c r="S2405" t="s">
        <v>114</v>
      </c>
      <c r="T2405" t="s">
        <v>114</v>
      </c>
      <c r="U2405">
        <v>14</v>
      </c>
      <c r="W2405">
        <v>0</v>
      </c>
      <c r="X2405">
        <v>0</v>
      </c>
      <c r="Y2405">
        <v>0</v>
      </c>
      <c r="Z2405">
        <v>0</v>
      </c>
      <c r="AA2405">
        <v>0</v>
      </c>
      <c r="AB2405">
        <v>0</v>
      </c>
      <c r="AC2405">
        <v>0</v>
      </c>
      <c r="AD2405">
        <v>0</v>
      </c>
      <c r="AE2405">
        <v>0</v>
      </c>
      <c r="AF2405">
        <v>0</v>
      </c>
      <c r="AG2405">
        <v>0</v>
      </c>
      <c r="AH2405">
        <v>0</v>
      </c>
      <c r="AI2405">
        <v>0</v>
      </c>
      <c r="AJ2405">
        <v>0</v>
      </c>
      <c r="AK2405">
        <v>0</v>
      </c>
      <c r="AL2405">
        <v>0</v>
      </c>
      <c r="AM2405">
        <v>0</v>
      </c>
      <c r="AN2405">
        <v>0</v>
      </c>
      <c r="AO2405">
        <v>0</v>
      </c>
      <c r="AP2405">
        <v>0</v>
      </c>
      <c r="AQ2405">
        <v>0</v>
      </c>
      <c r="AR2405">
        <v>0</v>
      </c>
      <c r="AS2405">
        <v>0</v>
      </c>
      <c r="AT2405">
        <v>0</v>
      </c>
      <c r="AU2405">
        <f t="shared" si="74"/>
        <v>0</v>
      </c>
      <c r="AV2405">
        <f t="shared" si="75"/>
        <v>0</v>
      </c>
    </row>
    <row r="2406" spans="1:48" x14ac:dyDescent="0.25">
      <c r="A2406" t="s">
        <v>8428</v>
      </c>
      <c r="C2406" t="s">
        <v>7354</v>
      </c>
      <c r="D2406" t="s">
        <v>8429</v>
      </c>
      <c r="E2406" t="s">
        <v>2310</v>
      </c>
      <c r="F2406">
        <v>12</v>
      </c>
      <c r="G2406">
        <v>12.3</v>
      </c>
      <c r="H2406" t="s">
        <v>2017</v>
      </c>
      <c r="I2406" s="21">
        <v>39336</v>
      </c>
      <c r="J2406">
        <v>2007</v>
      </c>
      <c r="K2406" s="21">
        <v>39373</v>
      </c>
      <c r="L2406">
        <v>2007</v>
      </c>
      <c r="M2406" s="21">
        <v>40148.461469907401</v>
      </c>
      <c r="N2406">
        <v>2009</v>
      </c>
      <c r="R2406" s="262">
        <v>1900000</v>
      </c>
      <c r="S2406" t="s">
        <v>114</v>
      </c>
      <c r="T2406" t="s">
        <v>114</v>
      </c>
      <c r="U2406">
        <v>5</v>
      </c>
      <c r="W2406">
        <v>5820</v>
      </c>
      <c r="X2406">
        <v>1</v>
      </c>
      <c r="Y2406">
        <v>0</v>
      </c>
      <c r="Z2406">
        <v>0</v>
      </c>
      <c r="AA2406">
        <v>0</v>
      </c>
      <c r="AB2406">
        <v>0</v>
      </c>
      <c r="AC2406">
        <v>5820</v>
      </c>
      <c r="AD2406">
        <v>0</v>
      </c>
      <c r="AE2406">
        <v>0</v>
      </c>
      <c r="AF2406">
        <v>0</v>
      </c>
      <c r="AG2406">
        <v>0</v>
      </c>
      <c r="AH2406">
        <v>0</v>
      </c>
      <c r="AI2406">
        <v>0</v>
      </c>
      <c r="AJ2406">
        <v>0</v>
      </c>
      <c r="AK2406">
        <v>0</v>
      </c>
      <c r="AL2406">
        <v>0</v>
      </c>
      <c r="AM2406">
        <v>0</v>
      </c>
      <c r="AN2406">
        <v>0</v>
      </c>
      <c r="AO2406">
        <v>1</v>
      </c>
      <c r="AP2406">
        <v>0</v>
      </c>
      <c r="AQ2406">
        <v>0</v>
      </c>
      <c r="AR2406">
        <v>0</v>
      </c>
      <c r="AS2406">
        <v>0</v>
      </c>
      <c r="AT2406">
        <v>0</v>
      </c>
      <c r="AU2406">
        <f t="shared" si="74"/>
        <v>1</v>
      </c>
      <c r="AV2406">
        <f t="shared" si="75"/>
        <v>0</v>
      </c>
    </row>
    <row r="2407" spans="1:48" x14ac:dyDescent="0.25">
      <c r="A2407" t="s">
        <v>8430</v>
      </c>
      <c r="C2407" t="s">
        <v>8431</v>
      </c>
      <c r="D2407" t="s">
        <v>8432</v>
      </c>
      <c r="E2407" t="s">
        <v>2310</v>
      </c>
      <c r="F2407">
        <v>8</v>
      </c>
      <c r="G2407">
        <v>8.1999999999999993</v>
      </c>
      <c r="H2407" t="s">
        <v>2022</v>
      </c>
      <c r="I2407" s="21">
        <v>39336</v>
      </c>
      <c r="J2407">
        <v>2007</v>
      </c>
      <c r="K2407" s="21">
        <v>39419</v>
      </c>
      <c r="L2407">
        <v>2007</v>
      </c>
      <c r="M2407" s="21">
        <v>40213.598541666703</v>
      </c>
      <c r="N2407">
        <v>2010</v>
      </c>
      <c r="R2407" s="262">
        <v>2900000</v>
      </c>
      <c r="S2407" t="s">
        <v>114</v>
      </c>
      <c r="T2407" t="s">
        <v>114</v>
      </c>
      <c r="U2407">
        <v>5</v>
      </c>
      <c r="W2407">
        <v>0</v>
      </c>
      <c r="X2407">
        <v>0</v>
      </c>
      <c r="Y2407">
        <v>0</v>
      </c>
      <c r="Z2407">
        <v>0</v>
      </c>
      <c r="AA2407">
        <v>0</v>
      </c>
      <c r="AB2407">
        <v>0</v>
      </c>
      <c r="AC2407">
        <v>0</v>
      </c>
      <c r="AD2407">
        <v>0</v>
      </c>
      <c r="AE2407">
        <v>0</v>
      </c>
      <c r="AF2407">
        <v>0</v>
      </c>
      <c r="AG2407">
        <v>0</v>
      </c>
      <c r="AH2407">
        <v>0</v>
      </c>
      <c r="AI2407">
        <v>0</v>
      </c>
      <c r="AJ2407">
        <v>0</v>
      </c>
      <c r="AK2407">
        <v>0</v>
      </c>
      <c r="AL2407">
        <v>0</v>
      </c>
      <c r="AM2407">
        <v>0</v>
      </c>
      <c r="AN2407">
        <v>0</v>
      </c>
      <c r="AO2407">
        <v>0</v>
      </c>
      <c r="AP2407">
        <v>0</v>
      </c>
      <c r="AQ2407">
        <v>0</v>
      </c>
      <c r="AR2407">
        <v>0</v>
      </c>
      <c r="AS2407">
        <v>0</v>
      </c>
      <c r="AT2407">
        <v>0</v>
      </c>
      <c r="AU2407">
        <f t="shared" si="74"/>
        <v>0</v>
      </c>
      <c r="AV2407">
        <f t="shared" si="75"/>
        <v>0</v>
      </c>
    </row>
    <row r="2408" spans="1:48" x14ac:dyDescent="0.25">
      <c r="A2408" t="s">
        <v>8433</v>
      </c>
      <c r="C2408" t="s">
        <v>8434</v>
      </c>
      <c r="D2408" t="s">
        <v>8435</v>
      </c>
      <c r="E2408" t="s">
        <v>2310</v>
      </c>
      <c r="F2408">
        <v>7</v>
      </c>
      <c r="G2408">
        <v>7.1</v>
      </c>
      <c r="H2408" t="s">
        <v>2017</v>
      </c>
      <c r="I2408" s="21">
        <v>39337</v>
      </c>
      <c r="J2408">
        <v>2007</v>
      </c>
      <c r="K2408" s="21">
        <v>39363</v>
      </c>
      <c r="L2408">
        <v>2007</v>
      </c>
      <c r="M2408" s="21">
        <v>39660</v>
      </c>
      <c r="N2408">
        <v>2008</v>
      </c>
      <c r="R2408" s="262">
        <v>467000</v>
      </c>
      <c r="S2408" t="s">
        <v>114</v>
      </c>
      <c r="T2408" t="s">
        <v>114</v>
      </c>
      <c r="U2408">
        <v>21</v>
      </c>
      <c r="W2408">
        <v>9700</v>
      </c>
      <c r="X2408">
        <v>2</v>
      </c>
      <c r="Y2408">
        <v>0</v>
      </c>
      <c r="Z2408">
        <v>0</v>
      </c>
      <c r="AA2408">
        <v>0</v>
      </c>
      <c r="AB2408">
        <v>0</v>
      </c>
      <c r="AC2408">
        <v>0</v>
      </c>
      <c r="AD2408">
        <v>0</v>
      </c>
      <c r="AE2408">
        <v>1700</v>
      </c>
      <c r="AF2408">
        <v>0</v>
      </c>
      <c r="AG2408">
        <v>0</v>
      </c>
      <c r="AH2408">
        <v>0</v>
      </c>
      <c r="AI2408">
        <v>0</v>
      </c>
      <c r="AJ2408">
        <v>0</v>
      </c>
      <c r="AK2408">
        <v>0</v>
      </c>
      <c r="AL2408">
        <v>8000</v>
      </c>
      <c r="AM2408">
        <v>0</v>
      </c>
      <c r="AN2408">
        <v>0</v>
      </c>
      <c r="AO2408">
        <v>0</v>
      </c>
      <c r="AP2408">
        <v>0</v>
      </c>
      <c r="AQ2408">
        <v>2</v>
      </c>
      <c r="AR2408">
        <v>0</v>
      </c>
      <c r="AS2408">
        <v>0</v>
      </c>
      <c r="AT2408">
        <v>0</v>
      </c>
      <c r="AU2408">
        <f t="shared" si="74"/>
        <v>2</v>
      </c>
      <c r="AV2408">
        <f t="shared" si="75"/>
        <v>8000</v>
      </c>
    </row>
    <row r="2409" spans="1:48" x14ac:dyDescent="0.25">
      <c r="A2409" t="s">
        <v>8436</v>
      </c>
      <c r="C2409" t="s">
        <v>7649</v>
      </c>
      <c r="D2409" t="s">
        <v>8437</v>
      </c>
      <c r="E2409" t="s">
        <v>2310</v>
      </c>
      <c r="F2409">
        <v>8</v>
      </c>
      <c r="G2409">
        <v>8.3000000000000007</v>
      </c>
      <c r="H2409" t="s">
        <v>2323</v>
      </c>
      <c r="I2409" s="21">
        <v>39337</v>
      </c>
      <c r="J2409">
        <v>2007</v>
      </c>
      <c r="K2409" s="21">
        <v>39406</v>
      </c>
      <c r="L2409">
        <v>2007</v>
      </c>
      <c r="M2409" s="21">
        <v>41165.381111111099</v>
      </c>
      <c r="N2409">
        <v>2012</v>
      </c>
      <c r="R2409" s="262">
        <v>1350000</v>
      </c>
      <c r="S2409" t="s">
        <v>114</v>
      </c>
      <c r="T2409" t="s">
        <v>114</v>
      </c>
      <c r="U2409">
        <v>5</v>
      </c>
      <c r="W2409">
        <v>5499</v>
      </c>
      <c r="X2409">
        <v>1</v>
      </c>
      <c r="Y2409">
        <v>0</v>
      </c>
      <c r="Z2409">
        <v>0</v>
      </c>
      <c r="AA2409">
        <v>0</v>
      </c>
      <c r="AB2409">
        <v>0</v>
      </c>
      <c r="AC2409">
        <v>5499</v>
      </c>
      <c r="AD2409">
        <v>0</v>
      </c>
      <c r="AE2409">
        <v>0</v>
      </c>
      <c r="AF2409">
        <v>0</v>
      </c>
      <c r="AG2409">
        <v>0</v>
      </c>
      <c r="AH2409">
        <v>0</v>
      </c>
      <c r="AI2409">
        <v>0</v>
      </c>
      <c r="AJ2409">
        <v>0</v>
      </c>
      <c r="AK2409">
        <v>0</v>
      </c>
      <c r="AL2409">
        <v>0</v>
      </c>
      <c r="AM2409">
        <v>0</v>
      </c>
      <c r="AN2409">
        <v>0</v>
      </c>
      <c r="AO2409">
        <v>1</v>
      </c>
      <c r="AP2409">
        <v>0</v>
      </c>
      <c r="AQ2409">
        <v>0</v>
      </c>
      <c r="AR2409">
        <v>0</v>
      </c>
      <c r="AS2409">
        <v>0</v>
      </c>
      <c r="AT2409">
        <v>0</v>
      </c>
      <c r="AU2409">
        <f t="shared" si="74"/>
        <v>1</v>
      </c>
      <c r="AV2409">
        <f t="shared" si="75"/>
        <v>0</v>
      </c>
    </row>
    <row r="2410" spans="1:48" x14ac:dyDescent="0.25">
      <c r="A2410" t="s">
        <v>8438</v>
      </c>
      <c r="C2410" t="s">
        <v>8439</v>
      </c>
      <c r="D2410" t="s">
        <v>8440</v>
      </c>
      <c r="E2410" t="s">
        <v>2310</v>
      </c>
      <c r="F2410">
        <v>9</v>
      </c>
      <c r="G2410">
        <v>9.4</v>
      </c>
      <c r="H2410" t="s">
        <v>2323</v>
      </c>
      <c r="I2410" s="21">
        <v>39339</v>
      </c>
      <c r="J2410">
        <v>2007</v>
      </c>
      <c r="K2410" s="21">
        <v>39407</v>
      </c>
      <c r="L2410">
        <v>2007</v>
      </c>
      <c r="M2410" s="21">
        <v>40037.475624999999</v>
      </c>
      <c r="N2410">
        <v>2009</v>
      </c>
      <c r="R2410" s="262">
        <v>1800000</v>
      </c>
      <c r="S2410" t="s">
        <v>114</v>
      </c>
      <c r="T2410" t="s">
        <v>114</v>
      </c>
      <c r="U2410">
        <v>5</v>
      </c>
      <c r="W2410">
        <v>11645</v>
      </c>
      <c r="X2410">
        <v>1</v>
      </c>
      <c r="Y2410">
        <v>0</v>
      </c>
      <c r="Z2410">
        <v>0</v>
      </c>
      <c r="AA2410">
        <v>0</v>
      </c>
      <c r="AB2410">
        <v>0</v>
      </c>
      <c r="AC2410">
        <v>11645</v>
      </c>
      <c r="AD2410">
        <v>0</v>
      </c>
      <c r="AE2410">
        <v>0</v>
      </c>
      <c r="AF2410">
        <v>0</v>
      </c>
      <c r="AG2410">
        <v>0</v>
      </c>
      <c r="AH2410">
        <v>0</v>
      </c>
      <c r="AI2410">
        <v>0</v>
      </c>
      <c r="AJ2410">
        <v>0</v>
      </c>
      <c r="AK2410">
        <v>0</v>
      </c>
      <c r="AL2410">
        <v>0</v>
      </c>
      <c r="AM2410">
        <v>0</v>
      </c>
      <c r="AN2410">
        <v>0</v>
      </c>
      <c r="AO2410">
        <v>1</v>
      </c>
      <c r="AP2410">
        <v>0</v>
      </c>
      <c r="AQ2410">
        <v>0</v>
      </c>
      <c r="AR2410">
        <v>0</v>
      </c>
      <c r="AS2410">
        <v>0</v>
      </c>
      <c r="AT2410">
        <v>0</v>
      </c>
      <c r="AU2410">
        <f t="shared" si="74"/>
        <v>1</v>
      </c>
      <c r="AV2410">
        <f t="shared" si="75"/>
        <v>0</v>
      </c>
    </row>
    <row r="2411" spans="1:48" x14ac:dyDescent="0.25">
      <c r="A2411" t="s">
        <v>8441</v>
      </c>
      <c r="C2411" t="s">
        <v>8442</v>
      </c>
      <c r="D2411" t="s">
        <v>8443</v>
      </c>
      <c r="E2411" t="s">
        <v>2310</v>
      </c>
      <c r="F2411">
        <v>7</v>
      </c>
      <c r="G2411">
        <v>7.1</v>
      </c>
      <c r="H2411" t="s">
        <v>2017</v>
      </c>
      <c r="I2411" s="21">
        <v>39342</v>
      </c>
      <c r="J2411">
        <v>2007</v>
      </c>
      <c r="K2411" s="21">
        <v>39375</v>
      </c>
      <c r="L2411">
        <v>2007</v>
      </c>
      <c r="M2411" s="21">
        <v>40127.364363425899</v>
      </c>
      <c r="N2411">
        <v>2009</v>
      </c>
      <c r="R2411" s="262">
        <v>2400000</v>
      </c>
      <c r="S2411" t="s">
        <v>114</v>
      </c>
      <c r="T2411" t="s">
        <v>114</v>
      </c>
      <c r="U2411">
        <v>21</v>
      </c>
      <c r="W2411">
        <v>20905</v>
      </c>
      <c r="X2411">
        <v>6</v>
      </c>
      <c r="Y2411">
        <v>0</v>
      </c>
      <c r="Z2411">
        <v>0</v>
      </c>
      <c r="AA2411">
        <v>0</v>
      </c>
      <c r="AB2411">
        <v>0</v>
      </c>
      <c r="AC2411">
        <v>0</v>
      </c>
      <c r="AD2411">
        <v>0</v>
      </c>
      <c r="AE2411">
        <v>4946</v>
      </c>
      <c r="AF2411">
        <v>0</v>
      </c>
      <c r="AG2411">
        <v>0</v>
      </c>
      <c r="AH2411">
        <v>0</v>
      </c>
      <c r="AI2411">
        <v>0</v>
      </c>
      <c r="AJ2411">
        <v>0</v>
      </c>
      <c r="AK2411">
        <v>0</v>
      </c>
      <c r="AL2411">
        <v>15959</v>
      </c>
      <c r="AM2411">
        <v>0</v>
      </c>
      <c r="AN2411">
        <v>0</v>
      </c>
      <c r="AO2411">
        <v>0</v>
      </c>
      <c r="AP2411">
        <v>0</v>
      </c>
      <c r="AQ2411">
        <v>6</v>
      </c>
      <c r="AR2411">
        <v>0</v>
      </c>
      <c r="AS2411">
        <v>0</v>
      </c>
      <c r="AT2411">
        <v>0</v>
      </c>
      <c r="AU2411">
        <f t="shared" si="74"/>
        <v>6</v>
      </c>
      <c r="AV2411">
        <f t="shared" si="75"/>
        <v>15959</v>
      </c>
    </row>
    <row r="2412" spans="1:48" x14ac:dyDescent="0.25">
      <c r="A2412" t="s">
        <v>8444</v>
      </c>
      <c r="C2412" t="s">
        <v>8445</v>
      </c>
      <c r="D2412" t="s">
        <v>8446</v>
      </c>
      <c r="E2412" t="s">
        <v>2310</v>
      </c>
      <c r="F2412">
        <v>8</v>
      </c>
      <c r="G2412">
        <v>8.1</v>
      </c>
      <c r="H2412" t="s">
        <v>2323</v>
      </c>
      <c r="I2412" s="21">
        <v>39342</v>
      </c>
      <c r="J2412">
        <v>2007</v>
      </c>
      <c r="K2412" s="21">
        <v>39386</v>
      </c>
      <c r="L2412">
        <v>2007</v>
      </c>
      <c r="M2412" s="21">
        <v>40095.6100925926</v>
      </c>
      <c r="N2412">
        <v>2009</v>
      </c>
      <c r="R2412" s="262">
        <v>26000</v>
      </c>
      <c r="S2412" t="s">
        <v>114</v>
      </c>
      <c r="T2412" t="s">
        <v>114</v>
      </c>
      <c r="U2412">
        <v>15</v>
      </c>
      <c r="W2412">
        <v>157</v>
      </c>
      <c r="X2412">
        <v>0</v>
      </c>
      <c r="Y2412">
        <v>0</v>
      </c>
      <c r="Z2412">
        <v>0</v>
      </c>
      <c r="AA2412">
        <v>0</v>
      </c>
      <c r="AB2412">
        <v>0</v>
      </c>
      <c r="AC2412">
        <v>0</v>
      </c>
      <c r="AD2412">
        <v>0</v>
      </c>
      <c r="AE2412">
        <v>0</v>
      </c>
      <c r="AF2412">
        <v>0</v>
      </c>
      <c r="AG2412">
        <v>0</v>
      </c>
      <c r="AH2412">
        <v>0</v>
      </c>
      <c r="AI2412">
        <v>0</v>
      </c>
      <c r="AJ2412">
        <v>0</v>
      </c>
      <c r="AK2412">
        <v>0</v>
      </c>
      <c r="AL2412">
        <v>0</v>
      </c>
      <c r="AM2412">
        <v>157</v>
      </c>
      <c r="AN2412">
        <v>0</v>
      </c>
      <c r="AO2412">
        <v>0</v>
      </c>
      <c r="AP2412">
        <v>0</v>
      </c>
      <c r="AQ2412">
        <v>0</v>
      </c>
      <c r="AR2412">
        <v>0</v>
      </c>
      <c r="AS2412">
        <v>0</v>
      </c>
      <c r="AT2412">
        <v>0</v>
      </c>
      <c r="AU2412">
        <f t="shared" si="74"/>
        <v>0</v>
      </c>
      <c r="AV2412">
        <f t="shared" si="75"/>
        <v>157</v>
      </c>
    </row>
    <row r="2413" spans="1:48" x14ac:dyDescent="0.25">
      <c r="A2413" t="s">
        <v>8447</v>
      </c>
      <c r="C2413" t="s">
        <v>8448</v>
      </c>
      <c r="D2413" t="s">
        <v>2975</v>
      </c>
      <c r="E2413" t="s">
        <v>2310</v>
      </c>
      <c r="F2413">
        <v>10</v>
      </c>
      <c r="G2413">
        <v>10.1</v>
      </c>
      <c r="H2413" t="s">
        <v>2323</v>
      </c>
      <c r="I2413" s="21">
        <v>39343</v>
      </c>
      <c r="J2413">
        <v>2007</v>
      </c>
      <c r="K2413" s="21">
        <v>39603</v>
      </c>
      <c r="L2413">
        <v>2008</v>
      </c>
      <c r="M2413" s="21">
        <v>39700</v>
      </c>
      <c r="N2413">
        <v>2008</v>
      </c>
      <c r="R2413" s="262">
        <v>76000</v>
      </c>
      <c r="S2413" t="s">
        <v>114</v>
      </c>
      <c r="T2413" t="s">
        <v>114</v>
      </c>
      <c r="U2413">
        <v>5</v>
      </c>
      <c r="W2413">
        <v>2034</v>
      </c>
      <c r="X2413">
        <v>0</v>
      </c>
      <c r="Y2413">
        <v>0</v>
      </c>
      <c r="Z2413">
        <v>0</v>
      </c>
      <c r="AA2413">
        <v>0</v>
      </c>
      <c r="AB2413">
        <v>0</v>
      </c>
      <c r="AC2413">
        <v>2034</v>
      </c>
      <c r="AD2413">
        <v>0</v>
      </c>
      <c r="AE2413">
        <v>0</v>
      </c>
      <c r="AF2413">
        <v>0</v>
      </c>
      <c r="AG2413">
        <v>0</v>
      </c>
      <c r="AH2413">
        <v>0</v>
      </c>
      <c r="AI2413">
        <v>0</v>
      </c>
      <c r="AJ2413">
        <v>0</v>
      </c>
      <c r="AK2413">
        <v>0</v>
      </c>
      <c r="AL2413">
        <v>0</v>
      </c>
      <c r="AM2413">
        <v>0</v>
      </c>
      <c r="AN2413">
        <v>0</v>
      </c>
      <c r="AO2413">
        <v>0</v>
      </c>
      <c r="AP2413">
        <v>0</v>
      </c>
      <c r="AQ2413">
        <v>0</v>
      </c>
      <c r="AR2413">
        <v>0</v>
      </c>
      <c r="AS2413">
        <v>0</v>
      </c>
      <c r="AT2413">
        <v>0</v>
      </c>
      <c r="AU2413">
        <f t="shared" si="74"/>
        <v>0</v>
      </c>
      <c r="AV2413">
        <f t="shared" si="75"/>
        <v>0</v>
      </c>
    </row>
    <row r="2414" spans="1:48" x14ac:dyDescent="0.25">
      <c r="A2414" t="s">
        <v>8449</v>
      </c>
      <c r="C2414" t="s">
        <v>8450</v>
      </c>
      <c r="D2414" t="s">
        <v>8451</v>
      </c>
      <c r="E2414" t="s">
        <v>2310</v>
      </c>
      <c r="F2414">
        <v>7</v>
      </c>
      <c r="G2414">
        <v>7.2</v>
      </c>
      <c r="H2414" t="s">
        <v>2017</v>
      </c>
      <c r="I2414" s="21">
        <v>39343</v>
      </c>
      <c r="J2414">
        <v>2007</v>
      </c>
      <c r="K2414" s="21">
        <v>39378</v>
      </c>
      <c r="L2414">
        <v>2007</v>
      </c>
      <c r="M2414" s="21">
        <v>39654</v>
      </c>
      <c r="N2414">
        <v>2008</v>
      </c>
      <c r="R2414" s="262">
        <v>25000</v>
      </c>
      <c r="S2414" t="s">
        <v>114</v>
      </c>
      <c r="T2414" t="s">
        <v>114</v>
      </c>
      <c r="U2414">
        <v>5</v>
      </c>
      <c r="W2414">
        <v>1200</v>
      </c>
      <c r="X2414">
        <v>0</v>
      </c>
      <c r="Y2414">
        <v>0</v>
      </c>
      <c r="Z2414">
        <v>0</v>
      </c>
      <c r="AA2414">
        <v>0</v>
      </c>
      <c r="AB2414">
        <v>0</v>
      </c>
      <c r="AC2414">
        <v>1200</v>
      </c>
      <c r="AD2414">
        <v>0</v>
      </c>
      <c r="AE2414">
        <v>0</v>
      </c>
      <c r="AF2414">
        <v>0</v>
      </c>
      <c r="AG2414">
        <v>0</v>
      </c>
      <c r="AH2414">
        <v>0</v>
      </c>
      <c r="AI2414">
        <v>0</v>
      </c>
      <c r="AJ2414">
        <v>0</v>
      </c>
      <c r="AK2414">
        <v>0</v>
      </c>
      <c r="AL2414">
        <v>0</v>
      </c>
      <c r="AM2414">
        <v>0</v>
      </c>
      <c r="AN2414">
        <v>0</v>
      </c>
      <c r="AO2414">
        <v>0</v>
      </c>
      <c r="AP2414">
        <v>0</v>
      </c>
      <c r="AQ2414">
        <v>0</v>
      </c>
      <c r="AR2414">
        <v>0</v>
      </c>
      <c r="AS2414">
        <v>0</v>
      </c>
      <c r="AT2414">
        <v>0</v>
      </c>
      <c r="AU2414">
        <f t="shared" si="74"/>
        <v>0</v>
      </c>
      <c r="AV2414">
        <f t="shared" si="75"/>
        <v>0</v>
      </c>
    </row>
    <row r="2415" spans="1:48" x14ac:dyDescent="0.25">
      <c r="A2415" t="s">
        <v>8452</v>
      </c>
      <c r="C2415" t="s">
        <v>8453</v>
      </c>
      <c r="D2415" t="s">
        <v>8454</v>
      </c>
      <c r="E2415" t="s">
        <v>2310</v>
      </c>
      <c r="F2415">
        <v>15</v>
      </c>
      <c r="G2415">
        <v>15.1</v>
      </c>
      <c r="H2415" t="s">
        <v>2022</v>
      </c>
      <c r="I2415" s="21">
        <v>39345</v>
      </c>
      <c r="J2415">
        <v>2007</v>
      </c>
      <c r="K2415" s="21">
        <v>39371</v>
      </c>
      <c r="L2415">
        <v>2007</v>
      </c>
      <c r="M2415" s="21">
        <v>39639</v>
      </c>
      <c r="N2415">
        <v>2008</v>
      </c>
      <c r="R2415" s="262">
        <v>350000</v>
      </c>
      <c r="S2415" t="s">
        <v>114</v>
      </c>
      <c r="T2415" t="s">
        <v>114</v>
      </c>
      <c r="U2415">
        <v>5</v>
      </c>
      <c r="W2415">
        <v>2592</v>
      </c>
      <c r="X2415">
        <v>1</v>
      </c>
      <c r="Y2415">
        <v>0</v>
      </c>
      <c r="Z2415">
        <v>0</v>
      </c>
      <c r="AA2415">
        <v>0</v>
      </c>
      <c r="AB2415">
        <v>0</v>
      </c>
      <c r="AC2415">
        <v>2592</v>
      </c>
      <c r="AD2415">
        <v>0</v>
      </c>
      <c r="AE2415">
        <v>0</v>
      </c>
      <c r="AF2415">
        <v>0</v>
      </c>
      <c r="AG2415">
        <v>0</v>
      </c>
      <c r="AH2415">
        <v>0</v>
      </c>
      <c r="AI2415">
        <v>0</v>
      </c>
      <c r="AJ2415">
        <v>0</v>
      </c>
      <c r="AK2415">
        <v>0</v>
      </c>
      <c r="AL2415">
        <v>0</v>
      </c>
      <c r="AM2415">
        <v>0</v>
      </c>
      <c r="AN2415">
        <v>0</v>
      </c>
      <c r="AO2415">
        <v>1</v>
      </c>
      <c r="AP2415">
        <v>0</v>
      </c>
      <c r="AQ2415">
        <v>0</v>
      </c>
      <c r="AR2415">
        <v>0</v>
      </c>
      <c r="AS2415">
        <v>0</v>
      </c>
      <c r="AT2415">
        <v>0</v>
      </c>
      <c r="AU2415">
        <f t="shared" si="74"/>
        <v>1</v>
      </c>
      <c r="AV2415">
        <f t="shared" si="75"/>
        <v>0</v>
      </c>
    </row>
    <row r="2416" spans="1:48" x14ac:dyDescent="0.25">
      <c r="A2416" t="s">
        <v>8455</v>
      </c>
      <c r="C2416" t="s">
        <v>8456</v>
      </c>
      <c r="D2416" t="s">
        <v>8457</v>
      </c>
      <c r="E2416" t="s">
        <v>2310</v>
      </c>
      <c r="F2416">
        <v>8</v>
      </c>
      <c r="G2416">
        <v>8.1</v>
      </c>
      <c r="H2416" t="s">
        <v>2323</v>
      </c>
      <c r="I2416" s="21">
        <v>39345</v>
      </c>
      <c r="J2416">
        <v>2007</v>
      </c>
      <c r="K2416" s="21">
        <v>39403</v>
      </c>
      <c r="L2416">
        <v>2007</v>
      </c>
      <c r="M2416" s="21">
        <v>39973</v>
      </c>
      <c r="N2416">
        <v>2009</v>
      </c>
      <c r="R2416" s="262">
        <v>450000</v>
      </c>
      <c r="S2416" t="s">
        <v>114</v>
      </c>
      <c r="T2416" t="s">
        <v>114</v>
      </c>
      <c r="U2416">
        <v>5</v>
      </c>
      <c r="W2416">
        <v>1969</v>
      </c>
      <c r="X2416">
        <v>0</v>
      </c>
      <c r="Y2416">
        <v>0</v>
      </c>
      <c r="Z2416">
        <v>0</v>
      </c>
      <c r="AA2416">
        <v>0</v>
      </c>
      <c r="AB2416">
        <v>0</v>
      </c>
      <c r="AC2416">
        <v>1969</v>
      </c>
      <c r="AD2416">
        <v>0</v>
      </c>
      <c r="AE2416">
        <v>0</v>
      </c>
      <c r="AF2416">
        <v>0</v>
      </c>
      <c r="AG2416">
        <v>0</v>
      </c>
      <c r="AH2416">
        <v>0</v>
      </c>
      <c r="AI2416">
        <v>0</v>
      </c>
      <c r="AJ2416">
        <v>0</v>
      </c>
      <c r="AK2416">
        <v>0</v>
      </c>
      <c r="AL2416">
        <v>0</v>
      </c>
      <c r="AM2416">
        <v>0</v>
      </c>
      <c r="AN2416">
        <v>0</v>
      </c>
      <c r="AO2416">
        <v>0</v>
      </c>
      <c r="AP2416">
        <v>0</v>
      </c>
      <c r="AQ2416">
        <v>0</v>
      </c>
      <c r="AR2416">
        <v>0</v>
      </c>
      <c r="AS2416">
        <v>0</v>
      </c>
      <c r="AT2416">
        <v>0</v>
      </c>
      <c r="AU2416">
        <f t="shared" si="74"/>
        <v>0</v>
      </c>
      <c r="AV2416">
        <f t="shared" si="75"/>
        <v>0</v>
      </c>
    </row>
    <row r="2417" spans="1:48" x14ac:dyDescent="0.25">
      <c r="A2417" t="s">
        <v>8458</v>
      </c>
      <c r="C2417" t="s">
        <v>7566</v>
      </c>
      <c r="D2417" t="s">
        <v>8459</v>
      </c>
      <c r="E2417" t="s">
        <v>2310</v>
      </c>
      <c r="F2417">
        <v>14</v>
      </c>
      <c r="G2417">
        <v>14.1</v>
      </c>
      <c r="H2417" t="s">
        <v>2022</v>
      </c>
      <c r="I2417" s="21">
        <v>39345</v>
      </c>
      <c r="J2417">
        <v>2007</v>
      </c>
      <c r="K2417" s="21">
        <v>39401</v>
      </c>
      <c r="L2417">
        <v>2007</v>
      </c>
      <c r="M2417" s="21">
        <v>39805</v>
      </c>
      <c r="N2417">
        <v>2008</v>
      </c>
      <c r="R2417" s="262">
        <v>500000</v>
      </c>
      <c r="S2417" t="s">
        <v>114</v>
      </c>
      <c r="T2417" t="s">
        <v>114</v>
      </c>
      <c r="U2417">
        <v>5</v>
      </c>
      <c r="W2417">
        <v>4714</v>
      </c>
      <c r="X2417">
        <v>1</v>
      </c>
      <c r="Y2417">
        <v>0</v>
      </c>
      <c r="Z2417">
        <v>0</v>
      </c>
      <c r="AA2417">
        <v>0</v>
      </c>
      <c r="AB2417">
        <v>0</v>
      </c>
      <c r="AC2417">
        <v>4714</v>
      </c>
      <c r="AD2417">
        <v>0</v>
      </c>
      <c r="AE2417">
        <v>0</v>
      </c>
      <c r="AF2417">
        <v>0</v>
      </c>
      <c r="AG2417">
        <v>0</v>
      </c>
      <c r="AH2417">
        <v>0</v>
      </c>
      <c r="AI2417">
        <v>0</v>
      </c>
      <c r="AJ2417">
        <v>0</v>
      </c>
      <c r="AK2417">
        <v>0</v>
      </c>
      <c r="AL2417">
        <v>0</v>
      </c>
      <c r="AM2417">
        <v>0</v>
      </c>
      <c r="AN2417">
        <v>0</v>
      </c>
      <c r="AO2417">
        <v>1</v>
      </c>
      <c r="AP2417">
        <v>0</v>
      </c>
      <c r="AQ2417">
        <v>0</v>
      </c>
      <c r="AR2417">
        <v>0</v>
      </c>
      <c r="AS2417">
        <v>0</v>
      </c>
      <c r="AT2417">
        <v>0</v>
      </c>
      <c r="AU2417">
        <f t="shared" si="74"/>
        <v>1</v>
      </c>
      <c r="AV2417">
        <f t="shared" si="75"/>
        <v>0</v>
      </c>
    </row>
    <row r="2418" spans="1:48" x14ac:dyDescent="0.25">
      <c r="A2418" t="s">
        <v>8460</v>
      </c>
      <c r="C2418" t="s">
        <v>8461</v>
      </c>
      <c r="D2418" t="s">
        <v>8462</v>
      </c>
      <c r="E2418" t="s">
        <v>2310</v>
      </c>
      <c r="F2418">
        <v>13</v>
      </c>
      <c r="G2418">
        <v>13.2</v>
      </c>
      <c r="H2418" t="s">
        <v>2327</v>
      </c>
      <c r="I2418" s="21">
        <v>39345</v>
      </c>
      <c r="J2418">
        <v>2007</v>
      </c>
      <c r="K2418" s="21">
        <v>39406</v>
      </c>
      <c r="L2418">
        <v>2007</v>
      </c>
      <c r="M2418" s="21">
        <v>40624.467777777798</v>
      </c>
      <c r="N2418">
        <v>2011</v>
      </c>
      <c r="R2418" s="262">
        <v>26000</v>
      </c>
      <c r="S2418" t="s">
        <v>114</v>
      </c>
      <c r="T2418" t="s">
        <v>114</v>
      </c>
      <c r="U2418">
        <v>5</v>
      </c>
      <c r="W2418">
        <v>164</v>
      </c>
      <c r="X2418">
        <v>0</v>
      </c>
      <c r="Y2418">
        <v>0</v>
      </c>
      <c r="Z2418">
        <v>0</v>
      </c>
      <c r="AA2418">
        <v>0</v>
      </c>
      <c r="AB2418">
        <v>0</v>
      </c>
      <c r="AC2418">
        <v>164</v>
      </c>
      <c r="AD2418">
        <v>0</v>
      </c>
      <c r="AE2418">
        <v>0</v>
      </c>
      <c r="AF2418">
        <v>0</v>
      </c>
      <c r="AG2418">
        <v>0</v>
      </c>
      <c r="AH2418">
        <v>0</v>
      </c>
      <c r="AI2418">
        <v>0</v>
      </c>
      <c r="AJ2418">
        <v>0</v>
      </c>
      <c r="AK2418">
        <v>0</v>
      </c>
      <c r="AL2418">
        <v>0</v>
      </c>
      <c r="AM2418">
        <v>0</v>
      </c>
      <c r="AN2418">
        <v>0</v>
      </c>
      <c r="AO2418">
        <v>0</v>
      </c>
      <c r="AP2418">
        <v>0</v>
      </c>
      <c r="AQ2418">
        <v>0</v>
      </c>
      <c r="AR2418">
        <v>0</v>
      </c>
      <c r="AS2418">
        <v>0</v>
      </c>
      <c r="AT2418">
        <v>0</v>
      </c>
      <c r="AU2418">
        <f t="shared" si="74"/>
        <v>0</v>
      </c>
      <c r="AV2418">
        <f t="shared" si="75"/>
        <v>0</v>
      </c>
    </row>
    <row r="2419" spans="1:48" x14ac:dyDescent="0.25">
      <c r="A2419" t="s">
        <v>8466</v>
      </c>
      <c r="C2419" t="s">
        <v>8467</v>
      </c>
      <c r="D2419" t="s">
        <v>8305</v>
      </c>
      <c r="E2419" t="s">
        <v>2310</v>
      </c>
      <c r="F2419">
        <v>12</v>
      </c>
      <c r="G2419">
        <v>12.3</v>
      </c>
      <c r="H2419" t="s">
        <v>2017</v>
      </c>
      <c r="I2419" s="21">
        <v>39349</v>
      </c>
      <c r="J2419">
        <v>2007</v>
      </c>
      <c r="K2419" s="21">
        <v>39357</v>
      </c>
      <c r="L2419">
        <v>2007</v>
      </c>
      <c r="M2419" s="21">
        <v>39357</v>
      </c>
      <c r="N2419">
        <v>2007</v>
      </c>
      <c r="R2419" s="262">
        <v>20000</v>
      </c>
      <c r="S2419" t="s">
        <v>114</v>
      </c>
      <c r="T2419" t="s">
        <v>114</v>
      </c>
      <c r="U2419">
        <v>5</v>
      </c>
      <c r="W2419">
        <v>0</v>
      </c>
      <c r="X2419">
        <v>0</v>
      </c>
      <c r="Y2419">
        <v>0</v>
      </c>
      <c r="Z2419">
        <v>0</v>
      </c>
      <c r="AA2419">
        <v>0</v>
      </c>
      <c r="AB2419">
        <v>0</v>
      </c>
      <c r="AC2419">
        <v>0</v>
      </c>
      <c r="AD2419">
        <v>0</v>
      </c>
      <c r="AE2419">
        <v>0</v>
      </c>
      <c r="AF2419">
        <v>0</v>
      </c>
      <c r="AG2419">
        <v>0</v>
      </c>
      <c r="AH2419">
        <v>0</v>
      </c>
      <c r="AI2419">
        <v>0</v>
      </c>
      <c r="AJ2419">
        <v>0</v>
      </c>
      <c r="AK2419">
        <v>0</v>
      </c>
      <c r="AL2419">
        <v>0</v>
      </c>
      <c r="AM2419">
        <v>0</v>
      </c>
      <c r="AN2419">
        <v>0</v>
      </c>
      <c r="AO2419">
        <v>0</v>
      </c>
      <c r="AP2419">
        <v>0</v>
      </c>
      <c r="AQ2419">
        <v>0</v>
      </c>
      <c r="AR2419">
        <v>0</v>
      </c>
      <c r="AS2419">
        <v>0</v>
      </c>
      <c r="AT2419">
        <v>0</v>
      </c>
      <c r="AU2419">
        <f t="shared" si="74"/>
        <v>0</v>
      </c>
      <c r="AV2419">
        <f t="shared" si="75"/>
        <v>0</v>
      </c>
    </row>
    <row r="2420" spans="1:48" x14ac:dyDescent="0.25">
      <c r="A2420" t="s">
        <v>8463</v>
      </c>
      <c r="C2420" t="s">
        <v>8464</v>
      </c>
      <c r="D2420" t="s">
        <v>8465</v>
      </c>
      <c r="E2420" t="s">
        <v>1663</v>
      </c>
      <c r="F2420">
        <v>3</v>
      </c>
      <c r="G2420">
        <v>3.2</v>
      </c>
      <c r="H2420" t="s">
        <v>2327</v>
      </c>
      <c r="I2420" s="21">
        <v>39349</v>
      </c>
      <c r="J2420">
        <v>2007</v>
      </c>
      <c r="K2420" s="21">
        <v>39379</v>
      </c>
      <c r="L2420">
        <v>2007</v>
      </c>
      <c r="M2420" s="21">
        <v>39531</v>
      </c>
      <c r="N2420">
        <v>2008</v>
      </c>
      <c r="Q2420" s="262">
        <v>0</v>
      </c>
      <c r="S2420" t="s">
        <v>114</v>
      </c>
      <c r="T2420" t="s">
        <v>114</v>
      </c>
      <c r="W2420">
        <v>6100</v>
      </c>
      <c r="X2420">
        <v>3</v>
      </c>
      <c r="Y2420">
        <v>0</v>
      </c>
      <c r="Z2420">
        <v>0</v>
      </c>
      <c r="AA2420">
        <v>0</v>
      </c>
      <c r="AB2420">
        <v>0</v>
      </c>
      <c r="AC2420">
        <v>0</v>
      </c>
      <c r="AD2420">
        <v>0</v>
      </c>
      <c r="AE2420">
        <v>600</v>
      </c>
      <c r="AF2420">
        <v>0</v>
      </c>
      <c r="AG2420">
        <v>0</v>
      </c>
      <c r="AH2420">
        <v>0</v>
      </c>
      <c r="AI2420">
        <v>5500</v>
      </c>
      <c r="AJ2420">
        <v>0</v>
      </c>
      <c r="AK2420">
        <v>0</v>
      </c>
      <c r="AL2420">
        <v>0</v>
      </c>
      <c r="AM2420">
        <v>0</v>
      </c>
      <c r="AN2420">
        <v>0</v>
      </c>
      <c r="AO2420">
        <v>0</v>
      </c>
      <c r="AP2420">
        <v>0</v>
      </c>
      <c r="AQ2420">
        <v>1</v>
      </c>
      <c r="AR2420">
        <v>0</v>
      </c>
      <c r="AS2420">
        <v>0</v>
      </c>
      <c r="AT2420">
        <v>2</v>
      </c>
      <c r="AU2420">
        <f t="shared" si="74"/>
        <v>1</v>
      </c>
      <c r="AV2420">
        <f t="shared" si="75"/>
        <v>5500</v>
      </c>
    </row>
    <row r="2421" spans="1:48" x14ac:dyDescent="0.25">
      <c r="A2421" t="s">
        <v>8468</v>
      </c>
      <c r="C2421" t="s">
        <v>8469</v>
      </c>
      <c r="D2421" t="s">
        <v>8470</v>
      </c>
      <c r="E2421" t="s">
        <v>2310</v>
      </c>
      <c r="F2421">
        <v>8</v>
      </c>
      <c r="G2421">
        <v>8.1</v>
      </c>
      <c r="H2421" t="s">
        <v>2323</v>
      </c>
      <c r="I2421" s="21">
        <v>39350</v>
      </c>
      <c r="J2421">
        <v>2007</v>
      </c>
      <c r="K2421" s="21">
        <v>39403</v>
      </c>
      <c r="L2421">
        <v>2007</v>
      </c>
      <c r="M2421" s="21">
        <v>39403</v>
      </c>
      <c r="N2421">
        <v>2007</v>
      </c>
      <c r="R2421" s="262">
        <v>300000</v>
      </c>
      <c r="S2421" t="s">
        <v>114</v>
      </c>
      <c r="T2421" t="s">
        <v>114</v>
      </c>
      <c r="U2421">
        <v>5</v>
      </c>
      <c r="W2421">
        <v>2160</v>
      </c>
      <c r="X2421">
        <v>1</v>
      </c>
      <c r="Y2421">
        <v>0</v>
      </c>
      <c r="Z2421">
        <v>0</v>
      </c>
      <c r="AA2421">
        <v>0</v>
      </c>
      <c r="AB2421">
        <v>0</v>
      </c>
      <c r="AC2421">
        <v>2160</v>
      </c>
      <c r="AD2421">
        <v>0</v>
      </c>
      <c r="AE2421">
        <v>0</v>
      </c>
      <c r="AF2421">
        <v>0</v>
      </c>
      <c r="AG2421">
        <v>0</v>
      </c>
      <c r="AH2421">
        <v>0</v>
      </c>
      <c r="AI2421">
        <v>0</v>
      </c>
      <c r="AJ2421">
        <v>0</v>
      </c>
      <c r="AK2421">
        <v>0</v>
      </c>
      <c r="AL2421">
        <v>0</v>
      </c>
      <c r="AM2421">
        <v>0</v>
      </c>
      <c r="AN2421">
        <v>0</v>
      </c>
      <c r="AO2421">
        <v>1</v>
      </c>
      <c r="AP2421">
        <v>0</v>
      </c>
      <c r="AQ2421">
        <v>0</v>
      </c>
      <c r="AR2421">
        <v>0</v>
      </c>
      <c r="AS2421">
        <v>0</v>
      </c>
      <c r="AT2421">
        <v>0</v>
      </c>
      <c r="AU2421">
        <f t="shared" si="74"/>
        <v>1</v>
      </c>
      <c r="AV2421">
        <f t="shared" si="75"/>
        <v>0</v>
      </c>
    </row>
    <row r="2422" spans="1:48" x14ac:dyDescent="0.25">
      <c r="A2422" t="s">
        <v>8471</v>
      </c>
      <c r="C2422" t="s">
        <v>8472</v>
      </c>
      <c r="D2422" t="s">
        <v>1585</v>
      </c>
      <c r="E2422" t="s">
        <v>2310</v>
      </c>
      <c r="F2422">
        <v>9</v>
      </c>
      <c r="G2422">
        <v>9.1999999999999993</v>
      </c>
      <c r="H2422" t="s">
        <v>2022</v>
      </c>
      <c r="I2422" s="21">
        <v>39350</v>
      </c>
      <c r="J2422">
        <v>2007</v>
      </c>
      <c r="K2422" s="21">
        <v>39415</v>
      </c>
      <c r="L2422">
        <v>2007</v>
      </c>
      <c r="M2422" s="21">
        <v>40151.649722222202</v>
      </c>
      <c r="N2422">
        <v>2009</v>
      </c>
      <c r="R2422" s="262">
        <v>450000</v>
      </c>
      <c r="S2422" t="s">
        <v>114</v>
      </c>
      <c r="T2422" t="s">
        <v>114</v>
      </c>
      <c r="U2422">
        <v>4</v>
      </c>
      <c r="W2422">
        <v>4536</v>
      </c>
      <c r="X2422">
        <v>0</v>
      </c>
      <c r="Y2422">
        <v>0</v>
      </c>
      <c r="Z2422">
        <v>0</v>
      </c>
      <c r="AA2422">
        <v>0</v>
      </c>
      <c r="AB2422">
        <v>4536</v>
      </c>
      <c r="AC2422">
        <v>0</v>
      </c>
      <c r="AD2422">
        <v>0</v>
      </c>
      <c r="AE2422">
        <v>0</v>
      </c>
      <c r="AF2422">
        <v>0</v>
      </c>
      <c r="AG2422">
        <v>0</v>
      </c>
      <c r="AH2422">
        <v>0</v>
      </c>
      <c r="AI2422">
        <v>0</v>
      </c>
      <c r="AJ2422">
        <v>0</v>
      </c>
      <c r="AK2422">
        <v>0</v>
      </c>
      <c r="AL2422">
        <v>0</v>
      </c>
      <c r="AM2422">
        <v>0</v>
      </c>
      <c r="AN2422">
        <v>0</v>
      </c>
      <c r="AO2422">
        <v>0</v>
      </c>
      <c r="AP2422">
        <v>0</v>
      </c>
      <c r="AQ2422">
        <v>0</v>
      </c>
      <c r="AR2422">
        <v>0</v>
      </c>
      <c r="AS2422">
        <v>0</v>
      </c>
      <c r="AT2422">
        <v>0</v>
      </c>
      <c r="AU2422">
        <f t="shared" si="74"/>
        <v>0</v>
      </c>
      <c r="AV2422">
        <f t="shared" si="75"/>
        <v>4536</v>
      </c>
    </row>
    <row r="2423" spans="1:48" x14ac:dyDescent="0.25">
      <c r="A2423" t="s">
        <v>8473</v>
      </c>
      <c r="C2423" t="s">
        <v>8474</v>
      </c>
      <c r="D2423" t="s">
        <v>8475</v>
      </c>
      <c r="E2423" t="s">
        <v>1663</v>
      </c>
      <c r="F2423">
        <v>6</v>
      </c>
      <c r="G2423">
        <v>6.1</v>
      </c>
      <c r="H2423" t="s">
        <v>2017</v>
      </c>
      <c r="I2423" s="21">
        <v>39351</v>
      </c>
      <c r="J2423">
        <v>2007</v>
      </c>
      <c r="K2423" s="21">
        <v>39381</v>
      </c>
      <c r="L2423">
        <v>2007</v>
      </c>
      <c r="M2423" s="21">
        <v>39533</v>
      </c>
      <c r="N2423">
        <v>2008</v>
      </c>
      <c r="Q2423" s="262">
        <v>0</v>
      </c>
      <c r="S2423" t="s">
        <v>114</v>
      </c>
      <c r="T2423" t="s">
        <v>114</v>
      </c>
      <c r="W2423">
        <v>4969</v>
      </c>
      <c r="X2423">
        <v>1</v>
      </c>
      <c r="Y2423">
        <v>0</v>
      </c>
      <c r="Z2423">
        <v>0</v>
      </c>
      <c r="AA2423">
        <v>0</v>
      </c>
      <c r="AB2423">
        <v>0</v>
      </c>
      <c r="AC2423">
        <v>4969</v>
      </c>
      <c r="AD2423">
        <v>0</v>
      </c>
      <c r="AE2423">
        <v>0</v>
      </c>
      <c r="AF2423">
        <v>0</v>
      </c>
      <c r="AG2423">
        <v>0</v>
      </c>
      <c r="AH2423">
        <v>0</v>
      </c>
      <c r="AI2423">
        <v>0</v>
      </c>
      <c r="AJ2423">
        <v>0</v>
      </c>
      <c r="AK2423">
        <v>0</v>
      </c>
      <c r="AL2423">
        <v>0</v>
      </c>
      <c r="AM2423">
        <v>0</v>
      </c>
      <c r="AN2423">
        <v>0</v>
      </c>
      <c r="AO2423">
        <v>1</v>
      </c>
      <c r="AP2423">
        <v>0</v>
      </c>
      <c r="AQ2423">
        <v>0</v>
      </c>
      <c r="AR2423">
        <v>0</v>
      </c>
      <c r="AS2423">
        <v>0</v>
      </c>
      <c r="AT2423">
        <v>0</v>
      </c>
      <c r="AU2423">
        <f t="shared" si="74"/>
        <v>1</v>
      </c>
      <c r="AV2423">
        <f t="shared" si="75"/>
        <v>0</v>
      </c>
    </row>
    <row r="2424" spans="1:48" x14ac:dyDescent="0.25">
      <c r="A2424" t="s">
        <v>8476</v>
      </c>
      <c r="C2424" t="s">
        <v>8477</v>
      </c>
      <c r="D2424" t="s">
        <v>8475</v>
      </c>
      <c r="E2424" t="s">
        <v>1663</v>
      </c>
      <c r="F2424">
        <v>6</v>
      </c>
      <c r="G2424">
        <v>6.1</v>
      </c>
      <c r="H2424" t="s">
        <v>2017</v>
      </c>
      <c r="I2424" s="21">
        <v>39351</v>
      </c>
      <c r="J2424">
        <v>2007</v>
      </c>
      <c r="K2424" s="21">
        <v>39381</v>
      </c>
      <c r="L2424">
        <v>2007</v>
      </c>
      <c r="M2424" s="21">
        <v>39533</v>
      </c>
      <c r="N2424">
        <v>2008</v>
      </c>
      <c r="Q2424" s="262">
        <v>0</v>
      </c>
      <c r="S2424" t="s">
        <v>114</v>
      </c>
      <c r="T2424" t="s">
        <v>114</v>
      </c>
      <c r="W2424">
        <v>4969</v>
      </c>
      <c r="X2424">
        <v>1</v>
      </c>
      <c r="Y2424">
        <v>0</v>
      </c>
      <c r="Z2424">
        <v>0</v>
      </c>
      <c r="AA2424">
        <v>0</v>
      </c>
      <c r="AB2424">
        <v>0</v>
      </c>
      <c r="AC2424">
        <v>4969</v>
      </c>
      <c r="AD2424">
        <v>0</v>
      </c>
      <c r="AE2424">
        <v>0</v>
      </c>
      <c r="AF2424">
        <v>0</v>
      </c>
      <c r="AG2424">
        <v>0</v>
      </c>
      <c r="AH2424">
        <v>0</v>
      </c>
      <c r="AI2424">
        <v>0</v>
      </c>
      <c r="AJ2424">
        <v>0</v>
      </c>
      <c r="AK2424">
        <v>0</v>
      </c>
      <c r="AL2424">
        <v>0</v>
      </c>
      <c r="AM2424">
        <v>0</v>
      </c>
      <c r="AN2424">
        <v>0</v>
      </c>
      <c r="AO2424">
        <v>1</v>
      </c>
      <c r="AP2424">
        <v>0</v>
      </c>
      <c r="AQ2424">
        <v>0</v>
      </c>
      <c r="AR2424">
        <v>0</v>
      </c>
      <c r="AS2424">
        <v>0</v>
      </c>
      <c r="AT2424">
        <v>0</v>
      </c>
      <c r="AU2424">
        <f t="shared" si="74"/>
        <v>1</v>
      </c>
      <c r="AV2424">
        <f t="shared" si="75"/>
        <v>0</v>
      </c>
    </row>
    <row r="2425" spans="1:48" x14ac:dyDescent="0.25">
      <c r="A2425" t="s">
        <v>8478</v>
      </c>
      <c r="C2425" t="s">
        <v>8479</v>
      </c>
      <c r="D2425" t="s">
        <v>8480</v>
      </c>
      <c r="E2425" t="s">
        <v>2310</v>
      </c>
      <c r="F2425">
        <v>13</v>
      </c>
      <c r="G2425">
        <v>13.3</v>
      </c>
      <c r="H2425" t="s">
        <v>2017</v>
      </c>
      <c r="I2425" s="21">
        <v>39351</v>
      </c>
      <c r="J2425">
        <v>2007</v>
      </c>
      <c r="K2425" s="21">
        <v>39413</v>
      </c>
      <c r="L2425">
        <v>2007</v>
      </c>
      <c r="M2425" s="21">
        <v>40253.561041666697</v>
      </c>
      <c r="N2425">
        <v>2010</v>
      </c>
      <c r="R2425" s="262">
        <v>2400000</v>
      </c>
      <c r="S2425" t="s">
        <v>114</v>
      </c>
      <c r="T2425" t="s">
        <v>114</v>
      </c>
      <c r="U2425">
        <v>17</v>
      </c>
      <c r="W2425">
        <v>9001</v>
      </c>
      <c r="X2425">
        <v>2</v>
      </c>
      <c r="Y2425">
        <v>0</v>
      </c>
      <c r="Z2425">
        <v>0</v>
      </c>
      <c r="AA2425">
        <v>0</v>
      </c>
      <c r="AB2425">
        <v>0</v>
      </c>
      <c r="AC2425">
        <v>0</v>
      </c>
      <c r="AD2425">
        <v>8233</v>
      </c>
      <c r="AE2425">
        <v>0</v>
      </c>
      <c r="AF2425">
        <v>768</v>
      </c>
      <c r="AG2425">
        <v>0</v>
      </c>
      <c r="AH2425">
        <v>0</v>
      </c>
      <c r="AI2425">
        <v>0</v>
      </c>
      <c r="AJ2425">
        <v>0</v>
      </c>
      <c r="AK2425">
        <v>0</v>
      </c>
      <c r="AL2425">
        <v>0</v>
      </c>
      <c r="AM2425">
        <v>0</v>
      </c>
      <c r="AN2425">
        <v>0</v>
      </c>
      <c r="AO2425">
        <v>0</v>
      </c>
      <c r="AP2425">
        <v>1</v>
      </c>
      <c r="AQ2425">
        <v>0</v>
      </c>
      <c r="AR2425">
        <v>1</v>
      </c>
      <c r="AS2425">
        <v>0</v>
      </c>
      <c r="AT2425">
        <v>0</v>
      </c>
      <c r="AU2425">
        <f t="shared" si="74"/>
        <v>1</v>
      </c>
      <c r="AV2425">
        <f t="shared" si="75"/>
        <v>0</v>
      </c>
    </row>
    <row r="2426" spans="1:48" x14ac:dyDescent="0.25">
      <c r="A2426" t="s">
        <v>8481</v>
      </c>
      <c r="C2426" t="s">
        <v>8482</v>
      </c>
      <c r="D2426" t="s">
        <v>8483</v>
      </c>
      <c r="E2426" t="s">
        <v>2310</v>
      </c>
      <c r="F2426">
        <v>15</v>
      </c>
      <c r="G2426">
        <v>15.1</v>
      </c>
      <c r="H2426" t="s">
        <v>2022</v>
      </c>
      <c r="I2426" s="21">
        <v>39352</v>
      </c>
      <c r="J2426">
        <v>2007</v>
      </c>
      <c r="K2426" s="21">
        <v>39406</v>
      </c>
      <c r="L2426">
        <v>2007</v>
      </c>
      <c r="M2426" s="21">
        <v>40197.365833333301</v>
      </c>
      <c r="N2426">
        <v>2010</v>
      </c>
      <c r="R2426" s="262">
        <v>40000</v>
      </c>
      <c r="S2426" t="s">
        <v>114</v>
      </c>
      <c r="T2426" t="s">
        <v>114</v>
      </c>
      <c r="U2426">
        <v>8</v>
      </c>
      <c r="W2426">
        <v>0</v>
      </c>
      <c r="X2426">
        <v>0</v>
      </c>
      <c r="Y2426">
        <v>0</v>
      </c>
      <c r="Z2426">
        <v>0</v>
      </c>
      <c r="AA2426">
        <v>0</v>
      </c>
      <c r="AB2426">
        <v>0</v>
      </c>
      <c r="AC2426">
        <v>0</v>
      </c>
      <c r="AD2426">
        <v>0</v>
      </c>
      <c r="AE2426">
        <v>0</v>
      </c>
      <c r="AF2426">
        <v>0</v>
      </c>
      <c r="AG2426">
        <v>0</v>
      </c>
      <c r="AH2426">
        <v>0</v>
      </c>
      <c r="AI2426">
        <v>0</v>
      </c>
      <c r="AJ2426">
        <v>0</v>
      </c>
      <c r="AK2426">
        <v>0</v>
      </c>
      <c r="AL2426">
        <v>0</v>
      </c>
      <c r="AM2426">
        <v>0</v>
      </c>
      <c r="AN2426">
        <v>0</v>
      </c>
      <c r="AO2426">
        <v>0</v>
      </c>
      <c r="AP2426">
        <v>0</v>
      </c>
      <c r="AQ2426">
        <v>0</v>
      </c>
      <c r="AR2426">
        <v>0</v>
      </c>
      <c r="AS2426">
        <v>0</v>
      </c>
      <c r="AT2426">
        <v>0</v>
      </c>
      <c r="AU2426">
        <f t="shared" si="74"/>
        <v>0</v>
      </c>
      <c r="AV2426">
        <f t="shared" si="75"/>
        <v>0</v>
      </c>
    </row>
    <row r="2427" spans="1:48" x14ac:dyDescent="0.25">
      <c r="A2427" t="s">
        <v>8484</v>
      </c>
      <c r="C2427" t="s">
        <v>8485</v>
      </c>
      <c r="D2427" t="s">
        <v>8486</v>
      </c>
      <c r="E2427" t="s">
        <v>2310</v>
      </c>
      <c r="F2427">
        <v>14</v>
      </c>
      <c r="G2427">
        <v>14.1</v>
      </c>
      <c r="H2427" t="s">
        <v>2022</v>
      </c>
      <c r="I2427" s="21">
        <v>39356</v>
      </c>
      <c r="J2427">
        <v>2007</v>
      </c>
      <c r="K2427" s="21">
        <v>39412</v>
      </c>
      <c r="L2427">
        <v>2007</v>
      </c>
      <c r="M2427" s="21">
        <v>39654</v>
      </c>
      <c r="N2427">
        <v>2008</v>
      </c>
      <c r="R2427" s="262">
        <v>180000</v>
      </c>
      <c r="S2427" t="s">
        <v>114</v>
      </c>
      <c r="T2427" t="s">
        <v>114</v>
      </c>
      <c r="U2427">
        <v>5</v>
      </c>
      <c r="W2427">
        <v>911</v>
      </c>
      <c r="X2427">
        <v>0</v>
      </c>
      <c r="Y2427">
        <v>0</v>
      </c>
      <c r="Z2427">
        <v>0</v>
      </c>
      <c r="AA2427">
        <v>0</v>
      </c>
      <c r="AB2427">
        <v>0</v>
      </c>
      <c r="AC2427">
        <v>911</v>
      </c>
      <c r="AD2427">
        <v>0</v>
      </c>
      <c r="AE2427">
        <v>0</v>
      </c>
      <c r="AF2427">
        <v>0</v>
      </c>
      <c r="AG2427">
        <v>0</v>
      </c>
      <c r="AH2427">
        <v>0</v>
      </c>
      <c r="AI2427">
        <v>0</v>
      </c>
      <c r="AJ2427">
        <v>0</v>
      </c>
      <c r="AK2427">
        <v>0</v>
      </c>
      <c r="AL2427">
        <v>0</v>
      </c>
      <c r="AM2427">
        <v>0</v>
      </c>
      <c r="AN2427">
        <v>0</v>
      </c>
      <c r="AO2427">
        <v>0</v>
      </c>
      <c r="AP2427">
        <v>0</v>
      </c>
      <c r="AQ2427">
        <v>0</v>
      </c>
      <c r="AR2427">
        <v>0</v>
      </c>
      <c r="AS2427">
        <v>0</v>
      </c>
      <c r="AT2427">
        <v>0</v>
      </c>
      <c r="AU2427">
        <f t="shared" si="74"/>
        <v>0</v>
      </c>
      <c r="AV2427">
        <f t="shared" si="75"/>
        <v>0</v>
      </c>
    </row>
    <row r="2428" spans="1:48" x14ac:dyDescent="0.25">
      <c r="A2428" t="s">
        <v>8487</v>
      </c>
      <c r="C2428" t="s">
        <v>8488</v>
      </c>
      <c r="D2428" t="s">
        <v>8489</v>
      </c>
      <c r="E2428" t="s">
        <v>2310</v>
      </c>
      <c r="F2428">
        <v>9</v>
      </c>
      <c r="G2428">
        <v>9.4</v>
      </c>
      <c r="H2428" t="s">
        <v>2323</v>
      </c>
      <c r="I2428" s="21">
        <v>39356</v>
      </c>
      <c r="J2428">
        <v>2007</v>
      </c>
      <c r="K2428" s="21">
        <v>39412</v>
      </c>
      <c r="L2428">
        <v>2007</v>
      </c>
      <c r="M2428" s="21">
        <v>39750</v>
      </c>
      <c r="N2428">
        <v>2008</v>
      </c>
      <c r="R2428" s="262">
        <v>200000</v>
      </c>
      <c r="S2428" t="s">
        <v>114</v>
      </c>
      <c r="T2428" t="s">
        <v>114</v>
      </c>
      <c r="U2428">
        <v>5</v>
      </c>
      <c r="W2428">
        <v>132</v>
      </c>
      <c r="X2428">
        <v>0</v>
      </c>
      <c r="Y2428">
        <v>0</v>
      </c>
      <c r="Z2428">
        <v>0</v>
      </c>
      <c r="AA2428">
        <v>0</v>
      </c>
      <c r="AB2428">
        <v>0</v>
      </c>
      <c r="AC2428">
        <v>132</v>
      </c>
      <c r="AD2428">
        <v>0</v>
      </c>
      <c r="AE2428">
        <v>0</v>
      </c>
      <c r="AF2428">
        <v>0</v>
      </c>
      <c r="AG2428">
        <v>0</v>
      </c>
      <c r="AH2428">
        <v>0</v>
      </c>
      <c r="AI2428">
        <v>0</v>
      </c>
      <c r="AJ2428">
        <v>0</v>
      </c>
      <c r="AK2428">
        <v>0</v>
      </c>
      <c r="AL2428">
        <v>0</v>
      </c>
      <c r="AM2428">
        <v>0</v>
      </c>
      <c r="AN2428">
        <v>0</v>
      </c>
      <c r="AO2428">
        <v>0</v>
      </c>
      <c r="AP2428">
        <v>0</v>
      </c>
      <c r="AQ2428">
        <v>0</v>
      </c>
      <c r="AR2428">
        <v>0</v>
      </c>
      <c r="AS2428">
        <v>0</v>
      </c>
      <c r="AT2428">
        <v>0</v>
      </c>
      <c r="AU2428">
        <f t="shared" si="74"/>
        <v>0</v>
      </c>
      <c r="AV2428">
        <f t="shared" si="75"/>
        <v>0</v>
      </c>
    </row>
    <row r="2429" spans="1:48" x14ac:dyDescent="0.25">
      <c r="A2429" t="s">
        <v>8490</v>
      </c>
      <c r="C2429" t="s">
        <v>8491</v>
      </c>
      <c r="D2429" t="s">
        <v>3269</v>
      </c>
      <c r="E2429" t="s">
        <v>2310</v>
      </c>
      <c r="F2429">
        <v>15</v>
      </c>
      <c r="G2429">
        <v>15.2</v>
      </c>
      <c r="H2429" t="s">
        <v>2323</v>
      </c>
      <c r="I2429" s="21">
        <v>39356</v>
      </c>
      <c r="J2429">
        <v>2007</v>
      </c>
      <c r="K2429" s="21">
        <v>39401</v>
      </c>
      <c r="L2429">
        <v>2007</v>
      </c>
      <c r="M2429" s="21">
        <v>40024.663981481499</v>
      </c>
      <c r="N2429">
        <v>2009</v>
      </c>
      <c r="R2429" s="262">
        <v>72000</v>
      </c>
      <c r="S2429" t="s">
        <v>114</v>
      </c>
      <c r="T2429" t="s">
        <v>114</v>
      </c>
      <c r="U2429">
        <v>5</v>
      </c>
      <c r="W2429">
        <v>1824</v>
      </c>
      <c r="X2429">
        <v>0</v>
      </c>
      <c r="Y2429">
        <v>0</v>
      </c>
      <c r="Z2429">
        <v>0</v>
      </c>
      <c r="AA2429">
        <v>0</v>
      </c>
      <c r="AB2429">
        <v>0</v>
      </c>
      <c r="AC2429">
        <v>1824</v>
      </c>
      <c r="AD2429">
        <v>0</v>
      </c>
      <c r="AE2429">
        <v>0</v>
      </c>
      <c r="AF2429">
        <v>0</v>
      </c>
      <c r="AG2429">
        <v>0</v>
      </c>
      <c r="AH2429">
        <v>0</v>
      </c>
      <c r="AI2429">
        <v>0</v>
      </c>
      <c r="AJ2429">
        <v>0</v>
      </c>
      <c r="AK2429">
        <v>0</v>
      </c>
      <c r="AL2429">
        <v>0</v>
      </c>
      <c r="AM2429">
        <v>0</v>
      </c>
      <c r="AN2429">
        <v>0</v>
      </c>
      <c r="AO2429">
        <v>0</v>
      </c>
      <c r="AP2429">
        <v>0</v>
      </c>
      <c r="AQ2429">
        <v>0</v>
      </c>
      <c r="AR2429">
        <v>0</v>
      </c>
      <c r="AS2429">
        <v>0</v>
      </c>
      <c r="AT2429">
        <v>0</v>
      </c>
      <c r="AU2429">
        <f t="shared" si="74"/>
        <v>0</v>
      </c>
      <c r="AV2429">
        <f t="shared" si="75"/>
        <v>0</v>
      </c>
    </row>
    <row r="2430" spans="1:48" x14ac:dyDescent="0.25">
      <c r="A2430" t="s">
        <v>8492</v>
      </c>
      <c r="C2430" t="s">
        <v>8213</v>
      </c>
      <c r="D2430" t="s">
        <v>8493</v>
      </c>
      <c r="E2430" t="s">
        <v>1663</v>
      </c>
      <c r="F2430">
        <v>2</v>
      </c>
      <c r="G2430">
        <v>2.6</v>
      </c>
      <c r="H2430" t="s">
        <v>2327</v>
      </c>
      <c r="I2430" s="21">
        <v>39357</v>
      </c>
      <c r="J2430">
        <v>2007</v>
      </c>
      <c r="K2430" s="21">
        <v>39388</v>
      </c>
      <c r="L2430">
        <v>2007</v>
      </c>
      <c r="M2430" s="21">
        <v>39540</v>
      </c>
      <c r="N2430">
        <v>2008</v>
      </c>
      <c r="Q2430" s="262">
        <v>0</v>
      </c>
      <c r="S2430" t="s">
        <v>114</v>
      </c>
      <c r="T2430" t="s">
        <v>114</v>
      </c>
      <c r="W2430">
        <v>1354</v>
      </c>
      <c r="X2430">
        <v>1</v>
      </c>
      <c r="Y2430">
        <v>0</v>
      </c>
      <c r="Z2430">
        <v>0</v>
      </c>
      <c r="AA2430">
        <v>0</v>
      </c>
      <c r="AB2430">
        <v>0</v>
      </c>
      <c r="AC2430">
        <v>1354</v>
      </c>
      <c r="AD2430">
        <v>0</v>
      </c>
      <c r="AE2430">
        <v>0</v>
      </c>
      <c r="AF2430">
        <v>0</v>
      </c>
      <c r="AG2430">
        <v>0</v>
      </c>
      <c r="AH2430">
        <v>0</v>
      </c>
      <c r="AI2430">
        <v>0</v>
      </c>
      <c r="AJ2430">
        <v>0</v>
      </c>
      <c r="AK2430">
        <v>0</v>
      </c>
      <c r="AL2430">
        <v>0</v>
      </c>
      <c r="AM2430">
        <v>0</v>
      </c>
      <c r="AN2430">
        <v>0</v>
      </c>
      <c r="AO2430">
        <v>1</v>
      </c>
      <c r="AP2430">
        <v>0</v>
      </c>
      <c r="AQ2430">
        <v>0</v>
      </c>
      <c r="AR2430">
        <v>0</v>
      </c>
      <c r="AS2430">
        <v>0</v>
      </c>
      <c r="AT2430">
        <v>0</v>
      </c>
      <c r="AU2430">
        <f t="shared" si="74"/>
        <v>1</v>
      </c>
      <c r="AV2430">
        <f t="shared" si="75"/>
        <v>0</v>
      </c>
    </row>
    <row r="2431" spans="1:48" x14ac:dyDescent="0.25">
      <c r="A2431" t="s">
        <v>8494</v>
      </c>
      <c r="C2431" t="s">
        <v>8495</v>
      </c>
      <c r="D2431" t="s">
        <v>8496</v>
      </c>
      <c r="E2431" t="s">
        <v>2310</v>
      </c>
      <c r="F2431">
        <v>13</v>
      </c>
      <c r="G2431">
        <v>13.2</v>
      </c>
      <c r="H2431" t="s">
        <v>2327</v>
      </c>
      <c r="I2431" s="21">
        <v>39358</v>
      </c>
      <c r="J2431">
        <v>2007</v>
      </c>
      <c r="K2431" s="21">
        <v>39416</v>
      </c>
      <c r="L2431">
        <v>2007</v>
      </c>
      <c r="M2431" s="21">
        <v>39416</v>
      </c>
      <c r="N2431">
        <v>2007</v>
      </c>
      <c r="R2431" s="262">
        <v>120000</v>
      </c>
      <c r="S2431" t="s">
        <v>114</v>
      </c>
      <c r="T2431" t="s">
        <v>114</v>
      </c>
      <c r="U2431">
        <v>12</v>
      </c>
      <c r="W2431">
        <v>1524</v>
      </c>
      <c r="X2431">
        <v>0</v>
      </c>
      <c r="Y2431">
        <v>0</v>
      </c>
      <c r="Z2431">
        <v>0</v>
      </c>
      <c r="AA2431">
        <v>0</v>
      </c>
      <c r="AB2431">
        <v>0</v>
      </c>
      <c r="AC2431">
        <v>0</v>
      </c>
      <c r="AD2431">
        <v>0</v>
      </c>
      <c r="AE2431">
        <v>0</v>
      </c>
      <c r="AF2431">
        <v>0</v>
      </c>
      <c r="AG2431">
        <v>0</v>
      </c>
      <c r="AH2431">
        <v>0</v>
      </c>
      <c r="AI2431">
        <v>0</v>
      </c>
      <c r="AJ2431">
        <v>1524</v>
      </c>
      <c r="AK2431">
        <v>0</v>
      </c>
      <c r="AL2431">
        <v>0</v>
      </c>
      <c r="AM2431">
        <v>0</v>
      </c>
      <c r="AN2431">
        <v>0</v>
      </c>
      <c r="AO2431">
        <v>0</v>
      </c>
      <c r="AP2431">
        <v>0</v>
      </c>
      <c r="AQ2431">
        <v>0</v>
      </c>
      <c r="AR2431">
        <v>0</v>
      </c>
      <c r="AS2431">
        <v>0</v>
      </c>
      <c r="AT2431">
        <v>0</v>
      </c>
      <c r="AU2431">
        <f t="shared" si="74"/>
        <v>0</v>
      </c>
      <c r="AV2431">
        <f t="shared" si="75"/>
        <v>1524</v>
      </c>
    </row>
    <row r="2432" spans="1:48" x14ac:dyDescent="0.25">
      <c r="A2432" t="s">
        <v>8497</v>
      </c>
      <c r="C2432" t="s">
        <v>8498</v>
      </c>
      <c r="D2432" t="s">
        <v>8499</v>
      </c>
      <c r="E2432" t="s">
        <v>1663</v>
      </c>
      <c r="F2432">
        <v>4</v>
      </c>
      <c r="G2432">
        <v>4.4000000000000004</v>
      </c>
      <c r="H2432" t="s">
        <v>2017</v>
      </c>
      <c r="I2432" s="21">
        <v>39360</v>
      </c>
      <c r="J2432">
        <v>2007</v>
      </c>
      <c r="K2432" s="21">
        <v>39391</v>
      </c>
      <c r="L2432">
        <v>2007</v>
      </c>
      <c r="M2432" s="21">
        <v>39543</v>
      </c>
      <c r="N2432">
        <v>2008</v>
      </c>
      <c r="Q2432" s="262">
        <v>0</v>
      </c>
      <c r="S2432" t="s">
        <v>114</v>
      </c>
      <c r="T2432" t="s">
        <v>114</v>
      </c>
      <c r="W2432">
        <v>200</v>
      </c>
      <c r="X2432">
        <v>0</v>
      </c>
      <c r="Y2432">
        <v>0</v>
      </c>
      <c r="Z2432">
        <v>0</v>
      </c>
      <c r="AA2432">
        <v>0</v>
      </c>
      <c r="AB2432">
        <v>0</v>
      </c>
      <c r="AC2432">
        <v>0</v>
      </c>
      <c r="AD2432">
        <v>0</v>
      </c>
      <c r="AE2432">
        <v>0</v>
      </c>
      <c r="AF2432">
        <v>0</v>
      </c>
      <c r="AG2432">
        <v>0</v>
      </c>
      <c r="AH2432">
        <v>0</v>
      </c>
      <c r="AI2432">
        <v>0</v>
      </c>
      <c r="AJ2432">
        <v>0</v>
      </c>
      <c r="AK2432">
        <v>0</v>
      </c>
      <c r="AL2432">
        <v>0</v>
      </c>
      <c r="AM2432">
        <v>200</v>
      </c>
      <c r="AN2432">
        <v>0</v>
      </c>
      <c r="AO2432">
        <v>0</v>
      </c>
      <c r="AP2432">
        <v>0</v>
      </c>
      <c r="AQ2432">
        <v>0</v>
      </c>
      <c r="AR2432">
        <v>0</v>
      </c>
      <c r="AS2432">
        <v>0</v>
      </c>
      <c r="AT2432">
        <v>0</v>
      </c>
      <c r="AU2432">
        <f t="shared" si="74"/>
        <v>0</v>
      </c>
      <c r="AV2432">
        <f t="shared" si="75"/>
        <v>200</v>
      </c>
    </row>
    <row r="2433" spans="1:48" x14ac:dyDescent="0.25">
      <c r="A2433" t="s">
        <v>8500</v>
      </c>
      <c r="C2433" t="s">
        <v>8501</v>
      </c>
      <c r="D2433" t="s">
        <v>8502</v>
      </c>
      <c r="E2433" t="s">
        <v>1663</v>
      </c>
      <c r="F2433">
        <v>4</v>
      </c>
      <c r="G2433">
        <v>4.3</v>
      </c>
      <c r="H2433" t="s">
        <v>2327</v>
      </c>
      <c r="I2433" s="21">
        <v>39360</v>
      </c>
      <c r="J2433">
        <v>2007</v>
      </c>
      <c r="K2433" s="21">
        <v>39391</v>
      </c>
      <c r="L2433">
        <v>2007</v>
      </c>
      <c r="M2433" s="21">
        <v>39543</v>
      </c>
      <c r="N2433">
        <v>2008</v>
      </c>
      <c r="Q2433" s="262">
        <v>0</v>
      </c>
      <c r="S2433" t="s">
        <v>114</v>
      </c>
      <c r="T2433" t="s">
        <v>114</v>
      </c>
      <c r="W2433">
        <v>200</v>
      </c>
      <c r="X2433">
        <v>0</v>
      </c>
      <c r="Y2433">
        <v>0</v>
      </c>
      <c r="Z2433">
        <v>0</v>
      </c>
      <c r="AA2433">
        <v>0</v>
      </c>
      <c r="AB2433">
        <v>0</v>
      </c>
      <c r="AC2433">
        <v>0</v>
      </c>
      <c r="AD2433">
        <v>0</v>
      </c>
      <c r="AE2433">
        <v>0</v>
      </c>
      <c r="AF2433">
        <v>0</v>
      </c>
      <c r="AG2433">
        <v>0</v>
      </c>
      <c r="AH2433">
        <v>0</v>
      </c>
      <c r="AI2433">
        <v>0</v>
      </c>
      <c r="AJ2433">
        <v>0</v>
      </c>
      <c r="AK2433">
        <v>0</v>
      </c>
      <c r="AL2433">
        <v>0</v>
      </c>
      <c r="AM2433">
        <v>200</v>
      </c>
      <c r="AN2433">
        <v>0</v>
      </c>
      <c r="AO2433">
        <v>0</v>
      </c>
      <c r="AP2433">
        <v>0</v>
      </c>
      <c r="AQ2433">
        <v>0</v>
      </c>
      <c r="AR2433">
        <v>0</v>
      </c>
      <c r="AS2433">
        <v>0</v>
      </c>
      <c r="AT2433">
        <v>0</v>
      </c>
      <c r="AU2433">
        <f t="shared" si="74"/>
        <v>0</v>
      </c>
      <c r="AV2433">
        <f t="shared" si="75"/>
        <v>200</v>
      </c>
    </row>
    <row r="2434" spans="1:48" x14ac:dyDescent="0.25">
      <c r="A2434" t="s">
        <v>8503</v>
      </c>
      <c r="C2434" t="s">
        <v>8504</v>
      </c>
      <c r="D2434" t="s">
        <v>7158</v>
      </c>
      <c r="E2434" t="s">
        <v>2310</v>
      </c>
      <c r="F2434">
        <v>9</v>
      </c>
      <c r="G2434">
        <v>9.3000000000000007</v>
      </c>
      <c r="H2434" t="s">
        <v>2323</v>
      </c>
      <c r="I2434" s="21">
        <v>39363</v>
      </c>
      <c r="J2434">
        <v>2007</v>
      </c>
      <c r="K2434" s="21">
        <v>39415</v>
      </c>
      <c r="L2434">
        <v>2007</v>
      </c>
      <c r="M2434" s="21">
        <v>39415</v>
      </c>
      <c r="N2434">
        <v>2007</v>
      </c>
      <c r="R2434" s="262">
        <v>15000</v>
      </c>
      <c r="S2434" t="s">
        <v>114</v>
      </c>
      <c r="T2434" t="s">
        <v>114</v>
      </c>
      <c r="U2434">
        <v>5</v>
      </c>
      <c r="W2434">
        <v>322</v>
      </c>
      <c r="X2434">
        <v>0</v>
      </c>
      <c r="Y2434">
        <v>0</v>
      </c>
      <c r="Z2434">
        <v>0</v>
      </c>
      <c r="AA2434">
        <v>0</v>
      </c>
      <c r="AB2434">
        <v>0</v>
      </c>
      <c r="AC2434">
        <v>322</v>
      </c>
      <c r="AD2434">
        <v>0</v>
      </c>
      <c r="AE2434">
        <v>0</v>
      </c>
      <c r="AF2434">
        <v>0</v>
      </c>
      <c r="AG2434">
        <v>0</v>
      </c>
      <c r="AH2434">
        <v>0</v>
      </c>
      <c r="AI2434">
        <v>0</v>
      </c>
      <c r="AJ2434">
        <v>0</v>
      </c>
      <c r="AK2434">
        <v>0</v>
      </c>
      <c r="AL2434">
        <v>0</v>
      </c>
      <c r="AM2434">
        <v>0</v>
      </c>
      <c r="AN2434">
        <v>0</v>
      </c>
      <c r="AO2434">
        <v>0</v>
      </c>
      <c r="AP2434">
        <v>0</v>
      </c>
      <c r="AQ2434">
        <v>0</v>
      </c>
      <c r="AR2434">
        <v>0</v>
      </c>
      <c r="AS2434">
        <v>0</v>
      </c>
      <c r="AT2434">
        <v>0</v>
      </c>
      <c r="AU2434">
        <f t="shared" si="74"/>
        <v>0</v>
      </c>
      <c r="AV2434">
        <f t="shared" si="75"/>
        <v>0</v>
      </c>
    </row>
    <row r="2435" spans="1:48" x14ac:dyDescent="0.25">
      <c r="A2435" t="s">
        <v>8505</v>
      </c>
      <c r="C2435" t="s">
        <v>8506</v>
      </c>
      <c r="D2435" t="s">
        <v>2162</v>
      </c>
      <c r="E2435" t="s">
        <v>2310</v>
      </c>
      <c r="F2435">
        <v>8</v>
      </c>
      <c r="G2435">
        <v>8.1999999999999993</v>
      </c>
      <c r="H2435" t="s">
        <v>2022</v>
      </c>
      <c r="I2435" s="21">
        <v>39364</v>
      </c>
      <c r="J2435">
        <v>2007</v>
      </c>
      <c r="K2435" s="21">
        <v>39385</v>
      </c>
      <c r="L2435">
        <v>2007</v>
      </c>
      <c r="M2435" s="21">
        <v>40522.564594907402</v>
      </c>
      <c r="N2435">
        <v>2010</v>
      </c>
      <c r="R2435" s="262">
        <v>80000</v>
      </c>
      <c r="S2435" t="s">
        <v>114</v>
      </c>
      <c r="T2435" t="s">
        <v>114</v>
      </c>
      <c r="U2435">
        <v>8</v>
      </c>
      <c r="W2435">
        <v>484</v>
      </c>
      <c r="X2435">
        <v>1</v>
      </c>
      <c r="Y2435">
        <v>0</v>
      </c>
      <c r="Z2435">
        <v>0</v>
      </c>
      <c r="AA2435">
        <v>0</v>
      </c>
      <c r="AB2435">
        <v>0</v>
      </c>
      <c r="AC2435">
        <v>0</v>
      </c>
      <c r="AD2435">
        <v>0</v>
      </c>
      <c r="AE2435">
        <v>0</v>
      </c>
      <c r="AF2435">
        <v>484</v>
      </c>
      <c r="AG2435">
        <v>0</v>
      </c>
      <c r="AH2435">
        <v>0</v>
      </c>
      <c r="AI2435">
        <v>0</v>
      </c>
      <c r="AJ2435">
        <v>0</v>
      </c>
      <c r="AK2435">
        <v>0</v>
      </c>
      <c r="AL2435">
        <v>0</v>
      </c>
      <c r="AM2435">
        <v>0</v>
      </c>
      <c r="AN2435">
        <v>0</v>
      </c>
      <c r="AO2435">
        <v>0</v>
      </c>
      <c r="AP2435">
        <v>0</v>
      </c>
      <c r="AQ2435">
        <v>0</v>
      </c>
      <c r="AR2435">
        <v>1</v>
      </c>
      <c r="AS2435">
        <v>0</v>
      </c>
      <c r="AT2435">
        <v>0</v>
      </c>
      <c r="AU2435">
        <f t="shared" si="74"/>
        <v>0</v>
      </c>
      <c r="AV2435">
        <f t="shared" si="75"/>
        <v>0</v>
      </c>
    </row>
    <row r="2436" spans="1:48" x14ac:dyDescent="0.25">
      <c r="A2436" t="s">
        <v>8507</v>
      </c>
      <c r="C2436" t="s">
        <v>7393</v>
      </c>
      <c r="D2436" t="s">
        <v>7427</v>
      </c>
      <c r="E2436" t="s">
        <v>2310</v>
      </c>
      <c r="F2436">
        <v>8</v>
      </c>
      <c r="G2436">
        <v>8.1999999999999993</v>
      </c>
      <c r="H2436" t="s">
        <v>2022</v>
      </c>
      <c r="I2436" s="21">
        <v>39364</v>
      </c>
      <c r="J2436">
        <v>2007</v>
      </c>
      <c r="K2436" s="21">
        <v>39414</v>
      </c>
      <c r="L2436">
        <v>2007</v>
      </c>
      <c r="M2436" s="21">
        <v>40211.659594907404</v>
      </c>
      <c r="N2436">
        <v>2010</v>
      </c>
      <c r="R2436" s="262">
        <v>3000000</v>
      </c>
      <c r="S2436" t="s">
        <v>114</v>
      </c>
      <c r="T2436" t="s">
        <v>114</v>
      </c>
      <c r="U2436">
        <v>5</v>
      </c>
      <c r="W2436">
        <v>8559</v>
      </c>
      <c r="X2436">
        <v>1</v>
      </c>
      <c r="Y2436">
        <v>0</v>
      </c>
      <c r="Z2436">
        <v>0</v>
      </c>
      <c r="AA2436">
        <v>0</v>
      </c>
      <c r="AB2436">
        <v>0</v>
      </c>
      <c r="AC2436">
        <v>8559</v>
      </c>
      <c r="AD2436">
        <v>0</v>
      </c>
      <c r="AE2436">
        <v>0</v>
      </c>
      <c r="AF2436">
        <v>0</v>
      </c>
      <c r="AG2436">
        <v>0</v>
      </c>
      <c r="AH2436">
        <v>0</v>
      </c>
      <c r="AI2436">
        <v>0</v>
      </c>
      <c r="AJ2436">
        <v>0</v>
      </c>
      <c r="AK2436">
        <v>0</v>
      </c>
      <c r="AL2436">
        <v>0</v>
      </c>
      <c r="AM2436">
        <v>0</v>
      </c>
      <c r="AN2436">
        <v>0</v>
      </c>
      <c r="AO2436">
        <v>1</v>
      </c>
      <c r="AP2436">
        <v>0</v>
      </c>
      <c r="AQ2436">
        <v>0</v>
      </c>
      <c r="AR2436">
        <v>0</v>
      </c>
      <c r="AS2436">
        <v>0</v>
      </c>
      <c r="AT2436">
        <v>0</v>
      </c>
      <c r="AU2436">
        <f t="shared" si="74"/>
        <v>1</v>
      </c>
      <c r="AV2436">
        <f t="shared" si="75"/>
        <v>0</v>
      </c>
    </row>
    <row r="2437" spans="1:48" x14ac:dyDescent="0.25">
      <c r="A2437" t="s">
        <v>8508</v>
      </c>
      <c r="C2437" t="s">
        <v>8509</v>
      </c>
      <c r="D2437" t="s">
        <v>8510</v>
      </c>
      <c r="E2437" t="s">
        <v>2310</v>
      </c>
      <c r="F2437">
        <v>15</v>
      </c>
      <c r="G2437">
        <v>15.3</v>
      </c>
      <c r="H2437" t="s">
        <v>2022</v>
      </c>
      <c r="I2437" s="21">
        <v>39366</v>
      </c>
      <c r="J2437">
        <v>2007</v>
      </c>
      <c r="K2437" s="21">
        <v>39580</v>
      </c>
      <c r="L2437">
        <v>2008</v>
      </c>
      <c r="M2437" s="21">
        <v>40233.368217592601</v>
      </c>
      <c r="N2437">
        <v>2010</v>
      </c>
      <c r="R2437" s="262">
        <v>990000</v>
      </c>
      <c r="S2437" t="s">
        <v>114</v>
      </c>
      <c r="T2437" t="s">
        <v>114</v>
      </c>
      <c r="U2437">
        <v>5</v>
      </c>
      <c r="W2437">
        <v>5386</v>
      </c>
      <c r="X2437">
        <v>1</v>
      </c>
      <c r="Y2437">
        <v>0</v>
      </c>
      <c r="Z2437">
        <v>0</v>
      </c>
      <c r="AA2437">
        <v>0</v>
      </c>
      <c r="AB2437">
        <v>0</v>
      </c>
      <c r="AC2437">
        <v>5386</v>
      </c>
      <c r="AD2437">
        <v>0</v>
      </c>
      <c r="AE2437">
        <v>0</v>
      </c>
      <c r="AF2437">
        <v>0</v>
      </c>
      <c r="AG2437">
        <v>0</v>
      </c>
      <c r="AH2437">
        <v>0</v>
      </c>
      <c r="AI2437">
        <v>0</v>
      </c>
      <c r="AJ2437">
        <v>0</v>
      </c>
      <c r="AK2437">
        <v>0</v>
      </c>
      <c r="AL2437">
        <v>0</v>
      </c>
      <c r="AM2437">
        <v>0</v>
      </c>
      <c r="AN2437">
        <v>0</v>
      </c>
      <c r="AO2437">
        <v>1</v>
      </c>
      <c r="AP2437">
        <v>0</v>
      </c>
      <c r="AQ2437">
        <v>0</v>
      </c>
      <c r="AR2437">
        <v>0</v>
      </c>
      <c r="AS2437">
        <v>0</v>
      </c>
      <c r="AT2437">
        <v>0</v>
      </c>
      <c r="AU2437">
        <f t="shared" si="74"/>
        <v>1</v>
      </c>
      <c r="AV2437">
        <f t="shared" si="75"/>
        <v>0</v>
      </c>
    </row>
    <row r="2438" spans="1:48" x14ac:dyDescent="0.25">
      <c r="A2438" t="s">
        <v>8511</v>
      </c>
      <c r="C2438" t="s">
        <v>8512</v>
      </c>
      <c r="D2438" t="s">
        <v>8513</v>
      </c>
      <c r="E2438" t="s">
        <v>2310</v>
      </c>
      <c r="F2438">
        <v>9</v>
      </c>
      <c r="G2438">
        <v>9.1</v>
      </c>
      <c r="H2438" t="s">
        <v>2323</v>
      </c>
      <c r="I2438" s="21">
        <v>39366</v>
      </c>
      <c r="J2438">
        <v>2007</v>
      </c>
      <c r="K2438" s="21">
        <v>39402</v>
      </c>
      <c r="L2438">
        <v>2007</v>
      </c>
      <c r="M2438" s="21">
        <v>40154.525717592602</v>
      </c>
      <c r="N2438">
        <v>2009</v>
      </c>
      <c r="R2438" s="262">
        <v>1200000</v>
      </c>
      <c r="S2438" t="s">
        <v>114</v>
      </c>
      <c r="T2438" t="s">
        <v>114</v>
      </c>
      <c r="U2438">
        <v>5</v>
      </c>
      <c r="W2438">
        <v>3882</v>
      </c>
      <c r="X2438">
        <v>1</v>
      </c>
      <c r="Y2438">
        <v>0</v>
      </c>
      <c r="Z2438">
        <v>0</v>
      </c>
      <c r="AA2438">
        <v>0</v>
      </c>
      <c r="AB2438">
        <v>0</v>
      </c>
      <c r="AC2438">
        <v>3882</v>
      </c>
      <c r="AD2438">
        <v>0</v>
      </c>
      <c r="AE2438">
        <v>0</v>
      </c>
      <c r="AF2438">
        <v>0</v>
      </c>
      <c r="AG2438">
        <v>0</v>
      </c>
      <c r="AH2438">
        <v>0</v>
      </c>
      <c r="AI2438">
        <v>0</v>
      </c>
      <c r="AJ2438">
        <v>0</v>
      </c>
      <c r="AK2438">
        <v>0</v>
      </c>
      <c r="AL2438">
        <v>0</v>
      </c>
      <c r="AM2438">
        <v>0</v>
      </c>
      <c r="AN2438">
        <v>0</v>
      </c>
      <c r="AO2438">
        <v>1</v>
      </c>
      <c r="AP2438">
        <v>0</v>
      </c>
      <c r="AQ2438">
        <v>0</v>
      </c>
      <c r="AR2438">
        <v>0</v>
      </c>
      <c r="AS2438">
        <v>0</v>
      </c>
      <c r="AT2438">
        <v>0</v>
      </c>
      <c r="AU2438">
        <f t="shared" si="74"/>
        <v>1</v>
      </c>
      <c r="AV2438">
        <f t="shared" si="75"/>
        <v>0</v>
      </c>
    </row>
    <row r="2439" spans="1:48" x14ac:dyDescent="0.25">
      <c r="A2439" t="s">
        <v>8514</v>
      </c>
      <c r="C2439" t="s">
        <v>8515</v>
      </c>
      <c r="D2439" t="s">
        <v>8513</v>
      </c>
      <c r="E2439" t="s">
        <v>2310</v>
      </c>
      <c r="F2439">
        <v>9</v>
      </c>
      <c r="G2439">
        <v>9.1</v>
      </c>
      <c r="H2439" t="s">
        <v>2323</v>
      </c>
      <c r="I2439" s="21">
        <v>39366</v>
      </c>
      <c r="J2439">
        <v>2007</v>
      </c>
      <c r="K2439" s="21">
        <v>39402</v>
      </c>
      <c r="L2439">
        <v>2007</v>
      </c>
      <c r="M2439" s="21">
        <v>40154.531400462998</v>
      </c>
      <c r="N2439">
        <v>2009</v>
      </c>
      <c r="R2439" s="262">
        <v>41000</v>
      </c>
      <c r="S2439" t="s">
        <v>114</v>
      </c>
      <c r="T2439" t="s">
        <v>114</v>
      </c>
      <c r="U2439">
        <v>5</v>
      </c>
      <c r="W2439">
        <v>1096</v>
      </c>
      <c r="X2439">
        <v>0</v>
      </c>
      <c r="Y2439">
        <v>0</v>
      </c>
      <c r="Z2439">
        <v>0</v>
      </c>
      <c r="AA2439">
        <v>0</v>
      </c>
      <c r="AB2439">
        <v>0</v>
      </c>
      <c r="AC2439">
        <v>1096</v>
      </c>
      <c r="AD2439">
        <v>0</v>
      </c>
      <c r="AE2439">
        <v>0</v>
      </c>
      <c r="AF2439">
        <v>0</v>
      </c>
      <c r="AG2439">
        <v>0</v>
      </c>
      <c r="AH2439">
        <v>0</v>
      </c>
      <c r="AI2439">
        <v>0</v>
      </c>
      <c r="AJ2439">
        <v>0</v>
      </c>
      <c r="AK2439">
        <v>0</v>
      </c>
      <c r="AL2439">
        <v>0</v>
      </c>
      <c r="AM2439">
        <v>0</v>
      </c>
      <c r="AN2439">
        <v>0</v>
      </c>
      <c r="AO2439">
        <v>0</v>
      </c>
      <c r="AP2439">
        <v>0</v>
      </c>
      <c r="AQ2439">
        <v>0</v>
      </c>
      <c r="AR2439">
        <v>0</v>
      </c>
      <c r="AS2439">
        <v>0</v>
      </c>
      <c r="AT2439">
        <v>0</v>
      </c>
      <c r="AU2439">
        <f t="shared" si="74"/>
        <v>0</v>
      </c>
      <c r="AV2439">
        <f t="shared" si="75"/>
        <v>0</v>
      </c>
    </row>
    <row r="2440" spans="1:48" x14ac:dyDescent="0.25">
      <c r="A2440" t="s">
        <v>8516</v>
      </c>
      <c r="C2440" t="s">
        <v>7393</v>
      </c>
      <c r="D2440" t="s">
        <v>8517</v>
      </c>
      <c r="E2440" t="s">
        <v>2310</v>
      </c>
      <c r="F2440">
        <v>9</v>
      </c>
      <c r="G2440">
        <v>9.3000000000000007</v>
      </c>
      <c r="H2440" t="s">
        <v>2323</v>
      </c>
      <c r="I2440" s="21">
        <v>39370</v>
      </c>
      <c r="J2440">
        <v>2007</v>
      </c>
      <c r="K2440" s="21">
        <v>39416</v>
      </c>
      <c r="L2440">
        <v>2007</v>
      </c>
      <c r="M2440" s="21">
        <v>40108.374444444402</v>
      </c>
      <c r="N2440">
        <v>2009</v>
      </c>
      <c r="Q2440" s="262">
        <v>2400000</v>
      </c>
      <c r="R2440" s="262">
        <v>2400000</v>
      </c>
      <c r="S2440" t="s">
        <v>114</v>
      </c>
      <c r="T2440" t="s">
        <v>114</v>
      </c>
      <c r="U2440">
        <v>5</v>
      </c>
      <c r="W2440">
        <v>6782</v>
      </c>
      <c r="X2440">
        <v>1</v>
      </c>
      <c r="Y2440">
        <v>0</v>
      </c>
      <c r="Z2440">
        <v>0</v>
      </c>
      <c r="AA2440">
        <v>0</v>
      </c>
      <c r="AB2440">
        <v>0</v>
      </c>
      <c r="AC2440">
        <v>6782</v>
      </c>
      <c r="AD2440">
        <v>0</v>
      </c>
      <c r="AE2440">
        <v>0</v>
      </c>
      <c r="AF2440">
        <v>0</v>
      </c>
      <c r="AG2440">
        <v>0</v>
      </c>
      <c r="AH2440">
        <v>0</v>
      </c>
      <c r="AI2440">
        <v>0</v>
      </c>
      <c r="AJ2440">
        <v>0</v>
      </c>
      <c r="AK2440">
        <v>0</v>
      </c>
      <c r="AL2440">
        <v>0</v>
      </c>
      <c r="AM2440">
        <v>0</v>
      </c>
      <c r="AN2440">
        <v>0</v>
      </c>
      <c r="AO2440">
        <v>1</v>
      </c>
      <c r="AP2440">
        <v>0</v>
      </c>
      <c r="AQ2440">
        <v>0</v>
      </c>
      <c r="AR2440">
        <v>0</v>
      </c>
      <c r="AS2440">
        <v>0</v>
      </c>
      <c r="AT2440">
        <v>0</v>
      </c>
      <c r="AU2440">
        <f t="shared" si="74"/>
        <v>1</v>
      </c>
      <c r="AV2440">
        <f t="shared" si="75"/>
        <v>0</v>
      </c>
    </row>
    <row r="2441" spans="1:48" x14ac:dyDescent="0.25">
      <c r="A2441" t="s">
        <v>8518</v>
      </c>
      <c r="C2441" t="s">
        <v>8519</v>
      </c>
      <c r="D2441" t="s">
        <v>8517</v>
      </c>
      <c r="E2441" t="s">
        <v>2310</v>
      </c>
      <c r="F2441">
        <v>9</v>
      </c>
      <c r="G2441">
        <v>9.3000000000000007</v>
      </c>
      <c r="H2441" t="s">
        <v>2323</v>
      </c>
      <c r="I2441" s="21">
        <v>39370</v>
      </c>
      <c r="J2441">
        <v>2007</v>
      </c>
      <c r="K2441" s="21">
        <v>39416</v>
      </c>
      <c r="L2441">
        <v>2007</v>
      </c>
      <c r="M2441" s="21">
        <v>40108.380995370397</v>
      </c>
      <c r="N2441">
        <v>2009</v>
      </c>
      <c r="R2441" s="262">
        <v>300000</v>
      </c>
      <c r="S2441" t="s">
        <v>114</v>
      </c>
      <c r="T2441" t="s">
        <v>114</v>
      </c>
      <c r="U2441">
        <v>8</v>
      </c>
      <c r="W2441">
        <v>899</v>
      </c>
      <c r="X2441">
        <v>1</v>
      </c>
      <c r="Y2441">
        <v>0</v>
      </c>
      <c r="Z2441">
        <v>0</v>
      </c>
      <c r="AA2441">
        <v>0</v>
      </c>
      <c r="AB2441">
        <v>0</v>
      </c>
      <c r="AC2441">
        <v>0</v>
      </c>
      <c r="AD2441">
        <v>0</v>
      </c>
      <c r="AE2441">
        <v>0</v>
      </c>
      <c r="AF2441">
        <v>899</v>
      </c>
      <c r="AG2441">
        <v>0</v>
      </c>
      <c r="AH2441">
        <v>0</v>
      </c>
      <c r="AI2441">
        <v>0</v>
      </c>
      <c r="AJ2441">
        <v>0</v>
      </c>
      <c r="AK2441">
        <v>0</v>
      </c>
      <c r="AL2441">
        <v>0</v>
      </c>
      <c r="AM2441">
        <v>0</v>
      </c>
      <c r="AN2441">
        <v>0</v>
      </c>
      <c r="AO2441">
        <v>0</v>
      </c>
      <c r="AP2441">
        <v>0</v>
      </c>
      <c r="AQ2441">
        <v>0</v>
      </c>
      <c r="AR2441">
        <v>1</v>
      </c>
      <c r="AS2441">
        <v>0</v>
      </c>
      <c r="AT2441">
        <v>0</v>
      </c>
      <c r="AU2441">
        <f t="shared" si="74"/>
        <v>0</v>
      </c>
      <c r="AV2441">
        <f t="shared" si="75"/>
        <v>0</v>
      </c>
    </row>
    <row r="2442" spans="1:48" x14ac:dyDescent="0.25">
      <c r="A2442" t="s">
        <v>8520</v>
      </c>
      <c r="C2442" t="s">
        <v>8521</v>
      </c>
      <c r="D2442" t="s">
        <v>8522</v>
      </c>
      <c r="E2442" t="s">
        <v>2310</v>
      </c>
      <c r="F2442">
        <v>12</v>
      </c>
      <c r="G2442">
        <v>12.3</v>
      </c>
      <c r="H2442" t="s">
        <v>2017</v>
      </c>
      <c r="I2442" s="21">
        <v>39371</v>
      </c>
      <c r="J2442">
        <v>2007</v>
      </c>
      <c r="K2442" s="21">
        <v>39406</v>
      </c>
      <c r="L2442">
        <v>2007</v>
      </c>
      <c r="M2442" s="21">
        <v>39654</v>
      </c>
      <c r="N2442">
        <v>2008</v>
      </c>
      <c r="R2442" s="262">
        <v>10000</v>
      </c>
      <c r="S2442" t="s">
        <v>114</v>
      </c>
      <c r="T2442" t="s">
        <v>114</v>
      </c>
      <c r="U2442">
        <v>5</v>
      </c>
      <c r="W2442">
        <v>0</v>
      </c>
      <c r="X2442">
        <v>0</v>
      </c>
      <c r="Y2442">
        <v>0</v>
      </c>
      <c r="Z2442">
        <v>0</v>
      </c>
      <c r="AA2442">
        <v>0</v>
      </c>
      <c r="AB2442">
        <v>0</v>
      </c>
      <c r="AC2442">
        <v>0</v>
      </c>
      <c r="AD2442">
        <v>0</v>
      </c>
      <c r="AE2442">
        <v>0</v>
      </c>
      <c r="AF2442">
        <v>0</v>
      </c>
      <c r="AG2442">
        <v>0</v>
      </c>
      <c r="AH2442">
        <v>0</v>
      </c>
      <c r="AI2442">
        <v>0</v>
      </c>
      <c r="AJ2442">
        <v>0</v>
      </c>
      <c r="AK2442">
        <v>0</v>
      </c>
      <c r="AL2442">
        <v>0</v>
      </c>
      <c r="AM2442">
        <v>0</v>
      </c>
      <c r="AN2442">
        <v>0</v>
      </c>
      <c r="AO2442">
        <v>0</v>
      </c>
      <c r="AP2442">
        <v>0</v>
      </c>
      <c r="AQ2442">
        <v>0</v>
      </c>
      <c r="AR2442">
        <v>0</v>
      </c>
      <c r="AS2442">
        <v>0</v>
      </c>
      <c r="AT2442">
        <v>0</v>
      </c>
      <c r="AU2442">
        <f t="shared" si="74"/>
        <v>0</v>
      </c>
      <c r="AV2442">
        <f t="shared" si="75"/>
        <v>0</v>
      </c>
    </row>
    <row r="2443" spans="1:48" x14ac:dyDescent="0.25">
      <c r="A2443" t="s">
        <v>8523</v>
      </c>
      <c r="C2443" t="s">
        <v>7354</v>
      </c>
      <c r="D2443" t="s">
        <v>8524</v>
      </c>
      <c r="E2443" t="s">
        <v>2310</v>
      </c>
      <c r="F2443">
        <v>8</v>
      </c>
      <c r="G2443">
        <v>8.1999999999999993</v>
      </c>
      <c r="H2443" t="s">
        <v>2022</v>
      </c>
      <c r="I2443" s="21">
        <v>39371</v>
      </c>
      <c r="J2443">
        <v>2007</v>
      </c>
      <c r="K2443" s="21">
        <v>39421</v>
      </c>
      <c r="L2443">
        <v>2007</v>
      </c>
      <c r="M2443" s="21">
        <v>39841</v>
      </c>
      <c r="N2443">
        <v>2009</v>
      </c>
      <c r="R2443" s="262">
        <v>850000</v>
      </c>
      <c r="S2443" t="s">
        <v>114</v>
      </c>
      <c r="T2443" t="s">
        <v>114</v>
      </c>
      <c r="U2443">
        <v>5</v>
      </c>
      <c r="W2443">
        <v>4879</v>
      </c>
      <c r="X2443">
        <v>1</v>
      </c>
      <c r="Y2443">
        <v>0</v>
      </c>
      <c r="Z2443">
        <v>0</v>
      </c>
      <c r="AA2443">
        <v>0</v>
      </c>
      <c r="AB2443">
        <v>0</v>
      </c>
      <c r="AC2443">
        <v>4879</v>
      </c>
      <c r="AD2443">
        <v>0</v>
      </c>
      <c r="AE2443">
        <v>0</v>
      </c>
      <c r="AF2443">
        <v>0</v>
      </c>
      <c r="AG2443">
        <v>0</v>
      </c>
      <c r="AH2443">
        <v>0</v>
      </c>
      <c r="AI2443">
        <v>0</v>
      </c>
      <c r="AJ2443">
        <v>0</v>
      </c>
      <c r="AK2443">
        <v>0</v>
      </c>
      <c r="AL2443">
        <v>0</v>
      </c>
      <c r="AM2443">
        <v>0</v>
      </c>
      <c r="AN2443">
        <v>0</v>
      </c>
      <c r="AO2443">
        <v>1</v>
      </c>
      <c r="AP2443">
        <v>0</v>
      </c>
      <c r="AQ2443">
        <v>0</v>
      </c>
      <c r="AR2443">
        <v>0</v>
      </c>
      <c r="AS2443">
        <v>0</v>
      </c>
      <c r="AT2443">
        <v>0</v>
      </c>
      <c r="AU2443">
        <f t="shared" si="74"/>
        <v>1</v>
      </c>
      <c r="AV2443">
        <f t="shared" si="75"/>
        <v>0</v>
      </c>
    </row>
    <row r="2444" spans="1:48" x14ac:dyDescent="0.25">
      <c r="A2444" t="s">
        <v>8525</v>
      </c>
      <c r="C2444" t="s">
        <v>8526</v>
      </c>
      <c r="D2444" t="s">
        <v>8527</v>
      </c>
      <c r="E2444" t="s">
        <v>1663</v>
      </c>
      <c r="F2444">
        <v>2</v>
      </c>
      <c r="G2444">
        <v>2.6</v>
      </c>
      <c r="H2444" t="s">
        <v>2327</v>
      </c>
      <c r="I2444" s="21">
        <v>39372</v>
      </c>
      <c r="J2444">
        <v>2007</v>
      </c>
      <c r="K2444" s="21">
        <v>39403</v>
      </c>
      <c r="L2444">
        <v>2007</v>
      </c>
      <c r="M2444" s="21">
        <v>39555</v>
      </c>
      <c r="N2444">
        <v>2008</v>
      </c>
      <c r="Q2444" s="262">
        <v>0</v>
      </c>
      <c r="S2444" t="s">
        <v>114</v>
      </c>
      <c r="T2444" t="s">
        <v>114</v>
      </c>
      <c r="W2444">
        <v>540</v>
      </c>
      <c r="X2444">
        <v>0</v>
      </c>
      <c r="Y2444">
        <v>0</v>
      </c>
      <c r="Z2444">
        <v>0</v>
      </c>
      <c r="AA2444">
        <v>0</v>
      </c>
      <c r="AB2444">
        <v>0</v>
      </c>
      <c r="AC2444">
        <v>540</v>
      </c>
      <c r="AD2444">
        <v>0</v>
      </c>
      <c r="AE2444">
        <v>0</v>
      </c>
      <c r="AF2444">
        <v>0</v>
      </c>
      <c r="AG2444">
        <v>0</v>
      </c>
      <c r="AH2444">
        <v>0</v>
      </c>
      <c r="AI2444">
        <v>0</v>
      </c>
      <c r="AJ2444">
        <v>0</v>
      </c>
      <c r="AK2444">
        <v>0</v>
      </c>
      <c r="AL2444">
        <v>0</v>
      </c>
      <c r="AM2444">
        <v>0</v>
      </c>
      <c r="AN2444">
        <v>0</v>
      </c>
      <c r="AO2444">
        <v>0</v>
      </c>
      <c r="AP2444">
        <v>0</v>
      </c>
      <c r="AQ2444">
        <v>0</v>
      </c>
      <c r="AR2444">
        <v>0</v>
      </c>
      <c r="AS2444">
        <v>0</v>
      </c>
      <c r="AT2444">
        <v>0</v>
      </c>
      <c r="AU2444">
        <f t="shared" si="74"/>
        <v>0</v>
      </c>
      <c r="AV2444">
        <f t="shared" si="75"/>
        <v>0</v>
      </c>
    </row>
    <row r="2445" spans="1:48" x14ac:dyDescent="0.25">
      <c r="A2445" t="s">
        <v>8528</v>
      </c>
      <c r="C2445" t="s">
        <v>8529</v>
      </c>
      <c r="D2445" t="s">
        <v>8530</v>
      </c>
      <c r="E2445" t="s">
        <v>2310</v>
      </c>
      <c r="F2445">
        <v>9</v>
      </c>
      <c r="G2445">
        <v>9.1999999999999993</v>
      </c>
      <c r="H2445" t="s">
        <v>2022</v>
      </c>
      <c r="I2445" s="21">
        <v>39377</v>
      </c>
      <c r="J2445">
        <v>2007</v>
      </c>
      <c r="K2445" s="21">
        <v>39421</v>
      </c>
      <c r="L2445">
        <v>2007</v>
      </c>
      <c r="M2445" s="21">
        <v>40050.652361111097</v>
      </c>
      <c r="N2445">
        <v>2009</v>
      </c>
      <c r="R2445" s="262">
        <v>98000</v>
      </c>
      <c r="S2445" t="s">
        <v>114</v>
      </c>
      <c r="T2445" t="s">
        <v>114</v>
      </c>
      <c r="U2445">
        <v>4</v>
      </c>
      <c r="W2445">
        <v>1992</v>
      </c>
      <c r="X2445">
        <v>0</v>
      </c>
      <c r="Y2445">
        <v>0</v>
      </c>
      <c r="Z2445">
        <v>0</v>
      </c>
      <c r="AA2445">
        <v>0</v>
      </c>
      <c r="AB2445">
        <v>1992</v>
      </c>
      <c r="AC2445">
        <v>0</v>
      </c>
      <c r="AD2445">
        <v>0</v>
      </c>
      <c r="AE2445">
        <v>0</v>
      </c>
      <c r="AF2445">
        <v>0</v>
      </c>
      <c r="AG2445">
        <v>0</v>
      </c>
      <c r="AH2445">
        <v>0</v>
      </c>
      <c r="AI2445">
        <v>0</v>
      </c>
      <c r="AJ2445">
        <v>0</v>
      </c>
      <c r="AK2445">
        <v>0</v>
      </c>
      <c r="AL2445">
        <v>0</v>
      </c>
      <c r="AM2445">
        <v>0</v>
      </c>
      <c r="AN2445">
        <v>0</v>
      </c>
      <c r="AO2445">
        <v>0</v>
      </c>
      <c r="AP2445">
        <v>0</v>
      </c>
      <c r="AQ2445">
        <v>0</v>
      </c>
      <c r="AR2445">
        <v>0</v>
      </c>
      <c r="AS2445">
        <v>0</v>
      </c>
      <c r="AT2445">
        <v>0</v>
      </c>
      <c r="AU2445">
        <f t="shared" si="74"/>
        <v>0</v>
      </c>
      <c r="AV2445">
        <f t="shared" si="75"/>
        <v>1992</v>
      </c>
    </row>
    <row r="2446" spans="1:48" x14ac:dyDescent="0.25">
      <c r="A2446" t="s">
        <v>8531</v>
      </c>
      <c r="C2446" t="s">
        <v>8532</v>
      </c>
      <c r="D2446" t="s">
        <v>8533</v>
      </c>
      <c r="E2446" t="s">
        <v>2310</v>
      </c>
      <c r="F2446">
        <v>12</v>
      </c>
      <c r="G2446">
        <v>12.2</v>
      </c>
      <c r="H2446" t="s">
        <v>2017</v>
      </c>
      <c r="I2446" s="21">
        <v>39378</v>
      </c>
      <c r="J2446">
        <v>2007</v>
      </c>
      <c r="K2446" s="21">
        <v>39419</v>
      </c>
      <c r="L2446">
        <v>2007</v>
      </c>
      <c r="M2446" s="21">
        <v>39419</v>
      </c>
      <c r="N2446">
        <v>2007</v>
      </c>
      <c r="R2446" s="262">
        <v>200000</v>
      </c>
      <c r="S2446" t="s">
        <v>114</v>
      </c>
      <c r="T2446" t="s">
        <v>114</v>
      </c>
      <c r="U2446">
        <v>8</v>
      </c>
      <c r="W2446">
        <v>991</v>
      </c>
      <c r="X2446">
        <v>1</v>
      </c>
      <c r="Y2446">
        <v>0</v>
      </c>
      <c r="Z2446">
        <v>0</v>
      </c>
      <c r="AA2446">
        <v>0</v>
      </c>
      <c r="AB2446">
        <v>0</v>
      </c>
      <c r="AC2446">
        <v>0</v>
      </c>
      <c r="AD2446">
        <v>0</v>
      </c>
      <c r="AE2446">
        <v>0</v>
      </c>
      <c r="AF2446">
        <v>991</v>
      </c>
      <c r="AG2446">
        <v>0</v>
      </c>
      <c r="AH2446">
        <v>0</v>
      </c>
      <c r="AI2446">
        <v>0</v>
      </c>
      <c r="AJ2446">
        <v>0</v>
      </c>
      <c r="AK2446">
        <v>0</v>
      </c>
      <c r="AL2446">
        <v>0</v>
      </c>
      <c r="AM2446">
        <v>0</v>
      </c>
      <c r="AN2446">
        <v>0</v>
      </c>
      <c r="AO2446">
        <v>0</v>
      </c>
      <c r="AP2446">
        <v>0</v>
      </c>
      <c r="AQ2446">
        <v>0</v>
      </c>
      <c r="AR2446">
        <v>1</v>
      </c>
      <c r="AS2446">
        <v>0</v>
      </c>
      <c r="AT2446">
        <v>0</v>
      </c>
      <c r="AU2446">
        <f t="shared" si="74"/>
        <v>0</v>
      </c>
      <c r="AV2446">
        <f t="shared" si="75"/>
        <v>0</v>
      </c>
    </row>
    <row r="2447" spans="1:48" x14ac:dyDescent="0.25">
      <c r="A2447" t="s">
        <v>8534</v>
      </c>
      <c r="C2447" t="s">
        <v>8535</v>
      </c>
      <c r="D2447" t="s">
        <v>8536</v>
      </c>
      <c r="E2447" t="s">
        <v>2310</v>
      </c>
      <c r="F2447">
        <v>14</v>
      </c>
      <c r="G2447">
        <v>14.1</v>
      </c>
      <c r="H2447" t="s">
        <v>2022</v>
      </c>
      <c r="I2447" s="21">
        <v>39378</v>
      </c>
      <c r="J2447">
        <v>2007</v>
      </c>
      <c r="K2447" s="21">
        <v>39434</v>
      </c>
      <c r="L2447">
        <v>2007</v>
      </c>
      <c r="M2447" s="21">
        <v>40616.455254629604</v>
      </c>
      <c r="N2447">
        <v>2011</v>
      </c>
      <c r="R2447" s="262">
        <v>434000</v>
      </c>
      <c r="S2447" t="s">
        <v>114</v>
      </c>
      <c r="T2447" t="s">
        <v>114</v>
      </c>
      <c r="U2447">
        <v>5</v>
      </c>
      <c r="W2447">
        <v>4552</v>
      </c>
      <c r="X2447">
        <v>1</v>
      </c>
      <c r="Y2447">
        <v>0</v>
      </c>
      <c r="Z2447">
        <v>0</v>
      </c>
      <c r="AA2447">
        <v>0</v>
      </c>
      <c r="AB2447">
        <v>0</v>
      </c>
      <c r="AC2447">
        <v>4552</v>
      </c>
      <c r="AD2447">
        <v>0</v>
      </c>
      <c r="AE2447">
        <v>0</v>
      </c>
      <c r="AF2447">
        <v>0</v>
      </c>
      <c r="AG2447">
        <v>0</v>
      </c>
      <c r="AH2447">
        <v>0</v>
      </c>
      <c r="AI2447">
        <v>0</v>
      </c>
      <c r="AJ2447">
        <v>0</v>
      </c>
      <c r="AK2447">
        <v>0</v>
      </c>
      <c r="AL2447">
        <v>0</v>
      </c>
      <c r="AM2447">
        <v>0</v>
      </c>
      <c r="AN2447">
        <v>0</v>
      </c>
      <c r="AO2447">
        <v>1</v>
      </c>
      <c r="AP2447">
        <v>0</v>
      </c>
      <c r="AQ2447">
        <v>0</v>
      </c>
      <c r="AR2447">
        <v>0</v>
      </c>
      <c r="AS2447">
        <v>0</v>
      </c>
      <c r="AT2447">
        <v>0</v>
      </c>
      <c r="AU2447">
        <f t="shared" si="74"/>
        <v>1</v>
      </c>
      <c r="AV2447">
        <f t="shared" si="75"/>
        <v>0</v>
      </c>
    </row>
    <row r="2448" spans="1:48" x14ac:dyDescent="0.25">
      <c r="A2448" t="s">
        <v>8537</v>
      </c>
      <c r="C2448" t="s">
        <v>8538</v>
      </c>
      <c r="D2448" t="s">
        <v>6437</v>
      </c>
      <c r="E2448" t="s">
        <v>2310</v>
      </c>
      <c r="F2448">
        <v>15</v>
      </c>
      <c r="G2448">
        <v>15.3</v>
      </c>
      <c r="H2448" t="s">
        <v>2022</v>
      </c>
      <c r="I2448" s="21">
        <v>39378</v>
      </c>
      <c r="J2448">
        <v>2007</v>
      </c>
      <c r="K2448" s="21">
        <v>39421</v>
      </c>
      <c r="L2448">
        <v>2007</v>
      </c>
      <c r="M2448" s="21">
        <v>39682</v>
      </c>
      <c r="N2448">
        <v>2008</v>
      </c>
      <c r="R2448" s="262">
        <v>439000</v>
      </c>
      <c r="S2448" t="s">
        <v>114</v>
      </c>
      <c r="T2448" t="s">
        <v>114</v>
      </c>
      <c r="U2448">
        <v>5</v>
      </c>
      <c r="W2448">
        <v>1327</v>
      </c>
      <c r="X2448">
        <v>0</v>
      </c>
      <c r="Y2448">
        <v>0</v>
      </c>
      <c r="Z2448">
        <v>0</v>
      </c>
      <c r="AA2448">
        <v>0</v>
      </c>
      <c r="AB2448">
        <v>0</v>
      </c>
      <c r="AC2448">
        <v>1327</v>
      </c>
      <c r="AD2448">
        <v>0</v>
      </c>
      <c r="AE2448">
        <v>0</v>
      </c>
      <c r="AF2448">
        <v>0</v>
      </c>
      <c r="AG2448">
        <v>0</v>
      </c>
      <c r="AH2448">
        <v>0</v>
      </c>
      <c r="AI2448">
        <v>0</v>
      </c>
      <c r="AJ2448">
        <v>0</v>
      </c>
      <c r="AK2448">
        <v>0</v>
      </c>
      <c r="AL2448">
        <v>0</v>
      </c>
      <c r="AM2448">
        <v>0</v>
      </c>
      <c r="AN2448">
        <v>0</v>
      </c>
      <c r="AO2448">
        <v>0</v>
      </c>
      <c r="AP2448">
        <v>0</v>
      </c>
      <c r="AQ2448">
        <v>0</v>
      </c>
      <c r="AR2448">
        <v>0</v>
      </c>
      <c r="AS2448">
        <v>0</v>
      </c>
      <c r="AT2448">
        <v>0</v>
      </c>
      <c r="AU2448">
        <f t="shared" si="74"/>
        <v>0</v>
      </c>
      <c r="AV2448">
        <f t="shared" si="75"/>
        <v>0</v>
      </c>
    </row>
    <row r="2449" spans="1:48" x14ac:dyDescent="0.25">
      <c r="A2449" t="s">
        <v>8539</v>
      </c>
      <c r="C2449" t="s">
        <v>8540</v>
      </c>
      <c r="D2449" t="s">
        <v>8541</v>
      </c>
      <c r="E2449" t="s">
        <v>2310</v>
      </c>
      <c r="F2449">
        <v>9</v>
      </c>
      <c r="G2449">
        <v>9.3000000000000007</v>
      </c>
      <c r="H2449" t="s">
        <v>2323</v>
      </c>
      <c r="I2449" s="21">
        <v>39380</v>
      </c>
      <c r="J2449">
        <v>2007</v>
      </c>
      <c r="K2449" s="21">
        <v>39426</v>
      </c>
      <c r="L2449">
        <v>2007</v>
      </c>
      <c r="M2449" s="21">
        <v>39799</v>
      </c>
      <c r="N2449">
        <v>2008</v>
      </c>
      <c r="R2449" s="262">
        <v>70000</v>
      </c>
      <c r="S2449" t="s">
        <v>114</v>
      </c>
      <c r="T2449" t="s">
        <v>114</v>
      </c>
      <c r="U2449">
        <v>5</v>
      </c>
      <c r="W2449">
        <v>2196</v>
      </c>
      <c r="X2449">
        <v>0</v>
      </c>
      <c r="Y2449">
        <v>0</v>
      </c>
      <c r="Z2449">
        <v>0</v>
      </c>
      <c r="AA2449">
        <v>0</v>
      </c>
      <c r="AB2449">
        <v>0</v>
      </c>
      <c r="AC2449">
        <v>2196</v>
      </c>
      <c r="AD2449">
        <v>0</v>
      </c>
      <c r="AE2449">
        <v>0</v>
      </c>
      <c r="AF2449">
        <v>0</v>
      </c>
      <c r="AG2449">
        <v>0</v>
      </c>
      <c r="AH2449">
        <v>0</v>
      </c>
      <c r="AI2449">
        <v>0</v>
      </c>
      <c r="AJ2449">
        <v>0</v>
      </c>
      <c r="AK2449">
        <v>0</v>
      </c>
      <c r="AL2449">
        <v>0</v>
      </c>
      <c r="AM2449">
        <v>0</v>
      </c>
      <c r="AN2449">
        <v>0</v>
      </c>
      <c r="AO2449">
        <v>0</v>
      </c>
      <c r="AP2449">
        <v>0</v>
      </c>
      <c r="AQ2449">
        <v>0</v>
      </c>
      <c r="AR2449">
        <v>0</v>
      </c>
      <c r="AS2449">
        <v>0</v>
      </c>
      <c r="AT2449">
        <v>0</v>
      </c>
      <c r="AU2449">
        <f t="shared" si="74"/>
        <v>0</v>
      </c>
      <c r="AV2449">
        <f t="shared" si="75"/>
        <v>0</v>
      </c>
    </row>
    <row r="2450" spans="1:48" x14ac:dyDescent="0.25">
      <c r="A2450" t="s">
        <v>8542</v>
      </c>
      <c r="C2450" t="s">
        <v>8543</v>
      </c>
      <c r="D2450" t="s">
        <v>8544</v>
      </c>
      <c r="E2450" t="s">
        <v>2310</v>
      </c>
      <c r="F2450">
        <v>14</v>
      </c>
      <c r="G2450">
        <v>14.1</v>
      </c>
      <c r="H2450" t="s">
        <v>2022</v>
      </c>
      <c r="I2450" s="21">
        <v>39384</v>
      </c>
      <c r="J2450">
        <v>2007</v>
      </c>
      <c r="K2450" s="21">
        <v>39476</v>
      </c>
      <c r="L2450">
        <v>2008</v>
      </c>
      <c r="M2450" s="21">
        <v>39686</v>
      </c>
      <c r="N2450">
        <v>2008</v>
      </c>
      <c r="R2450" s="262">
        <v>1000000</v>
      </c>
      <c r="S2450" t="s">
        <v>114</v>
      </c>
      <c r="T2450" t="s">
        <v>114</v>
      </c>
      <c r="U2450">
        <v>5</v>
      </c>
      <c r="W2450">
        <v>544</v>
      </c>
      <c r="X2450">
        <v>0</v>
      </c>
      <c r="Y2450">
        <v>0</v>
      </c>
      <c r="Z2450">
        <v>0</v>
      </c>
      <c r="AA2450">
        <v>0</v>
      </c>
      <c r="AB2450">
        <v>0</v>
      </c>
      <c r="AC2450">
        <v>544</v>
      </c>
      <c r="AD2450">
        <v>0</v>
      </c>
      <c r="AE2450">
        <v>0</v>
      </c>
      <c r="AF2450">
        <v>0</v>
      </c>
      <c r="AG2450">
        <v>0</v>
      </c>
      <c r="AH2450">
        <v>0</v>
      </c>
      <c r="AI2450">
        <v>0</v>
      </c>
      <c r="AJ2450">
        <v>0</v>
      </c>
      <c r="AK2450">
        <v>0</v>
      </c>
      <c r="AL2450">
        <v>0</v>
      </c>
      <c r="AM2450">
        <v>0</v>
      </c>
      <c r="AN2450">
        <v>0</v>
      </c>
      <c r="AO2450">
        <v>0</v>
      </c>
      <c r="AP2450">
        <v>0</v>
      </c>
      <c r="AQ2450">
        <v>0</v>
      </c>
      <c r="AR2450">
        <v>0</v>
      </c>
      <c r="AS2450">
        <v>0</v>
      </c>
      <c r="AT2450">
        <v>0</v>
      </c>
      <c r="AU2450">
        <f t="shared" si="74"/>
        <v>0</v>
      </c>
      <c r="AV2450">
        <f t="shared" si="75"/>
        <v>0</v>
      </c>
    </row>
    <row r="2451" spans="1:48" x14ac:dyDescent="0.25">
      <c r="A2451" t="s">
        <v>8545</v>
      </c>
      <c r="C2451" t="s">
        <v>8546</v>
      </c>
      <c r="D2451" t="s">
        <v>8544</v>
      </c>
      <c r="E2451" t="s">
        <v>2310</v>
      </c>
      <c r="F2451">
        <v>14</v>
      </c>
      <c r="G2451">
        <v>14.1</v>
      </c>
      <c r="H2451" t="s">
        <v>2022</v>
      </c>
      <c r="I2451" s="21">
        <v>39384</v>
      </c>
      <c r="J2451">
        <v>2007</v>
      </c>
      <c r="K2451" s="21">
        <v>39476</v>
      </c>
      <c r="L2451">
        <v>2008</v>
      </c>
      <c r="M2451" s="21">
        <v>39686</v>
      </c>
      <c r="N2451">
        <v>2008</v>
      </c>
      <c r="R2451" s="262">
        <v>300000</v>
      </c>
      <c r="S2451" t="s">
        <v>114</v>
      </c>
      <c r="T2451" t="s">
        <v>114</v>
      </c>
      <c r="U2451">
        <v>8</v>
      </c>
      <c r="W2451">
        <v>2597</v>
      </c>
      <c r="X2451">
        <v>1</v>
      </c>
      <c r="Y2451">
        <v>0</v>
      </c>
      <c r="Z2451">
        <v>0</v>
      </c>
      <c r="AA2451">
        <v>0</v>
      </c>
      <c r="AB2451">
        <v>0</v>
      </c>
      <c r="AC2451">
        <v>1603</v>
      </c>
      <c r="AD2451">
        <v>0</v>
      </c>
      <c r="AE2451">
        <v>0</v>
      </c>
      <c r="AF2451">
        <v>994</v>
      </c>
      <c r="AG2451">
        <v>0</v>
      </c>
      <c r="AH2451">
        <v>0</v>
      </c>
      <c r="AI2451">
        <v>0</v>
      </c>
      <c r="AJ2451">
        <v>0</v>
      </c>
      <c r="AK2451">
        <v>0</v>
      </c>
      <c r="AL2451">
        <v>0</v>
      </c>
      <c r="AM2451">
        <v>0</v>
      </c>
      <c r="AN2451">
        <v>0</v>
      </c>
      <c r="AO2451">
        <v>0</v>
      </c>
      <c r="AP2451">
        <v>0</v>
      </c>
      <c r="AQ2451">
        <v>0</v>
      </c>
      <c r="AR2451">
        <v>1</v>
      </c>
      <c r="AS2451">
        <v>0</v>
      </c>
      <c r="AT2451">
        <v>0</v>
      </c>
      <c r="AU2451">
        <f t="shared" si="74"/>
        <v>0</v>
      </c>
      <c r="AV2451">
        <f t="shared" si="75"/>
        <v>0</v>
      </c>
    </row>
    <row r="2452" spans="1:48" x14ac:dyDescent="0.25">
      <c r="A2452" t="s">
        <v>8547</v>
      </c>
      <c r="C2452" t="s">
        <v>8548</v>
      </c>
      <c r="D2452" t="s">
        <v>8549</v>
      </c>
      <c r="E2452" t="s">
        <v>2310</v>
      </c>
      <c r="F2452">
        <v>8</v>
      </c>
      <c r="G2452">
        <v>8.3000000000000007</v>
      </c>
      <c r="H2452" t="s">
        <v>2323</v>
      </c>
      <c r="I2452" s="21">
        <v>39384</v>
      </c>
      <c r="J2452">
        <v>2007</v>
      </c>
      <c r="K2452" s="21">
        <v>39427</v>
      </c>
      <c r="L2452">
        <v>2007</v>
      </c>
      <c r="M2452" s="21">
        <v>39624</v>
      </c>
      <c r="N2452">
        <v>2008</v>
      </c>
      <c r="R2452" s="262">
        <v>40000</v>
      </c>
      <c r="S2452" t="s">
        <v>114</v>
      </c>
      <c r="T2452" t="s">
        <v>114</v>
      </c>
      <c r="U2452">
        <v>8</v>
      </c>
      <c r="W2452">
        <v>0</v>
      </c>
      <c r="X2452">
        <v>1</v>
      </c>
      <c r="Y2452">
        <v>0</v>
      </c>
      <c r="Z2452">
        <v>0</v>
      </c>
      <c r="AA2452">
        <v>0</v>
      </c>
      <c r="AB2452">
        <v>0</v>
      </c>
      <c r="AC2452">
        <v>-600</v>
      </c>
      <c r="AD2452">
        <v>0</v>
      </c>
      <c r="AE2452">
        <v>0</v>
      </c>
      <c r="AF2452">
        <v>600</v>
      </c>
      <c r="AG2452">
        <v>0</v>
      </c>
      <c r="AH2452">
        <v>0</v>
      </c>
      <c r="AI2452">
        <v>0</v>
      </c>
      <c r="AJ2452">
        <v>0</v>
      </c>
      <c r="AK2452">
        <v>0</v>
      </c>
      <c r="AL2452">
        <v>0</v>
      </c>
      <c r="AM2452">
        <v>0</v>
      </c>
      <c r="AN2452">
        <v>0</v>
      </c>
      <c r="AO2452">
        <v>0</v>
      </c>
      <c r="AP2452">
        <v>0</v>
      </c>
      <c r="AQ2452">
        <v>0</v>
      </c>
      <c r="AR2452">
        <v>1</v>
      </c>
      <c r="AS2452">
        <v>0</v>
      </c>
      <c r="AT2452">
        <v>0</v>
      </c>
      <c r="AU2452">
        <f t="shared" si="74"/>
        <v>0</v>
      </c>
      <c r="AV2452">
        <f t="shared" si="75"/>
        <v>0</v>
      </c>
    </row>
    <row r="2453" spans="1:48" x14ac:dyDescent="0.25">
      <c r="A2453" t="s">
        <v>8550</v>
      </c>
      <c r="C2453" t="s">
        <v>8551</v>
      </c>
      <c r="D2453" t="s">
        <v>8552</v>
      </c>
      <c r="E2453" t="s">
        <v>1663</v>
      </c>
      <c r="F2453">
        <v>3</v>
      </c>
      <c r="G2453">
        <v>3.1</v>
      </c>
      <c r="H2453" t="s">
        <v>2017</v>
      </c>
      <c r="I2453" s="21">
        <v>39387</v>
      </c>
      <c r="J2453">
        <v>2007</v>
      </c>
      <c r="K2453" s="21">
        <v>39417</v>
      </c>
      <c r="L2453">
        <v>2007</v>
      </c>
      <c r="M2453" s="21">
        <v>39569</v>
      </c>
      <c r="N2453">
        <v>2008</v>
      </c>
      <c r="Q2453" s="262">
        <v>0</v>
      </c>
      <c r="S2453" t="s">
        <v>114</v>
      </c>
      <c r="T2453" t="s">
        <v>114</v>
      </c>
      <c r="W2453">
        <v>2585</v>
      </c>
      <c r="X2453">
        <v>1</v>
      </c>
      <c r="Y2453">
        <v>0</v>
      </c>
      <c r="Z2453">
        <v>0</v>
      </c>
      <c r="AA2453">
        <v>0</v>
      </c>
      <c r="AB2453">
        <v>0</v>
      </c>
      <c r="AC2453">
        <v>2585</v>
      </c>
      <c r="AD2453">
        <v>0</v>
      </c>
      <c r="AE2453">
        <v>0</v>
      </c>
      <c r="AF2453">
        <v>0</v>
      </c>
      <c r="AG2453">
        <v>0</v>
      </c>
      <c r="AH2453">
        <v>0</v>
      </c>
      <c r="AI2453">
        <v>0</v>
      </c>
      <c r="AJ2453">
        <v>0</v>
      </c>
      <c r="AK2453">
        <v>0</v>
      </c>
      <c r="AL2453">
        <v>0</v>
      </c>
      <c r="AM2453">
        <v>0</v>
      </c>
      <c r="AN2453">
        <v>0</v>
      </c>
      <c r="AO2453">
        <v>1</v>
      </c>
      <c r="AP2453">
        <v>0</v>
      </c>
      <c r="AQ2453">
        <v>0</v>
      </c>
      <c r="AR2453">
        <v>0</v>
      </c>
      <c r="AS2453">
        <v>0</v>
      </c>
      <c r="AT2453">
        <v>0</v>
      </c>
      <c r="AU2453">
        <f t="shared" si="74"/>
        <v>1</v>
      </c>
      <c r="AV2453">
        <f t="shared" si="75"/>
        <v>0</v>
      </c>
    </row>
    <row r="2454" spans="1:48" x14ac:dyDescent="0.25">
      <c r="A2454" t="s">
        <v>8553</v>
      </c>
      <c r="C2454" t="s">
        <v>8554</v>
      </c>
      <c r="D2454" t="s">
        <v>4683</v>
      </c>
      <c r="E2454" t="s">
        <v>1663</v>
      </c>
      <c r="F2454">
        <v>2</v>
      </c>
      <c r="G2454">
        <v>2.6</v>
      </c>
      <c r="H2454" t="s">
        <v>2327</v>
      </c>
      <c r="I2454" s="21">
        <v>39387</v>
      </c>
      <c r="J2454">
        <v>2007</v>
      </c>
      <c r="K2454" s="21">
        <v>39417</v>
      </c>
      <c r="L2454">
        <v>2007</v>
      </c>
      <c r="M2454" s="21">
        <v>39569</v>
      </c>
      <c r="N2454">
        <v>2008</v>
      </c>
      <c r="Q2454" s="262">
        <v>0</v>
      </c>
      <c r="S2454" t="s">
        <v>114</v>
      </c>
      <c r="T2454" t="s">
        <v>114</v>
      </c>
      <c r="W2454">
        <v>200</v>
      </c>
      <c r="X2454">
        <v>0</v>
      </c>
      <c r="Y2454">
        <v>0</v>
      </c>
      <c r="Z2454">
        <v>0</v>
      </c>
      <c r="AA2454">
        <v>0</v>
      </c>
      <c r="AB2454">
        <v>0</v>
      </c>
      <c r="AC2454">
        <v>0</v>
      </c>
      <c r="AD2454">
        <v>0</v>
      </c>
      <c r="AE2454">
        <v>0</v>
      </c>
      <c r="AF2454">
        <v>0</v>
      </c>
      <c r="AG2454">
        <v>0</v>
      </c>
      <c r="AH2454">
        <v>0</v>
      </c>
      <c r="AI2454">
        <v>0</v>
      </c>
      <c r="AJ2454">
        <v>0</v>
      </c>
      <c r="AK2454">
        <v>0</v>
      </c>
      <c r="AL2454">
        <v>0</v>
      </c>
      <c r="AM2454">
        <v>200</v>
      </c>
      <c r="AN2454">
        <v>0</v>
      </c>
      <c r="AO2454">
        <v>0</v>
      </c>
      <c r="AP2454">
        <v>0</v>
      </c>
      <c r="AQ2454">
        <v>0</v>
      </c>
      <c r="AR2454">
        <v>0</v>
      </c>
      <c r="AS2454">
        <v>0</v>
      </c>
      <c r="AT2454">
        <v>0</v>
      </c>
      <c r="AU2454">
        <f t="shared" si="74"/>
        <v>0</v>
      </c>
      <c r="AV2454">
        <f t="shared" si="75"/>
        <v>200</v>
      </c>
    </row>
    <row r="2455" spans="1:48" x14ac:dyDescent="0.25">
      <c r="A2455" t="s">
        <v>8555</v>
      </c>
      <c r="C2455" t="s">
        <v>8556</v>
      </c>
      <c r="D2455" t="s">
        <v>6377</v>
      </c>
      <c r="E2455" t="s">
        <v>2310</v>
      </c>
      <c r="F2455">
        <v>9</v>
      </c>
      <c r="G2455">
        <v>9.4</v>
      </c>
      <c r="H2455" t="s">
        <v>2323</v>
      </c>
      <c r="I2455" s="21">
        <v>39391</v>
      </c>
      <c r="J2455">
        <v>2007</v>
      </c>
      <c r="K2455" s="21">
        <v>39421</v>
      </c>
      <c r="L2455">
        <v>2007</v>
      </c>
      <c r="M2455" s="21">
        <v>39897</v>
      </c>
      <c r="N2455">
        <v>2009</v>
      </c>
      <c r="R2455" s="262">
        <v>19000</v>
      </c>
      <c r="S2455" t="s">
        <v>114</v>
      </c>
      <c r="T2455" t="s">
        <v>114</v>
      </c>
      <c r="U2455">
        <v>5</v>
      </c>
      <c r="W2455">
        <v>0</v>
      </c>
      <c r="X2455">
        <v>0</v>
      </c>
      <c r="Y2455">
        <v>0</v>
      </c>
      <c r="Z2455">
        <v>0</v>
      </c>
      <c r="AA2455">
        <v>0</v>
      </c>
      <c r="AB2455">
        <v>0</v>
      </c>
      <c r="AC2455">
        <v>0</v>
      </c>
      <c r="AD2455">
        <v>0</v>
      </c>
      <c r="AE2455">
        <v>0</v>
      </c>
      <c r="AF2455">
        <v>0</v>
      </c>
      <c r="AG2455">
        <v>0</v>
      </c>
      <c r="AH2455">
        <v>0</v>
      </c>
      <c r="AI2455">
        <v>0</v>
      </c>
      <c r="AJ2455">
        <v>0</v>
      </c>
      <c r="AK2455">
        <v>0</v>
      </c>
      <c r="AL2455">
        <v>0</v>
      </c>
      <c r="AM2455">
        <v>0</v>
      </c>
      <c r="AN2455">
        <v>0</v>
      </c>
      <c r="AO2455">
        <v>0</v>
      </c>
      <c r="AP2455">
        <v>0</v>
      </c>
      <c r="AQ2455">
        <v>0</v>
      </c>
      <c r="AR2455">
        <v>0</v>
      </c>
      <c r="AS2455">
        <v>0</v>
      </c>
      <c r="AT2455">
        <v>0</v>
      </c>
      <c r="AU2455">
        <f t="shared" si="74"/>
        <v>0</v>
      </c>
      <c r="AV2455">
        <f t="shared" si="75"/>
        <v>0</v>
      </c>
    </row>
    <row r="2456" spans="1:48" x14ac:dyDescent="0.25">
      <c r="A2456" t="s">
        <v>8557</v>
      </c>
      <c r="C2456" t="s">
        <v>8558</v>
      </c>
      <c r="D2456" t="s">
        <v>8559</v>
      </c>
      <c r="E2456" t="s">
        <v>2310</v>
      </c>
      <c r="F2456">
        <v>12</v>
      </c>
      <c r="G2456">
        <v>12.2</v>
      </c>
      <c r="H2456" t="s">
        <v>2017</v>
      </c>
      <c r="I2456" s="21">
        <v>39392</v>
      </c>
      <c r="J2456">
        <v>2007</v>
      </c>
      <c r="K2456" s="21">
        <v>39426</v>
      </c>
      <c r="L2456">
        <v>2007</v>
      </c>
      <c r="M2456" s="21">
        <v>39654</v>
      </c>
      <c r="N2456">
        <v>2008</v>
      </c>
      <c r="R2456" s="262">
        <v>50000</v>
      </c>
      <c r="S2456" t="s">
        <v>114</v>
      </c>
      <c r="T2456" t="s">
        <v>114</v>
      </c>
      <c r="U2456">
        <v>5</v>
      </c>
      <c r="W2456">
        <v>340</v>
      </c>
      <c r="X2456">
        <v>0</v>
      </c>
      <c r="Y2456">
        <v>0</v>
      </c>
      <c r="Z2456">
        <v>0</v>
      </c>
      <c r="AA2456">
        <v>0</v>
      </c>
      <c r="AB2456">
        <v>0</v>
      </c>
      <c r="AC2456">
        <v>340</v>
      </c>
      <c r="AD2456">
        <v>0</v>
      </c>
      <c r="AE2456">
        <v>0</v>
      </c>
      <c r="AF2456">
        <v>0</v>
      </c>
      <c r="AG2456">
        <v>0</v>
      </c>
      <c r="AH2456">
        <v>0</v>
      </c>
      <c r="AI2456">
        <v>0</v>
      </c>
      <c r="AJ2456">
        <v>0</v>
      </c>
      <c r="AK2456">
        <v>0</v>
      </c>
      <c r="AL2456">
        <v>0</v>
      </c>
      <c r="AM2456">
        <v>0</v>
      </c>
      <c r="AN2456">
        <v>0</v>
      </c>
      <c r="AO2456">
        <v>0</v>
      </c>
      <c r="AP2456">
        <v>0</v>
      </c>
      <c r="AQ2456">
        <v>0</v>
      </c>
      <c r="AR2456">
        <v>0</v>
      </c>
      <c r="AS2456">
        <v>0</v>
      </c>
      <c r="AT2456">
        <v>0</v>
      </c>
      <c r="AU2456">
        <f t="shared" si="74"/>
        <v>0</v>
      </c>
      <c r="AV2456">
        <f t="shared" si="75"/>
        <v>0</v>
      </c>
    </row>
    <row r="2457" spans="1:48" x14ac:dyDescent="0.25">
      <c r="A2457" t="s">
        <v>8560</v>
      </c>
      <c r="C2457" t="s">
        <v>8561</v>
      </c>
      <c r="D2457" t="s">
        <v>8211</v>
      </c>
      <c r="E2457" t="s">
        <v>2310</v>
      </c>
      <c r="F2457">
        <v>9</v>
      </c>
      <c r="G2457">
        <v>9.1</v>
      </c>
      <c r="H2457" t="s">
        <v>2323</v>
      </c>
      <c r="I2457" s="21">
        <v>39392</v>
      </c>
      <c r="J2457">
        <v>2007</v>
      </c>
      <c r="K2457" s="21">
        <v>39427</v>
      </c>
      <c r="L2457">
        <v>2007</v>
      </c>
      <c r="M2457" s="21">
        <v>40015.447638888902</v>
      </c>
      <c r="N2457">
        <v>2009</v>
      </c>
      <c r="R2457" s="262">
        <v>2125000</v>
      </c>
      <c r="S2457" t="s">
        <v>114</v>
      </c>
      <c r="T2457" t="s">
        <v>114</v>
      </c>
      <c r="U2457">
        <v>5</v>
      </c>
      <c r="W2457">
        <v>1812</v>
      </c>
      <c r="X2457">
        <v>0</v>
      </c>
      <c r="Y2457">
        <v>0</v>
      </c>
      <c r="Z2457">
        <v>0</v>
      </c>
      <c r="AA2457">
        <v>0</v>
      </c>
      <c r="AB2457">
        <v>0</v>
      </c>
      <c r="AC2457">
        <v>1812</v>
      </c>
      <c r="AD2457">
        <v>0</v>
      </c>
      <c r="AE2457">
        <v>0</v>
      </c>
      <c r="AF2457">
        <v>0</v>
      </c>
      <c r="AG2457">
        <v>0</v>
      </c>
      <c r="AH2457">
        <v>0</v>
      </c>
      <c r="AI2457">
        <v>0</v>
      </c>
      <c r="AJ2457">
        <v>0</v>
      </c>
      <c r="AK2457">
        <v>0</v>
      </c>
      <c r="AL2457">
        <v>0</v>
      </c>
      <c r="AM2457">
        <v>0</v>
      </c>
      <c r="AN2457">
        <v>0</v>
      </c>
      <c r="AO2457">
        <v>0</v>
      </c>
      <c r="AP2457">
        <v>0</v>
      </c>
      <c r="AQ2457">
        <v>0</v>
      </c>
      <c r="AR2457">
        <v>0</v>
      </c>
      <c r="AS2457">
        <v>0</v>
      </c>
      <c r="AT2457">
        <v>0</v>
      </c>
      <c r="AU2457">
        <f t="shared" ref="AU2457:AU2520" si="76">SUM(AN2457:AQ2457,AS2457)</f>
        <v>0</v>
      </c>
      <c r="AV2457">
        <f t="shared" ref="AV2457:AV2520" si="77">SUM(Y2457:AB2457,AH2457:AM2457)</f>
        <v>0</v>
      </c>
    </row>
    <row r="2458" spans="1:48" x14ac:dyDescent="0.25">
      <c r="A2458" t="s">
        <v>8562</v>
      </c>
      <c r="C2458" t="s">
        <v>8563</v>
      </c>
      <c r="D2458" t="s">
        <v>6394</v>
      </c>
      <c r="E2458" t="s">
        <v>2310</v>
      </c>
      <c r="F2458">
        <v>8</v>
      </c>
      <c r="G2458">
        <v>8.1999999999999993</v>
      </c>
      <c r="H2458" t="s">
        <v>2022</v>
      </c>
      <c r="I2458" s="21">
        <v>39392</v>
      </c>
      <c r="J2458">
        <v>2007</v>
      </c>
      <c r="K2458" s="21">
        <v>39444</v>
      </c>
      <c r="L2458">
        <v>2007</v>
      </c>
      <c r="M2458" s="21">
        <v>39805</v>
      </c>
      <c r="N2458">
        <v>2008</v>
      </c>
      <c r="R2458" s="262">
        <v>125000</v>
      </c>
      <c r="S2458" t="s">
        <v>114</v>
      </c>
      <c r="T2458" t="s">
        <v>114</v>
      </c>
      <c r="U2458">
        <v>5</v>
      </c>
      <c r="W2458">
        <v>216</v>
      </c>
      <c r="X2458">
        <v>0</v>
      </c>
      <c r="Y2458">
        <v>0</v>
      </c>
      <c r="Z2458">
        <v>0</v>
      </c>
      <c r="AA2458">
        <v>0</v>
      </c>
      <c r="AB2458">
        <v>0</v>
      </c>
      <c r="AC2458">
        <v>216</v>
      </c>
      <c r="AD2458">
        <v>0</v>
      </c>
      <c r="AE2458">
        <v>0</v>
      </c>
      <c r="AF2458">
        <v>0</v>
      </c>
      <c r="AG2458">
        <v>0</v>
      </c>
      <c r="AH2458">
        <v>0</v>
      </c>
      <c r="AI2458">
        <v>0</v>
      </c>
      <c r="AJ2458">
        <v>0</v>
      </c>
      <c r="AK2458">
        <v>0</v>
      </c>
      <c r="AL2458">
        <v>0</v>
      </c>
      <c r="AM2458">
        <v>0</v>
      </c>
      <c r="AN2458">
        <v>0</v>
      </c>
      <c r="AO2458">
        <v>0</v>
      </c>
      <c r="AP2458">
        <v>0</v>
      </c>
      <c r="AQ2458">
        <v>0</v>
      </c>
      <c r="AR2458">
        <v>0</v>
      </c>
      <c r="AS2458">
        <v>0</v>
      </c>
      <c r="AT2458">
        <v>0</v>
      </c>
      <c r="AU2458">
        <f t="shared" si="76"/>
        <v>0</v>
      </c>
      <c r="AV2458">
        <f t="shared" si="77"/>
        <v>0</v>
      </c>
    </row>
    <row r="2459" spans="1:48" x14ac:dyDescent="0.25">
      <c r="A2459" t="s">
        <v>8564</v>
      </c>
      <c r="C2459" t="s">
        <v>8565</v>
      </c>
      <c r="D2459" t="s">
        <v>8566</v>
      </c>
      <c r="E2459" t="s">
        <v>1663</v>
      </c>
      <c r="F2459">
        <v>3</v>
      </c>
      <c r="G2459">
        <v>3.1</v>
      </c>
      <c r="H2459" t="s">
        <v>2017</v>
      </c>
      <c r="I2459" s="21">
        <v>39400</v>
      </c>
      <c r="J2459">
        <v>2007</v>
      </c>
      <c r="K2459" s="21">
        <v>39430</v>
      </c>
      <c r="L2459">
        <v>2007</v>
      </c>
      <c r="M2459" s="21">
        <v>39582</v>
      </c>
      <c r="N2459">
        <v>2008</v>
      </c>
      <c r="Q2459" s="262">
        <v>0</v>
      </c>
      <c r="S2459" t="s">
        <v>114</v>
      </c>
      <c r="T2459" t="s">
        <v>114</v>
      </c>
      <c r="W2459">
        <v>2197</v>
      </c>
      <c r="X2459">
        <v>1</v>
      </c>
      <c r="Y2459">
        <v>0</v>
      </c>
      <c r="Z2459">
        <v>0</v>
      </c>
      <c r="AA2459">
        <v>0</v>
      </c>
      <c r="AB2459">
        <v>0</v>
      </c>
      <c r="AC2459">
        <v>2197</v>
      </c>
      <c r="AD2459">
        <v>0</v>
      </c>
      <c r="AE2459">
        <v>0</v>
      </c>
      <c r="AF2459">
        <v>0</v>
      </c>
      <c r="AG2459">
        <v>0</v>
      </c>
      <c r="AH2459">
        <v>0</v>
      </c>
      <c r="AI2459">
        <v>0</v>
      </c>
      <c r="AJ2459">
        <v>0</v>
      </c>
      <c r="AK2459">
        <v>0</v>
      </c>
      <c r="AL2459">
        <v>0</v>
      </c>
      <c r="AM2459">
        <v>0</v>
      </c>
      <c r="AN2459">
        <v>0</v>
      </c>
      <c r="AO2459">
        <v>1</v>
      </c>
      <c r="AP2459">
        <v>0</v>
      </c>
      <c r="AQ2459">
        <v>0</v>
      </c>
      <c r="AR2459">
        <v>0</v>
      </c>
      <c r="AS2459">
        <v>0</v>
      </c>
      <c r="AT2459">
        <v>0</v>
      </c>
      <c r="AU2459">
        <f t="shared" si="76"/>
        <v>1</v>
      </c>
      <c r="AV2459">
        <f t="shared" si="77"/>
        <v>0</v>
      </c>
    </row>
    <row r="2460" spans="1:48" x14ac:dyDescent="0.25">
      <c r="A2460" t="s">
        <v>8567</v>
      </c>
      <c r="C2460" t="s">
        <v>5963</v>
      </c>
      <c r="D2460" t="s">
        <v>8568</v>
      </c>
      <c r="E2460" t="s">
        <v>1663</v>
      </c>
      <c r="F2460">
        <v>3</v>
      </c>
      <c r="G2460">
        <v>3.1</v>
      </c>
      <c r="H2460" t="s">
        <v>2017</v>
      </c>
      <c r="I2460" s="21">
        <v>39400</v>
      </c>
      <c r="J2460">
        <v>2007</v>
      </c>
      <c r="K2460" s="21">
        <v>39430</v>
      </c>
      <c r="L2460">
        <v>2007</v>
      </c>
      <c r="M2460" s="21">
        <v>39582</v>
      </c>
      <c r="N2460">
        <v>2008</v>
      </c>
      <c r="Q2460" s="262">
        <v>0</v>
      </c>
      <c r="S2460" t="s">
        <v>114</v>
      </c>
      <c r="T2460" t="s">
        <v>114</v>
      </c>
      <c r="W2460">
        <v>2197</v>
      </c>
      <c r="X2460">
        <v>1</v>
      </c>
      <c r="Y2460">
        <v>0</v>
      </c>
      <c r="Z2460">
        <v>0</v>
      </c>
      <c r="AA2460">
        <v>0</v>
      </c>
      <c r="AB2460">
        <v>0</v>
      </c>
      <c r="AC2460">
        <v>2197</v>
      </c>
      <c r="AD2460">
        <v>0</v>
      </c>
      <c r="AE2460">
        <v>0</v>
      </c>
      <c r="AF2460">
        <v>0</v>
      </c>
      <c r="AG2460">
        <v>0</v>
      </c>
      <c r="AH2460">
        <v>0</v>
      </c>
      <c r="AI2460">
        <v>0</v>
      </c>
      <c r="AJ2460">
        <v>0</v>
      </c>
      <c r="AK2460">
        <v>0</v>
      </c>
      <c r="AL2460">
        <v>0</v>
      </c>
      <c r="AM2460">
        <v>0</v>
      </c>
      <c r="AN2460">
        <v>0</v>
      </c>
      <c r="AO2460">
        <v>1</v>
      </c>
      <c r="AP2460">
        <v>0</v>
      </c>
      <c r="AQ2460">
        <v>0</v>
      </c>
      <c r="AR2460">
        <v>0</v>
      </c>
      <c r="AS2460">
        <v>0</v>
      </c>
      <c r="AT2460">
        <v>0</v>
      </c>
      <c r="AU2460">
        <f t="shared" si="76"/>
        <v>1</v>
      </c>
      <c r="AV2460">
        <f t="shared" si="77"/>
        <v>0</v>
      </c>
    </row>
    <row r="2461" spans="1:48" x14ac:dyDescent="0.25">
      <c r="A2461" t="s">
        <v>18259</v>
      </c>
      <c r="B2461" t="s">
        <v>114</v>
      </c>
      <c r="C2461" t="s">
        <v>18260</v>
      </c>
      <c r="D2461" t="s">
        <v>18261</v>
      </c>
      <c r="E2461" t="s">
        <v>2310</v>
      </c>
      <c r="F2461">
        <v>12</v>
      </c>
      <c r="G2461">
        <v>12.3</v>
      </c>
      <c r="H2461" t="s">
        <v>2017</v>
      </c>
      <c r="I2461" s="21">
        <v>39400</v>
      </c>
      <c r="J2461">
        <v>2007</v>
      </c>
      <c r="K2461" s="21">
        <v>39477</v>
      </c>
      <c r="L2461">
        <v>2008</v>
      </c>
      <c r="M2461" s="21">
        <v>43626.669014618055</v>
      </c>
      <c r="N2461">
        <v>2019</v>
      </c>
      <c r="R2461" s="262">
        <v>250000</v>
      </c>
      <c r="S2461" t="s">
        <v>13253</v>
      </c>
      <c r="T2461">
        <v>4251</v>
      </c>
      <c r="U2461">
        <v>5</v>
      </c>
      <c r="W2461">
        <v>1003</v>
      </c>
      <c r="X2461">
        <v>0</v>
      </c>
      <c r="Y2461">
        <v>0</v>
      </c>
      <c r="Z2461">
        <v>0</v>
      </c>
      <c r="AA2461">
        <v>0</v>
      </c>
      <c r="AB2461">
        <v>0</v>
      </c>
      <c r="AC2461">
        <v>1003</v>
      </c>
      <c r="AD2461">
        <v>0</v>
      </c>
      <c r="AE2461">
        <v>0</v>
      </c>
      <c r="AF2461">
        <v>0</v>
      </c>
      <c r="AG2461">
        <v>0</v>
      </c>
      <c r="AH2461">
        <v>0</v>
      </c>
      <c r="AI2461">
        <v>0</v>
      </c>
      <c r="AJ2461">
        <v>0</v>
      </c>
      <c r="AK2461">
        <v>0</v>
      </c>
      <c r="AL2461">
        <v>0</v>
      </c>
      <c r="AM2461">
        <v>0</v>
      </c>
      <c r="AN2461">
        <v>0</v>
      </c>
      <c r="AO2461">
        <v>0</v>
      </c>
      <c r="AP2461">
        <v>0</v>
      </c>
      <c r="AQ2461">
        <v>0</v>
      </c>
      <c r="AR2461">
        <v>0</v>
      </c>
      <c r="AS2461">
        <v>0</v>
      </c>
      <c r="AT2461">
        <v>0</v>
      </c>
      <c r="AU2461">
        <f t="shared" si="76"/>
        <v>0</v>
      </c>
      <c r="AV2461">
        <f t="shared" si="77"/>
        <v>0</v>
      </c>
    </row>
    <row r="2462" spans="1:48" x14ac:dyDescent="0.25">
      <c r="A2462" t="s">
        <v>8569</v>
      </c>
      <c r="C2462" t="s">
        <v>8570</v>
      </c>
      <c r="D2462" t="s">
        <v>8208</v>
      </c>
      <c r="E2462" t="s">
        <v>2310</v>
      </c>
      <c r="F2462">
        <v>12</v>
      </c>
      <c r="G2462">
        <v>12.3</v>
      </c>
      <c r="H2462" t="s">
        <v>2017</v>
      </c>
      <c r="I2462" s="21">
        <v>39401</v>
      </c>
      <c r="J2462">
        <v>2007</v>
      </c>
      <c r="K2462" s="21">
        <v>39456</v>
      </c>
      <c r="L2462">
        <v>2008</v>
      </c>
      <c r="M2462" s="21">
        <v>39456</v>
      </c>
      <c r="N2462">
        <v>2008</v>
      </c>
      <c r="S2462" t="s">
        <v>114</v>
      </c>
      <c r="T2462" t="s">
        <v>114</v>
      </c>
      <c r="U2462">
        <v>5</v>
      </c>
      <c r="W2462">
        <v>109</v>
      </c>
      <c r="X2462">
        <v>0</v>
      </c>
      <c r="Y2462">
        <v>0</v>
      </c>
      <c r="Z2462">
        <v>0</v>
      </c>
      <c r="AA2462">
        <v>0</v>
      </c>
      <c r="AB2462">
        <v>0</v>
      </c>
      <c r="AC2462">
        <v>109</v>
      </c>
      <c r="AD2462">
        <v>0</v>
      </c>
      <c r="AE2462">
        <v>0</v>
      </c>
      <c r="AF2462">
        <v>0</v>
      </c>
      <c r="AG2462">
        <v>0</v>
      </c>
      <c r="AH2462">
        <v>0</v>
      </c>
      <c r="AI2462">
        <v>0</v>
      </c>
      <c r="AJ2462">
        <v>0</v>
      </c>
      <c r="AK2462">
        <v>0</v>
      </c>
      <c r="AL2462">
        <v>0</v>
      </c>
      <c r="AM2462">
        <v>0</v>
      </c>
      <c r="AN2462">
        <v>0</v>
      </c>
      <c r="AO2462">
        <v>0</v>
      </c>
      <c r="AP2462">
        <v>0</v>
      </c>
      <c r="AQ2462">
        <v>0</v>
      </c>
      <c r="AR2462">
        <v>0</v>
      </c>
      <c r="AS2462">
        <v>0</v>
      </c>
      <c r="AT2462">
        <v>0</v>
      </c>
      <c r="AU2462">
        <f t="shared" si="76"/>
        <v>0</v>
      </c>
      <c r="AV2462">
        <f t="shared" si="77"/>
        <v>0</v>
      </c>
    </row>
    <row r="2463" spans="1:48" x14ac:dyDescent="0.25">
      <c r="A2463" t="s">
        <v>8571</v>
      </c>
      <c r="C2463" t="s">
        <v>8572</v>
      </c>
      <c r="D2463" t="s">
        <v>8573</v>
      </c>
      <c r="E2463" t="s">
        <v>2310</v>
      </c>
      <c r="F2463">
        <v>14</v>
      </c>
      <c r="G2463">
        <v>14.1</v>
      </c>
      <c r="H2463" t="s">
        <v>2022</v>
      </c>
      <c r="I2463" s="21">
        <v>39401</v>
      </c>
      <c r="J2463">
        <v>2007</v>
      </c>
      <c r="K2463" s="21">
        <v>39426</v>
      </c>
      <c r="L2463">
        <v>2007</v>
      </c>
      <c r="M2463" s="21">
        <v>39822</v>
      </c>
      <c r="N2463">
        <v>2009</v>
      </c>
      <c r="R2463" s="262">
        <v>8000</v>
      </c>
      <c r="S2463" t="s">
        <v>114</v>
      </c>
      <c r="T2463" t="s">
        <v>114</v>
      </c>
      <c r="U2463">
        <v>5</v>
      </c>
      <c r="W2463">
        <v>3360</v>
      </c>
      <c r="X2463">
        <v>0</v>
      </c>
      <c r="Y2463">
        <v>0</v>
      </c>
      <c r="Z2463">
        <v>0</v>
      </c>
      <c r="AA2463">
        <v>0</v>
      </c>
      <c r="AB2463">
        <v>0</v>
      </c>
      <c r="AC2463">
        <v>3360</v>
      </c>
      <c r="AD2463">
        <v>0</v>
      </c>
      <c r="AE2463">
        <v>0</v>
      </c>
      <c r="AF2463">
        <v>0</v>
      </c>
      <c r="AG2463">
        <v>0</v>
      </c>
      <c r="AH2463">
        <v>0</v>
      </c>
      <c r="AI2463">
        <v>0</v>
      </c>
      <c r="AJ2463">
        <v>0</v>
      </c>
      <c r="AK2463">
        <v>0</v>
      </c>
      <c r="AL2463">
        <v>0</v>
      </c>
      <c r="AM2463">
        <v>0</v>
      </c>
      <c r="AN2463">
        <v>0</v>
      </c>
      <c r="AO2463">
        <v>0</v>
      </c>
      <c r="AP2463">
        <v>0</v>
      </c>
      <c r="AQ2463">
        <v>0</v>
      </c>
      <c r="AR2463">
        <v>0</v>
      </c>
      <c r="AS2463">
        <v>0</v>
      </c>
      <c r="AT2463">
        <v>0</v>
      </c>
      <c r="AU2463">
        <f t="shared" si="76"/>
        <v>0</v>
      </c>
      <c r="AV2463">
        <f t="shared" si="77"/>
        <v>0</v>
      </c>
    </row>
    <row r="2464" spans="1:48" x14ac:dyDescent="0.25">
      <c r="A2464" t="s">
        <v>8574</v>
      </c>
      <c r="C2464" t="s">
        <v>8575</v>
      </c>
      <c r="D2464" t="s">
        <v>8576</v>
      </c>
      <c r="E2464" t="s">
        <v>2310</v>
      </c>
      <c r="F2464">
        <v>13</v>
      </c>
      <c r="G2464">
        <v>13.2</v>
      </c>
      <c r="H2464" t="s">
        <v>2327</v>
      </c>
      <c r="I2464" s="21">
        <v>39405</v>
      </c>
      <c r="J2464">
        <v>2007</v>
      </c>
      <c r="K2464" s="21">
        <v>39491</v>
      </c>
      <c r="L2464">
        <v>2008</v>
      </c>
      <c r="M2464" s="21">
        <v>40029.555787037003</v>
      </c>
      <c r="N2464">
        <v>2009</v>
      </c>
      <c r="R2464" s="262">
        <v>1765000</v>
      </c>
      <c r="S2464" t="s">
        <v>114</v>
      </c>
      <c r="T2464" t="s">
        <v>114</v>
      </c>
      <c r="U2464">
        <v>5</v>
      </c>
      <c r="W2464">
        <v>4708</v>
      </c>
      <c r="X2464">
        <v>1</v>
      </c>
      <c r="Y2464">
        <v>0</v>
      </c>
      <c r="Z2464">
        <v>0</v>
      </c>
      <c r="AA2464">
        <v>0</v>
      </c>
      <c r="AB2464">
        <v>0</v>
      </c>
      <c r="AC2464">
        <v>4708</v>
      </c>
      <c r="AD2464">
        <v>0</v>
      </c>
      <c r="AE2464">
        <v>0</v>
      </c>
      <c r="AF2464">
        <v>0</v>
      </c>
      <c r="AG2464">
        <v>0</v>
      </c>
      <c r="AH2464">
        <v>0</v>
      </c>
      <c r="AI2464">
        <v>0</v>
      </c>
      <c r="AJ2464">
        <v>0</v>
      </c>
      <c r="AK2464">
        <v>0</v>
      </c>
      <c r="AL2464">
        <v>0</v>
      </c>
      <c r="AM2464">
        <v>0</v>
      </c>
      <c r="AN2464">
        <v>0</v>
      </c>
      <c r="AO2464">
        <v>1</v>
      </c>
      <c r="AP2464">
        <v>0</v>
      </c>
      <c r="AQ2464">
        <v>0</v>
      </c>
      <c r="AR2464">
        <v>0</v>
      </c>
      <c r="AS2464">
        <v>0</v>
      </c>
      <c r="AT2464">
        <v>0</v>
      </c>
      <c r="AU2464">
        <f t="shared" si="76"/>
        <v>1</v>
      </c>
      <c r="AV2464">
        <f t="shared" si="77"/>
        <v>0</v>
      </c>
    </row>
    <row r="2465" spans="1:48" x14ac:dyDescent="0.25">
      <c r="A2465" t="s">
        <v>8577</v>
      </c>
      <c r="C2465" t="s">
        <v>8578</v>
      </c>
      <c r="D2465" t="s">
        <v>8579</v>
      </c>
      <c r="E2465" t="s">
        <v>2310</v>
      </c>
      <c r="F2465">
        <v>13</v>
      </c>
      <c r="G2465">
        <v>13.2</v>
      </c>
      <c r="H2465" t="s">
        <v>2327</v>
      </c>
      <c r="I2465" s="21">
        <v>39412</v>
      </c>
      <c r="J2465">
        <v>2007</v>
      </c>
      <c r="K2465" s="21">
        <v>39490</v>
      </c>
      <c r="L2465">
        <v>2008</v>
      </c>
      <c r="M2465" s="21">
        <v>40094.4303587963</v>
      </c>
      <c r="N2465">
        <v>2009</v>
      </c>
      <c r="R2465" s="262">
        <v>1800000</v>
      </c>
      <c r="S2465" t="s">
        <v>114</v>
      </c>
      <c r="T2465" t="s">
        <v>114</v>
      </c>
      <c r="U2465">
        <v>5</v>
      </c>
      <c r="W2465">
        <v>4708</v>
      </c>
      <c r="X2465">
        <v>1</v>
      </c>
      <c r="Y2465">
        <v>0</v>
      </c>
      <c r="Z2465">
        <v>0</v>
      </c>
      <c r="AA2465">
        <v>0</v>
      </c>
      <c r="AB2465">
        <v>0</v>
      </c>
      <c r="AC2465">
        <v>4708</v>
      </c>
      <c r="AD2465">
        <v>0</v>
      </c>
      <c r="AE2465">
        <v>0</v>
      </c>
      <c r="AF2465">
        <v>0</v>
      </c>
      <c r="AG2465">
        <v>0</v>
      </c>
      <c r="AH2465">
        <v>0</v>
      </c>
      <c r="AI2465">
        <v>0</v>
      </c>
      <c r="AJ2465">
        <v>0</v>
      </c>
      <c r="AK2465">
        <v>0</v>
      </c>
      <c r="AL2465">
        <v>0</v>
      </c>
      <c r="AM2465">
        <v>0</v>
      </c>
      <c r="AN2465">
        <v>0</v>
      </c>
      <c r="AO2465">
        <v>1</v>
      </c>
      <c r="AP2465">
        <v>0</v>
      </c>
      <c r="AQ2465">
        <v>0</v>
      </c>
      <c r="AR2465">
        <v>0</v>
      </c>
      <c r="AS2465">
        <v>0</v>
      </c>
      <c r="AT2465">
        <v>0</v>
      </c>
      <c r="AU2465">
        <f t="shared" si="76"/>
        <v>1</v>
      </c>
      <c r="AV2465">
        <f t="shared" si="77"/>
        <v>0</v>
      </c>
    </row>
    <row r="2466" spans="1:48" x14ac:dyDescent="0.25">
      <c r="A2466" t="s">
        <v>8580</v>
      </c>
      <c r="C2466" t="s">
        <v>8581</v>
      </c>
      <c r="D2466" t="s">
        <v>7181</v>
      </c>
      <c r="E2466" t="s">
        <v>2310</v>
      </c>
      <c r="F2466">
        <v>9</v>
      </c>
      <c r="G2466">
        <v>9.1999999999999993</v>
      </c>
      <c r="H2466" t="s">
        <v>2022</v>
      </c>
      <c r="I2466" s="21">
        <v>39413</v>
      </c>
      <c r="J2466">
        <v>2007</v>
      </c>
      <c r="K2466" s="21">
        <v>39475</v>
      </c>
      <c r="L2466">
        <v>2008</v>
      </c>
      <c r="M2466" s="21">
        <v>39475</v>
      </c>
      <c r="N2466">
        <v>2008</v>
      </c>
      <c r="S2466" t="s">
        <v>114</v>
      </c>
      <c r="T2466" t="s">
        <v>114</v>
      </c>
      <c r="U2466">
        <v>5</v>
      </c>
      <c r="W2466">
        <v>789</v>
      </c>
      <c r="X2466">
        <v>0</v>
      </c>
      <c r="Y2466">
        <v>0</v>
      </c>
      <c r="Z2466">
        <v>0</v>
      </c>
      <c r="AA2466">
        <v>0</v>
      </c>
      <c r="AB2466">
        <v>0</v>
      </c>
      <c r="AC2466">
        <v>789</v>
      </c>
      <c r="AD2466">
        <v>0</v>
      </c>
      <c r="AE2466">
        <v>0</v>
      </c>
      <c r="AF2466">
        <v>0</v>
      </c>
      <c r="AG2466">
        <v>0</v>
      </c>
      <c r="AH2466">
        <v>0</v>
      </c>
      <c r="AI2466">
        <v>0</v>
      </c>
      <c r="AJ2466">
        <v>0</v>
      </c>
      <c r="AK2466">
        <v>0</v>
      </c>
      <c r="AL2466">
        <v>0</v>
      </c>
      <c r="AM2466">
        <v>0</v>
      </c>
      <c r="AN2466">
        <v>0</v>
      </c>
      <c r="AO2466">
        <v>0</v>
      </c>
      <c r="AP2466">
        <v>0</v>
      </c>
      <c r="AQ2466">
        <v>0</v>
      </c>
      <c r="AR2466">
        <v>0</v>
      </c>
      <c r="AS2466">
        <v>0</v>
      </c>
      <c r="AT2466">
        <v>0</v>
      </c>
      <c r="AU2466">
        <f t="shared" si="76"/>
        <v>0</v>
      </c>
      <c r="AV2466">
        <f t="shared" si="77"/>
        <v>0</v>
      </c>
    </row>
    <row r="2467" spans="1:48" x14ac:dyDescent="0.25">
      <c r="A2467" t="s">
        <v>8582</v>
      </c>
      <c r="C2467" t="s">
        <v>8583</v>
      </c>
      <c r="D2467" t="s">
        <v>6617</v>
      </c>
      <c r="E2467" t="s">
        <v>2310</v>
      </c>
      <c r="F2467">
        <v>9</v>
      </c>
      <c r="G2467">
        <v>9.1999999999999993</v>
      </c>
      <c r="H2467" t="s">
        <v>2022</v>
      </c>
      <c r="I2467" s="21">
        <v>39414</v>
      </c>
      <c r="J2467">
        <v>2007</v>
      </c>
      <c r="K2467" s="21">
        <v>39484</v>
      </c>
      <c r="L2467">
        <v>2008</v>
      </c>
      <c r="M2467" s="21">
        <v>40079.515949074099</v>
      </c>
      <c r="N2467">
        <v>2009</v>
      </c>
      <c r="S2467" t="s">
        <v>114</v>
      </c>
      <c r="T2467" t="s">
        <v>114</v>
      </c>
      <c r="U2467">
        <v>12</v>
      </c>
      <c r="W2467">
        <v>0</v>
      </c>
      <c r="X2467">
        <v>0</v>
      </c>
      <c r="Y2467">
        <v>0</v>
      </c>
      <c r="Z2467">
        <v>0</v>
      </c>
      <c r="AA2467">
        <v>-1200</v>
      </c>
      <c r="AB2467">
        <v>0</v>
      </c>
      <c r="AC2467">
        <v>0</v>
      </c>
      <c r="AD2467">
        <v>0</v>
      </c>
      <c r="AE2467">
        <v>0</v>
      </c>
      <c r="AF2467">
        <v>0</v>
      </c>
      <c r="AG2467">
        <v>0</v>
      </c>
      <c r="AH2467">
        <v>0</v>
      </c>
      <c r="AI2467">
        <v>0</v>
      </c>
      <c r="AJ2467">
        <v>1200</v>
      </c>
      <c r="AK2467">
        <v>0</v>
      </c>
      <c r="AL2467">
        <v>0</v>
      </c>
      <c r="AM2467">
        <v>0</v>
      </c>
      <c r="AN2467">
        <v>0</v>
      </c>
      <c r="AO2467">
        <v>0</v>
      </c>
      <c r="AP2467">
        <v>0</v>
      </c>
      <c r="AQ2467">
        <v>0</v>
      </c>
      <c r="AR2467">
        <v>0</v>
      </c>
      <c r="AS2467">
        <v>0</v>
      </c>
      <c r="AT2467">
        <v>0</v>
      </c>
      <c r="AU2467">
        <f t="shared" si="76"/>
        <v>0</v>
      </c>
      <c r="AV2467">
        <f t="shared" si="77"/>
        <v>0</v>
      </c>
    </row>
    <row r="2468" spans="1:48" x14ac:dyDescent="0.25">
      <c r="A2468" t="s">
        <v>8584</v>
      </c>
      <c r="C2468" t="s">
        <v>8585</v>
      </c>
      <c r="D2468" t="s">
        <v>8524</v>
      </c>
      <c r="E2468" t="s">
        <v>2310</v>
      </c>
      <c r="F2468">
        <v>8</v>
      </c>
      <c r="G2468">
        <v>8.1999999999999993</v>
      </c>
      <c r="H2468" t="s">
        <v>2022</v>
      </c>
      <c r="I2468" s="21">
        <v>39415</v>
      </c>
      <c r="J2468">
        <v>2007</v>
      </c>
      <c r="K2468" s="21">
        <v>39456</v>
      </c>
      <c r="L2468">
        <v>2008</v>
      </c>
      <c r="M2468" s="21">
        <v>39841</v>
      </c>
      <c r="N2468">
        <v>2009</v>
      </c>
      <c r="R2468" s="262">
        <v>121000</v>
      </c>
      <c r="S2468" t="s">
        <v>114</v>
      </c>
      <c r="T2468" t="s">
        <v>114</v>
      </c>
      <c r="U2468">
        <v>8</v>
      </c>
      <c r="W2468">
        <v>1257</v>
      </c>
      <c r="X2468">
        <v>1</v>
      </c>
      <c r="Y2468">
        <v>0</v>
      </c>
      <c r="Z2468">
        <v>0</v>
      </c>
      <c r="AA2468">
        <v>0</v>
      </c>
      <c r="AB2468">
        <v>0</v>
      </c>
      <c r="AC2468">
        <v>288</v>
      </c>
      <c r="AD2468">
        <v>0</v>
      </c>
      <c r="AE2468">
        <v>0</v>
      </c>
      <c r="AF2468">
        <v>969</v>
      </c>
      <c r="AG2468">
        <v>0</v>
      </c>
      <c r="AH2468">
        <v>0</v>
      </c>
      <c r="AI2468">
        <v>0</v>
      </c>
      <c r="AJ2468">
        <v>0</v>
      </c>
      <c r="AK2468">
        <v>0</v>
      </c>
      <c r="AL2468">
        <v>0</v>
      </c>
      <c r="AM2468">
        <v>0</v>
      </c>
      <c r="AN2468">
        <v>0</v>
      </c>
      <c r="AO2468">
        <v>0</v>
      </c>
      <c r="AP2468">
        <v>0</v>
      </c>
      <c r="AQ2468">
        <v>0</v>
      </c>
      <c r="AR2468">
        <v>1</v>
      </c>
      <c r="AS2468">
        <v>0</v>
      </c>
      <c r="AT2468">
        <v>0</v>
      </c>
      <c r="AU2468">
        <f t="shared" si="76"/>
        <v>0</v>
      </c>
      <c r="AV2468">
        <f t="shared" si="77"/>
        <v>0</v>
      </c>
    </row>
    <row r="2469" spans="1:48" x14ac:dyDescent="0.25">
      <c r="A2469" t="s">
        <v>8586</v>
      </c>
      <c r="C2469" t="s">
        <v>6180</v>
      </c>
      <c r="D2469" t="s">
        <v>8587</v>
      </c>
      <c r="E2469" t="s">
        <v>1663</v>
      </c>
      <c r="F2469">
        <v>3</v>
      </c>
      <c r="G2469">
        <v>3.2</v>
      </c>
      <c r="H2469" t="s">
        <v>2327</v>
      </c>
      <c r="I2469" s="21">
        <v>39419</v>
      </c>
      <c r="J2469">
        <v>2007</v>
      </c>
      <c r="K2469" s="21">
        <v>39450</v>
      </c>
      <c r="L2469">
        <v>2008</v>
      </c>
      <c r="M2469" s="21">
        <v>39602</v>
      </c>
      <c r="N2469">
        <v>2008</v>
      </c>
      <c r="Q2469" s="262">
        <v>32000</v>
      </c>
      <c r="S2469" t="s">
        <v>114</v>
      </c>
      <c r="T2469" t="s">
        <v>114</v>
      </c>
      <c r="W2469">
        <v>500</v>
      </c>
      <c r="X2469">
        <v>1</v>
      </c>
      <c r="Y2469">
        <v>0</v>
      </c>
      <c r="Z2469">
        <v>0</v>
      </c>
      <c r="AA2469">
        <v>0</v>
      </c>
      <c r="AB2469">
        <v>0</v>
      </c>
      <c r="AC2469">
        <v>0</v>
      </c>
      <c r="AD2469">
        <v>0</v>
      </c>
      <c r="AE2469">
        <v>500</v>
      </c>
      <c r="AF2469">
        <v>0</v>
      </c>
      <c r="AG2469">
        <v>0</v>
      </c>
      <c r="AH2469">
        <v>0</v>
      </c>
      <c r="AI2469">
        <v>0</v>
      </c>
      <c r="AJ2469">
        <v>0</v>
      </c>
      <c r="AK2469">
        <v>0</v>
      </c>
      <c r="AL2469">
        <v>0</v>
      </c>
      <c r="AM2469">
        <v>0</v>
      </c>
      <c r="AN2469">
        <v>0</v>
      </c>
      <c r="AO2469">
        <v>0</v>
      </c>
      <c r="AP2469">
        <v>0</v>
      </c>
      <c r="AQ2469">
        <v>1</v>
      </c>
      <c r="AR2469">
        <v>0</v>
      </c>
      <c r="AS2469">
        <v>0</v>
      </c>
      <c r="AT2469">
        <v>0</v>
      </c>
      <c r="AU2469">
        <f t="shared" si="76"/>
        <v>1</v>
      </c>
      <c r="AV2469">
        <f t="shared" si="77"/>
        <v>0</v>
      </c>
    </row>
    <row r="2470" spans="1:48" x14ac:dyDescent="0.25">
      <c r="A2470" t="s">
        <v>8588</v>
      </c>
      <c r="C2470" t="s">
        <v>8589</v>
      </c>
      <c r="D2470" t="s">
        <v>5006</v>
      </c>
      <c r="E2470" t="s">
        <v>2310</v>
      </c>
      <c r="F2470">
        <v>9</v>
      </c>
      <c r="G2470">
        <v>9.1999999999999993</v>
      </c>
      <c r="H2470" t="s">
        <v>2022</v>
      </c>
      <c r="I2470" s="21">
        <v>39421</v>
      </c>
      <c r="J2470">
        <v>2007</v>
      </c>
      <c r="K2470" s="21">
        <v>39458</v>
      </c>
      <c r="L2470">
        <v>2008</v>
      </c>
      <c r="M2470" s="21">
        <v>40095.428935185198</v>
      </c>
      <c r="N2470">
        <v>2009</v>
      </c>
      <c r="R2470" s="262">
        <v>150000</v>
      </c>
      <c r="S2470" t="s">
        <v>114</v>
      </c>
      <c r="T2470" t="s">
        <v>114</v>
      </c>
      <c r="U2470">
        <v>5</v>
      </c>
      <c r="W2470">
        <v>-134</v>
      </c>
      <c r="X2470">
        <v>0</v>
      </c>
      <c r="Y2470">
        <v>0</v>
      </c>
      <c r="Z2470">
        <v>0</v>
      </c>
      <c r="AA2470">
        <v>0</v>
      </c>
      <c r="AB2470">
        <v>0</v>
      </c>
      <c r="AC2470">
        <v>-134</v>
      </c>
      <c r="AD2470">
        <v>0</v>
      </c>
      <c r="AE2470">
        <v>0</v>
      </c>
      <c r="AF2470">
        <v>0</v>
      </c>
      <c r="AG2470">
        <v>0</v>
      </c>
      <c r="AH2470">
        <v>0</v>
      </c>
      <c r="AI2470">
        <v>0</v>
      </c>
      <c r="AJ2470">
        <v>0</v>
      </c>
      <c r="AK2470">
        <v>0</v>
      </c>
      <c r="AL2470">
        <v>0</v>
      </c>
      <c r="AM2470">
        <v>0</v>
      </c>
      <c r="AN2470">
        <v>0</v>
      </c>
      <c r="AO2470">
        <v>0</v>
      </c>
      <c r="AP2470">
        <v>0</v>
      </c>
      <c r="AQ2470">
        <v>0</v>
      </c>
      <c r="AR2470">
        <v>0</v>
      </c>
      <c r="AS2470">
        <v>0</v>
      </c>
      <c r="AT2470">
        <v>0</v>
      </c>
      <c r="AU2470">
        <f t="shared" si="76"/>
        <v>0</v>
      </c>
      <c r="AV2470">
        <f t="shared" si="77"/>
        <v>0</v>
      </c>
    </row>
    <row r="2471" spans="1:48" x14ac:dyDescent="0.25">
      <c r="A2471" t="s">
        <v>8590</v>
      </c>
      <c r="C2471" t="s">
        <v>8591</v>
      </c>
      <c r="D2471" t="s">
        <v>8592</v>
      </c>
      <c r="E2471" t="s">
        <v>2310</v>
      </c>
      <c r="F2471">
        <v>12</v>
      </c>
      <c r="G2471">
        <v>12.3</v>
      </c>
      <c r="H2471" t="s">
        <v>2017</v>
      </c>
      <c r="I2471" s="21">
        <v>39422</v>
      </c>
      <c r="J2471">
        <v>2007</v>
      </c>
      <c r="K2471" s="21">
        <v>39436</v>
      </c>
      <c r="L2471">
        <v>2007</v>
      </c>
      <c r="M2471" s="21">
        <v>39624</v>
      </c>
      <c r="N2471">
        <v>2008</v>
      </c>
      <c r="R2471" s="262">
        <v>25000</v>
      </c>
      <c r="S2471" t="s">
        <v>114</v>
      </c>
      <c r="T2471" t="s">
        <v>114</v>
      </c>
      <c r="U2471">
        <v>5</v>
      </c>
      <c r="W2471">
        <v>0</v>
      </c>
      <c r="X2471">
        <v>0</v>
      </c>
      <c r="Y2471">
        <v>0</v>
      </c>
      <c r="Z2471">
        <v>0</v>
      </c>
      <c r="AA2471">
        <v>0</v>
      </c>
      <c r="AB2471">
        <v>0</v>
      </c>
      <c r="AC2471">
        <v>0</v>
      </c>
      <c r="AD2471">
        <v>0</v>
      </c>
      <c r="AE2471">
        <v>0</v>
      </c>
      <c r="AF2471">
        <v>0</v>
      </c>
      <c r="AG2471">
        <v>0</v>
      </c>
      <c r="AH2471">
        <v>0</v>
      </c>
      <c r="AI2471">
        <v>0</v>
      </c>
      <c r="AJ2471">
        <v>0</v>
      </c>
      <c r="AK2471">
        <v>0</v>
      </c>
      <c r="AL2471">
        <v>0</v>
      </c>
      <c r="AM2471">
        <v>0</v>
      </c>
      <c r="AN2471">
        <v>0</v>
      </c>
      <c r="AO2471">
        <v>0</v>
      </c>
      <c r="AP2471">
        <v>0</v>
      </c>
      <c r="AQ2471">
        <v>0</v>
      </c>
      <c r="AR2471">
        <v>0</v>
      </c>
      <c r="AS2471">
        <v>0</v>
      </c>
      <c r="AT2471">
        <v>0</v>
      </c>
      <c r="AU2471">
        <f t="shared" si="76"/>
        <v>0</v>
      </c>
      <c r="AV2471">
        <f t="shared" si="77"/>
        <v>0</v>
      </c>
    </row>
    <row r="2472" spans="1:48" x14ac:dyDescent="0.25">
      <c r="A2472" t="s">
        <v>8593</v>
      </c>
      <c r="C2472" t="s">
        <v>8594</v>
      </c>
      <c r="D2472" t="s">
        <v>8595</v>
      </c>
      <c r="E2472" t="s">
        <v>2310</v>
      </c>
      <c r="F2472">
        <v>8</v>
      </c>
      <c r="G2472">
        <v>8.1999999999999993</v>
      </c>
      <c r="H2472" t="s">
        <v>2022</v>
      </c>
      <c r="I2472" s="21">
        <v>39423</v>
      </c>
      <c r="J2472">
        <v>2007</v>
      </c>
      <c r="K2472" s="21">
        <v>39472</v>
      </c>
      <c r="L2472">
        <v>2008</v>
      </c>
      <c r="M2472" s="21">
        <v>40345.432604166701</v>
      </c>
      <c r="N2472">
        <v>2010</v>
      </c>
      <c r="R2472" s="262">
        <v>200000</v>
      </c>
      <c r="S2472" t="s">
        <v>114</v>
      </c>
      <c r="T2472" t="s">
        <v>114</v>
      </c>
      <c r="U2472">
        <v>1</v>
      </c>
      <c r="W2472">
        <v>1008</v>
      </c>
      <c r="X2472">
        <v>0</v>
      </c>
      <c r="Y2472">
        <v>1008</v>
      </c>
      <c r="Z2472">
        <v>0</v>
      </c>
      <c r="AA2472">
        <v>0</v>
      </c>
      <c r="AB2472">
        <v>0</v>
      </c>
      <c r="AC2472">
        <v>0</v>
      </c>
      <c r="AD2472">
        <v>0</v>
      </c>
      <c r="AE2472">
        <v>0</v>
      </c>
      <c r="AF2472">
        <v>0</v>
      </c>
      <c r="AG2472">
        <v>0</v>
      </c>
      <c r="AH2472">
        <v>0</v>
      </c>
      <c r="AI2472">
        <v>0</v>
      </c>
      <c r="AJ2472">
        <v>0</v>
      </c>
      <c r="AK2472">
        <v>0</v>
      </c>
      <c r="AL2472">
        <v>0</v>
      </c>
      <c r="AM2472">
        <v>0</v>
      </c>
      <c r="AN2472">
        <v>0</v>
      </c>
      <c r="AO2472">
        <v>0</v>
      </c>
      <c r="AP2472">
        <v>0</v>
      </c>
      <c r="AQ2472">
        <v>0</v>
      </c>
      <c r="AR2472">
        <v>0</v>
      </c>
      <c r="AS2472">
        <v>0</v>
      </c>
      <c r="AT2472">
        <v>0</v>
      </c>
      <c r="AU2472">
        <f t="shared" si="76"/>
        <v>0</v>
      </c>
      <c r="AV2472">
        <f t="shared" si="77"/>
        <v>1008</v>
      </c>
    </row>
    <row r="2473" spans="1:48" x14ac:dyDescent="0.25">
      <c r="A2473" t="s">
        <v>8596</v>
      </c>
      <c r="C2473" t="s">
        <v>8597</v>
      </c>
      <c r="D2473" t="s">
        <v>8598</v>
      </c>
      <c r="E2473" t="s">
        <v>2310</v>
      </c>
      <c r="F2473">
        <v>13</v>
      </c>
      <c r="G2473">
        <v>13.2</v>
      </c>
      <c r="H2473" t="s">
        <v>2327</v>
      </c>
      <c r="I2473" s="21">
        <v>39434</v>
      </c>
      <c r="J2473">
        <v>2007</v>
      </c>
      <c r="K2473" s="21">
        <v>39489</v>
      </c>
      <c r="L2473">
        <v>2008</v>
      </c>
      <c r="M2473" s="21">
        <v>40346.693437499998</v>
      </c>
      <c r="N2473">
        <v>2010</v>
      </c>
      <c r="R2473" s="262">
        <v>1800000</v>
      </c>
      <c r="S2473" t="s">
        <v>114</v>
      </c>
      <c r="T2473" t="s">
        <v>114</v>
      </c>
      <c r="U2473">
        <v>5</v>
      </c>
      <c r="W2473">
        <v>4708</v>
      </c>
      <c r="X2473">
        <v>1</v>
      </c>
      <c r="Y2473">
        <v>0</v>
      </c>
      <c r="Z2473">
        <v>0</v>
      </c>
      <c r="AA2473">
        <v>0</v>
      </c>
      <c r="AB2473">
        <v>0</v>
      </c>
      <c r="AC2473">
        <v>4708</v>
      </c>
      <c r="AD2473">
        <v>0</v>
      </c>
      <c r="AE2473">
        <v>0</v>
      </c>
      <c r="AF2473">
        <v>0</v>
      </c>
      <c r="AG2473">
        <v>0</v>
      </c>
      <c r="AH2473">
        <v>0</v>
      </c>
      <c r="AI2473">
        <v>0</v>
      </c>
      <c r="AJ2473">
        <v>0</v>
      </c>
      <c r="AK2473">
        <v>0</v>
      </c>
      <c r="AL2473">
        <v>0</v>
      </c>
      <c r="AM2473">
        <v>0</v>
      </c>
      <c r="AN2473">
        <v>0</v>
      </c>
      <c r="AO2473">
        <v>1</v>
      </c>
      <c r="AP2473">
        <v>0</v>
      </c>
      <c r="AQ2473">
        <v>0</v>
      </c>
      <c r="AR2473">
        <v>0</v>
      </c>
      <c r="AS2473">
        <v>0</v>
      </c>
      <c r="AT2473">
        <v>0</v>
      </c>
      <c r="AU2473">
        <f t="shared" si="76"/>
        <v>1</v>
      </c>
      <c r="AV2473">
        <f t="shared" si="77"/>
        <v>0</v>
      </c>
    </row>
    <row r="2474" spans="1:48" x14ac:dyDescent="0.25">
      <c r="A2474" t="s">
        <v>8599</v>
      </c>
      <c r="C2474" t="s">
        <v>8600</v>
      </c>
      <c r="D2474" t="s">
        <v>8601</v>
      </c>
      <c r="E2474" t="s">
        <v>2310</v>
      </c>
      <c r="F2474">
        <v>13</v>
      </c>
      <c r="G2474">
        <v>13.2</v>
      </c>
      <c r="H2474" t="s">
        <v>2327</v>
      </c>
      <c r="I2474" s="21">
        <v>39434</v>
      </c>
      <c r="J2474">
        <v>2007</v>
      </c>
      <c r="K2474" s="21">
        <v>39490</v>
      </c>
      <c r="L2474">
        <v>2008</v>
      </c>
      <c r="M2474" s="21">
        <v>40094.4351157407</v>
      </c>
      <c r="N2474">
        <v>2009</v>
      </c>
      <c r="R2474" s="262">
        <v>1800000</v>
      </c>
      <c r="S2474" t="s">
        <v>114</v>
      </c>
      <c r="T2474" t="s">
        <v>114</v>
      </c>
      <c r="U2474">
        <v>5</v>
      </c>
      <c r="W2474">
        <v>4728</v>
      </c>
      <c r="X2474">
        <v>1</v>
      </c>
      <c r="Y2474">
        <v>0</v>
      </c>
      <c r="Z2474">
        <v>0</v>
      </c>
      <c r="AA2474">
        <v>0</v>
      </c>
      <c r="AB2474">
        <v>0</v>
      </c>
      <c r="AC2474">
        <v>4728</v>
      </c>
      <c r="AD2474">
        <v>0</v>
      </c>
      <c r="AE2474">
        <v>0</v>
      </c>
      <c r="AF2474">
        <v>0</v>
      </c>
      <c r="AG2474">
        <v>0</v>
      </c>
      <c r="AH2474">
        <v>0</v>
      </c>
      <c r="AI2474">
        <v>0</v>
      </c>
      <c r="AJ2474">
        <v>0</v>
      </c>
      <c r="AK2474">
        <v>0</v>
      </c>
      <c r="AL2474">
        <v>0</v>
      </c>
      <c r="AM2474">
        <v>0</v>
      </c>
      <c r="AN2474">
        <v>0</v>
      </c>
      <c r="AO2474">
        <v>1</v>
      </c>
      <c r="AP2474">
        <v>0</v>
      </c>
      <c r="AQ2474">
        <v>0</v>
      </c>
      <c r="AR2474">
        <v>0</v>
      </c>
      <c r="AS2474">
        <v>0</v>
      </c>
      <c r="AT2474">
        <v>0</v>
      </c>
      <c r="AU2474">
        <f t="shared" si="76"/>
        <v>1</v>
      </c>
      <c r="AV2474">
        <f t="shared" si="77"/>
        <v>0</v>
      </c>
    </row>
    <row r="2475" spans="1:48" x14ac:dyDescent="0.25">
      <c r="A2475" t="s">
        <v>8602</v>
      </c>
      <c r="C2475" t="s">
        <v>8603</v>
      </c>
      <c r="D2475" t="s">
        <v>8576</v>
      </c>
      <c r="E2475" t="s">
        <v>2310</v>
      </c>
      <c r="F2475">
        <v>13</v>
      </c>
      <c r="G2475">
        <v>13.2</v>
      </c>
      <c r="H2475" t="s">
        <v>2327</v>
      </c>
      <c r="I2475" s="21">
        <v>39434</v>
      </c>
      <c r="J2475">
        <v>2007</v>
      </c>
      <c r="K2475" s="21">
        <v>39492</v>
      </c>
      <c r="L2475">
        <v>2008</v>
      </c>
      <c r="M2475" s="21">
        <v>40023.703738425902</v>
      </c>
      <c r="N2475">
        <v>2009</v>
      </c>
      <c r="R2475" s="262">
        <v>1800000</v>
      </c>
      <c r="S2475" t="s">
        <v>114</v>
      </c>
      <c r="T2475" t="s">
        <v>114</v>
      </c>
      <c r="U2475">
        <v>5</v>
      </c>
      <c r="W2475">
        <v>4728</v>
      </c>
      <c r="X2475">
        <v>1</v>
      </c>
      <c r="Y2475">
        <v>0</v>
      </c>
      <c r="Z2475">
        <v>0</v>
      </c>
      <c r="AA2475">
        <v>0</v>
      </c>
      <c r="AB2475">
        <v>0</v>
      </c>
      <c r="AC2475">
        <v>4728</v>
      </c>
      <c r="AD2475">
        <v>0</v>
      </c>
      <c r="AE2475">
        <v>0</v>
      </c>
      <c r="AF2475">
        <v>0</v>
      </c>
      <c r="AG2475">
        <v>0</v>
      </c>
      <c r="AH2475">
        <v>0</v>
      </c>
      <c r="AI2475">
        <v>0</v>
      </c>
      <c r="AJ2475">
        <v>0</v>
      </c>
      <c r="AK2475">
        <v>0</v>
      </c>
      <c r="AL2475">
        <v>0</v>
      </c>
      <c r="AM2475">
        <v>0</v>
      </c>
      <c r="AN2475">
        <v>0</v>
      </c>
      <c r="AO2475">
        <v>1</v>
      </c>
      <c r="AP2475">
        <v>0</v>
      </c>
      <c r="AQ2475">
        <v>0</v>
      </c>
      <c r="AR2475">
        <v>0</v>
      </c>
      <c r="AS2475">
        <v>0</v>
      </c>
      <c r="AT2475">
        <v>0</v>
      </c>
      <c r="AU2475">
        <f t="shared" si="76"/>
        <v>1</v>
      </c>
      <c r="AV2475">
        <f t="shared" si="77"/>
        <v>0</v>
      </c>
    </row>
    <row r="2476" spans="1:48" x14ac:dyDescent="0.25">
      <c r="A2476" t="s">
        <v>8604</v>
      </c>
      <c r="C2476" t="s">
        <v>8605</v>
      </c>
      <c r="D2476" t="s">
        <v>8606</v>
      </c>
      <c r="E2476" t="s">
        <v>2310</v>
      </c>
      <c r="F2476">
        <v>13</v>
      </c>
      <c r="G2476">
        <v>13.2</v>
      </c>
      <c r="H2476" t="s">
        <v>2327</v>
      </c>
      <c r="I2476" s="21">
        <v>39434</v>
      </c>
      <c r="J2476">
        <v>2007</v>
      </c>
      <c r="K2476" s="21">
        <v>39492</v>
      </c>
      <c r="L2476">
        <v>2008</v>
      </c>
      <c r="M2476" s="21">
        <v>40044.408159722203</v>
      </c>
      <c r="N2476">
        <v>2009</v>
      </c>
      <c r="Q2476" s="262">
        <v>1800000</v>
      </c>
      <c r="R2476" s="262">
        <v>1800000</v>
      </c>
      <c r="S2476" t="s">
        <v>114</v>
      </c>
      <c r="T2476" t="s">
        <v>114</v>
      </c>
      <c r="U2476">
        <v>5</v>
      </c>
      <c r="W2476">
        <v>4728</v>
      </c>
      <c r="X2476">
        <v>1</v>
      </c>
      <c r="Y2476">
        <v>0</v>
      </c>
      <c r="Z2476">
        <v>0</v>
      </c>
      <c r="AA2476">
        <v>0</v>
      </c>
      <c r="AB2476">
        <v>0</v>
      </c>
      <c r="AC2476">
        <v>4728</v>
      </c>
      <c r="AD2476">
        <v>0</v>
      </c>
      <c r="AE2476">
        <v>0</v>
      </c>
      <c r="AF2476">
        <v>0</v>
      </c>
      <c r="AG2476">
        <v>0</v>
      </c>
      <c r="AH2476">
        <v>0</v>
      </c>
      <c r="AI2476">
        <v>0</v>
      </c>
      <c r="AJ2476">
        <v>0</v>
      </c>
      <c r="AK2476">
        <v>0</v>
      </c>
      <c r="AL2476">
        <v>0</v>
      </c>
      <c r="AM2476">
        <v>0</v>
      </c>
      <c r="AN2476">
        <v>0</v>
      </c>
      <c r="AO2476">
        <v>1</v>
      </c>
      <c r="AP2476">
        <v>0</v>
      </c>
      <c r="AQ2476">
        <v>0</v>
      </c>
      <c r="AR2476">
        <v>0</v>
      </c>
      <c r="AS2476">
        <v>0</v>
      </c>
      <c r="AT2476">
        <v>0</v>
      </c>
      <c r="AU2476">
        <f t="shared" si="76"/>
        <v>1</v>
      </c>
      <c r="AV2476">
        <f t="shared" si="77"/>
        <v>0</v>
      </c>
    </row>
    <row r="2477" spans="1:48" x14ac:dyDescent="0.25">
      <c r="A2477" t="s">
        <v>8607</v>
      </c>
      <c r="C2477" t="s">
        <v>8608</v>
      </c>
      <c r="D2477" t="s">
        <v>8609</v>
      </c>
      <c r="E2477" t="s">
        <v>2310</v>
      </c>
      <c r="F2477">
        <v>8</v>
      </c>
      <c r="G2477">
        <v>8.1999999999999993</v>
      </c>
      <c r="H2477" t="s">
        <v>2022</v>
      </c>
      <c r="I2477" s="21">
        <v>39443</v>
      </c>
      <c r="J2477">
        <v>2007</v>
      </c>
      <c r="K2477" s="21">
        <v>39526</v>
      </c>
      <c r="L2477">
        <v>2008</v>
      </c>
      <c r="M2477" s="21">
        <v>40182.432349536997</v>
      </c>
      <c r="N2477">
        <v>2010</v>
      </c>
      <c r="R2477" s="262">
        <v>2000000</v>
      </c>
      <c r="S2477" t="s">
        <v>114</v>
      </c>
      <c r="T2477" t="s">
        <v>114</v>
      </c>
      <c r="U2477">
        <v>17</v>
      </c>
      <c r="W2477">
        <v>8148</v>
      </c>
      <c r="X2477">
        <v>2</v>
      </c>
      <c r="Y2477">
        <v>0</v>
      </c>
      <c r="Z2477">
        <v>0</v>
      </c>
      <c r="AA2477">
        <v>0</v>
      </c>
      <c r="AB2477">
        <v>0</v>
      </c>
      <c r="AC2477">
        <v>0</v>
      </c>
      <c r="AD2477">
        <v>7340</v>
      </c>
      <c r="AE2477">
        <v>0</v>
      </c>
      <c r="AF2477">
        <v>808</v>
      </c>
      <c r="AG2477">
        <v>0</v>
      </c>
      <c r="AH2477">
        <v>0</v>
      </c>
      <c r="AI2477">
        <v>0</v>
      </c>
      <c r="AJ2477">
        <v>0</v>
      </c>
      <c r="AK2477">
        <v>0</v>
      </c>
      <c r="AL2477">
        <v>0</v>
      </c>
      <c r="AM2477">
        <v>0</v>
      </c>
      <c r="AN2477">
        <v>0</v>
      </c>
      <c r="AO2477">
        <v>0</v>
      </c>
      <c r="AP2477">
        <v>1</v>
      </c>
      <c r="AQ2477">
        <v>0</v>
      </c>
      <c r="AR2477">
        <v>1</v>
      </c>
      <c r="AS2477">
        <v>0</v>
      </c>
      <c r="AT2477">
        <v>0</v>
      </c>
      <c r="AU2477">
        <f t="shared" si="76"/>
        <v>1</v>
      </c>
      <c r="AV2477">
        <f t="shared" si="77"/>
        <v>0</v>
      </c>
    </row>
    <row r="2478" spans="1:48" x14ac:dyDescent="0.25">
      <c r="A2478" t="s">
        <v>8610</v>
      </c>
      <c r="C2478" t="s">
        <v>8611</v>
      </c>
      <c r="D2478" t="s">
        <v>8612</v>
      </c>
      <c r="E2478" t="s">
        <v>2310</v>
      </c>
      <c r="F2478">
        <v>15</v>
      </c>
      <c r="G2478">
        <v>15.4</v>
      </c>
      <c r="H2478" t="s">
        <v>2323</v>
      </c>
      <c r="I2478" s="21">
        <v>39443</v>
      </c>
      <c r="J2478">
        <v>2007</v>
      </c>
      <c r="K2478" s="21">
        <v>39464</v>
      </c>
      <c r="L2478">
        <v>2008</v>
      </c>
      <c r="M2478" s="21">
        <v>39805</v>
      </c>
      <c r="N2478">
        <v>2008</v>
      </c>
      <c r="R2478" s="262">
        <v>50000</v>
      </c>
      <c r="S2478" t="s">
        <v>114</v>
      </c>
      <c r="T2478" t="s">
        <v>114</v>
      </c>
      <c r="U2478">
        <v>5</v>
      </c>
      <c r="W2478">
        <v>192</v>
      </c>
      <c r="X2478">
        <v>0</v>
      </c>
      <c r="Y2478">
        <v>0</v>
      </c>
      <c r="Z2478">
        <v>0</v>
      </c>
      <c r="AA2478">
        <v>0</v>
      </c>
      <c r="AB2478">
        <v>0</v>
      </c>
      <c r="AC2478">
        <v>192</v>
      </c>
      <c r="AD2478">
        <v>0</v>
      </c>
      <c r="AE2478">
        <v>0</v>
      </c>
      <c r="AF2478">
        <v>0</v>
      </c>
      <c r="AG2478">
        <v>0</v>
      </c>
      <c r="AH2478">
        <v>0</v>
      </c>
      <c r="AI2478">
        <v>0</v>
      </c>
      <c r="AJ2478">
        <v>0</v>
      </c>
      <c r="AK2478">
        <v>0</v>
      </c>
      <c r="AL2478">
        <v>0</v>
      </c>
      <c r="AM2478">
        <v>0</v>
      </c>
      <c r="AN2478">
        <v>0</v>
      </c>
      <c r="AO2478">
        <v>0</v>
      </c>
      <c r="AP2478">
        <v>0</v>
      </c>
      <c r="AQ2478">
        <v>0</v>
      </c>
      <c r="AR2478">
        <v>0</v>
      </c>
      <c r="AS2478">
        <v>0</v>
      </c>
      <c r="AT2478">
        <v>0</v>
      </c>
      <c r="AU2478">
        <f t="shared" si="76"/>
        <v>0</v>
      </c>
      <c r="AV2478">
        <f t="shared" si="77"/>
        <v>0</v>
      </c>
    </row>
    <row r="2479" spans="1:48" x14ac:dyDescent="0.25">
      <c r="A2479" t="s">
        <v>8613</v>
      </c>
      <c r="C2479" t="s">
        <v>8614</v>
      </c>
      <c r="D2479" t="s">
        <v>8615</v>
      </c>
      <c r="E2479" t="s">
        <v>2310</v>
      </c>
      <c r="F2479">
        <v>15</v>
      </c>
      <c r="G2479">
        <v>15.3</v>
      </c>
      <c r="H2479" t="s">
        <v>2022</v>
      </c>
      <c r="I2479" s="21">
        <v>39447</v>
      </c>
      <c r="J2479">
        <v>2007</v>
      </c>
      <c r="K2479" s="21">
        <v>39458</v>
      </c>
      <c r="L2479">
        <v>2008</v>
      </c>
      <c r="M2479" s="21">
        <v>40050.455532407403</v>
      </c>
      <c r="N2479">
        <v>2009</v>
      </c>
      <c r="Q2479" s="262">
        <v>24000</v>
      </c>
      <c r="R2479" s="262">
        <v>24000</v>
      </c>
      <c r="S2479" t="s">
        <v>114</v>
      </c>
      <c r="T2479" t="s">
        <v>114</v>
      </c>
      <c r="U2479">
        <v>5</v>
      </c>
      <c r="W2479">
        <v>1248</v>
      </c>
      <c r="X2479">
        <v>0</v>
      </c>
      <c r="Y2479">
        <v>0</v>
      </c>
      <c r="Z2479">
        <v>0</v>
      </c>
      <c r="AA2479">
        <v>0</v>
      </c>
      <c r="AB2479">
        <v>0</v>
      </c>
      <c r="AC2479">
        <v>1248</v>
      </c>
      <c r="AD2479">
        <v>0</v>
      </c>
      <c r="AE2479">
        <v>0</v>
      </c>
      <c r="AF2479">
        <v>0</v>
      </c>
      <c r="AG2479">
        <v>0</v>
      </c>
      <c r="AH2479">
        <v>0</v>
      </c>
      <c r="AI2479">
        <v>0</v>
      </c>
      <c r="AJ2479">
        <v>0</v>
      </c>
      <c r="AK2479">
        <v>0</v>
      </c>
      <c r="AL2479">
        <v>0</v>
      </c>
      <c r="AM2479">
        <v>0</v>
      </c>
      <c r="AN2479">
        <v>0</v>
      </c>
      <c r="AO2479">
        <v>0</v>
      </c>
      <c r="AP2479">
        <v>0</v>
      </c>
      <c r="AQ2479">
        <v>0</v>
      </c>
      <c r="AR2479">
        <v>0</v>
      </c>
      <c r="AS2479">
        <v>0</v>
      </c>
      <c r="AT2479">
        <v>0</v>
      </c>
      <c r="AU2479">
        <f t="shared" si="76"/>
        <v>0</v>
      </c>
      <c r="AV2479">
        <f t="shared" si="77"/>
        <v>0</v>
      </c>
    </row>
    <row r="2480" spans="1:48" x14ac:dyDescent="0.25">
      <c r="A2480" t="s">
        <v>8616</v>
      </c>
      <c r="C2480" t="s">
        <v>8617</v>
      </c>
      <c r="D2480" t="s">
        <v>8618</v>
      </c>
      <c r="E2480" t="s">
        <v>2310</v>
      </c>
      <c r="F2480">
        <v>14</v>
      </c>
      <c r="G2480">
        <v>14.2</v>
      </c>
      <c r="H2480" t="s">
        <v>2017</v>
      </c>
      <c r="I2480" s="21">
        <v>39450</v>
      </c>
      <c r="J2480">
        <v>2008</v>
      </c>
      <c r="K2480" s="21">
        <v>39464</v>
      </c>
      <c r="L2480">
        <v>2008</v>
      </c>
      <c r="M2480" s="21">
        <v>39765</v>
      </c>
      <c r="N2480">
        <v>2008</v>
      </c>
      <c r="R2480" s="262">
        <v>625000</v>
      </c>
      <c r="S2480" t="s">
        <v>114</v>
      </c>
      <c r="T2480" t="s">
        <v>114</v>
      </c>
      <c r="U2480">
        <v>5</v>
      </c>
      <c r="W2480">
        <v>3752</v>
      </c>
      <c r="X2480">
        <v>1</v>
      </c>
      <c r="Y2480">
        <v>0</v>
      </c>
      <c r="Z2480">
        <v>0</v>
      </c>
      <c r="AA2480">
        <v>0</v>
      </c>
      <c r="AB2480">
        <v>0</v>
      </c>
      <c r="AC2480">
        <v>3752</v>
      </c>
      <c r="AD2480">
        <v>0</v>
      </c>
      <c r="AE2480">
        <v>0</v>
      </c>
      <c r="AF2480">
        <v>0</v>
      </c>
      <c r="AG2480">
        <v>0</v>
      </c>
      <c r="AH2480">
        <v>0</v>
      </c>
      <c r="AI2480">
        <v>0</v>
      </c>
      <c r="AJ2480">
        <v>0</v>
      </c>
      <c r="AK2480">
        <v>0</v>
      </c>
      <c r="AL2480">
        <v>0</v>
      </c>
      <c r="AM2480">
        <v>0</v>
      </c>
      <c r="AN2480">
        <v>0</v>
      </c>
      <c r="AO2480">
        <v>1</v>
      </c>
      <c r="AP2480">
        <v>0</v>
      </c>
      <c r="AQ2480">
        <v>0</v>
      </c>
      <c r="AR2480">
        <v>0</v>
      </c>
      <c r="AS2480">
        <v>0</v>
      </c>
      <c r="AT2480">
        <v>0</v>
      </c>
      <c r="AU2480">
        <f t="shared" si="76"/>
        <v>1</v>
      </c>
      <c r="AV2480">
        <f t="shared" si="77"/>
        <v>0</v>
      </c>
    </row>
    <row r="2481" spans="1:48" x14ac:dyDescent="0.25">
      <c r="A2481" t="s">
        <v>8619</v>
      </c>
      <c r="C2481" t="s">
        <v>8620</v>
      </c>
      <c r="D2481" t="s">
        <v>8621</v>
      </c>
      <c r="E2481" t="s">
        <v>2310</v>
      </c>
      <c r="F2481">
        <v>13</v>
      </c>
      <c r="G2481">
        <v>13.2</v>
      </c>
      <c r="H2481" t="s">
        <v>2327</v>
      </c>
      <c r="I2481" s="21">
        <v>39450</v>
      </c>
      <c r="J2481">
        <v>2008</v>
      </c>
      <c r="K2481" s="21">
        <v>39517</v>
      </c>
      <c r="L2481">
        <v>2008</v>
      </c>
      <c r="M2481" s="21">
        <v>40002.620578703703</v>
      </c>
      <c r="N2481">
        <v>2009</v>
      </c>
      <c r="R2481" s="262">
        <v>14328000</v>
      </c>
      <c r="S2481" t="s">
        <v>114</v>
      </c>
      <c r="T2481" t="s">
        <v>114</v>
      </c>
      <c r="U2481">
        <v>4</v>
      </c>
      <c r="W2481">
        <v>40558</v>
      </c>
      <c r="X2481">
        <v>0</v>
      </c>
      <c r="Y2481">
        <v>0</v>
      </c>
      <c r="Z2481">
        <v>0</v>
      </c>
      <c r="AA2481">
        <v>0</v>
      </c>
      <c r="AB2481">
        <v>40558</v>
      </c>
      <c r="AC2481">
        <v>0</v>
      </c>
      <c r="AD2481">
        <v>0</v>
      </c>
      <c r="AE2481">
        <v>0</v>
      </c>
      <c r="AF2481">
        <v>0</v>
      </c>
      <c r="AG2481">
        <v>0</v>
      </c>
      <c r="AH2481">
        <v>0</v>
      </c>
      <c r="AI2481">
        <v>0</v>
      </c>
      <c r="AJ2481">
        <v>0</v>
      </c>
      <c r="AK2481">
        <v>0</v>
      </c>
      <c r="AL2481">
        <v>0</v>
      </c>
      <c r="AM2481">
        <v>0</v>
      </c>
      <c r="AN2481">
        <v>0</v>
      </c>
      <c r="AO2481">
        <v>0</v>
      </c>
      <c r="AP2481">
        <v>0</v>
      </c>
      <c r="AQ2481">
        <v>0</v>
      </c>
      <c r="AR2481">
        <v>0</v>
      </c>
      <c r="AS2481">
        <v>0</v>
      </c>
      <c r="AT2481">
        <v>0</v>
      </c>
      <c r="AU2481">
        <f t="shared" si="76"/>
        <v>0</v>
      </c>
      <c r="AV2481">
        <f t="shared" si="77"/>
        <v>40558</v>
      </c>
    </row>
    <row r="2482" spans="1:48" x14ac:dyDescent="0.25">
      <c r="A2482" t="s">
        <v>8622</v>
      </c>
      <c r="C2482" t="s">
        <v>8623</v>
      </c>
      <c r="D2482" t="s">
        <v>1585</v>
      </c>
      <c r="E2482" t="s">
        <v>2310</v>
      </c>
      <c r="F2482">
        <v>9</v>
      </c>
      <c r="G2482">
        <v>9.1999999999999993</v>
      </c>
      <c r="H2482" t="s">
        <v>2022</v>
      </c>
      <c r="I2482" s="21">
        <v>39450</v>
      </c>
      <c r="J2482">
        <v>2008</v>
      </c>
      <c r="K2482" s="21">
        <v>39518</v>
      </c>
      <c r="L2482">
        <v>2008</v>
      </c>
      <c r="M2482" s="21">
        <v>40002.631655092599</v>
      </c>
      <c r="N2482">
        <v>2009</v>
      </c>
      <c r="R2482" s="262">
        <v>2011000</v>
      </c>
      <c r="S2482" t="s">
        <v>114</v>
      </c>
      <c r="T2482" t="s">
        <v>114</v>
      </c>
      <c r="U2482">
        <v>4</v>
      </c>
      <c r="W2482">
        <v>4706</v>
      </c>
      <c r="X2482">
        <v>0</v>
      </c>
      <c r="Y2482">
        <v>0</v>
      </c>
      <c r="Z2482">
        <v>0</v>
      </c>
      <c r="AA2482">
        <v>0</v>
      </c>
      <c r="AB2482">
        <v>4706</v>
      </c>
      <c r="AC2482">
        <v>0</v>
      </c>
      <c r="AD2482">
        <v>0</v>
      </c>
      <c r="AE2482">
        <v>0</v>
      </c>
      <c r="AF2482">
        <v>0</v>
      </c>
      <c r="AG2482">
        <v>0</v>
      </c>
      <c r="AH2482">
        <v>0</v>
      </c>
      <c r="AI2482">
        <v>0</v>
      </c>
      <c r="AJ2482">
        <v>0</v>
      </c>
      <c r="AK2482">
        <v>0</v>
      </c>
      <c r="AL2482">
        <v>0</v>
      </c>
      <c r="AM2482">
        <v>0</v>
      </c>
      <c r="AN2482">
        <v>0</v>
      </c>
      <c r="AO2482">
        <v>0</v>
      </c>
      <c r="AP2482">
        <v>0</v>
      </c>
      <c r="AQ2482">
        <v>0</v>
      </c>
      <c r="AR2482">
        <v>0</v>
      </c>
      <c r="AS2482">
        <v>0</v>
      </c>
      <c r="AT2482">
        <v>0</v>
      </c>
      <c r="AU2482">
        <f t="shared" si="76"/>
        <v>0</v>
      </c>
      <c r="AV2482">
        <f t="shared" si="77"/>
        <v>4706</v>
      </c>
    </row>
    <row r="2483" spans="1:48" x14ac:dyDescent="0.25">
      <c r="A2483" t="s">
        <v>8624</v>
      </c>
      <c r="C2483" t="s">
        <v>8625</v>
      </c>
      <c r="D2483" t="s">
        <v>8621</v>
      </c>
      <c r="E2483" t="s">
        <v>2310</v>
      </c>
      <c r="F2483">
        <v>13</v>
      </c>
      <c r="G2483">
        <v>13.2</v>
      </c>
      <c r="H2483" t="s">
        <v>2327</v>
      </c>
      <c r="I2483" s="21">
        <v>39450</v>
      </c>
      <c r="J2483">
        <v>2008</v>
      </c>
      <c r="K2483" s="21">
        <v>39518</v>
      </c>
      <c r="L2483">
        <v>2008</v>
      </c>
      <c r="M2483" s="21">
        <v>40002.645289351902</v>
      </c>
      <c r="N2483">
        <v>2009</v>
      </c>
      <c r="R2483" s="262">
        <v>1663000</v>
      </c>
      <c r="S2483" t="s">
        <v>114</v>
      </c>
      <c r="T2483" t="s">
        <v>114</v>
      </c>
      <c r="U2483">
        <v>4</v>
      </c>
      <c r="W2483">
        <v>5690</v>
      </c>
      <c r="X2483">
        <v>0</v>
      </c>
      <c r="Y2483">
        <v>0</v>
      </c>
      <c r="Z2483">
        <v>0</v>
      </c>
      <c r="AA2483">
        <v>0</v>
      </c>
      <c r="AB2483">
        <v>5690</v>
      </c>
      <c r="AC2483">
        <v>0</v>
      </c>
      <c r="AD2483">
        <v>0</v>
      </c>
      <c r="AE2483">
        <v>0</v>
      </c>
      <c r="AF2483">
        <v>0</v>
      </c>
      <c r="AG2483">
        <v>0</v>
      </c>
      <c r="AH2483">
        <v>0</v>
      </c>
      <c r="AI2483">
        <v>0</v>
      </c>
      <c r="AJ2483">
        <v>0</v>
      </c>
      <c r="AK2483">
        <v>0</v>
      </c>
      <c r="AL2483">
        <v>0</v>
      </c>
      <c r="AM2483">
        <v>0</v>
      </c>
      <c r="AN2483">
        <v>0</v>
      </c>
      <c r="AO2483">
        <v>0</v>
      </c>
      <c r="AP2483">
        <v>0</v>
      </c>
      <c r="AQ2483">
        <v>0</v>
      </c>
      <c r="AR2483">
        <v>0</v>
      </c>
      <c r="AS2483">
        <v>0</v>
      </c>
      <c r="AT2483">
        <v>0</v>
      </c>
      <c r="AU2483">
        <f t="shared" si="76"/>
        <v>0</v>
      </c>
      <c r="AV2483">
        <f t="shared" si="77"/>
        <v>5690</v>
      </c>
    </row>
    <row r="2484" spans="1:48" x14ac:dyDescent="0.25">
      <c r="A2484" t="s">
        <v>8626</v>
      </c>
      <c r="C2484" t="s">
        <v>8627</v>
      </c>
      <c r="D2484" t="s">
        <v>7315</v>
      </c>
      <c r="E2484" t="s">
        <v>2310</v>
      </c>
      <c r="F2484">
        <v>11</v>
      </c>
      <c r="G2484">
        <v>11.2</v>
      </c>
      <c r="H2484" t="s">
        <v>2017</v>
      </c>
      <c r="I2484" s="21">
        <v>39456</v>
      </c>
      <c r="J2484">
        <v>2008</v>
      </c>
      <c r="K2484" s="21">
        <v>39465</v>
      </c>
      <c r="L2484">
        <v>2008</v>
      </c>
      <c r="M2484" s="21">
        <v>40088.603738425903</v>
      </c>
      <c r="N2484">
        <v>2009</v>
      </c>
      <c r="S2484" t="s">
        <v>114</v>
      </c>
      <c r="T2484" t="s">
        <v>114</v>
      </c>
      <c r="U2484">
        <v>12</v>
      </c>
      <c r="W2484">
        <v>0</v>
      </c>
      <c r="X2484">
        <v>0</v>
      </c>
      <c r="Y2484">
        <v>0</v>
      </c>
      <c r="Z2484">
        <v>0</v>
      </c>
      <c r="AA2484">
        <v>0</v>
      </c>
      <c r="AB2484">
        <v>0</v>
      </c>
      <c r="AC2484">
        <v>0</v>
      </c>
      <c r="AD2484">
        <v>0</v>
      </c>
      <c r="AE2484">
        <v>0</v>
      </c>
      <c r="AF2484">
        <v>0</v>
      </c>
      <c r="AG2484">
        <v>0</v>
      </c>
      <c r="AH2484">
        <v>0</v>
      </c>
      <c r="AI2484">
        <v>0</v>
      </c>
      <c r="AJ2484">
        <v>0</v>
      </c>
      <c r="AK2484">
        <v>0</v>
      </c>
      <c r="AL2484">
        <v>0</v>
      </c>
      <c r="AM2484">
        <v>0</v>
      </c>
      <c r="AN2484">
        <v>0</v>
      </c>
      <c r="AO2484">
        <v>0</v>
      </c>
      <c r="AP2484">
        <v>0</v>
      </c>
      <c r="AQ2484">
        <v>0</v>
      </c>
      <c r="AR2484">
        <v>0</v>
      </c>
      <c r="AS2484">
        <v>0</v>
      </c>
      <c r="AT2484">
        <v>0</v>
      </c>
      <c r="AU2484">
        <f t="shared" si="76"/>
        <v>0</v>
      </c>
      <c r="AV2484">
        <f t="shared" si="77"/>
        <v>0</v>
      </c>
    </row>
    <row r="2485" spans="1:48" x14ac:dyDescent="0.25">
      <c r="A2485" t="s">
        <v>8628</v>
      </c>
      <c r="C2485" t="s">
        <v>8629</v>
      </c>
      <c r="D2485" t="s">
        <v>8087</v>
      </c>
      <c r="E2485" t="s">
        <v>2310</v>
      </c>
      <c r="F2485">
        <v>8</v>
      </c>
      <c r="G2485">
        <v>8.3000000000000007</v>
      </c>
      <c r="H2485" t="s">
        <v>2323</v>
      </c>
      <c r="I2485" s="21">
        <v>39456</v>
      </c>
      <c r="J2485">
        <v>2008</v>
      </c>
      <c r="K2485" s="21">
        <v>39482</v>
      </c>
      <c r="L2485">
        <v>2008</v>
      </c>
      <c r="M2485" s="21">
        <v>40534.594895833303</v>
      </c>
      <c r="N2485">
        <v>2010</v>
      </c>
      <c r="R2485" s="262">
        <v>120000</v>
      </c>
      <c r="S2485" t="s">
        <v>114</v>
      </c>
      <c r="T2485" t="s">
        <v>114</v>
      </c>
      <c r="U2485">
        <v>5</v>
      </c>
      <c r="W2485">
        <v>694</v>
      </c>
      <c r="X2485">
        <v>0</v>
      </c>
      <c r="Y2485">
        <v>0</v>
      </c>
      <c r="Z2485">
        <v>0</v>
      </c>
      <c r="AA2485">
        <v>0</v>
      </c>
      <c r="AB2485">
        <v>0</v>
      </c>
      <c r="AC2485">
        <v>694</v>
      </c>
      <c r="AD2485">
        <v>0</v>
      </c>
      <c r="AE2485">
        <v>0</v>
      </c>
      <c r="AF2485">
        <v>0</v>
      </c>
      <c r="AG2485">
        <v>0</v>
      </c>
      <c r="AH2485">
        <v>0</v>
      </c>
      <c r="AI2485">
        <v>0</v>
      </c>
      <c r="AJ2485">
        <v>0</v>
      </c>
      <c r="AK2485">
        <v>0</v>
      </c>
      <c r="AL2485">
        <v>0</v>
      </c>
      <c r="AM2485">
        <v>0</v>
      </c>
      <c r="AN2485">
        <v>0</v>
      </c>
      <c r="AO2485">
        <v>0</v>
      </c>
      <c r="AP2485">
        <v>0</v>
      </c>
      <c r="AQ2485">
        <v>0</v>
      </c>
      <c r="AR2485">
        <v>0</v>
      </c>
      <c r="AS2485">
        <v>0</v>
      </c>
      <c r="AT2485">
        <v>0</v>
      </c>
      <c r="AU2485">
        <f t="shared" si="76"/>
        <v>0</v>
      </c>
      <c r="AV2485">
        <f t="shared" si="77"/>
        <v>0</v>
      </c>
    </row>
    <row r="2486" spans="1:48" x14ac:dyDescent="0.25">
      <c r="A2486" t="s">
        <v>8630</v>
      </c>
      <c r="C2486" t="s">
        <v>8629</v>
      </c>
      <c r="D2486" t="s">
        <v>8090</v>
      </c>
      <c r="E2486" t="s">
        <v>2310</v>
      </c>
      <c r="F2486">
        <v>8</v>
      </c>
      <c r="G2486">
        <v>8.3000000000000007</v>
      </c>
      <c r="H2486" t="s">
        <v>2323</v>
      </c>
      <c r="I2486" s="21">
        <v>39456</v>
      </c>
      <c r="J2486">
        <v>2008</v>
      </c>
      <c r="K2486" s="21">
        <v>39482</v>
      </c>
      <c r="L2486">
        <v>2008</v>
      </c>
      <c r="M2486" s="21">
        <v>40534.5882291667</v>
      </c>
      <c r="N2486">
        <v>2010</v>
      </c>
      <c r="R2486" s="262">
        <v>120000</v>
      </c>
      <c r="S2486" t="s">
        <v>114</v>
      </c>
      <c r="T2486" t="s">
        <v>114</v>
      </c>
      <c r="U2486">
        <v>5</v>
      </c>
      <c r="W2486">
        <v>694</v>
      </c>
      <c r="X2486">
        <v>0</v>
      </c>
      <c r="Y2486">
        <v>0</v>
      </c>
      <c r="Z2486">
        <v>0</v>
      </c>
      <c r="AA2486">
        <v>0</v>
      </c>
      <c r="AB2486">
        <v>0</v>
      </c>
      <c r="AC2486">
        <v>694</v>
      </c>
      <c r="AD2486">
        <v>0</v>
      </c>
      <c r="AE2486">
        <v>0</v>
      </c>
      <c r="AF2486">
        <v>0</v>
      </c>
      <c r="AG2486">
        <v>0</v>
      </c>
      <c r="AH2486">
        <v>0</v>
      </c>
      <c r="AI2486">
        <v>0</v>
      </c>
      <c r="AJ2486">
        <v>0</v>
      </c>
      <c r="AK2486">
        <v>0</v>
      </c>
      <c r="AL2486">
        <v>0</v>
      </c>
      <c r="AM2486">
        <v>0</v>
      </c>
      <c r="AN2486">
        <v>0</v>
      </c>
      <c r="AO2486">
        <v>0</v>
      </c>
      <c r="AP2486">
        <v>0</v>
      </c>
      <c r="AQ2486">
        <v>0</v>
      </c>
      <c r="AR2486">
        <v>0</v>
      </c>
      <c r="AS2486">
        <v>0</v>
      </c>
      <c r="AT2486">
        <v>0</v>
      </c>
      <c r="AU2486">
        <f t="shared" si="76"/>
        <v>0</v>
      </c>
      <c r="AV2486">
        <f t="shared" si="77"/>
        <v>0</v>
      </c>
    </row>
    <row r="2487" spans="1:48" x14ac:dyDescent="0.25">
      <c r="A2487" t="s">
        <v>8631</v>
      </c>
      <c r="C2487" t="s">
        <v>3870</v>
      </c>
      <c r="D2487" t="s">
        <v>8093</v>
      </c>
      <c r="E2487" t="s">
        <v>2310</v>
      </c>
      <c r="F2487">
        <v>8</v>
      </c>
      <c r="G2487">
        <v>8.3000000000000007</v>
      </c>
      <c r="H2487" t="s">
        <v>2323</v>
      </c>
      <c r="I2487" s="21">
        <v>39456</v>
      </c>
      <c r="J2487">
        <v>2008</v>
      </c>
      <c r="K2487" s="21">
        <v>39533</v>
      </c>
      <c r="L2487">
        <v>2008</v>
      </c>
      <c r="M2487" s="21">
        <v>40534.560046296298</v>
      </c>
      <c r="N2487">
        <v>2010</v>
      </c>
      <c r="R2487" s="262">
        <v>120000</v>
      </c>
      <c r="S2487" t="s">
        <v>114</v>
      </c>
      <c r="T2487" t="s">
        <v>114</v>
      </c>
      <c r="U2487">
        <v>5</v>
      </c>
      <c r="W2487">
        <v>694</v>
      </c>
      <c r="X2487">
        <v>0</v>
      </c>
      <c r="Y2487">
        <v>0</v>
      </c>
      <c r="Z2487">
        <v>0</v>
      </c>
      <c r="AA2487">
        <v>0</v>
      </c>
      <c r="AB2487">
        <v>0</v>
      </c>
      <c r="AC2487">
        <v>694</v>
      </c>
      <c r="AD2487">
        <v>0</v>
      </c>
      <c r="AE2487">
        <v>0</v>
      </c>
      <c r="AF2487">
        <v>0</v>
      </c>
      <c r="AG2487">
        <v>0</v>
      </c>
      <c r="AH2487">
        <v>0</v>
      </c>
      <c r="AI2487">
        <v>0</v>
      </c>
      <c r="AJ2487">
        <v>0</v>
      </c>
      <c r="AK2487">
        <v>0</v>
      </c>
      <c r="AL2487">
        <v>0</v>
      </c>
      <c r="AM2487">
        <v>0</v>
      </c>
      <c r="AN2487">
        <v>0</v>
      </c>
      <c r="AO2487">
        <v>0</v>
      </c>
      <c r="AP2487">
        <v>0</v>
      </c>
      <c r="AQ2487">
        <v>0</v>
      </c>
      <c r="AR2487">
        <v>0</v>
      </c>
      <c r="AS2487">
        <v>0</v>
      </c>
      <c r="AT2487">
        <v>0</v>
      </c>
      <c r="AU2487">
        <f t="shared" si="76"/>
        <v>0</v>
      </c>
      <c r="AV2487">
        <f t="shared" si="77"/>
        <v>0</v>
      </c>
    </row>
    <row r="2488" spans="1:48" x14ac:dyDescent="0.25">
      <c r="A2488" t="s">
        <v>8632</v>
      </c>
      <c r="C2488" t="s">
        <v>8633</v>
      </c>
      <c r="D2488" t="s">
        <v>8096</v>
      </c>
      <c r="E2488" t="s">
        <v>2310</v>
      </c>
      <c r="F2488">
        <v>8</v>
      </c>
      <c r="G2488">
        <v>8.3000000000000007</v>
      </c>
      <c r="H2488" t="s">
        <v>2323</v>
      </c>
      <c r="I2488" s="21">
        <v>39456</v>
      </c>
      <c r="J2488">
        <v>2008</v>
      </c>
      <c r="K2488" s="21">
        <v>39482</v>
      </c>
      <c r="L2488">
        <v>2008</v>
      </c>
      <c r="M2488" s="21">
        <v>40534.558495370402</v>
      </c>
      <c r="N2488">
        <v>2010</v>
      </c>
      <c r="R2488" s="262">
        <v>120000</v>
      </c>
      <c r="S2488" t="s">
        <v>114</v>
      </c>
      <c r="T2488" t="s">
        <v>114</v>
      </c>
      <c r="U2488">
        <v>5</v>
      </c>
      <c r="W2488">
        <v>694</v>
      </c>
      <c r="X2488">
        <v>0</v>
      </c>
      <c r="Y2488">
        <v>0</v>
      </c>
      <c r="Z2488">
        <v>0</v>
      </c>
      <c r="AA2488">
        <v>0</v>
      </c>
      <c r="AB2488">
        <v>0</v>
      </c>
      <c r="AC2488">
        <v>694</v>
      </c>
      <c r="AD2488">
        <v>0</v>
      </c>
      <c r="AE2488">
        <v>0</v>
      </c>
      <c r="AF2488">
        <v>0</v>
      </c>
      <c r="AG2488">
        <v>0</v>
      </c>
      <c r="AH2488">
        <v>0</v>
      </c>
      <c r="AI2488">
        <v>0</v>
      </c>
      <c r="AJ2488">
        <v>0</v>
      </c>
      <c r="AK2488">
        <v>0</v>
      </c>
      <c r="AL2488">
        <v>0</v>
      </c>
      <c r="AM2488">
        <v>0</v>
      </c>
      <c r="AN2488">
        <v>0</v>
      </c>
      <c r="AO2488">
        <v>0</v>
      </c>
      <c r="AP2488">
        <v>0</v>
      </c>
      <c r="AQ2488">
        <v>0</v>
      </c>
      <c r="AR2488">
        <v>0</v>
      </c>
      <c r="AS2488">
        <v>0</v>
      </c>
      <c r="AT2488">
        <v>0</v>
      </c>
      <c r="AU2488">
        <f t="shared" si="76"/>
        <v>0</v>
      </c>
      <c r="AV2488">
        <f t="shared" si="77"/>
        <v>0</v>
      </c>
    </row>
    <row r="2489" spans="1:48" x14ac:dyDescent="0.25">
      <c r="A2489" t="s">
        <v>8634</v>
      </c>
      <c r="C2489" t="s">
        <v>8635</v>
      </c>
      <c r="D2489" t="s">
        <v>8636</v>
      </c>
      <c r="E2489" t="s">
        <v>2310</v>
      </c>
      <c r="F2489">
        <v>9</v>
      </c>
      <c r="G2489">
        <v>9.4</v>
      </c>
      <c r="H2489" t="s">
        <v>2323</v>
      </c>
      <c r="I2489" s="21">
        <v>39457</v>
      </c>
      <c r="J2489">
        <v>2008</v>
      </c>
      <c r="K2489" s="21">
        <v>39525</v>
      </c>
      <c r="L2489">
        <v>2008</v>
      </c>
      <c r="M2489" s="21">
        <v>40122.448171296302</v>
      </c>
      <c r="N2489">
        <v>2009</v>
      </c>
      <c r="R2489" s="262">
        <v>800000</v>
      </c>
      <c r="S2489" t="s">
        <v>114</v>
      </c>
      <c r="T2489" t="s">
        <v>114</v>
      </c>
      <c r="U2489">
        <v>5</v>
      </c>
      <c r="W2489">
        <v>3497</v>
      </c>
      <c r="X2489">
        <v>1</v>
      </c>
      <c r="Y2489">
        <v>0</v>
      </c>
      <c r="Z2489">
        <v>0</v>
      </c>
      <c r="AA2489">
        <v>0</v>
      </c>
      <c r="AB2489">
        <v>0</v>
      </c>
      <c r="AC2489">
        <v>3497</v>
      </c>
      <c r="AD2489">
        <v>0</v>
      </c>
      <c r="AE2489">
        <v>0</v>
      </c>
      <c r="AF2489">
        <v>0</v>
      </c>
      <c r="AG2489">
        <v>0</v>
      </c>
      <c r="AH2489">
        <v>0</v>
      </c>
      <c r="AI2489">
        <v>0</v>
      </c>
      <c r="AJ2489">
        <v>0</v>
      </c>
      <c r="AK2489">
        <v>0</v>
      </c>
      <c r="AL2489">
        <v>0</v>
      </c>
      <c r="AM2489">
        <v>0</v>
      </c>
      <c r="AN2489">
        <v>0</v>
      </c>
      <c r="AO2489">
        <v>1</v>
      </c>
      <c r="AP2489">
        <v>0</v>
      </c>
      <c r="AQ2489">
        <v>0</v>
      </c>
      <c r="AR2489">
        <v>0</v>
      </c>
      <c r="AS2489">
        <v>0</v>
      </c>
      <c r="AT2489">
        <v>0</v>
      </c>
      <c r="AU2489">
        <f t="shared" si="76"/>
        <v>1</v>
      </c>
      <c r="AV2489">
        <f t="shared" si="77"/>
        <v>0</v>
      </c>
    </row>
    <row r="2490" spans="1:48" x14ac:dyDescent="0.25">
      <c r="A2490" t="s">
        <v>8637</v>
      </c>
      <c r="C2490" t="s">
        <v>8638</v>
      </c>
      <c r="D2490" t="s">
        <v>6437</v>
      </c>
      <c r="E2490" t="s">
        <v>2310</v>
      </c>
      <c r="F2490">
        <v>15</v>
      </c>
      <c r="G2490">
        <v>15.3</v>
      </c>
      <c r="H2490" t="s">
        <v>2022</v>
      </c>
      <c r="I2490" s="21">
        <v>39461</v>
      </c>
      <c r="J2490">
        <v>2008</v>
      </c>
      <c r="K2490" s="21">
        <v>39498</v>
      </c>
      <c r="L2490">
        <v>2008</v>
      </c>
      <c r="M2490" s="21">
        <v>39498</v>
      </c>
      <c r="N2490">
        <v>2008</v>
      </c>
      <c r="S2490" t="s">
        <v>114</v>
      </c>
      <c r="T2490" t="s">
        <v>114</v>
      </c>
      <c r="U2490">
        <v>5</v>
      </c>
      <c r="W2490">
        <v>-927</v>
      </c>
      <c r="X2490">
        <v>0</v>
      </c>
      <c r="Y2490">
        <v>0</v>
      </c>
      <c r="Z2490">
        <v>0</v>
      </c>
      <c r="AA2490">
        <v>0</v>
      </c>
      <c r="AB2490">
        <v>0</v>
      </c>
      <c r="AC2490">
        <v>-927</v>
      </c>
      <c r="AD2490">
        <v>0</v>
      </c>
      <c r="AE2490">
        <v>0</v>
      </c>
      <c r="AF2490">
        <v>0</v>
      </c>
      <c r="AG2490">
        <v>0</v>
      </c>
      <c r="AH2490">
        <v>0</v>
      </c>
      <c r="AI2490">
        <v>0</v>
      </c>
      <c r="AJ2490">
        <v>0</v>
      </c>
      <c r="AK2490">
        <v>0</v>
      </c>
      <c r="AL2490">
        <v>0</v>
      </c>
      <c r="AM2490">
        <v>0</v>
      </c>
      <c r="AN2490">
        <v>0</v>
      </c>
      <c r="AO2490">
        <v>0</v>
      </c>
      <c r="AP2490">
        <v>0</v>
      </c>
      <c r="AQ2490">
        <v>0</v>
      </c>
      <c r="AR2490">
        <v>0</v>
      </c>
      <c r="AS2490">
        <v>0</v>
      </c>
      <c r="AT2490">
        <v>0</v>
      </c>
      <c r="AU2490">
        <f t="shared" si="76"/>
        <v>0</v>
      </c>
      <c r="AV2490">
        <f t="shared" si="77"/>
        <v>0</v>
      </c>
    </row>
    <row r="2491" spans="1:48" x14ac:dyDescent="0.25">
      <c r="A2491" t="s">
        <v>8639</v>
      </c>
      <c r="C2491" t="s">
        <v>8640</v>
      </c>
      <c r="D2491" t="s">
        <v>8641</v>
      </c>
      <c r="E2491" t="s">
        <v>2310</v>
      </c>
      <c r="F2491">
        <v>10</v>
      </c>
      <c r="G2491">
        <v>10.1</v>
      </c>
      <c r="H2491" t="s">
        <v>2323</v>
      </c>
      <c r="I2491" s="21">
        <v>39461</v>
      </c>
      <c r="J2491">
        <v>2008</v>
      </c>
      <c r="K2491" s="21">
        <v>39486</v>
      </c>
      <c r="L2491">
        <v>2008</v>
      </c>
      <c r="M2491" s="21">
        <v>40289.591990740701</v>
      </c>
      <c r="N2491">
        <v>2010</v>
      </c>
      <c r="R2491" s="262">
        <v>350000</v>
      </c>
      <c r="S2491" t="s">
        <v>114</v>
      </c>
      <c r="T2491" t="s">
        <v>114</v>
      </c>
      <c r="U2491">
        <v>5</v>
      </c>
      <c r="W2491">
        <v>419</v>
      </c>
      <c r="X2491">
        <v>0</v>
      </c>
      <c r="Y2491">
        <v>0</v>
      </c>
      <c r="Z2491">
        <v>0</v>
      </c>
      <c r="AA2491">
        <v>0</v>
      </c>
      <c r="AB2491">
        <v>0</v>
      </c>
      <c r="AC2491">
        <v>419</v>
      </c>
      <c r="AD2491">
        <v>0</v>
      </c>
      <c r="AE2491">
        <v>0</v>
      </c>
      <c r="AF2491">
        <v>0</v>
      </c>
      <c r="AG2491">
        <v>0</v>
      </c>
      <c r="AH2491">
        <v>0</v>
      </c>
      <c r="AI2491">
        <v>0</v>
      </c>
      <c r="AJ2491">
        <v>0</v>
      </c>
      <c r="AK2491">
        <v>0</v>
      </c>
      <c r="AL2491">
        <v>0</v>
      </c>
      <c r="AM2491">
        <v>0</v>
      </c>
      <c r="AN2491">
        <v>0</v>
      </c>
      <c r="AO2491">
        <v>0</v>
      </c>
      <c r="AP2491">
        <v>0</v>
      </c>
      <c r="AQ2491">
        <v>0</v>
      </c>
      <c r="AR2491">
        <v>0</v>
      </c>
      <c r="AS2491">
        <v>0</v>
      </c>
      <c r="AT2491">
        <v>0</v>
      </c>
      <c r="AU2491">
        <f t="shared" si="76"/>
        <v>0</v>
      </c>
      <c r="AV2491">
        <f t="shared" si="77"/>
        <v>0</v>
      </c>
    </row>
    <row r="2492" spans="1:48" x14ac:dyDescent="0.25">
      <c r="A2492" t="s">
        <v>8642</v>
      </c>
      <c r="C2492" t="s">
        <v>8643</v>
      </c>
      <c r="D2492" t="s">
        <v>8644</v>
      </c>
      <c r="E2492" t="s">
        <v>2310</v>
      </c>
      <c r="F2492">
        <v>10</v>
      </c>
      <c r="G2492">
        <v>10.1</v>
      </c>
      <c r="H2492" t="s">
        <v>2323</v>
      </c>
      <c r="I2492" s="21">
        <v>39463</v>
      </c>
      <c r="J2492">
        <v>2008</v>
      </c>
      <c r="K2492" s="21">
        <v>39546</v>
      </c>
      <c r="L2492">
        <v>2008</v>
      </c>
      <c r="M2492" s="21">
        <v>39749</v>
      </c>
      <c r="N2492">
        <v>2008</v>
      </c>
      <c r="R2492" s="262">
        <v>277000</v>
      </c>
      <c r="S2492" t="s">
        <v>114</v>
      </c>
      <c r="T2492" t="s">
        <v>114</v>
      </c>
      <c r="U2492">
        <v>5</v>
      </c>
      <c r="W2492">
        <v>1904</v>
      </c>
      <c r="X2492">
        <v>1</v>
      </c>
      <c r="Y2492">
        <v>0</v>
      </c>
      <c r="Z2492">
        <v>0</v>
      </c>
      <c r="AA2492">
        <v>0</v>
      </c>
      <c r="AB2492">
        <v>0</v>
      </c>
      <c r="AC2492">
        <v>1904</v>
      </c>
      <c r="AD2492">
        <v>0</v>
      </c>
      <c r="AE2492">
        <v>0</v>
      </c>
      <c r="AF2492">
        <v>0</v>
      </c>
      <c r="AG2492">
        <v>0</v>
      </c>
      <c r="AH2492">
        <v>0</v>
      </c>
      <c r="AI2492">
        <v>0</v>
      </c>
      <c r="AJ2492">
        <v>0</v>
      </c>
      <c r="AK2492">
        <v>0</v>
      </c>
      <c r="AL2492">
        <v>0</v>
      </c>
      <c r="AM2492">
        <v>0</v>
      </c>
      <c r="AN2492">
        <v>0</v>
      </c>
      <c r="AO2492">
        <v>1</v>
      </c>
      <c r="AP2492">
        <v>0</v>
      </c>
      <c r="AQ2492">
        <v>0</v>
      </c>
      <c r="AR2492">
        <v>0</v>
      </c>
      <c r="AS2492">
        <v>0</v>
      </c>
      <c r="AT2492">
        <v>0</v>
      </c>
      <c r="AU2492">
        <f t="shared" si="76"/>
        <v>1</v>
      </c>
      <c r="AV2492">
        <f t="shared" si="77"/>
        <v>0</v>
      </c>
    </row>
    <row r="2493" spans="1:48" x14ac:dyDescent="0.25">
      <c r="A2493" t="s">
        <v>8645</v>
      </c>
      <c r="C2493" t="s">
        <v>8646</v>
      </c>
      <c r="D2493" t="s">
        <v>8647</v>
      </c>
      <c r="E2493" t="s">
        <v>2310</v>
      </c>
      <c r="F2493">
        <v>10</v>
      </c>
      <c r="G2493">
        <v>10.1</v>
      </c>
      <c r="H2493" t="s">
        <v>2323</v>
      </c>
      <c r="I2493" s="21">
        <v>39463</v>
      </c>
      <c r="J2493">
        <v>2008</v>
      </c>
      <c r="K2493" s="21">
        <v>39547</v>
      </c>
      <c r="L2493">
        <v>2008</v>
      </c>
      <c r="M2493" s="21">
        <v>39749</v>
      </c>
      <c r="N2493">
        <v>2008</v>
      </c>
      <c r="R2493" s="262">
        <v>277000</v>
      </c>
      <c r="S2493" t="s">
        <v>114</v>
      </c>
      <c r="T2493" t="s">
        <v>114</v>
      </c>
      <c r="U2493">
        <v>5</v>
      </c>
      <c r="W2493">
        <v>2074</v>
      </c>
      <c r="X2493">
        <v>1</v>
      </c>
      <c r="Y2493">
        <v>0</v>
      </c>
      <c r="Z2493">
        <v>0</v>
      </c>
      <c r="AA2493">
        <v>0</v>
      </c>
      <c r="AB2493">
        <v>0</v>
      </c>
      <c r="AC2493">
        <v>2074</v>
      </c>
      <c r="AD2493">
        <v>0</v>
      </c>
      <c r="AE2493">
        <v>0</v>
      </c>
      <c r="AF2493">
        <v>0</v>
      </c>
      <c r="AG2493">
        <v>0</v>
      </c>
      <c r="AH2493">
        <v>0</v>
      </c>
      <c r="AI2493">
        <v>0</v>
      </c>
      <c r="AJ2493">
        <v>0</v>
      </c>
      <c r="AK2493">
        <v>0</v>
      </c>
      <c r="AL2493">
        <v>0</v>
      </c>
      <c r="AM2493">
        <v>0</v>
      </c>
      <c r="AN2493">
        <v>0</v>
      </c>
      <c r="AO2493">
        <v>1</v>
      </c>
      <c r="AP2493">
        <v>0</v>
      </c>
      <c r="AQ2493">
        <v>0</v>
      </c>
      <c r="AR2493">
        <v>0</v>
      </c>
      <c r="AS2493">
        <v>0</v>
      </c>
      <c r="AT2493">
        <v>0</v>
      </c>
      <c r="AU2493">
        <f t="shared" si="76"/>
        <v>1</v>
      </c>
      <c r="AV2493">
        <f t="shared" si="77"/>
        <v>0</v>
      </c>
    </row>
    <row r="2494" spans="1:48" x14ac:dyDescent="0.25">
      <c r="A2494" t="s">
        <v>8648</v>
      </c>
      <c r="C2494" t="s">
        <v>8646</v>
      </c>
      <c r="D2494" t="s">
        <v>8649</v>
      </c>
      <c r="E2494" t="s">
        <v>2310</v>
      </c>
      <c r="F2494">
        <v>10</v>
      </c>
      <c r="G2494">
        <v>10.1</v>
      </c>
      <c r="H2494" t="s">
        <v>2323</v>
      </c>
      <c r="I2494" s="21">
        <v>39463</v>
      </c>
      <c r="J2494">
        <v>2008</v>
      </c>
      <c r="K2494" s="21">
        <v>39546</v>
      </c>
      <c r="L2494">
        <v>2008</v>
      </c>
      <c r="M2494" s="21">
        <v>39749</v>
      </c>
      <c r="N2494">
        <v>2008</v>
      </c>
      <c r="R2494" s="262">
        <v>277000</v>
      </c>
      <c r="S2494" t="s">
        <v>114</v>
      </c>
      <c r="T2494" t="s">
        <v>114</v>
      </c>
      <c r="U2494">
        <v>5</v>
      </c>
      <c r="W2494">
        <v>1904</v>
      </c>
      <c r="X2494">
        <v>1</v>
      </c>
      <c r="Y2494">
        <v>0</v>
      </c>
      <c r="Z2494">
        <v>0</v>
      </c>
      <c r="AA2494">
        <v>0</v>
      </c>
      <c r="AB2494">
        <v>0</v>
      </c>
      <c r="AC2494">
        <v>1904</v>
      </c>
      <c r="AD2494">
        <v>0</v>
      </c>
      <c r="AE2494">
        <v>0</v>
      </c>
      <c r="AF2494">
        <v>0</v>
      </c>
      <c r="AG2494">
        <v>0</v>
      </c>
      <c r="AH2494">
        <v>0</v>
      </c>
      <c r="AI2494">
        <v>0</v>
      </c>
      <c r="AJ2494">
        <v>0</v>
      </c>
      <c r="AK2494">
        <v>0</v>
      </c>
      <c r="AL2494">
        <v>0</v>
      </c>
      <c r="AM2494">
        <v>0</v>
      </c>
      <c r="AN2494">
        <v>0</v>
      </c>
      <c r="AO2494">
        <v>1</v>
      </c>
      <c r="AP2494">
        <v>0</v>
      </c>
      <c r="AQ2494">
        <v>0</v>
      </c>
      <c r="AR2494">
        <v>0</v>
      </c>
      <c r="AS2494">
        <v>0</v>
      </c>
      <c r="AT2494">
        <v>0</v>
      </c>
      <c r="AU2494">
        <f t="shared" si="76"/>
        <v>1</v>
      </c>
      <c r="AV2494">
        <f t="shared" si="77"/>
        <v>0</v>
      </c>
    </row>
    <row r="2495" spans="1:48" x14ac:dyDescent="0.25">
      <c r="A2495" t="s">
        <v>8650</v>
      </c>
      <c r="C2495" t="s">
        <v>8646</v>
      </c>
      <c r="D2495" t="s">
        <v>8651</v>
      </c>
      <c r="E2495" t="s">
        <v>2310</v>
      </c>
      <c r="F2495">
        <v>10</v>
      </c>
      <c r="G2495">
        <v>10.1</v>
      </c>
      <c r="H2495" t="s">
        <v>2323</v>
      </c>
      <c r="I2495" s="21">
        <v>39463</v>
      </c>
      <c r="J2495">
        <v>2008</v>
      </c>
      <c r="K2495" s="21">
        <v>39547</v>
      </c>
      <c r="L2495">
        <v>2008</v>
      </c>
      <c r="M2495" s="21">
        <v>39749</v>
      </c>
      <c r="N2495">
        <v>2008</v>
      </c>
      <c r="R2495" s="262">
        <v>277000</v>
      </c>
      <c r="S2495" t="s">
        <v>114</v>
      </c>
      <c r="T2495" t="s">
        <v>114</v>
      </c>
      <c r="U2495">
        <v>5</v>
      </c>
      <c r="W2495">
        <v>2074</v>
      </c>
      <c r="X2495">
        <v>1</v>
      </c>
      <c r="Y2495">
        <v>0</v>
      </c>
      <c r="Z2495">
        <v>0</v>
      </c>
      <c r="AA2495">
        <v>0</v>
      </c>
      <c r="AB2495">
        <v>0</v>
      </c>
      <c r="AC2495">
        <v>2074</v>
      </c>
      <c r="AD2495">
        <v>0</v>
      </c>
      <c r="AE2495">
        <v>0</v>
      </c>
      <c r="AF2495">
        <v>0</v>
      </c>
      <c r="AG2495">
        <v>0</v>
      </c>
      <c r="AH2495">
        <v>0</v>
      </c>
      <c r="AI2495">
        <v>0</v>
      </c>
      <c r="AJ2495">
        <v>0</v>
      </c>
      <c r="AK2495">
        <v>0</v>
      </c>
      <c r="AL2495">
        <v>0</v>
      </c>
      <c r="AM2495">
        <v>0</v>
      </c>
      <c r="AN2495">
        <v>0</v>
      </c>
      <c r="AO2495">
        <v>1</v>
      </c>
      <c r="AP2495">
        <v>0</v>
      </c>
      <c r="AQ2495">
        <v>0</v>
      </c>
      <c r="AR2495">
        <v>0</v>
      </c>
      <c r="AS2495">
        <v>0</v>
      </c>
      <c r="AT2495">
        <v>0</v>
      </c>
      <c r="AU2495">
        <f t="shared" si="76"/>
        <v>1</v>
      </c>
      <c r="AV2495">
        <f t="shared" si="77"/>
        <v>0</v>
      </c>
    </row>
    <row r="2496" spans="1:48" x14ac:dyDescent="0.25">
      <c r="A2496" t="s">
        <v>8652</v>
      </c>
      <c r="C2496" t="s">
        <v>8646</v>
      </c>
      <c r="D2496" t="s">
        <v>8653</v>
      </c>
      <c r="E2496" t="s">
        <v>2310</v>
      </c>
      <c r="F2496">
        <v>10</v>
      </c>
      <c r="G2496">
        <v>10.1</v>
      </c>
      <c r="H2496" t="s">
        <v>2323</v>
      </c>
      <c r="I2496" s="21">
        <v>39463</v>
      </c>
      <c r="J2496">
        <v>2008</v>
      </c>
      <c r="K2496" s="21">
        <v>39546</v>
      </c>
      <c r="L2496">
        <v>2008</v>
      </c>
      <c r="M2496" s="21">
        <v>39749</v>
      </c>
      <c r="N2496">
        <v>2008</v>
      </c>
      <c r="R2496" s="262">
        <v>277000</v>
      </c>
      <c r="S2496" t="s">
        <v>114</v>
      </c>
      <c r="T2496" t="s">
        <v>114</v>
      </c>
      <c r="U2496">
        <v>5</v>
      </c>
      <c r="W2496">
        <v>1904</v>
      </c>
      <c r="X2496">
        <v>1</v>
      </c>
      <c r="Y2496">
        <v>0</v>
      </c>
      <c r="Z2496">
        <v>0</v>
      </c>
      <c r="AA2496">
        <v>0</v>
      </c>
      <c r="AB2496">
        <v>0</v>
      </c>
      <c r="AC2496">
        <v>1904</v>
      </c>
      <c r="AD2496">
        <v>0</v>
      </c>
      <c r="AE2496">
        <v>0</v>
      </c>
      <c r="AF2496">
        <v>0</v>
      </c>
      <c r="AG2496">
        <v>0</v>
      </c>
      <c r="AH2496">
        <v>0</v>
      </c>
      <c r="AI2496">
        <v>0</v>
      </c>
      <c r="AJ2496">
        <v>0</v>
      </c>
      <c r="AK2496">
        <v>0</v>
      </c>
      <c r="AL2496">
        <v>0</v>
      </c>
      <c r="AM2496">
        <v>0</v>
      </c>
      <c r="AN2496">
        <v>0</v>
      </c>
      <c r="AO2496">
        <v>1</v>
      </c>
      <c r="AP2496">
        <v>0</v>
      </c>
      <c r="AQ2496">
        <v>0</v>
      </c>
      <c r="AR2496">
        <v>0</v>
      </c>
      <c r="AS2496">
        <v>0</v>
      </c>
      <c r="AT2496">
        <v>0</v>
      </c>
      <c r="AU2496">
        <f t="shared" si="76"/>
        <v>1</v>
      </c>
      <c r="AV2496">
        <f t="shared" si="77"/>
        <v>0</v>
      </c>
    </row>
    <row r="2497" spans="1:48" x14ac:dyDescent="0.25">
      <c r="A2497" t="s">
        <v>8654</v>
      </c>
      <c r="C2497" t="s">
        <v>8646</v>
      </c>
      <c r="D2497" t="s">
        <v>8655</v>
      </c>
      <c r="E2497" t="s">
        <v>2310</v>
      </c>
      <c r="F2497">
        <v>10</v>
      </c>
      <c r="G2497">
        <v>10.1</v>
      </c>
      <c r="H2497" t="s">
        <v>2323</v>
      </c>
      <c r="I2497" s="21">
        <v>39463</v>
      </c>
      <c r="J2497">
        <v>2008</v>
      </c>
      <c r="K2497" s="21">
        <v>39547</v>
      </c>
      <c r="L2497">
        <v>2008</v>
      </c>
      <c r="M2497" s="21">
        <v>39812</v>
      </c>
      <c r="N2497">
        <v>2008</v>
      </c>
      <c r="R2497" s="262">
        <v>277000</v>
      </c>
      <c r="S2497" t="s">
        <v>114</v>
      </c>
      <c r="T2497" t="s">
        <v>114</v>
      </c>
      <c r="U2497">
        <v>5</v>
      </c>
      <c r="W2497">
        <v>2074</v>
      </c>
      <c r="X2497">
        <v>1</v>
      </c>
      <c r="Y2497">
        <v>0</v>
      </c>
      <c r="Z2497">
        <v>0</v>
      </c>
      <c r="AA2497">
        <v>0</v>
      </c>
      <c r="AB2497">
        <v>0</v>
      </c>
      <c r="AC2497">
        <v>2074</v>
      </c>
      <c r="AD2497">
        <v>0</v>
      </c>
      <c r="AE2497">
        <v>0</v>
      </c>
      <c r="AF2497">
        <v>0</v>
      </c>
      <c r="AG2497">
        <v>0</v>
      </c>
      <c r="AH2497">
        <v>0</v>
      </c>
      <c r="AI2497">
        <v>0</v>
      </c>
      <c r="AJ2497">
        <v>0</v>
      </c>
      <c r="AK2497">
        <v>0</v>
      </c>
      <c r="AL2497">
        <v>0</v>
      </c>
      <c r="AM2497">
        <v>0</v>
      </c>
      <c r="AN2497">
        <v>0</v>
      </c>
      <c r="AO2497">
        <v>1</v>
      </c>
      <c r="AP2497">
        <v>0</v>
      </c>
      <c r="AQ2497">
        <v>0</v>
      </c>
      <c r="AR2497">
        <v>0</v>
      </c>
      <c r="AS2497">
        <v>0</v>
      </c>
      <c r="AT2497">
        <v>0</v>
      </c>
      <c r="AU2497">
        <f t="shared" si="76"/>
        <v>1</v>
      </c>
      <c r="AV2497">
        <f t="shared" si="77"/>
        <v>0</v>
      </c>
    </row>
    <row r="2498" spans="1:48" x14ac:dyDescent="0.25">
      <c r="A2498" t="s">
        <v>8656</v>
      </c>
      <c r="C2498" t="s">
        <v>8646</v>
      </c>
      <c r="D2498" t="s">
        <v>8657</v>
      </c>
      <c r="E2498" t="s">
        <v>2310</v>
      </c>
      <c r="F2498">
        <v>10</v>
      </c>
      <c r="G2498">
        <v>10.1</v>
      </c>
      <c r="H2498" t="s">
        <v>2323</v>
      </c>
      <c r="I2498" s="21">
        <v>39463</v>
      </c>
      <c r="J2498">
        <v>2008</v>
      </c>
      <c r="K2498" s="21">
        <v>39546</v>
      </c>
      <c r="L2498">
        <v>2008</v>
      </c>
      <c r="M2498" s="21">
        <v>39749</v>
      </c>
      <c r="N2498">
        <v>2008</v>
      </c>
      <c r="R2498" s="262">
        <v>277000</v>
      </c>
      <c r="S2498" t="s">
        <v>114</v>
      </c>
      <c r="T2498" t="s">
        <v>114</v>
      </c>
      <c r="U2498">
        <v>5</v>
      </c>
      <c r="W2498">
        <v>1904</v>
      </c>
      <c r="X2498">
        <v>1</v>
      </c>
      <c r="Y2498">
        <v>0</v>
      </c>
      <c r="Z2498">
        <v>0</v>
      </c>
      <c r="AA2498">
        <v>0</v>
      </c>
      <c r="AB2498">
        <v>0</v>
      </c>
      <c r="AC2498">
        <v>1904</v>
      </c>
      <c r="AD2498">
        <v>0</v>
      </c>
      <c r="AE2498">
        <v>0</v>
      </c>
      <c r="AF2498">
        <v>0</v>
      </c>
      <c r="AG2498">
        <v>0</v>
      </c>
      <c r="AH2498">
        <v>0</v>
      </c>
      <c r="AI2498">
        <v>0</v>
      </c>
      <c r="AJ2498">
        <v>0</v>
      </c>
      <c r="AK2498">
        <v>0</v>
      </c>
      <c r="AL2498">
        <v>0</v>
      </c>
      <c r="AM2498">
        <v>0</v>
      </c>
      <c r="AN2498">
        <v>0</v>
      </c>
      <c r="AO2498">
        <v>1</v>
      </c>
      <c r="AP2498">
        <v>0</v>
      </c>
      <c r="AQ2498">
        <v>0</v>
      </c>
      <c r="AR2498">
        <v>0</v>
      </c>
      <c r="AS2498">
        <v>0</v>
      </c>
      <c r="AT2498">
        <v>0</v>
      </c>
      <c r="AU2498">
        <f t="shared" si="76"/>
        <v>1</v>
      </c>
      <c r="AV2498">
        <f t="shared" si="77"/>
        <v>0</v>
      </c>
    </row>
    <row r="2499" spans="1:48" x14ac:dyDescent="0.25">
      <c r="A2499" t="s">
        <v>8658</v>
      </c>
      <c r="C2499" t="s">
        <v>8646</v>
      </c>
      <c r="D2499" t="s">
        <v>8659</v>
      </c>
      <c r="E2499" t="s">
        <v>2310</v>
      </c>
      <c r="F2499">
        <v>10</v>
      </c>
      <c r="G2499">
        <v>10.1</v>
      </c>
      <c r="H2499" t="s">
        <v>2323</v>
      </c>
      <c r="I2499" s="21">
        <v>39463</v>
      </c>
      <c r="J2499">
        <v>2008</v>
      </c>
      <c r="K2499" s="21">
        <v>39547</v>
      </c>
      <c r="L2499">
        <v>2008</v>
      </c>
      <c r="M2499" s="21">
        <v>39812</v>
      </c>
      <c r="N2499">
        <v>2008</v>
      </c>
      <c r="R2499" s="262">
        <v>277000</v>
      </c>
      <c r="S2499" t="s">
        <v>114</v>
      </c>
      <c r="T2499" t="s">
        <v>114</v>
      </c>
      <c r="U2499">
        <v>5</v>
      </c>
      <c r="W2499">
        <v>2074</v>
      </c>
      <c r="X2499">
        <v>1</v>
      </c>
      <c r="Y2499">
        <v>0</v>
      </c>
      <c r="Z2499">
        <v>0</v>
      </c>
      <c r="AA2499">
        <v>0</v>
      </c>
      <c r="AB2499">
        <v>0</v>
      </c>
      <c r="AC2499">
        <v>2074</v>
      </c>
      <c r="AD2499">
        <v>0</v>
      </c>
      <c r="AE2499">
        <v>0</v>
      </c>
      <c r="AF2499">
        <v>0</v>
      </c>
      <c r="AG2499">
        <v>0</v>
      </c>
      <c r="AH2499">
        <v>0</v>
      </c>
      <c r="AI2499">
        <v>0</v>
      </c>
      <c r="AJ2499">
        <v>0</v>
      </c>
      <c r="AK2499">
        <v>0</v>
      </c>
      <c r="AL2499">
        <v>0</v>
      </c>
      <c r="AM2499">
        <v>0</v>
      </c>
      <c r="AN2499">
        <v>0</v>
      </c>
      <c r="AO2499">
        <v>1</v>
      </c>
      <c r="AP2499">
        <v>0</v>
      </c>
      <c r="AQ2499">
        <v>0</v>
      </c>
      <c r="AR2499">
        <v>0</v>
      </c>
      <c r="AS2499">
        <v>0</v>
      </c>
      <c r="AT2499">
        <v>0</v>
      </c>
      <c r="AU2499">
        <f t="shared" si="76"/>
        <v>1</v>
      </c>
      <c r="AV2499">
        <f t="shared" si="77"/>
        <v>0</v>
      </c>
    </row>
    <row r="2500" spans="1:48" x14ac:dyDescent="0.25">
      <c r="A2500" t="s">
        <v>8660</v>
      </c>
      <c r="C2500" t="s">
        <v>8646</v>
      </c>
      <c r="D2500" t="s">
        <v>8647</v>
      </c>
      <c r="E2500" t="s">
        <v>2310</v>
      </c>
      <c r="F2500">
        <v>10</v>
      </c>
      <c r="G2500">
        <v>10.1</v>
      </c>
      <c r="H2500" t="s">
        <v>2323</v>
      </c>
      <c r="I2500" s="21">
        <v>39463</v>
      </c>
      <c r="J2500">
        <v>2008</v>
      </c>
      <c r="K2500" s="21">
        <v>39546</v>
      </c>
      <c r="L2500">
        <v>2008</v>
      </c>
      <c r="M2500" s="21">
        <v>39812</v>
      </c>
      <c r="N2500">
        <v>2008</v>
      </c>
      <c r="R2500" s="262">
        <v>277000</v>
      </c>
      <c r="S2500" t="s">
        <v>114</v>
      </c>
      <c r="T2500" t="s">
        <v>114</v>
      </c>
      <c r="U2500">
        <v>5</v>
      </c>
      <c r="W2500">
        <v>1904</v>
      </c>
      <c r="X2500">
        <v>1</v>
      </c>
      <c r="Y2500">
        <v>0</v>
      </c>
      <c r="Z2500">
        <v>0</v>
      </c>
      <c r="AA2500">
        <v>0</v>
      </c>
      <c r="AB2500">
        <v>0</v>
      </c>
      <c r="AC2500">
        <v>1904</v>
      </c>
      <c r="AD2500">
        <v>0</v>
      </c>
      <c r="AE2500">
        <v>0</v>
      </c>
      <c r="AF2500">
        <v>0</v>
      </c>
      <c r="AG2500">
        <v>0</v>
      </c>
      <c r="AH2500">
        <v>0</v>
      </c>
      <c r="AI2500">
        <v>0</v>
      </c>
      <c r="AJ2500">
        <v>0</v>
      </c>
      <c r="AK2500">
        <v>0</v>
      </c>
      <c r="AL2500">
        <v>0</v>
      </c>
      <c r="AM2500">
        <v>0</v>
      </c>
      <c r="AN2500">
        <v>0</v>
      </c>
      <c r="AO2500">
        <v>1</v>
      </c>
      <c r="AP2500">
        <v>0</v>
      </c>
      <c r="AQ2500">
        <v>0</v>
      </c>
      <c r="AR2500">
        <v>0</v>
      </c>
      <c r="AS2500">
        <v>0</v>
      </c>
      <c r="AT2500">
        <v>0</v>
      </c>
      <c r="AU2500">
        <f t="shared" si="76"/>
        <v>1</v>
      </c>
      <c r="AV2500">
        <f t="shared" si="77"/>
        <v>0</v>
      </c>
    </row>
    <row r="2501" spans="1:48" x14ac:dyDescent="0.25">
      <c r="A2501" t="s">
        <v>8661</v>
      </c>
      <c r="C2501" t="s">
        <v>8646</v>
      </c>
      <c r="D2501" t="s">
        <v>8662</v>
      </c>
      <c r="E2501" t="s">
        <v>2310</v>
      </c>
      <c r="F2501">
        <v>10</v>
      </c>
      <c r="G2501">
        <v>10.1</v>
      </c>
      <c r="H2501" t="s">
        <v>2323</v>
      </c>
      <c r="I2501" s="21">
        <v>39463</v>
      </c>
      <c r="J2501">
        <v>2008</v>
      </c>
      <c r="K2501" s="21">
        <v>39547</v>
      </c>
      <c r="L2501">
        <v>2008</v>
      </c>
      <c r="M2501" s="21">
        <v>39920</v>
      </c>
      <c r="N2501">
        <v>2009</v>
      </c>
      <c r="R2501" s="262">
        <v>277000</v>
      </c>
      <c r="S2501" t="s">
        <v>114</v>
      </c>
      <c r="T2501" t="s">
        <v>114</v>
      </c>
      <c r="U2501">
        <v>5</v>
      </c>
      <c r="W2501">
        <v>2074</v>
      </c>
      <c r="X2501">
        <v>1</v>
      </c>
      <c r="Y2501">
        <v>0</v>
      </c>
      <c r="Z2501">
        <v>0</v>
      </c>
      <c r="AA2501">
        <v>0</v>
      </c>
      <c r="AB2501">
        <v>0</v>
      </c>
      <c r="AC2501">
        <v>2074</v>
      </c>
      <c r="AD2501">
        <v>0</v>
      </c>
      <c r="AE2501">
        <v>0</v>
      </c>
      <c r="AF2501">
        <v>0</v>
      </c>
      <c r="AG2501">
        <v>0</v>
      </c>
      <c r="AH2501">
        <v>0</v>
      </c>
      <c r="AI2501">
        <v>0</v>
      </c>
      <c r="AJ2501">
        <v>0</v>
      </c>
      <c r="AK2501">
        <v>0</v>
      </c>
      <c r="AL2501">
        <v>0</v>
      </c>
      <c r="AM2501">
        <v>0</v>
      </c>
      <c r="AN2501">
        <v>0</v>
      </c>
      <c r="AO2501">
        <v>1</v>
      </c>
      <c r="AP2501">
        <v>0</v>
      </c>
      <c r="AQ2501">
        <v>0</v>
      </c>
      <c r="AR2501">
        <v>0</v>
      </c>
      <c r="AS2501">
        <v>0</v>
      </c>
      <c r="AT2501">
        <v>0</v>
      </c>
      <c r="AU2501">
        <f t="shared" si="76"/>
        <v>1</v>
      </c>
      <c r="AV2501">
        <f t="shared" si="77"/>
        <v>0</v>
      </c>
    </row>
    <row r="2502" spans="1:48" x14ac:dyDescent="0.25">
      <c r="A2502" t="s">
        <v>8663</v>
      </c>
      <c r="C2502" t="s">
        <v>8646</v>
      </c>
      <c r="D2502" t="s">
        <v>8664</v>
      </c>
      <c r="E2502" t="s">
        <v>2310</v>
      </c>
      <c r="F2502">
        <v>10</v>
      </c>
      <c r="G2502">
        <v>10.1</v>
      </c>
      <c r="H2502" t="s">
        <v>2323</v>
      </c>
      <c r="I2502" s="21">
        <v>39463</v>
      </c>
      <c r="J2502">
        <v>2008</v>
      </c>
      <c r="K2502" s="21">
        <v>39546</v>
      </c>
      <c r="L2502">
        <v>2008</v>
      </c>
      <c r="M2502" s="21">
        <v>39812</v>
      </c>
      <c r="N2502">
        <v>2008</v>
      </c>
      <c r="R2502" s="262">
        <v>277000</v>
      </c>
      <c r="S2502" t="s">
        <v>114</v>
      </c>
      <c r="T2502" t="s">
        <v>114</v>
      </c>
      <c r="U2502">
        <v>5</v>
      </c>
      <c r="W2502">
        <v>1904</v>
      </c>
      <c r="X2502">
        <v>1</v>
      </c>
      <c r="Y2502">
        <v>0</v>
      </c>
      <c r="Z2502">
        <v>0</v>
      </c>
      <c r="AA2502">
        <v>0</v>
      </c>
      <c r="AB2502">
        <v>0</v>
      </c>
      <c r="AC2502">
        <v>1904</v>
      </c>
      <c r="AD2502">
        <v>0</v>
      </c>
      <c r="AE2502">
        <v>0</v>
      </c>
      <c r="AF2502">
        <v>0</v>
      </c>
      <c r="AG2502">
        <v>0</v>
      </c>
      <c r="AH2502">
        <v>0</v>
      </c>
      <c r="AI2502">
        <v>0</v>
      </c>
      <c r="AJ2502">
        <v>0</v>
      </c>
      <c r="AK2502">
        <v>0</v>
      </c>
      <c r="AL2502">
        <v>0</v>
      </c>
      <c r="AM2502">
        <v>0</v>
      </c>
      <c r="AN2502">
        <v>0</v>
      </c>
      <c r="AO2502">
        <v>1</v>
      </c>
      <c r="AP2502">
        <v>0</v>
      </c>
      <c r="AQ2502">
        <v>0</v>
      </c>
      <c r="AR2502">
        <v>0</v>
      </c>
      <c r="AS2502">
        <v>0</v>
      </c>
      <c r="AT2502">
        <v>0</v>
      </c>
      <c r="AU2502">
        <f t="shared" si="76"/>
        <v>1</v>
      </c>
      <c r="AV2502">
        <f t="shared" si="77"/>
        <v>0</v>
      </c>
    </row>
    <row r="2503" spans="1:48" x14ac:dyDescent="0.25">
      <c r="A2503" t="s">
        <v>8665</v>
      </c>
      <c r="C2503" t="s">
        <v>8646</v>
      </c>
      <c r="D2503" t="s">
        <v>8666</v>
      </c>
      <c r="E2503" t="s">
        <v>2310</v>
      </c>
      <c r="F2503">
        <v>10</v>
      </c>
      <c r="G2503">
        <v>10.1</v>
      </c>
      <c r="H2503" t="s">
        <v>2323</v>
      </c>
      <c r="I2503" s="21">
        <v>39463</v>
      </c>
      <c r="J2503">
        <v>2008</v>
      </c>
      <c r="K2503" s="21">
        <v>39547</v>
      </c>
      <c r="L2503">
        <v>2008</v>
      </c>
      <c r="M2503" s="21">
        <v>40151.686805555597</v>
      </c>
      <c r="N2503">
        <v>2009</v>
      </c>
      <c r="R2503" s="262">
        <v>277000</v>
      </c>
      <c r="S2503" t="s">
        <v>114</v>
      </c>
      <c r="T2503" t="s">
        <v>114</v>
      </c>
      <c r="U2503">
        <v>5</v>
      </c>
      <c r="W2503">
        <v>2074</v>
      </c>
      <c r="X2503">
        <v>1</v>
      </c>
      <c r="Y2503">
        <v>0</v>
      </c>
      <c r="Z2503">
        <v>0</v>
      </c>
      <c r="AA2503">
        <v>0</v>
      </c>
      <c r="AB2503">
        <v>0</v>
      </c>
      <c r="AC2503">
        <v>2074</v>
      </c>
      <c r="AD2503">
        <v>0</v>
      </c>
      <c r="AE2503">
        <v>0</v>
      </c>
      <c r="AF2503">
        <v>0</v>
      </c>
      <c r="AG2503">
        <v>0</v>
      </c>
      <c r="AH2503">
        <v>0</v>
      </c>
      <c r="AI2503">
        <v>0</v>
      </c>
      <c r="AJ2503">
        <v>0</v>
      </c>
      <c r="AK2503">
        <v>0</v>
      </c>
      <c r="AL2503">
        <v>0</v>
      </c>
      <c r="AM2503">
        <v>0</v>
      </c>
      <c r="AN2503">
        <v>0</v>
      </c>
      <c r="AO2503">
        <v>1</v>
      </c>
      <c r="AP2503">
        <v>0</v>
      </c>
      <c r="AQ2503">
        <v>0</v>
      </c>
      <c r="AR2503">
        <v>0</v>
      </c>
      <c r="AS2503">
        <v>0</v>
      </c>
      <c r="AT2503">
        <v>0</v>
      </c>
      <c r="AU2503">
        <f t="shared" si="76"/>
        <v>1</v>
      </c>
      <c r="AV2503">
        <f t="shared" si="77"/>
        <v>0</v>
      </c>
    </row>
    <row r="2504" spans="1:48" x14ac:dyDescent="0.25">
      <c r="A2504" t="s">
        <v>8667</v>
      </c>
      <c r="C2504" t="s">
        <v>8646</v>
      </c>
      <c r="D2504" t="s">
        <v>8647</v>
      </c>
      <c r="E2504" t="s">
        <v>2310</v>
      </c>
      <c r="F2504">
        <v>10</v>
      </c>
      <c r="G2504">
        <v>10.1</v>
      </c>
      <c r="H2504" t="s">
        <v>2323</v>
      </c>
      <c r="I2504" s="21">
        <v>39463</v>
      </c>
      <c r="J2504">
        <v>2008</v>
      </c>
      <c r="K2504" s="21">
        <v>39546</v>
      </c>
      <c r="L2504">
        <v>2008</v>
      </c>
      <c r="M2504" s="21">
        <v>39812</v>
      </c>
      <c r="N2504">
        <v>2008</v>
      </c>
      <c r="R2504" s="262">
        <v>277000</v>
      </c>
      <c r="S2504" t="s">
        <v>114</v>
      </c>
      <c r="T2504" t="s">
        <v>114</v>
      </c>
      <c r="U2504">
        <v>5</v>
      </c>
      <c r="W2504">
        <v>1904</v>
      </c>
      <c r="X2504">
        <v>1</v>
      </c>
      <c r="Y2504">
        <v>0</v>
      </c>
      <c r="Z2504">
        <v>0</v>
      </c>
      <c r="AA2504">
        <v>0</v>
      </c>
      <c r="AB2504">
        <v>0</v>
      </c>
      <c r="AC2504">
        <v>1904</v>
      </c>
      <c r="AD2504">
        <v>0</v>
      </c>
      <c r="AE2504">
        <v>0</v>
      </c>
      <c r="AF2504">
        <v>0</v>
      </c>
      <c r="AG2504">
        <v>0</v>
      </c>
      <c r="AH2504">
        <v>0</v>
      </c>
      <c r="AI2504">
        <v>0</v>
      </c>
      <c r="AJ2504">
        <v>0</v>
      </c>
      <c r="AK2504">
        <v>0</v>
      </c>
      <c r="AL2504">
        <v>0</v>
      </c>
      <c r="AM2504">
        <v>0</v>
      </c>
      <c r="AN2504">
        <v>0</v>
      </c>
      <c r="AO2504">
        <v>1</v>
      </c>
      <c r="AP2504">
        <v>0</v>
      </c>
      <c r="AQ2504">
        <v>0</v>
      </c>
      <c r="AR2504">
        <v>0</v>
      </c>
      <c r="AS2504">
        <v>0</v>
      </c>
      <c r="AT2504">
        <v>0</v>
      </c>
      <c r="AU2504">
        <f t="shared" si="76"/>
        <v>1</v>
      </c>
      <c r="AV2504">
        <f t="shared" si="77"/>
        <v>0</v>
      </c>
    </row>
    <row r="2505" spans="1:48" x14ac:dyDescent="0.25">
      <c r="A2505" t="s">
        <v>8668</v>
      </c>
      <c r="C2505" t="s">
        <v>8646</v>
      </c>
      <c r="D2505" t="s">
        <v>8669</v>
      </c>
      <c r="E2505" t="s">
        <v>2310</v>
      </c>
      <c r="F2505">
        <v>10</v>
      </c>
      <c r="G2505">
        <v>10.1</v>
      </c>
      <c r="H2505" t="s">
        <v>2323</v>
      </c>
      <c r="I2505" s="21">
        <v>39463</v>
      </c>
      <c r="J2505">
        <v>2008</v>
      </c>
      <c r="K2505" s="21">
        <v>39546</v>
      </c>
      <c r="L2505">
        <v>2008</v>
      </c>
      <c r="M2505" s="21">
        <v>39812</v>
      </c>
      <c r="N2505">
        <v>2008</v>
      </c>
      <c r="R2505" s="262">
        <v>277000</v>
      </c>
      <c r="S2505" t="s">
        <v>114</v>
      </c>
      <c r="T2505" t="s">
        <v>114</v>
      </c>
      <c r="U2505">
        <v>5</v>
      </c>
      <c r="W2505">
        <v>1904</v>
      </c>
      <c r="X2505">
        <v>1</v>
      </c>
      <c r="Y2505">
        <v>0</v>
      </c>
      <c r="Z2505">
        <v>0</v>
      </c>
      <c r="AA2505">
        <v>0</v>
      </c>
      <c r="AB2505">
        <v>0</v>
      </c>
      <c r="AC2505">
        <v>1904</v>
      </c>
      <c r="AD2505">
        <v>0</v>
      </c>
      <c r="AE2505">
        <v>0</v>
      </c>
      <c r="AF2505">
        <v>0</v>
      </c>
      <c r="AG2505">
        <v>0</v>
      </c>
      <c r="AH2505">
        <v>0</v>
      </c>
      <c r="AI2505">
        <v>0</v>
      </c>
      <c r="AJ2505">
        <v>0</v>
      </c>
      <c r="AK2505">
        <v>0</v>
      </c>
      <c r="AL2505">
        <v>0</v>
      </c>
      <c r="AM2505">
        <v>0</v>
      </c>
      <c r="AN2505">
        <v>0</v>
      </c>
      <c r="AO2505">
        <v>1</v>
      </c>
      <c r="AP2505">
        <v>0</v>
      </c>
      <c r="AQ2505">
        <v>0</v>
      </c>
      <c r="AR2505">
        <v>0</v>
      </c>
      <c r="AS2505">
        <v>0</v>
      </c>
      <c r="AT2505">
        <v>0</v>
      </c>
      <c r="AU2505">
        <f t="shared" si="76"/>
        <v>1</v>
      </c>
      <c r="AV2505">
        <f t="shared" si="77"/>
        <v>0</v>
      </c>
    </row>
    <row r="2506" spans="1:48" x14ac:dyDescent="0.25">
      <c r="A2506" t="s">
        <v>8670</v>
      </c>
      <c r="C2506" t="s">
        <v>8646</v>
      </c>
      <c r="D2506" t="s">
        <v>8647</v>
      </c>
      <c r="E2506" t="s">
        <v>2310</v>
      </c>
      <c r="F2506">
        <v>10</v>
      </c>
      <c r="G2506">
        <v>10.1</v>
      </c>
      <c r="H2506" t="s">
        <v>2323</v>
      </c>
      <c r="I2506" s="21">
        <v>39463</v>
      </c>
      <c r="J2506">
        <v>2008</v>
      </c>
      <c r="K2506" s="21">
        <v>39546</v>
      </c>
      <c r="L2506">
        <v>2008</v>
      </c>
      <c r="M2506" s="21">
        <v>39812</v>
      </c>
      <c r="N2506">
        <v>2008</v>
      </c>
      <c r="R2506" s="262">
        <v>277000</v>
      </c>
      <c r="S2506" t="s">
        <v>114</v>
      </c>
      <c r="T2506" t="s">
        <v>114</v>
      </c>
      <c r="U2506">
        <v>5</v>
      </c>
      <c r="W2506">
        <v>1904</v>
      </c>
      <c r="X2506">
        <v>1</v>
      </c>
      <c r="Y2506">
        <v>0</v>
      </c>
      <c r="Z2506">
        <v>0</v>
      </c>
      <c r="AA2506">
        <v>0</v>
      </c>
      <c r="AB2506">
        <v>0</v>
      </c>
      <c r="AC2506">
        <v>1904</v>
      </c>
      <c r="AD2506">
        <v>0</v>
      </c>
      <c r="AE2506">
        <v>0</v>
      </c>
      <c r="AF2506">
        <v>0</v>
      </c>
      <c r="AG2506">
        <v>0</v>
      </c>
      <c r="AH2506">
        <v>0</v>
      </c>
      <c r="AI2506">
        <v>0</v>
      </c>
      <c r="AJ2506">
        <v>0</v>
      </c>
      <c r="AK2506">
        <v>0</v>
      </c>
      <c r="AL2506">
        <v>0</v>
      </c>
      <c r="AM2506">
        <v>0</v>
      </c>
      <c r="AN2506">
        <v>0</v>
      </c>
      <c r="AO2506">
        <v>1</v>
      </c>
      <c r="AP2506">
        <v>0</v>
      </c>
      <c r="AQ2506">
        <v>0</v>
      </c>
      <c r="AR2506">
        <v>0</v>
      </c>
      <c r="AS2506">
        <v>0</v>
      </c>
      <c r="AT2506">
        <v>0</v>
      </c>
      <c r="AU2506">
        <f t="shared" si="76"/>
        <v>1</v>
      </c>
      <c r="AV2506">
        <f t="shared" si="77"/>
        <v>0</v>
      </c>
    </row>
    <row r="2507" spans="1:48" x14ac:dyDescent="0.25">
      <c r="A2507" t="s">
        <v>8671</v>
      </c>
      <c r="C2507" t="s">
        <v>8672</v>
      </c>
      <c r="D2507" t="s">
        <v>8673</v>
      </c>
      <c r="E2507" t="s">
        <v>1663</v>
      </c>
      <c r="F2507">
        <v>3</v>
      </c>
      <c r="G2507">
        <v>3.2</v>
      </c>
      <c r="H2507" t="s">
        <v>2327</v>
      </c>
      <c r="I2507" s="21">
        <v>39465</v>
      </c>
      <c r="J2507">
        <v>2008</v>
      </c>
      <c r="K2507" s="21">
        <v>39496</v>
      </c>
      <c r="L2507">
        <v>2008</v>
      </c>
      <c r="M2507" s="21">
        <v>39647</v>
      </c>
      <c r="N2507">
        <v>2008</v>
      </c>
      <c r="Q2507" s="262">
        <v>0</v>
      </c>
      <c r="S2507" t="s">
        <v>114</v>
      </c>
      <c r="T2507" t="s">
        <v>114</v>
      </c>
      <c r="W2507">
        <v>2968</v>
      </c>
      <c r="X2507">
        <v>2</v>
      </c>
      <c r="Y2507">
        <v>0</v>
      </c>
      <c r="Z2507">
        <v>0</v>
      </c>
      <c r="AA2507">
        <v>0</v>
      </c>
      <c r="AB2507">
        <v>0</v>
      </c>
      <c r="AC2507">
        <v>2168</v>
      </c>
      <c r="AD2507">
        <v>0</v>
      </c>
      <c r="AE2507">
        <v>800</v>
      </c>
      <c r="AF2507">
        <v>0</v>
      </c>
      <c r="AG2507">
        <v>0</v>
      </c>
      <c r="AH2507">
        <v>0</v>
      </c>
      <c r="AI2507">
        <v>0</v>
      </c>
      <c r="AJ2507">
        <v>0</v>
      </c>
      <c r="AK2507">
        <v>0</v>
      </c>
      <c r="AL2507">
        <v>0</v>
      </c>
      <c r="AM2507">
        <v>0</v>
      </c>
      <c r="AN2507">
        <v>0</v>
      </c>
      <c r="AO2507">
        <v>1</v>
      </c>
      <c r="AP2507">
        <v>0</v>
      </c>
      <c r="AQ2507">
        <v>1</v>
      </c>
      <c r="AR2507">
        <v>0</v>
      </c>
      <c r="AS2507">
        <v>0</v>
      </c>
      <c r="AT2507">
        <v>0</v>
      </c>
      <c r="AU2507">
        <f t="shared" si="76"/>
        <v>2</v>
      </c>
      <c r="AV2507">
        <f t="shared" si="77"/>
        <v>0</v>
      </c>
    </row>
    <row r="2508" spans="1:48" x14ac:dyDescent="0.25">
      <c r="A2508" t="s">
        <v>8674</v>
      </c>
      <c r="C2508" t="s">
        <v>8675</v>
      </c>
      <c r="D2508" t="s">
        <v>8676</v>
      </c>
      <c r="E2508" t="s">
        <v>2310</v>
      </c>
      <c r="F2508">
        <v>13</v>
      </c>
      <c r="G2508">
        <v>13.2</v>
      </c>
      <c r="H2508" t="s">
        <v>2327</v>
      </c>
      <c r="I2508" s="21">
        <v>39470</v>
      </c>
      <c r="J2508">
        <v>2008</v>
      </c>
      <c r="K2508" s="21">
        <v>39500</v>
      </c>
      <c r="L2508">
        <v>2008</v>
      </c>
      <c r="M2508" s="21">
        <v>40134.472824074102</v>
      </c>
      <c r="N2508">
        <v>2009</v>
      </c>
      <c r="Q2508" s="262">
        <v>1800000</v>
      </c>
      <c r="R2508" s="262">
        <v>1765500</v>
      </c>
      <c r="S2508" t="s">
        <v>114</v>
      </c>
      <c r="T2508" t="s">
        <v>114</v>
      </c>
      <c r="U2508">
        <v>5</v>
      </c>
      <c r="W2508">
        <v>4728</v>
      </c>
      <c r="X2508">
        <v>1</v>
      </c>
      <c r="Y2508">
        <v>0</v>
      </c>
      <c r="Z2508">
        <v>0</v>
      </c>
      <c r="AA2508">
        <v>0</v>
      </c>
      <c r="AB2508">
        <v>0</v>
      </c>
      <c r="AC2508">
        <v>4728</v>
      </c>
      <c r="AD2508">
        <v>0</v>
      </c>
      <c r="AE2508">
        <v>0</v>
      </c>
      <c r="AF2508">
        <v>0</v>
      </c>
      <c r="AG2508">
        <v>0</v>
      </c>
      <c r="AH2508">
        <v>0</v>
      </c>
      <c r="AI2508">
        <v>0</v>
      </c>
      <c r="AJ2508">
        <v>0</v>
      </c>
      <c r="AK2508">
        <v>0</v>
      </c>
      <c r="AL2508">
        <v>0</v>
      </c>
      <c r="AM2508">
        <v>0</v>
      </c>
      <c r="AN2508">
        <v>0</v>
      </c>
      <c r="AO2508">
        <v>1</v>
      </c>
      <c r="AP2508">
        <v>0</v>
      </c>
      <c r="AQ2508">
        <v>0</v>
      </c>
      <c r="AR2508">
        <v>0</v>
      </c>
      <c r="AS2508">
        <v>0</v>
      </c>
      <c r="AT2508">
        <v>0</v>
      </c>
      <c r="AU2508">
        <f t="shared" si="76"/>
        <v>1</v>
      </c>
      <c r="AV2508">
        <f t="shared" si="77"/>
        <v>0</v>
      </c>
    </row>
    <row r="2509" spans="1:48" x14ac:dyDescent="0.25">
      <c r="A2509" t="s">
        <v>8677</v>
      </c>
      <c r="C2509" t="s">
        <v>8675</v>
      </c>
      <c r="D2509" t="s">
        <v>8678</v>
      </c>
      <c r="E2509" t="s">
        <v>2310</v>
      </c>
      <c r="F2509">
        <v>13</v>
      </c>
      <c r="G2509">
        <v>13.2</v>
      </c>
      <c r="H2509" t="s">
        <v>2327</v>
      </c>
      <c r="I2509" s="21">
        <v>39470</v>
      </c>
      <c r="J2509">
        <v>2008</v>
      </c>
      <c r="K2509" s="21">
        <v>39504</v>
      </c>
      <c r="L2509">
        <v>2008</v>
      </c>
      <c r="M2509" s="21">
        <v>40119.468692129602</v>
      </c>
      <c r="N2509">
        <v>2009</v>
      </c>
      <c r="R2509" s="262">
        <v>1766000</v>
      </c>
      <c r="S2509" t="s">
        <v>114</v>
      </c>
      <c r="T2509" t="s">
        <v>114</v>
      </c>
      <c r="U2509">
        <v>5</v>
      </c>
      <c r="W2509">
        <v>4728</v>
      </c>
      <c r="X2509">
        <v>1</v>
      </c>
      <c r="Y2509">
        <v>0</v>
      </c>
      <c r="Z2509">
        <v>0</v>
      </c>
      <c r="AA2509">
        <v>0</v>
      </c>
      <c r="AB2509">
        <v>0</v>
      </c>
      <c r="AC2509">
        <v>4728</v>
      </c>
      <c r="AD2509">
        <v>0</v>
      </c>
      <c r="AE2509">
        <v>0</v>
      </c>
      <c r="AF2509">
        <v>0</v>
      </c>
      <c r="AG2509">
        <v>0</v>
      </c>
      <c r="AH2509">
        <v>0</v>
      </c>
      <c r="AI2509">
        <v>0</v>
      </c>
      <c r="AJ2509">
        <v>0</v>
      </c>
      <c r="AK2509">
        <v>0</v>
      </c>
      <c r="AL2509">
        <v>0</v>
      </c>
      <c r="AM2509">
        <v>0</v>
      </c>
      <c r="AN2509">
        <v>0</v>
      </c>
      <c r="AO2509">
        <v>1</v>
      </c>
      <c r="AP2509">
        <v>0</v>
      </c>
      <c r="AQ2509">
        <v>0</v>
      </c>
      <c r="AR2509">
        <v>0</v>
      </c>
      <c r="AS2509">
        <v>0</v>
      </c>
      <c r="AT2509">
        <v>0</v>
      </c>
      <c r="AU2509">
        <f t="shared" si="76"/>
        <v>1</v>
      </c>
      <c r="AV2509">
        <f t="shared" si="77"/>
        <v>0</v>
      </c>
    </row>
    <row r="2510" spans="1:48" x14ac:dyDescent="0.25">
      <c r="A2510" t="s">
        <v>8679</v>
      </c>
      <c r="C2510" t="s">
        <v>8680</v>
      </c>
      <c r="D2510" t="s">
        <v>8211</v>
      </c>
      <c r="E2510" t="s">
        <v>2310</v>
      </c>
      <c r="F2510">
        <v>9</v>
      </c>
      <c r="G2510">
        <v>9.1</v>
      </c>
      <c r="H2510" t="s">
        <v>2323</v>
      </c>
      <c r="I2510" s="21">
        <v>39471</v>
      </c>
      <c r="J2510">
        <v>2008</v>
      </c>
      <c r="K2510" s="21">
        <v>39527</v>
      </c>
      <c r="L2510">
        <v>2008</v>
      </c>
      <c r="M2510" s="21">
        <v>39527</v>
      </c>
      <c r="N2510">
        <v>2008</v>
      </c>
      <c r="S2510" t="s">
        <v>114</v>
      </c>
      <c r="T2510" t="s">
        <v>114</v>
      </c>
      <c r="U2510">
        <v>5</v>
      </c>
      <c r="W2510">
        <v>0</v>
      </c>
      <c r="X2510">
        <v>0</v>
      </c>
      <c r="Y2510">
        <v>0</v>
      </c>
      <c r="Z2510">
        <v>0</v>
      </c>
      <c r="AA2510">
        <v>0</v>
      </c>
      <c r="AB2510">
        <v>0</v>
      </c>
      <c r="AC2510">
        <v>0</v>
      </c>
      <c r="AD2510">
        <v>0</v>
      </c>
      <c r="AE2510">
        <v>0</v>
      </c>
      <c r="AF2510">
        <v>0</v>
      </c>
      <c r="AG2510">
        <v>0</v>
      </c>
      <c r="AH2510">
        <v>0</v>
      </c>
      <c r="AI2510">
        <v>0</v>
      </c>
      <c r="AJ2510">
        <v>0</v>
      </c>
      <c r="AK2510">
        <v>0</v>
      </c>
      <c r="AL2510">
        <v>0</v>
      </c>
      <c r="AM2510">
        <v>0</v>
      </c>
      <c r="AN2510">
        <v>0</v>
      </c>
      <c r="AO2510">
        <v>0</v>
      </c>
      <c r="AP2510">
        <v>0</v>
      </c>
      <c r="AQ2510">
        <v>0</v>
      </c>
      <c r="AR2510">
        <v>0</v>
      </c>
      <c r="AS2510">
        <v>0</v>
      </c>
      <c r="AT2510">
        <v>0</v>
      </c>
      <c r="AU2510">
        <f t="shared" si="76"/>
        <v>0</v>
      </c>
      <c r="AV2510">
        <f t="shared" si="77"/>
        <v>0</v>
      </c>
    </row>
    <row r="2511" spans="1:48" x14ac:dyDescent="0.25">
      <c r="A2511" t="s">
        <v>8681</v>
      </c>
      <c r="C2511" t="s">
        <v>8682</v>
      </c>
      <c r="D2511" t="s">
        <v>8683</v>
      </c>
      <c r="E2511" t="s">
        <v>1663</v>
      </c>
      <c r="F2511">
        <v>2</v>
      </c>
      <c r="G2511">
        <v>2.6</v>
      </c>
      <c r="H2511" t="s">
        <v>2327</v>
      </c>
      <c r="I2511" s="21">
        <v>39472</v>
      </c>
      <c r="J2511">
        <v>2008</v>
      </c>
      <c r="K2511" s="21">
        <v>39503</v>
      </c>
      <c r="L2511">
        <v>2008</v>
      </c>
      <c r="M2511" s="21">
        <v>39654</v>
      </c>
      <c r="N2511">
        <v>2008</v>
      </c>
      <c r="Q2511" s="262">
        <v>0</v>
      </c>
      <c r="S2511" t="s">
        <v>114</v>
      </c>
      <c r="T2511" t="s">
        <v>114</v>
      </c>
      <c r="W2511">
        <v>2473</v>
      </c>
      <c r="X2511">
        <v>0</v>
      </c>
      <c r="Y2511">
        <v>0</v>
      </c>
      <c r="Z2511">
        <v>0</v>
      </c>
      <c r="AA2511">
        <v>0</v>
      </c>
      <c r="AB2511">
        <v>0</v>
      </c>
      <c r="AC2511">
        <v>0</v>
      </c>
      <c r="AD2511">
        <v>0</v>
      </c>
      <c r="AE2511">
        <v>0</v>
      </c>
      <c r="AF2511">
        <v>0</v>
      </c>
      <c r="AG2511">
        <v>0</v>
      </c>
      <c r="AH2511">
        <v>0</v>
      </c>
      <c r="AI2511">
        <v>0</v>
      </c>
      <c r="AJ2511">
        <v>2473</v>
      </c>
      <c r="AK2511">
        <v>0</v>
      </c>
      <c r="AL2511">
        <v>0</v>
      </c>
      <c r="AM2511">
        <v>0</v>
      </c>
      <c r="AN2511">
        <v>0</v>
      </c>
      <c r="AO2511">
        <v>0</v>
      </c>
      <c r="AP2511">
        <v>0</v>
      </c>
      <c r="AQ2511">
        <v>0</v>
      </c>
      <c r="AR2511">
        <v>0</v>
      </c>
      <c r="AS2511">
        <v>0</v>
      </c>
      <c r="AT2511">
        <v>0</v>
      </c>
      <c r="AU2511">
        <f t="shared" si="76"/>
        <v>0</v>
      </c>
      <c r="AV2511">
        <f t="shared" si="77"/>
        <v>2473</v>
      </c>
    </row>
    <row r="2512" spans="1:48" x14ac:dyDescent="0.25">
      <c r="A2512" t="s">
        <v>8684</v>
      </c>
      <c r="C2512" t="s">
        <v>8685</v>
      </c>
      <c r="D2512" t="s">
        <v>8686</v>
      </c>
      <c r="E2512" t="s">
        <v>2310</v>
      </c>
      <c r="F2512">
        <v>14</v>
      </c>
      <c r="G2512">
        <v>14.1</v>
      </c>
      <c r="H2512" t="s">
        <v>2022</v>
      </c>
      <c r="I2512" s="21">
        <v>39478</v>
      </c>
      <c r="J2512">
        <v>2008</v>
      </c>
      <c r="K2512" s="21">
        <v>39506</v>
      </c>
      <c r="L2512">
        <v>2008</v>
      </c>
      <c r="M2512" s="21">
        <v>40435.3894560185</v>
      </c>
      <c r="N2512">
        <v>2010</v>
      </c>
      <c r="R2512" s="262">
        <v>171000</v>
      </c>
      <c r="S2512" t="s">
        <v>114</v>
      </c>
      <c r="T2512" t="s">
        <v>114</v>
      </c>
      <c r="U2512">
        <v>5</v>
      </c>
      <c r="W2512">
        <v>1800</v>
      </c>
      <c r="X2512">
        <v>1</v>
      </c>
      <c r="Y2512">
        <v>0</v>
      </c>
      <c r="Z2512">
        <v>0</v>
      </c>
      <c r="AA2512">
        <v>0</v>
      </c>
      <c r="AB2512">
        <v>0</v>
      </c>
      <c r="AC2512">
        <v>1800</v>
      </c>
      <c r="AD2512">
        <v>0</v>
      </c>
      <c r="AE2512">
        <v>0</v>
      </c>
      <c r="AF2512">
        <v>0</v>
      </c>
      <c r="AG2512">
        <v>0</v>
      </c>
      <c r="AH2512">
        <v>0</v>
      </c>
      <c r="AI2512">
        <v>0</v>
      </c>
      <c r="AJ2512">
        <v>0</v>
      </c>
      <c r="AK2512">
        <v>0</v>
      </c>
      <c r="AL2512">
        <v>0</v>
      </c>
      <c r="AM2512">
        <v>0</v>
      </c>
      <c r="AN2512">
        <v>0</v>
      </c>
      <c r="AO2512">
        <v>1</v>
      </c>
      <c r="AP2512">
        <v>0</v>
      </c>
      <c r="AQ2512">
        <v>0</v>
      </c>
      <c r="AR2512">
        <v>0</v>
      </c>
      <c r="AS2512">
        <v>0</v>
      </c>
      <c r="AT2512">
        <v>0</v>
      </c>
      <c r="AU2512">
        <f t="shared" si="76"/>
        <v>1</v>
      </c>
      <c r="AV2512">
        <f t="shared" si="77"/>
        <v>0</v>
      </c>
    </row>
    <row r="2513" spans="1:48" x14ac:dyDescent="0.25">
      <c r="A2513" t="s">
        <v>8687</v>
      </c>
      <c r="C2513" t="s">
        <v>8688</v>
      </c>
      <c r="D2513" t="s">
        <v>8689</v>
      </c>
      <c r="E2513" t="s">
        <v>2310</v>
      </c>
      <c r="F2513">
        <v>8</v>
      </c>
      <c r="G2513">
        <v>8.3000000000000007</v>
      </c>
      <c r="H2513" t="s">
        <v>2323</v>
      </c>
      <c r="I2513" s="21">
        <v>39478</v>
      </c>
      <c r="J2513">
        <v>2008</v>
      </c>
      <c r="K2513" s="21">
        <v>39498</v>
      </c>
      <c r="L2513">
        <v>2008</v>
      </c>
      <c r="M2513" s="21">
        <v>39834</v>
      </c>
      <c r="N2513">
        <v>2009</v>
      </c>
      <c r="R2513" s="262">
        <v>64000</v>
      </c>
      <c r="S2513" t="s">
        <v>114</v>
      </c>
      <c r="T2513" t="s">
        <v>114</v>
      </c>
      <c r="U2513">
        <v>5</v>
      </c>
      <c r="W2513">
        <v>580</v>
      </c>
      <c r="X2513">
        <v>1</v>
      </c>
      <c r="Y2513">
        <v>0</v>
      </c>
      <c r="Z2513">
        <v>0</v>
      </c>
      <c r="AA2513">
        <v>0</v>
      </c>
      <c r="AB2513">
        <v>0</v>
      </c>
      <c r="AC2513">
        <v>580</v>
      </c>
      <c r="AD2513">
        <v>0</v>
      </c>
      <c r="AE2513">
        <v>0</v>
      </c>
      <c r="AF2513">
        <v>0</v>
      </c>
      <c r="AG2513">
        <v>0</v>
      </c>
      <c r="AH2513">
        <v>0</v>
      </c>
      <c r="AI2513">
        <v>0</v>
      </c>
      <c r="AJ2513">
        <v>0</v>
      </c>
      <c r="AK2513">
        <v>0</v>
      </c>
      <c r="AL2513">
        <v>0</v>
      </c>
      <c r="AM2513">
        <v>0</v>
      </c>
      <c r="AN2513">
        <v>0</v>
      </c>
      <c r="AO2513">
        <v>1</v>
      </c>
      <c r="AP2513">
        <v>0</v>
      </c>
      <c r="AQ2513">
        <v>0</v>
      </c>
      <c r="AR2513">
        <v>0</v>
      </c>
      <c r="AS2513">
        <v>0</v>
      </c>
      <c r="AT2513">
        <v>0</v>
      </c>
      <c r="AU2513">
        <f t="shared" si="76"/>
        <v>1</v>
      </c>
      <c r="AV2513">
        <f t="shared" si="77"/>
        <v>0</v>
      </c>
    </row>
    <row r="2514" spans="1:48" x14ac:dyDescent="0.25">
      <c r="A2514" t="s">
        <v>8690</v>
      </c>
      <c r="C2514" t="s">
        <v>8691</v>
      </c>
      <c r="D2514" t="s">
        <v>1585</v>
      </c>
      <c r="E2514" t="s">
        <v>2310</v>
      </c>
      <c r="F2514">
        <v>9</v>
      </c>
      <c r="G2514">
        <v>9.1999999999999993</v>
      </c>
      <c r="H2514" t="s">
        <v>2022</v>
      </c>
      <c r="I2514" s="21">
        <v>39479</v>
      </c>
      <c r="J2514">
        <v>2008</v>
      </c>
      <c r="K2514" s="21">
        <v>39580</v>
      </c>
      <c r="L2514">
        <v>2008</v>
      </c>
      <c r="M2514" s="21">
        <v>39805</v>
      </c>
      <c r="N2514">
        <v>2008</v>
      </c>
      <c r="R2514" s="262">
        <v>180000</v>
      </c>
      <c r="S2514" t="s">
        <v>114</v>
      </c>
      <c r="T2514" t="s">
        <v>114</v>
      </c>
      <c r="U2514">
        <v>4</v>
      </c>
      <c r="W2514">
        <v>1920</v>
      </c>
      <c r="X2514">
        <v>0</v>
      </c>
      <c r="Y2514">
        <v>0</v>
      </c>
      <c r="Z2514">
        <v>0</v>
      </c>
      <c r="AA2514">
        <v>0</v>
      </c>
      <c r="AB2514">
        <v>1920</v>
      </c>
      <c r="AC2514">
        <v>0</v>
      </c>
      <c r="AD2514">
        <v>0</v>
      </c>
      <c r="AE2514">
        <v>0</v>
      </c>
      <c r="AF2514">
        <v>0</v>
      </c>
      <c r="AG2514">
        <v>0</v>
      </c>
      <c r="AH2514">
        <v>0</v>
      </c>
      <c r="AI2514">
        <v>0</v>
      </c>
      <c r="AJ2514">
        <v>0</v>
      </c>
      <c r="AK2514">
        <v>0</v>
      </c>
      <c r="AL2514">
        <v>0</v>
      </c>
      <c r="AM2514">
        <v>0</v>
      </c>
      <c r="AN2514">
        <v>0</v>
      </c>
      <c r="AO2514">
        <v>0</v>
      </c>
      <c r="AP2514">
        <v>0</v>
      </c>
      <c r="AQ2514">
        <v>0</v>
      </c>
      <c r="AR2514">
        <v>0</v>
      </c>
      <c r="AS2514">
        <v>0</v>
      </c>
      <c r="AT2514">
        <v>0</v>
      </c>
      <c r="AU2514">
        <f t="shared" si="76"/>
        <v>0</v>
      </c>
      <c r="AV2514">
        <f t="shared" si="77"/>
        <v>1920</v>
      </c>
    </row>
    <row r="2515" spans="1:48" x14ac:dyDescent="0.25">
      <c r="A2515" t="s">
        <v>8692</v>
      </c>
      <c r="C2515" t="s">
        <v>8691</v>
      </c>
      <c r="D2515" t="s">
        <v>1585</v>
      </c>
      <c r="E2515" t="s">
        <v>2310</v>
      </c>
      <c r="F2515">
        <v>9</v>
      </c>
      <c r="G2515">
        <v>9.1999999999999993</v>
      </c>
      <c r="H2515" t="s">
        <v>2022</v>
      </c>
      <c r="I2515" s="21">
        <v>39479</v>
      </c>
      <c r="J2515">
        <v>2008</v>
      </c>
      <c r="K2515" s="21">
        <v>39576</v>
      </c>
      <c r="L2515">
        <v>2008</v>
      </c>
      <c r="M2515" s="21">
        <v>39805</v>
      </c>
      <c r="N2515">
        <v>2008</v>
      </c>
      <c r="R2515" s="262">
        <v>185000</v>
      </c>
      <c r="S2515" t="s">
        <v>114</v>
      </c>
      <c r="T2515" t="s">
        <v>114</v>
      </c>
      <c r="U2515">
        <v>4</v>
      </c>
      <c r="W2515">
        <v>1947</v>
      </c>
      <c r="X2515">
        <v>0</v>
      </c>
      <c r="Y2515">
        <v>0</v>
      </c>
      <c r="Z2515">
        <v>0</v>
      </c>
      <c r="AA2515">
        <v>0</v>
      </c>
      <c r="AB2515">
        <v>1947</v>
      </c>
      <c r="AC2515">
        <v>0</v>
      </c>
      <c r="AD2515">
        <v>0</v>
      </c>
      <c r="AE2515">
        <v>0</v>
      </c>
      <c r="AF2515">
        <v>0</v>
      </c>
      <c r="AG2515">
        <v>0</v>
      </c>
      <c r="AH2515">
        <v>0</v>
      </c>
      <c r="AI2515">
        <v>0</v>
      </c>
      <c r="AJ2515">
        <v>0</v>
      </c>
      <c r="AK2515">
        <v>0</v>
      </c>
      <c r="AL2515">
        <v>0</v>
      </c>
      <c r="AM2515">
        <v>0</v>
      </c>
      <c r="AN2515">
        <v>0</v>
      </c>
      <c r="AO2515">
        <v>0</v>
      </c>
      <c r="AP2515">
        <v>0</v>
      </c>
      <c r="AQ2515">
        <v>0</v>
      </c>
      <c r="AR2515">
        <v>0</v>
      </c>
      <c r="AS2515">
        <v>0</v>
      </c>
      <c r="AT2515">
        <v>0</v>
      </c>
      <c r="AU2515">
        <f t="shared" si="76"/>
        <v>0</v>
      </c>
      <c r="AV2515">
        <f t="shared" si="77"/>
        <v>1947</v>
      </c>
    </row>
    <row r="2516" spans="1:48" x14ac:dyDescent="0.25">
      <c r="A2516" t="s">
        <v>8693</v>
      </c>
      <c r="C2516" t="s">
        <v>8694</v>
      </c>
      <c r="D2516" t="s">
        <v>1585</v>
      </c>
      <c r="E2516" t="s">
        <v>2310</v>
      </c>
      <c r="F2516">
        <v>9</v>
      </c>
      <c r="G2516">
        <v>9.1999999999999993</v>
      </c>
      <c r="H2516" t="s">
        <v>2022</v>
      </c>
      <c r="I2516" s="21">
        <v>39479</v>
      </c>
      <c r="J2516">
        <v>2008</v>
      </c>
      <c r="K2516" s="21">
        <v>39580</v>
      </c>
      <c r="L2516">
        <v>2008</v>
      </c>
      <c r="M2516" s="21">
        <v>39798</v>
      </c>
      <c r="N2516">
        <v>2008</v>
      </c>
      <c r="R2516" s="262">
        <v>170000</v>
      </c>
      <c r="S2516" t="s">
        <v>114</v>
      </c>
      <c r="T2516" t="s">
        <v>114</v>
      </c>
      <c r="U2516">
        <v>4</v>
      </c>
      <c r="W2516">
        <v>260</v>
      </c>
      <c r="X2516">
        <v>0</v>
      </c>
      <c r="Y2516">
        <v>0</v>
      </c>
      <c r="Z2516">
        <v>0</v>
      </c>
      <c r="AA2516">
        <v>0</v>
      </c>
      <c r="AB2516">
        <v>260</v>
      </c>
      <c r="AC2516">
        <v>0</v>
      </c>
      <c r="AD2516">
        <v>0</v>
      </c>
      <c r="AE2516">
        <v>0</v>
      </c>
      <c r="AF2516">
        <v>0</v>
      </c>
      <c r="AG2516">
        <v>0</v>
      </c>
      <c r="AH2516">
        <v>0</v>
      </c>
      <c r="AI2516">
        <v>0</v>
      </c>
      <c r="AJ2516">
        <v>0</v>
      </c>
      <c r="AK2516">
        <v>0</v>
      </c>
      <c r="AL2516">
        <v>0</v>
      </c>
      <c r="AM2516">
        <v>0</v>
      </c>
      <c r="AN2516">
        <v>0</v>
      </c>
      <c r="AO2516">
        <v>0</v>
      </c>
      <c r="AP2516">
        <v>0</v>
      </c>
      <c r="AQ2516">
        <v>0</v>
      </c>
      <c r="AR2516">
        <v>0</v>
      </c>
      <c r="AS2516">
        <v>0</v>
      </c>
      <c r="AT2516">
        <v>0</v>
      </c>
      <c r="AU2516">
        <f t="shared" si="76"/>
        <v>0</v>
      </c>
      <c r="AV2516">
        <f t="shared" si="77"/>
        <v>260</v>
      </c>
    </row>
    <row r="2517" spans="1:48" x14ac:dyDescent="0.25">
      <c r="A2517" t="s">
        <v>8695</v>
      </c>
      <c r="C2517" t="s">
        <v>8696</v>
      </c>
      <c r="D2517" t="s">
        <v>8697</v>
      </c>
      <c r="E2517" t="s">
        <v>2310</v>
      </c>
      <c r="F2517">
        <v>10</v>
      </c>
      <c r="G2517">
        <v>10.1</v>
      </c>
      <c r="H2517" t="s">
        <v>2323</v>
      </c>
      <c r="I2517" s="21">
        <v>39482</v>
      </c>
      <c r="J2517">
        <v>2008</v>
      </c>
      <c r="K2517" s="21">
        <v>39528</v>
      </c>
      <c r="L2517">
        <v>2008</v>
      </c>
      <c r="M2517" s="21">
        <v>40213.645451388897</v>
      </c>
      <c r="N2517">
        <v>2010</v>
      </c>
      <c r="R2517" s="262">
        <v>52000</v>
      </c>
      <c r="S2517" t="s">
        <v>114</v>
      </c>
      <c r="T2517" t="s">
        <v>114</v>
      </c>
      <c r="U2517">
        <v>8</v>
      </c>
      <c r="W2517">
        <v>520</v>
      </c>
      <c r="X2517">
        <v>1</v>
      </c>
      <c r="Y2517">
        <v>0</v>
      </c>
      <c r="Z2517">
        <v>0</v>
      </c>
      <c r="AA2517">
        <v>0</v>
      </c>
      <c r="AB2517">
        <v>0</v>
      </c>
      <c r="AC2517">
        <v>0</v>
      </c>
      <c r="AD2517">
        <v>0</v>
      </c>
      <c r="AE2517">
        <v>0</v>
      </c>
      <c r="AF2517">
        <v>520</v>
      </c>
      <c r="AG2517">
        <v>0</v>
      </c>
      <c r="AH2517">
        <v>0</v>
      </c>
      <c r="AI2517">
        <v>0</v>
      </c>
      <c r="AJ2517">
        <v>0</v>
      </c>
      <c r="AK2517">
        <v>0</v>
      </c>
      <c r="AL2517">
        <v>0</v>
      </c>
      <c r="AM2517">
        <v>0</v>
      </c>
      <c r="AN2517">
        <v>0</v>
      </c>
      <c r="AO2517">
        <v>0</v>
      </c>
      <c r="AP2517">
        <v>0</v>
      </c>
      <c r="AQ2517">
        <v>0</v>
      </c>
      <c r="AR2517">
        <v>1</v>
      </c>
      <c r="AS2517">
        <v>0</v>
      </c>
      <c r="AT2517">
        <v>0</v>
      </c>
      <c r="AU2517">
        <f t="shared" si="76"/>
        <v>0</v>
      </c>
      <c r="AV2517">
        <f t="shared" si="77"/>
        <v>0</v>
      </c>
    </row>
    <row r="2518" spans="1:48" x14ac:dyDescent="0.25">
      <c r="A2518" t="s">
        <v>8698</v>
      </c>
      <c r="C2518" t="s">
        <v>8699</v>
      </c>
      <c r="D2518" t="s">
        <v>8700</v>
      </c>
      <c r="E2518" t="s">
        <v>1663</v>
      </c>
      <c r="F2518">
        <v>5</v>
      </c>
      <c r="G2518">
        <v>5.5</v>
      </c>
      <c r="H2518" t="s">
        <v>2017</v>
      </c>
      <c r="I2518" s="21">
        <v>39484</v>
      </c>
      <c r="J2518">
        <v>2008</v>
      </c>
      <c r="K2518" s="21">
        <v>39513</v>
      </c>
      <c r="L2518">
        <v>2008</v>
      </c>
      <c r="M2518" s="21">
        <v>39666</v>
      </c>
      <c r="N2518">
        <v>2008</v>
      </c>
      <c r="Q2518" s="262">
        <v>120000</v>
      </c>
      <c r="S2518" t="s">
        <v>114</v>
      </c>
      <c r="T2518" t="s">
        <v>114</v>
      </c>
      <c r="W2518">
        <v>1000</v>
      </c>
      <c r="X2518">
        <v>0</v>
      </c>
      <c r="Y2518">
        <v>0</v>
      </c>
      <c r="Z2518">
        <v>0</v>
      </c>
      <c r="AA2518">
        <v>0</v>
      </c>
      <c r="AB2518">
        <v>0</v>
      </c>
      <c r="AC2518">
        <v>1000</v>
      </c>
      <c r="AD2518">
        <v>0</v>
      </c>
      <c r="AE2518">
        <v>0</v>
      </c>
      <c r="AF2518">
        <v>0</v>
      </c>
      <c r="AG2518">
        <v>0</v>
      </c>
      <c r="AH2518">
        <v>0</v>
      </c>
      <c r="AI2518">
        <v>0</v>
      </c>
      <c r="AJ2518">
        <v>0</v>
      </c>
      <c r="AK2518">
        <v>0</v>
      </c>
      <c r="AL2518">
        <v>0</v>
      </c>
      <c r="AM2518">
        <v>0</v>
      </c>
      <c r="AN2518">
        <v>0</v>
      </c>
      <c r="AO2518">
        <v>0</v>
      </c>
      <c r="AP2518">
        <v>0</v>
      </c>
      <c r="AQ2518">
        <v>0</v>
      </c>
      <c r="AR2518">
        <v>0</v>
      </c>
      <c r="AS2518">
        <v>0</v>
      </c>
      <c r="AT2518">
        <v>0</v>
      </c>
      <c r="AU2518">
        <f t="shared" si="76"/>
        <v>0</v>
      </c>
      <c r="AV2518">
        <f t="shared" si="77"/>
        <v>0</v>
      </c>
    </row>
    <row r="2519" spans="1:48" x14ac:dyDescent="0.25">
      <c r="A2519" t="s">
        <v>8701</v>
      </c>
      <c r="C2519" t="s">
        <v>8702</v>
      </c>
      <c r="D2519" t="s">
        <v>8703</v>
      </c>
      <c r="E2519" t="s">
        <v>2310</v>
      </c>
      <c r="F2519">
        <v>8</v>
      </c>
      <c r="G2519">
        <v>8.1999999999999993</v>
      </c>
      <c r="H2519" t="s">
        <v>2022</v>
      </c>
      <c r="I2519" s="21">
        <v>39489</v>
      </c>
      <c r="J2519">
        <v>2008</v>
      </c>
      <c r="K2519" s="21">
        <v>39489</v>
      </c>
      <c r="L2519">
        <v>2008</v>
      </c>
      <c r="M2519" s="21">
        <v>40562.458321759303</v>
      </c>
      <c r="N2519">
        <v>2011</v>
      </c>
      <c r="R2519" s="262">
        <v>80000</v>
      </c>
      <c r="S2519" t="s">
        <v>114</v>
      </c>
      <c r="T2519" t="s">
        <v>114</v>
      </c>
      <c r="U2519">
        <v>5</v>
      </c>
      <c r="W2519">
        <v>986</v>
      </c>
      <c r="X2519">
        <v>0</v>
      </c>
      <c r="Y2519">
        <v>0</v>
      </c>
      <c r="Z2519">
        <v>0</v>
      </c>
      <c r="AA2519">
        <v>0</v>
      </c>
      <c r="AB2519">
        <v>0</v>
      </c>
      <c r="AC2519">
        <v>986</v>
      </c>
      <c r="AD2519">
        <v>0</v>
      </c>
      <c r="AE2519">
        <v>0</v>
      </c>
      <c r="AF2519">
        <v>0</v>
      </c>
      <c r="AG2519">
        <v>0</v>
      </c>
      <c r="AH2519">
        <v>0</v>
      </c>
      <c r="AI2519">
        <v>0</v>
      </c>
      <c r="AJ2519">
        <v>0</v>
      </c>
      <c r="AK2519">
        <v>0</v>
      </c>
      <c r="AL2519">
        <v>0</v>
      </c>
      <c r="AM2519">
        <v>0</v>
      </c>
      <c r="AN2519">
        <v>0</v>
      </c>
      <c r="AO2519">
        <v>0</v>
      </c>
      <c r="AP2519">
        <v>0</v>
      </c>
      <c r="AQ2519">
        <v>0</v>
      </c>
      <c r="AR2519">
        <v>0</v>
      </c>
      <c r="AS2519">
        <v>0</v>
      </c>
      <c r="AT2519">
        <v>0</v>
      </c>
      <c r="AU2519">
        <f t="shared" si="76"/>
        <v>0</v>
      </c>
      <c r="AV2519">
        <f t="shared" si="77"/>
        <v>0</v>
      </c>
    </row>
    <row r="2520" spans="1:48" x14ac:dyDescent="0.25">
      <c r="A2520" t="s">
        <v>8704</v>
      </c>
      <c r="C2520" t="s">
        <v>8705</v>
      </c>
      <c r="D2520" t="s">
        <v>8706</v>
      </c>
      <c r="E2520" t="s">
        <v>2310</v>
      </c>
      <c r="F2520">
        <v>9</v>
      </c>
      <c r="G2520">
        <v>9.1999999999999993</v>
      </c>
      <c r="H2520" t="s">
        <v>2022</v>
      </c>
      <c r="I2520" s="21">
        <v>39489</v>
      </c>
      <c r="J2520">
        <v>2008</v>
      </c>
      <c r="K2520" s="21">
        <v>39528</v>
      </c>
      <c r="L2520">
        <v>2008</v>
      </c>
      <c r="M2520" s="21">
        <v>39896</v>
      </c>
      <c r="N2520">
        <v>2009</v>
      </c>
      <c r="R2520" s="262">
        <v>1000000</v>
      </c>
      <c r="S2520" t="s">
        <v>114</v>
      </c>
      <c r="T2520" t="s">
        <v>114</v>
      </c>
      <c r="U2520">
        <v>17</v>
      </c>
      <c r="W2520">
        <v>4472</v>
      </c>
      <c r="X2520">
        <v>2</v>
      </c>
      <c r="Y2520">
        <v>0</v>
      </c>
      <c r="Z2520">
        <v>0</v>
      </c>
      <c r="AA2520">
        <v>0</v>
      </c>
      <c r="AB2520">
        <v>0</v>
      </c>
      <c r="AC2520">
        <v>0</v>
      </c>
      <c r="AD2520">
        <v>4018</v>
      </c>
      <c r="AE2520">
        <v>0</v>
      </c>
      <c r="AF2520">
        <v>454</v>
      </c>
      <c r="AG2520">
        <v>0</v>
      </c>
      <c r="AH2520">
        <v>0</v>
      </c>
      <c r="AI2520">
        <v>0</v>
      </c>
      <c r="AJ2520">
        <v>0</v>
      </c>
      <c r="AK2520">
        <v>0</v>
      </c>
      <c r="AL2520">
        <v>0</v>
      </c>
      <c r="AM2520">
        <v>0</v>
      </c>
      <c r="AN2520">
        <v>0</v>
      </c>
      <c r="AO2520">
        <v>0</v>
      </c>
      <c r="AP2520">
        <v>1</v>
      </c>
      <c r="AQ2520">
        <v>0</v>
      </c>
      <c r="AR2520">
        <v>1</v>
      </c>
      <c r="AS2520">
        <v>0</v>
      </c>
      <c r="AT2520">
        <v>0</v>
      </c>
      <c r="AU2520">
        <f t="shared" si="76"/>
        <v>1</v>
      </c>
      <c r="AV2520">
        <f t="shared" si="77"/>
        <v>0</v>
      </c>
    </row>
    <row r="2521" spans="1:48" x14ac:dyDescent="0.25">
      <c r="A2521" t="s">
        <v>8707</v>
      </c>
      <c r="C2521" t="s">
        <v>7393</v>
      </c>
      <c r="D2521" t="s">
        <v>8708</v>
      </c>
      <c r="E2521" t="s">
        <v>2310</v>
      </c>
      <c r="F2521">
        <v>12</v>
      </c>
      <c r="G2521">
        <v>12.3</v>
      </c>
      <c r="H2521" t="s">
        <v>2017</v>
      </c>
      <c r="I2521" s="21">
        <v>39489</v>
      </c>
      <c r="J2521">
        <v>2008</v>
      </c>
      <c r="K2521" s="21">
        <v>39500</v>
      </c>
      <c r="L2521">
        <v>2008</v>
      </c>
      <c r="M2521" s="21">
        <v>40095.560844907399</v>
      </c>
      <c r="N2521">
        <v>2009</v>
      </c>
      <c r="R2521" s="262">
        <v>1200000</v>
      </c>
      <c r="S2521" t="s">
        <v>114</v>
      </c>
      <c r="T2521" t="s">
        <v>114</v>
      </c>
      <c r="U2521">
        <v>5</v>
      </c>
      <c r="W2521">
        <v>4276</v>
      </c>
      <c r="X2521">
        <v>1</v>
      </c>
      <c r="Y2521">
        <v>0</v>
      </c>
      <c r="Z2521">
        <v>0</v>
      </c>
      <c r="AA2521">
        <v>0</v>
      </c>
      <c r="AB2521">
        <v>0</v>
      </c>
      <c r="AC2521">
        <v>4276</v>
      </c>
      <c r="AD2521">
        <v>0</v>
      </c>
      <c r="AE2521">
        <v>0</v>
      </c>
      <c r="AF2521">
        <v>0</v>
      </c>
      <c r="AG2521">
        <v>0</v>
      </c>
      <c r="AH2521">
        <v>0</v>
      </c>
      <c r="AI2521">
        <v>0</v>
      </c>
      <c r="AJ2521">
        <v>0</v>
      </c>
      <c r="AK2521">
        <v>0</v>
      </c>
      <c r="AL2521">
        <v>0</v>
      </c>
      <c r="AM2521">
        <v>0</v>
      </c>
      <c r="AN2521">
        <v>0</v>
      </c>
      <c r="AO2521">
        <v>1</v>
      </c>
      <c r="AP2521">
        <v>0</v>
      </c>
      <c r="AQ2521">
        <v>0</v>
      </c>
      <c r="AR2521">
        <v>0</v>
      </c>
      <c r="AS2521">
        <v>0</v>
      </c>
      <c r="AT2521">
        <v>0</v>
      </c>
      <c r="AU2521">
        <f t="shared" ref="AU2521:AU2584" si="78">SUM(AN2521:AQ2521,AS2521)</f>
        <v>1</v>
      </c>
      <c r="AV2521">
        <f t="shared" ref="AV2521:AV2584" si="79">SUM(Y2521:AB2521,AH2521:AM2521)</f>
        <v>0</v>
      </c>
    </row>
    <row r="2522" spans="1:48" x14ac:dyDescent="0.25">
      <c r="A2522" t="s">
        <v>8709</v>
      </c>
      <c r="C2522" t="s">
        <v>8710</v>
      </c>
      <c r="D2522" t="s">
        <v>8711</v>
      </c>
      <c r="E2522" t="s">
        <v>2310</v>
      </c>
      <c r="F2522">
        <v>9</v>
      </c>
      <c r="G2522">
        <v>9.3000000000000007</v>
      </c>
      <c r="H2522" t="s">
        <v>2323</v>
      </c>
      <c r="I2522" s="21">
        <v>39489</v>
      </c>
      <c r="J2522">
        <v>2008</v>
      </c>
      <c r="K2522" s="21">
        <v>39531</v>
      </c>
      <c r="L2522">
        <v>2008</v>
      </c>
      <c r="M2522" s="21">
        <v>40086.439247685201</v>
      </c>
      <c r="N2522">
        <v>2009</v>
      </c>
      <c r="R2522" s="262">
        <v>2200000</v>
      </c>
      <c r="S2522" t="s">
        <v>114</v>
      </c>
      <c r="T2522" t="s">
        <v>114</v>
      </c>
      <c r="U2522">
        <v>5</v>
      </c>
      <c r="W2522">
        <v>5692</v>
      </c>
      <c r="X2522">
        <v>1</v>
      </c>
      <c r="Y2522">
        <v>0</v>
      </c>
      <c r="Z2522">
        <v>0</v>
      </c>
      <c r="AA2522">
        <v>0</v>
      </c>
      <c r="AB2522">
        <v>0</v>
      </c>
      <c r="AC2522">
        <v>5692</v>
      </c>
      <c r="AD2522">
        <v>0</v>
      </c>
      <c r="AE2522">
        <v>0</v>
      </c>
      <c r="AF2522">
        <v>0</v>
      </c>
      <c r="AG2522">
        <v>0</v>
      </c>
      <c r="AH2522">
        <v>0</v>
      </c>
      <c r="AI2522">
        <v>0</v>
      </c>
      <c r="AJ2522">
        <v>0</v>
      </c>
      <c r="AK2522">
        <v>0</v>
      </c>
      <c r="AL2522">
        <v>0</v>
      </c>
      <c r="AM2522">
        <v>0</v>
      </c>
      <c r="AN2522">
        <v>0</v>
      </c>
      <c r="AO2522">
        <v>1</v>
      </c>
      <c r="AP2522">
        <v>0</v>
      </c>
      <c r="AQ2522">
        <v>0</v>
      </c>
      <c r="AR2522">
        <v>0</v>
      </c>
      <c r="AS2522">
        <v>0</v>
      </c>
      <c r="AT2522">
        <v>0</v>
      </c>
      <c r="AU2522">
        <f t="shared" si="78"/>
        <v>1</v>
      </c>
      <c r="AV2522">
        <f t="shared" si="79"/>
        <v>0</v>
      </c>
    </row>
    <row r="2523" spans="1:48" x14ac:dyDescent="0.25">
      <c r="A2523" t="s">
        <v>8712</v>
      </c>
      <c r="C2523" t="s">
        <v>8713</v>
      </c>
      <c r="D2523" t="s">
        <v>8714</v>
      </c>
      <c r="E2523" t="s">
        <v>2310</v>
      </c>
      <c r="F2523">
        <v>9</v>
      </c>
      <c r="G2523">
        <v>9.1</v>
      </c>
      <c r="H2523" t="s">
        <v>2323</v>
      </c>
      <c r="I2523" s="21">
        <v>39489</v>
      </c>
      <c r="J2523">
        <v>2008</v>
      </c>
      <c r="K2523" s="21">
        <v>39528</v>
      </c>
      <c r="L2523">
        <v>2008</v>
      </c>
      <c r="M2523" s="21">
        <v>39639</v>
      </c>
      <c r="N2523">
        <v>2008</v>
      </c>
      <c r="R2523" s="262">
        <v>375000</v>
      </c>
      <c r="S2523" t="s">
        <v>114</v>
      </c>
      <c r="T2523" t="s">
        <v>114</v>
      </c>
      <c r="U2523">
        <v>8</v>
      </c>
      <c r="W2523">
        <v>451</v>
      </c>
      <c r="X2523">
        <v>1</v>
      </c>
      <c r="Y2523">
        <v>0</v>
      </c>
      <c r="Z2523">
        <v>0</v>
      </c>
      <c r="AA2523">
        <v>0</v>
      </c>
      <c r="AB2523">
        <v>0</v>
      </c>
      <c r="AC2523">
        <v>-20</v>
      </c>
      <c r="AD2523">
        <v>0</v>
      </c>
      <c r="AE2523">
        <v>0</v>
      </c>
      <c r="AF2523">
        <v>471</v>
      </c>
      <c r="AG2523">
        <v>0</v>
      </c>
      <c r="AH2523">
        <v>0</v>
      </c>
      <c r="AI2523">
        <v>0</v>
      </c>
      <c r="AJ2523">
        <v>0</v>
      </c>
      <c r="AK2523">
        <v>0</v>
      </c>
      <c r="AL2523">
        <v>0</v>
      </c>
      <c r="AM2523">
        <v>0</v>
      </c>
      <c r="AN2523">
        <v>0</v>
      </c>
      <c r="AO2523">
        <v>0</v>
      </c>
      <c r="AP2523">
        <v>0</v>
      </c>
      <c r="AQ2523">
        <v>0</v>
      </c>
      <c r="AR2523">
        <v>1</v>
      </c>
      <c r="AS2523">
        <v>0</v>
      </c>
      <c r="AT2523">
        <v>0</v>
      </c>
      <c r="AU2523">
        <f t="shared" si="78"/>
        <v>0</v>
      </c>
      <c r="AV2523">
        <f t="shared" si="79"/>
        <v>0</v>
      </c>
    </row>
    <row r="2524" spans="1:48" x14ac:dyDescent="0.25">
      <c r="A2524" t="s">
        <v>8715</v>
      </c>
      <c r="C2524" t="s">
        <v>8716</v>
      </c>
      <c r="D2524" t="s">
        <v>2596</v>
      </c>
      <c r="E2524" t="s">
        <v>2310</v>
      </c>
      <c r="F2524">
        <v>12</v>
      </c>
      <c r="G2524">
        <v>12.2</v>
      </c>
      <c r="H2524" t="s">
        <v>2017</v>
      </c>
      <c r="I2524" s="21">
        <v>39490</v>
      </c>
      <c r="J2524">
        <v>2008</v>
      </c>
      <c r="K2524" s="21">
        <v>39526</v>
      </c>
      <c r="L2524">
        <v>2008</v>
      </c>
      <c r="M2524" s="21">
        <v>39798</v>
      </c>
      <c r="N2524">
        <v>2008</v>
      </c>
      <c r="R2524" s="262">
        <v>60000</v>
      </c>
      <c r="S2524" t="s">
        <v>114</v>
      </c>
      <c r="T2524" t="s">
        <v>114</v>
      </c>
      <c r="U2524">
        <v>5</v>
      </c>
      <c r="W2524">
        <v>237</v>
      </c>
      <c r="X2524">
        <v>0</v>
      </c>
      <c r="Y2524">
        <v>0</v>
      </c>
      <c r="Z2524">
        <v>0</v>
      </c>
      <c r="AA2524">
        <v>0</v>
      </c>
      <c r="AB2524">
        <v>0</v>
      </c>
      <c r="AC2524">
        <v>237</v>
      </c>
      <c r="AD2524">
        <v>0</v>
      </c>
      <c r="AE2524">
        <v>0</v>
      </c>
      <c r="AF2524">
        <v>0</v>
      </c>
      <c r="AG2524">
        <v>0</v>
      </c>
      <c r="AH2524">
        <v>0</v>
      </c>
      <c r="AI2524">
        <v>0</v>
      </c>
      <c r="AJ2524">
        <v>0</v>
      </c>
      <c r="AK2524">
        <v>0</v>
      </c>
      <c r="AL2524">
        <v>0</v>
      </c>
      <c r="AM2524">
        <v>0</v>
      </c>
      <c r="AN2524">
        <v>0</v>
      </c>
      <c r="AO2524">
        <v>0</v>
      </c>
      <c r="AP2524">
        <v>0</v>
      </c>
      <c r="AQ2524">
        <v>0</v>
      </c>
      <c r="AR2524">
        <v>0</v>
      </c>
      <c r="AS2524">
        <v>0</v>
      </c>
      <c r="AT2524">
        <v>0</v>
      </c>
      <c r="AU2524">
        <f t="shared" si="78"/>
        <v>0</v>
      </c>
      <c r="AV2524">
        <f t="shared" si="79"/>
        <v>0</v>
      </c>
    </row>
    <row r="2525" spans="1:48" x14ac:dyDescent="0.25">
      <c r="A2525" t="s">
        <v>8717</v>
      </c>
      <c r="C2525" t="s">
        <v>8718</v>
      </c>
      <c r="D2525" t="s">
        <v>8719</v>
      </c>
      <c r="E2525" t="s">
        <v>2310</v>
      </c>
      <c r="F2525">
        <v>8</v>
      </c>
      <c r="G2525">
        <v>8.1999999999999993</v>
      </c>
      <c r="H2525" t="s">
        <v>2022</v>
      </c>
      <c r="I2525" s="21">
        <v>39490</v>
      </c>
      <c r="J2525">
        <v>2008</v>
      </c>
      <c r="K2525" s="21">
        <v>39534</v>
      </c>
      <c r="L2525">
        <v>2008</v>
      </c>
      <c r="M2525" s="21">
        <v>40109.437199074098</v>
      </c>
      <c r="N2525">
        <v>2009</v>
      </c>
      <c r="R2525" s="262">
        <v>800000</v>
      </c>
      <c r="S2525" t="s">
        <v>114</v>
      </c>
      <c r="T2525" t="s">
        <v>114</v>
      </c>
      <c r="U2525">
        <v>5</v>
      </c>
      <c r="W2525">
        <v>5319</v>
      </c>
      <c r="X2525">
        <v>1</v>
      </c>
      <c r="Y2525">
        <v>0</v>
      </c>
      <c r="Z2525">
        <v>0</v>
      </c>
      <c r="AA2525">
        <v>0</v>
      </c>
      <c r="AB2525">
        <v>0</v>
      </c>
      <c r="AC2525">
        <v>5319</v>
      </c>
      <c r="AD2525">
        <v>0</v>
      </c>
      <c r="AE2525">
        <v>0</v>
      </c>
      <c r="AF2525">
        <v>0</v>
      </c>
      <c r="AG2525">
        <v>0</v>
      </c>
      <c r="AH2525">
        <v>0</v>
      </c>
      <c r="AI2525">
        <v>0</v>
      </c>
      <c r="AJ2525">
        <v>0</v>
      </c>
      <c r="AK2525">
        <v>0</v>
      </c>
      <c r="AL2525">
        <v>0</v>
      </c>
      <c r="AM2525">
        <v>0</v>
      </c>
      <c r="AN2525">
        <v>0</v>
      </c>
      <c r="AO2525">
        <v>1</v>
      </c>
      <c r="AP2525">
        <v>0</v>
      </c>
      <c r="AQ2525">
        <v>0</v>
      </c>
      <c r="AR2525">
        <v>0</v>
      </c>
      <c r="AS2525">
        <v>0</v>
      </c>
      <c r="AT2525">
        <v>0</v>
      </c>
      <c r="AU2525">
        <f t="shared" si="78"/>
        <v>1</v>
      </c>
      <c r="AV2525">
        <f t="shared" si="79"/>
        <v>0</v>
      </c>
    </row>
    <row r="2526" spans="1:48" x14ac:dyDescent="0.25">
      <c r="A2526" t="s">
        <v>8720</v>
      </c>
      <c r="C2526" t="s">
        <v>8721</v>
      </c>
      <c r="D2526" t="s">
        <v>8719</v>
      </c>
      <c r="E2526" t="s">
        <v>2310</v>
      </c>
      <c r="F2526">
        <v>8</v>
      </c>
      <c r="G2526">
        <v>8.1999999999999993</v>
      </c>
      <c r="H2526" t="s">
        <v>2022</v>
      </c>
      <c r="I2526" s="21">
        <v>39490</v>
      </c>
      <c r="J2526">
        <v>2008</v>
      </c>
      <c r="K2526" s="21">
        <v>39540</v>
      </c>
      <c r="L2526">
        <v>2008</v>
      </c>
      <c r="M2526" s="21">
        <v>40109.443171296298</v>
      </c>
      <c r="N2526">
        <v>2009</v>
      </c>
      <c r="R2526" s="262">
        <v>120000</v>
      </c>
      <c r="S2526" t="s">
        <v>114</v>
      </c>
      <c r="T2526" t="s">
        <v>114</v>
      </c>
      <c r="U2526">
        <v>8</v>
      </c>
      <c r="W2526">
        <v>1273</v>
      </c>
      <c r="X2526">
        <v>1</v>
      </c>
      <c r="Y2526">
        <v>0</v>
      </c>
      <c r="Z2526">
        <v>0</v>
      </c>
      <c r="AA2526">
        <v>0</v>
      </c>
      <c r="AB2526">
        <v>0</v>
      </c>
      <c r="AC2526">
        <v>331</v>
      </c>
      <c r="AD2526">
        <v>0</v>
      </c>
      <c r="AE2526">
        <v>0</v>
      </c>
      <c r="AF2526">
        <v>942</v>
      </c>
      <c r="AG2526">
        <v>0</v>
      </c>
      <c r="AH2526">
        <v>0</v>
      </c>
      <c r="AI2526">
        <v>0</v>
      </c>
      <c r="AJ2526">
        <v>0</v>
      </c>
      <c r="AK2526">
        <v>0</v>
      </c>
      <c r="AL2526">
        <v>0</v>
      </c>
      <c r="AM2526">
        <v>0</v>
      </c>
      <c r="AN2526">
        <v>0</v>
      </c>
      <c r="AO2526">
        <v>0</v>
      </c>
      <c r="AP2526">
        <v>0</v>
      </c>
      <c r="AQ2526">
        <v>0</v>
      </c>
      <c r="AR2526">
        <v>1</v>
      </c>
      <c r="AS2526">
        <v>0</v>
      </c>
      <c r="AT2526">
        <v>0</v>
      </c>
      <c r="AU2526">
        <f t="shared" si="78"/>
        <v>0</v>
      </c>
      <c r="AV2526">
        <f t="shared" si="79"/>
        <v>0</v>
      </c>
    </row>
    <row r="2527" spans="1:48" x14ac:dyDescent="0.25">
      <c r="A2527" t="s">
        <v>8724</v>
      </c>
      <c r="C2527" t="s">
        <v>8725</v>
      </c>
      <c r="D2527" t="s">
        <v>8726</v>
      </c>
      <c r="E2527" t="s">
        <v>2310</v>
      </c>
      <c r="F2527">
        <v>13</v>
      </c>
      <c r="G2527">
        <v>13.2</v>
      </c>
      <c r="H2527" t="s">
        <v>2327</v>
      </c>
      <c r="I2527" s="21">
        <v>39492</v>
      </c>
      <c r="J2527">
        <v>2008</v>
      </c>
      <c r="K2527" s="21">
        <v>39603</v>
      </c>
      <c r="L2527">
        <v>2008</v>
      </c>
      <c r="M2527" s="21">
        <v>40269.346412036997</v>
      </c>
      <c r="N2527">
        <v>2010</v>
      </c>
      <c r="R2527" s="262">
        <v>1765500</v>
      </c>
      <c r="S2527" t="s">
        <v>114</v>
      </c>
      <c r="T2527" t="s">
        <v>114</v>
      </c>
      <c r="U2527">
        <v>5</v>
      </c>
      <c r="W2527">
        <v>4679</v>
      </c>
      <c r="X2527">
        <v>1</v>
      </c>
      <c r="Y2527">
        <v>0</v>
      </c>
      <c r="Z2527">
        <v>0</v>
      </c>
      <c r="AA2527">
        <v>0</v>
      </c>
      <c r="AB2527">
        <v>0</v>
      </c>
      <c r="AC2527">
        <v>4679</v>
      </c>
      <c r="AD2527">
        <v>0</v>
      </c>
      <c r="AE2527">
        <v>0</v>
      </c>
      <c r="AF2527">
        <v>0</v>
      </c>
      <c r="AG2527">
        <v>0</v>
      </c>
      <c r="AH2527">
        <v>0</v>
      </c>
      <c r="AI2527">
        <v>0</v>
      </c>
      <c r="AJ2527">
        <v>0</v>
      </c>
      <c r="AK2527">
        <v>0</v>
      </c>
      <c r="AL2527">
        <v>0</v>
      </c>
      <c r="AM2527">
        <v>0</v>
      </c>
      <c r="AN2527">
        <v>0</v>
      </c>
      <c r="AO2527">
        <v>1</v>
      </c>
      <c r="AP2527">
        <v>0</v>
      </c>
      <c r="AQ2527">
        <v>0</v>
      </c>
      <c r="AR2527">
        <v>0</v>
      </c>
      <c r="AS2527">
        <v>0</v>
      </c>
      <c r="AT2527">
        <v>0</v>
      </c>
      <c r="AU2527">
        <f t="shared" si="78"/>
        <v>1</v>
      </c>
      <c r="AV2527">
        <f t="shared" si="79"/>
        <v>0</v>
      </c>
    </row>
    <row r="2528" spans="1:48" x14ac:dyDescent="0.25">
      <c r="A2528" t="s">
        <v>8727</v>
      </c>
      <c r="C2528" t="s">
        <v>8728</v>
      </c>
      <c r="D2528" t="s">
        <v>8729</v>
      </c>
      <c r="E2528" t="s">
        <v>2310</v>
      </c>
      <c r="F2528">
        <v>13</v>
      </c>
      <c r="G2528">
        <v>13.2</v>
      </c>
      <c r="H2528" t="s">
        <v>2327</v>
      </c>
      <c r="I2528" s="21">
        <v>39492</v>
      </c>
      <c r="J2528">
        <v>2008</v>
      </c>
      <c r="K2528" s="21">
        <v>39604</v>
      </c>
      <c r="L2528">
        <v>2008</v>
      </c>
      <c r="M2528" s="21">
        <v>40305.484212962998</v>
      </c>
      <c r="N2528">
        <v>2010</v>
      </c>
      <c r="R2528" s="262">
        <v>1765500</v>
      </c>
      <c r="S2528" t="s">
        <v>114</v>
      </c>
      <c r="T2528" t="s">
        <v>114</v>
      </c>
      <c r="U2528">
        <v>5</v>
      </c>
      <c r="W2528">
        <v>4679</v>
      </c>
      <c r="X2528">
        <v>1</v>
      </c>
      <c r="Y2528">
        <v>0</v>
      </c>
      <c r="Z2528">
        <v>0</v>
      </c>
      <c r="AA2528">
        <v>0</v>
      </c>
      <c r="AB2528">
        <v>0</v>
      </c>
      <c r="AC2528">
        <v>4679</v>
      </c>
      <c r="AD2528">
        <v>0</v>
      </c>
      <c r="AE2528">
        <v>0</v>
      </c>
      <c r="AF2528">
        <v>0</v>
      </c>
      <c r="AG2528">
        <v>0</v>
      </c>
      <c r="AH2528">
        <v>0</v>
      </c>
      <c r="AI2528">
        <v>0</v>
      </c>
      <c r="AJ2528">
        <v>0</v>
      </c>
      <c r="AK2528">
        <v>0</v>
      </c>
      <c r="AL2528">
        <v>0</v>
      </c>
      <c r="AM2528">
        <v>0</v>
      </c>
      <c r="AN2528">
        <v>0</v>
      </c>
      <c r="AO2528">
        <v>1</v>
      </c>
      <c r="AP2528">
        <v>0</v>
      </c>
      <c r="AQ2528">
        <v>0</v>
      </c>
      <c r="AR2528">
        <v>0</v>
      </c>
      <c r="AS2528">
        <v>0</v>
      </c>
      <c r="AT2528">
        <v>0</v>
      </c>
      <c r="AU2528">
        <f t="shared" si="78"/>
        <v>1</v>
      </c>
      <c r="AV2528">
        <f t="shared" si="79"/>
        <v>0</v>
      </c>
    </row>
    <row r="2529" spans="1:48" x14ac:dyDescent="0.25">
      <c r="A2529" t="s">
        <v>8730</v>
      </c>
      <c r="C2529" t="s">
        <v>8731</v>
      </c>
      <c r="D2529" t="s">
        <v>8732</v>
      </c>
      <c r="E2529" t="s">
        <v>2310</v>
      </c>
      <c r="F2529">
        <v>13</v>
      </c>
      <c r="G2529">
        <v>13.2</v>
      </c>
      <c r="H2529" t="s">
        <v>2327</v>
      </c>
      <c r="I2529" s="21">
        <v>39492</v>
      </c>
      <c r="J2529">
        <v>2008</v>
      </c>
      <c r="K2529" s="21">
        <v>39541</v>
      </c>
      <c r="L2529">
        <v>2008</v>
      </c>
      <c r="M2529" s="21">
        <v>40253.572164351899</v>
      </c>
      <c r="N2529">
        <v>2010</v>
      </c>
      <c r="R2529" s="262">
        <v>1765500</v>
      </c>
      <c r="S2529" t="s">
        <v>114</v>
      </c>
      <c r="T2529" t="s">
        <v>114</v>
      </c>
      <c r="U2529">
        <v>5</v>
      </c>
      <c r="W2529">
        <v>4699</v>
      </c>
      <c r="X2529">
        <v>1</v>
      </c>
      <c r="Y2529">
        <v>0</v>
      </c>
      <c r="Z2529">
        <v>0</v>
      </c>
      <c r="AA2529">
        <v>0</v>
      </c>
      <c r="AB2529">
        <v>0</v>
      </c>
      <c r="AC2529">
        <v>4699</v>
      </c>
      <c r="AD2529">
        <v>0</v>
      </c>
      <c r="AE2529">
        <v>0</v>
      </c>
      <c r="AF2529">
        <v>0</v>
      </c>
      <c r="AG2529">
        <v>0</v>
      </c>
      <c r="AH2529">
        <v>0</v>
      </c>
      <c r="AI2529">
        <v>0</v>
      </c>
      <c r="AJ2529">
        <v>0</v>
      </c>
      <c r="AK2529">
        <v>0</v>
      </c>
      <c r="AL2529">
        <v>0</v>
      </c>
      <c r="AM2529">
        <v>0</v>
      </c>
      <c r="AN2529">
        <v>0</v>
      </c>
      <c r="AO2529">
        <v>1</v>
      </c>
      <c r="AP2529">
        <v>0</v>
      </c>
      <c r="AQ2529">
        <v>0</v>
      </c>
      <c r="AR2529">
        <v>0</v>
      </c>
      <c r="AS2529">
        <v>0</v>
      </c>
      <c r="AT2529">
        <v>0</v>
      </c>
      <c r="AU2529">
        <f t="shared" si="78"/>
        <v>1</v>
      </c>
      <c r="AV2529">
        <f t="shared" si="79"/>
        <v>0</v>
      </c>
    </row>
    <row r="2530" spans="1:48" x14ac:dyDescent="0.25">
      <c r="A2530" t="s">
        <v>8733</v>
      </c>
      <c r="C2530" t="s">
        <v>8734</v>
      </c>
      <c r="D2530" t="s">
        <v>8735</v>
      </c>
      <c r="E2530" t="s">
        <v>2310</v>
      </c>
      <c r="F2530">
        <v>13</v>
      </c>
      <c r="G2530">
        <v>13.2</v>
      </c>
      <c r="H2530" t="s">
        <v>2327</v>
      </c>
      <c r="I2530" s="21">
        <v>39492</v>
      </c>
      <c r="J2530">
        <v>2008</v>
      </c>
      <c r="K2530" s="21">
        <v>39541</v>
      </c>
      <c r="L2530">
        <v>2008</v>
      </c>
      <c r="M2530" s="21">
        <v>40162.672858796301</v>
      </c>
      <c r="N2530">
        <v>2009</v>
      </c>
      <c r="R2530" s="262">
        <v>1765500</v>
      </c>
      <c r="S2530" t="s">
        <v>114</v>
      </c>
      <c r="T2530" t="s">
        <v>114</v>
      </c>
      <c r="U2530">
        <v>5</v>
      </c>
      <c r="W2530">
        <v>4699</v>
      </c>
      <c r="X2530">
        <v>1</v>
      </c>
      <c r="Y2530">
        <v>0</v>
      </c>
      <c r="Z2530">
        <v>0</v>
      </c>
      <c r="AA2530">
        <v>0</v>
      </c>
      <c r="AB2530">
        <v>0</v>
      </c>
      <c r="AC2530">
        <v>4699</v>
      </c>
      <c r="AD2530">
        <v>0</v>
      </c>
      <c r="AE2530">
        <v>0</v>
      </c>
      <c r="AF2530">
        <v>0</v>
      </c>
      <c r="AG2530">
        <v>0</v>
      </c>
      <c r="AH2530">
        <v>0</v>
      </c>
      <c r="AI2530">
        <v>0</v>
      </c>
      <c r="AJ2530">
        <v>0</v>
      </c>
      <c r="AK2530">
        <v>0</v>
      </c>
      <c r="AL2530">
        <v>0</v>
      </c>
      <c r="AM2530">
        <v>0</v>
      </c>
      <c r="AN2530">
        <v>0</v>
      </c>
      <c r="AO2530">
        <v>1</v>
      </c>
      <c r="AP2530">
        <v>0</v>
      </c>
      <c r="AQ2530">
        <v>0</v>
      </c>
      <c r="AR2530">
        <v>0</v>
      </c>
      <c r="AS2530">
        <v>0</v>
      </c>
      <c r="AT2530">
        <v>0</v>
      </c>
      <c r="AU2530">
        <f t="shared" si="78"/>
        <v>1</v>
      </c>
      <c r="AV2530">
        <f t="shared" si="79"/>
        <v>0</v>
      </c>
    </row>
    <row r="2531" spans="1:48" x14ac:dyDescent="0.25">
      <c r="A2531" t="s">
        <v>8736</v>
      </c>
      <c r="C2531" t="s">
        <v>8737</v>
      </c>
      <c r="D2531" t="s">
        <v>8576</v>
      </c>
      <c r="E2531" t="s">
        <v>2310</v>
      </c>
      <c r="F2531">
        <v>13</v>
      </c>
      <c r="G2531">
        <v>13.2</v>
      </c>
      <c r="H2531" t="s">
        <v>2327</v>
      </c>
      <c r="I2531" s="21">
        <v>39492</v>
      </c>
      <c r="J2531">
        <v>2008</v>
      </c>
      <c r="K2531" s="21">
        <v>39541</v>
      </c>
      <c r="L2531">
        <v>2008</v>
      </c>
      <c r="M2531" s="21">
        <v>40211.434374999997</v>
      </c>
      <c r="N2531">
        <v>2010</v>
      </c>
      <c r="R2531" s="262">
        <v>1765500</v>
      </c>
      <c r="S2531" t="s">
        <v>114</v>
      </c>
      <c r="T2531" t="s">
        <v>114</v>
      </c>
      <c r="U2531">
        <v>5</v>
      </c>
      <c r="W2531">
        <v>4699</v>
      </c>
      <c r="X2531">
        <v>1</v>
      </c>
      <c r="Y2531">
        <v>0</v>
      </c>
      <c r="Z2531">
        <v>0</v>
      </c>
      <c r="AA2531">
        <v>0</v>
      </c>
      <c r="AB2531">
        <v>0</v>
      </c>
      <c r="AC2531">
        <v>4699</v>
      </c>
      <c r="AD2531">
        <v>0</v>
      </c>
      <c r="AE2531">
        <v>0</v>
      </c>
      <c r="AF2531">
        <v>0</v>
      </c>
      <c r="AG2531">
        <v>0</v>
      </c>
      <c r="AH2531">
        <v>0</v>
      </c>
      <c r="AI2531">
        <v>0</v>
      </c>
      <c r="AJ2531">
        <v>0</v>
      </c>
      <c r="AK2531">
        <v>0</v>
      </c>
      <c r="AL2531">
        <v>0</v>
      </c>
      <c r="AM2531">
        <v>0</v>
      </c>
      <c r="AN2531">
        <v>0</v>
      </c>
      <c r="AO2531">
        <v>1</v>
      </c>
      <c r="AP2531">
        <v>0</v>
      </c>
      <c r="AQ2531">
        <v>0</v>
      </c>
      <c r="AR2531">
        <v>0</v>
      </c>
      <c r="AS2531">
        <v>0</v>
      </c>
      <c r="AT2531">
        <v>0</v>
      </c>
      <c r="AU2531">
        <f t="shared" si="78"/>
        <v>1</v>
      </c>
      <c r="AV2531">
        <f t="shared" si="79"/>
        <v>0</v>
      </c>
    </row>
    <row r="2532" spans="1:48" x14ac:dyDescent="0.25">
      <c r="A2532" t="s">
        <v>8722</v>
      </c>
      <c r="C2532" t="s">
        <v>8723</v>
      </c>
      <c r="D2532" t="s">
        <v>8673</v>
      </c>
      <c r="E2532" t="s">
        <v>1663</v>
      </c>
      <c r="F2532">
        <v>3</v>
      </c>
      <c r="G2532">
        <v>3.2</v>
      </c>
      <c r="H2532" t="s">
        <v>2327</v>
      </c>
      <c r="I2532" s="21">
        <v>39492</v>
      </c>
      <c r="J2532">
        <v>2008</v>
      </c>
      <c r="K2532" s="21">
        <v>39521</v>
      </c>
      <c r="L2532">
        <v>2008</v>
      </c>
      <c r="M2532" s="21">
        <v>39674</v>
      </c>
      <c r="N2532">
        <v>2008</v>
      </c>
      <c r="Q2532" s="262">
        <v>0</v>
      </c>
      <c r="S2532" t="s">
        <v>114</v>
      </c>
      <c r="T2532" t="s">
        <v>114</v>
      </c>
      <c r="W2532">
        <v>1546</v>
      </c>
      <c r="X2532">
        <v>1</v>
      </c>
      <c r="Y2532">
        <v>0</v>
      </c>
      <c r="Z2532">
        <v>0</v>
      </c>
      <c r="AA2532">
        <v>0</v>
      </c>
      <c r="AB2532">
        <v>0</v>
      </c>
      <c r="AC2532">
        <v>0</v>
      </c>
      <c r="AD2532">
        <v>0</v>
      </c>
      <c r="AE2532">
        <v>1546</v>
      </c>
      <c r="AF2532">
        <v>0</v>
      </c>
      <c r="AG2532">
        <v>0</v>
      </c>
      <c r="AH2532">
        <v>0</v>
      </c>
      <c r="AI2532">
        <v>0</v>
      </c>
      <c r="AJ2532">
        <v>0</v>
      </c>
      <c r="AK2532">
        <v>0</v>
      </c>
      <c r="AL2532">
        <v>0</v>
      </c>
      <c r="AM2532">
        <v>0</v>
      </c>
      <c r="AN2532">
        <v>0</v>
      </c>
      <c r="AO2532">
        <v>0</v>
      </c>
      <c r="AP2532">
        <v>0</v>
      </c>
      <c r="AQ2532">
        <v>1</v>
      </c>
      <c r="AR2532">
        <v>0</v>
      </c>
      <c r="AS2532">
        <v>0</v>
      </c>
      <c r="AT2532">
        <v>0</v>
      </c>
      <c r="AU2532">
        <f t="shared" si="78"/>
        <v>1</v>
      </c>
      <c r="AV2532">
        <f t="shared" si="79"/>
        <v>0</v>
      </c>
    </row>
    <row r="2533" spans="1:48" x14ac:dyDescent="0.25">
      <c r="A2533" t="s">
        <v>8738</v>
      </c>
      <c r="C2533" t="s">
        <v>8739</v>
      </c>
      <c r="D2533" t="s">
        <v>4340</v>
      </c>
      <c r="E2533" t="s">
        <v>2310</v>
      </c>
      <c r="F2533">
        <v>8</v>
      </c>
      <c r="G2533">
        <v>8.1</v>
      </c>
      <c r="H2533" t="s">
        <v>2323</v>
      </c>
      <c r="I2533" s="21">
        <v>39493</v>
      </c>
      <c r="J2533">
        <v>2008</v>
      </c>
      <c r="K2533" s="21">
        <v>39532</v>
      </c>
      <c r="L2533">
        <v>2008</v>
      </c>
      <c r="M2533" s="21">
        <v>39863</v>
      </c>
      <c r="N2533">
        <v>2009</v>
      </c>
      <c r="R2533" s="262">
        <v>300000</v>
      </c>
      <c r="S2533" t="s">
        <v>114</v>
      </c>
      <c r="T2533" t="s">
        <v>114</v>
      </c>
      <c r="U2533">
        <v>8</v>
      </c>
      <c r="W2533">
        <v>2140</v>
      </c>
      <c r="X2533">
        <v>1</v>
      </c>
      <c r="Y2533">
        <v>0</v>
      </c>
      <c r="Z2533">
        <v>0</v>
      </c>
      <c r="AA2533">
        <v>0</v>
      </c>
      <c r="AB2533">
        <v>0</v>
      </c>
      <c r="AC2533">
        <v>1140</v>
      </c>
      <c r="AD2533">
        <v>0</v>
      </c>
      <c r="AE2533">
        <v>0</v>
      </c>
      <c r="AF2533">
        <v>1000</v>
      </c>
      <c r="AG2533">
        <v>0</v>
      </c>
      <c r="AH2533">
        <v>0</v>
      </c>
      <c r="AI2533">
        <v>0</v>
      </c>
      <c r="AJ2533">
        <v>0</v>
      </c>
      <c r="AK2533">
        <v>0</v>
      </c>
      <c r="AL2533">
        <v>0</v>
      </c>
      <c r="AM2533">
        <v>0</v>
      </c>
      <c r="AN2533">
        <v>0</v>
      </c>
      <c r="AO2533">
        <v>0</v>
      </c>
      <c r="AP2533">
        <v>0</v>
      </c>
      <c r="AQ2533">
        <v>0</v>
      </c>
      <c r="AR2533">
        <v>1</v>
      </c>
      <c r="AS2533">
        <v>0</v>
      </c>
      <c r="AT2533">
        <v>0</v>
      </c>
      <c r="AU2533">
        <f t="shared" si="78"/>
        <v>0</v>
      </c>
      <c r="AV2533">
        <f t="shared" si="79"/>
        <v>0</v>
      </c>
    </row>
    <row r="2534" spans="1:48" x14ac:dyDescent="0.25">
      <c r="A2534" t="s">
        <v>8740</v>
      </c>
      <c r="C2534" t="s">
        <v>8741</v>
      </c>
      <c r="D2534" t="s">
        <v>8177</v>
      </c>
      <c r="E2534" t="s">
        <v>2310</v>
      </c>
      <c r="F2534">
        <v>9</v>
      </c>
      <c r="G2534">
        <v>9.3000000000000007</v>
      </c>
      <c r="H2534" t="s">
        <v>2323</v>
      </c>
      <c r="I2534" s="21">
        <v>39497</v>
      </c>
      <c r="J2534">
        <v>2008</v>
      </c>
      <c r="K2534" s="21">
        <v>39602</v>
      </c>
      <c r="L2534">
        <v>2008</v>
      </c>
      <c r="M2534" s="21">
        <v>39602</v>
      </c>
      <c r="N2534">
        <v>2008</v>
      </c>
      <c r="S2534" t="s">
        <v>114</v>
      </c>
      <c r="T2534" t="s">
        <v>114</v>
      </c>
      <c r="U2534">
        <v>5</v>
      </c>
      <c r="W2534">
        <v>81</v>
      </c>
      <c r="X2534">
        <v>0</v>
      </c>
      <c r="Y2534">
        <v>0</v>
      </c>
      <c r="Z2534">
        <v>0</v>
      </c>
      <c r="AA2534">
        <v>0</v>
      </c>
      <c r="AB2534">
        <v>0</v>
      </c>
      <c r="AC2534">
        <v>81</v>
      </c>
      <c r="AD2534">
        <v>0</v>
      </c>
      <c r="AE2534">
        <v>0</v>
      </c>
      <c r="AF2534">
        <v>0</v>
      </c>
      <c r="AG2534">
        <v>0</v>
      </c>
      <c r="AH2534">
        <v>0</v>
      </c>
      <c r="AI2534">
        <v>0</v>
      </c>
      <c r="AJ2534">
        <v>0</v>
      </c>
      <c r="AK2534">
        <v>0</v>
      </c>
      <c r="AL2534">
        <v>0</v>
      </c>
      <c r="AM2534">
        <v>0</v>
      </c>
      <c r="AN2534">
        <v>0</v>
      </c>
      <c r="AO2534">
        <v>0</v>
      </c>
      <c r="AP2534">
        <v>0</v>
      </c>
      <c r="AQ2534">
        <v>0</v>
      </c>
      <c r="AR2534">
        <v>0</v>
      </c>
      <c r="AS2534">
        <v>0</v>
      </c>
      <c r="AT2534">
        <v>0</v>
      </c>
      <c r="AU2534">
        <f t="shared" si="78"/>
        <v>0</v>
      </c>
      <c r="AV2534">
        <f t="shared" si="79"/>
        <v>0</v>
      </c>
    </row>
    <row r="2535" spans="1:48" x14ac:dyDescent="0.25">
      <c r="A2535" t="s">
        <v>8742</v>
      </c>
      <c r="C2535" t="s">
        <v>8743</v>
      </c>
      <c r="D2535" t="s">
        <v>1577</v>
      </c>
      <c r="E2535" t="s">
        <v>2310</v>
      </c>
      <c r="F2535">
        <v>15</v>
      </c>
      <c r="G2535">
        <v>15.4</v>
      </c>
      <c r="H2535" t="s">
        <v>2323</v>
      </c>
      <c r="I2535" s="21">
        <v>39497</v>
      </c>
      <c r="J2535">
        <v>2008</v>
      </c>
      <c r="K2535" s="21">
        <v>39561</v>
      </c>
      <c r="L2535">
        <v>2008</v>
      </c>
      <c r="M2535" s="21">
        <v>40430.548935185201</v>
      </c>
      <c r="N2535">
        <v>2010</v>
      </c>
      <c r="R2535" s="262">
        <v>400000</v>
      </c>
      <c r="S2535" t="s">
        <v>114</v>
      </c>
      <c r="T2535" t="s">
        <v>114</v>
      </c>
      <c r="U2535">
        <v>5</v>
      </c>
      <c r="W2535">
        <v>2278</v>
      </c>
      <c r="X2535">
        <v>0</v>
      </c>
      <c r="Y2535">
        <v>0</v>
      </c>
      <c r="Z2535">
        <v>0</v>
      </c>
      <c r="AA2535">
        <v>0</v>
      </c>
      <c r="AB2535">
        <v>0</v>
      </c>
      <c r="AC2535">
        <v>2278</v>
      </c>
      <c r="AD2535">
        <v>0</v>
      </c>
      <c r="AE2535">
        <v>0</v>
      </c>
      <c r="AF2535">
        <v>0</v>
      </c>
      <c r="AG2535">
        <v>0</v>
      </c>
      <c r="AH2535">
        <v>0</v>
      </c>
      <c r="AI2535">
        <v>0</v>
      </c>
      <c r="AJ2535">
        <v>0</v>
      </c>
      <c r="AK2535">
        <v>0</v>
      </c>
      <c r="AL2535">
        <v>0</v>
      </c>
      <c r="AM2535">
        <v>0</v>
      </c>
      <c r="AN2535">
        <v>0</v>
      </c>
      <c r="AO2535">
        <v>0</v>
      </c>
      <c r="AP2535">
        <v>0</v>
      </c>
      <c r="AQ2535">
        <v>0</v>
      </c>
      <c r="AR2535">
        <v>0</v>
      </c>
      <c r="AS2535">
        <v>0</v>
      </c>
      <c r="AT2535">
        <v>0</v>
      </c>
      <c r="AU2535">
        <f t="shared" si="78"/>
        <v>0</v>
      </c>
      <c r="AV2535">
        <f t="shared" si="79"/>
        <v>0</v>
      </c>
    </row>
    <row r="2536" spans="1:48" x14ac:dyDescent="0.25">
      <c r="A2536" t="s">
        <v>8744</v>
      </c>
      <c r="C2536" t="s">
        <v>8745</v>
      </c>
      <c r="D2536" t="s">
        <v>8746</v>
      </c>
      <c r="E2536" t="s">
        <v>2310</v>
      </c>
      <c r="F2536">
        <v>9</v>
      </c>
      <c r="G2536">
        <v>9.4</v>
      </c>
      <c r="H2536" t="s">
        <v>2323</v>
      </c>
      <c r="I2536" s="21">
        <v>39497</v>
      </c>
      <c r="J2536">
        <v>2008</v>
      </c>
      <c r="K2536" s="21">
        <v>39542</v>
      </c>
      <c r="L2536">
        <v>2008</v>
      </c>
      <c r="M2536" s="21">
        <v>40122.647048611099</v>
      </c>
      <c r="N2536">
        <v>2009</v>
      </c>
      <c r="R2536" s="262">
        <v>1400000</v>
      </c>
      <c r="S2536" t="s">
        <v>114</v>
      </c>
      <c r="T2536" t="s">
        <v>114</v>
      </c>
      <c r="U2536">
        <v>5</v>
      </c>
      <c r="W2536">
        <v>5480</v>
      </c>
      <c r="X2536">
        <v>1</v>
      </c>
      <c r="Y2536">
        <v>0</v>
      </c>
      <c r="Z2536">
        <v>0</v>
      </c>
      <c r="AA2536">
        <v>0</v>
      </c>
      <c r="AB2536">
        <v>0</v>
      </c>
      <c r="AC2536">
        <v>5480</v>
      </c>
      <c r="AD2536">
        <v>0</v>
      </c>
      <c r="AE2536">
        <v>0</v>
      </c>
      <c r="AF2536">
        <v>0</v>
      </c>
      <c r="AG2536">
        <v>0</v>
      </c>
      <c r="AH2536">
        <v>0</v>
      </c>
      <c r="AI2536">
        <v>0</v>
      </c>
      <c r="AJ2536">
        <v>0</v>
      </c>
      <c r="AK2536">
        <v>0</v>
      </c>
      <c r="AL2536">
        <v>0</v>
      </c>
      <c r="AM2536">
        <v>0</v>
      </c>
      <c r="AN2536">
        <v>0</v>
      </c>
      <c r="AO2536">
        <v>1</v>
      </c>
      <c r="AP2536">
        <v>0</v>
      </c>
      <c r="AQ2536">
        <v>0</v>
      </c>
      <c r="AR2536">
        <v>0</v>
      </c>
      <c r="AS2536">
        <v>0</v>
      </c>
      <c r="AT2536">
        <v>0</v>
      </c>
      <c r="AU2536">
        <f t="shared" si="78"/>
        <v>1</v>
      </c>
      <c r="AV2536">
        <f t="shared" si="79"/>
        <v>0</v>
      </c>
    </row>
    <row r="2537" spans="1:48" x14ac:dyDescent="0.25">
      <c r="A2537" t="s">
        <v>8747</v>
      </c>
      <c r="C2537" t="s">
        <v>8748</v>
      </c>
      <c r="D2537" t="s">
        <v>8746</v>
      </c>
      <c r="E2537" t="s">
        <v>2310</v>
      </c>
      <c r="F2537">
        <v>9</v>
      </c>
      <c r="G2537">
        <v>9.4</v>
      </c>
      <c r="H2537" t="s">
        <v>2323</v>
      </c>
      <c r="I2537" s="21">
        <v>39497</v>
      </c>
      <c r="J2537">
        <v>2008</v>
      </c>
      <c r="K2537" s="21">
        <v>39542</v>
      </c>
      <c r="L2537">
        <v>2008</v>
      </c>
      <c r="M2537" s="21">
        <v>40122.651469907403</v>
      </c>
      <c r="N2537">
        <v>2009</v>
      </c>
      <c r="R2537" s="262">
        <v>300000</v>
      </c>
      <c r="S2537" t="s">
        <v>114</v>
      </c>
      <c r="T2537" t="s">
        <v>114</v>
      </c>
      <c r="U2537">
        <v>8</v>
      </c>
      <c r="W2537">
        <v>1447</v>
      </c>
      <c r="X2537">
        <v>1</v>
      </c>
      <c r="Y2537">
        <v>0</v>
      </c>
      <c r="Z2537">
        <v>0</v>
      </c>
      <c r="AA2537">
        <v>0</v>
      </c>
      <c r="AB2537">
        <v>0</v>
      </c>
      <c r="AC2537">
        <v>518</v>
      </c>
      <c r="AD2537">
        <v>0</v>
      </c>
      <c r="AE2537">
        <v>0</v>
      </c>
      <c r="AF2537">
        <v>929</v>
      </c>
      <c r="AG2537">
        <v>0</v>
      </c>
      <c r="AH2537">
        <v>0</v>
      </c>
      <c r="AI2537">
        <v>0</v>
      </c>
      <c r="AJ2537">
        <v>0</v>
      </c>
      <c r="AK2537">
        <v>0</v>
      </c>
      <c r="AL2537">
        <v>0</v>
      </c>
      <c r="AM2537">
        <v>0</v>
      </c>
      <c r="AN2537">
        <v>0</v>
      </c>
      <c r="AO2537">
        <v>0</v>
      </c>
      <c r="AP2537">
        <v>0</v>
      </c>
      <c r="AQ2537">
        <v>0</v>
      </c>
      <c r="AR2537">
        <v>1</v>
      </c>
      <c r="AS2537">
        <v>0</v>
      </c>
      <c r="AT2537">
        <v>0</v>
      </c>
      <c r="AU2537">
        <f t="shared" si="78"/>
        <v>0</v>
      </c>
      <c r="AV2537">
        <f t="shared" si="79"/>
        <v>0</v>
      </c>
    </row>
    <row r="2538" spans="1:48" x14ac:dyDescent="0.25">
      <c r="A2538" t="s">
        <v>8749</v>
      </c>
      <c r="C2538" t="s">
        <v>8750</v>
      </c>
      <c r="D2538" t="s">
        <v>3452</v>
      </c>
      <c r="E2538" t="s">
        <v>2310</v>
      </c>
      <c r="F2538">
        <v>9</v>
      </c>
      <c r="G2538">
        <v>9.3000000000000007</v>
      </c>
      <c r="H2538" t="s">
        <v>2323</v>
      </c>
      <c r="I2538" s="21">
        <v>39499</v>
      </c>
      <c r="J2538">
        <v>2008</v>
      </c>
      <c r="K2538" s="21">
        <v>39526</v>
      </c>
      <c r="L2538">
        <v>2008</v>
      </c>
      <c r="M2538" s="21">
        <v>39526</v>
      </c>
      <c r="N2538">
        <v>2008</v>
      </c>
      <c r="R2538" s="262">
        <v>15000</v>
      </c>
      <c r="S2538" t="s">
        <v>114</v>
      </c>
      <c r="T2538" t="s">
        <v>114</v>
      </c>
      <c r="U2538">
        <v>5</v>
      </c>
      <c r="W2538">
        <v>24</v>
      </c>
      <c r="X2538">
        <v>0</v>
      </c>
      <c r="Y2538">
        <v>0</v>
      </c>
      <c r="Z2538">
        <v>0</v>
      </c>
      <c r="AA2538">
        <v>0</v>
      </c>
      <c r="AB2538">
        <v>0</v>
      </c>
      <c r="AC2538">
        <v>24</v>
      </c>
      <c r="AD2538">
        <v>0</v>
      </c>
      <c r="AE2538">
        <v>0</v>
      </c>
      <c r="AF2538">
        <v>0</v>
      </c>
      <c r="AG2538">
        <v>0</v>
      </c>
      <c r="AH2538">
        <v>0</v>
      </c>
      <c r="AI2538">
        <v>0</v>
      </c>
      <c r="AJ2538">
        <v>0</v>
      </c>
      <c r="AK2538">
        <v>0</v>
      </c>
      <c r="AL2538">
        <v>0</v>
      </c>
      <c r="AM2538">
        <v>0</v>
      </c>
      <c r="AN2538">
        <v>0</v>
      </c>
      <c r="AO2538">
        <v>0</v>
      </c>
      <c r="AP2538">
        <v>0</v>
      </c>
      <c r="AQ2538">
        <v>0</v>
      </c>
      <c r="AR2538">
        <v>0</v>
      </c>
      <c r="AS2538">
        <v>0</v>
      </c>
      <c r="AT2538">
        <v>0</v>
      </c>
      <c r="AU2538">
        <f t="shared" si="78"/>
        <v>0</v>
      </c>
      <c r="AV2538">
        <f t="shared" si="79"/>
        <v>0</v>
      </c>
    </row>
    <row r="2539" spans="1:48" x14ac:dyDescent="0.25">
      <c r="A2539" t="s">
        <v>8751</v>
      </c>
      <c r="C2539" t="s">
        <v>8752</v>
      </c>
      <c r="D2539" t="s">
        <v>1585</v>
      </c>
      <c r="E2539" t="s">
        <v>2310</v>
      </c>
      <c r="F2539">
        <v>9</v>
      </c>
      <c r="G2539">
        <v>9.1999999999999993</v>
      </c>
      <c r="H2539" t="s">
        <v>2022</v>
      </c>
      <c r="I2539" s="21">
        <v>39503</v>
      </c>
      <c r="J2539">
        <v>2008</v>
      </c>
      <c r="K2539" s="21">
        <v>39574</v>
      </c>
      <c r="L2539">
        <v>2008</v>
      </c>
      <c r="M2539" s="21">
        <v>39805</v>
      </c>
      <c r="N2539">
        <v>2008</v>
      </c>
      <c r="R2539" s="262">
        <v>275000</v>
      </c>
      <c r="S2539" t="s">
        <v>114</v>
      </c>
      <c r="T2539" t="s">
        <v>114</v>
      </c>
      <c r="U2539">
        <v>4</v>
      </c>
      <c r="W2539">
        <v>2852</v>
      </c>
      <c r="X2539">
        <v>0</v>
      </c>
      <c r="Y2539">
        <v>0</v>
      </c>
      <c r="Z2539">
        <v>0</v>
      </c>
      <c r="AA2539">
        <v>0</v>
      </c>
      <c r="AB2539">
        <v>2852</v>
      </c>
      <c r="AC2539">
        <v>0</v>
      </c>
      <c r="AD2539">
        <v>0</v>
      </c>
      <c r="AE2539">
        <v>0</v>
      </c>
      <c r="AF2539">
        <v>0</v>
      </c>
      <c r="AG2539">
        <v>0</v>
      </c>
      <c r="AH2539">
        <v>0</v>
      </c>
      <c r="AI2539">
        <v>0</v>
      </c>
      <c r="AJ2539">
        <v>0</v>
      </c>
      <c r="AK2539">
        <v>0</v>
      </c>
      <c r="AL2539">
        <v>0</v>
      </c>
      <c r="AM2539">
        <v>0</v>
      </c>
      <c r="AN2539">
        <v>0</v>
      </c>
      <c r="AO2539">
        <v>0</v>
      </c>
      <c r="AP2539">
        <v>0</v>
      </c>
      <c r="AQ2539">
        <v>0</v>
      </c>
      <c r="AR2539">
        <v>0</v>
      </c>
      <c r="AS2539">
        <v>0</v>
      </c>
      <c r="AT2539">
        <v>0</v>
      </c>
      <c r="AU2539">
        <f t="shared" si="78"/>
        <v>0</v>
      </c>
      <c r="AV2539">
        <f t="shared" si="79"/>
        <v>2852</v>
      </c>
    </row>
    <row r="2540" spans="1:48" x14ac:dyDescent="0.25">
      <c r="A2540" t="s">
        <v>8753</v>
      </c>
      <c r="C2540" t="s">
        <v>8754</v>
      </c>
      <c r="D2540" t="s">
        <v>8755</v>
      </c>
      <c r="E2540" t="s">
        <v>2310</v>
      </c>
      <c r="F2540">
        <v>9</v>
      </c>
      <c r="G2540">
        <v>9.3000000000000007</v>
      </c>
      <c r="H2540" t="s">
        <v>2323</v>
      </c>
      <c r="I2540" s="21">
        <v>39504</v>
      </c>
      <c r="J2540">
        <v>2008</v>
      </c>
      <c r="K2540" s="21">
        <v>39595</v>
      </c>
      <c r="L2540">
        <v>2008</v>
      </c>
      <c r="M2540" s="21">
        <v>40148.469988425903</v>
      </c>
      <c r="N2540">
        <v>2009</v>
      </c>
      <c r="R2540" s="262">
        <v>1760000</v>
      </c>
      <c r="S2540" t="s">
        <v>114</v>
      </c>
      <c r="T2540" t="s">
        <v>114</v>
      </c>
      <c r="U2540">
        <v>5</v>
      </c>
      <c r="W2540">
        <v>5224</v>
      </c>
      <c r="X2540">
        <v>1</v>
      </c>
      <c r="Y2540">
        <v>0</v>
      </c>
      <c r="Z2540">
        <v>0</v>
      </c>
      <c r="AA2540">
        <v>0</v>
      </c>
      <c r="AB2540">
        <v>0</v>
      </c>
      <c r="AC2540">
        <v>5224</v>
      </c>
      <c r="AD2540">
        <v>0</v>
      </c>
      <c r="AE2540">
        <v>0</v>
      </c>
      <c r="AF2540">
        <v>0</v>
      </c>
      <c r="AG2540">
        <v>0</v>
      </c>
      <c r="AH2540">
        <v>0</v>
      </c>
      <c r="AI2540">
        <v>0</v>
      </c>
      <c r="AJ2540">
        <v>0</v>
      </c>
      <c r="AK2540">
        <v>0</v>
      </c>
      <c r="AL2540">
        <v>0</v>
      </c>
      <c r="AM2540">
        <v>0</v>
      </c>
      <c r="AN2540">
        <v>0</v>
      </c>
      <c r="AO2540">
        <v>1</v>
      </c>
      <c r="AP2540">
        <v>0</v>
      </c>
      <c r="AQ2540">
        <v>0</v>
      </c>
      <c r="AR2540">
        <v>0</v>
      </c>
      <c r="AS2540">
        <v>0</v>
      </c>
      <c r="AT2540">
        <v>0</v>
      </c>
      <c r="AU2540">
        <f t="shared" si="78"/>
        <v>1</v>
      </c>
      <c r="AV2540">
        <f t="shared" si="79"/>
        <v>0</v>
      </c>
    </row>
    <row r="2541" spans="1:48" x14ac:dyDescent="0.25">
      <c r="A2541" t="s">
        <v>8756</v>
      </c>
      <c r="C2541" t="s">
        <v>8757</v>
      </c>
      <c r="D2541" t="s">
        <v>8758</v>
      </c>
      <c r="E2541" t="s">
        <v>2310</v>
      </c>
      <c r="F2541">
        <v>8</v>
      </c>
      <c r="G2541">
        <v>8.3000000000000007</v>
      </c>
      <c r="H2541" t="s">
        <v>2323</v>
      </c>
      <c r="I2541" s="21">
        <v>39507</v>
      </c>
      <c r="J2541">
        <v>2008</v>
      </c>
      <c r="K2541" s="21">
        <v>39596</v>
      </c>
      <c r="L2541">
        <v>2008</v>
      </c>
      <c r="M2541" s="21">
        <v>40490.637175925898</v>
      </c>
      <c r="N2541">
        <v>2010</v>
      </c>
      <c r="R2541" s="262">
        <v>1000</v>
      </c>
      <c r="S2541" t="s">
        <v>114</v>
      </c>
      <c r="T2541" t="s">
        <v>114</v>
      </c>
      <c r="U2541">
        <v>5</v>
      </c>
      <c r="W2541">
        <v>5751</v>
      </c>
      <c r="X2541">
        <v>1</v>
      </c>
      <c r="Y2541">
        <v>0</v>
      </c>
      <c r="Z2541">
        <v>0</v>
      </c>
      <c r="AA2541">
        <v>0</v>
      </c>
      <c r="AB2541">
        <v>0</v>
      </c>
      <c r="AC2541">
        <v>5751</v>
      </c>
      <c r="AD2541">
        <v>0</v>
      </c>
      <c r="AE2541">
        <v>0</v>
      </c>
      <c r="AF2541">
        <v>0</v>
      </c>
      <c r="AG2541">
        <v>0</v>
      </c>
      <c r="AH2541">
        <v>0</v>
      </c>
      <c r="AI2541">
        <v>0</v>
      </c>
      <c r="AJ2541">
        <v>0</v>
      </c>
      <c r="AK2541">
        <v>0</v>
      </c>
      <c r="AL2541">
        <v>0</v>
      </c>
      <c r="AM2541">
        <v>0</v>
      </c>
      <c r="AN2541">
        <v>0</v>
      </c>
      <c r="AO2541">
        <v>1</v>
      </c>
      <c r="AP2541">
        <v>0</v>
      </c>
      <c r="AQ2541">
        <v>0</v>
      </c>
      <c r="AR2541">
        <v>0</v>
      </c>
      <c r="AS2541">
        <v>0</v>
      </c>
      <c r="AT2541">
        <v>0</v>
      </c>
      <c r="AU2541">
        <f t="shared" si="78"/>
        <v>1</v>
      </c>
      <c r="AV2541">
        <f t="shared" si="79"/>
        <v>0</v>
      </c>
    </row>
    <row r="2542" spans="1:48" x14ac:dyDescent="0.25">
      <c r="A2542" t="s">
        <v>8759</v>
      </c>
      <c r="C2542" t="s">
        <v>8760</v>
      </c>
      <c r="D2542" t="s">
        <v>2664</v>
      </c>
      <c r="E2542" t="s">
        <v>2310</v>
      </c>
      <c r="F2542">
        <v>12</v>
      </c>
      <c r="G2542">
        <v>12.2</v>
      </c>
      <c r="H2542" t="s">
        <v>2017</v>
      </c>
      <c r="I2542" s="21">
        <v>39510</v>
      </c>
      <c r="J2542">
        <v>2008</v>
      </c>
      <c r="K2542" s="21">
        <v>39542</v>
      </c>
      <c r="L2542">
        <v>2008</v>
      </c>
      <c r="M2542" s="21">
        <v>39931</v>
      </c>
      <c r="N2542">
        <v>2009</v>
      </c>
      <c r="R2542" s="262">
        <v>12000</v>
      </c>
      <c r="S2542" t="s">
        <v>114</v>
      </c>
      <c r="T2542" t="s">
        <v>114</v>
      </c>
      <c r="U2542">
        <v>5</v>
      </c>
      <c r="W2542">
        <v>0</v>
      </c>
      <c r="X2542">
        <v>0</v>
      </c>
      <c r="Y2542">
        <v>0</v>
      </c>
      <c r="Z2542">
        <v>0</v>
      </c>
      <c r="AA2542">
        <v>0</v>
      </c>
      <c r="AB2542">
        <v>0</v>
      </c>
      <c r="AC2542">
        <v>0</v>
      </c>
      <c r="AD2542">
        <v>0</v>
      </c>
      <c r="AE2542">
        <v>0</v>
      </c>
      <c r="AF2542">
        <v>0</v>
      </c>
      <c r="AG2542">
        <v>0</v>
      </c>
      <c r="AH2542">
        <v>0</v>
      </c>
      <c r="AI2542">
        <v>0</v>
      </c>
      <c r="AJ2542">
        <v>0</v>
      </c>
      <c r="AK2542">
        <v>0</v>
      </c>
      <c r="AL2542">
        <v>0</v>
      </c>
      <c r="AM2542">
        <v>0</v>
      </c>
      <c r="AN2542">
        <v>0</v>
      </c>
      <c r="AO2542">
        <v>0</v>
      </c>
      <c r="AP2542">
        <v>0</v>
      </c>
      <c r="AQ2542">
        <v>0</v>
      </c>
      <c r="AR2542">
        <v>0</v>
      </c>
      <c r="AS2542">
        <v>0</v>
      </c>
      <c r="AT2542">
        <v>0</v>
      </c>
      <c r="AU2542">
        <f t="shared" si="78"/>
        <v>0</v>
      </c>
      <c r="AV2542">
        <f t="shared" si="79"/>
        <v>0</v>
      </c>
    </row>
    <row r="2543" spans="1:48" x14ac:dyDescent="0.25">
      <c r="A2543" t="s">
        <v>8761</v>
      </c>
      <c r="C2543" t="s">
        <v>8762</v>
      </c>
      <c r="D2543" t="s">
        <v>2664</v>
      </c>
      <c r="E2543" t="s">
        <v>2310</v>
      </c>
      <c r="F2543">
        <v>12</v>
      </c>
      <c r="G2543">
        <v>12.2</v>
      </c>
      <c r="H2543" t="s">
        <v>2017</v>
      </c>
      <c r="I2543" s="21">
        <v>39510</v>
      </c>
      <c r="J2543">
        <v>2008</v>
      </c>
      <c r="K2543" s="21">
        <v>39528</v>
      </c>
      <c r="L2543">
        <v>2008</v>
      </c>
      <c r="M2543" s="21">
        <v>39931</v>
      </c>
      <c r="N2543">
        <v>2009</v>
      </c>
      <c r="R2543" s="262">
        <v>35000</v>
      </c>
      <c r="S2543" t="s">
        <v>114</v>
      </c>
      <c r="T2543" t="s">
        <v>114</v>
      </c>
      <c r="U2543">
        <v>5</v>
      </c>
      <c r="W2543">
        <v>87</v>
      </c>
      <c r="X2543">
        <v>0</v>
      </c>
      <c r="Y2543">
        <v>0</v>
      </c>
      <c r="Z2543">
        <v>0</v>
      </c>
      <c r="AA2543">
        <v>0</v>
      </c>
      <c r="AB2543">
        <v>0</v>
      </c>
      <c r="AC2543">
        <v>87</v>
      </c>
      <c r="AD2543">
        <v>0</v>
      </c>
      <c r="AE2543">
        <v>0</v>
      </c>
      <c r="AF2543">
        <v>0</v>
      </c>
      <c r="AG2543">
        <v>0</v>
      </c>
      <c r="AH2543">
        <v>0</v>
      </c>
      <c r="AI2543">
        <v>0</v>
      </c>
      <c r="AJ2543">
        <v>0</v>
      </c>
      <c r="AK2543">
        <v>0</v>
      </c>
      <c r="AL2543">
        <v>0</v>
      </c>
      <c r="AM2543">
        <v>0</v>
      </c>
      <c r="AN2543">
        <v>0</v>
      </c>
      <c r="AO2543">
        <v>0</v>
      </c>
      <c r="AP2543">
        <v>0</v>
      </c>
      <c r="AQ2543">
        <v>0</v>
      </c>
      <c r="AR2543">
        <v>0</v>
      </c>
      <c r="AS2543">
        <v>0</v>
      </c>
      <c r="AT2543">
        <v>0</v>
      </c>
      <c r="AU2543">
        <f t="shared" si="78"/>
        <v>0</v>
      </c>
      <c r="AV2543">
        <f t="shared" si="79"/>
        <v>0</v>
      </c>
    </row>
    <row r="2544" spans="1:48" x14ac:dyDescent="0.25">
      <c r="A2544" t="s">
        <v>8766</v>
      </c>
      <c r="C2544" t="s">
        <v>8767</v>
      </c>
      <c r="D2544" t="s">
        <v>8768</v>
      </c>
      <c r="E2544" t="s">
        <v>2310</v>
      </c>
      <c r="F2544">
        <v>10</v>
      </c>
      <c r="G2544">
        <v>10.1</v>
      </c>
      <c r="H2544" t="s">
        <v>2323</v>
      </c>
      <c r="I2544" s="21">
        <v>39511</v>
      </c>
      <c r="J2544">
        <v>2008</v>
      </c>
      <c r="K2544" s="21">
        <v>39531</v>
      </c>
      <c r="L2544">
        <v>2008</v>
      </c>
      <c r="M2544" s="21">
        <v>39863</v>
      </c>
      <c r="N2544">
        <v>2009</v>
      </c>
      <c r="R2544" s="262">
        <v>125000</v>
      </c>
      <c r="S2544" t="s">
        <v>114</v>
      </c>
      <c r="T2544" t="s">
        <v>114</v>
      </c>
      <c r="U2544">
        <v>5</v>
      </c>
      <c r="W2544">
        <v>1256</v>
      </c>
      <c r="X2544">
        <v>1</v>
      </c>
      <c r="Y2544">
        <v>0</v>
      </c>
      <c r="Z2544">
        <v>0</v>
      </c>
      <c r="AA2544">
        <v>0</v>
      </c>
      <c r="AB2544">
        <v>0</v>
      </c>
      <c r="AC2544">
        <v>1256</v>
      </c>
      <c r="AD2544">
        <v>0</v>
      </c>
      <c r="AE2544">
        <v>0</v>
      </c>
      <c r="AF2544">
        <v>0</v>
      </c>
      <c r="AG2544">
        <v>0</v>
      </c>
      <c r="AH2544">
        <v>0</v>
      </c>
      <c r="AI2544">
        <v>0</v>
      </c>
      <c r="AJ2544">
        <v>0</v>
      </c>
      <c r="AK2544">
        <v>0</v>
      </c>
      <c r="AL2544">
        <v>0</v>
      </c>
      <c r="AM2544">
        <v>0</v>
      </c>
      <c r="AN2544">
        <v>0</v>
      </c>
      <c r="AO2544">
        <v>1</v>
      </c>
      <c r="AP2544">
        <v>0</v>
      </c>
      <c r="AQ2544">
        <v>0</v>
      </c>
      <c r="AR2544">
        <v>0</v>
      </c>
      <c r="AS2544">
        <v>0</v>
      </c>
      <c r="AT2544">
        <v>0</v>
      </c>
      <c r="AU2544">
        <f t="shared" si="78"/>
        <v>1</v>
      </c>
      <c r="AV2544">
        <f t="shared" si="79"/>
        <v>0</v>
      </c>
    </row>
    <row r="2545" spans="1:48" x14ac:dyDescent="0.25">
      <c r="A2545" t="s">
        <v>8769</v>
      </c>
      <c r="C2545" t="s">
        <v>8770</v>
      </c>
      <c r="D2545" t="s">
        <v>8771</v>
      </c>
      <c r="E2545" t="s">
        <v>2310</v>
      </c>
      <c r="F2545">
        <v>10</v>
      </c>
      <c r="G2545">
        <v>10.1</v>
      </c>
      <c r="H2545" t="s">
        <v>2323</v>
      </c>
      <c r="I2545" s="21">
        <v>39511</v>
      </c>
      <c r="J2545">
        <v>2008</v>
      </c>
      <c r="K2545" s="21">
        <v>39531</v>
      </c>
      <c r="L2545">
        <v>2008</v>
      </c>
      <c r="M2545" s="21">
        <v>39622</v>
      </c>
      <c r="N2545">
        <v>2008</v>
      </c>
      <c r="R2545" s="262">
        <v>125000</v>
      </c>
      <c r="S2545" t="s">
        <v>114</v>
      </c>
      <c r="T2545" t="s">
        <v>114</v>
      </c>
      <c r="U2545">
        <v>5</v>
      </c>
      <c r="W2545">
        <v>1184</v>
      </c>
      <c r="X2545">
        <v>1</v>
      </c>
      <c r="Y2545">
        <v>0</v>
      </c>
      <c r="Z2545">
        <v>0</v>
      </c>
      <c r="AA2545">
        <v>0</v>
      </c>
      <c r="AB2545">
        <v>0</v>
      </c>
      <c r="AC2545">
        <v>1184</v>
      </c>
      <c r="AD2545">
        <v>0</v>
      </c>
      <c r="AE2545">
        <v>0</v>
      </c>
      <c r="AF2545">
        <v>0</v>
      </c>
      <c r="AG2545">
        <v>0</v>
      </c>
      <c r="AH2545">
        <v>0</v>
      </c>
      <c r="AI2545">
        <v>0</v>
      </c>
      <c r="AJ2545">
        <v>0</v>
      </c>
      <c r="AK2545">
        <v>0</v>
      </c>
      <c r="AL2545">
        <v>0</v>
      </c>
      <c r="AM2545">
        <v>0</v>
      </c>
      <c r="AN2545">
        <v>0</v>
      </c>
      <c r="AO2545">
        <v>1</v>
      </c>
      <c r="AP2545">
        <v>0</v>
      </c>
      <c r="AQ2545">
        <v>0</v>
      </c>
      <c r="AR2545">
        <v>0</v>
      </c>
      <c r="AS2545">
        <v>0</v>
      </c>
      <c r="AT2545">
        <v>0</v>
      </c>
      <c r="AU2545">
        <f t="shared" si="78"/>
        <v>1</v>
      </c>
      <c r="AV2545">
        <f t="shared" si="79"/>
        <v>0</v>
      </c>
    </row>
    <row r="2546" spans="1:48" x14ac:dyDescent="0.25">
      <c r="A2546" t="s">
        <v>8772</v>
      </c>
      <c r="C2546" t="s">
        <v>8773</v>
      </c>
      <c r="D2546" t="s">
        <v>8774</v>
      </c>
      <c r="E2546" t="s">
        <v>2310</v>
      </c>
      <c r="F2546">
        <v>10</v>
      </c>
      <c r="G2546">
        <v>10.1</v>
      </c>
      <c r="H2546" t="s">
        <v>2323</v>
      </c>
      <c r="I2546" s="21">
        <v>39511</v>
      </c>
      <c r="J2546">
        <v>2008</v>
      </c>
      <c r="K2546" s="21">
        <v>39532</v>
      </c>
      <c r="L2546">
        <v>2008</v>
      </c>
      <c r="M2546" s="21">
        <v>39910</v>
      </c>
      <c r="N2546">
        <v>2009</v>
      </c>
      <c r="R2546" s="262">
        <v>125000</v>
      </c>
      <c r="S2546" t="s">
        <v>114</v>
      </c>
      <c r="T2546" t="s">
        <v>114</v>
      </c>
      <c r="U2546">
        <v>5</v>
      </c>
      <c r="W2546">
        <v>1256</v>
      </c>
      <c r="X2546">
        <v>1</v>
      </c>
      <c r="Y2546">
        <v>0</v>
      </c>
      <c r="Z2546">
        <v>0</v>
      </c>
      <c r="AA2546">
        <v>0</v>
      </c>
      <c r="AB2546">
        <v>0</v>
      </c>
      <c r="AC2546">
        <v>1256</v>
      </c>
      <c r="AD2546">
        <v>0</v>
      </c>
      <c r="AE2546">
        <v>0</v>
      </c>
      <c r="AF2546">
        <v>0</v>
      </c>
      <c r="AG2546">
        <v>0</v>
      </c>
      <c r="AH2546">
        <v>0</v>
      </c>
      <c r="AI2546">
        <v>0</v>
      </c>
      <c r="AJ2546">
        <v>0</v>
      </c>
      <c r="AK2546">
        <v>0</v>
      </c>
      <c r="AL2546">
        <v>0</v>
      </c>
      <c r="AM2546">
        <v>0</v>
      </c>
      <c r="AN2546">
        <v>0</v>
      </c>
      <c r="AO2546">
        <v>1</v>
      </c>
      <c r="AP2546">
        <v>0</v>
      </c>
      <c r="AQ2546">
        <v>0</v>
      </c>
      <c r="AR2546">
        <v>0</v>
      </c>
      <c r="AS2546">
        <v>0</v>
      </c>
      <c r="AT2546">
        <v>0</v>
      </c>
      <c r="AU2546">
        <f t="shared" si="78"/>
        <v>1</v>
      </c>
      <c r="AV2546">
        <f t="shared" si="79"/>
        <v>0</v>
      </c>
    </row>
    <row r="2547" spans="1:48" x14ac:dyDescent="0.25">
      <c r="A2547" t="s">
        <v>8763</v>
      </c>
      <c r="C2547" t="s">
        <v>8764</v>
      </c>
      <c r="D2547" t="s">
        <v>8765</v>
      </c>
      <c r="E2547" t="s">
        <v>1663</v>
      </c>
      <c r="F2547">
        <v>2</v>
      </c>
      <c r="G2547">
        <v>2.2999999999999998</v>
      </c>
      <c r="H2547" t="s">
        <v>2327</v>
      </c>
      <c r="I2547" s="21">
        <v>39511</v>
      </c>
      <c r="J2547">
        <v>2008</v>
      </c>
      <c r="K2547" s="21">
        <v>39542</v>
      </c>
      <c r="L2547">
        <v>2008</v>
      </c>
      <c r="M2547" s="21">
        <v>39695</v>
      </c>
      <c r="N2547">
        <v>2008</v>
      </c>
      <c r="Q2547" s="262">
        <v>0</v>
      </c>
      <c r="S2547" t="s">
        <v>114</v>
      </c>
      <c r="T2547" t="s">
        <v>114</v>
      </c>
      <c r="W2547">
        <v>900</v>
      </c>
      <c r="X2547">
        <v>0</v>
      </c>
      <c r="Y2547">
        <v>0</v>
      </c>
      <c r="Z2547">
        <v>0</v>
      </c>
      <c r="AA2547">
        <v>0</v>
      </c>
      <c r="AB2547">
        <v>0</v>
      </c>
      <c r="AC2547">
        <v>0</v>
      </c>
      <c r="AD2547">
        <v>0</v>
      </c>
      <c r="AE2547">
        <v>0</v>
      </c>
      <c r="AF2547">
        <v>0</v>
      </c>
      <c r="AG2547">
        <v>0</v>
      </c>
      <c r="AH2547">
        <v>0</v>
      </c>
      <c r="AI2547">
        <v>900</v>
      </c>
      <c r="AJ2547">
        <v>0</v>
      </c>
      <c r="AK2547">
        <v>0</v>
      </c>
      <c r="AL2547">
        <v>0</v>
      </c>
      <c r="AM2547">
        <v>0</v>
      </c>
      <c r="AN2547">
        <v>0</v>
      </c>
      <c r="AO2547">
        <v>0</v>
      </c>
      <c r="AP2547">
        <v>0</v>
      </c>
      <c r="AQ2547">
        <v>0</v>
      </c>
      <c r="AR2547">
        <v>0</v>
      </c>
      <c r="AS2547">
        <v>0</v>
      </c>
      <c r="AT2547">
        <v>0</v>
      </c>
      <c r="AU2547">
        <f t="shared" si="78"/>
        <v>0</v>
      </c>
      <c r="AV2547">
        <f t="shared" si="79"/>
        <v>900</v>
      </c>
    </row>
    <row r="2548" spans="1:48" x14ac:dyDescent="0.25">
      <c r="A2548" t="s">
        <v>8775</v>
      </c>
      <c r="C2548" t="s">
        <v>8776</v>
      </c>
      <c r="D2548" t="s">
        <v>8777</v>
      </c>
      <c r="E2548" t="s">
        <v>2310</v>
      </c>
      <c r="F2548">
        <v>9</v>
      </c>
      <c r="G2548">
        <v>9.4</v>
      </c>
      <c r="H2548" t="s">
        <v>2323</v>
      </c>
      <c r="I2548" s="21">
        <v>39512</v>
      </c>
      <c r="J2548">
        <v>2008</v>
      </c>
      <c r="K2548" s="21">
        <v>39542</v>
      </c>
      <c r="L2548">
        <v>2008</v>
      </c>
      <c r="M2548" s="21">
        <v>40025.599189814799</v>
      </c>
      <c r="N2548">
        <v>2009</v>
      </c>
      <c r="R2548" s="262">
        <v>1500000</v>
      </c>
      <c r="S2548" t="s">
        <v>114</v>
      </c>
      <c r="T2548" t="s">
        <v>114</v>
      </c>
      <c r="U2548">
        <v>5</v>
      </c>
      <c r="W2548">
        <v>5930</v>
      </c>
      <c r="X2548">
        <v>1</v>
      </c>
      <c r="Y2548">
        <v>0</v>
      </c>
      <c r="Z2548">
        <v>0</v>
      </c>
      <c r="AA2548">
        <v>0</v>
      </c>
      <c r="AB2548">
        <v>0</v>
      </c>
      <c r="AC2548">
        <v>5930</v>
      </c>
      <c r="AD2548">
        <v>0</v>
      </c>
      <c r="AE2548">
        <v>0</v>
      </c>
      <c r="AF2548">
        <v>0</v>
      </c>
      <c r="AG2548">
        <v>0</v>
      </c>
      <c r="AH2548">
        <v>0</v>
      </c>
      <c r="AI2548">
        <v>0</v>
      </c>
      <c r="AJ2548">
        <v>0</v>
      </c>
      <c r="AK2548">
        <v>0</v>
      </c>
      <c r="AL2548">
        <v>0</v>
      </c>
      <c r="AM2548">
        <v>0</v>
      </c>
      <c r="AN2548">
        <v>0</v>
      </c>
      <c r="AO2548">
        <v>1</v>
      </c>
      <c r="AP2548">
        <v>0</v>
      </c>
      <c r="AQ2548">
        <v>0</v>
      </c>
      <c r="AR2548">
        <v>0</v>
      </c>
      <c r="AS2548">
        <v>0</v>
      </c>
      <c r="AT2548">
        <v>0</v>
      </c>
      <c r="AU2548">
        <f t="shared" si="78"/>
        <v>1</v>
      </c>
      <c r="AV2548">
        <f t="shared" si="79"/>
        <v>0</v>
      </c>
    </row>
    <row r="2549" spans="1:48" x14ac:dyDescent="0.25">
      <c r="A2549" t="s">
        <v>8778</v>
      </c>
      <c r="C2549" t="s">
        <v>8779</v>
      </c>
      <c r="D2549" t="s">
        <v>8780</v>
      </c>
      <c r="E2549" t="s">
        <v>2310</v>
      </c>
      <c r="F2549">
        <v>9</v>
      </c>
      <c r="G2549">
        <v>9.3000000000000007</v>
      </c>
      <c r="H2549" t="s">
        <v>2323</v>
      </c>
      <c r="I2549" s="21">
        <v>39513</v>
      </c>
      <c r="J2549">
        <v>2008</v>
      </c>
      <c r="K2549" s="21">
        <v>39644</v>
      </c>
      <c r="L2549">
        <v>2008</v>
      </c>
      <c r="M2549" s="21">
        <v>40469.365173611099</v>
      </c>
      <c r="N2549">
        <v>2010</v>
      </c>
      <c r="R2549" s="262">
        <v>2600000</v>
      </c>
      <c r="S2549" t="s">
        <v>114</v>
      </c>
      <c r="T2549" t="s">
        <v>114</v>
      </c>
      <c r="U2549">
        <v>5</v>
      </c>
      <c r="W2549">
        <v>7680</v>
      </c>
      <c r="X2549">
        <v>1</v>
      </c>
      <c r="Y2549">
        <v>0</v>
      </c>
      <c r="Z2549">
        <v>0</v>
      </c>
      <c r="AA2549">
        <v>0</v>
      </c>
      <c r="AB2549">
        <v>0</v>
      </c>
      <c r="AC2549">
        <v>7680</v>
      </c>
      <c r="AD2549">
        <v>0</v>
      </c>
      <c r="AE2549">
        <v>0</v>
      </c>
      <c r="AF2549">
        <v>0</v>
      </c>
      <c r="AG2549">
        <v>0</v>
      </c>
      <c r="AH2549">
        <v>0</v>
      </c>
      <c r="AI2549">
        <v>0</v>
      </c>
      <c r="AJ2549">
        <v>0</v>
      </c>
      <c r="AK2549">
        <v>0</v>
      </c>
      <c r="AL2549">
        <v>0</v>
      </c>
      <c r="AM2549">
        <v>0</v>
      </c>
      <c r="AN2549">
        <v>0</v>
      </c>
      <c r="AO2549">
        <v>1</v>
      </c>
      <c r="AP2549">
        <v>0</v>
      </c>
      <c r="AQ2549">
        <v>0</v>
      </c>
      <c r="AR2549">
        <v>0</v>
      </c>
      <c r="AS2549">
        <v>0</v>
      </c>
      <c r="AT2549">
        <v>0</v>
      </c>
      <c r="AU2549">
        <f t="shared" si="78"/>
        <v>1</v>
      </c>
      <c r="AV2549">
        <f t="shared" si="79"/>
        <v>0</v>
      </c>
    </row>
    <row r="2550" spans="1:48" x14ac:dyDescent="0.25">
      <c r="A2550" t="s">
        <v>8781</v>
      </c>
      <c r="C2550" t="s">
        <v>8782</v>
      </c>
      <c r="D2550" t="s">
        <v>8783</v>
      </c>
      <c r="E2550" t="s">
        <v>2310</v>
      </c>
      <c r="F2550">
        <v>13</v>
      </c>
      <c r="G2550">
        <v>13.2</v>
      </c>
      <c r="H2550" t="s">
        <v>2327</v>
      </c>
      <c r="I2550" s="21">
        <v>39517</v>
      </c>
      <c r="J2550">
        <v>2008</v>
      </c>
      <c r="K2550" s="21">
        <v>39603</v>
      </c>
      <c r="L2550">
        <v>2008</v>
      </c>
      <c r="M2550" s="21">
        <v>40430.581828703696</v>
      </c>
      <c r="N2550">
        <v>2010</v>
      </c>
      <c r="R2550" s="262">
        <v>1260000</v>
      </c>
      <c r="S2550" t="s">
        <v>114</v>
      </c>
      <c r="T2550" t="s">
        <v>114</v>
      </c>
      <c r="U2550">
        <v>5</v>
      </c>
      <c r="W2550">
        <v>3979</v>
      </c>
      <c r="X2550">
        <v>1</v>
      </c>
      <c r="Y2550">
        <v>0</v>
      </c>
      <c r="Z2550">
        <v>0</v>
      </c>
      <c r="AA2550">
        <v>0</v>
      </c>
      <c r="AB2550">
        <v>0</v>
      </c>
      <c r="AC2550">
        <v>3979</v>
      </c>
      <c r="AD2550">
        <v>0</v>
      </c>
      <c r="AE2550">
        <v>0</v>
      </c>
      <c r="AF2550">
        <v>0</v>
      </c>
      <c r="AG2550">
        <v>0</v>
      </c>
      <c r="AH2550">
        <v>0</v>
      </c>
      <c r="AI2550">
        <v>0</v>
      </c>
      <c r="AJ2550">
        <v>0</v>
      </c>
      <c r="AK2550">
        <v>0</v>
      </c>
      <c r="AL2550">
        <v>0</v>
      </c>
      <c r="AM2550">
        <v>0</v>
      </c>
      <c r="AN2550">
        <v>0</v>
      </c>
      <c r="AO2550">
        <v>1</v>
      </c>
      <c r="AP2550">
        <v>0</v>
      </c>
      <c r="AQ2550">
        <v>0</v>
      </c>
      <c r="AR2550">
        <v>0</v>
      </c>
      <c r="AS2550">
        <v>0</v>
      </c>
      <c r="AT2550">
        <v>0</v>
      </c>
      <c r="AU2550">
        <f t="shared" si="78"/>
        <v>1</v>
      </c>
      <c r="AV2550">
        <f t="shared" si="79"/>
        <v>0</v>
      </c>
    </row>
    <row r="2551" spans="1:48" x14ac:dyDescent="0.25">
      <c r="A2551" t="s">
        <v>8784</v>
      </c>
      <c r="C2551" t="s">
        <v>8785</v>
      </c>
      <c r="D2551" t="s">
        <v>8786</v>
      </c>
      <c r="E2551" t="s">
        <v>2310</v>
      </c>
      <c r="F2551">
        <v>13</v>
      </c>
      <c r="G2551">
        <v>13.2</v>
      </c>
      <c r="H2551" t="s">
        <v>2327</v>
      </c>
      <c r="I2551" s="21">
        <v>39517</v>
      </c>
      <c r="J2551">
        <v>2008</v>
      </c>
      <c r="K2551" s="21">
        <v>39604</v>
      </c>
      <c r="L2551">
        <v>2008</v>
      </c>
      <c r="M2551" s="21">
        <v>40373.488206018497</v>
      </c>
      <c r="N2551">
        <v>2010</v>
      </c>
      <c r="R2551" s="262">
        <v>1260000</v>
      </c>
      <c r="S2551" t="s">
        <v>114</v>
      </c>
      <c r="T2551" t="s">
        <v>114</v>
      </c>
      <c r="U2551">
        <v>5</v>
      </c>
      <c r="W2551">
        <v>3979</v>
      </c>
      <c r="X2551">
        <v>1</v>
      </c>
      <c r="Y2551">
        <v>0</v>
      </c>
      <c r="Z2551">
        <v>0</v>
      </c>
      <c r="AA2551">
        <v>0</v>
      </c>
      <c r="AB2551">
        <v>0</v>
      </c>
      <c r="AC2551">
        <v>3979</v>
      </c>
      <c r="AD2551">
        <v>0</v>
      </c>
      <c r="AE2551">
        <v>0</v>
      </c>
      <c r="AF2551">
        <v>0</v>
      </c>
      <c r="AG2551">
        <v>0</v>
      </c>
      <c r="AH2551">
        <v>0</v>
      </c>
      <c r="AI2551">
        <v>0</v>
      </c>
      <c r="AJ2551">
        <v>0</v>
      </c>
      <c r="AK2551">
        <v>0</v>
      </c>
      <c r="AL2551">
        <v>0</v>
      </c>
      <c r="AM2551">
        <v>0</v>
      </c>
      <c r="AN2551">
        <v>0</v>
      </c>
      <c r="AO2551">
        <v>1</v>
      </c>
      <c r="AP2551">
        <v>0</v>
      </c>
      <c r="AQ2551">
        <v>0</v>
      </c>
      <c r="AR2551">
        <v>0</v>
      </c>
      <c r="AS2551">
        <v>0</v>
      </c>
      <c r="AT2551">
        <v>0</v>
      </c>
      <c r="AU2551">
        <f t="shared" si="78"/>
        <v>1</v>
      </c>
      <c r="AV2551">
        <f t="shared" si="79"/>
        <v>0</v>
      </c>
    </row>
    <row r="2552" spans="1:48" x14ac:dyDescent="0.25">
      <c r="A2552" t="s">
        <v>8787</v>
      </c>
      <c r="C2552" t="s">
        <v>8788</v>
      </c>
      <c r="D2552" t="s">
        <v>8726</v>
      </c>
      <c r="E2552" t="s">
        <v>2310</v>
      </c>
      <c r="F2552">
        <v>13</v>
      </c>
      <c r="G2552">
        <v>13.2</v>
      </c>
      <c r="H2552" t="s">
        <v>2327</v>
      </c>
      <c r="I2552" s="21">
        <v>39518</v>
      </c>
      <c r="J2552">
        <v>2008</v>
      </c>
      <c r="K2552" s="21">
        <v>39604</v>
      </c>
      <c r="L2552">
        <v>2008</v>
      </c>
      <c r="M2552" s="21">
        <v>40365.464270833298</v>
      </c>
      <c r="N2552">
        <v>2010</v>
      </c>
      <c r="R2552" s="262">
        <v>1260000</v>
      </c>
      <c r="S2552" t="s">
        <v>114</v>
      </c>
      <c r="T2552" t="s">
        <v>114</v>
      </c>
      <c r="U2552">
        <v>5</v>
      </c>
      <c r="W2552">
        <v>3979</v>
      </c>
      <c r="X2552">
        <v>1</v>
      </c>
      <c r="Y2552">
        <v>0</v>
      </c>
      <c r="Z2552">
        <v>0</v>
      </c>
      <c r="AA2552">
        <v>0</v>
      </c>
      <c r="AB2552">
        <v>0</v>
      </c>
      <c r="AC2552">
        <v>3979</v>
      </c>
      <c r="AD2552">
        <v>0</v>
      </c>
      <c r="AE2552">
        <v>0</v>
      </c>
      <c r="AF2552">
        <v>0</v>
      </c>
      <c r="AG2552">
        <v>0</v>
      </c>
      <c r="AH2552">
        <v>0</v>
      </c>
      <c r="AI2552">
        <v>0</v>
      </c>
      <c r="AJ2552">
        <v>0</v>
      </c>
      <c r="AK2552">
        <v>0</v>
      </c>
      <c r="AL2552">
        <v>0</v>
      </c>
      <c r="AM2552">
        <v>0</v>
      </c>
      <c r="AN2552">
        <v>0</v>
      </c>
      <c r="AO2552">
        <v>1</v>
      </c>
      <c r="AP2552">
        <v>0</v>
      </c>
      <c r="AQ2552">
        <v>0</v>
      </c>
      <c r="AR2552">
        <v>0</v>
      </c>
      <c r="AS2552">
        <v>0</v>
      </c>
      <c r="AT2552">
        <v>0</v>
      </c>
      <c r="AU2552">
        <f t="shared" si="78"/>
        <v>1</v>
      </c>
      <c r="AV2552">
        <f t="shared" si="79"/>
        <v>0</v>
      </c>
    </row>
    <row r="2553" spans="1:48" x14ac:dyDescent="0.25">
      <c r="A2553" t="s">
        <v>8789</v>
      </c>
      <c r="C2553" t="s">
        <v>8790</v>
      </c>
      <c r="D2553" t="s">
        <v>8726</v>
      </c>
      <c r="E2553" t="s">
        <v>2310</v>
      </c>
      <c r="F2553">
        <v>13</v>
      </c>
      <c r="G2553">
        <v>13.2</v>
      </c>
      <c r="H2553" t="s">
        <v>2327</v>
      </c>
      <c r="I2553" s="21">
        <v>39518</v>
      </c>
      <c r="J2553">
        <v>2008</v>
      </c>
      <c r="K2553" s="21">
        <v>39604</v>
      </c>
      <c r="L2553">
        <v>2008</v>
      </c>
      <c r="M2553" s="21">
        <v>40386.628923611097</v>
      </c>
      <c r="N2553">
        <v>2010</v>
      </c>
      <c r="R2553" s="262">
        <v>1260000</v>
      </c>
      <c r="S2553" t="s">
        <v>114</v>
      </c>
      <c r="T2553" t="s">
        <v>114</v>
      </c>
      <c r="U2553">
        <v>5</v>
      </c>
      <c r="W2553">
        <v>3979</v>
      </c>
      <c r="X2553">
        <v>1</v>
      </c>
      <c r="Y2553">
        <v>0</v>
      </c>
      <c r="Z2553">
        <v>0</v>
      </c>
      <c r="AA2553">
        <v>0</v>
      </c>
      <c r="AB2553">
        <v>0</v>
      </c>
      <c r="AC2553">
        <v>3979</v>
      </c>
      <c r="AD2553">
        <v>0</v>
      </c>
      <c r="AE2553">
        <v>0</v>
      </c>
      <c r="AF2553">
        <v>0</v>
      </c>
      <c r="AG2553">
        <v>0</v>
      </c>
      <c r="AH2553">
        <v>0</v>
      </c>
      <c r="AI2553">
        <v>0</v>
      </c>
      <c r="AJ2553">
        <v>0</v>
      </c>
      <c r="AK2553">
        <v>0</v>
      </c>
      <c r="AL2553">
        <v>0</v>
      </c>
      <c r="AM2553">
        <v>0</v>
      </c>
      <c r="AN2553">
        <v>0</v>
      </c>
      <c r="AO2553">
        <v>1</v>
      </c>
      <c r="AP2553">
        <v>0</v>
      </c>
      <c r="AQ2553">
        <v>0</v>
      </c>
      <c r="AR2553">
        <v>0</v>
      </c>
      <c r="AS2553">
        <v>0</v>
      </c>
      <c r="AT2553">
        <v>0</v>
      </c>
      <c r="AU2553">
        <f t="shared" si="78"/>
        <v>1</v>
      </c>
      <c r="AV2553">
        <f t="shared" si="79"/>
        <v>0</v>
      </c>
    </row>
    <row r="2554" spans="1:48" x14ac:dyDescent="0.25">
      <c r="A2554" t="s">
        <v>8791</v>
      </c>
      <c r="C2554" t="s">
        <v>8792</v>
      </c>
      <c r="D2554" t="s">
        <v>8793</v>
      </c>
      <c r="E2554" t="s">
        <v>2310</v>
      </c>
      <c r="F2554">
        <v>13</v>
      </c>
      <c r="G2554">
        <v>13.2</v>
      </c>
      <c r="H2554" t="s">
        <v>2327</v>
      </c>
      <c r="I2554" s="21">
        <v>39518</v>
      </c>
      <c r="J2554">
        <v>2008</v>
      </c>
      <c r="K2554" s="21">
        <v>39604</v>
      </c>
      <c r="L2554">
        <v>2008</v>
      </c>
      <c r="M2554" s="21">
        <v>40406.448506944398</v>
      </c>
      <c r="N2554">
        <v>2010</v>
      </c>
      <c r="R2554" s="262">
        <v>1260000</v>
      </c>
      <c r="S2554" t="s">
        <v>114</v>
      </c>
      <c r="T2554" t="s">
        <v>114</v>
      </c>
      <c r="U2554">
        <v>5</v>
      </c>
      <c r="W2554">
        <v>3979</v>
      </c>
      <c r="X2554">
        <v>1</v>
      </c>
      <c r="Y2554">
        <v>0</v>
      </c>
      <c r="Z2554">
        <v>0</v>
      </c>
      <c r="AA2554">
        <v>0</v>
      </c>
      <c r="AB2554">
        <v>0</v>
      </c>
      <c r="AC2554">
        <v>3979</v>
      </c>
      <c r="AD2554">
        <v>0</v>
      </c>
      <c r="AE2554">
        <v>0</v>
      </c>
      <c r="AF2554">
        <v>0</v>
      </c>
      <c r="AG2554">
        <v>0</v>
      </c>
      <c r="AH2554">
        <v>0</v>
      </c>
      <c r="AI2554">
        <v>0</v>
      </c>
      <c r="AJ2554">
        <v>0</v>
      </c>
      <c r="AK2554">
        <v>0</v>
      </c>
      <c r="AL2554">
        <v>0</v>
      </c>
      <c r="AM2554">
        <v>0</v>
      </c>
      <c r="AN2554">
        <v>0</v>
      </c>
      <c r="AO2554">
        <v>1</v>
      </c>
      <c r="AP2554">
        <v>0</v>
      </c>
      <c r="AQ2554">
        <v>0</v>
      </c>
      <c r="AR2554">
        <v>0</v>
      </c>
      <c r="AS2554">
        <v>0</v>
      </c>
      <c r="AT2554">
        <v>0</v>
      </c>
      <c r="AU2554">
        <f t="shared" si="78"/>
        <v>1</v>
      </c>
      <c r="AV2554">
        <f t="shared" si="79"/>
        <v>0</v>
      </c>
    </row>
    <row r="2555" spans="1:48" x14ac:dyDescent="0.25">
      <c r="A2555" t="s">
        <v>8794</v>
      </c>
      <c r="C2555" t="s">
        <v>8779</v>
      </c>
      <c r="D2555" t="s">
        <v>8795</v>
      </c>
      <c r="E2555" t="s">
        <v>2310</v>
      </c>
      <c r="F2555">
        <v>9</v>
      </c>
      <c r="G2555">
        <v>9.3000000000000007</v>
      </c>
      <c r="H2555" t="s">
        <v>2323</v>
      </c>
      <c r="I2555" s="21">
        <v>39518</v>
      </c>
      <c r="J2555">
        <v>2008</v>
      </c>
      <c r="K2555" s="21">
        <v>39597</v>
      </c>
      <c r="L2555">
        <v>2008</v>
      </c>
      <c r="M2555" s="21">
        <v>40163.558414351799</v>
      </c>
      <c r="N2555">
        <v>2009</v>
      </c>
      <c r="R2555" s="262">
        <v>2500000</v>
      </c>
      <c r="S2555" t="s">
        <v>114</v>
      </c>
      <c r="T2555" t="s">
        <v>114</v>
      </c>
      <c r="U2555">
        <v>5</v>
      </c>
      <c r="W2555">
        <v>7397</v>
      </c>
      <c r="X2555">
        <v>1</v>
      </c>
      <c r="Y2555">
        <v>0</v>
      </c>
      <c r="Z2555">
        <v>0</v>
      </c>
      <c r="AA2555">
        <v>0</v>
      </c>
      <c r="AB2555">
        <v>0</v>
      </c>
      <c r="AC2555">
        <v>7397</v>
      </c>
      <c r="AD2555">
        <v>0</v>
      </c>
      <c r="AE2555">
        <v>0</v>
      </c>
      <c r="AF2555">
        <v>0</v>
      </c>
      <c r="AG2555">
        <v>0</v>
      </c>
      <c r="AH2555">
        <v>0</v>
      </c>
      <c r="AI2555">
        <v>0</v>
      </c>
      <c r="AJ2555">
        <v>0</v>
      </c>
      <c r="AK2555">
        <v>0</v>
      </c>
      <c r="AL2555">
        <v>0</v>
      </c>
      <c r="AM2555">
        <v>0</v>
      </c>
      <c r="AN2555">
        <v>0</v>
      </c>
      <c r="AO2555">
        <v>1</v>
      </c>
      <c r="AP2555">
        <v>0</v>
      </c>
      <c r="AQ2555">
        <v>0</v>
      </c>
      <c r="AR2555">
        <v>0</v>
      </c>
      <c r="AS2555">
        <v>0</v>
      </c>
      <c r="AT2555">
        <v>0</v>
      </c>
      <c r="AU2555">
        <f t="shared" si="78"/>
        <v>1</v>
      </c>
      <c r="AV2555">
        <f t="shared" si="79"/>
        <v>0</v>
      </c>
    </row>
    <row r="2556" spans="1:48" x14ac:dyDescent="0.25">
      <c r="A2556" t="s">
        <v>8802</v>
      </c>
      <c r="C2556" t="s">
        <v>8803</v>
      </c>
      <c r="D2556" t="s">
        <v>3542</v>
      </c>
      <c r="E2556" t="s">
        <v>2310</v>
      </c>
      <c r="F2556">
        <v>13</v>
      </c>
      <c r="G2556">
        <v>13.2</v>
      </c>
      <c r="H2556" t="s">
        <v>2327</v>
      </c>
      <c r="I2556" s="21">
        <v>39519</v>
      </c>
      <c r="J2556">
        <v>2008</v>
      </c>
      <c r="K2556" s="21">
        <v>39561</v>
      </c>
      <c r="L2556">
        <v>2008</v>
      </c>
      <c r="M2556" s="21">
        <v>39805</v>
      </c>
      <c r="N2556">
        <v>2008</v>
      </c>
      <c r="R2556" s="262">
        <v>30000</v>
      </c>
      <c r="S2556" t="s">
        <v>114</v>
      </c>
      <c r="T2556" t="s">
        <v>114</v>
      </c>
      <c r="U2556">
        <v>5</v>
      </c>
      <c r="W2556">
        <v>231</v>
      </c>
      <c r="X2556">
        <v>0</v>
      </c>
      <c r="Y2556">
        <v>0</v>
      </c>
      <c r="Z2556">
        <v>0</v>
      </c>
      <c r="AA2556">
        <v>0</v>
      </c>
      <c r="AB2556">
        <v>0</v>
      </c>
      <c r="AC2556">
        <v>231</v>
      </c>
      <c r="AD2556">
        <v>0</v>
      </c>
      <c r="AE2556">
        <v>0</v>
      </c>
      <c r="AF2556">
        <v>0</v>
      </c>
      <c r="AG2556">
        <v>0</v>
      </c>
      <c r="AH2556">
        <v>0</v>
      </c>
      <c r="AI2556">
        <v>0</v>
      </c>
      <c r="AJ2556">
        <v>0</v>
      </c>
      <c r="AK2556">
        <v>0</v>
      </c>
      <c r="AL2556">
        <v>0</v>
      </c>
      <c r="AM2556">
        <v>0</v>
      </c>
      <c r="AN2556">
        <v>0</v>
      </c>
      <c r="AO2556">
        <v>0</v>
      </c>
      <c r="AP2556">
        <v>0</v>
      </c>
      <c r="AQ2556">
        <v>0</v>
      </c>
      <c r="AR2556">
        <v>0</v>
      </c>
      <c r="AS2556">
        <v>0</v>
      </c>
      <c r="AT2556">
        <v>0</v>
      </c>
      <c r="AU2556">
        <f t="shared" si="78"/>
        <v>0</v>
      </c>
      <c r="AV2556">
        <f t="shared" si="79"/>
        <v>0</v>
      </c>
    </row>
    <row r="2557" spans="1:48" x14ac:dyDescent="0.25">
      <c r="A2557" t="s">
        <v>8804</v>
      </c>
      <c r="C2557" t="s">
        <v>8805</v>
      </c>
      <c r="D2557" t="s">
        <v>8806</v>
      </c>
      <c r="E2557" t="s">
        <v>2310</v>
      </c>
      <c r="F2557">
        <v>13</v>
      </c>
      <c r="G2557">
        <v>13.2</v>
      </c>
      <c r="H2557" t="s">
        <v>2327</v>
      </c>
      <c r="I2557" s="21">
        <v>39519</v>
      </c>
      <c r="J2557">
        <v>2008</v>
      </c>
      <c r="K2557" s="21">
        <v>39561</v>
      </c>
      <c r="L2557">
        <v>2008</v>
      </c>
      <c r="M2557" s="21">
        <v>39876</v>
      </c>
      <c r="N2557">
        <v>2009</v>
      </c>
      <c r="R2557" s="262">
        <v>109000</v>
      </c>
      <c r="S2557" t="s">
        <v>114</v>
      </c>
      <c r="T2557" t="s">
        <v>114</v>
      </c>
      <c r="U2557">
        <v>5</v>
      </c>
      <c r="W2557">
        <v>649</v>
      </c>
      <c r="X2557">
        <v>0</v>
      </c>
      <c r="Y2557">
        <v>0</v>
      </c>
      <c r="Z2557">
        <v>0</v>
      </c>
      <c r="AA2557">
        <v>0</v>
      </c>
      <c r="AB2557">
        <v>0</v>
      </c>
      <c r="AC2557">
        <v>649</v>
      </c>
      <c r="AD2557">
        <v>0</v>
      </c>
      <c r="AE2557">
        <v>0</v>
      </c>
      <c r="AF2557">
        <v>0</v>
      </c>
      <c r="AG2557">
        <v>0</v>
      </c>
      <c r="AH2557">
        <v>0</v>
      </c>
      <c r="AI2557">
        <v>0</v>
      </c>
      <c r="AJ2557">
        <v>0</v>
      </c>
      <c r="AK2557">
        <v>0</v>
      </c>
      <c r="AL2557">
        <v>0</v>
      </c>
      <c r="AM2557">
        <v>0</v>
      </c>
      <c r="AN2557">
        <v>0</v>
      </c>
      <c r="AO2557">
        <v>0</v>
      </c>
      <c r="AP2557">
        <v>0</v>
      </c>
      <c r="AQ2557">
        <v>0</v>
      </c>
      <c r="AR2557">
        <v>0</v>
      </c>
      <c r="AS2557">
        <v>0</v>
      </c>
      <c r="AT2557">
        <v>0</v>
      </c>
      <c r="AU2557">
        <f t="shared" si="78"/>
        <v>0</v>
      </c>
      <c r="AV2557">
        <f t="shared" si="79"/>
        <v>0</v>
      </c>
    </row>
    <row r="2558" spans="1:48" x14ac:dyDescent="0.25">
      <c r="A2558" t="s">
        <v>8807</v>
      </c>
      <c r="C2558" t="s">
        <v>8808</v>
      </c>
      <c r="D2558" t="s">
        <v>5377</v>
      </c>
      <c r="E2558" t="s">
        <v>2310</v>
      </c>
      <c r="F2558">
        <v>9</v>
      </c>
      <c r="G2558">
        <v>9.1999999999999993</v>
      </c>
      <c r="H2558" t="s">
        <v>2022</v>
      </c>
      <c r="I2558" s="21">
        <v>39519</v>
      </c>
      <c r="J2558">
        <v>2008</v>
      </c>
      <c r="K2558" s="21">
        <v>39547</v>
      </c>
      <c r="L2558">
        <v>2008</v>
      </c>
      <c r="M2558" s="21">
        <v>40086.579837963</v>
      </c>
      <c r="N2558">
        <v>2009</v>
      </c>
      <c r="R2558" s="262">
        <v>1000000</v>
      </c>
      <c r="S2558" t="s">
        <v>114</v>
      </c>
      <c r="T2558" t="s">
        <v>114</v>
      </c>
      <c r="U2558">
        <v>5</v>
      </c>
      <c r="W2558">
        <v>5681</v>
      </c>
      <c r="X2558">
        <v>1</v>
      </c>
      <c r="Y2558">
        <v>0</v>
      </c>
      <c r="Z2558">
        <v>0</v>
      </c>
      <c r="AA2558">
        <v>0</v>
      </c>
      <c r="AB2558">
        <v>0</v>
      </c>
      <c r="AC2558">
        <v>5681</v>
      </c>
      <c r="AD2558">
        <v>0</v>
      </c>
      <c r="AE2558">
        <v>0</v>
      </c>
      <c r="AF2558">
        <v>0</v>
      </c>
      <c r="AG2558">
        <v>0</v>
      </c>
      <c r="AH2558">
        <v>0</v>
      </c>
      <c r="AI2558">
        <v>0</v>
      </c>
      <c r="AJ2558">
        <v>0</v>
      </c>
      <c r="AK2558">
        <v>0</v>
      </c>
      <c r="AL2558">
        <v>0</v>
      </c>
      <c r="AM2558">
        <v>0</v>
      </c>
      <c r="AN2558">
        <v>0</v>
      </c>
      <c r="AO2558">
        <v>1</v>
      </c>
      <c r="AP2558">
        <v>0</v>
      </c>
      <c r="AQ2558">
        <v>0</v>
      </c>
      <c r="AR2558">
        <v>0</v>
      </c>
      <c r="AS2558">
        <v>0</v>
      </c>
      <c r="AT2558">
        <v>0</v>
      </c>
      <c r="AU2558">
        <f t="shared" si="78"/>
        <v>1</v>
      </c>
      <c r="AV2558">
        <f t="shared" si="79"/>
        <v>0</v>
      </c>
    </row>
    <row r="2559" spans="1:48" x14ac:dyDescent="0.25">
      <c r="A2559" t="s">
        <v>8809</v>
      </c>
      <c r="C2559" t="s">
        <v>8810</v>
      </c>
      <c r="D2559" t="s">
        <v>5377</v>
      </c>
      <c r="E2559" t="s">
        <v>2310</v>
      </c>
      <c r="F2559">
        <v>9</v>
      </c>
      <c r="G2559">
        <v>9.1999999999999993</v>
      </c>
      <c r="H2559" t="s">
        <v>2022</v>
      </c>
      <c r="I2559" s="21">
        <v>39519</v>
      </c>
      <c r="J2559">
        <v>2008</v>
      </c>
      <c r="K2559" s="21">
        <v>39519</v>
      </c>
      <c r="L2559">
        <v>2008</v>
      </c>
      <c r="M2559" s="21">
        <v>40112.396585648101</v>
      </c>
      <c r="N2559">
        <v>2009</v>
      </c>
      <c r="R2559" s="262">
        <v>200000</v>
      </c>
      <c r="S2559" t="s">
        <v>114</v>
      </c>
      <c r="T2559" t="s">
        <v>114</v>
      </c>
      <c r="U2559">
        <v>5</v>
      </c>
      <c r="W2559">
        <v>1000</v>
      </c>
      <c r="X2559">
        <v>0</v>
      </c>
      <c r="Y2559">
        <v>0</v>
      </c>
      <c r="Z2559">
        <v>0</v>
      </c>
      <c r="AA2559">
        <v>0</v>
      </c>
      <c r="AB2559">
        <v>0</v>
      </c>
      <c r="AC2559">
        <v>1000</v>
      </c>
      <c r="AD2559">
        <v>0</v>
      </c>
      <c r="AE2559">
        <v>0</v>
      </c>
      <c r="AF2559">
        <v>0</v>
      </c>
      <c r="AG2559">
        <v>0</v>
      </c>
      <c r="AH2559">
        <v>0</v>
      </c>
      <c r="AI2559">
        <v>0</v>
      </c>
      <c r="AJ2559">
        <v>0</v>
      </c>
      <c r="AK2559">
        <v>0</v>
      </c>
      <c r="AL2559">
        <v>0</v>
      </c>
      <c r="AM2559">
        <v>0</v>
      </c>
      <c r="AN2559">
        <v>0</v>
      </c>
      <c r="AO2559">
        <v>0</v>
      </c>
      <c r="AP2559">
        <v>0</v>
      </c>
      <c r="AQ2559">
        <v>0</v>
      </c>
      <c r="AR2559">
        <v>0</v>
      </c>
      <c r="AS2559">
        <v>0</v>
      </c>
      <c r="AT2559">
        <v>0</v>
      </c>
      <c r="AU2559">
        <f t="shared" si="78"/>
        <v>0</v>
      </c>
      <c r="AV2559">
        <f t="shared" si="79"/>
        <v>0</v>
      </c>
    </row>
    <row r="2560" spans="1:48" x14ac:dyDescent="0.25">
      <c r="A2560" t="s">
        <v>8799</v>
      </c>
      <c r="C2560" t="s">
        <v>8800</v>
      </c>
      <c r="D2560" t="s">
        <v>8801</v>
      </c>
      <c r="E2560" t="s">
        <v>1663</v>
      </c>
      <c r="F2560">
        <v>4</v>
      </c>
      <c r="G2560">
        <v>4.0999999999999996</v>
      </c>
      <c r="H2560" t="s">
        <v>2327</v>
      </c>
      <c r="I2560" s="21">
        <v>39519</v>
      </c>
      <c r="J2560">
        <v>2008</v>
      </c>
      <c r="K2560" s="21">
        <v>39550</v>
      </c>
      <c r="L2560">
        <v>2008</v>
      </c>
      <c r="M2560" s="21">
        <v>39703</v>
      </c>
      <c r="N2560">
        <v>2008</v>
      </c>
      <c r="Q2560" s="262">
        <v>0</v>
      </c>
      <c r="S2560" t="s">
        <v>114</v>
      </c>
      <c r="T2560" t="s">
        <v>114</v>
      </c>
      <c r="W2560">
        <v>15000</v>
      </c>
      <c r="X2560">
        <v>2</v>
      </c>
      <c r="Y2560">
        <v>0</v>
      </c>
      <c r="Z2560">
        <v>0</v>
      </c>
      <c r="AA2560">
        <v>0</v>
      </c>
      <c r="AB2560">
        <v>0</v>
      </c>
      <c r="AC2560">
        <v>0</v>
      </c>
      <c r="AD2560">
        <v>0</v>
      </c>
      <c r="AE2560">
        <v>2000</v>
      </c>
      <c r="AF2560">
        <v>0</v>
      </c>
      <c r="AG2560">
        <v>0</v>
      </c>
      <c r="AH2560">
        <v>0</v>
      </c>
      <c r="AI2560">
        <v>0</v>
      </c>
      <c r="AJ2560">
        <v>13000</v>
      </c>
      <c r="AK2560">
        <v>0</v>
      </c>
      <c r="AL2560">
        <v>0</v>
      </c>
      <c r="AM2560">
        <v>0</v>
      </c>
      <c r="AN2560">
        <v>0</v>
      </c>
      <c r="AO2560">
        <v>0</v>
      </c>
      <c r="AP2560">
        <v>0</v>
      </c>
      <c r="AQ2560">
        <v>2</v>
      </c>
      <c r="AR2560">
        <v>0</v>
      </c>
      <c r="AS2560">
        <v>0</v>
      </c>
      <c r="AT2560">
        <v>0</v>
      </c>
      <c r="AU2560">
        <f t="shared" si="78"/>
        <v>2</v>
      </c>
      <c r="AV2560">
        <f t="shared" si="79"/>
        <v>13000</v>
      </c>
    </row>
    <row r="2561" spans="1:48" x14ac:dyDescent="0.25">
      <c r="A2561" t="s">
        <v>8796</v>
      </c>
      <c r="C2561" t="s">
        <v>8797</v>
      </c>
      <c r="D2561" t="s">
        <v>8798</v>
      </c>
      <c r="E2561" t="s">
        <v>1663</v>
      </c>
      <c r="F2561">
        <v>2</v>
      </c>
      <c r="G2561">
        <v>2.2999999999999998</v>
      </c>
      <c r="H2561" t="s">
        <v>2327</v>
      </c>
      <c r="I2561" s="21">
        <v>39519</v>
      </c>
      <c r="J2561">
        <v>2008</v>
      </c>
      <c r="K2561" s="21">
        <v>39550</v>
      </c>
      <c r="L2561">
        <v>2008</v>
      </c>
      <c r="M2561" s="21">
        <v>39703</v>
      </c>
      <c r="N2561">
        <v>2008</v>
      </c>
      <c r="Q2561" s="262">
        <v>0</v>
      </c>
      <c r="S2561" t="s">
        <v>114</v>
      </c>
      <c r="T2561" t="s">
        <v>114</v>
      </c>
      <c r="W2561">
        <v>44060</v>
      </c>
      <c r="X2561">
        <v>15</v>
      </c>
      <c r="Y2561">
        <v>0</v>
      </c>
      <c r="Z2561">
        <v>0</v>
      </c>
      <c r="AA2561">
        <v>0</v>
      </c>
      <c r="AB2561">
        <v>0</v>
      </c>
      <c r="AC2561">
        <v>0</v>
      </c>
      <c r="AD2561">
        <v>37610</v>
      </c>
      <c r="AE2561">
        <v>0</v>
      </c>
      <c r="AF2561">
        <v>0</v>
      </c>
      <c r="AG2561">
        <v>0</v>
      </c>
      <c r="AH2561">
        <v>0</v>
      </c>
      <c r="AI2561">
        <v>0</v>
      </c>
      <c r="AJ2561">
        <v>800</v>
      </c>
      <c r="AK2561">
        <v>5650</v>
      </c>
      <c r="AL2561">
        <v>0</v>
      </c>
      <c r="AM2561">
        <v>0</v>
      </c>
      <c r="AN2561">
        <v>0</v>
      </c>
      <c r="AO2561">
        <v>0</v>
      </c>
      <c r="AP2561">
        <v>15</v>
      </c>
      <c r="AQ2561">
        <v>0</v>
      </c>
      <c r="AR2561">
        <v>0</v>
      </c>
      <c r="AS2561">
        <v>0</v>
      </c>
      <c r="AT2561">
        <v>0</v>
      </c>
      <c r="AU2561">
        <f t="shared" si="78"/>
        <v>15</v>
      </c>
      <c r="AV2561">
        <f t="shared" si="79"/>
        <v>6450</v>
      </c>
    </row>
    <row r="2562" spans="1:48" x14ac:dyDescent="0.25">
      <c r="A2562" t="s">
        <v>8811</v>
      </c>
      <c r="C2562" t="s">
        <v>8812</v>
      </c>
      <c r="D2562" t="s">
        <v>8813</v>
      </c>
      <c r="E2562" t="s">
        <v>2310</v>
      </c>
      <c r="F2562">
        <v>10</v>
      </c>
      <c r="G2562">
        <v>10.1</v>
      </c>
      <c r="H2562" t="s">
        <v>2323</v>
      </c>
      <c r="I2562" s="21">
        <v>39520</v>
      </c>
      <c r="J2562">
        <v>2008</v>
      </c>
      <c r="K2562" s="21">
        <v>39552</v>
      </c>
      <c r="L2562">
        <v>2008</v>
      </c>
      <c r="M2562" s="21">
        <v>40217.476134259297</v>
      </c>
      <c r="N2562">
        <v>2010</v>
      </c>
      <c r="R2562" s="262">
        <v>475000</v>
      </c>
      <c r="S2562" t="s">
        <v>114</v>
      </c>
      <c r="T2562" t="s">
        <v>114</v>
      </c>
      <c r="U2562">
        <v>5</v>
      </c>
      <c r="W2562">
        <v>4607</v>
      </c>
      <c r="X2562">
        <v>1</v>
      </c>
      <c r="Y2562">
        <v>0</v>
      </c>
      <c r="Z2562">
        <v>0</v>
      </c>
      <c r="AA2562">
        <v>0</v>
      </c>
      <c r="AB2562">
        <v>0</v>
      </c>
      <c r="AC2562">
        <v>4607</v>
      </c>
      <c r="AD2562">
        <v>0</v>
      </c>
      <c r="AE2562">
        <v>0</v>
      </c>
      <c r="AF2562">
        <v>0</v>
      </c>
      <c r="AG2562">
        <v>0</v>
      </c>
      <c r="AH2562">
        <v>0</v>
      </c>
      <c r="AI2562">
        <v>0</v>
      </c>
      <c r="AJ2562">
        <v>0</v>
      </c>
      <c r="AK2562">
        <v>0</v>
      </c>
      <c r="AL2562">
        <v>0</v>
      </c>
      <c r="AM2562">
        <v>0</v>
      </c>
      <c r="AN2562">
        <v>0</v>
      </c>
      <c r="AO2562">
        <v>1</v>
      </c>
      <c r="AP2562">
        <v>0</v>
      </c>
      <c r="AQ2562">
        <v>0</v>
      </c>
      <c r="AR2562">
        <v>0</v>
      </c>
      <c r="AS2562">
        <v>0</v>
      </c>
      <c r="AT2562">
        <v>0</v>
      </c>
      <c r="AU2562">
        <f t="shared" si="78"/>
        <v>1</v>
      </c>
      <c r="AV2562">
        <f t="shared" si="79"/>
        <v>0</v>
      </c>
    </row>
    <row r="2563" spans="1:48" x14ac:dyDescent="0.25">
      <c r="A2563" t="s">
        <v>8814</v>
      </c>
      <c r="C2563" t="s">
        <v>8815</v>
      </c>
      <c r="D2563" t="s">
        <v>8816</v>
      </c>
      <c r="E2563" t="s">
        <v>2310</v>
      </c>
      <c r="F2563">
        <v>9</v>
      </c>
      <c r="G2563">
        <v>9.1999999999999993</v>
      </c>
      <c r="H2563" t="s">
        <v>2022</v>
      </c>
      <c r="I2563" s="21">
        <v>39520</v>
      </c>
      <c r="J2563">
        <v>2008</v>
      </c>
      <c r="K2563" s="21">
        <v>39556</v>
      </c>
      <c r="L2563">
        <v>2008</v>
      </c>
      <c r="M2563" s="21">
        <v>40240.441655092603</v>
      </c>
      <c r="N2563">
        <v>2010</v>
      </c>
      <c r="R2563" s="262">
        <v>1400000</v>
      </c>
      <c r="S2563" t="s">
        <v>114</v>
      </c>
      <c r="T2563" t="s">
        <v>114</v>
      </c>
      <c r="U2563">
        <v>5</v>
      </c>
      <c r="W2563">
        <v>6511</v>
      </c>
      <c r="X2563">
        <v>1</v>
      </c>
      <c r="Y2563">
        <v>0</v>
      </c>
      <c r="Z2563">
        <v>0</v>
      </c>
      <c r="AA2563">
        <v>0</v>
      </c>
      <c r="AB2563">
        <v>0</v>
      </c>
      <c r="AC2563">
        <v>6511</v>
      </c>
      <c r="AD2563">
        <v>0</v>
      </c>
      <c r="AE2563">
        <v>0</v>
      </c>
      <c r="AF2563">
        <v>0</v>
      </c>
      <c r="AG2563">
        <v>0</v>
      </c>
      <c r="AH2563">
        <v>0</v>
      </c>
      <c r="AI2563">
        <v>0</v>
      </c>
      <c r="AJ2563">
        <v>0</v>
      </c>
      <c r="AK2563">
        <v>0</v>
      </c>
      <c r="AL2563">
        <v>0</v>
      </c>
      <c r="AM2563">
        <v>0</v>
      </c>
      <c r="AN2563">
        <v>0</v>
      </c>
      <c r="AO2563">
        <v>1</v>
      </c>
      <c r="AP2563">
        <v>0</v>
      </c>
      <c r="AQ2563">
        <v>0</v>
      </c>
      <c r="AR2563">
        <v>0</v>
      </c>
      <c r="AS2563">
        <v>0</v>
      </c>
      <c r="AT2563">
        <v>0</v>
      </c>
      <c r="AU2563">
        <f t="shared" si="78"/>
        <v>1</v>
      </c>
      <c r="AV2563">
        <f t="shared" si="79"/>
        <v>0</v>
      </c>
    </row>
    <row r="2564" spans="1:48" x14ac:dyDescent="0.25">
      <c r="A2564" t="s">
        <v>8817</v>
      </c>
      <c r="C2564" t="s">
        <v>8818</v>
      </c>
      <c r="D2564" t="s">
        <v>8819</v>
      </c>
      <c r="E2564" t="s">
        <v>2310</v>
      </c>
      <c r="F2564">
        <v>8</v>
      </c>
      <c r="G2564">
        <v>8.3000000000000007</v>
      </c>
      <c r="H2564" t="s">
        <v>2323</v>
      </c>
      <c r="I2564" s="21">
        <v>39521</v>
      </c>
      <c r="J2564">
        <v>2008</v>
      </c>
      <c r="K2564" s="21">
        <v>39540</v>
      </c>
      <c r="L2564">
        <v>2008</v>
      </c>
      <c r="M2564" s="21">
        <v>39646</v>
      </c>
      <c r="N2564">
        <v>2008</v>
      </c>
      <c r="R2564" s="262">
        <v>36000</v>
      </c>
      <c r="S2564" t="s">
        <v>114</v>
      </c>
      <c r="T2564" t="s">
        <v>114</v>
      </c>
      <c r="U2564">
        <v>5</v>
      </c>
      <c r="W2564">
        <v>288</v>
      </c>
      <c r="X2564">
        <v>0</v>
      </c>
      <c r="Y2564">
        <v>0</v>
      </c>
      <c r="Z2564">
        <v>0</v>
      </c>
      <c r="AA2564">
        <v>0</v>
      </c>
      <c r="AB2564">
        <v>0</v>
      </c>
      <c r="AC2564">
        <v>288</v>
      </c>
      <c r="AD2564">
        <v>0</v>
      </c>
      <c r="AE2564">
        <v>0</v>
      </c>
      <c r="AF2564">
        <v>0</v>
      </c>
      <c r="AG2564">
        <v>0</v>
      </c>
      <c r="AH2564">
        <v>0</v>
      </c>
      <c r="AI2564">
        <v>0</v>
      </c>
      <c r="AJ2564">
        <v>0</v>
      </c>
      <c r="AK2564">
        <v>0</v>
      </c>
      <c r="AL2564">
        <v>0</v>
      </c>
      <c r="AM2564">
        <v>0</v>
      </c>
      <c r="AN2564">
        <v>0</v>
      </c>
      <c r="AO2564">
        <v>0</v>
      </c>
      <c r="AP2564">
        <v>0</v>
      </c>
      <c r="AQ2564">
        <v>0</v>
      </c>
      <c r="AR2564">
        <v>0</v>
      </c>
      <c r="AS2564">
        <v>0</v>
      </c>
      <c r="AT2564">
        <v>0</v>
      </c>
      <c r="AU2564">
        <f t="shared" si="78"/>
        <v>0</v>
      </c>
      <c r="AV2564">
        <f t="shared" si="79"/>
        <v>0</v>
      </c>
    </row>
    <row r="2565" spans="1:48" x14ac:dyDescent="0.25">
      <c r="A2565" t="s">
        <v>8820</v>
      </c>
      <c r="C2565" t="s">
        <v>8821</v>
      </c>
      <c r="D2565" t="s">
        <v>8822</v>
      </c>
      <c r="E2565" t="s">
        <v>2310</v>
      </c>
      <c r="F2565">
        <v>10</v>
      </c>
      <c r="G2565">
        <v>10.1</v>
      </c>
      <c r="H2565" t="s">
        <v>2323</v>
      </c>
      <c r="I2565" s="21">
        <v>39521</v>
      </c>
      <c r="J2565">
        <v>2008</v>
      </c>
      <c r="K2565" s="21">
        <v>39521</v>
      </c>
      <c r="L2565">
        <v>2008</v>
      </c>
      <c r="M2565" s="21">
        <v>41038.474074074104</v>
      </c>
      <c r="N2565">
        <v>2012</v>
      </c>
      <c r="R2565" s="262">
        <v>113000</v>
      </c>
      <c r="S2565" t="s">
        <v>114</v>
      </c>
      <c r="T2565" t="s">
        <v>114</v>
      </c>
      <c r="U2565">
        <v>5</v>
      </c>
      <c r="W2565">
        <v>3000</v>
      </c>
      <c r="X2565">
        <v>0</v>
      </c>
      <c r="Y2565">
        <v>0</v>
      </c>
      <c r="Z2565">
        <v>0</v>
      </c>
      <c r="AA2565">
        <v>0</v>
      </c>
      <c r="AB2565">
        <v>0</v>
      </c>
      <c r="AC2565">
        <v>3000</v>
      </c>
      <c r="AD2565">
        <v>0</v>
      </c>
      <c r="AE2565">
        <v>0</v>
      </c>
      <c r="AF2565">
        <v>0</v>
      </c>
      <c r="AG2565">
        <v>0</v>
      </c>
      <c r="AH2565">
        <v>0</v>
      </c>
      <c r="AI2565">
        <v>0</v>
      </c>
      <c r="AJ2565">
        <v>0</v>
      </c>
      <c r="AK2565">
        <v>0</v>
      </c>
      <c r="AL2565">
        <v>0</v>
      </c>
      <c r="AM2565">
        <v>0</v>
      </c>
      <c r="AN2565">
        <v>0</v>
      </c>
      <c r="AO2565">
        <v>0</v>
      </c>
      <c r="AP2565">
        <v>0</v>
      </c>
      <c r="AQ2565">
        <v>0</v>
      </c>
      <c r="AR2565">
        <v>0</v>
      </c>
      <c r="AS2565">
        <v>0</v>
      </c>
      <c r="AT2565">
        <v>0</v>
      </c>
      <c r="AU2565">
        <f t="shared" si="78"/>
        <v>0</v>
      </c>
      <c r="AV2565">
        <f t="shared" si="79"/>
        <v>0</v>
      </c>
    </row>
    <row r="2566" spans="1:48" x14ac:dyDescent="0.25">
      <c r="A2566" t="s">
        <v>8823</v>
      </c>
      <c r="C2566" t="s">
        <v>8824</v>
      </c>
      <c r="D2566" t="s">
        <v>8825</v>
      </c>
      <c r="E2566" t="s">
        <v>2310</v>
      </c>
      <c r="F2566">
        <v>13</v>
      </c>
      <c r="G2566">
        <v>13.3</v>
      </c>
      <c r="H2566" t="s">
        <v>2017</v>
      </c>
      <c r="I2566" s="21">
        <v>39526</v>
      </c>
      <c r="J2566">
        <v>2008</v>
      </c>
      <c r="K2566" s="21">
        <v>39605</v>
      </c>
      <c r="L2566">
        <v>2008</v>
      </c>
      <c r="M2566" s="21">
        <v>40148.449027777802</v>
      </c>
      <c r="N2566">
        <v>2009</v>
      </c>
      <c r="R2566" s="262">
        <v>250000</v>
      </c>
      <c r="S2566" t="s">
        <v>114</v>
      </c>
      <c r="T2566" t="s">
        <v>114</v>
      </c>
      <c r="U2566">
        <v>8</v>
      </c>
      <c r="W2566">
        <v>1966</v>
      </c>
      <c r="X2566">
        <v>1</v>
      </c>
      <c r="Y2566">
        <v>0</v>
      </c>
      <c r="Z2566">
        <v>0</v>
      </c>
      <c r="AA2566">
        <v>0</v>
      </c>
      <c r="AB2566">
        <v>0</v>
      </c>
      <c r="AC2566">
        <v>970</v>
      </c>
      <c r="AD2566">
        <v>0</v>
      </c>
      <c r="AE2566">
        <v>0</v>
      </c>
      <c r="AF2566">
        <v>996</v>
      </c>
      <c r="AG2566">
        <v>0</v>
      </c>
      <c r="AH2566">
        <v>0</v>
      </c>
      <c r="AI2566">
        <v>0</v>
      </c>
      <c r="AJ2566">
        <v>0</v>
      </c>
      <c r="AK2566">
        <v>0</v>
      </c>
      <c r="AL2566">
        <v>0</v>
      </c>
      <c r="AM2566">
        <v>0</v>
      </c>
      <c r="AN2566">
        <v>0</v>
      </c>
      <c r="AO2566">
        <v>0</v>
      </c>
      <c r="AP2566">
        <v>0</v>
      </c>
      <c r="AQ2566">
        <v>0</v>
      </c>
      <c r="AR2566">
        <v>1</v>
      </c>
      <c r="AS2566">
        <v>0</v>
      </c>
      <c r="AT2566">
        <v>0</v>
      </c>
      <c r="AU2566">
        <f t="shared" si="78"/>
        <v>0</v>
      </c>
      <c r="AV2566">
        <f t="shared" si="79"/>
        <v>0</v>
      </c>
    </row>
    <row r="2567" spans="1:48" x14ac:dyDescent="0.25">
      <c r="A2567" t="s">
        <v>8826</v>
      </c>
      <c r="C2567" t="s">
        <v>8827</v>
      </c>
      <c r="D2567" t="s">
        <v>8828</v>
      </c>
      <c r="E2567" t="s">
        <v>2310</v>
      </c>
      <c r="F2567">
        <v>12</v>
      </c>
      <c r="G2567">
        <v>12.3</v>
      </c>
      <c r="H2567" t="s">
        <v>2017</v>
      </c>
      <c r="I2567" s="21">
        <v>39527</v>
      </c>
      <c r="J2567">
        <v>2008</v>
      </c>
      <c r="K2567" s="21">
        <v>39527</v>
      </c>
      <c r="L2567">
        <v>2008</v>
      </c>
      <c r="M2567" s="21">
        <v>43671.383205555598</v>
      </c>
      <c r="N2567">
        <v>2019</v>
      </c>
      <c r="R2567" s="262">
        <v>1200000</v>
      </c>
      <c r="S2567" t="s">
        <v>114</v>
      </c>
      <c r="T2567" t="s">
        <v>114</v>
      </c>
      <c r="U2567">
        <v>11</v>
      </c>
      <c r="W2567">
        <v>0</v>
      </c>
      <c r="X2567">
        <v>0</v>
      </c>
      <c r="Y2567">
        <v>0</v>
      </c>
      <c r="Z2567">
        <v>0</v>
      </c>
      <c r="AA2567">
        <v>0</v>
      </c>
      <c r="AB2567">
        <v>0</v>
      </c>
      <c r="AC2567">
        <v>0</v>
      </c>
      <c r="AD2567">
        <v>0</v>
      </c>
      <c r="AE2567">
        <v>0</v>
      </c>
      <c r="AF2567">
        <v>0</v>
      </c>
      <c r="AG2567">
        <v>0</v>
      </c>
      <c r="AH2567">
        <v>0</v>
      </c>
      <c r="AI2567">
        <v>0</v>
      </c>
      <c r="AJ2567">
        <v>0</v>
      </c>
      <c r="AK2567">
        <v>0</v>
      </c>
      <c r="AL2567">
        <v>0</v>
      </c>
      <c r="AM2567">
        <v>0</v>
      </c>
      <c r="AN2567">
        <v>0</v>
      </c>
      <c r="AO2567">
        <v>0</v>
      </c>
      <c r="AP2567">
        <v>0</v>
      </c>
      <c r="AQ2567">
        <v>0</v>
      </c>
      <c r="AR2567">
        <v>0</v>
      </c>
      <c r="AS2567">
        <v>0</v>
      </c>
      <c r="AT2567">
        <v>0</v>
      </c>
      <c r="AU2567">
        <f t="shared" si="78"/>
        <v>0</v>
      </c>
      <c r="AV2567">
        <f t="shared" si="79"/>
        <v>0</v>
      </c>
    </row>
    <row r="2568" spans="1:48" x14ac:dyDescent="0.25">
      <c r="A2568" t="s">
        <v>8829</v>
      </c>
      <c r="C2568" t="s">
        <v>8745</v>
      </c>
      <c r="D2568" t="s">
        <v>8830</v>
      </c>
      <c r="E2568" t="s">
        <v>2310</v>
      </c>
      <c r="F2568">
        <v>9</v>
      </c>
      <c r="G2568">
        <v>9.3000000000000007</v>
      </c>
      <c r="H2568" t="s">
        <v>2323</v>
      </c>
      <c r="I2568" s="21">
        <v>39531</v>
      </c>
      <c r="J2568">
        <v>2008</v>
      </c>
      <c r="K2568" s="21">
        <v>39575</v>
      </c>
      <c r="L2568">
        <v>2008</v>
      </c>
      <c r="M2568" s="21">
        <v>40491.414398148103</v>
      </c>
      <c r="N2568">
        <v>2010</v>
      </c>
      <c r="R2568" s="262">
        <v>1300000</v>
      </c>
      <c r="S2568" t="s">
        <v>114</v>
      </c>
      <c r="T2568" t="s">
        <v>114</v>
      </c>
      <c r="U2568">
        <v>5</v>
      </c>
      <c r="W2568">
        <v>4998</v>
      </c>
      <c r="X2568">
        <v>1</v>
      </c>
      <c r="Y2568">
        <v>0</v>
      </c>
      <c r="Z2568">
        <v>0</v>
      </c>
      <c r="AA2568">
        <v>0</v>
      </c>
      <c r="AB2568">
        <v>0</v>
      </c>
      <c r="AC2568">
        <v>4998</v>
      </c>
      <c r="AD2568">
        <v>0</v>
      </c>
      <c r="AE2568">
        <v>0</v>
      </c>
      <c r="AF2568">
        <v>0</v>
      </c>
      <c r="AG2568">
        <v>0</v>
      </c>
      <c r="AH2568">
        <v>0</v>
      </c>
      <c r="AI2568">
        <v>0</v>
      </c>
      <c r="AJ2568">
        <v>0</v>
      </c>
      <c r="AK2568">
        <v>0</v>
      </c>
      <c r="AL2568">
        <v>0</v>
      </c>
      <c r="AM2568">
        <v>0</v>
      </c>
      <c r="AN2568">
        <v>0</v>
      </c>
      <c r="AO2568">
        <v>1</v>
      </c>
      <c r="AP2568">
        <v>0</v>
      </c>
      <c r="AQ2568">
        <v>0</v>
      </c>
      <c r="AR2568">
        <v>0</v>
      </c>
      <c r="AS2568">
        <v>0</v>
      </c>
      <c r="AT2568">
        <v>0</v>
      </c>
      <c r="AU2568">
        <f t="shared" si="78"/>
        <v>1</v>
      </c>
      <c r="AV2568">
        <f t="shared" si="79"/>
        <v>0</v>
      </c>
    </row>
    <row r="2569" spans="1:48" x14ac:dyDescent="0.25">
      <c r="A2569" t="s">
        <v>8831</v>
      </c>
      <c r="C2569" t="s">
        <v>8832</v>
      </c>
      <c r="D2569" t="s">
        <v>5034</v>
      </c>
      <c r="E2569" t="s">
        <v>2310</v>
      </c>
      <c r="F2569">
        <v>9</v>
      </c>
      <c r="G2569">
        <v>9.1</v>
      </c>
      <c r="H2569" t="s">
        <v>2323</v>
      </c>
      <c r="I2569" s="21">
        <v>39531</v>
      </c>
      <c r="J2569">
        <v>2008</v>
      </c>
      <c r="K2569" s="21">
        <v>39608</v>
      </c>
      <c r="L2569">
        <v>2008</v>
      </c>
      <c r="M2569" s="21">
        <v>39608</v>
      </c>
      <c r="N2569">
        <v>2008</v>
      </c>
      <c r="R2569" s="262">
        <v>1000000</v>
      </c>
      <c r="S2569" t="s">
        <v>114</v>
      </c>
      <c r="T2569" t="s">
        <v>114</v>
      </c>
      <c r="U2569">
        <v>8</v>
      </c>
      <c r="W2569">
        <v>1219</v>
      </c>
      <c r="X2569">
        <v>1</v>
      </c>
      <c r="Y2569">
        <v>0</v>
      </c>
      <c r="Z2569">
        <v>0</v>
      </c>
      <c r="AA2569">
        <v>0</v>
      </c>
      <c r="AB2569">
        <v>0</v>
      </c>
      <c r="AC2569">
        <v>394</v>
      </c>
      <c r="AD2569">
        <v>0</v>
      </c>
      <c r="AE2569">
        <v>0</v>
      </c>
      <c r="AF2569">
        <v>825</v>
      </c>
      <c r="AG2569">
        <v>0</v>
      </c>
      <c r="AH2569">
        <v>0</v>
      </c>
      <c r="AI2569">
        <v>0</v>
      </c>
      <c r="AJ2569">
        <v>0</v>
      </c>
      <c r="AK2569">
        <v>0</v>
      </c>
      <c r="AL2569">
        <v>0</v>
      </c>
      <c r="AM2569">
        <v>0</v>
      </c>
      <c r="AN2569">
        <v>0</v>
      </c>
      <c r="AO2569">
        <v>0</v>
      </c>
      <c r="AP2569">
        <v>0</v>
      </c>
      <c r="AQ2569">
        <v>0</v>
      </c>
      <c r="AR2569">
        <v>1</v>
      </c>
      <c r="AS2569">
        <v>0</v>
      </c>
      <c r="AT2569">
        <v>0</v>
      </c>
      <c r="AU2569">
        <f t="shared" si="78"/>
        <v>0</v>
      </c>
      <c r="AV2569">
        <f t="shared" si="79"/>
        <v>0</v>
      </c>
    </row>
    <row r="2570" spans="1:48" x14ac:dyDescent="0.25">
      <c r="A2570" t="s">
        <v>8833</v>
      </c>
      <c r="C2570" t="s">
        <v>8834</v>
      </c>
      <c r="D2570" t="s">
        <v>8835</v>
      </c>
      <c r="E2570" t="s">
        <v>2310</v>
      </c>
      <c r="F2570">
        <v>12</v>
      </c>
      <c r="G2570">
        <v>12.1</v>
      </c>
      <c r="H2570" t="s">
        <v>2327</v>
      </c>
      <c r="I2570" s="21">
        <v>39531</v>
      </c>
      <c r="J2570">
        <v>2008</v>
      </c>
      <c r="K2570" s="21">
        <v>39581</v>
      </c>
      <c r="L2570">
        <v>2008</v>
      </c>
      <c r="M2570" s="21">
        <v>40087.605335648099</v>
      </c>
      <c r="N2570">
        <v>2009</v>
      </c>
      <c r="R2570" s="262">
        <v>800000</v>
      </c>
      <c r="S2570" t="s">
        <v>114</v>
      </c>
      <c r="T2570" t="s">
        <v>114</v>
      </c>
      <c r="U2570">
        <v>12</v>
      </c>
      <c r="W2570">
        <v>4189</v>
      </c>
      <c r="X2570">
        <v>0</v>
      </c>
      <c r="Y2570">
        <v>0</v>
      </c>
      <c r="Z2570">
        <v>0</v>
      </c>
      <c r="AA2570">
        <v>0</v>
      </c>
      <c r="AB2570">
        <v>0</v>
      </c>
      <c r="AC2570">
        <v>0</v>
      </c>
      <c r="AD2570">
        <v>0</v>
      </c>
      <c r="AE2570">
        <v>0</v>
      </c>
      <c r="AF2570">
        <v>0</v>
      </c>
      <c r="AG2570">
        <v>0</v>
      </c>
      <c r="AH2570">
        <v>0</v>
      </c>
      <c r="AI2570">
        <v>0</v>
      </c>
      <c r="AJ2570">
        <v>4189</v>
      </c>
      <c r="AK2570">
        <v>0</v>
      </c>
      <c r="AL2570">
        <v>0</v>
      </c>
      <c r="AM2570">
        <v>0</v>
      </c>
      <c r="AN2570">
        <v>0</v>
      </c>
      <c r="AO2570">
        <v>0</v>
      </c>
      <c r="AP2570">
        <v>0</v>
      </c>
      <c r="AQ2570">
        <v>0</v>
      </c>
      <c r="AR2570">
        <v>0</v>
      </c>
      <c r="AS2570">
        <v>0</v>
      </c>
      <c r="AT2570">
        <v>0</v>
      </c>
      <c r="AU2570">
        <f t="shared" si="78"/>
        <v>0</v>
      </c>
      <c r="AV2570">
        <f t="shared" si="79"/>
        <v>4189</v>
      </c>
    </row>
    <row r="2571" spans="1:48" x14ac:dyDescent="0.25">
      <c r="A2571" t="s">
        <v>8836</v>
      </c>
      <c r="C2571" t="s">
        <v>8837</v>
      </c>
      <c r="D2571" t="s">
        <v>8483</v>
      </c>
      <c r="E2571" t="s">
        <v>2310</v>
      </c>
      <c r="F2571">
        <v>15</v>
      </c>
      <c r="G2571">
        <v>15.1</v>
      </c>
      <c r="H2571" t="s">
        <v>2022</v>
      </c>
      <c r="I2571" s="21">
        <v>39532</v>
      </c>
      <c r="J2571">
        <v>2008</v>
      </c>
      <c r="K2571" s="21">
        <v>39609</v>
      </c>
      <c r="L2571">
        <v>2008</v>
      </c>
      <c r="M2571" s="21">
        <v>40175.6109953704</v>
      </c>
      <c r="N2571">
        <v>2009</v>
      </c>
      <c r="R2571" s="262">
        <v>3000000</v>
      </c>
      <c r="S2571" t="s">
        <v>114</v>
      </c>
      <c r="T2571" t="s">
        <v>114</v>
      </c>
      <c r="U2571">
        <v>5</v>
      </c>
      <c r="W2571">
        <v>4642</v>
      </c>
      <c r="X2571">
        <v>0</v>
      </c>
      <c r="Y2571">
        <v>0</v>
      </c>
      <c r="Z2571">
        <v>0</v>
      </c>
      <c r="AA2571">
        <v>0</v>
      </c>
      <c r="AB2571">
        <v>0</v>
      </c>
      <c r="AC2571">
        <v>4642</v>
      </c>
      <c r="AD2571">
        <v>0</v>
      </c>
      <c r="AE2571">
        <v>0</v>
      </c>
      <c r="AF2571">
        <v>0</v>
      </c>
      <c r="AG2571">
        <v>0</v>
      </c>
      <c r="AH2571">
        <v>0</v>
      </c>
      <c r="AI2571">
        <v>0</v>
      </c>
      <c r="AJ2571">
        <v>0</v>
      </c>
      <c r="AK2571">
        <v>0</v>
      </c>
      <c r="AL2571">
        <v>0</v>
      </c>
      <c r="AM2571">
        <v>0</v>
      </c>
      <c r="AN2571">
        <v>0</v>
      </c>
      <c r="AO2571">
        <v>0</v>
      </c>
      <c r="AP2571">
        <v>0</v>
      </c>
      <c r="AQ2571">
        <v>0</v>
      </c>
      <c r="AR2571">
        <v>0</v>
      </c>
      <c r="AS2571">
        <v>0</v>
      </c>
      <c r="AT2571">
        <v>0</v>
      </c>
      <c r="AU2571">
        <f t="shared" si="78"/>
        <v>0</v>
      </c>
      <c r="AV2571">
        <f t="shared" si="79"/>
        <v>0</v>
      </c>
    </row>
    <row r="2572" spans="1:48" x14ac:dyDescent="0.25">
      <c r="A2572" t="s">
        <v>8838</v>
      </c>
      <c r="C2572" t="s">
        <v>8839</v>
      </c>
      <c r="D2572" t="s">
        <v>8840</v>
      </c>
      <c r="E2572" t="s">
        <v>2310</v>
      </c>
      <c r="F2572">
        <v>11</v>
      </c>
      <c r="G2572">
        <v>11.2</v>
      </c>
      <c r="H2572" t="s">
        <v>2017</v>
      </c>
      <c r="I2572" s="21">
        <v>39532</v>
      </c>
      <c r="J2572">
        <v>2008</v>
      </c>
      <c r="K2572" s="21">
        <v>39556</v>
      </c>
      <c r="L2572">
        <v>2008</v>
      </c>
      <c r="M2572" s="21">
        <v>40044.357858796298</v>
      </c>
      <c r="N2572">
        <v>2009</v>
      </c>
      <c r="Q2572" s="262">
        <v>303000</v>
      </c>
      <c r="R2572" s="262">
        <v>303000</v>
      </c>
      <c r="S2572" t="s">
        <v>114</v>
      </c>
      <c r="T2572" t="s">
        <v>114</v>
      </c>
      <c r="U2572">
        <v>5</v>
      </c>
      <c r="W2572">
        <v>1406</v>
      </c>
      <c r="X2572">
        <v>1</v>
      </c>
      <c r="Y2572">
        <v>0</v>
      </c>
      <c r="Z2572">
        <v>0</v>
      </c>
      <c r="AA2572">
        <v>0</v>
      </c>
      <c r="AB2572">
        <v>0</v>
      </c>
      <c r="AC2572">
        <v>1406</v>
      </c>
      <c r="AD2572">
        <v>0</v>
      </c>
      <c r="AE2572">
        <v>0</v>
      </c>
      <c r="AF2572">
        <v>0</v>
      </c>
      <c r="AG2572">
        <v>0</v>
      </c>
      <c r="AH2572">
        <v>0</v>
      </c>
      <c r="AI2572">
        <v>0</v>
      </c>
      <c r="AJ2572">
        <v>0</v>
      </c>
      <c r="AK2572">
        <v>0</v>
      </c>
      <c r="AL2572">
        <v>0</v>
      </c>
      <c r="AM2572">
        <v>0</v>
      </c>
      <c r="AN2572">
        <v>0</v>
      </c>
      <c r="AO2572">
        <v>1</v>
      </c>
      <c r="AP2572">
        <v>0</v>
      </c>
      <c r="AQ2572">
        <v>0</v>
      </c>
      <c r="AR2572">
        <v>0</v>
      </c>
      <c r="AS2572">
        <v>0</v>
      </c>
      <c r="AT2572">
        <v>0</v>
      </c>
      <c r="AU2572">
        <f t="shared" si="78"/>
        <v>1</v>
      </c>
      <c r="AV2572">
        <f t="shared" si="79"/>
        <v>0</v>
      </c>
    </row>
    <row r="2573" spans="1:48" x14ac:dyDescent="0.25">
      <c r="A2573" t="s">
        <v>8841</v>
      </c>
      <c r="C2573" t="s">
        <v>8842</v>
      </c>
      <c r="D2573" t="s">
        <v>8843</v>
      </c>
      <c r="E2573" t="s">
        <v>2310</v>
      </c>
      <c r="F2573">
        <v>11</v>
      </c>
      <c r="G2573">
        <v>11.2</v>
      </c>
      <c r="H2573" t="s">
        <v>2017</v>
      </c>
      <c r="I2573" s="21">
        <v>39532</v>
      </c>
      <c r="J2573">
        <v>2008</v>
      </c>
      <c r="K2573" s="21">
        <v>39556</v>
      </c>
      <c r="L2573">
        <v>2008</v>
      </c>
      <c r="M2573" s="21">
        <v>40067.629050925898</v>
      </c>
      <c r="N2573">
        <v>2009</v>
      </c>
      <c r="R2573" s="262">
        <v>321000</v>
      </c>
      <c r="S2573" t="s">
        <v>114</v>
      </c>
      <c r="T2573" t="s">
        <v>114</v>
      </c>
      <c r="U2573">
        <v>5</v>
      </c>
      <c r="W2573">
        <v>1491</v>
      </c>
      <c r="X2573">
        <v>1</v>
      </c>
      <c r="Y2573">
        <v>0</v>
      </c>
      <c r="Z2573">
        <v>0</v>
      </c>
      <c r="AA2573">
        <v>0</v>
      </c>
      <c r="AB2573">
        <v>0</v>
      </c>
      <c r="AC2573">
        <v>1491</v>
      </c>
      <c r="AD2573">
        <v>0</v>
      </c>
      <c r="AE2573">
        <v>0</v>
      </c>
      <c r="AF2573">
        <v>0</v>
      </c>
      <c r="AG2573">
        <v>0</v>
      </c>
      <c r="AH2573">
        <v>0</v>
      </c>
      <c r="AI2573">
        <v>0</v>
      </c>
      <c r="AJ2573">
        <v>0</v>
      </c>
      <c r="AK2573">
        <v>0</v>
      </c>
      <c r="AL2573">
        <v>0</v>
      </c>
      <c r="AM2573">
        <v>0</v>
      </c>
      <c r="AN2573">
        <v>0</v>
      </c>
      <c r="AO2573">
        <v>1</v>
      </c>
      <c r="AP2573">
        <v>0</v>
      </c>
      <c r="AQ2573">
        <v>0</v>
      </c>
      <c r="AR2573">
        <v>0</v>
      </c>
      <c r="AS2573">
        <v>0</v>
      </c>
      <c r="AT2573">
        <v>0</v>
      </c>
      <c r="AU2573">
        <f t="shared" si="78"/>
        <v>1</v>
      </c>
      <c r="AV2573">
        <f t="shared" si="79"/>
        <v>0</v>
      </c>
    </row>
    <row r="2574" spans="1:48" x14ac:dyDescent="0.25">
      <c r="A2574" t="s">
        <v>8844</v>
      </c>
      <c r="C2574" t="s">
        <v>8845</v>
      </c>
      <c r="D2574" t="s">
        <v>7741</v>
      </c>
      <c r="E2574" t="s">
        <v>2310</v>
      </c>
      <c r="F2574">
        <v>11</v>
      </c>
      <c r="G2574">
        <v>11.2</v>
      </c>
      <c r="H2574" t="s">
        <v>2017</v>
      </c>
      <c r="I2574" s="21">
        <v>39534</v>
      </c>
      <c r="J2574">
        <v>2008</v>
      </c>
      <c r="K2574" s="21">
        <v>39559</v>
      </c>
      <c r="L2574">
        <v>2008</v>
      </c>
      <c r="M2574" s="21">
        <v>40037.481134259302</v>
      </c>
      <c r="N2574">
        <v>2009</v>
      </c>
      <c r="R2574" s="262">
        <v>391000</v>
      </c>
      <c r="S2574" t="s">
        <v>114</v>
      </c>
      <c r="T2574" t="s">
        <v>114</v>
      </c>
      <c r="U2574">
        <v>5</v>
      </c>
      <c r="W2574">
        <v>1830</v>
      </c>
      <c r="X2574">
        <v>1</v>
      </c>
      <c r="Y2574">
        <v>0</v>
      </c>
      <c r="Z2574">
        <v>0</v>
      </c>
      <c r="AA2574">
        <v>0</v>
      </c>
      <c r="AB2574">
        <v>0</v>
      </c>
      <c r="AC2574">
        <v>1830</v>
      </c>
      <c r="AD2574">
        <v>0</v>
      </c>
      <c r="AE2574">
        <v>0</v>
      </c>
      <c r="AF2574">
        <v>0</v>
      </c>
      <c r="AG2574">
        <v>0</v>
      </c>
      <c r="AH2574">
        <v>0</v>
      </c>
      <c r="AI2574">
        <v>0</v>
      </c>
      <c r="AJ2574">
        <v>0</v>
      </c>
      <c r="AK2574">
        <v>0</v>
      </c>
      <c r="AL2574">
        <v>0</v>
      </c>
      <c r="AM2574">
        <v>0</v>
      </c>
      <c r="AN2574">
        <v>0</v>
      </c>
      <c r="AO2574">
        <v>1</v>
      </c>
      <c r="AP2574">
        <v>0</v>
      </c>
      <c r="AQ2574">
        <v>0</v>
      </c>
      <c r="AR2574">
        <v>0</v>
      </c>
      <c r="AS2574">
        <v>0</v>
      </c>
      <c r="AT2574">
        <v>0</v>
      </c>
      <c r="AU2574">
        <f t="shared" si="78"/>
        <v>1</v>
      </c>
      <c r="AV2574">
        <f t="shared" si="79"/>
        <v>0</v>
      </c>
    </row>
    <row r="2575" spans="1:48" x14ac:dyDescent="0.25">
      <c r="A2575" t="s">
        <v>8846</v>
      </c>
      <c r="C2575" t="s">
        <v>8842</v>
      </c>
      <c r="D2575" t="s">
        <v>8847</v>
      </c>
      <c r="E2575" t="s">
        <v>2310</v>
      </c>
      <c r="F2575">
        <v>11</v>
      </c>
      <c r="G2575">
        <v>11.2</v>
      </c>
      <c r="H2575" t="s">
        <v>2017</v>
      </c>
      <c r="I2575" s="21">
        <v>39534</v>
      </c>
      <c r="J2575">
        <v>2008</v>
      </c>
      <c r="K2575" s="21">
        <v>39556</v>
      </c>
      <c r="L2575">
        <v>2008</v>
      </c>
      <c r="M2575" s="21">
        <v>40035.442685185197</v>
      </c>
      <c r="N2575">
        <v>2009</v>
      </c>
      <c r="R2575" s="262">
        <v>321000</v>
      </c>
      <c r="S2575" t="s">
        <v>114</v>
      </c>
      <c r="T2575" t="s">
        <v>114</v>
      </c>
      <c r="U2575">
        <v>5</v>
      </c>
      <c r="W2575">
        <v>1490</v>
      </c>
      <c r="X2575">
        <v>1</v>
      </c>
      <c r="Y2575">
        <v>0</v>
      </c>
      <c r="Z2575">
        <v>0</v>
      </c>
      <c r="AA2575">
        <v>0</v>
      </c>
      <c r="AB2575">
        <v>0</v>
      </c>
      <c r="AC2575">
        <v>1490</v>
      </c>
      <c r="AD2575">
        <v>0</v>
      </c>
      <c r="AE2575">
        <v>0</v>
      </c>
      <c r="AF2575">
        <v>0</v>
      </c>
      <c r="AG2575">
        <v>0</v>
      </c>
      <c r="AH2575">
        <v>0</v>
      </c>
      <c r="AI2575">
        <v>0</v>
      </c>
      <c r="AJ2575">
        <v>0</v>
      </c>
      <c r="AK2575">
        <v>0</v>
      </c>
      <c r="AL2575">
        <v>0</v>
      </c>
      <c r="AM2575">
        <v>0</v>
      </c>
      <c r="AN2575">
        <v>0</v>
      </c>
      <c r="AO2575">
        <v>1</v>
      </c>
      <c r="AP2575">
        <v>0</v>
      </c>
      <c r="AQ2575">
        <v>0</v>
      </c>
      <c r="AR2575">
        <v>0</v>
      </c>
      <c r="AS2575">
        <v>0</v>
      </c>
      <c r="AT2575">
        <v>0</v>
      </c>
      <c r="AU2575">
        <f t="shared" si="78"/>
        <v>1</v>
      </c>
      <c r="AV2575">
        <f t="shared" si="79"/>
        <v>0</v>
      </c>
    </row>
    <row r="2576" spans="1:48" x14ac:dyDescent="0.25">
      <c r="A2576" t="s">
        <v>8848</v>
      </c>
      <c r="C2576" t="s">
        <v>8849</v>
      </c>
      <c r="D2576" t="s">
        <v>8850</v>
      </c>
      <c r="E2576" t="s">
        <v>2310</v>
      </c>
      <c r="F2576">
        <v>11</v>
      </c>
      <c r="G2576">
        <v>11.2</v>
      </c>
      <c r="H2576" t="s">
        <v>2017</v>
      </c>
      <c r="I2576" s="21">
        <v>39534</v>
      </c>
      <c r="J2576">
        <v>2008</v>
      </c>
      <c r="K2576" s="21">
        <v>39556</v>
      </c>
      <c r="L2576">
        <v>2008</v>
      </c>
      <c r="M2576" s="21">
        <v>40035.428912037001</v>
      </c>
      <c r="N2576">
        <v>2009</v>
      </c>
      <c r="R2576" s="262">
        <v>321000</v>
      </c>
      <c r="S2576" t="s">
        <v>114</v>
      </c>
      <c r="T2576" t="s">
        <v>114</v>
      </c>
      <c r="U2576">
        <v>5</v>
      </c>
      <c r="W2576">
        <v>1490</v>
      </c>
      <c r="X2576">
        <v>1</v>
      </c>
      <c r="Y2576">
        <v>0</v>
      </c>
      <c r="Z2576">
        <v>0</v>
      </c>
      <c r="AA2576">
        <v>0</v>
      </c>
      <c r="AB2576">
        <v>0</v>
      </c>
      <c r="AC2576">
        <v>1490</v>
      </c>
      <c r="AD2576">
        <v>0</v>
      </c>
      <c r="AE2576">
        <v>0</v>
      </c>
      <c r="AF2576">
        <v>0</v>
      </c>
      <c r="AG2576">
        <v>0</v>
      </c>
      <c r="AH2576">
        <v>0</v>
      </c>
      <c r="AI2576">
        <v>0</v>
      </c>
      <c r="AJ2576">
        <v>0</v>
      </c>
      <c r="AK2576">
        <v>0</v>
      </c>
      <c r="AL2576">
        <v>0</v>
      </c>
      <c r="AM2576">
        <v>0</v>
      </c>
      <c r="AN2576">
        <v>0</v>
      </c>
      <c r="AO2576">
        <v>1</v>
      </c>
      <c r="AP2576">
        <v>0</v>
      </c>
      <c r="AQ2576">
        <v>0</v>
      </c>
      <c r="AR2576">
        <v>0</v>
      </c>
      <c r="AS2576">
        <v>0</v>
      </c>
      <c r="AT2576">
        <v>0</v>
      </c>
      <c r="AU2576">
        <f t="shared" si="78"/>
        <v>1</v>
      </c>
      <c r="AV2576">
        <f t="shared" si="79"/>
        <v>0</v>
      </c>
    </row>
    <row r="2577" spans="1:48" x14ac:dyDescent="0.25">
      <c r="A2577" t="s">
        <v>8851</v>
      </c>
      <c r="C2577" t="s">
        <v>8849</v>
      </c>
      <c r="D2577" t="s">
        <v>8852</v>
      </c>
      <c r="E2577" t="s">
        <v>2310</v>
      </c>
      <c r="F2577">
        <v>11</v>
      </c>
      <c r="G2577">
        <v>11.2</v>
      </c>
      <c r="H2577" t="s">
        <v>2017</v>
      </c>
      <c r="I2577" s="21">
        <v>39534</v>
      </c>
      <c r="J2577">
        <v>2008</v>
      </c>
      <c r="K2577" s="21">
        <v>39568</v>
      </c>
      <c r="L2577">
        <v>2008</v>
      </c>
      <c r="M2577" s="21">
        <v>40024.672199074099</v>
      </c>
      <c r="N2577">
        <v>2009</v>
      </c>
      <c r="R2577" s="262">
        <v>320350</v>
      </c>
      <c r="S2577" t="s">
        <v>114</v>
      </c>
      <c r="T2577" t="s">
        <v>114</v>
      </c>
      <c r="U2577">
        <v>5</v>
      </c>
      <c r="W2577">
        <v>1490</v>
      </c>
      <c r="X2577">
        <v>1</v>
      </c>
      <c r="Y2577">
        <v>0</v>
      </c>
      <c r="Z2577">
        <v>0</v>
      </c>
      <c r="AA2577">
        <v>0</v>
      </c>
      <c r="AB2577">
        <v>0</v>
      </c>
      <c r="AC2577">
        <v>1490</v>
      </c>
      <c r="AD2577">
        <v>0</v>
      </c>
      <c r="AE2577">
        <v>0</v>
      </c>
      <c r="AF2577">
        <v>0</v>
      </c>
      <c r="AG2577">
        <v>0</v>
      </c>
      <c r="AH2577">
        <v>0</v>
      </c>
      <c r="AI2577">
        <v>0</v>
      </c>
      <c r="AJ2577">
        <v>0</v>
      </c>
      <c r="AK2577">
        <v>0</v>
      </c>
      <c r="AL2577">
        <v>0</v>
      </c>
      <c r="AM2577">
        <v>0</v>
      </c>
      <c r="AN2577">
        <v>0</v>
      </c>
      <c r="AO2577">
        <v>1</v>
      </c>
      <c r="AP2577">
        <v>0</v>
      </c>
      <c r="AQ2577">
        <v>0</v>
      </c>
      <c r="AR2577">
        <v>0</v>
      </c>
      <c r="AS2577">
        <v>0</v>
      </c>
      <c r="AT2577">
        <v>0</v>
      </c>
      <c r="AU2577">
        <f t="shared" si="78"/>
        <v>1</v>
      </c>
      <c r="AV2577">
        <f t="shared" si="79"/>
        <v>0</v>
      </c>
    </row>
    <row r="2578" spans="1:48" x14ac:dyDescent="0.25">
      <c r="A2578" t="s">
        <v>8853</v>
      </c>
      <c r="C2578" t="s">
        <v>8849</v>
      </c>
      <c r="D2578" t="s">
        <v>8854</v>
      </c>
      <c r="E2578" t="s">
        <v>2310</v>
      </c>
      <c r="F2578">
        <v>11</v>
      </c>
      <c r="G2578">
        <v>11.2</v>
      </c>
      <c r="H2578" t="s">
        <v>2017</v>
      </c>
      <c r="I2578" s="21">
        <v>39534</v>
      </c>
      <c r="J2578">
        <v>2008</v>
      </c>
      <c r="K2578" s="21">
        <v>39556</v>
      </c>
      <c r="L2578">
        <v>2008</v>
      </c>
      <c r="M2578" s="21">
        <v>40024.678437499999</v>
      </c>
      <c r="N2578">
        <v>2009</v>
      </c>
      <c r="R2578" s="262">
        <v>320350</v>
      </c>
      <c r="S2578" t="s">
        <v>114</v>
      </c>
      <c r="T2578" t="s">
        <v>114</v>
      </c>
      <c r="U2578">
        <v>5</v>
      </c>
      <c r="W2578">
        <v>1490</v>
      </c>
      <c r="X2578">
        <v>1</v>
      </c>
      <c r="Y2578">
        <v>0</v>
      </c>
      <c r="Z2578">
        <v>0</v>
      </c>
      <c r="AA2578">
        <v>0</v>
      </c>
      <c r="AB2578">
        <v>0</v>
      </c>
      <c r="AC2578">
        <v>1490</v>
      </c>
      <c r="AD2578">
        <v>0</v>
      </c>
      <c r="AE2578">
        <v>0</v>
      </c>
      <c r="AF2578">
        <v>0</v>
      </c>
      <c r="AG2578">
        <v>0</v>
      </c>
      <c r="AH2578">
        <v>0</v>
      </c>
      <c r="AI2578">
        <v>0</v>
      </c>
      <c r="AJ2578">
        <v>0</v>
      </c>
      <c r="AK2578">
        <v>0</v>
      </c>
      <c r="AL2578">
        <v>0</v>
      </c>
      <c r="AM2578">
        <v>0</v>
      </c>
      <c r="AN2578">
        <v>0</v>
      </c>
      <c r="AO2578">
        <v>1</v>
      </c>
      <c r="AP2578">
        <v>0</v>
      </c>
      <c r="AQ2578">
        <v>0</v>
      </c>
      <c r="AR2578">
        <v>0</v>
      </c>
      <c r="AS2578">
        <v>0</v>
      </c>
      <c r="AT2578">
        <v>0</v>
      </c>
      <c r="AU2578">
        <f t="shared" si="78"/>
        <v>1</v>
      </c>
      <c r="AV2578">
        <f t="shared" si="79"/>
        <v>0</v>
      </c>
    </row>
    <row r="2579" spans="1:48" x14ac:dyDescent="0.25">
      <c r="A2579" t="s">
        <v>8855</v>
      </c>
      <c r="C2579" t="s">
        <v>3573</v>
      </c>
      <c r="D2579" t="s">
        <v>8856</v>
      </c>
      <c r="E2579" t="s">
        <v>2310</v>
      </c>
      <c r="F2579">
        <v>8</v>
      </c>
      <c r="G2579">
        <v>8.1999999999999993</v>
      </c>
      <c r="H2579" t="s">
        <v>2022</v>
      </c>
      <c r="I2579" s="21">
        <v>39534</v>
      </c>
      <c r="J2579">
        <v>2008</v>
      </c>
      <c r="K2579" s="21">
        <v>39581</v>
      </c>
      <c r="L2579">
        <v>2008</v>
      </c>
      <c r="M2579" s="21">
        <v>39918</v>
      </c>
      <c r="N2579">
        <v>2009</v>
      </c>
      <c r="R2579" s="262">
        <v>200000</v>
      </c>
      <c r="S2579" t="s">
        <v>114</v>
      </c>
      <c r="T2579" t="s">
        <v>114</v>
      </c>
      <c r="U2579">
        <v>8</v>
      </c>
      <c r="W2579">
        <v>1657</v>
      </c>
      <c r="X2579">
        <v>1</v>
      </c>
      <c r="Y2579">
        <v>0</v>
      </c>
      <c r="Z2579">
        <v>0</v>
      </c>
      <c r="AA2579">
        <v>0</v>
      </c>
      <c r="AB2579">
        <v>0</v>
      </c>
      <c r="AC2579">
        <v>663</v>
      </c>
      <c r="AD2579">
        <v>0</v>
      </c>
      <c r="AE2579">
        <v>0</v>
      </c>
      <c r="AF2579">
        <v>994</v>
      </c>
      <c r="AG2579">
        <v>0</v>
      </c>
      <c r="AH2579">
        <v>0</v>
      </c>
      <c r="AI2579">
        <v>0</v>
      </c>
      <c r="AJ2579">
        <v>0</v>
      </c>
      <c r="AK2579">
        <v>0</v>
      </c>
      <c r="AL2579">
        <v>0</v>
      </c>
      <c r="AM2579">
        <v>0</v>
      </c>
      <c r="AN2579">
        <v>0</v>
      </c>
      <c r="AO2579">
        <v>0</v>
      </c>
      <c r="AP2579">
        <v>0</v>
      </c>
      <c r="AQ2579">
        <v>0</v>
      </c>
      <c r="AR2579">
        <v>1</v>
      </c>
      <c r="AS2579">
        <v>0</v>
      </c>
      <c r="AT2579">
        <v>0</v>
      </c>
      <c r="AU2579">
        <f t="shared" si="78"/>
        <v>0</v>
      </c>
      <c r="AV2579">
        <f t="shared" si="79"/>
        <v>0</v>
      </c>
    </row>
    <row r="2580" spans="1:48" x14ac:dyDescent="0.25">
      <c r="A2580" t="s">
        <v>8857</v>
      </c>
      <c r="C2580" t="s">
        <v>6166</v>
      </c>
      <c r="D2580" t="s">
        <v>8858</v>
      </c>
      <c r="E2580" t="s">
        <v>2310</v>
      </c>
      <c r="F2580">
        <v>9</v>
      </c>
      <c r="G2580">
        <v>9.3000000000000007</v>
      </c>
      <c r="H2580" t="s">
        <v>2323</v>
      </c>
      <c r="I2580" s="21">
        <v>39534</v>
      </c>
      <c r="J2580">
        <v>2008</v>
      </c>
      <c r="K2580" s="21">
        <v>39590</v>
      </c>
      <c r="L2580">
        <v>2008</v>
      </c>
      <c r="M2580" s="21">
        <v>40259.595937500002</v>
      </c>
      <c r="N2580">
        <v>2010</v>
      </c>
      <c r="R2580" s="262">
        <v>240000</v>
      </c>
      <c r="S2580" t="s">
        <v>114</v>
      </c>
      <c r="T2580" t="s">
        <v>114</v>
      </c>
      <c r="U2580">
        <v>8</v>
      </c>
      <c r="W2580">
        <v>928</v>
      </c>
      <c r="X2580">
        <v>1</v>
      </c>
      <c r="Y2580">
        <v>0</v>
      </c>
      <c r="Z2580">
        <v>0</v>
      </c>
      <c r="AA2580">
        <v>0</v>
      </c>
      <c r="AB2580">
        <v>0</v>
      </c>
      <c r="AC2580">
        <v>32</v>
      </c>
      <c r="AD2580">
        <v>0</v>
      </c>
      <c r="AE2580">
        <v>0</v>
      </c>
      <c r="AF2580">
        <v>896</v>
      </c>
      <c r="AG2580">
        <v>0</v>
      </c>
      <c r="AH2580">
        <v>0</v>
      </c>
      <c r="AI2580">
        <v>0</v>
      </c>
      <c r="AJ2580">
        <v>0</v>
      </c>
      <c r="AK2580">
        <v>0</v>
      </c>
      <c r="AL2580">
        <v>0</v>
      </c>
      <c r="AM2580">
        <v>0</v>
      </c>
      <c r="AN2580">
        <v>0</v>
      </c>
      <c r="AO2580">
        <v>0</v>
      </c>
      <c r="AP2580">
        <v>0</v>
      </c>
      <c r="AQ2580">
        <v>0</v>
      </c>
      <c r="AR2580">
        <v>1</v>
      </c>
      <c r="AS2580">
        <v>0</v>
      </c>
      <c r="AT2580">
        <v>0</v>
      </c>
      <c r="AU2580">
        <f t="shared" si="78"/>
        <v>0</v>
      </c>
      <c r="AV2580">
        <f t="shared" si="79"/>
        <v>0</v>
      </c>
    </row>
    <row r="2581" spans="1:48" x14ac:dyDescent="0.25">
      <c r="A2581" t="s">
        <v>8859</v>
      </c>
      <c r="C2581" t="s">
        <v>8860</v>
      </c>
      <c r="D2581" t="s">
        <v>8861</v>
      </c>
      <c r="E2581" t="s">
        <v>2310</v>
      </c>
      <c r="F2581">
        <v>8</v>
      </c>
      <c r="G2581">
        <v>8.1999999999999993</v>
      </c>
      <c r="H2581" t="s">
        <v>2022</v>
      </c>
      <c r="I2581" s="21">
        <v>39538</v>
      </c>
      <c r="J2581">
        <v>2008</v>
      </c>
      <c r="K2581" s="21">
        <v>39643</v>
      </c>
      <c r="L2581">
        <v>2008</v>
      </c>
      <c r="M2581" s="21">
        <v>40002.663101851896</v>
      </c>
      <c r="N2581">
        <v>2009</v>
      </c>
      <c r="R2581" s="262">
        <v>90000</v>
      </c>
      <c r="S2581" t="s">
        <v>114</v>
      </c>
      <c r="T2581" t="s">
        <v>114</v>
      </c>
      <c r="U2581">
        <v>5</v>
      </c>
      <c r="W2581">
        <v>460</v>
      </c>
      <c r="X2581">
        <v>0</v>
      </c>
      <c r="Y2581">
        <v>0</v>
      </c>
      <c r="Z2581">
        <v>0</v>
      </c>
      <c r="AA2581">
        <v>0</v>
      </c>
      <c r="AB2581">
        <v>0</v>
      </c>
      <c r="AC2581">
        <v>460</v>
      </c>
      <c r="AD2581">
        <v>0</v>
      </c>
      <c r="AE2581">
        <v>0</v>
      </c>
      <c r="AF2581">
        <v>0</v>
      </c>
      <c r="AG2581">
        <v>0</v>
      </c>
      <c r="AH2581">
        <v>0</v>
      </c>
      <c r="AI2581">
        <v>0</v>
      </c>
      <c r="AJ2581">
        <v>0</v>
      </c>
      <c r="AK2581">
        <v>0</v>
      </c>
      <c r="AL2581">
        <v>0</v>
      </c>
      <c r="AM2581">
        <v>0</v>
      </c>
      <c r="AN2581">
        <v>0</v>
      </c>
      <c r="AO2581">
        <v>0</v>
      </c>
      <c r="AP2581">
        <v>0</v>
      </c>
      <c r="AQ2581">
        <v>0</v>
      </c>
      <c r="AR2581">
        <v>0</v>
      </c>
      <c r="AS2581">
        <v>0</v>
      </c>
      <c r="AT2581">
        <v>0</v>
      </c>
      <c r="AU2581">
        <f t="shared" si="78"/>
        <v>0</v>
      </c>
      <c r="AV2581">
        <f t="shared" si="79"/>
        <v>0</v>
      </c>
    </row>
    <row r="2582" spans="1:48" x14ac:dyDescent="0.25">
      <c r="A2582" t="s">
        <v>8862</v>
      </c>
      <c r="C2582" t="s">
        <v>8863</v>
      </c>
      <c r="D2582" t="s">
        <v>8861</v>
      </c>
      <c r="E2582" t="s">
        <v>2310</v>
      </c>
      <c r="F2582">
        <v>8</v>
      </c>
      <c r="G2582">
        <v>8.1999999999999993</v>
      </c>
      <c r="H2582" t="s">
        <v>2022</v>
      </c>
      <c r="I2582" s="21">
        <v>39538</v>
      </c>
      <c r="J2582">
        <v>2008</v>
      </c>
      <c r="K2582" s="21">
        <v>39630</v>
      </c>
      <c r="L2582">
        <v>2008</v>
      </c>
      <c r="M2582" s="21">
        <v>40002.666504629597</v>
      </c>
      <c r="N2582">
        <v>2009</v>
      </c>
      <c r="R2582" s="262">
        <v>120000</v>
      </c>
      <c r="S2582" t="s">
        <v>114</v>
      </c>
      <c r="T2582" t="s">
        <v>114</v>
      </c>
      <c r="U2582">
        <v>5</v>
      </c>
      <c r="W2582">
        <v>396</v>
      </c>
      <c r="X2582">
        <v>0</v>
      </c>
      <c r="Y2582">
        <v>0</v>
      </c>
      <c r="Z2582">
        <v>0</v>
      </c>
      <c r="AA2582">
        <v>0</v>
      </c>
      <c r="AB2582">
        <v>0</v>
      </c>
      <c r="AC2582">
        <v>396</v>
      </c>
      <c r="AD2582">
        <v>0</v>
      </c>
      <c r="AE2582">
        <v>0</v>
      </c>
      <c r="AF2582">
        <v>0</v>
      </c>
      <c r="AG2582">
        <v>0</v>
      </c>
      <c r="AH2582">
        <v>0</v>
      </c>
      <c r="AI2582">
        <v>0</v>
      </c>
      <c r="AJ2582">
        <v>0</v>
      </c>
      <c r="AK2582">
        <v>0</v>
      </c>
      <c r="AL2582">
        <v>0</v>
      </c>
      <c r="AM2582">
        <v>0</v>
      </c>
      <c r="AN2582">
        <v>0</v>
      </c>
      <c r="AO2582">
        <v>0</v>
      </c>
      <c r="AP2582">
        <v>0</v>
      </c>
      <c r="AQ2582">
        <v>0</v>
      </c>
      <c r="AR2582">
        <v>0</v>
      </c>
      <c r="AS2582">
        <v>0</v>
      </c>
      <c r="AT2582">
        <v>0</v>
      </c>
      <c r="AU2582">
        <f t="shared" si="78"/>
        <v>0</v>
      </c>
      <c r="AV2582">
        <f t="shared" si="79"/>
        <v>0</v>
      </c>
    </row>
    <row r="2583" spans="1:48" x14ac:dyDescent="0.25">
      <c r="A2583" t="s">
        <v>8864</v>
      </c>
      <c r="C2583" t="s">
        <v>8865</v>
      </c>
      <c r="D2583" t="s">
        <v>8866</v>
      </c>
      <c r="E2583" t="s">
        <v>2310</v>
      </c>
      <c r="F2583">
        <v>10</v>
      </c>
      <c r="G2583">
        <v>10.1</v>
      </c>
      <c r="H2583" t="s">
        <v>2323</v>
      </c>
      <c r="I2583" s="21">
        <v>39538</v>
      </c>
      <c r="J2583">
        <v>2008</v>
      </c>
      <c r="K2583" s="21">
        <v>39560</v>
      </c>
      <c r="L2583">
        <v>2008</v>
      </c>
      <c r="M2583" s="21">
        <v>40155.436400462997</v>
      </c>
      <c r="N2583">
        <v>2009</v>
      </c>
      <c r="R2583" s="262">
        <v>4000</v>
      </c>
      <c r="S2583" t="s">
        <v>114</v>
      </c>
      <c r="T2583" t="s">
        <v>114</v>
      </c>
      <c r="U2583">
        <v>5</v>
      </c>
      <c r="W2583">
        <v>80</v>
      </c>
      <c r="X2583">
        <v>0</v>
      </c>
      <c r="Y2583">
        <v>0</v>
      </c>
      <c r="Z2583">
        <v>0</v>
      </c>
      <c r="AA2583">
        <v>0</v>
      </c>
      <c r="AB2583">
        <v>0</v>
      </c>
      <c r="AC2583">
        <v>80</v>
      </c>
      <c r="AD2583">
        <v>0</v>
      </c>
      <c r="AE2583">
        <v>0</v>
      </c>
      <c r="AF2583">
        <v>0</v>
      </c>
      <c r="AG2583">
        <v>0</v>
      </c>
      <c r="AH2583">
        <v>0</v>
      </c>
      <c r="AI2583">
        <v>0</v>
      </c>
      <c r="AJ2583">
        <v>0</v>
      </c>
      <c r="AK2583">
        <v>0</v>
      </c>
      <c r="AL2583">
        <v>0</v>
      </c>
      <c r="AM2583">
        <v>0</v>
      </c>
      <c r="AN2583">
        <v>0</v>
      </c>
      <c r="AO2583">
        <v>0</v>
      </c>
      <c r="AP2583">
        <v>0</v>
      </c>
      <c r="AQ2583">
        <v>0</v>
      </c>
      <c r="AR2583">
        <v>0</v>
      </c>
      <c r="AS2583">
        <v>0</v>
      </c>
      <c r="AT2583">
        <v>0</v>
      </c>
      <c r="AU2583">
        <f t="shared" si="78"/>
        <v>0</v>
      </c>
      <c r="AV2583">
        <f t="shared" si="79"/>
        <v>0</v>
      </c>
    </row>
    <row r="2584" spans="1:48" x14ac:dyDescent="0.25">
      <c r="A2584" t="s">
        <v>8867</v>
      </c>
      <c r="C2584" t="s">
        <v>8868</v>
      </c>
      <c r="D2584" t="s">
        <v>8869</v>
      </c>
      <c r="E2584" t="s">
        <v>2310</v>
      </c>
      <c r="F2584">
        <v>8</v>
      </c>
      <c r="G2584">
        <v>8.3000000000000007</v>
      </c>
      <c r="H2584" t="s">
        <v>2323</v>
      </c>
      <c r="I2584" s="21">
        <v>39538</v>
      </c>
      <c r="J2584">
        <v>2008</v>
      </c>
      <c r="K2584" s="21">
        <v>39576</v>
      </c>
      <c r="L2584">
        <v>2008</v>
      </c>
      <c r="M2584" s="21">
        <v>40406.418634259302</v>
      </c>
      <c r="N2584">
        <v>2010</v>
      </c>
      <c r="R2584" s="262">
        <v>150000</v>
      </c>
      <c r="S2584" t="s">
        <v>114</v>
      </c>
      <c r="T2584" t="s">
        <v>114</v>
      </c>
      <c r="U2584">
        <v>5</v>
      </c>
      <c r="W2584">
        <v>1193</v>
      </c>
      <c r="X2584">
        <v>0</v>
      </c>
      <c r="Y2584">
        <v>0</v>
      </c>
      <c r="Z2584">
        <v>0</v>
      </c>
      <c r="AA2584">
        <v>0</v>
      </c>
      <c r="AB2584">
        <v>0</v>
      </c>
      <c r="AC2584">
        <v>1193</v>
      </c>
      <c r="AD2584">
        <v>0</v>
      </c>
      <c r="AE2584">
        <v>0</v>
      </c>
      <c r="AF2584">
        <v>0</v>
      </c>
      <c r="AG2584">
        <v>0</v>
      </c>
      <c r="AH2584">
        <v>0</v>
      </c>
      <c r="AI2584">
        <v>0</v>
      </c>
      <c r="AJ2584">
        <v>0</v>
      </c>
      <c r="AK2584">
        <v>0</v>
      </c>
      <c r="AL2584">
        <v>0</v>
      </c>
      <c r="AM2584">
        <v>0</v>
      </c>
      <c r="AN2584">
        <v>0</v>
      </c>
      <c r="AO2584">
        <v>0</v>
      </c>
      <c r="AP2584">
        <v>0</v>
      </c>
      <c r="AQ2584">
        <v>0</v>
      </c>
      <c r="AR2584">
        <v>0</v>
      </c>
      <c r="AS2584">
        <v>0</v>
      </c>
      <c r="AT2584">
        <v>0</v>
      </c>
      <c r="AU2584">
        <f t="shared" si="78"/>
        <v>0</v>
      </c>
      <c r="AV2584">
        <f t="shared" si="79"/>
        <v>0</v>
      </c>
    </row>
    <row r="2585" spans="1:48" x14ac:dyDescent="0.25">
      <c r="A2585" t="s">
        <v>8870</v>
      </c>
      <c r="C2585" t="s">
        <v>8871</v>
      </c>
      <c r="D2585" t="s">
        <v>8872</v>
      </c>
      <c r="E2585" t="s">
        <v>2310</v>
      </c>
      <c r="F2585">
        <v>8</v>
      </c>
      <c r="G2585">
        <v>8.1</v>
      </c>
      <c r="H2585" t="s">
        <v>2323</v>
      </c>
      <c r="I2585" s="21">
        <v>39538</v>
      </c>
      <c r="J2585">
        <v>2008</v>
      </c>
      <c r="K2585" s="21">
        <v>39595</v>
      </c>
      <c r="L2585">
        <v>2008</v>
      </c>
      <c r="M2585" s="21">
        <v>40190.543252314797</v>
      </c>
      <c r="N2585">
        <v>2010</v>
      </c>
      <c r="S2585" t="s">
        <v>114</v>
      </c>
      <c r="T2585" t="s">
        <v>114</v>
      </c>
      <c r="U2585">
        <v>5</v>
      </c>
      <c r="W2585">
        <v>9497</v>
      </c>
      <c r="X2585">
        <v>1</v>
      </c>
      <c r="Y2585">
        <v>0</v>
      </c>
      <c r="Z2585">
        <v>0</v>
      </c>
      <c r="AA2585">
        <v>0</v>
      </c>
      <c r="AB2585">
        <v>0</v>
      </c>
      <c r="AC2585">
        <v>9497</v>
      </c>
      <c r="AD2585">
        <v>0</v>
      </c>
      <c r="AE2585">
        <v>0</v>
      </c>
      <c r="AF2585">
        <v>0</v>
      </c>
      <c r="AG2585">
        <v>0</v>
      </c>
      <c r="AH2585">
        <v>0</v>
      </c>
      <c r="AI2585">
        <v>0</v>
      </c>
      <c r="AJ2585">
        <v>0</v>
      </c>
      <c r="AK2585">
        <v>0</v>
      </c>
      <c r="AL2585">
        <v>0</v>
      </c>
      <c r="AM2585">
        <v>0</v>
      </c>
      <c r="AN2585">
        <v>0</v>
      </c>
      <c r="AO2585">
        <v>1</v>
      </c>
      <c r="AP2585">
        <v>0</v>
      </c>
      <c r="AQ2585">
        <v>0</v>
      </c>
      <c r="AR2585">
        <v>0</v>
      </c>
      <c r="AS2585">
        <v>0</v>
      </c>
      <c r="AT2585">
        <v>0</v>
      </c>
      <c r="AU2585">
        <f t="shared" ref="AU2585:AU2648" si="80">SUM(AN2585:AQ2585,AS2585)</f>
        <v>1</v>
      </c>
      <c r="AV2585">
        <f t="shared" ref="AV2585:AV2648" si="81">SUM(Y2585:AB2585,AH2585:AM2585)</f>
        <v>0</v>
      </c>
    </row>
    <row r="2586" spans="1:48" x14ac:dyDescent="0.25">
      <c r="A2586" t="s">
        <v>8873</v>
      </c>
      <c r="C2586" t="s">
        <v>8874</v>
      </c>
      <c r="D2586" t="s">
        <v>8875</v>
      </c>
      <c r="E2586" t="s">
        <v>2310</v>
      </c>
      <c r="F2586">
        <v>11</v>
      </c>
      <c r="G2586">
        <v>11.2</v>
      </c>
      <c r="H2586" t="s">
        <v>2017</v>
      </c>
      <c r="I2586" s="21">
        <v>39539</v>
      </c>
      <c r="J2586">
        <v>2008</v>
      </c>
      <c r="K2586" s="21">
        <v>39575</v>
      </c>
      <c r="L2586">
        <v>2008</v>
      </c>
      <c r="M2586" s="21">
        <v>39776</v>
      </c>
      <c r="N2586">
        <v>2008</v>
      </c>
      <c r="R2586" s="262">
        <v>300000</v>
      </c>
      <c r="S2586" t="s">
        <v>114</v>
      </c>
      <c r="T2586" t="s">
        <v>114</v>
      </c>
      <c r="U2586">
        <v>5</v>
      </c>
      <c r="W2586">
        <v>1453</v>
      </c>
      <c r="X2586">
        <v>0</v>
      </c>
      <c r="Y2586">
        <v>0</v>
      </c>
      <c r="Z2586">
        <v>0</v>
      </c>
      <c r="AA2586">
        <v>0</v>
      </c>
      <c r="AB2586">
        <v>0</v>
      </c>
      <c r="AC2586">
        <v>1453</v>
      </c>
      <c r="AD2586">
        <v>0</v>
      </c>
      <c r="AE2586">
        <v>0</v>
      </c>
      <c r="AF2586">
        <v>0</v>
      </c>
      <c r="AG2586">
        <v>0</v>
      </c>
      <c r="AH2586">
        <v>0</v>
      </c>
      <c r="AI2586">
        <v>0</v>
      </c>
      <c r="AJ2586">
        <v>0</v>
      </c>
      <c r="AK2586">
        <v>0</v>
      </c>
      <c r="AL2586">
        <v>0</v>
      </c>
      <c r="AM2586">
        <v>0</v>
      </c>
      <c r="AN2586">
        <v>0</v>
      </c>
      <c r="AO2586">
        <v>0</v>
      </c>
      <c r="AP2586">
        <v>0</v>
      </c>
      <c r="AQ2586">
        <v>0</v>
      </c>
      <c r="AR2586">
        <v>0</v>
      </c>
      <c r="AS2586">
        <v>0</v>
      </c>
      <c r="AT2586">
        <v>0</v>
      </c>
      <c r="AU2586">
        <f t="shared" si="80"/>
        <v>0</v>
      </c>
      <c r="AV2586">
        <f t="shared" si="81"/>
        <v>0</v>
      </c>
    </row>
    <row r="2587" spans="1:48" x14ac:dyDescent="0.25">
      <c r="A2587" t="s">
        <v>8876</v>
      </c>
      <c r="C2587" t="s">
        <v>8877</v>
      </c>
      <c r="D2587" t="s">
        <v>7454</v>
      </c>
      <c r="E2587" t="s">
        <v>2310</v>
      </c>
      <c r="F2587">
        <v>15</v>
      </c>
      <c r="G2587">
        <v>15.1</v>
      </c>
      <c r="H2587" t="s">
        <v>2022</v>
      </c>
      <c r="I2587" s="21">
        <v>39539</v>
      </c>
      <c r="J2587">
        <v>2008</v>
      </c>
      <c r="K2587" s="21">
        <v>39612</v>
      </c>
      <c r="L2587">
        <v>2008</v>
      </c>
      <c r="M2587" s="21">
        <v>40050.475324074097</v>
      </c>
      <c r="N2587">
        <v>2009</v>
      </c>
      <c r="Q2587" s="262">
        <v>760000</v>
      </c>
      <c r="R2587" s="262">
        <v>760000</v>
      </c>
      <c r="S2587" t="s">
        <v>114</v>
      </c>
      <c r="T2587" t="s">
        <v>114</v>
      </c>
      <c r="U2587">
        <v>5</v>
      </c>
      <c r="W2587">
        <v>5636</v>
      </c>
      <c r="X2587">
        <v>1</v>
      </c>
      <c r="Y2587">
        <v>0</v>
      </c>
      <c r="Z2587">
        <v>0</v>
      </c>
      <c r="AA2587">
        <v>0</v>
      </c>
      <c r="AB2587">
        <v>0</v>
      </c>
      <c r="AC2587">
        <v>5636</v>
      </c>
      <c r="AD2587">
        <v>0</v>
      </c>
      <c r="AE2587">
        <v>0</v>
      </c>
      <c r="AF2587">
        <v>0</v>
      </c>
      <c r="AG2587">
        <v>0</v>
      </c>
      <c r="AH2587">
        <v>0</v>
      </c>
      <c r="AI2587">
        <v>0</v>
      </c>
      <c r="AJ2587">
        <v>0</v>
      </c>
      <c r="AK2587">
        <v>0</v>
      </c>
      <c r="AL2587">
        <v>0</v>
      </c>
      <c r="AM2587">
        <v>0</v>
      </c>
      <c r="AN2587">
        <v>0</v>
      </c>
      <c r="AO2587">
        <v>1</v>
      </c>
      <c r="AP2587">
        <v>0</v>
      </c>
      <c r="AQ2587">
        <v>0</v>
      </c>
      <c r="AR2587">
        <v>0</v>
      </c>
      <c r="AS2587">
        <v>0</v>
      </c>
      <c r="AT2587">
        <v>0</v>
      </c>
      <c r="AU2587">
        <f t="shared" si="80"/>
        <v>1</v>
      </c>
      <c r="AV2587">
        <f t="shared" si="81"/>
        <v>0</v>
      </c>
    </row>
    <row r="2588" spans="1:48" x14ac:dyDescent="0.25">
      <c r="A2588" t="s">
        <v>8878</v>
      </c>
      <c r="C2588" t="s">
        <v>8879</v>
      </c>
      <c r="D2588" t="s">
        <v>7454</v>
      </c>
      <c r="E2588" t="s">
        <v>2310</v>
      </c>
      <c r="F2588">
        <v>15</v>
      </c>
      <c r="G2588">
        <v>15.1</v>
      </c>
      <c r="H2588" t="s">
        <v>2022</v>
      </c>
      <c r="I2588" s="21">
        <v>39539</v>
      </c>
      <c r="J2588">
        <v>2008</v>
      </c>
      <c r="K2588" s="21">
        <v>39615</v>
      </c>
      <c r="L2588">
        <v>2008</v>
      </c>
      <c r="M2588" s="21">
        <v>40050.550312500003</v>
      </c>
      <c r="N2588">
        <v>2009</v>
      </c>
      <c r="R2588" s="262">
        <v>225000</v>
      </c>
      <c r="S2588" t="s">
        <v>114</v>
      </c>
      <c r="T2588" t="s">
        <v>114</v>
      </c>
      <c r="U2588">
        <v>8</v>
      </c>
      <c r="W2588">
        <v>995</v>
      </c>
      <c r="X2588">
        <v>1</v>
      </c>
      <c r="Y2588">
        <v>0</v>
      </c>
      <c r="Z2588">
        <v>0</v>
      </c>
      <c r="AA2588">
        <v>0</v>
      </c>
      <c r="AB2588">
        <v>0</v>
      </c>
      <c r="AC2588">
        <v>0</v>
      </c>
      <c r="AD2588">
        <v>0</v>
      </c>
      <c r="AE2588">
        <v>0</v>
      </c>
      <c r="AF2588">
        <v>995</v>
      </c>
      <c r="AG2588">
        <v>0</v>
      </c>
      <c r="AH2588">
        <v>0</v>
      </c>
      <c r="AI2588">
        <v>0</v>
      </c>
      <c r="AJ2588">
        <v>0</v>
      </c>
      <c r="AK2588">
        <v>0</v>
      </c>
      <c r="AL2588">
        <v>0</v>
      </c>
      <c r="AM2588">
        <v>0</v>
      </c>
      <c r="AN2588">
        <v>0</v>
      </c>
      <c r="AO2588">
        <v>0</v>
      </c>
      <c r="AP2588">
        <v>0</v>
      </c>
      <c r="AQ2588">
        <v>0</v>
      </c>
      <c r="AR2588">
        <v>1</v>
      </c>
      <c r="AS2588">
        <v>0</v>
      </c>
      <c r="AT2588">
        <v>0</v>
      </c>
      <c r="AU2588">
        <f t="shared" si="80"/>
        <v>0</v>
      </c>
      <c r="AV2588">
        <f t="shared" si="81"/>
        <v>0</v>
      </c>
    </row>
    <row r="2589" spans="1:48" x14ac:dyDescent="0.25">
      <c r="A2589" t="s">
        <v>8880</v>
      </c>
      <c r="C2589" t="s">
        <v>8881</v>
      </c>
      <c r="D2589" t="s">
        <v>7454</v>
      </c>
      <c r="E2589" t="s">
        <v>2310</v>
      </c>
      <c r="F2589">
        <v>15</v>
      </c>
      <c r="G2589">
        <v>15.1</v>
      </c>
      <c r="H2589" t="s">
        <v>2022</v>
      </c>
      <c r="I2589" s="21">
        <v>39539</v>
      </c>
      <c r="J2589">
        <v>2008</v>
      </c>
      <c r="K2589" s="21">
        <v>39615</v>
      </c>
      <c r="L2589">
        <v>2008</v>
      </c>
      <c r="M2589" s="21">
        <v>40050.554155092599</v>
      </c>
      <c r="N2589">
        <v>2009</v>
      </c>
      <c r="R2589" s="262">
        <v>175000</v>
      </c>
      <c r="S2589" t="s">
        <v>114</v>
      </c>
      <c r="T2589" t="s">
        <v>114</v>
      </c>
      <c r="U2589">
        <v>5</v>
      </c>
      <c r="W2589">
        <v>2170</v>
      </c>
      <c r="X2589">
        <v>0</v>
      </c>
      <c r="Y2589">
        <v>0</v>
      </c>
      <c r="Z2589">
        <v>0</v>
      </c>
      <c r="AA2589">
        <v>0</v>
      </c>
      <c r="AB2589">
        <v>0</v>
      </c>
      <c r="AC2589">
        <v>2170</v>
      </c>
      <c r="AD2589">
        <v>0</v>
      </c>
      <c r="AE2589">
        <v>0</v>
      </c>
      <c r="AF2589">
        <v>0</v>
      </c>
      <c r="AG2589">
        <v>0</v>
      </c>
      <c r="AH2589">
        <v>0</v>
      </c>
      <c r="AI2589">
        <v>0</v>
      </c>
      <c r="AJ2589">
        <v>0</v>
      </c>
      <c r="AK2589">
        <v>0</v>
      </c>
      <c r="AL2589">
        <v>0</v>
      </c>
      <c r="AM2589">
        <v>0</v>
      </c>
      <c r="AN2589">
        <v>0</v>
      </c>
      <c r="AO2589">
        <v>0</v>
      </c>
      <c r="AP2589">
        <v>0</v>
      </c>
      <c r="AQ2589">
        <v>0</v>
      </c>
      <c r="AR2589">
        <v>0</v>
      </c>
      <c r="AS2589">
        <v>0</v>
      </c>
      <c r="AT2589">
        <v>0</v>
      </c>
      <c r="AU2589">
        <f t="shared" si="80"/>
        <v>0</v>
      </c>
      <c r="AV2589">
        <f t="shared" si="81"/>
        <v>0</v>
      </c>
    </row>
    <row r="2590" spans="1:48" x14ac:dyDescent="0.25">
      <c r="A2590" t="s">
        <v>8882</v>
      </c>
      <c r="C2590" t="s">
        <v>8883</v>
      </c>
      <c r="D2590" t="s">
        <v>1585</v>
      </c>
      <c r="E2590" t="s">
        <v>2310</v>
      </c>
      <c r="F2590">
        <v>9</v>
      </c>
      <c r="G2590">
        <v>9.1999999999999993</v>
      </c>
      <c r="H2590" t="s">
        <v>2022</v>
      </c>
      <c r="I2590" s="21">
        <v>39539</v>
      </c>
      <c r="J2590">
        <v>2008</v>
      </c>
      <c r="K2590" s="21">
        <v>39582</v>
      </c>
      <c r="L2590">
        <v>2008</v>
      </c>
      <c r="M2590" s="21">
        <v>39804</v>
      </c>
      <c r="N2590">
        <v>2008</v>
      </c>
      <c r="R2590" s="262">
        <v>124000</v>
      </c>
      <c r="S2590" t="s">
        <v>114</v>
      </c>
      <c r="T2590" t="s">
        <v>114</v>
      </c>
      <c r="U2590">
        <v>15</v>
      </c>
      <c r="W2590">
        <v>1296</v>
      </c>
      <c r="X2590">
        <v>0</v>
      </c>
      <c r="Y2590">
        <v>0</v>
      </c>
      <c r="Z2590">
        <v>0</v>
      </c>
      <c r="AA2590">
        <v>0</v>
      </c>
      <c r="AB2590">
        <v>0</v>
      </c>
      <c r="AC2590">
        <v>0</v>
      </c>
      <c r="AD2590">
        <v>0</v>
      </c>
      <c r="AE2590">
        <v>0</v>
      </c>
      <c r="AF2590">
        <v>0</v>
      </c>
      <c r="AG2590">
        <v>0</v>
      </c>
      <c r="AH2590">
        <v>0</v>
      </c>
      <c r="AI2590">
        <v>0</v>
      </c>
      <c r="AJ2590">
        <v>0</v>
      </c>
      <c r="AK2590">
        <v>0</v>
      </c>
      <c r="AL2590">
        <v>0</v>
      </c>
      <c r="AM2590">
        <v>1296</v>
      </c>
      <c r="AN2590">
        <v>0</v>
      </c>
      <c r="AO2590">
        <v>0</v>
      </c>
      <c r="AP2590">
        <v>0</v>
      </c>
      <c r="AQ2590">
        <v>0</v>
      </c>
      <c r="AR2590">
        <v>0</v>
      </c>
      <c r="AS2590">
        <v>0</v>
      </c>
      <c r="AT2590">
        <v>0</v>
      </c>
      <c r="AU2590">
        <f t="shared" si="80"/>
        <v>0</v>
      </c>
      <c r="AV2590">
        <f t="shared" si="81"/>
        <v>1296</v>
      </c>
    </row>
    <row r="2591" spans="1:48" x14ac:dyDescent="0.25">
      <c r="A2591" t="s">
        <v>8884</v>
      </c>
      <c r="C2591" t="s">
        <v>8885</v>
      </c>
      <c r="D2591" t="s">
        <v>8886</v>
      </c>
      <c r="E2591" t="s">
        <v>2310</v>
      </c>
      <c r="F2591">
        <v>5</v>
      </c>
      <c r="G2591">
        <v>5.5</v>
      </c>
      <c r="H2591" t="s">
        <v>2017</v>
      </c>
      <c r="I2591" s="21">
        <v>39539</v>
      </c>
      <c r="J2591">
        <v>2008</v>
      </c>
      <c r="K2591" s="21">
        <v>39560</v>
      </c>
      <c r="L2591">
        <v>2008</v>
      </c>
      <c r="M2591" s="21">
        <v>40227.401261574101</v>
      </c>
      <c r="N2591">
        <v>2010</v>
      </c>
      <c r="R2591" s="262">
        <v>90000</v>
      </c>
      <c r="S2591" t="s">
        <v>114</v>
      </c>
      <c r="T2591" t="s">
        <v>114</v>
      </c>
      <c r="U2591">
        <v>5</v>
      </c>
      <c r="W2591">
        <v>104</v>
      </c>
      <c r="X2591">
        <v>1</v>
      </c>
      <c r="Y2591">
        <v>0</v>
      </c>
      <c r="Z2591">
        <v>0</v>
      </c>
      <c r="AA2591">
        <v>0</v>
      </c>
      <c r="AB2591">
        <v>0</v>
      </c>
      <c r="AC2591">
        <v>104</v>
      </c>
      <c r="AD2591">
        <v>0</v>
      </c>
      <c r="AE2591">
        <v>0</v>
      </c>
      <c r="AF2591">
        <v>0</v>
      </c>
      <c r="AG2591">
        <v>0</v>
      </c>
      <c r="AH2591">
        <v>0</v>
      </c>
      <c r="AI2591">
        <v>0</v>
      </c>
      <c r="AJ2591">
        <v>0</v>
      </c>
      <c r="AK2591">
        <v>0</v>
      </c>
      <c r="AL2591">
        <v>0</v>
      </c>
      <c r="AM2591">
        <v>0</v>
      </c>
      <c r="AN2591">
        <v>0</v>
      </c>
      <c r="AO2591">
        <v>1</v>
      </c>
      <c r="AP2591">
        <v>0</v>
      </c>
      <c r="AQ2591">
        <v>0</v>
      </c>
      <c r="AR2591">
        <v>0</v>
      </c>
      <c r="AS2591">
        <v>0</v>
      </c>
      <c r="AT2591">
        <v>0</v>
      </c>
      <c r="AU2591">
        <f t="shared" si="80"/>
        <v>1</v>
      </c>
      <c r="AV2591">
        <f t="shared" si="81"/>
        <v>0</v>
      </c>
    </row>
    <row r="2592" spans="1:48" x14ac:dyDescent="0.25">
      <c r="A2592" t="s">
        <v>8887</v>
      </c>
      <c r="C2592" t="s">
        <v>8888</v>
      </c>
      <c r="D2592" t="s">
        <v>8889</v>
      </c>
      <c r="E2592" t="s">
        <v>1663</v>
      </c>
      <c r="F2592">
        <v>1</v>
      </c>
      <c r="G2592">
        <v>1.2</v>
      </c>
      <c r="H2592" t="s">
        <v>2017</v>
      </c>
      <c r="I2592" s="21">
        <v>39540</v>
      </c>
      <c r="J2592">
        <v>2008</v>
      </c>
      <c r="K2592" s="21">
        <v>39570</v>
      </c>
      <c r="L2592">
        <v>2008</v>
      </c>
      <c r="M2592" s="21">
        <v>39723</v>
      </c>
      <c r="N2592">
        <v>2008</v>
      </c>
      <c r="Q2592" s="262">
        <v>0</v>
      </c>
      <c r="S2592" t="s">
        <v>114</v>
      </c>
      <c r="T2592" t="s">
        <v>114</v>
      </c>
      <c r="W2592">
        <v>10386</v>
      </c>
      <c r="X2592">
        <v>1</v>
      </c>
      <c r="Y2592">
        <v>0</v>
      </c>
      <c r="Z2592">
        <v>0</v>
      </c>
      <c r="AA2592">
        <v>0</v>
      </c>
      <c r="AB2592">
        <v>0</v>
      </c>
      <c r="AC2592">
        <v>0</v>
      </c>
      <c r="AD2592">
        <v>5193</v>
      </c>
      <c r="AE2592">
        <v>0</v>
      </c>
      <c r="AF2592">
        <v>0</v>
      </c>
      <c r="AG2592">
        <v>0</v>
      </c>
      <c r="AH2592">
        <v>0</v>
      </c>
      <c r="AI2592">
        <v>0</v>
      </c>
      <c r="AJ2592">
        <v>5193</v>
      </c>
      <c r="AK2592">
        <v>0</v>
      </c>
      <c r="AL2592">
        <v>0</v>
      </c>
      <c r="AM2592">
        <v>0</v>
      </c>
      <c r="AN2592">
        <v>0</v>
      </c>
      <c r="AO2592">
        <v>0</v>
      </c>
      <c r="AP2592">
        <v>1</v>
      </c>
      <c r="AQ2592">
        <v>0</v>
      </c>
      <c r="AR2592">
        <v>0</v>
      </c>
      <c r="AS2592">
        <v>0</v>
      </c>
      <c r="AT2592">
        <v>0</v>
      </c>
      <c r="AU2592">
        <f t="shared" si="80"/>
        <v>1</v>
      </c>
      <c r="AV2592">
        <f t="shared" si="81"/>
        <v>5193</v>
      </c>
    </row>
    <row r="2593" spans="1:48" x14ac:dyDescent="0.25">
      <c r="A2593" t="s">
        <v>8890</v>
      </c>
      <c r="C2593" t="s">
        <v>8891</v>
      </c>
      <c r="D2593" t="s">
        <v>6143</v>
      </c>
      <c r="E2593" t="s">
        <v>2310</v>
      </c>
      <c r="F2593">
        <v>11</v>
      </c>
      <c r="G2593">
        <v>11.2</v>
      </c>
      <c r="H2593" t="s">
        <v>2017</v>
      </c>
      <c r="I2593" s="21">
        <v>39541</v>
      </c>
      <c r="J2593">
        <v>2008</v>
      </c>
      <c r="K2593" s="21">
        <v>39612</v>
      </c>
      <c r="L2593">
        <v>2008</v>
      </c>
      <c r="M2593" s="21">
        <v>40002.7034837963</v>
      </c>
      <c r="N2593">
        <v>2009</v>
      </c>
      <c r="R2593" s="262">
        <v>130000</v>
      </c>
      <c r="S2593" t="s">
        <v>114</v>
      </c>
      <c r="T2593" t="s">
        <v>114</v>
      </c>
      <c r="U2593">
        <v>8</v>
      </c>
      <c r="W2593">
        <v>0</v>
      </c>
      <c r="X2593">
        <v>1</v>
      </c>
      <c r="Y2593">
        <v>0</v>
      </c>
      <c r="Z2593">
        <v>0</v>
      </c>
      <c r="AA2593">
        <v>0</v>
      </c>
      <c r="AB2593">
        <v>0</v>
      </c>
      <c r="AC2593">
        <v>0</v>
      </c>
      <c r="AD2593">
        <v>0</v>
      </c>
      <c r="AE2593">
        <v>0</v>
      </c>
      <c r="AF2593">
        <v>0</v>
      </c>
      <c r="AG2593">
        <v>0</v>
      </c>
      <c r="AH2593">
        <v>0</v>
      </c>
      <c r="AI2593">
        <v>0</v>
      </c>
      <c r="AJ2593">
        <v>0</v>
      </c>
      <c r="AK2593">
        <v>0</v>
      </c>
      <c r="AL2593">
        <v>0</v>
      </c>
      <c r="AM2593">
        <v>0</v>
      </c>
      <c r="AN2593">
        <v>0</v>
      </c>
      <c r="AO2593">
        <v>0</v>
      </c>
      <c r="AP2593">
        <v>0</v>
      </c>
      <c r="AQ2593">
        <v>0</v>
      </c>
      <c r="AR2593">
        <v>1</v>
      </c>
      <c r="AS2593">
        <v>0</v>
      </c>
      <c r="AT2593">
        <v>0</v>
      </c>
      <c r="AU2593">
        <f t="shared" si="80"/>
        <v>0</v>
      </c>
      <c r="AV2593">
        <f t="shared" si="81"/>
        <v>0</v>
      </c>
    </row>
    <row r="2594" spans="1:48" x14ac:dyDescent="0.25">
      <c r="A2594" t="s">
        <v>8892</v>
      </c>
      <c r="C2594" t="s">
        <v>8893</v>
      </c>
      <c r="D2594" t="s">
        <v>8894</v>
      </c>
      <c r="E2594" t="s">
        <v>2310</v>
      </c>
      <c r="F2594">
        <v>7</v>
      </c>
      <c r="G2594">
        <v>7.1</v>
      </c>
      <c r="H2594" t="s">
        <v>2017</v>
      </c>
      <c r="I2594" s="21">
        <v>39541</v>
      </c>
      <c r="J2594">
        <v>2008</v>
      </c>
      <c r="K2594" s="21">
        <v>39651</v>
      </c>
      <c r="L2594">
        <v>2008</v>
      </c>
      <c r="M2594" s="21">
        <v>40211.631782407399</v>
      </c>
      <c r="N2594">
        <v>2010</v>
      </c>
      <c r="R2594" s="262">
        <v>900000</v>
      </c>
      <c r="S2594" t="s">
        <v>114</v>
      </c>
      <c r="T2594" t="s">
        <v>114</v>
      </c>
      <c r="U2594">
        <v>21</v>
      </c>
      <c r="W2594">
        <v>8849</v>
      </c>
      <c r="X2594">
        <v>3</v>
      </c>
      <c r="Y2594">
        <v>0</v>
      </c>
      <c r="Z2594">
        <v>0</v>
      </c>
      <c r="AA2594">
        <v>0</v>
      </c>
      <c r="AB2594">
        <v>0</v>
      </c>
      <c r="AC2594">
        <v>0</v>
      </c>
      <c r="AD2594">
        <v>0</v>
      </c>
      <c r="AE2594">
        <v>2463</v>
      </c>
      <c r="AF2594">
        <v>0</v>
      </c>
      <c r="AG2594">
        <v>0</v>
      </c>
      <c r="AH2594">
        <v>0</v>
      </c>
      <c r="AI2594">
        <v>0</v>
      </c>
      <c r="AJ2594">
        <v>0</v>
      </c>
      <c r="AK2594">
        <v>0</v>
      </c>
      <c r="AL2594">
        <v>6386</v>
      </c>
      <c r="AM2594">
        <v>0</v>
      </c>
      <c r="AN2594">
        <v>0</v>
      </c>
      <c r="AO2594">
        <v>0</v>
      </c>
      <c r="AP2594">
        <v>0</v>
      </c>
      <c r="AQ2594">
        <v>3</v>
      </c>
      <c r="AR2594">
        <v>0</v>
      </c>
      <c r="AS2594">
        <v>0</v>
      </c>
      <c r="AT2594">
        <v>0</v>
      </c>
      <c r="AU2594">
        <f t="shared" si="80"/>
        <v>3</v>
      </c>
      <c r="AV2594">
        <f t="shared" si="81"/>
        <v>6386</v>
      </c>
    </row>
    <row r="2595" spans="1:48" x14ac:dyDescent="0.25">
      <c r="A2595" t="s">
        <v>8895</v>
      </c>
      <c r="C2595" t="s">
        <v>8896</v>
      </c>
      <c r="D2595" t="s">
        <v>8897</v>
      </c>
      <c r="E2595" t="s">
        <v>2310</v>
      </c>
      <c r="F2595">
        <v>9</v>
      </c>
      <c r="G2595">
        <v>9.4</v>
      </c>
      <c r="H2595" t="s">
        <v>2323</v>
      </c>
      <c r="I2595" s="21">
        <v>39541</v>
      </c>
      <c r="J2595">
        <v>2008</v>
      </c>
      <c r="K2595" s="21">
        <v>39597</v>
      </c>
      <c r="L2595">
        <v>2008</v>
      </c>
      <c r="M2595" s="21">
        <v>40017.410034722197</v>
      </c>
      <c r="N2595">
        <v>2009</v>
      </c>
      <c r="R2595" s="262">
        <v>1100000</v>
      </c>
      <c r="S2595" t="s">
        <v>114</v>
      </c>
      <c r="T2595" t="s">
        <v>114</v>
      </c>
      <c r="U2595">
        <v>5</v>
      </c>
      <c r="W2595">
        <v>2628</v>
      </c>
      <c r="X2595">
        <v>0</v>
      </c>
      <c r="Y2595">
        <v>0</v>
      </c>
      <c r="Z2595">
        <v>0</v>
      </c>
      <c r="AA2595">
        <v>0</v>
      </c>
      <c r="AB2595">
        <v>0</v>
      </c>
      <c r="AC2595">
        <v>2628</v>
      </c>
      <c r="AD2595">
        <v>0</v>
      </c>
      <c r="AE2595">
        <v>0</v>
      </c>
      <c r="AF2595">
        <v>0</v>
      </c>
      <c r="AG2595">
        <v>0</v>
      </c>
      <c r="AH2595">
        <v>0</v>
      </c>
      <c r="AI2595">
        <v>0</v>
      </c>
      <c r="AJ2595">
        <v>0</v>
      </c>
      <c r="AK2595">
        <v>0</v>
      </c>
      <c r="AL2595">
        <v>0</v>
      </c>
      <c r="AM2595">
        <v>0</v>
      </c>
      <c r="AN2595">
        <v>0</v>
      </c>
      <c r="AO2595">
        <v>0</v>
      </c>
      <c r="AP2595">
        <v>0</v>
      </c>
      <c r="AQ2595">
        <v>0</v>
      </c>
      <c r="AR2595">
        <v>0</v>
      </c>
      <c r="AS2595">
        <v>0</v>
      </c>
      <c r="AT2595">
        <v>0</v>
      </c>
      <c r="AU2595">
        <f t="shared" si="80"/>
        <v>0</v>
      </c>
      <c r="AV2595">
        <f t="shared" si="81"/>
        <v>0</v>
      </c>
    </row>
    <row r="2596" spans="1:48" x14ac:dyDescent="0.25">
      <c r="A2596" t="s">
        <v>8898</v>
      </c>
      <c r="C2596" t="s">
        <v>8899</v>
      </c>
      <c r="D2596" t="s">
        <v>8900</v>
      </c>
      <c r="E2596" t="s">
        <v>2310</v>
      </c>
      <c r="F2596">
        <v>9</v>
      </c>
      <c r="G2596">
        <v>9.4</v>
      </c>
      <c r="H2596" t="s">
        <v>2323</v>
      </c>
      <c r="I2596" s="21">
        <v>39545</v>
      </c>
      <c r="J2596">
        <v>2008</v>
      </c>
      <c r="K2596" s="21">
        <v>39610</v>
      </c>
      <c r="L2596">
        <v>2008</v>
      </c>
      <c r="M2596" s="21">
        <v>40876.679166666698</v>
      </c>
      <c r="N2596">
        <v>2011</v>
      </c>
      <c r="R2596" s="262">
        <v>246000</v>
      </c>
      <c r="S2596" t="s">
        <v>114</v>
      </c>
      <c r="T2596" t="s">
        <v>114</v>
      </c>
      <c r="U2596">
        <v>5</v>
      </c>
      <c r="W2596">
        <v>2617</v>
      </c>
      <c r="X2596">
        <v>2</v>
      </c>
      <c r="Y2596">
        <v>0</v>
      </c>
      <c r="Z2596">
        <v>0</v>
      </c>
      <c r="AA2596">
        <v>0</v>
      </c>
      <c r="AB2596">
        <v>0</v>
      </c>
      <c r="AC2596">
        <v>2617</v>
      </c>
      <c r="AD2596">
        <v>0</v>
      </c>
      <c r="AE2596">
        <v>0</v>
      </c>
      <c r="AF2596">
        <v>0</v>
      </c>
      <c r="AG2596">
        <v>0</v>
      </c>
      <c r="AH2596">
        <v>0</v>
      </c>
      <c r="AI2596">
        <v>0</v>
      </c>
      <c r="AJ2596">
        <v>0</v>
      </c>
      <c r="AK2596">
        <v>0</v>
      </c>
      <c r="AL2596">
        <v>0</v>
      </c>
      <c r="AM2596">
        <v>0</v>
      </c>
      <c r="AN2596">
        <v>0</v>
      </c>
      <c r="AO2596">
        <v>2</v>
      </c>
      <c r="AP2596">
        <v>0</v>
      </c>
      <c r="AQ2596">
        <v>0</v>
      </c>
      <c r="AR2596">
        <v>0</v>
      </c>
      <c r="AS2596">
        <v>0</v>
      </c>
      <c r="AT2596">
        <v>0</v>
      </c>
      <c r="AU2596">
        <f t="shared" si="80"/>
        <v>2</v>
      </c>
      <c r="AV2596">
        <f t="shared" si="81"/>
        <v>0</v>
      </c>
    </row>
    <row r="2597" spans="1:48" x14ac:dyDescent="0.25">
      <c r="A2597" t="s">
        <v>8901</v>
      </c>
      <c r="C2597" t="s">
        <v>3870</v>
      </c>
      <c r="D2597" t="s">
        <v>8902</v>
      </c>
      <c r="E2597" t="s">
        <v>2310</v>
      </c>
      <c r="F2597">
        <v>12</v>
      </c>
      <c r="G2597">
        <v>12.2</v>
      </c>
      <c r="H2597" t="s">
        <v>2017</v>
      </c>
      <c r="I2597" s="21">
        <v>39546</v>
      </c>
      <c r="J2597">
        <v>2008</v>
      </c>
      <c r="K2597" s="21">
        <v>39595</v>
      </c>
      <c r="L2597">
        <v>2008</v>
      </c>
      <c r="M2597" s="21">
        <v>40017.4148263889</v>
      </c>
      <c r="N2597">
        <v>2009</v>
      </c>
      <c r="R2597" s="262">
        <v>90000</v>
      </c>
      <c r="S2597" t="s">
        <v>114</v>
      </c>
      <c r="T2597" t="s">
        <v>114</v>
      </c>
      <c r="U2597">
        <v>5</v>
      </c>
      <c r="W2597">
        <v>1357</v>
      </c>
      <c r="X2597">
        <v>0</v>
      </c>
      <c r="Y2597">
        <v>0</v>
      </c>
      <c r="Z2597">
        <v>0</v>
      </c>
      <c r="AA2597">
        <v>0</v>
      </c>
      <c r="AB2597">
        <v>0</v>
      </c>
      <c r="AC2597">
        <v>1357</v>
      </c>
      <c r="AD2597">
        <v>0</v>
      </c>
      <c r="AE2597">
        <v>0</v>
      </c>
      <c r="AF2597">
        <v>0</v>
      </c>
      <c r="AG2597">
        <v>0</v>
      </c>
      <c r="AH2597">
        <v>0</v>
      </c>
      <c r="AI2597">
        <v>0</v>
      </c>
      <c r="AJ2597">
        <v>0</v>
      </c>
      <c r="AK2597">
        <v>0</v>
      </c>
      <c r="AL2597">
        <v>0</v>
      </c>
      <c r="AM2597">
        <v>0</v>
      </c>
      <c r="AN2597">
        <v>0</v>
      </c>
      <c r="AO2597">
        <v>0</v>
      </c>
      <c r="AP2597">
        <v>0</v>
      </c>
      <c r="AQ2597">
        <v>0</v>
      </c>
      <c r="AR2597">
        <v>0</v>
      </c>
      <c r="AS2597">
        <v>0</v>
      </c>
      <c r="AT2597">
        <v>0</v>
      </c>
      <c r="AU2597">
        <f t="shared" si="80"/>
        <v>0</v>
      </c>
      <c r="AV2597">
        <f t="shared" si="81"/>
        <v>0</v>
      </c>
    </row>
    <row r="2598" spans="1:48" x14ac:dyDescent="0.25">
      <c r="A2598" t="s">
        <v>8903</v>
      </c>
      <c r="C2598" t="s">
        <v>8757</v>
      </c>
      <c r="D2598" t="s">
        <v>8904</v>
      </c>
      <c r="E2598" t="s">
        <v>2310</v>
      </c>
      <c r="F2598">
        <v>10</v>
      </c>
      <c r="G2598">
        <v>10.1</v>
      </c>
      <c r="H2598" t="s">
        <v>2323</v>
      </c>
      <c r="I2598" s="21">
        <v>39546</v>
      </c>
      <c r="J2598">
        <v>2008</v>
      </c>
      <c r="K2598" s="21">
        <v>39596</v>
      </c>
      <c r="L2598">
        <v>2008</v>
      </c>
      <c r="M2598" s="21">
        <v>39748</v>
      </c>
      <c r="N2598">
        <v>2008</v>
      </c>
      <c r="R2598" s="262">
        <v>785000</v>
      </c>
      <c r="S2598" t="s">
        <v>114</v>
      </c>
      <c r="T2598" t="s">
        <v>114</v>
      </c>
      <c r="U2598">
        <v>5</v>
      </c>
      <c r="W2598">
        <v>3925</v>
      </c>
      <c r="X2598">
        <v>1</v>
      </c>
      <c r="Y2598">
        <v>0</v>
      </c>
      <c r="Z2598">
        <v>0</v>
      </c>
      <c r="AA2598">
        <v>0</v>
      </c>
      <c r="AB2598">
        <v>0</v>
      </c>
      <c r="AC2598">
        <v>3925</v>
      </c>
      <c r="AD2598">
        <v>0</v>
      </c>
      <c r="AE2598">
        <v>0</v>
      </c>
      <c r="AF2598">
        <v>0</v>
      </c>
      <c r="AG2598">
        <v>0</v>
      </c>
      <c r="AH2598">
        <v>0</v>
      </c>
      <c r="AI2598">
        <v>0</v>
      </c>
      <c r="AJ2598">
        <v>0</v>
      </c>
      <c r="AK2598">
        <v>0</v>
      </c>
      <c r="AL2598">
        <v>0</v>
      </c>
      <c r="AM2598">
        <v>0</v>
      </c>
      <c r="AN2598">
        <v>0</v>
      </c>
      <c r="AO2598">
        <v>1</v>
      </c>
      <c r="AP2598">
        <v>0</v>
      </c>
      <c r="AQ2598">
        <v>0</v>
      </c>
      <c r="AR2598">
        <v>0</v>
      </c>
      <c r="AS2598">
        <v>0</v>
      </c>
      <c r="AT2598">
        <v>0</v>
      </c>
      <c r="AU2598">
        <f t="shared" si="80"/>
        <v>1</v>
      </c>
      <c r="AV2598">
        <f t="shared" si="81"/>
        <v>0</v>
      </c>
    </row>
    <row r="2599" spans="1:48" x14ac:dyDescent="0.25">
      <c r="A2599" t="s">
        <v>8905</v>
      </c>
      <c r="C2599" t="s">
        <v>8906</v>
      </c>
      <c r="D2599" t="s">
        <v>8907</v>
      </c>
      <c r="E2599" t="s">
        <v>2310</v>
      </c>
      <c r="F2599">
        <v>8</v>
      </c>
      <c r="G2599">
        <v>8.1</v>
      </c>
      <c r="H2599" t="s">
        <v>2323</v>
      </c>
      <c r="I2599" s="21">
        <v>39546</v>
      </c>
      <c r="J2599">
        <v>2008</v>
      </c>
      <c r="K2599" s="21">
        <v>39560</v>
      </c>
      <c r="L2599">
        <v>2008</v>
      </c>
      <c r="M2599" s="21">
        <v>39749</v>
      </c>
      <c r="N2599">
        <v>2008</v>
      </c>
      <c r="R2599" s="262">
        <v>30000</v>
      </c>
      <c r="S2599" t="s">
        <v>114</v>
      </c>
      <c r="T2599" t="s">
        <v>114</v>
      </c>
      <c r="U2599">
        <v>5</v>
      </c>
      <c r="W2599">
        <v>178</v>
      </c>
      <c r="X2599">
        <v>0</v>
      </c>
      <c r="Y2599">
        <v>0</v>
      </c>
      <c r="Z2599">
        <v>0</v>
      </c>
      <c r="AA2599">
        <v>0</v>
      </c>
      <c r="AB2599">
        <v>0</v>
      </c>
      <c r="AC2599">
        <v>178</v>
      </c>
      <c r="AD2599">
        <v>0</v>
      </c>
      <c r="AE2599">
        <v>0</v>
      </c>
      <c r="AF2599">
        <v>0</v>
      </c>
      <c r="AG2599">
        <v>0</v>
      </c>
      <c r="AH2599">
        <v>0</v>
      </c>
      <c r="AI2599">
        <v>0</v>
      </c>
      <c r="AJ2599">
        <v>0</v>
      </c>
      <c r="AK2599">
        <v>0</v>
      </c>
      <c r="AL2599">
        <v>0</v>
      </c>
      <c r="AM2599">
        <v>0</v>
      </c>
      <c r="AN2599">
        <v>0</v>
      </c>
      <c r="AO2599">
        <v>0</v>
      </c>
      <c r="AP2599">
        <v>0</v>
      </c>
      <c r="AQ2599">
        <v>0</v>
      </c>
      <c r="AR2599">
        <v>0</v>
      </c>
      <c r="AS2599">
        <v>0</v>
      </c>
      <c r="AT2599">
        <v>0</v>
      </c>
      <c r="AU2599">
        <f t="shared" si="80"/>
        <v>0</v>
      </c>
      <c r="AV2599">
        <f t="shared" si="81"/>
        <v>0</v>
      </c>
    </row>
    <row r="2600" spans="1:48" x14ac:dyDescent="0.25">
      <c r="A2600" t="s">
        <v>8908</v>
      </c>
      <c r="C2600" t="s">
        <v>8909</v>
      </c>
      <c r="D2600" t="s">
        <v>8910</v>
      </c>
      <c r="E2600" t="s">
        <v>1663</v>
      </c>
      <c r="F2600">
        <v>3</v>
      </c>
      <c r="G2600">
        <v>3.1</v>
      </c>
      <c r="H2600" t="s">
        <v>2017</v>
      </c>
      <c r="I2600" s="21">
        <v>39547</v>
      </c>
      <c r="J2600">
        <v>2008</v>
      </c>
      <c r="K2600" s="21">
        <v>39577</v>
      </c>
      <c r="L2600">
        <v>2008</v>
      </c>
      <c r="M2600" s="21">
        <v>39730</v>
      </c>
      <c r="N2600">
        <v>2008</v>
      </c>
      <c r="Q2600" s="262">
        <v>91176</v>
      </c>
      <c r="S2600" t="s">
        <v>114</v>
      </c>
      <c r="T2600" t="s">
        <v>114</v>
      </c>
      <c r="W2600">
        <v>738</v>
      </c>
      <c r="X2600">
        <v>0</v>
      </c>
      <c r="Y2600">
        <v>0</v>
      </c>
      <c r="Z2600">
        <v>0</v>
      </c>
      <c r="AA2600">
        <v>0</v>
      </c>
      <c r="AB2600">
        <v>0</v>
      </c>
      <c r="AC2600">
        <v>738</v>
      </c>
      <c r="AD2600">
        <v>0</v>
      </c>
      <c r="AE2600">
        <v>0</v>
      </c>
      <c r="AF2600">
        <v>0</v>
      </c>
      <c r="AG2600">
        <v>0</v>
      </c>
      <c r="AH2600">
        <v>0</v>
      </c>
      <c r="AI2600">
        <v>0</v>
      </c>
      <c r="AJ2600">
        <v>0</v>
      </c>
      <c r="AK2600">
        <v>0</v>
      </c>
      <c r="AL2600">
        <v>0</v>
      </c>
      <c r="AM2600">
        <v>0</v>
      </c>
      <c r="AN2600">
        <v>0</v>
      </c>
      <c r="AO2600">
        <v>0</v>
      </c>
      <c r="AP2600">
        <v>0</v>
      </c>
      <c r="AQ2600">
        <v>0</v>
      </c>
      <c r="AR2600">
        <v>0</v>
      </c>
      <c r="AS2600">
        <v>0</v>
      </c>
      <c r="AT2600">
        <v>0</v>
      </c>
      <c r="AU2600">
        <f t="shared" si="80"/>
        <v>0</v>
      </c>
      <c r="AV2600">
        <f t="shared" si="81"/>
        <v>0</v>
      </c>
    </row>
    <row r="2601" spans="1:48" x14ac:dyDescent="0.25">
      <c r="A2601" t="s">
        <v>8911</v>
      </c>
      <c r="C2601" t="s">
        <v>8912</v>
      </c>
      <c r="D2601" t="s">
        <v>8913</v>
      </c>
      <c r="E2601" t="s">
        <v>1663</v>
      </c>
      <c r="F2601">
        <v>2</v>
      </c>
      <c r="G2601">
        <v>2.6</v>
      </c>
      <c r="H2601" t="s">
        <v>2327</v>
      </c>
      <c r="I2601" s="21">
        <v>39547</v>
      </c>
      <c r="J2601">
        <v>2008</v>
      </c>
      <c r="K2601" s="21">
        <v>39577</v>
      </c>
      <c r="L2601">
        <v>2008</v>
      </c>
      <c r="M2601" s="21">
        <v>39730</v>
      </c>
      <c r="N2601">
        <v>2008</v>
      </c>
      <c r="Q2601" s="262">
        <v>0</v>
      </c>
      <c r="S2601" t="s">
        <v>114</v>
      </c>
      <c r="T2601" t="s">
        <v>114</v>
      </c>
      <c r="W2601">
        <v>528</v>
      </c>
      <c r="X2601">
        <v>0</v>
      </c>
      <c r="Y2601">
        <v>0</v>
      </c>
      <c r="Z2601">
        <v>0</v>
      </c>
      <c r="AA2601">
        <v>0</v>
      </c>
      <c r="AB2601">
        <v>0</v>
      </c>
      <c r="AC2601">
        <v>528</v>
      </c>
      <c r="AD2601">
        <v>0</v>
      </c>
      <c r="AE2601">
        <v>0</v>
      </c>
      <c r="AF2601">
        <v>0</v>
      </c>
      <c r="AG2601">
        <v>0</v>
      </c>
      <c r="AH2601">
        <v>0</v>
      </c>
      <c r="AI2601">
        <v>0</v>
      </c>
      <c r="AJ2601">
        <v>0</v>
      </c>
      <c r="AK2601">
        <v>0</v>
      </c>
      <c r="AL2601">
        <v>0</v>
      </c>
      <c r="AM2601">
        <v>0</v>
      </c>
      <c r="AN2601">
        <v>0</v>
      </c>
      <c r="AO2601">
        <v>0</v>
      </c>
      <c r="AP2601">
        <v>0</v>
      </c>
      <c r="AQ2601">
        <v>0</v>
      </c>
      <c r="AR2601">
        <v>0</v>
      </c>
      <c r="AS2601">
        <v>0</v>
      </c>
      <c r="AT2601">
        <v>0</v>
      </c>
      <c r="AU2601">
        <f t="shared" si="80"/>
        <v>0</v>
      </c>
      <c r="AV2601">
        <f t="shared" si="81"/>
        <v>0</v>
      </c>
    </row>
    <row r="2602" spans="1:48" x14ac:dyDescent="0.25">
      <c r="A2602" t="s">
        <v>8914</v>
      </c>
      <c r="C2602" t="s">
        <v>8915</v>
      </c>
      <c r="D2602" t="s">
        <v>6635</v>
      </c>
      <c r="E2602" t="s">
        <v>2310</v>
      </c>
      <c r="F2602">
        <v>15</v>
      </c>
      <c r="G2602">
        <v>15.1</v>
      </c>
      <c r="H2602" t="s">
        <v>2022</v>
      </c>
      <c r="I2602" s="21">
        <v>39548</v>
      </c>
      <c r="J2602">
        <v>2008</v>
      </c>
      <c r="K2602" s="21">
        <v>39611</v>
      </c>
      <c r="L2602">
        <v>2008</v>
      </c>
      <c r="M2602" s="21">
        <v>39917</v>
      </c>
      <c r="N2602">
        <v>2009</v>
      </c>
      <c r="R2602" s="262">
        <v>400000</v>
      </c>
      <c r="S2602" t="s">
        <v>114</v>
      </c>
      <c r="T2602" t="s">
        <v>114</v>
      </c>
      <c r="U2602">
        <v>8</v>
      </c>
      <c r="W2602">
        <v>2395</v>
      </c>
      <c r="X2602">
        <v>1</v>
      </c>
      <c r="Y2602">
        <v>0</v>
      </c>
      <c r="Z2602">
        <v>0</v>
      </c>
      <c r="AA2602">
        <v>0</v>
      </c>
      <c r="AB2602">
        <v>0</v>
      </c>
      <c r="AC2602">
        <v>1433</v>
      </c>
      <c r="AD2602">
        <v>0</v>
      </c>
      <c r="AE2602">
        <v>0</v>
      </c>
      <c r="AF2602">
        <v>962</v>
      </c>
      <c r="AG2602">
        <v>0</v>
      </c>
      <c r="AH2602">
        <v>0</v>
      </c>
      <c r="AI2602">
        <v>0</v>
      </c>
      <c r="AJ2602">
        <v>0</v>
      </c>
      <c r="AK2602">
        <v>0</v>
      </c>
      <c r="AL2602">
        <v>0</v>
      </c>
      <c r="AM2602">
        <v>0</v>
      </c>
      <c r="AN2602">
        <v>0</v>
      </c>
      <c r="AO2602">
        <v>0</v>
      </c>
      <c r="AP2602">
        <v>0</v>
      </c>
      <c r="AQ2602">
        <v>0</v>
      </c>
      <c r="AR2602">
        <v>1</v>
      </c>
      <c r="AS2602">
        <v>0</v>
      </c>
      <c r="AT2602">
        <v>0</v>
      </c>
      <c r="AU2602">
        <f t="shared" si="80"/>
        <v>0</v>
      </c>
      <c r="AV2602">
        <f t="shared" si="81"/>
        <v>0</v>
      </c>
    </row>
    <row r="2603" spans="1:48" x14ac:dyDescent="0.25">
      <c r="A2603" t="s">
        <v>8921</v>
      </c>
      <c r="C2603" t="s">
        <v>8922</v>
      </c>
      <c r="D2603" t="s">
        <v>8923</v>
      </c>
      <c r="E2603" t="s">
        <v>2310</v>
      </c>
      <c r="F2603">
        <v>9</v>
      </c>
      <c r="G2603">
        <v>9.3000000000000007</v>
      </c>
      <c r="H2603" t="s">
        <v>2323</v>
      </c>
      <c r="I2603" s="21">
        <v>39549</v>
      </c>
      <c r="J2603">
        <v>2008</v>
      </c>
      <c r="K2603" s="21">
        <v>39623</v>
      </c>
      <c r="L2603">
        <v>2008</v>
      </c>
      <c r="M2603" s="21">
        <v>40373.498252314799</v>
      </c>
      <c r="N2603">
        <v>2010</v>
      </c>
      <c r="R2603" s="262">
        <v>1600000</v>
      </c>
      <c r="S2603" t="s">
        <v>114</v>
      </c>
      <c r="T2603" t="s">
        <v>114</v>
      </c>
      <c r="U2603">
        <v>5</v>
      </c>
      <c r="W2603">
        <v>5045</v>
      </c>
      <c r="X2603">
        <v>1</v>
      </c>
      <c r="Y2603">
        <v>0</v>
      </c>
      <c r="Z2603">
        <v>0</v>
      </c>
      <c r="AA2603">
        <v>0</v>
      </c>
      <c r="AB2603">
        <v>0</v>
      </c>
      <c r="AC2603">
        <v>5045</v>
      </c>
      <c r="AD2603">
        <v>0</v>
      </c>
      <c r="AE2603">
        <v>0</v>
      </c>
      <c r="AF2603">
        <v>0</v>
      </c>
      <c r="AG2603">
        <v>0</v>
      </c>
      <c r="AH2603">
        <v>0</v>
      </c>
      <c r="AI2603">
        <v>0</v>
      </c>
      <c r="AJ2603">
        <v>0</v>
      </c>
      <c r="AK2603">
        <v>0</v>
      </c>
      <c r="AL2603">
        <v>0</v>
      </c>
      <c r="AM2603">
        <v>0</v>
      </c>
      <c r="AN2603">
        <v>0</v>
      </c>
      <c r="AO2603">
        <v>1</v>
      </c>
      <c r="AP2603">
        <v>0</v>
      </c>
      <c r="AQ2603">
        <v>0</v>
      </c>
      <c r="AR2603">
        <v>0</v>
      </c>
      <c r="AS2603">
        <v>0</v>
      </c>
      <c r="AT2603">
        <v>0</v>
      </c>
      <c r="AU2603">
        <f t="shared" si="80"/>
        <v>1</v>
      </c>
      <c r="AV2603">
        <f t="shared" si="81"/>
        <v>0</v>
      </c>
    </row>
    <row r="2604" spans="1:48" x14ac:dyDescent="0.25">
      <c r="A2604" t="s">
        <v>8924</v>
      </c>
      <c r="C2604" t="s">
        <v>8925</v>
      </c>
      <c r="D2604" t="s">
        <v>8926</v>
      </c>
      <c r="E2604" t="s">
        <v>2310</v>
      </c>
      <c r="F2604">
        <v>8</v>
      </c>
      <c r="G2604">
        <v>8.1</v>
      </c>
      <c r="H2604" t="s">
        <v>2323</v>
      </c>
      <c r="I2604" s="21">
        <v>39549</v>
      </c>
      <c r="J2604">
        <v>2008</v>
      </c>
      <c r="K2604" s="21">
        <v>39587</v>
      </c>
      <c r="L2604">
        <v>2008</v>
      </c>
      <c r="M2604" s="21">
        <v>40011.4319791667</v>
      </c>
      <c r="N2604">
        <v>2009</v>
      </c>
      <c r="R2604" s="262">
        <v>1500000</v>
      </c>
      <c r="S2604" t="s">
        <v>114</v>
      </c>
      <c r="T2604" t="s">
        <v>114</v>
      </c>
      <c r="U2604">
        <v>5</v>
      </c>
      <c r="W2604">
        <v>5729</v>
      </c>
      <c r="X2604">
        <v>1</v>
      </c>
      <c r="Y2604">
        <v>0</v>
      </c>
      <c r="Z2604">
        <v>0</v>
      </c>
      <c r="AA2604">
        <v>0</v>
      </c>
      <c r="AB2604">
        <v>0</v>
      </c>
      <c r="AC2604">
        <v>5729</v>
      </c>
      <c r="AD2604">
        <v>0</v>
      </c>
      <c r="AE2604">
        <v>0</v>
      </c>
      <c r="AF2604">
        <v>0</v>
      </c>
      <c r="AG2604">
        <v>0</v>
      </c>
      <c r="AH2604">
        <v>0</v>
      </c>
      <c r="AI2604">
        <v>0</v>
      </c>
      <c r="AJ2604">
        <v>0</v>
      </c>
      <c r="AK2604">
        <v>0</v>
      </c>
      <c r="AL2604">
        <v>0</v>
      </c>
      <c r="AM2604">
        <v>0</v>
      </c>
      <c r="AN2604">
        <v>0</v>
      </c>
      <c r="AO2604">
        <v>1</v>
      </c>
      <c r="AP2604">
        <v>0</v>
      </c>
      <c r="AQ2604">
        <v>0</v>
      </c>
      <c r="AR2604">
        <v>0</v>
      </c>
      <c r="AS2604">
        <v>0</v>
      </c>
      <c r="AT2604">
        <v>0</v>
      </c>
      <c r="AU2604">
        <f t="shared" si="80"/>
        <v>1</v>
      </c>
      <c r="AV2604">
        <f t="shared" si="81"/>
        <v>0</v>
      </c>
    </row>
    <row r="2605" spans="1:48" x14ac:dyDescent="0.25">
      <c r="A2605" t="s">
        <v>8927</v>
      </c>
      <c r="C2605" t="s">
        <v>8928</v>
      </c>
      <c r="D2605" t="s">
        <v>8929</v>
      </c>
      <c r="E2605" t="s">
        <v>2310</v>
      </c>
      <c r="F2605">
        <v>9</v>
      </c>
      <c r="G2605">
        <v>9.1999999999999993</v>
      </c>
      <c r="H2605" t="s">
        <v>2022</v>
      </c>
      <c r="I2605" s="21">
        <v>39549</v>
      </c>
      <c r="J2605">
        <v>2008</v>
      </c>
      <c r="K2605" s="21">
        <v>39622</v>
      </c>
      <c r="L2605">
        <v>2008</v>
      </c>
      <c r="M2605" s="21">
        <v>40225.581620370402</v>
      </c>
      <c r="N2605">
        <v>2010</v>
      </c>
      <c r="R2605" s="262">
        <v>2500000</v>
      </c>
      <c r="S2605" t="s">
        <v>114</v>
      </c>
      <c r="T2605" t="s">
        <v>114</v>
      </c>
      <c r="U2605">
        <v>5</v>
      </c>
      <c r="W2605">
        <v>5750</v>
      </c>
      <c r="X2605">
        <v>1</v>
      </c>
      <c r="Y2605">
        <v>0</v>
      </c>
      <c r="Z2605">
        <v>0</v>
      </c>
      <c r="AA2605">
        <v>0</v>
      </c>
      <c r="AB2605">
        <v>0</v>
      </c>
      <c r="AC2605">
        <v>5750</v>
      </c>
      <c r="AD2605">
        <v>0</v>
      </c>
      <c r="AE2605">
        <v>0</v>
      </c>
      <c r="AF2605">
        <v>0</v>
      </c>
      <c r="AG2605">
        <v>0</v>
      </c>
      <c r="AH2605">
        <v>0</v>
      </c>
      <c r="AI2605">
        <v>0</v>
      </c>
      <c r="AJ2605">
        <v>0</v>
      </c>
      <c r="AK2605">
        <v>0</v>
      </c>
      <c r="AL2605">
        <v>0</v>
      </c>
      <c r="AM2605">
        <v>0</v>
      </c>
      <c r="AN2605">
        <v>0</v>
      </c>
      <c r="AO2605">
        <v>1</v>
      </c>
      <c r="AP2605">
        <v>0</v>
      </c>
      <c r="AQ2605">
        <v>0</v>
      </c>
      <c r="AR2605">
        <v>0</v>
      </c>
      <c r="AS2605">
        <v>0</v>
      </c>
      <c r="AT2605">
        <v>0</v>
      </c>
      <c r="AU2605">
        <f t="shared" si="80"/>
        <v>1</v>
      </c>
      <c r="AV2605">
        <f t="shared" si="81"/>
        <v>0</v>
      </c>
    </row>
    <row r="2606" spans="1:48" x14ac:dyDescent="0.25">
      <c r="A2606" t="s">
        <v>8919</v>
      </c>
      <c r="C2606" t="s">
        <v>7938</v>
      </c>
      <c r="D2606" t="s">
        <v>8920</v>
      </c>
      <c r="E2606" t="s">
        <v>1663</v>
      </c>
      <c r="F2606">
        <v>3</v>
      </c>
      <c r="G2606">
        <v>3.2</v>
      </c>
      <c r="H2606" t="s">
        <v>2327</v>
      </c>
      <c r="I2606" s="21">
        <v>39549</v>
      </c>
      <c r="J2606">
        <v>2008</v>
      </c>
      <c r="K2606" s="21">
        <v>39579</v>
      </c>
      <c r="L2606">
        <v>2008</v>
      </c>
      <c r="M2606" s="21">
        <v>39732</v>
      </c>
      <c r="N2606">
        <v>2008</v>
      </c>
      <c r="Q2606" s="262">
        <v>1800</v>
      </c>
      <c r="S2606" t="s">
        <v>114</v>
      </c>
      <c r="T2606" t="s">
        <v>114</v>
      </c>
      <c r="W2606">
        <v>60</v>
      </c>
      <c r="X2606">
        <v>0</v>
      </c>
      <c r="Y2606">
        <v>0</v>
      </c>
      <c r="Z2606">
        <v>0</v>
      </c>
      <c r="AA2606">
        <v>0</v>
      </c>
      <c r="AB2606">
        <v>0</v>
      </c>
      <c r="AC2606">
        <v>60</v>
      </c>
      <c r="AD2606">
        <v>0</v>
      </c>
      <c r="AE2606">
        <v>0</v>
      </c>
      <c r="AF2606">
        <v>0</v>
      </c>
      <c r="AG2606">
        <v>0</v>
      </c>
      <c r="AH2606">
        <v>0</v>
      </c>
      <c r="AI2606">
        <v>0</v>
      </c>
      <c r="AJ2606">
        <v>0</v>
      </c>
      <c r="AK2606">
        <v>0</v>
      </c>
      <c r="AL2606">
        <v>0</v>
      </c>
      <c r="AM2606">
        <v>0</v>
      </c>
      <c r="AN2606">
        <v>0</v>
      </c>
      <c r="AO2606">
        <v>0</v>
      </c>
      <c r="AP2606">
        <v>0</v>
      </c>
      <c r="AQ2606">
        <v>0</v>
      </c>
      <c r="AR2606">
        <v>0</v>
      </c>
      <c r="AS2606">
        <v>0</v>
      </c>
      <c r="AT2606">
        <v>0</v>
      </c>
      <c r="AU2606">
        <f t="shared" si="80"/>
        <v>0</v>
      </c>
      <c r="AV2606">
        <f t="shared" si="81"/>
        <v>0</v>
      </c>
    </row>
    <row r="2607" spans="1:48" x14ac:dyDescent="0.25">
      <c r="A2607" t="s">
        <v>8916</v>
      </c>
      <c r="C2607" t="s">
        <v>8917</v>
      </c>
      <c r="D2607" t="s">
        <v>8918</v>
      </c>
      <c r="E2607" t="s">
        <v>1663</v>
      </c>
      <c r="F2607">
        <v>3</v>
      </c>
      <c r="G2607">
        <v>3.1</v>
      </c>
      <c r="H2607" t="s">
        <v>2017</v>
      </c>
      <c r="I2607" s="21">
        <v>39549</v>
      </c>
      <c r="J2607">
        <v>2008</v>
      </c>
      <c r="K2607" s="21">
        <v>39579</v>
      </c>
      <c r="L2607">
        <v>2008</v>
      </c>
      <c r="M2607" s="21">
        <v>39732</v>
      </c>
      <c r="N2607">
        <v>2008</v>
      </c>
      <c r="Q2607" s="262">
        <v>0</v>
      </c>
      <c r="S2607" t="s">
        <v>114</v>
      </c>
      <c r="T2607" t="s">
        <v>114</v>
      </c>
      <c r="W2607">
        <v>3758</v>
      </c>
      <c r="X2607">
        <v>1</v>
      </c>
      <c r="Y2607">
        <v>0</v>
      </c>
      <c r="Z2607">
        <v>0</v>
      </c>
      <c r="AA2607">
        <v>0</v>
      </c>
      <c r="AB2607">
        <v>0</v>
      </c>
      <c r="AC2607">
        <v>3758</v>
      </c>
      <c r="AD2607">
        <v>0</v>
      </c>
      <c r="AE2607">
        <v>0</v>
      </c>
      <c r="AF2607">
        <v>0</v>
      </c>
      <c r="AG2607">
        <v>0</v>
      </c>
      <c r="AH2607">
        <v>0</v>
      </c>
      <c r="AI2607">
        <v>0</v>
      </c>
      <c r="AJ2607">
        <v>0</v>
      </c>
      <c r="AK2607">
        <v>0</v>
      </c>
      <c r="AL2607">
        <v>0</v>
      </c>
      <c r="AM2607">
        <v>0</v>
      </c>
      <c r="AN2607">
        <v>0</v>
      </c>
      <c r="AO2607">
        <v>1</v>
      </c>
      <c r="AP2607">
        <v>0</v>
      </c>
      <c r="AQ2607">
        <v>0</v>
      </c>
      <c r="AR2607">
        <v>0</v>
      </c>
      <c r="AS2607">
        <v>0</v>
      </c>
      <c r="AT2607">
        <v>0</v>
      </c>
      <c r="AU2607">
        <f t="shared" si="80"/>
        <v>1</v>
      </c>
      <c r="AV2607">
        <f t="shared" si="81"/>
        <v>0</v>
      </c>
    </row>
    <row r="2608" spans="1:48" x14ac:dyDescent="0.25">
      <c r="A2608" t="s">
        <v>8930</v>
      </c>
      <c r="C2608" t="s">
        <v>8931</v>
      </c>
      <c r="D2608" t="s">
        <v>8932</v>
      </c>
      <c r="E2608" t="s">
        <v>2310</v>
      </c>
      <c r="F2608">
        <v>10</v>
      </c>
      <c r="G2608">
        <v>10.1</v>
      </c>
      <c r="H2608" t="s">
        <v>2323</v>
      </c>
      <c r="I2608" s="21">
        <v>39552</v>
      </c>
      <c r="J2608">
        <v>2008</v>
      </c>
      <c r="K2608" s="21">
        <v>39616</v>
      </c>
      <c r="L2608">
        <v>2008</v>
      </c>
      <c r="M2608" s="21">
        <v>39897</v>
      </c>
      <c r="N2608">
        <v>2009</v>
      </c>
      <c r="R2608" s="262">
        <v>750000</v>
      </c>
      <c r="S2608" t="s">
        <v>114</v>
      </c>
      <c r="T2608" t="s">
        <v>114</v>
      </c>
      <c r="U2608">
        <v>5</v>
      </c>
      <c r="W2608">
        <v>4937</v>
      </c>
      <c r="X2608">
        <v>1</v>
      </c>
      <c r="Y2608">
        <v>0</v>
      </c>
      <c r="Z2608">
        <v>0</v>
      </c>
      <c r="AA2608">
        <v>0</v>
      </c>
      <c r="AB2608">
        <v>0</v>
      </c>
      <c r="AC2608">
        <v>4937</v>
      </c>
      <c r="AD2608">
        <v>0</v>
      </c>
      <c r="AE2608">
        <v>0</v>
      </c>
      <c r="AF2608">
        <v>0</v>
      </c>
      <c r="AG2608">
        <v>0</v>
      </c>
      <c r="AH2608">
        <v>0</v>
      </c>
      <c r="AI2608">
        <v>0</v>
      </c>
      <c r="AJ2608">
        <v>0</v>
      </c>
      <c r="AK2608">
        <v>0</v>
      </c>
      <c r="AL2608">
        <v>0</v>
      </c>
      <c r="AM2608">
        <v>0</v>
      </c>
      <c r="AN2608">
        <v>0</v>
      </c>
      <c r="AO2608">
        <v>1</v>
      </c>
      <c r="AP2608">
        <v>0</v>
      </c>
      <c r="AQ2608">
        <v>0</v>
      </c>
      <c r="AR2608">
        <v>0</v>
      </c>
      <c r="AS2608">
        <v>0</v>
      </c>
      <c r="AT2608">
        <v>0</v>
      </c>
      <c r="AU2608">
        <f t="shared" si="80"/>
        <v>1</v>
      </c>
      <c r="AV2608">
        <f t="shared" si="81"/>
        <v>0</v>
      </c>
    </row>
    <row r="2609" spans="1:48" x14ac:dyDescent="0.25">
      <c r="A2609" t="s">
        <v>8933</v>
      </c>
      <c r="C2609" t="s">
        <v>8934</v>
      </c>
      <c r="D2609" t="s">
        <v>8935</v>
      </c>
      <c r="E2609" t="s">
        <v>2310</v>
      </c>
      <c r="F2609">
        <v>8</v>
      </c>
      <c r="G2609">
        <v>8.1</v>
      </c>
      <c r="H2609" t="s">
        <v>2323</v>
      </c>
      <c r="I2609" s="21">
        <v>39552</v>
      </c>
      <c r="J2609">
        <v>2008</v>
      </c>
      <c r="K2609" s="21">
        <v>39616</v>
      </c>
      <c r="L2609">
        <v>2008</v>
      </c>
      <c r="M2609" s="21">
        <v>40213.473958333299</v>
      </c>
      <c r="N2609">
        <v>2010</v>
      </c>
      <c r="R2609" s="262">
        <v>350000</v>
      </c>
      <c r="S2609" t="s">
        <v>114</v>
      </c>
      <c r="T2609" t="s">
        <v>114</v>
      </c>
      <c r="U2609">
        <v>5</v>
      </c>
      <c r="W2609">
        <v>1198</v>
      </c>
      <c r="X2609">
        <v>1</v>
      </c>
      <c r="Y2609">
        <v>0</v>
      </c>
      <c r="Z2609">
        <v>0</v>
      </c>
      <c r="AA2609">
        <v>0</v>
      </c>
      <c r="AB2609">
        <v>0</v>
      </c>
      <c r="AC2609">
        <v>1198</v>
      </c>
      <c r="AD2609">
        <v>0</v>
      </c>
      <c r="AE2609">
        <v>0</v>
      </c>
      <c r="AF2609">
        <v>0</v>
      </c>
      <c r="AG2609">
        <v>0</v>
      </c>
      <c r="AH2609">
        <v>0</v>
      </c>
      <c r="AI2609">
        <v>0</v>
      </c>
      <c r="AJ2609">
        <v>0</v>
      </c>
      <c r="AK2609">
        <v>0</v>
      </c>
      <c r="AL2609">
        <v>0</v>
      </c>
      <c r="AM2609">
        <v>0</v>
      </c>
      <c r="AN2609">
        <v>0</v>
      </c>
      <c r="AO2609">
        <v>1</v>
      </c>
      <c r="AP2609">
        <v>0</v>
      </c>
      <c r="AQ2609">
        <v>0</v>
      </c>
      <c r="AR2609">
        <v>0</v>
      </c>
      <c r="AS2609">
        <v>0</v>
      </c>
      <c r="AT2609">
        <v>0</v>
      </c>
      <c r="AU2609">
        <f t="shared" si="80"/>
        <v>1</v>
      </c>
      <c r="AV2609">
        <f t="shared" si="81"/>
        <v>0</v>
      </c>
    </row>
    <row r="2610" spans="1:48" x14ac:dyDescent="0.25">
      <c r="A2610" t="s">
        <v>8936</v>
      </c>
      <c r="C2610" t="s">
        <v>8937</v>
      </c>
      <c r="D2610" t="s">
        <v>8938</v>
      </c>
      <c r="E2610" t="s">
        <v>2310</v>
      </c>
      <c r="F2610">
        <v>12</v>
      </c>
      <c r="G2610">
        <v>12.3</v>
      </c>
      <c r="H2610" t="s">
        <v>2017</v>
      </c>
      <c r="I2610" s="21">
        <v>39553</v>
      </c>
      <c r="J2610">
        <v>2008</v>
      </c>
      <c r="K2610" s="21">
        <v>39617</v>
      </c>
      <c r="L2610">
        <v>2008</v>
      </c>
      <c r="M2610" s="21">
        <v>39764</v>
      </c>
      <c r="N2610">
        <v>2008</v>
      </c>
      <c r="R2610" s="262">
        <v>50000</v>
      </c>
      <c r="S2610" t="s">
        <v>114</v>
      </c>
      <c r="T2610" t="s">
        <v>114</v>
      </c>
      <c r="U2610">
        <v>5</v>
      </c>
      <c r="W2610">
        <v>170</v>
      </c>
      <c r="X2610">
        <v>0</v>
      </c>
      <c r="Y2610">
        <v>0</v>
      </c>
      <c r="Z2610">
        <v>0</v>
      </c>
      <c r="AA2610">
        <v>0</v>
      </c>
      <c r="AB2610">
        <v>0</v>
      </c>
      <c r="AC2610">
        <v>170</v>
      </c>
      <c r="AD2610">
        <v>0</v>
      </c>
      <c r="AE2610">
        <v>0</v>
      </c>
      <c r="AF2610">
        <v>0</v>
      </c>
      <c r="AG2610">
        <v>0</v>
      </c>
      <c r="AH2610">
        <v>0</v>
      </c>
      <c r="AI2610">
        <v>0</v>
      </c>
      <c r="AJ2610">
        <v>0</v>
      </c>
      <c r="AK2610">
        <v>0</v>
      </c>
      <c r="AL2610">
        <v>0</v>
      </c>
      <c r="AM2610">
        <v>0</v>
      </c>
      <c r="AN2610">
        <v>0</v>
      </c>
      <c r="AO2610">
        <v>0</v>
      </c>
      <c r="AP2610">
        <v>0</v>
      </c>
      <c r="AQ2610">
        <v>0</v>
      </c>
      <c r="AR2610">
        <v>0</v>
      </c>
      <c r="AS2610">
        <v>0</v>
      </c>
      <c r="AT2610">
        <v>0</v>
      </c>
      <c r="AU2610">
        <f t="shared" si="80"/>
        <v>0</v>
      </c>
      <c r="AV2610">
        <f t="shared" si="81"/>
        <v>0</v>
      </c>
    </row>
    <row r="2611" spans="1:48" x14ac:dyDescent="0.25">
      <c r="A2611" t="s">
        <v>8939</v>
      </c>
      <c r="C2611" t="s">
        <v>8940</v>
      </c>
      <c r="D2611" t="s">
        <v>8941</v>
      </c>
      <c r="E2611" t="s">
        <v>2310</v>
      </c>
      <c r="F2611">
        <v>10</v>
      </c>
      <c r="G2611">
        <v>10.1</v>
      </c>
      <c r="H2611" t="s">
        <v>2323</v>
      </c>
      <c r="I2611" s="21">
        <v>39555</v>
      </c>
      <c r="J2611">
        <v>2008</v>
      </c>
      <c r="K2611" s="21">
        <v>39618</v>
      </c>
      <c r="L2611">
        <v>2008</v>
      </c>
      <c r="M2611" s="21">
        <v>39954</v>
      </c>
      <c r="N2611">
        <v>2009</v>
      </c>
      <c r="R2611" s="262">
        <v>150000</v>
      </c>
      <c r="S2611" t="s">
        <v>114</v>
      </c>
      <c r="T2611" t="s">
        <v>114</v>
      </c>
      <c r="U2611">
        <v>5</v>
      </c>
      <c r="W2611">
        <v>2121</v>
      </c>
      <c r="X2611">
        <v>1</v>
      </c>
      <c r="Y2611">
        <v>0</v>
      </c>
      <c r="Z2611">
        <v>0</v>
      </c>
      <c r="AA2611">
        <v>0</v>
      </c>
      <c r="AB2611">
        <v>0</v>
      </c>
      <c r="AC2611">
        <v>2121</v>
      </c>
      <c r="AD2611">
        <v>0</v>
      </c>
      <c r="AE2611">
        <v>0</v>
      </c>
      <c r="AF2611">
        <v>0</v>
      </c>
      <c r="AG2611">
        <v>0</v>
      </c>
      <c r="AH2611">
        <v>0</v>
      </c>
      <c r="AI2611">
        <v>0</v>
      </c>
      <c r="AJ2611">
        <v>0</v>
      </c>
      <c r="AK2611">
        <v>0</v>
      </c>
      <c r="AL2611">
        <v>0</v>
      </c>
      <c r="AM2611">
        <v>0</v>
      </c>
      <c r="AN2611">
        <v>0</v>
      </c>
      <c r="AO2611">
        <v>1</v>
      </c>
      <c r="AP2611">
        <v>0</v>
      </c>
      <c r="AQ2611">
        <v>0</v>
      </c>
      <c r="AR2611">
        <v>0</v>
      </c>
      <c r="AS2611">
        <v>0</v>
      </c>
      <c r="AT2611">
        <v>0</v>
      </c>
      <c r="AU2611">
        <f t="shared" si="80"/>
        <v>1</v>
      </c>
      <c r="AV2611">
        <f t="shared" si="81"/>
        <v>0</v>
      </c>
    </row>
    <row r="2612" spans="1:48" x14ac:dyDescent="0.25">
      <c r="A2612" t="s">
        <v>8942</v>
      </c>
      <c r="C2612" t="s">
        <v>8943</v>
      </c>
      <c r="D2612" t="s">
        <v>8944</v>
      </c>
      <c r="E2612" t="s">
        <v>2310</v>
      </c>
      <c r="F2612">
        <v>8</v>
      </c>
      <c r="G2612">
        <v>8.1999999999999993</v>
      </c>
      <c r="H2612" t="s">
        <v>2022</v>
      </c>
      <c r="I2612" s="21">
        <v>39555</v>
      </c>
      <c r="J2612">
        <v>2008</v>
      </c>
      <c r="K2612" s="21">
        <v>39638</v>
      </c>
      <c r="L2612">
        <v>2008</v>
      </c>
      <c r="M2612" s="21">
        <v>40429.583530092597</v>
      </c>
      <c r="N2612">
        <v>2010</v>
      </c>
      <c r="R2612" s="262">
        <v>1000</v>
      </c>
      <c r="S2612" t="s">
        <v>114</v>
      </c>
      <c r="T2612" t="s">
        <v>114</v>
      </c>
      <c r="U2612">
        <v>5</v>
      </c>
      <c r="W2612">
        <v>9826</v>
      </c>
      <c r="X2612">
        <v>1</v>
      </c>
      <c r="Y2612">
        <v>0</v>
      </c>
      <c r="Z2612">
        <v>0</v>
      </c>
      <c r="AA2612">
        <v>0</v>
      </c>
      <c r="AB2612">
        <v>0</v>
      </c>
      <c r="AC2612">
        <v>9826</v>
      </c>
      <c r="AD2612">
        <v>0</v>
      </c>
      <c r="AE2612">
        <v>0</v>
      </c>
      <c r="AF2612">
        <v>0</v>
      </c>
      <c r="AG2612">
        <v>0</v>
      </c>
      <c r="AH2612">
        <v>0</v>
      </c>
      <c r="AI2612">
        <v>0</v>
      </c>
      <c r="AJ2612">
        <v>0</v>
      </c>
      <c r="AK2612">
        <v>0</v>
      </c>
      <c r="AL2612">
        <v>0</v>
      </c>
      <c r="AM2612">
        <v>0</v>
      </c>
      <c r="AN2612">
        <v>0</v>
      </c>
      <c r="AO2612">
        <v>1</v>
      </c>
      <c r="AP2612">
        <v>0</v>
      </c>
      <c r="AQ2612">
        <v>0</v>
      </c>
      <c r="AR2612">
        <v>0</v>
      </c>
      <c r="AS2612">
        <v>0</v>
      </c>
      <c r="AT2612">
        <v>0</v>
      </c>
      <c r="AU2612">
        <f t="shared" si="80"/>
        <v>1</v>
      </c>
      <c r="AV2612">
        <f t="shared" si="81"/>
        <v>0</v>
      </c>
    </row>
    <row r="2613" spans="1:48" x14ac:dyDescent="0.25">
      <c r="A2613" t="s">
        <v>8945</v>
      </c>
      <c r="C2613" t="s">
        <v>8946</v>
      </c>
      <c r="D2613" t="s">
        <v>8947</v>
      </c>
      <c r="E2613" t="s">
        <v>2310</v>
      </c>
      <c r="F2613">
        <v>7</v>
      </c>
      <c r="G2613">
        <v>7.2</v>
      </c>
      <c r="H2613" t="s">
        <v>2017</v>
      </c>
      <c r="I2613" s="21">
        <v>39559</v>
      </c>
      <c r="J2613">
        <v>2008</v>
      </c>
      <c r="K2613" s="21">
        <v>39608</v>
      </c>
      <c r="L2613">
        <v>2008</v>
      </c>
      <c r="M2613" s="21">
        <v>40393.434988425899</v>
      </c>
      <c r="N2613">
        <v>2010</v>
      </c>
      <c r="R2613" s="262">
        <v>900000</v>
      </c>
      <c r="S2613" t="s">
        <v>114</v>
      </c>
      <c r="T2613" t="s">
        <v>114</v>
      </c>
      <c r="U2613">
        <v>12</v>
      </c>
      <c r="W2613">
        <v>4195</v>
      </c>
      <c r="X2613">
        <v>0</v>
      </c>
      <c r="Y2613">
        <v>0</v>
      </c>
      <c r="Z2613">
        <v>0</v>
      </c>
      <c r="AA2613">
        <v>0</v>
      </c>
      <c r="AB2613">
        <v>0</v>
      </c>
      <c r="AC2613">
        <v>0</v>
      </c>
      <c r="AD2613">
        <v>0</v>
      </c>
      <c r="AE2613">
        <v>0</v>
      </c>
      <c r="AF2613">
        <v>0</v>
      </c>
      <c r="AG2613">
        <v>0</v>
      </c>
      <c r="AH2613">
        <v>0</v>
      </c>
      <c r="AI2613">
        <v>0</v>
      </c>
      <c r="AJ2613">
        <v>4195</v>
      </c>
      <c r="AK2613">
        <v>0</v>
      </c>
      <c r="AL2613">
        <v>0</v>
      </c>
      <c r="AM2613">
        <v>0</v>
      </c>
      <c r="AN2613">
        <v>0</v>
      </c>
      <c r="AO2613">
        <v>0</v>
      </c>
      <c r="AP2613">
        <v>0</v>
      </c>
      <c r="AQ2613">
        <v>0</v>
      </c>
      <c r="AR2613">
        <v>0</v>
      </c>
      <c r="AS2613">
        <v>0</v>
      </c>
      <c r="AT2613">
        <v>0</v>
      </c>
      <c r="AU2613">
        <f t="shared" si="80"/>
        <v>0</v>
      </c>
      <c r="AV2613">
        <f t="shared" si="81"/>
        <v>4195</v>
      </c>
    </row>
    <row r="2614" spans="1:48" x14ac:dyDescent="0.25">
      <c r="A2614" t="s">
        <v>8948</v>
      </c>
      <c r="C2614" t="s">
        <v>8949</v>
      </c>
      <c r="D2614" t="s">
        <v>8947</v>
      </c>
      <c r="E2614" t="s">
        <v>2310</v>
      </c>
      <c r="F2614">
        <v>7</v>
      </c>
      <c r="G2614">
        <v>7.2</v>
      </c>
      <c r="H2614" t="s">
        <v>2017</v>
      </c>
      <c r="I2614" s="21">
        <v>39559</v>
      </c>
      <c r="J2614">
        <v>2008</v>
      </c>
      <c r="K2614" s="21">
        <v>39612</v>
      </c>
      <c r="L2614">
        <v>2008</v>
      </c>
      <c r="M2614" s="21">
        <v>40393.447222222203</v>
      </c>
      <c r="N2614">
        <v>2010</v>
      </c>
      <c r="R2614" s="262">
        <v>1200000</v>
      </c>
      <c r="S2614" t="s">
        <v>114</v>
      </c>
      <c r="T2614" t="s">
        <v>114</v>
      </c>
      <c r="U2614">
        <v>7</v>
      </c>
      <c r="W2614">
        <v>4887</v>
      </c>
      <c r="X2614">
        <v>4</v>
      </c>
      <c r="Y2614">
        <v>0</v>
      </c>
      <c r="Z2614">
        <v>0</v>
      </c>
      <c r="AA2614">
        <v>0</v>
      </c>
      <c r="AB2614">
        <v>0</v>
      </c>
      <c r="AC2614">
        <v>0</v>
      </c>
      <c r="AD2614">
        <v>0</v>
      </c>
      <c r="AE2614">
        <v>4887</v>
      </c>
      <c r="AF2614">
        <v>0</v>
      </c>
      <c r="AG2614">
        <v>0</v>
      </c>
      <c r="AH2614">
        <v>0</v>
      </c>
      <c r="AI2614">
        <v>0</v>
      </c>
      <c r="AJ2614">
        <v>0</v>
      </c>
      <c r="AK2614">
        <v>0</v>
      </c>
      <c r="AL2614">
        <v>0</v>
      </c>
      <c r="AM2614">
        <v>0</v>
      </c>
      <c r="AN2614">
        <v>0</v>
      </c>
      <c r="AO2614">
        <v>0</v>
      </c>
      <c r="AP2614">
        <v>0</v>
      </c>
      <c r="AQ2614">
        <v>4</v>
      </c>
      <c r="AR2614">
        <v>0</v>
      </c>
      <c r="AS2614">
        <v>0</v>
      </c>
      <c r="AT2614">
        <v>0</v>
      </c>
      <c r="AU2614">
        <f t="shared" si="80"/>
        <v>4</v>
      </c>
      <c r="AV2614">
        <f t="shared" si="81"/>
        <v>0</v>
      </c>
    </row>
    <row r="2615" spans="1:48" x14ac:dyDescent="0.25">
      <c r="A2615" t="s">
        <v>8950</v>
      </c>
      <c r="C2615" t="s">
        <v>8951</v>
      </c>
      <c r="D2615" t="s">
        <v>8947</v>
      </c>
      <c r="E2615" t="s">
        <v>2310</v>
      </c>
      <c r="F2615">
        <v>7</v>
      </c>
      <c r="G2615">
        <v>7.2</v>
      </c>
      <c r="H2615" t="s">
        <v>2017</v>
      </c>
      <c r="I2615" s="21">
        <v>39559</v>
      </c>
      <c r="J2615">
        <v>2008</v>
      </c>
      <c r="K2615" s="21">
        <v>39612</v>
      </c>
      <c r="L2615">
        <v>2008</v>
      </c>
      <c r="M2615" s="21">
        <v>40393.449953703697</v>
      </c>
      <c r="N2615">
        <v>2010</v>
      </c>
      <c r="R2615" s="262">
        <v>500000</v>
      </c>
      <c r="S2615" t="s">
        <v>114</v>
      </c>
      <c r="T2615" t="s">
        <v>114</v>
      </c>
      <c r="U2615">
        <v>15</v>
      </c>
      <c r="W2615">
        <v>6100</v>
      </c>
      <c r="X2615">
        <v>0</v>
      </c>
      <c r="Y2615">
        <v>0</v>
      </c>
      <c r="Z2615">
        <v>0</v>
      </c>
      <c r="AA2615">
        <v>0</v>
      </c>
      <c r="AB2615">
        <v>0</v>
      </c>
      <c r="AC2615">
        <v>0</v>
      </c>
      <c r="AD2615">
        <v>0</v>
      </c>
      <c r="AE2615">
        <v>0</v>
      </c>
      <c r="AF2615">
        <v>0</v>
      </c>
      <c r="AG2615">
        <v>0</v>
      </c>
      <c r="AH2615">
        <v>0</v>
      </c>
      <c r="AI2615">
        <v>0</v>
      </c>
      <c r="AJ2615">
        <v>0</v>
      </c>
      <c r="AK2615">
        <v>0</v>
      </c>
      <c r="AL2615">
        <v>0</v>
      </c>
      <c r="AM2615">
        <v>6100</v>
      </c>
      <c r="AN2615">
        <v>0</v>
      </c>
      <c r="AO2615">
        <v>0</v>
      </c>
      <c r="AP2615">
        <v>0</v>
      </c>
      <c r="AQ2615">
        <v>0</v>
      </c>
      <c r="AR2615">
        <v>0</v>
      </c>
      <c r="AS2615">
        <v>0</v>
      </c>
      <c r="AT2615">
        <v>0</v>
      </c>
      <c r="AU2615">
        <f t="shared" si="80"/>
        <v>0</v>
      </c>
      <c r="AV2615">
        <f t="shared" si="81"/>
        <v>6100</v>
      </c>
    </row>
    <row r="2616" spans="1:48" x14ac:dyDescent="0.25">
      <c r="A2616" t="s">
        <v>8952</v>
      </c>
      <c r="C2616" t="s">
        <v>8953</v>
      </c>
      <c r="D2616" t="s">
        <v>8954</v>
      </c>
      <c r="E2616" t="s">
        <v>2310</v>
      </c>
      <c r="F2616">
        <v>12</v>
      </c>
      <c r="G2616">
        <v>12.3</v>
      </c>
      <c r="H2616" t="s">
        <v>2017</v>
      </c>
      <c r="I2616" s="21">
        <v>39559</v>
      </c>
      <c r="J2616">
        <v>2008</v>
      </c>
      <c r="K2616" s="21">
        <v>39629</v>
      </c>
      <c r="L2616">
        <v>2008</v>
      </c>
      <c r="M2616" s="21">
        <v>40178.433668981503</v>
      </c>
      <c r="N2616">
        <v>2009</v>
      </c>
      <c r="R2616" s="262">
        <v>250000</v>
      </c>
      <c r="S2616" t="s">
        <v>114</v>
      </c>
      <c r="T2616" t="s">
        <v>114</v>
      </c>
      <c r="U2616">
        <v>5</v>
      </c>
      <c r="W2616">
        <v>866</v>
      </c>
      <c r="X2616">
        <v>0</v>
      </c>
      <c r="Y2616">
        <v>0</v>
      </c>
      <c r="Z2616">
        <v>0</v>
      </c>
      <c r="AA2616">
        <v>0</v>
      </c>
      <c r="AB2616">
        <v>0</v>
      </c>
      <c r="AC2616">
        <v>866</v>
      </c>
      <c r="AD2616">
        <v>0</v>
      </c>
      <c r="AE2616">
        <v>0</v>
      </c>
      <c r="AF2616">
        <v>0</v>
      </c>
      <c r="AG2616">
        <v>0</v>
      </c>
      <c r="AH2616">
        <v>0</v>
      </c>
      <c r="AI2616">
        <v>0</v>
      </c>
      <c r="AJ2616">
        <v>0</v>
      </c>
      <c r="AK2616">
        <v>0</v>
      </c>
      <c r="AL2616">
        <v>0</v>
      </c>
      <c r="AM2616">
        <v>0</v>
      </c>
      <c r="AN2616">
        <v>0</v>
      </c>
      <c r="AO2616">
        <v>0</v>
      </c>
      <c r="AP2616">
        <v>0</v>
      </c>
      <c r="AQ2616">
        <v>0</v>
      </c>
      <c r="AR2616">
        <v>0</v>
      </c>
      <c r="AS2616">
        <v>0</v>
      </c>
      <c r="AT2616">
        <v>0</v>
      </c>
      <c r="AU2616">
        <f t="shared" si="80"/>
        <v>0</v>
      </c>
      <c r="AV2616">
        <f t="shared" si="81"/>
        <v>0</v>
      </c>
    </row>
    <row r="2617" spans="1:48" x14ac:dyDescent="0.25">
      <c r="A2617" t="s">
        <v>8955</v>
      </c>
      <c r="C2617" t="s">
        <v>8956</v>
      </c>
      <c r="D2617" t="s">
        <v>8957</v>
      </c>
      <c r="E2617" t="s">
        <v>2310</v>
      </c>
      <c r="F2617">
        <v>8</v>
      </c>
      <c r="G2617">
        <v>8.3000000000000007</v>
      </c>
      <c r="H2617" t="s">
        <v>2323</v>
      </c>
      <c r="I2617" s="21">
        <v>39559</v>
      </c>
      <c r="J2617">
        <v>2008</v>
      </c>
      <c r="K2617" s="21">
        <v>39604</v>
      </c>
      <c r="L2617">
        <v>2008</v>
      </c>
      <c r="M2617" s="21">
        <v>39793</v>
      </c>
      <c r="N2617">
        <v>2008</v>
      </c>
      <c r="S2617" t="s">
        <v>114</v>
      </c>
      <c r="T2617" t="s">
        <v>114</v>
      </c>
      <c r="U2617">
        <v>5</v>
      </c>
      <c r="W2617">
        <v>1416</v>
      </c>
      <c r="X2617">
        <v>0</v>
      </c>
      <c r="Y2617">
        <v>0</v>
      </c>
      <c r="Z2617">
        <v>0</v>
      </c>
      <c r="AA2617">
        <v>0</v>
      </c>
      <c r="AB2617">
        <v>0</v>
      </c>
      <c r="AC2617">
        <v>1416</v>
      </c>
      <c r="AD2617">
        <v>0</v>
      </c>
      <c r="AE2617">
        <v>0</v>
      </c>
      <c r="AF2617">
        <v>0</v>
      </c>
      <c r="AG2617">
        <v>0</v>
      </c>
      <c r="AH2617">
        <v>0</v>
      </c>
      <c r="AI2617">
        <v>0</v>
      </c>
      <c r="AJ2617">
        <v>0</v>
      </c>
      <c r="AK2617">
        <v>0</v>
      </c>
      <c r="AL2617">
        <v>0</v>
      </c>
      <c r="AM2617">
        <v>0</v>
      </c>
      <c r="AN2617">
        <v>0</v>
      </c>
      <c r="AO2617">
        <v>0</v>
      </c>
      <c r="AP2617">
        <v>0</v>
      </c>
      <c r="AQ2617">
        <v>0</v>
      </c>
      <c r="AR2617">
        <v>0</v>
      </c>
      <c r="AS2617">
        <v>0</v>
      </c>
      <c r="AT2617">
        <v>0</v>
      </c>
      <c r="AU2617">
        <f t="shared" si="80"/>
        <v>0</v>
      </c>
      <c r="AV2617">
        <f t="shared" si="81"/>
        <v>0</v>
      </c>
    </row>
    <row r="2618" spans="1:48" x14ac:dyDescent="0.25">
      <c r="A2618" t="s">
        <v>8961</v>
      </c>
      <c r="C2618" t="s">
        <v>8962</v>
      </c>
      <c r="D2618" t="s">
        <v>8963</v>
      </c>
      <c r="E2618" t="s">
        <v>2310</v>
      </c>
      <c r="F2618">
        <v>9</v>
      </c>
      <c r="G2618">
        <v>9.1999999999999993</v>
      </c>
      <c r="H2618" t="s">
        <v>2022</v>
      </c>
      <c r="I2618" s="21">
        <v>39560</v>
      </c>
      <c r="J2618">
        <v>2008</v>
      </c>
      <c r="K2618" s="21">
        <v>39619</v>
      </c>
      <c r="L2618">
        <v>2008</v>
      </c>
      <c r="M2618" s="21">
        <v>40192.376238425903</v>
      </c>
      <c r="N2618">
        <v>2010</v>
      </c>
      <c r="R2618" s="262">
        <v>2800000</v>
      </c>
      <c r="S2618" t="s">
        <v>114</v>
      </c>
      <c r="T2618" t="s">
        <v>114</v>
      </c>
      <c r="U2618">
        <v>5</v>
      </c>
      <c r="W2618">
        <v>6866</v>
      </c>
      <c r="X2618">
        <v>1</v>
      </c>
      <c r="Y2618">
        <v>0</v>
      </c>
      <c r="Z2618">
        <v>0</v>
      </c>
      <c r="AA2618">
        <v>0</v>
      </c>
      <c r="AB2618">
        <v>0</v>
      </c>
      <c r="AC2618">
        <v>6866</v>
      </c>
      <c r="AD2618">
        <v>0</v>
      </c>
      <c r="AE2618">
        <v>0</v>
      </c>
      <c r="AF2618">
        <v>0</v>
      </c>
      <c r="AG2618">
        <v>0</v>
      </c>
      <c r="AH2618">
        <v>0</v>
      </c>
      <c r="AI2618">
        <v>0</v>
      </c>
      <c r="AJ2618">
        <v>0</v>
      </c>
      <c r="AK2618">
        <v>0</v>
      </c>
      <c r="AL2618">
        <v>0</v>
      </c>
      <c r="AM2618">
        <v>0</v>
      </c>
      <c r="AN2618">
        <v>0</v>
      </c>
      <c r="AO2618">
        <v>1</v>
      </c>
      <c r="AP2618">
        <v>0</v>
      </c>
      <c r="AQ2618">
        <v>0</v>
      </c>
      <c r="AR2618">
        <v>0</v>
      </c>
      <c r="AS2618">
        <v>0</v>
      </c>
      <c r="AT2618">
        <v>0</v>
      </c>
      <c r="AU2618">
        <f t="shared" si="80"/>
        <v>1</v>
      </c>
      <c r="AV2618">
        <f t="shared" si="81"/>
        <v>0</v>
      </c>
    </row>
    <row r="2619" spans="1:48" x14ac:dyDescent="0.25">
      <c r="A2619" t="s">
        <v>8958</v>
      </c>
      <c r="C2619" t="s">
        <v>8959</v>
      </c>
      <c r="D2619" t="s">
        <v>8960</v>
      </c>
      <c r="E2619" t="s">
        <v>1663</v>
      </c>
      <c r="F2619">
        <v>2</v>
      </c>
      <c r="G2619">
        <v>2.2999999999999998</v>
      </c>
      <c r="H2619" t="s">
        <v>2327</v>
      </c>
      <c r="I2619" s="21">
        <v>39560</v>
      </c>
      <c r="J2619">
        <v>2008</v>
      </c>
      <c r="K2619" s="21">
        <v>39590</v>
      </c>
      <c r="L2619">
        <v>2008</v>
      </c>
      <c r="M2619" s="21">
        <v>39743</v>
      </c>
      <c r="N2619">
        <v>2008</v>
      </c>
      <c r="Q2619" s="262">
        <v>0</v>
      </c>
      <c r="S2619" t="s">
        <v>114</v>
      </c>
      <c r="T2619" t="s">
        <v>114</v>
      </c>
      <c r="W2619">
        <v>3640</v>
      </c>
      <c r="X2619">
        <v>10</v>
      </c>
      <c r="Y2619">
        <v>0</v>
      </c>
      <c r="Z2619">
        <v>0</v>
      </c>
      <c r="AA2619">
        <v>0</v>
      </c>
      <c r="AB2619">
        <v>0</v>
      </c>
      <c r="AC2619">
        <v>0</v>
      </c>
      <c r="AD2619">
        <v>0</v>
      </c>
      <c r="AE2619">
        <v>0</v>
      </c>
      <c r="AF2619">
        <v>0</v>
      </c>
      <c r="AG2619">
        <v>0</v>
      </c>
      <c r="AH2619">
        <v>0</v>
      </c>
      <c r="AI2619">
        <v>3640</v>
      </c>
      <c r="AJ2619">
        <v>0</v>
      </c>
      <c r="AK2619">
        <v>0</v>
      </c>
      <c r="AL2619">
        <v>0</v>
      </c>
      <c r="AM2619">
        <v>0</v>
      </c>
      <c r="AN2619">
        <v>0</v>
      </c>
      <c r="AO2619">
        <v>0</v>
      </c>
      <c r="AP2619">
        <v>0</v>
      </c>
      <c r="AQ2619">
        <v>0</v>
      </c>
      <c r="AR2619">
        <v>0</v>
      </c>
      <c r="AS2619">
        <v>0</v>
      </c>
      <c r="AT2619">
        <v>10</v>
      </c>
      <c r="AU2619">
        <f t="shared" si="80"/>
        <v>0</v>
      </c>
      <c r="AV2619">
        <f t="shared" si="81"/>
        <v>3640</v>
      </c>
    </row>
    <row r="2620" spans="1:48" x14ac:dyDescent="0.25">
      <c r="A2620" t="s">
        <v>8970</v>
      </c>
      <c r="C2620" t="s">
        <v>8971</v>
      </c>
      <c r="D2620" t="s">
        <v>8777</v>
      </c>
      <c r="E2620" t="s">
        <v>2310</v>
      </c>
      <c r="F2620">
        <v>9</v>
      </c>
      <c r="G2620">
        <v>9.4</v>
      </c>
      <c r="H2620" t="s">
        <v>2323</v>
      </c>
      <c r="I2620" s="21">
        <v>39563</v>
      </c>
      <c r="J2620">
        <v>2008</v>
      </c>
      <c r="K2620" s="21">
        <v>39769</v>
      </c>
      <c r="L2620">
        <v>2008</v>
      </c>
      <c r="M2620" s="21">
        <v>40112.444722222201</v>
      </c>
      <c r="N2620">
        <v>2009</v>
      </c>
      <c r="S2620" t="s">
        <v>114</v>
      </c>
      <c r="T2620" t="s">
        <v>114</v>
      </c>
      <c r="U2620">
        <v>5</v>
      </c>
      <c r="W2620">
        <v>154</v>
      </c>
      <c r="X2620">
        <v>1</v>
      </c>
      <c r="Y2620">
        <v>0</v>
      </c>
      <c r="Z2620">
        <v>0</v>
      </c>
      <c r="AA2620">
        <v>0</v>
      </c>
      <c r="AB2620">
        <v>0</v>
      </c>
      <c r="AC2620">
        <v>154</v>
      </c>
      <c r="AD2620">
        <v>0</v>
      </c>
      <c r="AE2620">
        <v>0</v>
      </c>
      <c r="AF2620">
        <v>0</v>
      </c>
      <c r="AG2620">
        <v>0</v>
      </c>
      <c r="AH2620">
        <v>0</v>
      </c>
      <c r="AI2620">
        <v>0</v>
      </c>
      <c r="AJ2620">
        <v>0</v>
      </c>
      <c r="AK2620">
        <v>0</v>
      </c>
      <c r="AL2620">
        <v>0</v>
      </c>
      <c r="AM2620">
        <v>0</v>
      </c>
      <c r="AN2620">
        <v>0</v>
      </c>
      <c r="AO2620">
        <v>1</v>
      </c>
      <c r="AP2620">
        <v>0</v>
      </c>
      <c r="AQ2620">
        <v>0</v>
      </c>
      <c r="AR2620">
        <v>0</v>
      </c>
      <c r="AS2620">
        <v>0</v>
      </c>
      <c r="AT2620">
        <v>0</v>
      </c>
      <c r="AU2620">
        <f t="shared" si="80"/>
        <v>1</v>
      </c>
      <c r="AV2620">
        <f t="shared" si="81"/>
        <v>0</v>
      </c>
    </row>
    <row r="2621" spans="1:48" x14ac:dyDescent="0.25">
      <c r="A2621" t="s">
        <v>8972</v>
      </c>
      <c r="C2621" t="s">
        <v>8973</v>
      </c>
      <c r="D2621" t="s">
        <v>8974</v>
      </c>
      <c r="E2621" t="s">
        <v>2310</v>
      </c>
      <c r="F2621">
        <v>13</v>
      </c>
      <c r="G2621">
        <v>13.3</v>
      </c>
      <c r="H2621" t="s">
        <v>2017</v>
      </c>
      <c r="I2621" s="21">
        <v>39563</v>
      </c>
      <c r="J2621">
        <v>2008</v>
      </c>
      <c r="K2621" s="21">
        <v>39622</v>
      </c>
      <c r="L2621">
        <v>2008</v>
      </c>
      <c r="M2621" s="21">
        <v>39952</v>
      </c>
      <c r="N2621">
        <v>2009</v>
      </c>
      <c r="R2621" s="262">
        <v>1000000</v>
      </c>
      <c r="S2621" t="s">
        <v>114</v>
      </c>
      <c r="T2621" t="s">
        <v>114</v>
      </c>
      <c r="U2621">
        <v>5</v>
      </c>
      <c r="W2621">
        <v>2315</v>
      </c>
      <c r="X2621">
        <v>0</v>
      </c>
      <c r="Y2621">
        <v>0</v>
      </c>
      <c r="Z2621">
        <v>0</v>
      </c>
      <c r="AA2621">
        <v>0</v>
      </c>
      <c r="AB2621">
        <v>0</v>
      </c>
      <c r="AC2621">
        <v>2315</v>
      </c>
      <c r="AD2621">
        <v>0</v>
      </c>
      <c r="AE2621">
        <v>0</v>
      </c>
      <c r="AF2621">
        <v>0</v>
      </c>
      <c r="AG2621">
        <v>0</v>
      </c>
      <c r="AH2621">
        <v>0</v>
      </c>
      <c r="AI2621">
        <v>0</v>
      </c>
      <c r="AJ2621">
        <v>0</v>
      </c>
      <c r="AK2621">
        <v>0</v>
      </c>
      <c r="AL2621">
        <v>0</v>
      </c>
      <c r="AM2621">
        <v>0</v>
      </c>
      <c r="AN2621">
        <v>0</v>
      </c>
      <c r="AO2621">
        <v>0</v>
      </c>
      <c r="AP2621">
        <v>0</v>
      </c>
      <c r="AQ2621">
        <v>0</v>
      </c>
      <c r="AR2621">
        <v>0</v>
      </c>
      <c r="AS2621">
        <v>0</v>
      </c>
      <c r="AT2621">
        <v>0</v>
      </c>
      <c r="AU2621">
        <f t="shared" si="80"/>
        <v>0</v>
      </c>
      <c r="AV2621">
        <f t="shared" si="81"/>
        <v>0</v>
      </c>
    </row>
    <row r="2622" spans="1:48" x14ac:dyDescent="0.25">
      <c r="A2622" t="s">
        <v>8964</v>
      </c>
      <c r="C2622" t="s">
        <v>8965</v>
      </c>
      <c r="D2622" t="s">
        <v>8966</v>
      </c>
      <c r="E2622" t="s">
        <v>1663</v>
      </c>
      <c r="F2622">
        <v>2</v>
      </c>
      <c r="G2622">
        <v>2.6</v>
      </c>
      <c r="H2622" t="s">
        <v>2327</v>
      </c>
      <c r="I2622" s="21">
        <v>39563</v>
      </c>
      <c r="J2622">
        <v>2008</v>
      </c>
      <c r="K2622" s="21">
        <v>39593</v>
      </c>
      <c r="L2622">
        <v>2008</v>
      </c>
      <c r="M2622" s="21">
        <v>39746</v>
      </c>
      <c r="N2622">
        <v>2008</v>
      </c>
      <c r="Q2622" s="262">
        <v>0</v>
      </c>
      <c r="S2622" t="s">
        <v>114</v>
      </c>
      <c r="T2622" t="s">
        <v>114</v>
      </c>
      <c r="W2622">
        <v>0</v>
      </c>
      <c r="X2622">
        <v>0</v>
      </c>
      <c r="Y2622">
        <v>0</v>
      </c>
      <c r="Z2622">
        <v>0</v>
      </c>
      <c r="AA2622">
        <v>0</v>
      </c>
      <c r="AB2622">
        <v>0</v>
      </c>
      <c r="AC2622">
        <v>0</v>
      </c>
      <c r="AD2622">
        <v>0</v>
      </c>
      <c r="AE2622">
        <v>0</v>
      </c>
      <c r="AF2622">
        <v>0</v>
      </c>
      <c r="AG2622">
        <v>0</v>
      </c>
      <c r="AH2622">
        <v>0</v>
      </c>
      <c r="AI2622">
        <v>0</v>
      </c>
      <c r="AJ2622">
        <v>0</v>
      </c>
      <c r="AK2622">
        <v>0</v>
      </c>
      <c r="AL2622">
        <v>0</v>
      </c>
      <c r="AM2622">
        <v>0</v>
      </c>
      <c r="AN2622">
        <v>0</v>
      </c>
      <c r="AO2622">
        <v>0</v>
      </c>
      <c r="AP2622">
        <v>0</v>
      </c>
      <c r="AQ2622">
        <v>0</v>
      </c>
      <c r="AR2622">
        <v>0</v>
      </c>
      <c r="AS2622">
        <v>0</v>
      </c>
      <c r="AT2622">
        <v>0</v>
      </c>
      <c r="AU2622">
        <f t="shared" si="80"/>
        <v>0</v>
      </c>
      <c r="AV2622">
        <f t="shared" si="81"/>
        <v>0</v>
      </c>
    </row>
    <row r="2623" spans="1:48" x14ac:dyDescent="0.25">
      <c r="A2623" t="s">
        <v>8967</v>
      </c>
      <c r="C2623" t="s">
        <v>8968</v>
      </c>
      <c r="D2623" t="s">
        <v>8969</v>
      </c>
      <c r="E2623" t="s">
        <v>1663</v>
      </c>
      <c r="F2623">
        <v>2</v>
      </c>
      <c r="G2623">
        <v>2.6</v>
      </c>
      <c r="H2623" t="s">
        <v>2327</v>
      </c>
      <c r="I2623" s="21">
        <v>39563</v>
      </c>
      <c r="J2623">
        <v>2008</v>
      </c>
      <c r="K2623" s="21">
        <v>39593</v>
      </c>
      <c r="L2623">
        <v>2008</v>
      </c>
      <c r="M2623" s="21">
        <v>39746</v>
      </c>
      <c r="N2623">
        <v>2008</v>
      </c>
      <c r="Q2623" s="262">
        <v>0</v>
      </c>
      <c r="S2623" t="s">
        <v>114</v>
      </c>
      <c r="T2623" t="s">
        <v>114</v>
      </c>
      <c r="W2623">
        <v>0</v>
      </c>
      <c r="X2623">
        <v>0</v>
      </c>
      <c r="Y2623">
        <v>0</v>
      </c>
      <c r="Z2623">
        <v>0</v>
      </c>
      <c r="AA2623">
        <v>0</v>
      </c>
      <c r="AB2623">
        <v>0</v>
      </c>
      <c r="AC2623">
        <v>0</v>
      </c>
      <c r="AD2623">
        <v>0</v>
      </c>
      <c r="AE2623">
        <v>0</v>
      </c>
      <c r="AF2623">
        <v>0</v>
      </c>
      <c r="AG2623">
        <v>0</v>
      </c>
      <c r="AH2623">
        <v>0</v>
      </c>
      <c r="AI2623">
        <v>0</v>
      </c>
      <c r="AJ2623">
        <v>0</v>
      </c>
      <c r="AK2623">
        <v>0</v>
      </c>
      <c r="AL2623">
        <v>0</v>
      </c>
      <c r="AM2623">
        <v>0</v>
      </c>
      <c r="AN2623">
        <v>0</v>
      </c>
      <c r="AO2623">
        <v>0</v>
      </c>
      <c r="AP2623">
        <v>0</v>
      </c>
      <c r="AQ2623">
        <v>0</v>
      </c>
      <c r="AR2623">
        <v>0</v>
      </c>
      <c r="AS2623">
        <v>0</v>
      </c>
      <c r="AT2623">
        <v>0</v>
      </c>
      <c r="AU2623">
        <f t="shared" si="80"/>
        <v>0</v>
      </c>
      <c r="AV2623">
        <f t="shared" si="81"/>
        <v>0</v>
      </c>
    </row>
    <row r="2624" spans="1:48" x14ac:dyDescent="0.25">
      <c r="A2624" t="s">
        <v>8975</v>
      </c>
      <c r="C2624" t="s">
        <v>8976</v>
      </c>
      <c r="D2624" t="s">
        <v>8621</v>
      </c>
      <c r="E2624" t="s">
        <v>2310</v>
      </c>
      <c r="F2624">
        <v>13</v>
      </c>
      <c r="G2624">
        <v>13.2</v>
      </c>
      <c r="H2624" t="s">
        <v>2327</v>
      </c>
      <c r="I2624" s="21">
        <v>39566</v>
      </c>
      <c r="J2624">
        <v>2008</v>
      </c>
      <c r="K2624" s="21">
        <v>39629</v>
      </c>
      <c r="L2624">
        <v>2008</v>
      </c>
      <c r="M2624" s="21">
        <v>40016.438865740703</v>
      </c>
      <c r="N2624">
        <v>2009</v>
      </c>
      <c r="R2624" s="262">
        <v>15000</v>
      </c>
      <c r="S2624" t="s">
        <v>114</v>
      </c>
      <c r="T2624" t="s">
        <v>114</v>
      </c>
      <c r="U2624">
        <v>4</v>
      </c>
      <c r="W2624">
        <v>104</v>
      </c>
      <c r="X2624">
        <v>0</v>
      </c>
      <c r="Y2624">
        <v>0</v>
      </c>
      <c r="Z2624">
        <v>0</v>
      </c>
      <c r="AA2624">
        <v>0</v>
      </c>
      <c r="AB2624">
        <v>104</v>
      </c>
      <c r="AC2624">
        <v>0</v>
      </c>
      <c r="AD2624">
        <v>0</v>
      </c>
      <c r="AE2624">
        <v>0</v>
      </c>
      <c r="AF2624">
        <v>0</v>
      </c>
      <c r="AG2624">
        <v>0</v>
      </c>
      <c r="AH2624">
        <v>0</v>
      </c>
      <c r="AI2624">
        <v>0</v>
      </c>
      <c r="AJ2624">
        <v>0</v>
      </c>
      <c r="AK2624">
        <v>0</v>
      </c>
      <c r="AL2624">
        <v>0</v>
      </c>
      <c r="AM2624">
        <v>0</v>
      </c>
      <c r="AN2624">
        <v>0</v>
      </c>
      <c r="AO2624">
        <v>0</v>
      </c>
      <c r="AP2624">
        <v>0</v>
      </c>
      <c r="AQ2624">
        <v>0</v>
      </c>
      <c r="AR2624">
        <v>0</v>
      </c>
      <c r="AS2624">
        <v>0</v>
      </c>
      <c r="AT2624">
        <v>0</v>
      </c>
      <c r="AU2624">
        <f t="shared" si="80"/>
        <v>0</v>
      </c>
      <c r="AV2624">
        <f t="shared" si="81"/>
        <v>104</v>
      </c>
    </row>
    <row r="2625" spans="1:48" x14ac:dyDescent="0.25">
      <c r="A2625" t="s">
        <v>8977</v>
      </c>
      <c r="C2625" t="s">
        <v>8978</v>
      </c>
      <c r="D2625" t="s">
        <v>8530</v>
      </c>
      <c r="E2625" t="s">
        <v>2310</v>
      </c>
      <c r="F2625">
        <v>9</v>
      </c>
      <c r="G2625">
        <v>9.1999999999999993</v>
      </c>
      <c r="H2625" t="s">
        <v>2022</v>
      </c>
      <c r="I2625" s="21">
        <v>39566</v>
      </c>
      <c r="J2625">
        <v>2008</v>
      </c>
      <c r="K2625" s="21">
        <v>39629</v>
      </c>
      <c r="L2625">
        <v>2008</v>
      </c>
      <c r="M2625" s="21">
        <v>40016.428680555597</v>
      </c>
      <c r="N2625">
        <v>2009</v>
      </c>
      <c r="R2625" s="262">
        <v>50000</v>
      </c>
      <c r="S2625" t="s">
        <v>114</v>
      </c>
      <c r="T2625" t="s">
        <v>114</v>
      </c>
      <c r="U2625">
        <v>4</v>
      </c>
      <c r="W2625">
        <v>432</v>
      </c>
      <c r="X2625">
        <v>0</v>
      </c>
      <c r="Y2625">
        <v>0</v>
      </c>
      <c r="Z2625">
        <v>0</v>
      </c>
      <c r="AA2625">
        <v>0</v>
      </c>
      <c r="AB2625">
        <v>432</v>
      </c>
      <c r="AC2625">
        <v>0</v>
      </c>
      <c r="AD2625">
        <v>0</v>
      </c>
      <c r="AE2625">
        <v>0</v>
      </c>
      <c r="AF2625">
        <v>0</v>
      </c>
      <c r="AG2625">
        <v>0</v>
      </c>
      <c r="AH2625">
        <v>0</v>
      </c>
      <c r="AI2625">
        <v>0</v>
      </c>
      <c r="AJ2625">
        <v>0</v>
      </c>
      <c r="AK2625">
        <v>0</v>
      </c>
      <c r="AL2625">
        <v>0</v>
      </c>
      <c r="AM2625">
        <v>0</v>
      </c>
      <c r="AN2625">
        <v>0</v>
      </c>
      <c r="AO2625">
        <v>0</v>
      </c>
      <c r="AP2625">
        <v>0</v>
      </c>
      <c r="AQ2625">
        <v>0</v>
      </c>
      <c r="AR2625">
        <v>0</v>
      </c>
      <c r="AS2625">
        <v>0</v>
      </c>
      <c r="AT2625">
        <v>0</v>
      </c>
      <c r="AU2625">
        <f t="shared" si="80"/>
        <v>0</v>
      </c>
      <c r="AV2625">
        <f t="shared" si="81"/>
        <v>432</v>
      </c>
    </row>
    <row r="2626" spans="1:48" x14ac:dyDescent="0.25">
      <c r="A2626" t="s">
        <v>8979</v>
      </c>
      <c r="C2626" t="s">
        <v>8980</v>
      </c>
      <c r="D2626" t="s">
        <v>8719</v>
      </c>
      <c r="E2626" t="s">
        <v>2310</v>
      </c>
      <c r="F2626">
        <v>8</v>
      </c>
      <c r="G2626">
        <v>8.1999999999999993</v>
      </c>
      <c r="H2626" t="s">
        <v>2022</v>
      </c>
      <c r="I2626" s="21">
        <v>39567</v>
      </c>
      <c r="J2626">
        <v>2008</v>
      </c>
      <c r="M2626" s="21">
        <v>40108.420844907399</v>
      </c>
      <c r="N2626">
        <v>2009</v>
      </c>
      <c r="S2626" t="s">
        <v>114</v>
      </c>
      <c r="T2626" t="s">
        <v>114</v>
      </c>
      <c r="U2626">
        <v>5</v>
      </c>
      <c r="W2626">
        <v>0</v>
      </c>
      <c r="X2626">
        <v>0</v>
      </c>
      <c r="Y2626">
        <v>0</v>
      </c>
      <c r="Z2626">
        <v>0</v>
      </c>
      <c r="AA2626">
        <v>0</v>
      </c>
      <c r="AB2626">
        <v>0</v>
      </c>
      <c r="AC2626">
        <v>0</v>
      </c>
      <c r="AD2626">
        <v>0</v>
      </c>
      <c r="AE2626">
        <v>0</v>
      </c>
      <c r="AF2626">
        <v>0</v>
      </c>
      <c r="AG2626">
        <v>0</v>
      </c>
      <c r="AH2626">
        <v>0</v>
      </c>
      <c r="AI2626">
        <v>0</v>
      </c>
      <c r="AJ2626">
        <v>0</v>
      </c>
      <c r="AK2626">
        <v>0</v>
      </c>
      <c r="AL2626">
        <v>0</v>
      </c>
      <c r="AM2626">
        <v>0</v>
      </c>
      <c r="AN2626">
        <v>0</v>
      </c>
      <c r="AO2626">
        <v>0</v>
      </c>
      <c r="AP2626">
        <v>0</v>
      </c>
      <c r="AQ2626">
        <v>0</v>
      </c>
      <c r="AR2626">
        <v>0</v>
      </c>
      <c r="AS2626">
        <v>0</v>
      </c>
      <c r="AT2626">
        <v>0</v>
      </c>
      <c r="AU2626">
        <f t="shared" si="80"/>
        <v>0</v>
      </c>
      <c r="AV2626">
        <f t="shared" si="81"/>
        <v>0</v>
      </c>
    </row>
    <row r="2627" spans="1:48" x14ac:dyDescent="0.25">
      <c r="A2627" t="s">
        <v>8981</v>
      </c>
      <c r="C2627" t="s">
        <v>8982</v>
      </c>
      <c r="D2627" t="s">
        <v>8983</v>
      </c>
      <c r="E2627" t="s">
        <v>2310</v>
      </c>
      <c r="F2627">
        <v>7</v>
      </c>
      <c r="G2627">
        <v>7.1</v>
      </c>
      <c r="H2627" t="s">
        <v>2017</v>
      </c>
      <c r="I2627" s="21">
        <v>39567</v>
      </c>
      <c r="J2627">
        <v>2008</v>
      </c>
      <c r="K2627" s="21">
        <v>39665</v>
      </c>
      <c r="L2627">
        <v>2008</v>
      </c>
      <c r="M2627" s="21">
        <v>40122.565532407403</v>
      </c>
      <c r="N2627">
        <v>2009</v>
      </c>
      <c r="R2627" s="262">
        <v>1500000</v>
      </c>
      <c r="S2627" t="s">
        <v>114</v>
      </c>
      <c r="T2627" t="s">
        <v>114</v>
      </c>
      <c r="U2627">
        <v>21</v>
      </c>
      <c r="W2627">
        <v>5264</v>
      </c>
      <c r="X2627">
        <v>3</v>
      </c>
      <c r="Y2627">
        <v>0</v>
      </c>
      <c r="Z2627">
        <v>0</v>
      </c>
      <c r="AA2627">
        <v>0</v>
      </c>
      <c r="AB2627">
        <v>0</v>
      </c>
      <c r="AC2627">
        <v>0</v>
      </c>
      <c r="AD2627">
        <v>0</v>
      </c>
      <c r="AE2627">
        <v>2258</v>
      </c>
      <c r="AF2627">
        <v>0</v>
      </c>
      <c r="AG2627">
        <v>0</v>
      </c>
      <c r="AH2627">
        <v>0</v>
      </c>
      <c r="AI2627">
        <v>0</v>
      </c>
      <c r="AJ2627">
        <v>0</v>
      </c>
      <c r="AK2627">
        <v>0</v>
      </c>
      <c r="AL2627">
        <v>3006</v>
      </c>
      <c r="AM2627">
        <v>0</v>
      </c>
      <c r="AN2627">
        <v>0</v>
      </c>
      <c r="AO2627">
        <v>0</v>
      </c>
      <c r="AP2627">
        <v>0</v>
      </c>
      <c r="AQ2627">
        <v>3</v>
      </c>
      <c r="AR2627">
        <v>0</v>
      </c>
      <c r="AS2627">
        <v>0</v>
      </c>
      <c r="AT2627">
        <v>0</v>
      </c>
      <c r="AU2627">
        <f t="shared" si="80"/>
        <v>3</v>
      </c>
      <c r="AV2627">
        <f t="shared" si="81"/>
        <v>3006</v>
      </c>
    </row>
    <row r="2628" spans="1:48" x14ac:dyDescent="0.25">
      <c r="A2628" t="s">
        <v>8984</v>
      </c>
      <c r="C2628" t="s">
        <v>8985</v>
      </c>
      <c r="D2628" t="s">
        <v>8986</v>
      </c>
      <c r="E2628" t="s">
        <v>2310</v>
      </c>
      <c r="F2628">
        <v>9</v>
      </c>
      <c r="G2628">
        <v>9.1</v>
      </c>
      <c r="H2628" t="s">
        <v>2323</v>
      </c>
      <c r="I2628" s="21">
        <v>39573</v>
      </c>
      <c r="J2628">
        <v>2008</v>
      </c>
      <c r="K2628" s="21">
        <v>39639</v>
      </c>
      <c r="L2628">
        <v>2008</v>
      </c>
      <c r="M2628" s="21">
        <v>39912</v>
      </c>
      <c r="N2628">
        <v>2009</v>
      </c>
      <c r="R2628" s="262">
        <v>30000</v>
      </c>
      <c r="S2628" t="s">
        <v>114</v>
      </c>
      <c r="T2628" t="s">
        <v>114</v>
      </c>
      <c r="U2628">
        <v>5</v>
      </c>
      <c r="W2628">
        <v>65</v>
      </c>
      <c r="X2628">
        <v>0</v>
      </c>
      <c r="Y2628">
        <v>0</v>
      </c>
      <c r="Z2628">
        <v>0</v>
      </c>
      <c r="AA2628">
        <v>0</v>
      </c>
      <c r="AB2628">
        <v>0</v>
      </c>
      <c r="AC2628">
        <v>65</v>
      </c>
      <c r="AD2628">
        <v>0</v>
      </c>
      <c r="AE2628">
        <v>0</v>
      </c>
      <c r="AF2628">
        <v>0</v>
      </c>
      <c r="AG2628">
        <v>0</v>
      </c>
      <c r="AH2628">
        <v>0</v>
      </c>
      <c r="AI2628">
        <v>0</v>
      </c>
      <c r="AJ2628">
        <v>0</v>
      </c>
      <c r="AK2628">
        <v>0</v>
      </c>
      <c r="AL2628">
        <v>0</v>
      </c>
      <c r="AM2628">
        <v>0</v>
      </c>
      <c r="AN2628">
        <v>0</v>
      </c>
      <c r="AO2628">
        <v>0</v>
      </c>
      <c r="AP2628">
        <v>0</v>
      </c>
      <c r="AQ2628">
        <v>0</v>
      </c>
      <c r="AR2628">
        <v>0</v>
      </c>
      <c r="AS2628">
        <v>0</v>
      </c>
      <c r="AT2628">
        <v>0</v>
      </c>
      <c r="AU2628">
        <f t="shared" si="80"/>
        <v>0</v>
      </c>
      <c r="AV2628">
        <f t="shared" si="81"/>
        <v>0</v>
      </c>
    </row>
    <row r="2629" spans="1:48" x14ac:dyDescent="0.25">
      <c r="A2629" t="s">
        <v>8987</v>
      </c>
      <c r="C2629" t="s">
        <v>8988</v>
      </c>
      <c r="D2629" t="s">
        <v>5006</v>
      </c>
      <c r="E2629" t="s">
        <v>2310</v>
      </c>
      <c r="F2629">
        <v>9</v>
      </c>
      <c r="G2629">
        <v>9.1999999999999993</v>
      </c>
      <c r="H2629" t="s">
        <v>2022</v>
      </c>
      <c r="I2629" s="21">
        <v>39573</v>
      </c>
      <c r="J2629">
        <v>2008</v>
      </c>
      <c r="K2629" s="21">
        <v>39639</v>
      </c>
      <c r="L2629">
        <v>2008</v>
      </c>
      <c r="M2629" s="21">
        <v>40080.552789351903</v>
      </c>
      <c r="N2629">
        <v>2009</v>
      </c>
      <c r="R2629" s="262">
        <v>500000</v>
      </c>
      <c r="S2629" t="s">
        <v>114</v>
      </c>
      <c r="T2629" t="s">
        <v>114</v>
      </c>
      <c r="U2629">
        <v>8</v>
      </c>
      <c r="W2629">
        <v>1856</v>
      </c>
      <c r="X2629">
        <v>1</v>
      </c>
      <c r="Y2629">
        <v>0</v>
      </c>
      <c r="Z2629">
        <v>0</v>
      </c>
      <c r="AA2629">
        <v>0</v>
      </c>
      <c r="AB2629">
        <v>0</v>
      </c>
      <c r="AC2629">
        <v>900</v>
      </c>
      <c r="AD2629">
        <v>0</v>
      </c>
      <c r="AE2629">
        <v>0</v>
      </c>
      <c r="AF2629">
        <v>956</v>
      </c>
      <c r="AG2629">
        <v>0</v>
      </c>
      <c r="AH2629">
        <v>0</v>
      </c>
      <c r="AI2629">
        <v>0</v>
      </c>
      <c r="AJ2629">
        <v>0</v>
      </c>
      <c r="AK2629">
        <v>0</v>
      </c>
      <c r="AL2629">
        <v>0</v>
      </c>
      <c r="AM2629">
        <v>0</v>
      </c>
      <c r="AN2629">
        <v>0</v>
      </c>
      <c r="AO2629">
        <v>0</v>
      </c>
      <c r="AP2629">
        <v>0</v>
      </c>
      <c r="AQ2629">
        <v>0</v>
      </c>
      <c r="AR2629">
        <v>1</v>
      </c>
      <c r="AS2629">
        <v>0</v>
      </c>
      <c r="AT2629">
        <v>0</v>
      </c>
      <c r="AU2629">
        <f t="shared" si="80"/>
        <v>0</v>
      </c>
      <c r="AV2629">
        <f t="shared" si="81"/>
        <v>0</v>
      </c>
    </row>
    <row r="2630" spans="1:48" x14ac:dyDescent="0.25">
      <c r="A2630" t="s">
        <v>8989</v>
      </c>
      <c r="C2630" t="s">
        <v>8990</v>
      </c>
      <c r="D2630" t="s">
        <v>5006</v>
      </c>
      <c r="E2630" t="s">
        <v>2310</v>
      </c>
      <c r="F2630">
        <v>9</v>
      </c>
      <c r="G2630">
        <v>9.1999999999999993</v>
      </c>
      <c r="H2630" t="s">
        <v>2022</v>
      </c>
      <c r="I2630" s="21">
        <v>39574</v>
      </c>
      <c r="J2630">
        <v>2008</v>
      </c>
      <c r="K2630" s="21">
        <v>39650</v>
      </c>
      <c r="L2630">
        <v>2008</v>
      </c>
      <c r="M2630" s="21">
        <v>40095.434374999997</v>
      </c>
      <c r="N2630">
        <v>2009</v>
      </c>
      <c r="S2630" t="s">
        <v>114</v>
      </c>
      <c r="T2630" t="s">
        <v>114</v>
      </c>
      <c r="U2630">
        <v>5</v>
      </c>
      <c r="W2630">
        <v>778</v>
      </c>
      <c r="X2630">
        <v>0</v>
      </c>
      <c r="Y2630">
        <v>0</v>
      </c>
      <c r="Z2630">
        <v>0</v>
      </c>
      <c r="AA2630">
        <v>0</v>
      </c>
      <c r="AB2630">
        <v>0</v>
      </c>
      <c r="AC2630">
        <v>778</v>
      </c>
      <c r="AD2630">
        <v>0</v>
      </c>
      <c r="AE2630">
        <v>0</v>
      </c>
      <c r="AF2630">
        <v>0</v>
      </c>
      <c r="AG2630">
        <v>0</v>
      </c>
      <c r="AH2630">
        <v>0</v>
      </c>
      <c r="AI2630">
        <v>0</v>
      </c>
      <c r="AJ2630">
        <v>0</v>
      </c>
      <c r="AK2630">
        <v>0</v>
      </c>
      <c r="AL2630">
        <v>0</v>
      </c>
      <c r="AM2630">
        <v>0</v>
      </c>
      <c r="AN2630">
        <v>0</v>
      </c>
      <c r="AO2630">
        <v>0</v>
      </c>
      <c r="AP2630">
        <v>0</v>
      </c>
      <c r="AQ2630">
        <v>0</v>
      </c>
      <c r="AR2630">
        <v>0</v>
      </c>
      <c r="AS2630">
        <v>0</v>
      </c>
      <c r="AT2630">
        <v>0</v>
      </c>
      <c r="AU2630">
        <f t="shared" si="80"/>
        <v>0</v>
      </c>
      <c r="AV2630">
        <f t="shared" si="81"/>
        <v>0</v>
      </c>
    </row>
    <row r="2631" spans="1:48" x14ac:dyDescent="0.25">
      <c r="A2631" t="s">
        <v>8991</v>
      </c>
      <c r="C2631" t="s">
        <v>8757</v>
      </c>
      <c r="D2631" t="s">
        <v>8992</v>
      </c>
      <c r="E2631" t="s">
        <v>2310</v>
      </c>
      <c r="F2631">
        <v>15</v>
      </c>
      <c r="G2631">
        <v>15.2</v>
      </c>
      <c r="H2631" t="s">
        <v>2323</v>
      </c>
      <c r="I2631" s="21">
        <v>39574</v>
      </c>
      <c r="J2631">
        <v>2008</v>
      </c>
      <c r="K2631" s="21">
        <v>39637</v>
      </c>
      <c r="L2631">
        <v>2008</v>
      </c>
      <c r="M2631" s="21">
        <v>40115.527291666702</v>
      </c>
      <c r="N2631">
        <v>2009</v>
      </c>
      <c r="R2631" s="262">
        <v>2000000</v>
      </c>
      <c r="S2631" t="s">
        <v>114</v>
      </c>
      <c r="T2631" t="s">
        <v>114</v>
      </c>
      <c r="U2631">
        <v>5</v>
      </c>
      <c r="W2631">
        <v>6773</v>
      </c>
      <c r="X2631">
        <v>1</v>
      </c>
      <c r="Y2631">
        <v>0</v>
      </c>
      <c r="Z2631">
        <v>0</v>
      </c>
      <c r="AA2631">
        <v>0</v>
      </c>
      <c r="AB2631">
        <v>0</v>
      </c>
      <c r="AC2631">
        <v>6773</v>
      </c>
      <c r="AD2631">
        <v>0</v>
      </c>
      <c r="AE2631">
        <v>0</v>
      </c>
      <c r="AF2631">
        <v>0</v>
      </c>
      <c r="AG2631">
        <v>0</v>
      </c>
      <c r="AH2631">
        <v>0</v>
      </c>
      <c r="AI2631">
        <v>0</v>
      </c>
      <c r="AJ2631">
        <v>0</v>
      </c>
      <c r="AK2631">
        <v>0</v>
      </c>
      <c r="AL2631">
        <v>0</v>
      </c>
      <c r="AM2631">
        <v>0</v>
      </c>
      <c r="AN2631">
        <v>0</v>
      </c>
      <c r="AO2631">
        <v>1</v>
      </c>
      <c r="AP2631">
        <v>0</v>
      </c>
      <c r="AQ2631">
        <v>0</v>
      </c>
      <c r="AR2631">
        <v>0</v>
      </c>
      <c r="AS2631">
        <v>0</v>
      </c>
      <c r="AT2631">
        <v>0</v>
      </c>
      <c r="AU2631">
        <f t="shared" si="80"/>
        <v>1</v>
      </c>
      <c r="AV2631">
        <f t="shared" si="81"/>
        <v>0</v>
      </c>
    </row>
    <row r="2632" spans="1:48" x14ac:dyDescent="0.25">
      <c r="A2632" t="s">
        <v>8996</v>
      </c>
      <c r="C2632" t="s">
        <v>8997</v>
      </c>
      <c r="D2632" t="s">
        <v>8998</v>
      </c>
      <c r="E2632" t="s">
        <v>1663</v>
      </c>
      <c r="F2632">
        <v>6</v>
      </c>
      <c r="G2632">
        <v>6.2</v>
      </c>
      <c r="H2632" t="s">
        <v>2017</v>
      </c>
      <c r="I2632" s="21">
        <v>39575</v>
      </c>
      <c r="J2632">
        <v>2008</v>
      </c>
      <c r="K2632" s="21">
        <v>39606</v>
      </c>
      <c r="L2632">
        <v>2008</v>
      </c>
      <c r="M2632" s="21">
        <v>39759</v>
      </c>
      <c r="N2632">
        <v>2008</v>
      </c>
      <c r="Q2632" s="262">
        <v>0</v>
      </c>
      <c r="S2632" t="s">
        <v>114</v>
      </c>
      <c r="T2632" t="s">
        <v>114</v>
      </c>
      <c r="W2632">
        <v>3602</v>
      </c>
      <c r="X2632">
        <v>1</v>
      </c>
      <c r="Y2632">
        <v>0</v>
      </c>
      <c r="Z2632">
        <v>0</v>
      </c>
      <c r="AA2632">
        <v>0</v>
      </c>
      <c r="AB2632">
        <v>0</v>
      </c>
      <c r="AC2632">
        <v>3602</v>
      </c>
      <c r="AD2632">
        <v>0</v>
      </c>
      <c r="AE2632">
        <v>0</v>
      </c>
      <c r="AF2632">
        <v>0</v>
      </c>
      <c r="AG2632">
        <v>0</v>
      </c>
      <c r="AH2632">
        <v>0</v>
      </c>
      <c r="AI2632">
        <v>0</v>
      </c>
      <c r="AJ2632">
        <v>0</v>
      </c>
      <c r="AK2632">
        <v>0</v>
      </c>
      <c r="AL2632">
        <v>0</v>
      </c>
      <c r="AM2632">
        <v>0</v>
      </c>
      <c r="AN2632">
        <v>0</v>
      </c>
      <c r="AO2632">
        <v>1</v>
      </c>
      <c r="AP2632">
        <v>0</v>
      </c>
      <c r="AQ2632">
        <v>0</v>
      </c>
      <c r="AR2632">
        <v>0</v>
      </c>
      <c r="AS2632">
        <v>0</v>
      </c>
      <c r="AT2632">
        <v>0</v>
      </c>
      <c r="AU2632">
        <f t="shared" si="80"/>
        <v>1</v>
      </c>
      <c r="AV2632">
        <f t="shared" si="81"/>
        <v>0</v>
      </c>
    </row>
    <row r="2633" spans="1:48" x14ac:dyDescent="0.25">
      <c r="A2633" t="s">
        <v>8993</v>
      </c>
      <c r="C2633" t="s">
        <v>8994</v>
      </c>
      <c r="D2633" t="s">
        <v>8995</v>
      </c>
      <c r="E2633" t="s">
        <v>1663</v>
      </c>
      <c r="F2633">
        <v>5</v>
      </c>
      <c r="G2633">
        <v>5.5</v>
      </c>
      <c r="H2633" t="s">
        <v>2017</v>
      </c>
      <c r="I2633" s="21">
        <v>39575</v>
      </c>
      <c r="J2633">
        <v>2008</v>
      </c>
      <c r="K2633" s="21">
        <v>39606</v>
      </c>
      <c r="L2633">
        <v>2008</v>
      </c>
      <c r="M2633" s="21">
        <v>39759</v>
      </c>
      <c r="N2633">
        <v>2008</v>
      </c>
      <c r="Q2633" s="262">
        <v>0</v>
      </c>
      <c r="S2633" t="s">
        <v>114</v>
      </c>
      <c r="T2633" t="s">
        <v>114</v>
      </c>
      <c r="W2633">
        <v>2482</v>
      </c>
      <c r="X2633">
        <v>1</v>
      </c>
      <c r="Y2633">
        <v>0</v>
      </c>
      <c r="Z2633">
        <v>0</v>
      </c>
      <c r="AA2633">
        <v>0</v>
      </c>
      <c r="AB2633">
        <v>0</v>
      </c>
      <c r="AC2633">
        <v>2482</v>
      </c>
      <c r="AD2633">
        <v>0</v>
      </c>
      <c r="AE2633">
        <v>0</v>
      </c>
      <c r="AF2633">
        <v>0</v>
      </c>
      <c r="AG2633">
        <v>0</v>
      </c>
      <c r="AH2633">
        <v>0</v>
      </c>
      <c r="AI2633">
        <v>0</v>
      </c>
      <c r="AJ2633">
        <v>0</v>
      </c>
      <c r="AK2633">
        <v>0</v>
      </c>
      <c r="AL2633">
        <v>0</v>
      </c>
      <c r="AM2633">
        <v>0</v>
      </c>
      <c r="AN2633">
        <v>0</v>
      </c>
      <c r="AO2633">
        <v>1</v>
      </c>
      <c r="AP2633">
        <v>0</v>
      </c>
      <c r="AQ2633">
        <v>0</v>
      </c>
      <c r="AR2633">
        <v>0</v>
      </c>
      <c r="AS2633">
        <v>0</v>
      </c>
      <c r="AT2633">
        <v>0</v>
      </c>
      <c r="AU2633">
        <f t="shared" si="80"/>
        <v>1</v>
      </c>
      <c r="AV2633">
        <f t="shared" si="81"/>
        <v>0</v>
      </c>
    </row>
    <row r="2634" spans="1:48" x14ac:dyDescent="0.25">
      <c r="A2634" t="s">
        <v>9002</v>
      </c>
      <c r="C2634" t="s">
        <v>9003</v>
      </c>
      <c r="D2634" t="s">
        <v>4588</v>
      </c>
      <c r="E2634" t="s">
        <v>2310</v>
      </c>
      <c r="F2634">
        <v>7</v>
      </c>
      <c r="G2634">
        <v>7.2</v>
      </c>
      <c r="H2634" t="s">
        <v>2017</v>
      </c>
      <c r="I2634" s="21">
        <v>39576</v>
      </c>
      <c r="J2634">
        <v>2008</v>
      </c>
      <c r="K2634" s="21">
        <v>39625</v>
      </c>
      <c r="L2634">
        <v>2008</v>
      </c>
      <c r="M2634" s="21">
        <v>39764</v>
      </c>
      <c r="N2634">
        <v>2008</v>
      </c>
      <c r="R2634" s="262">
        <v>750000</v>
      </c>
      <c r="S2634" t="s">
        <v>114</v>
      </c>
      <c r="T2634" t="s">
        <v>114</v>
      </c>
      <c r="U2634">
        <v>14</v>
      </c>
      <c r="W2634">
        <v>3320</v>
      </c>
      <c r="X2634">
        <v>0</v>
      </c>
      <c r="Y2634">
        <v>0</v>
      </c>
      <c r="Z2634">
        <v>0</v>
      </c>
      <c r="AA2634">
        <v>0</v>
      </c>
      <c r="AB2634">
        <v>0</v>
      </c>
      <c r="AC2634">
        <v>0</v>
      </c>
      <c r="AD2634">
        <v>0</v>
      </c>
      <c r="AE2634">
        <v>0</v>
      </c>
      <c r="AF2634">
        <v>0</v>
      </c>
      <c r="AG2634">
        <v>0</v>
      </c>
      <c r="AH2634">
        <v>0</v>
      </c>
      <c r="AI2634">
        <v>0</v>
      </c>
      <c r="AJ2634">
        <v>0</v>
      </c>
      <c r="AK2634">
        <v>0</v>
      </c>
      <c r="AL2634">
        <v>3320</v>
      </c>
      <c r="AM2634">
        <v>0</v>
      </c>
      <c r="AN2634">
        <v>0</v>
      </c>
      <c r="AO2634">
        <v>0</v>
      </c>
      <c r="AP2634">
        <v>0</v>
      </c>
      <c r="AQ2634">
        <v>0</v>
      </c>
      <c r="AR2634">
        <v>0</v>
      </c>
      <c r="AS2634">
        <v>0</v>
      </c>
      <c r="AT2634">
        <v>0</v>
      </c>
      <c r="AU2634">
        <f t="shared" si="80"/>
        <v>0</v>
      </c>
      <c r="AV2634">
        <f t="shared" si="81"/>
        <v>3320</v>
      </c>
    </row>
    <row r="2635" spans="1:48" x14ac:dyDescent="0.25">
      <c r="A2635" t="s">
        <v>9004</v>
      </c>
      <c r="C2635" t="s">
        <v>9005</v>
      </c>
      <c r="D2635" t="s">
        <v>9006</v>
      </c>
      <c r="E2635" t="s">
        <v>2310</v>
      </c>
      <c r="F2635">
        <v>10</v>
      </c>
      <c r="G2635">
        <v>10.1</v>
      </c>
      <c r="H2635" t="s">
        <v>2323</v>
      </c>
      <c r="I2635" s="21">
        <v>39576</v>
      </c>
      <c r="J2635">
        <v>2008</v>
      </c>
      <c r="K2635" s="21">
        <v>39631</v>
      </c>
      <c r="L2635">
        <v>2008</v>
      </c>
      <c r="M2635" s="21">
        <v>39863</v>
      </c>
      <c r="N2635">
        <v>2009</v>
      </c>
      <c r="R2635" s="262">
        <v>225000</v>
      </c>
      <c r="S2635" t="s">
        <v>114</v>
      </c>
      <c r="T2635" t="s">
        <v>114</v>
      </c>
      <c r="U2635">
        <v>5</v>
      </c>
      <c r="W2635">
        <v>512</v>
      </c>
      <c r="X2635">
        <v>0</v>
      </c>
      <c r="Y2635">
        <v>0</v>
      </c>
      <c r="Z2635">
        <v>0</v>
      </c>
      <c r="AA2635">
        <v>0</v>
      </c>
      <c r="AB2635">
        <v>0</v>
      </c>
      <c r="AC2635">
        <v>512</v>
      </c>
      <c r="AD2635">
        <v>0</v>
      </c>
      <c r="AE2635">
        <v>0</v>
      </c>
      <c r="AF2635">
        <v>0</v>
      </c>
      <c r="AG2635">
        <v>0</v>
      </c>
      <c r="AH2635">
        <v>0</v>
      </c>
      <c r="AI2635">
        <v>0</v>
      </c>
      <c r="AJ2635">
        <v>0</v>
      </c>
      <c r="AK2635">
        <v>0</v>
      </c>
      <c r="AL2635">
        <v>0</v>
      </c>
      <c r="AM2635">
        <v>0</v>
      </c>
      <c r="AN2635">
        <v>0</v>
      </c>
      <c r="AO2635">
        <v>0</v>
      </c>
      <c r="AP2635">
        <v>0</v>
      </c>
      <c r="AQ2635">
        <v>0</v>
      </c>
      <c r="AR2635">
        <v>0</v>
      </c>
      <c r="AS2635">
        <v>0</v>
      </c>
      <c r="AT2635">
        <v>0</v>
      </c>
      <c r="AU2635">
        <f t="shared" si="80"/>
        <v>0</v>
      </c>
      <c r="AV2635">
        <f t="shared" si="81"/>
        <v>0</v>
      </c>
    </row>
    <row r="2636" spans="1:48" x14ac:dyDescent="0.25">
      <c r="A2636" t="s">
        <v>8999</v>
      </c>
      <c r="C2636" t="s">
        <v>9000</v>
      </c>
      <c r="D2636" t="s">
        <v>9001</v>
      </c>
      <c r="E2636" t="s">
        <v>1663</v>
      </c>
      <c r="F2636">
        <v>2</v>
      </c>
      <c r="G2636">
        <v>2.2999999999999998</v>
      </c>
      <c r="H2636" t="s">
        <v>2327</v>
      </c>
      <c r="I2636" s="21">
        <v>39576</v>
      </c>
      <c r="J2636">
        <v>2008</v>
      </c>
      <c r="K2636" s="21">
        <v>39607</v>
      </c>
      <c r="L2636">
        <v>2008</v>
      </c>
      <c r="M2636" s="21">
        <v>39760</v>
      </c>
      <c r="N2636">
        <v>2008</v>
      </c>
      <c r="Q2636" s="262">
        <v>0</v>
      </c>
      <c r="S2636" t="s">
        <v>114</v>
      </c>
      <c r="T2636" t="s">
        <v>114</v>
      </c>
      <c r="W2636">
        <v>0</v>
      </c>
      <c r="X2636">
        <v>0</v>
      </c>
      <c r="Y2636">
        <v>0</v>
      </c>
      <c r="Z2636">
        <v>0</v>
      </c>
      <c r="AA2636">
        <v>0</v>
      </c>
      <c r="AB2636">
        <v>0</v>
      </c>
      <c r="AC2636">
        <v>0</v>
      </c>
      <c r="AD2636">
        <v>0</v>
      </c>
      <c r="AE2636">
        <v>0</v>
      </c>
      <c r="AF2636">
        <v>0</v>
      </c>
      <c r="AG2636">
        <v>0</v>
      </c>
      <c r="AH2636">
        <v>0</v>
      </c>
      <c r="AI2636">
        <v>0</v>
      </c>
      <c r="AJ2636">
        <v>0</v>
      </c>
      <c r="AK2636">
        <v>0</v>
      </c>
      <c r="AL2636">
        <v>0</v>
      </c>
      <c r="AM2636">
        <v>0</v>
      </c>
      <c r="AN2636">
        <v>0</v>
      </c>
      <c r="AO2636">
        <v>0</v>
      </c>
      <c r="AP2636">
        <v>0</v>
      </c>
      <c r="AQ2636">
        <v>0</v>
      </c>
      <c r="AR2636">
        <v>0</v>
      </c>
      <c r="AS2636">
        <v>0</v>
      </c>
      <c r="AT2636">
        <v>0</v>
      </c>
      <c r="AU2636">
        <f t="shared" si="80"/>
        <v>0</v>
      </c>
      <c r="AV2636">
        <f t="shared" si="81"/>
        <v>0</v>
      </c>
    </row>
    <row r="2637" spans="1:48" x14ac:dyDescent="0.25">
      <c r="A2637" t="s">
        <v>9007</v>
      </c>
      <c r="C2637" t="s">
        <v>7938</v>
      </c>
      <c r="D2637" t="s">
        <v>9008</v>
      </c>
      <c r="E2637" t="s">
        <v>1663</v>
      </c>
      <c r="F2637">
        <v>5</v>
      </c>
      <c r="G2637">
        <v>5.5</v>
      </c>
      <c r="H2637" t="s">
        <v>2017</v>
      </c>
      <c r="I2637" s="21">
        <v>39577</v>
      </c>
      <c r="J2637">
        <v>2008</v>
      </c>
      <c r="K2637" s="21">
        <v>39608</v>
      </c>
      <c r="L2637">
        <v>2008</v>
      </c>
      <c r="M2637" s="21">
        <v>39761</v>
      </c>
      <c r="N2637">
        <v>2008</v>
      </c>
      <c r="Q2637" s="262">
        <v>0</v>
      </c>
      <c r="S2637" t="s">
        <v>114</v>
      </c>
      <c r="T2637" t="s">
        <v>114</v>
      </c>
      <c r="W2637">
        <v>420</v>
      </c>
      <c r="X2637">
        <v>0</v>
      </c>
      <c r="Y2637">
        <v>0</v>
      </c>
      <c r="Z2637">
        <v>0</v>
      </c>
      <c r="AA2637">
        <v>0</v>
      </c>
      <c r="AB2637">
        <v>0</v>
      </c>
      <c r="AC2637">
        <v>420</v>
      </c>
      <c r="AD2637">
        <v>0</v>
      </c>
      <c r="AE2637">
        <v>0</v>
      </c>
      <c r="AF2637">
        <v>0</v>
      </c>
      <c r="AG2637">
        <v>0</v>
      </c>
      <c r="AH2637">
        <v>0</v>
      </c>
      <c r="AI2637">
        <v>0</v>
      </c>
      <c r="AJ2637">
        <v>0</v>
      </c>
      <c r="AK2637">
        <v>0</v>
      </c>
      <c r="AL2637">
        <v>0</v>
      </c>
      <c r="AM2637">
        <v>0</v>
      </c>
      <c r="AN2637">
        <v>0</v>
      </c>
      <c r="AO2637">
        <v>0</v>
      </c>
      <c r="AP2637">
        <v>0</v>
      </c>
      <c r="AQ2637">
        <v>0</v>
      </c>
      <c r="AR2637">
        <v>0</v>
      </c>
      <c r="AS2637">
        <v>0</v>
      </c>
      <c r="AT2637">
        <v>0</v>
      </c>
      <c r="AU2637">
        <f t="shared" si="80"/>
        <v>0</v>
      </c>
      <c r="AV2637">
        <f t="shared" si="81"/>
        <v>0</v>
      </c>
    </row>
    <row r="2638" spans="1:48" x14ac:dyDescent="0.25">
      <c r="A2638" t="s">
        <v>9009</v>
      </c>
      <c r="C2638" t="s">
        <v>9010</v>
      </c>
      <c r="D2638" t="s">
        <v>9011</v>
      </c>
      <c r="E2638" t="s">
        <v>1663</v>
      </c>
      <c r="F2638">
        <v>5</v>
      </c>
      <c r="G2638">
        <v>5.5</v>
      </c>
      <c r="H2638" t="s">
        <v>2017</v>
      </c>
      <c r="I2638" s="21">
        <v>39577</v>
      </c>
      <c r="J2638">
        <v>2008</v>
      </c>
      <c r="K2638" s="21">
        <v>39608</v>
      </c>
      <c r="L2638">
        <v>2008</v>
      </c>
      <c r="M2638" s="21">
        <v>39761</v>
      </c>
      <c r="N2638">
        <v>2008</v>
      </c>
      <c r="Q2638" s="262">
        <v>0</v>
      </c>
      <c r="S2638" t="s">
        <v>114</v>
      </c>
      <c r="T2638" t="s">
        <v>114</v>
      </c>
      <c r="W2638">
        <v>820</v>
      </c>
      <c r="X2638">
        <v>0</v>
      </c>
      <c r="Y2638">
        <v>0</v>
      </c>
      <c r="Z2638">
        <v>0</v>
      </c>
      <c r="AA2638">
        <v>0</v>
      </c>
      <c r="AB2638">
        <v>0</v>
      </c>
      <c r="AC2638">
        <v>820</v>
      </c>
      <c r="AD2638">
        <v>0</v>
      </c>
      <c r="AE2638">
        <v>0</v>
      </c>
      <c r="AF2638">
        <v>0</v>
      </c>
      <c r="AG2638">
        <v>0</v>
      </c>
      <c r="AH2638">
        <v>0</v>
      </c>
      <c r="AI2638">
        <v>0</v>
      </c>
      <c r="AJ2638">
        <v>0</v>
      </c>
      <c r="AK2638">
        <v>0</v>
      </c>
      <c r="AL2638">
        <v>0</v>
      </c>
      <c r="AM2638">
        <v>0</v>
      </c>
      <c r="AN2638">
        <v>0</v>
      </c>
      <c r="AO2638">
        <v>0</v>
      </c>
      <c r="AP2638">
        <v>0</v>
      </c>
      <c r="AQ2638">
        <v>0</v>
      </c>
      <c r="AR2638">
        <v>0</v>
      </c>
      <c r="AS2638">
        <v>0</v>
      </c>
      <c r="AT2638">
        <v>0</v>
      </c>
      <c r="AU2638">
        <f t="shared" si="80"/>
        <v>0</v>
      </c>
      <c r="AV2638">
        <f t="shared" si="81"/>
        <v>0</v>
      </c>
    </row>
    <row r="2639" spans="1:48" x14ac:dyDescent="0.25">
      <c r="A2639" t="s">
        <v>9012</v>
      </c>
      <c r="C2639" t="s">
        <v>9013</v>
      </c>
      <c r="D2639" t="s">
        <v>1585</v>
      </c>
      <c r="E2639" t="s">
        <v>2310</v>
      </c>
      <c r="F2639">
        <v>9</v>
      </c>
      <c r="G2639">
        <v>9.1999999999999993</v>
      </c>
      <c r="H2639" t="s">
        <v>2022</v>
      </c>
      <c r="I2639" s="21">
        <v>39577</v>
      </c>
      <c r="J2639">
        <v>2008</v>
      </c>
      <c r="K2639" s="21">
        <v>39664</v>
      </c>
      <c r="L2639">
        <v>2008</v>
      </c>
      <c r="M2639" s="21">
        <v>39974</v>
      </c>
      <c r="N2639">
        <v>2009</v>
      </c>
      <c r="R2639" s="262">
        <v>100000</v>
      </c>
      <c r="S2639" t="s">
        <v>114</v>
      </c>
      <c r="T2639" t="s">
        <v>114</v>
      </c>
      <c r="U2639">
        <v>4</v>
      </c>
      <c r="W2639">
        <v>432</v>
      </c>
      <c r="X2639">
        <v>0</v>
      </c>
      <c r="Y2639">
        <v>0</v>
      </c>
      <c r="Z2639">
        <v>0</v>
      </c>
      <c r="AA2639">
        <v>0</v>
      </c>
      <c r="AB2639">
        <v>432</v>
      </c>
      <c r="AC2639">
        <v>0</v>
      </c>
      <c r="AD2639">
        <v>0</v>
      </c>
      <c r="AE2639">
        <v>0</v>
      </c>
      <c r="AF2639">
        <v>0</v>
      </c>
      <c r="AG2639">
        <v>0</v>
      </c>
      <c r="AH2639">
        <v>0</v>
      </c>
      <c r="AI2639">
        <v>0</v>
      </c>
      <c r="AJ2639">
        <v>0</v>
      </c>
      <c r="AK2639">
        <v>0</v>
      </c>
      <c r="AL2639">
        <v>0</v>
      </c>
      <c r="AM2639">
        <v>0</v>
      </c>
      <c r="AN2639">
        <v>0</v>
      </c>
      <c r="AO2639">
        <v>0</v>
      </c>
      <c r="AP2639">
        <v>0</v>
      </c>
      <c r="AQ2639">
        <v>0</v>
      </c>
      <c r="AR2639">
        <v>0</v>
      </c>
      <c r="AS2639">
        <v>0</v>
      </c>
      <c r="AT2639">
        <v>0</v>
      </c>
      <c r="AU2639">
        <f t="shared" si="80"/>
        <v>0</v>
      </c>
      <c r="AV2639">
        <f t="shared" si="81"/>
        <v>432</v>
      </c>
    </row>
    <row r="2640" spans="1:48" x14ac:dyDescent="0.25">
      <c r="A2640" t="s">
        <v>9014</v>
      </c>
      <c r="C2640" t="s">
        <v>9015</v>
      </c>
      <c r="D2640" t="s">
        <v>9016</v>
      </c>
      <c r="E2640" t="s">
        <v>2310</v>
      </c>
      <c r="F2640">
        <v>10</v>
      </c>
      <c r="G2640">
        <v>10.1</v>
      </c>
      <c r="H2640" t="s">
        <v>2323</v>
      </c>
      <c r="I2640" s="21">
        <v>39581</v>
      </c>
      <c r="J2640">
        <v>2008</v>
      </c>
      <c r="K2640" s="21">
        <v>39596</v>
      </c>
      <c r="L2640">
        <v>2008</v>
      </c>
      <c r="M2640" s="21">
        <v>39806</v>
      </c>
      <c r="N2640">
        <v>2008</v>
      </c>
      <c r="R2640" s="262">
        <v>30000</v>
      </c>
      <c r="S2640" t="s">
        <v>114</v>
      </c>
      <c r="T2640" t="s">
        <v>114</v>
      </c>
      <c r="U2640">
        <v>5</v>
      </c>
      <c r="W2640">
        <v>192</v>
      </c>
      <c r="X2640">
        <v>0</v>
      </c>
      <c r="Y2640">
        <v>0</v>
      </c>
      <c r="Z2640">
        <v>0</v>
      </c>
      <c r="AA2640">
        <v>0</v>
      </c>
      <c r="AB2640">
        <v>0</v>
      </c>
      <c r="AC2640">
        <v>192</v>
      </c>
      <c r="AD2640">
        <v>0</v>
      </c>
      <c r="AE2640">
        <v>0</v>
      </c>
      <c r="AF2640">
        <v>0</v>
      </c>
      <c r="AG2640">
        <v>0</v>
      </c>
      <c r="AH2640">
        <v>0</v>
      </c>
      <c r="AI2640">
        <v>0</v>
      </c>
      <c r="AJ2640">
        <v>0</v>
      </c>
      <c r="AK2640">
        <v>0</v>
      </c>
      <c r="AL2640">
        <v>0</v>
      </c>
      <c r="AM2640">
        <v>0</v>
      </c>
      <c r="AN2640">
        <v>0</v>
      </c>
      <c r="AO2640">
        <v>0</v>
      </c>
      <c r="AP2640">
        <v>0</v>
      </c>
      <c r="AQ2640">
        <v>0</v>
      </c>
      <c r="AR2640">
        <v>0</v>
      </c>
      <c r="AS2640">
        <v>0</v>
      </c>
      <c r="AT2640">
        <v>0</v>
      </c>
      <c r="AU2640">
        <f t="shared" si="80"/>
        <v>0</v>
      </c>
      <c r="AV2640">
        <f t="shared" si="81"/>
        <v>0</v>
      </c>
    </row>
    <row r="2641" spans="1:48" x14ac:dyDescent="0.25">
      <c r="A2641" t="s">
        <v>9017</v>
      </c>
      <c r="C2641" t="s">
        <v>9018</v>
      </c>
      <c r="D2641" t="s">
        <v>9019</v>
      </c>
      <c r="E2641" t="s">
        <v>2310</v>
      </c>
      <c r="F2641">
        <v>14</v>
      </c>
      <c r="G2641">
        <v>14.2</v>
      </c>
      <c r="H2641" t="s">
        <v>2017</v>
      </c>
      <c r="I2641" s="21">
        <v>39582</v>
      </c>
      <c r="J2641">
        <v>2008</v>
      </c>
      <c r="K2641" s="21">
        <v>39708</v>
      </c>
      <c r="L2641">
        <v>2008</v>
      </c>
      <c r="M2641" s="21">
        <v>39708</v>
      </c>
      <c r="N2641">
        <v>2008</v>
      </c>
      <c r="R2641" s="262">
        <v>35000</v>
      </c>
      <c r="S2641" t="s">
        <v>114</v>
      </c>
      <c r="T2641" t="s">
        <v>114</v>
      </c>
      <c r="U2641">
        <v>5</v>
      </c>
      <c r="W2641">
        <v>0</v>
      </c>
      <c r="X2641">
        <v>0</v>
      </c>
      <c r="Y2641">
        <v>0</v>
      </c>
      <c r="Z2641">
        <v>0</v>
      </c>
      <c r="AA2641">
        <v>0</v>
      </c>
      <c r="AB2641">
        <v>0</v>
      </c>
      <c r="AC2641">
        <v>0</v>
      </c>
      <c r="AD2641">
        <v>0</v>
      </c>
      <c r="AE2641">
        <v>0</v>
      </c>
      <c r="AF2641">
        <v>0</v>
      </c>
      <c r="AG2641">
        <v>0</v>
      </c>
      <c r="AH2641">
        <v>0</v>
      </c>
      <c r="AI2641">
        <v>0</v>
      </c>
      <c r="AJ2641">
        <v>0</v>
      </c>
      <c r="AK2641">
        <v>0</v>
      </c>
      <c r="AL2641">
        <v>0</v>
      </c>
      <c r="AM2641">
        <v>0</v>
      </c>
      <c r="AN2641">
        <v>0</v>
      </c>
      <c r="AO2641">
        <v>0</v>
      </c>
      <c r="AP2641">
        <v>0</v>
      </c>
      <c r="AQ2641">
        <v>0</v>
      </c>
      <c r="AR2641">
        <v>0</v>
      </c>
      <c r="AS2641">
        <v>0</v>
      </c>
      <c r="AT2641">
        <v>0</v>
      </c>
      <c r="AU2641">
        <f t="shared" si="80"/>
        <v>0</v>
      </c>
      <c r="AV2641">
        <f t="shared" si="81"/>
        <v>0</v>
      </c>
    </row>
    <row r="2642" spans="1:48" x14ac:dyDescent="0.25">
      <c r="A2642" t="s">
        <v>9020</v>
      </c>
      <c r="C2642" t="s">
        <v>9021</v>
      </c>
      <c r="D2642" t="s">
        <v>9022</v>
      </c>
      <c r="E2642" t="s">
        <v>2310</v>
      </c>
      <c r="F2642">
        <v>15</v>
      </c>
      <c r="G2642">
        <v>15.2</v>
      </c>
      <c r="H2642" t="s">
        <v>2323</v>
      </c>
      <c r="I2642" s="21">
        <v>39582</v>
      </c>
      <c r="J2642">
        <v>2008</v>
      </c>
      <c r="K2642" s="21">
        <v>39632</v>
      </c>
      <c r="L2642">
        <v>2008</v>
      </c>
      <c r="M2642" s="21">
        <v>40745.4793055556</v>
      </c>
      <c r="N2642">
        <v>2011</v>
      </c>
      <c r="R2642" s="262">
        <v>360000</v>
      </c>
      <c r="S2642" t="s">
        <v>114</v>
      </c>
      <c r="T2642" t="s">
        <v>114</v>
      </c>
      <c r="U2642">
        <v>5</v>
      </c>
      <c r="W2642">
        <v>3018</v>
      </c>
      <c r="X2642">
        <v>1</v>
      </c>
      <c r="Y2642">
        <v>0</v>
      </c>
      <c r="Z2642">
        <v>0</v>
      </c>
      <c r="AA2642">
        <v>0</v>
      </c>
      <c r="AB2642">
        <v>0</v>
      </c>
      <c r="AC2642">
        <v>3018</v>
      </c>
      <c r="AD2642">
        <v>0</v>
      </c>
      <c r="AE2642">
        <v>0</v>
      </c>
      <c r="AF2642">
        <v>0</v>
      </c>
      <c r="AG2642">
        <v>0</v>
      </c>
      <c r="AH2642">
        <v>0</v>
      </c>
      <c r="AI2642">
        <v>0</v>
      </c>
      <c r="AJ2642">
        <v>0</v>
      </c>
      <c r="AK2642">
        <v>0</v>
      </c>
      <c r="AL2642">
        <v>0</v>
      </c>
      <c r="AM2642">
        <v>0</v>
      </c>
      <c r="AN2642">
        <v>0</v>
      </c>
      <c r="AO2642">
        <v>1</v>
      </c>
      <c r="AP2642">
        <v>0</v>
      </c>
      <c r="AQ2642">
        <v>0</v>
      </c>
      <c r="AR2642">
        <v>0</v>
      </c>
      <c r="AS2642">
        <v>0</v>
      </c>
      <c r="AT2642">
        <v>0</v>
      </c>
      <c r="AU2642">
        <f t="shared" si="80"/>
        <v>1</v>
      </c>
      <c r="AV2642">
        <f t="shared" si="81"/>
        <v>0</v>
      </c>
    </row>
    <row r="2643" spans="1:48" x14ac:dyDescent="0.25">
      <c r="A2643" t="s">
        <v>9026</v>
      </c>
      <c r="C2643" t="s">
        <v>9027</v>
      </c>
      <c r="D2643" t="s">
        <v>9028</v>
      </c>
      <c r="E2643" t="s">
        <v>2310</v>
      </c>
      <c r="F2643">
        <v>15</v>
      </c>
      <c r="G2643">
        <v>15.2</v>
      </c>
      <c r="H2643" t="s">
        <v>2323</v>
      </c>
      <c r="I2643" s="21">
        <v>39583</v>
      </c>
      <c r="J2643">
        <v>2008</v>
      </c>
      <c r="K2643" s="21">
        <v>39632</v>
      </c>
      <c r="L2643">
        <v>2008</v>
      </c>
      <c r="M2643" s="21">
        <v>39919</v>
      </c>
      <c r="N2643">
        <v>2009</v>
      </c>
      <c r="R2643" s="262">
        <v>200000</v>
      </c>
      <c r="S2643" t="s">
        <v>114</v>
      </c>
      <c r="T2643" t="s">
        <v>114</v>
      </c>
      <c r="U2643">
        <v>5</v>
      </c>
      <c r="W2643">
        <v>-498</v>
      </c>
      <c r="X2643">
        <v>0</v>
      </c>
      <c r="Y2643">
        <v>0</v>
      </c>
      <c r="Z2643">
        <v>0</v>
      </c>
      <c r="AA2643">
        <v>0</v>
      </c>
      <c r="AB2643">
        <v>0</v>
      </c>
      <c r="AC2643">
        <v>-498</v>
      </c>
      <c r="AD2643">
        <v>0</v>
      </c>
      <c r="AE2643">
        <v>0</v>
      </c>
      <c r="AF2643">
        <v>0</v>
      </c>
      <c r="AG2643">
        <v>0</v>
      </c>
      <c r="AH2643">
        <v>0</v>
      </c>
      <c r="AI2643">
        <v>0</v>
      </c>
      <c r="AJ2643">
        <v>0</v>
      </c>
      <c r="AK2643">
        <v>0</v>
      </c>
      <c r="AL2643">
        <v>0</v>
      </c>
      <c r="AM2643">
        <v>0</v>
      </c>
      <c r="AN2643">
        <v>0</v>
      </c>
      <c r="AO2643">
        <v>0</v>
      </c>
      <c r="AP2643">
        <v>0</v>
      </c>
      <c r="AQ2643">
        <v>0</v>
      </c>
      <c r="AR2643">
        <v>0</v>
      </c>
      <c r="AS2643">
        <v>0</v>
      </c>
      <c r="AT2643">
        <v>0</v>
      </c>
      <c r="AU2643">
        <f t="shared" si="80"/>
        <v>0</v>
      </c>
      <c r="AV2643">
        <f t="shared" si="81"/>
        <v>0</v>
      </c>
    </row>
    <row r="2644" spans="1:48" x14ac:dyDescent="0.25">
      <c r="A2644" t="s">
        <v>9029</v>
      </c>
      <c r="C2644" t="s">
        <v>9030</v>
      </c>
      <c r="D2644" t="s">
        <v>9031</v>
      </c>
      <c r="E2644" t="s">
        <v>2310</v>
      </c>
      <c r="F2644">
        <v>15</v>
      </c>
      <c r="G2644">
        <v>15.1</v>
      </c>
      <c r="H2644" t="s">
        <v>2022</v>
      </c>
      <c r="I2644" s="21">
        <v>39583</v>
      </c>
      <c r="J2644">
        <v>2008</v>
      </c>
      <c r="K2644" s="21">
        <v>39631</v>
      </c>
      <c r="L2644">
        <v>2008</v>
      </c>
      <c r="M2644" s="21">
        <v>40016.487037036997</v>
      </c>
      <c r="N2644">
        <v>2009</v>
      </c>
      <c r="R2644" s="262">
        <v>112000</v>
      </c>
      <c r="S2644" t="s">
        <v>114</v>
      </c>
      <c r="T2644" t="s">
        <v>114</v>
      </c>
      <c r="U2644">
        <v>5</v>
      </c>
      <c r="W2644">
        <v>1085</v>
      </c>
      <c r="X2644">
        <v>0</v>
      </c>
      <c r="Y2644">
        <v>0</v>
      </c>
      <c r="Z2644">
        <v>0</v>
      </c>
      <c r="AA2644">
        <v>0</v>
      </c>
      <c r="AB2644">
        <v>0</v>
      </c>
      <c r="AC2644">
        <v>1085</v>
      </c>
      <c r="AD2644">
        <v>0</v>
      </c>
      <c r="AE2644">
        <v>0</v>
      </c>
      <c r="AF2644">
        <v>0</v>
      </c>
      <c r="AG2644">
        <v>0</v>
      </c>
      <c r="AH2644">
        <v>0</v>
      </c>
      <c r="AI2644">
        <v>0</v>
      </c>
      <c r="AJ2644">
        <v>0</v>
      </c>
      <c r="AK2644">
        <v>0</v>
      </c>
      <c r="AL2644">
        <v>0</v>
      </c>
      <c r="AM2644">
        <v>0</v>
      </c>
      <c r="AN2644">
        <v>0</v>
      </c>
      <c r="AO2644">
        <v>0</v>
      </c>
      <c r="AP2644">
        <v>0</v>
      </c>
      <c r="AQ2644">
        <v>0</v>
      </c>
      <c r="AR2644">
        <v>0</v>
      </c>
      <c r="AS2644">
        <v>0</v>
      </c>
      <c r="AT2644">
        <v>0</v>
      </c>
      <c r="AU2644">
        <f t="shared" si="80"/>
        <v>0</v>
      </c>
      <c r="AV2644">
        <f t="shared" si="81"/>
        <v>0</v>
      </c>
    </row>
    <row r="2645" spans="1:48" x14ac:dyDescent="0.25">
      <c r="A2645" t="s">
        <v>9023</v>
      </c>
      <c r="C2645" t="s">
        <v>9024</v>
      </c>
      <c r="D2645" t="s">
        <v>9025</v>
      </c>
      <c r="E2645" t="s">
        <v>1663</v>
      </c>
      <c r="F2645">
        <v>3</v>
      </c>
      <c r="G2645">
        <v>3.2</v>
      </c>
      <c r="H2645" t="s">
        <v>2327</v>
      </c>
      <c r="I2645" s="21">
        <v>39583</v>
      </c>
      <c r="J2645">
        <v>2008</v>
      </c>
      <c r="K2645" s="21">
        <v>39614</v>
      </c>
      <c r="L2645">
        <v>2008</v>
      </c>
      <c r="M2645" s="21">
        <v>39767</v>
      </c>
      <c r="N2645">
        <v>2008</v>
      </c>
      <c r="Q2645" s="262">
        <v>0</v>
      </c>
      <c r="S2645" t="s">
        <v>114</v>
      </c>
      <c r="T2645" t="s">
        <v>114</v>
      </c>
      <c r="W2645">
        <v>2160</v>
      </c>
      <c r="X2645">
        <v>1</v>
      </c>
      <c r="Y2645">
        <v>0</v>
      </c>
      <c r="Z2645">
        <v>0</v>
      </c>
      <c r="AA2645">
        <v>0</v>
      </c>
      <c r="AB2645">
        <v>0</v>
      </c>
      <c r="AC2645">
        <v>2160</v>
      </c>
      <c r="AD2645">
        <v>0</v>
      </c>
      <c r="AE2645">
        <v>0</v>
      </c>
      <c r="AF2645">
        <v>0</v>
      </c>
      <c r="AG2645">
        <v>0</v>
      </c>
      <c r="AH2645">
        <v>0</v>
      </c>
      <c r="AI2645">
        <v>0</v>
      </c>
      <c r="AJ2645">
        <v>0</v>
      </c>
      <c r="AK2645">
        <v>0</v>
      </c>
      <c r="AL2645">
        <v>0</v>
      </c>
      <c r="AM2645">
        <v>0</v>
      </c>
      <c r="AN2645">
        <v>0</v>
      </c>
      <c r="AO2645">
        <v>1</v>
      </c>
      <c r="AP2645">
        <v>0</v>
      </c>
      <c r="AQ2645">
        <v>0</v>
      </c>
      <c r="AR2645">
        <v>0</v>
      </c>
      <c r="AS2645">
        <v>0</v>
      </c>
      <c r="AT2645">
        <v>0</v>
      </c>
      <c r="AU2645">
        <f t="shared" si="80"/>
        <v>1</v>
      </c>
      <c r="AV2645">
        <f t="shared" si="81"/>
        <v>0</v>
      </c>
    </row>
    <row r="2646" spans="1:48" x14ac:dyDescent="0.25">
      <c r="A2646" t="s">
        <v>9032</v>
      </c>
      <c r="C2646" t="s">
        <v>9033</v>
      </c>
      <c r="D2646" t="s">
        <v>3604</v>
      </c>
      <c r="E2646" t="s">
        <v>1663</v>
      </c>
      <c r="F2646">
        <v>6</v>
      </c>
      <c r="G2646">
        <v>6.2</v>
      </c>
      <c r="H2646" t="s">
        <v>2017</v>
      </c>
      <c r="I2646" s="21">
        <v>39584</v>
      </c>
      <c r="J2646">
        <v>2008</v>
      </c>
      <c r="K2646" s="21">
        <v>39615</v>
      </c>
      <c r="L2646">
        <v>2008</v>
      </c>
      <c r="M2646" s="21">
        <v>39768</v>
      </c>
      <c r="N2646">
        <v>2008</v>
      </c>
      <c r="Q2646" s="262">
        <v>0</v>
      </c>
      <c r="S2646" t="s">
        <v>114</v>
      </c>
      <c r="T2646" t="s">
        <v>114</v>
      </c>
      <c r="W2646">
        <v>210</v>
      </c>
      <c r="X2646">
        <v>0</v>
      </c>
      <c r="Y2646">
        <v>0</v>
      </c>
      <c r="Z2646">
        <v>0</v>
      </c>
      <c r="AA2646">
        <v>0</v>
      </c>
      <c r="AB2646">
        <v>0</v>
      </c>
      <c r="AC2646">
        <v>210</v>
      </c>
      <c r="AD2646">
        <v>0</v>
      </c>
      <c r="AE2646">
        <v>0</v>
      </c>
      <c r="AF2646">
        <v>0</v>
      </c>
      <c r="AG2646">
        <v>0</v>
      </c>
      <c r="AH2646">
        <v>0</v>
      </c>
      <c r="AI2646">
        <v>0</v>
      </c>
      <c r="AJ2646">
        <v>0</v>
      </c>
      <c r="AK2646">
        <v>0</v>
      </c>
      <c r="AL2646">
        <v>0</v>
      </c>
      <c r="AM2646">
        <v>0</v>
      </c>
      <c r="AN2646">
        <v>0</v>
      </c>
      <c r="AO2646">
        <v>0</v>
      </c>
      <c r="AP2646">
        <v>0</v>
      </c>
      <c r="AQ2646">
        <v>0</v>
      </c>
      <c r="AR2646">
        <v>0</v>
      </c>
      <c r="AS2646">
        <v>0</v>
      </c>
      <c r="AT2646">
        <v>0</v>
      </c>
      <c r="AU2646">
        <f t="shared" si="80"/>
        <v>0</v>
      </c>
      <c r="AV2646">
        <f t="shared" si="81"/>
        <v>0</v>
      </c>
    </row>
    <row r="2647" spans="1:48" x14ac:dyDescent="0.25">
      <c r="A2647" t="s">
        <v>9034</v>
      </c>
      <c r="C2647" t="s">
        <v>9035</v>
      </c>
      <c r="D2647" t="s">
        <v>9036</v>
      </c>
      <c r="E2647" t="s">
        <v>2310</v>
      </c>
      <c r="F2647">
        <v>14</v>
      </c>
      <c r="G2647">
        <v>14.1</v>
      </c>
      <c r="H2647" t="s">
        <v>2022</v>
      </c>
      <c r="I2647" s="21">
        <v>39587</v>
      </c>
      <c r="J2647">
        <v>2008</v>
      </c>
      <c r="K2647" s="21">
        <v>39680</v>
      </c>
      <c r="L2647">
        <v>2008</v>
      </c>
      <c r="M2647" s="21">
        <v>39680</v>
      </c>
      <c r="N2647">
        <v>2008</v>
      </c>
      <c r="R2647" s="262">
        <v>350000</v>
      </c>
      <c r="S2647" t="s">
        <v>114</v>
      </c>
      <c r="T2647" t="s">
        <v>114</v>
      </c>
      <c r="U2647">
        <v>5</v>
      </c>
      <c r="W2647">
        <v>729</v>
      </c>
      <c r="X2647">
        <v>0</v>
      </c>
      <c r="Y2647">
        <v>0</v>
      </c>
      <c r="Z2647">
        <v>0</v>
      </c>
      <c r="AA2647">
        <v>0</v>
      </c>
      <c r="AB2647">
        <v>0</v>
      </c>
      <c r="AC2647">
        <v>729</v>
      </c>
      <c r="AD2647">
        <v>0</v>
      </c>
      <c r="AE2647">
        <v>0</v>
      </c>
      <c r="AF2647">
        <v>0</v>
      </c>
      <c r="AG2647">
        <v>0</v>
      </c>
      <c r="AH2647">
        <v>0</v>
      </c>
      <c r="AI2647">
        <v>0</v>
      </c>
      <c r="AJ2647">
        <v>0</v>
      </c>
      <c r="AK2647">
        <v>0</v>
      </c>
      <c r="AL2647">
        <v>0</v>
      </c>
      <c r="AM2647">
        <v>0</v>
      </c>
      <c r="AN2647">
        <v>0</v>
      </c>
      <c r="AO2647">
        <v>0</v>
      </c>
      <c r="AP2647">
        <v>0</v>
      </c>
      <c r="AQ2647">
        <v>0</v>
      </c>
      <c r="AR2647">
        <v>0</v>
      </c>
      <c r="AS2647">
        <v>0</v>
      </c>
      <c r="AT2647">
        <v>0</v>
      </c>
      <c r="AU2647">
        <f t="shared" si="80"/>
        <v>0</v>
      </c>
      <c r="AV2647">
        <f t="shared" si="81"/>
        <v>0</v>
      </c>
    </row>
    <row r="2648" spans="1:48" x14ac:dyDescent="0.25">
      <c r="A2648" t="s">
        <v>9037</v>
      </c>
      <c r="C2648" t="s">
        <v>9038</v>
      </c>
      <c r="D2648" t="s">
        <v>9039</v>
      </c>
      <c r="E2648" t="s">
        <v>2310</v>
      </c>
      <c r="F2648">
        <v>9</v>
      </c>
      <c r="G2648">
        <v>9.3000000000000007</v>
      </c>
      <c r="H2648" t="s">
        <v>2323</v>
      </c>
      <c r="I2648" s="21">
        <v>39587</v>
      </c>
      <c r="J2648">
        <v>2008</v>
      </c>
      <c r="K2648" s="21">
        <v>39646</v>
      </c>
      <c r="L2648">
        <v>2008</v>
      </c>
      <c r="M2648" s="21">
        <v>40550.423391203702</v>
      </c>
      <c r="N2648">
        <v>2011</v>
      </c>
      <c r="R2648" s="262">
        <v>1500000</v>
      </c>
      <c r="S2648" t="s">
        <v>114</v>
      </c>
      <c r="T2648" t="s">
        <v>114</v>
      </c>
      <c r="U2648">
        <v>5</v>
      </c>
      <c r="W2648">
        <v>7525</v>
      </c>
      <c r="X2648">
        <v>1</v>
      </c>
      <c r="Y2648">
        <v>0</v>
      </c>
      <c r="Z2648">
        <v>0</v>
      </c>
      <c r="AA2648">
        <v>0</v>
      </c>
      <c r="AB2648">
        <v>0</v>
      </c>
      <c r="AC2648">
        <v>7525</v>
      </c>
      <c r="AD2648">
        <v>0</v>
      </c>
      <c r="AE2648">
        <v>0</v>
      </c>
      <c r="AF2648">
        <v>0</v>
      </c>
      <c r="AG2648">
        <v>0</v>
      </c>
      <c r="AH2648">
        <v>0</v>
      </c>
      <c r="AI2648">
        <v>0</v>
      </c>
      <c r="AJ2648">
        <v>0</v>
      </c>
      <c r="AK2648">
        <v>0</v>
      </c>
      <c r="AL2648">
        <v>0</v>
      </c>
      <c r="AM2648">
        <v>0</v>
      </c>
      <c r="AN2648">
        <v>0</v>
      </c>
      <c r="AO2648">
        <v>1</v>
      </c>
      <c r="AP2648">
        <v>0</v>
      </c>
      <c r="AQ2648">
        <v>0</v>
      </c>
      <c r="AR2648">
        <v>0</v>
      </c>
      <c r="AS2648">
        <v>0</v>
      </c>
      <c r="AT2648">
        <v>0</v>
      </c>
      <c r="AU2648">
        <f t="shared" si="80"/>
        <v>1</v>
      </c>
      <c r="AV2648">
        <f t="shared" si="81"/>
        <v>0</v>
      </c>
    </row>
    <row r="2649" spans="1:48" x14ac:dyDescent="0.25">
      <c r="A2649" t="s">
        <v>9040</v>
      </c>
      <c r="C2649" t="s">
        <v>9041</v>
      </c>
      <c r="D2649" t="s">
        <v>9042</v>
      </c>
      <c r="E2649" t="s">
        <v>2310</v>
      </c>
      <c r="F2649">
        <v>11</v>
      </c>
      <c r="G2649">
        <v>11.2</v>
      </c>
      <c r="H2649" t="s">
        <v>2017</v>
      </c>
      <c r="I2649" s="21">
        <v>39587</v>
      </c>
      <c r="J2649">
        <v>2008</v>
      </c>
      <c r="K2649" s="21">
        <v>39651</v>
      </c>
      <c r="L2649">
        <v>2008</v>
      </c>
      <c r="M2649" s="21">
        <v>40028.404618055603</v>
      </c>
      <c r="N2649">
        <v>2009</v>
      </c>
      <c r="R2649" s="262">
        <v>625000</v>
      </c>
      <c r="S2649" t="s">
        <v>114</v>
      </c>
      <c r="T2649" t="s">
        <v>114</v>
      </c>
      <c r="U2649">
        <v>5</v>
      </c>
      <c r="W2649">
        <v>2798</v>
      </c>
      <c r="X2649">
        <v>1</v>
      </c>
      <c r="Y2649">
        <v>0</v>
      </c>
      <c r="Z2649">
        <v>0</v>
      </c>
      <c r="AA2649">
        <v>0</v>
      </c>
      <c r="AB2649">
        <v>0</v>
      </c>
      <c r="AC2649">
        <v>2798</v>
      </c>
      <c r="AD2649">
        <v>0</v>
      </c>
      <c r="AE2649">
        <v>0</v>
      </c>
      <c r="AF2649">
        <v>0</v>
      </c>
      <c r="AG2649">
        <v>0</v>
      </c>
      <c r="AH2649">
        <v>0</v>
      </c>
      <c r="AI2649">
        <v>0</v>
      </c>
      <c r="AJ2649">
        <v>0</v>
      </c>
      <c r="AK2649">
        <v>0</v>
      </c>
      <c r="AL2649">
        <v>0</v>
      </c>
      <c r="AM2649">
        <v>0</v>
      </c>
      <c r="AN2649">
        <v>0</v>
      </c>
      <c r="AO2649">
        <v>1</v>
      </c>
      <c r="AP2649">
        <v>0</v>
      </c>
      <c r="AQ2649">
        <v>0</v>
      </c>
      <c r="AR2649">
        <v>0</v>
      </c>
      <c r="AS2649">
        <v>0</v>
      </c>
      <c r="AT2649">
        <v>0</v>
      </c>
      <c r="AU2649">
        <f t="shared" ref="AU2649:AU2712" si="82">SUM(AN2649:AQ2649,AS2649)</f>
        <v>1</v>
      </c>
      <c r="AV2649">
        <f t="shared" ref="AV2649:AV2712" si="83">SUM(Y2649:AB2649,AH2649:AM2649)</f>
        <v>0</v>
      </c>
    </row>
    <row r="2650" spans="1:48" x14ac:dyDescent="0.25">
      <c r="A2650" t="s">
        <v>9043</v>
      </c>
      <c r="C2650" t="s">
        <v>9044</v>
      </c>
      <c r="D2650" t="s">
        <v>9045</v>
      </c>
      <c r="E2650" t="s">
        <v>2310</v>
      </c>
      <c r="F2650">
        <v>11</v>
      </c>
      <c r="G2650">
        <v>11.2</v>
      </c>
      <c r="H2650" t="s">
        <v>2017</v>
      </c>
      <c r="I2650" s="21">
        <v>39587</v>
      </c>
      <c r="J2650">
        <v>2008</v>
      </c>
      <c r="K2650" s="21">
        <v>39651</v>
      </c>
      <c r="L2650">
        <v>2008</v>
      </c>
      <c r="M2650" s="21">
        <v>40086.453287037002</v>
      </c>
      <c r="N2650">
        <v>2009</v>
      </c>
      <c r="R2650" s="262">
        <v>625000</v>
      </c>
      <c r="S2650" t="s">
        <v>114</v>
      </c>
      <c r="T2650" t="s">
        <v>114</v>
      </c>
      <c r="U2650">
        <v>5</v>
      </c>
      <c r="W2650">
        <v>2798</v>
      </c>
      <c r="X2650">
        <v>1</v>
      </c>
      <c r="Y2650">
        <v>0</v>
      </c>
      <c r="Z2650">
        <v>0</v>
      </c>
      <c r="AA2650">
        <v>0</v>
      </c>
      <c r="AB2650">
        <v>0</v>
      </c>
      <c r="AC2650">
        <v>2798</v>
      </c>
      <c r="AD2650">
        <v>0</v>
      </c>
      <c r="AE2650">
        <v>0</v>
      </c>
      <c r="AF2650">
        <v>0</v>
      </c>
      <c r="AG2650">
        <v>0</v>
      </c>
      <c r="AH2650">
        <v>0</v>
      </c>
      <c r="AI2650">
        <v>0</v>
      </c>
      <c r="AJ2650">
        <v>0</v>
      </c>
      <c r="AK2650">
        <v>0</v>
      </c>
      <c r="AL2650">
        <v>0</v>
      </c>
      <c r="AM2650">
        <v>0</v>
      </c>
      <c r="AN2650">
        <v>0</v>
      </c>
      <c r="AO2650">
        <v>1</v>
      </c>
      <c r="AP2650">
        <v>0</v>
      </c>
      <c r="AQ2650">
        <v>0</v>
      </c>
      <c r="AR2650">
        <v>0</v>
      </c>
      <c r="AS2650">
        <v>0</v>
      </c>
      <c r="AT2650">
        <v>0</v>
      </c>
      <c r="AU2650">
        <f t="shared" si="82"/>
        <v>1</v>
      </c>
      <c r="AV2650">
        <f t="shared" si="83"/>
        <v>0</v>
      </c>
    </row>
    <row r="2651" spans="1:48" x14ac:dyDescent="0.25">
      <c r="A2651" t="s">
        <v>9046</v>
      </c>
      <c r="C2651" t="s">
        <v>9047</v>
      </c>
      <c r="D2651" t="s">
        <v>3228</v>
      </c>
      <c r="E2651" t="s">
        <v>2310</v>
      </c>
      <c r="F2651">
        <v>8</v>
      </c>
      <c r="G2651">
        <v>8.1</v>
      </c>
      <c r="H2651" t="s">
        <v>2323</v>
      </c>
      <c r="I2651" s="21">
        <v>39588</v>
      </c>
      <c r="J2651">
        <v>2008</v>
      </c>
      <c r="K2651" s="21">
        <v>39630</v>
      </c>
      <c r="L2651">
        <v>2008</v>
      </c>
      <c r="M2651" s="21">
        <v>39798</v>
      </c>
      <c r="N2651">
        <v>2008</v>
      </c>
      <c r="R2651" s="262">
        <v>150000</v>
      </c>
      <c r="S2651" t="s">
        <v>114</v>
      </c>
      <c r="T2651" t="s">
        <v>114</v>
      </c>
      <c r="U2651">
        <v>5</v>
      </c>
      <c r="W2651">
        <v>554</v>
      </c>
      <c r="X2651">
        <v>0</v>
      </c>
      <c r="Y2651">
        <v>0</v>
      </c>
      <c r="Z2651">
        <v>0</v>
      </c>
      <c r="AA2651">
        <v>0</v>
      </c>
      <c r="AB2651">
        <v>0</v>
      </c>
      <c r="AC2651">
        <v>554</v>
      </c>
      <c r="AD2651">
        <v>0</v>
      </c>
      <c r="AE2651">
        <v>0</v>
      </c>
      <c r="AF2651">
        <v>0</v>
      </c>
      <c r="AG2651">
        <v>0</v>
      </c>
      <c r="AH2651">
        <v>0</v>
      </c>
      <c r="AI2651">
        <v>0</v>
      </c>
      <c r="AJ2651">
        <v>0</v>
      </c>
      <c r="AK2651">
        <v>0</v>
      </c>
      <c r="AL2651">
        <v>0</v>
      </c>
      <c r="AM2651">
        <v>0</v>
      </c>
      <c r="AN2651">
        <v>0</v>
      </c>
      <c r="AO2651">
        <v>0</v>
      </c>
      <c r="AP2651">
        <v>0</v>
      </c>
      <c r="AQ2651">
        <v>0</v>
      </c>
      <c r="AR2651">
        <v>0</v>
      </c>
      <c r="AS2651">
        <v>0</v>
      </c>
      <c r="AT2651">
        <v>0</v>
      </c>
      <c r="AU2651">
        <f t="shared" si="82"/>
        <v>0</v>
      </c>
      <c r="AV2651">
        <f t="shared" si="83"/>
        <v>0</v>
      </c>
    </row>
    <row r="2652" spans="1:48" x14ac:dyDescent="0.25">
      <c r="A2652" t="s">
        <v>9048</v>
      </c>
      <c r="C2652" t="s">
        <v>9049</v>
      </c>
      <c r="D2652" t="s">
        <v>9050</v>
      </c>
      <c r="E2652" t="s">
        <v>2310</v>
      </c>
      <c r="F2652">
        <v>15</v>
      </c>
      <c r="G2652">
        <v>15.3</v>
      </c>
      <c r="H2652" t="s">
        <v>2022</v>
      </c>
      <c r="I2652" s="21">
        <v>39588</v>
      </c>
      <c r="J2652">
        <v>2008</v>
      </c>
      <c r="K2652" s="21">
        <v>39666</v>
      </c>
      <c r="L2652">
        <v>2008</v>
      </c>
      <c r="M2652" s="21">
        <v>40056.377858796302</v>
      </c>
      <c r="N2652">
        <v>2009</v>
      </c>
      <c r="R2652" s="262">
        <v>850000</v>
      </c>
      <c r="S2652" t="s">
        <v>114</v>
      </c>
      <c r="T2652" t="s">
        <v>114</v>
      </c>
      <c r="U2652">
        <v>5</v>
      </c>
      <c r="W2652">
        <v>3090</v>
      </c>
      <c r="X2652">
        <v>1</v>
      </c>
      <c r="Y2652">
        <v>0</v>
      </c>
      <c r="Z2652">
        <v>0</v>
      </c>
      <c r="AA2652">
        <v>0</v>
      </c>
      <c r="AB2652">
        <v>0</v>
      </c>
      <c r="AC2652">
        <v>3090</v>
      </c>
      <c r="AD2652">
        <v>0</v>
      </c>
      <c r="AE2652">
        <v>0</v>
      </c>
      <c r="AF2652">
        <v>0</v>
      </c>
      <c r="AG2652">
        <v>0</v>
      </c>
      <c r="AH2652">
        <v>0</v>
      </c>
      <c r="AI2652">
        <v>0</v>
      </c>
      <c r="AJ2652">
        <v>0</v>
      </c>
      <c r="AK2652">
        <v>0</v>
      </c>
      <c r="AL2652">
        <v>0</v>
      </c>
      <c r="AM2652">
        <v>0</v>
      </c>
      <c r="AN2652">
        <v>0</v>
      </c>
      <c r="AO2652">
        <v>1</v>
      </c>
      <c r="AP2652">
        <v>0</v>
      </c>
      <c r="AQ2652">
        <v>0</v>
      </c>
      <c r="AR2652">
        <v>0</v>
      </c>
      <c r="AS2652">
        <v>0</v>
      </c>
      <c r="AT2652">
        <v>0</v>
      </c>
      <c r="AU2652">
        <f t="shared" si="82"/>
        <v>1</v>
      </c>
      <c r="AV2652">
        <f t="shared" si="83"/>
        <v>0</v>
      </c>
    </row>
    <row r="2653" spans="1:48" x14ac:dyDescent="0.25">
      <c r="A2653" t="s">
        <v>9051</v>
      </c>
      <c r="C2653" t="s">
        <v>9052</v>
      </c>
      <c r="D2653" t="s">
        <v>9053</v>
      </c>
      <c r="E2653" t="s">
        <v>1663</v>
      </c>
      <c r="F2653">
        <v>2</v>
      </c>
      <c r="G2653">
        <v>2.2999999999999998</v>
      </c>
      <c r="H2653" t="s">
        <v>2327</v>
      </c>
      <c r="I2653" s="21">
        <v>39589</v>
      </c>
      <c r="J2653">
        <v>2008</v>
      </c>
      <c r="K2653" s="21">
        <v>39620</v>
      </c>
      <c r="L2653">
        <v>2008</v>
      </c>
      <c r="M2653" s="21">
        <v>39773</v>
      </c>
      <c r="N2653">
        <v>2008</v>
      </c>
      <c r="Q2653" s="262">
        <v>0</v>
      </c>
      <c r="S2653" t="s">
        <v>114</v>
      </c>
      <c r="T2653" t="s">
        <v>114</v>
      </c>
      <c r="W2653">
        <v>0</v>
      </c>
      <c r="X2653">
        <v>0</v>
      </c>
      <c r="Y2653">
        <v>0</v>
      </c>
      <c r="Z2653">
        <v>0</v>
      </c>
      <c r="AA2653">
        <v>0</v>
      </c>
      <c r="AB2653">
        <v>0</v>
      </c>
      <c r="AC2653">
        <v>0</v>
      </c>
      <c r="AD2653">
        <v>0</v>
      </c>
      <c r="AE2653">
        <v>0</v>
      </c>
      <c r="AF2653">
        <v>0</v>
      </c>
      <c r="AG2653">
        <v>0</v>
      </c>
      <c r="AH2653">
        <v>0</v>
      </c>
      <c r="AI2653">
        <v>0</v>
      </c>
      <c r="AJ2653">
        <v>0</v>
      </c>
      <c r="AK2653">
        <v>0</v>
      </c>
      <c r="AL2653">
        <v>0</v>
      </c>
      <c r="AM2653">
        <v>0</v>
      </c>
      <c r="AN2653">
        <v>0</v>
      </c>
      <c r="AO2653">
        <v>0</v>
      </c>
      <c r="AP2653">
        <v>0</v>
      </c>
      <c r="AQ2653">
        <v>0</v>
      </c>
      <c r="AR2653">
        <v>0</v>
      </c>
      <c r="AS2653">
        <v>0</v>
      </c>
      <c r="AT2653">
        <v>0</v>
      </c>
      <c r="AU2653">
        <f t="shared" si="82"/>
        <v>0</v>
      </c>
      <c r="AV2653">
        <f t="shared" si="83"/>
        <v>0</v>
      </c>
    </row>
    <row r="2654" spans="1:48" x14ac:dyDescent="0.25">
      <c r="A2654" t="s">
        <v>9057</v>
      </c>
      <c r="C2654" t="s">
        <v>9058</v>
      </c>
      <c r="D2654" t="s">
        <v>9059</v>
      </c>
      <c r="E2654" t="s">
        <v>2310</v>
      </c>
      <c r="F2654">
        <v>10</v>
      </c>
      <c r="G2654">
        <v>10.1</v>
      </c>
      <c r="H2654" t="s">
        <v>2323</v>
      </c>
      <c r="I2654" s="21">
        <v>39590</v>
      </c>
      <c r="J2654">
        <v>2008</v>
      </c>
      <c r="K2654" s="21">
        <v>39630</v>
      </c>
      <c r="L2654">
        <v>2008</v>
      </c>
      <c r="M2654" s="21">
        <v>40809.432638888902</v>
      </c>
      <c r="N2654">
        <v>2011</v>
      </c>
      <c r="R2654" s="262">
        <v>20000</v>
      </c>
      <c r="S2654" t="s">
        <v>114</v>
      </c>
      <c r="T2654" t="s">
        <v>114</v>
      </c>
      <c r="U2654">
        <v>5</v>
      </c>
      <c r="W2654">
        <v>320</v>
      </c>
      <c r="X2654">
        <v>0</v>
      </c>
      <c r="Y2654">
        <v>0</v>
      </c>
      <c r="Z2654">
        <v>0</v>
      </c>
      <c r="AA2654">
        <v>0</v>
      </c>
      <c r="AB2654">
        <v>0</v>
      </c>
      <c r="AC2654">
        <v>320</v>
      </c>
      <c r="AD2654">
        <v>0</v>
      </c>
      <c r="AE2654">
        <v>0</v>
      </c>
      <c r="AF2654">
        <v>0</v>
      </c>
      <c r="AG2654">
        <v>0</v>
      </c>
      <c r="AH2654">
        <v>0</v>
      </c>
      <c r="AI2654">
        <v>0</v>
      </c>
      <c r="AJ2654">
        <v>0</v>
      </c>
      <c r="AK2654">
        <v>0</v>
      </c>
      <c r="AL2654">
        <v>0</v>
      </c>
      <c r="AM2654">
        <v>0</v>
      </c>
      <c r="AN2654">
        <v>0</v>
      </c>
      <c r="AO2654">
        <v>0</v>
      </c>
      <c r="AP2654">
        <v>0</v>
      </c>
      <c r="AQ2654">
        <v>0</v>
      </c>
      <c r="AR2654">
        <v>0</v>
      </c>
      <c r="AS2654">
        <v>0</v>
      </c>
      <c r="AT2654">
        <v>0</v>
      </c>
      <c r="AU2654">
        <f t="shared" si="82"/>
        <v>0</v>
      </c>
      <c r="AV2654">
        <f t="shared" si="83"/>
        <v>0</v>
      </c>
    </row>
    <row r="2655" spans="1:48" x14ac:dyDescent="0.25">
      <c r="A2655" t="s">
        <v>9054</v>
      </c>
      <c r="C2655" t="s">
        <v>9055</v>
      </c>
      <c r="D2655" t="s">
        <v>9056</v>
      </c>
      <c r="E2655" t="s">
        <v>1663</v>
      </c>
      <c r="F2655">
        <v>1</v>
      </c>
      <c r="G2655">
        <v>1.2</v>
      </c>
      <c r="H2655" t="s">
        <v>2017</v>
      </c>
      <c r="I2655" s="21">
        <v>39590</v>
      </c>
      <c r="J2655">
        <v>2008</v>
      </c>
      <c r="K2655" s="21">
        <v>39621</v>
      </c>
      <c r="L2655">
        <v>2008</v>
      </c>
      <c r="M2655" s="21">
        <v>39774</v>
      </c>
      <c r="N2655">
        <v>2008</v>
      </c>
      <c r="Q2655" s="262">
        <v>175000</v>
      </c>
      <c r="S2655" t="s">
        <v>114</v>
      </c>
      <c r="T2655" t="s">
        <v>114</v>
      </c>
      <c r="W2655">
        <v>0</v>
      </c>
      <c r="X2655">
        <v>0</v>
      </c>
      <c r="Y2655">
        <v>0</v>
      </c>
      <c r="Z2655">
        <v>0</v>
      </c>
      <c r="AA2655">
        <v>0</v>
      </c>
      <c r="AB2655">
        <v>0</v>
      </c>
      <c r="AC2655">
        <v>0</v>
      </c>
      <c r="AD2655">
        <v>0</v>
      </c>
      <c r="AE2655">
        <v>0</v>
      </c>
      <c r="AF2655">
        <v>0</v>
      </c>
      <c r="AG2655">
        <v>0</v>
      </c>
      <c r="AH2655">
        <v>0</v>
      </c>
      <c r="AI2655">
        <v>0</v>
      </c>
      <c r="AJ2655">
        <v>0</v>
      </c>
      <c r="AK2655">
        <v>0</v>
      </c>
      <c r="AL2655">
        <v>0</v>
      </c>
      <c r="AM2655">
        <v>0</v>
      </c>
      <c r="AN2655">
        <v>0</v>
      </c>
      <c r="AO2655">
        <v>0</v>
      </c>
      <c r="AP2655">
        <v>0</v>
      </c>
      <c r="AQ2655">
        <v>0</v>
      </c>
      <c r="AR2655">
        <v>0</v>
      </c>
      <c r="AS2655">
        <v>0</v>
      </c>
      <c r="AT2655">
        <v>0</v>
      </c>
      <c r="AU2655">
        <f t="shared" si="82"/>
        <v>0</v>
      </c>
      <c r="AV2655">
        <f t="shared" si="83"/>
        <v>0</v>
      </c>
    </row>
    <row r="2656" spans="1:48" x14ac:dyDescent="0.25">
      <c r="A2656" t="s">
        <v>9060</v>
      </c>
      <c r="C2656" t="s">
        <v>9061</v>
      </c>
      <c r="D2656" t="s">
        <v>9062</v>
      </c>
      <c r="E2656" t="s">
        <v>2310</v>
      </c>
      <c r="F2656">
        <v>15</v>
      </c>
      <c r="G2656">
        <v>15.2</v>
      </c>
      <c r="H2656" t="s">
        <v>2323</v>
      </c>
      <c r="I2656" s="21">
        <v>39591</v>
      </c>
      <c r="J2656">
        <v>2008</v>
      </c>
      <c r="K2656" s="21">
        <v>39643</v>
      </c>
      <c r="L2656">
        <v>2008</v>
      </c>
      <c r="M2656" s="21">
        <v>40365.422569444403</v>
      </c>
      <c r="N2656">
        <v>2010</v>
      </c>
      <c r="R2656" s="262">
        <v>120000</v>
      </c>
      <c r="S2656" t="s">
        <v>114</v>
      </c>
      <c r="T2656" t="s">
        <v>114</v>
      </c>
      <c r="U2656">
        <v>8</v>
      </c>
      <c r="W2656">
        <v>994</v>
      </c>
      <c r="X2656">
        <v>1</v>
      </c>
      <c r="Y2656">
        <v>0</v>
      </c>
      <c r="Z2656">
        <v>0</v>
      </c>
      <c r="AA2656">
        <v>0</v>
      </c>
      <c r="AB2656">
        <v>0</v>
      </c>
      <c r="AC2656">
        <v>0</v>
      </c>
      <c r="AD2656">
        <v>0</v>
      </c>
      <c r="AE2656">
        <v>0</v>
      </c>
      <c r="AF2656">
        <v>994</v>
      </c>
      <c r="AG2656">
        <v>0</v>
      </c>
      <c r="AH2656">
        <v>0</v>
      </c>
      <c r="AI2656">
        <v>0</v>
      </c>
      <c r="AJ2656">
        <v>0</v>
      </c>
      <c r="AK2656">
        <v>0</v>
      </c>
      <c r="AL2656">
        <v>0</v>
      </c>
      <c r="AM2656">
        <v>0</v>
      </c>
      <c r="AN2656">
        <v>0</v>
      </c>
      <c r="AO2656">
        <v>0</v>
      </c>
      <c r="AP2656">
        <v>0</v>
      </c>
      <c r="AQ2656">
        <v>0</v>
      </c>
      <c r="AR2656">
        <v>1</v>
      </c>
      <c r="AS2656">
        <v>0</v>
      </c>
      <c r="AT2656">
        <v>0</v>
      </c>
      <c r="AU2656">
        <f t="shared" si="82"/>
        <v>0</v>
      </c>
      <c r="AV2656">
        <f t="shared" si="83"/>
        <v>0</v>
      </c>
    </row>
    <row r="2657" spans="1:48" x14ac:dyDescent="0.25">
      <c r="A2657" t="s">
        <v>9066</v>
      </c>
      <c r="C2657" t="s">
        <v>9067</v>
      </c>
      <c r="D2657" t="s">
        <v>9068</v>
      </c>
      <c r="E2657" t="s">
        <v>2310</v>
      </c>
      <c r="F2657">
        <v>14</v>
      </c>
      <c r="G2657">
        <v>14.2</v>
      </c>
      <c r="H2657" t="s">
        <v>2017</v>
      </c>
      <c r="I2657" s="21">
        <v>39597</v>
      </c>
      <c r="J2657">
        <v>2008</v>
      </c>
      <c r="K2657" s="21">
        <v>39667</v>
      </c>
      <c r="L2657">
        <v>2008</v>
      </c>
      <c r="M2657" s="21">
        <v>40396.558564814797</v>
      </c>
      <c r="N2657">
        <v>2010</v>
      </c>
      <c r="R2657" s="262">
        <v>800000</v>
      </c>
      <c r="S2657" t="s">
        <v>114</v>
      </c>
      <c r="T2657" t="s">
        <v>114</v>
      </c>
      <c r="U2657">
        <v>5</v>
      </c>
      <c r="W2657">
        <v>4954</v>
      </c>
      <c r="X2657">
        <v>1</v>
      </c>
      <c r="Y2657">
        <v>0</v>
      </c>
      <c r="Z2657">
        <v>0</v>
      </c>
      <c r="AA2657">
        <v>0</v>
      </c>
      <c r="AB2657">
        <v>0</v>
      </c>
      <c r="AC2657">
        <v>4954</v>
      </c>
      <c r="AD2657">
        <v>0</v>
      </c>
      <c r="AE2657">
        <v>0</v>
      </c>
      <c r="AF2657">
        <v>0</v>
      </c>
      <c r="AG2657">
        <v>0</v>
      </c>
      <c r="AH2657">
        <v>0</v>
      </c>
      <c r="AI2657">
        <v>0</v>
      </c>
      <c r="AJ2657">
        <v>0</v>
      </c>
      <c r="AK2657">
        <v>0</v>
      </c>
      <c r="AL2657">
        <v>0</v>
      </c>
      <c r="AM2657">
        <v>0</v>
      </c>
      <c r="AN2657">
        <v>0</v>
      </c>
      <c r="AO2657">
        <v>1</v>
      </c>
      <c r="AP2657">
        <v>0</v>
      </c>
      <c r="AQ2657">
        <v>0</v>
      </c>
      <c r="AR2657">
        <v>0</v>
      </c>
      <c r="AS2657">
        <v>0</v>
      </c>
      <c r="AT2657">
        <v>0</v>
      </c>
      <c r="AU2657">
        <f t="shared" si="82"/>
        <v>1</v>
      </c>
      <c r="AV2657">
        <f t="shared" si="83"/>
        <v>0</v>
      </c>
    </row>
    <row r="2658" spans="1:48" x14ac:dyDescent="0.25">
      <c r="A2658" t="s">
        <v>9063</v>
      </c>
      <c r="C2658" t="s">
        <v>9064</v>
      </c>
      <c r="D2658" t="s">
        <v>9065</v>
      </c>
      <c r="E2658" t="s">
        <v>1663</v>
      </c>
      <c r="F2658">
        <v>2</v>
      </c>
      <c r="G2658">
        <v>2.1</v>
      </c>
      <c r="H2658" t="s">
        <v>2327</v>
      </c>
      <c r="I2658" s="21">
        <v>39597</v>
      </c>
      <c r="J2658">
        <v>2008</v>
      </c>
      <c r="K2658" s="21">
        <v>39628</v>
      </c>
      <c r="L2658">
        <v>2008</v>
      </c>
      <c r="M2658" s="21">
        <v>39781</v>
      </c>
      <c r="N2658">
        <v>2008</v>
      </c>
      <c r="Q2658" s="262">
        <v>0</v>
      </c>
      <c r="S2658" t="s">
        <v>114</v>
      </c>
      <c r="T2658" t="s">
        <v>114</v>
      </c>
      <c r="W2658">
        <v>0</v>
      </c>
      <c r="X2658">
        <v>0</v>
      </c>
      <c r="Y2658">
        <v>0</v>
      </c>
      <c r="Z2658">
        <v>0</v>
      </c>
      <c r="AA2658">
        <v>0</v>
      </c>
      <c r="AB2658">
        <v>0</v>
      </c>
      <c r="AC2658">
        <v>0</v>
      </c>
      <c r="AD2658">
        <v>0</v>
      </c>
      <c r="AE2658">
        <v>0</v>
      </c>
      <c r="AF2658">
        <v>0</v>
      </c>
      <c r="AG2658">
        <v>0</v>
      </c>
      <c r="AH2658">
        <v>0</v>
      </c>
      <c r="AI2658">
        <v>0</v>
      </c>
      <c r="AJ2658">
        <v>0</v>
      </c>
      <c r="AK2658">
        <v>0</v>
      </c>
      <c r="AL2658">
        <v>0</v>
      </c>
      <c r="AM2658">
        <v>0</v>
      </c>
      <c r="AN2658">
        <v>0</v>
      </c>
      <c r="AO2658">
        <v>0</v>
      </c>
      <c r="AP2658">
        <v>0</v>
      </c>
      <c r="AQ2658">
        <v>0</v>
      </c>
      <c r="AR2658">
        <v>0</v>
      </c>
      <c r="AS2658">
        <v>0</v>
      </c>
      <c r="AT2658">
        <v>0</v>
      </c>
      <c r="AU2658">
        <f t="shared" si="82"/>
        <v>0</v>
      </c>
      <c r="AV2658">
        <f t="shared" si="83"/>
        <v>0</v>
      </c>
    </row>
    <row r="2659" spans="1:48" x14ac:dyDescent="0.25">
      <c r="A2659" t="s">
        <v>9069</v>
      </c>
      <c r="C2659" t="s">
        <v>5718</v>
      </c>
      <c r="D2659" t="s">
        <v>9070</v>
      </c>
      <c r="E2659" t="s">
        <v>1663</v>
      </c>
      <c r="F2659">
        <v>5</v>
      </c>
      <c r="G2659">
        <v>5.5</v>
      </c>
      <c r="H2659" t="s">
        <v>2017</v>
      </c>
      <c r="I2659" s="21">
        <v>39598</v>
      </c>
      <c r="J2659">
        <v>2008</v>
      </c>
      <c r="K2659" s="21">
        <v>39629</v>
      </c>
      <c r="L2659">
        <v>2008</v>
      </c>
      <c r="M2659" s="21">
        <v>39782</v>
      </c>
      <c r="N2659">
        <v>2008</v>
      </c>
      <c r="Q2659" s="262">
        <v>0</v>
      </c>
      <c r="S2659" t="s">
        <v>114</v>
      </c>
      <c r="T2659" t="s">
        <v>114</v>
      </c>
      <c r="W2659">
        <v>1763</v>
      </c>
      <c r="X2659">
        <v>0</v>
      </c>
      <c r="Y2659">
        <v>0</v>
      </c>
      <c r="Z2659">
        <v>0</v>
      </c>
      <c r="AA2659">
        <v>0</v>
      </c>
      <c r="AB2659">
        <v>0</v>
      </c>
      <c r="AC2659">
        <v>1763</v>
      </c>
      <c r="AD2659">
        <v>0</v>
      </c>
      <c r="AE2659">
        <v>0</v>
      </c>
      <c r="AF2659">
        <v>0</v>
      </c>
      <c r="AG2659">
        <v>0</v>
      </c>
      <c r="AH2659">
        <v>0</v>
      </c>
      <c r="AI2659">
        <v>0</v>
      </c>
      <c r="AJ2659">
        <v>0</v>
      </c>
      <c r="AK2659">
        <v>0</v>
      </c>
      <c r="AL2659">
        <v>0</v>
      </c>
      <c r="AM2659">
        <v>0</v>
      </c>
      <c r="AN2659">
        <v>0</v>
      </c>
      <c r="AO2659">
        <v>0</v>
      </c>
      <c r="AP2659">
        <v>0</v>
      </c>
      <c r="AQ2659">
        <v>0</v>
      </c>
      <c r="AR2659">
        <v>0</v>
      </c>
      <c r="AS2659">
        <v>0</v>
      </c>
      <c r="AT2659">
        <v>0</v>
      </c>
      <c r="AU2659">
        <f t="shared" si="82"/>
        <v>0</v>
      </c>
      <c r="AV2659">
        <f t="shared" si="83"/>
        <v>0</v>
      </c>
    </row>
    <row r="2660" spans="1:48" x14ac:dyDescent="0.25">
      <c r="A2660" t="s">
        <v>9071</v>
      </c>
      <c r="C2660" t="s">
        <v>9072</v>
      </c>
      <c r="D2660" t="s">
        <v>9073</v>
      </c>
      <c r="E2660" t="s">
        <v>2310</v>
      </c>
      <c r="F2660">
        <v>15</v>
      </c>
      <c r="G2660">
        <v>15.1</v>
      </c>
      <c r="H2660" t="s">
        <v>2022</v>
      </c>
      <c r="I2660" s="21">
        <v>39598</v>
      </c>
      <c r="J2660">
        <v>2008</v>
      </c>
      <c r="K2660" s="21">
        <v>39659</v>
      </c>
      <c r="L2660">
        <v>2008</v>
      </c>
      <c r="M2660" s="21">
        <v>39822</v>
      </c>
      <c r="N2660">
        <v>2009</v>
      </c>
      <c r="R2660" s="262">
        <v>300000</v>
      </c>
      <c r="S2660" t="s">
        <v>114</v>
      </c>
      <c r="T2660" t="s">
        <v>114</v>
      </c>
      <c r="U2660">
        <v>5</v>
      </c>
      <c r="W2660">
        <v>948</v>
      </c>
      <c r="X2660">
        <v>0</v>
      </c>
      <c r="Y2660">
        <v>0</v>
      </c>
      <c r="Z2660">
        <v>0</v>
      </c>
      <c r="AA2660">
        <v>0</v>
      </c>
      <c r="AB2660">
        <v>0</v>
      </c>
      <c r="AC2660">
        <v>948</v>
      </c>
      <c r="AD2660">
        <v>0</v>
      </c>
      <c r="AE2660">
        <v>0</v>
      </c>
      <c r="AF2660">
        <v>0</v>
      </c>
      <c r="AG2660">
        <v>0</v>
      </c>
      <c r="AH2660">
        <v>0</v>
      </c>
      <c r="AI2660">
        <v>0</v>
      </c>
      <c r="AJ2660">
        <v>0</v>
      </c>
      <c r="AK2660">
        <v>0</v>
      </c>
      <c r="AL2660">
        <v>0</v>
      </c>
      <c r="AM2660">
        <v>0</v>
      </c>
      <c r="AN2660">
        <v>0</v>
      </c>
      <c r="AO2660">
        <v>0</v>
      </c>
      <c r="AP2660">
        <v>0</v>
      </c>
      <c r="AQ2660">
        <v>0</v>
      </c>
      <c r="AR2660">
        <v>0</v>
      </c>
      <c r="AS2660">
        <v>0</v>
      </c>
      <c r="AT2660">
        <v>0</v>
      </c>
      <c r="AU2660">
        <f t="shared" si="82"/>
        <v>0</v>
      </c>
      <c r="AV2660">
        <f t="shared" si="83"/>
        <v>0</v>
      </c>
    </row>
    <row r="2661" spans="1:48" x14ac:dyDescent="0.25">
      <c r="A2661" t="s">
        <v>9074</v>
      </c>
      <c r="C2661" t="s">
        <v>9075</v>
      </c>
      <c r="D2661" t="s">
        <v>9076</v>
      </c>
      <c r="E2661" t="s">
        <v>1663</v>
      </c>
      <c r="F2661">
        <v>5</v>
      </c>
      <c r="G2661">
        <v>5.5</v>
      </c>
      <c r="H2661" t="s">
        <v>2017</v>
      </c>
      <c r="I2661" s="21">
        <v>39601</v>
      </c>
      <c r="J2661">
        <v>2008</v>
      </c>
      <c r="K2661" s="21">
        <v>39631</v>
      </c>
      <c r="L2661">
        <v>2008</v>
      </c>
      <c r="M2661" s="21">
        <v>39784</v>
      </c>
      <c r="N2661">
        <v>2008</v>
      </c>
      <c r="Q2661" s="262">
        <v>198000</v>
      </c>
      <c r="S2661" t="s">
        <v>114</v>
      </c>
      <c r="T2661" t="s">
        <v>114</v>
      </c>
      <c r="W2661">
        <v>0</v>
      </c>
      <c r="X2661">
        <v>0</v>
      </c>
      <c r="Y2661">
        <v>0</v>
      </c>
      <c r="Z2661">
        <v>0</v>
      </c>
      <c r="AA2661">
        <v>0</v>
      </c>
      <c r="AB2661">
        <v>0</v>
      </c>
      <c r="AC2661">
        <v>0</v>
      </c>
      <c r="AD2661">
        <v>0</v>
      </c>
      <c r="AE2661">
        <v>0</v>
      </c>
      <c r="AF2661">
        <v>0</v>
      </c>
      <c r="AG2661">
        <v>0</v>
      </c>
      <c r="AH2661">
        <v>0</v>
      </c>
      <c r="AI2661">
        <v>0</v>
      </c>
      <c r="AJ2661">
        <v>0</v>
      </c>
      <c r="AK2661">
        <v>0</v>
      </c>
      <c r="AL2661">
        <v>0</v>
      </c>
      <c r="AM2661">
        <v>0</v>
      </c>
      <c r="AN2661">
        <v>0</v>
      </c>
      <c r="AO2661">
        <v>0</v>
      </c>
      <c r="AP2661">
        <v>0</v>
      </c>
      <c r="AQ2661">
        <v>0</v>
      </c>
      <c r="AR2661">
        <v>0</v>
      </c>
      <c r="AS2661">
        <v>0</v>
      </c>
      <c r="AT2661">
        <v>0</v>
      </c>
      <c r="AU2661">
        <f t="shared" si="82"/>
        <v>0</v>
      </c>
      <c r="AV2661">
        <f t="shared" si="83"/>
        <v>0</v>
      </c>
    </row>
    <row r="2662" spans="1:48" x14ac:dyDescent="0.25">
      <c r="A2662" t="s">
        <v>9077</v>
      </c>
      <c r="C2662" t="s">
        <v>9078</v>
      </c>
      <c r="D2662" t="s">
        <v>9079</v>
      </c>
      <c r="E2662" t="s">
        <v>1663</v>
      </c>
      <c r="F2662">
        <v>6</v>
      </c>
      <c r="G2662">
        <v>6.1</v>
      </c>
      <c r="H2662" t="s">
        <v>2017</v>
      </c>
      <c r="I2662" s="21">
        <v>39603</v>
      </c>
      <c r="J2662">
        <v>2008</v>
      </c>
      <c r="K2662" s="21">
        <v>39633</v>
      </c>
      <c r="L2662">
        <v>2008</v>
      </c>
      <c r="M2662" s="21">
        <v>39786</v>
      </c>
      <c r="N2662">
        <v>2008</v>
      </c>
      <c r="Q2662" s="262">
        <v>0</v>
      </c>
      <c r="S2662" t="s">
        <v>114</v>
      </c>
      <c r="T2662" t="s">
        <v>114</v>
      </c>
      <c r="W2662">
        <v>3970</v>
      </c>
      <c r="X2662">
        <v>1</v>
      </c>
      <c r="Y2662">
        <v>0</v>
      </c>
      <c r="Z2662">
        <v>0</v>
      </c>
      <c r="AA2662">
        <v>0</v>
      </c>
      <c r="AB2662">
        <v>0</v>
      </c>
      <c r="AC2662">
        <v>3970</v>
      </c>
      <c r="AD2662">
        <v>0</v>
      </c>
      <c r="AE2662">
        <v>0</v>
      </c>
      <c r="AF2662">
        <v>0</v>
      </c>
      <c r="AG2662">
        <v>0</v>
      </c>
      <c r="AH2662">
        <v>0</v>
      </c>
      <c r="AI2662">
        <v>0</v>
      </c>
      <c r="AJ2662">
        <v>0</v>
      </c>
      <c r="AK2662">
        <v>0</v>
      </c>
      <c r="AL2662">
        <v>0</v>
      </c>
      <c r="AM2662">
        <v>0</v>
      </c>
      <c r="AN2662">
        <v>0</v>
      </c>
      <c r="AO2662">
        <v>1</v>
      </c>
      <c r="AP2662">
        <v>0</v>
      </c>
      <c r="AQ2662">
        <v>0</v>
      </c>
      <c r="AR2662">
        <v>0</v>
      </c>
      <c r="AS2662">
        <v>0</v>
      </c>
      <c r="AT2662">
        <v>0</v>
      </c>
      <c r="AU2662">
        <f t="shared" si="82"/>
        <v>1</v>
      </c>
      <c r="AV2662">
        <f t="shared" si="83"/>
        <v>0</v>
      </c>
    </row>
    <row r="2663" spans="1:48" x14ac:dyDescent="0.25">
      <c r="A2663" t="s">
        <v>9080</v>
      </c>
      <c r="C2663" t="s">
        <v>9081</v>
      </c>
      <c r="D2663" t="s">
        <v>9082</v>
      </c>
      <c r="E2663" t="s">
        <v>2310</v>
      </c>
      <c r="F2663">
        <v>15</v>
      </c>
      <c r="G2663">
        <v>15.1</v>
      </c>
      <c r="H2663" t="s">
        <v>2022</v>
      </c>
      <c r="I2663" s="21">
        <v>39604</v>
      </c>
      <c r="J2663">
        <v>2008</v>
      </c>
      <c r="K2663" s="21">
        <v>39707</v>
      </c>
      <c r="L2663">
        <v>2008</v>
      </c>
      <c r="M2663" s="21">
        <v>40151.557824074102</v>
      </c>
      <c r="N2663">
        <v>2009</v>
      </c>
      <c r="R2663" s="262">
        <v>2000000</v>
      </c>
      <c r="S2663" t="s">
        <v>114</v>
      </c>
      <c r="T2663" t="s">
        <v>114</v>
      </c>
      <c r="U2663">
        <v>5</v>
      </c>
      <c r="W2663">
        <v>3930</v>
      </c>
      <c r="X2663">
        <v>1</v>
      </c>
      <c r="Y2663">
        <v>0</v>
      </c>
      <c r="Z2663">
        <v>0</v>
      </c>
      <c r="AA2663">
        <v>0</v>
      </c>
      <c r="AB2663">
        <v>0</v>
      </c>
      <c r="AC2663">
        <v>3930</v>
      </c>
      <c r="AD2663">
        <v>0</v>
      </c>
      <c r="AE2663">
        <v>0</v>
      </c>
      <c r="AF2663">
        <v>0</v>
      </c>
      <c r="AG2663">
        <v>0</v>
      </c>
      <c r="AH2663">
        <v>0</v>
      </c>
      <c r="AI2663">
        <v>0</v>
      </c>
      <c r="AJ2663">
        <v>0</v>
      </c>
      <c r="AK2663">
        <v>0</v>
      </c>
      <c r="AL2663">
        <v>0</v>
      </c>
      <c r="AM2663">
        <v>0</v>
      </c>
      <c r="AN2663">
        <v>0</v>
      </c>
      <c r="AO2663">
        <v>1</v>
      </c>
      <c r="AP2663">
        <v>0</v>
      </c>
      <c r="AQ2663">
        <v>0</v>
      </c>
      <c r="AR2663">
        <v>0</v>
      </c>
      <c r="AS2663">
        <v>0</v>
      </c>
      <c r="AT2663">
        <v>0</v>
      </c>
      <c r="AU2663">
        <f t="shared" si="82"/>
        <v>1</v>
      </c>
      <c r="AV2663">
        <f t="shared" si="83"/>
        <v>0</v>
      </c>
    </row>
    <row r="2664" spans="1:48" x14ac:dyDescent="0.25">
      <c r="A2664" t="s">
        <v>9083</v>
      </c>
      <c r="C2664" t="s">
        <v>2924</v>
      </c>
      <c r="D2664" t="s">
        <v>9082</v>
      </c>
      <c r="E2664" t="s">
        <v>2310</v>
      </c>
      <c r="F2664">
        <v>15</v>
      </c>
      <c r="G2664">
        <v>15.1</v>
      </c>
      <c r="H2664" t="s">
        <v>2022</v>
      </c>
      <c r="I2664" s="21">
        <v>39604</v>
      </c>
      <c r="J2664">
        <v>2008</v>
      </c>
      <c r="K2664" s="21">
        <v>39707</v>
      </c>
      <c r="L2664">
        <v>2008</v>
      </c>
      <c r="M2664" s="21">
        <v>40151.563159722202</v>
      </c>
      <c r="N2664">
        <v>2009</v>
      </c>
      <c r="R2664" s="262">
        <v>100000</v>
      </c>
      <c r="S2664" t="s">
        <v>114</v>
      </c>
      <c r="T2664" t="s">
        <v>114</v>
      </c>
      <c r="U2664">
        <v>5</v>
      </c>
      <c r="W2664">
        <v>847</v>
      </c>
      <c r="X2664">
        <v>0</v>
      </c>
      <c r="Y2664">
        <v>0</v>
      </c>
      <c r="Z2664">
        <v>0</v>
      </c>
      <c r="AA2664">
        <v>0</v>
      </c>
      <c r="AB2664">
        <v>0</v>
      </c>
      <c r="AC2664">
        <v>847</v>
      </c>
      <c r="AD2664">
        <v>0</v>
      </c>
      <c r="AE2664">
        <v>0</v>
      </c>
      <c r="AF2664">
        <v>0</v>
      </c>
      <c r="AG2664">
        <v>0</v>
      </c>
      <c r="AH2664">
        <v>0</v>
      </c>
      <c r="AI2664">
        <v>0</v>
      </c>
      <c r="AJ2664">
        <v>0</v>
      </c>
      <c r="AK2664">
        <v>0</v>
      </c>
      <c r="AL2664">
        <v>0</v>
      </c>
      <c r="AM2664">
        <v>0</v>
      </c>
      <c r="AN2664">
        <v>0</v>
      </c>
      <c r="AO2664">
        <v>0</v>
      </c>
      <c r="AP2664">
        <v>0</v>
      </c>
      <c r="AQ2664">
        <v>0</v>
      </c>
      <c r="AR2664">
        <v>0</v>
      </c>
      <c r="AS2664">
        <v>0</v>
      </c>
      <c r="AT2664">
        <v>0</v>
      </c>
      <c r="AU2664">
        <f t="shared" si="82"/>
        <v>0</v>
      </c>
      <c r="AV2664">
        <f t="shared" si="83"/>
        <v>0</v>
      </c>
    </row>
    <row r="2665" spans="1:48" x14ac:dyDescent="0.25">
      <c r="A2665" t="s">
        <v>9084</v>
      </c>
      <c r="C2665" t="s">
        <v>9085</v>
      </c>
      <c r="D2665" t="s">
        <v>9086</v>
      </c>
      <c r="E2665" t="s">
        <v>2310</v>
      </c>
      <c r="F2665">
        <v>12</v>
      </c>
      <c r="G2665">
        <v>12.3</v>
      </c>
      <c r="H2665" t="s">
        <v>2017</v>
      </c>
      <c r="I2665" s="21">
        <v>39604</v>
      </c>
      <c r="J2665">
        <v>2008</v>
      </c>
      <c r="K2665" s="21">
        <v>39666</v>
      </c>
      <c r="L2665">
        <v>2008</v>
      </c>
      <c r="M2665" s="21">
        <v>40080.500219907401</v>
      </c>
      <c r="N2665">
        <v>2009</v>
      </c>
      <c r="R2665" s="262">
        <v>314000</v>
      </c>
      <c r="S2665" t="s">
        <v>114</v>
      </c>
      <c r="T2665" t="s">
        <v>114</v>
      </c>
      <c r="U2665">
        <v>5</v>
      </c>
      <c r="W2665">
        <v>1006</v>
      </c>
      <c r="X2665">
        <v>0</v>
      </c>
      <c r="Y2665">
        <v>0</v>
      </c>
      <c r="Z2665">
        <v>0</v>
      </c>
      <c r="AA2665">
        <v>0</v>
      </c>
      <c r="AB2665">
        <v>0</v>
      </c>
      <c r="AC2665">
        <v>1006</v>
      </c>
      <c r="AD2665">
        <v>0</v>
      </c>
      <c r="AE2665">
        <v>0</v>
      </c>
      <c r="AF2665">
        <v>0</v>
      </c>
      <c r="AG2665">
        <v>0</v>
      </c>
      <c r="AH2665">
        <v>0</v>
      </c>
      <c r="AI2665">
        <v>0</v>
      </c>
      <c r="AJ2665">
        <v>0</v>
      </c>
      <c r="AK2665">
        <v>0</v>
      </c>
      <c r="AL2665">
        <v>0</v>
      </c>
      <c r="AM2665">
        <v>0</v>
      </c>
      <c r="AN2665">
        <v>0</v>
      </c>
      <c r="AO2665">
        <v>0</v>
      </c>
      <c r="AP2665">
        <v>0</v>
      </c>
      <c r="AQ2665">
        <v>0</v>
      </c>
      <c r="AR2665">
        <v>0</v>
      </c>
      <c r="AS2665">
        <v>0</v>
      </c>
      <c r="AT2665">
        <v>0</v>
      </c>
      <c r="AU2665">
        <f t="shared" si="82"/>
        <v>0</v>
      </c>
      <c r="AV2665">
        <f t="shared" si="83"/>
        <v>0</v>
      </c>
    </row>
    <row r="2666" spans="1:48" x14ac:dyDescent="0.25">
      <c r="A2666" t="s">
        <v>9087</v>
      </c>
      <c r="C2666" t="s">
        <v>9088</v>
      </c>
      <c r="D2666" t="s">
        <v>9089</v>
      </c>
      <c r="E2666" t="s">
        <v>1663</v>
      </c>
      <c r="F2666">
        <v>3</v>
      </c>
      <c r="G2666">
        <v>3.2</v>
      </c>
      <c r="H2666" t="s">
        <v>2327</v>
      </c>
      <c r="I2666" s="21">
        <v>39605</v>
      </c>
      <c r="J2666">
        <v>2008</v>
      </c>
      <c r="K2666" s="21">
        <v>39635</v>
      </c>
      <c r="L2666">
        <v>2008</v>
      </c>
      <c r="M2666" s="21">
        <v>39788</v>
      </c>
      <c r="N2666">
        <v>2008</v>
      </c>
      <c r="Q2666" s="262">
        <v>20000</v>
      </c>
      <c r="S2666" t="s">
        <v>114</v>
      </c>
      <c r="T2666" t="s">
        <v>114</v>
      </c>
      <c r="W2666">
        <v>0</v>
      </c>
      <c r="X2666">
        <v>0</v>
      </c>
      <c r="Y2666">
        <v>0</v>
      </c>
      <c r="Z2666">
        <v>0</v>
      </c>
      <c r="AA2666">
        <v>0</v>
      </c>
      <c r="AB2666">
        <v>0</v>
      </c>
      <c r="AC2666">
        <v>0</v>
      </c>
      <c r="AD2666">
        <v>0</v>
      </c>
      <c r="AE2666">
        <v>0</v>
      </c>
      <c r="AF2666">
        <v>0</v>
      </c>
      <c r="AG2666">
        <v>0</v>
      </c>
      <c r="AH2666">
        <v>0</v>
      </c>
      <c r="AI2666">
        <v>0</v>
      </c>
      <c r="AJ2666">
        <v>0</v>
      </c>
      <c r="AK2666">
        <v>0</v>
      </c>
      <c r="AL2666">
        <v>0</v>
      </c>
      <c r="AM2666">
        <v>0</v>
      </c>
      <c r="AN2666">
        <v>0</v>
      </c>
      <c r="AO2666">
        <v>0</v>
      </c>
      <c r="AP2666">
        <v>0</v>
      </c>
      <c r="AQ2666">
        <v>0</v>
      </c>
      <c r="AR2666">
        <v>0</v>
      </c>
      <c r="AS2666">
        <v>0</v>
      </c>
      <c r="AT2666">
        <v>0</v>
      </c>
      <c r="AU2666">
        <f t="shared" si="82"/>
        <v>0</v>
      </c>
      <c r="AV2666">
        <f t="shared" si="83"/>
        <v>0</v>
      </c>
    </row>
    <row r="2667" spans="1:48" x14ac:dyDescent="0.25">
      <c r="A2667" t="s">
        <v>9090</v>
      </c>
      <c r="C2667" t="s">
        <v>9091</v>
      </c>
      <c r="D2667" t="s">
        <v>9053</v>
      </c>
      <c r="E2667" t="s">
        <v>1663</v>
      </c>
      <c r="F2667">
        <v>2</v>
      </c>
      <c r="G2667">
        <v>2.2999999999999998</v>
      </c>
      <c r="H2667" t="s">
        <v>2327</v>
      </c>
      <c r="I2667" s="21">
        <v>39605</v>
      </c>
      <c r="J2667">
        <v>2008</v>
      </c>
      <c r="K2667" s="21">
        <v>39635</v>
      </c>
      <c r="L2667">
        <v>2008</v>
      </c>
      <c r="M2667" s="21">
        <v>39788</v>
      </c>
      <c r="N2667">
        <v>2008</v>
      </c>
      <c r="Q2667" s="262">
        <v>40000</v>
      </c>
      <c r="S2667" t="s">
        <v>114</v>
      </c>
      <c r="T2667" t="s">
        <v>114</v>
      </c>
      <c r="W2667">
        <v>0</v>
      </c>
      <c r="X2667">
        <v>0</v>
      </c>
      <c r="Y2667">
        <v>0</v>
      </c>
      <c r="Z2667">
        <v>0</v>
      </c>
      <c r="AA2667">
        <v>0</v>
      </c>
      <c r="AB2667">
        <v>0</v>
      </c>
      <c r="AC2667">
        <v>0</v>
      </c>
      <c r="AD2667">
        <v>0</v>
      </c>
      <c r="AE2667">
        <v>0</v>
      </c>
      <c r="AF2667">
        <v>0</v>
      </c>
      <c r="AG2667">
        <v>0</v>
      </c>
      <c r="AH2667">
        <v>0</v>
      </c>
      <c r="AI2667">
        <v>0</v>
      </c>
      <c r="AJ2667">
        <v>0</v>
      </c>
      <c r="AK2667">
        <v>0</v>
      </c>
      <c r="AL2667">
        <v>0</v>
      </c>
      <c r="AM2667">
        <v>0</v>
      </c>
      <c r="AN2667">
        <v>0</v>
      </c>
      <c r="AO2667">
        <v>0</v>
      </c>
      <c r="AP2667">
        <v>0</v>
      </c>
      <c r="AQ2667">
        <v>0</v>
      </c>
      <c r="AR2667">
        <v>0</v>
      </c>
      <c r="AS2667">
        <v>0</v>
      </c>
      <c r="AT2667">
        <v>0</v>
      </c>
      <c r="AU2667">
        <f t="shared" si="82"/>
        <v>0</v>
      </c>
      <c r="AV2667">
        <f t="shared" si="83"/>
        <v>0</v>
      </c>
    </row>
    <row r="2668" spans="1:48" x14ac:dyDescent="0.25">
      <c r="A2668" t="s">
        <v>9092</v>
      </c>
      <c r="C2668" t="s">
        <v>9093</v>
      </c>
      <c r="D2668" t="s">
        <v>7089</v>
      </c>
      <c r="E2668" t="s">
        <v>2310</v>
      </c>
      <c r="F2668">
        <v>7</v>
      </c>
      <c r="G2668">
        <v>7.1</v>
      </c>
      <c r="H2668" t="s">
        <v>2017</v>
      </c>
      <c r="I2668" s="21">
        <v>39608</v>
      </c>
      <c r="J2668">
        <v>2008</v>
      </c>
      <c r="K2668" s="21">
        <v>40339.5407291667</v>
      </c>
      <c r="L2668">
        <v>2010</v>
      </c>
      <c r="M2668" s="21">
        <v>40891.429537037002</v>
      </c>
      <c r="N2668">
        <v>2011</v>
      </c>
      <c r="Q2668" s="262">
        <v>60000</v>
      </c>
      <c r="R2668" s="262">
        <v>60000</v>
      </c>
      <c r="S2668" t="s">
        <v>114</v>
      </c>
      <c r="T2668" t="s">
        <v>114</v>
      </c>
      <c r="U2668">
        <v>10</v>
      </c>
      <c r="W2668">
        <v>0</v>
      </c>
      <c r="X2668">
        <v>0</v>
      </c>
      <c r="Y2668">
        <v>0</v>
      </c>
      <c r="Z2668">
        <v>0</v>
      </c>
      <c r="AA2668">
        <v>0</v>
      </c>
      <c r="AB2668">
        <v>0</v>
      </c>
      <c r="AC2668">
        <v>0</v>
      </c>
      <c r="AD2668">
        <v>0</v>
      </c>
      <c r="AE2668">
        <v>0</v>
      </c>
      <c r="AF2668">
        <v>0</v>
      </c>
      <c r="AG2668">
        <v>0</v>
      </c>
      <c r="AH2668">
        <v>0</v>
      </c>
      <c r="AI2668">
        <v>0</v>
      </c>
      <c r="AJ2668">
        <v>0</v>
      </c>
      <c r="AK2668">
        <v>0</v>
      </c>
      <c r="AL2668">
        <v>0</v>
      </c>
      <c r="AM2668">
        <v>0</v>
      </c>
      <c r="AN2668">
        <v>0</v>
      </c>
      <c r="AO2668">
        <v>0</v>
      </c>
      <c r="AP2668">
        <v>0</v>
      </c>
      <c r="AQ2668">
        <v>0</v>
      </c>
      <c r="AR2668">
        <v>0</v>
      </c>
      <c r="AS2668">
        <v>0</v>
      </c>
      <c r="AT2668">
        <v>0</v>
      </c>
      <c r="AU2668">
        <f t="shared" si="82"/>
        <v>0</v>
      </c>
      <c r="AV2668">
        <f t="shared" si="83"/>
        <v>0</v>
      </c>
    </row>
    <row r="2669" spans="1:48" x14ac:dyDescent="0.25">
      <c r="A2669" t="s">
        <v>9094</v>
      </c>
      <c r="C2669" t="s">
        <v>9095</v>
      </c>
      <c r="D2669" t="s">
        <v>9096</v>
      </c>
      <c r="E2669" t="s">
        <v>2310</v>
      </c>
      <c r="F2669">
        <v>13</v>
      </c>
      <c r="G2669">
        <v>13.3</v>
      </c>
      <c r="H2669" t="s">
        <v>2017</v>
      </c>
      <c r="I2669" s="21">
        <v>39608</v>
      </c>
      <c r="J2669">
        <v>2008</v>
      </c>
      <c r="K2669" s="21">
        <v>39645</v>
      </c>
      <c r="L2669">
        <v>2008</v>
      </c>
      <c r="M2669" s="21">
        <v>39738</v>
      </c>
      <c r="N2669">
        <v>2008</v>
      </c>
      <c r="R2669" s="262">
        <v>30000</v>
      </c>
      <c r="S2669" t="s">
        <v>114</v>
      </c>
      <c r="T2669" t="s">
        <v>114</v>
      </c>
      <c r="U2669">
        <v>5</v>
      </c>
      <c r="W2669">
        <v>0</v>
      </c>
      <c r="X2669">
        <v>0</v>
      </c>
      <c r="Y2669">
        <v>0</v>
      </c>
      <c r="Z2669">
        <v>0</v>
      </c>
      <c r="AA2669">
        <v>0</v>
      </c>
      <c r="AB2669">
        <v>0</v>
      </c>
      <c r="AC2669">
        <v>0</v>
      </c>
      <c r="AD2669">
        <v>0</v>
      </c>
      <c r="AE2669">
        <v>0</v>
      </c>
      <c r="AF2669">
        <v>0</v>
      </c>
      <c r="AG2669">
        <v>0</v>
      </c>
      <c r="AH2669">
        <v>0</v>
      </c>
      <c r="AI2669">
        <v>0</v>
      </c>
      <c r="AJ2669">
        <v>0</v>
      </c>
      <c r="AK2669">
        <v>0</v>
      </c>
      <c r="AL2669">
        <v>0</v>
      </c>
      <c r="AM2669">
        <v>0</v>
      </c>
      <c r="AN2669">
        <v>0</v>
      </c>
      <c r="AO2669">
        <v>0</v>
      </c>
      <c r="AP2669">
        <v>0</v>
      </c>
      <c r="AQ2669">
        <v>0</v>
      </c>
      <c r="AR2669">
        <v>0</v>
      </c>
      <c r="AS2669">
        <v>0</v>
      </c>
      <c r="AT2669">
        <v>0</v>
      </c>
      <c r="AU2669">
        <f t="shared" si="82"/>
        <v>0</v>
      </c>
      <c r="AV2669">
        <f t="shared" si="83"/>
        <v>0</v>
      </c>
    </row>
    <row r="2670" spans="1:48" x14ac:dyDescent="0.25">
      <c r="A2670" t="s">
        <v>9097</v>
      </c>
      <c r="C2670" t="s">
        <v>9098</v>
      </c>
      <c r="D2670" t="s">
        <v>9099</v>
      </c>
      <c r="E2670" t="s">
        <v>2310</v>
      </c>
      <c r="F2670">
        <v>10</v>
      </c>
      <c r="G2670">
        <v>10.1</v>
      </c>
      <c r="H2670" t="s">
        <v>2323</v>
      </c>
      <c r="I2670" s="21">
        <v>39608</v>
      </c>
      <c r="J2670">
        <v>2008</v>
      </c>
      <c r="K2670" s="21">
        <v>39630</v>
      </c>
      <c r="L2670">
        <v>2008</v>
      </c>
      <c r="M2670" s="21">
        <v>40164.691550925898</v>
      </c>
      <c r="N2670">
        <v>2009</v>
      </c>
      <c r="R2670" s="262">
        <v>10000</v>
      </c>
      <c r="S2670" t="s">
        <v>114</v>
      </c>
      <c r="T2670" t="s">
        <v>114</v>
      </c>
      <c r="U2670">
        <v>5</v>
      </c>
      <c r="W2670">
        <v>66</v>
      </c>
      <c r="X2670">
        <v>0</v>
      </c>
      <c r="Y2670">
        <v>0</v>
      </c>
      <c r="Z2670">
        <v>0</v>
      </c>
      <c r="AA2670">
        <v>0</v>
      </c>
      <c r="AB2670">
        <v>0</v>
      </c>
      <c r="AC2670">
        <v>66</v>
      </c>
      <c r="AD2670">
        <v>0</v>
      </c>
      <c r="AE2670">
        <v>0</v>
      </c>
      <c r="AF2670">
        <v>0</v>
      </c>
      <c r="AG2670">
        <v>0</v>
      </c>
      <c r="AH2670">
        <v>0</v>
      </c>
      <c r="AI2670">
        <v>0</v>
      </c>
      <c r="AJ2670">
        <v>0</v>
      </c>
      <c r="AK2670">
        <v>0</v>
      </c>
      <c r="AL2670">
        <v>0</v>
      </c>
      <c r="AM2670">
        <v>0</v>
      </c>
      <c r="AN2670">
        <v>0</v>
      </c>
      <c r="AO2670">
        <v>0</v>
      </c>
      <c r="AP2670">
        <v>0</v>
      </c>
      <c r="AQ2670">
        <v>0</v>
      </c>
      <c r="AR2670">
        <v>0</v>
      </c>
      <c r="AS2670">
        <v>0</v>
      </c>
      <c r="AT2670">
        <v>0</v>
      </c>
      <c r="AU2670">
        <f t="shared" si="82"/>
        <v>0</v>
      </c>
      <c r="AV2670">
        <f t="shared" si="83"/>
        <v>0</v>
      </c>
    </row>
    <row r="2671" spans="1:48" x14ac:dyDescent="0.25">
      <c r="A2671" t="s">
        <v>9100</v>
      </c>
      <c r="C2671" t="s">
        <v>9101</v>
      </c>
      <c r="D2671" t="s">
        <v>4955</v>
      </c>
      <c r="E2671" t="s">
        <v>2310</v>
      </c>
      <c r="F2671">
        <v>15</v>
      </c>
      <c r="G2671">
        <v>15.2</v>
      </c>
      <c r="H2671" t="s">
        <v>2323</v>
      </c>
      <c r="I2671" s="21">
        <v>39608</v>
      </c>
      <c r="J2671">
        <v>2008</v>
      </c>
      <c r="K2671" s="21">
        <v>39630</v>
      </c>
      <c r="L2671">
        <v>2008</v>
      </c>
      <c r="M2671" s="21">
        <v>39738</v>
      </c>
      <c r="N2671">
        <v>2008</v>
      </c>
      <c r="R2671" s="262">
        <v>15000</v>
      </c>
      <c r="S2671" t="s">
        <v>114</v>
      </c>
      <c r="T2671" t="s">
        <v>114</v>
      </c>
      <c r="U2671">
        <v>5</v>
      </c>
      <c r="W2671">
        <v>0</v>
      </c>
      <c r="X2671">
        <v>0</v>
      </c>
      <c r="Y2671">
        <v>0</v>
      </c>
      <c r="Z2671">
        <v>0</v>
      </c>
      <c r="AA2671">
        <v>0</v>
      </c>
      <c r="AB2671">
        <v>0</v>
      </c>
      <c r="AC2671">
        <v>0</v>
      </c>
      <c r="AD2671">
        <v>0</v>
      </c>
      <c r="AE2671">
        <v>0</v>
      </c>
      <c r="AF2671">
        <v>0</v>
      </c>
      <c r="AG2671">
        <v>0</v>
      </c>
      <c r="AH2671">
        <v>0</v>
      </c>
      <c r="AI2671">
        <v>0</v>
      </c>
      <c r="AJ2671">
        <v>0</v>
      </c>
      <c r="AK2671">
        <v>0</v>
      </c>
      <c r="AL2671">
        <v>0</v>
      </c>
      <c r="AM2671">
        <v>0</v>
      </c>
      <c r="AN2671">
        <v>0</v>
      </c>
      <c r="AO2671">
        <v>0</v>
      </c>
      <c r="AP2671">
        <v>0</v>
      </c>
      <c r="AQ2671">
        <v>0</v>
      </c>
      <c r="AR2671">
        <v>0</v>
      </c>
      <c r="AS2671">
        <v>0</v>
      </c>
      <c r="AT2671">
        <v>0</v>
      </c>
      <c r="AU2671">
        <f t="shared" si="82"/>
        <v>0</v>
      </c>
      <c r="AV2671">
        <f t="shared" si="83"/>
        <v>0</v>
      </c>
    </row>
    <row r="2672" spans="1:48" x14ac:dyDescent="0.25">
      <c r="A2672" t="s">
        <v>9102</v>
      </c>
      <c r="C2672" t="s">
        <v>9103</v>
      </c>
      <c r="D2672" t="s">
        <v>9104</v>
      </c>
      <c r="E2672" t="s">
        <v>2310</v>
      </c>
      <c r="F2672">
        <v>8</v>
      </c>
      <c r="G2672">
        <v>8.3000000000000007</v>
      </c>
      <c r="H2672" t="s">
        <v>2323</v>
      </c>
      <c r="I2672" s="21">
        <v>39609</v>
      </c>
      <c r="J2672">
        <v>2008</v>
      </c>
      <c r="K2672" s="21">
        <v>39645</v>
      </c>
      <c r="L2672">
        <v>2008</v>
      </c>
      <c r="M2672" s="21">
        <v>40050.437199074098</v>
      </c>
      <c r="N2672">
        <v>2009</v>
      </c>
      <c r="R2672" s="262">
        <v>4000</v>
      </c>
      <c r="S2672" t="s">
        <v>114</v>
      </c>
      <c r="T2672" t="s">
        <v>114</v>
      </c>
      <c r="U2672">
        <v>8</v>
      </c>
      <c r="W2672">
        <v>0</v>
      </c>
      <c r="X2672">
        <v>1</v>
      </c>
      <c r="Y2672">
        <v>0</v>
      </c>
      <c r="Z2672">
        <v>0</v>
      </c>
      <c r="AA2672">
        <v>0</v>
      </c>
      <c r="AB2672">
        <v>0</v>
      </c>
      <c r="AC2672">
        <v>-650</v>
      </c>
      <c r="AD2672">
        <v>0</v>
      </c>
      <c r="AE2672">
        <v>0</v>
      </c>
      <c r="AF2672">
        <v>650</v>
      </c>
      <c r="AG2672">
        <v>0</v>
      </c>
      <c r="AH2672">
        <v>0</v>
      </c>
      <c r="AI2672">
        <v>0</v>
      </c>
      <c r="AJ2672">
        <v>0</v>
      </c>
      <c r="AK2672">
        <v>0</v>
      </c>
      <c r="AL2672">
        <v>0</v>
      </c>
      <c r="AM2672">
        <v>0</v>
      </c>
      <c r="AN2672">
        <v>0</v>
      </c>
      <c r="AO2672">
        <v>0</v>
      </c>
      <c r="AP2672">
        <v>0</v>
      </c>
      <c r="AQ2672">
        <v>0</v>
      </c>
      <c r="AR2672">
        <v>1</v>
      </c>
      <c r="AS2672">
        <v>0</v>
      </c>
      <c r="AT2672">
        <v>0</v>
      </c>
      <c r="AU2672">
        <f t="shared" si="82"/>
        <v>0</v>
      </c>
      <c r="AV2672">
        <f t="shared" si="83"/>
        <v>0</v>
      </c>
    </row>
    <row r="2673" spans="1:48" x14ac:dyDescent="0.25">
      <c r="A2673" t="s">
        <v>9105</v>
      </c>
      <c r="C2673" t="s">
        <v>9106</v>
      </c>
      <c r="D2673" t="s">
        <v>9107</v>
      </c>
      <c r="E2673" t="s">
        <v>2310</v>
      </c>
      <c r="F2673">
        <v>9</v>
      </c>
      <c r="G2673">
        <v>9.3000000000000007</v>
      </c>
      <c r="H2673" t="s">
        <v>2323</v>
      </c>
      <c r="I2673" s="21">
        <v>39609</v>
      </c>
      <c r="J2673">
        <v>2008</v>
      </c>
      <c r="K2673" s="21">
        <v>39689</v>
      </c>
      <c r="L2673">
        <v>2008</v>
      </c>
      <c r="M2673" s="21">
        <v>39689</v>
      </c>
      <c r="N2673">
        <v>2008</v>
      </c>
      <c r="R2673" s="262">
        <v>3500000</v>
      </c>
      <c r="S2673" t="s">
        <v>114</v>
      </c>
      <c r="T2673" t="s">
        <v>114</v>
      </c>
      <c r="U2673">
        <v>5</v>
      </c>
      <c r="W2673">
        <v>8001</v>
      </c>
      <c r="X2673">
        <v>1</v>
      </c>
      <c r="Y2673">
        <v>0</v>
      </c>
      <c r="Z2673">
        <v>0</v>
      </c>
      <c r="AA2673">
        <v>0</v>
      </c>
      <c r="AB2673">
        <v>0</v>
      </c>
      <c r="AC2673">
        <v>8001</v>
      </c>
      <c r="AD2673">
        <v>0</v>
      </c>
      <c r="AE2673">
        <v>0</v>
      </c>
      <c r="AF2673">
        <v>0</v>
      </c>
      <c r="AG2673">
        <v>0</v>
      </c>
      <c r="AH2673">
        <v>0</v>
      </c>
      <c r="AI2673">
        <v>0</v>
      </c>
      <c r="AJ2673">
        <v>0</v>
      </c>
      <c r="AK2673">
        <v>0</v>
      </c>
      <c r="AL2673">
        <v>0</v>
      </c>
      <c r="AM2673">
        <v>0</v>
      </c>
      <c r="AN2673">
        <v>0</v>
      </c>
      <c r="AO2673">
        <v>1</v>
      </c>
      <c r="AP2673">
        <v>0</v>
      </c>
      <c r="AQ2673">
        <v>0</v>
      </c>
      <c r="AR2673">
        <v>0</v>
      </c>
      <c r="AS2673">
        <v>0</v>
      </c>
      <c r="AT2673">
        <v>0</v>
      </c>
      <c r="AU2673">
        <f t="shared" si="82"/>
        <v>1</v>
      </c>
      <c r="AV2673">
        <f t="shared" si="83"/>
        <v>0</v>
      </c>
    </row>
    <row r="2674" spans="1:48" x14ac:dyDescent="0.25">
      <c r="A2674" t="s">
        <v>9108</v>
      </c>
      <c r="C2674" t="s">
        <v>5963</v>
      </c>
      <c r="D2674" t="s">
        <v>9109</v>
      </c>
      <c r="E2674" t="s">
        <v>1663</v>
      </c>
      <c r="F2674">
        <v>6</v>
      </c>
      <c r="G2674">
        <v>6.2</v>
      </c>
      <c r="H2674" t="s">
        <v>2017</v>
      </c>
      <c r="I2674" s="21">
        <v>39610</v>
      </c>
      <c r="J2674">
        <v>2008</v>
      </c>
      <c r="K2674" s="21">
        <v>39640</v>
      </c>
      <c r="L2674">
        <v>2008</v>
      </c>
      <c r="M2674" s="21">
        <v>39793</v>
      </c>
      <c r="N2674">
        <v>2008</v>
      </c>
      <c r="Q2674" s="262">
        <v>0</v>
      </c>
      <c r="S2674" t="s">
        <v>114</v>
      </c>
      <c r="T2674" t="s">
        <v>114</v>
      </c>
      <c r="W2674">
        <v>4569</v>
      </c>
      <c r="X2674">
        <v>1</v>
      </c>
      <c r="Y2674">
        <v>0</v>
      </c>
      <c r="Z2674">
        <v>0</v>
      </c>
      <c r="AA2674">
        <v>0</v>
      </c>
      <c r="AB2674">
        <v>0</v>
      </c>
      <c r="AC2674">
        <v>4569</v>
      </c>
      <c r="AD2674">
        <v>0</v>
      </c>
      <c r="AE2674">
        <v>0</v>
      </c>
      <c r="AF2674">
        <v>0</v>
      </c>
      <c r="AG2674">
        <v>0</v>
      </c>
      <c r="AH2674">
        <v>0</v>
      </c>
      <c r="AI2674">
        <v>0</v>
      </c>
      <c r="AJ2674">
        <v>0</v>
      </c>
      <c r="AK2674">
        <v>0</v>
      </c>
      <c r="AL2674">
        <v>0</v>
      </c>
      <c r="AM2674">
        <v>0</v>
      </c>
      <c r="AN2674">
        <v>0</v>
      </c>
      <c r="AO2674">
        <v>1</v>
      </c>
      <c r="AP2674">
        <v>0</v>
      </c>
      <c r="AQ2674">
        <v>0</v>
      </c>
      <c r="AR2674">
        <v>0</v>
      </c>
      <c r="AS2674">
        <v>0</v>
      </c>
      <c r="AT2674">
        <v>0</v>
      </c>
      <c r="AU2674">
        <f t="shared" si="82"/>
        <v>1</v>
      </c>
      <c r="AV2674">
        <f t="shared" si="83"/>
        <v>0</v>
      </c>
    </row>
    <row r="2675" spans="1:48" x14ac:dyDescent="0.25">
      <c r="A2675" t="s">
        <v>9110</v>
      </c>
      <c r="C2675" t="s">
        <v>9111</v>
      </c>
      <c r="D2675" t="s">
        <v>9112</v>
      </c>
      <c r="E2675" t="s">
        <v>2310</v>
      </c>
      <c r="F2675">
        <v>14</v>
      </c>
      <c r="G2675">
        <v>14.1</v>
      </c>
      <c r="H2675" t="s">
        <v>2022</v>
      </c>
      <c r="I2675" s="21">
        <v>39611</v>
      </c>
      <c r="J2675">
        <v>2008</v>
      </c>
      <c r="K2675" s="21">
        <v>39668</v>
      </c>
      <c r="L2675">
        <v>2008</v>
      </c>
      <c r="M2675" s="21">
        <v>40003.443506944401</v>
      </c>
      <c r="N2675">
        <v>2009</v>
      </c>
      <c r="R2675" s="262">
        <v>200000</v>
      </c>
      <c r="S2675" t="s">
        <v>114</v>
      </c>
      <c r="T2675" t="s">
        <v>114</v>
      </c>
      <c r="U2675">
        <v>5</v>
      </c>
      <c r="W2675">
        <v>998</v>
      </c>
      <c r="X2675">
        <v>1</v>
      </c>
      <c r="Y2675">
        <v>0</v>
      </c>
      <c r="Z2675">
        <v>0</v>
      </c>
      <c r="AA2675">
        <v>0</v>
      </c>
      <c r="AB2675">
        <v>0</v>
      </c>
      <c r="AC2675">
        <v>998</v>
      </c>
      <c r="AD2675">
        <v>0</v>
      </c>
      <c r="AE2675">
        <v>0</v>
      </c>
      <c r="AF2675">
        <v>0</v>
      </c>
      <c r="AG2675">
        <v>0</v>
      </c>
      <c r="AH2675">
        <v>0</v>
      </c>
      <c r="AI2675">
        <v>0</v>
      </c>
      <c r="AJ2675">
        <v>0</v>
      </c>
      <c r="AK2675">
        <v>0</v>
      </c>
      <c r="AL2675">
        <v>0</v>
      </c>
      <c r="AM2675">
        <v>0</v>
      </c>
      <c r="AN2675">
        <v>0</v>
      </c>
      <c r="AO2675">
        <v>1</v>
      </c>
      <c r="AP2675">
        <v>0</v>
      </c>
      <c r="AQ2675">
        <v>0</v>
      </c>
      <c r="AR2675">
        <v>0</v>
      </c>
      <c r="AS2675">
        <v>0</v>
      </c>
      <c r="AT2675">
        <v>0</v>
      </c>
      <c r="AU2675">
        <f t="shared" si="82"/>
        <v>1</v>
      </c>
      <c r="AV2675">
        <f t="shared" si="83"/>
        <v>0</v>
      </c>
    </row>
    <row r="2676" spans="1:48" x14ac:dyDescent="0.25">
      <c r="A2676" t="s">
        <v>9113</v>
      </c>
      <c r="C2676" t="s">
        <v>9114</v>
      </c>
      <c r="D2676" t="s">
        <v>9112</v>
      </c>
      <c r="E2676" t="s">
        <v>2310</v>
      </c>
      <c r="F2676">
        <v>14</v>
      </c>
      <c r="G2676">
        <v>14.1</v>
      </c>
      <c r="H2676" t="s">
        <v>2022</v>
      </c>
      <c r="I2676" s="21">
        <v>39611</v>
      </c>
      <c r="J2676">
        <v>2008</v>
      </c>
      <c r="K2676" s="21">
        <v>39668</v>
      </c>
      <c r="L2676">
        <v>2008</v>
      </c>
      <c r="M2676" s="21">
        <v>41299.472256944398</v>
      </c>
      <c r="N2676">
        <v>2013</v>
      </c>
      <c r="R2676" s="262">
        <v>200000</v>
      </c>
      <c r="S2676" t="s">
        <v>114</v>
      </c>
      <c r="T2676" t="s">
        <v>114</v>
      </c>
      <c r="U2676">
        <v>5</v>
      </c>
      <c r="W2676">
        <v>1922</v>
      </c>
      <c r="X2676">
        <v>0</v>
      </c>
      <c r="Y2676">
        <v>0</v>
      </c>
      <c r="Z2676">
        <v>0</v>
      </c>
      <c r="AA2676">
        <v>0</v>
      </c>
      <c r="AB2676">
        <v>0</v>
      </c>
      <c r="AC2676">
        <v>1922</v>
      </c>
      <c r="AD2676">
        <v>0</v>
      </c>
      <c r="AE2676">
        <v>0</v>
      </c>
      <c r="AF2676">
        <v>0</v>
      </c>
      <c r="AG2676">
        <v>0</v>
      </c>
      <c r="AH2676">
        <v>0</v>
      </c>
      <c r="AI2676">
        <v>0</v>
      </c>
      <c r="AJ2676">
        <v>0</v>
      </c>
      <c r="AK2676">
        <v>0</v>
      </c>
      <c r="AL2676">
        <v>0</v>
      </c>
      <c r="AM2676">
        <v>0</v>
      </c>
      <c r="AN2676">
        <v>0</v>
      </c>
      <c r="AO2676">
        <v>0</v>
      </c>
      <c r="AP2676">
        <v>0</v>
      </c>
      <c r="AQ2676">
        <v>0</v>
      </c>
      <c r="AR2676">
        <v>0</v>
      </c>
      <c r="AS2676">
        <v>0</v>
      </c>
      <c r="AT2676">
        <v>0</v>
      </c>
      <c r="AU2676">
        <f t="shared" si="82"/>
        <v>0</v>
      </c>
      <c r="AV2676">
        <f t="shared" si="83"/>
        <v>0</v>
      </c>
    </row>
    <row r="2677" spans="1:48" x14ac:dyDescent="0.25">
      <c r="A2677" t="s">
        <v>9115</v>
      </c>
      <c r="C2677" t="s">
        <v>9116</v>
      </c>
      <c r="D2677" t="s">
        <v>9117</v>
      </c>
      <c r="E2677" t="s">
        <v>2310</v>
      </c>
      <c r="F2677">
        <v>14</v>
      </c>
      <c r="G2677">
        <v>14.2</v>
      </c>
      <c r="H2677" t="s">
        <v>2017</v>
      </c>
      <c r="I2677" s="21">
        <v>39611</v>
      </c>
      <c r="J2677">
        <v>2008</v>
      </c>
      <c r="K2677" s="21">
        <v>39668</v>
      </c>
      <c r="L2677">
        <v>2008</v>
      </c>
      <c r="M2677" s="21">
        <v>40108.387395833299</v>
      </c>
      <c r="N2677">
        <v>2009</v>
      </c>
      <c r="R2677" s="262">
        <v>850000</v>
      </c>
      <c r="S2677" t="s">
        <v>114</v>
      </c>
      <c r="T2677" t="s">
        <v>114</v>
      </c>
      <c r="U2677">
        <v>5</v>
      </c>
      <c r="W2677">
        <v>5850</v>
      </c>
      <c r="X2677">
        <v>1</v>
      </c>
      <c r="Y2677">
        <v>0</v>
      </c>
      <c r="Z2677">
        <v>0</v>
      </c>
      <c r="AA2677">
        <v>0</v>
      </c>
      <c r="AB2677">
        <v>0</v>
      </c>
      <c r="AC2677">
        <v>5850</v>
      </c>
      <c r="AD2677">
        <v>0</v>
      </c>
      <c r="AE2677">
        <v>0</v>
      </c>
      <c r="AF2677">
        <v>0</v>
      </c>
      <c r="AG2677">
        <v>0</v>
      </c>
      <c r="AH2677">
        <v>0</v>
      </c>
      <c r="AI2677">
        <v>0</v>
      </c>
      <c r="AJ2677">
        <v>0</v>
      </c>
      <c r="AK2677">
        <v>0</v>
      </c>
      <c r="AL2677">
        <v>0</v>
      </c>
      <c r="AM2677">
        <v>0</v>
      </c>
      <c r="AN2677">
        <v>0</v>
      </c>
      <c r="AO2677">
        <v>1</v>
      </c>
      <c r="AP2677">
        <v>0</v>
      </c>
      <c r="AQ2677">
        <v>0</v>
      </c>
      <c r="AR2677">
        <v>0</v>
      </c>
      <c r="AS2677">
        <v>0</v>
      </c>
      <c r="AT2677">
        <v>0</v>
      </c>
      <c r="AU2677">
        <f t="shared" si="82"/>
        <v>1</v>
      </c>
      <c r="AV2677">
        <f t="shared" si="83"/>
        <v>0</v>
      </c>
    </row>
    <row r="2678" spans="1:48" x14ac:dyDescent="0.25">
      <c r="A2678" t="s">
        <v>9118</v>
      </c>
      <c r="C2678" t="s">
        <v>9119</v>
      </c>
      <c r="D2678" t="s">
        <v>9120</v>
      </c>
      <c r="E2678" t="s">
        <v>2310</v>
      </c>
      <c r="F2678">
        <v>8</v>
      </c>
      <c r="G2678">
        <v>8.1</v>
      </c>
      <c r="H2678" t="s">
        <v>2323</v>
      </c>
      <c r="I2678" s="21">
        <v>39612</v>
      </c>
      <c r="J2678">
        <v>2008</v>
      </c>
      <c r="K2678" s="21">
        <v>39689</v>
      </c>
      <c r="L2678">
        <v>2008</v>
      </c>
      <c r="M2678" s="21">
        <v>40809.3433912037</v>
      </c>
      <c r="N2678">
        <v>2011</v>
      </c>
      <c r="R2678" s="262">
        <v>441000</v>
      </c>
      <c r="S2678" t="s">
        <v>114</v>
      </c>
      <c r="T2678" t="s">
        <v>114</v>
      </c>
      <c r="U2678">
        <v>8</v>
      </c>
      <c r="W2678">
        <v>1960</v>
      </c>
      <c r="X2678">
        <v>1</v>
      </c>
      <c r="Y2678">
        <v>0</v>
      </c>
      <c r="Z2678">
        <v>0</v>
      </c>
      <c r="AA2678">
        <v>0</v>
      </c>
      <c r="AB2678">
        <v>0</v>
      </c>
      <c r="AC2678">
        <v>980</v>
      </c>
      <c r="AD2678">
        <v>0</v>
      </c>
      <c r="AE2678">
        <v>0</v>
      </c>
      <c r="AF2678">
        <v>980</v>
      </c>
      <c r="AG2678">
        <v>0</v>
      </c>
      <c r="AH2678">
        <v>0</v>
      </c>
      <c r="AI2678">
        <v>0</v>
      </c>
      <c r="AJ2678">
        <v>0</v>
      </c>
      <c r="AK2678">
        <v>0</v>
      </c>
      <c r="AL2678">
        <v>0</v>
      </c>
      <c r="AM2678">
        <v>0</v>
      </c>
      <c r="AN2678">
        <v>0</v>
      </c>
      <c r="AO2678">
        <v>0</v>
      </c>
      <c r="AP2678">
        <v>0</v>
      </c>
      <c r="AQ2678">
        <v>0</v>
      </c>
      <c r="AR2678">
        <v>1</v>
      </c>
      <c r="AS2678">
        <v>0</v>
      </c>
      <c r="AT2678">
        <v>0</v>
      </c>
      <c r="AU2678">
        <f t="shared" si="82"/>
        <v>0</v>
      </c>
      <c r="AV2678">
        <f t="shared" si="83"/>
        <v>0</v>
      </c>
    </row>
    <row r="2679" spans="1:48" x14ac:dyDescent="0.25">
      <c r="A2679" t="s">
        <v>18786</v>
      </c>
      <c r="B2679" t="s">
        <v>114</v>
      </c>
      <c r="C2679" t="s">
        <v>18787</v>
      </c>
      <c r="D2679" t="s">
        <v>8935</v>
      </c>
      <c r="E2679" t="s">
        <v>2310</v>
      </c>
      <c r="F2679">
        <v>8</v>
      </c>
      <c r="G2679">
        <v>8.1</v>
      </c>
      <c r="H2679" t="s">
        <v>2323</v>
      </c>
      <c r="I2679" s="21">
        <v>39615</v>
      </c>
      <c r="J2679">
        <v>2008</v>
      </c>
      <c r="K2679" s="21">
        <v>39650</v>
      </c>
      <c r="L2679">
        <v>2008</v>
      </c>
      <c r="M2679" s="21">
        <v>43629.474278819442</v>
      </c>
      <c r="N2679">
        <v>2019</v>
      </c>
      <c r="R2679" s="262">
        <v>60000</v>
      </c>
      <c r="S2679" t="s">
        <v>13254</v>
      </c>
      <c r="U2679">
        <v>5</v>
      </c>
      <c r="W2679">
        <v>912</v>
      </c>
      <c r="X2679">
        <v>0</v>
      </c>
      <c r="Y2679">
        <v>0</v>
      </c>
      <c r="Z2679">
        <v>0</v>
      </c>
      <c r="AA2679">
        <v>0</v>
      </c>
      <c r="AB2679">
        <v>0</v>
      </c>
      <c r="AC2679">
        <v>912</v>
      </c>
      <c r="AD2679">
        <v>0</v>
      </c>
      <c r="AE2679">
        <v>0</v>
      </c>
      <c r="AF2679">
        <v>0</v>
      </c>
      <c r="AG2679">
        <v>0</v>
      </c>
      <c r="AH2679">
        <v>0</v>
      </c>
      <c r="AI2679">
        <v>0</v>
      </c>
      <c r="AJ2679">
        <v>0</v>
      </c>
      <c r="AK2679">
        <v>0</v>
      </c>
      <c r="AL2679">
        <v>0</v>
      </c>
      <c r="AM2679">
        <v>0</v>
      </c>
      <c r="AN2679">
        <v>0</v>
      </c>
      <c r="AO2679">
        <v>0</v>
      </c>
      <c r="AP2679">
        <v>0</v>
      </c>
      <c r="AQ2679">
        <v>0</v>
      </c>
      <c r="AR2679">
        <v>0</v>
      </c>
      <c r="AS2679">
        <v>0</v>
      </c>
      <c r="AT2679">
        <v>0</v>
      </c>
      <c r="AU2679">
        <f t="shared" si="82"/>
        <v>0</v>
      </c>
      <c r="AV2679">
        <f t="shared" si="83"/>
        <v>0</v>
      </c>
    </row>
    <row r="2680" spans="1:48" x14ac:dyDescent="0.25">
      <c r="A2680" t="s">
        <v>9121</v>
      </c>
      <c r="C2680" t="s">
        <v>9122</v>
      </c>
      <c r="D2680" t="s">
        <v>5453</v>
      </c>
      <c r="E2680" t="s">
        <v>2310</v>
      </c>
      <c r="F2680">
        <v>13</v>
      </c>
      <c r="G2680">
        <v>13.3</v>
      </c>
      <c r="H2680" t="s">
        <v>2017</v>
      </c>
      <c r="I2680" s="21">
        <v>39616</v>
      </c>
      <c r="J2680">
        <v>2008</v>
      </c>
      <c r="K2680" s="21">
        <v>39772</v>
      </c>
      <c r="L2680">
        <v>2008</v>
      </c>
      <c r="M2680" s="21">
        <v>41131.396655092598</v>
      </c>
      <c r="N2680">
        <v>2012</v>
      </c>
      <c r="R2680" s="262">
        <v>116400</v>
      </c>
      <c r="S2680" t="s">
        <v>114</v>
      </c>
      <c r="T2680" t="s">
        <v>114</v>
      </c>
      <c r="U2680">
        <v>5</v>
      </c>
      <c r="W2680">
        <v>388</v>
      </c>
      <c r="X2680">
        <v>0</v>
      </c>
      <c r="Y2680">
        <v>0</v>
      </c>
      <c r="Z2680">
        <v>0</v>
      </c>
      <c r="AA2680">
        <v>0</v>
      </c>
      <c r="AB2680">
        <v>0</v>
      </c>
      <c r="AC2680">
        <v>388</v>
      </c>
      <c r="AD2680">
        <v>0</v>
      </c>
      <c r="AE2680">
        <v>0</v>
      </c>
      <c r="AF2680">
        <v>0</v>
      </c>
      <c r="AG2680">
        <v>0</v>
      </c>
      <c r="AH2680">
        <v>0</v>
      </c>
      <c r="AI2680">
        <v>0</v>
      </c>
      <c r="AJ2680">
        <v>0</v>
      </c>
      <c r="AK2680">
        <v>0</v>
      </c>
      <c r="AL2680">
        <v>0</v>
      </c>
      <c r="AM2680">
        <v>0</v>
      </c>
      <c r="AN2680">
        <v>0</v>
      </c>
      <c r="AO2680">
        <v>0</v>
      </c>
      <c r="AP2680">
        <v>0</v>
      </c>
      <c r="AQ2680">
        <v>0</v>
      </c>
      <c r="AR2680">
        <v>0</v>
      </c>
      <c r="AS2680">
        <v>0</v>
      </c>
      <c r="AT2680">
        <v>0</v>
      </c>
      <c r="AU2680">
        <f t="shared" si="82"/>
        <v>0</v>
      </c>
      <c r="AV2680">
        <f t="shared" si="83"/>
        <v>0</v>
      </c>
    </row>
    <row r="2681" spans="1:48" x14ac:dyDescent="0.25">
      <c r="A2681" t="s">
        <v>9123</v>
      </c>
      <c r="C2681" t="s">
        <v>8877</v>
      </c>
      <c r="D2681" t="s">
        <v>9124</v>
      </c>
      <c r="E2681" t="s">
        <v>2310</v>
      </c>
      <c r="F2681">
        <v>9</v>
      </c>
      <c r="G2681">
        <v>9.4</v>
      </c>
      <c r="H2681" t="s">
        <v>2323</v>
      </c>
      <c r="I2681" s="21">
        <v>39616</v>
      </c>
      <c r="J2681">
        <v>2008</v>
      </c>
      <c r="K2681" s="21">
        <v>39694</v>
      </c>
      <c r="L2681">
        <v>2008</v>
      </c>
      <c r="M2681" s="21">
        <v>40235.3370138889</v>
      </c>
      <c r="N2681">
        <v>2010</v>
      </c>
      <c r="R2681" s="262">
        <v>2250000</v>
      </c>
      <c r="S2681" t="s">
        <v>114</v>
      </c>
      <c r="T2681" t="s">
        <v>114</v>
      </c>
      <c r="U2681">
        <v>5</v>
      </c>
      <c r="W2681">
        <v>5958</v>
      </c>
      <c r="X2681">
        <v>1</v>
      </c>
      <c r="Y2681">
        <v>0</v>
      </c>
      <c r="Z2681">
        <v>0</v>
      </c>
      <c r="AA2681">
        <v>0</v>
      </c>
      <c r="AB2681">
        <v>0</v>
      </c>
      <c r="AC2681">
        <v>5958</v>
      </c>
      <c r="AD2681">
        <v>0</v>
      </c>
      <c r="AE2681">
        <v>0</v>
      </c>
      <c r="AF2681">
        <v>0</v>
      </c>
      <c r="AG2681">
        <v>0</v>
      </c>
      <c r="AH2681">
        <v>0</v>
      </c>
      <c r="AI2681">
        <v>0</v>
      </c>
      <c r="AJ2681">
        <v>0</v>
      </c>
      <c r="AK2681">
        <v>0</v>
      </c>
      <c r="AL2681">
        <v>0</v>
      </c>
      <c r="AM2681">
        <v>0</v>
      </c>
      <c r="AN2681">
        <v>0</v>
      </c>
      <c r="AO2681">
        <v>1</v>
      </c>
      <c r="AP2681">
        <v>0</v>
      </c>
      <c r="AQ2681">
        <v>0</v>
      </c>
      <c r="AR2681">
        <v>0</v>
      </c>
      <c r="AS2681">
        <v>0</v>
      </c>
      <c r="AT2681">
        <v>0</v>
      </c>
      <c r="AU2681">
        <f t="shared" si="82"/>
        <v>1</v>
      </c>
      <c r="AV2681">
        <f t="shared" si="83"/>
        <v>0</v>
      </c>
    </row>
    <row r="2682" spans="1:48" x14ac:dyDescent="0.25">
      <c r="A2682" t="s">
        <v>9125</v>
      </c>
      <c r="C2682" t="s">
        <v>9126</v>
      </c>
      <c r="D2682" t="s">
        <v>9127</v>
      </c>
      <c r="E2682" t="s">
        <v>2310</v>
      </c>
      <c r="F2682">
        <v>9</v>
      </c>
      <c r="G2682">
        <v>9.4</v>
      </c>
      <c r="H2682" t="s">
        <v>2323</v>
      </c>
      <c r="I2682" s="21">
        <v>39617</v>
      </c>
      <c r="J2682">
        <v>2008</v>
      </c>
      <c r="K2682" s="21">
        <v>39751</v>
      </c>
      <c r="L2682">
        <v>2008</v>
      </c>
      <c r="M2682" s="21">
        <v>40452.638402777797</v>
      </c>
      <c r="N2682">
        <v>2010</v>
      </c>
      <c r="R2682" s="262">
        <v>4250000</v>
      </c>
      <c r="S2682" t="s">
        <v>114</v>
      </c>
      <c r="T2682" t="s">
        <v>114</v>
      </c>
      <c r="U2682">
        <v>5</v>
      </c>
      <c r="W2682">
        <v>5270</v>
      </c>
      <c r="X2682">
        <v>1</v>
      </c>
      <c r="Y2682">
        <v>0</v>
      </c>
      <c r="Z2682">
        <v>0</v>
      </c>
      <c r="AA2682">
        <v>0</v>
      </c>
      <c r="AB2682">
        <v>0</v>
      </c>
      <c r="AC2682">
        <v>5270</v>
      </c>
      <c r="AD2682">
        <v>0</v>
      </c>
      <c r="AE2682">
        <v>0</v>
      </c>
      <c r="AF2682">
        <v>0</v>
      </c>
      <c r="AG2682">
        <v>0</v>
      </c>
      <c r="AH2682">
        <v>0</v>
      </c>
      <c r="AI2682">
        <v>0</v>
      </c>
      <c r="AJ2682">
        <v>0</v>
      </c>
      <c r="AK2682">
        <v>0</v>
      </c>
      <c r="AL2682">
        <v>0</v>
      </c>
      <c r="AM2682">
        <v>0</v>
      </c>
      <c r="AN2682">
        <v>0</v>
      </c>
      <c r="AO2682">
        <v>1</v>
      </c>
      <c r="AP2682">
        <v>0</v>
      </c>
      <c r="AQ2682">
        <v>0</v>
      </c>
      <c r="AR2682">
        <v>0</v>
      </c>
      <c r="AS2682">
        <v>0</v>
      </c>
      <c r="AT2682">
        <v>0</v>
      </c>
      <c r="AU2682">
        <f t="shared" si="82"/>
        <v>1</v>
      </c>
      <c r="AV2682">
        <f t="shared" si="83"/>
        <v>0</v>
      </c>
    </row>
    <row r="2683" spans="1:48" x14ac:dyDescent="0.25">
      <c r="A2683" t="s">
        <v>9128</v>
      </c>
      <c r="C2683" t="s">
        <v>9129</v>
      </c>
      <c r="D2683" t="s">
        <v>9130</v>
      </c>
      <c r="E2683" t="s">
        <v>2310</v>
      </c>
      <c r="F2683">
        <v>15</v>
      </c>
      <c r="G2683">
        <v>15.2</v>
      </c>
      <c r="H2683" t="s">
        <v>2323</v>
      </c>
      <c r="I2683" s="21">
        <v>39618</v>
      </c>
      <c r="J2683">
        <v>2008</v>
      </c>
      <c r="K2683" s="21">
        <v>39687</v>
      </c>
      <c r="L2683">
        <v>2008</v>
      </c>
      <c r="M2683" s="21">
        <v>40490.423819444397</v>
      </c>
      <c r="N2683">
        <v>2010</v>
      </c>
      <c r="Q2683" s="262">
        <v>25000</v>
      </c>
      <c r="R2683" s="262">
        <v>17000</v>
      </c>
      <c r="S2683" t="s">
        <v>114</v>
      </c>
      <c r="T2683" t="s">
        <v>114</v>
      </c>
      <c r="U2683">
        <v>5</v>
      </c>
      <c r="W2683">
        <v>420</v>
      </c>
      <c r="X2683">
        <v>1</v>
      </c>
      <c r="Y2683">
        <v>0</v>
      </c>
      <c r="Z2683">
        <v>0</v>
      </c>
      <c r="AA2683">
        <v>0</v>
      </c>
      <c r="AB2683">
        <v>0</v>
      </c>
      <c r="AC2683">
        <v>420</v>
      </c>
      <c r="AD2683">
        <v>0</v>
      </c>
      <c r="AE2683">
        <v>0</v>
      </c>
      <c r="AF2683">
        <v>0</v>
      </c>
      <c r="AG2683">
        <v>0</v>
      </c>
      <c r="AH2683">
        <v>0</v>
      </c>
      <c r="AI2683">
        <v>0</v>
      </c>
      <c r="AJ2683">
        <v>0</v>
      </c>
      <c r="AK2683">
        <v>0</v>
      </c>
      <c r="AL2683">
        <v>0</v>
      </c>
      <c r="AM2683">
        <v>0</v>
      </c>
      <c r="AN2683">
        <v>0</v>
      </c>
      <c r="AO2683">
        <v>1</v>
      </c>
      <c r="AP2683">
        <v>0</v>
      </c>
      <c r="AQ2683">
        <v>0</v>
      </c>
      <c r="AR2683">
        <v>0</v>
      </c>
      <c r="AS2683">
        <v>0</v>
      </c>
      <c r="AT2683">
        <v>0</v>
      </c>
      <c r="AU2683">
        <f t="shared" si="82"/>
        <v>1</v>
      </c>
      <c r="AV2683">
        <f t="shared" si="83"/>
        <v>0</v>
      </c>
    </row>
    <row r="2684" spans="1:48" x14ac:dyDescent="0.25">
      <c r="A2684" t="s">
        <v>9131</v>
      </c>
      <c r="C2684" t="s">
        <v>9132</v>
      </c>
      <c r="D2684" t="s">
        <v>9133</v>
      </c>
      <c r="E2684" t="s">
        <v>1663</v>
      </c>
      <c r="F2684">
        <v>3</v>
      </c>
      <c r="G2684">
        <v>3.1</v>
      </c>
      <c r="H2684" t="s">
        <v>2017</v>
      </c>
      <c r="I2684" s="21">
        <v>39619</v>
      </c>
      <c r="J2684">
        <v>2008</v>
      </c>
      <c r="K2684" s="21">
        <v>39649</v>
      </c>
      <c r="L2684">
        <v>2008</v>
      </c>
      <c r="M2684" s="21">
        <v>39802</v>
      </c>
      <c r="N2684">
        <v>2008</v>
      </c>
      <c r="Q2684" s="262">
        <v>0</v>
      </c>
      <c r="S2684" t="s">
        <v>114</v>
      </c>
      <c r="T2684" t="s">
        <v>114</v>
      </c>
      <c r="W2684">
        <v>5078</v>
      </c>
      <c r="X2684">
        <v>1</v>
      </c>
      <c r="Y2684">
        <v>0</v>
      </c>
      <c r="Z2684">
        <v>0</v>
      </c>
      <c r="AA2684">
        <v>0</v>
      </c>
      <c r="AB2684">
        <v>0</v>
      </c>
      <c r="AC2684">
        <v>5078</v>
      </c>
      <c r="AD2684">
        <v>0</v>
      </c>
      <c r="AE2684">
        <v>0</v>
      </c>
      <c r="AF2684">
        <v>0</v>
      </c>
      <c r="AG2684">
        <v>0</v>
      </c>
      <c r="AH2684">
        <v>0</v>
      </c>
      <c r="AI2684">
        <v>0</v>
      </c>
      <c r="AJ2684">
        <v>0</v>
      </c>
      <c r="AK2684">
        <v>0</v>
      </c>
      <c r="AL2684">
        <v>0</v>
      </c>
      <c r="AM2684">
        <v>0</v>
      </c>
      <c r="AN2684">
        <v>0</v>
      </c>
      <c r="AO2684">
        <v>1</v>
      </c>
      <c r="AP2684">
        <v>0</v>
      </c>
      <c r="AQ2684">
        <v>0</v>
      </c>
      <c r="AR2684">
        <v>0</v>
      </c>
      <c r="AS2684">
        <v>0</v>
      </c>
      <c r="AT2684">
        <v>0</v>
      </c>
      <c r="AU2684">
        <f t="shared" si="82"/>
        <v>1</v>
      </c>
      <c r="AV2684">
        <f t="shared" si="83"/>
        <v>0</v>
      </c>
    </row>
    <row r="2685" spans="1:48" x14ac:dyDescent="0.25">
      <c r="A2685" t="s">
        <v>9134</v>
      </c>
      <c r="C2685" t="s">
        <v>9135</v>
      </c>
      <c r="D2685" t="s">
        <v>6736</v>
      </c>
      <c r="E2685" t="s">
        <v>2310</v>
      </c>
      <c r="F2685">
        <v>11</v>
      </c>
      <c r="G2685">
        <v>11.2</v>
      </c>
      <c r="H2685" t="s">
        <v>2017</v>
      </c>
      <c r="I2685" s="21">
        <v>39622</v>
      </c>
      <c r="J2685">
        <v>2008</v>
      </c>
      <c r="K2685" s="21">
        <v>39651</v>
      </c>
      <c r="L2685">
        <v>2008</v>
      </c>
      <c r="M2685" s="21">
        <v>40095.627962963001</v>
      </c>
      <c r="N2685">
        <v>2009</v>
      </c>
      <c r="R2685" s="262">
        <v>15000</v>
      </c>
      <c r="S2685" t="s">
        <v>114</v>
      </c>
      <c r="T2685" t="s">
        <v>114</v>
      </c>
      <c r="U2685">
        <v>4</v>
      </c>
      <c r="W2685">
        <v>0</v>
      </c>
      <c r="X2685">
        <v>0</v>
      </c>
      <c r="Y2685">
        <v>0</v>
      </c>
      <c r="Z2685">
        <v>0</v>
      </c>
      <c r="AA2685">
        <v>0</v>
      </c>
      <c r="AB2685">
        <v>0</v>
      </c>
      <c r="AC2685">
        <v>0</v>
      </c>
      <c r="AD2685">
        <v>0</v>
      </c>
      <c r="AE2685">
        <v>0</v>
      </c>
      <c r="AF2685">
        <v>0</v>
      </c>
      <c r="AG2685">
        <v>0</v>
      </c>
      <c r="AH2685">
        <v>0</v>
      </c>
      <c r="AI2685">
        <v>0</v>
      </c>
      <c r="AJ2685">
        <v>0</v>
      </c>
      <c r="AK2685">
        <v>0</v>
      </c>
      <c r="AL2685">
        <v>0</v>
      </c>
      <c r="AM2685">
        <v>0</v>
      </c>
      <c r="AN2685">
        <v>0</v>
      </c>
      <c r="AO2685">
        <v>0</v>
      </c>
      <c r="AP2685">
        <v>0</v>
      </c>
      <c r="AQ2685">
        <v>0</v>
      </c>
      <c r="AR2685">
        <v>0</v>
      </c>
      <c r="AS2685">
        <v>0</v>
      </c>
      <c r="AT2685">
        <v>0</v>
      </c>
      <c r="AU2685">
        <f t="shared" si="82"/>
        <v>0</v>
      </c>
      <c r="AV2685">
        <f t="shared" si="83"/>
        <v>0</v>
      </c>
    </row>
    <row r="2686" spans="1:48" x14ac:dyDescent="0.25">
      <c r="A2686" t="s">
        <v>9136</v>
      </c>
      <c r="C2686" t="s">
        <v>9137</v>
      </c>
      <c r="D2686" t="s">
        <v>9138</v>
      </c>
      <c r="E2686" t="s">
        <v>2310</v>
      </c>
      <c r="F2686">
        <v>14</v>
      </c>
      <c r="G2686">
        <v>14.2</v>
      </c>
      <c r="H2686" t="s">
        <v>2017</v>
      </c>
      <c r="I2686" s="21">
        <v>39622</v>
      </c>
      <c r="J2686">
        <v>2008</v>
      </c>
      <c r="K2686" s="21">
        <v>39645</v>
      </c>
      <c r="L2686">
        <v>2008</v>
      </c>
      <c r="M2686" s="21">
        <v>39904</v>
      </c>
      <c r="N2686">
        <v>2009</v>
      </c>
      <c r="R2686" s="262">
        <v>64000</v>
      </c>
      <c r="S2686" t="s">
        <v>114</v>
      </c>
      <c r="T2686" t="s">
        <v>114</v>
      </c>
      <c r="U2686">
        <v>5</v>
      </c>
      <c r="W2686">
        <v>-171</v>
      </c>
      <c r="X2686">
        <v>0</v>
      </c>
      <c r="Y2686">
        <v>0</v>
      </c>
      <c r="Z2686">
        <v>0</v>
      </c>
      <c r="AA2686">
        <v>0</v>
      </c>
      <c r="AB2686">
        <v>0</v>
      </c>
      <c r="AC2686">
        <v>-171</v>
      </c>
      <c r="AD2686">
        <v>0</v>
      </c>
      <c r="AE2686">
        <v>0</v>
      </c>
      <c r="AF2686">
        <v>0</v>
      </c>
      <c r="AG2686">
        <v>0</v>
      </c>
      <c r="AH2686">
        <v>0</v>
      </c>
      <c r="AI2686">
        <v>0</v>
      </c>
      <c r="AJ2686">
        <v>0</v>
      </c>
      <c r="AK2686">
        <v>0</v>
      </c>
      <c r="AL2686">
        <v>0</v>
      </c>
      <c r="AM2686">
        <v>0</v>
      </c>
      <c r="AN2686">
        <v>0</v>
      </c>
      <c r="AO2686">
        <v>0</v>
      </c>
      <c r="AP2686">
        <v>0</v>
      </c>
      <c r="AQ2686">
        <v>0</v>
      </c>
      <c r="AR2686">
        <v>0</v>
      </c>
      <c r="AS2686">
        <v>0</v>
      </c>
      <c r="AT2686">
        <v>0</v>
      </c>
      <c r="AU2686">
        <f t="shared" si="82"/>
        <v>0</v>
      </c>
      <c r="AV2686">
        <f t="shared" si="83"/>
        <v>0</v>
      </c>
    </row>
    <row r="2687" spans="1:48" x14ac:dyDescent="0.25">
      <c r="A2687" t="s">
        <v>9139</v>
      </c>
      <c r="C2687" t="s">
        <v>9140</v>
      </c>
      <c r="D2687" t="s">
        <v>9141</v>
      </c>
      <c r="E2687" t="s">
        <v>2310</v>
      </c>
      <c r="F2687">
        <v>11</v>
      </c>
      <c r="G2687">
        <v>11.2</v>
      </c>
      <c r="H2687" t="s">
        <v>2017</v>
      </c>
      <c r="I2687" s="21">
        <v>39623</v>
      </c>
      <c r="J2687">
        <v>2008</v>
      </c>
      <c r="K2687" s="21">
        <v>39686</v>
      </c>
      <c r="L2687">
        <v>2008</v>
      </c>
      <c r="M2687" s="21">
        <v>39951</v>
      </c>
      <c r="N2687">
        <v>2009</v>
      </c>
      <c r="R2687" s="262">
        <v>175000</v>
      </c>
      <c r="S2687" t="s">
        <v>114</v>
      </c>
      <c r="T2687" t="s">
        <v>114</v>
      </c>
      <c r="U2687">
        <v>5</v>
      </c>
      <c r="W2687">
        <v>0</v>
      </c>
      <c r="X2687">
        <v>0</v>
      </c>
      <c r="Y2687">
        <v>0</v>
      </c>
      <c r="Z2687">
        <v>0</v>
      </c>
      <c r="AA2687">
        <v>0</v>
      </c>
      <c r="AB2687">
        <v>0</v>
      </c>
      <c r="AC2687">
        <v>0</v>
      </c>
      <c r="AD2687">
        <v>0</v>
      </c>
      <c r="AE2687">
        <v>0</v>
      </c>
      <c r="AF2687">
        <v>0</v>
      </c>
      <c r="AG2687">
        <v>0</v>
      </c>
      <c r="AH2687">
        <v>0</v>
      </c>
      <c r="AI2687">
        <v>0</v>
      </c>
      <c r="AJ2687">
        <v>0</v>
      </c>
      <c r="AK2687">
        <v>0</v>
      </c>
      <c r="AL2687">
        <v>0</v>
      </c>
      <c r="AM2687">
        <v>0</v>
      </c>
      <c r="AN2687">
        <v>0</v>
      </c>
      <c r="AO2687">
        <v>0</v>
      </c>
      <c r="AP2687">
        <v>0</v>
      </c>
      <c r="AQ2687">
        <v>0</v>
      </c>
      <c r="AR2687">
        <v>0</v>
      </c>
      <c r="AS2687">
        <v>0</v>
      </c>
      <c r="AT2687">
        <v>0</v>
      </c>
      <c r="AU2687">
        <f t="shared" si="82"/>
        <v>0</v>
      </c>
      <c r="AV2687">
        <f t="shared" si="83"/>
        <v>0</v>
      </c>
    </row>
    <row r="2688" spans="1:48" x14ac:dyDescent="0.25">
      <c r="A2688" t="s">
        <v>9142</v>
      </c>
      <c r="C2688" t="s">
        <v>9143</v>
      </c>
      <c r="D2688" t="s">
        <v>9144</v>
      </c>
      <c r="E2688" t="s">
        <v>1663</v>
      </c>
      <c r="F2688">
        <v>3</v>
      </c>
      <c r="G2688">
        <v>3.1</v>
      </c>
      <c r="H2688" t="s">
        <v>2017</v>
      </c>
      <c r="I2688" s="21">
        <v>39624</v>
      </c>
      <c r="J2688">
        <v>2008</v>
      </c>
      <c r="K2688" s="21">
        <v>39654</v>
      </c>
      <c r="L2688">
        <v>2008</v>
      </c>
      <c r="M2688" s="21">
        <v>39807</v>
      </c>
      <c r="N2688">
        <v>2008</v>
      </c>
      <c r="Q2688" s="262">
        <v>0</v>
      </c>
      <c r="S2688" t="s">
        <v>114</v>
      </c>
      <c r="T2688" t="s">
        <v>114</v>
      </c>
      <c r="W2688">
        <v>2592</v>
      </c>
      <c r="X2688">
        <v>1</v>
      </c>
      <c r="Y2688">
        <v>0</v>
      </c>
      <c r="Z2688">
        <v>0</v>
      </c>
      <c r="AA2688">
        <v>0</v>
      </c>
      <c r="AB2688">
        <v>0</v>
      </c>
      <c r="AC2688">
        <v>2592</v>
      </c>
      <c r="AD2688">
        <v>0</v>
      </c>
      <c r="AE2688">
        <v>0</v>
      </c>
      <c r="AF2688">
        <v>0</v>
      </c>
      <c r="AG2688">
        <v>0</v>
      </c>
      <c r="AH2688">
        <v>0</v>
      </c>
      <c r="AI2688">
        <v>0</v>
      </c>
      <c r="AJ2688">
        <v>0</v>
      </c>
      <c r="AK2688">
        <v>0</v>
      </c>
      <c r="AL2688">
        <v>0</v>
      </c>
      <c r="AM2688">
        <v>0</v>
      </c>
      <c r="AN2688">
        <v>0</v>
      </c>
      <c r="AO2688">
        <v>1</v>
      </c>
      <c r="AP2688">
        <v>0</v>
      </c>
      <c r="AQ2688">
        <v>0</v>
      </c>
      <c r="AR2688">
        <v>0</v>
      </c>
      <c r="AS2688">
        <v>0</v>
      </c>
      <c r="AT2688">
        <v>0</v>
      </c>
      <c r="AU2688">
        <f t="shared" si="82"/>
        <v>1</v>
      </c>
      <c r="AV2688">
        <f t="shared" si="83"/>
        <v>0</v>
      </c>
    </row>
    <row r="2689" spans="1:48" x14ac:dyDescent="0.25">
      <c r="A2689" t="s">
        <v>9145</v>
      </c>
      <c r="C2689" t="s">
        <v>9146</v>
      </c>
      <c r="D2689" t="s">
        <v>7825</v>
      </c>
      <c r="E2689" t="s">
        <v>2310</v>
      </c>
      <c r="F2689">
        <v>15</v>
      </c>
      <c r="G2689">
        <v>15.2</v>
      </c>
      <c r="H2689" t="s">
        <v>2323</v>
      </c>
      <c r="I2689" s="21">
        <v>39625</v>
      </c>
      <c r="J2689">
        <v>2008</v>
      </c>
      <c r="K2689" s="21">
        <v>39762</v>
      </c>
      <c r="L2689">
        <v>2008</v>
      </c>
      <c r="M2689" s="21">
        <v>39762</v>
      </c>
      <c r="N2689">
        <v>2008</v>
      </c>
      <c r="S2689" t="s">
        <v>114</v>
      </c>
      <c r="T2689" t="s">
        <v>114</v>
      </c>
      <c r="U2689">
        <v>5</v>
      </c>
      <c r="W2689">
        <v>0</v>
      </c>
      <c r="X2689">
        <v>0</v>
      </c>
      <c r="Y2689">
        <v>0</v>
      </c>
      <c r="Z2689">
        <v>0</v>
      </c>
      <c r="AA2689">
        <v>0</v>
      </c>
      <c r="AB2689">
        <v>0</v>
      </c>
      <c r="AC2689">
        <v>0</v>
      </c>
      <c r="AD2689">
        <v>0</v>
      </c>
      <c r="AE2689">
        <v>0</v>
      </c>
      <c r="AF2689">
        <v>0</v>
      </c>
      <c r="AG2689">
        <v>0</v>
      </c>
      <c r="AH2689">
        <v>0</v>
      </c>
      <c r="AI2689">
        <v>0</v>
      </c>
      <c r="AJ2689">
        <v>0</v>
      </c>
      <c r="AK2689">
        <v>0</v>
      </c>
      <c r="AL2689">
        <v>0</v>
      </c>
      <c r="AM2689">
        <v>0</v>
      </c>
      <c r="AN2689">
        <v>0</v>
      </c>
      <c r="AO2689">
        <v>0</v>
      </c>
      <c r="AP2689">
        <v>0</v>
      </c>
      <c r="AQ2689">
        <v>0</v>
      </c>
      <c r="AR2689">
        <v>0</v>
      </c>
      <c r="AS2689">
        <v>0</v>
      </c>
      <c r="AT2689">
        <v>0</v>
      </c>
      <c r="AU2689">
        <f t="shared" si="82"/>
        <v>0</v>
      </c>
      <c r="AV2689">
        <f t="shared" si="83"/>
        <v>0</v>
      </c>
    </row>
    <row r="2690" spans="1:48" x14ac:dyDescent="0.25">
      <c r="A2690" t="s">
        <v>9149</v>
      </c>
      <c r="C2690" t="s">
        <v>9150</v>
      </c>
      <c r="D2690" t="s">
        <v>9151</v>
      </c>
      <c r="E2690" t="s">
        <v>2310</v>
      </c>
      <c r="F2690">
        <v>10</v>
      </c>
      <c r="G2690">
        <v>10.1</v>
      </c>
      <c r="H2690" t="s">
        <v>2323</v>
      </c>
      <c r="I2690" s="21">
        <v>39626</v>
      </c>
      <c r="J2690">
        <v>2008</v>
      </c>
      <c r="K2690" s="21">
        <v>39693</v>
      </c>
      <c r="L2690">
        <v>2008</v>
      </c>
      <c r="M2690" s="21">
        <v>40234.582696759302</v>
      </c>
      <c r="N2690">
        <v>2010</v>
      </c>
      <c r="R2690" s="262">
        <v>400000</v>
      </c>
      <c r="S2690" t="s">
        <v>114</v>
      </c>
      <c r="T2690" t="s">
        <v>114</v>
      </c>
      <c r="U2690">
        <v>5</v>
      </c>
      <c r="W2690">
        <v>1253</v>
      </c>
      <c r="X2690">
        <v>0</v>
      </c>
      <c r="Y2690">
        <v>0</v>
      </c>
      <c r="Z2690">
        <v>0</v>
      </c>
      <c r="AA2690">
        <v>0</v>
      </c>
      <c r="AB2690">
        <v>0</v>
      </c>
      <c r="AC2690">
        <v>1253</v>
      </c>
      <c r="AD2690">
        <v>0</v>
      </c>
      <c r="AE2690">
        <v>0</v>
      </c>
      <c r="AF2690">
        <v>0</v>
      </c>
      <c r="AG2690">
        <v>0</v>
      </c>
      <c r="AH2690">
        <v>0</v>
      </c>
      <c r="AI2690">
        <v>0</v>
      </c>
      <c r="AJ2690">
        <v>0</v>
      </c>
      <c r="AK2690">
        <v>0</v>
      </c>
      <c r="AL2690">
        <v>0</v>
      </c>
      <c r="AM2690">
        <v>0</v>
      </c>
      <c r="AN2690">
        <v>0</v>
      </c>
      <c r="AO2690">
        <v>0</v>
      </c>
      <c r="AP2690">
        <v>0</v>
      </c>
      <c r="AQ2690">
        <v>0</v>
      </c>
      <c r="AR2690">
        <v>0</v>
      </c>
      <c r="AS2690">
        <v>0</v>
      </c>
      <c r="AT2690">
        <v>0</v>
      </c>
      <c r="AU2690">
        <f t="shared" si="82"/>
        <v>0</v>
      </c>
      <c r="AV2690">
        <f t="shared" si="83"/>
        <v>0</v>
      </c>
    </row>
    <row r="2691" spans="1:48" x14ac:dyDescent="0.25">
      <c r="A2691" t="s">
        <v>9147</v>
      </c>
      <c r="C2691" t="s">
        <v>7871</v>
      </c>
      <c r="D2691" t="s">
        <v>9148</v>
      </c>
      <c r="E2691" t="s">
        <v>1663</v>
      </c>
      <c r="F2691">
        <v>3</v>
      </c>
      <c r="G2691">
        <v>3.1</v>
      </c>
      <c r="H2691" t="s">
        <v>2017</v>
      </c>
      <c r="I2691" s="21">
        <v>39626</v>
      </c>
      <c r="J2691">
        <v>2008</v>
      </c>
      <c r="K2691" s="21">
        <v>39656</v>
      </c>
      <c r="L2691">
        <v>2008</v>
      </c>
      <c r="M2691" s="21">
        <v>39809</v>
      </c>
      <c r="N2691">
        <v>2008</v>
      </c>
      <c r="Q2691" s="262">
        <v>0</v>
      </c>
      <c r="S2691" t="s">
        <v>114</v>
      </c>
      <c r="T2691" t="s">
        <v>114</v>
      </c>
      <c r="W2691">
        <v>2692</v>
      </c>
      <c r="X2691">
        <v>1</v>
      </c>
      <c r="Y2691">
        <v>0</v>
      </c>
      <c r="Z2691">
        <v>0</v>
      </c>
      <c r="AA2691">
        <v>0</v>
      </c>
      <c r="AB2691">
        <v>0</v>
      </c>
      <c r="AC2691">
        <v>2692</v>
      </c>
      <c r="AD2691">
        <v>0</v>
      </c>
      <c r="AE2691">
        <v>0</v>
      </c>
      <c r="AF2691">
        <v>0</v>
      </c>
      <c r="AG2691">
        <v>0</v>
      </c>
      <c r="AH2691">
        <v>0</v>
      </c>
      <c r="AI2691">
        <v>0</v>
      </c>
      <c r="AJ2691">
        <v>0</v>
      </c>
      <c r="AK2691">
        <v>0</v>
      </c>
      <c r="AL2691">
        <v>0</v>
      </c>
      <c r="AM2691">
        <v>0</v>
      </c>
      <c r="AN2691">
        <v>0</v>
      </c>
      <c r="AO2691">
        <v>1</v>
      </c>
      <c r="AP2691">
        <v>0</v>
      </c>
      <c r="AQ2691">
        <v>0</v>
      </c>
      <c r="AR2691">
        <v>0</v>
      </c>
      <c r="AS2691">
        <v>0</v>
      </c>
      <c r="AT2691">
        <v>0</v>
      </c>
      <c r="AU2691">
        <f t="shared" si="82"/>
        <v>1</v>
      </c>
      <c r="AV2691">
        <f t="shared" si="83"/>
        <v>0</v>
      </c>
    </row>
    <row r="2692" spans="1:48" x14ac:dyDescent="0.25">
      <c r="A2692" t="s">
        <v>9152</v>
      </c>
      <c r="C2692" t="s">
        <v>9153</v>
      </c>
      <c r="D2692" t="s">
        <v>9154</v>
      </c>
      <c r="E2692" t="s">
        <v>2310</v>
      </c>
      <c r="F2692">
        <v>8</v>
      </c>
      <c r="G2692">
        <v>8.1999999999999993</v>
      </c>
      <c r="H2692" t="s">
        <v>2022</v>
      </c>
      <c r="I2692" s="21">
        <v>39629</v>
      </c>
      <c r="J2692">
        <v>2008</v>
      </c>
      <c r="K2692" s="21">
        <v>39721</v>
      </c>
      <c r="L2692">
        <v>2008</v>
      </c>
      <c r="M2692" s="21">
        <v>40115.606481481504</v>
      </c>
      <c r="N2692">
        <v>2009</v>
      </c>
      <c r="R2692" s="262">
        <v>3000000</v>
      </c>
      <c r="S2692" t="s">
        <v>114</v>
      </c>
      <c r="T2692" t="s">
        <v>114</v>
      </c>
      <c r="U2692">
        <v>5</v>
      </c>
      <c r="W2692">
        <v>3913</v>
      </c>
      <c r="X2692">
        <v>0</v>
      </c>
      <c r="Y2692">
        <v>0</v>
      </c>
      <c r="Z2692">
        <v>0</v>
      </c>
      <c r="AA2692">
        <v>0</v>
      </c>
      <c r="AB2692">
        <v>0</v>
      </c>
      <c r="AC2692">
        <v>3913</v>
      </c>
      <c r="AD2692">
        <v>0</v>
      </c>
      <c r="AE2692">
        <v>0</v>
      </c>
      <c r="AF2692">
        <v>0</v>
      </c>
      <c r="AG2692">
        <v>0</v>
      </c>
      <c r="AH2692">
        <v>0</v>
      </c>
      <c r="AI2692">
        <v>0</v>
      </c>
      <c r="AJ2692">
        <v>0</v>
      </c>
      <c r="AK2692">
        <v>0</v>
      </c>
      <c r="AL2692">
        <v>0</v>
      </c>
      <c r="AM2692">
        <v>0</v>
      </c>
      <c r="AN2692">
        <v>0</v>
      </c>
      <c r="AO2692">
        <v>0</v>
      </c>
      <c r="AP2692">
        <v>0</v>
      </c>
      <c r="AQ2692">
        <v>0</v>
      </c>
      <c r="AR2692">
        <v>0</v>
      </c>
      <c r="AS2692">
        <v>0</v>
      </c>
      <c r="AT2692">
        <v>0</v>
      </c>
      <c r="AU2692">
        <f t="shared" si="82"/>
        <v>0</v>
      </c>
      <c r="AV2692">
        <f t="shared" si="83"/>
        <v>0</v>
      </c>
    </row>
    <row r="2693" spans="1:48" x14ac:dyDescent="0.25">
      <c r="A2693" t="s">
        <v>9155</v>
      </c>
      <c r="C2693" t="s">
        <v>9156</v>
      </c>
      <c r="D2693" t="s">
        <v>9154</v>
      </c>
      <c r="E2693" t="s">
        <v>2310</v>
      </c>
      <c r="F2693">
        <v>8</v>
      </c>
      <c r="G2693">
        <v>8.1999999999999993</v>
      </c>
      <c r="H2693" t="s">
        <v>2022</v>
      </c>
      <c r="I2693" s="21">
        <v>39629</v>
      </c>
      <c r="J2693">
        <v>2008</v>
      </c>
      <c r="K2693" s="21">
        <v>39722</v>
      </c>
      <c r="L2693">
        <v>2008</v>
      </c>
      <c r="M2693" s="21">
        <v>40115.6088773148</v>
      </c>
      <c r="N2693">
        <v>2009</v>
      </c>
      <c r="R2693" s="262">
        <v>500000</v>
      </c>
      <c r="S2693" t="s">
        <v>114</v>
      </c>
      <c r="T2693" t="s">
        <v>114</v>
      </c>
      <c r="U2693">
        <v>8</v>
      </c>
      <c r="W2693">
        <v>377</v>
      </c>
      <c r="X2693">
        <v>1</v>
      </c>
      <c r="Y2693">
        <v>0</v>
      </c>
      <c r="Z2693">
        <v>0</v>
      </c>
      <c r="AA2693">
        <v>0</v>
      </c>
      <c r="AB2693">
        <v>0</v>
      </c>
      <c r="AC2693">
        <v>0</v>
      </c>
      <c r="AD2693">
        <v>0</v>
      </c>
      <c r="AE2693">
        <v>0</v>
      </c>
      <c r="AF2693">
        <v>377</v>
      </c>
      <c r="AG2693">
        <v>0</v>
      </c>
      <c r="AH2693">
        <v>0</v>
      </c>
      <c r="AI2693">
        <v>0</v>
      </c>
      <c r="AJ2693">
        <v>0</v>
      </c>
      <c r="AK2693">
        <v>0</v>
      </c>
      <c r="AL2693">
        <v>0</v>
      </c>
      <c r="AM2693">
        <v>0</v>
      </c>
      <c r="AN2693">
        <v>0</v>
      </c>
      <c r="AO2693">
        <v>0</v>
      </c>
      <c r="AP2693">
        <v>0</v>
      </c>
      <c r="AQ2693">
        <v>0</v>
      </c>
      <c r="AR2693">
        <v>1</v>
      </c>
      <c r="AS2693">
        <v>0</v>
      </c>
      <c r="AT2693">
        <v>0</v>
      </c>
      <c r="AU2693">
        <f t="shared" si="82"/>
        <v>0</v>
      </c>
      <c r="AV2693">
        <f t="shared" si="83"/>
        <v>0</v>
      </c>
    </row>
    <row r="2694" spans="1:48" x14ac:dyDescent="0.25">
      <c r="A2694" t="s">
        <v>9157</v>
      </c>
      <c r="C2694" t="s">
        <v>9158</v>
      </c>
      <c r="D2694" t="s">
        <v>3343</v>
      </c>
      <c r="E2694" t="s">
        <v>2310</v>
      </c>
      <c r="F2694">
        <v>11</v>
      </c>
      <c r="G2694">
        <v>11.2</v>
      </c>
      <c r="H2694" t="s">
        <v>2017</v>
      </c>
      <c r="I2694" s="21">
        <v>39629</v>
      </c>
      <c r="J2694">
        <v>2008</v>
      </c>
      <c r="K2694" s="21">
        <v>39681</v>
      </c>
      <c r="L2694">
        <v>2008</v>
      </c>
      <c r="M2694" s="21">
        <v>40372.392025462999</v>
      </c>
      <c r="N2694">
        <v>2010</v>
      </c>
      <c r="R2694" s="262">
        <v>20000</v>
      </c>
      <c r="S2694" t="s">
        <v>114</v>
      </c>
      <c r="T2694" t="s">
        <v>114</v>
      </c>
      <c r="U2694">
        <v>15</v>
      </c>
      <c r="W2694">
        <v>160</v>
      </c>
      <c r="X2694">
        <v>0</v>
      </c>
      <c r="Y2694">
        <v>0</v>
      </c>
      <c r="Z2694">
        <v>0</v>
      </c>
      <c r="AA2694">
        <v>0</v>
      </c>
      <c r="AB2694">
        <v>0</v>
      </c>
      <c r="AC2694">
        <v>0</v>
      </c>
      <c r="AD2694">
        <v>0</v>
      </c>
      <c r="AE2694">
        <v>0</v>
      </c>
      <c r="AF2694">
        <v>0</v>
      </c>
      <c r="AG2694">
        <v>0</v>
      </c>
      <c r="AH2694">
        <v>0</v>
      </c>
      <c r="AI2694">
        <v>0</v>
      </c>
      <c r="AJ2694">
        <v>0</v>
      </c>
      <c r="AK2694">
        <v>0</v>
      </c>
      <c r="AL2694">
        <v>0</v>
      </c>
      <c r="AM2694">
        <v>160</v>
      </c>
      <c r="AN2694">
        <v>0</v>
      </c>
      <c r="AO2694">
        <v>0</v>
      </c>
      <c r="AP2694">
        <v>0</v>
      </c>
      <c r="AQ2694">
        <v>0</v>
      </c>
      <c r="AR2694">
        <v>0</v>
      </c>
      <c r="AS2694">
        <v>0</v>
      </c>
      <c r="AT2694">
        <v>0</v>
      </c>
      <c r="AU2694">
        <f t="shared" si="82"/>
        <v>0</v>
      </c>
      <c r="AV2694">
        <f t="shared" si="83"/>
        <v>160</v>
      </c>
    </row>
    <row r="2695" spans="1:48" x14ac:dyDescent="0.25">
      <c r="A2695" t="s">
        <v>9165</v>
      </c>
      <c r="C2695" t="s">
        <v>9166</v>
      </c>
      <c r="D2695" t="s">
        <v>9167</v>
      </c>
      <c r="E2695" t="s">
        <v>1663</v>
      </c>
      <c r="F2695">
        <v>6</v>
      </c>
      <c r="G2695">
        <v>6.1</v>
      </c>
      <c r="H2695" t="s">
        <v>2017</v>
      </c>
      <c r="I2695" s="21">
        <v>39631</v>
      </c>
      <c r="J2695">
        <v>2008</v>
      </c>
      <c r="K2695" s="21">
        <v>39662</v>
      </c>
      <c r="L2695">
        <v>2008</v>
      </c>
      <c r="M2695" s="21">
        <v>39815</v>
      </c>
      <c r="N2695">
        <v>2009</v>
      </c>
      <c r="Q2695" s="262">
        <v>0</v>
      </c>
      <c r="S2695" t="s">
        <v>114</v>
      </c>
      <c r="T2695" t="s">
        <v>114</v>
      </c>
      <c r="W2695">
        <v>696</v>
      </c>
      <c r="X2695">
        <v>0</v>
      </c>
      <c r="Y2695">
        <v>0</v>
      </c>
      <c r="Z2695">
        <v>0</v>
      </c>
      <c r="AA2695">
        <v>0</v>
      </c>
      <c r="AB2695">
        <v>0</v>
      </c>
      <c r="AC2695">
        <v>696</v>
      </c>
      <c r="AD2695">
        <v>0</v>
      </c>
      <c r="AE2695">
        <v>0</v>
      </c>
      <c r="AF2695">
        <v>0</v>
      </c>
      <c r="AG2695">
        <v>0</v>
      </c>
      <c r="AH2695">
        <v>0</v>
      </c>
      <c r="AI2695">
        <v>0</v>
      </c>
      <c r="AJ2695">
        <v>0</v>
      </c>
      <c r="AK2695">
        <v>0</v>
      </c>
      <c r="AL2695">
        <v>0</v>
      </c>
      <c r="AM2695">
        <v>0</v>
      </c>
      <c r="AN2695">
        <v>0</v>
      </c>
      <c r="AO2695">
        <v>0</v>
      </c>
      <c r="AP2695">
        <v>0</v>
      </c>
      <c r="AQ2695">
        <v>0</v>
      </c>
      <c r="AR2695">
        <v>0</v>
      </c>
      <c r="AS2695">
        <v>0</v>
      </c>
      <c r="AT2695">
        <v>0</v>
      </c>
      <c r="AU2695">
        <f t="shared" si="82"/>
        <v>0</v>
      </c>
      <c r="AV2695">
        <f t="shared" si="83"/>
        <v>0</v>
      </c>
    </row>
    <row r="2696" spans="1:48" x14ac:dyDescent="0.25">
      <c r="A2696" t="s">
        <v>9162</v>
      </c>
      <c r="C2696" t="s">
        <v>9163</v>
      </c>
      <c r="D2696" t="s">
        <v>9164</v>
      </c>
      <c r="E2696" t="s">
        <v>1663</v>
      </c>
      <c r="F2696">
        <v>3</v>
      </c>
      <c r="G2696">
        <v>3.2</v>
      </c>
      <c r="H2696" t="s">
        <v>2327</v>
      </c>
      <c r="I2696" s="21">
        <v>39631</v>
      </c>
      <c r="J2696">
        <v>2008</v>
      </c>
      <c r="K2696" s="21">
        <v>39662</v>
      </c>
      <c r="L2696">
        <v>2008</v>
      </c>
      <c r="M2696" s="21">
        <v>39815</v>
      </c>
      <c r="N2696">
        <v>2009</v>
      </c>
      <c r="Q2696" s="262">
        <v>700000</v>
      </c>
      <c r="S2696" t="s">
        <v>114</v>
      </c>
      <c r="T2696" t="s">
        <v>114</v>
      </c>
      <c r="W2696">
        <v>2527</v>
      </c>
      <c r="X2696">
        <v>0</v>
      </c>
      <c r="Y2696">
        <v>0</v>
      </c>
      <c r="Z2696">
        <v>0</v>
      </c>
      <c r="AA2696">
        <v>0</v>
      </c>
      <c r="AB2696">
        <v>0</v>
      </c>
      <c r="AC2696">
        <v>2527</v>
      </c>
      <c r="AD2696">
        <v>0</v>
      </c>
      <c r="AE2696">
        <v>0</v>
      </c>
      <c r="AF2696">
        <v>0</v>
      </c>
      <c r="AG2696">
        <v>0</v>
      </c>
      <c r="AH2696">
        <v>0</v>
      </c>
      <c r="AI2696">
        <v>0</v>
      </c>
      <c r="AJ2696">
        <v>0</v>
      </c>
      <c r="AK2696">
        <v>0</v>
      </c>
      <c r="AL2696">
        <v>0</v>
      </c>
      <c r="AM2696">
        <v>0</v>
      </c>
      <c r="AN2696">
        <v>0</v>
      </c>
      <c r="AO2696">
        <v>0</v>
      </c>
      <c r="AP2696">
        <v>0</v>
      </c>
      <c r="AQ2696">
        <v>0</v>
      </c>
      <c r="AR2696">
        <v>0</v>
      </c>
      <c r="AS2696">
        <v>0</v>
      </c>
      <c r="AT2696">
        <v>0</v>
      </c>
      <c r="AU2696">
        <f t="shared" si="82"/>
        <v>0</v>
      </c>
      <c r="AV2696">
        <f t="shared" si="83"/>
        <v>0</v>
      </c>
    </row>
    <row r="2697" spans="1:48" x14ac:dyDescent="0.25">
      <c r="A2697" t="s">
        <v>9159</v>
      </c>
      <c r="C2697" t="s">
        <v>9160</v>
      </c>
      <c r="D2697" t="s">
        <v>9161</v>
      </c>
      <c r="E2697" t="s">
        <v>1663</v>
      </c>
      <c r="F2697">
        <v>1</v>
      </c>
      <c r="G2697">
        <v>1.2</v>
      </c>
      <c r="H2697" t="s">
        <v>2017</v>
      </c>
      <c r="I2697" s="21">
        <v>39631</v>
      </c>
      <c r="J2697">
        <v>2008</v>
      </c>
      <c r="K2697" s="21">
        <v>39662</v>
      </c>
      <c r="L2697">
        <v>2008</v>
      </c>
      <c r="M2697" s="21">
        <v>39815</v>
      </c>
      <c r="N2697">
        <v>2009</v>
      </c>
      <c r="Q2697" s="262">
        <v>0</v>
      </c>
      <c r="S2697" t="s">
        <v>114</v>
      </c>
      <c r="T2697" t="s">
        <v>114</v>
      </c>
      <c r="W2697">
        <v>32842</v>
      </c>
      <c r="X2697">
        <v>0</v>
      </c>
      <c r="Y2697">
        <v>0</v>
      </c>
      <c r="Z2697">
        <v>0</v>
      </c>
      <c r="AA2697">
        <v>0</v>
      </c>
      <c r="AB2697">
        <v>0</v>
      </c>
      <c r="AC2697">
        <v>0</v>
      </c>
      <c r="AD2697">
        <v>0</v>
      </c>
      <c r="AE2697">
        <v>0</v>
      </c>
      <c r="AF2697">
        <v>0</v>
      </c>
      <c r="AG2697">
        <v>0</v>
      </c>
      <c r="AH2697">
        <v>0</v>
      </c>
      <c r="AI2697">
        <v>0</v>
      </c>
      <c r="AJ2697">
        <v>32842</v>
      </c>
      <c r="AK2697">
        <v>0</v>
      </c>
      <c r="AL2697">
        <v>0</v>
      </c>
      <c r="AM2697">
        <v>0</v>
      </c>
      <c r="AN2697">
        <v>0</v>
      </c>
      <c r="AO2697">
        <v>0</v>
      </c>
      <c r="AP2697">
        <v>0</v>
      </c>
      <c r="AQ2697">
        <v>0</v>
      </c>
      <c r="AR2697">
        <v>0</v>
      </c>
      <c r="AS2697">
        <v>0</v>
      </c>
      <c r="AT2697">
        <v>0</v>
      </c>
      <c r="AU2697">
        <f t="shared" si="82"/>
        <v>0</v>
      </c>
      <c r="AV2697">
        <f t="shared" si="83"/>
        <v>32842</v>
      </c>
    </row>
    <row r="2698" spans="1:48" x14ac:dyDescent="0.25">
      <c r="A2698" t="s">
        <v>9168</v>
      </c>
      <c r="C2698" t="s">
        <v>9169</v>
      </c>
      <c r="D2698" t="s">
        <v>9170</v>
      </c>
      <c r="E2698" t="s">
        <v>2310</v>
      </c>
      <c r="F2698">
        <v>9</v>
      </c>
      <c r="G2698">
        <v>9.1</v>
      </c>
      <c r="H2698" t="s">
        <v>2323</v>
      </c>
      <c r="I2698" s="21">
        <v>39637</v>
      </c>
      <c r="J2698">
        <v>2008</v>
      </c>
      <c r="K2698" s="21">
        <v>39682</v>
      </c>
      <c r="L2698">
        <v>2008</v>
      </c>
      <c r="M2698" s="21">
        <v>40380.574525463002</v>
      </c>
      <c r="N2698">
        <v>2010</v>
      </c>
      <c r="R2698" s="262">
        <v>10000</v>
      </c>
      <c r="S2698" t="s">
        <v>114</v>
      </c>
      <c r="T2698" t="s">
        <v>114</v>
      </c>
      <c r="U2698">
        <v>5</v>
      </c>
      <c r="W2698">
        <v>39</v>
      </c>
      <c r="X2698">
        <v>0</v>
      </c>
      <c r="Y2698">
        <v>0</v>
      </c>
      <c r="Z2698">
        <v>0</v>
      </c>
      <c r="AA2698">
        <v>0</v>
      </c>
      <c r="AB2698">
        <v>0</v>
      </c>
      <c r="AC2698">
        <v>39</v>
      </c>
      <c r="AD2698">
        <v>0</v>
      </c>
      <c r="AE2698">
        <v>0</v>
      </c>
      <c r="AF2698">
        <v>0</v>
      </c>
      <c r="AG2698">
        <v>0</v>
      </c>
      <c r="AH2698">
        <v>0</v>
      </c>
      <c r="AI2698">
        <v>0</v>
      </c>
      <c r="AJ2698">
        <v>0</v>
      </c>
      <c r="AK2698">
        <v>0</v>
      </c>
      <c r="AL2698">
        <v>0</v>
      </c>
      <c r="AM2698">
        <v>0</v>
      </c>
      <c r="AN2698">
        <v>0</v>
      </c>
      <c r="AO2698">
        <v>0</v>
      </c>
      <c r="AP2698">
        <v>0</v>
      </c>
      <c r="AQ2698">
        <v>0</v>
      </c>
      <c r="AR2698">
        <v>0</v>
      </c>
      <c r="AS2698">
        <v>0</v>
      </c>
      <c r="AT2698">
        <v>0</v>
      </c>
      <c r="AU2698">
        <f t="shared" si="82"/>
        <v>0</v>
      </c>
      <c r="AV2698">
        <f t="shared" si="83"/>
        <v>0</v>
      </c>
    </row>
    <row r="2699" spans="1:48" x14ac:dyDescent="0.25">
      <c r="A2699" t="s">
        <v>9171</v>
      </c>
      <c r="C2699" t="s">
        <v>9172</v>
      </c>
      <c r="D2699" t="s">
        <v>3294</v>
      </c>
      <c r="E2699" t="s">
        <v>2310</v>
      </c>
      <c r="F2699">
        <v>9</v>
      </c>
      <c r="G2699">
        <v>9.4</v>
      </c>
      <c r="H2699" t="s">
        <v>2323</v>
      </c>
      <c r="I2699" s="21">
        <v>39637</v>
      </c>
      <c r="J2699">
        <v>2008</v>
      </c>
      <c r="K2699" s="21">
        <v>39687</v>
      </c>
      <c r="L2699">
        <v>2008</v>
      </c>
      <c r="M2699" s="21">
        <v>39919</v>
      </c>
      <c r="N2699">
        <v>2009</v>
      </c>
      <c r="R2699" s="262">
        <v>80000</v>
      </c>
      <c r="S2699" t="s">
        <v>114</v>
      </c>
      <c r="T2699" t="s">
        <v>114</v>
      </c>
      <c r="U2699">
        <v>5</v>
      </c>
      <c r="W2699">
        <v>113</v>
      </c>
      <c r="X2699">
        <v>0</v>
      </c>
      <c r="Y2699">
        <v>0</v>
      </c>
      <c r="Z2699">
        <v>0</v>
      </c>
      <c r="AA2699">
        <v>0</v>
      </c>
      <c r="AB2699">
        <v>0</v>
      </c>
      <c r="AC2699">
        <v>113</v>
      </c>
      <c r="AD2699">
        <v>0</v>
      </c>
      <c r="AE2699">
        <v>0</v>
      </c>
      <c r="AF2699">
        <v>0</v>
      </c>
      <c r="AG2699">
        <v>0</v>
      </c>
      <c r="AH2699">
        <v>0</v>
      </c>
      <c r="AI2699">
        <v>0</v>
      </c>
      <c r="AJ2699">
        <v>0</v>
      </c>
      <c r="AK2699">
        <v>0</v>
      </c>
      <c r="AL2699">
        <v>0</v>
      </c>
      <c r="AM2699">
        <v>0</v>
      </c>
      <c r="AN2699">
        <v>0</v>
      </c>
      <c r="AO2699">
        <v>0</v>
      </c>
      <c r="AP2699">
        <v>0</v>
      </c>
      <c r="AQ2699">
        <v>0</v>
      </c>
      <c r="AR2699">
        <v>0</v>
      </c>
      <c r="AS2699">
        <v>0</v>
      </c>
      <c r="AT2699">
        <v>0</v>
      </c>
      <c r="AU2699">
        <f t="shared" si="82"/>
        <v>0</v>
      </c>
      <c r="AV2699">
        <f t="shared" si="83"/>
        <v>0</v>
      </c>
    </row>
    <row r="2700" spans="1:48" x14ac:dyDescent="0.25">
      <c r="A2700" t="s">
        <v>9173</v>
      </c>
      <c r="C2700" t="s">
        <v>9174</v>
      </c>
      <c r="D2700" t="s">
        <v>8861</v>
      </c>
      <c r="E2700" t="s">
        <v>2310</v>
      </c>
      <c r="F2700">
        <v>8</v>
      </c>
      <c r="G2700">
        <v>8.1999999999999993</v>
      </c>
      <c r="H2700" t="s">
        <v>2022</v>
      </c>
      <c r="I2700" s="21">
        <v>39638</v>
      </c>
      <c r="J2700">
        <v>2008</v>
      </c>
      <c r="K2700" s="21">
        <v>39762</v>
      </c>
      <c r="L2700">
        <v>2008</v>
      </c>
      <c r="M2700" s="21">
        <v>40275.655902777798</v>
      </c>
      <c r="N2700">
        <v>2010</v>
      </c>
      <c r="S2700" t="s">
        <v>114</v>
      </c>
      <c r="T2700" t="s">
        <v>114</v>
      </c>
      <c r="U2700">
        <v>5</v>
      </c>
      <c r="W2700">
        <v>0</v>
      </c>
      <c r="X2700">
        <v>0</v>
      </c>
      <c r="Y2700">
        <v>0</v>
      </c>
      <c r="Z2700">
        <v>0</v>
      </c>
      <c r="AA2700">
        <v>0</v>
      </c>
      <c r="AB2700">
        <v>0</v>
      </c>
      <c r="AC2700">
        <v>0</v>
      </c>
      <c r="AD2700">
        <v>0</v>
      </c>
      <c r="AE2700">
        <v>0</v>
      </c>
      <c r="AF2700">
        <v>0</v>
      </c>
      <c r="AG2700">
        <v>0</v>
      </c>
      <c r="AH2700">
        <v>0</v>
      </c>
      <c r="AI2700">
        <v>0</v>
      </c>
      <c r="AJ2700">
        <v>0</v>
      </c>
      <c r="AK2700">
        <v>0</v>
      </c>
      <c r="AL2700">
        <v>0</v>
      </c>
      <c r="AM2700">
        <v>0</v>
      </c>
      <c r="AN2700">
        <v>0</v>
      </c>
      <c r="AO2700">
        <v>0</v>
      </c>
      <c r="AP2700">
        <v>0</v>
      </c>
      <c r="AQ2700">
        <v>0</v>
      </c>
      <c r="AR2700">
        <v>0</v>
      </c>
      <c r="AS2700">
        <v>0</v>
      </c>
      <c r="AT2700">
        <v>0</v>
      </c>
      <c r="AU2700">
        <f t="shared" si="82"/>
        <v>0</v>
      </c>
      <c r="AV2700">
        <f t="shared" si="83"/>
        <v>0</v>
      </c>
    </row>
    <row r="2701" spans="1:48" x14ac:dyDescent="0.25">
      <c r="A2701" t="s">
        <v>9175</v>
      </c>
      <c r="C2701" t="s">
        <v>9176</v>
      </c>
      <c r="D2701" t="s">
        <v>9177</v>
      </c>
      <c r="E2701" t="s">
        <v>2310</v>
      </c>
      <c r="F2701">
        <v>7</v>
      </c>
      <c r="G2701">
        <v>7.2</v>
      </c>
      <c r="H2701" t="s">
        <v>2017</v>
      </c>
      <c r="I2701" s="21">
        <v>39638</v>
      </c>
      <c r="J2701">
        <v>2008</v>
      </c>
      <c r="K2701" s="21">
        <v>39682</v>
      </c>
      <c r="L2701">
        <v>2008</v>
      </c>
      <c r="M2701" s="21">
        <v>39904</v>
      </c>
      <c r="N2701">
        <v>2009</v>
      </c>
      <c r="R2701" s="262">
        <v>505000</v>
      </c>
      <c r="S2701" t="s">
        <v>114</v>
      </c>
      <c r="T2701" t="s">
        <v>114</v>
      </c>
      <c r="U2701">
        <v>5</v>
      </c>
      <c r="W2701">
        <v>3277</v>
      </c>
      <c r="X2701">
        <v>1</v>
      </c>
      <c r="Y2701">
        <v>0</v>
      </c>
      <c r="Z2701">
        <v>0</v>
      </c>
      <c r="AA2701">
        <v>0</v>
      </c>
      <c r="AB2701">
        <v>0</v>
      </c>
      <c r="AC2701">
        <v>3277</v>
      </c>
      <c r="AD2701">
        <v>0</v>
      </c>
      <c r="AE2701">
        <v>0</v>
      </c>
      <c r="AF2701">
        <v>0</v>
      </c>
      <c r="AG2701">
        <v>0</v>
      </c>
      <c r="AH2701">
        <v>0</v>
      </c>
      <c r="AI2701">
        <v>0</v>
      </c>
      <c r="AJ2701">
        <v>0</v>
      </c>
      <c r="AK2701">
        <v>0</v>
      </c>
      <c r="AL2701">
        <v>0</v>
      </c>
      <c r="AM2701">
        <v>0</v>
      </c>
      <c r="AN2701">
        <v>0</v>
      </c>
      <c r="AO2701">
        <v>1</v>
      </c>
      <c r="AP2701">
        <v>0</v>
      </c>
      <c r="AQ2701">
        <v>0</v>
      </c>
      <c r="AR2701">
        <v>0</v>
      </c>
      <c r="AS2701">
        <v>0</v>
      </c>
      <c r="AT2701">
        <v>0</v>
      </c>
      <c r="AU2701">
        <f t="shared" si="82"/>
        <v>1</v>
      </c>
      <c r="AV2701">
        <f t="shared" si="83"/>
        <v>0</v>
      </c>
    </row>
    <row r="2702" spans="1:48" x14ac:dyDescent="0.25">
      <c r="A2702" t="s">
        <v>9178</v>
      </c>
      <c r="C2702" t="s">
        <v>9179</v>
      </c>
      <c r="D2702" t="s">
        <v>9180</v>
      </c>
      <c r="E2702" t="s">
        <v>2310</v>
      </c>
      <c r="F2702">
        <v>9</v>
      </c>
      <c r="G2702">
        <v>9.3000000000000007</v>
      </c>
      <c r="H2702" t="s">
        <v>2323</v>
      </c>
      <c r="I2702" s="21">
        <v>39639</v>
      </c>
      <c r="J2702">
        <v>2008</v>
      </c>
      <c r="K2702" s="21">
        <v>39706</v>
      </c>
      <c r="L2702">
        <v>2008</v>
      </c>
      <c r="M2702" s="21">
        <v>40343.355648148201</v>
      </c>
      <c r="N2702">
        <v>2010</v>
      </c>
      <c r="R2702" s="262">
        <v>3000000</v>
      </c>
      <c r="S2702" t="s">
        <v>114</v>
      </c>
      <c r="T2702" t="s">
        <v>114</v>
      </c>
      <c r="U2702">
        <v>5</v>
      </c>
      <c r="W2702">
        <v>8259</v>
      </c>
      <c r="X2702">
        <v>1</v>
      </c>
      <c r="Y2702">
        <v>0</v>
      </c>
      <c r="Z2702">
        <v>0</v>
      </c>
      <c r="AA2702">
        <v>0</v>
      </c>
      <c r="AB2702">
        <v>0</v>
      </c>
      <c r="AC2702">
        <v>8259</v>
      </c>
      <c r="AD2702">
        <v>0</v>
      </c>
      <c r="AE2702">
        <v>0</v>
      </c>
      <c r="AF2702">
        <v>0</v>
      </c>
      <c r="AG2702">
        <v>0</v>
      </c>
      <c r="AH2702">
        <v>0</v>
      </c>
      <c r="AI2702">
        <v>0</v>
      </c>
      <c r="AJ2702">
        <v>0</v>
      </c>
      <c r="AK2702">
        <v>0</v>
      </c>
      <c r="AL2702">
        <v>0</v>
      </c>
      <c r="AM2702">
        <v>0</v>
      </c>
      <c r="AN2702">
        <v>0</v>
      </c>
      <c r="AO2702">
        <v>1</v>
      </c>
      <c r="AP2702">
        <v>0</v>
      </c>
      <c r="AQ2702">
        <v>0</v>
      </c>
      <c r="AR2702">
        <v>0</v>
      </c>
      <c r="AS2702">
        <v>0</v>
      </c>
      <c r="AT2702">
        <v>0</v>
      </c>
      <c r="AU2702">
        <f t="shared" si="82"/>
        <v>1</v>
      </c>
      <c r="AV2702">
        <f t="shared" si="83"/>
        <v>0</v>
      </c>
    </row>
    <row r="2703" spans="1:48" x14ac:dyDescent="0.25">
      <c r="A2703" t="s">
        <v>9181</v>
      </c>
      <c r="C2703" t="s">
        <v>3870</v>
      </c>
      <c r="D2703" t="s">
        <v>3491</v>
      </c>
      <c r="E2703" t="s">
        <v>2310</v>
      </c>
      <c r="F2703">
        <v>15</v>
      </c>
      <c r="G2703">
        <v>15.3</v>
      </c>
      <c r="H2703" t="s">
        <v>2022</v>
      </c>
      <c r="I2703" s="21">
        <v>39643</v>
      </c>
      <c r="J2703">
        <v>2008</v>
      </c>
      <c r="K2703" s="21">
        <v>39685</v>
      </c>
      <c r="L2703">
        <v>2008</v>
      </c>
      <c r="M2703" s="21">
        <v>40835.405879629601</v>
      </c>
      <c r="N2703">
        <v>2011</v>
      </c>
      <c r="R2703" s="262">
        <v>35000</v>
      </c>
      <c r="S2703" t="s">
        <v>114</v>
      </c>
      <c r="T2703" t="s">
        <v>114</v>
      </c>
      <c r="U2703">
        <v>5</v>
      </c>
      <c r="W2703">
        <v>576</v>
      </c>
      <c r="X2703">
        <v>1</v>
      </c>
      <c r="Y2703">
        <v>0</v>
      </c>
      <c r="Z2703">
        <v>0</v>
      </c>
      <c r="AA2703">
        <v>0</v>
      </c>
      <c r="AB2703">
        <v>0</v>
      </c>
      <c r="AC2703">
        <v>576</v>
      </c>
      <c r="AD2703">
        <v>0</v>
      </c>
      <c r="AE2703">
        <v>0</v>
      </c>
      <c r="AF2703">
        <v>0</v>
      </c>
      <c r="AG2703">
        <v>0</v>
      </c>
      <c r="AH2703">
        <v>0</v>
      </c>
      <c r="AI2703">
        <v>0</v>
      </c>
      <c r="AJ2703">
        <v>0</v>
      </c>
      <c r="AK2703">
        <v>0</v>
      </c>
      <c r="AL2703">
        <v>0</v>
      </c>
      <c r="AM2703">
        <v>0</v>
      </c>
      <c r="AN2703">
        <v>0</v>
      </c>
      <c r="AO2703">
        <v>1</v>
      </c>
      <c r="AP2703">
        <v>0</v>
      </c>
      <c r="AQ2703">
        <v>0</v>
      </c>
      <c r="AR2703">
        <v>0</v>
      </c>
      <c r="AS2703">
        <v>0</v>
      </c>
      <c r="AT2703">
        <v>0</v>
      </c>
      <c r="AU2703">
        <f t="shared" si="82"/>
        <v>1</v>
      </c>
      <c r="AV2703">
        <f t="shared" si="83"/>
        <v>0</v>
      </c>
    </row>
    <row r="2704" spans="1:48" x14ac:dyDescent="0.25">
      <c r="A2704" t="s">
        <v>9182</v>
      </c>
      <c r="C2704" t="s">
        <v>9183</v>
      </c>
      <c r="D2704" t="s">
        <v>9184</v>
      </c>
      <c r="E2704" t="s">
        <v>2310</v>
      </c>
      <c r="F2704">
        <v>15</v>
      </c>
      <c r="G2704">
        <v>15.2</v>
      </c>
      <c r="H2704" t="s">
        <v>2323</v>
      </c>
      <c r="I2704" s="21">
        <v>39644</v>
      </c>
      <c r="J2704">
        <v>2008</v>
      </c>
      <c r="K2704" s="21">
        <v>39708</v>
      </c>
      <c r="L2704">
        <v>2008</v>
      </c>
      <c r="M2704" s="21">
        <v>39708</v>
      </c>
      <c r="N2704">
        <v>2008</v>
      </c>
      <c r="R2704" s="262">
        <v>35000</v>
      </c>
      <c r="S2704" t="s">
        <v>114</v>
      </c>
      <c r="T2704" t="s">
        <v>114</v>
      </c>
      <c r="U2704">
        <v>5</v>
      </c>
      <c r="W2704">
        <v>1160</v>
      </c>
      <c r="X2704">
        <v>0</v>
      </c>
      <c r="Y2704">
        <v>0</v>
      </c>
      <c r="Z2704">
        <v>0</v>
      </c>
      <c r="AA2704">
        <v>0</v>
      </c>
      <c r="AB2704">
        <v>0</v>
      </c>
      <c r="AC2704">
        <v>1160</v>
      </c>
      <c r="AD2704">
        <v>0</v>
      </c>
      <c r="AE2704">
        <v>0</v>
      </c>
      <c r="AF2704">
        <v>0</v>
      </c>
      <c r="AG2704">
        <v>0</v>
      </c>
      <c r="AH2704">
        <v>0</v>
      </c>
      <c r="AI2704">
        <v>0</v>
      </c>
      <c r="AJ2704">
        <v>0</v>
      </c>
      <c r="AK2704">
        <v>0</v>
      </c>
      <c r="AL2704">
        <v>0</v>
      </c>
      <c r="AM2704">
        <v>0</v>
      </c>
      <c r="AN2704">
        <v>0</v>
      </c>
      <c r="AO2704">
        <v>0</v>
      </c>
      <c r="AP2704">
        <v>0</v>
      </c>
      <c r="AQ2704">
        <v>0</v>
      </c>
      <c r="AR2704">
        <v>0</v>
      </c>
      <c r="AS2704">
        <v>0</v>
      </c>
      <c r="AT2704">
        <v>0</v>
      </c>
      <c r="AU2704">
        <f t="shared" si="82"/>
        <v>0</v>
      </c>
      <c r="AV2704">
        <f t="shared" si="83"/>
        <v>0</v>
      </c>
    </row>
    <row r="2705" spans="1:48" x14ac:dyDescent="0.25">
      <c r="A2705" t="s">
        <v>9185</v>
      </c>
      <c r="C2705" t="s">
        <v>9186</v>
      </c>
      <c r="D2705" t="s">
        <v>9187</v>
      </c>
      <c r="E2705" t="s">
        <v>2310</v>
      </c>
      <c r="F2705">
        <v>8</v>
      </c>
      <c r="G2705">
        <v>8.1999999999999993</v>
      </c>
      <c r="H2705" t="s">
        <v>2022</v>
      </c>
      <c r="I2705" s="21">
        <v>39644</v>
      </c>
      <c r="J2705">
        <v>2008</v>
      </c>
      <c r="K2705" s="21">
        <v>39713</v>
      </c>
      <c r="L2705">
        <v>2008</v>
      </c>
      <c r="M2705" s="21">
        <v>40514.611342592601</v>
      </c>
      <c r="N2705">
        <v>2010</v>
      </c>
      <c r="R2705" s="262">
        <v>100000</v>
      </c>
      <c r="S2705" t="s">
        <v>114</v>
      </c>
      <c r="T2705" t="s">
        <v>114</v>
      </c>
      <c r="U2705">
        <v>5</v>
      </c>
      <c r="W2705">
        <v>2071</v>
      </c>
      <c r="X2705">
        <v>0</v>
      </c>
      <c r="Y2705">
        <v>0</v>
      </c>
      <c r="Z2705">
        <v>0</v>
      </c>
      <c r="AA2705">
        <v>0</v>
      </c>
      <c r="AB2705">
        <v>0</v>
      </c>
      <c r="AC2705">
        <v>2071</v>
      </c>
      <c r="AD2705">
        <v>0</v>
      </c>
      <c r="AE2705">
        <v>0</v>
      </c>
      <c r="AF2705">
        <v>0</v>
      </c>
      <c r="AG2705">
        <v>0</v>
      </c>
      <c r="AH2705">
        <v>0</v>
      </c>
      <c r="AI2705">
        <v>0</v>
      </c>
      <c r="AJ2705">
        <v>0</v>
      </c>
      <c r="AK2705">
        <v>0</v>
      </c>
      <c r="AL2705">
        <v>0</v>
      </c>
      <c r="AM2705">
        <v>0</v>
      </c>
      <c r="AN2705">
        <v>0</v>
      </c>
      <c r="AO2705">
        <v>0</v>
      </c>
      <c r="AP2705">
        <v>0</v>
      </c>
      <c r="AQ2705">
        <v>0</v>
      </c>
      <c r="AR2705">
        <v>0</v>
      </c>
      <c r="AS2705">
        <v>0</v>
      </c>
      <c r="AT2705">
        <v>0</v>
      </c>
      <c r="AU2705">
        <f t="shared" si="82"/>
        <v>0</v>
      </c>
      <c r="AV2705">
        <f t="shared" si="83"/>
        <v>0</v>
      </c>
    </row>
    <row r="2706" spans="1:48" x14ac:dyDescent="0.25">
      <c r="A2706" t="s">
        <v>9188</v>
      </c>
      <c r="C2706" t="s">
        <v>9189</v>
      </c>
      <c r="D2706" t="s">
        <v>9190</v>
      </c>
      <c r="E2706" t="s">
        <v>2310</v>
      </c>
      <c r="F2706">
        <v>15</v>
      </c>
      <c r="G2706">
        <v>15.3</v>
      </c>
      <c r="H2706" t="s">
        <v>2022</v>
      </c>
      <c r="I2706" s="21">
        <v>39645</v>
      </c>
      <c r="J2706">
        <v>2008</v>
      </c>
      <c r="K2706" s="21">
        <v>39707</v>
      </c>
      <c r="L2706">
        <v>2008</v>
      </c>
      <c r="M2706" s="21">
        <v>39707</v>
      </c>
      <c r="N2706">
        <v>2008</v>
      </c>
      <c r="R2706" s="262">
        <v>300000</v>
      </c>
      <c r="S2706" t="s">
        <v>114</v>
      </c>
      <c r="T2706" t="s">
        <v>114</v>
      </c>
      <c r="U2706">
        <v>5</v>
      </c>
      <c r="W2706">
        <v>1072</v>
      </c>
      <c r="X2706">
        <v>0</v>
      </c>
      <c r="Y2706">
        <v>0</v>
      </c>
      <c r="Z2706">
        <v>0</v>
      </c>
      <c r="AA2706">
        <v>0</v>
      </c>
      <c r="AB2706">
        <v>0</v>
      </c>
      <c r="AC2706">
        <v>1072</v>
      </c>
      <c r="AD2706">
        <v>0</v>
      </c>
      <c r="AE2706">
        <v>0</v>
      </c>
      <c r="AF2706">
        <v>0</v>
      </c>
      <c r="AG2706">
        <v>0</v>
      </c>
      <c r="AH2706">
        <v>0</v>
      </c>
      <c r="AI2706">
        <v>0</v>
      </c>
      <c r="AJ2706">
        <v>0</v>
      </c>
      <c r="AK2706">
        <v>0</v>
      </c>
      <c r="AL2706">
        <v>0</v>
      </c>
      <c r="AM2706">
        <v>0</v>
      </c>
      <c r="AN2706">
        <v>0</v>
      </c>
      <c r="AO2706">
        <v>0</v>
      </c>
      <c r="AP2706">
        <v>0</v>
      </c>
      <c r="AQ2706">
        <v>0</v>
      </c>
      <c r="AR2706">
        <v>0</v>
      </c>
      <c r="AS2706">
        <v>0</v>
      </c>
      <c r="AT2706">
        <v>0</v>
      </c>
      <c r="AU2706">
        <f t="shared" si="82"/>
        <v>0</v>
      </c>
      <c r="AV2706">
        <f t="shared" si="83"/>
        <v>0</v>
      </c>
    </row>
    <row r="2707" spans="1:48" x14ac:dyDescent="0.25">
      <c r="A2707" t="s">
        <v>9191</v>
      </c>
      <c r="C2707" t="s">
        <v>9192</v>
      </c>
      <c r="D2707" t="s">
        <v>4025</v>
      </c>
      <c r="E2707" t="s">
        <v>2310</v>
      </c>
      <c r="F2707">
        <v>15</v>
      </c>
      <c r="G2707">
        <v>15.2</v>
      </c>
      <c r="H2707" t="s">
        <v>2323</v>
      </c>
      <c r="I2707" s="21">
        <v>39645</v>
      </c>
      <c r="J2707">
        <v>2008</v>
      </c>
      <c r="K2707" s="21">
        <v>39688</v>
      </c>
      <c r="L2707">
        <v>2008</v>
      </c>
      <c r="M2707" s="21">
        <v>39923</v>
      </c>
      <c r="N2707">
        <v>2009</v>
      </c>
      <c r="R2707" s="262">
        <v>225000</v>
      </c>
      <c r="S2707" t="s">
        <v>114</v>
      </c>
      <c r="T2707" t="s">
        <v>114</v>
      </c>
      <c r="U2707">
        <v>8</v>
      </c>
      <c r="W2707">
        <v>2727</v>
      </c>
      <c r="X2707">
        <v>1</v>
      </c>
      <c r="Y2707">
        <v>0</v>
      </c>
      <c r="Z2707">
        <v>0</v>
      </c>
      <c r="AA2707">
        <v>0</v>
      </c>
      <c r="AB2707">
        <v>0</v>
      </c>
      <c r="AC2707">
        <v>1727</v>
      </c>
      <c r="AD2707">
        <v>0</v>
      </c>
      <c r="AE2707">
        <v>0</v>
      </c>
      <c r="AF2707">
        <v>1000</v>
      </c>
      <c r="AG2707">
        <v>0</v>
      </c>
      <c r="AH2707">
        <v>0</v>
      </c>
      <c r="AI2707">
        <v>0</v>
      </c>
      <c r="AJ2707">
        <v>0</v>
      </c>
      <c r="AK2707">
        <v>0</v>
      </c>
      <c r="AL2707">
        <v>0</v>
      </c>
      <c r="AM2707">
        <v>0</v>
      </c>
      <c r="AN2707">
        <v>0</v>
      </c>
      <c r="AO2707">
        <v>0</v>
      </c>
      <c r="AP2707">
        <v>0</v>
      </c>
      <c r="AQ2707">
        <v>0</v>
      </c>
      <c r="AR2707">
        <v>1</v>
      </c>
      <c r="AS2707">
        <v>0</v>
      </c>
      <c r="AT2707">
        <v>0</v>
      </c>
      <c r="AU2707">
        <f t="shared" si="82"/>
        <v>0</v>
      </c>
      <c r="AV2707">
        <f t="shared" si="83"/>
        <v>0</v>
      </c>
    </row>
    <row r="2708" spans="1:48" x14ac:dyDescent="0.25">
      <c r="A2708" t="s">
        <v>9193</v>
      </c>
      <c r="C2708" t="s">
        <v>9194</v>
      </c>
      <c r="D2708" t="s">
        <v>9195</v>
      </c>
      <c r="E2708" t="s">
        <v>2310</v>
      </c>
      <c r="F2708">
        <v>9</v>
      </c>
      <c r="G2708">
        <v>9.3000000000000007</v>
      </c>
      <c r="H2708" t="s">
        <v>2323</v>
      </c>
      <c r="I2708" s="21">
        <v>39646</v>
      </c>
      <c r="J2708">
        <v>2008</v>
      </c>
      <c r="K2708" s="21">
        <v>39714</v>
      </c>
      <c r="L2708">
        <v>2008</v>
      </c>
      <c r="M2708" s="21">
        <v>40119.475069444401</v>
      </c>
      <c r="N2708">
        <v>2009</v>
      </c>
      <c r="R2708" s="262">
        <v>1500000</v>
      </c>
      <c r="S2708" t="s">
        <v>114</v>
      </c>
      <c r="T2708" t="s">
        <v>114</v>
      </c>
      <c r="U2708">
        <v>5</v>
      </c>
      <c r="W2708">
        <v>4758</v>
      </c>
      <c r="X2708">
        <v>1</v>
      </c>
      <c r="Y2708">
        <v>0</v>
      </c>
      <c r="Z2708">
        <v>0</v>
      </c>
      <c r="AA2708">
        <v>0</v>
      </c>
      <c r="AB2708">
        <v>0</v>
      </c>
      <c r="AC2708">
        <v>4758</v>
      </c>
      <c r="AD2708">
        <v>0</v>
      </c>
      <c r="AE2708">
        <v>0</v>
      </c>
      <c r="AF2708">
        <v>0</v>
      </c>
      <c r="AG2708">
        <v>0</v>
      </c>
      <c r="AH2708">
        <v>0</v>
      </c>
      <c r="AI2708">
        <v>0</v>
      </c>
      <c r="AJ2708">
        <v>0</v>
      </c>
      <c r="AK2708">
        <v>0</v>
      </c>
      <c r="AL2708">
        <v>0</v>
      </c>
      <c r="AM2708">
        <v>0</v>
      </c>
      <c r="AN2708">
        <v>0</v>
      </c>
      <c r="AO2708">
        <v>1</v>
      </c>
      <c r="AP2708">
        <v>0</v>
      </c>
      <c r="AQ2708">
        <v>0</v>
      </c>
      <c r="AR2708">
        <v>0</v>
      </c>
      <c r="AS2708">
        <v>0</v>
      </c>
      <c r="AT2708">
        <v>0</v>
      </c>
      <c r="AU2708">
        <f t="shared" si="82"/>
        <v>1</v>
      </c>
      <c r="AV2708">
        <f t="shared" si="83"/>
        <v>0</v>
      </c>
    </row>
    <row r="2709" spans="1:48" x14ac:dyDescent="0.25">
      <c r="A2709" t="s">
        <v>9196</v>
      </c>
      <c r="C2709" t="s">
        <v>9197</v>
      </c>
      <c r="D2709" t="s">
        <v>9198</v>
      </c>
      <c r="E2709" t="s">
        <v>2310</v>
      </c>
      <c r="F2709">
        <v>12</v>
      </c>
      <c r="G2709">
        <v>12.3</v>
      </c>
      <c r="H2709" t="s">
        <v>2017</v>
      </c>
      <c r="I2709" s="21">
        <v>39646</v>
      </c>
      <c r="J2709">
        <v>2008</v>
      </c>
      <c r="K2709" s="21">
        <v>39685</v>
      </c>
      <c r="L2709">
        <v>2008</v>
      </c>
      <c r="M2709" s="21">
        <v>40325.448912036998</v>
      </c>
      <c r="N2709">
        <v>2010</v>
      </c>
      <c r="R2709" s="262">
        <v>68000</v>
      </c>
      <c r="S2709" t="s">
        <v>114</v>
      </c>
      <c r="T2709" t="s">
        <v>114</v>
      </c>
      <c r="U2709">
        <v>5</v>
      </c>
      <c r="W2709">
        <v>0</v>
      </c>
      <c r="X2709">
        <v>0</v>
      </c>
      <c r="Y2709">
        <v>0</v>
      </c>
      <c r="Z2709">
        <v>0</v>
      </c>
      <c r="AA2709">
        <v>0</v>
      </c>
      <c r="AB2709">
        <v>0</v>
      </c>
      <c r="AC2709">
        <v>0</v>
      </c>
      <c r="AD2709">
        <v>0</v>
      </c>
      <c r="AE2709">
        <v>0</v>
      </c>
      <c r="AF2709">
        <v>0</v>
      </c>
      <c r="AG2709">
        <v>0</v>
      </c>
      <c r="AH2709">
        <v>0</v>
      </c>
      <c r="AI2709">
        <v>0</v>
      </c>
      <c r="AJ2709">
        <v>0</v>
      </c>
      <c r="AK2709">
        <v>0</v>
      </c>
      <c r="AL2709">
        <v>0</v>
      </c>
      <c r="AM2709">
        <v>0</v>
      </c>
      <c r="AN2709">
        <v>0</v>
      </c>
      <c r="AO2709">
        <v>0</v>
      </c>
      <c r="AP2709">
        <v>0</v>
      </c>
      <c r="AQ2709">
        <v>0</v>
      </c>
      <c r="AR2709">
        <v>0</v>
      </c>
      <c r="AS2709">
        <v>0</v>
      </c>
      <c r="AT2709">
        <v>0</v>
      </c>
      <c r="AU2709">
        <f t="shared" si="82"/>
        <v>0</v>
      </c>
      <c r="AV2709">
        <f t="shared" si="83"/>
        <v>0</v>
      </c>
    </row>
    <row r="2710" spans="1:48" x14ac:dyDescent="0.25">
      <c r="A2710" t="s">
        <v>9199</v>
      </c>
      <c r="C2710" t="s">
        <v>7672</v>
      </c>
      <c r="D2710" t="s">
        <v>9198</v>
      </c>
      <c r="E2710" t="s">
        <v>2310</v>
      </c>
      <c r="F2710">
        <v>12</v>
      </c>
      <c r="G2710">
        <v>12.3</v>
      </c>
      <c r="H2710" t="s">
        <v>2017</v>
      </c>
      <c r="I2710" s="21">
        <v>39646</v>
      </c>
      <c r="J2710">
        <v>2008</v>
      </c>
      <c r="K2710" s="21">
        <v>39685</v>
      </c>
      <c r="L2710">
        <v>2008</v>
      </c>
      <c r="M2710" s="21">
        <v>40325.451087963003</v>
      </c>
      <c r="N2710">
        <v>2010</v>
      </c>
      <c r="R2710" s="262">
        <v>150000</v>
      </c>
      <c r="S2710" t="s">
        <v>114</v>
      </c>
      <c r="T2710" t="s">
        <v>114</v>
      </c>
      <c r="U2710">
        <v>8</v>
      </c>
      <c r="W2710">
        <v>1404</v>
      </c>
      <c r="X2710">
        <v>1</v>
      </c>
      <c r="Y2710">
        <v>0</v>
      </c>
      <c r="Z2710">
        <v>0</v>
      </c>
      <c r="AA2710">
        <v>0</v>
      </c>
      <c r="AB2710">
        <v>0</v>
      </c>
      <c r="AC2710">
        <v>732</v>
      </c>
      <c r="AD2710">
        <v>0</v>
      </c>
      <c r="AE2710">
        <v>0</v>
      </c>
      <c r="AF2710">
        <v>672</v>
      </c>
      <c r="AG2710">
        <v>0</v>
      </c>
      <c r="AH2710">
        <v>0</v>
      </c>
      <c r="AI2710">
        <v>0</v>
      </c>
      <c r="AJ2710">
        <v>0</v>
      </c>
      <c r="AK2710">
        <v>0</v>
      </c>
      <c r="AL2710">
        <v>0</v>
      </c>
      <c r="AM2710">
        <v>0</v>
      </c>
      <c r="AN2710">
        <v>0</v>
      </c>
      <c r="AO2710">
        <v>0</v>
      </c>
      <c r="AP2710">
        <v>0</v>
      </c>
      <c r="AQ2710">
        <v>0</v>
      </c>
      <c r="AR2710">
        <v>1</v>
      </c>
      <c r="AS2710">
        <v>0</v>
      </c>
      <c r="AT2710">
        <v>0</v>
      </c>
      <c r="AU2710">
        <f t="shared" si="82"/>
        <v>0</v>
      </c>
      <c r="AV2710">
        <f t="shared" si="83"/>
        <v>0</v>
      </c>
    </row>
    <row r="2711" spans="1:48" x14ac:dyDescent="0.25">
      <c r="A2711" t="s">
        <v>9206</v>
      </c>
      <c r="C2711" t="s">
        <v>9207</v>
      </c>
      <c r="D2711" t="s">
        <v>2336</v>
      </c>
      <c r="E2711" t="s">
        <v>1663</v>
      </c>
      <c r="F2711">
        <v>5</v>
      </c>
      <c r="G2711">
        <v>5.4</v>
      </c>
      <c r="H2711" t="s">
        <v>2017</v>
      </c>
      <c r="I2711" s="21">
        <v>39647</v>
      </c>
      <c r="J2711">
        <v>2008</v>
      </c>
      <c r="K2711" s="21">
        <v>39678</v>
      </c>
      <c r="L2711">
        <v>2008</v>
      </c>
      <c r="M2711" s="21">
        <v>39831</v>
      </c>
      <c r="N2711">
        <v>2009</v>
      </c>
      <c r="Q2711" s="262">
        <v>0</v>
      </c>
      <c r="S2711" t="s">
        <v>114</v>
      </c>
      <c r="T2711" t="s">
        <v>114</v>
      </c>
      <c r="W2711">
        <v>0</v>
      </c>
      <c r="X2711">
        <v>0</v>
      </c>
      <c r="Y2711">
        <v>0</v>
      </c>
      <c r="Z2711">
        <v>0</v>
      </c>
      <c r="AA2711">
        <v>0</v>
      </c>
      <c r="AB2711">
        <v>0</v>
      </c>
      <c r="AC2711">
        <v>0</v>
      </c>
      <c r="AD2711">
        <v>0</v>
      </c>
      <c r="AE2711">
        <v>0</v>
      </c>
      <c r="AF2711">
        <v>0</v>
      </c>
      <c r="AG2711">
        <v>0</v>
      </c>
      <c r="AH2711">
        <v>0</v>
      </c>
      <c r="AI2711">
        <v>0</v>
      </c>
      <c r="AJ2711">
        <v>0</v>
      </c>
      <c r="AK2711">
        <v>0</v>
      </c>
      <c r="AL2711">
        <v>0</v>
      </c>
      <c r="AM2711">
        <v>0</v>
      </c>
      <c r="AN2711">
        <v>0</v>
      </c>
      <c r="AO2711">
        <v>0</v>
      </c>
      <c r="AP2711">
        <v>0</v>
      </c>
      <c r="AQ2711">
        <v>0</v>
      </c>
      <c r="AR2711">
        <v>0</v>
      </c>
      <c r="AS2711">
        <v>0</v>
      </c>
      <c r="AT2711">
        <v>0</v>
      </c>
      <c r="AU2711">
        <f t="shared" si="82"/>
        <v>0</v>
      </c>
      <c r="AV2711">
        <f t="shared" si="83"/>
        <v>0</v>
      </c>
    </row>
    <row r="2712" spans="1:48" x14ac:dyDescent="0.25">
      <c r="A2712" t="s">
        <v>9200</v>
      </c>
      <c r="C2712" t="s">
        <v>9201</v>
      </c>
      <c r="D2712" t="s">
        <v>9202</v>
      </c>
      <c r="E2712" t="s">
        <v>1663</v>
      </c>
      <c r="F2712">
        <v>4</v>
      </c>
      <c r="G2712">
        <v>4.0999999999999996</v>
      </c>
      <c r="H2712" t="s">
        <v>2327</v>
      </c>
      <c r="I2712" s="21">
        <v>39647</v>
      </c>
      <c r="J2712">
        <v>2008</v>
      </c>
      <c r="K2712" s="21">
        <v>39678</v>
      </c>
      <c r="L2712">
        <v>2008</v>
      </c>
      <c r="M2712" s="21">
        <v>39831</v>
      </c>
      <c r="N2712">
        <v>2009</v>
      </c>
      <c r="Q2712" s="262">
        <v>450000</v>
      </c>
      <c r="S2712" t="s">
        <v>114</v>
      </c>
      <c r="T2712" t="s">
        <v>114</v>
      </c>
      <c r="W2712">
        <v>844</v>
      </c>
      <c r="X2712">
        <v>0</v>
      </c>
      <c r="Y2712">
        <v>0</v>
      </c>
      <c r="Z2712">
        <v>0</v>
      </c>
      <c r="AA2712">
        <v>0</v>
      </c>
      <c r="AB2712">
        <v>0</v>
      </c>
      <c r="AC2712">
        <v>0</v>
      </c>
      <c r="AD2712">
        <v>0</v>
      </c>
      <c r="AE2712">
        <v>0</v>
      </c>
      <c r="AF2712">
        <v>0</v>
      </c>
      <c r="AG2712">
        <v>0</v>
      </c>
      <c r="AH2712">
        <v>0</v>
      </c>
      <c r="AI2712">
        <v>0</v>
      </c>
      <c r="AJ2712">
        <v>844</v>
      </c>
      <c r="AK2712">
        <v>0</v>
      </c>
      <c r="AL2712">
        <v>0</v>
      </c>
      <c r="AM2712">
        <v>0</v>
      </c>
      <c r="AN2712">
        <v>0</v>
      </c>
      <c r="AO2712">
        <v>0</v>
      </c>
      <c r="AP2712">
        <v>0</v>
      </c>
      <c r="AQ2712">
        <v>0</v>
      </c>
      <c r="AR2712">
        <v>0</v>
      </c>
      <c r="AS2712">
        <v>0</v>
      </c>
      <c r="AT2712">
        <v>0</v>
      </c>
      <c r="AU2712">
        <f t="shared" si="82"/>
        <v>0</v>
      </c>
      <c r="AV2712">
        <f t="shared" si="83"/>
        <v>844</v>
      </c>
    </row>
    <row r="2713" spans="1:48" x14ac:dyDescent="0.25">
      <c r="A2713" t="s">
        <v>9208</v>
      </c>
      <c r="C2713" t="s">
        <v>9209</v>
      </c>
      <c r="D2713" t="s">
        <v>9210</v>
      </c>
      <c r="E2713" t="s">
        <v>1663</v>
      </c>
      <c r="F2713">
        <v>3</v>
      </c>
      <c r="G2713">
        <v>3.2</v>
      </c>
      <c r="H2713" t="s">
        <v>2327</v>
      </c>
      <c r="I2713" s="21">
        <v>39647</v>
      </c>
      <c r="J2713">
        <v>2008</v>
      </c>
      <c r="K2713" s="21">
        <v>39678</v>
      </c>
      <c r="L2713">
        <v>2008</v>
      </c>
      <c r="M2713" s="21">
        <v>39831</v>
      </c>
      <c r="N2713">
        <v>2009</v>
      </c>
      <c r="Q2713" s="262">
        <v>0</v>
      </c>
      <c r="S2713" t="s">
        <v>114</v>
      </c>
      <c r="T2713" t="s">
        <v>114</v>
      </c>
      <c r="W2713">
        <v>0</v>
      </c>
      <c r="X2713">
        <v>0</v>
      </c>
      <c r="Y2713">
        <v>0</v>
      </c>
      <c r="Z2713">
        <v>0</v>
      </c>
      <c r="AA2713">
        <v>0</v>
      </c>
      <c r="AB2713">
        <v>0</v>
      </c>
      <c r="AC2713">
        <v>0</v>
      </c>
      <c r="AD2713">
        <v>0</v>
      </c>
      <c r="AE2713">
        <v>0</v>
      </c>
      <c r="AF2713">
        <v>0</v>
      </c>
      <c r="AG2713">
        <v>0</v>
      </c>
      <c r="AH2713">
        <v>0</v>
      </c>
      <c r="AI2713">
        <v>0</v>
      </c>
      <c r="AJ2713">
        <v>0</v>
      </c>
      <c r="AK2713">
        <v>0</v>
      </c>
      <c r="AL2713">
        <v>0</v>
      </c>
      <c r="AM2713">
        <v>0</v>
      </c>
      <c r="AN2713">
        <v>0</v>
      </c>
      <c r="AO2713">
        <v>0</v>
      </c>
      <c r="AP2713">
        <v>0</v>
      </c>
      <c r="AQ2713">
        <v>0</v>
      </c>
      <c r="AR2713">
        <v>0</v>
      </c>
      <c r="AS2713">
        <v>0</v>
      </c>
      <c r="AT2713">
        <v>0</v>
      </c>
      <c r="AU2713">
        <f t="shared" ref="AU2713:AU2776" si="84">SUM(AN2713:AQ2713,AS2713)</f>
        <v>0</v>
      </c>
      <c r="AV2713">
        <f t="shared" ref="AV2713:AV2776" si="85">SUM(Y2713:AB2713,AH2713:AM2713)</f>
        <v>0</v>
      </c>
    </row>
    <row r="2714" spans="1:48" x14ac:dyDescent="0.25">
      <c r="A2714" t="s">
        <v>9203</v>
      </c>
      <c r="C2714" t="s">
        <v>9204</v>
      </c>
      <c r="D2714" t="s">
        <v>9205</v>
      </c>
      <c r="E2714" t="s">
        <v>1663</v>
      </c>
      <c r="F2714">
        <v>2</v>
      </c>
      <c r="G2714">
        <v>2.2999999999999998</v>
      </c>
      <c r="H2714" t="s">
        <v>2327</v>
      </c>
      <c r="I2714" s="21">
        <v>39647</v>
      </c>
      <c r="J2714">
        <v>2008</v>
      </c>
      <c r="K2714" s="21">
        <v>39678</v>
      </c>
      <c r="L2714">
        <v>2008</v>
      </c>
      <c r="M2714" s="21">
        <v>39831</v>
      </c>
      <c r="N2714">
        <v>2009</v>
      </c>
      <c r="Q2714" s="262">
        <v>0</v>
      </c>
      <c r="S2714" t="s">
        <v>114</v>
      </c>
      <c r="T2714" t="s">
        <v>114</v>
      </c>
      <c r="W2714">
        <v>0</v>
      </c>
      <c r="X2714">
        <v>0</v>
      </c>
      <c r="Y2714">
        <v>0</v>
      </c>
      <c r="Z2714">
        <v>0</v>
      </c>
      <c r="AA2714">
        <v>0</v>
      </c>
      <c r="AB2714">
        <v>0</v>
      </c>
      <c r="AC2714">
        <v>0</v>
      </c>
      <c r="AD2714">
        <v>0</v>
      </c>
      <c r="AE2714">
        <v>0</v>
      </c>
      <c r="AF2714">
        <v>0</v>
      </c>
      <c r="AG2714">
        <v>0</v>
      </c>
      <c r="AH2714">
        <v>0</v>
      </c>
      <c r="AI2714">
        <v>0</v>
      </c>
      <c r="AJ2714">
        <v>0</v>
      </c>
      <c r="AK2714">
        <v>0</v>
      </c>
      <c r="AL2714">
        <v>0</v>
      </c>
      <c r="AM2714">
        <v>0</v>
      </c>
      <c r="AN2714">
        <v>0</v>
      </c>
      <c r="AO2714">
        <v>0</v>
      </c>
      <c r="AP2714">
        <v>0</v>
      </c>
      <c r="AQ2714">
        <v>0</v>
      </c>
      <c r="AR2714">
        <v>0</v>
      </c>
      <c r="AS2714">
        <v>0</v>
      </c>
      <c r="AT2714">
        <v>0</v>
      </c>
      <c r="AU2714">
        <f t="shared" si="84"/>
        <v>0</v>
      </c>
      <c r="AV2714">
        <f t="shared" si="85"/>
        <v>0</v>
      </c>
    </row>
    <row r="2715" spans="1:48" x14ac:dyDescent="0.25">
      <c r="A2715" t="s">
        <v>9211</v>
      </c>
      <c r="C2715" t="s">
        <v>9212</v>
      </c>
      <c r="D2715" t="s">
        <v>9213</v>
      </c>
      <c r="E2715" t="s">
        <v>2310</v>
      </c>
      <c r="F2715">
        <v>8</v>
      </c>
      <c r="G2715">
        <v>8.1999999999999993</v>
      </c>
      <c r="H2715" t="s">
        <v>2022</v>
      </c>
      <c r="I2715" s="21">
        <v>39650</v>
      </c>
      <c r="J2715">
        <v>2008</v>
      </c>
      <c r="K2715" s="21">
        <v>39708</v>
      </c>
      <c r="L2715">
        <v>2008</v>
      </c>
      <c r="M2715" s="21">
        <v>40490.615949074097</v>
      </c>
      <c r="N2715">
        <v>2010</v>
      </c>
      <c r="R2715" s="262">
        <v>200000</v>
      </c>
      <c r="S2715" t="s">
        <v>114</v>
      </c>
      <c r="T2715" t="s">
        <v>114</v>
      </c>
      <c r="U2715">
        <v>5</v>
      </c>
      <c r="W2715">
        <v>0</v>
      </c>
      <c r="X2715">
        <v>0</v>
      </c>
      <c r="Y2715">
        <v>0</v>
      </c>
      <c r="Z2715">
        <v>0</v>
      </c>
      <c r="AA2715">
        <v>0</v>
      </c>
      <c r="AB2715">
        <v>0</v>
      </c>
      <c r="AC2715">
        <v>0</v>
      </c>
      <c r="AD2715">
        <v>0</v>
      </c>
      <c r="AE2715">
        <v>0</v>
      </c>
      <c r="AF2715">
        <v>0</v>
      </c>
      <c r="AG2715">
        <v>0</v>
      </c>
      <c r="AH2715">
        <v>0</v>
      </c>
      <c r="AI2715">
        <v>0</v>
      </c>
      <c r="AJ2715">
        <v>0</v>
      </c>
      <c r="AK2715">
        <v>0</v>
      </c>
      <c r="AL2715">
        <v>0</v>
      </c>
      <c r="AM2715">
        <v>0</v>
      </c>
      <c r="AN2715">
        <v>0</v>
      </c>
      <c r="AO2715">
        <v>0</v>
      </c>
      <c r="AP2715">
        <v>0</v>
      </c>
      <c r="AQ2715">
        <v>0</v>
      </c>
      <c r="AR2715">
        <v>0</v>
      </c>
      <c r="AS2715">
        <v>0</v>
      </c>
      <c r="AT2715">
        <v>0</v>
      </c>
      <c r="AU2715">
        <f t="shared" si="84"/>
        <v>0</v>
      </c>
      <c r="AV2715">
        <f t="shared" si="85"/>
        <v>0</v>
      </c>
    </row>
    <row r="2716" spans="1:48" x14ac:dyDescent="0.25">
      <c r="A2716" t="s">
        <v>9214</v>
      </c>
      <c r="C2716" t="s">
        <v>9215</v>
      </c>
      <c r="D2716" t="s">
        <v>9216</v>
      </c>
      <c r="E2716" t="s">
        <v>2310</v>
      </c>
      <c r="F2716">
        <v>10</v>
      </c>
      <c r="G2716">
        <v>10.1</v>
      </c>
      <c r="H2716" t="s">
        <v>2323</v>
      </c>
      <c r="I2716" s="21">
        <v>39650</v>
      </c>
      <c r="J2716">
        <v>2008</v>
      </c>
      <c r="K2716" s="21">
        <v>39685</v>
      </c>
      <c r="L2716">
        <v>2008</v>
      </c>
      <c r="M2716" s="21">
        <v>40444.4596296296</v>
      </c>
      <c r="N2716">
        <v>2010</v>
      </c>
      <c r="R2716" s="262">
        <v>58000</v>
      </c>
      <c r="S2716" t="s">
        <v>114</v>
      </c>
      <c r="T2716" t="s">
        <v>114</v>
      </c>
      <c r="U2716">
        <v>5</v>
      </c>
      <c r="W2716">
        <v>584</v>
      </c>
      <c r="X2716">
        <v>0</v>
      </c>
      <c r="Y2716">
        <v>0</v>
      </c>
      <c r="Z2716">
        <v>0</v>
      </c>
      <c r="AA2716">
        <v>0</v>
      </c>
      <c r="AB2716">
        <v>0</v>
      </c>
      <c r="AC2716">
        <v>584</v>
      </c>
      <c r="AD2716">
        <v>0</v>
      </c>
      <c r="AE2716">
        <v>0</v>
      </c>
      <c r="AF2716">
        <v>0</v>
      </c>
      <c r="AG2716">
        <v>0</v>
      </c>
      <c r="AH2716">
        <v>0</v>
      </c>
      <c r="AI2716">
        <v>0</v>
      </c>
      <c r="AJ2716">
        <v>0</v>
      </c>
      <c r="AK2716">
        <v>0</v>
      </c>
      <c r="AL2716">
        <v>0</v>
      </c>
      <c r="AM2716">
        <v>0</v>
      </c>
      <c r="AN2716">
        <v>0</v>
      </c>
      <c r="AO2716">
        <v>0</v>
      </c>
      <c r="AP2716">
        <v>0</v>
      </c>
      <c r="AQ2716">
        <v>0</v>
      </c>
      <c r="AR2716">
        <v>0</v>
      </c>
      <c r="AS2716">
        <v>0</v>
      </c>
      <c r="AT2716">
        <v>0</v>
      </c>
      <c r="AU2716">
        <f t="shared" si="84"/>
        <v>0</v>
      </c>
      <c r="AV2716">
        <f t="shared" si="85"/>
        <v>0</v>
      </c>
    </row>
    <row r="2717" spans="1:48" x14ac:dyDescent="0.25">
      <c r="A2717" t="s">
        <v>9217</v>
      </c>
      <c r="C2717" t="s">
        <v>9218</v>
      </c>
      <c r="D2717" t="s">
        <v>9219</v>
      </c>
      <c r="E2717" t="s">
        <v>1663</v>
      </c>
      <c r="F2717">
        <v>6</v>
      </c>
      <c r="G2717">
        <v>6.1</v>
      </c>
      <c r="H2717" t="s">
        <v>2017</v>
      </c>
      <c r="I2717" s="21">
        <v>39651</v>
      </c>
      <c r="J2717">
        <v>2008</v>
      </c>
      <c r="K2717" s="21">
        <v>39682</v>
      </c>
      <c r="L2717">
        <v>2008</v>
      </c>
      <c r="M2717" s="21">
        <v>39835</v>
      </c>
      <c r="N2717">
        <v>2009</v>
      </c>
      <c r="Q2717" s="262">
        <v>118000</v>
      </c>
      <c r="S2717" t="s">
        <v>114</v>
      </c>
      <c r="T2717" t="s">
        <v>114</v>
      </c>
      <c r="W2717">
        <v>258</v>
      </c>
      <c r="X2717">
        <v>0</v>
      </c>
      <c r="Y2717">
        <v>0</v>
      </c>
      <c r="Z2717">
        <v>0</v>
      </c>
      <c r="AA2717">
        <v>0</v>
      </c>
      <c r="AB2717">
        <v>0</v>
      </c>
      <c r="AC2717">
        <v>258</v>
      </c>
      <c r="AD2717">
        <v>0</v>
      </c>
      <c r="AE2717">
        <v>0</v>
      </c>
      <c r="AF2717">
        <v>0</v>
      </c>
      <c r="AG2717">
        <v>0</v>
      </c>
      <c r="AH2717">
        <v>0</v>
      </c>
      <c r="AI2717">
        <v>0</v>
      </c>
      <c r="AJ2717">
        <v>0</v>
      </c>
      <c r="AK2717">
        <v>0</v>
      </c>
      <c r="AL2717">
        <v>0</v>
      </c>
      <c r="AM2717">
        <v>0</v>
      </c>
      <c r="AN2717">
        <v>0</v>
      </c>
      <c r="AO2717">
        <v>0</v>
      </c>
      <c r="AP2717">
        <v>0</v>
      </c>
      <c r="AQ2717">
        <v>0</v>
      </c>
      <c r="AR2717">
        <v>0</v>
      </c>
      <c r="AS2717">
        <v>0</v>
      </c>
      <c r="AT2717">
        <v>0</v>
      </c>
      <c r="AU2717">
        <f t="shared" si="84"/>
        <v>0</v>
      </c>
      <c r="AV2717">
        <f t="shared" si="85"/>
        <v>0</v>
      </c>
    </row>
    <row r="2718" spans="1:48" x14ac:dyDescent="0.25">
      <c r="A2718" t="s">
        <v>9220</v>
      </c>
      <c r="C2718" t="s">
        <v>9221</v>
      </c>
      <c r="D2718" t="s">
        <v>9222</v>
      </c>
      <c r="E2718" t="s">
        <v>2310</v>
      </c>
      <c r="F2718">
        <v>12</v>
      </c>
      <c r="G2718">
        <v>12.3</v>
      </c>
      <c r="H2718" t="s">
        <v>2017</v>
      </c>
      <c r="I2718" s="21">
        <v>39651</v>
      </c>
      <c r="J2718">
        <v>2008</v>
      </c>
      <c r="K2718" s="21">
        <v>39694</v>
      </c>
      <c r="L2718">
        <v>2008</v>
      </c>
      <c r="M2718" s="21">
        <v>39834</v>
      </c>
      <c r="N2718">
        <v>2009</v>
      </c>
      <c r="R2718" s="262">
        <v>40000</v>
      </c>
      <c r="S2718" t="s">
        <v>114</v>
      </c>
      <c r="T2718" t="s">
        <v>114</v>
      </c>
      <c r="U2718">
        <v>5</v>
      </c>
      <c r="W2718">
        <v>116</v>
      </c>
      <c r="X2718">
        <v>0</v>
      </c>
      <c r="Y2718">
        <v>0</v>
      </c>
      <c r="Z2718">
        <v>0</v>
      </c>
      <c r="AA2718">
        <v>0</v>
      </c>
      <c r="AB2718">
        <v>0</v>
      </c>
      <c r="AC2718">
        <v>116</v>
      </c>
      <c r="AD2718">
        <v>0</v>
      </c>
      <c r="AE2718">
        <v>0</v>
      </c>
      <c r="AF2718">
        <v>0</v>
      </c>
      <c r="AG2718">
        <v>0</v>
      </c>
      <c r="AH2718">
        <v>0</v>
      </c>
      <c r="AI2718">
        <v>0</v>
      </c>
      <c r="AJ2718">
        <v>0</v>
      </c>
      <c r="AK2718">
        <v>0</v>
      </c>
      <c r="AL2718">
        <v>0</v>
      </c>
      <c r="AM2718">
        <v>0</v>
      </c>
      <c r="AN2718">
        <v>0</v>
      </c>
      <c r="AO2718">
        <v>0</v>
      </c>
      <c r="AP2718">
        <v>0</v>
      </c>
      <c r="AQ2718">
        <v>0</v>
      </c>
      <c r="AR2718">
        <v>0</v>
      </c>
      <c r="AS2718">
        <v>0</v>
      </c>
      <c r="AT2718">
        <v>0</v>
      </c>
      <c r="AU2718">
        <f t="shared" si="84"/>
        <v>0</v>
      </c>
      <c r="AV2718">
        <f t="shared" si="85"/>
        <v>0</v>
      </c>
    </row>
    <row r="2719" spans="1:48" x14ac:dyDescent="0.25">
      <c r="A2719" t="s">
        <v>9223</v>
      </c>
      <c r="C2719" t="s">
        <v>9224</v>
      </c>
      <c r="D2719" t="s">
        <v>9225</v>
      </c>
      <c r="E2719" t="s">
        <v>2310</v>
      </c>
      <c r="F2719">
        <v>9</v>
      </c>
      <c r="G2719">
        <v>9.1999999999999993</v>
      </c>
      <c r="H2719" t="s">
        <v>2022</v>
      </c>
      <c r="I2719" s="21">
        <v>39651</v>
      </c>
      <c r="J2719">
        <v>2008</v>
      </c>
      <c r="K2719" s="21">
        <v>39688</v>
      </c>
      <c r="L2719">
        <v>2008</v>
      </c>
      <c r="M2719" s="21">
        <v>39804</v>
      </c>
      <c r="N2719">
        <v>2008</v>
      </c>
      <c r="R2719" s="262">
        <v>170000</v>
      </c>
      <c r="S2719" t="s">
        <v>114</v>
      </c>
      <c r="T2719" t="s">
        <v>114</v>
      </c>
      <c r="U2719">
        <v>5</v>
      </c>
      <c r="W2719">
        <v>1320</v>
      </c>
      <c r="X2719">
        <v>1</v>
      </c>
      <c r="Y2719">
        <v>0</v>
      </c>
      <c r="Z2719">
        <v>0</v>
      </c>
      <c r="AA2719">
        <v>0</v>
      </c>
      <c r="AB2719">
        <v>0</v>
      </c>
      <c r="AC2719">
        <v>1320</v>
      </c>
      <c r="AD2719">
        <v>0</v>
      </c>
      <c r="AE2719">
        <v>0</v>
      </c>
      <c r="AF2719">
        <v>0</v>
      </c>
      <c r="AG2719">
        <v>0</v>
      </c>
      <c r="AH2719">
        <v>0</v>
      </c>
      <c r="AI2719">
        <v>0</v>
      </c>
      <c r="AJ2719">
        <v>0</v>
      </c>
      <c r="AK2719">
        <v>0</v>
      </c>
      <c r="AL2719">
        <v>0</v>
      </c>
      <c r="AM2719">
        <v>0</v>
      </c>
      <c r="AN2719">
        <v>0</v>
      </c>
      <c r="AO2719">
        <v>1</v>
      </c>
      <c r="AP2719">
        <v>0</v>
      </c>
      <c r="AQ2719">
        <v>0</v>
      </c>
      <c r="AR2719">
        <v>0</v>
      </c>
      <c r="AS2719">
        <v>0</v>
      </c>
      <c r="AT2719">
        <v>0</v>
      </c>
      <c r="AU2719">
        <f t="shared" si="84"/>
        <v>1</v>
      </c>
      <c r="AV2719">
        <f t="shared" si="85"/>
        <v>0</v>
      </c>
    </row>
    <row r="2720" spans="1:48" x14ac:dyDescent="0.25">
      <c r="A2720" t="s">
        <v>9226</v>
      </c>
      <c r="C2720" t="s">
        <v>9227</v>
      </c>
      <c r="D2720" t="s">
        <v>9228</v>
      </c>
      <c r="E2720" t="s">
        <v>2310</v>
      </c>
      <c r="F2720">
        <v>15</v>
      </c>
      <c r="G2720">
        <v>15.2</v>
      </c>
      <c r="H2720" t="s">
        <v>2323</v>
      </c>
      <c r="I2720" s="21">
        <v>39657</v>
      </c>
      <c r="J2720">
        <v>2008</v>
      </c>
      <c r="K2720" s="21">
        <v>39730</v>
      </c>
      <c r="L2720">
        <v>2008</v>
      </c>
      <c r="M2720" s="21">
        <v>39730</v>
      </c>
      <c r="N2720">
        <v>2008</v>
      </c>
      <c r="R2720" s="262">
        <v>300000</v>
      </c>
      <c r="S2720" t="s">
        <v>114</v>
      </c>
      <c r="T2720" t="s">
        <v>114</v>
      </c>
      <c r="U2720">
        <v>5</v>
      </c>
      <c r="W2720">
        <v>3262</v>
      </c>
      <c r="X2720">
        <v>0</v>
      </c>
      <c r="Y2720">
        <v>0</v>
      </c>
      <c r="Z2720">
        <v>0</v>
      </c>
      <c r="AA2720">
        <v>0</v>
      </c>
      <c r="AB2720">
        <v>0</v>
      </c>
      <c r="AC2720">
        <v>3262</v>
      </c>
      <c r="AD2720">
        <v>0</v>
      </c>
      <c r="AE2720">
        <v>0</v>
      </c>
      <c r="AF2720">
        <v>0</v>
      </c>
      <c r="AG2720">
        <v>0</v>
      </c>
      <c r="AH2720">
        <v>0</v>
      </c>
      <c r="AI2720">
        <v>0</v>
      </c>
      <c r="AJ2720">
        <v>0</v>
      </c>
      <c r="AK2720">
        <v>0</v>
      </c>
      <c r="AL2720">
        <v>0</v>
      </c>
      <c r="AM2720">
        <v>0</v>
      </c>
      <c r="AN2720">
        <v>0</v>
      </c>
      <c r="AO2720">
        <v>0</v>
      </c>
      <c r="AP2720">
        <v>0</v>
      </c>
      <c r="AQ2720">
        <v>0</v>
      </c>
      <c r="AR2720">
        <v>0</v>
      </c>
      <c r="AS2720">
        <v>0</v>
      </c>
      <c r="AT2720">
        <v>0</v>
      </c>
      <c r="AU2720">
        <f t="shared" si="84"/>
        <v>0</v>
      </c>
      <c r="AV2720">
        <f t="shared" si="85"/>
        <v>0</v>
      </c>
    </row>
    <row r="2721" spans="1:48" x14ac:dyDescent="0.25">
      <c r="A2721" t="s">
        <v>9229</v>
      </c>
      <c r="C2721" t="s">
        <v>9230</v>
      </c>
      <c r="D2721" t="s">
        <v>1881</v>
      </c>
      <c r="E2721" t="s">
        <v>2310</v>
      </c>
      <c r="F2721">
        <v>14</v>
      </c>
      <c r="G2721">
        <v>14.3</v>
      </c>
      <c r="H2721" t="s">
        <v>2327</v>
      </c>
      <c r="I2721" s="21">
        <v>39657</v>
      </c>
      <c r="J2721">
        <v>2008</v>
      </c>
      <c r="K2721" s="21">
        <v>39708</v>
      </c>
      <c r="L2721">
        <v>2008</v>
      </c>
      <c r="M2721" s="21">
        <v>40193.472291666701</v>
      </c>
      <c r="N2721">
        <v>2010</v>
      </c>
      <c r="R2721" s="262">
        <v>70000</v>
      </c>
      <c r="S2721" t="s">
        <v>114</v>
      </c>
      <c r="T2721" t="s">
        <v>114</v>
      </c>
      <c r="U2721">
        <v>11</v>
      </c>
      <c r="W2721">
        <v>0</v>
      </c>
      <c r="X2721">
        <v>0</v>
      </c>
      <c r="Y2721">
        <v>0</v>
      </c>
      <c r="Z2721">
        <v>0</v>
      </c>
      <c r="AA2721">
        <v>0</v>
      </c>
      <c r="AB2721">
        <v>0</v>
      </c>
      <c r="AC2721">
        <v>0</v>
      </c>
      <c r="AD2721">
        <v>0</v>
      </c>
      <c r="AE2721">
        <v>0</v>
      </c>
      <c r="AF2721">
        <v>0</v>
      </c>
      <c r="AG2721">
        <v>0</v>
      </c>
      <c r="AH2721">
        <v>0</v>
      </c>
      <c r="AI2721">
        <v>0</v>
      </c>
      <c r="AJ2721">
        <v>0</v>
      </c>
      <c r="AK2721">
        <v>0</v>
      </c>
      <c r="AL2721">
        <v>0</v>
      </c>
      <c r="AM2721">
        <v>0</v>
      </c>
      <c r="AN2721">
        <v>0</v>
      </c>
      <c r="AO2721">
        <v>0</v>
      </c>
      <c r="AP2721">
        <v>0</v>
      </c>
      <c r="AQ2721">
        <v>0</v>
      </c>
      <c r="AR2721">
        <v>0</v>
      </c>
      <c r="AS2721">
        <v>0</v>
      </c>
      <c r="AT2721">
        <v>0</v>
      </c>
      <c r="AU2721">
        <f t="shared" si="84"/>
        <v>0</v>
      </c>
      <c r="AV2721">
        <f t="shared" si="85"/>
        <v>0</v>
      </c>
    </row>
    <row r="2722" spans="1:48" x14ac:dyDescent="0.25">
      <c r="A2722" t="s">
        <v>9231</v>
      </c>
      <c r="C2722" t="s">
        <v>9232</v>
      </c>
      <c r="D2722" t="s">
        <v>9233</v>
      </c>
      <c r="E2722" t="s">
        <v>2310</v>
      </c>
      <c r="F2722">
        <v>12</v>
      </c>
      <c r="G2722">
        <v>12.3</v>
      </c>
      <c r="H2722" t="s">
        <v>2017</v>
      </c>
      <c r="I2722" s="21">
        <v>39664</v>
      </c>
      <c r="J2722">
        <v>2008</v>
      </c>
      <c r="K2722" s="21">
        <v>39685</v>
      </c>
      <c r="L2722">
        <v>2008</v>
      </c>
      <c r="M2722" s="21">
        <v>40002.6875</v>
      </c>
      <c r="N2722">
        <v>2009</v>
      </c>
      <c r="R2722" s="262">
        <v>50000</v>
      </c>
      <c r="S2722" t="s">
        <v>114</v>
      </c>
      <c r="T2722" t="s">
        <v>114</v>
      </c>
      <c r="U2722">
        <v>5</v>
      </c>
      <c r="W2722">
        <v>80</v>
      </c>
      <c r="X2722">
        <v>0</v>
      </c>
      <c r="Y2722">
        <v>0</v>
      </c>
      <c r="Z2722">
        <v>0</v>
      </c>
      <c r="AA2722">
        <v>0</v>
      </c>
      <c r="AB2722">
        <v>0</v>
      </c>
      <c r="AC2722">
        <v>80</v>
      </c>
      <c r="AD2722">
        <v>0</v>
      </c>
      <c r="AE2722">
        <v>0</v>
      </c>
      <c r="AF2722">
        <v>0</v>
      </c>
      <c r="AG2722">
        <v>0</v>
      </c>
      <c r="AH2722">
        <v>0</v>
      </c>
      <c r="AI2722">
        <v>0</v>
      </c>
      <c r="AJ2722">
        <v>0</v>
      </c>
      <c r="AK2722">
        <v>0</v>
      </c>
      <c r="AL2722">
        <v>0</v>
      </c>
      <c r="AM2722">
        <v>0</v>
      </c>
      <c r="AN2722">
        <v>0</v>
      </c>
      <c r="AO2722">
        <v>0</v>
      </c>
      <c r="AP2722">
        <v>0</v>
      </c>
      <c r="AQ2722">
        <v>0</v>
      </c>
      <c r="AR2722">
        <v>0</v>
      </c>
      <c r="AS2722">
        <v>0</v>
      </c>
      <c r="AT2722">
        <v>0</v>
      </c>
      <c r="AU2722">
        <f t="shared" si="84"/>
        <v>0</v>
      </c>
      <c r="AV2722">
        <f t="shared" si="85"/>
        <v>0</v>
      </c>
    </row>
    <row r="2723" spans="1:48" x14ac:dyDescent="0.25">
      <c r="A2723" t="s">
        <v>9234</v>
      </c>
      <c r="C2723" t="s">
        <v>9235</v>
      </c>
      <c r="D2723" t="s">
        <v>9236</v>
      </c>
      <c r="E2723" t="s">
        <v>2310</v>
      </c>
      <c r="F2723">
        <v>9</v>
      </c>
      <c r="G2723">
        <v>9.1</v>
      </c>
      <c r="H2723" t="s">
        <v>2323</v>
      </c>
      <c r="I2723" s="21">
        <v>39664</v>
      </c>
      <c r="J2723">
        <v>2008</v>
      </c>
      <c r="K2723" s="21">
        <v>39730</v>
      </c>
      <c r="L2723">
        <v>2008</v>
      </c>
      <c r="M2723" s="21">
        <v>40148.643842592603</v>
      </c>
      <c r="N2723">
        <v>2009</v>
      </c>
      <c r="R2723" s="262">
        <v>900000</v>
      </c>
      <c r="S2723" t="s">
        <v>114</v>
      </c>
      <c r="T2723" t="s">
        <v>114</v>
      </c>
      <c r="U2723">
        <v>5</v>
      </c>
      <c r="W2723">
        <v>4826</v>
      </c>
      <c r="X2723">
        <v>1</v>
      </c>
      <c r="Y2723">
        <v>0</v>
      </c>
      <c r="Z2723">
        <v>0</v>
      </c>
      <c r="AA2723">
        <v>0</v>
      </c>
      <c r="AB2723">
        <v>0</v>
      </c>
      <c r="AC2723">
        <v>4826</v>
      </c>
      <c r="AD2723">
        <v>0</v>
      </c>
      <c r="AE2723">
        <v>0</v>
      </c>
      <c r="AF2723">
        <v>0</v>
      </c>
      <c r="AG2723">
        <v>0</v>
      </c>
      <c r="AH2723">
        <v>0</v>
      </c>
      <c r="AI2723">
        <v>0</v>
      </c>
      <c r="AJ2723">
        <v>0</v>
      </c>
      <c r="AK2723">
        <v>0</v>
      </c>
      <c r="AL2723">
        <v>0</v>
      </c>
      <c r="AM2723">
        <v>0</v>
      </c>
      <c r="AN2723">
        <v>0</v>
      </c>
      <c r="AO2723">
        <v>1</v>
      </c>
      <c r="AP2723">
        <v>0</v>
      </c>
      <c r="AQ2723">
        <v>0</v>
      </c>
      <c r="AR2723">
        <v>0</v>
      </c>
      <c r="AS2723">
        <v>0</v>
      </c>
      <c r="AT2723">
        <v>0</v>
      </c>
      <c r="AU2723">
        <f t="shared" si="84"/>
        <v>1</v>
      </c>
      <c r="AV2723">
        <f t="shared" si="85"/>
        <v>0</v>
      </c>
    </row>
    <row r="2724" spans="1:48" x14ac:dyDescent="0.25">
      <c r="A2724" t="s">
        <v>9237</v>
      </c>
      <c r="C2724" t="s">
        <v>9238</v>
      </c>
      <c r="D2724" t="s">
        <v>8343</v>
      </c>
      <c r="E2724" t="s">
        <v>2310</v>
      </c>
      <c r="F2724">
        <v>14</v>
      </c>
      <c r="G2724">
        <v>14.1</v>
      </c>
      <c r="H2724" t="s">
        <v>2022</v>
      </c>
      <c r="I2724" s="21">
        <v>39665</v>
      </c>
      <c r="J2724">
        <v>2008</v>
      </c>
      <c r="K2724" s="21">
        <v>39767</v>
      </c>
      <c r="L2724">
        <v>2008</v>
      </c>
      <c r="M2724" s="21">
        <v>40211.567893518499</v>
      </c>
      <c r="N2724">
        <v>2010</v>
      </c>
      <c r="S2724" t="s">
        <v>114</v>
      </c>
      <c r="T2724" t="s">
        <v>114</v>
      </c>
      <c r="U2724">
        <v>5</v>
      </c>
      <c r="W2724">
        <v>-647</v>
      </c>
      <c r="X2724">
        <v>0</v>
      </c>
      <c r="Y2724">
        <v>0</v>
      </c>
      <c r="Z2724">
        <v>0</v>
      </c>
      <c r="AA2724">
        <v>0</v>
      </c>
      <c r="AB2724">
        <v>0</v>
      </c>
      <c r="AC2724">
        <v>-647</v>
      </c>
      <c r="AD2724">
        <v>0</v>
      </c>
      <c r="AE2724">
        <v>0</v>
      </c>
      <c r="AF2724">
        <v>0</v>
      </c>
      <c r="AG2724">
        <v>0</v>
      </c>
      <c r="AH2724">
        <v>0</v>
      </c>
      <c r="AI2724">
        <v>0</v>
      </c>
      <c r="AJ2724">
        <v>0</v>
      </c>
      <c r="AK2724">
        <v>0</v>
      </c>
      <c r="AL2724">
        <v>0</v>
      </c>
      <c r="AM2724">
        <v>0</v>
      </c>
      <c r="AN2724">
        <v>0</v>
      </c>
      <c r="AO2724">
        <v>0</v>
      </c>
      <c r="AP2724">
        <v>0</v>
      </c>
      <c r="AQ2724">
        <v>0</v>
      </c>
      <c r="AR2724">
        <v>0</v>
      </c>
      <c r="AS2724">
        <v>0</v>
      </c>
      <c r="AT2724">
        <v>0</v>
      </c>
      <c r="AU2724">
        <f t="shared" si="84"/>
        <v>0</v>
      </c>
      <c r="AV2724">
        <f t="shared" si="85"/>
        <v>0</v>
      </c>
    </row>
    <row r="2725" spans="1:48" x14ac:dyDescent="0.25">
      <c r="A2725" t="s">
        <v>9239</v>
      </c>
      <c r="C2725" t="s">
        <v>9240</v>
      </c>
      <c r="D2725" t="s">
        <v>9241</v>
      </c>
      <c r="E2725" t="s">
        <v>2310</v>
      </c>
      <c r="F2725">
        <v>10</v>
      </c>
      <c r="G2725">
        <v>10.1</v>
      </c>
      <c r="H2725" t="s">
        <v>2323</v>
      </c>
      <c r="I2725" s="21">
        <v>39665</v>
      </c>
      <c r="J2725">
        <v>2008</v>
      </c>
      <c r="K2725" s="21">
        <v>39713</v>
      </c>
      <c r="L2725">
        <v>2008</v>
      </c>
      <c r="M2725" s="21">
        <v>40389.403043981503</v>
      </c>
      <c r="N2725">
        <v>2010</v>
      </c>
      <c r="R2725" s="262">
        <v>70000</v>
      </c>
      <c r="S2725" t="s">
        <v>114</v>
      </c>
      <c r="T2725" t="s">
        <v>114</v>
      </c>
      <c r="U2725">
        <v>5</v>
      </c>
      <c r="W2725">
        <v>322</v>
      </c>
      <c r="X2725">
        <v>0</v>
      </c>
      <c r="Y2725">
        <v>0</v>
      </c>
      <c r="Z2725">
        <v>0</v>
      </c>
      <c r="AA2725">
        <v>0</v>
      </c>
      <c r="AB2725">
        <v>0</v>
      </c>
      <c r="AC2725">
        <v>322</v>
      </c>
      <c r="AD2725">
        <v>0</v>
      </c>
      <c r="AE2725">
        <v>0</v>
      </c>
      <c r="AF2725">
        <v>0</v>
      </c>
      <c r="AG2725">
        <v>0</v>
      </c>
      <c r="AH2725">
        <v>0</v>
      </c>
      <c r="AI2725">
        <v>0</v>
      </c>
      <c r="AJ2725">
        <v>0</v>
      </c>
      <c r="AK2725">
        <v>0</v>
      </c>
      <c r="AL2725">
        <v>0</v>
      </c>
      <c r="AM2725">
        <v>0</v>
      </c>
      <c r="AN2725">
        <v>0</v>
      </c>
      <c r="AO2725">
        <v>0</v>
      </c>
      <c r="AP2725">
        <v>0</v>
      </c>
      <c r="AQ2725">
        <v>0</v>
      </c>
      <c r="AR2725">
        <v>0</v>
      </c>
      <c r="AS2725">
        <v>0</v>
      </c>
      <c r="AT2725">
        <v>0</v>
      </c>
      <c r="AU2725">
        <f t="shared" si="84"/>
        <v>0</v>
      </c>
      <c r="AV2725">
        <f t="shared" si="85"/>
        <v>0</v>
      </c>
    </row>
    <row r="2726" spans="1:48" x14ac:dyDescent="0.25">
      <c r="A2726" t="s">
        <v>9242</v>
      </c>
      <c r="C2726" t="s">
        <v>9243</v>
      </c>
      <c r="D2726" t="s">
        <v>9244</v>
      </c>
      <c r="E2726" t="s">
        <v>2310</v>
      </c>
      <c r="F2726">
        <v>11</v>
      </c>
      <c r="G2726">
        <v>11.2</v>
      </c>
      <c r="H2726" t="s">
        <v>2017</v>
      </c>
      <c r="I2726" s="21">
        <v>39666</v>
      </c>
      <c r="J2726">
        <v>2008</v>
      </c>
      <c r="K2726" s="21">
        <v>39727</v>
      </c>
      <c r="L2726">
        <v>2008</v>
      </c>
      <c r="M2726" s="21">
        <v>40002.698981481502</v>
      </c>
      <c r="N2726">
        <v>2009</v>
      </c>
      <c r="R2726" s="262">
        <v>112000</v>
      </c>
      <c r="S2726" t="s">
        <v>114</v>
      </c>
      <c r="T2726" t="s">
        <v>114</v>
      </c>
      <c r="U2726">
        <v>5</v>
      </c>
      <c r="W2726">
        <v>249</v>
      </c>
      <c r="X2726">
        <v>0</v>
      </c>
      <c r="Y2726">
        <v>0</v>
      </c>
      <c r="Z2726">
        <v>0</v>
      </c>
      <c r="AA2726">
        <v>0</v>
      </c>
      <c r="AB2726">
        <v>0</v>
      </c>
      <c r="AC2726">
        <v>249</v>
      </c>
      <c r="AD2726">
        <v>0</v>
      </c>
      <c r="AE2726">
        <v>0</v>
      </c>
      <c r="AF2726">
        <v>0</v>
      </c>
      <c r="AG2726">
        <v>0</v>
      </c>
      <c r="AH2726">
        <v>0</v>
      </c>
      <c r="AI2726">
        <v>0</v>
      </c>
      <c r="AJ2726">
        <v>0</v>
      </c>
      <c r="AK2726">
        <v>0</v>
      </c>
      <c r="AL2726">
        <v>0</v>
      </c>
      <c r="AM2726">
        <v>0</v>
      </c>
      <c r="AN2726">
        <v>0</v>
      </c>
      <c r="AO2726">
        <v>0</v>
      </c>
      <c r="AP2726">
        <v>0</v>
      </c>
      <c r="AQ2726">
        <v>0</v>
      </c>
      <c r="AR2726">
        <v>0</v>
      </c>
      <c r="AS2726">
        <v>0</v>
      </c>
      <c r="AT2726">
        <v>0</v>
      </c>
      <c r="AU2726">
        <f t="shared" si="84"/>
        <v>0</v>
      </c>
      <c r="AV2726">
        <f t="shared" si="85"/>
        <v>0</v>
      </c>
    </row>
    <row r="2727" spans="1:48" x14ac:dyDescent="0.25">
      <c r="A2727" t="s">
        <v>9245</v>
      </c>
      <c r="C2727" t="s">
        <v>9246</v>
      </c>
      <c r="D2727" t="s">
        <v>3713</v>
      </c>
      <c r="E2727" t="s">
        <v>2310</v>
      </c>
      <c r="F2727">
        <v>8</v>
      </c>
      <c r="G2727">
        <v>8.1999999999999993</v>
      </c>
      <c r="H2727" t="s">
        <v>2022</v>
      </c>
      <c r="I2727" s="21">
        <v>39667</v>
      </c>
      <c r="J2727">
        <v>2008</v>
      </c>
      <c r="K2727" s="21">
        <v>39727</v>
      </c>
      <c r="L2727">
        <v>2008</v>
      </c>
      <c r="M2727" s="21">
        <v>40666.398067129601</v>
      </c>
      <c r="N2727">
        <v>2011</v>
      </c>
      <c r="R2727" s="262">
        <v>300000</v>
      </c>
      <c r="S2727" t="s">
        <v>114</v>
      </c>
      <c r="T2727" t="s">
        <v>114</v>
      </c>
      <c r="U2727">
        <v>5</v>
      </c>
      <c r="W2727">
        <v>637</v>
      </c>
      <c r="X2727">
        <v>0</v>
      </c>
      <c r="Y2727">
        <v>0</v>
      </c>
      <c r="Z2727">
        <v>0</v>
      </c>
      <c r="AA2727">
        <v>0</v>
      </c>
      <c r="AB2727">
        <v>0</v>
      </c>
      <c r="AC2727">
        <v>637</v>
      </c>
      <c r="AD2727">
        <v>0</v>
      </c>
      <c r="AE2727">
        <v>0</v>
      </c>
      <c r="AF2727">
        <v>0</v>
      </c>
      <c r="AG2727">
        <v>0</v>
      </c>
      <c r="AH2727">
        <v>0</v>
      </c>
      <c r="AI2727">
        <v>0</v>
      </c>
      <c r="AJ2727">
        <v>0</v>
      </c>
      <c r="AK2727">
        <v>0</v>
      </c>
      <c r="AL2727">
        <v>0</v>
      </c>
      <c r="AM2727">
        <v>0</v>
      </c>
      <c r="AN2727">
        <v>0</v>
      </c>
      <c r="AO2727">
        <v>0</v>
      </c>
      <c r="AP2727">
        <v>0</v>
      </c>
      <c r="AQ2727">
        <v>0</v>
      </c>
      <c r="AR2727">
        <v>0</v>
      </c>
      <c r="AS2727">
        <v>0</v>
      </c>
      <c r="AT2727">
        <v>0</v>
      </c>
      <c r="AU2727">
        <f t="shared" si="84"/>
        <v>0</v>
      </c>
      <c r="AV2727">
        <f t="shared" si="85"/>
        <v>0</v>
      </c>
    </row>
    <row r="2728" spans="1:48" x14ac:dyDescent="0.25">
      <c r="A2728" t="s">
        <v>9247</v>
      </c>
      <c r="C2728" t="s">
        <v>9248</v>
      </c>
      <c r="D2728" t="s">
        <v>9249</v>
      </c>
      <c r="E2728" t="s">
        <v>2310</v>
      </c>
      <c r="F2728">
        <v>10</v>
      </c>
      <c r="G2728">
        <v>10.1</v>
      </c>
      <c r="H2728" t="s">
        <v>2323</v>
      </c>
      <c r="I2728" s="21">
        <v>39668</v>
      </c>
      <c r="J2728">
        <v>2008</v>
      </c>
      <c r="K2728" s="21">
        <v>39722</v>
      </c>
      <c r="L2728">
        <v>2008</v>
      </c>
      <c r="M2728" s="21">
        <v>39946</v>
      </c>
      <c r="N2728">
        <v>2009</v>
      </c>
      <c r="R2728" s="262">
        <v>448000</v>
      </c>
      <c r="S2728" t="s">
        <v>114</v>
      </c>
      <c r="T2728" t="s">
        <v>114</v>
      </c>
      <c r="U2728">
        <v>5</v>
      </c>
      <c r="W2728">
        <v>3034</v>
      </c>
      <c r="X2728">
        <v>1</v>
      </c>
      <c r="Y2728">
        <v>0</v>
      </c>
      <c r="Z2728">
        <v>0</v>
      </c>
      <c r="AA2728">
        <v>0</v>
      </c>
      <c r="AB2728">
        <v>0</v>
      </c>
      <c r="AC2728">
        <v>3034</v>
      </c>
      <c r="AD2728">
        <v>0</v>
      </c>
      <c r="AE2728">
        <v>0</v>
      </c>
      <c r="AF2728">
        <v>0</v>
      </c>
      <c r="AG2728">
        <v>0</v>
      </c>
      <c r="AH2728">
        <v>0</v>
      </c>
      <c r="AI2728">
        <v>0</v>
      </c>
      <c r="AJ2728">
        <v>0</v>
      </c>
      <c r="AK2728">
        <v>0</v>
      </c>
      <c r="AL2728">
        <v>0</v>
      </c>
      <c r="AM2728">
        <v>0</v>
      </c>
      <c r="AN2728">
        <v>0</v>
      </c>
      <c r="AO2728">
        <v>1</v>
      </c>
      <c r="AP2728">
        <v>0</v>
      </c>
      <c r="AQ2728">
        <v>0</v>
      </c>
      <c r="AR2728">
        <v>0</v>
      </c>
      <c r="AS2728">
        <v>0</v>
      </c>
      <c r="AT2728">
        <v>0</v>
      </c>
      <c r="AU2728">
        <f t="shared" si="84"/>
        <v>1</v>
      </c>
      <c r="AV2728">
        <f t="shared" si="85"/>
        <v>0</v>
      </c>
    </row>
    <row r="2729" spans="1:48" x14ac:dyDescent="0.25">
      <c r="A2729" t="s">
        <v>9250</v>
      </c>
      <c r="C2729" t="s">
        <v>9251</v>
      </c>
      <c r="D2729" t="s">
        <v>8957</v>
      </c>
      <c r="E2729" t="s">
        <v>2310</v>
      </c>
      <c r="F2729">
        <v>8</v>
      </c>
      <c r="G2729">
        <v>8.3000000000000007</v>
      </c>
      <c r="H2729" t="s">
        <v>2323</v>
      </c>
      <c r="I2729" s="21">
        <v>39673</v>
      </c>
      <c r="J2729">
        <v>2008</v>
      </c>
      <c r="K2729" s="21">
        <v>39687</v>
      </c>
      <c r="L2729">
        <v>2008</v>
      </c>
      <c r="M2729" s="21">
        <v>43626.670768286996</v>
      </c>
      <c r="N2729">
        <v>2019</v>
      </c>
      <c r="S2729" t="s">
        <v>114</v>
      </c>
      <c r="T2729" t="s">
        <v>114</v>
      </c>
      <c r="U2729">
        <v>5</v>
      </c>
      <c r="W2729">
        <v>302</v>
      </c>
      <c r="X2729">
        <v>0</v>
      </c>
      <c r="Y2729">
        <v>0</v>
      </c>
      <c r="Z2729">
        <v>0</v>
      </c>
      <c r="AA2729">
        <v>0</v>
      </c>
      <c r="AB2729">
        <v>0</v>
      </c>
      <c r="AC2729">
        <v>302</v>
      </c>
      <c r="AD2729">
        <v>0</v>
      </c>
      <c r="AE2729">
        <v>0</v>
      </c>
      <c r="AF2729">
        <v>0</v>
      </c>
      <c r="AG2729">
        <v>0</v>
      </c>
      <c r="AH2729">
        <v>0</v>
      </c>
      <c r="AI2729">
        <v>0</v>
      </c>
      <c r="AJ2729">
        <v>0</v>
      </c>
      <c r="AK2729">
        <v>0</v>
      </c>
      <c r="AL2729">
        <v>0</v>
      </c>
      <c r="AM2729">
        <v>0</v>
      </c>
      <c r="AN2729">
        <v>0</v>
      </c>
      <c r="AO2729">
        <v>0</v>
      </c>
      <c r="AP2729">
        <v>0</v>
      </c>
      <c r="AQ2729">
        <v>0</v>
      </c>
      <c r="AR2729">
        <v>0</v>
      </c>
      <c r="AS2729">
        <v>0</v>
      </c>
      <c r="AT2729">
        <v>0</v>
      </c>
      <c r="AU2729">
        <f t="shared" si="84"/>
        <v>0</v>
      </c>
      <c r="AV2729">
        <f t="shared" si="85"/>
        <v>0</v>
      </c>
    </row>
    <row r="2730" spans="1:48" x14ac:dyDescent="0.25">
      <c r="A2730" t="s">
        <v>9252</v>
      </c>
      <c r="C2730" t="s">
        <v>9253</v>
      </c>
      <c r="D2730" t="s">
        <v>9254</v>
      </c>
      <c r="E2730" t="s">
        <v>2310</v>
      </c>
      <c r="F2730">
        <v>9</v>
      </c>
      <c r="G2730">
        <v>9.1</v>
      </c>
      <c r="H2730" t="s">
        <v>2323</v>
      </c>
      <c r="I2730" s="21">
        <v>39673</v>
      </c>
      <c r="J2730">
        <v>2008</v>
      </c>
      <c r="K2730" s="21">
        <v>39688</v>
      </c>
      <c r="L2730">
        <v>2008</v>
      </c>
      <c r="M2730" s="21">
        <v>39904</v>
      </c>
      <c r="N2730">
        <v>2009</v>
      </c>
      <c r="R2730" s="262">
        <v>600000</v>
      </c>
      <c r="S2730" t="s">
        <v>114</v>
      </c>
      <c r="T2730" t="s">
        <v>114</v>
      </c>
      <c r="U2730">
        <v>5</v>
      </c>
      <c r="W2730">
        <v>4900</v>
      </c>
      <c r="X2730">
        <v>1</v>
      </c>
      <c r="Y2730">
        <v>0</v>
      </c>
      <c r="Z2730">
        <v>0</v>
      </c>
      <c r="AA2730">
        <v>0</v>
      </c>
      <c r="AB2730">
        <v>0</v>
      </c>
      <c r="AC2730">
        <v>4900</v>
      </c>
      <c r="AD2730">
        <v>0</v>
      </c>
      <c r="AE2730">
        <v>0</v>
      </c>
      <c r="AF2730">
        <v>0</v>
      </c>
      <c r="AG2730">
        <v>0</v>
      </c>
      <c r="AH2730">
        <v>0</v>
      </c>
      <c r="AI2730">
        <v>0</v>
      </c>
      <c r="AJ2730">
        <v>0</v>
      </c>
      <c r="AK2730">
        <v>0</v>
      </c>
      <c r="AL2730">
        <v>0</v>
      </c>
      <c r="AM2730">
        <v>0</v>
      </c>
      <c r="AN2730">
        <v>0</v>
      </c>
      <c r="AO2730">
        <v>1</v>
      </c>
      <c r="AP2730">
        <v>0</v>
      </c>
      <c r="AQ2730">
        <v>0</v>
      </c>
      <c r="AR2730">
        <v>0</v>
      </c>
      <c r="AS2730">
        <v>0</v>
      </c>
      <c r="AT2730">
        <v>0</v>
      </c>
      <c r="AU2730">
        <f t="shared" si="84"/>
        <v>1</v>
      </c>
      <c r="AV2730">
        <f t="shared" si="85"/>
        <v>0</v>
      </c>
    </row>
    <row r="2731" spans="1:48" x14ac:dyDescent="0.25">
      <c r="A2731" t="s">
        <v>9255</v>
      </c>
      <c r="C2731" t="s">
        <v>9256</v>
      </c>
      <c r="D2731" t="s">
        <v>9257</v>
      </c>
      <c r="E2731" t="s">
        <v>2310</v>
      </c>
      <c r="F2731">
        <v>9</v>
      </c>
      <c r="G2731">
        <v>9.1999999999999993</v>
      </c>
      <c r="H2731" t="s">
        <v>2022</v>
      </c>
      <c r="I2731" s="21">
        <v>39673</v>
      </c>
      <c r="J2731">
        <v>2008</v>
      </c>
      <c r="K2731" s="21">
        <v>39731</v>
      </c>
      <c r="L2731">
        <v>2008</v>
      </c>
      <c r="M2731" s="21">
        <v>40547.473611111098</v>
      </c>
      <c r="N2731">
        <v>2011</v>
      </c>
      <c r="R2731" s="262">
        <v>3400000</v>
      </c>
      <c r="S2731" t="s">
        <v>114</v>
      </c>
      <c r="T2731" t="s">
        <v>114</v>
      </c>
      <c r="U2731">
        <v>5</v>
      </c>
      <c r="W2731">
        <v>8219</v>
      </c>
      <c r="X2731">
        <v>1</v>
      </c>
      <c r="Y2731">
        <v>0</v>
      </c>
      <c r="Z2731">
        <v>0</v>
      </c>
      <c r="AA2731">
        <v>0</v>
      </c>
      <c r="AB2731">
        <v>0</v>
      </c>
      <c r="AC2731">
        <v>8219</v>
      </c>
      <c r="AD2731">
        <v>0</v>
      </c>
      <c r="AE2731">
        <v>0</v>
      </c>
      <c r="AF2731">
        <v>0</v>
      </c>
      <c r="AG2731">
        <v>0</v>
      </c>
      <c r="AH2731">
        <v>0</v>
      </c>
      <c r="AI2731">
        <v>0</v>
      </c>
      <c r="AJ2731">
        <v>0</v>
      </c>
      <c r="AK2731">
        <v>0</v>
      </c>
      <c r="AL2731">
        <v>0</v>
      </c>
      <c r="AM2731">
        <v>0</v>
      </c>
      <c r="AN2731">
        <v>0</v>
      </c>
      <c r="AO2731">
        <v>1</v>
      </c>
      <c r="AP2731">
        <v>0</v>
      </c>
      <c r="AQ2731">
        <v>0</v>
      </c>
      <c r="AR2731">
        <v>0</v>
      </c>
      <c r="AS2731">
        <v>0</v>
      </c>
      <c r="AT2731">
        <v>0</v>
      </c>
      <c r="AU2731">
        <f t="shared" si="84"/>
        <v>1</v>
      </c>
      <c r="AV2731">
        <f t="shared" si="85"/>
        <v>0</v>
      </c>
    </row>
    <row r="2732" spans="1:48" x14ac:dyDescent="0.25">
      <c r="A2732" t="s">
        <v>9258</v>
      </c>
      <c r="C2732" t="s">
        <v>9259</v>
      </c>
      <c r="D2732" t="s">
        <v>9257</v>
      </c>
      <c r="E2732" t="s">
        <v>2310</v>
      </c>
      <c r="F2732">
        <v>9</v>
      </c>
      <c r="G2732">
        <v>9.1999999999999993</v>
      </c>
      <c r="H2732" t="s">
        <v>2022</v>
      </c>
      <c r="I2732" s="21">
        <v>39673</v>
      </c>
      <c r="J2732">
        <v>2008</v>
      </c>
      <c r="K2732" s="21">
        <v>39673</v>
      </c>
      <c r="L2732">
        <v>2008</v>
      </c>
      <c r="M2732" s="21">
        <v>40547.478402777801</v>
      </c>
      <c r="N2732">
        <v>2011</v>
      </c>
      <c r="R2732" s="262">
        <v>572000</v>
      </c>
      <c r="S2732" t="s">
        <v>114</v>
      </c>
      <c r="T2732" t="s">
        <v>114</v>
      </c>
      <c r="U2732">
        <v>8</v>
      </c>
      <c r="W2732">
        <v>2004</v>
      </c>
      <c r="X2732">
        <v>1</v>
      </c>
      <c r="Y2732">
        <v>0</v>
      </c>
      <c r="Z2732">
        <v>0</v>
      </c>
      <c r="AA2732">
        <v>0</v>
      </c>
      <c r="AB2732">
        <v>0</v>
      </c>
      <c r="AC2732">
        <v>1054</v>
      </c>
      <c r="AD2732">
        <v>0</v>
      </c>
      <c r="AE2732">
        <v>0</v>
      </c>
      <c r="AF2732">
        <v>950</v>
      </c>
      <c r="AG2732">
        <v>0</v>
      </c>
      <c r="AH2732">
        <v>0</v>
      </c>
      <c r="AI2732">
        <v>0</v>
      </c>
      <c r="AJ2732">
        <v>0</v>
      </c>
      <c r="AK2732">
        <v>0</v>
      </c>
      <c r="AL2732">
        <v>0</v>
      </c>
      <c r="AM2732">
        <v>0</v>
      </c>
      <c r="AN2732">
        <v>0</v>
      </c>
      <c r="AO2732">
        <v>0</v>
      </c>
      <c r="AP2732">
        <v>0</v>
      </c>
      <c r="AQ2732">
        <v>0</v>
      </c>
      <c r="AR2732">
        <v>1</v>
      </c>
      <c r="AS2732">
        <v>0</v>
      </c>
      <c r="AT2732">
        <v>0</v>
      </c>
      <c r="AU2732">
        <f t="shared" si="84"/>
        <v>0</v>
      </c>
      <c r="AV2732">
        <f t="shared" si="85"/>
        <v>0</v>
      </c>
    </row>
    <row r="2733" spans="1:48" x14ac:dyDescent="0.25">
      <c r="A2733" t="s">
        <v>9260</v>
      </c>
      <c r="C2733" t="s">
        <v>9261</v>
      </c>
      <c r="D2733" t="s">
        <v>9262</v>
      </c>
      <c r="E2733" t="s">
        <v>2310</v>
      </c>
      <c r="F2733">
        <v>10</v>
      </c>
      <c r="G2733">
        <v>10.1</v>
      </c>
      <c r="H2733" t="s">
        <v>2323</v>
      </c>
      <c r="I2733" s="21">
        <v>39678</v>
      </c>
      <c r="J2733">
        <v>2008</v>
      </c>
      <c r="K2733" s="21">
        <v>39720</v>
      </c>
      <c r="L2733">
        <v>2008</v>
      </c>
      <c r="M2733" s="21">
        <v>39720</v>
      </c>
      <c r="N2733">
        <v>2008</v>
      </c>
      <c r="R2733" s="262">
        <v>100000</v>
      </c>
      <c r="S2733" t="s">
        <v>114</v>
      </c>
      <c r="T2733" t="s">
        <v>114</v>
      </c>
      <c r="U2733">
        <v>5</v>
      </c>
      <c r="W2733">
        <v>547</v>
      </c>
      <c r="X2733">
        <v>0</v>
      </c>
      <c r="Y2733">
        <v>0</v>
      </c>
      <c r="Z2733">
        <v>0</v>
      </c>
      <c r="AA2733">
        <v>0</v>
      </c>
      <c r="AB2733">
        <v>0</v>
      </c>
      <c r="AC2733">
        <v>547</v>
      </c>
      <c r="AD2733">
        <v>0</v>
      </c>
      <c r="AE2733">
        <v>0</v>
      </c>
      <c r="AF2733">
        <v>0</v>
      </c>
      <c r="AG2733">
        <v>0</v>
      </c>
      <c r="AH2733">
        <v>0</v>
      </c>
      <c r="AI2733">
        <v>0</v>
      </c>
      <c r="AJ2733">
        <v>0</v>
      </c>
      <c r="AK2733">
        <v>0</v>
      </c>
      <c r="AL2733">
        <v>0</v>
      </c>
      <c r="AM2733">
        <v>0</v>
      </c>
      <c r="AN2733">
        <v>0</v>
      </c>
      <c r="AO2733">
        <v>0</v>
      </c>
      <c r="AP2733">
        <v>0</v>
      </c>
      <c r="AQ2733">
        <v>0</v>
      </c>
      <c r="AR2733">
        <v>0</v>
      </c>
      <c r="AS2733">
        <v>0</v>
      </c>
      <c r="AT2733">
        <v>0</v>
      </c>
      <c r="AU2733">
        <f t="shared" si="84"/>
        <v>0</v>
      </c>
      <c r="AV2733">
        <f t="shared" si="85"/>
        <v>0</v>
      </c>
    </row>
    <row r="2734" spans="1:48" x14ac:dyDescent="0.25">
      <c r="A2734" t="s">
        <v>9263</v>
      </c>
      <c r="C2734" t="s">
        <v>9264</v>
      </c>
      <c r="D2734" t="s">
        <v>4423</v>
      </c>
      <c r="E2734" t="s">
        <v>2310</v>
      </c>
      <c r="F2734">
        <v>8</v>
      </c>
      <c r="G2734">
        <v>8.1999999999999993</v>
      </c>
      <c r="H2734" t="s">
        <v>2022</v>
      </c>
      <c r="I2734" s="21">
        <v>39679</v>
      </c>
      <c r="J2734">
        <v>2008</v>
      </c>
      <c r="K2734" s="21">
        <v>39679</v>
      </c>
      <c r="L2734">
        <v>2008</v>
      </c>
      <c r="M2734" s="21">
        <v>40373.468680555598</v>
      </c>
      <c r="N2734">
        <v>2010</v>
      </c>
      <c r="R2734" s="262">
        <v>900000</v>
      </c>
      <c r="S2734" t="s">
        <v>114</v>
      </c>
      <c r="T2734" t="s">
        <v>114</v>
      </c>
      <c r="U2734">
        <v>5</v>
      </c>
      <c r="W2734">
        <v>3277</v>
      </c>
      <c r="X2734">
        <v>1</v>
      </c>
      <c r="Y2734">
        <v>0</v>
      </c>
      <c r="Z2734">
        <v>0</v>
      </c>
      <c r="AA2734">
        <v>0</v>
      </c>
      <c r="AB2734">
        <v>0</v>
      </c>
      <c r="AC2734">
        <v>3277</v>
      </c>
      <c r="AD2734">
        <v>0</v>
      </c>
      <c r="AE2734">
        <v>0</v>
      </c>
      <c r="AF2734">
        <v>0</v>
      </c>
      <c r="AG2734">
        <v>0</v>
      </c>
      <c r="AH2734">
        <v>0</v>
      </c>
      <c r="AI2734">
        <v>0</v>
      </c>
      <c r="AJ2734">
        <v>0</v>
      </c>
      <c r="AK2734">
        <v>0</v>
      </c>
      <c r="AL2734">
        <v>0</v>
      </c>
      <c r="AM2734">
        <v>0</v>
      </c>
      <c r="AN2734">
        <v>0</v>
      </c>
      <c r="AO2734">
        <v>1</v>
      </c>
      <c r="AP2734">
        <v>0</v>
      </c>
      <c r="AQ2734">
        <v>0</v>
      </c>
      <c r="AR2734">
        <v>0</v>
      </c>
      <c r="AS2734">
        <v>0</v>
      </c>
      <c r="AT2734">
        <v>0</v>
      </c>
      <c r="AU2734">
        <f t="shared" si="84"/>
        <v>1</v>
      </c>
      <c r="AV2734">
        <f t="shared" si="85"/>
        <v>0</v>
      </c>
    </row>
    <row r="2735" spans="1:48" x14ac:dyDescent="0.25">
      <c r="A2735" t="s">
        <v>9265</v>
      </c>
      <c r="C2735" t="s">
        <v>9266</v>
      </c>
      <c r="D2735" t="s">
        <v>9267</v>
      </c>
      <c r="E2735" t="s">
        <v>2310</v>
      </c>
      <c r="F2735">
        <v>9</v>
      </c>
      <c r="G2735">
        <v>9.1999999999999993</v>
      </c>
      <c r="H2735" t="s">
        <v>2022</v>
      </c>
      <c r="I2735" s="21">
        <v>39680</v>
      </c>
      <c r="J2735">
        <v>2008</v>
      </c>
      <c r="K2735" s="21">
        <v>39731</v>
      </c>
      <c r="L2735">
        <v>2008</v>
      </c>
      <c r="M2735" s="21">
        <v>40261.404872685198</v>
      </c>
      <c r="N2735">
        <v>2010</v>
      </c>
      <c r="R2735" s="262">
        <v>300000</v>
      </c>
      <c r="S2735" t="s">
        <v>114</v>
      </c>
      <c r="T2735" t="s">
        <v>114</v>
      </c>
      <c r="U2735">
        <v>5</v>
      </c>
      <c r="W2735">
        <v>0</v>
      </c>
      <c r="X2735">
        <v>0</v>
      </c>
      <c r="Y2735">
        <v>0</v>
      </c>
      <c r="Z2735">
        <v>0</v>
      </c>
      <c r="AA2735">
        <v>0</v>
      </c>
      <c r="AB2735">
        <v>0</v>
      </c>
      <c r="AC2735">
        <v>0</v>
      </c>
      <c r="AD2735">
        <v>0</v>
      </c>
      <c r="AE2735">
        <v>0</v>
      </c>
      <c r="AF2735">
        <v>0</v>
      </c>
      <c r="AG2735">
        <v>0</v>
      </c>
      <c r="AH2735">
        <v>0</v>
      </c>
      <c r="AI2735">
        <v>0</v>
      </c>
      <c r="AJ2735">
        <v>0</v>
      </c>
      <c r="AK2735">
        <v>0</v>
      </c>
      <c r="AL2735">
        <v>0</v>
      </c>
      <c r="AM2735">
        <v>0</v>
      </c>
      <c r="AN2735">
        <v>0</v>
      </c>
      <c r="AO2735">
        <v>0</v>
      </c>
      <c r="AP2735">
        <v>0</v>
      </c>
      <c r="AQ2735">
        <v>0</v>
      </c>
      <c r="AR2735">
        <v>0</v>
      </c>
      <c r="AS2735">
        <v>0</v>
      </c>
      <c r="AT2735">
        <v>0</v>
      </c>
      <c r="AU2735">
        <f t="shared" si="84"/>
        <v>0</v>
      </c>
      <c r="AV2735">
        <f t="shared" si="85"/>
        <v>0</v>
      </c>
    </row>
    <row r="2736" spans="1:48" x14ac:dyDescent="0.25">
      <c r="A2736" t="s">
        <v>9268</v>
      </c>
      <c r="C2736" t="s">
        <v>9269</v>
      </c>
      <c r="D2736" t="s">
        <v>9270</v>
      </c>
      <c r="E2736" t="s">
        <v>2310</v>
      </c>
      <c r="F2736">
        <v>15</v>
      </c>
      <c r="G2736">
        <v>15.1</v>
      </c>
      <c r="H2736" t="s">
        <v>2022</v>
      </c>
      <c r="I2736" s="21">
        <v>39681</v>
      </c>
      <c r="J2736">
        <v>2008</v>
      </c>
      <c r="K2736" s="21">
        <v>39731</v>
      </c>
      <c r="L2736">
        <v>2008</v>
      </c>
      <c r="M2736" s="21">
        <v>39910</v>
      </c>
      <c r="N2736">
        <v>2009</v>
      </c>
      <c r="R2736" s="262">
        <v>28000</v>
      </c>
      <c r="S2736" t="s">
        <v>114</v>
      </c>
      <c r="T2736" t="s">
        <v>114</v>
      </c>
      <c r="U2736">
        <v>5</v>
      </c>
      <c r="W2736">
        <v>374</v>
      </c>
      <c r="X2736">
        <v>0</v>
      </c>
      <c r="Y2736">
        <v>0</v>
      </c>
      <c r="Z2736">
        <v>0</v>
      </c>
      <c r="AA2736">
        <v>0</v>
      </c>
      <c r="AB2736">
        <v>0</v>
      </c>
      <c r="AC2736">
        <v>374</v>
      </c>
      <c r="AD2736">
        <v>0</v>
      </c>
      <c r="AE2736">
        <v>0</v>
      </c>
      <c r="AF2736">
        <v>0</v>
      </c>
      <c r="AG2736">
        <v>0</v>
      </c>
      <c r="AH2736">
        <v>0</v>
      </c>
      <c r="AI2736">
        <v>0</v>
      </c>
      <c r="AJ2736">
        <v>0</v>
      </c>
      <c r="AK2736">
        <v>0</v>
      </c>
      <c r="AL2736">
        <v>0</v>
      </c>
      <c r="AM2736">
        <v>0</v>
      </c>
      <c r="AN2736">
        <v>0</v>
      </c>
      <c r="AO2736">
        <v>0</v>
      </c>
      <c r="AP2736">
        <v>0</v>
      </c>
      <c r="AQ2736">
        <v>0</v>
      </c>
      <c r="AR2736">
        <v>0</v>
      </c>
      <c r="AS2736">
        <v>0</v>
      </c>
      <c r="AT2736">
        <v>0</v>
      </c>
      <c r="AU2736">
        <f t="shared" si="84"/>
        <v>0</v>
      </c>
      <c r="AV2736">
        <f t="shared" si="85"/>
        <v>0</v>
      </c>
    </row>
    <row r="2737" spans="1:48" x14ac:dyDescent="0.25">
      <c r="A2737" t="s">
        <v>9271</v>
      </c>
      <c r="C2737" t="s">
        <v>9272</v>
      </c>
      <c r="D2737" t="s">
        <v>8530</v>
      </c>
      <c r="E2737" t="s">
        <v>2310</v>
      </c>
      <c r="F2737">
        <v>9</v>
      </c>
      <c r="G2737">
        <v>9.1999999999999993</v>
      </c>
      <c r="H2737" t="s">
        <v>2022</v>
      </c>
      <c r="I2737" s="21">
        <v>39685</v>
      </c>
      <c r="J2737">
        <v>2008</v>
      </c>
      <c r="K2737" s="21">
        <v>39757</v>
      </c>
      <c r="L2737">
        <v>2008</v>
      </c>
      <c r="M2737" s="21">
        <v>40452.630856481497</v>
      </c>
      <c r="N2737">
        <v>2010</v>
      </c>
      <c r="R2737" s="262">
        <v>500000</v>
      </c>
      <c r="S2737" t="s">
        <v>114</v>
      </c>
      <c r="T2737" t="s">
        <v>114</v>
      </c>
      <c r="U2737">
        <v>21</v>
      </c>
      <c r="W2737">
        <v>5028</v>
      </c>
      <c r="X2737">
        <v>1</v>
      </c>
      <c r="Y2737">
        <v>0</v>
      </c>
      <c r="Z2737">
        <v>0</v>
      </c>
      <c r="AA2737">
        <v>0</v>
      </c>
      <c r="AB2737">
        <v>2634</v>
      </c>
      <c r="AC2737">
        <v>0</v>
      </c>
      <c r="AD2737">
        <v>0</v>
      </c>
      <c r="AE2737">
        <v>2394</v>
      </c>
      <c r="AF2737">
        <v>0</v>
      </c>
      <c r="AG2737">
        <v>0</v>
      </c>
      <c r="AH2737">
        <v>0</v>
      </c>
      <c r="AI2737">
        <v>0</v>
      </c>
      <c r="AJ2737">
        <v>0</v>
      </c>
      <c r="AK2737">
        <v>0</v>
      </c>
      <c r="AL2737">
        <v>0</v>
      </c>
      <c r="AM2737">
        <v>0</v>
      </c>
      <c r="AN2737">
        <v>0</v>
      </c>
      <c r="AO2737">
        <v>0</v>
      </c>
      <c r="AP2737">
        <v>0</v>
      </c>
      <c r="AQ2737">
        <v>1</v>
      </c>
      <c r="AR2737">
        <v>0</v>
      </c>
      <c r="AS2737">
        <v>0</v>
      </c>
      <c r="AT2737">
        <v>0</v>
      </c>
      <c r="AU2737">
        <f t="shared" si="84"/>
        <v>1</v>
      </c>
      <c r="AV2737">
        <f t="shared" si="85"/>
        <v>2634</v>
      </c>
    </row>
    <row r="2738" spans="1:48" x14ac:dyDescent="0.25">
      <c r="A2738" t="s">
        <v>9273</v>
      </c>
      <c r="C2738" t="s">
        <v>9274</v>
      </c>
      <c r="D2738" t="s">
        <v>1585</v>
      </c>
      <c r="E2738" t="s">
        <v>2310</v>
      </c>
      <c r="F2738">
        <v>9</v>
      </c>
      <c r="G2738">
        <v>9.1999999999999993</v>
      </c>
      <c r="H2738" t="s">
        <v>2022</v>
      </c>
      <c r="I2738" s="21">
        <v>39685</v>
      </c>
      <c r="J2738">
        <v>2008</v>
      </c>
      <c r="K2738" s="21">
        <v>39745</v>
      </c>
      <c r="L2738">
        <v>2008</v>
      </c>
      <c r="M2738" s="21">
        <v>41040.669594907398</v>
      </c>
      <c r="N2738">
        <v>2012</v>
      </c>
      <c r="R2738" s="262">
        <v>300000</v>
      </c>
      <c r="S2738" t="s">
        <v>114</v>
      </c>
      <c r="T2738" t="s">
        <v>114</v>
      </c>
      <c r="U2738">
        <v>7</v>
      </c>
      <c r="W2738">
        <v>1992</v>
      </c>
      <c r="X2738">
        <v>1</v>
      </c>
      <c r="Y2738">
        <v>0</v>
      </c>
      <c r="Z2738">
        <v>0</v>
      </c>
      <c r="AA2738">
        <v>0</v>
      </c>
      <c r="AB2738">
        <v>0</v>
      </c>
      <c r="AC2738">
        <v>0</v>
      </c>
      <c r="AD2738">
        <v>0</v>
      </c>
      <c r="AE2738">
        <v>1992</v>
      </c>
      <c r="AF2738">
        <v>0</v>
      </c>
      <c r="AG2738">
        <v>0</v>
      </c>
      <c r="AH2738">
        <v>0</v>
      </c>
      <c r="AI2738">
        <v>0</v>
      </c>
      <c r="AJ2738">
        <v>0</v>
      </c>
      <c r="AK2738">
        <v>0</v>
      </c>
      <c r="AL2738">
        <v>0</v>
      </c>
      <c r="AM2738">
        <v>0</v>
      </c>
      <c r="AN2738">
        <v>0</v>
      </c>
      <c r="AO2738">
        <v>0</v>
      </c>
      <c r="AP2738">
        <v>0</v>
      </c>
      <c r="AQ2738">
        <v>1</v>
      </c>
      <c r="AR2738">
        <v>0</v>
      </c>
      <c r="AS2738">
        <v>0</v>
      </c>
      <c r="AT2738">
        <v>0</v>
      </c>
      <c r="AU2738">
        <f t="shared" si="84"/>
        <v>1</v>
      </c>
      <c r="AV2738">
        <f t="shared" si="85"/>
        <v>0</v>
      </c>
    </row>
    <row r="2739" spans="1:48" x14ac:dyDescent="0.25">
      <c r="A2739" t="s">
        <v>9275</v>
      </c>
      <c r="C2739" t="s">
        <v>9276</v>
      </c>
      <c r="D2739" t="s">
        <v>1585</v>
      </c>
      <c r="E2739" t="s">
        <v>2310</v>
      </c>
      <c r="F2739">
        <v>9</v>
      </c>
      <c r="G2739">
        <v>9.1999999999999993</v>
      </c>
      <c r="H2739" t="s">
        <v>2022</v>
      </c>
      <c r="I2739" s="21">
        <v>39685</v>
      </c>
      <c r="J2739">
        <v>2008</v>
      </c>
      <c r="K2739" s="21">
        <v>39749</v>
      </c>
      <c r="L2739">
        <v>2008</v>
      </c>
      <c r="M2739" s="21">
        <v>41040.653518518498</v>
      </c>
      <c r="N2739">
        <v>2012</v>
      </c>
      <c r="R2739" s="262">
        <v>300000</v>
      </c>
      <c r="S2739" t="s">
        <v>114</v>
      </c>
      <c r="T2739" t="s">
        <v>114</v>
      </c>
      <c r="U2739">
        <v>7</v>
      </c>
      <c r="W2739">
        <v>2892</v>
      </c>
      <c r="X2739">
        <v>1</v>
      </c>
      <c r="Y2739">
        <v>0</v>
      </c>
      <c r="Z2739">
        <v>0</v>
      </c>
      <c r="AA2739">
        <v>0</v>
      </c>
      <c r="AB2739">
        <v>0</v>
      </c>
      <c r="AC2739">
        <v>0</v>
      </c>
      <c r="AD2739">
        <v>0</v>
      </c>
      <c r="AE2739">
        <v>2892</v>
      </c>
      <c r="AF2739">
        <v>0</v>
      </c>
      <c r="AG2739">
        <v>0</v>
      </c>
      <c r="AH2739">
        <v>0</v>
      </c>
      <c r="AI2739">
        <v>0</v>
      </c>
      <c r="AJ2739">
        <v>0</v>
      </c>
      <c r="AK2739">
        <v>0</v>
      </c>
      <c r="AL2739">
        <v>0</v>
      </c>
      <c r="AM2739">
        <v>0</v>
      </c>
      <c r="AN2739">
        <v>0</v>
      </c>
      <c r="AO2739">
        <v>0</v>
      </c>
      <c r="AP2739">
        <v>0</v>
      </c>
      <c r="AQ2739">
        <v>1</v>
      </c>
      <c r="AR2739">
        <v>0</v>
      </c>
      <c r="AS2739">
        <v>0</v>
      </c>
      <c r="AT2739">
        <v>0</v>
      </c>
      <c r="AU2739">
        <f t="shared" si="84"/>
        <v>1</v>
      </c>
      <c r="AV2739">
        <f t="shared" si="85"/>
        <v>0</v>
      </c>
    </row>
    <row r="2740" spans="1:48" x14ac:dyDescent="0.25">
      <c r="A2740" t="s">
        <v>9277</v>
      </c>
      <c r="C2740" t="s">
        <v>5963</v>
      </c>
      <c r="D2740" t="s">
        <v>9278</v>
      </c>
      <c r="E2740" t="s">
        <v>1663</v>
      </c>
      <c r="F2740">
        <v>3</v>
      </c>
      <c r="G2740">
        <v>3.1</v>
      </c>
      <c r="H2740" t="s">
        <v>2017</v>
      </c>
      <c r="I2740" s="21">
        <v>39686</v>
      </c>
      <c r="J2740">
        <v>2008</v>
      </c>
      <c r="K2740" s="21">
        <v>39717</v>
      </c>
      <c r="L2740">
        <v>2008</v>
      </c>
      <c r="M2740" s="21">
        <v>39870</v>
      </c>
      <c r="N2740">
        <v>2009</v>
      </c>
      <c r="Q2740" s="262">
        <v>0</v>
      </c>
      <c r="S2740" t="s">
        <v>114</v>
      </c>
      <c r="T2740" t="s">
        <v>114</v>
      </c>
      <c r="W2740">
        <v>3268</v>
      </c>
      <c r="X2740">
        <v>1</v>
      </c>
      <c r="Y2740">
        <v>0</v>
      </c>
      <c r="Z2740">
        <v>0</v>
      </c>
      <c r="AA2740">
        <v>0</v>
      </c>
      <c r="AB2740">
        <v>0</v>
      </c>
      <c r="AC2740">
        <v>3268</v>
      </c>
      <c r="AD2740">
        <v>0</v>
      </c>
      <c r="AE2740">
        <v>0</v>
      </c>
      <c r="AF2740">
        <v>0</v>
      </c>
      <c r="AG2740">
        <v>0</v>
      </c>
      <c r="AH2740">
        <v>0</v>
      </c>
      <c r="AI2740">
        <v>0</v>
      </c>
      <c r="AJ2740">
        <v>0</v>
      </c>
      <c r="AK2740">
        <v>0</v>
      </c>
      <c r="AL2740">
        <v>0</v>
      </c>
      <c r="AM2740">
        <v>0</v>
      </c>
      <c r="AN2740">
        <v>0</v>
      </c>
      <c r="AO2740">
        <v>1</v>
      </c>
      <c r="AP2740">
        <v>0</v>
      </c>
      <c r="AQ2740">
        <v>0</v>
      </c>
      <c r="AR2740">
        <v>0</v>
      </c>
      <c r="AS2740">
        <v>0</v>
      </c>
      <c r="AT2740">
        <v>0</v>
      </c>
      <c r="AU2740">
        <f t="shared" si="84"/>
        <v>1</v>
      </c>
      <c r="AV2740">
        <f t="shared" si="85"/>
        <v>0</v>
      </c>
    </row>
    <row r="2741" spans="1:48" x14ac:dyDescent="0.25">
      <c r="A2741" t="s">
        <v>9279</v>
      </c>
      <c r="C2741" t="s">
        <v>9280</v>
      </c>
      <c r="D2741" t="s">
        <v>9281</v>
      </c>
      <c r="E2741" t="s">
        <v>1663</v>
      </c>
      <c r="F2741">
        <v>6</v>
      </c>
      <c r="G2741">
        <v>6.1</v>
      </c>
      <c r="H2741" t="s">
        <v>2017</v>
      </c>
      <c r="I2741" s="21">
        <v>39688</v>
      </c>
      <c r="J2741">
        <v>2008</v>
      </c>
      <c r="K2741" s="21">
        <v>39719</v>
      </c>
      <c r="L2741">
        <v>2008</v>
      </c>
      <c r="M2741" s="21">
        <v>39872</v>
      </c>
      <c r="N2741">
        <v>2009</v>
      </c>
      <c r="Q2741" s="262">
        <v>0</v>
      </c>
      <c r="S2741" t="s">
        <v>114</v>
      </c>
      <c r="T2741" t="s">
        <v>114</v>
      </c>
      <c r="W2741">
        <v>420</v>
      </c>
      <c r="X2741">
        <v>0</v>
      </c>
      <c r="Y2741">
        <v>0</v>
      </c>
      <c r="Z2741">
        <v>0</v>
      </c>
      <c r="AA2741">
        <v>0</v>
      </c>
      <c r="AB2741">
        <v>0</v>
      </c>
      <c r="AC2741">
        <v>420</v>
      </c>
      <c r="AD2741">
        <v>0</v>
      </c>
      <c r="AE2741">
        <v>0</v>
      </c>
      <c r="AF2741">
        <v>0</v>
      </c>
      <c r="AG2741">
        <v>0</v>
      </c>
      <c r="AH2741">
        <v>0</v>
      </c>
      <c r="AI2741">
        <v>0</v>
      </c>
      <c r="AJ2741">
        <v>0</v>
      </c>
      <c r="AK2741">
        <v>0</v>
      </c>
      <c r="AL2741">
        <v>0</v>
      </c>
      <c r="AM2741">
        <v>0</v>
      </c>
      <c r="AN2741">
        <v>0</v>
      </c>
      <c r="AO2741">
        <v>0</v>
      </c>
      <c r="AP2741">
        <v>0</v>
      </c>
      <c r="AQ2741">
        <v>0</v>
      </c>
      <c r="AR2741">
        <v>0</v>
      </c>
      <c r="AS2741">
        <v>0</v>
      </c>
      <c r="AT2741">
        <v>0</v>
      </c>
      <c r="AU2741">
        <f t="shared" si="84"/>
        <v>0</v>
      </c>
      <c r="AV2741">
        <f t="shared" si="85"/>
        <v>0</v>
      </c>
    </row>
    <row r="2742" spans="1:48" x14ac:dyDescent="0.25">
      <c r="A2742" t="s">
        <v>9282</v>
      </c>
      <c r="C2742" t="s">
        <v>9283</v>
      </c>
      <c r="D2742" t="s">
        <v>9284</v>
      </c>
      <c r="E2742" t="s">
        <v>2310</v>
      </c>
      <c r="F2742">
        <v>10</v>
      </c>
      <c r="G2742">
        <v>10.1</v>
      </c>
      <c r="H2742" t="s">
        <v>2323</v>
      </c>
      <c r="I2742" s="21">
        <v>39688</v>
      </c>
      <c r="J2742">
        <v>2008</v>
      </c>
      <c r="K2742" s="21">
        <v>39734</v>
      </c>
      <c r="L2742">
        <v>2008</v>
      </c>
      <c r="M2742" s="21">
        <v>40309.4355208333</v>
      </c>
      <c r="N2742">
        <v>2010</v>
      </c>
      <c r="R2742" s="262">
        <v>60000</v>
      </c>
      <c r="S2742" t="s">
        <v>114</v>
      </c>
      <c r="T2742" t="s">
        <v>114</v>
      </c>
      <c r="U2742">
        <v>5</v>
      </c>
      <c r="W2742">
        <v>569</v>
      </c>
      <c r="X2742">
        <v>0</v>
      </c>
      <c r="Y2742">
        <v>0</v>
      </c>
      <c r="Z2742">
        <v>0</v>
      </c>
      <c r="AA2742">
        <v>0</v>
      </c>
      <c r="AB2742">
        <v>0</v>
      </c>
      <c r="AC2742">
        <v>569</v>
      </c>
      <c r="AD2742">
        <v>0</v>
      </c>
      <c r="AE2742">
        <v>0</v>
      </c>
      <c r="AF2742">
        <v>0</v>
      </c>
      <c r="AG2742">
        <v>0</v>
      </c>
      <c r="AH2742">
        <v>0</v>
      </c>
      <c r="AI2742">
        <v>0</v>
      </c>
      <c r="AJ2742">
        <v>0</v>
      </c>
      <c r="AK2742">
        <v>0</v>
      </c>
      <c r="AL2742">
        <v>0</v>
      </c>
      <c r="AM2742">
        <v>0</v>
      </c>
      <c r="AN2742">
        <v>0</v>
      </c>
      <c r="AO2742">
        <v>0</v>
      </c>
      <c r="AP2742">
        <v>0</v>
      </c>
      <c r="AQ2742">
        <v>0</v>
      </c>
      <c r="AR2742">
        <v>0</v>
      </c>
      <c r="AS2742">
        <v>0</v>
      </c>
      <c r="AT2742">
        <v>0</v>
      </c>
      <c r="AU2742">
        <f t="shared" si="84"/>
        <v>0</v>
      </c>
      <c r="AV2742">
        <f t="shared" si="85"/>
        <v>0</v>
      </c>
    </row>
    <row r="2743" spans="1:48" x14ac:dyDescent="0.25">
      <c r="A2743" t="s">
        <v>9285</v>
      </c>
      <c r="C2743" t="s">
        <v>9286</v>
      </c>
      <c r="D2743" t="s">
        <v>8150</v>
      </c>
      <c r="E2743" t="s">
        <v>2310</v>
      </c>
      <c r="F2743">
        <v>9</v>
      </c>
      <c r="G2743">
        <v>9.1</v>
      </c>
      <c r="H2743" t="s">
        <v>2323</v>
      </c>
      <c r="I2743" s="21">
        <v>39688</v>
      </c>
      <c r="J2743">
        <v>2008</v>
      </c>
      <c r="K2743" s="21">
        <v>39836</v>
      </c>
      <c r="L2743">
        <v>2009</v>
      </c>
      <c r="M2743" s="21">
        <v>40311.371458333299</v>
      </c>
      <c r="N2743">
        <v>2010</v>
      </c>
      <c r="R2743" s="262">
        <v>3050000</v>
      </c>
      <c r="S2743" t="s">
        <v>114</v>
      </c>
      <c r="T2743" t="s">
        <v>114</v>
      </c>
      <c r="U2743">
        <v>5</v>
      </c>
      <c r="W2743">
        <v>2850</v>
      </c>
      <c r="X2743">
        <v>1</v>
      </c>
      <c r="Y2743">
        <v>0</v>
      </c>
      <c r="Z2743">
        <v>0</v>
      </c>
      <c r="AA2743">
        <v>0</v>
      </c>
      <c r="AB2743">
        <v>0</v>
      </c>
      <c r="AC2743">
        <v>2850</v>
      </c>
      <c r="AD2743">
        <v>0</v>
      </c>
      <c r="AE2743">
        <v>0</v>
      </c>
      <c r="AF2743">
        <v>0</v>
      </c>
      <c r="AG2743">
        <v>0</v>
      </c>
      <c r="AH2743">
        <v>0</v>
      </c>
      <c r="AI2743">
        <v>0</v>
      </c>
      <c r="AJ2743">
        <v>0</v>
      </c>
      <c r="AK2743">
        <v>0</v>
      </c>
      <c r="AL2743">
        <v>0</v>
      </c>
      <c r="AM2743">
        <v>0</v>
      </c>
      <c r="AN2743">
        <v>0</v>
      </c>
      <c r="AO2743">
        <v>1</v>
      </c>
      <c r="AP2743">
        <v>0</v>
      </c>
      <c r="AQ2743">
        <v>0</v>
      </c>
      <c r="AR2743">
        <v>0</v>
      </c>
      <c r="AS2743">
        <v>0</v>
      </c>
      <c r="AT2743">
        <v>0</v>
      </c>
      <c r="AU2743">
        <f t="shared" si="84"/>
        <v>1</v>
      </c>
      <c r="AV2743">
        <f t="shared" si="85"/>
        <v>0</v>
      </c>
    </row>
    <row r="2744" spans="1:48" x14ac:dyDescent="0.25">
      <c r="A2744" t="s">
        <v>9287</v>
      </c>
      <c r="C2744" t="s">
        <v>9288</v>
      </c>
      <c r="D2744" t="s">
        <v>9289</v>
      </c>
      <c r="E2744" t="s">
        <v>2310</v>
      </c>
      <c r="F2744">
        <v>9</v>
      </c>
      <c r="G2744">
        <v>9.3000000000000007</v>
      </c>
      <c r="H2744" t="s">
        <v>2323</v>
      </c>
      <c r="I2744" s="21">
        <v>39694</v>
      </c>
      <c r="J2744">
        <v>2008</v>
      </c>
      <c r="K2744" s="21">
        <v>39734</v>
      </c>
      <c r="L2744">
        <v>2008</v>
      </c>
      <c r="M2744" s="21">
        <v>39734</v>
      </c>
      <c r="N2744">
        <v>2008</v>
      </c>
      <c r="R2744" s="262">
        <v>30000</v>
      </c>
      <c r="S2744" t="s">
        <v>114</v>
      </c>
      <c r="T2744" t="s">
        <v>114</v>
      </c>
      <c r="U2744">
        <v>5</v>
      </c>
      <c r="W2744">
        <v>375</v>
      </c>
      <c r="X2744">
        <v>0</v>
      </c>
      <c r="Y2744">
        <v>0</v>
      </c>
      <c r="Z2744">
        <v>0</v>
      </c>
      <c r="AA2744">
        <v>0</v>
      </c>
      <c r="AB2744">
        <v>0</v>
      </c>
      <c r="AC2744">
        <v>375</v>
      </c>
      <c r="AD2744">
        <v>0</v>
      </c>
      <c r="AE2744">
        <v>0</v>
      </c>
      <c r="AF2744">
        <v>0</v>
      </c>
      <c r="AG2744">
        <v>0</v>
      </c>
      <c r="AH2744">
        <v>0</v>
      </c>
      <c r="AI2744">
        <v>0</v>
      </c>
      <c r="AJ2744">
        <v>0</v>
      </c>
      <c r="AK2744">
        <v>0</v>
      </c>
      <c r="AL2744">
        <v>0</v>
      </c>
      <c r="AM2744">
        <v>0</v>
      </c>
      <c r="AN2744">
        <v>0</v>
      </c>
      <c r="AO2744">
        <v>0</v>
      </c>
      <c r="AP2744">
        <v>0</v>
      </c>
      <c r="AQ2744">
        <v>0</v>
      </c>
      <c r="AR2744">
        <v>0</v>
      </c>
      <c r="AS2744">
        <v>0</v>
      </c>
      <c r="AT2744">
        <v>0</v>
      </c>
      <c r="AU2744">
        <f t="shared" si="84"/>
        <v>0</v>
      </c>
      <c r="AV2744">
        <f t="shared" si="85"/>
        <v>0</v>
      </c>
    </row>
    <row r="2745" spans="1:48" x14ac:dyDescent="0.25">
      <c r="A2745" t="s">
        <v>9293</v>
      </c>
      <c r="C2745" t="s">
        <v>9294</v>
      </c>
      <c r="D2745" t="s">
        <v>3259</v>
      </c>
      <c r="E2745" t="s">
        <v>2310</v>
      </c>
      <c r="F2745">
        <v>15</v>
      </c>
      <c r="G2745">
        <v>15.1</v>
      </c>
      <c r="H2745" t="s">
        <v>2022</v>
      </c>
      <c r="I2745" s="21">
        <v>39695</v>
      </c>
      <c r="J2745">
        <v>2008</v>
      </c>
      <c r="K2745" s="21">
        <v>39756</v>
      </c>
      <c r="L2745">
        <v>2008</v>
      </c>
      <c r="M2745" s="21">
        <v>40184.587905092601</v>
      </c>
      <c r="N2745">
        <v>2010</v>
      </c>
      <c r="Q2745" s="262">
        <v>1</v>
      </c>
      <c r="R2745" s="262">
        <v>26000</v>
      </c>
      <c r="S2745" t="s">
        <v>114</v>
      </c>
      <c r="T2745" t="s">
        <v>114</v>
      </c>
      <c r="U2745">
        <v>5</v>
      </c>
      <c r="W2745">
        <v>960</v>
      </c>
      <c r="X2745">
        <v>0</v>
      </c>
      <c r="Y2745">
        <v>0</v>
      </c>
      <c r="Z2745">
        <v>0</v>
      </c>
      <c r="AA2745">
        <v>0</v>
      </c>
      <c r="AB2745">
        <v>0</v>
      </c>
      <c r="AC2745">
        <v>960</v>
      </c>
      <c r="AD2745">
        <v>0</v>
      </c>
      <c r="AE2745">
        <v>0</v>
      </c>
      <c r="AF2745">
        <v>0</v>
      </c>
      <c r="AG2745">
        <v>0</v>
      </c>
      <c r="AH2745">
        <v>0</v>
      </c>
      <c r="AI2745">
        <v>0</v>
      </c>
      <c r="AJ2745">
        <v>0</v>
      </c>
      <c r="AK2745">
        <v>0</v>
      </c>
      <c r="AL2745">
        <v>0</v>
      </c>
      <c r="AM2745">
        <v>0</v>
      </c>
      <c r="AN2745">
        <v>0</v>
      </c>
      <c r="AO2745">
        <v>0</v>
      </c>
      <c r="AP2745">
        <v>0</v>
      </c>
      <c r="AQ2745">
        <v>0</v>
      </c>
      <c r="AR2745">
        <v>0</v>
      </c>
      <c r="AS2745">
        <v>0</v>
      </c>
      <c r="AT2745">
        <v>0</v>
      </c>
      <c r="AU2745">
        <f t="shared" si="84"/>
        <v>0</v>
      </c>
      <c r="AV2745">
        <f t="shared" si="85"/>
        <v>0</v>
      </c>
    </row>
    <row r="2746" spans="1:48" x14ac:dyDescent="0.25">
      <c r="A2746" t="s">
        <v>9290</v>
      </c>
      <c r="C2746" t="s">
        <v>9291</v>
      </c>
      <c r="D2746" t="s">
        <v>9292</v>
      </c>
      <c r="E2746" t="s">
        <v>1663</v>
      </c>
      <c r="F2746">
        <v>2</v>
      </c>
      <c r="G2746">
        <v>2.6</v>
      </c>
      <c r="H2746" t="s">
        <v>2327</v>
      </c>
      <c r="I2746" s="21">
        <v>39695</v>
      </c>
      <c r="J2746">
        <v>2008</v>
      </c>
      <c r="K2746" s="21">
        <v>39725</v>
      </c>
      <c r="L2746">
        <v>2008</v>
      </c>
      <c r="M2746" s="21">
        <v>39876</v>
      </c>
      <c r="N2746">
        <v>2009</v>
      </c>
      <c r="Q2746" s="262">
        <v>0</v>
      </c>
      <c r="S2746" t="s">
        <v>114</v>
      </c>
      <c r="T2746" t="s">
        <v>114</v>
      </c>
      <c r="W2746">
        <v>2434</v>
      </c>
      <c r="X2746">
        <v>1</v>
      </c>
      <c r="Y2746">
        <v>0</v>
      </c>
      <c r="Z2746">
        <v>0</v>
      </c>
      <c r="AA2746">
        <v>0</v>
      </c>
      <c r="AB2746">
        <v>0</v>
      </c>
      <c r="AC2746">
        <v>0</v>
      </c>
      <c r="AD2746">
        <v>2434</v>
      </c>
      <c r="AE2746">
        <v>0</v>
      </c>
      <c r="AF2746">
        <v>0</v>
      </c>
      <c r="AG2746">
        <v>0</v>
      </c>
      <c r="AH2746">
        <v>0</v>
      </c>
      <c r="AI2746">
        <v>0</v>
      </c>
      <c r="AJ2746">
        <v>0</v>
      </c>
      <c r="AK2746">
        <v>0</v>
      </c>
      <c r="AL2746">
        <v>0</v>
      </c>
      <c r="AM2746">
        <v>0</v>
      </c>
      <c r="AN2746">
        <v>0</v>
      </c>
      <c r="AO2746">
        <v>0</v>
      </c>
      <c r="AP2746">
        <v>1</v>
      </c>
      <c r="AQ2746">
        <v>0</v>
      </c>
      <c r="AR2746">
        <v>0</v>
      </c>
      <c r="AS2746">
        <v>0</v>
      </c>
      <c r="AT2746">
        <v>0</v>
      </c>
      <c r="AU2746">
        <f t="shared" si="84"/>
        <v>1</v>
      </c>
      <c r="AV2746">
        <f t="shared" si="85"/>
        <v>0</v>
      </c>
    </row>
    <row r="2747" spans="1:48" x14ac:dyDescent="0.25">
      <c r="A2747" t="s">
        <v>9295</v>
      </c>
      <c r="C2747" t="s">
        <v>8629</v>
      </c>
      <c r="D2747" t="s">
        <v>9296</v>
      </c>
      <c r="E2747" t="s">
        <v>2310</v>
      </c>
      <c r="F2747">
        <v>9</v>
      </c>
      <c r="G2747">
        <v>9.1999999999999993</v>
      </c>
      <c r="H2747" t="s">
        <v>2022</v>
      </c>
      <c r="I2747" s="21">
        <v>39696</v>
      </c>
      <c r="J2747">
        <v>2008</v>
      </c>
      <c r="K2747" s="21">
        <v>39734</v>
      </c>
      <c r="L2747">
        <v>2008</v>
      </c>
      <c r="M2747" s="21">
        <v>40093.377060185201</v>
      </c>
      <c r="N2747">
        <v>2009</v>
      </c>
      <c r="R2747" s="262">
        <v>100000</v>
      </c>
      <c r="S2747" t="s">
        <v>114</v>
      </c>
      <c r="T2747" t="s">
        <v>114</v>
      </c>
      <c r="U2747">
        <v>5</v>
      </c>
      <c r="W2747">
        <v>900</v>
      </c>
      <c r="X2747">
        <v>0</v>
      </c>
      <c r="Y2747">
        <v>0</v>
      </c>
      <c r="Z2747">
        <v>0</v>
      </c>
      <c r="AA2747">
        <v>0</v>
      </c>
      <c r="AB2747">
        <v>0</v>
      </c>
      <c r="AC2747">
        <v>900</v>
      </c>
      <c r="AD2747">
        <v>0</v>
      </c>
      <c r="AE2747">
        <v>0</v>
      </c>
      <c r="AF2747">
        <v>0</v>
      </c>
      <c r="AG2747">
        <v>0</v>
      </c>
      <c r="AH2747">
        <v>0</v>
      </c>
      <c r="AI2747">
        <v>0</v>
      </c>
      <c r="AJ2747">
        <v>0</v>
      </c>
      <c r="AK2747">
        <v>0</v>
      </c>
      <c r="AL2747">
        <v>0</v>
      </c>
      <c r="AM2747">
        <v>0</v>
      </c>
      <c r="AN2747">
        <v>0</v>
      </c>
      <c r="AO2747">
        <v>0</v>
      </c>
      <c r="AP2747">
        <v>0</v>
      </c>
      <c r="AQ2747">
        <v>0</v>
      </c>
      <c r="AR2747">
        <v>0</v>
      </c>
      <c r="AS2747">
        <v>0</v>
      </c>
      <c r="AT2747">
        <v>0</v>
      </c>
      <c r="AU2747">
        <f t="shared" si="84"/>
        <v>0</v>
      </c>
      <c r="AV2747">
        <f t="shared" si="85"/>
        <v>0</v>
      </c>
    </row>
    <row r="2748" spans="1:48" x14ac:dyDescent="0.25">
      <c r="A2748" t="s">
        <v>9300</v>
      </c>
      <c r="C2748" t="s">
        <v>9301</v>
      </c>
      <c r="D2748" t="s">
        <v>4138</v>
      </c>
      <c r="E2748" t="s">
        <v>2310</v>
      </c>
      <c r="F2748">
        <v>15</v>
      </c>
      <c r="G2748">
        <v>15.1</v>
      </c>
      <c r="H2748" t="s">
        <v>2022</v>
      </c>
      <c r="I2748" s="21">
        <v>39699</v>
      </c>
      <c r="J2748">
        <v>2008</v>
      </c>
      <c r="K2748" s="21">
        <v>39755</v>
      </c>
      <c r="L2748">
        <v>2008</v>
      </c>
      <c r="M2748" s="21">
        <v>40162.570613425902</v>
      </c>
      <c r="N2748">
        <v>2009</v>
      </c>
      <c r="R2748" s="262">
        <v>150000</v>
      </c>
      <c r="S2748" t="s">
        <v>114</v>
      </c>
      <c r="T2748" t="s">
        <v>114</v>
      </c>
      <c r="U2748">
        <v>5</v>
      </c>
      <c r="W2748">
        <v>0</v>
      </c>
      <c r="X2748">
        <v>0</v>
      </c>
      <c r="Y2748">
        <v>0</v>
      </c>
      <c r="Z2748">
        <v>0</v>
      </c>
      <c r="AA2748">
        <v>0</v>
      </c>
      <c r="AB2748">
        <v>0</v>
      </c>
      <c r="AC2748">
        <v>0</v>
      </c>
      <c r="AD2748">
        <v>0</v>
      </c>
      <c r="AE2748">
        <v>0</v>
      </c>
      <c r="AF2748">
        <v>0</v>
      </c>
      <c r="AG2748">
        <v>0</v>
      </c>
      <c r="AH2748">
        <v>0</v>
      </c>
      <c r="AI2748">
        <v>0</v>
      </c>
      <c r="AJ2748">
        <v>0</v>
      </c>
      <c r="AK2748">
        <v>0</v>
      </c>
      <c r="AL2748">
        <v>0</v>
      </c>
      <c r="AM2748">
        <v>0</v>
      </c>
      <c r="AN2748">
        <v>0</v>
      </c>
      <c r="AO2748">
        <v>0</v>
      </c>
      <c r="AP2748">
        <v>0</v>
      </c>
      <c r="AQ2748">
        <v>0</v>
      </c>
      <c r="AR2748">
        <v>0</v>
      </c>
      <c r="AS2748">
        <v>0</v>
      </c>
      <c r="AT2748">
        <v>0</v>
      </c>
      <c r="AU2748">
        <f t="shared" si="84"/>
        <v>0</v>
      </c>
      <c r="AV2748">
        <f t="shared" si="85"/>
        <v>0</v>
      </c>
    </row>
    <row r="2749" spans="1:48" x14ac:dyDescent="0.25">
      <c r="A2749" t="s">
        <v>9297</v>
      </c>
      <c r="C2749" t="s">
        <v>9298</v>
      </c>
      <c r="D2749" t="s">
        <v>9299</v>
      </c>
      <c r="E2749" t="s">
        <v>1663</v>
      </c>
      <c r="F2749">
        <v>3</v>
      </c>
      <c r="G2749">
        <v>3.1</v>
      </c>
      <c r="H2749" t="s">
        <v>2017</v>
      </c>
      <c r="I2749" s="21">
        <v>39699</v>
      </c>
      <c r="J2749">
        <v>2008</v>
      </c>
      <c r="K2749" s="21">
        <v>39729</v>
      </c>
      <c r="L2749">
        <v>2008</v>
      </c>
      <c r="M2749" s="21">
        <v>39880</v>
      </c>
      <c r="N2749">
        <v>2009</v>
      </c>
      <c r="Q2749" s="262">
        <v>0</v>
      </c>
      <c r="S2749" t="s">
        <v>114</v>
      </c>
      <c r="T2749" t="s">
        <v>114</v>
      </c>
      <c r="W2749">
        <v>1998</v>
      </c>
      <c r="X2749">
        <v>1</v>
      </c>
      <c r="Y2749">
        <v>0</v>
      </c>
      <c r="Z2749">
        <v>0</v>
      </c>
      <c r="AA2749">
        <v>0</v>
      </c>
      <c r="AB2749">
        <v>0</v>
      </c>
      <c r="AC2749">
        <v>1998</v>
      </c>
      <c r="AD2749">
        <v>0</v>
      </c>
      <c r="AE2749">
        <v>0</v>
      </c>
      <c r="AF2749">
        <v>0</v>
      </c>
      <c r="AG2749">
        <v>0</v>
      </c>
      <c r="AH2749">
        <v>0</v>
      </c>
      <c r="AI2749">
        <v>0</v>
      </c>
      <c r="AJ2749">
        <v>0</v>
      </c>
      <c r="AK2749">
        <v>0</v>
      </c>
      <c r="AL2749">
        <v>0</v>
      </c>
      <c r="AM2749">
        <v>0</v>
      </c>
      <c r="AN2749">
        <v>0</v>
      </c>
      <c r="AO2749">
        <v>1</v>
      </c>
      <c r="AP2749">
        <v>0</v>
      </c>
      <c r="AQ2749">
        <v>0</v>
      </c>
      <c r="AR2749">
        <v>0</v>
      </c>
      <c r="AS2749">
        <v>0</v>
      </c>
      <c r="AT2749">
        <v>0</v>
      </c>
      <c r="AU2749">
        <f t="shared" si="84"/>
        <v>1</v>
      </c>
      <c r="AV2749">
        <f t="shared" si="85"/>
        <v>0</v>
      </c>
    </row>
    <row r="2750" spans="1:48" x14ac:dyDescent="0.25">
      <c r="A2750" t="s">
        <v>9302</v>
      </c>
      <c r="C2750" t="s">
        <v>9303</v>
      </c>
      <c r="D2750" t="s">
        <v>7454</v>
      </c>
      <c r="E2750" t="s">
        <v>2310</v>
      </c>
      <c r="F2750">
        <v>15</v>
      </c>
      <c r="G2750">
        <v>15.1</v>
      </c>
      <c r="H2750" t="s">
        <v>2022</v>
      </c>
      <c r="I2750" s="21">
        <v>39702</v>
      </c>
      <c r="J2750">
        <v>2008</v>
      </c>
      <c r="M2750" s="21">
        <v>40050.470393518503</v>
      </c>
      <c r="N2750">
        <v>2009</v>
      </c>
      <c r="S2750" t="s">
        <v>114</v>
      </c>
      <c r="T2750" t="s">
        <v>114</v>
      </c>
      <c r="U2750">
        <v>5</v>
      </c>
      <c r="W2750">
        <v>0</v>
      </c>
      <c r="X2750">
        <v>0</v>
      </c>
      <c r="Y2750">
        <v>0</v>
      </c>
      <c r="Z2750">
        <v>0</v>
      </c>
      <c r="AA2750">
        <v>0</v>
      </c>
      <c r="AB2750">
        <v>0</v>
      </c>
      <c r="AC2750">
        <v>0</v>
      </c>
      <c r="AD2750">
        <v>0</v>
      </c>
      <c r="AE2750">
        <v>0</v>
      </c>
      <c r="AF2750">
        <v>0</v>
      </c>
      <c r="AG2750">
        <v>0</v>
      </c>
      <c r="AH2750">
        <v>0</v>
      </c>
      <c r="AI2750">
        <v>0</v>
      </c>
      <c r="AJ2750">
        <v>0</v>
      </c>
      <c r="AK2750">
        <v>0</v>
      </c>
      <c r="AL2750">
        <v>0</v>
      </c>
      <c r="AM2750">
        <v>0</v>
      </c>
      <c r="AN2750">
        <v>0</v>
      </c>
      <c r="AO2750">
        <v>0</v>
      </c>
      <c r="AP2750">
        <v>0</v>
      </c>
      <c r="AQ2750">
        <v>0</v>
      </c>
      <c r="AR2750">
        <v>0</v>
      </c>
      <c r="AS2750">
        <v>0</v>
      </c>
      <c r="AT2750">
        <v>0</v>
      </c>
      <c r="AU2750">
        <f t="shared" si="84"/>
        <v>0</v>
      </c>
      <c r="AV2750">
        <f t="shared" si="85"/>
        <v>0</v>
      </c>
    </row>
    <row r="2751" spans="1:48" x14ac:dyDescent="0.25">
      <c r="A2751" t="s">
        <v>9304</v>
      </c>
      <c r="C2751" t="s">
        <v>9305</v>
      </c>
      <c r="D2751" t="s">
        <v>7454</v>
      </c>
      <c r="E2751" t="s">
        <v>2310</v>
      </c>
      <c r="F2751">
        <v>15</v>
      </c>
      <c r="G2751">
        <v>15.1</v>
      </c>
      <c r="H2751" t="s">
        <v>2022</v>
      </c>
      <c r="I2751" s="21">
        <v>39702</v>
      </c>
      <c r="J2751">
        <v>2008</v>
      </c>
      <c r="K2751" s="21">
        <v>39786</v>
      </c>
      <c r="L2751">
        <v>2008</v>
      </c>
      <c r="M2751" s="21">
        <v>39786</v>
      </c>
      <c r="N2751">
        <v>2008</v>
      </c>
      <c r="S2751" t="s">
        <v>114</v>
      </c>
      <c r="T2751" t="s">
        <v>114</v>
      </c>
      <c r="U2751">
        <v>5</v>
      </c>
      <c r="W2751">
        <v>0</v>
      </c>
      <c r="X2751">
        <v>0</v>
      </c>
      <c r="Y2751">
        <v>0</v>
      </c>
      <c r="Z2751">
        <v>0</v>
      </c>
      <c r="AA2751">
        <v>0</v>
      </c>
      <c r="AB2751">
        <v>0</v>
      </c>
      <c r="AC2751">
        <v>0</v>
      </c>
      <c r="AD2751">
        <v>0</v>
      </c>
      <c r="AE2751">
        <v>0</v>
      </c>
      <c r="AF2751">
        <v>0</v>
      </c>
      <c r="AG2751">
        <v>0</v>
      </c>
      <c r="AH2751">
        <v>0</v>
      </c>
      <c r="AI2751">
        <v>0</v>
      </c>
      <c r="AJ2751">
        <v>0</v>
      </c>
      <c r="AK2751">
        <v>0</v>
      </c>
      <c r="AL2751">
        <v>0</v>
      </c>
      <c r="AM2751">
        <v>0</v>
      </c>
      <c r="AN2751">
        <v>0</v>
      </c>
      <c r="AO2751">
        <v>0</v>
      </c>
      <c r="AP2751">
        <v>0</v>
      </c>
      <c r="AQ2751">
        <v>0</v>
      </c>
      <c r="AR2751">
        <v>0</v>
      </c>
      <c r="AS2751">
        <v>0</v>
      </c>
      <c r="AT2751">
        <v>0</v>
      </c>
      <c r="AU2751">
        <f t="shared" si="84"/>
        <v>0</v>
      </c>
      <c r="AV2751">
        <f t="shared" si="85"/>
        <v>0</v>
      </c>
    </row>
    <row r="2752" spans="1:48" x14ac:dyDescent="0.25">
      <c r="A2752" t="s">
        <v>9306</v>
      </c>
      <c r="C2752" t="s">
        <v>9307</v>
      </c>
      <c r="D2752" t="s">
        <v>9308</v>
      </c>
      <c r="E2752" t="s">
        <v>2310</v>
      </c>
      <c r="F2752">
        <v>8</v>
      </c>
      <c r="G2752">
        <v>8.1</v>
      </c>
      <c r="H2752" t="s">
        <v>2323</v>
      </c>
      <c r="I2752" s="21">
        <v>39702</v>
      </c>
      <c r="J2752">
        <v>2008</v>
      </c>
      <c r="K2752" s="21">
        <v>39735</v>
      </c>
      <c r="L2752">
        <v>2008</v>
      </c>
      <c r="M2752" s="21">
        <v>41247.650694444397</v>
      </c>
      <c r="N2752">
        <v>2012</v>
      </c>
      <c r="R2752" s="262">
        <v>100000</v>
      </c>
      <c r="S2752" t="s">
        <v>114</v>
      </c>
      <c r="T2752" t="s">
        <v>114</v>
      </c>
      <c r="U2752">
        <v>5</v>
      </c>
      <c r="W2752">
        <v>2640</v>
      </c>
      <c r="X2752">
        <v>0</v>
      </c>
      <c r="Y2752">
        <v>0</v>
      </c>
      <c r="Z2752">
        <v>0</v>
      </c>
      <c r="AA2752">
        <v>0</v>
      </c>
      <c r="AB2752">
        <v>0</v>
      </c>
      <c r="AC2752">
        <v>2640</v>
      </c>
      <c r="AD2752">
        <v>0</v>
      </c>
      <c r="AE2752">
        <v>0</v>
      </c>
      <c r="AF2752">
        <v>0</v>
      </c>
      <c r="AG2752">
        <v>0</v>
      </c>
      <c r="AH2752">
        <v>0</v>
      </c>
      <c r="AI2752">
        <v>0</v>
      </c>
      <c r="AJ2752">
        <v>0</v>
      </c>
      <c r="AK2752">
        <v>0</v>
      </c>
      <c r="AL2752">
        <v>0</v>
      </c>
      <c r="AM2752">
        <v>0</v>
      </c>
      <c r="AN2752">
        <v>0</v>
      </c>
      <c r="AO2752">
        <v>0</v>
      </c>
      <c r="AP2752">
        <v>0</v>
      </c>
      <c r="AQ2752">
        <v>0</v>
      </c>
      <c r="AR2752">
        <v>0</v>
      </c>
      <c r="AS2752">
        <v>0</v>
      </c>
      <c r="AT2752">
        <v>0</v>
      </c>
      <c r="AU2752">
        <f t="shared" si="84"/>
        <v>0</v>
      </c>
      <c r="AV2752">
        <f t="shared" si="85"/>
        <v>0</v>
      </c>
    </row>
    <row r="2753" spans="1:48" x14ac:dyDescent="0.25">
      <c r="A2753" t="s">
        <v>9309</v>
      </c>
      <c r="C2753" t="s">
        <v>9310</v>
      </c>
      <c r="D2753" t="s">
        <v>4138</v>
      </c>
      <c r="E2753" t="s">
        <v>2310</v>
      </c>
      <c r="F2753">
        <v>15</v>
      </c>
      <c r="G2753">
        <v>15.1</v>
      </c>
      <c r="H2753" t="s">
        <v>2022</v>
      </c>
      <c r="I2753" s="21">
        <v>39707</v>
      </c>
      <c r="J2753">
        <v>2008</v>
      </c>
      <c r="K2753" s="21">
        <v>39755</v>
      </c>
      <c r="L2753">
        <v>2008</v>
      </c>
      <c r="M2753" s="21">
        <v>40162.575370370403</v>
      </c>
      <c r="N2753">
        <v>2009</v>
      </c>
      <c r="R2753" s="262">
        <v>113000</v>
      </c>
      <c r="S2753" t="s">
        <v>114</v>
      </c>
      <c r="T2753" t="s">
        <v>114</v>
      </c>
      <c r="U2753">
        <v>5</v>
      </c>
      <c r="W2753">
        <v>3000</v>
      </c>
      <c r="X2753">
        <v>0</v>
      </c>
      <c r="Y2753">
        <v>0</v>
      </c>
      <c r="Z2753">
        <v>0</v>
      </c>
      <c r="AA2753">
        <v>0</v>
      </c>
      <c r="AB2753">
        <v>0</v>
      </c>
      <c r="AC2753">
        <v>3000</v>
      </c>
      <c r="AD2753">
        <v>0</v>
      </c>
      <c r="AE2753">
        <v>0</v>
      </c>
      <c r="AF2753">
        <v>0</v>
      </c>
      <c r="AG2753">
        <v>0</v>
      </c>
      <c r="AH2753">
        <v>0</v>
      </c>
      <c r="AI2753">
        <v>0</v>
      </c>
      <c r="AJ2753">
        <v>0</v>
      </c>
      <c r="AK2753">
        <v>0</v>
      </c>
      <c r="AL2753">
        <v>0</v>
      </c>
      <c r="AM2753">
        <v>0</v>
      </c>
      <c r="AN2753">
        <v>0</v>
      </c>
      <c r="AO2753">
        <v>0</v>
      </c>
      <c r="AP2753">
        <v>0</v>
      </c>
      <c r="AQ2753">
        <v>0</v>
      </c>
      <c r="AR2753">
        <v>0</v>
      </c>
      <c r="AS2753">
        <v>0</v>
      </c>
      <c r="AT2753">
        <v>0</v>
      </c>
      <c r="AU2753">
        <f t="shared" si="84"/>
        <v>0</v>
      </c>
      <c r="AV2753">
        <f t="shared" si="85"/>
        <v>0</v>
      </c>
    </row>
    <row r="2754" spans="1:48" x14ac:dyDescent="0.25">
      <c r="A2754" t="s">
        <v>9311</v>
      </c>
      <c r="C2754" t="s">
        <v>9312</v>
      </c>
      <c r="D2754" t="s">
        <v>9313</v>
      </c>
      <c r="E2754" t="s">
        <v>2310</v>
      </c>
      <c r="F2754">
        <v>9</v>
      </c>
      <c r="G2754">
        <v>9.4</v>
      </c>
      <c r="H2754" t="s">
        <v>2323</v>
      </c>
      <c r="I2754" s="21">
        <v>39708</v>
      </c>
      <c r="J2754">
        <v>2008</v>
      </c>
      <c r="K2754" s="21">
        <v>39708</v>
      </c>
      <c r="L2754">
        <v>2008</v>
      </c>
      <c r="M2754" s="21">
        <v>40800.482604166697</v>
      </c>
      <c r="N2754">
        <v>2011</v>
      </c>
      <c r="R2754" s="262">
        <v>560000</v>
      </c>
      <c r="S2754" t="s">
        <v>114</v>
      </c>
      <c r="T2754" t="s">
        <v>114</v>
      </c>
      <c r="U2754">
        <v>5</v>
      </c>
      <c r="W2754">
        <v>7268</v>
      </c>
      <c r="X2754">
        <v>1</v>
      </c>
      <c r="Y2754">
        <v>0</v>
      </c>
      <c r="Z2754">
        <v>0</v>
      </c>
      <c r="AA2754">
        <v>0</v>
      </c>
      <c r="AB2754">
        <v>0</v>
      </c>
      <c r="AC2754">
        <v>7268</v>
      </c>
      <c r="AD2754">
        <v>0</v>
      </c>
      <c r="AE2754">
        <v>0</v>
      </c>
      <c r="AF2754">
        <v>0</v>
      </c>
      <c r="AG2754">
        <v>0</v>
      </c>
      <c r="AH2754">
        <v>0</v>
      </c>
      <c r="AI2754">
        <v>0</v>
      </c>
      <c r="AJ2754">
        <v>0</v>
      </c>
      <c r="AK2754">
        <v>0</v>
      </c>
      <c r="AL2754">
        <v>0</v>
      </c>
      <c r="AM2754">
        <v>0</v>
      </c>
      <c r="AN2754">
        <v>0</v>
      </c>
      <c r="AO2754">
        <v>1</v>
      </c>
      <c r="AP2754">
        <v>0</v>
      </c>
      <c r="AQ2754">
        <v>0</v>
      </c>
      <c r="AR2754">
        <v>0</v>
      </c>
      <c r="AS2754">
        <v>0</v>
      </c>
      <c r="AT2754">
        <v>0</v>
      </c>
      <c r="AU2754">
        <f t="shared" si="84"/>
        <v>1</v>
      </c>
      <c r="AV2754">
        <f t="shared" si="85"/>
        <v>0</v>
      </c>
    </row>
    <row r="2755" spans="1:48" x14ac:dyDescent="0.25">
      <c r="A2755" t="s">
        <v>9314</v>
      </c>
      <c r="C2755" t="s">
        <v>2721</v>
      </c>
      <c r="D2755" t="s">
        <v>5268</v>
      </c>
      <c r="E2755" t="s">
        <v>2310</v>
      </c>
      <c r="F2755">
        <v>9</v>
      </c>
      <c r="G2755">
        <v>9.3000000000000007</v>
      </c>
      <c r="H2755" t="s">
        <v>2323</v>
      </c>
      <c r="I2755" s="21">
        <v>39709</v>
      </c>
      <c r="J2755">
        <v>2008</v>
      </c>
      <c r="K2755" s="21">
        <v>39743</v>
      </c>
      <c r="L2755">
        <v>2008</v>
      </c>
      <c r="M2755" s="21">
        <v>39931</v>
      </c>
      <c r="N2755">
        <v>2009</v>
      </c>
      <c r="R2755" s="262">
        <v>100000</v>
      </c>
      <c r="S2755" t="s">
        <v>114</v>
      </c>
      <c r="T2755" t="s">
        <v>114</v>
      </c>
      <c r="U2755">
        <v>5</v>
      </c>
      <c r="W2755">
        <v>316</v>
      </c>
      <c r="X2755">
        <v>0</v>
      </c>
      <c r="Y2755">
        <v>0</v>
      </c>
      <c r="Z2755">
        <v>0</v>
      </c>
      <c r="AA2755">
        <v>0</v>
      </c>
      <c r="AB2755">
        <v>0</v>
      </c>
      <c r="AC2755">
        <v>316</v>
      </c>
      <c r="AD2755">
        <v>0</v>
      </c>
      <c r="AE2755">
        <v>0</v>
      </c>
      <c r="AF2755">
        <v>0</v>
      </c>
      <c r="AG2755">
        <v>0</v>
      </c>
      <c r="AH2755">
        <v>0</v>
      </c>
      <c r="AI2755">
        <v>0</v>
      </c>
      <c r="AJ2755">
        <v>0</v>
      </c>
      <c r="AK2755">
        <v>0</v>
      </c>
      <c r="AL2755">
        <v>0</v>
      </c>
      <c r="AM2755">
        <v>0</v>
      </c>
      <c r="AN2755">
        <v>0</v>
      </c>
      <c r="AO2755">
        <v>0</v>
      </c>
      <c r="AP2755">
        <v>0</v>
      </c>
      <c r="AQ2755">
        <v>0</v>
      </c>
      <c r="AR2755">
        <v>0</v>
      </c>
      <c r="AS2755">
        <v>0</v>
      </c>
      <c r="AT2755">
        <v>0</v>
      </c>
      <c r="AU2755">
        <f t="shared" si="84"/>
        <v>0</v>
      </c>
      <c r="AV2755">
        <f t="shared" si="85"/>
        <v>0</v>
      </c>
    </row>
    <row r="2756" spans="1:48" x14ac:dyDescent="0.25">
      <c r="A2756" t="s">
        <v>18781</v>
      </c>
      <c r="B2756" t="s">
        <v>114</v>
      </c>
      <c r="C2756" t="s">
        <v>8633</v>
      </c>
      <c r="D2756" t="s">
        <v>18782</v>
      </c>
      <c r="E2756" t="s">
        <v>2310</v>
      </c>
      <c r="F2756">
        <v>10</v>
      </c>
      <c r="G2756">
        <v>10.1</v>
      </c>
      <c r="H2756" t="s">
        <v>2323</v>
      </c>
      <c r="I2756" s="21">
        <v>39723</v>
      </c>
      <c r="J2756">
        <v>2008</v>
      </c>
      <c r="K2756" s="21">
        <v>39736</v>
      </c>
      <c r="L2756">
        <v>2008</v>
      </c>
      <c r="M2756" s="21">
        <v>43626.684907256946</v>
      </c>
      <c r="N2756">
        <v>2019</v>
      </c>
      <c r="R2756" s="262">
        <v>125000</v>
      </c>
      <c r="S2756" t="s">
        <v>13254</v>
      </c>
      <c r="U2756">
        <v>5</v>
      </c>
      <c r="W2756">
        <v>832</v>
      </c>
      <c r="X2756">
        <v>0</v>
      </c>
      <c r="Y2756">
        <v>0</v>
      </c>
      <c r="Z2756">
        <v>0</v>
      </c>
      <c r="AA2756">
        <v>0</v>
      </c>
      <c r="AB2756">
        <v>0</v>
      </c>
      <c r="AC2756">
        <v>832</v>
      </c>
      <c r="AD2756">
        <v>0</v>
      </c>
      <c r="AE2756">
        <v>0</v>
      </c>
      <c r="AF2756">
        <v>0</v>
      </c>
      <c r="AG2756">
        <v>0</v>
      </c>
      <c r="AH2756">
        <v>0</v>
      </c>
      <c r="AI2756">
        <v>0</v>
      </c>
      <c r="AJ2756">
        <v>0</v>
      </c>
      <c r="AK2756">
        <v>0</v>
      </c>
      <c r="AL2756">
        <v>0</v>
      </c>
      <c r="AM2756">
        <v>0</v>
      </c>
      <c r="AN2756">
        <v>0</v>
      </c>
      <c r="AO2756">
        <v>0</v>
      </c>
      <c r="AP2756">
        <v>0</v>
      </c>
      <c r="AQ2756">
        <v>0</v>
      </c>
      <c r="AR2756">
        <v>0</v>
      </c>
      <c r="AS2756">
        <v>0</v>
      </c>
      <c r="AT2756">
        <v>0</v>
      </c>
      <c r="AU2756">
        <f t="shared" si="84"/>
        <v>0</v>
      </c>
      <c r="AV2756">
        <f t="shared" si="85"/>
        <v>0</v>
      </c>
    </row>
    <row r="2757" spans="1:48" x14ac:dyDescent="0.25">
      <c r="A2757" t="s">
        <v>9315</v>
      </c>
      <c r="C2757" t="s">
        <v>9316</v>
      </c>
      <c r="D2757" t="s">
        <v>3294</v>
      </c>
      <c r="E2757" t="s">
        <v>2310</v>
      </c>
      <c r="F2757">
        <v>9</v>
      </c>
      <c r="G2757">
        <v>9.4</v>
      </c>
      <c r="H2757" t="s">
        <v>2323</v>
      </c>
      <c r="I2757" s="21">
        <v>39728</v>
      </c>
      <c r="J2757">
        <v>2008</v>
      </c>
      <c r="K2757" s="21">
        <v>39750</v>
      </c>
      <c r="L2757">
        <v>2008</v>
      </c>
      <c r="M2757" s="21">
        <v>40093.435462963003</v>
      </c>
      <c r="N2757">
        <v>2009</v>
      </c>
      <c r="R2757" s="262">
        <v>50000</v>
      </c>
      <c r="S2757" t="s">
        <v>114</v>
      </c>
      <c r="T2757" t="s">
        <v>114</v>
      </c>
      <c r="U2757">
        <v>1</v>
      </c>
      <c r="W2757">
        <v>1264</v>
      </c>
      <c r="X2757">
        <v>1</v>
      </c>
      <c r="Y2757">
        <v>1264</v>
      </c>
      <c r="Z2757">
        <v>0</v>
      </c>
      <c r="AA2757">
        <v>0</v>
      </c>
      <c r="AB2757">
        <v>0</v>
      </c>
      <c r="AC2757">
        <v>0</v>
      </c>
      <c r="AD2757">
        <v>0</v>
      </c>
      <c r="AE2757">
        <v>0</v>
      </c>
      <c r="AF2757">
        <v>0</v>
      </c>
      <c r="AG2757">
        <v>0</v>
      </c>
      <c r="AH2757">
        <v>0</v>
      </c>
      <c r="AI2757">
        <v>0</v>
      </c>
      <c r="AJ2757">
        <v>0</v>
      </c>
      <c r="AK2757">
        <v>0</v>
      </c>
      <c r="AL2757">
        <v>0</v>
      </c>
      <c r="AM2757">
        <v>0</v>
      </c>
      <c r="AN2757">
        <v>1</v>
      </c>
      <c r="AO2757">
        <v>0</v>
      </c>
      <c r="AP2757">
        <v>0</v>
      </c>
      <c r="AQ2757">
        <v>0</v>
      </c>
      <c r="AR2757">
        <v>0</v>
      </c>
      <c r="AS2757">
        <v>0</v>
      </c>
      <c r="AT2757">
        <v>0</v>
      </c>
      <c r="AU2757">
        <f t="shared" si="84"/>
        <v>1</v>
      </c>
      <c r="AV2757">
        <f t="shared" si="85"/>
        <v>1264</v>
      </c>
    </row>
    <row r="2758" spans="1:48" x14ac:dyDescent="0.25">
      <c r="A2758" t="s">
        <v>9317</v>
      </c>
      <c r="C2758" t="s">
        <v>9318</v>
      </c>
      <c r="D2758" t="s">
        <v>9319</v>
      </c>
      <c r="E2758" t="s">
        <v>2310</v>
      </c>
      <c r="F2758">
        <v>11</v>
      </c>
      <c r="G2758">
        <v>11.4</v>
      </c>
      <c r="H2758" t="s">
        <v>2017</v>
      </c>
      <c r="I2758" s="21">
        <v>39735</v>
      </c>
      <c r="J2758">
        <v>2008</v>
      </c>
      <c r="K2758" s="21">
        <v>39751</v>
      </c>
      <c r="L2758">
        <v>2008</v>
      </c>
      <c r="M2758" s="21">
        <v>40184.635185185201</v>
      </c>
      <c r="N2758">
        <v>2010</v>
      </c>
      <c r="R2758" s="262">
        <v>40000</v>
      </c>
      <c r="S2758" t="s">
        <v>114</v>
      </c>
      <c r="T2758" t="s">
        <v>114</v>
      </c>
      <c r="U2758">
        <v>15</v>
      </c>
      <c r="W2758">
        <v>0</v>
      </c>
      <c r="X2758">
        <v>0</v>
      </c>
      <c r="Y2758">
        <v>0</v>
      </c>
      <c r="Z2758">
        <v>0</v>
      </c>
      <c r="AA2758">
        <v>0</v>
      </c>
      <c r="AB2758">
        <v>0</v>
      </c>
      <c r="AC2758">
        <v>0</v>
      </c>
      <c r="AD2758">
        <v>0</v>
      </c>
      <c r="AE2758">
        <v>0</v>
      </c>
      <c r="AF2758">
        <v>0</v>
      </c>
      <c r="AG2758">
        <v>0</v>
      </c>
      <c r="AH2758">
        <v>0</v>
      </c>
      <c r="AI2758">
        <v>0</v>
      </c>
      <c r="AJ2758">
        <v>0</v>
      </c>
      <c r="AK2758">
        <v>0</v>
      </c>
      <c r="AL2758">
        <v>0</v>
      </c>
      <c r="AM2758">
        <v>0</v>
      </c>
      <c r="AN2758">
        <v>0</v>
      </c>
      <c r="AO2758">
        <v>0</v>
      </c>
      <c r="AP2758">
        <v>0</v>
      </c>
      <c r="AQ2758">
        <v>0</v>
      </c>
      <c r="AR2758">
        <v>0</v>
      </c>
      <c r="AS2758">
        <v>0</v>
      </c>
      <c r="AT2758">
        <v>0</v>
      </c>
      <c r="AU2758">
        <f t="shared" si="84"/>
        <v>0</v>
      </c>
      <c r="AV2758">
        <f t="shared" si="85"/>
        <v>0</v>
      </c>
    </row>
    <row r="2759" spans="1:48" x14ac:dyDescent="0.25">
      <c r="A2759" t="s">
        <v>9320</v>
      </c>
      <c r="C2759" t="s">
        <v>9321</v>
      </c>
      <c r="D2759" t="s">
        <v>9322</v>
      </c>
      <c r="E2759" t="s">
        <v>1663</v>
      </c>
      <c r="F2759">
        <v>2</v>
      </c>
      <c r="G2759">
        <v>2.2999999999999998</v>
      </c>
      <c r="H2759" t="s">
        <v>2327</v>
      </c>
      <c r="I2759" s="21">
        <v>39737</v>
      </c>
      <c r="J2759">
        <v>2008</v>
      </c>
      <c r="K2759" s="21">
        <v>39768</v>
      </c>
      <c r="L2759">
        <v>2008</v>
      </c>
      <c r="M2759" s="21">
        <v>39919</v>
      </c>
      <c r="N2759">
        <v>2009</v>
      </c>
      <c r="Q2759" s="262">
        <v>0</v>
      </c>
      <c r="S2759" t="s">
        <v>114</v>
      </c>
      <c r="T2759" t="s">
        <v>114</v>
      </c>
      <c r="W2759">
        <v>14148</v>
      </c>
      <c r="X2759">
        <v>21</v>
      </c>
      <c r="Y2759">
        <v>0</v>
      </c>
      <c r="Z2759">
        <v>0</v>
      </c>
      <c r="AA2759">
        <v>0</v>
      </c>
      <c r="AB2759">
        <v>0</v>
      </c>
      <c r="AC2759">
        <v>0</v>
      </c>
      <c r="AD2759">
        <v>14148</v>
      </c>
      <c r="AE2759">
        <v>0</v>
      </c>
      <c r="AF2759">
        <v>0</v>
      </c>
      <c r="AG2759">
        <v>0</v>
      </c>
      <c r="AH2759">
        <v>0</v>
      </c>
      <c r="AI2759">
        <v>0</v>
      </c>
      <c r="AJ2759">
        <v>0</v>
      </c>
      <c r="AK2759">
        <v>0</v>
      </c>
      <c r="AL2759">
        <v>0</v>
      </c>
      <c r="AM2759">
        <v>0</v>
      </c>
      <c r="AN2759">
        <v>0</v>
      </c>
      <c r="AO2759">
        <v>0</v>
      </c>
      <c r="AP2759">
        <v>21</v>
      </c>
      <c r="AQ2759">
        <v>0</v>
      </c>
      <c r="AR2759">
        <v>0</v>
      </c>
      <c r="AS2759">
        <v>0</v>
      </c>
      <c r="AT2759">
        <v>0</v>
      </c>
      <c r="AU2759">
        <f t="shared" si="84"/>
        <v>21</v>
      </c>
      <c r="AV2759">
        <f t="shared" si="85"/>
        <v>0</v>
      </c>
    </row>
    <row r="2760" spans="1:48" x14ac:dyDescent="0.25">
      <c r="A2760" t="s">
        <v>9323</v>
      </c>
      <c r="C2760" t="s">
        <v>9324</v>
      </c>
      <c r="D2760" t="s">
        <v>9325</v>
      </c>
      <c r="E2760" t="s">
        <v>1663</v>
      </c>
      <c r="F2760">
        <v>5</v>
      </c>
      <c r="G2760">
        <v>5.5</v>
      </c>
      <c r="H2760" t="s">
        <v>2017</v>
      </c>
      <c r="I2760" s="21">
        <v>39738</v>
      </c>
      <c r="J2760">
        <v>2008</v>
      </c>
      <c r="K2760" s="21">
        <v>39769</v>
      </c>
      <c r="L2760">
        <v>2008</v>
      </c>
      <c r="M2760" s="21">
        <v>39920</v>
      </c>
      <c r="N2760">
        <v>2009</v>
      </c>
      <c r="Q2760" s="262">
        <v>0</v>
      </c>
      <c r="S2760" t="s">
        <v>114</v>
      </c>
      <c r="T2760" t="s">
        <v>114</v>
      </c>
      <c r="W2760">
        <v>1436</v>
      </c>
      <c r="X2760">
        <v>1</v>
      </c>
      <c r="Y2760">
        <v>0</v>
      </c>
      <c r="Z2760">
        <v>0</v>
      </c>
      <c r="AA2760">
        <v>0</v>
      </c>
      <c r="AB2760">
        <v>0</v>
      </c>
      <c r="AC2760">
        <v>0</v>
      </c>
      <c r="AD2760">
        <v>1436</v>
      </c>
      <c r="AE2760">
        <v>0</v>
      </c>
      <c r="AF2760">
        <v>0</v>
      </c>
      <c r="AG2760">
        <v>0</v>
      </c>
      <c r="AH2760">
        <v>0</v>
      </c>
      <c r="AI2760">
        <v>0</v>
      </c>
      <c r="AJ2760">
        <v>0</v>
      </c>
      <c r="AK2760">
        <v>0</v>
      </c>
      <c r="AL2760">
        <v>0</v>
      </c>
      <c r="AM2760">
        <v>0</v>
      </c>
      <c r="AN2760">
        <v>0</v>
      </c>
      <c r="AO2760">
        <v>0</v>
      </c>
      <c r="AP2760">
        <v>1</v>
      </c>
      <c r="AQ2760">
        <v>0</v>
      </c>
      <c r="AR2760">
        <v>0</v>
      </c>
      <c r="AS2760">
        <v>0</v>
      </c>
      <c r="AT2760">
        <v>0</v>
      </c>
      <c r="AU2760">
        <f t="shared" si="84"/>
        <v>1</v>
      </c>
      <c r="AV2760">
        <f t="shared" si="85"/>
        <v>0</v>
      </c>
    </row>
    <row r="2761" spans="1:48" x14ac:dyDescent="0.25">
      <c r="A2761" t="s">
        <v>9326</v>
      </c>
      <c r="C2761" t="s">
        <v>9327</v>
      </c>
      <c r="D2761" t="s">
        <v>9328</v>
      </c>
      <c r="E2761" t="s">
        <v>1663</v>
      </c>
      <c r="F2761">
        <v>5</v>
      </c>
      <c r="G2761">
        <v>5.5</v>
      </c>
      <c r="H2761" t="s">
        <v>2017</v>
      </c>
      <c r="I2761" s="21">
        <v>39738</v>
      </c>
      <c r="J2761">
        <v>2008</v>
      </c>
      <c r="K2761" s="21">
        <v>39769</v>
      </c>
      <c r="L2761">
        <v>2008</v>
      </c>
      <c r="M2761" s="21">
        <v>39920</v>
      </c>
      <c r="N2761">
        <v>2009</v>
      </c>
      <c r="Q2761" s="262">
        <v>0</v>
      </c>
      <c r="S2761" t="s">
        <v>114</v>
      </c>
      <c r="T2761" t="s">
        <v>114</v>
      </c>
      <c r="W2761">
        <v>1436</v>
      </c>
      <c r="X2761">
        <v>1</v>
      </c>
      <c r="Y2761">
        <v>0</v>
      </c>
      <c r="Z2761">
        <v>0</v>
      </c>
      <c r="AA2761">
        <v>0</v>
      </c>
      <c r="AB2761">
        <v>0</v>
      </c>
      <c r="AC2761">
        <v>0</v>
      </c>
      <c r="AD2761">
        <v>1436</v>
      </c>
      <c r="AE2761">
        <v>0</v>
      </c>
      <c r="AF2761">
        <v>0</v>
      </c>
      <c r="AG2761">
        <v>0</v>
      </c>
      <c r="AH2761">
        <v>0</v>
      </c>
      <c r="AI2761">
        <v>0</v>
      </c>
      <c r="AJ2761">
        <v>0</v>
      </c>
      <c r="AK2761">
        <v>0</v>
      </c>
      <c r="AL2761">
        <v>0</v>
      </c>
      <c r="AM2761">
        <v>0</v>
      </c>
      <c r="AN2761">
        <v>0</v>
      </c>
      <c r="AO2761">
        <v>0</v>
      </c>
      <c r="AP2761">
        <v>1</v>
      </c>
      <c r="AQ2761">
        <v>0</v>
      </c>
      <c r="AR2761">
        <v>0</v>
      </c>
      <c r="AS2761">
        <v>0</v>
      </c>
      <c r="AT2761">
        <v>0</v>
      </c>
      <c r="AU2761">
        <f t="shared" si="84"/>
        <v>1</v>
      </c>
      <c r="AV2761">
        <f t="shared" si="85"/>
        <v>0</v>
      </c>
    </row>
    <row r="2762" spans="1:48" x14ac:dyDescent="0.25">
      <c r="A2762" t="s">
        <v>9329</v>
      </c>
      <c r="C2762" t="s">
        <v>9330</v>
      </c>
      <c r="D2762" t="s">
        <v>9331</v>
      </c>
      <c r="E2762" t="s">
        <v>1663</v>
      </c>
      <c r="F2762">
        <v>5</v>
      </c>
      <c r="G2762">
        <v>5.5</v>
      </c>
      <c r="H2762" t="s">
        <v>2017</v>
      </c>
      <c r="I2762" s="21">
        <v>39738</v>
      </c>
      <c r="J2762">
        <v>2008</v>
      </c>
      <c r="K2762" s="21">
        <v>39769</v>
      </c>
      <c r="L2762">
        <v>2008</v>
      </c>
      <c r="M2762" s="21">
        <v>39920</v>
      </c>
      <c r="N2762">
        <v>2009</v>
      </c>
      <c r="Q2762" s="262">
        <v>0</v>
      </c>
      <c r="S2762" t="s">
        <v>114</v>
      </c>
      <c r="T2762" t="s">
        <v>114</v>
      </c>
      <c r="W2762">
        <v>1436</v>
      </c>
      <c r="X2762">
        <v>1</v>
      </c>
      <c r="Y2762">
        <v>0</v>
      </c>
      <c r="Z2762">
        <v>0</v>
      </c>
      <c r="AA2762">
        <v>0</v>
      </c>
      <c r="AB2762">
        <v>0</v>
      </c>
      <c r="AC2762">
        <v>0</v>
      </c>
      <c r="AD2762">
        <v>1436</v>
      </c>
      <c r="AE2762">
        <v>0</v>
      </c>
      <c r="AF2762">
        <v>0</v>
      </c>
      <c r="AG2762">
        <v>0</v>
      </c>
      <c r="AH2762">
        <v>0</v>
      </c>
      <c r="AI2762">
        <v>0</v>
      </c>
      <c r="AJ2762">
        <v>0</v>
      </c>
      <c r="AK2762">
        <v>0</v>
      </c>
      <c r="AL2762">
        <v>0</v>
      </c>
      <c r="AM2762">
        <v>0</v>
      </c>
      <c r="AN2762">
        <v>0</v>
      </c>
      <c r="AO2762">
        <v>0</v>
      </c>
      <c r="AP2762">
        <v>1</v>
      </c>
      <c r="AQ2762">
        <v>0</v>
      </c>
      <c r="AR2762">
        <v>0</v>
      </c>
      <c r="AS2762">
        <v>0</v>
      </c>
      <c r="AT2762">
        <v>0</v>
      </c>
      <c r="AU2762">
        <f t="shared" si="84"/>
        <v>1</v>
      </c>
      <c r="AV2762">
        <f t="shared" si="85"/>
        <v>0</v>
      </c>
    </row>
    <row r="2763" spans="1:48" x14ac:dyDescent="0.25">
      <c r="A2763" t="s">
        <v>9332</v>
      </c>
      <c r="C2763" t="s">
        <v>9333</v>
      </c>
      <c r="D2763" t="s">
        <v>9334</v>
      </c>
      <c r="E2763" t="s">
        <v>1663</v>
      </c>
      <c r="F2763">
        <v>5</v>
      </c>
      <c r="G2763">
        <v>5.5</v>
      </c>
      <c r="H2763" t="s">
        <v>2017</v>
      </c>
      <c r="I2763" s="21">
        <v>39738</v>
      </c>
      <c r="J2763">
        <v>2008</v>
      </c>
      <c r="K2763" s="21">
        <v>39769</v>
      </c>
      <c r="L2763">
        <v>2008</v>
      </c>
      <c r="M2763" s="21">
        <v>39920</v>
      </c>
      <c r="N2763">
        <v>2009</v>
      </c>
      <c r="Q2763" s="262">
        <v>0</v>
      </c>
      <c r="S2763" t="s">
        <v>114</v>
      </c>
      <c r="T2763" t="s">
        <v>114</v>
      </c>
      <c r="W2763">
        <v>1436</v>
      </c>
      <c r="X2763">
        <v>1</v>
      </c>
      <c r="Y2763">
        <v>0</v>
      </c>
      <c r="Z2763">
        <v>0</v>
      </c>
      <c r="AA2763">
        <v>0</v>
      </c>
      <c r="AB2763">
        <v>0</v>
      </c>
      <c r="AC2763">
        <v>0</v>
      </c>
      <c r="AD2763">
        <v>1436</v>
      </c>
      <c r="AE2763">
        <v>0</v>
      </c>
      <c r="AF2763">
        <v>0</v>
      </c>
      <c r="AG2763">
        <v>0</v>
      </c>
      <c r="AH2763">
        <v>0</v>
      </c>
      <c r="AI2763">
        <v>0</v>
      </c>
      <c r="AJ2763">
        <v>0</v>
      </c>
      <c r="AK2763">
        <v>0</v>
      </c>
      <c r="AL2763">
        <v>0</v>
      </c>
      <c r="AM2763">
        <v>0</v>
      </c>
      <c r="AN2763">
        <v>0</v>
      </c>
      <c r="AO2763">
        <v>0</v>
      </c>
      <c r="AP2763">
        <v>1</v>
      </c>
      <c r="AQ2763">
        <v>0</v>
      </c>
      <c r="AR2763">
        <v>0</v>
      </c>
      <c r="AS2763">
        <v>0</v>
      </c>
      <c r="AT2763">
        <v>0</v>
      </c>
      <c r="AU2763">
        <f t="shared" si="84"/>
        <v>1</v>
      </c>
      <c r="AV2763">
        <f t="shared" si="85"/>
        <v>0</v>
      </c>
    </row>
    <row r="2764" spans="1:48" x14ac:dyDescent="0.25">
      <c r="A2764" t="s">
        <v>9335</v>
      </c>
      <c r="C2764" t="s">
        <v>9336</v>
      </c>
      <c r="D2764" t="s">
        <v>9337</v>
      </c>
      <c r="E2764" t="s">
        <v>1663</v>
      </c>
      <c r="F2764">
        <v>5</v>
      </c>
      <c r="G2764">
        <v>5.5</v>
      </c>
      <c r="H2764" t="s">
        <v>2017</v>
      </c>
      <c r="I2764" s="21">
        <v>39738</v>
      </c>
      <c r="J2764">
        <v>2008</v>
      </c>
      <c r="K2764" s="21">
        <v>39769</v>
      </c>
      <c r="L2764">
        <v>2008</v>
      </c>
      <c r="M2764" s="21">
        <v>39920</v>
      </c>
      <c r="N2764">
        <v>2009</v>
      </c>
      <c r="Q2764" s="262">
        <v>0</v>
      </c>
      <c r="S2764" t="s">
        <v>114</v>
      </c>
      <c r="T2764" t="s">
        <v>114</v>
      </c>
      <c r="W2764">
        <v>2102</v>
      </c>
      <c r="X2764">
        <v>1</v>
      </c>
      <c r="Y2764">
        <v>0</v>
      </c>
      <c r="Z2764">
        <v>0</v>
      </c>
      <c r="AA2764">
        <v>0</v>
      </c>
      <c r="AB2764">
        <v>0</v>
      </c>
      <c r="AC2764">
        <v>0</v>
      </c>
      <c r="AD2764">
        <v>2102</v>
      </c>
      <c r="AE2764">
        <v>0</v>
      </c>
      <c r="AF2764">
        <v>0</v>
      </c>
      <c r="AG2764">
        <v>0</v>
      </c>
      <c r="AH2764">
        <v>0</v>
      </c>
      <c r="AI2764">
        <v>0</v>
      </c>
      <c r="AJ2764">
        <v>0</v>
      </c>
      <c r="AK2764">
        <v>0</v>
      </c>
      <c r="AL2764">
        <v>0</v>
      </c>
      <c r="AM2764">
        <v>0</v>
      </c>
      <c r="AN2764">
        <v>0</v>
      </c>
      <c r="AO2764">
        <v>0</v>
      </c>
      <c r="AP2764">
        <v>1</v>
      </c>
      <c r="AQ2764">
        <v>0</v>
      </c>
      <c r="AR2764">
        <v>0</v>
      </c>
      <c r="AS2764">
        <v>0</v>
      </c>
      <c r="AT2764">
        <v>0</v>
      </c>
      <c r="AU2764">
        <f t="shared" si="84"/>
        <v>1</v>
      </c>
      <c r="AV2764">
        <f t="shared" si="85"/>
        <v>0</v>
      </c>
    </row>
    <row r="2765" spans="1:48" x14ac:dyDescent="0.25">
      <c r="A2765" t="s">
        <v>9338</v>
      </c>
      <c r="C2765" t="s">
        <v>9339</v>
      </c>
      <c r="D2765" t="s">
        <v>9340</v>
      </c>
      <c r="E2765" t="s">
        <v>1663</v>
      </c>
      <c r="F2765">
        <v>5</v>
      </c>
      <c r="G2765">
        <v>5.5</v>
      </c>
      <c r="H2765" t="s">
        <v>2017</v>
      </c>
      <c r="I2765" s="21">
        <v>39738</v>
      </c>
      <c r="J2765">
        <v>2008</v>
      </c>
      <c r="K2765" s="21">
        <v>39769</v>
      </c>
      <c r="L2765">
        <v>2008</v>
      </c>
      <c r="M2765" s="21">
        <v>39920</v>
      </c>
      <c r="N2765">
        <v>2009</v>
      </c>
      <c r="Q2765" s="262">
        <v>0</v>
      </c>
      <c r="S2765" t="s">
        <v>114</v>
      </c>
      <c r="T2765" t="s">
        <v>114</v>
      </c>
      <c r="W2765">
        <v>2102</v>
      </c>
      <c r="X2765">
        <v>1</v>
      </c>
      <c r="Y2765">
        <v>0</v>
      </c>
      <c r="Z2765">
        <v>0</v>
      </c>
      <c r="AA2765">
        <v>0</v>
      </c>
      <c r="AB2765">
        <v>0</v>
      </c>
      <c r="AC2765">
        <v>0</v>
      </c>
      <c r="AD2765">
        <v>2102</v>
      </c>
      <c r="AE2765">
        <v>0</v>
      </c>
      <c r="AF2765">
        <v>0</v>
      </c>
      <c r="AG2765">
        <v>0</v>
      </c>
      <c r="AH2765">
        <v>0</v>
      </c>
      <c r="AI2765">
        <v>0</v>
      </c>
      <c r="AJ2765">
        <v>0</v>
      </c>
      <c r="AK2765">
        <v>0</v>
      </c>
      <c r="AL2765">
        <v>0</v>
      </c>
      <c r="AM2765">
        <v>0</v>
      </c>
      <c r="AN2765">
        <v>0</v>
      </c>
      <c r="AO2765">
        <v>0</v>
      </c>
      <c r="AP2765">
        <v>1</v>
      </c>
      <c r="AQ2765">
        <v>0</v>
      </c>
      <c r="AR2765">
        <v>0</v>
      </c>
      <c r="AS2765">
        <v>0</v>
      </c>
      <c r="AT2765">
        <v>0</v>
      </c>
      <c r="AU2765">
        <f t="shared" si="84"/>
        <v>1</v>
      </c>
      <c r="AV2765">
        <f t="shared" si="85"/>
        <v>0</v>
      </c>
    </row>
    <row r="2766" spans="1:48" x14ac:dyDescent="0.25">
      <c r="A2766" t="s">
        <v>9341</v>
      </c>
      <c r="C2766" t="s">
        <v>9342</v>
      </c>
      <c r="D2766" t="s">
        <v>9343</v>
      </c>
      <c r="E2766" t="s">
        <v>1663</v>
      </c>
      <c r="F2766">
        <v>5</v>
      </c>
      <c r="G2766">
        <v>5.5</v>
      </c>
      <c r="H2766" t="s">
        <v>2017</v>
      </c>
      <c r="I2766" s="21">
        <v>39738</v>
      </c>
      <c r="J2766">
        <v>2008</v>
      </c>
      <c r="K2766" s="21">
        <v>39769</v>
      </c>
      <c r="L2766">
        <v>2008</v>
      </c>
      <c r="M2766" s="21">
        <v>39920</v>
      </c>
      <c r="N2766">
        <v>2009</v>
      </c>
      <c r="Q2766" s="262">
        <v>0</v>
      </c>
      <c r="S2766" t="s">
        <v>114</v>
      </c>
      <c r="T2766" t="s">
        <v>114</v>
      </c>
      <c r="W2766">
        <v>1436</v>
      </c>
      <c r="X2766">
        <v>1</v>
      </c>
      <c r="Y2766">
        <v>0</v>
      </c>
      <c r="Z2766">
        <v>0</v>
      </c>
      <c r="AA2766">
        <v>0</v>
      </c>
      <c r="AB2766">
        <v>0</v>
      </c>
      <c r="AC2766">
        <v>0</v>
      </c>
      <c r="AD2766">
        <v>1436</v>
      </c>
      <c r="AE2766">
        <v>0</v>
      </c>
      <c r="AF2766">
        <v>0</v>
      </c>
      <c r="AG2766">
        <v>0</v>
      </c>
      <c r="AH2766">
        <v>0</v>
      </c>
      <c r="AI2766">
        <v>0</v>
      </c>
      <c r="AJ2766">
        <v>0</v>
      </c>
      <c r="AK2766">
        <v>0</v>
      </c>
      <c r="AL2766">
        <v>0</v>
      </c>
      <c r="AM2766">
        <v>0</v>
      </c>
      <c r="AN2766">
        <v>0</v>
      </c>
      <c r="AO2766">
        <v>0</v>
      </c>
      <c r="AP2766">
        <v>1</v>
      </c>
      <c r="AQ2766">
        <v>0</v>
      </c>
      <c r="AR2766">
        <v>0</v>
      </c>
      <c r="AS2766">
        <v>0</v>
      </c>
      <c r="AT2766">
        <v>0</v>
      </c>
      <c r="AU2766">
        <f t="shared" si="84"/>
        <v>1</v>
      </c>
      <c r="AV2766">
        <f t="shared" si="85"/>
        <v>0</v>
      </c>
    </row>
    <row r="2767" spans="1:48" x14ac:dyDescent="0.25">
      <c r="A2767" t="s">
        <v>9344</v>
      </c>
      <c r="C2767" t="s">
        <v>9345</v>
      </c>
      <c r="D2767" t="s">
        <v>9346</v>
      </c>
      <c r="E2767" t="s">
        <v>1663</v>
      </c>
      <c r="F2767">
        <v>5</v>
      </c>
      <c r="G2767">
        <v>5.5</v>
      </c>
      <c r="H2767" t="s">
        <v>2017</v>
      </c>
      <c r="I2767" s="21">
        <v>39738</v>
      </c>
      <c r="J2767">
        <v>2008</v>
      </c>
      <c r="K2767" s="21">
        <v>39769</v>
      </c>
      <c r="L2767">
        <v>2008</v>
      </c>
      <c r="M2767" s="21">
        <v>39920</v>
      </c>
      <c r="N2767">
        <v>2009</v>
      </c>
      <c r="Q2767" s="262">
        <v>0</v>
      </c>
      <c r="S2767" t="s">
        <v>114</v>
      </c>
      <c r="T2767" t="s">
        <v>114</v>
      </c>
      <c r="W2767">
        <v>1436</v>
      </c>
      <c r="X2767">
        <v>1</v>
      </c>
      <c r="Y2767">
        <v>0</v>
      </c>
      <c r="Z2767">
        <v>0</v>
      </c>
      <c r="AA2767">
        <v>0</v>
      </c>
      <c r="AB2767">
        <v>0</v>
      </c>
      <c r="AC2767">
        <v>0</v>
      </c>
      <c r="AD2767">
        <v>1436</v>
      </c>
      <c r="AE2767">
        <v>0</v>
      </c>
      <c r="AF2767">
        <v>0</v>
      </c>
      <c r="AG2767">
        <v>0</v>
      </c>
      <c r="AH2767">
        <v>0</v>
      </c>
      <c r="AI2767">
        <v>0</v>
      </c>
      <c r="AJ2767">
        <v>0</v>
      </c>
      <c r="AK2767">
        <v>0</v>
      </c>
      <c r="AL2767">
        <v>0</v>
      </c>
      <c r="AM2767">
        <v>0</v>
      </c>
      <c r="AN2767">
        <v>0</v>
      </c>
      <c r="AO2767">
        <v>0</v>
      </c>
      <c r="AP2767">
        <v>1</v>
      </c>
      <c r="AQ2767">
        <v>0</v>
      </c>
      <c r="AR2767">
        <v>0</v>
      </c>
      <c r="AS2767">
        <v>0</v>
      </c>
      <c r="AT2767">
        <v>0</v>
      </c>
      <c r="AU2767">
        <f t="shared" si="84"/>
        <v>1</v>
      </c>
      <c r="AV2767">
        <f t="shared" si="85"/>
        <v>0</v>
      </c>
    </row>
    <row r="2768" spans="1:48" x14ac:dyDescent="0.25">
      <c r="A2768" t="s">
        <v>9347</v>
      </c>
      <c r="C2768" t="s">
        <v>9348</v>
      </c>
      <c r="D2768" t="s">
        <v>9244</v>
      </c>
      <c r="E2768" t="s">
        <v>2310</v>
      </c>
      <c r="F2768">
        <v>11</v>
      </c>
      <c r="G2768">
        <v>11.2</v>
      </c>
      <c r="H2768" t="s">
        <v>2017</v>
      </c>
      <c r="I2768" s="21">
        <v>39741</v>
      </c>
      <c r="J2768">
        <v>2008</v>
      </c>
      <c r="K2768" s="21">
        <v>39741</v>
      </c>
      <c r="L2768">
        <v>2008</v>
      </c>
      <c r="M2768" s="21">
        <v>40106.4458101852</v>
      </c>
      <c r="N2768">
        <v>2009</v>
      </c>
      <c r="S2768" t="s">
        <v>114</v>
      </c>
      <c r="T2768" t="s">
        <v>114</v>
      </c>
      <c r="U2768">
        <v>5</v>
      </c>
      <c r="W2768">
        <v>0</v>
      </c>
      <c r="X2768">
        <v>0</v>
      </c>
      <c r="Y2768">
        <v>0</v>
      </c>
      <c r="Z2768">
        <v>0</v>
      </c>
      <c r="AA2768">
        <v>0</v>
      </c>
      <c r="AB2768">
        <v>0</v>
      </c>
      <c r="AC2768">
        <v>0</v>
      </c>
      <c r="AD2768">
        <v>0</v>
      </c>
      <c r="AE2768">
        <v>0</v>
      </c>
      <c r="AF2768">
        <v>0</v>
      </c>
      <c r="AG2768">
        <v>0</v>
      </c>
      <c r="AH2768">
        <v>0</v>
      </c>
      <c r="AI2768">
        <v>0</v>
      </c>
      <c r="AJ2768">
        <v>0</v>
      </c>
      <c r="AK2768">
        <v>0</v>
      </c>
      <c r="AL2768">
        <v>0</v>
      </c>
      <c r="AM2768">
        <v>0</v>
      </c>
      <c r="AN2768">
        <v>0</v>
      </c>
      <c r="AO2768">
        <v>0</v>
      </c>
      <c r="AP2768">
        <v>0</v>
      </c>
      <c r="AQ2768">
        <v>0</v>
      </c>
      <c r="AR2768">
        <v>0</v>
      </c>
      <c r="AS2768">
        <v>0</v>
      </c>
      <c r="AT2768">
        <v>0</v>
      </c>
      <c r="AU2768">
        <f t="shared" si="84"/>
        <v>0</v>
      </c>
      <c r="AV2768">
        <f t="shared" si="85"/>
        <v>0</v>
      </c>
    </row>
    <row r="2769" spans="1:48" x14ac:dyDescent="0.25">
      <c r="A2769" t="s">
        <v>9349</v>
      </c>
      <c r="C2769" t="s">
        <v>9350</v>
      </c>
      <c r="D2769" t="s">
        <v>9351</v>
      </c>
      <c r="E2769" t="s">
        <v>2310</v>
      </c>
      <c r="F2769">
        <v>13</v>
      </c>
      <c r="G2769">
        <v>13.2</v>
      </c>
      <c r="H2769" t="s">
        <v>2327</v>
      </c>
      <c r="I2769" s="21">
        <v>39741</v>
      </c>
      <c r="J2769">
        <v>2008</v>
      </c>
      <c r="K2769" s="21">
        <v>39769</v>
      </c>
      <c r="L2769">
        <v>2008</v>
      </c>
      <c r="M2769" s="21">
        <v>40176.535138888903</v>
      </c>
      <c r="N2769">
        <v>2009</v>
      </c>
      <c r="R2769" s="262">
        <v>70000</v>
      </c>
      <c r="S2769" t="s">
        <v>114</v>
      </c>
      <c r="T2769" t="s">
        <v>114</v>
      </c>
      <c r="U2769">
        <v>15</v>
      </c>
      <c r="W2769">
        <v>192</v>
      </c>
      <c r="X2769">
        <v>0</v>
      </c>
      <c r="Y2769">
        <v>0</v>
      </c>
      <c r="Z2769">
        <v>0</v>
      </c>
      <c r="AA2769">
        <v>0</v>
      </c>
      <c r="AB2769">
        <v>0</v>
      </c>
      <c r="AC2769">
        <v>0</v>
      </c>
      <c r="AD2769">
        <v>0</v>
      </c>
      <c r="AE2769">
        <v>0</v>
      </c>
      <c r="AF2769">
        <v>0</v>
      </c>
      <c r="AG2769">
        <v>0</v>
      </c>
      <c r="AH2769">
        <v>0</v>
      </c>
      <c r="AI2769">
        <v>0</v>
      </c>
      <c r="AJ2769">
        <v>0</v>
      </c>
      <c r="AK2769">
        <v>0</v>
      </c>
      <c r="AL2769">
        <v>0</v>
      </c>
      <c r="AM2769">
        <v>192</v>
      </c>
      <c r="AN2769">
        <v>0</v>
      </c>
      <c r="AO2769">
        <v>0</v>
      </c>
      <c r="AP2769">
        <v>0</v>
      </c>
      <c r="AQ2769">
        <v>0</v>
      </c>
      <c r="AR2769">
        <v>0</v>
      </c>
      <c r="AS2769">
        <v>0</v>
      </c>
      <c r="AT2769">
        <v>0</v>
      </c>
      <c r="AU2769">
        <f t="shared" si="84"/>
        <v>0</v>
      </c>
      <c r="AV2769">
        <f t="shared" si="85"/>
        <v>192</v>
      </c>
    </row>
    <row r="2770" spans="1:48" x14ac:dyDescent="0.25">
      <c r="A2770" t="s">
        <v>9352</v>
      </c>
      <c r="C2770" t="s">
        <v>9353</v>
      </c>
      <c r="D2770" t="s">
        <v>9354</v>
      </c>
      <c r="E2770" t="s">
        <v>2310</v>
      </c>
      <c r="F2770">
        <v>8</v>
      </c>
      <c r="G2770">
        <v>8.1</v>
      </c>
      <c r="H2770" t="s">
        <v>2323</v>
      </c>
      <c r="I2770" s="21">
        <v>39741</v>
      </c>
      <c r="J2770">
        <v>2008</v>
      </c>
      <c r="K2770" s="21">
        <v>39797</v>
      </c>
      <c r="L2770">
        <v>2008</v>
      </c>
      <c r="M2770" s="21">
        <v>40003.4679398148</v>
      </c>
      <c r="N2770">
        <v>2009</v>
      </c>
      <c r="R2770" s="262">
        <v>80000</v>
      </c>
      <c r="S2770" t="s">
        <v>114</v>
      </c>
      <c r="T2770" t="s">
        <v>114</v>
      </c>
      <c r="U2770">
        <v>5</v>
      </c>
      <c r="W2770">
        <v>254</v>
      </c>
      <c r="X2770">
        <v>0</v>
      </c>
      <c r="Y2770">
        <v>0</v>
      </c>
      <c r="Z2770">
        <v>0</v>
      </c>
      <c r="AA2770">
        <v>0</v>
      </c>
      <c r="AB2770">
        <v>0</v>
      </c>
      <c r="AC2770">
        <v>254</v>
      </c>
      <c r="AD2770">
        <v>0</v>
      </c>
      <c r="AE2770">
        <v>0</v>
      </c>
      <c r="AF2770">
        <v>0</v>
      </c>
      <c r="AG2770">
        <v>0</v>
      </c>
      <c r="AH2770">
        <v>0</v>
      </c>
      <c r="AI2770">
        <v>0</v>
      </c>
      <c r="AJ2770">
        <v>0</v>
      </c>
      <c r="AK2770">
        <v>0</v>
      </c>
      <c r="AL2770">
        <v>0</v>
      </c>
      <c r="AM2770">
        <v>0</v>
      </c>
      <c r="AN2770">
        <v>0</v>
      </c>
      <c r="AO2770">
        <v>0</v>
      </c>
      <c r="AP2770">
        <v>0</v>
      </c>
      <c r="AQ2770">
        <v>0</v>
      </c>
      <c r="AR2770">
        <v>0</v>
      </c>
      <c r="AS2770">
        <v>0</v>
      </c>
      <c r="AT2770">
        <v>0</v>
      </c>
      <c r="AU2770">
        <f t="shared" si="84"/>
        <v>0</v>
      </c>
      <c r="AV2770">
        <f t="shared" si="85"/>
        <v>0</v>
      </c>
    </row>
    <row r="2771" spans="1:48" x14ac:dyDescent="0.25">
      <c r="A2771" t="s">
        <v>9355</v>
      </c>
      <c r="C2771" t="s">
        <v>9356</v>
      </c>
      <c r="D2771" t="s">
        <v>9357</v>
      </c>
      <c r="E2771" t="s">
        <v>1663</v>
      </c>
      <c r="F2771">
        <v>6</v>
      </c>
      <c r="G2771">
        <v>6.1</v>
      </c>
      <c r="H2771" t="s">
        <v>2017</v>
      </c>
      <c r="I2771" s="21">
        <v>39742</v>
      </c>
      <c r="J2771">
        <v>2008</v>
      </c>
      <c r="K2771" s="21">
        <v>39773</v>
      </c>
      <c r="L2771">
        <v>2008</v>
      </c>
      <c r="M2771" s="21">
        <v>39924</v>
      </c>
      <c r="N2771">
        <v>2009</v>
      </c>
      <c r="Q2771" s="262">
        <v>0</v>
      </c>
      <c r="S2771" t="s">
        <v>114</v>
      </c>
      <c r="T2771" t="s">
        <v>114</v>
      </c>
      <c r="W2771">
        <v>5074</v>
      </c>
      <c r="X2771">
        <v>1</v>
      </c>
      <c r="Y2771">
        <v>0</v>
      </c>
      <c r="Z2771">
        <v>0</v>
      </c>
      <c r="AA2771">
        <v>0</v>
      </c>
      <c r="AB2771">
        <v>0</v>
      </c>
      <c r="AC2771">
        <v>0</v>
      </c>
      <c r="AD2771">
        <v>5074</v>
      </c>
      <c r="AE2771">
        <v>0</v>
      </c>
      <c r="AF2771">
        <v>0</v>
      </c>
      <c r="AG2771">
        <v>0</v>
      </c>
      <c r="AH2771">
        <v>0</v>
      </c>
      <c r="AI2771">
        <v>0</v>
      </c>
      <c r="AJ2771">
        <v>0</v>
      </c>
      <c r="AK2771">
        <v>0</v>
      </c>
      <c r="AL2771">
        <v>0</v>
      </c>
      <c r="AM2771">
        <v>0</v>
      </c>
      <c r="AN2771">
        <v>0</v>
      </c>
      <c r="AO2771">
        <v>0</v>
      </c>
      <c r="AP2771">
        <v>1</v>
      </c>
      <c r="AQ2771">
        <v>0</v>
      </c>
      <c r="AR2771">
        <v>0</v>
      </c>
      <c r="AS2771">
        <v>0</v>
      </c>
      <c r="AT2771">
        <v>0</v>
      </c>
      <c r="AU2771">
        <f t="shared" si="84"/>
        <v>1</v>
      </c>
      <c r="AV2771">
        <f t="shared" si="85"/>
        <v>0</v>
      </c>
    </row>
    <row r="2772" spans="1:48" x14ac:dyDescent="0.25">
      <c r="A2772" t="s">
        <v>9358</v>
      </c>
      <c r="C2772" t="s">
        <v>9359</v>
      </c>
      <c r="D2772" t="s">
        <v>9360</v>
      </c>
      <c r="E2772" t="s">
        <v>2310</v>
      </c>
      <c r="F2772">
        <v>15</v>
      </c>
      <c r="G2772">
        <v>15.3</v>
      </c>
      <c r="H2772" t="s">
        <v>2022</v>
      </c>
      <c r="I2772" s="21">
        <v>39744</v>
      </c>
      <c r="J2772">
        <v>2008</v>
      </c>
      <c r="K2772" s="21">
        <v>39933</v>
      </c>
      <c r="L2772">
        <v>2009</v>
      </c>
      <c r="M2772" s="21">
        <v>40213.653622685197</v>
      </c>
      <c r="N2772">
        <v>2010</v>
      </c>
      <c r="R2772" s="262">
        <v>40000</v>
      </c>
      <c r="S2772" t="s">
        <v>114</v>
      </c>
      <c r="T2772" t="s">
        <v>114</v>
      </c>
      <c r="U2772">
        <v>5</v>
      </c>
      <c r="W2772">
        <v>2648</v>
      </c>
      <c r="X2772">
        <v>0</v>
      </c>
      <c r="Y2772">
        <v>0</v>
      </c>
      <c r="Z2772">
        <v>0</v>
      </c>
      <c r="AA2772">
        <v>0</v>
      </c>
      <c r="AB2772">
        <v>0</v>
      </c>
      <c r="AC2772">
        <v>2648</v>
      </c>
      <c r="AD2772">
        <v>0</v>
      </c>
      <c r="AE2772">
        <v>0</v>
      </c>
      <c r="AF2772">
        <v>0</v>
      </c>
      <c r="AG2772">
        <v>0</v>
      </c>
      <c r="AH2772">
        <v>0</v>
      </c>
      <c r="AI2772">
        <v>0</v>
      </c>
      <c r="AJ2772">
        <v>0</v>
      </c>
      <c r="AK2772">
        <v>0</v>
      </c>
      <c r="AL2772">
        <v>0</v>
      </c>
      <c r="AM2772">
        <v>0</v>
      </c>
      <c r="AN2772">
        <v>0</v>
      </c>
      <c r="AO2772">
        <v>0</v>
      </c>
      <c r="AP2772">
        <v>0</v>
      </c>
      <c r="AQ2772">
        <v>0</v>
      </c>
      <c r="AR2772">
        <v>0</v>
      </c>
      <c r="AS2772">
        <v>0</v>
      </c>
      <c r="AT2772">
        <v>0</v>
      </c>
      <c r="AU2772">
        <f t="shared" si="84"/>
        <v>0</v>
      </c>
      <c r="AV2772">
        <f t="shared" si="85"/>
        <v>0</v>
      </c>
    </row>
    <row r="2773" spans="1:48" x14ac:dyDescent="0.25">
      <c r="A2773" t="s">
        <v>9361</v>
      </c>
      <c r="C2773" t="s">
        <v>9362</v>
      </c>
      <c r="D2773" t="s">
        <v>9363</v>
      </c>
      <c r="E2773" t="s">
        <v>2310</v>
      </c>
      <c r="F2773">
        <v>9</v>
      </c>
      <c r="G2773">
        <v>9.1</v>
      </c>
      <c r="H2773" t="s">
        <v>2323</v>
      </c>
      <c r="I2773" s="21">
        <v>39748</v>
      </c>
      <c r="J2773">
        <v>2008</v>
      </c>
      <c r="K2773" s="21">
        <v>39759</v>
      </c>
      <c r="L2773">
        <v>2008</v>
      </c>
      <c r="M2773" s="21">
        <v>39805</v>
      </c>
      <c r="N2773">
        <v>2008</v>
      </c>
      <c r="R2773" s="262">
        <v>15000</v>
      </c>
      <c r="S2773" t="s">
        <v>114</v>
      </c>
      <c r="T2773" t="s">
        <v>114</v>
      </c>
      <c r="U2773">
        <v>5</v>
      </c>
      <c r="W2773">
        <v>720</v>
      </c>
      <c r="X2773">
        <v>0</v>
      </c>
      <c r="Y2773">
        <v>0</v>
      </c>
      <c r="Z2773">
        <v>0</v>
      </c>
      <c r="AA2773">
        <v>0</v>
      </c>
      <c r="AB2773">
        <v>0</v>
      </c>
      <c r="AC2773">
        <v>720</v>
      </c>
      <c r="AD2773">
        <v>0</v>
      </c>
      <c r="AE2773">
        <v>0</v>
      </c>
      <c r="AF2773">
        <v>0</v>
      </c>
      <c r="AG2773">
        <v>0</v>
      </c>
      <c r="AH2773">
        <v>0</v>
      </c>
      <c r="AI2773">
        <v>0</v>
      </c>
      <c r="AJ2773">
        <v>0</v>
      </c>
      <c r="AK2773">
        <v>0</v>
      </c>
      <c r="AL2773">
        <v>0</v>
      </c>
      <c r="AM2773">
        <v>0</v>
      </c>
      <c r="AN2773">
        <v>0</v>
      </c>
      <c r="AO2773">
        <v>0</v>
      </c>
      <c r="AP2773">
        <v>0</v>
      </c>
      <c r="AQ2773">
        <v>0</v>
      </c>
      <c r="AR2773">
        <v>0</v>
      </c>
      <c r="AS2773">
        <v>0</v>
      </c>
      <c r="AT2773">
        <v>0</v>
      </c>
      <c r="AU2773">
        <f t="shared" si="84"/>
        <v>0</v>
      </c>
      <c r="AV2773">
        <f t="shared" si="85"/>
        <v>0</v>
      </c>
    </row>
    <row r="2774" spans="1:48" x14ac:dyDescent="0.25">
      <c r="A2774" t="s">
        <v>9364</v>
      </c>
      <c r="C2774" t="s">
        <v>9365</v>
      </c>
      <c r="D2774" t="s">
        <v>9366</v>
      </c>
      <c r="E2774" t="s">
        <v>1663</v>
      </c>
      <c r="F2774">
        <v>5</v>
      </c>
      <c r="G2774">
        <v>5.5</v>
      </c>
      <c r="H2774" t="s">
        <v>2017</v>
      </c>
      <c r="I2774" s="21">
        <v>39749</v>
      </c>
      <c r="J2774">
        <v>2008</v>
      </c>
      <c r="K2774" s="21">
        <v>39780</v>
      </c>
      <c r="L2774">
        <v>2008</v>
      </c>
      <c r="M2774" s="21">
        <v>39931</v>
      </c>
      <c r="N2774">
        <v>2009</v>
      </c>
      <c r="Q2774" s="262">
        <v>0</v>
      </c>
      <c r="S2774" t="s">
        <v>114</v>
      </c>
      <c r="T2774" t="s">
        <v>114</v>
      </c>
      <c r="W2774">
        <v>1360</v>
      </c>
      <c r="X2774">
        <v>1</v>
      </c>
      <c r="Y2774">
        <v>0</v>
      </c>
      <c r="Z2774">
        <v>0</v>
      </c>
      <c r="AA2774">
        <v>0</v>
      </c>
      <c r="AB2774">
        <v>0</v>
      </c>
      <c r="AC2774">
        <v>0</v>
      </c>
      <c r="AD2774">
        <v>1360</v>
      </c>
      <c r="AE2774">
        <v>0</v>
      </c>
      <c r="AF2774">
        <v>0</v>
      </c>
      <c r="AG2774">
        <v>0</v>
      </c>
      <c r="AH2774">
        <v>0</v>
      </c>
      <c r="AI2774">
        <v>0</v>
      </c>
      <c r="AJ2774">
        <v>0</v>
      </c>
      <c r="AK2774">
        <v>0</v>
      </c>
      <c r="AL2774">
        <v>0</v>
      </c>
      <c r="AM2774">
        <v>0</v>
      </c>
      <c r="AN2774">
        <v>0</v>
      </c>
      <c r="AO2774">
        <v>0</v>
      </c>
      <c r="AP2774">
        <v>1</v>
      </c>
      <c r="AQ2774">
        <v>0</v>
      </c>
      <c r="AR2774">
        <v>0</v>
      </c>
      <c r="AS2774">
        <v>0</v>
      </c>
      <c r="AT2774">
        <v>0</v>
      </c>
      <c r="AU2774">
        <f t="shared" si="84"/>
        <v>1</v>
      </c>
      <c r="AV2774">
        <f t="shared" si="85"/>
        <v>0</v>
      </c>
    </row>
    <row r="2775" spans="1:48" x14ac:dyDescent="0.25">
      <c r="A2775" t="s">
        <v>9367</v>
      </c>
      <c r="C2775" t="s">
        <v>9368</v>
      </c>
      <c r="D2775" t="s">
        <v>9369</v>
      </c>
      <c r="E2775" t="s">
        <v>1663</v>
      </c>
      <c r="F2775">
        <v>5</v>
      </c>
      <c r="G2775">
        <v>5.5</v>
      </c>
      <c r="H2775" t="s">
        <v>2017</v>
      </c>
      <c r="I2775" s="21">
        <v>39749</v>
      </c>
      <c r="J2775">
        <v>2008</v>
      </c>
      <c r="K2775" s="21">
        <v>39780</v>
      </c>
      <c r="L2775">
        <v>2008</v>
      </c>
      <c r="M2775" s="21">
        <v>39931</v>
      </c>
      <c r="N2775">
        <v>2009</v>
      </c>
      <c r="Q2775" s="262">
        <v>0</v>
      </c>
      <c r="S2775" t="s">
        <v>114</v>
      </c>
      <c r="T2775" t="s">
        <v>114</v>
      </c>
      <c r="W2775">
        <v>1360</v>
      </c>
      <c r="X2775">
        <v>1</v>
      </c>
      <c r="Y2775">
        <v>0</v>
      </c>
      <c r="Z2775">
        <v>0</v>
      </c>
      <c r="AA2775">
        <v>0</v>
      </c>
      <c r="AB2775">
        <v>0</v>
      </c>
      <c r="AC2775">
        <v>0</v>
      </c>
      <c r="AD2775">
        <v>1360</v>
      </c>
      <c r="AE2775">
        <v>0</v>
      </c>
      <c r="AF2775">
        <v>0</v>
      </c>
      <c r="AG2775">
        <v>0</v>
      </c>
      <c r="AH2775">
        <v>0</v>
      </c>
      <c r="AI2775">
        <v>0</v>
      </c>
      <c r="AJ2775">
        <v>0</v>
      </c>
      <c r="AK2775">
        <v>0</v>
      </c>
      <c r="AL2775">
        <v>0</v>
      </c>
      <c r="AM2775">
        <v>0</v>
      </c>
      <c r="AN2775">
        <v>0</v>
      </c>
      <c r="AO2775">
        <v>0</v>
      </c>
      <c r="AP2775">
        <v>1</v>
      </c>
      <c r="AQ2775">
        <v>0</v>
      </c>
      <c r="AR2775">
        <v>0</v>
      </c>
      <c r="AS2775">
        <v>0</v>
      </c>
      <c r="AT2775">
        <v>0</v>
      </c>
      <c r="AU2775">
        <f t="shared" si="84"/>
        <v>1</v>
      </c>
      <c r="AV2775">
        <f t="shared" si="85"/>
        <v>0</v>
      </c>
    </row>
    <row r="2776" spans="1:48" x14ac:dyDescent="0.25">
      <c r="A2776" t="s">
        <v>9370</v>
      </c>
      <c r="C2776" t="s">
        <v>9371</v>
      </c>
      <c r="D2776" t="s">
        <v>9372</v>
      </c>
      <c r="E2776" t="s">
        <v>1663</v>
      </c>
      <c r="F2776">
        <v>5</v>
      </c>
      <c r="G2776">
        <v>5.5</v>
      </c>
      <c r="H2776" t="s">
        <v>2017</v>
      </c>
      <c r="I2776" s="21">
        <v>39749</v>
      </c>
      <c r="J2776">
        <v>2008</v>
      </c>
      <c r="K2776" s="21">
        <v>39780</v>
      </c>
      <c r="L2776">
        <v>2008</v>
      </c>
      <c r="M2776" s="21">
        <v>39931</v>
      </c>
      <c r="N2776">
        <v>2009</v>
      </c>
      <c r="Q2776" s="262">
        <v>0</v>
      </c>
      <c r="S2776" t="s">
        <v>114</v>
      </c>
      <c r="T2776" t="s">
        <v>114</v>
      </c>
      <c r="W2776">
        <v>1360</v>
      </c>
      <c r="X2776">
        <v>1</v>
      </c>
      <c r="Y2776">
        <v>0</v>
      </c>
      <c r="Z2776">
        <v>0</v>
      </c>
      <c r="AA2776">
        <v>0</v>
      </c>
      <c r="AB2776">
        <v>0</v>
      </c>
      <c r="AC2776">
        <v>0</v>
      </c>
      <c r="AD2776">
        <v>1360</v>
      </c>
      <c r="AE2776">
        <v>0</v>
      </c>
      <c r="AF2776">
        <v>0</v>
      </c>
      <c r="AG2776">
        <v>0</v>
      </c>
      <c r="AH2776">
        <v>0</v>
      </c>
      <c r="AI2776">
        <v>0</v>
      </c>
      <c r="AJ2776">
        <v>0</v>
      </c>
      <c r="AK2776">
        <v>0</v>
      </c>
      <c r="AL2776">
        <v>0</v>
      </c>
      <c r="AM2776">
        <v>0</v>
      </c>
      <c r="AN2776">
        <v>0</v>
      </c>
      <c r="AO2776">
        <v>0</v>
      </c>
      <c r="AP2776">
        <v>1</v>
      </c>
      <c r="AQ2776">
        <v>0</v>
      </c>
      <c r="AR2776">
        <v>0</v>
      </c>
      <c r="AS2776">
        <v>0</v>
      </c>
      <c r="AT2776">
        <v>0</v>
      </c>
      <c r="AU2776">
        <f t="shared" si="84"/>
        <v>1</v>
      </c>
      <c r="AV2776">
        <f t="shared" si="85"/>
        <v>0</v>
      </c>
    </row>
    <row r="2777" spans="1:48" x14ac:dyDescent="0.25">
      <c r="A2777" t="s">
        <v>9373</v>
      </c>
      <c r="C2777" t="s">
        <v>9374</v>
      </c>
      <c r="D2777" t="s">
        <v>9375</v>
      </c>
      <c r="E2777" t="s">
        <v>1663</v>
      </c>
      <c r="F2777">
        <v>5</v>
      </c>
      <c r="G2777">
        <v>5.5</v>
      </c>
      <c r="H2777" t="s">
        <v>2017</v>
      </c>
      <c r="I2777" s="21">
        <v>39749</v>
      </c>
      <c r="J2777">
        <v>2008</v>
      </c>
      <c r="K2777" s="21">
        <v>39780</v>
      </c>
      <c r="L2777">
        <v>2008</v>
      </c>
      <c r="M2777" s="21">
        <v>39931</v>
      </c>
      <c r="N2777">
        <v>2009</v>
      </c>
      <c r="Q2777" s="262">
        <v>0</v>
      </c>
      <c r="S2777" t="s">
        <v>114</v>
      </c>
      <c r="T2777" t="s">
        <v>114</v>
      </c>
      <c r="W2777">
        <v>1360</v>
      </c>
      <c r="X2777">
        <v>1</v>
      </c>
      <c r="Y2777">
        <v>0</v>
      </c>
      <c r="Z2777">
        <v>0</v>
      </c>
      <c r="AA2777">
        <v>0</v>
      </c>
      <c r="AB2777">
        <v>0</v>
      </c>
      <c r="AC2777">
        <v>0</v>
      </c>
      <c r="AD2777">
        <v>1360</v>
      </c>
      <c r="AE2777">
        <v>0</v>
      </c>
      <c r="AF2777">
        <v>0</v>
      </c>
      <c r="AG2777">
        <v>0</v>
      </c>
      <c r="AH2777">
        <v>0</v>
      </c>
      <c r="AI2777">
        <v>0</v>
      </c>
      <c r="AJ2777">
        <v>0</v>
      </c>
      <c r="AK2777">
        <v>0</v>
      </c>
      <c r="AL2777">
        <v>0</v>
      </c>
      <c r="AM2777">
        <v>0</v>
      </c>
      <c r="AN2777">
        <v>0</v>
      </c>
      <c r="AO2777">
        <v>0</v>
      </c>
      <c r="AP2777">
        <v>1</v>
      </c>
      <c r="AQ2777">
        <v>0</v>
      </c>
      <c r="AR2777">
        <v>0</v>
      </c>
      <c r="AS2777">
        <v>0</v>
      </c>
      <c r="AT2777">
        <v>0</v>
      </c>
      <c r="AU2777">
        <f t="shared" ref="AU2777:AU2840" si="86">SUM(AN2777:AQ2777,AS2777)</f>
        <v>1</v>
      </c>
      <c r="AV2777">
        <f t="shared" ref="AV2777:AV2840" si="87">SUM(Y2777:AB2777,AH2777:AM2777)</f>
        <v>0</v>
      </c>
    </row>
    <row r="2778" spans="1:48" x14ac:dyDescent="0.25">
      <c r="A2778" t="s">
        <v>9376</v>
      </c>
      <c r="C2778" t="s">
        <v>6890</v>
      </c>
      <c r="D2778" t="s">
        <v>9377</v>
      </c>
      <c r="E2778" t="s">
        <v>1663</v>
      </c>
      <c r="F2778">
        <v>5</v>
      </c>
      <c r="G2778">
        <v>5.5</v>
      </c>
      <c r="H2778" t="s">
        <v>2017</v>
      </c>
      <c r="I2778" s="21">
        <v>39749</v>
      </c>
      <c r="J2778">
        <v>2008</v>
      </c>
      <c r="K2778" s="21">
        <v>39780</v>
      </c>
      <c r="L2778">
        <v>2008</v>
      </c>
      <c r="M2778" s="21">
        <v>39931</v>
      </c>
      <c r="N2778">
        <v>2009</v>
      </c>
      <c r="Q2778" s="262">
        <v>0</v>
      </c>
      <c r="S2778" t="s">
        <v>114</v>
      </c>
      <c r="T2778" t="s">
        <v>114</v>
      </c>
      <c r="W2778">
        <v>1306</v>
      </c>
      <c r="X2778">
        <v>1</v>
      </c>
      <c r="Y2778">
        <v>0</v>
      </c>
      <c r="Z2778">
        <v>0</v>
      </c>
      <c r="AA2778">
        <v>0</v>
      </c>
      <c r="AB2778">
        <v>0</v>
      </c>
      <c r="AC2778">
        <v>0</v>
      </c>
      <c r="AD2778">
        <v>1306</v>
      </c>
      <c r="AE2778">
        <v>0</v>
      </c>
      <c r="AF2778">
        <v>0</v>
      </c>
      <c r="AG2778">
        <v>0</v>
      </c>
      <c r="AH2778">
        <v>0</v>
      </c>
      <c r="AI2778">
        <v>0</v>
      </c>
      <c r="AJ2778">
        <v>0</v>
      </c>
      <c r="AK2778">
        <v>0</v>
      </c>
      <c r="AL2778">
        <v>0</v>
      </c>
      <c r="AM2778">
        <v>0</v>
      </c>
      <c r="AN2778">
        <v>0</v>
      </c>
      <c r="AO2778">
        <v>0</v>
      </c>
      <c r="AP2778">
        <v>1</v>
      </c>
      <c r="AQ2778">
        <v>0</v>
      </c>
      <c r="AR2778">
        <v>0</v>
      </c>
      <c r="AS2778">
        <v>0</v>
      </c>
      <c r="AT2778">
        <v>0</v>
      </c>
      <c r="AU2778">
        <f t="shared" si="86"/>
        <v>1</v>
      </c>
      <c r="AV2778">
        <f t="shared" si="87"/>
        <v>0</v>
      </c>
    </row>
    <row r="2779" spans="1:48" x14ac:dyDescent="0.25">
      <c r="A2779" t="s">
        <v>9378</v>
      </c>
      <c r="C2779" t="s">
        <v>9379</v>
      </c>
      <c r="D2779" t="s">
        <v>9380</v>
      </c>
      <c r="E2779" t="s">
        <v>1663</v>
      </c>
      <c r="F2779">
        <v>5</v>
      </c>
      <c r="G2779">
        <v>5.5</v>
      </c>
      <c r="H2779" t="s">
        <v>2017</v>
      </c>
      <c r="I2779" s="21">
        <v>39749</v>
      </c>
      <c r="J2779">
        <v>2008</v>
      </c>
      <c r="K2779" s="21">
        <v>39780</v>
      </c>
      <c r="L2779">
        <v>2008</v>
      </c>
      <c r="M2779" s="21">
        <v>39931</v>
      </c>
      <c r="N2779">
        <v>2009</v>
      </c>
      <c r="Q2779" s="262">
        <v>0</v>
      </c>
      <c r="S2779" t="s">
        <v>114</v>
      </c>
      <c r="T2779" t="s">
        <v>114</v>
      </c>
      <c r="W2779">
        <v>1306</v>
      </c>
      <c r="X2779">
        <v>1</v>
      </c>
      <c r="Y2779">
        <v>0</v>
      </c>
      <c r="Z2779">
        <v>0</v>
      </c>
      <c r="AA2779">
        <v>0</v>
      </c>
      <c r="AB2779">
        <v>0</v>
      </c>
      <c r="AC2779">
        <v>0</v>
      </c>
      <c r="AD2779">
        <v>1306</v>
      </c>
      <c r="AE2779">
        <v>0</v>
      </c>
      <c r="AF2779">
        <v>0</v>
      </c>
      <c r="AG2779">
        <v>0</v>
      </c>
      <c r="AH2779">
        <v>0</v>
      </c>
      <c r="AI2779">
        <v>0</v>
      </c>
      <c r="AJ2779">
        <v>0</v>
      </c>
      <c r="AK2779">
        <v>0</v>
      </c>
      <c r="AL2779">
        <v>0</v>
      </c>
      <c r="AM2779">
        <v>0</v>
      </c>
      <c r="AN2779">
        <v>0</v>
      </c>
      <c r="AO2779">
        <v>0</v>
      </c>
      <c r="AP2779">
        <v>1</v>
      </c>
      <c r="AQ2779">
        <v>0</v>
      </c>
      <c r="AR2779">
        <v>0</v>
      </c>
      <c r="AS2779">
        <v>0</v>
      </c>
      <c r="AT2779">
        <v>0</v>
      </c>
      <c r="AU2779">
        <f t="shared" si="86"/>
        <v>1</v>
      </c>
      <c r="AV2779">
        <f t="shared" si="87"/>
        <v>0</v>
      </c>
    </row>
    <row r="2780" spans="1:48" x14ac:dyDescent="0.25">
      <c r="A2780" t="s">
        <v>9381</v>
      </c>
      <c r="C2780" t="s">
        <v>9382</v>
      </c>
      <c r="D2780" t="s">
        <v>9383</v>
      </c>
      <c r="E2780" t="s">
        <v>1663</v>
      </c>
      <c r="F2780">
        <v>5</v>
      </c>
      <c r="G2780">
        <v>5.5</v>
      </c>
      <c r="H2780" t="s">
        <v>2017</v>
      </c>
      <c r="I2780" s="21">
        <v>39749</v>
      </c>
      <c r="J2780">
        <v>2008</v>
      </c>
      <c r="K2780" s="21">
        <v>39780</v>
      </c>
      <c r="L2780">
        <v>2008</v>
      </c>
      <c r="M2780" s="21">
        <v>39931</v>
      </c>
      <c r="N2780">
        <v>2009</v>
      </c>
      <c r="Q2780" s="262">
        <v>0</v>
      </c>
      <c r="S2780" t="s">
        <v>114</v>
      </c>
      <c r="T2780" t="s">
        <v>114</v>
      </c>
      <c r="W2780">
        <v>1306</v>
      </c>
      <c r="X2780">
        <v>1</v>
      </c>
      <c r="Y2780">
        <v>0</v>
      </c>
      <c r="Z2780">
        <v>0</v>
      </c>
      <c r="AA2780">
        <v>0</v>
      </c>
      <c r="AB2780">
        <v>0</v>
      </c>
      <c r="AC2780">
        <v>0</v>
      </c>
      <c r="AD2780">
        <v>1306</v>
      </c>
      <c r="AE2780">
        <v>0</v>
      </c>
      <c r="AF2780">
        <v>0</v>
      </c>
      <c r="AG2780">
        <v>0</v>
      </c>
      <c r="AH2780">
        <v>0</v>
      </c>
      <c r="AI2780">
        <v>0</v>
      </c>
      <c r="AJ2780">
        <v>0</v>
      </c>
      <c r="AK2780">
        <v>0</v>
      </c>
      <c r="AL2780">
        <v>0</v>
      </c>
      <c r="AM2780">
        <v>0</v>
      </c>
      <c r="AN2780">
        <v>0</v>
      </c>
      <c r="AO2780">
        <v>0</v>
      </c>
      <c r="AP2780">
        <v>1</v>
      </c>
      <c r="AQ2780">
        <v>0</v>
      </c>
      <c r="AR2780">
        <v>0</v>
      </c>
      <c r="AS2780">
        <v>0</v>
      </c>
      <c r="AT2780">
        <v>0</v>
      </c>
      <c r="AU2780">
        <f t="shared" si="86"/>
        <v>1</v>
      </c>
      <c r="AV2780">
        <f t="shared" si="87"/>
        <v>0</v>
      </c>
    </row>
    <row r="2781" spans="1:48" x14ac:dyDescent="0.25">
      <c r="A2781" t="s">
        <v>9384</v>
      </c>
      <c r="C2781" t="s">
        <v>9385</v>
      </c>
      <c r="D2781" t="s">
        <v>9386</v>
      </c>
      <c r="E2781" t="s">
        <v>1663</v>
      </c>
      <c r="F2781">
        <v>5</v>
      </c>
      <c r="G2781">
        <v>5.5</v>
      </c>
      <c r="H2781" t="s">
        <v>2017</v>
      </c>
      <c r="I2781" s="21">
        <v>39749</v>
      </c>
      <c r="J2781">
        <v>2008</v>
      </c>
      <c r="K2781" s="21">
        <v>39780</v>
      </c>
      <c r="L2781">
        <v>2008</v>
      </c>
      <c r="M2781" s="21">
        <v>39931</v>
      </c>
      <c r="N2781">
        <v>2009</v>
      </c>
      <c r="Q2781" s="262">
        <v>0</v>
      </c>
      <c r="S2781" t="s">
        <v>114</v>
      </c>
      <c r="T2781" t="s">
        <v>114</v>
      </c>
      <c r="W2781">
        <v>1306</v>
      </c>
      <c r="X2781">
        <v>1</v>
      </c>
      <c r="Y2781">
        <v>0</v>
      </c>
      <c r="Z2781">
        <v>0</v>
      </c>
      <c r="AA2781">
        <v>0</v>
      </c>
      <c r="AB2781">
        <v>0</v>
      </c>
      <c r="AC2781">
        <v>0</v>
      </c>
      <c r="AD2781">
        <v>1306</v>
      </c>
      <c r="AE2781">
        <v>0</v>
      </c>
      <c r="AF2781">
        <v>0</v>
      </c>
      <c r="AG2781">
        <v>0</v>
      </c>
      <c r="AH2781">
        <v>0</v>
      </c>
      <c r="AI2781">
        <v>0</v>
      </c>
      <c r="AJ2781">
        <v>0</v>
      </c>
      <c r="AK2781">
        <v>0</v>
      </c>
      <c r="AL2781">
        <v>0</v>
      </c>
      <c r="AM2781">
        <v>0</v>
      </c>
      <c r="AN2781">
        <v>0</v>
      </c>
      <c r="AO2781">
        <v>0</v>
      </c>
      <c r="AP2781">
        <v>1</v>
      </c>
      <c r="AQ2781">
        <v>0</v>
      </c>
      <c r="AR2781">
        <v>0</v>
      </c>
      <c r="AS2781">
        <v>0</v>
      </c>
      <c r="AT2781">
        <v>0</v>
      </c>
      <c r="AU2781">
        <f t="shared" si="86"/>
        <v>1</v>
      </c>
      <c r="AV2781">
        <f t="shared" si="87"/>
        <v>0</v>
      </c>
    </row>
    <row r="2782" spans="1:48" x14ac:dyDescent="0.25">
      <c r="A2782" t="s">
        <v>9387</v>
      </c>
      <c r="C2782" t="s">
        <v>9388</v>
      </c>
      <c r="D2782" t="s">
        <v>9389</v>
      </c>
      <c r="E2782" t="s">
        <v>1663</v>
      </c>
      <c r="F2782">
        <v>5</v>
      </c>
      <c r="G2782">
        <v>5.5</v>
      </c>
      <c r="H2782" t="s">
        <v>2017</v>
      </c>
      <c r="I2782" s="21">
        <v>39749</v>
      </c>
      <c r="J2782">
        <v>2008</v>
      </c>
      <c r="K2782" s="21">
        <v>39780</v>
      </c>
      <c r="L2782">
        <v>2008</v>
      </c>
      <c r="M2782" s="21">
        <v>39931</v>
      </c>
      <c r="N2782">
        <v>2009</v>
      </c>
      <c r="Q2782" s="262">
        <v>0</v>
      </c>
      <c r="S2782" t="s">
        <v>114</v>
      </c>
      <c r="T2782" t="s">
        <v>114</v>
      </c>
      <c r="W2782">
        <v>1306</v>
      </c>
      <c r="X2782">
        <v>1</v>
      </c>
      <c r="Y2782">
        <v>0</v>
      </c>
      <c r="Z2782">
        <v>0</v>
      </c>
      <c r="AA2782">
        <v>0</v>
      </c>
      <c r="AB2782">
        <v>0</v>
      </c>
      <c r="AC2782">
        <v>0</v>
      </c>
      <c r="AD2782">
        <v>1306</v>
      </c>
      <c r="AE2782">
        <v>0</v>
      </c>
      <c r="AF2782">
        <v>0</v>
      </c>
      <c r="AG2782">
        <v>0</v>
      </c>
      <c r="AH2782">
        <v>0</v>
      </c>
      <c r="AI2782">
        <v>0</v>
      </c>
      <c r="AJ2782">
        <v>0</v>
      </c>
      <c r="AK2782">
        <v>0</v>
      </c>
      <c r="AL2782">
        <v>0</v>
      </c>
      <c r="AM2782">
        <v>0</v>
      </c>
      <c r="AN2782">
        <v>0</v>
      </c>
      <c r="AO2782">
        <v>0</v>
      </c>
      <c r="AP2782">
        <v>1</v>
      </c>
      <c r="AQ2782">
        <v>0</v>
      </c>
      <c r="AR2782">
        <v>0</v>
      </c>
      <c r="AS2782">
        <v>0</v>
      </c>
      <c r="AT2782">
        <v>0</v>
      </c>
      <c r="AU2782">
        <f t="shared" si="86"/>
        <v>1</v>
      </c>
      <c r="AV2782">
        <f t="shared" si="87"/>
        <v>0</v>
      </c>
    </row>
    <row r="2783" spans="1:48" x14ac:dyDescent="0.25">
      <c r="A2783" t="s">
        <v>9390</v>
      </c>
      <c r="C2783" t="s">
        <v>9391</v>
      </c>
      <c r="D2783" t="s">
        <v>9392</v>
      </c>
      <c r="E2783" t="s">
        <v>1663</v>
      </c>
      <c r="F2783">
        <v>5</v>
      </c>
      <c r="G2783">
        <v>5.5</v>
      </c>
      <c r="H2783" t="s">
        <v>2017</v>
      </c>
      <c r="I2783" s="21">
        <v>39750</v>
      </c>
      <c r="J2783">
        <v>2008</v>
      </c>
      <c r="K2783" s="21">
        <v>39781</v>
      </c>
      <c r="L2783">
        <v>2008</v>
      </c>
      <c r="M2783" s="21">
        <v>39932</v>
      </c>
      <c r="N2783">
        <v>2009</v>
      </c>
      <c r="Q2783" s="262">
        <v>0</v>
      </c>
      <c r="S2783" t="s">
        <v>114</v>
      </c>
      <c r="T2783" t="s">
        <v>114</v>
      </c>
      <c r="W2783">
        <v>1976</v>
      </c>
      <c r="X2783">
        <v>1</v>
      </c>
      <c r="Y2783">
        <v>0</v>
      </c>
      <c r="Z2783">
        <v>0</v>
      </c>
      <c r="AA2783">
        <v>0</v>
      </c>
      <c r="AB2783">
        <v>0</v>
      </c>
      <c r="AC2783">
        <v>0</v>
      </c>
      <c r="AD2783">
        <v>1976</v>
      </c>
      <c r="AE2783">
        <v>0</v>
      </c>
      <c r="AF2783">
        <v>0</v>
      </c>
      <c r="AG2783">
        <v>0</v>
      </c>
      <c r="AH2783">
        <v>0</v>
      </c>
      <c r="AI2783">
        <v>0</v>
      </c>
      <c r="AJ2783">
        <v>0</v>
      </c>
      <c r="AK2783">
        <v>0</v>
      </c>
      <c r="AL2783">
        <v>0</v>
      </c>
      <c r="AM2783">
        <v>0</v>
      </c>
      <c r="AN2783">
        <v>0</v>
      </c>
      <c r="AO2783">
        <v>0</v>
      </c>
      <c r="AP2783">
        <v>1</v>
      </c>
      <c r="AQ2783">
        <v>0</v>
      </c>
      <c r="AR2783">
        <v>0</v>
      </c>
      <c r="AS2783">
        <v>0</v>
      </c>
      <c r="AT2783">
        <v>0</v>
      </c>
      <c r="AU2783">
        <f t="shared" si="86"/>
        <v>1</v>
      </c>
      <c r="AV2783">
        <f t="shared" si="87"/>
        <v>0</v>
      </c>
    </row>
    <row r="2784" spans="1:48" x14ac:dyDescent="0.25">
      <c r="A2784" t="s">
        <v>9393</v>
      </c>
      <c r="C2784" t="s">
        <v>9394</v>
      </c>
      <c r="D2784" t="s">
        <v>9395</v>
      </c>
      <c r="E2784" t="s">
        <v>1663</v>
      </c>
      <c r="F2784">
        <v>5</v>
      </c>
      <c r="G2784">
        <v>5.5</v>
      </c>
      <c r="H2784" t="s">
        <v>2017</v>
      </c>
      <c r="I2784" s="21">
        <v>39750</v>
      </c>
      <c r="J2784">
        <v>2008</v>
      </c>
      <c r="K2784" s="21">
        <v>39781</v>
      </c>
      <c r="L2784">
        <v>2008</v>
      </c>
      <c r="M2784" s="21">
        <v>39932</v>
      </c>
      <c r="N2784">
        <v>2009</v>
      </c>
      <c r="Q2784" s="262">
        <v>0</v>
      </c>
      <c r="S2784" t="s">
        <v>114</v>
      </c>
      <c r="T2784" t="s">
        <v>114</v>
      </c>
      <c r="W2784">
        <v>1976</v>
      </c>
      <c r="X2784">
        <v>1</v>
      </c>
      <c r="Y2784">
        <v>0</v>
      </c>
      <c r="Z2784">
        <v>0</v>
      </c>
      <c r="AA2784">
        <v>0</v>
      </c>
      <c r="AB2784">
        <v>0</v>
      </c>
      <c r="AC2784">
        <v>0</v>
      </c>
      <c r="AD2784">
        <v>1976</v>
      </c>
      <c r="AE2784">
        <v>0</v>
      </c>
      <c r="AF2784">
        <v>0</v>
      </c>
      <c r="AG2784">
        <v>0</v>
      </c>
      <c r="AH2784">
        <v>0</v>
      </c>
      <c r="AI2784">
        <v>0</v>
      </c>
      <c r="AJ2784">
        <v>0</v>
      </c>
      <c r="AK2784">
        <v>0</v>
      </c>
      <c r="AL2784">
        <v>0</v>
      </c>
      <c r="AM2784">
        <v>0</v>
      </c>
      <c r="AN2784">
        <v>0</v>
      </c>
      <c r="AO2784">
        <v>0</v>
      </c>
      <c r="AP2784">
        <v>1</v>
      </c>
      <c r="AQ2784">
        <v>0</v>
      </c>
      <c r="AR2784">
        <v>0</v>
      </c>
      <c r="AS2784">
        <v>0</v>
      </c>
      <c r="AT2784">
        <v>0</v>
      </c>
      <c r="AU2784">
        <f t="shared" si="86"/>
        <v>1</v>
      </c>
      <c r="AV2784">
        <f t="shared" si="87"/>
        <v>0</v>
      </c>
    </row>
    <row r="2785" spans="1:48" x14ac:dyDescent="0.25">
      <c r="A2785" t="s">
        <v>9396</v>
      </c>
      <c r="C2785" t="s">
        <v>9397</v>
      </c>
      <c r="D2785" t="s">
        <v>9398</v>
      </c>
      <c r="E2785" t="s">
        <v>1663</v>
      </c>
      <c r="F2785">
        <v>5</v>
      </c>
      <c r="G2785">
        <v>5.5</v>
      </c>
      <c r="H2785" t="s">
        <v>2017</v>
      </c>
      <c r="I2785" s="21">
        <v>39750</v>
      </c>
      <c r="J2785">
        <v>2008</v>
      </c>
      <c r="K2785" s="21">
        <v>39781</v>
      </c>
      <c r="L2785">
        <v>2008</v>
      </c>
      <c r="M2785" s="21">
        <v>39932</v>
      </c>
      <c r="N2785">
        <v>2009</v>
      </c>
      <c r="Q2785" s="262">
        <v>0</v>
      </c>
      <c r="S2785" t="s">
        <v>114</v>
      </c>
      <c r="T2785" t="s">
        <v>114</v>
      </c>
      <c r="W2785">
        <v>1976</v>
      </c>
      <c r="X2785">
        <v>1</v>
      </c>
      <c r="Y2785">
        <v>0</v>
      </c>
      <c r="Z2785">
        <v>0</v>
      </c>
      <c r="AA2785">
        <v>0</v>
      </c>
      <c r="AB2785">
        <v>0</v>
      </c>
      <c r="AC2785">
        <v>0</v>
      </c>
      <c r="AD2785">
        <v>1976</v>
      </c>
      <c r="AE2785">
        <v>0</v>
      </c>
      <c r="AF2785">
        <v>0</v>
      </c>
      <c r="AG2785">
        <v>0</v>
      </c>
      <c r="AH2785">
        <v>0</v>
      </c>
      <c r="AI2785">
        <v>0</v>
      </c>
      <c r="AJ2785">
        <v>0</v>
      </c>
      <c r="AK2785">
        <v>0</v>
      </c>
      <c r="AL2785">
        <v>0</v>
      </c>
      <c r="AM2785">
        <v>0</v>
      </c>
      <c r="AN2785">
        <v>0</v>
      </c>
      <c r="AO2785">
        <v>0</v>
      </c>
      <c r="AP2785">
        <v>1</v>
      </c>
      <c r="AQ2785">
        <v>0</v>
      </c>
      <c r="AR2785">
        <v>0</v>
      </c>
      <c r="AS2785">
        <v>0</v>
      </c>
      <c r="AT2785">
        <v>0</v>
      </c>
      <c r="AU2785">
        <f t="shared" si="86"/>
        <v>1</v>
      </c>
      <c r="AV2785">
        <f t="shared" si="87"/>
        <v>0</v>
      </c>
    </row>
    <row r="2786" spans="1:48" x14ac:dyDescent="0.25">
      <c r="A2786" t="s">
        <v>9399</v>
      </c>
      <c r="C2786" t="s">
        <v>9400</v>
      </c>
      <c r="D2786" t="s">
        <v>9401</v>
      </c>
      <c r="E2786" t="s">
        <v>1663</v>
      </c>
      <c r="F2786">
        <v>5</v>
      </c>
      <c r="G2786">
        <v>5.5</v>
      </c>
      <c r="H2786" t="s">
        <v>2017</v>
      </c>
      <c r="I2786" s="21">
        <v>39750</v>
      </c>
      <c r="J2786">
        <v>2008</v>
      </c>
      <c r="K2786" s="21">
        <v>39781</v>
      </c>
      <c r="L2786">
        <v>2008</v>
      </c>
      <c r="M2786" s="21">
        <v>39932</v>
      </c>
      <c r="N2786">
        <v>2009</v>
      </c>
      <c r="Q2786" s="262">
        <v>0</v>
      </c>
      <c r="S2786" t="s">
        <v>114</v>
      </c>
      <c r="T2786" t="s">
        <v>114</v>
      </c>
      <c r="W2786">
        <v>1976</v>
      </c>
      <c r="X2786">
        <v>1</v>
      </c>
      <c r="Y2786">
        <v>0</v>
      </c>
      <c r="Z2786">
        <v>0</v>
      </c>
      <c r="AA2786">
        <v>0</v>
      </c>
      <c r="AB2786">
        <v>0</v>
      </c>
      <c r="AC2786">
        <v>0</v>
      </c>
      <c r="AD2786">
        <v>1976</v>
      </c>
      <c r="AE2786">
        <v>0</v>
      </c>
      <c r="AF2786">
        <v>0</v>
      </c>
      <c r="AG2786">
        <v>0</v>
      </c>
      <c r="AH2786">
        <v>0</v>
      </c>
      <c r="AI2786">
        <v>0</v>
      </c>
      <c r="AJ2786">
        <v>0</v>
      </c>
      <c r="AK2786">
        <v>0</v>
      </c>
      <c r="AL2786">
        <v>0</v>
      </c>
      <c r="AM2786">
        <v>0</v>
      </c>
      <c r="AN2786">
        <v>0</v>
      </c>
      <c r="AO2786">
        <v>0</v>
      </c>
      <c r="AP2786">
        <v>1</v>
      </c>
      <c r="AQ2786">
        <v>0</v>
      </c>
      <c r="AR2786">
        <v>0</v>
      </c>
      <c r="AS2786">
        <v>0</v>
      </c>
      <c r="AT2786">
        <v>0</v>
      </c>
      <c r="AU2786">
        <f t="shared" si="86"/>
        <v>1</v>
      </c>
      <c r="AV2786">
        <f t="shared" si="87"/>
        <v>0</v>
      </c>
    </row>
    <row r="2787" spans="1:48" x14ac:dyDescent="0.25">
      <c r="A2787" t="s">
        <v>9402</v>
      </c>
      <c r="C2787" t="s">
        <v>9403</v>
      </c>
      <c r="D2787" t="s">
        <v>9404</v>
      </c>
      <c r="E2787" t="s">
        <v>1663</v>
      </c>
      <c r="F2787">
        <v>5</v>
      </c>
      <c r="G2787">
        <v>5.5</v>
      </c>
      <c r="H2787" t="s">
        <v>2017</v>
      </c>
      <c r="I2787" s="21">
        <v>39752</v>
      </c>
      <c r="J2787">
        <v>2008</v>
      </c>
      <c r="K2787" s="21">
        <v>39782</v>
      </c>
      <c r="L2787">
        <v>2008</v>
      </c>
      <c r="M2787" s="21">
        <v>39933</v>
      </c>
      <c r="N2787">
        <v>2009</v>
      </c>
      <c r="Q2787" s="262">
        <v>0</v>
      </c>
      <c r="S2787" t="s">
        <v>114</v>
      </c>
      <c r="T2787" t="s">
        <v>114</v>
      </c>
      <c r="W2787">
        <v>1360</v>
      </c>
      <c r="X2787">
        <v>1</v>
      </c>
      <c r="Y2787">
        <v>0</v>
      </c>
      <c r="Z2787">
        <v>0</v>
      </c>
      <c r="AA2787">
        <v>0</v>
      </c>
      <c r="AB2787">
        <v>0</v>
      </c>
      <c r="AC2787">
        <v>0</v>
      </c>
      <c r="AD2787">
        <v>1360</v>
      </c>
      <c r="AE2787">
        <v>0</v>
      </c>
      <c r="AF2787">
        <v>0</v>
      </c>
      <c r="AG2787">
        <v>0</v>
      </c>
      <c r="AH2787">
        <v>0</v>
      </c>
      <c r="AI2787">
        <v>0</v>
      </c>
      <c r="AJ2787">
        <v>0</v>
      </c>
      <c r="AK2787">
        <v>0</v>
      </c>
      <c r="AL2787">
        <v>0</v>
      </c>
      <c r="AM2787">
        <v>0</v>
      </c>
      <c r="AN2787">
        <v>0</v>
      </c>
      <c r="AO2787">
        <v>0</v>
      </c>
      <c r="AP2787">
        <v>1</v>
      </c>
      <c r="AQ2787">
        <v>0</v>
      </c>
      <c r="AR2787">
        <v>0</v>
      </c>
      <c r="AS2787">
        <v>0</v>
      </c>
      <c r="AT2787">
        <v>0</v>
      </c>
      <c r="AU2787">
        <f t="shared" si="86"/>
        <v>1</v>
      </c>
      <c r="AV2787">
        <f t="shared" si="87"/>
        <v>0</v>
      </c>
    </row>
    <row r="2788" spans="1:48" x14ac:dyDescent="0.25">
      <c r="A2788" t="s">
        <v>9405</v>
      </c>
      <c r="C2788" t="s">
        <v>9406</v>
      </c>
      <c r="D2788" t="s">
        <v>9407</v>
      </c>
      <c r="E2788" t="s">
        <v>1663</v>
      </c>
      <c r="F2788">
        <v>5</v>
      </c>
      <c r="G2788">
        <v>5.5</v>
      </c>
      <c r="H2788" t="s">
        <v>2017</v>
      </c>
      <c r="I2788" s="21">
        <v>39752</v>
      </c>
      <c r="J2788">
        <v>2008</v>
      </c>
      <c r="K2788" s="21">
        <v>39782</v>
      </c>
      <c r="L2788">
        <v>2008</v>
      </c>
      <c r="M2788" s="21">
        <v>39933</v>
      </c>
      <c r="N2788">
        <v>2009</v>
      </c>
      <c r="Q2788" s="262">
        <v>0</v>
      </c>
      <c r="S2788" t="s">
        <v>114</v>
      </c>
      <c r="T2788" t="s">
        <v>114</v>
      </c>
      <c r="W2788">
        <v>1360</v>
      </c>
      <c r="X2788">
        <v>1</v>
      </c>
      <c r="Y2788">
        <v>0</v>
      </c>
      <c r="Z2788">
        <v>0</v>
      </c>
      <c r="AA2788">
        <v>0</v>
      </c>
      <c r="AB2788">
        <v>0</v>
      </c>
      <c r="AC2788">
        <v>0</v>
      </c>
      <c r="AD2788">
        <v>1360</v>
      </c>
      <c r="AE2788">
        <v>0</v>
      </c>
      <c r="AF2788">
        <v>0</v>
      </c>
      <c r="AG2788">
        <v>0</v>
      </c>
      <c r="AH2788">
        <v>0</v>
      </c>
      <c r="AI2788">
        <v>0</v>
      </c>
      <c r="AJ2788">
        <v>0</v>
      </c>
      <c r="AK2788">
        <v>0</v>
      </c>
      <c r="AL2788">
        <v>0</v>
      </c>
      <c r="AM2788">
        <v>0</v>
      </c>
      <c r="AN2788">
        <v>0</v>
      </c>
      <c r="AO2788">
        <v>0</v>
      </c>
      <c r="AP2788">
        <v>1</v>
      </c>
      <c r="AQ2788">
        <v>0</v>
      </c>
      <c r="AR2788">
        <v>0</v>
      </c>
      <c r="AS2788">
        <v>0</v>
      </c>
      <c r="AT2788">
        <v>0</v>
      </c>
      <c r="AU2788">
        <f t="shared" si="86"/>
        <v>1</v>
      </c>
      <c r="AV2788">
        <f t="shared" si="87"/>
        <v>0</v>
      </c>
    </row>
    <row r="2789" spans="1:48" x14ac:dyDescent="0.25">
      <c r="A2789" t="s">
        <v>9408</v>
      </c>
      <c r="C2789" t="s">
        <v>9409</v>
      </c>
      <c r="D2789" t="s">
        <v>9410</v>
      </c>
      <c r="E2789" t="s">
        <v>1663</v>
      </c>
      <c r="F2789">
        <v>5</v>
      </c>
      <c r="G2789">
        <v>5.5</v>
      </c>
      <c r="H2789" t="s">
        <v>2017</v>
      </c>
      <c r="I2789" s="21">
        <v>39752</v>
      </c>
      <c r="J2789">
        <v>2008</v>
      </c>
      <c r="K2789" s="21">
        <v>39782</v>
      </c>
      <c r="L2789">
        <v>2008</v>
      </c>
      <c r="M2789" s="21">
        <v>39933</v>
      </c>
      <c r="N2789">
        <v>2009</v>
      </c>
      <c r="Q2789" s="262">
        <v>0</v>
      </c>
      <c r="S2789" t="s">
        <v>114</v>
      </c>
      <c r="T2789" t="s">
        <v>114</v>
      </c>
      <c r="W2789">
        <v>1360</v>
      </c>
      <c r="X2789">
        <v>1</v>
      </c>
      <c r="Y2789">
        <v>0</v>
      </c>
      <c r="Z2789">
        <v>0</v>
      </c>
      <c r="AA2789">
        <v>0</v>
      </c>
      <c r="AB2789">
        <v>0</v>
      </c>
      <c r="AC2789">
        <v>0</v>
      </c>
      <c r="AD2789">
        <v>1360</v>
      </c>
      <c r="AE2789">
        <v>0</v>
      </c>
      <c r="AF2789">
        <v>0</v>
      </c>
      <c r="AG2789">
        <v>0</v>
      </c>
      <c r="AH2789">
        <v>0</v>
      </c>
      <c r="AI2789">
        <v>0</v>
      </c>
      <c r="AJ2789">
        <v>0</v>
      </c>
      <c r="AK2789">
        <v>0</v>
      </c>
      <c r="AL2789">
        <v>0</v>
      </c>
      <c r="AM2789">
        <v>0</v>
      </c>
      <c r="AN2789">
        <v>0</v>
      </c>
      <c r="AO2789">
        <v>0</v>
      </c>
      <c r="AP2789">
        <v>1</v>
      </c>
      <c r="AQ2789">
        <v>0</v>
      </c>
      <c r="AR2789">
        <v>0</v>
      </c>
      <c r="AS2789">
        <v>0</v>
      </c>
      <c r="AT2789">
        <v>0</v>
      </c>
      <c r="AU2789">
        <f t="shared" si="86"/>
        <v>1</v>
      </c>
      <c r="AV2789">
        <f t="shared" si="87"/>
        <v>0</v>
      </c>
    </row>
    <row r="2790" spans="1:48" x14ac:dyDescent="0.25">
      <c r="A2790" t="s">
        <v>9411</v>
      </c>
      <c r="C2790" t="s">
        <v>9412</v>
      </c>
      <c r="D2790" t="s">
        <v>9413</v>
      </c>
      <c r="E2790" t="s">
        <v>1663</v>
      </c>
      <c r="F2790">
        <v>5</v>
      </c>
      <c r="G2790">
        <v>5.5</v>
      </c>
      <c r="H2790" t="s">
        <v>2017</v>
      </c>
      <c r="I2790" s="21">
        <v>39752</v>
      </c>
      <c r="J2790">
        <v>2008</v>
      </c>
      <c r="K2790" s="21">
        <v>39782</v>
      </c>
      <c r="L2790">
        <v>2008</v>
      </c>
      <c r="M2790" s="21">
        <v>39933</v>
      </c>
      <c r="N2790">
        <v>2009</v>
      </c>
      <c r="Q2790" s="262">
        <v>0</v>
      </c>
      <c r="S2790" t="s">
        <v>114</v>
      </c>
      <c r="T2790" t="s">
        <v>114</v>
      </c>
      <c r="W2790">
        <v>1360</v>
      </c>
      <c r="X2790">
        <v>1</v>
      </c>
      <c r="Y2790">
        <v>0</v>
      </c>
      <c r="Z2790">
        <v>0</v>
      </c>
      <c r="AA2790">
        <v>0</v>
      </c>
      <c r="AB2790">
        <v>0</v>
      </c>
      <c r="AC2790">
        <v>0</v>
      </c>
      <c r="AD2790">
        <v>1360</v>
      </c>
      <c r="AE2790">
        <v>0</v>
      </c>
      <c r="AF2790">
        <v>0</v>
      </c>
      <c r="AG2790">
        <v>0</v>
      </c>
      <c r="AH2790">
        <v>0</v>
      </c>
      <c r="AI2790">
        <v>0</v>
      </c>
      <c r="AJ2790">
        <v>0</v>
      </c>
      <c r="AK2790">
        <v>0</v>
      </c>
      <c r="AL2790">
        <v>0</v>
      </c>
      <c r="AM2790">
        <v>0</v>
      </c>
      <c r="AN2790">
        <v>0</v>
      </c>
      <c r="AO2790">
        <v>0</v>
      </c>
      <c r="AP2790">
        <v>1</v>
      </c>
      <c r="AQ2790">
        <v>0</v>
      </c>
      <c r="AR2790">
        <v>0</v>
      </c>
      <c r="AS2790">
        <v>0</v>
      </c>
      <c r="AT2790">
        <v>0</v>
      </c>
      <c r="AU2790">
        <f t="shared" si="86"/>
        <v>1</v>
      </c>
      <c r="AV2790">
        <f t="shared" si="87"/>
        <v>0</v>
      </c>
    </row>
    <row r="2791" spans="1:48" x14ac:dyDescent="0.25">
      <c r="A2791" t="s">
        <v>9414</v>
      </c>
      <c r="C2791" t="s">
        <v>9415</v>
      </c>
      <c r="D2791" t="s">
        <v>9416</v>
      </c>
      <c r="E2791" t="s">
        <v>1663</v>
      </c>
      <c r="F2791">
        <v>5</v>
      </c>
      <c r="G2791">
        <v>5.5</v>
      </c>
      <c r="H2791" t="s">
        <v>2017</v>
      </c>
      <c r="I2791" s="21">
        <v>39752</v>
      </c>
      <c r="J2791">
        <v>2008</v>
      </c>
      <c r="K2791" s="21">
        <v>39782</v>
      </c>
      <c r="L2791">
        <v>2008</v>
      </c>
      <c r="M2791" s="21">
        <v>39933</v>
      </c>
      <c r="N2791">
        <v>2009</v>
      </c>
      <c r="Q2791" s="262">
        <v>0</v>
      </c>
      <c r="S2791" t="s">
        <v>114</v>
      </c>
      <c r="T2791" t="s">
        <v>114</v>
      </c>
      <c r="W2791">
        <v>1436</v>
      </c>
      <c r="X2791">
        <v>1</v>
      </c>
      <c r="Y2791">
        <v>0</v>
      </c>
      <c r="Z2791">
        <v>0</v>
      </c>
      <c r="AA2791">
        <v>0</v>
      </c>
      <c r="AB2791">
        <v>0</v>
      </c>
      <c r="AC2791">
        <v>0</v>
      </c>
      <c r="AD2791">
        <v>1436</v>
      </c>
      <c r="AE2791">
        <v>0</v>
      </c>
      <c r="AF2791">
        <v>0</v>
      </c>
      <c r="AG2791">
        <v>0</v>
      </c>
      <c r="AH2791">
        <v>0</v>
      </c>
      <c r="AI2791">
        <v>0</v>
      </c>
      <c r="AJ2791">
        <v>0</v>
      </c>
      <c r="AK2791">
        <v>0</v>
      </c>
      <c r="AL2791">
        <v>0</v>
      </c>
      <c r="AM2791">
        <v>0</v>
      </c>
      <c r="AN2791">
        <v>0</v>
      </c>
      <c r="AO2791">
        <v>0</v>
      </c>
      <c r="AP2791">
        <v>1</v>
      </c>
      <c r="AQ2791">
        <v>0</v>
      </c>
      <c r="AR2791">
        <v>0</v>
      </c>
      <c r="AS2791">
        <v>0</v>
      </c>
      <c r="AT2791">
        <v>0</v>
      </c>
      <c r="AU2791">
        <f t="shared" si="86"/>
        <v>1</v>
      </c>
      <c r="AV2791">
        <f t="shared" si="87"/>
        <v>0</v>
      </c>
    </row>
    <row r="2792" spans="1:48" x14ac:dyDescent="0.25">
      <c r="A2792" t="s">
        <v>9417</v>
      </c>
      <c r="C2792" t="s">
        <v>9418</v>
      </c>
      <c r="D2792" t="s">
        <v>9419</v>
      </c>
      <c r="E2792" t="s">
        <v>1663</v>
      </c>
      <c r="F2792">
        <v>5</v>
      </c>
      <c r="G2792">
        <v>5.5</v>
      </c>
      <c r="H2792" t="s">
        <v>2017</v>
      </c>
      <c r="I2792" s="21">
        <v>39752</v>
      </c>
      <c r="J2792">
        <v>2008</v>
      </c>
      <c r="K2792" s="21">
        <v>39782</v>
      </c>
      <c r="L2792">
        <v>2008</v>
      </c>
      <c r="M2792" s="21">
        <v>39933</v>
      </c>
      <c r="N2792">
        <v>2009</v>
      </c>
      <c r="Q2792" s="262">
        <v>0</v>
      </c>
      <c r="S2792" t="s">
        <v>114</v>
      </c>
      <c r="T2792" t="s">
        <v>114</v>
      </c>
      <c r="W2792">
        <v>1436</v>
      </c>
      <c r="X2792">
        <v>1</v>
      </c>
      <c r="Y2792">
        <v>0</v>
      </c>
      <c r="Z2792">
        <v>0</v>
      </c>
      <c r="AA2792">
        <v>0</v>
      </c>
      <c r="AB2792">
        <v>0</v>
      </c>
      <c r="AC2792">
        <v>0</v>
      </c>
      <c r="AD2792">
        <v>1436</v>
      </c>
      <c r="AE2792">
        <v>0</v>
      </c>
      <c r="AF2792">
        <v>0</v>
      </c>
      <c r="AG2792">
        <v>0</v>
      </c>
      <c r="AH2792">
        <v>0</v>
      </c>
      <c r="AI2792">
        <v>0</v>
      </c>
      <c r="AJ2792">
        <v>0</v>
      </c>
      <c r="AK2792">
        <v>0</v>
      </c>
      <c r="AL2792">
        <v>0</v>
      </c>
      <c r="AM2792">
        <v>0</v>
      </c>
      <c r="AN2792">
        <v>0</v>
      </c>
      <c r="AO2792">
        <v>0</v>
      </c>
      <c r="AP2792">
        <v>1</v>
      </c>
      <c r="AQ2792">
        <v>0</v>
      </c>
      <c r="AR2792">
        <v>0</v>
      </c>
      <c r="AS2792">
        <v>0</v>
      </c>
      <c r="AT2792">
        <v>0</v>
      </c>
      <c r="AU2792">
        <f t="shared" si="86"/>
        <v>1</v>
      </c>
      <c r="AV2792">
        <f t="shared" si="87"/>
        <v>0</v>
      </c>
    </row>
    <row r="2793" spans="1:48" x14ac:dyDescent="0.25">
      <c r="A2793" t="s">
        <v>9420</v>
      </c>
      <c r="C2793" t="s">
        <v>9421</v>
      </c>
      <c r="D2793" t="s">
        <v>9422</v>
      </c>
      <c r="E2793" t="s">
        <v>1663</v>
      </c>
      <c r="F2793">
        <v>5</v>
      </c>
      <c r="G2793">
        <v>5.5</v>
      </c>
      <c r="H2793" t="s">
        <v>2017</v>
      </c>
      <c r="I2793" s="21">
        <v>39752</v>
      </c>
      <c r="J2793">
        <v>2008</v>
      </c>
      <c r="K2793" s="21">
        <v>39782</v>
      </c>
      <c r="L2793">
        <v>2008</v>
      </c>
      <c r="M2793" s="21">
        <v>39933</v>
      </c>
      <c r="N2793">
        <v>2009</v>
      </c>
      <c r="Q2793" s="262">
        <v>0</v>
      </c>
      <c r="S2793" t="s">
        <v>114</v>
      </c>
      <c r="T2793" t="s">
        <v>114</v>
      </c>
      <c r="W2793">
        <v>1436</v>
      </c>
      <c r="X2793">
        <v>1</v>
      </c>
      <c r="Y2793">
        <v>0</v>
      </c>
      <c r="Z2793">
        <v>0</v>
      </c>
      <c r="AA2793">
        <v>0</v>
      </c>
      <c r="AB2793">
        <v>0</v>
      </c>
      <c r="AC2793">
        <v>0</v>
      </c>
      <c r="AD2793">
        <v>1436</v>
      </c>
      <c r="AE2793">
        <v>0</v>
      </c>
      <c r="AF2793">
        <v>0</v>
      </c>
      <c r="AG2793">
        <v>0</v>
      </c>
      <c r="AH2793">
        <v>0</v>
      </c>
      <c r="AI2793">
        <v>0</v>
      </c>
      <c r="AJ2793">
        <v>0</v>
      </c>
      <c r="AK2793">
        <v>0</v>
      </c>
      <c r="AL2793">
        <v>0</v>
      </c>
      <c r="AM2793">
        <v>0</v>
      </c>
      <c r="AN2793">
        <v>0</v>
      </c>
      <c r="AO2793">
        <v>0</v>
      </c>
      <c r="AP2793">
        <v>1</v>
      </c>
      <c r="AQ2793">
        <v>0</v>
      </c>
      <c r="AR2793">
        <v>0</v>
      </c>
      <c r="AS2793">
        <v>0</v>
      </c>
      <c r="AT2793">
        <v>0</v>
      </c>
      <c r="AU2793">
        <f t="shared" si="86"/>
        <v>1</v>
      </c>
      <c r="AV2793">
        <f t="shared" si="87"/>
        <v>0</v>
      </c>
    </row>
    <row r="2794" spans="1:48" x14ac:dyDescent="0.25">
      <c r="A2794" t="s">
        <v>9423</v>
      </c>
      <c r="C2794" t="s">
        <v>9424</v>
      </c>
      <c r="D2794" t="s">
        <v>9425</v>
      </c>
      <c r="E2794" t="s">
        <v>1663</v>
      </c>
      <c r="F2794">
        <v>5</v>
      </c>
      <c r="G2794">
        <v>5.5</v>
      </c>
      <c r="H2794" t="s">
        <v>2017</v>
      </c>
      <c r="I2794" s="21">
        <v>39752</v>
      </c>
      <c r="J2794">
        <v>2008</v>
      </c>
      <c r="K2794" s="21">
        <v>39782</v>
      </c>
      <c r="L2794">
        <v>2008</v>
      </c>
      <c r="M2794" s="21">
        <v>39933</v>
      </c>
      <c r="N2794">
        <v>2009</v>
      </c>
      <c r="Q2794" s="262">
        <v>0</v>
      </c>
      <c r="S2794" t="s">
        <v>114</v>
      </c>
      <c r="T2794" t="s">
        <v>114</v>
      </c>
      <c r="W2794">
        <v>1436</v>
      </c>
      <c r="X2794">
        <v>1</v>
      </c>
      <c r="Y2794">
        <v>0</v>
      </c>
      <c r="Z2794">
        <v>0</v>
      </c>
      <c r="AA2794">
        <v>0</v>
      </c>
      <c r="AB2794">
        <v>0</v>
      </c>
      <c r="AC2794">
        <v>0</v>
      </c>
      <c r="AD2794">
        <v>1436</v>
      </c>
      <c r="AE2794">
        <v>0</v>
      </c>
      <c r="AF2794">
        <v>0</v>
      </c>
      <c r="AG2794">
        <v>0</v>
      </c>
      <c r="AH2794">
        <v>0</v>
      </c>
      <c r="AI2794">
        <v>0</v>
      </c>
      <c r="AJ2794">
        <v>0</v>
      </c>
      <c r="AK2794">
        <v>0</v>
      </c>
      <c r="AL2794">
        <v>0</v>
      </c>
      <c r="AM2794">
        <v>0</v>
      </c>
      <c r="AN2794">
        <v>0</v>
      </c>
      <c r="AO2794">
        <v>0</v>
      </c>
      <c r="AP2794">
        <v>1</v>
      </c>
      <c r="AQ2794">
        <v>0</v>
      </c>
      <c r="AR2794">
        <v>0</v>
      </c>
      <c r="AS2794">
        <v>0</v>
      </c>
      <c r="AT2794">
        <v>0</v>
      </c>
      <c r="AU2794">
        <f t="shared" si="86"/>
        <v>1</v>
      </c>
      <c r="AV2794">
        <f t="shared" si="87"/>
        <v>0</v>
      </c>
    </row>
    <row r="2795" spans="1:48" x14ac:dyDescent="0.25">
      <c r="A2795" t="s">
        <v>9426</v>
      </c>
      <c r="C2795" t="s">
        <v>9427</v>
      </c>
      <c r="D2795" t="s">
        <v>9428</v>
      </c>
      <c r="E2795" t="s">
        <v>1663</v>
      </c>
      <c r="F2795">
        <v>5</v>
      </c>
      <c r="G2795">
        <v>5.5</v>
      </c>
      <c r="H2795" t="s">
        <v>2017</v>
      </c>
      <c r="I2795" s="21">
        <v>39752</v>
      </c>
      <c r="J2795">
        <v>2008</v>
      </c>
      <c r="K2795" s="21">
        <v>39782</v>
      </c>
      <c r="L2795">
        <v>2008</v>
      </c>
      <c r="M2795" s="21">
        <v>39933</v>
      </c>
      <c r="N2795">
        <v>2009</v>
      </c>
      <c r="Q2795" s="262">
        <v>0</v>
      </c>
      <c r="S2795" t="s">
        <v>114</v>
      </c>
      <c r="T2795" t="s">
        <v>114</v>
      </c>
      <c r="W2795">
        <v>1360</v>
      </c>
      <c r="X2795">
        <v>1</v>
      </c>
      <c r="Y2795">
        <v>0</v>
      </c>
      <c r="Z2795">
        <v>0</v>
      </c>
      <c r="AA2795">
        <v>0</v>
      </c>
      <c r="AB2795">
        <v>0</v>
      </c>
      <c r="AC2795">
        <v>0</v>
      </c>
      <c r="AD2795">
        <v>1360</v>
      </c>
      <c r="AE2795">
        <v>0</v>
      </c>
      <c r="AF2795">
        <v>0</v>
      </c>
      <c r="AG2795">
        <v>0</v>
      </c>
      <c r="AH2795">
        <v>0</v>
      </c>
      <c r="AI2795">
        <v>0</v>
      </c>
      <c r="AJ2795">
        <v>0</v>
      </c>
      <c r="AK2795">
        <v>0</v>
      </c>
      <c r="AL2795">
        <v>0</v>
      </c>
      <c r="AM2795">
        <v>0</v>
      </c>
      <c r="AN2795">
        <v>0</v>
      </c>
      <c r="AO2795">
        <v>0</v>
      </c>
      <c r="AP2795">
        <v>1</v>
      </c>
      <c r="AQ2795">
        <v>0</v>
      </c>
      <c r="AR2795">
        <v>0</v>
      </c>
      <c r="AS2795">
        <v>0</v>
      </c>
      <c r="AT2795">
        <v>0</v>
      </c>
      <c r="AU2795">
        <f t="shared" si="86"/>
        <v>1</v>
      </c>
      <c r="AV2795">
        <f t="shared" si="87"/>
        <v>0</v>
      </c>
    </row>
    <row r="2796" spans="1:48" x14ac:dyDescent="0.25">
      <c r="A2796" t="s">
        <v>9429</v>
      </c>
      <c r="C2796" t="s">
        <v>9430</v>
      </c>
      <c r="D2796" t="s">
        <v>9431</v>
      </c>
      <c r="E2796" t="s">
        <v>1663</v>
      </c>
      <c r="F2796">
        <v>5</v>
      </c>
      <c r="G2796">
        <v>5.5</v>
      </c>
      <c r="H2796" t="s">
        <v>2017</v>
      </c>
      <c r="I2796" s="21">
        <v>39752</v>
      </c>
      <c r="J2796">
        <v>2008</v>
      </c>
      <c r="K2796" s="21">
        <v>39782</v>
      </c>
      <c r="L2796">
        <v>2008</v>
      </c>
      <c r="M2796" s="21">
        <v>39933</v>
      </c>
      <c r="N2796">
        <v>2009</v>
      </c>
      <c r="Q2796" s="262">
        <v>0</v>
      </c>
      <c r="S2796" t="s">
        <v>114</v>
      </c>
      <c r="T2796" t="s">
        <v>114</v>
      </c>
      <c r="W2796">
        <v>1360</v>
      </c>
      <c r="X2796">
        <v>1</v>
      </c>
      <c r="Y2796">
        <v>0</v>
      </c>
      <c r="Z2796">
        <v>0</v>
      </c>
      <c r="AA2796">
        <v>0</v>
      </c>
      <c r="AB2796">
        <v>0</v>
      </c>
      <c r="AC2796">
        <v>0</v>
      </c>
      <c r="AD2796">
        <v>1360</v>
      </c>
      <c r="AE2796">
        <v>0</v>
      </c>
      <c r="AF2796">
        <v>0</v>
      </c>
      <c r="AG2796">
        <v>0</v>
      </c>
      <c r="AH2796">
        <v>0</v>
      </c>
      <c r="AI2796">
        <v>0</v>
      </c>
      <c r="AJ2796">
        <v>0</v>
      </c>
      <c r="AK2796">
        <v>0</v>
      </c>
      <c r="AL2796">
        <v>0</v>
      </c>
      <c r="AM2796">
        <v>0</v>
      </c>
      <c r="AN2796">
        <v>0</v>
      </c>
      <c r="AO2796">
        <v>0</v>
      </c>
      <c r="AP2796">
        <v>1</v>
      </c>
      <c r="AQ2796">
        <v>0</v>
      </c>
      <c r="AR2796">
        <v>0</v>
      </c>
      <c r="AS2796">
        <v>0</v>
      </c>
      <c r="AT2796">
        <v>0</v>
      </c>
      <c r="AU2796">
        <f t="shared" si="86"/>
        <v>1</v>
      </c>
      <c r="AV2796">
        <f t="shared" si="87"/>
        <v>0</v>
      </c>
    </row>
    <row r="2797" spans="1:48" x14ac:dyDescent="0.25">
      <c r="A2797" t="s">
        <v>9432</v>
      </c>
      <c r="C2797" t="s">
        <v>9433</v>
      </c>
      <c r="D2797" t="s">
        <v>2636</v>
      </c>
      <c r="E2797" t="s">
        <v>2310</v>
      </c>
      <c r="F2797">
        <v>9</v>
      </c>
      <c r="G2797">
        <v>9.1999999999999993</v>
      </c>
      <c r="H2797" t="s">
        <v>2022</v>
      </c>
      <c r="I2797" s="21">
        <v>39758</v>
      </c>
      <c r="J2797">
        <v>2008</v>
      </c>
      <c r="K2797" s="21">
        <v>39758</v>
      </c>
      <c r="L2797">
        <v>2008</v>
      </c>
      <c r="M2797" s="21">
        <v>40254.335763888899</v>
      </c>
      <c r="N2797">
        <v>2010</v>
      </c>
      <c r="R2797" s="262">
        <v>450000</v>
      </c>
      <c r="S2797" t="s">
        <v>114</v>
      </c>
      <c r="T2797" t="s">
        <v>114</v>
      </c>
      <c r="U2797">
        <v>8</v>
      </c>
      <c r="W2797">
        <v>2362</v>
      </c>
      <c r="X2797">
        <v>1</v>
      </c>
      <c r="Y2797">
        <v>0</v>
      </c>
      <c r="Z2797">
        <v>0</v>
      </c>
      <c r="AA2797">
        <v>0</v>
      </c>
      <c r="AB2797">
        <v>0</v>
      </c>
      <c r="AC2797">
        <v>1454</v>
      </c>
      <c r="AD2797">
        <v>0</v>
      </c>
      <c r="AE2797">
        <v>0</v>
      </c>
      <c r="AF2797">
        <v>908</v>
      </c>
      <c r="AG2797">
        <v>0</v>
      </c>
      <c r="AH2797">
        <v>0</v>
      </c>
      <c r="AI2797">
        <v>0</v>
      </c>
      <c r="AJ2797">
        <v>0</v>
      </c>
      <c r="AK2797">
        <v>0</v>
      </c>
      <c r="AL2797">
        <v>0</v>
      </c>
      <c r="AM2797">
        <v>0</v>
      </c>
      <c r="AN2797">
        <v>0</v>
      </c>
      <c r="AO2797">
        <v>0</v>
      </c>
      <c r="AP2797">
        <v>0</v>
      </c>
      <c r="AQ2797">
        <v>0</v>
      </c>
      <c r="AR2797">
        <v>1</v>
      </c>
      <c r="AS2797">
        <v>0</v>
      </c>
      <c r="AT2797">
        <v>0</v>
      </c>
      <c r="AU2797">
        <f t="shared" si="86"/>
        <v>0</v>
      </c>
      <c r="AV2797">
        <f t="shared" si="87"/>
        <v>0</v>
      </c>
    </row>
    <row r="2798" spans="1:48" x14ac:dyDescent="0.25">
      <c r="A2798" t="s">
        <v>9434</v>
      </c>
      <c r="C2798" t="s">
        <v>9435</v>
      </c>
      <c r="D2798" t="s">
        <v>9436</v>
      </c>
      <c r="E2798" t="s">
        <v>2310</v>
      </c>
      <c r="F2798">
        <v>8</v>
      </c>
      <c r="G2798">
        <v>8.3000000000000007</v>
      </c>
      <c r="H2798" t="s">
        <v>2323</v>
      </c>
      <c r="I2798" s="21">
        <v>39762</v>
      </c>
      <c r="J2798">
        <v>2008</v>
      </c>
      <c r="K2798" s="21">
        <v>39797</v>
      </c>
      <c r="L2798">
        <v>2008</v>
      </c>
      <c r="M2798" s="21">
        <v>40269.627106481501</v>
      </c>
      <c r="N2798">
        <v>2010</v>
      </c>
      <c r="R2798" s="262">
        <v>56000</v>
      </c>
      <c r="S2798" t="s">
        <v>114</v>
      </c>
      <c r="T2798" t="s">
        <v>114</v>
      </c>
      <c r="U2798">
        <v>5</v>
      </c>
      <c r="W2798">
        <v>1862</v>
      </c>
      <c r="X2798">
        <v>0</v>
      </c>
      <c r="Y2798">
        <v>0</v>
      </c>
      <c r="Z2798">
        <v>0</v>
      </c>
      <c r="AA2798">
        <v>0</v>
      </c>
      <c r="AB2798">
        <v>0</v>
      </c>
      <c r="AC2798">
        <v>1862</v>
      </c>
      <c r="AD2798">
        <v>0</v>
      </c>
      <c r="AE2798">
        <v>0</v>
      </c>
      <c r="AF2798">
        <v>0</v>
      </c>
      <c r="AG2798">
        <v>0</v>
      </c>
      <c r="AH2798">
        <v>0</v>
      </c>
      <c r="AI2798">
        <v>0</v>
      </c>
      <c r="AJ2798">
        <v>0</v>
      </c>
      <c r="AK2798">
        <v>0</v>
      </c>
      <c r="AL2798">
        <v>0</v>
      </c>
      <c r="AM2798">
        <v>0</v>
      </c>
      <c r="AN2798">
        <v>0</v>
      </c>
      <c r="AO2798">
        <v>0</v>
      </c>
      <c r="AP2798">
        <v>0</v>
      </c>
      <c r="AQ2798">
        <v>0</v>
      </c>
      <c r="AR2798">
        <v>0</v>
      </c>
      <c r="AS2798">
        <v>0</v>
      </c>
      <c r="AT2798">
        <v>0</v>
      </c>
      <c r="AU2798">
        <f t="shared" si="86"/>
        <v>0</v>
      </c>
      <c r="AV2798">
        <f t="shared" si="87"/>
        <v>0</v>
      </c>
    </row>
    <row r="2799" spans="1:48" x14ac:dyDescent="0.25">
      <c r="A2799" t="s">
        <v>9437</v>
      </c>
      <c r="C2799" t="s">
        <v>9438</v>
      </c>
      <c r="D2799" t="s">
        <v>9439</v>
      </c>
      <c r="E2799" t="s">
        <v>2310</v>
      </c>
      <c r="F2799">
        <v>10</v>
      </c>
      <c r="G2799">
        <v>10.1</v>
      </c>
      <c r="H2799" t="s">
        <v>2323</v>
      </c>
      <c r="I2799" s="21">
        <v>39765</v>
      </c>
      <c r="J2799">
        <v>2008</v>
      </c>
      <c r="K2799" s="21">
        <v>39785</v>
      </c>
      <c r="L2799">
        <v>2008</v>
      </c>
      <c r="M2799" s="21">
        <v>39961</v>
      </c>
      <c r="N2799">
        <v>2009</v>
      </c>
      <c r="R2799" s="262">
        <v>25000</v>
      </c>
      <c r="S2799" t="s">
        <v>114</v>
      </c>
      <c r="T2799" t="s">
        <v>114</v>
      </c>
      <c r="U2799">
        <v>5</v>
      </c>
      <c r="W2799">
        <v>6401</v>
      </c>
      <c r="X2799">
        <v>0</v>
      </c>
      <c r="Y2799">
        <v>0</v>
      </c>
      <c r="Z2799">
        <v>0</v>
      </c>
      <c r="AA2799">
        <v>0</v>
      </c>
      <c r="AB2799">
        <v>0</v>
      </c>
      <c r="AC2799">
        <v>6401</v>
      </c>
      <c r="AD2799">
        <v>0</v>
      </c>
      <c r="AE2799">
        <v>0</v>
      </c>
      <c r="AF2799">
        <v>0</v>
      </c>
      <c r="AG2799">
        <v>0</v>
      </c>
      <c r="AH2799">
        <v>0</v>
      </c>
      <c r="AI2799">
        <v>0</v>
      </c>
      <c r="AJ2799">
        <v>0</v>
      </c>
      <c r="AK2799">
        <v>0</v>
      </c>
      <c r="AL2799">
        <v>0</v>
      </c>
      <c r="AM2799">
        <v>0</v>
      </c>
      <c r="AN2799">
        <v>0</v>
      </c>
      <c r="AO2799">
        <v>0</v>
      </c>
      <c r="AP2799">
        <v>0</v>
      </c>
      <c r="AQ2799">
        <v>0</v>
      </c>
      <c r="AR2799">
        <v>0</v>
      </c>
      <c r="AS2799">
        <v>0</v>
      </c>
      <c r="AT2799">
        <v>0</v>
      </c>
      <c r="AU2799">
        <f t="shared" si="86"/>
        <v>0</v>
      </c>
      <c r="AV2799">
        <f t="shared" si="87"/>
        <v>0</v>
      </c>
    </row>
    <row r="2800" spans="1:48" x14ac:dyDescent="0.25">
      <c r="A2800" t="s">
        <v>9440</v>
      </c>
      <c r="C2800" t="s">
        <v>9441</v>
      </c>
      <c r="D2800" t="s">
        <v>9442</v>
      </c>
      <c r="E2800" t="s">
        <v>2310</v>
      </c>
      <c r="F2800">
        <v>7</v>
      </c>
      <c r="G2800">
        <v>7.2</v>
      </c>
      <c r="H2800" t="s">
        <v>2017</v>
      </c>
      <c r="I2800" s="21">
        <v>39765</v>
      </c>
      <c r="J2800">
        <v>2008</v>
      </c>
      <c r="K2800" s="21">
        <v>39895</v>
      </c>
      <c r="L2800">
        <v>2009</v>
      </c>
      <c r="M2800" s="21">
        <v>40408.596354166701</v>
      </c>
      <c r="N2800">
        <v>2010</v>
      </c>
      <c r="R2800" s="262">
        <v>846000</v>
      </c>
      <c r="S2800" t="s">
        <v>114</v>
      </c>
      <c r="T2800" t="s">
        <v>114</v>
      </c>
      <c r="U2800">
        <v>5</v>
      </c>
      <c r="W2800">
        <v>6022</v>
      </c>
      <c r="X2800">
        <v>1</v>
      </c>
      <c r="Y2800">
        <v>0</v>
      </c>
      <c r="Z2800">
        <v>0</v>
      </c>
      <c r="AA2800">
        <v>0</v>
      </c>
      <c r="AB2800">
        <v>0</v>
      </c>
      <c r="AC2800">
        <v>6022</v>
      </c>
      <c r="AD2800">
        <v>0</v>
      </c>
      <c r="AE2800">
        <v>0</v>
      </c>
      <c r="AF2800">
        <v>0</v>
      </c>
      <c r="AG2800">
        <v>0</v>
      </c>
      <c r="AH2800">
        <v>0</v>
      </c>
      <c r="AI2800">
        <v>0</v>
      </c>
      <c r="AJ2800">
        <v>0</v>
      </c>
      <c r="AK2800">
        <v>0</v>
      </c>
      <c r="AL2800">
        <v>0</v>
      </c>
      <c r="AM2800">
        <v>0</v>
      </c>
      <c r="AN2800">
        <v>0</v>
      </c>
      <c r="AO2800">
        <v>1</v>
      </c>
      <c r="AP2800">
        <v>0</v>
      </c>
      <c r="AQ2800">
        <v>0</v>
      </c>
      <c r="AR2800">
        <v>0</v>
      </c>
      <c r="AS2800">
        <v>0</v>
      </c>
      <c r="AT2800">
        <v>0</v>
      </c>
      <c r="AU2800">
        <f t="shared" si="86"/>
        <v>1</v>
      </c>
      <c r="AV2800">
        <f t="shared" si="87"/>
        <v>0</v>
      </c>
    </row>
    <row r="2801" spans="1:48" x14ac:dyDescent="0.25">
      <c r="A2801" t="s">
        <v>9443</v>
      </c>
      <c r="C2801" t="s">
        <v>9444</v>
      </c>
      <c r="D2801" t="s">
        <v>8801</v>
      </c>
      <c r="E2801" t="s">
        <v>1663</v>
      </c>
      <c r="F2801">
        <v>4</v>
      </c>
      <c r="G2801">
        <v>4.0999999999999996</v>
      </c>
      <c r="H2801" t="s">
        <v>2327</v>
      </c>
      <c r="I2801" s="21">
        <v>39769</v>
      </c>
      <c r="J2801">
        <v>2008</v>
      </c>
      <c r="K2801" s="21">
        <v>39799</v>
      </c>
      <c r="L2801">
        <v>2008</v>
      </c>
      <c r="M2801" s="21">
        <v>39950</v>
      </c>
      <c r="N2801">
        <v>2009</v>
      </c>
      <c r="Q2801" s="262">
        <v>500000</v>
      </c>
      <c r="S2801" t="s">
        <v>114</v>
      </c>
      <c r="T2801" t="s">
        <v>114</v>
      </c>
      <c r="W2801">
        <v>15499</v>
      </c>
      <c r="X2801">
        <v>2</v>
      </c>
      <c r="Y2801">
        <v>0</v>
      </c>
      <c r="Z2801">
        <v>0</v>
      </c>
      <c r="AA2801">
        <v>0</v>
      </c>
      <c r="AB2801">
        <v>0</v>
      </c>
      <c r="AC2801">
        <v>0</v>
      </c>
      <c r="AD2801">
        <v>0</v>
      </c>
      <c r="AE2801">
        <v>2020</v>
      </c>
      <c r="AF2801">
        <v>0</v>
      </c>
      <c r="AG2801">
        <v>0</v>
      </c>
      <c r="AH2801">
        <v>6164</v>
      </c>
      <c r="AI2801">
        <v>0</v>
      </c>
      <c r="AJ2801">
        <v>7315</v>
      </c>
      <c r="AK2801">
        <v>0</v>
      </c>
      <c r="AL2801">
        <v>0</v>
      </c>
      <c r="AM2801">
        <v>0</v>
      </c>
      <c r="AN2801">
        <v>0</v>
      </c>
      <c r="AO2801">
        <v>0</v>
      </c>
      <c r="AP2801">
        <v>0</v>
      </c>
      <c r="AQ2801">
        <v>2</v>
      </c>
      <c r="AR2801">
        <v>0</v>
      </c>
      <c r="AS2801">
        <v>0</v>
      </c>
      <c r="AT2801">
        <v>0</v>
      </c>
      <c r="AU2801">
        <f t="shared" si="86"/>
        <v>2</v>
      </c>
      <c r="AV2801">
        <f t="shared" si="87"/>
        <v>13479</v>
      </c>
    </row>
    <row r="2802" spans="1:48" x14ac:dyDescent="0.25">
      <c r="A2802" t="s">
        <v>9445</v>
      </c>
      <c r="C2802" t="s">
        <v>9446</v>
      </c>
      <c r="D2802" t="s">
        <v>9447</v>
      </c>
      <c r="E2802" t="s">
        <v>2310</v>
      </c>
      <c r="F2802">
        <v>9</v>
      </c>
      <c r="G2802">
        <v>9.1</v>
      </c>
      <c r="H2802" t="s">
        <v>2323</v>
      </c>
      <c r="I2802" s="21">
        <v>39784</v>
      </c>
      <c r="J2802">
        <v>2008</v>
      </c>
      <c r="K2802" s="21">
        <v>39878</v>
      </c>
      <c r="L2802">
        <v>2009</v>
      </c>
      <c r="M2802" s="21">
        <v>40233.459247685198</v>
      </c>
      <c r="N2802">
        <v>2010</v>
      </c>
      <c r="R2802" s="262">
        <v>703000</v>
      </c>
      <c r="S2802" t="s">
        <v>114</v>
      </c>
      <c r="T2802" t="s">
        <v>114</v>
      </c>
      <c r="U2802">
        <v>6</v>
      </c>
      <c r="W2802">
        <v>3515</v>
      </c>
      <c r="X2802">
        <v>4</v>
      </c>
      <c r="Y2802">
        <v>0</v>
      </c>
      <c r="Z2802">
        <v>0</v>
      </c>
      <c r="AA2802">
        <v>0</v>
      </c>
      <c r="AB2802">
        <v>0</v>
      </c>
      <c r="AC2802">
        <v>0</v>
      </c>
      <c r="AD2802">
        <v>3515</v>
      </c>
      <c r="AE2802">
        <v>0</v>
      </c>
      <c r="AF2802">
        <v>0</v>
      </c>
      <c r="AG2802">
        <v>0</v>
      </c>
      <c r="AH2802">
        <v>0</v>
      </c>
      <c r="AI2802">
        <v>0</v>
      </c>
      <c r="AJ2802">
        <v>0</v>
      </c>
      <c r="AK2802">
        <v>0</v>
      </c>
      <c r="AL2802">
        <v>0</v>
      </c>
      <c r="AM2802">
        <v>0</v>
      </c>
      <c r="AN2802">
        <v>0</v>
      </c>
      <c r="AO2802">
        <v>0</v>
      </c>
      <c r="AP2802">
        <v>4</v>
      </c>
      <c r="AQ2802">
        <v>0</v>
      </c>
      <c r="AR2802">
        <v>0</v>
      </c>
      <c r="AS2802">
        <v>0</v>
      </c>
      <c r="AT2802">
        <v>0</v>
      </c>
      <c r="AU2802">
        <f t="shared" si="86"/>
        <v>4</v>
      </c>
      <c r="AV2802">
        <f t="shared" si="87"/>
        <v>0</v>
      </c>
    </row>
    <row r="2803" spans="1:48" x14ac:dyDescent="0.25">
      <c r="A2803" t="s">
        <v>9448</v>
      </c>
      <c r="C2803" t="s">
        <v>9449</v>
      </c>
      <c r="D2803" t="s">
        <v>9450</v>
      </c>
      <c r="E2803" t="s">
        <v>2310</v>
      </c>
      <c r="F2803">
        <v>9</v>
      </c>
      <c r="G2803">
        <v>9.1</v>
      </c>
      <c r="H2803" t="s">
        <v>2323</v>
      </c>
      <c r="I2803" s="21">
        <v>39784</v>
      </c>
      <c r="J2803">
        <v>2008</v>
      </c>
      <c r="K2803" s="21">
        <v>39881</v>
      </c>
      <c r="L2803">
        <v>2009</v>
      </c>
      <c r="M2803" s="21">
        <v>40233.528680555602</v>
      </c>
      <c r="N2803">
        <v>2010</v>
      </c>
      <c r="R2803" s="262">
        <v>887200</v>
      </c>
      <c r="S2803" t="s">
        <v>114</v>
      </c>
      <c r="T2803" t="s">
        <v>114</v>
      </c>
      <c r="U2803">
        <v>6</v>
      </c>
      <c r="W2803">
        <v>4436</v>
      </c>
      <c r="X2803">
        <v>4</v>
      </c>
      <c r="Y2803">
        <v>0</v>
      </c>
      <c r="Z2803">
        <v>0</v>
      </c>
      <c r="AA2803">
        <v>0</v>
      </c>
      <c r="AB2803">
        <v>0</v>
      </c>
      <c r="AC2803">
        <v>0</v>
      </c>
      <c r="AD2803">
        <v>4436</v>
      </c>
      <c r="AE2803">
        <v>0</v>
      </c>
      <c r="AF2803">
        <v>0</v>
      </c>
      <c r="AG2803">
        <v>0</v>
      </c>
      <c r="AH2803">
        <v>0</v>
      </c>
      <c r="AI2803">
        <v>0</v>
      </c>
      <c r="AJ2803">
        <v>0</v>
      </c>
      <c r="AK2803">
        <v>0</v>
      </c>
      <c r="AL2803">
        <v>0</v>
      </c>
      <c r="AM2803">
        <v>0</v>
      </c>
      <c r="AN2803">
        <v>0</v>
      </c>
      <c r="AO2803">
        <v>0</v>
      </c>
      <c r="AP2803">
        <v>4</v>
      </c>
      <c r="AQ2803">
        <v>0</v>
      </c>
      <c r="AR2803">
        <v>0</v>
      </c>
      <c r="AS2803">
        <v>0</v>
      </c>
      <c r="AT2803">
        <v>0</v>
      </c>
      <c r="AU2803">
        <f t="shared" si="86"/>
        <v>4</v>
      </c>
      <c r="AV2803">
        <f t="shared" si="87"/>
        <v>0</v>
      </c>
    </row>
    <row r="2804" spans="1:48" x14ac:dyDescent="0.25">
      <c r="A2804" t="s">
        <v>9451</v>
      </c>
      <c r="C2804" t="s">
        <v>9452</v>
      </c>
      <c r="D2804" t="s">
        <v>9453</v>
      </c>
      <c r="E2804" t="s">
        <v>2310</v>
      </c>
      <c r="F2804">
        <v>9</v>
      </c>
      <c r="G2804">
        <v>9.1</v>
      </c>
      <c r="H2804" t="s">
        <v>2323</v>
      </c>
      <c r="I2804" s="21">
        <v>39784</v>
      </c>
      <c r="J2804">
        <v>2008</v>
      </c>
      <c r="K2804" s="21">
        <v>39878</v>
      </c>
      <c r="L2804">
        <v>2009</v>
      </c>
      <c r="M2804" s="21">
        <v>40233.5396064815</v>
      </c>
      <c r="N2804">
        <v>2010</v>
      </c>
      <c r="R2804" s="262">
        <v>653800</v>
      </c>
      <c r="S2804" t="s">
        <v>114</v>
      </c>
      <c r="T2804" t="s">
        <v>114</v>
      </c>
      <c r="U2804">
        <v>6</v>
      </c>
      <c r="W2804">
        <v>3269</v>
      </c>
      <c r="X2804">
        <v>3</v>
      </c>
      <c r="Y2804">
        <v>0</v>
      </c>
      <c r="Z2804">
        <v>0</v>
      </c>
      <c r="AA2804">
        <v>0</v>
      </c>
      <c r="AB2804">
        <v>0</v>
      </c>
      <c r="AC2804">
        <v>0</v>
      </c>
      <c r="AD2804">
        <v>3269</v>
      </c>
      <c r="AE2804">
        <v>0</v>
      </c>
      <c r="AF2804">
        <v>0</v>
      </c>
      <c r="AG2804">
        <v>0</v>
      </c>
      <c r="AH2804">
        <v>0</v>
      </c>
      <c r="AI2804">
        <v>0</v>
      </c>
      <c r="AJ2804">
        <v>0</v>
      </c>
      <c r="AK2804">
        <v>0</v>
      </c>
      <c r="AL2804">
        <v>0</v>
      </c>
      <c r="AM2804">
        <v>0</v>
      </c>
      <c r="AN2804">
        <v>0</v>
      </c>
      <c r="AO2804">
        <v>0</v>
      </c>
      <c r="AP2804">
        <v>3</v>
      </c>
      <c r="AQ2804">
        <v>0</v>
      </c>
      <c r="AR2804">
        <v>0</v>
      </c>
      <c r="AS2804">
        <v>0</v>
      </c>
      <c r="AT2804">
        <v>0</v>
      </c>
      <c r="AU2804">
        <f t="shared" si="86"/>
        <v>3</v>
      </c>
      <c r="AV2804">
        <f t="shared" si="87"/>
        <v>0</v>
      </c>
    </row>
    <row r="2805" spans="1:48" x14ac:dyDescent="0.25">
      <c r="A2805" t="s">
        <v>9454</v>
      </c>
      <c r="C2805" t="s">
        <v>9455</v>
      </c>
      <c r="D2805" t="s">
        <v>9456</v>
      </c>
      <c r="E2805" t="s">
        <v>2310</v>
      </c>
      <c r="F2805">
        <v>9</v>
      </c>
      <c r="G2805">
        <v>9.1</v>
      </c>
      <c r="H2805" t="s">
        <v>2323</v>
      </c>
      <c r="I2805" s="21">
        <v>39784</v>
      </c>
      <c r="J2805">
        <v>2008</v>
      </c>
      <c r="K2805" s="21">
        <v>39878</v>
      </c>
      <c r="L2805">
        <v>2009</v>
      </c>
      <c r="M2805" s="21">
        <v>40233.557210648098</v>
      </c>
      <c r="N2805">
        <v>2010</v>
      </c>
      <c r="R2805" s="262">
        <v>653800</v>
      </c>
      <c r="S2805" t="s">
        <v>114</v>
      </c>
      <c r="T2805" t="s">
        <v>114</v>
      </c>
      <c r="U2805">
        <v>6</v>
      </c>
      <c r="W2805">
        <v>3269</v>
      </c>
      <c r="X2805">
        <v>3</v>
      </c>
      <c r="Y2805">
        <v>0</v>
      </c>
      <c r="Z2805">
        <v>0</v>
      </c>
      <c r="AA2805">
        <v>0</v>
      </c>
      <c r="AB2805">
        <v>0</v>
      </c>
      <c r="AC2805">
        <v>0</v>
      </c>
      <c r="AD2805">
        <v>3269</v>
      </c>
      <c r="AE2805">
        <v>0</v>
      </c>
      <c r="AF2805">
        <v>0</v>
      </c>
      <c r="AG2805">
        <v>0</v>
      </c>
      <c r="AH2805">
        <v>0</v>
      </c>
      <c r="AI2805">
        <v>0</v>
      </c>
      <c r="AJ2805">
        <v>0</v>
      </c>
      <c r="AK2805">
        <v>0</v>
      </c>
      <c r="AL2805">
        <v>0</v>
      </c>
      <c r="AM2805">
        <v>0</v>
      </c>
      <c r="AN2805">
        <v>0</v>
      </c>
      <c r="AO2805">
        <v>0</v>
      </c>
      <c r="AP2805">
        <v>3</v>
      </c>
      <c r="AQ2805">
        <v>0</v>
      </c>
      <c r="AR2805">
        <v>0</v>
      </c>
      <c r="AS2805">
        <v>0</v>
      </c>
      <c r="AT2805">
        <v>0</v>
      </c>
      <c r="AU2805">
        <f t="shared" si="86"/>
        <v>3</v>
      </c>
      <c r="AV2805">
        <f t="shared" si="87"/>
        <v>0</v>
      </c>
    </row>
    <row r="2806" spans="1:48" x14ac:dyDescent="0.25">
      <c r="A2806" t="s">
        <v>9457</v>
      </c>
      <c r="C2806" t="s">
        <v>9458</v>
      </c>
      <c r="D2806" t="s">
        <v>9459</v>
      </c>
      <c r="E2806" t="s">
        <v>2310</v>
      </c>
      <c r="F2806">
        <v>9</v>
      </c>
      <c r="G2806">
        <v>9.1</v>
      </c>
      <c r="H2806" t="s">
        <v>2323</v>
      </c>
      <c r="I2806" s="21">
        <v>39784</v>
      </c>
      <c r="J2806">
        <v>2008</v>
      </c>
      <c r="K2806" s="21">
        <v>39878</v>
      </c>
      <c r="L2806">
        <v>2009</v>
      </c>
      <c r="M2806" s="21">
        <v>40233.563888888901</v>
      </c>
      <c r="N2806">
        <v>2010</v>
      </c>
      <c r="R2806" s="262">
        <v>887200</v>
      </c>
      <c r="S2806" t="s">
        <v>114</v>
      </c>
      <c r="T2806" t="s">
        <v>114</v>
      </c>
      <c r="U2806">
        <v>6</v>
      </c>
      <c r="W2806">
        <v>4436</v>
      </c>
      <c r="X2806">
        <v>4</v>
      </c>
      <c r="Y2806">
        <v>0</v>
      </c>
      <c r="Z2806">
        <v>0</v>
      </c>
      <c r="AA2806">
        <v>0</v>
      </c>
      <c r="AB2806">
        <v>0</v>
      </c>
      <c r="AC2806">
        <v>0</v>
      </c>
      <c r="AD2806">
        <v>4436</v>
      </c>
      <c r="AE2806">
        <v>0</v>
      </c>
      <c r="AF2806">
        <v>0</v>
      </c>
      <c r="AG2806">
        <v>0</v>
      </c>
      <c r="AH2806">
        <v>0</v>
      </c>
      <c r="AI2806">
        <v>0</v>
      </c>
      <c r="AJ2806">
        <v>0</v>
      </c>
      <c r="AK2806">
        <v>0</v>
      </c>
      <c r="AL2806">
        <v>0</v>
      </c>
      <c r="AM2806">
        <v>0</v>
      </c>
      <c r="AN2806">
        <v>0</v>
      </c>
      <c r="AO2806">
        <v>0</v>
      </c>
      <c r="AP2806">
        <v>4</v>
      </c>
      <c r="AQ2806">
        <v>0</v>
      </c>
      <c r="AR2806">
        <v>0</v>
      </c>
      <c r="AS2806">
        <v>0</v>
      </c>
      <c r="AT2806">
        <v>0</v>
      </c>
      <c r="AU2806">
        <f t="shared" si="86"/>
        <v>4</v>
      </c>
      <c r="AV2806">
        <f t="shared" si="87"/>
        <v>0</v>
      </c>
    </row>
    <row r="2807" spans="1:48" x14ac:dyDescent="0.25">
      <c r="A2807" t="s">
        <v>9460</v>
      </c>
      <c r="C2807" t="s">
        <v>9461</v>
      </c>
      <c r="D2807" t="s">
        <v>9462</v>
      </c>
      <c r="E2807" t="s">
        <v>2310</v>
      </c>
      <c r="F2807">
        <v>9</v>
      </c>
      <c r="G2807">
        <v>9.1</v>
      </c>
      <c r="H2807" t="s">
        <v>2323</v>
      </c>
      <c r="I2807" s="21">
        <v>39784</v>
      </c>
      <c r="J2807">
        <v>2008</v>
      </c>
      <c r="K2807" s="21">
        <v>39878</v>
      </c>
      <c r="L2807">
        <v>2009</v>
      </c>
      <c r="M2807" s="21">
        <v>40233.574513888903</v>
      </c>
      <c r="N2807">
        <v>2010</v>
      </c>
      <c r="R2807" s="262">
        <v>703000</v>
      </c>
      <c r="S2807" t="s">
        <v>114</v>
      </c>
      <c r="T2807" t="s">
        <v>114</v>
      </c>
      <c r="U2807">
        <v>6</v>
      </c>
      <c r="W2807">
        <v>3515</v>
      </c>
      <c r="X2807">
        <v>4</v>
      </c>
      <c r="Y2807">
        <v>0</v>
      </c>
      <c r="Z2807">
        <v>0</v>
      </c>
      <c r="AA2807">
        <v>0</v>
      </c>
      <c r="AB2807">
        <v>0</v>
      </c>
      <c r="AC2807">
        <v>0</v>
      </c>
      <c r="AD2807">
        <v>3515</v>
      </c>
      <c r="AE2807">
        <v>0</v>
      </c>
      <c r="AF2807">
        <v>0</v>
      </c>
      <c r="AG2807">
        <v>0</v>
      </c>
      <c r="AH2807">
        <v>0</v>
      </c>
      <c r="AI2807">
        <v>0</v>
      </c>
      <c r="AJ2807">
        <v>0</v>
      </c>
      <c r="AK2807">
        <v>0</v>
      </c>
      <c r="AL2807">
        <v>0</v>
      </c>
      <c r="AM2807">
        <v>0</v>
      </c>
      <c r="AN2807">
        <v>0</v>
      </c>
      <c r="AO2807">
        <v>0</v>
      </c>
      <c r="AP2807">
        <v>4</v>
      </c>
      <c r="AQ2807">
        <v>0</v>
      </c>
      <c r="AR2807">
        <v>0</v>
      </c>
      <c r="AS2807">
        <v>0</v>
      </c>
      <c r="AT2807">
        <v>0</v>
      </c>
      <c r="AU2807">
        <f t="shared" si="86"/>
        <v>4</v>
      </c>
      <c r="AV2807">
        <f t="shared" si="87"/>
        <v>0</v>
      </c>
    </row>
    <row r="2808" spans="1:48" x14ac:dyDescent="0.25">
      <c r="A2808" t="s">
        <v>9463</v>
      </c>
      <c r="C2808" t="s">
        <v>9464</v>
      </c>
      <c r="D2808" t="s">
        <v>9465</v>
      </c>
      <c r="E2808" t="s">
        <v>2310</v>
      </c>
      <c r="F2808">
        <v>12</v>
      </c>
      <c r="G2808">
        <v>12.3</v>
      </c>
      <c r="H2808" t="s">
        <v>2017</v>
      </c>
      <c r="I2808" s="21">
        <v>39784</v>
      </c>
      <c r="J2808">
        <v>2008</v>
      </c>
      <c r="K2808" s="21">
        <v>39820</v>
      </c>
      <c r="L2808">
        <v>2009</v>
      </c>
      <c r="M2808" s="21">
        <v>40067.565891203703</v>
      </c>
      <c r="N2808">
        <v>2009</v>
      </c>
      <c r="R2808" s="262">
        <v>50000</v>
      </c>
      <c r="S2808" t="s">
        <v>114</v>
      </c>
      <c r="T2808" t="s">
        <v>114</v>
      </c>
      <c r="U2808">
        <v>8</v>
      </c>
      <c r="W2808">
        <v>0</v>
      </c>
      <c r="X2808">
        <v>1</v>
      </c>
      <c r="Y2808">
        <v>0</v>
      </c>
      <c r="Z2808">
        <v>0</v>
      </c>
      <c r="AA2808">
        <v>0</v>
      </c>
      <c r="AB2808">
        <v>0</v>
      </c>
      <c r="AC2808">
        <v>-443</v>
      </c>
      <c r="AD2808">
        <v>0</v>
      </c>
      <c r="AE2808">
        <v>0</v>
      </c>
      <c r="AF2808">
        <v>443</v>
      </c>
      <c r="AG2808">
        <v>0</v>
      </c>
      <c r="AH2808">
        <v>0</v>
      </c>
      <c r="AI2808">
        <v>0</v>
      </c>
      <c r="AJ2808">
        <v>0</v>
      </c>
      <c r="AK2808">
        <v>0</v>
      </c>
      <c r="AL2808">
        <v>0</v>
      </c>
      <c r="AM2808">
        <v>0</v>
      </c>
      <c r="AN2808">
        <v>0</v>
      </c>
      <c r="AO2808">
        <v>0</v>
      </c>
      <c r="AP2808">
        <v>0</v>
      </c>
      <c r="AQ2808">
        <v>0</v>
      </c>
      <c r="AR2808">
        <v>1</v>
      </c>
      <c r="AS2808">
        <v>0</v>
      </c>
      <c r="AT2808">
        <v>0</v>
      </c>
      <c r="AU2808">
        <f t="shared" si="86"/>
        <v>0</v>
      </c>
      <c r="AV2808">
        <f t="shared" si="87"/>
        <v>0</v>
      </c>
    </row>
    <row r="2809" spans="1:48" x14ac:dyDescent="0.25">
      <c r="A2809" t="s">
        <v>9466</v>
      </c>
      <c r="C2809" t="s">
        <v>9467</v>
      </c>
      <c r="D2809" t="s">
        <v>9468</v>
      </c>
      <c r="E2809" t="s">
        <v>2310</v>
      </c>
      <c r="F2809">
        <v>9</v>
      </c>
      <c r="G2809">
        <v>9.3000000000000007</v>
      </c>
      <c r="H2809" t="s">
        <v>2323</v>
      </c>
      <c r="I2809" s="21">
        <v>39794</v>
      </c>
      <c r="J2809">
        <v>2008</v>
      </c>
      <c r="K2809" s="21">
        <v>39839</v>
      </c>
      <c r="L2809">
        <v>2009</v>
      </c>
      <c r="M2809" s="21">
        <v>40240.433425925898</v>
      </c>
      <c r="N2809">
        <v>2010</v>
      </c>
      <c r="R2809" s="262">
        <v>15000</v>
      </c>
      <c r="S2809" t="s">
        <v>114</v>
      </c>
      <c r="T2809" t="s">
        <v>114</v>
      </c>
      <c r="U2809">
        <v>1</v>
      </c>
      <c r="W2809">
        <v>0</v>
      </c>
      <c r="X2809">
        <v>0</v>
      </c>
      <c r="Y2809">
        <v>0</v>
      </c>
      <c r="Z2809">
        <v>0</v>
      </c>
      <c r="AA2809">
        <v>0</v>
      </c>
      <c r="AB2809">
        <v>0</v>
      </c>
      <c r="AC2809">
        <v>0</v>
      </c>
      <c r="AD2809">
        <v>0</v>
      </c>
      <c r="AE2809">
        <v>0</v>
      </c>
      <c r="AF2809">
        <v>0</v>
      </c>
      <c r="AG2809">
        <v>0</v>
      </c>
      <c r="AH2809">
        <v>0</v>
      </c>
      <c r="AI2809">
        <v>0</v>
      </c>
      <c r="AJ2809">
        <v>0</v>
      </c>
      <c r="AK2809">
        <v>0</v>
      </c>
      <c r="AL2809">
        <v>0</v>
      </c>
      <c r="AM2809">
        <v>0</v>
      </c>
      <c r="AN2809">
        <v>0</v>
      </c>
      <c r="AO2809">
        <v>0</v>
      </c>
      <c r="AP2809">
        <v>0</v>
      </c>
      <c r="AQ2809">
        <v>0</v>
      </c>
      <c r="AR2809">
        <v>0</v>
      </c>
      <c r="AS2809">
        <v>0</v>
      </c>
      <c r="AT2809">
        <v>0</v>
      </c>
      <c r="AU2809">
        <f t="shared" si="86"/>
        <v>0</v>
      </c>
      <c r="AV2809">
        <f t="shared" si="87"/>
        <v>0</v>
      </c>
    </row>
    <row r="2810" spans="1:48" x14ac:dyDescent="0.25">
      <c r="A2810" t="s">
        <v>9469</v>
      </c>
      <c r="C2810" t="s">
        <v>7993</v>
      </c>
      <c r="D2810" t="s">
        <v>9470</v>
      </c>
      <c r="E2810" t="s">
        <v>2310</v>
      </c>
      <c r="F2810">
        <v>9</v>
      </c>
      <c r="G2810">
        <v>9.3000000000000007</v>
      </c>
      <c r="H2810" t="s">
        <v>2323</v>
      </c>
      <c r="I2810" s="21">
        <v>39820</v>
      </c>
      <c r="J2810">
        <v>2009</v>
      </c>
      <c r="K2810" s="21">
        <v>39878</v>
      </c>
      <c r="L2810">
        <v>2009</v>
      </c>
      <c r="M2810" s="21">
        <v>40491.6020601852</v>
      </c>
      <c r="N2810">
        <v>2010</v>
      </c>
      <c r="R2810" s="262">
        <v>1300000</v>
      </c>
      <c r="S2810" t="s">
        <v>114</v>
      </c>
      <c r="T2810" t="s">
        <v>114</v>
      </c>
      <c r="U2810">
        <v>5</v>
      </c>
      <c r="W2810">
        <v>10284</v>
      </c>
      <c r="X2810">
        <v>1</v>
      </c>
      <c r="Y2810">
        <v>0</v>
      </c>
      <c r="Z2810">
        <v>0</v>
      </c>
      <c r="AA2810">
        <v>0</v>
      </c>
      <c r="AB2810">
        <v>0</v>
      </c>
      <c r="AC2810">
        <v>10284</v>
      </c>
      <c r="AD2810">
        <v>0</v>
      </c>
      <c r="AE2810">
        <v>0</v>
      </c>
      <c r="AF2810">
        <v>0</v>
      </c>
      <c r="AG2810">
        <v>0</v>
      </c>
      <c r="AH2810">
        <v>0</v>
      </c>
      <c r="AI2810">
        <v>0</v>
      </c>
      <c r="AJ2810">
        <v>0</v>
      </c>
      <c r="AK2810">
        <v>0</v>
      </c>
      <c r="AL2810">
        <v>0</v>
      </c>
      <c r="AM2810">
        <v>0</v>
      </c>
      <c r="AN2810">
        <v>0</v>
      </c>
      <c r="AO2810">
        <v>1</v>
      </c>
      <c r="AP2810">
        <v>0</v>
      </c>
      <c r="AQ2810">
        <v>0</v>
      </c>
      <c r="AR2810">
        <v>0</v>
      </c>
      <c r="AS2810">
        <v>0</v>
      </c>
      <c r="AT2810">
        <v>0</v>
      </c>
      <c r="AU2810">
        <f t="shared" si="86"/>
        <v>1</v>
      </c>
      <c r="AV2810">
        <f t="shared" si="87"/>
        <v>0</v>
      </c>
    </row>
    <row r="2811" spans="1:48" x14ac:dyDescent="0.25">
      <c r="A2811" t="s">
        <v>9471</v>
      </c>
      <c r="C2811" t="s">
        <v>9472</v>
      </c>
      <c r="D2811" t="s">
        <v>9473</v>
      </c>
      <c r="E2811" t="s">
        <v>2310</v>
      </c>
      <c r="F2811">
        <v>8</v>
      </c>
      <c r="G2811">
        <v>8.1999999999999993</v>
      </c>
      <c r="H2811" t="s">
        <v>2022</v>
      </c>
      <c r="I2811" s="21">
        <v>39821</v>
      </c>
      <c r="J2811">
        <v>2009</v>
      </c>
      <c r="K2811" s="21">
        <v>39839</v>
      </c>
      <c r="L2811">
        <v>2009</v>
      </c>
      <c r="M2811" s="21">
        <v>40605.419120370403</v>
      </c>
      <c r="N2811">
        <v>2011</v>
      </c>
      <c r="R2811" s="262">
        <v>50000</v>
      </c>
      <c r="S2811" t="s">
        <v>114</v>
      </c>
      <c r="T2811" t="s">
        <v>114</v>
      </c>
      <c r="U2811">
        <v>5</v>
      </c>
      <c r="W2811">
        <v>100</v>
      </c>
      <c r="X2811">
        <v>0</v>
      </c>
      <c r="Y2811">
        <v>0</v>
      </c>
      <c r="Z2811">
        <v>0</v>
      </c>
      <c r="AA2811">
        <v>0</v>
      </c>
      <c r="AB2811">
        <v>0</v>
      </c>
      <c r="AC2811">
        <v>100</v>
      </c>
      <c r="AD2811">
        <v>0</v>
      </c>
      <c r="AE2811">
        <v>0</v>
      </c>
      <c r="AF2811">
        <v>0</v>
      </c>
      <c r="AG2811">
        <v>0</v>
      </c>
      <c r="AH2811">
        <v>0</v>
      </c>
      <c r="AI2811">
        <v>0</v>
      </c>
      <c r="AJ2811">
        <v>0</v>
      </c>
      <c r="AK2811">
        <v>0</v>
      </c>
      <c r="AL2811">
        <v>0</v>
      </c>
      <c r="AM2811">
        <v>0</v>
      </c>
      <c r="AN2811">
        <v>0</v>
      </c>
      <c r="AO2811">
        <v>0</v>
      </c>
      <c r="AP2811">
        <v>0</v>
      </c>
      <c r="AQ2811">
        <v>0</v>
      </c>
      <c r="AR2811">
        <v>0</v>
      </c>
      <c r="AS2811">
        <v>0</v>
      </c>
      <c r="AT2811">
        <v>0</v>
      </c>
      <c r="AU2811">
        <f t="shared" si="86"/>
        <v>0</v>
      </c>
      <c r="AV2811">
        <f t="shared" si="87"/>
        <v>0</v>
      </c>
    </row>
    <row r="2812" spans="1:48" x14ac:dyDescent="0.25">
      <c r="A2812" t="s">
        <v>9474</v>
      </c>
      <c r="C2812" t="s">
        <v>9475</v>
      </c>
      <c r="D2812" t="s">
        <v>9476</v>
      </c>
      <c r="E2812" t="s">
        <v>2310</v>
      </c>
      <c r="F2812">
        <v>7</v>
      </c>
      <c r="G2812">
        <v>7.1</v>
      </c>
      <c r="H2812" t="s">
        <v>2017</v>
      </c>
      <c r="I2812" s="21">
        <v>39833</v>
      </c>
      <c r="J2812">
        <v>2009</v>
      </c>
      <c r="K2812" s="21">
        <v>39890</v>
      </c>
      <c r="L2812">
        <v>2009</v>
      </c>
      <c r="M2812" s="21">
        <v>40268.571736111102</v>
      </c>
      <c r="N2812">
        <v>2010</v>
      </c>
      <c r="R2812" s="262">
        <v>1890000</v>
      </c>
      <c r="S2812" t="s">
        <v>114</v>
      </c>
      <c r="T2812" t="s">
        <v>114</v>
      </c>
      <c r="U2812">
        <v>15</v>
      </c>
      <c r="W2812">
        <v>960</v>
      </c>
      <c r="X2812">
        <v>0</v>
      </c>
      <c r="Y2812">
        <v>0</v>
      </c>
      <c r="Z2812">
        <v>0</v>
      </c>
      <c r="AA2812">
        <v>0</v>
      </c>
      <c r="AB2812">
        <v>0</v>
      </c>
      <c r="AC2812">
        <v>0</v>
      </c>
      <c r="AD2812">
        <v>0</v>
      </c>
      <c r="AE2812">
        <v>0</v>
      </c>
      <c r="AF2812">
        <v>0</v>
      </c>
      <c r="AG2812">
        <v>0</v>
      </c>
      <c r="AH2812">
        <v>0</v>
      </c>
      <c r="AI2812">
        <v>0</v>
      </c>
      <c r="AJ2812">
        <v>0</v>
      </c>
      <c r="AK2812">
        <v>0</v>
      </c>
      <c r="AL2812">
        <v>0</v>
      </c>
      <c r="AM2812">
        <v>960</v>
      </c>
      <c r="AN2812">
        <v>0</v>
      </c>
      <c r="AO2812">
        <v>0</v>
      </c>
      <c r="AP2812">
        <v>0</v>
      </c>
      <c r="AQ2812">
        <v>0</v>
      </c>
      <c r="AR2812">
        <v>0</v>
      </c>
      <c r="AS2812">
        <v>0</v>
      </c>
      <c r="AT2812">
        <v>0</v>
      </c>
      <c r="AU2812">
        <f t="shared" si="86"/>
        <v>0</v>
      </c>
      <c r="AV2812">
        <f t="shared" si="87"/>
        <v>960</v>
      </c>
    </row>
    <row r="2813" spans="1:48" x14ac:dyDescent="0.25">
      <c r="A2813" t="s">
        <v>9477</v>
      </c>
      <c r="C2813" t="s">
        <v>9478</v>
      </c>
      <c r="D2813" t="s">
        <v>9479</v>
      </c>
      <c r="E2813" t="s">
        <v>1663</v>
      </c>
      <c r="F2813">
        <v>6</v>
      </c>
      <c r="G2813">
        <v>6.1</v>
      </c>
      <c r="H2813" t="s">
        <v>2017</v>
      </c>
      <c r="I2813" s="21">
        <v>39835</v>
      </c>
      <c r="J2813">
        <v>2009</v>
      </c>
      <c r="K2813" s="21">
        <v>39866</v>
      </c>
      <c r="L2813">
        <v>2009</v>
      </c>
      <c r="M2813" s="21">
        <v>40016</v>
      </c>
      <c r="N2813">
        <v>2009</v>
      </c>
      <c r="Q2813" s="262">
        <v>0</v>
      </c>
      <c r="S2813" t="s">
        <v>114</v>
      </c>
      <c r="T2813" t="s">
        <v>114</v>
      </c>
      <c r="W2813">
        <v>4080</v>
      </c>
      <c r="X2813">
        <v>1</v>
      </c>
      <c r="Y2813">
        <v>0</v>
      </c>
      <c r="Z2813">
        <v>0</v>
      </c>
      <c r="AA2813">
        <v>0</v>
      </c>
      <c r="AB2813">
        <v>0</v>
      </c>
      <c r="AC2813">
        <v>0</v>
      </c>
      <c r="AD2813">
        <v>4080</v>
      </c>
      <c r="AE2813">
        <v>0</v>
      </c>
      <c r="AF2813">
        <v>0</v>
      </c>
      <c r="AG2813">
        <v>0</v>
      </c>
      <c r="AH2813">
        <v>0</v>
      </c>
      <c r="AI2813">
        <v>0</v>
      </c>
      <c r="AJ2813">
        <v>0</v>
      </c>
      <c r="AK2813">
        <v>0</v>
      </c>
      <c r="AL2813">
        <v>0</v>
      </c>
      <c r="AM2813">
        <v>0</v>
      </c>
      <c r="AN2813">
        <v>0</v>
      </c>
      <c r="AO2813">
        <v>0</v>
      </c>
      <c r="AP2813">
        <v>1</v>
      </c>
      <c r="AQ2813">
        <v>0</v>
      </c>
      <c r="AR2813">
        <v>0</v>
      </c>
      <c r="AS2813">
        <v>0</v>
      </c>
      <c r="AT2813">
        <v>0</v>
      </c>
      <c r="AU2813">
        <f t="shared" si="86"/>
        <v>1</v>
      </c>
      <c r="AV2813">
        <f t="shared" si="87"/>
        <v>0</v>
      </c>
    </row>
    <row r="2814" spans="1:48" x14ac:dyDescent="0.25">
      <c r="A2814" t="s">
        <v>9480</v>
      </c>
      <c r="C2814" t="s">
        <v>9481</v>
      </c>
      <c r="D2814" t="s">
        <v>9482</v>
      </c>
      <c r="E2814" t="s">
        <v>1663</v>
      </c>
      <c r="F2814">
        <v>6</v>
      </c>
      <c r="G2814">
        <v>6.1</v>
      </c>
      <c r="H2814" t="s">
        <v>2017</v>
      </c>
      <c r="I2814" s="21">
        <v>39835</v>
      </c>
      <c r="J2814">
        <v>2009</v>
      </c>
      <c r="K2814" s="21">
        <v>39866</v>
      </c>
      <c r="L2814">
        <v>2009</v>
      </c>
      <c r="M2814" s="21">
        <v>40016</v>
      </c>
      <c r="N2814">
        <v>2009</v>
      </c>
      <c r="Q2814" s="262">
        <v>0</v>
      </c>
      <c r="S2814" t="s">
        <v>114</v>
      </c>
      <c r="T2814" t="s">
        <v>114</v>
      </c>
      <c r="W2814">
        <v>0</v>
      </c>
      <c r="X2814">
        <v>0</v>
      </c>
      <c r="Y2814">
        <v>0</v>
      </c>
      <c r="Z2814">
        <v>0</v>
      </c>
      <c r="AA2814">
        <v>0</v>
      </c>
      <c r="AB2814">
        <v>0</v>
      </c>
      <c r="AC2814">
        <v>0</v>
      </c>
      <c r="AD2814">
        <v>0</v>
      </c>
      <c r="AE2814">
        <v>0</v>
      </c>
      <c r="AF2814">
        <v>0</v>
      </c>
      <c r="AG2814">
        <v>0</v>
      </c>
      <c r="AH2814">
        <v>0</v>
      </c>
      <c r="AI2814">
        <v>0</v>
      </c>
      <c r="AJ2814">
        <v>0</v>
      </c>
      <c r="AK2814">
        <v>0</v>
      </c>
      <c r="AL2814">
        <v>0</v>
      </c>
      <c r="AM2814">
        <v>0</v>
      </c>
      <c r="AN2814">
        <v>0</v>
      </c>
      <c r="AO2814">
        <v>0</v>
      </c>
      <c r="AP2814">
        <v>0</v>
      </c>
      <c r="AQ2814">
        <v>0</v>
      </c>
      <c r="AR2814">
        <v>0</v>
      </c>
      <c r="AS2814">
        <v>0</v>
      </c>
      <c r="AT2814">
        <v>0</v>
      </c>
      <c r="AU2814">
        <f t="shared" si="86"/>
        <v>0</v>
      </c>
      <c r="AV2814">
        <f t="shared" si="87"/>
        <v>0</v>
      </c>
    </row>
    <row r="2815" spans="1:48" x14ac:dyDescent="0.25">
      <c r="A2815" t="s">
        <v>9483</v>
      </c>
      <c r="C2815" t="s">
        <v>9484</v>
      </c>
      <c r="D2815" t="s">
        <v>8941</v>
      </c>
      <c r="E2815" t="s">
        <v>2310</v>
      </c>
      <c r="F2815">
        <v>10</v>
      </c>
      <c r="G2815">
        <v>10.1</v>
      </c>
      <c r="H2815" t="s">
        <v>2323</v>
      </c>
      <c r="I2815" s="21">
        <v>39835</v>
      </c>
      <c r="J2815">
        <v>2009</v>
      </c>
      <c r="K2815" s="21">
        <v>39848</v>
      </c>
      <c r="L2815">
        <v>2009</v>
      </c>
      <c r="M2815" s="21">
        <v>40151.645810185197</v>
      </c>
      <c r="N2815">
        <v>2009</v>
      </c>
      <c r="S2815" t="s">
        <v>114</v>
      </c>
      <c r="T2815" t="s">
        <v>114</v>
      </c>
      <c r="U2815">
        <v>5</v>
      </c>
      <c r="W2815">
        <v>257</v>
      </c>
      <c r="X2815">
        <v>1</v>
      </c>
      <c r="Y2815">
        <v>0</v>
      </c>
      <c r="Z2815">
        <v>0</v>
      </c>
      <c r="AA2815">
        <v>0</v>
      </c>
      <c r="AB2815">
        <v>0</v>
      </c>
      <c r="AC2815">
        <v>257</v>
      </c>
      <c r="AD2815">
        <v>0</v>
      </c>
      <c r="AE2815">
        <v>0</v>
      </c>
      <c r="AF2815">
        <v>0</v>
      </c>
      <c r="AG2815">
        <v>0</v>
      </c>
      <c r="AH2815">
        <v>0</v>
      </c>
      <c r="AI2815">
        <v>0</v>
      </c>
      <c r="AJ2815">
        <v>0</v>
      </c>
      <c r="AK2815">
        <v>0</v>
      </c>
      <c r="AL2815">
        <v>0</v>
      </c>
      <c r="AM2815">
        <v>0</v>
      </c>
      <c r="AN2815">
        <v>0</v>
      </c>
      <c r="AO2815">
        <v>1</v>
      </c>
      <c r="AP2815">
        <v>0</v>
      </c>
      <c r="AQ2815">
        <v>0</v>
      </c>
      <c r="AR2815">
        <v>0</v>
      </c>
      <c r="AS2815">
        <v>0</v>
      </c>
      <c r="AT2815">
        <v>0</v>
      </c>
      <c r="AU2815">
        <f t="shared" si="86"/>
        <v>1</v>
      </c>
      <c r="AV2815">
        <f t="shared" si="87"/>
        <v>0</v>
      </c>
    </row>
    <row r="2816" spans="1:48" x14ac:dyDescent="0.25">
      <c r="A2816" t="s">
        <v>9485</v>
      </c>
      <c r="C2816" t="s">
        <v>9486</v>
      </c>
      <c r="D2816" t="s">
        <v>9487</v>
      </c>
      <c r="E2816" t="s">
        <v>2310</v>
      </c>
      <c r="F2816">
        <v>10</v>
      </c>
      <c r="G2816">
        <v>10.1</v>
      </c>
      <c r="H2816" t="s">
        <v>2323</v>
      </c>
      <c r="I2816" s="21">
        <v>39835</v>
      </c>
      <c r="J2816">
        <v>2009</v>
      </c>
      <c r="K2816" s="21">
        <v>39955</v>
      </c>
      <c r="L2816">
        <v>2009</v>
      </c>
      <c r="M2816" s="21">
        <v>40513.587395833303</v>
      </c>
      <c r="N2816">
        <v>2010</v>
      </c>
      <c r="R2816" s="262">
        <v>4700000</v>
      </c>
      <c r="S2816" t="s">
        <v>114</v>
      </c>
      <c r="T2816" t="s">
        <v>114</v>
      </c>
      <c r="U2816">
        <v>15</v>
      </c>
      <c r="W2816">
        <v>11960</v>
      </c>
      <c r="X2816">
        <v>0</v>
      </c>
      <c r="Y2816">
        <v>0</v>
      </c>
      <c r="Z2816">
        <v>0</v>
      </c>
      <c r="AA2816">
        <v>0</v>
      </c>
      <c r="AB2816">
        <v>0</v>
      </c>
      <c r="AC2816">
        <v>0</v>
      </c>
      <c r="AD2816">
        <v>0</v>
      </c>
      <c r="AE2816">
        <v>0</v>
      </c>
      <c r="AF2816">
        <v>0</v>
      </c>
      <c r="AG2816">
        <v>0</v>
      </c>
      <c r="AH2816">
        <v>0</v>
      </c>
      <c r="AI2816">
        <v>0</v>
      </c>
      <c r="AJ2816">
        <v>0</v>
      </c>
      <c r="AK2816">
        <v>0</v>
      </c>
      <c r="AL2816">
        <v>0</v>
      </c>
      <c r="AM2816">
        <v>11960</v>
      </c>
      <c r="AN2816">
        <v>0</v>
      </c>
      <c r="AO2816">
        <v>0</v>
      </c>
      <c r="AP2816">
        <v>0</v>
      </c>
      <c r="AQ2816">
        <v>0</v>
      </c>
      <c r="AR2816">
        <v>0</v>
      </c>
      <c r="AS2816">
        <v>0</v>
      </c>
      <c r="AT2816">
        <v>0</v>
      </c>
      <c r="AU2816">
        <f t="shared" si="86"/>
        <v>0</v>
      </c>
      <c r="AV2816">
        <f t="shared" si="87"/>
        <v>11960</v>
      </c>
    </row>
    <row r="2817" spans="1:48" x14ac:dyDescent="0.25">
      <c r="A2817" t="s">
        <v>9488</v>
      </c>
      <c r="C2817" t="s">
        <v>9489</v>
      </c>
      <c r="D2817" t="s">
        <v>9490</v>
      </c>
      <c r="E2817" t="s">
        <v>2310</v>
      </c>
      <c r="F2817">
        <v>8</v>
      </c>
      <c r="G2817">
        <v>8.1</v>
      </c>
      <c r="H2817" t="s">
        <v>2323</v>
      </c>
      <c r="I2817" s="21">
        <v>39835</v>
      </c>
      <c r="J2817">
        <v>2009</v>
      </c>
      <c r="K2817" s="21">
        <v>39853</v>
      </c>
      <c r="L2817">
        <v>2009</v>
      </c>
      <c r="M2817" s="21">
        <v>40346.681967592602</v>
      </c>
      <c r="N2817">
        <v>2010</v>
      </c>
      <c r="R2817" s="262">
        <v>351000</v>
      </c>
      <c r="S2817" t="s">
        <v>114</v>
      </c>
      <c r="T2817" t="s">
        <v>114</v>
      </c>
      <c r="U2817">
        <v>5</v>
      </c>
      <c r="W2817">
        <v>360</v>
      </c>
      <c r="X2817">
        <v>0</v>
      </c>
      <c r="Y2817">
        <v>0</v>
      </c>
      <c r="Z2817">
        <v>0</v>
      </c>
      <c r="AA2817">
        <v>0</v>
      </c>
      <c r="AB2817">
        <v>0</v>
      </c>
      <c r="AC2817">
        <v>360</v>
      </c>
      <c r="AD2817">
        <v>0</v>
      </c>
      <c r="AE2817">
        <v>0</v>
      </c>
      <c r="AF2817">
        <v>0</v>
      </c>
      <c r="AG2817">
        <v>0</v>
      </c>
      <c r="AH2817">
        <v>0</v>
      </c>
      <c r="AI2817">
        <v>0</v>
      </c>
      <c r="AJ2817">
        <v>0</v>
      </c>
      <c r="AK2817">
        <v>0</v>
      </c>
      <c r="AL2817">
        <v>0</v>
      </c>
      <c r="AM2817">
        <v>0</v>
      </c>
      <c r="AN2817">
        <v>0</v>
      </c>
      <c r="AO2817">
        <v>0</v>
      </c>
      <c r="AP2817">
        <v>0</v>
      </c>
      <c r="AQ2817">
        <v>0</v>
      </c>
      <c r="AR2817">
        <v>0</v>
      </c>
      <c r="AS2817">
        <v>0</v>
      </c>
      <c r="AT2817">
        <v>0</v>
      </c>
      <c r="AU2817">
        <f t="shared" si="86"/>
        <v>0</v>
      </c>
      <c r="AV2817">
        <f t="shared" si="87"/>
        <v>0</v>
      </c>
    </row>
    <row r="2818" spans="1:48" x14ac:dyDescent="0.25">
      <c r="A2818" t="s">
        <v>9491</v>
      </c>
      <c r="C2818" t="s">
        <v>9492</v>
      </c>
      <c r="D2818" t="s">
        <v>8150</v>
      </c>
      <c r="E2818" t="s">
        <v>2310</v>
      </c>
      <c r="F2818">
        <v>9</v>
      </c>
      <c r="G2818">
        <v>9.1</v>
      </c>
      <c r="H2818" t="s">
        <v>2323</v>
      </c>
      <c r="I2818" s="21">
        <v>39835</v>
      </c>
      <c r="J2818">
        <v>2009</v>
      </c>
      <c r="K2818" s="21">
        <v>39904</v>
      </c>
      <c r="L2818">
        <v>2009</v>
      </c>
      <c r="M2818" s="21">
        <v>40255.339236111096</v>
      </c>
      <c r="N2818">
        <v>2010</v>
      </c>
      <c r="R2818" s="262">
        <v>1500000</v>
      </c>
      <c r="S2818" t="s">
        <v>114</v>
      </c>
      <c r="T2818" t="s">
        <v>114</v>
      </c>
      <c r="U2818">
        <v>5</v>
      </c>
      <c r="W2818">
        <v>1298</v>
      </c>
      <c r="X2818">
        <v>1</v>
      </c>
      <c r="Y2818">
        <v>0</v>
      </c>
      <c r="Z2818">
        <v>0</v>
      </c>
      <c r="AA2818">
        <v>0</v>
      </c>
      <c r="AB2818">
        <v>0</v>
      </c>
      <c r="AC2818">
        <v>1298</v>
      </c>
      <c r="AD2818">
        <v>0</v>
      </c>
      <c r="AE2818">
        <v>0</v>
      </c>
      <c r="AF2818">
        <v>0</v>
      </c>
      <c r="AG2818">
        <v>0</v>
      </c>
      <c r="AH2818">
        <v>0</v>
      </c>
      <c r="AI2818">
        <v>0</v>
      </c>
      <c r="AJ2818">
        <v>0</v>
      </c>
      <c r="AK2818">
        <v>0</v>
      </c>
      <c r="AL2818">
        <v>0</v>
      </c>
      <c r="AM2818">
        <v>0</v>
      </c>
      <c r="AN2818">
        <v>0</v>
      </c>
      <c r="AO2818">
        <v>1</v>
      </c>
      <c r="AP2818">
        <v>0</v>
      </c>
      <c r="AQ2818">
        <v>0</v>
      </c>
      <c r="AR2818">
        <v>0</v>
      </c>
      <c r="AS2818">
        <v>0</v>
      </c>
      <c r="AT2818">
        <v>0</v>
      </c>
      <c r="AU2818">
        <f t="shared" si="86"/>
        <v>1</v>
      </c>
      <c r="AV2818">
        <f t="shared" si="87"/>
        <v>0</v>
      </c>
    </row>
    <row r="2819" spans="1:48" x14ac:dyDescent="0.25">
      <c r="A2819" t="s">
        <v>9493</v>
      </c>
      <c r="C2819" t="s">
        <v>3870</v>
      </c>
      <c r="D2819" t="s">
        <v>8150</v>
      </c>
      <c r="E2819" t="s">
        <v>2310</v>
      </c>
      <c r="F2819">
        <v>9</v>
      </c>
      <c r="G2819">
        <v>9.1</v>
      </c>
      <c r="H2819" t="s">
        <v>2323</v>
      </c>
      <c r="I2819" s="21">
        <v>39835</v>
      </c>
      <c r="J2819">
        <v>2009</v>
      </c>
      <c r="K2819" s="21">
        <v>39909</v>
      </c>
      <c r="L2819">
        <v>2009</v>
      </c>
      <c r="M2819" s="21">
        <v>40277.555694444403</v>
      </c>
      <c r="N2819">
        <v>2010</v>
      </c>
      <c r="R2819" s="262">
        <v>101</v>
      </c>
      <c r="S2819" t="s">
        <v>114</v>
      </c>
      <c r="T2819" t="s">
        <v>114</v>
      </c>
      <c r="U2819">
        <v>5</v>
      </c>
      <c r="W2819">
        <v>650</v>
      </c>
      <c r="X2819">
        <v>0</v>
      </c>
      <c r="Y2819">
        <v>0</v>
      </c>
      <c r="Z2819">
        <v>0</v>
      </c>
      <c r="AA2819">
        <v>0</v>
      </c>
      <c r="AB2819">
        <v>0</v>
      </c>
      <c r="AC2819">
        <v>650</v>
      </c>
      <c r="AD2819">
        <v>0</v>
      </c>
      <c r="AE2819">
        <v>0</v>
      </c>
      <c r="AF2819">
        <v>0</v>
      </c>
      <c r="AG2819">
        <v>0</v>
      </c>
      <c r="AH2819">
        <v>0</v>
      </c>
      <c r="AI2819">
        <v>0</v>
      </c>
      <c r="AJ2819">
        <v>0</v>
      </c>
      <c r="AK2819">
        <v>0</v>
      </c>
      <c r="AL2819">
        <v>0</v>
      </c>
      <c r="AM2819">
        <v>0</v>
      </c>
      <c r="AN2819">
        <v>0</v>
      </c>
      <c r="AO2819">
        <v>0</v>
      </c>
      <c r="AP2819">
        <v>0</v>
      </c>
      <c r="AQ2819">
        <v>0</v>
      </c>
      <c r="AR2819">
        <v>0</v>
      </c>
      <c r="AS2819">
        <v>0</v>
      </c>
      <c r="AT2819">
        <v>0</v>
      </c>
      <c r="AU2819">
        <f t="shared" si="86"/>
        <v>0</v>
      </c>
      <c r="AV2819">
        <f t="shared" si="87"/>
        <v>0</v>
      </c>
    </row>
    <row r="2820" spans="1:48" x14ac:dyDescent="0.25">
      <c r="A2820" t="s">
        <v>9494</v>
      </c>
      <c r="C2820" t="s">
        <v>9495</v>
      </c>
      <c r="D2820" t="s">
        <v>9496</v>
      </c>
      <c r="E2820" t="s">
        <v>2310</v>
      </c>
      <c r="F2820">
        <v>8</v>
      </c>
      <c r="G2820">
        <v>8.3000000000000007</v>
      </c>
      <c r="H2820" t="s">
        <v>2323</v>
      </c>
      <c r="I2820" s="21">
        <v>39836</v>
      </c>
      <c r="J2820">
        <v>2009</v>
      </c>
      <c r="K2820" s="21">
        <v>39848</v>
      </c>
      <c r="L2820">
        <v>2009</v>
      </c>
      <c r="M2820" s="21">
        <v>39960</v>
      </c>
      <c r="N2820">
        <v>2009</v>
      </c>
      <c r="R2820" s="262">
        <v>33000</v>
      </c>
      <c r="S2820" t="s">
        <v>114</v>
      </c>
      <c r="T2820" t="s">
        <v>114</v>
      </c>
      <c r="U2820">
        <v>7</v>
      </c>
      <c r="W2820">
        <v>204</v>
      </c>
      <c r="X2820">
        <v>1</v>
      </c>
      <c r="Y2820">
        <v>0</v>
      </c>
      <c r="Z2820">
        <v>0</v>
      </c>
      <c r="AA2820">
        <v>0</v>
      </c>
      <c r="AB2820">
        <v>0</v>
      </c>
      <c r="AC2820">
        <v>0</v>
      </c>
      <c r="AD2820">
        <v>0</v>
      </c>
      <c r="AE2820">
        <v>204</v>
      </c>
      <c r="AF2820">
        <v>0</v>
      </c>
      <c r="AG2820">
        <v>0</v>
      </c>
      <c r="AH2820">
        <v>0</v>
      </c>
      <c r="AI2820">
        <v>0</v>
      </c>
      <c r="AJ2820">
        <v>0</v>
      </c>
      <c r="AK2820">
        <v>0</v>
      </c>
      <c r="AL2820">
        <v>0</v>
      </c>
      <c r="AM2820">
        <v>0</v>
      </c>
      <c r="AN2820">
        <v>0</v>
      </c>
      <c r="AO2820">
        <v>0</v>
      </c>
      <c r="AP2820">
        <v>0</v>
      </c>
      <c r="AQ2820">
        <v>1</v>
      </c>
      <c r="AR2820">
        <v>0</v>
      </c>
      <c r="AS2820">
        <v>0</v>
      </c>
      <c r="AT2820">
        <v>0</v>
      </c>
      <c r="AU2820">
        <f t="shared" si="86"/>
        <v>1</v>
      </c>
      <c r="AV2820">
        <f t="shared" si="87"/>
        <v>0</v>
      </c>
    </row>
    <row r="2821" spans="1:48" x14ac:dyDescent="0.25">
      <c r="A2821" t="s">
        <v>9497</v>
      </c>
      <c r="C2821" t="s">
        <v>9498</v>
      </c>
      <c r="D2821" t="s">
        <v>9496</v>
      </c>
      <c r="E2821" t="s">
        <v>2310</v>
      </c>
      <c r="F2821">
        <v>8</v>
      </c>
      <c r="G2821">
        <v>8.3000000000000007</v>
      </c>
      <c r="H2821" t="s">
        <v>2323</v>
      </c>
      <c r="I2821" s="21">
        <v>39836</v>
      </c>
      <c r="J2821">
        <v>2009</v>
      </c>
      <c r="K2821" s="21">
        <v>39846</v>
      </c>
      <c r="L2821">
        <v>2009</v>
      </c>
      <c r="M2821" s="21">
        <v>39960</v>
      </c>
      <c r="N2821">
        <v>2009</v>
      </c>
      <c r="R2821" s="262">
        <v>33000</v>
      </c>
      <c r="S2821" t="s">
        <v>114</v>
      </c>
      <c r="T2821" t="s">
        <v>114</v>
      </c>
      <c r="U2821">
        <v>7</v>
      </c>
      <c r="W2821">
        <v>204</v>
      </c>
      <c r="X2821">
        <v>1</v>
      </c>
      <c r="Y2821">
        <v>0</v>
      </c>
      <c r="Z2821">
        <v>0</v>
      </c>
      <c r="AA2821">
        <v>0</v>
      </c>
      <c r="AB2821">
        <v>0</v>
      </c>
      <c r="AC2821">
        <v>0</v>
      </c>
      <c r="AD2821">
        <v>0</v>
      </c>
      <c r="AE2821">
        <v>204</v>
      </c>
      <c r="AF2821">
        <v>0</v>
      </c>
      <c r="AG2821">
        <v>0</v>
      </c>
      <c r="AH2821">
        <v>0</v>
      </c>
      <c r="AI2821">
        <v>0</v>
      </c>
      <c r="AJ2821">
        <v>0</v>
      </c>
      <c r="AK2821">
        <v>0</v>
      </c>
      <c r="AL2821">
        <v>0</v>
      </c>
      <c r="AM2821">
        <v>0</v>
      </c>
      <c r="AN2821">
        <v>0</v>
      </c>
      <c r="AO2821">
        <v>0</v>
      </c>
      <c r="AP2821">
        <v>0</v>
      </c>
      <c r="AQ2821">
        <v>1</v>
      </c>
      <c r="AR2821">
        <v>0</v>
      </c>
      <c r="AS2821">
        <v>0</v>
      </c>
      <c r="AT2821">
        <v>0</v>
      </c>
      <c r="AU2821">
        <f t="shared" si="86"/>
        <v>1</v>
      </c>
      <c r="AV2821">
        <f t="shared" si="87"/>
        <v>0</v>
      </c>
    </row>
    <row r="2822" spans="1:48" x14ac:dyDescent="0.25">
      <c r="A2822" t="s">
        <v>9499</v>
      </c>
      <c r="C2822" t="s">
        <v>9500</v>
      </c>
      <c r="D2822" t="s">
        <v>9496</v>
      </c>
      <c r="E2822" t="s">
        <v>2310</v>
      </c>
      <c r="F2822">
        <v>8</v>
      </c>
      <c r="G2822">
        <v>8.3000000000000007</v>
      </c>
      <c r="H2822" t="s">
        <v>2323</v>
      </c>
      <c r="I2822" s="21">
        <v>39836</v>
      </c>
      <c r="J2822">
        <v>2009</v>
      </c>
      <c r="K2822" s="21">
        <v>39855</v>
      </c>
      <c r="L2822">
        <v>2009</v>
      </c>
      <c r="M2822" s="21">
        <v>39960</v>
      </c>
      <c r="N2822">
        <v>2009</v>
      </c>
      <c r="R2822" s="262">
        <v>33000</v>
      </c>
      <c r="S2822" t="s">
        <v>114</v>
      </c>
      <c r="T2822" t="s">
        <v>114</v>
      </c>
      <c r="U2822">
        <v>7</v>
      </c>
      <c r="W2822">
        <v>264</v>
      </c>
      <c r="X2822">
        <v>1</v>
      </c>
      <c r="Y2822">
        <v>0</v>
      </c>
      <c r="Z2822">
        <v>0</v>
      </c>
      <c r="AA2822">
        <v>0</v>
      </c>
      <c r="AB2822">
        <v>0</v>
      </c>
      <c r="AC2822">
        <v>0</v>
      </c>
      <c r="AD2822">
        <v>0</v>
      </c>
      <c r="AE2822">
        <v>264</v>
      </c>
      <c r="AF2822">
        <v>0</v>
      </c>
      <c r="AG2822">
        <v>0</v>
      </c>
      <c r="AH2822">
        <v>0</v>
      </c>
      <c r="AI2822">
        <v>0</v>
      </c>
      <c r="AJ2822">
        <v>0</v>
      </c>
      <c r="AK2822">
        <v>0</v>
      </c>
      <c r="AL2822">
        <v>0</v>
      </c>
      <c r="AM2822">
        <v>0</v>
      </c>
      <c r="AN2822">
        <v>0</v>
      </c>
      <c r="AO2822">
        <v>0</v>
      </c>
      <c r="AP2822">
        <v>0</v>
      </c>
      <c r="AQ2822">
        <v>1</v>
      </c>
      <c r="AR2822">
        <v>0</v>
      </c>
      <c r="AS2822">
        <v>0</v>
      </c>
      <c r="AT2822">
        <v>0</v>
      </c>
      <c r="AU2822">
        <f t="shared" si="86"/>
        <v>1</v>
      </c>
      <c r="AV2822">
        <f t="shared" si="87"/>
        <v>0</v>
      </c>
    </row>
    <row r="2823" spans="1:48" x14ac:dyDescent="0.25">
      <c r="A2823" t="s">
        <v>9501</v>
      </c>
      <c r="C2823" t="s">
        <v>9502</v>
      </c>
      <c r="D2823" t="s">
        <v>9496</v>
      </c>
      <c r="E2823" t="s">
        <v>2310</v>
      </c>
      <c r="F2823">
        <v>8</v>
      </c>
      <c r="G2823">
        <v>8.3000000000000007</v>
      </c>
      <c r="H2823" t="s">
        <v>2323</v>
      </c>
      <c r="I2823" s="21">
        <v>39836</v>
      </c>
      <c r="J2823">
        <v>2009</v>
      </c>
      <c r="K2823" s="21">
        <v>39849</v>
      </c>
      <c r="L2823">
        <v>2009</v>
      </c>
      <c r="M2823" s="21">
        <v>39960</v>
      </c>
      <c r="N2823">
        <v>2009</v>
      </c>
      <c r="R2823" s="262">
        <v>33000</v>
      </c>
      <c r="S2823" t="s">
        <v>114</v>
      </c>
      <c r="T2823" t="s">
        <v>114</v>
      </c>
      <c r="U2823">
        <v>7</v>
      </c>
      <c r="W2823">
        <v>204</v>
      </c>
      <c r="X2823">
        <v>1</v>
      </c>
      <c r="Y2823">
        <v>0</v>
      </c>
      <c r="Z2823">
        <v>0</v>
      </c>
      <c r="AA2823">
        <v>0</v>
      </c>
      <c r="AB2823">
        <v>0</v>
      </c>
      <c r="AC2823">
        <v>0</v>
      </c>
      <c r="AD2823">
        <v>0</v>
      </c>
      <c r="AE2823">
        <v>204</v>
      </c>
      <c r="AF2823">
        <v>0</v>
      </c>
      <c r="AG2823">
        <v>0</v>
      </c>
      <c r="AH2823">
        <v>0</v>
      </c>
      <c r="AI2823">
        <v>0</v>
      </c>
      <c r="AJ2823">
        <v>0</v>
      </c>
      <c r="AK2823">
        <v>0</v>
      </c>
      <c r="AL2823">
        <v>0</v>
      </c>
      <c r="AM2823">
        <v>0</v>
      </c>
      <c r="AN2823">
        <v>0</v>
      </c>
      <c r="AO2823">
        <v>0</v>
      </c>
      <c r="AP2823">
        <v>0</v>
      </c>
      <c r="AQ2823">
        <v>1</v>
      </c>
      <c r="AR2823">
        <v>0</v>
      </c>
      <c r="AS2823">
        <v>0</v>
      </c>
      <c r="AT2823">
        <v>0</v>
      </c>
      <c r="AU2823">
        <f t="shared" si="86"/>
        <v>1</v>
      </c>
      <c r="AV2823">
        <f t="shared" si="87"/>
        <v>0</v>
      </c>
    </row>
    <row r="2824" spans="1:48" x14ac:dyDescent="0.25">
      <c r="A2824" t="s">
        <v>9503</v>
      </c>
      <c r="C2824" t="s">
        <v>9502</v>
      </c>
      <c r="D2824" t="s">
        <v>9496</v>
      </c>
      <c r="E2824" t="s">
        <v>2310</v>
      </c>
      <c r="F2824">
        <v>8</v>
      </c>
      <c r="G2824">
        <v>8.3000000000000007</v>
      </c>
      <c r="H2824" t="s">
        <v>2323</v>
      </c>
      <c r="I2824" s="21">
        <v>39836</v>
      </c>
      <c r="J2824">
        <v>2009</v>
      </c>
      <c r="K2824" s="21">
        <v>39847</v>
      </c>
      <c r="L2824">
        <v>2009</v>
      </c>
      <c r="M2824" s="21">
        <v>39960</v>
      </c>
      <c r="N2824">
        <v>2009</v>
      </c>
      <c r="R2824" s="262">
        <v>33000</v>
      </c>
      <c r="S2824" t="s">
        <v>114</v>
      </c>
      <c r="T2824" t="s">
        <v>114</v>
      </c>
      <c r="U2824">
        <v>7</v>
      </c>
      <c r="W2824">
        <v>204</v>
      </c>
      <c r="X2824">
        <v>1</v>
      </c>
      <c r="Y2824">
        <v>0</v>
      </c>
      <c r="Z2824">
        <v>0</v>
      </c>
      <c r="AA2824">
        <v>0</v>
      </c>
      <c r="AB2824">
        <v>0</v>
      </c>
      <c r="AC2824">
        <v>0</v>
      </c>
      <c r="AD2824">
        <v>0</v>
      </c>
      <c r="AE2824">
        <v>204</v>
      </c>
      <c r="AF2824">
        <v>0</v>
      </c>
      <c r="AG2824">
        <v>0</v>
      </c>
      <c r="AH2824">
        <v>0</v>
      </c>
      <c r="AI2824">
        <v>0</v>
      </c>
      <c r="AJ2824">
        <v>0</v>
      </c>
      <c r="AK2824">
        <v>0</v>
      </c>
      <c r="AL2824">
        <v>0</v>
      </c>
      <c r="AM2824">
        <v>0</v>
      </c>
      <c r="AN2824">
        <v>0</v>
      </c>
      <c r="AO2824">
        <v>0</v>
      </c>
      <c r="AP2824">
        <v>0</v>
      </c>
      <c r="AQ2824">
        <v>1</v>
      </c>
      <c r="AR2824">
        <v>0</v>
      </c>
      <c r="AS2824">
        <v>0</v>
      </c>
      <c r="AT2824">
        <v>0</v>
      </c>
      <c r="AU2824">
        <f t="shared" si="86"/>
        <v>1</v>
      </c>
      <c r="AV2824">
        <f t="shared" si="87"/>
        <v>0</v>
      </c>
    </row>
    <row r="2825" spans="1:48" x14ac:dyDescent="0.25">
      <c r="A2825" t="s">
        <v>9504</v>
      </c>
      <c r="C2825" t="s">
        <v>9505</v>
      </c>
      <c r="D2825" t="s">
        <v>9496</v>
      </c>
      <c r="E2825" t="s">
        <v>2310</v>
      </c>
      <c r="F2825">
        <v>8</v>
      </c>
      <c r="G2825">
        <v>8.3000000000000007</v>
      </c>
      <c r="H2825" t="s">
        <v>2323</v>
      </c>
      <c r="I2825" s="21">
        <v>39836</v>
      </c>
      <c r="J2825">
        <v>2009</v>
      </c>
      <c r="K2825" s="21">
        <v>39849</v>
      </c>
      <c r="L2825">
        <v>2009</v>
      </c>
      <c r="M2825" s="21">
        <v>39960</v>
      </c>
      <c r="N2825">
        <v>2009</v>
      </c>
      <c r="R2825" s="262">
        <v>33000</v>
      </c>
      <c r="S2825" t="s">
        <v>114</v>
      </c>
      <c r="T2825" t="s">
        <v>114</v>
      </c>
      <c r="U2825">
        <v>11</v>
      </c>
      <c r="W2825">
        <v>204</v>
      </c>
      <c r="X2825">
        <v>1</v>
      </c>
      <c r="Y2825">
        <v>0</v>
      </c>
      <c r="Z2825">
        <v>0</v>
      </c>
      <c r="AA2825">
        <v>0</v>
      </c>
      <c r="AB2825">
        <v>0</v>
      </c>
      <c r="AC2825">
        <v>0</v>
      </c>
      <c r="AD2825">
        <v>0</v>
      </c>
      <c r="AE2825">
        <v>0</v>
      </c>
      <c r="AF2825">
        <v>0</v>
      </c>
      <c r="AG2825">
        <v>0</v>
      </c>
      <c r="AH2825">
        <v>0</v>
      </c>
      <c r="AI2825">
        <v>204</v>
      </c>
      <c r="AJ2825">
        <v>0</v>
      </c>
      <c r="AK2825">
        <v>0</v>
      </c>
      <c r="AL2825">
        <v>0</v>
      </c>
      <c r="AM2825">
        <v>0</v>
      </c>
      <c r="AN2825">
        <v>0</v>
      </c>
      <c r="AO2825">
        <v>0</v>
      </c>
      <c r="AP2825">
        <v>0</v>
      </c>
      <c r="AQ2825">
        <v>0</v>
      </c>
      <c r="AR2825">
        <v>0</v>
      </c>
      <c r="AS2825">
        <v>0</v>
      </c>
      <c r="AT2825">
        <v>1</v>
      </c>
      <c r="AU2825">
        <f t="shared" si="86"/>
        <v>0</v>
      </c>
      <c r="AV2825">
        <f t="shared" si="87"/>
        <v>204</v>
      </c>
    </row>
    <row r="2826" spans="1:48" x14ac:dyDescent="0.25">
      <c r="A2826" t="s">
        <v>9506</v>
      </c>
      <c r="C2826" t="s">
        <v>9502</v>
      </c>
      <c r="D2826" t="s">
        <v>9496</v>
      </c>
      <c r="E2826" t="s">
        <v>2310</v>
      </c>
      <c r="F2826">
        <v>8</v>
      </c>
      <c r="G2826">
        <v>8.3000000000000007</v>
      </c>
      <c r="H2826" t="s">
        <v>2323</v>
      </c>
      <c r="I2826" s="21">
        <v>39836</v>
      </c>
      <c r="J2826">
        <v>2009</v>
      </c>
      <c r="K2826" s="21">
        <v>39848</v>
      </c>
      <c r="L2826">
        <v>2009</v>
      </c>
      <c r="M2826" s="21">
        <v>39960</v>
      </c>
      <c r="N2826">
        <v>2009</v>
      </c>
      <c r="R2826" s="262">
        <v>33000</v>
      </c>
      <c r="S2826" t="s">
        <v>114</v>
      </c>
      <c r="T2826" t="s">
        <v>114</v>
      </c>
      <c r="U2826">
        <v>7</v>
      </c>
      <c r="W2826">
        <v>204</v>
      </c>
      <c r="X2826">
        <v>1</v>
      </c>
      <c r="Y2826">
        <v>0</v>
      </c>
      <c r="Z2826">
        <v>0</v>
      </c>
      <c r="AA2826">
        <v>0</v>
      </c>
      <c r="AB2826">
        <v>0</v>
      </c>
      <c r="AC2826">
        <v>0</v>
      </c>
      <c r="AD2826">
        <v>0</v>
      </c>
      <c r="AE2826">
        <v>204</v>
      </c>
      <c r="AF2826">
        <v>0</v>
      </c>
      <c r="AG2826">
        <v>0</v>
      </c>
      <c r="AH2826">
        <v>0</v>
      </c>
      <c r="AI2826">
        <v>0</v>
      </c>
      <c r="AJ2826">
        <v>0</v>
      </c>
      <c r="AK2826">
        <v>0</v>
      </c>
      <c r="AL2826">
        <v>0</v>
      </c>
      <c r="AM2826">
        <v>0</v>
      </c>
      <c r="AN2826">
        <v>0</v>
      </c>
      <c r="AO2826">
        <v>0</v>
      </c>
      <c r="AP2826">
        <v>0</v>
      </c>
      <c r="AQ2826">
        <v>1</v>
      </c>
      <c r="AR2826">
        <v>0</v>
      </c>
      <c r="AS2826">
        <v>0</v>
      </c>
      <c r="AT2826">
        <v>0</v>
      </c>
      <c r="AU2826">
        <f t="shared" si="86"/>
        <v>1</v>
      </c>
      <c r="AV2826">
        <f t="shared" si="87"/>
        <v>0</v>
      </c>
    </row>
    <row r="2827" spans="1:48" x14ac:dyDescent="0.25">
      <c r="A2827" t="s">
        <v>9507</v>
      </c>
      <c r="C2827" t="s">
        <v>9502</v>
      </c>
      <c r="D2827" t="s">
        <v>9496</v>
      </c>
      <c r="E2827" t="s">
        <v>2310</v>
      </c>
      <c r="F2827">
        <v>8</v>
      </c>
      <c r="G2827">
        <v>8.3000000000000007</v>
      </c>
      <c r="H2827" t="s">
        <v>2323</v>
      </c>
      <c r="I2827" s="21">
        <v>39836</v>
      </c>
      <c r="J2827">
        <v>2009</v>
      </c>
      <c r="K2827" s="21">
        <v>39849</v>
      </c>
      <c r="L2827">
        <v>2009</v>
      </c>
      <c r="M2827" s="21">
        <v>39960</v>
      </c>
      <c r="N2827">
        <v>2009</v>
      </c>
      <c r="R2827" s="262">
        <v>33000</v>
      </c>
      <c r="S2827" t="s">
        <v>114</v>
      </c>
      <c r="T2827" t="s">
        <v>114</v>
      </c>
      <c r="U2827">
        <v>7</v>
      </c>
      <c r="W2827">
        <v>204</v>
      </c>
      <c r="X2827">
        <v>1</v>
      </c>
      <c r="Y2827">
        <v>0</v>
      </c>
      <c r="Z2827">
        <v>0</v>
      </c>
      <c r="AA2827">
        <v>0</v>
      </c>
      <c r="AB2827">
        <v>0</v>
      </c>
      <c r="AC2827">
        <v>0</v>
      </c>
      <c r="AD2827">
        <v>0</v>
      </c>
      <c r="AE2827">
        <v>204</v>
      </c>
      <c r="AF2827">
        <v>0</v>
      </c>
      <c r="AG2827">
        <v>0</v>
      </c>
      <c r="AH2827">
        <v>0</v>
      </c>
      <c r="AI2827">
        <v>0</v>
      </c>
      <c r="AJ2827">
        <v>0</v>
      </c>
      <c r="AK2827">
        <v>0</v>
      </c>
      <c r="AL2827">
        <v>0</v>
      </c>
      <c r="AM2827">
        <v>0</v>
      </c>
      <c r="AN2827">
        <v>0</v>
      </c>
      <c r="AO2827">
        <v>0</v>
      </c>
      <c r="AP2827">
        <v>0</v>
      </c>
      <c r="AQ2827">
        <v>1</v>
      </c>
      <c r="AR2827">
        <v>0</v>
      </c>
      <c r="AS2827">
        <v>0</v>
      </c>
      <c r="AT2827">
        <v>0</v>
      </c>
      <c r="AU2827">
        <f t="shared" si="86"/>
        <v>1</v>
      </c>
      <c r="AV2827">
        <f t="shared" si="87"/>
        <v>0</v>
      </c>
    </row>
    <row r="2828" spans="1:48" x14ac:dyDescent="0.25">
      <c r="A2828" t="s">
        <v>9508</v>
      </c>
      <c r="C2828" t="s">
        <v>9502</v>
      </c>
      <c r="D2828" t="s">
        <v>9496</v>
      </c>
      <c r="E2828" t="s">
        <v>2310</v>
      </c>
      <c r="F2828">
        <v>8</v>
      </c>
      <c r="G2828">
        <v>8.3000000000000007</v>
      </c>
      <c r="H2828" t="s">
        <v>2323</v>
      </c>
      <c r="I2828" s="21">
        <v>39836</v>
      </c>
      <c r="J2828">
        <v>2009</v>
      </c>
      <c r="K2828" s="21">
        <v>39848</v>
      </c>
      <c r="L2828">
        <v>2009</v>
      </c>
      <c r="M2828" s="21">
        <v>39960</v>
      </c>
      <c r="N2828">
        <v>2009</v>
      </c>
      <c r="R2828" s="262">
        <v>33000</v>
      </c>
      <c r="S2828" t="s">
        <v>114</v>
      </c>
      <c r="T2828" t="s">
        <v>114</v>
      </c>
      <c r="U2828">
        <v>7</v>
      </c>
      <c r="W2828">
        <v>204</v>
      </c>
      <c r="X2828">
        <v>1</v>
      </c>
      <c r="Y2828">
        <v>0</v>
      </c>
      <c r="Z2828">
        <v>0</v>
      </c>
      <c r="AA2828">
        <v>0</v>
      </c>
      <c r="AB2828">
        <v>0</v>
      </c>
      <c r="AC2828">
        <v>0</v>
      </c>
      <c r="AD2828">
        <v>0</v>
      </c>
      <c r="AE2828">
        <v>204</v>
      </c>
      <c r="AF2828">
        <v>0</v>
      </c>
      <c r="AG2828">
        <v>0</v>
      </c>
      <c r="AH2828">
        <v>0</v>
      </c>
      <c r="AI2828">
        <v>0</v>
      </c>
      <c r="AJ2828">
        <v>0</v>
      </c>
      <c r="AK2828">
        <v>0</v>
      </c>
      <c r="AL2828">
        <v>0</v>
      </c>
      <c r="AM2828">
        <v>0</v>
      </c>
      <c r="AN2828">
        <v>0</v>
      </c>
      <c r="AO2828">
        <v>0</v>
      </c>
      <c r="AP2828">
        <v>0</v>
      </c>
      <c r="AQ2828">
        <v>1</v>
      </c>
      <c r="AR2828">
        <v>0</v>
      </c>
      <c r="AS2828">
        <v>0</v>
      </c>
      <c r="AT2828">
        <v>0</v>
      </c>
      <c r="AU2828">
        <f t="shared" si="86"/>
        <v>1</v>
      </c>
      <c r="AV2828">
        <f t="shared" si="87"/>
        <v>0</v>
      </c>
    </row>
    <row r="2829" spans="1:48" x14ac:dyDescent="0.25">
      <c r="A2829" t="s">
        <v>9509</v>
      </c>
      <c r="C2829" t="s">
        <v>9510</v>
      </c>
      <c r="D2829" t="s">
        <v>9496</v>
      </c>
      <c r="E2829" t="s">
        <v>2310</v>
      </c>
      <c r="F2829">
        <v>8</v>
      </c>
      <c r="G2829">
        <v>8.3000000000000007</v>
      </c>
      <c r="H2829" t="s">
        <v>2323</v>
      </c>
      <c r="I2829" s="21">
        <v>39836</v>
      </c>
      <c r="J2829">
        <v>2009</v>
      </c>
      <c r="K2829" s="21">
        <v>39849</v>
      </c>
      <c r="L2829">
        <v>2009</v>
      </c>
      <c r="M2829" s="21">
        <v>39960</v>
      </c>
      <c r="N2829">
        <v>2009</v>
      </c>
      <c r="R2829" s="262">
        <v>33000</v>
      </c>
      <c r="S2829" t="s">
        <v>114</v>
      </c>
      <c r="T2829" t="s">
        <v>114</v>
      </c>
      <c r="U2829">
        <v>7</v>
      </c>
      <c r="W2829">
        <v>204</v>
      </c>
      <c r="X2829">
        <v>1</v>
      </c>
      <c r="Y2829">
        <v>0</v>
      </c>
      <c r="Z2829">
        <v>0</v>
      </c>
      <c r="AA2829">
        <v>0</v>
      </c>
      <c r="AB2829">
        <v>0</v>
      </c>
      <c r="AC2829">
        <v>0</v>
      </c>
      <c r="AD2829">
        <v>0</v>
      </c>
      <c r="AE2829">
        <v>204</v>
      </c>
      <c r="AF2829">
        <v>0</v>
      </c>
      <c r="AG2829">
        <v>0</v>
      </c>
      <c r="AH2829">
        <v>0</v>
      </c>
      <c r="AI2829">
        <v>0</v>
      </c>
      <c r="AJ2829">
        <v>0</v>
      </c>
      <c r="AK2829">
        <v>0</v>
      </c>
      <c r="AL2829">
        <v>0</v>
      </c>
      <c r="AM2829">
        <v>0</v>
      </c>
      <c r="AN2829">
        <v>0</v>
      </c>
      <c r="AO2829">
        <v>0</v>
      </c>
      <c r="AP2829">
        <v>0</v>
      </c>
      <c r="AQ2829">
        <v>1</v>
      </c>
      <c r="AR2829">
        <v>0</v>
      </c>
      <c r="AS2829">
        <v>0</v>
      </c>
      <c r="AT2829">
        <v>0</v>
      </c>
      <c r="AU2829">
        <f t="shared" si="86"/>
        <v>1</v>
      </c>
      <c r="AV2829">
        <f t="shared" si="87"/>
        <v>0</v>
      </c>
    </row>
    <row r="2830" spans="1:48" x14ac:dyDescent="0.25">
      <c r="A2830" t="s">
        <v>9511</v>
      </c>
      <c r="C2830" t="s">
        <v>9502</v>
      </c>
      <c r="D2830" t="s">
        <v>9496</v>
      </c>
      <c r="E2830" t="s">
        <v>2310</v>
      </c>
      <c r="F2830">
        <v>8</v>
      </c>
      <c r="G2830">
        <v>8.3000000000000007</v>
      </c>
      <c r="H2830" t="s">
        <v>2323</v>
      </c>
      <c r="I2830" s="21">
        <v>39836</v>
      </c>
      <c r="J2830">
        <v>2009</v>
      </c>
      <c r="K2830" s="21">
        <v>39848</v>
      </c>
      <c r="L2830">
        <v>2009</v>
      </c>
      <c r="M2830" s="21">
        <v>39960</v>
      </c>
      <c r="N2830">
        <v>2009</v>
      </c>
      <c r="R2830" s="262">
        <v>33000</v>
      </c>
      <c r="S2830" t="s">
        <v>114</v>
      </c>
      <c r="T2830" t="s">
        <v>114</v>
      </c>
      <c r="U2830">
        <v>7</v>
      </c>
      <c r="W2830">
        <v>204</v>
      </c>
      <c r="X2830">
        <v>1</v>
      </c>
      <c r="Y2830">
        <v>0</v>
      </c>
      <c r="Z2830">
        <v>0</v>
      </c>
      <c r="AA2830">
        <v>0</v>
      </c>
      <c r="AB2830">
        <v>0</v>
      </c>
      <c r="AC2830">
        <v>0</v>
      </c>
      <c r="AD2830">
        <v>0</v>
      </c>
      <c r="AE2830">
        <v>204</v>
      </c>
      <c r="AF2830">
        <v>0</v>
      </c>
      <c r="AG2830">
        <v>0</v>
      </c>
      <c r="AH2830">
        <v>0</v>
      </c>
      <c r="AI2830">
        <v>0</v>
      </c>
      <c r="AJ2830">
        <v>0</v>
      </c>
      <c r="AK2830">
        <v>0</v>
      </c>
      <c r="AL2830">
        <v>0</v>
      </c>
      <c r="AM2830">
        <v>0</v>
      </c>
      <c r="AN2830">
        <v>0</v>
      </c>
      <c r="AO2830">
        <v>0</v>
      </c>
      <c r="AP2830">
        <v>0</v>
      </c>
      <c r="AQ2830">
        <v>1</v>
      </c>
      <c r="AR2830">
        <v>0</v>
      </c>
      <c r="AS2830">
        <v>0</v>
      </c>
      <c r="AT2830">
        <v>0</v>
      </c>
      <c r="AU2830">
        <f t="shared" si="86"/>
        <v>1</v>
      </c>
      <c r="AV2830">
        <f t="shared" si="87"/>
        <v>0</v>
      </c>
    </row>
    <row r="2831" spans="1:48" x14ac:dyDescent="0.25">
      <c r="A2831" t="s">
        <v>9512</v>
      </c>
      <c r="C2831" t="s">
        <v>9513</v>
      </c>
      <c r="D2831" t="s">
        <v>9496</v>
      </c>
      <c r="E2831" t="s">
        <v>2310</v>
      </c>
      <c r="F2831">
        <v>8</v>
      </c>
      <c r="G2831">
        <v>8.3000000000000007</v>
      </c>
      <c r="H2831" t="s">
        <v>2323</v>
      </c>
      <c r="I2831" s="21">
        <v>39836</v>
      </c>
      <c r="J2831">
        <v>2009</v>
      </c>
      <c r="K2831" s="21">
        <v>39849</v>
      </c>
      <c r="L2831">
        <v>2009</v>
      </c>
      <c r="M2831" s="21">
        <v>39960</v>
      </c>
      <c r="N2831">
        <v>2009</v>
      </c>
      <c r="R2831" s="262">
        <v>33000</v>
      </c>
      <c r="S2831" t="s">
        <v>114</v>
      </c>
      <c r="T2831" t="s">
        <v>114</v>
      </c>
      <c r="U2831">
        <v>7</v>
      </c>
      <c r="W2831">
        <v>204</v>
      </c>
      <c r="X2831">
        <v>1</v>
      </c>
      <c r="Y2831">
        <v>0</v>
      </c>
      <c r="Z2831">
        <v>0</v>
      </c>
      <c r="AA2831">
        <v>0</v>
      </c>
      <c r="AB2831">
        <v>0</v>
      </c>
      <c r="AC2831">
        <v>0</v>
      </c>
      <c r="AD2831">
        <v>0</v>
      </c>
      <c r="AE2831">
        <v>204</v>
      </c>
      <c r="AF2831">
        <v>0</v>
      </c>
      <c r="AG2831">
        <v>0</v>
      </c>
      <c r="AH2831">
        <v>0</v>
      </c>
      <c r="AI2831">
        <v>0</v>
      </c>
      <c r="AJ2831">
        <v>0</v>
      </c>
      <c r="AK2831">
        <v>0</v>
      </c>
      <c r="AL2831">
        <v>0</v>
      </c>
      <c r="AM2831">
        <v>0</v>
      </c>
      <c r="AN2831">
        <v>0</v>
      </c>
      <c r="AO2831">
        <v>0</v>
      </c>
      <c r="AP2831">
        <v>0</v>
      </c>
      <c r="AQ2831">
        <v>1</v>
      </c>
      <c r="AR2831">
        <v>0</v>
      </c>
      <c r="AS2831">
        <v>0</v>
      </c>
      <c r="AT2831">
        <v>0</v>
      </c>
      <c r="AU2831">
        <f t="shared" si="86"/>
        <v>1</v>
      </c>
      <c r="AV2831">
        <f t="shared" si="87"/>
        <v>0</v>
      </c>
    </row>
    <row r="2832" spans="1:48" x14ac:dyDescent="0.25">
      <c r="A2832" t="s">
        <v>9514</v>
      </c>
      <c r="C2832" t="s">
        <v>9510</v>
      </c>
      <c r="D2832" t="s">
        <v>9496</v>
      </c>
      <c r="E2832" t="s">
        <v>2310</v>
      </c>
      <c r="F2832">
        <v>8</v>
      </c>
      <c r="G2832">
        <v>8.3000000000000007</v>
      </c>
      <c r="H2832" t="s">
        <v>2323</v>
      </c>
      <c r="I2832" s="21">
        <v>39836</v>
      </c>
      <c r="J2832">
        <v>2009</v>
      </c>
      <c r="K2832" s="21">
        <v>39853</v>
      </c>
      <c r="L2832">
        <v>2009</v>
      </c>
      <c r="M2832" s="21">
        <v>39960</v>
      </c>
      <c r="N2832">
        <v>2009</v>
      </c>
      <c r="R2832" s="262">
        <v>33000</v>
      </c>
      <c r="S2832" t="s">
        <v>114</v>
      </c>
      <c r="T2832" t="s">
        <v>114</v>
      </c>
      <c r="U2832">
        <v>7</v>
      </c>
      <c r="W2832">
        <v>204</v>
      </c>
      <c r="X2832">
        <v>1</v>
      </c>
      <c r="Y2832">
        <v>0</v>
      </c>
      <c r="Z2832">
        <v>0</v>
      </c>
      <c r="AA2832">
        <v>0</v>
      </c>
      <c r="AB2832">
        <v>0</v>
      </c>
      <c r="AC2832">
        <v>0</v>
      </c>
      <c r="AD2832">
        <v>0</v>
      </c>
      <c r="AE2832">
        <v>204</v>
      </c>
      <c r="AF2832">
        <v>0</v>
      </c>
      <c r="AG2832">
        <v>0</v>
      </c>
      <c r="AH2832">
        <v>0</v>
      </c>
      <c r="AI2832">
        <v>0</v>
      </c>
      <c r="AJ2832">
        <v>0</v>
      </c>
      <c r="AK2832">
        <v>0</v>
      </c>
      <c r="AL2832">
        <v>0</v>
      </c>
      <c r="AM2832">
        <v>0</v>
      </c>
      <c r="AN2832">
        <v>0</v>
      </c>
      <c r="AO2832">
        <v>0</v>
      </c>
      <c r="AP2832">
        <v>0</v>
      </c>
      <c r="AQ2832">
        <v>1</v>
      </c>
      <c r="AR2832">
        <v>0</v>
      </c>
      <c r="AS2832">
        <v>0</v>
      </c>
      <c r="AT2832">
        <v>0</v>
      </c>
      <c r="AU2832">
        <f t="shared" si="86"/>
        <v>1</v>
      </c>
      <c r="AV2832">
        <f t="shared" si="87"/>
        <v>0</v>
      </c>
    </row>
    <row r="2833" spans="1:48" x14ac:dyDescent="0.25">
      <c r="A2833" t="s">
        <v>9515</v>
      </c>
      <c r="C2833" t="s">
        <v>9505</v>
      </c>
      <c r="D2833" t="s">
        <v>9496</v>
      </c>
      <c r="E2833" t="s">
        <v>2310</v>
      </c>
      <c r="F2833">
        <v>8</v>
      </c>
      <c r="G2833">
        <v>8.3000000000000007</v>
      </c>
      <c r="H2833" t="s">
        <v>2323</v>
      </c>
      <c r="I2833" s="21">
        <v>39836</v>
      </c>
      <c r="J2833">
        <v>2009</v>
      </c>
      <c r="K2833" s="21">
        <v>39855</v>
      </c>
      <c r="L2833">
        <v>2009</v>
      </c>
      <c r="M2833" s="21">
        <v>39960</v>
      </c>
      <c r="N2833">
        <v>2009</v>
      </c>
      <c r="R2833" s="262">
        <v>33000</v>
      </c>
      <c r="S2833" t="s">
        <v>114</v>
      </c>
      <c r="T2833" t="s">
        <v>114</v>
      </c>
      <c r="U2833">
        <v>7</v>
      </c>
      <c r="W2833">
        <v>204</v>
      </c>
      <c r="X2833">
        <v>1</v>
      </c>
      <c r="Y2833">
        <v>0</v>
      </c>
      <c r="Z2833">
        <v>0</v>
      </c>
      <c r="AA2833">
        <v>0</v>
      </c>
      <c r="AB2833">
        <v>0</v>
      </c>
      <c r="AC2833">
        <v>0</v>
      </c>
      <c r="AD2833">
        <v>0</v>
      </c>
      <c r="AE2833">
        <v>204</v>
      </c>
      <c r="AF2833">
        <v>0</v>
      </c>
      <c r="AG2833">
        <v>0</v>
      </c>
      <c r="AH2833">
        <v>0</v>
      </c>
      <c r="AI2833">
        <v>0</v>
      </c>
      <c r="AJ2833">
        <v>0</v>
      </c>
      <c r="AK2833">
        <v>0</v>
      </c>
      <c r="AL2833">
        <v>0</v>
      </c>
      <c r="AM2833">
        <v>0</v>
      </c>
      <c r="AN2833">
        <v>0</v>
      </c>
      <c r="AO2833">
        <v>0</v>
      </c>
      <c r="AP2833">
        <v>0</v>
      </c>
      <c r="AQ2833">
        <v>1</v>
      </c>
      <c r="AR2833">
        <v>0</v>
      </c>
      <c r="AS2833">
        <v>0</v>
      </c>
      <c r="AT2833">
        <v>0</v>
      </c>
      <c r="AU2833">
        <f t="shared" si="86"/>
        <v>1</v>
      </c>
      <c r="AV2833">
        <f t="shared" si="87"/>
        <v>0</v>
      </c>
    </row>
    <row r="2834" spans="1:48" x14ac:dyDescent="0.25">
      <c r="A2834" t="s">
        <v>9516</v>
      </c>
      <c r="C2834" t="s">
        <v>9502</v>
      </c>
      <c r="D2834" t="s">
        <v>9496</v>
      </c>
      <c r="E2834" t="s">
        <v>2310</v>
      </c>
      <c r="F2834">
        <v>8</v>
      </c>
      <c r="G2834">
        <v>8.3000000000000007</v>
      </c>
      <c r="H2834" t="s">
        <v>2323</v>
      </c>
      <c r="I2834" s="21">
        <v>39836</v>
      </c>
      <c r="J2834">
        <v>2009</v>
      </c>
      <c r="K2834" s="21">
        <v>39855</v>
      </c>
      <c r="L2834">
        <v>2009</v>
      </c>
      <c r="M2834" s="21">
        <v>39960</v>
      </c>
      <c r="N2834">
        <v>2009</v>
      </c>
      <c r="R2834" s="262">
        <v>33000</v>
      </c>
      <c r="S2834" t="s">
        <v>114</v>
      </c>
      <c r="T2834" t="s">
        <v>114</v>
      </c>
      <c r="U2834">
        <v>7</v>
      </c>
      <c r="W2834">
        <v>204</v>
      </c>
      <c r="X2834">
        <v>1</v>
      </c>
      <c r="Y2834">
        <v>0</v>
      </c>
      <c r="Z2834">
        <v>0</v>
      </c>
      <c r="AA2834">
        <v>0</v>
      </c>
      <c r="AB2834">
        <v>0</v>
      </c>
      <c r="AC2834">
        <v>0</v>
      </c>
      <c r="AD2834">
        <v>0</v>
      </c>
      <c r="AE2834">
        <v>204</v>
      </c>
      <c r="AF2834">
        <v>0</v>
      </c>
      <c r="AG2834">
        <v>0</v>
      </c>
      <c r="AH2834">
        <v>0</v>
      </c>
      <c r="AI2834">
        <v>0</v>
      </c>
      <c r="AJ2834">
        <v>0</v>
      </c>
      <c r="AK2834">
        <v>0</v>
      </c>
      <c r="AL2834">
        <v>0</v>
      </c>
      <c r="AM2834">
        <v>0</v>
      </c>
      <c r="AN2834">
        <v>0</v>
      </c>
      <c r="AO2834">
        <v>0</v>
      </c>
      <c r="AP2834">
        <v>0</v>
      </c>
      <c r="AQ2834">
        <v>1</v>
      </c>
      <c r="AR2834">
        <v>0</v>
      </c>
      <c r="AS2834">
        <v>0</v>
      </c>
      <c r="AT2834">
        <v>0</v>
      </c>
      <c r="AU2834">
        <f t="shared" si="86"/>
        <v>1</v>
      </c>
      <c r="AV2834">
        <f t="shared" si="87"/>
        <v>0</v>
      </c>
    </row>
    <row r="2835" spans="1:48" x14ac:dyDescent="0.25">
      <c r="A2835" t="s">
        <v>9517</v>
      </c>
      <c r="C2835" t="s">
        <v>9502</v>
      </c>
      <c r="D2835" t="s">
        <v>9496</v>
      </c>
      <c r="E2835" t="s">
        <v>2310</v>
      </c>
      <c r="F2835">
        <v>8</v>
      </c>
      <c r="G2835">
        <v>8.3000000000000007</v>
      </c>
      <c r="H2835" t="s">
        <v>2323</v>
      </c>
      <c r="I2835" s="21">
        <v>39836</v>
      </c>
      <c r="J2835">
        <v>2009</v>
      </c>
      <c r="K2835" s="21">
        <v>39855</v>
      </c>
      <c r="L2835">
        <v>2009</v>
      </c>
      <c r="M2835" s="21">
        <v>39960</v>
      </c>
      <c r="N2835">
        <v>2009</v>
      </c>
      <c r="R2835" s="262">
        <v>33000</v>
      </c>
      <c r="S2835" t="s">
        <v>114</v>
      </c>
      <c r="T2835" t="s">
        <v>114</v>
      </c>
      <c r="U2835">
        <v>7</v>
      </c>
      <c r="W2835">
        <v>204</v>
      </c>
      <c r="X2835">
        <v>1</v>
      </c>
      <c r="Y2835">
        <v>0</v>
      </c>
      <c r="Z2835">
        <v>0</v>
      </c>
      <c r="AA2835">
        <v>0</v>
      </c>
      <c r="AB2835">
        <v>0</v>
      </c>
      <c r="AC2835">
        <v>0</v>
      </c>
      <c r="AD2835">
        <v>0</v>
      </c>
      <c r="AE2835">
        <v>204</v>
      </c>
      <c r="AF2835">
        <v>0</v>
      </c>
      <c r="AG2835">
        <v>0</v>
      </c>
      <c r="AH2835">
        <v>0</v>
      </c>
      <c r="AI2835">
        <v>0</v>
      </c>
      <c r="AJ2835">
        <v>0</v>
      </c>
      <c r="AK2835">
        <v>0</v>
      </c>
      <c r="AL2835">
        <v>0</v>
      </c>
      <c r="AM2835">
        <v>0</v>
      </c>
      <c r="AN2835">
        <v>0</v>
      </c>
      <c r="AO2835">
        <v>0</v>
      </c>
      <c r="AP2835">
        <v>0</v>
      </c>
      <c r="AQ2835">
        <v>1</v>
      </c>
      <c r="AR2835">
        <v>0</v>
      </c>
      <c r="AS2835">
        <v>0</v>
      </c>
      <c r="AT2835">
        <v>0</v>
      </c>
      <c r="AU2835">
        <f t="shared" si="86"/>
        <v>1</v>
      </c>
      <c r="AV2835">
        <f t="shared" si="87"/>
        <v>0</v>
      </c>
    </row>
    <row r="2836" spans="1:48" x14ac:dyDescent="0.25">
      <c r="A2836" t="s">
        <v>9518</v>
      </c>
      <c r="C2836" t="s">
        <v>7880</v>
      </c>
      <c r="D2836" t="s">
        <v>9519</v>
      </c>
      <c r="E2836" t="s">
        <v>2310</v>
      </c>
      <c r="F2836">
        <v>15</v>
      </c>
      <c r="G2836">
        <v>15.3</v>
      </c>
      <c r="H2836" t="s">
        <v>2022</v>
      </c>
      <c r="I2836" s="21">
        <v>39836</v>
      </c>
      <c r="J2836">
        <v>2009</v>
      </c>
      <c r="K2836" s="21">
        <v>39916</v>
      </c>
      <c r="L2836">
        <v>2009</v>
      </c>
      <c r="M2836" s="21">
        <v>40233.364178240699</v>
      </c>
      <c r="N2836">
        <v>2010</v>
      </c>
      <c r="R2836" s="262">
        <v>95000</v>
      </c>
      <c r="S2836" t="s">
        <v>114</v>
      </c>
      <c r="T2836" t="s">
        <v>114</v>
      </c>
      <c r="U2836">
        <v>5</v>
      </c>
      <c r="W2836">
        <v>1279</v>
      </c>
      <c r="X2836">
        <v>0</v>
      </c>
      <c r="Y2836">
        <v>0</v>
      </c>
      <c r="Z2836">
        <v>0</v>
      </c>
      <c r="AA2836">
        <v>0</v>
      </c>
      <c r="AB2836">
        <v>0</v>
      </c>
      <c r="AC2836">
        <v>1279</v>
      </c>
      <c r="AD2836">
        <v>0</v>
      </c>
      <c r="AE2836">
        <v>0</v>
      </c>
      <c r="AF2836">
        <v>0</v>
      </c>
      <c r="AG2836">
        <v>0</v>
      </c>
      <c r="AH2836">
        <v>0</v>
      </c>
      <c r="AI2836">
        <v>0</v>
      </c>
      <c r="AJ2836">
        <v>0</v>
      </c>
      <c r="AK2836">
        <v>0</v>
      </c>
      <c r="AL2836">
        <v>0</v>
      </c>
      <c r="AM2836">
        <v>0</v>
      </c>
      <c r="AN2836">
        <v>0</v>
      </c>
      <c r="AO2836">
        <v>0</v>
      </c>
      <c r="AP2836">
        <v>0</v>
      </c>
      <c r="AQ2836">
        <v>0</v>
      </c>
      <c r="AR2836">
        <v>0</v>
      </c>
      <c r="AS2836">
        <v>0</v>
      </c>
      <c r="AT2836">
        <v>0</v>
      </c>
      <c r="AU2836">
        <f t="shared" si="86"/>
        <v>0</v>
      </c>
      <c r="AV2836">
        <f t="shared" si="87"/>
        <v>0</v>
      </c>
    </row>
    <row r="2837" spans="1:48" x14ac:dyDescent="0.25">
      <c r="A2837" t="s">
        <v>9520</v>
      </c>
      <c r="C2837" t="s">
        <v>9521</v>
      </c>
      <c r="D2837" t="s">
        <v>9522</v>
      </c>
      <c r="E2837" t="s">
        <v>2310</v>
      </c>
      <c r="F2837">
        <v>10</v>
      </c>
      <c r="G2837">
        <v>10.1</v>
      </c>
      <c r="H2837" t="s">
        <v>2323</v>
      </c>
      <c r="I2837" s="21">
        <v>39840</v>
      </c>
      <c r="J2837">
        <v>2009</v>
      </c>
      <c r="K2837" s="21">
        <v>39864</v>
      </c>
      <c r="L2837">
        <v>2009</v>
      </c>
      <c r="M2837" s="21">
        <v>39962</v>
      </c>
      <c r="N2837">
        <v>2009</v>
      </c>
      <c r="R2837" s="262">
        <v>16000</v>
      </c>
      <c r="S2837" t="s">
        <v>114</v>
      </c>
      <c r="T2837" t="s">
        <v>114</v>
      </c>
      <c r="U2837">
        <v>5</v>
      </c>
      <c r="W2837">
        <v>0</v>
      </c>
      <c r="X2837">
        <v>0</v>
      </c>
      <c r="Y2837">
        <v>0</v>
      </c>
      <c r="Z2837">
        <v>0</v>
      </c>
      <c r="AA2837">
        <v>0</v>
      </c>
      <c r="AB2837">
        <v>0</v>
      </c>
      <c r="AC2837">
        <v>0</v>
      </c>
      <c r="AD2837">
        <v>0</v>
      </c>
      <c r="AE2837">
        <v>0</v>
      </c>
      <c r="AF2837">
        <v>0</v>
      </c>
      <c r="AG2837">
        <v>0</v>
      </c>
      <c r="AH2837">
        <v>0</v>
      </c>
      <c r="AI2837">
        <v>0</v>
      </c>
      <c r="AJ2837">
        <v>0</v>
      </c>
      <c r="AK2837">
        <v>0</v>
      </c>
      <c r="AL2837">
        <v>0</v>
      </c>
      <c r="AM2837">
        <v>0</v>
      </c>
      <c r="AN2837">
        <v>0</v>
      </c>
      <c r="AO2837">
        <v>0</v>
      </c>
      <c r="AP2837">
        <v>0</v>
      </c>
      <c r="AQ2837">
        <v>0</v>
      </c>
      <c r="AR2837">
        <v>0</v>
      </c>
      <c r="AS2837">
        <v>0</v>
      </c>
      <c r="AT2837">
        <v>0</v>
      </c>
      <c r="AU2837">
        <f t="shared" si="86"/>
        <v>0</v>
      </c>
      <c r="AV2837">
        <f t="shared" si="87"/>
        <v>0</v>
      </c>
    </row>
    <row r="2838" spans="1:48" x14ac:dyDescent="0.25">
      <c r="A2838" t="s">
        <v>9523</v>
      </c>
      <c r="C2838" t="s">
        <v>9524</v>
      </c>
      <c r="D2838" t="s">
        <v>9525</v>
      </c>
      <c r="E2838" t="s">
        <v>2310</v>
      </c>
      <c r="F2838">
        <v>12</v>
      </c>
      <c r="G2838">
        <v>12.3</v>
      </c>
      <c r="H2838" t="s">
        <v>2017</v>
      </c>
      <c r="I2838" s="21">
        <v>39842</v>
      </c>
      <c r="J2838">
        <v>2009</v>
      </c>
      <c r="K2838" s="21">
        <v>39860</v>
      </c>
      <c r="L2838">
        <v>2009</v>
      </c>
      <c r="M2838" s="21">
        <v>40067.634201388901</v>
      </c>
      <c r="N2838">
        <v>2009</v>
      </c>
      <c r="R2838" s="262">
        <v>250000</v>
      </c>
      <c r="S2838" t="s">
        <v>114</v>
      </c>
      <c r="T2838" t="s">
        <v>114</v>
      </c>
      <c r="U2838">
        <v>5</v>
      </c>
      <c r="W2838">
        <v>98</v>
      </c>
      <c r="X2838">
        <v>0</v>
      </c>
      <c r="Y2838">
        <v>0</v>
      </c>
      <c r="Z2838">
        <v>0</v>
      </c>
      <c r="AA2838">
        <v>0</v>
      </c>
      <c r="AB2838">
        <v>0</v>
      </c>
      <c r="AC2838">
        <v>98</v>
      </c>
      <c r="AD2838">
        <v>0</v>
      </c>
      <c r="AE2838">
        <v>0</v>
      </c>
      <c r="AF2838">
        <v>0</v>
      </c>
      <c r="AG2838">
        <v>0</v>
      </c>
      <c r="AH2838">
        <v>0</v>
      </c>
      <c r="AI2838">
        <v>0</v>
      </c>
      <c r="AJ2838">
        <v>0</v>
      </c>
      <c r="AK2838">
        <v>0</v>
      </c>
      <c r="AL2838">
        <v>0</v>
      </c>
      <c r="AM2838">
        <v>0</v>
      </c>
      <c r="AN2838">
        <v>0</v>
      </c>
      <c r="AO2838">
        <v>0</v>
      </c>
      <c r="AP2838">
        <v>0</v>
      </c>
      <c r="AQ2838">
        <v>0</v>
      </c>
      <c r="AR2838">
        <v>0</v>
      </c>
      <c r="AS2838">
        <v>0</v>
      </c>
      <c r="AT2838">
        <v>0</v>
      </c>
      <c r="AU2838">
        <f t="shared" si="86"/>
        <v>0</v>
      </c>
      <c r="AV2838">
        <f t="shared" si="87"/>
        <v>0</v>
      </c>
    </row>
    <row r="2839" spans="1:48" x14ac:dyDescent="0.25">
      <c r="A2839" t="s">
        <v>13379</v>
      </c>
      <c r="C2839" t="s">
        <v>13380</v>
      </c>
      <c r="D2839" t="s">
        <v>13381</v>
      </c>
      <c r="E2839" t="s">
        <v>1663</v>
      </c>
      <c r="F2839">
        <v>6</v>
      </c>
      <c r="G2839">
        <v>6.1</v>
      </c>
      <c r="H2839" t="s">
        <v>2017</v>
      </c>
      <c r="I2839" s="21">
        <v>39846</v>
      </c>
      <c r="J2839">
        <v>2009</v>
      </c>
      <c r="K2839" s="21">
        <v>39932</v>
      </c>
      <c r="L2839">
        <v>2009</v>
      </c>
      <c r="M2839" s="21">
        <v>42754</v>
      </c>
      <c r="N2839">
        <v>2017</v>
      </c>
      <c r="Q2839" s="262">
        <v>200000</v>
      </c>
      <c r="S2839" t="s">
        <v>114</v>
      </c>
      <c r="T2839" t="s">
        <v>114</v>
      </c>
      <c r="W2839">
        <v>200</v>
      </c>
      <c r="X2839">
        <v>0</v>
      </c>
      <c r="Y2839">
        <v>0</v>
      </c>
      <c r="Z2839">
        <v>0</v>
      </c>
      <c r="AA2839">
        <v>0</v>
      </c>
      <c r="AB2839">
        <v>0</v>
      </c>
      <c r="AC2839">
        <v>0</v>
      </c>
      <c r="AD2839">
        <v>0</v>
      </c>
      <c r="AE2839">
        <v>0</v>
      </c>
      <c r="AF2839">
        <v>0</v>
      </c>
      <c r="AG2839">
        <v>0</v>
      </c>
      <c r="AH2839">
        <v>0</v>
      </c>
      <c r="AI2839">
        <v>0</v>
      </c>
      <c r="AJ2839">
        <v>0</v>
      </c>
      <c r="AK2839">
        <v>0</v>
      </c>
      <c r="AL2839">
        <v>0</v>
      </c>
      <c r="AM2839">
        <v>200</v>
      </c>
      <c r="AN2839">
        <v>0</v>
      </c>
      <c r="AO2839">
        <v>0</v>
      </c>
      <c r="AP2839">
        <v>0</v>
      </c>
      <c r="AQ2839">
        <v>0</v>
      </c>
      <c r="AR2839">
        <v>0</v>
      </c>
      <c r="AS2839">
        <v>0</v>
      </c>
      <c r="AT2839">
        <v>0</v>
      </c>
      <c r="AU2839">
        <f t="shared" si="86"/>
        <v>0</v>
      </c>
      <c r="AV2839">
        <f t="shared" si="87"/>
        <v>200</v>
      </c>
    </row>
    <row r="2840" spans="1:48" x14ac:dyDescent="0.25">
      <c r="A2840" t="s">
        <v>9530</v>
      </c>
      <c r="C2840" t="s">
        <v>9531</v>
      </c>
      <c r="D2840" t="s">
        <v>9532</v>
      </c>
      <c r="E2840" t="s">
        <v>2310</v>
      </c>
      <c r="F2840">
        <v>9</v>
      </c>
      <c r="G2840">
        <v>9.1</v>
      </c>
      <c r="H2840" t="s">
        <v>2323</v>
      </c>
      <c r="I2840" s="21">
        <v>39854</v>
      </c>
      <c r="J2840">
        <v>2009</v>
      </c>
      <c r="K2840" s="21">
        <v>39885</v>
      </c>
      <c r="L2840">
        <v>2009</v>
      </c>
      <c r="M2840" s="21">
        <v>40134.510150463</v>
      </c>
      <c r="N2840">
        <v>2009</v>
      </c>
      <c r="R2840" s="262">
        <v>150000</v>
      </c>
      <c r="S2840" t="s">
        <v>114</v>
      </c>
      <c r="T2840" t="s">
        <v>114</v>
      </c>
      <c r="U2840">
        <v>5</v>
      </c>
      <c r="W2840">
        <v>184</v>
      </c>
      <c r="X2840">
        <v>0</v>
      </c>
      <c r="Y2840">
        <v>0</v>
      </c>
      <c r="Z2840">
        <v>0</v>
      </c>
      <c r="AA2840">
        <v>0</v>
      </c>
      <c r="AB2840">
        <v>0</v>
      </c>
      <c r="AC2840">
        <v>184</v>
      </c>
      <c r="AD2840">
        <v>0</v>
      </c>
      <c r="AE2840">
        <v>0</v>
      </c>
      <c r="AF2840">
        <v>0</v>
      </c>
      <c r="AG2840">
        <v>0</v>
      </c>
      <c r="AH2840">
        <v>0</v>
      </c>
      <c r="AI2840">
        <v>0</v>
      </c>
      <c r="AJ2840">
        <v>0</v>
      </c>
      <c r="AK2840">
        <v>0</v>
      </c>
      <c r="AL2840">
        <v>0</v>
      </c>
      <c r="AM2840">
        <v>0</v>
      </c>
      <c r="AN2840">
        <v>0</v>
      </c>
      <c r="AO2840">
        <v>0</v>
      </c>
      <c r="AP2840">
        <v>0</v>
      </c>
      <c r="AQ2840">
        <v>0</v>
      </c>
      <c r="AR2840">
        <v>0</v>
      </c>
      <c r="AS2840">
        <v>0</v>
      </c>
      <c r="AT2840">
        <v>0</v>
      </c>
      <c r="AU2840">
        <f t="shared" si="86"/>
        <v>0</v>
      </c>
      <c r="AV2840">
        <f t="shared" si="87"/>
        <v>0</v>
      </c>
    </row>
    <row r="2841" spans="1:48" x14ac:dyDescent="0.25">
      <c r="A2841" t="s">
        <v>9533</v>
      </c>
      <c r="C2841" t="s">
        <v>9534</v>
      </c>
      <c r="D2841" t="s">
        <v>9535</v>
      </c>
      <c r="E2841" t="s">
        <v>2310</v>
      </c>
      <c r="F2841">
        <v>9</v>
      </c>
      <c r="G2841">
        <v>9.3000000000000007</v>
      </c>
      <c r="H2841" t="s">
        <v>2323</v>
      </c>
      <c r="I2841" s="21">
        <v>39861</v>
      </c>
      <c r="J2841">
        <v>2009</v>
      </c>
      <c r="K2841" s="21">
        <v>39890</v>
      </c>
      <c r="L2841">
        <v>2009</v>
      </c>
      <c r="M2841" s="21">
        <v>40424.575405092597</v>
      </c>
      <c r="N2841">
        <v>2010</v>
      </c>
      <c r="R2841" s="262">
        <v>112000</v>
      </c>
      <c r="S2841" t="s">
        <v>114</v>
      </c>
      <c r="T2841" t="s">
        <v>114</v>
      </c>
      <c r="U2841">
        <v>5</v>
      </c>
      <c r="W2841">
        <v>637</v>
      </c>
      <c r="X2841">
        <v>0</v>
      </c>
      <c r="Y2841">
        <v>0</v>
      </c>
      <c r="Z2841">
        <v>0</v>
      </c>
      <c r="AA2841">
        <v>0</v>
      </c>
      <c r="AB2841">
        <v>0</v>
      </c>
      <c r="AC2841">
        <v>637</v>
      </c>
      <c r="AD2841">
        <v>0</v>
      </c>
      <c r="AE2841">
        <v>0</v>
      </c>
      <c r="AF2841">
        <v>0</v>
      </c>
      <c r="AG2841">
        <v>0</v>
      </c>
      <c r="AH2841">
        <v>0</v>
      </c>
      <c r="AI2841">
        <v>0</v>
      </c>
      <c r="AJ2841">
        <v>0</v>
      </c>
      <c r="AK2841">
        <v>0</v>
      </c>
      <c r="AL2841">
        <v>0</v>
      </c>
      <c r="AM2841">
        <v>0</v>
      </c>
      <c r="AN2841">
        <v>0</v>
      </c>
      <c r="AO2841">
        <v>0</v>
      </c>
      <c r="AP2841">
        <v>0</v>
      </c>
      <c r="AQ2841">
        <v>0</v>
      </c>
      <c r="AR2841">
        <v>0</v>
      </c>
      <c r="AS2841">
        <v>0</v>
      </c>
      <c r="AT2841">
        <v>0</v>
      </c>
      <c r="AU2841">
        <f t="shared" ref="AU2841:AU2904" si="88">SUM(AN2841:AQ2841,AS2841)</f>
        <v>0</v>
      </c>
      <c r="AV2841">
        <f t="shared" ref="AV2841:AV2904" si="89">SUM(Y2841:AB2841,AH2841:AM2841)</f>
        <v>0</v>
      </c>
    </row>
    <row r="2842" spans="1:48" x14ac:dyDescent="0.25">
      <c r="A2842" t="s">
        <v>9536</v>
      </c>
      <c r="C2842" t="s">
        <v>9537</v>
      </c>
      <c r="D2842" t="s">
        <v>9538</v>
      </c>
      <c r="E2842" t="s">
        <v>2310</v>
      </c>
      <c r="F2842">
        <v>9</v>
      </c>
      <c r="G2842">
        <v>9.4</v>
      </c>
      <c r="H2842" t="s">
        <v>2323</v>
      </c>
      <c r="I2842" s="21">
        <v>39862</v>
      </c>
      <c r="J2842">
        <v>2009</v>
      </c>
      <c r="K2842" s="21">
        <v>39888</v>
      </c>
      <c r="L2842">
        <v>2009</v>
      </c>
      <c r="M2842" s="21">
        <v>40016.458078703698</v>
      </c>
      <c r="N2842">
        <v>2009</v>
      </c>
      <c r="S2842" t="s">
        <v>114</v>
      </c>
      <c r="T2842" t="s">
        <v>114</v>
      </c>
      <c r="U2842">
        <v>5</v>
      </c>
      <c r="W2842">
        <v>0</v>
      </c>
      <c r="X2842">
        <v>0</v>
      </c>
      <c r="Y2842">
        <v>0</v>
      </c>
      <c r="Z2842">
        <v>0</v>
      </c>
      <c r="AA2842">
        <v>0</v>
      </c>
      <c r="AB2842">
        <v>0</v>
      </c>
      <c r="AC2842">
        <v>0</v>
      </c>
      <c r="AD2842">
        <v>0</v>
      </c>
      <c r="AE2842">
        <v>0</v>
      </c>
      <c r="AF2842">
        <v>0</v>
      </c>
      <c r="AG2842">
        <v>0</v>
      </c>
      <c r="AH2842">
        <v>0</v>
      </c>
      <c r="AI2842">
        <v>0</v>
      </c>
      <c r="AJ2842">
        <v>0</v>
      </c>
      <c r="AK2842">
        <v>0</v>
      </c>
      <c r="AL2842">
        <v>0</v>
      </c>
      <c r="AM2842">
        <v>0</v>
      </c>
      <c r="AN2842">
        <v>0</v>
      </c>
      <c r="AO2842">
        <v>0</v>
      </c>
      <c r="AP2842">
        <v>0</v>
      </c>
      <c r="AQ2842">
        <v>0</v>
      </c>
      <c r="AR2842">
        <v>0</v>
      </c>
      <c r="AS2842">
        <v>0</v>
      </c>
      <c r="AT2842">
        <v>0</v>
      </c>
      <c r="AU2842">
        <f t="shared" si="88"/>
        <v>0</v>
      </c>
      <c r="AV2842">
        <f t="shared" si="89"/>
        <v>0</v>
      </c>
    </row>
    <row r="2843" spans="1:48" x14ac:dyDescent="0.25">
      <c r="A2843" t="s">
        <v>9539</v>
      </c>
      <c r="C2843" t="s">
        <v>9540</v>
      </c>
      <c r="D2843" t="s">
        <v>9541</v>
      </c>
      <c r="E2843" t="s">
        <v>2310</v>
      </c>
      <c r="F2843">
        <v>15</v>
      </c>
      <c r="G2843">
        <v>15.2</v>
      </c>
      <c r="H2843" t="s">
        <v>2323</v>
      </c>
      <c r="I2843" s="21">
        <v>39862</v>
      </c>
      <c r="J2843">
        <v>2009</v>
      </c>
      <c r="K2843" s="21">
        <v>39981</v>
      </c>
      <c r="L2843">
        <v>2009</v>
      </c>
      <c r="M2843" s="21">
        <v>40550.563078703701</v>
      </c>
      <c r="N2843">
        <v>2011</v>
      </c>
      <c r="R2843" s="262">
        <v>600000</v>
      </c>
      <c r="S2843" t="s">
        <v>114</v>
      </c>
      <c r="T2843" t="s">
        <v>114</v>
      </c>
      <c r="U2843">
        <v>5</v>
      </c>
      <c r="W2843">
        <v>1669</v>
      </c>
      <c r="X2843">
        <v>0</v>
      </c>
      <c r="Y2843">
        <v>0</v>
      </c>
      <c r="Z2843">
        <v>0</v>
      </c>
      <c r="AA2843">
        <v>0</v>
      </c>
      <c r="AB2843">
        <v>0</v>
      </c>
      <c r="AC2843">
        <v>1669</v>
      </c>
      <c r="AD2843">
        <v>0</v>
      </c>
      <c r="AE2843">
        <v>0</v>
      </c>
      <c r="AF2843">
        <v>0</v>
      </c>
      <c r="AG2843">
        <v>0</v>
      </c>
      <c r="AH2843">
        <v>0</v>
      </c>
      <c r="AI2843">
        <v>0</v>
      </c>
      <c r="AJ2843">
        <v>0</v>
      </c>
      <c r="AK2843">
        <v>0</v>
      </c>
      <c r="AL2843">
        <v>0</v>
      </c>
      <c r="AM2843">
        <v>0</v>
      </c>
      <c r="AN2843">
        <v>0</v>
      </c>
      <c r="AO2843">
        <v>0</v>
      </c>
      <c r="AP2843">
        <v>0</v>
      </c>
      <c r="AQ2843">
        <v>0</v>
      </c>
      <c r="AR2843">
        <v>0</v>
      </c>
      <c r="AS2843">
        <v>0</v>
      </c>
      <c r="AT2843">
        <v>0</v>
      </c>
      <c r="AU2843">
        <f t="shared" si="88"/>
        <v>0</v>
      </c>
      <c r="AV2843">
        <f t="shared" si="89"/>
        <v>0</v>
      </c>
    </row>
    <row r="2844" spans="1:48" x14ac:dyDescent="0.25">
      <c r="A2844" t="s">
        <v>9542</v>
      </c>
      <c r="C2844" t="s">
        <v>9543</v>
      </c>
      <c r="D2844" t="s">
        <v>9541</v>
      </c>
      <c r="E2844" t="s">
        <v>2310</v>
      </c>
      <c r="F2844">
        <v>15</v>
      </c>
      <c r="G2844">
        <v>15.2</v>
      </c>
      <c r="H2844" t="s">
        <v>2323</v>
      </c>
      <c r="I2844" s="21">
        <v>39862</v>
      </c>
      <c r="J2844">
        <v>2009</v>
      </c>
      <c r="K2844" s="21">
        <v>39981</v>
      </c>
      <c r="L2844">
        <v>2009</v>
      </c>
      <c r="M2844" s="21">
        <v>40550.623275462996</v>
      </c>
      <c r="N2844">
        <v>2011</v>
      </c>
      <c r="R2844" s="262">
        <v>300000</v>
      </c>
      <c r="S2844" t="s">
        <v>114</v>
      </c>
      <c r="T2844" t="s">
        <v>114</v>
      </c>
      <c r="U2844">
        <v>8</v>
      </c>
      <c r="W2844">
        <v>878</v>
      </c>
      <c r="X2844">
        <v>1</v>
      </c>
      <c r="Y2844">
        <v>0</v>
      </c>
      <c r="Z2844">
        <v>0</v>
      </c>
      <c r="AA2844">
        <v>0</v>
      </c>
      <c r="AB2844">
        <v>0</v>
      </c>
      <c r="AC2844">
        <v>439</v>
      </c>
      <c r="AD2844">
        <v>0</v>
      </c>
      <c r="AE2844">
        <v>0</v>
      </c>
      <c r="AF2844">
        <v>439</v>
      </c>
      <c r="AG2844">
        <v>0</v>
      </c>
      <c r="AH2844">
        <v>0</v>
      </c>
      <c r="AI2844">
        <v>0</v>
      </c>
      <c r="AJ2844">
        <v>0</v>
      </c>
      <c r="AK2844">
        <v>0</v>
      </c>
      <c r="AL2844">
        <v>0</v>
      </c>
      <c r="AM2844">
        <v>0</v>
      </c>
      <c r="AN2844">
        <v>0</v>
      </c>
      <c r="AO2844">
        <v>0</v>
      </c>
      <c r="AP2844">
        <v>0</v>
      </c>
      <c r="AQ2844">
        <v>0</v>
      </c>
      <c r="AR2844">
        <v>1</v>
      </c>
      <c r="AS2844">
        <v>0</v>
      </c>
      <c r="AT2844">
        <v>0</v>
      </c>
      <c r="AU2844">
        <f t="shared" si="88"/>
        <v>0</v>
      </c>
      <c r="AV2844">
        <f t="shared" si="89"/>
        <v>0</v>
      </c>
    </row>
    <row r="2845" spans="1:48" x14ac:dyDescent="0.25">
      <c r="A2845" t="s">
        <v>9544</v>
      </c>
      <c r="C2845" t="s">
        <v>9545</v>
      </c>
      <c r="D2845" t="s">
        <v>9546</v>
      </c>
      <c r="E2845" t="s">
        <v>2310</v>
      </c>
      <c r="F2845">
        <v>9</v>
      </c>
      <c r="G2845">
        <v>9.3000000000000007</v>
      </c>
      <c r="H2845" t="s">
        <v>2323</v>
      </c>
      <c r="I2845" s="21">
        <v>39863</v>
      </c>
      <c r="J2845">
        <v>2009</v>
      </c>
      <c r="K2845" s="21">
        <v>39895</v>
      </c>
      <c r="L2845">
        <v>2009</v>
      </c>
      <c r="M2845" s="21">
        <v>40240.424201388902</v>
      </c>
      <c r="N2845">
        <v>2010</v>
      </c>
      <c r="R2845" s="262">
        <v>65000</v>
      </c>
      <c r="S2845" t="s">
        <v>114</v>
      </c>
      <c r="T2845" t="s">
        <v>114</v>
      </c>
      <c r="U2845">
        <v>5</v>
      </c>
      <c r="W2845">
        <v>100</v>
      </c>
      <c r="X2845">
        <v>0</v>
      </c>
      <c r="Y2845">
        <v>0</v>
      </c>
      <c r="Z2845">
        <v>0</v>
      </c>
      <c r="AA2845">
        <v>0</v>
      </c>
      <c r="AB2845">
        <v>0</v>
      </c>
      <c r="AC2845">
        <v>100</v>
      </c>
      <c r="AD2845">
        <v>0</v>
      </c>
      <c r="AE2845">
        <v>0</v>
      </c>
      <c r="AF2845">
        <v>0</v>
      </c>
      <c r="AG2845">
        <v>0</v>
      </c>
      <c r="AH2845">
        <v>0</v>
      </c>
      <c r="AI2845">
        <v>0</v>
      </c>
      <c r="AJ2845">
        <v>0</v>
      </c>
      <c r="AK2845">
        <v>0</v>
      </c>
      <c r="AL2845">
        <v>0</v>
      </c>
      <c r="AM2845">
        <v>0</v>
      </c>
      <c r="AN2845">
        <v>0</v>
      </c>
      <c r="AO2845">
        <v>0</v>
      </c>
      <c r="AP2845">
        <v>0</v>
      </c>
      <c r="AQ2845">
        <v>0</v>
      </c>
      <c r="AR2845">
        <v>0</v>
      </c>
      <c r="AS2845">
        <v>0</v>
      </c>
      <c r="AT2845">
        <v>0</v>
      </c>
      <c r="AU2845">
        <f t="shared" si="88"/>
        <v>0</v>
      </c>
      <c r="AV2845">
        <f t="shared" si="89"/>
        <v>0</v>
      </c>
    </row>
    <row r="2846" spans="1:48" x14ac:dyDescent="0.25">
      <c r="A2846" t="s">
        <v>9547</v>
      </c>
      <c r="C2846" t="s">
        <v>9548</v>
      </c>
      <c r="D2846" t="s">
        <v>9549</v>
      </c>
      <c r="E2846" t="s">
        <v>2310</v>
      </c>
      <c r="F2846">
        <v>9</v>
      </c>
      <c r="G2846">
        <v>9.3000000000000007</v>
      </c>
      <c r="H2846" t="s">
        <v>2323</v>
      </c>
      <c r="I2846" s="21">
        <v>39864</v>
      </c>
      <c r="J2846">
        <v>2009</v>
      </c>
      <c r="K2846" s="21">
        <v>39912</v>
      </c>
      <c r="L2846">
        <v>2009</v>
      </c>
      <c r="M2846" s="21">
        <v>40444.378379629597</v>
      </c>
      <c r="N2846">
        <v>2010</v>
      </c>
      <c r="R2846" s="262">
        <v>2000000</v>
      </c>
      <c r="S2846" t="s">
        <v>114</v>
      </c>
      <c r="T2846" t="s">
        <v>114</v>
      </c>
      <c r="U2846">
        <v>5</v>
      </c>
      <c r="W2846">
        <v>6626</v>
      </c>
      <c r="X2846">
        <v>1</v>
      </c>
      <c r="Y2846">
        <v>0</v>
      </c>
      <c r="Z2846">
        <v>0</v>
      </c>
      <c r="AA2846">
        <v>0</v>
      </c>
      <c r="AB2846">
        <v>0</v>
      </c>
      <c r="AC2846">
        <v>6626</v>
      </c>
      <c r="AD2846">
        <v>0</v>
      </c>
      <c r="AE2846">
        <v>0</v>
      </c>
      <c r="AF2846">
        <v>0</v>
      </c>
      <c r="AG2846">
        <v>0</v>
      </c>
      <c r="AH2846">
        <v>0</v>
      </c>
      <c r="AI2846">
        <v>0</v>
      </c>
      <c r="AJ2846">
        <v>0</v>
      </c>
      <c r="AK2846">
        <v>0</v>
      </c>
      <c r="AL2846">
        <v>0</v>
      </c>
      <c r="AM2846">
        <v>0</v>
      </c>
      <c r="AN2846">
        <v>0</v>
      </c>
      <c r="AO2846">
        <v>1</v>
      </c>
      <c r="AP2846">
        <v>0</v>
      </c>
      <c r="AQ2846">
        <v>0</v>
      </c>
      <c r="AR2846">
        <v>0</v>
      </c>
      <c r="AS2846">
        <v>0</v>
      </c>
      <c r="AT2846">
        <v>0</v>
      </c>
      <c r="AU2846">
        <f t="shared" si="88"/>
        <v>1</v>
      </c>
      <c r="AV2846">
        <f t="shared" si="89"/>
        <v>0</v>
      </c>
    </row>
    <row r="2847" spans="1:48" x14ac:dyDescent="0.25">
      <c r="A2847" t="s">
        <v>9550</v>
      </c>
      <c r="C2847" t="s">
        <v>9551</v>
      </c>
      <c r="D2847" t="s">
        <v>7388</v>
      </c>
      <c r="E2847" t="s">
        <v>1663</v>
      </c>
      <c r="F2847">
        <v>4</v>
      </c>
      <c r="G2847">
        <v>4.3</v>
      </c>
      <c r="H2847" t="s">
        <v>2327</v>
      </c>
      <c r="I2847" s="21">
        <v>39867</v>
      </c>
      <c r="J2847">
        <v>2009</v>
      </c>
      <c r="K2847" s="21">
        <v>39895</v>
      </c>
      <c r="L2847">
        <v>2009</v>
      </c>
      <c r="M2847" s="21">
        <v>40048</v>
      </c>
      <c r="N2847">
        <v>2009</v>
      </c>
      <c r="Q2847" s="262">
        <v>350000</v>
      </c>
      <c r="S2847" t="s">
        <v>114</v>
      </c>
      <c r="T2847" t="s">
        <v>114</v>
      </c>
      <c r="W2847">
        <v>7659</v>
      </c>
      <c r="X2847">
        <v>0</v>
      </c>
      <c r="Y2847">
        <v>0</v>
      </c>
      <c r="Z2847">
        <v>0</v>
      </c>
      <c r="AA2847">
        <v>0</v>
      </c>
      <c r="AB2847">
        <v>0</v>
      </c>
      <c r="AC2847">
        <v>0</v>
      </c>
      <c r="AD2847">
        <v>0</v>
      </c>
      <c r="AE2847">
        <v>0</v>
      </c>
      <c r="AF2847">
        <v>0</v>
      </c>
      <c r="AG2847">
        <v>0</v>
      </c>
      <c r="AH2847">
        <v>0</v>
      </c>
      <c r="AI2847">
        <v>0</v>
      </c>
      <c r="AJ2847">
        <v>7659</v>
      </c>
      <c r="AK2847">
        <v>0</v>
      </c>
      <c r="AL2847">
        <v>0</v>
      </c>
      <c r="AM2847">
        <v>0</v>
      </c>
      <c r="AN2847">
        <v>0</v>
      </c>
      <c r="AO2847">
        <v>0</v>
      </c>
      <c r="AP2847">
        <v>0</v>
      </c>
      <c r="AQ2847">
        <v>0</v>
      </c>
      <c r="AR2847">
        <v>0</v>
      </c>
      <c r="AS2847">
        <v>0</v>
      </c>
      <c r="AT2847">
        <v>0</v>
      </c>
      <c r="AU2847">
        <f t="shared" si="88"/>
        <v>0</v>
      </c>
      <c r="AV2847">
        <f t="shared" si="89"/>
        <v>7659</v>
      </c>
    </row>
    <row r="2848" spans="1:48" x14ac:dyDescent="0.25">
      <c r="A2848" t="s">
        <v>9552</v>
      </c>
      <c r="C2848" t="s">
        <v>9553</v>
      </c>
      <c r="D2848" t="s">
        <v>9554</v>
      </c>
      <c r="E2848" t="s">
        <v>1663</v>
      </c>
      <c r="F2848">
        <v>6</v>
      </c>
      <c r="G2848">
        <v>6.1</v>
      </c>
      <c r="H2848" t="s">
        <v>2017</v>
      </c>
      <c r="I2848" s="21">
        <v>39874</v>
      </c>
      <c r="J2848">
        <v>2009</v>
      </c>
      <c r="K2848" s="21">
        <v>39905</v>
      </c>
      <c r="L2848">
        <v>2009</v>
      </c>
      <c r="M2848" s="21">
        <v>40058</v>
      </c>
      <c r="N2848">
        <v>2009</v>
      </c>
      <c r="Q2848" s="262">
        <v>0</v>
      </c>
      <c r="S2848" t="s">
        <v>114</v>
      </c>
      <c r="T2848" t="s">
        <v>114</v>
      </c>
      <c r="W2848">
        <v>4172</v>
      </c>
      <c r="X2848">
        <v>1</v>
      </c>
      <c r="Y2848">
        <v>0</v>
      </c>
      <c r="Z2848">
        <v>0</v>
      </c>
      <c r="AA2848">
        <v>0</v>
      </c>
      <c r="AB2848">
        <v>0</v>
      </c>
      <c r="AC2848">
        <v>4172</v>
      </c>
      <c r="AD2848">
        <v>0</v>
      </c>
      <c r="AE2848">
        <v>0</v>
      </c>
      <c r="AF2848">
        <v>0</v>
      </c>
      <c r="AG2848">
        <v>0</v>
      </c>
      <c r="AH2848">
        <v>0</v>
      </c>
      <c r="AI2848">
        <v>0</v>
      </c>
      <c r="AJ2848">
        <v>0</v>
      </c>
      <c r="AK2848">
        <v>0</v>
      </c>
      <c r="AL2848">
        <v>0</v>
      </c>
      <c r="AM2848">
        <v>0</v>
      </c>
      <c r="AN2848">
        <v>0</v>
      </c>
      <c r="AO2848">
        <v>1</v>
      </c>
      <c r="AP2848">
        <v>0</v>
      </c>
      <c r="AQ2848">
        <v>0</v>
      </c>
      <c r="AR2848">
        <v>0</v>
      </c>
      <c r="AS2848">
        <v>0</v>
      </c>
      <c r="AT2848">
        <v>0</v>
      </c>
      <c r="AU2848">
        <f t="shared" si="88"/>
        <v>1</v>
      </c>
      <c r="AV2848">
        <f t="shared" si="89"/>
        <v>0</v>
      </c>
    </row>
    <row r="2849" spans="1:48" x14ac:dyDescent="0.25">
      <c r="A2849" t="s">
        <v>9555</v>
      </c>
      <c r="C2849" t="s">
        <v>9556</v>
      </c>
      <c r="D2849" t="s">
        <v>9557</v>
      </c>
      <c r="E2849" t="s">
        <v>2310</v>
      </c>
      <c r="F2849">
        <v>9</v>
      </c>
      <c r="G2849">
        <v>9.3000000000000007</v>
      </c>
      <c r="H2849" t="s">
        <v>2323</v>
      </c>
      <c r="I2849" s="21">
        <v>39874</v>
      </c>
      <c r="J2849">
        <v>2009</v>
      </c>
      <c r="K2849" s="21">
        <v>39938</v>
      </c>
      <c r="L2849">
        <v>2009</v>
      </c>
      <c r="M2849" s="21">
        <v>40225.543287036999</v>
      </c>
      <c r="N2849">
        <v>2010</v>
      </c>
      <c r="R2849" s="262">
        <v>425000</v>
      </c>
      <c r="S2849" t="s">
        <v>114</v>
      </c>
      <c r="T2849" t="s">
        <v>114</v>
      </c>
      <c r="U2849">
        <v>8</v>
      </c>
      <c r="W2849">
        <v>1642</v>
      </c>
      <c r="X2849">
        <v>1</v>
      </c>
      <c r="Y2849">
        <v>0</v>
      </c>
      <c r="Z2849">
        <v>0</v>
      </c>
      <c r="AA2849">
        <v>0</v>
      </c>
      <c r="AB2849">
        <v>0</v>
      </c>
      <c r="AC2849">
        <v>642</v>
      </c>
      <c r="AD2849">
        <v>0</v>
      </c>
      <c r="AE2849">
        <v>0</v>
      </c>
      <c r="AF2849">
        <v>1000</v>
      </c>
      <c r="AG2849">
        <v>0</v>
      </c>
      <c r="AH2849">
        <v>0</v>
      </c>
      <c r="AI2849">
        <v>0</v>
      </c>
      <c r="AJ2849">
        <v>0</v>
      </c>
      <c r="AK2849">
        <v>0</v>
      </c>
      <c r="AL2849">
        <v>0</v>
      </c>
      <c r="AM2849">
        <v>0</v>
      </c>
      <c r="AN2849">
        <v>0</v>
      </c>
      <c r="AO2849">
        <v>0</v>
      </c>
      <c r="AP2849">
        <v>0</v>
      </c>
      <c r="AQ2849">
        <v>0</v>
      </c>
      <c r="AR2849">
        <v>1</v>
      </c>
      <c r="AS2849">
        <v>0</v>
      </c>
      <c r="AT2849">
        <v>0</v>
      </c>
      <c r="AU2849">
        <f t="shared" si="88"/>
        <v>0</v>
      </c>
      <c r="AV2849">
        <f t="shared" si="89"/>
        <v>0</v>
      </c>
    </row>
    <row r="2850" spans="1:48" x14ac:dyDescent="0.25">
      <c r="A2850" t="s">
        <v>9561</v>
      </c>
      <c r="C2850" t="s">
        <v>7993</v>
      </c>
      <c r="D2850" t="s">
        <v>9562</v>
      </c>
      <c r="E2850" t="s">
        <v>2310</v>
      </c>
      <c r="F2850">
        <v>9</v>
      </c>
      <c r="G2850">
        <v>9.4</v>
      </c>
      <c r="H2850" t="s">
        <v>2323</v>
      </c>
      <c r="I2850" s="21">
        <v>39875</v>
      </c>
      <c r="J2850">
        <v>2009</v>
      </c>
      <c r="K2850" s="21">
        <v>39937</v>
      </c>
      <c r="L2850">
        <v>2009</v>
      </c>
      <c r="M2850" s="21">
        <v>40388.377523148098</v>
      </c>
      <c r="N2850">
        <v>2010</v>
      </c>
      <c r="R2850" s="262">
        <v>3200000</v>
      </c>
      <c r="S2850" t="s">
        <v>114</v>
      </c>
      <c r="T2850" t="s">
        <v>114</v>
      </c>
      <c r="U2850">
        <v>5</v>
      </c>
      <c r="W2850">
        <v>7719</v>
      </c>
      <c r="X2850">
        <v>1</v>
      </c>
      <c r="Y2850">
        <v>0</v>
      </c>
      <c r="Z2850">
        <v>0</v>
      </c>
      <c r="AA2850">
        <v>0</v>
      </c>
      <c r="AB2850">
        <v>0</v>
      </c>
      <c r="AC2850">
        <v>7719</v>
      </c>
      <c r="AD2850">
        <v>0</v>
      </c>
      <c r="AE2850">
        <v>0</v>
      </c>
      <c r="AF2850">
        <v>0</v>
      </c>
      <c r="AG2850">
        <v>0</v>
      </c>
      <c r="AH2850">
        <v>0</v>
      </c>
      <c r="AI2850">
        <v>0</v>
      </c>
      <c r="AJ2850">
        <v>0</v>
      </c>
      <c r="AK2850">
        <v>0</v>
      </c>
      <c r="AL2850">
        <v>0</v>
      </c>
      <c r="AM2850">
        <v>0</v>
      </c>
      <c r="AN2850">
        <v>0</v>
      </c>
      <c r="AO2850">
        <v>1</v>
      </c>
      <c r="AP2850">
        <v>0</v>
      </c>
      <c r="AQ2850">
        <v>0</v>
      </c>
      <c r="AR2850">
        <v>0</v>
      </c>
      <c r="AS2850">
        <v>0</v>
      </c>
      <c r="AT2850">
        <v>0</v>
      </c>
      <c r="AU2850">
        <f t="shared" si="88"/>
        <v>1</v>
      </c>
      <c r="AV2850">
        <f t="shared" si="89"/>
        <v>0</v>
      </c>
    </row>
    <row r="2851" spans="1:48" x14ac:dyDescent="0.25">
      <c r="A2851" t="s">
        <v>9563</v>
      </c>
      <c r="C2851" t="s">
        <v>9564</v>
      </c>
      <c r="D2851" t="s">
        <v>9565</v>
      </c>
      <c r="E2851" t="s">
        <v>2310</v>
      </c>
      <c r="F2851">
        <v>15</v>
      </c>
      <c r="G2851">
        <v>15.1</v>
      </c>
      <c r="H2851" t="s">
        <v>2022</v>
      </c>
      <c r="I2851" s="21">
        <v>39875</v>
      </c>
      <c r="J2851">
        <v>2009</v>
      </c>
      <c r="K2851" s="21">
        <v>39910</v>
      </c>
      <c r="L2851">
        <v>2009</v>
      </c>
      <c r="M2851" s="21">
        <v>40095.645810185197</v>
      </c>
      <c r="N2851">
        <v>2009</v>
      </c>
      <c r="R2851" s="262">
        <v>250000</v>
      </c>
      <c r="S2851" t="s">
        <v>114</v>
      </c>
      <c r="T2851" t="s">
        <v>114</v>
      </c>
      <c r="U2851">
        <v>5</v>
      </c>
      <c r="W2851">
        <v>683</v>
      </c>
      <c r="X2851">
        <v>0</v>
      </c>
      <c r="Y2851">
        <v>0</v>
      </c>
      <c r="Z2851">
        <v>0</v>
      </c>
      <c r="AA2851">
        <v>0</v>
      </c>
      <c r="AB2851">
        <v>0</v>
      </c>
      <c r="AC2851">
        <v>683</v>
      </c>
      <c r="AD2851">
        <v>0</v>
      </c>
      <c r="AE2851">
        <v>0</v>
      </c>
      <c r="AF2851">
        <v>0</v>
      </c>
      <c r="AG2851">
        <v>0</v>
      </c>
      <c r="AH2851">
        <v>0</v>
      </c>
      <c r="AI2851">
        <v>0</v>
      </c>
      <c r="AJ2851">
        <v>0</v>
      </c>
      <c r="AK2851">
        <v>0</v>
      </c>
      <c r="AL2851">
        <v>0</v>
      </c>
      <c r="AM2851">
        <v>0</v>
      </c>
      <c r="AN2851">
        <v>0</v>
      </c>
      <c r="AO2851">
        <v>0</v>
      </c>
      <c r="AP2851">
        <v>0</v>
      </c>
      <c r="AQ2851">
        <v>0</v>
      </c>
      <c r="AR2851">
        <v>0</v>
      </c>
      <c r="AS2851">
        <v>0</v>
      </c>
      <c r="AT2851">
        <v>0</v>
      </c>
      <c r="AU2851">
        <f t="shared" si="88"/>
        <v>0</v>
      </c>
      <c r="AV2851">
        <f t="shared" si="89"/>
        <v>0</v>
      </c>
    </row>
    <row r="2852" spans="1:48" x14ac:dyDescent="0.25">
      <c r="A2852" t="s">
        <v>9566</v>
      </c>
      <c r="C2852" t="s">
        <v>9567</v>
      </c>
      <c r="D2852" t="s">
        <v>9565</v>
      </c>
      <c r="E2852" t="s">
        <v>2310</v>
      </c>
      <c r="F2852">
        <v>15</v>
      </c>
      <c r="G2852">
        <v>15.1</v>
      </c>
      <c r="H2852" t="s">
        <v>2022</v>
      </c>
      <c r="I2852" s="21">
        <v>39875</v>
      </c>
      <c r="J2852">
        <v>2009</v>
      </c>
      <c r="K2852" s="21">
        <v>39875</v>
      </c>
      <c r="L2852">
        <v>2009</v>
      </c>
      <c r="M2852" s="21">
        <v>40095.649756944404</v>
      </c>
      <c r="N2852">
        <v>2009</v>
      </c>
      <c r="R2852" s="262">
        <v>8000</v>
      </c>
      <c r="S2852" t="s">
        <v>114</v>
      </c>
      <c r="T2852" t="s">
        <v>114</v>
      </c>
      <c r="U2852">
        <v>5</v>
      </c>
      <c r="W2852">
        <v>200</v>
      </c>
      <c r="X2852">
        <v>0</v>
      </c>
      <c r="Y2852">
        <v>0</v>
      </c>
      <c r="Z2852">
        <v>0</v>
      </c>
      <c r="AA2852">
        <v>0</v>
      </c>
      <c r="AB2852">
        <v>0</v>
      </c>
      <c r="AC2852">
        <v>200</v>
      </c>
      <c r="AD2852">
        <v>0</v>
      </c>
      <c r="AE2852">
        <v>0</v>
      </c>
      <c r="AF2852">
        <v>0</v>
      </c>
      <c r="AG2852">
        <v>0</v>
      </c>
      <c r="AH2852">
        <v>0</v>
      </c>
      <c r="AI2852">
        <v>0</v>
      </c>
      <c r="AJ2852">
        <v>0</v>
      </c>
      <c r="AK2852">
        <v>0</v>
      </c>
      <c r="AL2852">
        <v>0</v>
      </c>
      <c r="AM2852">
        <v>0</v>
      </c>
      <c r="AN2852">
        <v>0</v>
      </c>
      <c r="AO2852">
        <v>0</v>
      </c>
      <c r="AP2852">
        <v>0</v>
      </c>
      <c r="AQ2852">
        <v>0</v>
      </c>
      <c r="AR2852">
        <v>0</v>
      </c>
      <c r="AS2852">
        <v>0</v>
      </c>
      <c r="AT2852">
        <v>0</v>
      </c>
      <c r="AU2852">
        <f t="shared" si="88"/>
        <v>0</v>
      </c>
      <c r="AV2852">
        <f t="shared" si="89"/>
        <v>0</v>
      </c>
    </row>
    <row r="2853" spans="1:48" x14ac:dyDescent="0.25">
      <c r="A2853" t="s">
        <v>9558</v>
      </c>
      <c r="C2853" t="s">
        <v>9559</v>
      </c>
      <c r="D2853" t="s">
        <v>9560</v>
      </c>
      <c r="E2853" t="s">
        <v>1663</v>
      </c>
      <c r="F2853">
        <v>2</v>
      </c>
      <c r="G2853">
        <v>2.2999999999999998</v>
      </c>
      <c r="H2853" t="s">
        <v>2327</v>
      </c>
      <c r="I2853" s="21">
        <v>39875</v>
      </c>
      <c r="J2853">
        <v>2009</v>
      </c>
      <c r="K2853" s="21">
        <v>39906</v>
      </c>
      <c r="L2853">
        <v>2009</v>
      </c>
      <c r="M2853" s="21">
        <v>40059</v>
      </c>
      <c r="N2853">
        <v>2009</v>
      </c>
      <c r="Q2853" s="262">
        <v>0</v>
      </c>
      <c r="S2853" t="s">
        <v>114</v>
      </c>
      <c r="T2853" t="s">
        <v>114</v>
      </c>
      <c r="W2853">
        <v>300</v>
      </c>
      <c r="X2853">
        <v>1</v>
      </c>
      <c r="Y2853">
        <v>0</v>
      </c>
      <c r="Z2853">
        <v>0</v>
      </c>
      <c r="AA2853">
        <v>0</v>
      </c>
      <c r="AB2853">
        <v>0</v>
      </c>
      <c r="AC2853">
        <v>0</v>
      </c>
      <c r="AD2853">
        <v>0</v>
      </c>
      <c r="AE2853">
        <v>0</v>
      </c>
      <c r="AF2853">
        <v>0</v>
      </c>
      <c r="AG2853">
        <v>0</v>
      </c>
      <c r="AH2853">
        <v>0</v>
      </c>
      <c r="AI2853">
        <v>300</v>
      </c>
      <c r="AJ2853">
        <v>0</v>
      </c>
      <c r="AK2853">
        <v>0</v>
      </c>
      <c r="AL2853">
        <v>0</v>
      </c>
      <c r="AM2853">
        <v>0</v>
      </c>
      <c r="AN2853">
        <v>0</v>
      </c>
      <c r="AO2853">
        <v>0</v>
      </c>
      <c r="AP2853">
        <v>0</v>
      </c>
      <c r="AQ2853">
        <v>0</v>
      </c>
      <c r="AR2853">
        <v>0</v>
      </c>
      <c r="AS2853">
        <v>0</v>
      </c>
      <c r="AT2853">
        <v>1</v>
      </c>
      <c r="AU2853">
        <f t="shared" si="88"/>
        <v>0</v>
      </c>
      <c r="AV2853">
        <f t="shared" si="89"/>
        <v>300</v>
      </c>
    </row>
    <row r="2854" spans="1:48" x14ac:dyDescent="0.25">
      <c r="A2854" t="s">
        <v>9568</v>
      </c>
      <c r="C2854" t="s">
        <v>9569</v>
      </c>
      <c r="D2854" t="s">
        <v>9570</v>
      </c>
      <c r="E2854" t="s">
        <v>2310</v>
      </c>
      <c r="F2854">
        <v>9</v>
      </c>
      <c r="G2854">
        <v>9.1999999999999993</v>
      </c>
      <c r="H2854" t="s">
        <v>2022</v>
      </c>
      <c r="I2854" s="21">
        <v>39876</v>
      </c>
      <c r="J2854">
        <v>2009</v>
      </c>
      <c r="K2854" s="21">
        <v>39876</v>
      </c>
      <c r="L2854">
        <v>2009</v>
      </c>
      <c r="M2854" s="21">
        <v>40570.447372685201</v>
      </c>
      <c r="N2854">
        <v>2011</v>
      </c>
      <c r="R2854" s="262">
        <v>1000</v>
      </c>
      <c r="S2854" t="s">
        <v>114</v>
      </c>
      <c r="T2854" t="s">
        <v>114</v>
      </c>
      <c r="U2854">
        <v>5</v>
      </c>
      <c r="W2854">
        <v>5882</v>
      </c>
      <c r="X2854">
        <v>1</v>
      </c>
      <c r="Y2854">
        <v>0</v>
      </c>
      <c r="Z2854">
        <v>0</v>
      </c>
      <c r="AA2854">
        <v>0</v>
      </c>
      <c r="AB2854">
        <v>0</v>
      </c>
      <c r="AC2854">
        <v>5882</v>
      </c>
      <c r="AD2854">
        <v>0</v>
      </c>
      <c r="AE2854">
        <v>0</v>
      </c>
      <c r="AF2854">
        <v>0</v>
      </c>
      <c r="AG2854">
        <v>0</v>
      </c>
      <c r="AH2854">
        <v>0</v>
      </c>
      <c r="AI2854">
        <v>0</v>
      </c>
      <c r="AJ2854">
        <v>0</v>
      </c>
      <c r="AK2854">
        <v>0</v>
      </c>
      <c r="AL2854">
        <v>0</v>
      </c>
      <c r="AM2854">
        <v>0</v>
      </c>
      <c r="AN2854">
        <v>0</v>
      </c>
      <c r="AO2854">
        <v>1</v>
      </c>
      <c r="AP2854">
        <v>0</v>
      </c>
      <c r="AQ2854">
        <v>0</v>
      </c>
      <c r="AR2854">
        <v>0</v>
      </c>
      <c r="AS2854">
        <v>0</v>
      </c>
      <c r="AT2854">
        <v>0</v>
      </c>
      <c r="AU2854">
        <f t="shared" si="88"/>
        <v>1</v>
      </c>
      <c r="AV2854">
        <f t="shared" si="89"/>
        <v>0</v>
      </c>
    </row>
    <row r="2855" spans="1:48" x14ac:dyDescent="0.25">
      <c r="A2855" t="s">
        <v>9571</v>
      </c>
      <c r="C2855" t="s">
        <v>9572</v>
      </c>
      <c r="D2855" t="s">
        <v>9570</v>
      </c>
      <c r="E2855" t="s">
        <v>2310</v>
      </c>
      <c r="F2855">
        <v>9</v>
      </c>
      <c r="G2855">
        <v>9.1999999999999993</v>
      </c>
      <c r="H2855" t="s">
        <v>2022</v>
      </c>
      <c r="I2855" s="21">
        <v>39876</v>
      </c>
      <c r="J2855">
        <v>2009</v>
      </c>
      <c r="K2855" s="21">
        <v>39876</v>
      </c>
      <c r="L2855">
        <v>2009</v>
      </c>
      <c r="M2855" s="21">
        <v>40570.450902777797</v>
      </c>
      <c r="N2855">
        <v>2011</v>
      </c>
      <c r="R2855" s="262">
        <v>250000</v>
      </c>
      <c r="S2855" t="s">
        <v>114</v>
      </c>
      <c r="T2855" t="s">
        <v>114</v>
      </c>
      <c r="U2855">
        <v>8</v>
      </c>
      <c r="W2855">
        <v>998</v>
      </c>
      <c r="X2855">
        <v>1</v>
      </c>
      <c r="Y2855">
        <v>0</v>
      </c>
      <c r="Z2855">
        <v>0</v>
      </c>
      <c r="AA2855">
        <v>0</v>
      </c>
      <c r="AB2855">
        <v>0</v>
      </c>
      <c r="AC2855">
        <v>0</v>
      </c>
      <c r="AD2855">
        <v>0</v>
      </c>
      <c r="AE2855">
        <v>0</v>
      </c>
      <c r="AF2855">
        <v>998</v>
      </c>
      <c r="AG2855">
        <v>0</v>
      </c>
      <c r="AH2855">
        <v>0</v>
      </c>
      <c r="AI2855">
        <v>0</v>
      </c>
      <c r="AJ2855">
        <v>0</v>
      </c>
      <c r="AK2855">
        <v>0</v>
      </c>
      <c r="AL2855">
        <v>0</v>
      </c>
      <c r="AM2855">
        <v>0</v>
      </c>
      <c r="AN2855">
        <v>0</v>
      </c>
      <c r="AO2855">
        <v>0</v>
      </c>
      <c r="AP2855">
        <v>0</v>
      </c>
      <c r="AQ2855">
        <v>0</v>
      </c>
      <c r="AR2855">
        <v>1</v>
      </c>
      <c r="AS2855">
        <v>0</v>
      </c>
      <c r="AT2855">
        <v>0</v>
      </c>
      <c r="AU2855">
        <f t="shared" si="88"/>
        <v>0</v>
      </c>
      <c r="AV2855">
        <f t="shared" si="89"/>
        <v>0</v>
      </c>
    </row>
    <row r="2856" spans="1:48" x14ac:dyDescent="0.25">
      <c r="A2856" t="s">
        <v>9573</v>
      </c>
      <c r="C2856" t="s">
        <v>9574</v>
      </c>
      <c r="D2856" t="s">
        <v>9570</v>
      </c>
      <c r="E2856" t="s">
        <v>2310</v>
      </c>
      <c r="F2856">
        <v>9</v>
      </c>
      <c r="G2856">
        <v>9.1999999999999993</v>
      </c>
      <c r="H2856" t="s">
        <v>2022</v>
      </c>
      <c r="I2856" s="21">
        <v>39876</v>
      </c>
      <c r="J2856">
        <v>2009</v>
      </c>
      <c r="K2856" s="21">
        <v>39876</v>
      </c>
      <c r="L2856">
        <v>2009</v>
      </c>
      <c r="M2856" s="21">
        <v>40570.4538888889</v>
      </c>
      <c r="N2856">
        <v>2011</v>
      </c>
      <c r="R2856" s="262">
        <v>0</v>
      </c>
      <c r="S2856" t="s">
        <v>114</v>
      </c>
      <c r="T2856" t="s">
        <v>114</v>
      </c>
      <c r="U2856">
        <v>5</v>
      </c>
      <c r="W2856">
        <v>3009</v>
      </c>
      <c r="X2856">
        <v>0</v>
      </c>
      <c r="Y2856">
        <v>0</v>
      </c>
      <c r="Z2856">
        <v>0</v>
      </c>
      <c r="AA2856">
        <v>0</v>
      </c>
      <c r="AB2856">
        <v>0</v>
      </c>
      <c r="AC2856">
        <v>3009</v>
      </c>
      <c r="AD2856">
        <v>0</v>
      </c>
      <c r="AE2856">
        <v>0</v>
      </c>
      <c r="AF2856">
        <v>0</v>
      </c>
      <c r="AG2856">
        <v>0</v>
      </c>
      <c r="AH2856">
        <v>0</v>
      </c>
      <c r="AI2856">
        <v>0</v>
      </c>
      <c r="AJ2856">
        <v>0</v>
      </c>
      <c r="AK2856">
        <v>0</v>
      </c>
      <c r="AL2856">
        <v>0</v>
      </c>
      <c r="AM2856">
        <v>0</v>
      </c>
      <c r="AN2856">
        <v>0</v>
      </c>
      <c r="AO2856">
        <v>0</v>
      </c>
      <c r="AP2856">
        <v>0</v>
      </c>
      <c r="AQ2856">
        <v>0</v>
      </c>
      <c r="AR2856">
        <v>0</v>
      </c>
      <c r="AS2856">
        <v>0</v>
      </c>
      <c r="AT2856">
        <v>0</v>
      </c>
      <c r="AU2856">
        <f t="shared" si="88"/>
        <v>0</v>
      </c>
      <c r="AV2856">
        <f t="shared" si="89"/>
        <v>0</v>
      </c>
    </row>
    <row r="2857" spans="1:48" x14ac:dyDescent="0.25">
      <c r="A2857" t="s">
        <v>9575</v>
      </c>
      <c r="C2857" t="s">
        <v>9576</v>
      </c>
      <c r="D2857" t="s">
        <v>9577</v>
      </c>
      <c r="E2857" t="s">
        <v>2310</v>
      </c>
      <c r="F2857">
        <v>15</v>
      </c>
      <c r="G2857">
        <v>15.1</v>
      </c>
      <c r="H2857" t="s">
        <v>2022</v>
      </c>
      <c r="I2857" s="21">
        <v>39877</v>
      </c>
      <c r="J2857">
        <v>2009</v>
      </c>
      <c r="K2857" s="21">
        <v>39902</v>
      </c>
      <c r="L2857">
        <v>2009</v>
      </c>
      <c r="M2857" s="21">
        <v>39902</v>
      </c>
      <c r="N2857">
        <v>2009</v>
      </c>
      <c r="R2857" s="262">
        <v>150000</v>
      </c>
      <c r="S2857" t="s">
        <v>114</v>
      </c>
      <c r="T2857" t="s">
        <v>114</v>
      </c>
      <c r="U2857">
        <v>5</v>
      </c>
      <c r="W2857">
        <v>0</v>
      </c>
      <c r="X2857">
        <v>0</v>
      </c>
      <c r="Y2857">
        <v>0</v>
      </c>
      <c r="Z2857">
        <v>0</v>
      </c>
      <c r="AA2857">
        <v>0</v>
      </c>
      <c r="AB2857">
        <v>0</v>
      </c>
      <c r="AC2857">
        <v>0</v>
      </c>
      <c r="AD2857">
        <v>0</v>
      </c>
      <c r="AE2857">
        <v>0</v>
      </c>
      <c r="AF2857">
        <v>0</v>
      </c>
      <c r="AG2857">
        <v>0</v>
      </c>
      <c r="AH2857">
        <v>0</v>
      </c>
      <c r="AI2857">
        <v>0</v>
      </c>
      <c r="AJ2857">
        <v>0</v>
      </c>
      <c r="AK2857">
        <v>0</v>
      </c>
      <c r="AL2857">
        <v>0</v>
      </c>
      <c r="AM2857">
        <v>0</v>
      </c>
      <c r="AN2857">
        <v>0</v>
      </c>
      <c r="AO2857">
        <v>0</v>
      </c>
      <c r="AP2857">
        <v>0</v>
      </c>
      <c r="AQ2857">
        <v>0</v>
      </c>
      <c r="AR2857">
        <v>0</v>
      </c>
      <c r="AS2857">
        <v>0</v>
      </c>
      <c r="AT2857">
        <v>0</v>
      </c>
      <c r="AU2857">
        <f t="shared" si="88"/>
        <v>0</v>
      </c>
      <c r="AV2857">
        <f t="shared" si="89"/>
        <v>0</v>
      </c>
    </row>
    <row r="2858" spans="1:48" x14ac:dyDescent="0.25">
      <c r="A2858" t="s">
        <v>9578</v>
      </c>
      <c r="C2858" t="s">
        <v>9579</v>
      </c>
      <c r="D2858" t="s">
        <v>4588</v>
      </c>
      <c r="E2858" t="s">
        <v>2310</v>
      </c>
      <c r="F2858">
        <v>7</v>
      </c>
      <c r="G2858">
        <v>7.2</v>
      </c>
      <c r="H2858" t="s">
        <v>2017</v>
      </c>
      <c r="I2858" s="21">
        <v>39877</v>
      </c>
      <c r="J2858">
        <v>2009</v>
      </c>
      <c r="K2858" s="21">
        <v>39967</v>
      </c>
      <c r="L2858">
        <v>2009</v>
      </c>
      <c r="M2858" s="21">
        <v>40283.3605439815</v>
      </c>
      <c r="N2858">
        <v>2010</v>
      </c>
      <c r="R2858" s="262">
        <v>1700000</v>
      </c>
      <c r="S2858" t="s">
        <v>114</v>
      </c>
      <c r="T2858" t="s">
        <v>114</v>
      </c>
      <c r="U2858">
        <v>14</v>
      </c>
      <c r="W2858">
        <v>7360</v>
      </c>
      <c r="X2858">
        <v>0</v>
      </c>
      <c r="Y2858">
        <v>0</v>
      </c>
      <c r="Z2858">
        <v>0</v>
      </c>
      <c r="AA2858">
        <v>0</v>
      </c>
      <c r="AB2858">
        <v>0</v>
      </c>
      <c r="AC2858">
        <v>0</v>
      </c>
      <c r="AD2858">
        <v>0</v>
      </c>
      <c r="AE2858">
        <v>0</v>
      </c>
      <c r="AF2858">
        <v>0</v>
      </c>
      <c r="AG2858">
        <v>0</v>
      </c>
      <c r="AH2858">
        <v>0</v>
      </c>
      <c r="AI2858">
        <v>0</v>
      </c>
      <c r="AJ2858">
        <v>0</v>
      </c>
      <c r="AK2858">
        <v>0</v>
      </c>
      <c r="AL2858">
        <v>7360</v>
      </c>
      <c r="AM2858">
        <v>0</v>
      </c>
      <c r="AN2858">
        <v>0</v>
      </c>
      <c r="AO2858">
        <v>0</v>
      </c>
      <c r="AP2858">
        <v>0</v>
      </c>
      <c r="AQ2858">
        <v>0</v>
      </c>
      <c r="AR2858">
        <v>0</v>
      </c>
      <c r="AS2858">
        <v>0</v>
      </c>
      <c r="AT2858">
        <v>0</v>
      </c>
      <c r="AU2858">
        <f t="shared" si="88"/>
        <v>0</v>
      </c>
      <c r="AV2858">
        <f t="shared" si="89"/>
        <v>7360</v>
      </c>
    </row>
    <row r="2859" spans="1:48" x14ac:dyDescent="0.25">
      <c r="A2859" t="s">
        <v>9580</v>
      </c>
      <c r="C2859" t="s">
        <v>9581</v>
      </c>
      <c r="D2859" t="s">
        <v>7636</v>
      </c>
      <c r="E2859" t="s">
        <v>2310</v>
      </c>
      <c r="F2859">
        <v>13</v>
      </c>
      <c r="G2859">
        <v>13.3</v>
      </c>
      <c r="H2859" t="s">
        <v>2017</v>
      </c>
      <c r="I2859" s="21">
        <v>39877</v>
      </c>
      <c r="J2859">
        <v>2009</v>
      </c>
      <c r="K2859" s="21">
        <v>39939</v>
      </c>
      <c r="L2859">
        <v>2009</v>
      </c>
      <c r="M2859" s="21">
        <v>41136.416064814803</v>
      </c>
      <c r="N2859">
        <v>2012</v>
      </c>
      <c r="R2859" s="262">
        <v>250000</v>
      </c>
      <c r="S2859" t="s">
        <v>114</v>
      </c>
      <c r="T2859" t="s">
        <v>114</v>
      </c>
      <c r="U2859">
        <v>5</v>
      </c>
      <c r="W2859">
        <v>1410</v>
      </c>
      <c r="X2859">
        <v>0</v>
      </c>
      <c r="Y2859">
        <v>0</v>
      </c>
      <c r="Z2859">
        <v>0</v>
      </c>
      <c r="AA2859">
        <v>0</v>
      </c>
      <c r="AB2859">
        <v>0</v>
      </c>
      <c r="AC2859">
        <v>1410</v>
      </c>
      <c r="AD2859">
        <v>0</v>
      </c>
      <c r="AE2859">
        <v>0</v>
      </c>
      <c r="AF2859">
        <v>0</v>
      </c>
      <c r="AG2859">
        <v>0</v>
      </c>
      <c r="AH2859">
        <v>0</v>
      </c>
      <c r="AI2859">
        <v>0</v>
      </c>
      <c r="AJ2859">
        <v>0</v>
      </c>
      <c r="AK2859">
        <v>0</v>
      </c>
      <c r="AL2859">
        <v>0</v>
      </c>
      <c r="AM2859">
        <v>0</v>
      </c>
      <c r="AN2859">
        <v>0</v>
      </c>
      <c r="AO2859">
        <v>0</v>
      </c>
      <c r="AP2859">
        <v>0</v>
      </c>
      <c r="AQ2859">
        <v>0</v>
      </c>
      <c r="AR2859">
        <v>0</v>
      </c>
      <c r="AS2859">
        <v>0</v>
      </c>
      <c r="AT2859">
        <v>0</v>
      </c>
      <c r="AU2859">
        <f t="shared" si="88"/>
        <v>0</v>
      </c>
      <c r="AV2859">
        <f t="shared" si="89"/>
        <v>0</v>
      </c>
    </row>
    <row r="2860" spans="1:48" x14ac:dyDescent="0.25">
      <c r="A2860" t="s">
        <v>9582</v>
      </c>
      <c r="C2860" t="s">
        <v>9583</v>
      </c>
      <c r="D2860" t="s">
        <v>9584</v>
      </c>
      <c r="E2860" t="s">
        <v>2310</v>
      </c>
      <c r="F2860">
        <v>9</v>
      </c>
      <c r="G2860">
        <v>9.1</v>
      </c>
      <c r="H2860" t="s">
        <v>2323</v>
      </c>
      <c r="I2860" s="21">
        <v>39889</v>
      </c>
      <c r="J2860">
        <v>2009</v>
      </c>
      <c r="K2860" s="21">
        <v>39910</v>
      </c>
      <c r="L2860">
        <v>2009</v>
      </c>
      <c r="M2860" s="21">
        <v>40213.632118055597</v>
      </c>
      <c r="N2860">
        <v>2010</v>
      </c>
      <c r="R2860" s="262">
        <v>525000</v>
      </c>
      <c r="S2860" t="s">
        <v>114</v>
      </c>
      <c r="T2860" t="s">
        <v>114</v>
      </c>
      <c r="U2860">
        <v>5</v>
      </c>
      <c r="W2860">
        <v>3579</v>
      </c>
      <c r="X2860">
        <v>0</v>
      </c>
      <c r="Y2860">
        <v>0</v>
      </c>
      <c r="Z2860">
        <v>0</v>
      </c>
      <c r="AA2860">
        <v>0</v>
      </c>
      <c r="AB2860">
        <v>0</v>
      </c>
      <c r="AC2860">
        <v>3579</v>
      </c>
      <c r="AD2860">
        <v>0</v>
      </c>
      <c r="AE2860">
        <v>0</v>
      </c>
      <c r="AF2860">
        <v>0</v>
      </c>
      <c r="AG2860">
        <v>0</v>
      </c>
      <c r="AH2860">
        <v>0</v>
      </c>
      <c r="AI2860">
        <v>0</v>
      </c>
      <c r="AJ2860">
        <v>0</v>
      </c>
      <c r="AK2860">
        <v>0</v>
      </c>
      <c r="AL2860">
        <v>0</v>
      </c>
      <c r="AM2860">
        <v>0</v>
      </c>
      <c r="AN2860">
        <v>0</v>
      </c>
      <c r="AO2860">
        <v>0</v>
      </c>
      <c r="AP2860">
        <v>0</v>
      </c>
      <c r="AQ2860">
        <v>0</v>
      </c>
      <c r="AR2860">
        <v>0</v>
      </c>
      <c r="AS2860">
        <v>0</v>
      </c>
      <c r="AT2860">
        <v>0</v>
      </c>
      <c r="AU2860">
        <f t="shared" si="88"/>
        <v>0</v>
      </c>
      <c r="AV2860">
        <f t="shared" si="89"/>
        <v>0</v>
      </c>
    </row>
    <row r="2861" spans="1:48" x14ac:dyDescent="0.25">
      <c r="A2861" t="s">
        <v>9585</v>
      </c>
      <c r="C2861" t="s">
        <v>9586</v>
      </c>
      <c r="D2861" t="s">
        <v>9587</v>
      </c>
      <c r="E2861" t="s">
        <v>2310</v>
      </c>
      <c r="F2861">
        <v>11</v>
      </c>
      <c r="G2861">
        <v>11.1</v>
      </c>
      <c r="H2861" t="s">
        <v>2327</v>
      </c>
      <c r="I2861" s="21">
        <v>39891</v>
      </c>
      <c r="J2861">
        <v>2009</v>
      </c>
      <c r="K2861" s="21">
        <v>39891</v>
      </c>
      <c r="L2861">
        <v>2009</v>
      </c>
      <c r="M2861" s="21">
        <v>40359.3730671296</v>
      </c>
      <c r="N2861">
        <v>2010</v>
      </c>
      <c r="R2861" s="262">
        <v>525000</v>
      </c>
      <c r="S2861" t="s">
        <v>114</v>
      </c>
      <c r="T2861" t="s">
        <v>114</v>
      </c>
      <c r="U2861">
        <v>12</v>
      </c>
      <c r="W2861">
        <v>5985</v>
      </c>
      <c r="X2861">
        <v>0</v>
      </c>
      <c r="Y2861">
        <v>0</v>
      </c>
      <c r="Z2861">
        <v>0</v>
      </c>
      <c r="AA2861">
        <v>0</v>
      </c>
      <c r="AB2861">
        <v>0</v>
      </c>
      <c r="AC2861">
        <v>0</v>
      </c>
      <c r="AD2861">
        <v>0</v>
      </c>
      <c r="AE2861">
        <v>0</v>
      </c>
      <c r="AF2861">
        <v>0</v>
      </c>
      <c r="AG2861">
        <v>0</v>
      </c>
      <c r="AH2861">
        <v>0</v>
      </c>
      <c r="AI2861">
        <v>0</v>
      </c>
      <c r="AJ2861">
        <v>5985</v>
      </c>
      <c r="AK2861">
        <v>0</v>
      </c>
      <c r="AL2861">
        <v>0</v>
      </c>
      <c r="AM2861">
        <v>0</v>
      </c>
      <c r="AN2861">
        <v>0</v>
      </c>
      <c r="AO2861">
        <v>0</v>
      </c>
      <c r="AP2861">
        <v>0</v>
      </c>
      <c r="AQ2861">
        <v>0</v>
      </c>
      <c r="AR2861">
        <v>0</v>
      </c>
      <c r="AS2861">
        <v>0</v>
      </c>
      <c r="AT2861">
        <v>0</v>
      </c>
      <c r="AU2861">
        <f t="shared" si="88"/>
        <v>0</v>
      </c>
      <c r="AV2861">
        <f t="shared" si="89"/>
        <v>5985</v>
      </c>
    </row>
    <row r="2862" spans="1:48" x14ac:dyDescent="0.25">
      <c r="A2862" t="s">
        <v>9588</v>
      </c>
      <c r="C2862" t="s">
        <v>9589</v>
      </c>
      <c r="D2862" t="s">
        <v>4859</v>
      </c>
      <c r="E2862" t="s">
        <v>2310</v>
      </c>
      <c r="F2862">
        <v>15</v>
      </c>
      <c r="G2862">
        <v>15.1</v>
      </c>
      <c r="H2862" t="s">
        <v>2022</v>
      </c>
      <c r="I2862" s="21">
        <v>39895</v>
      </c>
      <c r="J2862">
        <v>2009</v>
      </c>
      <c r="K2862" s="21">
        <v>39895</v>
      </c>
      <c r="L2862">
        <v>2009</v>
      </c>
      <c r="M2862" s="21">
        <v>40260.629502314798</v>
      </c>
      <c r="N2862">
        <v>2010</v>
      </c>
      <c r="R2862" s="262">
        <v>100000</v>
      </c>
      <c r="S2862" t="s">
        <v>114</v>
      </c>
      <c r="T2862" t="s">
        <v>114</v>
      </c>
      <c r="U2862">
        <v>5</v>
      </c>
      <c r="W2862">
        <v>494</v>
      </c>
      <c r="X2862">
        <v>0</v>
      </c>
      <c r="Y2862">
        <v>0</v>
      </c>
      <c r="Z2862">
        <v>0</v>
      </c>
      <c r="AA2862">
        <v>0</v>
      </c>
      <c r="AB2862">
        <v>0</v>
      </c>
      <c r="AC2862">
        <v>494</v>
      </c>
      <c r="AD2862">
        <v>0</v>
      </c>
      <c r="AE2862">
        <v>0</v>
      </c>
      <c r="AF2862">
        <v>0</v>
      </c>
      <c r="AG2862">
        <v>0</v>
      </c>
      <c r="AH2862">
        <v>0</v>
      </c>
      <c r="AI2862">
        <v>0</v>
      </c>
      <c r="AJ2862">
        <v>0</v>
      </c>
      <c r="AK2862">
        <v>0</v>
      </c>
      <c r="AL2862">
        <v>0</v>
      </c>
      <c r="AM2862">
        <v>0</v>
      </c>
      <c r="AN2862">
        <v>0</v>
      </c>
      <c r="AO2862">
        <v>0</v>
      </c>
      <c r="AP2862">
        <v>0</v>
      </c>
      <c r="AQ2862">
        <v>0</v>
      </c>
      <c r="AR2862">
        <v>0</v>
      </c>
      <c r="AS2862">
        <v>0</v>
      </c>
      <c r="AT2862">
        <v>0</v>
      </c>
      <c r="AU2862">
        <f t="shared" si="88"/>
        <v>0</v>
      </c>
      <c r="AV2862">
        <f t="shared" si="89"/>
        <v>0</v>
      </c>
    </row>
    <row r="2863" spans="1:48" x14ac:dyDescent="0.25">
      <c r="A2863" t="s">
        <v>9590</v>
      </c>
      <c r="C2863" t="s">
        <v>9591</v>
      </c>
      <c r="D2863" t="s">
        <v>9592</v>
      </c>
      <c r="E2863" t="s">
        <v>2310</v>
      </c>
      <c r="F2863">
        <v>8</v>
      </c>
      <c r="G2863">
        <v>8.1</v>
      </c>
      <c r="H2863" t="s">
        <v>2323</v>
      </c>
      <c r="I2863" s="21">
        <v>39895</v>
      </c>
      <c r="J2863">
        <v>2009</v>
      </c>
      <c r="K2863" s="21">
        <v>39913</v>
      </c>
      <c r="L2863">
        <v>2009</v>
      </c>
      <c r="M2863" s="21">
        <v>40219.366759259297</v>
      </c>
      <c r="N2863">
        <v>2010</v>
      </c>
      <c r="R2863" s="262">
        <v>250000</v>
      </c>
      <c r="S2863" t="s">
        <v>114</v>
      </c>
      <c r="T2863" t="s">
        <v>114</v>
      </c>
      <c r="U2863">
        <v>5</v>
      </c>
      <c r="W2863">
        <v>86</v>
      </c>
      <c r="X2863">
        <v>0</v>
      </c>
      <c r="Y2863">
        <v>0</v>
      </c>
      <c r="Z2863">
        <v>0</v>
      </c>
      <c r="AA2863">
        <v>0</v>
      </c>
      <c r="AB2863">
        <v>0</v>
      </c>
      <c r="AC2863">
        <v>86</v>
      </c>
      <c r="AD2863">
        <v>0</v>
      </c>
      <c r="AE2863">
        <v>0</v>
      </c>
      <c r="AF2863">
        <v>0</v>
      </c>
      <c r="AG2863">
        <v>0</v>
      </c>
      <c r="AH2863">
        <v>0</v>
      </c>
      <c r="AI2863">
        <v>0</v>
      </c>
      <c r="AJ2863">
        <v>0</v>
      </c>
      <c r="AK2863">
        <v>0</v>
      </c>
      <c r="AL2863">
        <v>0</v>
      </c>
      <c r="AM2863">
        <v>0</v>
      </c>
      <c r="AN2863">
        <v>0</v>
      </c>
      <c r="AO2863">
        <v>0</v>
      </c>
      <c r="AP2863">
        <v>0</v>
      </c>
      <c r="AQ2863">
        <v>0</v>
      </c>
      <c r="AR2863">
        <v>0</v>
      </c>
      <c r="AS2863">
        <v>0</v>
      </c>
      <c r="AT2863">
        <v>0</v>
      </c>
      <c r="AU2863">
        <f t="shared" si="88"/>
        <v>0</v>
      </c>
      <c r="AV2863">
        <f t="shared" si="89"/>
        <v>0</v>
      </c>
    </row>
    <row r="2864" spans="1:48" x14ac:dyDescent="0.25">
      <c r="A2864" t="s">
        <v>9593</v>
      </c>
      <c r="C2864" t="s">
        <v>9594</v>
      </c>
      <c r="D2864" t="s">
        <v>9595</v>
      </c>
      <c r="E2864" t="s">
        <v>1663</v>
      </c>
      <c r="F2864">
        <v>6</v>
      </c>
      <c r="G2864">
        <v>6.1</v>
      </c>
      <c r="H2864" t="s">
        <v>2017</v>
      </c>
      <c r="I2864" s="21">
        <v>39896</v>
      </c>
      <c r="J2864">
        <v>2009</v>
      </c>
      <c r="K2864" s="21">
        <v>39927</v>
      </c>
      <c r="L2864">
        <v>2009</v>
      </c>
      <c r="M2864" s="21">
        <v>40080</v>
      </c>
      <c r="N2864">
        <v>2009</v>
      </c>
      <c r="Q2864" s="262">
        <v>0</v>
      </c>
      <c r="S2864" t="s">
        <v>114</v>
      </c>
      <c r="T2864" t="s">
        <v>114</v>
      </c>
      <c r="W2864">
        <v>4258</v>
      </c>
      <c r="X2864">
        <v>1</v>
      </c>
      <c r="Y2864">
        <v>0</v>
      </c>
      <c r="Z2864">
        <v>0</v>
      </c>
      <c r="AA2864">
        <v>0</v>
      </c>
      <c r="AB2864">
        <v>0</v>
      </c>
      <c r="AC2864">
        <v>0</v>
      </c>
      <c r="AD2864">
        <v>4258</v>
      </c>
      <c r="AE2864">
        <v>0</v>
      </c>
      <c r="AF2864">
        <v>0</v>
      </c>
      <c r="AG2864">
        <v>0</v>
      </c>
      <c r="AH2864">
        <v>0</v>
      </c>
      <c r="AI2864">
        <v>0</v>
      </c>
      <c r="AJ2864">
        <v>0</v>
      </c>
      <c r="AK2864">
        <v>0</v>
      </c>
      <c r="AL2864">
        <v>0</v>
      </c>
      <c r="AM2864">
        <v>0</v>
      </c>
      <c r="AN2864">
        <v>0</v>
      </c>
      <c r="AO2864">
        <v>0</v>
      </c>
      <c r="AP2864">
        <v>1</v>
      </c>
      <c r="AQ2864">
        <v>0</v>
      </c>
      <c r="AR2864">
        <v>0</v>
      </c>
      <c r="AS2864">
        <v>0</v>
      </c>
      <c r="AT2864">
        <v>0</v>
      </c>
      <c r="AU2864">
        <f t="shared" si="88"/>
        <v>1</v>
      </c>
      <c r="AV2864">
        <f t="shared" si="89"/>
        <v>0</v>
      </c>
    </row>
    <row r="2865" spans="1:48" x14ac:dyDescent="0.25">
      <c r="A2865" t="s">
        <v>9596</v>
      </c>
      <c r="C2865" t="s">
        <v>9597</v>
      </c>
      <c r="D2865" t="s">
        <v>9598</v>
      </c>
      <c r="E2865" t="s">
        <v>1663</v>
      </c>
      <c r="F2865">
        <v>5</v>
      </c>
      <c r="G2865">
        <v>5.5</v>
      </c>
      <c r="H2865" t="s">
        <v>2017</v>
      </c>
      <c r="I2865" s="21">
        <v>39898</v>
      </c>
      <c r="J2865">
        <v>2009</v>
      </c>
      <c r="K2865" s="21">
        <v>39929</v>
      </c>
      <c r="L2865">
        <v>2009</v>
      </c>
      <c r="M2865" s="21">
        <v>40082</v>
      </c>
      <c r="N2865">
        <v>2009</v>
      </c>
      <c r="Q2865" s="262">
        <v>100000</v>
      </c>
      <c r="S2865" t="s">
        <v>114</v>
      </c>
      <c r="T2865" t="s">
        <v>114</v>
      </c>
      <c r="W2865">
        <v>280</v>
      </c>
      <c r="X2865">
        <v>0</v>
      </c>
      <c r="Y2865">
        <v>0</v>
      </c>
      <c r="Z2865">
        <v>0</v>
      </c>
      <c r="AA2865">
        <v>0</v>
      </c>
      <c r="AB2865">
        <v>0</v>
      </c>
      <c r="AC2865">
        <v>280</v>
      </c>
      <c r="AD2865">
        <v>0</v>
      </c>
      <c r="AE2865">
        <v>0</v>
      </c>
      <c r="AF2865">
        <v>0</v>
      </c>
      <c r="AG2865">
        <v>0</v>
      </c>
      <c r="AH2865">
        <v>0</v>
      </c>
      <c r="AI2865">
        <v>0</v>
      </c>
      <c r="AJ2865">
        <v>0</v>
      </c>
      <c r="AK2865">
        <v>0</v>
      </c>
      <c r="AL2865">
        <v>0</v>
      </c>
      <c r="AM2865">
        <v>0</v>
      </c>
      <c r="AN2865">
        <v>0</v>
      </c>
      <c r="AO2865">
        <v>0</v>
      </c>
      <c r="AP2865">
        <v>0</v>
      </c>
      <c r="AQ2865">
        <v>0</v>
      </c>
      <c r="AR2865">
        <v>0</v>
      </c>
      <c r="AS2865">
        <v>0</v>
      </c>
      <c r="AT2865">
        <v>0</v>
      </c>
      <c r="AU2865">
        <f t="shared" si="88"/>
        <v>0</v>
      </c>
      <c r="AV2865">
        <f t="shared" si="89"/>
        <v>0</v>
      </c>
    </row>
    <row r="2866" spans="1:48" x14ac:dyDescent="0.25">
      <c r="A2866" t="s">
        <v>9599</v>
      </c>
      <c r="C2866" t="s">
        <v>9600</v>
      </c>
      <c r="D2866" t="s">
        <v>9601</v>
      </c>
      <c r="E2866" t="s">
        <v>2310</v>
      </c>
      <c r="F2866">
        <v>11</v>
      </c>
      <c r="G2866">
        <v>11.2</v>
      </c>
      <c r="H2866" t="s">
        <v>2017</v>
      </c>
      <c r="I2866" s="21">
        <v>39902</v>
      </c>
      <c r="J2866">
        <v>2009</v>
      </c>
      <c r="K2866" s="21">
        <v>39938</v>
      </c>
      <c r="L2866">
        <v>2009</v>
      </c>
      <c r="M2866" s="21">
        <v>40095.395613425899</v>
      </c>
      <c r="N2866">
        <v>2009</v>
      </c>
      <c r="R2866" s="262">
        <v>132000</v>
      </c>
      <c r="S2866" t="s">
        <v>114</v>
      </c>
      <c r="T2866" t="s">
        <v>114</v>
      </c>
      <c r="U2866">
        <v>5</v>
      </c>
      <c r="W2866">
        <v>1457</v>
      </c>
      <c r="X2866">
        <v>1</v>
      </c>
      <c r="Y2866">
        <v>0</v>
      </c>
      <c r="Z2866">
        <v>0</v>
      </c>
      <c r="AA2866">
        <v>0</v>
      </c>
      <c r="AB2866">
        <v>0</v>
      </c>
      <c r="AC2866">
        <v>1457</v>
      </c>
      <c r="AD2866">
        <v>0</v>
      </c>
      <c r="AE2866">
        <v>0</v>
      </c>
      <c r="AF2866">
        <v>0</v>
      </c>
      <c r="AG2866">
        <v>0</v>
      </c>
      <c r="AH2866">
        <v>0</v>
      </c>
      <c r="AI2866">
        <v>0</v>
      </c>
      <c r="AJ2866">
        <v>0</v>
      </c>
      <c r="AK2866">
        <v>0</v>
      </c>
      <c r="AL2866">
        <v>0</v>
      </c>
      <c r="AM2866">
        <v>0</v>
      </c>
      <c r="AN2866">
        <v>0</v>
      </c>
      <c r="AO2866">
        <v>1</v>
      </c>
      <c r="AP2866">
        <v>0</v>
      </c>
      <c r="AQ2866">
        <v>0</v>
      </c>
      <c r="AR2866">
        <v>0</v>
      </c>
      <c r="AS2866">
        <v>0</v>
      </c>
      <c r="AT2866">
        <v>0</v>
      </c>
      <c r="AU2866">
        <f t="shared" si="88"/>
        <v>1</v>
      </c>
      <c r="AV2866">
        <f t="shared" si="89"/>
        <v>0</v>
      </c>
    </row>
    <row r="2867" spans="1:48" x14ac:dyDescent="0.25">
      <c r="A2867" t="s">
        <v>9602</v>
      </c>
      <c r="C2867" t="s">
        <v>9603</v>
      </c>
      <c r="D2867" t="s">
        <v>9604</v>
      </c>
      <c r="E2867" t="s">
        <v>2310</v>
      </c>
      <c r="F2867">
        <v>9</v>
      </c>
      <c r="G2867">
        <v>9.1</v>
      </c>
      <c r="H2867" t="s">
        <v>2323</v>
      </c>
      <c r="I2867" s="21">
        <v>39903</v>
      </c>
      <c r="J2867">
        <v>2009</v>
      </c>
      <c r="K2867" s="21">
        <v>39903</v>
      </c>
      <c r="L2867">
        <v>2009</v>
      </c>
      <c r="M2867" s="21">
        <v>40122.458877314799</v>
      </c>
      <c r="N2867">
        <v>2009</v>
      </c>
      <c r="R2867" s="262">
        <v>120000</v>
      </c>
      <c r="S2867" t="s">
        <v>114</v>
      </c>
      <c r="T2867" t="s">
        <v>114</v>
      </c>
      <c r="U2867">
        <v>8</v>
      </c>
      <c r="W2867">
        <v>142</v>
      </c>
      <c r="X2867">
        <v>1</v>
      </c>
      <c r="Y2867">
        <v>0</v>
      </c>
      <c r="Z2867">
        <v>0</v>
      </c>
      <c r="AA2867">
        <v>0</v>
      </c>
      <c r="AB2867">
        <v>0</v>
      </c>
      <c r="AC2867">
        <v>0</v>
      </c>
      <c r="AD2867">
        <v>0</v>
      </c>
      <c r="AE2867">
        <v>0</v>
      </c>
      <c r="AF2867">
        <v>142</v>
      </c>
      <c r="AG2867">
        <v>0</v>
      </c>
      <c r="AH2867">
        <v>0</v>
      </c>
      <c r="AI2867">
        <v>0</v>
      </c>
      <c r="AJ2867">
        <v>0</v>
      </c>
      <c r="AK2867">
        <v>0</v>
      </c>
      <c r="AL2867">
        <v>0</v>
      </c>
      <c r="AM2867">
        <v>0</v>
      </c>
      <c r="AN2867">
        <v>0</v>
      </c>
      <c r="AO2867">
        <v>0</v>
      </c>
      <c r="AP2867">
        <v>0</v>
      </c>
      <c r="AQ2867">
        <v>0</v>
      </c>
      <c r="AR2867">
        <v>1</v>
      </c>
      <c r="AS2867">
        <v>0</v>
      </c>
      <c r="AT2867">
        <v>0</v>
      </c>
      <c r="AU2867">
        <f t="shared" si="88"/>
        <v>0</v>
      </c>
      <c r="AV2867">
        <f t="shared" si="89"/>
        <v>0</v>
      </c>
    </row>
    <row r="2868" spans="1:48" x14ac:dyDescent="0.25">
      <c r="A2868" t="s">
        <v>9605</v>
      </c>
      <c r="C2868" t="s">
        <v>9606</v>
      </c>
      <c r="D2868" t="s">
        <v>9607</v>
      </c>
      <c r="E2868" t="s">
        <v>1663</v>
      </c>
      <c r="F2868">
        <v>6</v>
      </c>
      <c r="G2868">
        <v>6.1</v>
      </c>
      <c r="H2868" t="s">
        <v>2017</v>
      </c>
      <c r="I2868" s="21">
        <v>39905</v>
      </c>
      <c r="J2868">
        <v>2009</v>
      </c>
      <c r="K2868" s="21">
        <v>39935</v>
      </c>
      <c r="L2868">
        <v>2009</v>
      </c>
      <c r="M2868" s="21">
        <v>40088</v>
      </c>
      <c r="N2868">
        <v>2009</v>
      </c>
      <c r="Q2868" s="262">
        <v>0</v>
      </c>
      <c r="S2868" t="s">
        <v>114</v>
      </c>
      <c r="T2868" t="s">
        <v>114</v>
      </c>
      <c r="W2868">
        <v>0</v>
      </c>
      <c r="X2868">
        <v>0</v>
      </c>
      <c r="Y2868">
        <v>0</v>
      </c>
      <c r="Z2868">
        <v>0</v>
      </c>
      <c r="AA2868">
        <v>0</v>
      </c>
      <c r="AB2868">
        <v>0</v>
      </c>
      <c r="AC2868">
        <v>0</v>
      </c>
      <c r="AD2868">
        <v>0</v>
      </c>
      <c r="AE2868">
        <v>0</v>
      </c>
      <c r="AF2868">
        <v>0</v>
      </c>
      <c r="AG2868">
        <v>0</v>
      </c>
      <c r="AH2868">
        <v>0</v>
      </c>
      <c r="AI2868">
        <v>0</v>
      </c>
      <c r="AJ2868">
        <v>0</v>
      </c>
      <c r="AK2868">
        <v>0</v>
      </c>
      <c r="AL2868">
        <v>0</v>
      </c>
      <c r="AM2868">
        <v>0</v>
      </c>
      <c r="AN2868">
        <v>0</v>
      </c>
      <c r="AO2868">
        <v>0</v>
      </c>
      <c r="AP2868">
        <v>0</v>
      </c>
      <c r="AQ2868">
        <v>0</v>
      </c>
      <c r="AR2868">
        <v>0</v>
      </c>
      <c r="AS2868">
        <v>0</v>
      </c>
      <c r="AT2868">
        <v>0</v>
      </c>
      <c r="AU2868">
        <f t="shared" si="88"/>
        <v>0</v>
      </c>
      <c r="AV2868">
        <f t="shared" si="89"/>
        <v>0</v>
      </c>
    </row>
    <row r="2869" spans="1:48" x14ac:dyDescent="0.25">
      <c r="A2869" t="s">
        <v>9608</v>
      </c>
      <c r="C2869" t="s">
        <v>9609</v>
      </c>
      <c r="D2869" t="s">
        <v>9610</v>
      </c>
      <c r="E2869" t="s">
        <v>2310</v>
      </c>
      <c r="F2869">
        <v>15</v>
      </c>
      <c r="G2869">
        <v>15.3</v>
      </c>
      <c r="H2869" t="s">
        <v>2022</v>
      </c>
      <c r="I2869" s="21">
        <v>39905</v>
      </c>
      <c r="J2869">
        <v>2009</v>
      </c>
      <c r="K2869" s="21">
        <v>39951</v>
      </c>
      <c r="L2869">
        <v>2009</v>
      </c>
      <c r="M2869" s="21">
        <v>39951</v>
      </c>
      <c r="N2869">
        <v>2009</v>
      </c>
      <c r="R2869" s="262">
        <v>200000</v>
      </c>
      <c r="S2869" t="s">
        <v>114</v>
      </c>
      <c r="T2869" t="s">
        <v>114</v>
      </c>
      <c r="U2869">
        <v>5</v>
      </c>
      <c r="W2869">
        <v>785</v>
      </c>
      <c r="X2869">
        <v>0</v>
      </c>
      <c r="Y2869">
        <v>0</v>
      </c>
      <c r="Z2869">
        <v>0</v>
      </c>
      <c r="AA2869">
        <v>0</v>
      </c>
      <c r="AB2869">
        <v>0</v>
      </c>
      <c r="AC2869">
        <v>785</v>
      </c>
      <c r="AD2869">
        <v>0</v>
      </c>
      <c r="AE2869">
        <v>0</v>
      </c>
      <c r="AF2869">
        <v>0</v>
      </c>
      <c r="AG2869">
        <v>0</v>
      </c>
      <c r="AH2869">
        <v>0</v>
      </c>
      <c r="AI2869">
        <v>0</v>
      </c>
      <c r="AJ2869">
        <v>0</v>
      </c>
      <c r="AK2869">
        <v>0</v>
      </c>
      <c r="AL2869">
        <v>0</v>
      </c>
      <c r="AM2869">
        <v>0</v>
      </c>
      <c r="AN2869">
        <v>0</v>
      </c>
      <c r="AO2869">
        <v>0</v>
      </c>
      <c r="AP2869">
        <v>0</v>
      </c>
      <c r="AQ2869">
        <v>0</v>
      </c>
      <c r="AR2869">
        <v>0</v>
      </c>
      <c r="AS2869">
        <v>0</v>
      </c>
      <c r="AT2869">
        <v>0</v>
      </c>
      <c r="AU2869">
        <f t="shared" si="88"/>
        <v>0</v>
      </c>
      <c r="AV2869">
        <f t="shared" si="89"/>
        <v>0</v>
      </c>
    </row>
    <row r="2870" spans="1:48" x14ac:dyDescent="0.25">
      <c r="A2870" t="s">
        <v>9611</v>
      </c>
      <c r="C2870" t="s">
        <v>9612</v>
      </c>
      <c r="D2870" t="s">
        <v>9613</v>
      </c>
      <c r="E2870" t="s">
        <v>2310</v>
      </c>
      <c r="F2870">
        <v>14</v>
      </c>
      <c r="G2870">
        <v>14.2</v>
      </c>
      <c r="H2870" t="s">
        <v>2017</v>
      </c>
      <c r="I2870" s="21">
        <v>39906</v>
      </c>
      <c r="J2870">
        <v>2009</v>
      </c>
      <c r="K2870" s="21">
        <v>39966</v>
      </c>
      <c r="L2870">
        <v>2009</v>
      </c>
      <c r="M2870" s="21">
        <v>40150.354131944398</v>
      </c>
      <c r="N2870">
        <v>2009</v>
      </c>
      <c r="R2870" s="262">
        <v>812000</v>
      </c>
      <c r="S2870" t="s">
        <v>114</v>
      </c>
      <c r="T2870" t="s">
        <v>114</v>
      </c>
      <c r="U2870">
        <v>15</v>
      </c>
      <c r="W2870">
        <v>2630</v>
      </c>
      <c r="X2870">
        <v>0</v>
      </c>
      <c r="Y2870">
        <v>0</v>
      </c>
      <c r="Z2870">
        <v>0</v>
      </c>
      <c r="AA2870">
        <v>0</v>
      </c>
      <c r="AB2870">
        <v>0</v>
      </c>
      <c r="AC2870">
        <v>0</v>
      </c>
      <c r="AD2870">
        <v>0</v>
      </c>
      <c r="AE2870">
        <v>0</v>
      </c>
      <c r="AF2870">
        <v>0</v>
      </c>
      <c r="AG2870">
        <v>0</v>
      </c>
      <c r="AH2870">
        <v>0</v>
      </c>
      <c r="AI2870">
        <v>0</v>
      </c>
      <c r="AJ2870">
        <v>0</v>
      </c>
      <c r="AK2870">
        <v>0</v>
      </c>
      <c r="AL2870">
        <v>0</v>
      </c>
      <c r="AM2870">
        <v>2630</v>
      </c>
      <c r="AN2870">
        <v>0</v>
      </c>
      <c r="AO2870">
        <v>0</v>
      </c>
      <c r="AP2870">
        <v>0</v>
      </c>
      <c r="AQ2870">
        <v>0</v>
      </c>
      <c r="AR2870">
        <v>0</v>
      </c>
      <c r="AS2870">
        <v>0</v>
      </c>
      <c r="AT2870">
        <v>0</v>
      </c>
      <c r="AU2870">
        <f t="shared" si="88"/>
        <v>0</v>
      </c>
      <c r="AV2870">
        <f t="shared" si="89"/>
        <v>2630</v>
      </c>
    </row>
    <row r="2871" spans="1:48" x14ac:dyDescent="0.25">
      <c r="A2871" t="s">
        <v>9614</v>
      </c>
      <c r="C2871" t="s">
        <v>9615</v>
      </c>
      <c r="D2871" t="s">
        <v>8048</v>
      </c>
      <c r="E2871" t="s">
        <v>2310</v>
      </c>
      <c r="F2871">
        <v>8</v>
      </c>
      <c r="G2871">
        <v>8.3000000000000007</v>
      </c>
      <c r="H2871" t="s">
        <v>2323</v>
      </c>
      <c r="I2871" s="21">
        <v>39909</v>
      </c>
      <c r="J2871">
        <v>2009</v>
      </c>
      <c r="K2871" s="21">
        <v>39930</v>
      </c>
      <c r="L2871">
        <v>2009</v>
      </c>
      <c r="M2871" s="21">
        <v>40253.535763888904</v>
      </c>
      <c r="N2871">
        <v>2010</v>
      </c>
      <c r="R2871" s="262">
        <v>600000</v>
      </c>
      <c r="S2871" t="s">
        <v>114</v>
      </c>
      <c r="T2871" t="s">
        <v>114</v>
      </c>
      <c r="U2871">
        <v>5</v>
      </c>
      <c r="W2871">
        <v>5277</v>
      </c>
      <c r="X2871">
        <v>1</v>
      </c>
      <c r="Y2871">
        <v>0</v>
      </c>
      <c r="Z2871">
        <v>0</v>
      </c>
      <c r="AA2871">
        <v>0</v>
      </c>
      <c r="AB2871">
        <v>0</v>
      </c>
      <c r="AC2871">
        <v>5277</v>
      </c>
      <c r="AD2871">
        <v>0</v>
      </c>
      <c r="AE2871">
        <v>0</v>
      </c>
      <c r="AF2871">
        <v>0</v>
      </c>
      <c r="AG2871">
        <v>0</v>
      </c>
      <c r="AH2871">
        <v>0</v>
      </c>
      <c r="AI2871">
        <v>0</v>
      </c>
      <c r="AJ2871">
        <v>0</v>
      </c>
      <c r="AK2871">
        <v>0</v>
      </c>
      <c r="AL2871">
        <v>0</v>
      </c>
      <c r="AM2871">
        <v>0</v>
      </c>
      <c r="AN2871">
        <v>0</v>
      </c>
      <c r="AO2871">
        <v>1</v>
      </c>
      <c r="AP2871">
        <v>0</v>
      </c>
      <c r="AQ2871">
        <v>0</v>
      </c>
      <c r="AR2871">
        <v>0</v>
      </c>
      <c r="AS2871">
        <v>0</v>
      </c>
      <c r="AT2871">
        <v>0</v>
      </c>
      <c r="AU2871">
        <f t="shared" si="88"/>
        <v>1</v>
      </c>
      <c r="AV2871">
        <f t="shared" si="89"/>
        <v>0</v>
      </c>
    </row>
    <row r="2872" spans="1:48" x14ac:dyDescent="0.25">
      <c r="A2872" t="s">
        <v>9616</v>
      </c>
      <c r="C2872" t="s">
        <v>9617</v>
      </c>
      <c r="D2872" t="s">
        <v>2639</v>
      </c>
      <c r="E2872" t="s">
        <v>2310</v>
      </c>
      <c r="F2872">
        <v>8</v>
      </c>
      <c r="G2872">
        <v>8.1999999999999993</v>
      </c>
      <c r="H2872" t="s">
        <v>2022</v>
      </c>
      <c r="I2872" s="21">
        <v>39912</v>
      </c>
      <c r="J2872">
        <v>2009</v>
      </c>
      <c r="K2872" s="21">
        <v>39924</v>
      </c>
      <c r="L2872">
        <v>2009</v>
      </c>
      <c r="M2872" s="21">
        <v>40141.576307870397</v>
      </c>
      <c r="N2872">
        <v>2009</v>
      </c>
      <c r="R2872" s="262">
        <v>30000</v>
      </c>
      <c r="S2872" t="s">
        <v>114</v>
      </c>
      <c r="T2872" t="s">
        <v>114</v>
      </c>
      <c r="U2872">
        <v>5</v>
      </c>
      <c r="W2872">
        <v>372</v>
      </c>
      <c r="X2872">
        <v>0</v>
      </c>
      <c r="Y2872">
        <v>0</v>
      </c>
      <c r="Z2872">
        <v>0</v>
      </c>
      <c r="AA2872">
        <v>0</v>
      </c>
      <c r="AB2872">
        <v>0</v>
      </c>
      <c r="AC2872">
        <v>372</v>
      </c>
      <c r="AD2872">
        <v>0</v>
      </c>
      <c r="AE2872">
        <v>0</v>
      </c>
      <c r="AF2872">
        <v>0</v>
      </c>
      <c r="AG2872">
        <v>0</v>
      </c>
      <c r="AH2872">
        <v>0</v>
      </c>
      <c r="AI2872">
        <v>0</v>
      </c>
      <c r="AJ2872">
        <v>0</v>
      </c>
      <c r="AK2872">
        <v>0</v>
      </c>
      <c r="AL2872">
        <v>0</v>
      </c>
      <c r="AM2872">
        <v>0</v>
      </c>
      <c r="AN2872">
        <v>0</v>
      </c>
      <c r="AO2872">
        <v>0</v>
      </c>
      <c r="AP2872">
        <v>0</v>
      </c>
      <c r="AQ2872">
        <v>0</v>
      </c>
      <c r="AR2872">
        <v>0</v>
      </c>
      <c r="AS2872">
        <v>0</v>
      </c>
      <c r="AT2872">
        <v>0</v>
      </c>
      <c r="AU2872">
        <f t="shared" si="88"/>
        <v>0</v>
      </c>
      <c r="AV2872">
        <f t="shared" si="89"/>
        <v>0</v>
      </c>
    </row>
    <row r="2873" spans="1:48" x14ac:dyDescent="0.25">
      <c r="A2873" t="s">
        <v>9618</v>
      </c>
      <c r="C2873" t="s">
        <v>9619</v>
      </c>
      <c r="D2873" t="s">
        <v>2861</v>
      </c>
      <c r="E2873" t="s">
        <v>2310</v>
      </c>
      <c r="F2873">
        <v>9</v>
      </c>
      <c r="G2873">
        <v>9.1999999999999993</v>
      </c>
      <c r="H2873" t="s">
        <v>2022</v>
      </c>
      <c r="I2873" s="21">
        <v>39912</v>
      </c>
      <c r="J2873">
        <v>2009</v>
      </c>
      <c r="K2873" s="21">
        <v>39945</v>
      </c>
      <c r="L2873">
        <v>2009</v>
      </c>
      <c r="M2873" s="21">
        <v>40098.369780092602</v>
      </c>
      <c r="N2873">
        <v>2009</v>
      </c>
      <c r="R2873" s="262">
        <v>184000</v>
      </c>
      <c r="S2873" t="s">
        <v>114</v>
      </c>
      <c r="T2873" t="s">
        <v>114</v>
      </c>
      <c r="U2873">
        <v>5</v>
      </c>
      <c r="W2873">
        <v>525</v>
      </c>
      <c r="X2873">
        <v>0</v>
      </c>
      <c r="Y2873">
        <v>0</v>
      </c>
      <c r="Z2873">
        <v>0</v>
      </c>
      <c r="AA2873">
        <v>0</v>
      </c>
      <c r="AB2873">
        <v>0</v>
      </c>
      <c r="AC2873">
        <v>525</v>
      </c>
      <c r="AD2873">
        <v>0</v>
      </c>
      <c r="AE2873">
        <v>0</v>
      </c>
      <c r="AF2873">
        <v>0</v>
      </c>
      <c r="AG2873">
        <v>0</v>
      </c>
      <c r="AH2873">
        <v>0</v>
      </c>
      <c r="AI2873">
        <v>0</v>
      </c>
      <c r="AJ2873">
        <v>0</v>
      </c>
      <c r="AK2873">
        <v>0</v>
      </c>
      <c r="AL2873">
        <v>0</v>
      </c>
      <c r="AM2873">
        <v>0</v>
      </c>
      <c r="AN2873">
        <v>0</v>
      </c>
      <c r="AO2873">
        <v>0</v>
      </c>
      <c r="AP2873">
        <v>0</v>
      </c>
      <c r="AQ2873">
        <v>0</v>
      </c>
      <c r="AR2873">
        <v>0</v>
      </c>
      <c r="AS2873">
        <v>0</v>
      </c>
      <c r="AT2873">
        <v>0</v>
      </c>
      <c r="AU2873">
        <f t="shared" si="88"/>
        <v>0</v>
      </c>
      <c r="AV2873">
        <f t="shared" si="89"/>
        <v>0</v>
      </c>
    </row>
    <row r="2874" spans="1:48" x14ac:dyDescent="0.25">
      <c r="A2874" t="s">
        <v>9620</v>
      </c>
      <c r="C2874" t="s">
        <v>9621</v>
      </c>
      <c r="D2874" t="s">
        <v>9622</v>
      </c>
      <c r="E2874" t="s">
        <v>2310</v>
      </c>
      <c r="F2874">
        <v>9</v>
      </c>
      <c r="G2874">
        <v>9.4</v>
      </c>
      <c r="H2874" t="s">
        <v>2323</v>
      </c>
      <c r="I2874" s="21">
        <v>39912</v>
      </c>
      <c r="J2874">
        <v>2009</v>
      </c>
      <c r="K2874" s="21">
        <v>39912</v>
      </c>
      <c r="L2874">
        <v>2009</v>
      </c>
      <c r="M2874" s="21">
        <v>41919.564189814802</v>
      </c>
      <c r="N2874">
        <v>2014</v>
      </c>
      <c r="R2874" s="262">
        <v>838000</v>
      </c>
      <c r="S2874" t="s">
        <v>114</v>
      </c>
      <c r="T2874" t="s">
        <v>114</v>
      </c>
      <c r="U2874">
        <v>5</v>
      </c>
      <c r="W2874">
        <v>8850</v>
      </c>
      <c r="X2874">
        <v>1</v>
      </c>
      <c r="Y2874">
        <v>0</v>
      </c>
      <c r="Z2874">
        <v>0</v>
      </c>
      <c r="AA2874">
        <v>0</v>
      </c>
      <c r="AB2874">
        <v>0</v>
      </c>
      <c r="AC2874">
        <v>8850</v>
      </c>
      <c r="AD2874">
        <v>0</v>
      </c>
      <c r="AE2874">
        <v>0</v>
      </c>
      <c r="AF2874">
        <v>0</v>
      </c>
      <c r="AG2874">
        <v>0</v>
      </c>
      <c r="AH2874">
        <v>0</v>
      </c>
      <c r="AI2874">
        <v>0</v>
      </c>
      <c r="AJ2874">
        <v>0</v>
      </c>
      <c r="AK2874">
        <v>0</v>
      </c>
      <c r="AL2874">
        <v>0</v>
      </c>
      <c r="AM2874">
        <v>0</v>
      </c>
      <c r="AN2874">
        <v>0</v>
      </c>
      <c r="AO2874">
        <v>1</v>
      </c>
      <c r="AP2874">
        <v>0</v>
      </c>
      <c r="AQ2874">
        <v>0</v>
      </c>
      <c r="AR2874">
        <v>0</v>
      </c>
      <c r="AS2874">
        <v>0</v>
      </c>
      <c r="AT2874">
        <v>0</v>
      </c>
      <c r="AU2874">
        <f t="shared" si="88"/>
        <v>1</v>
      </c>
      <c r="AV2874">
        <f t="shared" si="89"/>
        <v>0</v>
      </c>
    </row>
    <row r="2875" spans="1:48" x14ac:dyDescent="0.25">
      <c r="A2875" t="s">
        <v>9623</v>
      </c>
      <c r="C2875" t="s">
        <v>9624</v>
      </c>
      <c r="D2875" t="s">
        <v>9625</v>
      </c>
      <c r="E2875" t="s">
        <v>2310</v>
      </c>
      <c r="F2875">
        <v>9</v>
      </c>
      <c r="G2875">
        <v>9.1</v>
      </c>
      <c r="H2875" t="s">
        <v>2323</v>
      </c>
      <c r="I2875" s="21">
        <v>39917</v>
      </c>
      <c r="J2875">
        <v>2009</v>
      </c>
      <c r="K2875" s="21">
        <v>39917</v>
      </c>
      <c r="L2875">
        <v>2009</v>
      </c>
      <c r="M2875" s="21">
        <v>40148.649398148104</v>
      </c>
      <c r="N2875">
        <v>2009</v>
      </c>
      <c r="Q2875" s="262">
        <v>1</v>
      </c>
      <c r="R2875" s="262">
        <v>10000</v>
      </c>
      <c r="S2875" t="s">
        <v>114</v>
      </c>
      <c r="T2875" t="s">
        <v>114</v>
      </c>
      <c r="U2875">
        <v>8</v>
      </c>
      <c r="W2875">
        <v>0</v>
      </c>
      <c r="X2875">
        <v>1</v>
      </c>
      <c r="Y2875">
        <v>0</v>
      </c>
      <c r="Z2875">
        <v>0</v>
      </c>
      <c r="AA2875">
        <v>0</v>
      </c>
      <c r="AB2875">
        <v>0</v>
      </c>
      <c r="AC2875">
        <v>-800</v>
      </c>
      <c r="AD2875">
        <v>0</v>
      </c>
      <c r="AE2875">
        <v>0</v>
      </c>
      <c r="AF2875">
        <v>800</v>
      </c>
      <c r="AG2875">
        <v>0</v>
      </c>
      <c r="AH2875">
        <v>0</v>
      </c>
      <c r="AI2875">
        <v>0</v>
      </c>
      <c r="AJ2875">
        <v>0</v>
      </c>
      <c r="AK2875">
        <v>0</v>
      </c>
      <c r="AL2875">
        <v>0</v>
      </c>
      <c r="AM2875">
        <v>0</v>
      </c>
      <c r="AN2875">
        <v>0</v>
      </c>
      <c r="AO2875">
        <v>0</v>
      </c>
      <c r="AP2875">
        <v>0</v>
      </c>
      <c r="AQ2875">
        <v>0</v>
      </c>
      <c r="AR2875">
        <v>1</v>
      </c>
      <c r="AS2875">
        <v>0</v>
      </c>
      <c r="AT2875">
        <v>0</v>
      </c>
      <c r="AU2875">
        <f t="shared" si="88"/>
        <v>0</v>
      </c>
      <c r="AV2875">
        <f t="shared" si="89"/>
        <v>0</v>
      </c>
    </row>
    <row r="2876" spans="1:48" x14ac:dyDescent="0.25">
      <c r="A2876" t="s">
        <v>9628</v>
      </c>
      <c r="C2876" t="s">
        <v>9629</v>
      </c>
      <c r="D2876" t="s">
        <v>3294</v>
      </c>
      <c r="E2876" t="s">
        <v>2310</v>
      </c>
      <c r="F2876">
        <v>9</v>
      </c>
      <c r="G2876">
        <v>9.4</v>
      </c>
      <c r="H2876" t="s">
        <v>2323</v>
      </c>
      <c r="I2876" s="21">
        <v>39920</v>
      </c>
      <c r="J2876">
        <v>2009</v>
      </c>
      <c r="K2876" s="21">
        <v>39952</v>
      </c>
      <c r="L2876">
        <v>2009</v>
      </c>
      <c r="M2876" s="21">
        <v>40905.481828703698</v>
      </c>
      <c r="N2876">
        <v>2011</v>
      </c>
      <c r="R2876" s="262">
        <v>150000</v>
      </c>
      <c r="S2876" t="s">
        <v>114</v>
      </c>
      <c r="T2876" t="s">
        <v>114</v>
      </c>
      <c r="U2876">
        <v>5</v>
      </c>
      <c r="W2876">
        <v>50</v>
      </c>
      <c r="X2876">
        <v>0</v>
      </c>
      <c r="Y2876">
        <v>0</v>
      </c>
      <c r="Z2876">
        <v>0</v>
      </c>
      <c r="AA2876">
        <v>0</v>
      </c>
      <c r="AB2876">
        <v>0</v>
      </c>
      <c r="AC2876">
        <v>50</v>
      </c>
      <c r="AD2876">
        <v>0</v>
      </c>
      <c r="AE2876">
        <v>0</v>
      </c>
      <c r="AF2876">
        <v>0</v>
      </c>
      <c r="AG2876">
        <v>0</v>
      </c>
      <c r="AH2876">
        <v>0</v>
      </c>
      <c r="AI2876">
        <v>0</v>
      </c>
      <c r="AJ2876">
        <v>0</v>
      </c>
      <c r="AK2876">
        <v>0</v>
      </c>
      <c r="AL2876">
        <v>0</v>
      </c>
      <c r="AM2876">
        <v>0</v>
      </c>
      <c r="AN2876">
        <v>0</v>
      </c>
      <c r="AO2876">
        <v>0</v>
      </c>
      <c r="AP2876">
        <v>0</v>
      </c>
      <c r="AQ2876">
        <v>0</v>
      </c>
      <c r="AR2876">
        <v>0</v>
      </c>
      <c r="AS2876">
        <v>0</v>
      </c>
      <c r="AT2876">
        <v>0</v>
      </c>
      <c r="AU2876">
        <f t="shared" si="88"/>
        <v>0</v>
      </c>
      <c r="AV2876">
        <f t="shared" si="89"/>
        <v>0</v>
      </c>
    </row>
    <row r="2877" spans="1:48" x14ac:dyDescent="0.25">
      <c r="A2877" t="s">
        <v>9626</v>
      </c>
      <c r="C2877" t="s">
        <v>9627</v>
      </c>
      <c r="D2877" t="s">
        <v>9202</v>
      </c>
      <c r="E2877" t="s">
        <v>1663</v>
      </c>
      <c r="F2877">
        <v>4</v>
      </c>
      <c r="G2877">
        <v>4.0999999999999996</v>
      </c>
      <c r="H2877" t="s">
        <v>2327</v>
      </c>
      <c r="I2877" s="21">
        <v>39920</v>
      </c>
      <c r="J2877">
        <v>2009</v>
      </c>
      <c r="K2877" s="21">
        <v>39950</v>
      </c>
      <c r="L2877">
        <v>2009</v>
      </c>
      <c r="M2877" s="21">
        <v>40103</v>
      </c>
      <c r="N2877">
        <v>2009</v>
      </c>
      <c r="Q2877" s="262">
        <v>0</v>
      </c>
      <c r="S2877" t="s">
        <v>114</v>
      </c>
      <c r="T2877" t="s">
        <v>114</v>
      </c>
      <c r="W2877">
        <v>15453</v>
      </c>
      <c r="X2877">
        <v>0</v>
      </c>
      <c r="Y2877">
        <v>0</v>
      </c>
      <c r="Z2877">
        <v>0</v>
      </c>
      <c r="AA2877">
        <v>0</v>
      </c>
      <c r="AB2877">
        <v>0</v>
      </c>
      <c r="AC2877">
        <v>0</v>
      </c>
      <c r="AD2877">
        <v>0</v>
      </c>
      <c r="AE2877">
        <v>0</v>
      </c>
      <c r="AF2877">
        <v>0</v>
      </c>
      <c r="AG2877">
        <v>0</v>
      </c>
      <c r="AH2877">
        <v>0</v>
      </c>
      <c r="AI2877">
        <v>0</v>
      </c>
      <c r="AJ2877">
        <v>15453</v>
      </c>
      <c r="AK2877">
        <v>0</v>
      </c>
      <c r="AL2877">
        <v>0</v>
      </c>
      <c r="AM2877">
        <v>0</v>
      </c>
      <c r="AN2877">
        <v>0</v>
      </c>
      <c r="AO2877">
        <v>0</v>
      </c>
      <c r="AP2877">
        <v>0</v>
      </c>
      <c r="AQ2877">
        <v>0</v>
      </c>
      <c r="AR2877">
        <v>0</v>
      </c>
      <c r="AS2877">
        <v>0</v>
      </c>
      <c r="AT2877">
        <v>0</v>
      </c>
      <c r="AU2877">
        <f t="shared" si="88"/>
        <v>0</v>
      </c>
      <c r="AV2877">
        <f t="shared" si="89"/>
        <v>15453</v>
      </c>
    </row>
    <row r="2878" spans="1:48" x14ac:dyDescent="0.25">
      <c r="A2878" t="s">
        <v>9634</v>
      </c>
      <c r="C2878" t="s">
        <v>9635</v>
      </c>
      <c r="D2878" t="s">
        <v>9636</v>
      </c>
      <c r="E2878" t="s">
        <v>2310</v>
      </c>
      <c r="F2878">
        <v>14</v>
      </c>
      <c r="G2878">
        <v>14.1</v>
      </c>
      <c r="H2878" t="s">
        <v>2022</v>
      </c>
      <c r="I2878" s="21">
        <v>39923</v>
      </c>
      <c r="J2878">
        <v>2009</v>
      </c>
      <c r="K2878" s="21">
        <v>39966</v>
      </c>
      <c r="L2878">
        <v>2009</v>
      </c>
      <c r="M2878" s="21">
        <v>40267.656006944402</v>
      </c>
      <c r="N2878">
        <v>2010</v>
      </c>
      <c r="R2878" s="262">
        <v>350000</v>
      </c>
      <c r="S2878" t="s">
        <v>114</v>
      </c>
      <c r="T2878" t="s">
        <v>114</v>
      </c>
      <c r="U2878">
        <v>5</v>
      </c>
      <c r="W2878">
        <v>2273</v>
      </c>
      <c r="X2878">
        <v>0</v>
      </c>
      <c r="Y2878">
        <v>0</v>
      </c>
      <c r="Z2878">
        <v>0</v>
      </c>
      <c r="AA2878">
        <v>0</v>
      </c>
      <c r="AB2878">
        <v>0</v>
      </c>
      <c r="AC2878">
        <v>2273</v>
      </c>
      <c r="AD2878">
        <v>0</v>
      </c>
      <c r="AE2878">
        <v>0</v>
      </c>
      <c r="AF2878">
        <v>0</v>
      </c>
      <c r="AG2878">
        <v>0</v>
      </c>
      <c r="AH2878">
        <v>0</v>
      </c>
      <c r="AI2878">
        <v>0</v>
      </c>
      <c r="AJ2878">
        <v>0</v>
      </c>
      <c r="AK2878">
        <v>0</v>
      </c>
      <c r="AL2878">
        <v>0</v>
      </c>
      <c r="AM2878">
        <v>0</v>
      </c>
      <c r="AN2878">
        <v>0</v>
      </c>
      <c r="AO2878">
        <v>0</v>
      </c>
      <c r="AP2878">
        <v>0</v>
      </c>
      <c r="AQ2878">
        <v>0</v>
      </c>
      <c r="AR2878">
        <v>0</v>
      </c>
      <c r="AS2878">
        <v>0</v>
      </c>
      <c r="AT2878">
        <v>0</v>
      </c>
      <c r="AU2878">
        <f t="shared" si="88"/>
        <v>0</v>
      </c>
      <c r="AV2878">
        <f t="shared" si="89"/>
        <v>0</v>
      </c>
    </row>
    <row r="2879" spans="1:48" x14ac:dyDescent="0.25">
      <c r="A2879" t="s">
        <v>9630</v>
      </c>
      <c r="C2879" t="s">
        <v>5718</v>
      </c>
      <c r="D2879" t="s">
        <v>9631</v>
      </c>
      <c r="E2879" t="s">
        <v>1663</v>
      </c>
      <c r="F2879">
        <v>3</v>
      </c>
      <c r="G2879">
        <v>3.1</v>
      </c>
      <c r="H2879" t="s">
        <v>2017</v>
      </c>
      <c r="I2879" s="21">
        <v>39923</v>
      </c>
      <c r="J2879">
        <v>2009</v>
      </c>
      <c r="K2879" s="21">
        <v>39953</v>
      </c>
      <c r="L2879">
        <v>2009</v>
      </c>
      <c r="M2879" s="21">
        <v>40106</v>
      </c>
      <c r="N2879">
        <v>2009</v>
      </c>
      <c r="Q2879" s="262">
        <v>100000</v>
      </c>
      <c r="S2879" t="s">
        <v>114</v>
      </c>
      <c r="T2879" t="s">
        <v>114</v>
      </c>
      <c r="W2879">
        <v>420</v>
      </c>
      <c r="X2879">
        <v>0</v>
      </c>
      <c r="Y2879">
        <v>0</v>
      </c>
      <c r="Z2879">
        <v>0</v>
      </c>
      <c r="AA2879">
        <v>0</v>
      </c>
      <c r="AB2879">
        <v>0</v>
      </c>
      <c r="AC2879">
        <v>420</v>
      </c>
      <c r="AD2879">
        <v>0</v>
      </c>
      <c r="AE2879">
        <v>0</v>
      </c>
      <c r="AF2879">
        <v>0</v>
      </c>
      <c r="AG2879">
        <v>0</v>
      </c>
      <c r="AH2879">
        <v>0</v>
      </c>
      <c r="AI2879">
        <v>0</v>
      </c>
      <c r="AJ2879">
        <v>0</v>
      </c>
      <c r="AK2879">
        <v>0</v>
      </c>
      <c r="AL2879">
        <v>0</v>
      </c>
      <c r="AM2879">
        <v>0</v>
      </c>
      <c r="AN2879">
        <v>0</v>
      </c>
      <c r="AO2879">
        <v>0</v>
      </c>
      <c r="AP2879">
        <v>0</v>
      </c>
      <c r="AQ2879">
        <v>0</v>
      </c>
      <c r="AR2879">
        <v>0</v>
      </c>
      <c r="AS2879">
        <v>0</v>
      </c>
      <c r="AT2879">
        <v>0</v>
      </c>
      <c r="AU2879">
        <f t="shared" si="88"/>
        <v>0</v>
      </c>
      <c r="AV2879">
        <f t="shared" si="89"/>
        <v>0</v>
      </c>
    </row>
    <row r="2880" spans="1:48" x14ac:dyDescent="0.25">
      <c r="A2880" t="s">
        <v>9632</v>
      </c>
      <c r="C2880" t="s">
        <v>9633</v>
      </c>
      <c r="D2880" t="s">
        <v>9161</v>
      </c>
      <c r="E2880" t="s">
        <v>1663</v>
      </c>
      <c r="F2880">
        <v>1</v>
      </c>
      <c r="G2880">
        <v>1.2</v>
      </c>
      <c r="H2880" t="s">
        <v>2017</v>
      </c>
      <c r="I2880" s="21">
        <v>39923</v>
      </c>
      <c r="J2880">
        <v>2009</v>
      </c>
      <c r="K2880" s="21">
        <v>39953</v>
      </c>
      <c r="L2880">
        <v>2009</v>
      </c>
      <c r="M2880" s="21">
        <v>40106</v>
      </c>
      <c r="N2880">
        <v>2009</v>
      </c>
      <c r="Q2880" s="262">
        <v>300000</v>
      </c>
      <c r="S2880" t="s">
        <v>114</v>
      </c>
      <c r="T2880" t="s">
        <v>114</v>
      </c>
      <c r="W2880">
        <v>4823</v>
      </c>
      <c r="X2880">
        <v>0</v>
      </c>
      <c r="Y2880">
        <v>0</v>
      </c>
      <c r="Z2880">
        <v>0</v>
      </c>
      <c r="AA2880">
        <v>0</v>
      </c>
      <c r="AB2880">
        <v>0</v>
      </c>
      <c r="AC2880">
        <v>0</v>
      </c>
      <c r="AD2880">
        <v>0</v>
      </c>
      <c r="AE2880">
        <v>0</v>
      </c>
      <c r="AF2880">
        <v>0</v>
      </c>
      <c r="AG2880">
        <v>0</v>
      </c>
      <c r="AH2880">
        <v>0</v>
      </c>
      <c r="AI2880">
        <v>0</v>
      </c>
      <c r="AJ2880">
        <v>0</v>
      </c>
      <c r="AK2880">
        <v>4823</v>
      </c>
      <c r="AL2880">
        <v>0</v>
      </c>
      <c r="AM2880">
        <v>0</v>
      </c>
      <c r="AN2880">
        <v>0</v>
      </c>
      <c r="AO2880">
        <v>0</v>
      </c>
      <c r="AP2880">
        <v>0</v>
      </c>
      <c r="AQ2880">
        <v>0</v>
      </c>
      <c r="AR2880">
        <v>0</v>
      </c>
      <c r="AS2880">
        <v>0</v>
      </c>
      <c r="AT2880">
        <v>0</v>
      </c>
      <c r="AU2880">
        <f t="shared" si="88"/>
        <v>0</v>
      </c>
      <c r="AV2880">
        <f t="shared" si="89"/>
        <v>4823</v>
      </c>
    </row>
    <row r="2881" spans="1:48" x14ac:dyDescent="0.25">
      <c r="A2881" t="s">
        <v>9637</v>
      </c>
      <c r="C2881" t="s">
        <v>9638</v>
      </c>
      <c r="D2881" t="s">
        <v>9639</v>
      </c>
      <c r="E2881" t="s">
        <v>2310</v>
      </c>
      <c r="F2881">
        <v>8</v>
      </c>
      <c r="G2881">
        <v>8.1999999999999993</v>
      </c>
      <c r="H2881" t="s">
        <v>2022</v>
      </c>
      <c r="I2881" s="21">
        <v>39924</v>
      </c>
      <c r="J2881">
        <v>2009</v>
      </c>
      <c r="K2881" s="21">
        <v>39951</v>
      </c>
      <c r="L2881">
        <v>2009</v>
      </c>
      <c r="M2881" s="21">
        <v>40025.560856481497</v>
      </c>
      <c r="N2881">
        <v>2009</v>
      </c>
      <c r="R2881" s="262">
        <v>130000</v>
      </c>
      <c r="S2881" t="s">
        <v>114</v>
      </c>
      <c r="T2881" t="s">
        <v>114</v>
      </c>
      <c r="U2881">
        <v>5</v>
      </c>
      <c r="W2881">
        <v>426</v>
      </c>
      <c r="X2881">
        <v>0</v>
      </c>
      <c r="Y2881">
        <v>0</v>
      </c>
      <c r="Z2881">
        <v>0</v>
      </c>
      <c r="AA2881">
        <v>0</v>
      </c>
      <c r="AB2881">
        <v>0</v>
      </c>
      <c r="AC2881">
        <v>426</v>
      </c>
      <c r="AD2881">
        <v>0</v>
      </c>
      <c r="AE2881">
        <v>0</v>
      </c>
      <c r="AF2881">
        <v>0</v>
      </c>
      <c r="AG2881">
        <v>0</v>
      </c>
      <c r="AH2881">
        <v>0</v>
      </c>
      <c r="AI2881">
        <v>0</v>
      </c>
      <c r="AJ2881">
        <v>0</v>
      </c>
      <c r="AK2881">
        <v>0</v>
      </c>
      <c r="AL2881">
        <v>0</v>
      </c>
      <c r="AM2881">
        <v>0</v>
      </c>
      <c r="AN2881">
        <v>0</v>
      </c>
      <c r="AO2881">
        <v>0</v>
      </c>
      <c r="AP2881">
        <v>0</v>
      </c>
      <c r="AQ2881">
        <v>0</v>
      </c>
      <c r="AR2881">
        <v>0</v>
      </c>
      <c r="AS2881">
        <v>0</v>
      </c>
      <c r="AT2881">
        <v>0</v>
      </c>
      <c r="AU2881">
        <f t="shared" si="88"/>
        <v>0</v>
      </c>
      <c r="AV2881">
        <f t="shared" si="89"/>
        <v>0</v>
      </c>
    </row>
    <row r="2882" spans="1:48" x14ac:dyDescent="0.25">
      <c r="A2882" t="s">
        <v>9640</v>
      </c>
      <c r="C2882" t="s">
        <v>9641</v>
      </c>
      <c r="D2882" t="s">
        <v>9642</v>
      </c>
      <c r="E2882" t="s">
        <v>1663</v>
      </c>
      <c r="F2882">
        <v>2</v>
      </c>
      <c r="G2882">
        <v>2.1</v>
      </c>
      <c r="H2882" t="s">
        <v>2327</v>
      </c>
      <c r="I2882" s="21">
        <v>39926</v>
      </c>
      <c r="J2882">
        <v>2009</v>
      </c>
      <c r="K2882" s="21">
        <v>39956</v>
      </c>
      <c r="L2882">
        <v>2009</v>
      </c>
      <c r="M2882" s="21">
        <v>40109</v>
      </c>
      <c r="N2882">
        <v>2009</v>
      </c>
      <c r="Q2882" s="262">
        <v>0</v>
      </c>
      <c r="S2882" t="s">
        <v>114</v>
      </c>
      <c r="T2882" t="s">
        <v>114</v>
      </c>
      <c r="W2882">
        <v>200</v>
      </c>
      <c r="X2882">
        <v>0</v>
      </c>
      <c r="Y2882">
        <v>0</v>
      </c>
      <c r="Z2882">
        <v>0</v>
      </c>
      <c r="AA2882">
        <v>0</v>
      </c>
      <c r="AB2882">
        <v>0</v>
      </c>
      <c r="AC2882">
        <v>0</v>
      </c>
      <c r="AD2882">
        <v>0</v>
      </c>
      <c r="AE2882">
        <v>0</v>
      </c>
      <c r="AF2882">
        <v>0</v>
      </c>
      <c r="AG2882">
        <v>0</v>
      </c>
      <c r="AH2882">
        <v>0</v>
      </c>
      <c r="AI2882">
        <v>0</v>
      </c>
      <c r="AJ2882">
        <v>0</v>
      </c>
      <c r="AK2882">
        <v>0</v>
      </c>
      <c r="AL2882">
        <v>0</v>
      </c>
      <c r="AM2882">
        <v>200</v>
      </c>
      <c r="AN2882">
        <v>0</v>
      </c>
      <c r="AO2882">
        <v>0</v>
      </c>
      <c r="AP2882">
        <v>0</v>
      </c>
      <c r="AQ2882">
        <v>0</v>
      </c>
      <c r="AR2882">
        <v>0</v>
      </c>
      <c r="AS2882">
        <v>0</v>
      </c>
      <c r="AT2882">
        <v>0</v>
      </c>
      <c r="AU2882">
        <f t="shared" si="88"/>
        <v>0</v>
      </c>
      <c r="AV2882">
        <f t="shared" si="89"/>
        <v>200</v>
      </c>
    </row>
    <row r="2883" spans="1:48" x14ac:dyDescent="0.25">
      <c r="A2883" t="s">
        <v>9643</v>
      </c>
      <c r="C2883" t="s">
        <v>9644</v>
      </c>
      <c r="D2883" t="s">
        <v>9645</v>
      </c>
      <c r="E2883" t="s">
        <v>2310</v>
      </c>
      <c r="F2883">
        <v>9</v>
      </c>
      <c r="G2883">
        <v>9.1</v>
      </c>
      <c r="H2883" t="s">
        <v>2323</v>
      </c>
      <c r="I2883" s="21">
        <v>39930</v>
      </c>
      <c r="J2883">
        <v>2009</v>
      </c>
      <c r="K2883" s="21">
        <v>39974</v>
      </c>
      <c r="L2883">
        <v>2009</v>
      </c>
      <c r="M2883" s="21">
        <v>40491.598067129598</v>
      </c>
      <c r="N2883">
        <v>2010</v>
      </c>
      <c r="Q2883" s="262">
        <v>100000</v>
      </c>
      <c r="R2883" s="262">
        <v>1401000</v>
      </c>
      <c r="S2883" t="s">
        <v>114</v>
      </c>
      <c r="T2883" t="s">
        <v>114</v>
      </c>
      <c r="U2883">
        <v>5</v>
      </c>
      <c r="W2883">
        <v>5827</v>
      </c>
      <c r="X2883">
        <v>1</v>
      </c>
      <c r="Y2883">
        <v>0</v>
      </c>
      <c r="Z2883">
        <v>0</v>
      </c>
      <c r="AA2883">
        <v>0</v>
      </c>
      <c r="AB2883">
        <v>0</v>
      </c>
      <c r="AC2883">
        <v>5827</v>
      </c>
      <c r="AD2883">
        <v>0</v>
      </c>
      <c r="AE2883">
        <v>0</v>
      </c>
      <c r="AF2883">
        <v>0</v>
      </c>
      <c r="AG2883">
        <v>0</v>
      </c>
      <c r="AH2883">
        <v>0</v>
      </c>
      <c r="AI2883">
        <v>0</v>
      </c>
      <c r="AJ2883">
        <v>0</v>
      </c>
      <c r="AK2883">
        <v>0</v>
      </c>
      <c r="AL2883">
        <v>0</v>
      </c>
      <c r="AM2883">
        <v>0</v>
      </c>
      <c r="AN2883">
        <v>0</v>
      </c>
      <c r="AO2883">
        <v>1</v>
      </c>
      <c r="AP2883">
        <v>0</v>
      </c>
      <c r="AQ2883">
        <v>0</v>
      </c>
      <c r="AR2883">
        <v>0</v>
      </c>
      <c r="AS2883">
        <v>0</v>
      </c>
      <c r="AT2883">
        <v>0</v>
      </c>
      <c r="AU2883">
        <f t="shared" si="88"/>
        <v>1</v>
      </c>
      <c r="AV2883">
        <f t="shared" si="89"/>
        <v>0</v>
      </c>
    </row>
    <row r="2884" spans="1:48" x14ac:dyDescent="0.25">
      <c r="A2884" t="s">
        <v>9648</v>
      </c>
      <c r="C2884" t="s">
        <v>9649</v>
      </c>
      <c r="D2884" t="s">
        <v>9650</v>
      </c>
      <c r="E2884" t="s">
        <v>2310</v>
      </c>
      <c r="F2884">
        <v>13</v>
      </c>
      <c r="G2884">
        <v>13.2</v>
      </c>
      <c r="H2884" t="s">
        <v>2327</v>
      </c>
      <c r="I2884" s="21">
        <v>39934</v>
      </c>
      <c r="J2884">
        <v>2009</v>
      </c>
      <c r="K2884" s="21">
        <v>39987</v>
      </c>
      <c r="L2884">
        <v>2009</v>
      </c>
      <c r="M2884" s="21">
        <v>41004.4132523148</v>
      </c>
      <c r="N2884">
        <v>2012</v>
      </c>
      <c r="R2884" s="262">
        <v>4500000</v>
      </c>
      <c r="S2884" t="s">
        <v>114</v>
      </c>
      <c r="T2884" t="s">
        <v>114</v>
      </c>
      <c r="U2884">
        <v>17</v>
      </c>
      <c r="W2884">
        <v>9898</v>
      </c>
      <c r="X2884">
        <v>2</v>
      </c>
      <c r="Y2884">
        <v>0</v>
      </c>
      <c r="Z2884">
        <v>0</v>
      </c>
      <c r="AA2884">
        <v>0</v>
      </c>
      <c r="AB2884">
        <v>0</v>
      </c>
      <c r="AC2884">
        <v>9408</v>
      </c>
      <c r="AD2884">
        <v>0</v>
      </c>
      <c r="AE2884">
        <v>0</v>
      </c>
      <c r="AF2884">
        <v>490</v>
      </c>
      <c r="AG2884">
        <v>0</v>
      </c>
      <c r="AH2884">
        <v>0</v>
      </c>
      <c r="AI2884">
        <v>0</v>
      </c>
      <c r="AJ2884">
        <v>0</v>
      </c>
      <c r="AK2884">
        <v>0</v>
      </c>
      <c r="AL2884">
        <v>0</v>
      </c>
      <c r="AM2884">
        <v>0</v>
      </c>
      <c r="AN2884">
        <v>0</v>
      </c>
      <c r="AO2884">
        <v>1</v>
      </c>
      <c r="AP2884">
        <v>0</v>
      </c>
      <c r="AQ2884">
        <v>0</v>
      </c>
      <c r="AR2884">
        <v>1</v>
      </c>
      <c r="AS2884">
        <v>0</v>
      </c>
      <c r="AT2884">
        <v>0</v>
      </c>
      <c r="AU2884">
        <f t="shared" si="88"/>
        <v>1</v>
      </c>
      <c r="AV2884">
        <f t="shared" si="89"/>
        <v>0</v>
      </c>
    </row>
    <row r="2885" spans="1:48" x14ac:dyDescent="0.25">
      <c r="A2885" t="s">
        <v>9651</v>
      </c>
      <c r="C2885" t="s">
        <v>9652</v>
      </c>
      <c r="D2885" t="s">
        <v>9653</v>
      </c>
      <c r="E2885" t="s">
        <v>2310</v>
      </c>
      <c r="F2885">
        <v>15</v>
      </c>
      <c r="G2885">
        <v>15.2</v>
      </c>
      <c r="H2885" t="s">
        <v>2323</v>
      </c>
      <c r="I2885" s="21">
        <v>39934</v>
      </c>
      <c r="J2885">
        <v>2009</v>
      </c>
      <c r="K2885" s="21">
        <v>39975</v>
      </c>
      <c r="L2885">
        <v>2009</v>
      </c>
      <c r="M2885" s="21">
        <v>40205.642418981501</v>
      </c>
      <c r="N2885">
        <v>2010</v>
      </c>
      <c r="R2885" s="262">
        <v>115000</v>
      </c>
      <c r="S2885" t="s">
        <v>114</v>
      </c>
      <c r="T2885" t="s">
        <v>114</v>
      </c>
      <c r="U2885">
        <v>5</v>
      </c>
      <c r="W2885">
        <v>103</v>
      </c>
      <c r="X2885">
        <v>0</v>
      </c>
      <c r="Y2885">
        <v>0</v>
      </c>
      <c r="Z2885">
        <v>0</v>
      </c>
      <c r="AA2885">
        <v>0</v>
      </c>
      <c r="AB2885">
        <v>0</v>
      </c>
      <c r="AC2885">
        <v>103</v>
      </c>
      <c r="AD2885">
        <v>0</v>
      </c>
      <c r="AE2885">
        <v>0</v>
      </c>
      <c r="AF2885">
        <v>0</v>
      </c>
      <c r="AG2885">
        <v>0</v>
      </c>
      <c r="AH2885">
        <v>0</v>
      </c>
      <c r="AI2885">
        <v>0</v>
      </c>
      <c r="AJ2885">
        <v>0</v>
      </c>
      <c r="AK2885">
        <v>0</v>
      </c>
      <c r="AL2885">
        <v>0</v>
      </c>
      <c r="AM2885">
        <v>0</v>
      </c>
      <c r="AN2885">
        <v>0</v>
      </c>
      <c r="AO2885">
        <v>0</v>
      </c>
      <c r="AP2885">
        <v>0</v>
      </c>
      <c r="AQ2885">
        <v>0</v>
      </c>
      <c r="AR2885">
        <v>0</v>
      </c>
      <c r="AS2885">
        <v>0</v>
      </c>
      <c r="AT2885">
        <v>0</v>
      </c>
      <c r="AU2885">
        <f t="shared" si="88"/>
        <v>0</v>
      </c>
      <c r="AV2885">
        <f t="shared" si="89"/>
        <v>0</v>
      </c>
    </row>
    <row r="2886" spans="1:48" x14ac:dyDescent="0.25">
      <c r="A2886" t="s">
        <v>9646</v>
      </c>
      <c r="C2886" t="s">
        <v>9647</v>
      </c>
      <c r="D2886" t="s">
        <v>9161</v>
      </c>
      <c r="E2886" t="s">
        <v>1663</v>
      </c>
      <c r="F2886">
        <v>1</v>
      </c>
      <c r="G2886">
        <v>1.2</v>
      </c>
      <c r="H2886" t="s">
        <v>2017</v>
      </c>
      <c r="I2886" s="21">
        <v>39934</v>
      </c>
      <c r="J2886">
        <v>2009</v>
      </c>
      <c r="K2886" s="21">
        <v>39965</v>
      </c>
      <c r="L2886">
        <v>2009</v>
      </c>
      <c r="M2886" s="21">
        <v>40118</v>
      </c>
      <c r="N2886">
        <v>2009</v>
      </c>
      <c r="Q2886" s="262">
        <v>160000</v>
      </c>
      <c r="S2886" t="s">
        <v>114</v>
      </c>
      <c r="T2886" t="s">
        <v>114</v>
      </c>
      <c r="W2886">
        <v>2058</v>
      </c>
      <c r="X2886">
        <v>0</v>
      </c>
      <c r="Y2886">
        <v>0</v>
      </c>
      <c r="Z2886">
        <v>0</v>
      </c>
      <c r="AA2886">
        <v>0</v>
      </c>
      <c r="AB2886">
        <v>0</v>
      </c>
      <c r="AC2886">
        <v>0</v>
      </c>
      <c r="AD2886">
        <v>0</v>
      </c>
      <c r="AE2886">
        <v>0</v>
      </c>
      <c r="AF2886">
        <v>0</v>
      </c>
      <c r="AG2886">
        <v>0</v>
      </c>
      <c r="AH2886">
        <v>0</v>
      </c>
      <c r="AI2886">
        <v>0</v>
      </c>
      <c r="AJ2886">
        <v>0</v>
      </c>
      <c r="AK2886">
        <v>2058</v>
      </c>
      <c r="AL2886">
        <v>0</v>
      </c>
      <c r="AM2886">
        <v>0</v>
      </c>
      <c r="AN2886">
        <v>0</v>
      </c>
      <c r="AO2886">
        <v>0</v>
      </c>
      <c r="AP2886">
        <v>0</v>
      </c>
      <c r="AQ2886">
        <v>0</v>
      </c>
      <c r="AR2886">
        <v>0</v>
      </c>
      <c r="AS2886">
        <v>0</v>
      </c>
      <c r="AT2886">
        <v>0</v>
      </c>
      <c r="AU2886">
        <f t="shared" si="88"/>
        <v>0</v>
      </c>
      <c r="AV2886">
        <f t="shared" si="89"/>
        <v>2058</v>
      </c>
    </row>
    <row r="2887" spans="1:48" x14ac:dyDescent="0.25">
      <c r="A2887" t="s">
        <v>9654</v>
      </c>
      <c r="C2887" t="s">
        <v>9655</v>
      </c>
      <c r="D2887" t="s">
        <v>9656</v>
      </c>
      <c r="E2887" t="s">
        <v>2310</v>
      </c>
      <c r="F2887">
        <v>8</v>
      </c>
      <c r="G2887">
        <v>8.3000000000000007</v>
      </c>
      <c r="H2887" t="s">
        <v>2323</v>
      </c>
      <c r="I2887" s="21">
        <v>39937</v>
      </c>
      <c r="J2887">
        <v>2009</v>
      </c>
      <c r="K2887" s="21">
        <v>39944</v>
      </c>
      <c r="L2887">
        <v>2009</v>
      </c>
      <c r="M2887" s="21">
        <v>40016.396979166697</v>
      </c>
      <c r="N2887">
        <v>2009</v>
      </c>
      <c r="R2887" s="262">
        <v>20000</v>
      </c>
      <c r="S2887" t="s">
        <v>114</v>
      </c>
      <c r="T2887" t="s">
        <v>114</v>
      </c>
      <c r="U2887">
        <v>5</v>
      </c>
      <c r="W2887">
        <v>1320</v>
      </c>
      <c r="X2887">
        <v>0</v>
      </c>
      <c r="Y2887">
        <v>0</v>
      </c>
      <c r="Z2887">
        <v>0</v>
      </c>
      <c r="AA2887">
        <v>0</v>
      </c>
      <c r="AB2887">
        <v>0</v>
      </c>
      <c r="AC2887">
        <v>1320</v>
      </c>
      <c r="AD2887">
        <v>0</v>
      </c>
      <c r="AE2887">
        <v>0</v>
      </c>
      <c r="AF2887">
        <v>0</v>
      </c>
      <c r="AG2887">
        <v>0</v>
      </c>
      <c r="AH2887">
        <v>0</v>
      </c>
      <c r="AI2887">
        <v>0</v>
      </c>
      <c r="AJ2887">
        <v>0</v>
      </c>
      <c r="AK2887">
        <v>0</v>
      </c>
      <c r="AL2887">
        <v>0</v>
      </c>
      <c r="AM2887">
        <v>0</v>
      </c>
      <c r="AN2887">
        <v>0</v>
      </c>
      <c r="AO2887">
        <v>0</v>
      </c>
      <c r="AP2887">
        <v>0</v>
      </c>
      <c r="AQ2887">
        <v>0</v>
      </c>
      <c r="AR2887">
        <v>0</v>
      </c>
      <c r="AS2887">
        <v>0</v>
      </c>
      <c r="AT2887">
        <v>0</v>
      </c>
      <c r="AU2887">
        <f t="shared" si="88"/>
        <v>0</v>
      </c>
      <c r="AV2887">
        <f t="shared" si="89"/>
        <v>0</v>
      </c>
    </row>
    <row r="2888" spans="1:48" x14ac:dyDescent="0.25">
      <c r="A2888" t="s">
        <v>9657</v>
      </c>
      <c r="C2888" t="s">
        <v>9658</v>
      </c>
      <c r="D2888" t="s">
        <v>9659</v>
      </c>
      <c r="E2888" t="s">
        <v>2310</v>
      </c>
      <c r="F2888">
        <v>10</v>
      </c>
      <c r="G2888">
        <v>10.1</v>
      </c>
      <c r="H2888" t="s">
        <v>2323</v>
      </c>
      <c r="I2888" s="21">
        <v>39939</v>
      </c>
      <c r="J2888">
        <v>2009</v>
      </c>
      <c r="K2888" s="21">
        <v>39967</v>
      </c>
      <c r="L2888">
        <v>2009</v>
      </c>
      <c r="M2888" s="21">
        <v>40296.657592592601</v>
      </c>
      <c r="N2888">
        <v>2010</v>
      </c>
      <c r="R2888" s="262">
        <v>350000</v>
      </c>
      <c r="S2888" t="s">
        <v>114</v>
      </c>
      <c r="T2888" t="s">
        <v>114</v>
      </c>
      <c r="U2888">
        <v>5</v>
      </c>
      <c r="W2888">
        <v>1116</v>
      </c>
      <c r="X2888">
        <v>0</v>
      </c>
      <c r="Y2888">
        <v>0</v>
      </c>
      <c r="Z2888">
        <v>0</v>
      </c>
      <c r="AA2888">
        <v>0</v>
      </c>
      <c r="AB2888">
        <v>0</v>
      </c>
      <c r="AC2888">
        <v>1116</v>
      </c>
      <c r="AD2888">
        <v>0</v>
      </c>
      <c r="AE2888">
        <v>0</v>
      </c>
      <c r="AF2888">
        <v>0</v>
      </c>
      <c r="AG2888">
        <v>0</v>
      </c>
      <c r="AH2888">
        <v>0</v>
      </c>
      <c r="AI2888">
        <v>0</v>
      </c>
      <c r="AJ2888">
        <v>0</v>
      </c>
      <c r="AK2888">
        <v>0</v>
      </c>
      <c r="AL2888">
        <v>0</v>
      </c>
      <c r="AM2888">
        <v>0</v>
      </c>
      <c r="AN2888">
        <v>0</v>
      </c>
      <c r="AO2888">
        <v>0</v>
      </c>
      <c r="AP2888">
        <v>0</v>
      </c>
      <c r="AQ2888">
        <v>0</v>
      </c>
      <c r="AR2888">
        <v>0</v>
      </c>
      <c r="AS2888">
        <v>0</v>
      </c>
      <c r="AT2888">
        <v>0</v>
      </c>
      <c r="AU2888">
        <f t="shared" si="88"/>
        <v>0</v>
      </c>
      <c r="AV2888">
        <f t="shared" si="89"/>
        <v>0</v>
      </c>
    </row>
    <row r="2889" spans="1:48" x14ac:dyDescent="0.25">
      <c r="A2889" t="s">
        <v>9660</v>
      </c>
      <c r="C2889" t="s">
        <v>9661</v>
      </c>
      <c r="D2889" t="s">
        <v>9662</v>
      </c>
      <c r="E2889" t="s">
        <v>2310</v>
      </c>
      <c r="F2889">
        <v>10</v>
      </c>
      <c r="G2889">
        <v>10.1</v>
      </c>
      <c r="H2889" t="s">
        <v>2323</v>
      </c>
      <c r="I2889" s="21">
        <v>39940</v>
      </c>
      <c r="J2889">
        <v>2009</v>
      </c>
      <c r="K2889" s="21">
        <v>39960</v>
      </c>
      <c r="L2889">
        <v>2009</v>
      </c>
      <c r="M2889" s="21">
        <v>40016.4988310185</v>
      </c>
      <c r="N2889">
        <v>2009</v>
      </c>
      <c r="R2889" s="262">
        <v>71000</v>
      </c>
      <c r="S2889" t="s">
        <v>114</v>
      </c>
      <c r="T2889" t="s">
        <v>114</v>
      </c>
      <c r="U2889">
        <v>5</v>
      </c>
      <c r="W2889">
        <v>1152</v>
      </c>
      <c r="X2889">
        <v>0</v>
      </c>
      <c r="Y2889">
        <v>0</v>
      </c>
      <c r="Z2889">
        <v>0</v>
      </c>
      <c r="AA2889">
        <v>0</v>
      </c>
      <c r="AB2889">
        <v>0</v>
      </c>
      <c r="AC2889">
        <v>1152</v>
      </c>
      <c r="AD2889">
        <v>0</v>
      </c>
      <c r="AE2889">
        <v>0</v>
      </c>
      <c r="AF2889">
        <v>0</v>
      </c>
      <c r="AG2889">
        <v>0</v>
      </c>
      <c r="AH2889">
        <v>0</v>
      </c>
      <c r="AI2889">
        <v>0</v>
      </c>
      <c r="AJ2889">
        <v>0</v>
      </c>
      <c r="AK2889">
        <v>0</v>
      </c>
      <c r="AL2889">
        <v>0</v>
      </c>
      <c r="AM2889">
        <v>0</v>
      </c>
      <c r="AN2889">
        <v>0</v>
      </c>
      <c r="AO2889">
        <v>0</v>
      </c>
      <c r="AP2889">
        <v>0</v>
      </c>
      <c r="AQ2889">
        <v>0</v>
      </c>
      <c r="AR2889">
        <v>0</v>
      </c>
      <c r="AS2889">
        <v>0</v>
      </c>
      <c r="AT2889">
        <v>0</v>
      </c>
      <c r="AU2889">
        <f t="shared" si="88"/>
        <v>0</v>
      </c>
      <c r="AV2889">
        <f t="shared" si="89"/>
        <v>0</v>
      </c>
    </row>
    <row r="2890" spans="1:48" x14ac:dyDescent="0.25">
      <c r="A2890" t="s">
        <v>9663</v>
      </c>
      <c r="C2890" t="s">
        <v>9664</v>
      </c>
      <c r="D2890" t="s">
        <v>9665</v>
      </c>
      <c r="E2890" t="s">
        <v>1663</v>
      </c>
      <c r="F2890">
        <v>4</v>
      </c>
      <c r="G2890">
        <v>4.3</v>
      </c>
      <c r="H2890" t="s">
        <v>2327</v>
      </c>
      <c r="I2890" s="21">
        <v>39946</v>
      </c>
      <c r="J2890">
        <v>2009</v>
      </c>
      <c r="K2890" s="21">
        <v>39977</v>
      </c>
      <c r="L2890">
        <v>2009</v>
      </c>
      <c r="M2890" s="21">
        <v>40130</v>
      </c>
      <c r="N2890">
        <v>2009</v>
      </c>
      <c r="Q2890" s="262">
        <v>0</v>
      </c>
      <c r="S2890" t="s">
        <v>114</v>
      </c>
      <c r="T2890" t="s">
        <v>114</v>
      </c>
      <c r="W2890">
        <v>7200</v>
      </c>
      <c r="X2890">
        <v>1</v>
      </c>
      <c r="Y2890">
        <v>0</v>
      </c>
      <c r="Z2890">
        <v>0</v>
      </c>
      <c r="AA2890">
        <v>0</v>
      </c>
      <c r="AB2890">
        <v>0</v>
      </c>
      <c r="AC2890">
        <v>0</v>
      </c>
      <c r="AD2890">
        <v>0</v>
      </c>
      <c r="AE2890">
        <v>1200</v>
      </c>
      <c r="AF2890">
        <v>0</v>
      </c>
      <c r="AG2890">
        <v>0</v>
      </c>
      <c r="AH2890">
        <v>0</v>
      </c>
      <c r="AI2890">
        <v>0</v>
      </c>
      <c r="AJ2890">
        <v>6000</v>
      </c>
      <c r="AK2890">
        <v>0</v>
      </c>
      <c r="AL2890">
        <v>0</v>
      </c>
      <c r="AM2890">
        <v>0</v>
      </c>
      <c r="AN2890">
        <v>0</v>
      </c>
      <c r="AO2890">
        <v>0</v>
      </c>
      <c r="AP2890">
        <v>0</v>
      </c>
      <c r="AQ2890">
        <v>1</v>
      </c>
      <c r="AR2890">
        <v>0</v>
      </c>
      <c r="AS2890">
        <v>0</v>
      </c>
      <c r="AT2890">
        <v>0</v>
      </c>
      <c r="AU2890">
        <f t="shared" si="88"/>
        <v>1</v>
      </c>
      <c r="AV2890">
        <f t="shared" si="89"/>
        <v>6000</v>
      </c>
    </row>
    <row r="2891" spans="1:48" x14ac:dyDescent="0.25">
      <c r="A2891" t="s">
        <v>9666</v>
      </c>
      <c r="C2891" t="s">
        <v>9667</v>
      </c>
      <c r="D2891" t="s">
        <v>6270</v>
      </c>
      <c r="E2891" t="s">
        <v>2310</v>
      </c>
      <c r="F2891">
        <v>9</v>
      </c>
      <c r="G2891">
        <v>9.1999999999999993</v>
      </c>
      <c r="H2891" t="s">
        <v>2022</v>
      </c>
      <c r="I2891" s="21">
        <v>39948</v>
      </c>
      <c r="J2891">
        <v>2009</v>
      </c>
      <c r="K2891" s="21">
        <v>39948</v>
      </c>
      <c r="L2891">
        <v>2009</v>
      </c>
      <c r="M2891" s="21">
        <v>41012.655729166698</v>
      </c>
      <c r="N2891">
        <v>2012</v>
      </c>
      <c r="Q2891" s="262">
        <v>4000000</v>
      </c>
      <c r="R2891" s="262">
        <v>746000</v>
      </c>
      <c r="S2891" t="s">
        <v>114</v>
      </c>
      <c r="T2891" t="s">
        <v>114</v>
      </c>
      <c r="U2891">
        <v>5</v>
      </c>
      <c r="W2891">
        <v>8133</v>
      </c>
      <c r="X2891">
        <v>1</v>
      </c>
      <c r="Y2891">
        <v>0</v>
      </c>
      <c r="Z2891">
        <v>0</v>
      </c>
      <c r="AA2891">
        <v>0</v>
      </c>
      <c r="AB2891">
        <v>0</v>
      </c>
      <c r="AC2891">
        <v>8133</v>
      </c>
      <c r="AD2891">
        <v>0</v>
      </c>
      <c r="AE2891">
        <v>0</v>
      </c>
      <c r="AF2891">
        <v>0</v>
      </c>
      <c r="AG2891">
        <v>0</v>
      </c>
      <c r="AH2891">
        <v>0</v>
      </c>
      <c r="AI2891">
        <v>0</v>
      </c>
      <c r="AJ2891">
        <v>0</v>
      </c>
      <c r="AK2891">
        <v>0</v>
      </c>
      <c r="AL2891">
        <v>0</v>
      </c>
      <c r="AM2891">
        <v>0</v>
      </c>
      <c r="AN2891">
        <v>0</v>
      </c>
      <c r="AO2891">
        <v>1</v>
      </c>
      <c r="AP2891">
        <v>0</v>
      </c>
      <c r="AQ2891">
        <v>0</v>
      </c>
      <c r="AR2891">
        <v>0</v>
      </c>
      <c r="AS2891">
        <v>0</v>
      </c>
      <c r="AT2891">
        <v>0</v>
      </c>
      <c r="AU2891">
        <f t="shared" si="88"/>
        <v>1</v>
      </c>
      <c r="AV2891">
        <f t="shared" si="89"/>
        <v>0</v>
      </c>
    </row>
    <row r="2892" spans="1:48" x14ac:dyDescent="0.25">
      <c r="A2892" t="s">
        <v>9668</v>
      </c>
      <c r="C2892" t="s">
        <v>9669</v>
      </c>
      <c r="D2892" t="s">
        <v>9670</v>
      </c>
      <c r="E2892" t="s">
        <v>1663</v>
      </c>
      <c r="F2892">
        <v>6</v>
      </c>
      <c r="G2892">
        <v>6.1</v>
      </c>
      <c r="H2892" t="s">
        <v>2017</v>
      </c>
      <c r="I2892" s="21">
        <v>39951</v>
      </c>
      <c r="J2892">
        <v>2009</v>
      </c>
      <c r="K2892" s="21">
        <v>39982</v>
      </c>
      <c r="L2892">
        <v>2009</v>
      </c>
      <c r="M2892" s="21">
        <v>40135</v>
      </c>
      <c r="N2892">
        <v>2009</v>
      </c>
      <c r="Q2892" s="262">
        <v>0</v>
      </c>
      <c r="S2892" t="s">
        <v>114</v>
      </c>
      <c r="T2892" t="s">
        <v>114</v>
      </c>
      <c r="W2892">
        <v>8710</v>
      </c>
      <c r="X2892">
        <v>1</v>
      </c>
      <c r="Y2892">
        <v>0</v>
      </c>
      <c r="Z2892">
        <v>0</v>
      </c>
      <c r="AA2892">
        <v>0</v>
      </c>
      <c r="AB2892">
        <v>0</v>
      </c>
      <c r="AC2892">
        <v>8710</v>
      </c>
      <c r="AD2892">
        <v>0</v>
      </c>
      <c r="AE2892">
        <v>0</v>
      </c>
      <c r="AF2892">
        <v>0</v>
      </c>
      <c r="AG2892">
        <v>0</v>
      </c>
      <c r="AH2892">
        <v>0</v>
      </c>
      <c r="AI2892">
        <v>0</v>
      </c>
      <c r="AJ2892">
        <v>0</v>
      </c>
      <c r="AK2892">
        <v>0</v>
      </c>
      <c r="AL2892">
        <v>0</v>
      </c>
      <c r="AM2892">
        <v>0</v>
      </c>
      <c r="AN2892">
        <v>0</v>
      </c>
      <c r="AO2892">
        <v>1</v>
      </c>
      <c r="AP2892">
        <v>0</v>
      </c>
      <c r="AQ2892">
        <v>0</v>
      </c>
      <c r="AR2892">
        <v>0</v>
      </c>
      <c r="AS2892">
        <v>0</v>
      </c>
      <c r="AT2892">
        <v>0</v>
      </c>
      <c r="AU2892">
        <f t="shared" si="88"/>
        <v>1</v>
      </c>
      <c r="AV2892">
        <f t="shared" si="89"/>
        <v>0</v>
      </c>
    </row>
    <row r="2893" spans="1:48" x14ac:dyDescent="0.25">
      <c r="A2893" t="s">
        <v>9671</v>
      </c>
      <c r="C2893" t="s">
        <v>9672</v>
      </c>
      <c r="D2893" t="s">
        <v>4365</v>
      </c>
      <c r="E2893" t="s">
        <v>2310</v>
      </c>
      <c r="F2893">
        <v>9</v>
      </c>
      <c r="G2893">
        <v>9.1</v>
      </c>
      <c r="H2893" t="s">
        <v>2323</v>
      </c>
      <c r="I2893" s="21">
        <v>39952</v>
      </c>
      <c r="J2893">
        <v>2009</v>
      </c>
      <c r="K2893" s="21">
        <v>39952</v>
      </c>
      <c r="L2893">
        <v>2009</v>
      </c>
      <c r="M2893" s="21">
        <v>40620.591585648202</v>
      </c>
      <c r="N2893">
        <v>2011</v>
      </c>
      <c r="R2893" s="262">
        <v>5827000</v>
      </c>
      <c r="S2893" t="s">
        <v>114</v>
      </c>
      <c r="T2893" t="s">
        <v>114</v>
      </c>
      <c r="U2893">
        <v>15</v>
      </c>
      <c r="W2893">
        <v>53000</v>
      </c>
      <c r="X2893">
        <v>0</v>
      </c>
      <c r="Y2893">
        <v>0</v>
      </c>
      <c r="Z2893">
        <v>0</v>
      </c>
      <c r="AA2893">
        <v>0</v>
      </c>
      <c r="AB2893">
        <v>0</v>
      </c>
      <c r="AC2893">
        <v>0</v>
      </c>
      <c r="AD2893">
        <v>0</v>
      </c>
      <c r="AE2893">
        <v>0</v>
      </c>
      <c r="AF2893">
        <v>0</v>
      </c>
      <c r="AG2893">
        <v>0</v>
      </c>
      <c r="AH2893">
        <v>0</v>
      </c>
      <c r="AI2893">
        <v>0</v>
      </c>
      <c r="AJ2893">
        <v>0</v>
      </c>
      <c r="AK2893">
        <v>0</v>
      </c>
      <c r="AL2893">
        <v>0</v>
      </c>
      <c r="AM2893">
        <v>53000</v>
      </c>
      <c r="AN2893">
        <v>0</v>
      </c>
      <c r="AO2893">
        <v>0</v>
      </c>
      <c r="AP2893">
        <v>0</v>
      </c>
      <c r="AQ2893">
        <v>0</v>
      </c>
      <c r="AR2893">
        <v>0</v>
      </c>
      <c r="AS2893">
        <v>0</v>
      </c>
      <c r="AT2893">
        <v>0</v>
      </c>
      <c r="AU2893">
        <f t="shared" si="88"/>
        <v>0</v>
      </c>
      <c r="AV2893">
        <f t="shared" si="89"/>
        <v>53000</v>
      </c>
    </row>
    <row r="2894" spans="1:48" x14ac:dyDescent="0.25">
      <c r="A2894" t="s">
        <v>9673</v>
      </c>
      <c r="C2894" t="s">
        <v>9674</v>
      </c>
      <c r="D2894" t="s">
        <v>9675</v>
      </c>
      <c r="E2894" t="s">
        <v>2310</v>
      </c>
      <c r="F2894">
        <v>15</v>
      </c>
      <c r="G2894">
        <v>15.2</v>
      </c>
      <c r="H2894" t="s">
        <v>2323</v>
      </c>
      <c r="I2894" s="21">
        <v>39954</v>
      </c>
      <c r="J2894">
        <v>2009</v>
      </c>
      <c r="K2894" s="21">
        <v>39954</v>
      </c>
      <c r="L2894">
        <v>2009</v>
      </c>
      <c r="M2894" s="21">
        <v>40336.343877314801</v>
      </c>
      <c r="N2894">
        <v>2010</v>
      </c>
      <c r="R2894" s="262">
        <v>2000000</v>
      </c>
      <c r="S2894" t="s">
        <v>114</v>
      </c>
      <c r="T2894" t="s">
        <v>114</v>
      </c>
      <c r="U2894">
        <v>5</v>
      </c>
      <c r="W2894">
        <v>5720</v>
      </c>
      <c r="X2894">
        <v>1</v>
      </c>
      <c r="Y2894">
        <v>0</v>
      </c>
      <c r="Z2894">
        <v>0</v>
      </c>
      <c r="AA2894">
        <v>0</v>
      </c>
      <c r="AB2894">
        <v>0</v>
      </c>
      <c r="AC2894">
        <v>5720</v>
      </c>
      <c r="AD2894">
        <v>0</v>
      </c>
      <c r="AE2894">
        <v>0</v>
      </c>
      <c r="AF2894">
        <v>0</v>
      </c>
      <c r="AG2894">
        <v>0</v>
      </c>
      <c r="AH2894">
        <v>0</v>
      </c>
      <c r="AI2894">
        <v>0</v>
      </c>
      <c r="AJ2894">
        <v>0</v>
      </c>
      <c r="AK2894">
        <v>0</v>
      </c>
      <c r="AL2894">
        <v>0</v>
      </c>
      <c r="AM2894">
        <v>0</v>
      </c>
      <c r="AN2894">
        <v>0</v>
      </c>
      <c r="AO2894">
        <v>1</v>
      </c>
      <c r="AP2894">
        <v>0</v>
      </c>
      <c r="AQ2894">
        <v>0</v>
      </c>
      <c r="AR2894">
        <v>0</v>
      </c>
      <c r="AS2894">
        <v>0</v>
      </c>
      <c r="AT2894">
        <v>0</v>
      </c>
      <c r="AU2894">
        <f t="shared" si="88"/>
        <v>1</v>
      </c>
      <c r="AV2894">
        <f t="shared" si="89"/>
        <v>0</v>
      </c>
    </row>
    <row r="2895" spans="1:48" x14ac:dyDescent="0.25">
      <c r="A2895" t="s">
        <v>9676</v>
      </c>
      <c r="C2895" t="s">
        <v>9677</v>
      </c>
      <c r="D2895" t="s">
        <v>9678</v>
      </c>
      <c r="E2895" t="s">
        <v>2310</v>
      </c>
      <c r="F2895">
        <v>9</v>
      </c>
      <c r="G2895">
        <v>9.1999999999999993</v>
      </c>
      <c r="H2895" t="s">
        <v>2022</v>
      </c>
      <c r="I2895" s="21">
        <v>39954</v>
      </c>
      <c r="J2895">
        <v>2009</v>
      </c>
      <c r="K2895" s="21">
        <v>39966</v>
      </c>
      <c r="L2895">
        <v>2009</v>
      </c>
      <c r="M2895" s="21">
        <v>40386.615034722199</v>
      </c>
      <c r="N2895">
        <v>2010</v>
      </c>
      <c r="R2895" s="262">
        <v>25000</v>
      </c>
      <c r="S2895" t="s">
        <v>114</v>
      </c>
      <c r="T2895" t="s">
        <v>114</v>
      </c>
      <c r="U2895">
        <v>5</v>
      </c>
      <c r="W2895">
        <v>0</v>
      </c>
      <c r="X2895">
        <v>0</v>
      </c>
      <c r="Y2895">
        <v>0</v>
      </c>
      <c r="Z2895">
        <v>0</v>
      </c>
      <c r="AA2895">
        <v>0</v>
      </c>
      <c r="AB2895">
        <v>0</v>
      </c>
      <c r="AC2895">
        <v>0</v>
      </c>
      <c r="AD2895">
        <v>0</v>
      </c>
      <c r="AE2895">
        <v>0</v>
      </c>
      <c r="AF2895">
        <v>0</v>
      </c>
      <c r="AG2895">
        <v>0</v>
      </c>
      <c r="AH2895">
        <v>0</v>
      </c>
      <c r="AI2895">
        <v>0</v>
      </c>
      <c r="AJ2895">
        <v>0</v>
      </c>
      <c r="AK2895">
        <v>0</v>
      </c>
      <c r="AL2895">
        <v>0</v>
      </c>
      <c r="AM2895">
        <v>0</v>
      </c>
      <c r="AN2895">
        <v>0</v>
      </c>
      <c r="AO2895">
        <v>0</v>
      </c>
      <c r="AP2895">
        <v>0</v>
      </c>
      <c r="AQ2895">
        <v>0</v>
      </c>
      <c r="AR2895">
        <v>0</v>
      </c>
      <c r="AS2895">
        <v>0</v>
      </c>
      <c r="AT2895">
        <v>0</v>
      </c>
      <c r="AU2895">
        <f t="shared" si="88"/>
        <v>0</v>
      </c>
      <c r="AV2895">
        <f t="shared" si="89"/>
        <v>0</v>
      </c>
    </row>
    <row r="2896" spans="1:48" x14ac:dyDescent="0.25">
      <c r="A2896" t="s">
        <v>9679</v>
      </c>
      <c r="C2896" t="s">
        <v>9680</v>
      </c>
      <c r="D2896" t="s">
        <v>9681</v>
      </c>
      <c r="E2896" t="s">
        <v>1663</v>
      </c>
      <c r="F2896">
        <v>4</v>
      </c>
      <c r="G2896">
        <v>4.3</v>
      </c>
      <c r="H2896" t="s">
        <v>2327</v>
      </c>
      <c r="I2896" s="21">
        <v>39960</v>
      </c>
      <c r="J2896">
        <v>2009</v>
      </c>
      <c r="K2896" s="21">
        <v>39991</v>
      </c>
      <c r="L2896">
        <v>2009</v>
      </c>
      <c r="M2896" s="21">
        <v>40144</v>
      </c>
      <c r="N2896">
        <v>2009</v>
      </c>
      <c r="Q2896" s="262">
        <v>0</v>
      </c>
      <c r="S2896" t="s">
        <v>114</v>
      </c>
      <c r="T2896" t="s">
        <v>114</v>
      </c>
      <c r="W2896">
        <v>5217</v>
      </c>
      <c r="X2896">
        <v>2</v>
      </c>
      <c r="Y2896">
        <v>0</v>
      </c>
      <c r="Z2896">
        <v>0</v>
      </c>
      <c r="AA2896">
        <v>0</v>
      </c>
      <c r="AB2896">
        <v>0</v>
      </c>
      <c r="AC2896">
        <v>0</v>
      </c>
      <c r="AD2896">
        <v>0</v>
      </c>
      <c r="AE2896">
        <v>1258</v>
      </c>
      <c r="AF2896">
        <v>0</v>
      </c>
      <c r="AG2896">
        <v>0</v>
      </c>
      <c r="AH2896">
        <v>0</v>
      </c>
      <c r="AI2896">
        <v>0</v>
      </c>
      <c r="AJ2896">
        <v>1443</v>
      </c>
      <c r="AK2896">
        <v>1258</v>
      </c>
      <c r="AL2896">
        <v>1258</v>
      </c>
      <c r="AM2896">
        <v>0</v>
      </c>
      <c r="AN2896">
        <v>0</v>
      </c>
      <c r="AO2896">
        <v>0</v>
      </c>
      <c r="AP2896">
        <v>0</v>
      </c>
      <c r="AQ2896">
        <v>2</v>
      </c>
      <c r="AR2896">
        <v>0</v>
      </c>
      <c r="AS2896">
        <v>0</v>
      </c>
      <c r="AT2896">
        <v>0</v>
      </c>
      <c r="AU2896">
        <f t="shared" si="88"/>
        <v>2</v>
      </c>
      <c r="AV2896">
        <f t="shared" si="89"/>
        <v>3959</v>
      </c>
    </row>
    <row r="2897" spans="1:48" x14ac:dyDescent="0.25">
      <c r="A2897" t="s">
        <v>9682</v>
      </c>
      <c r="C2897" t="s">
        <v>9683</v>
      </c>
      <c r="D2897" t="s">
        <v>9684</v>
      </c>
      <c r="E2897" t="s">
        <v>2310</v>
      </c>
      <c r="F2897">
        <v>15</v>
      </c>
      <c r="G2897">
        <v>15.2</v>
      </c>
      <c r="H2897" t="s">
        <v>2323</v>
      </c>
      <c r="I2897" s="21">
        <v>39961</v>
      </c>
      <c r="J2897">
        <v>2009</v>
      </c>
      <c r="K2897" s="21">
        <v>39980</v>
      </c>
      <c r="L2897">
        <v>2009</v>
      </c>
      <c r="M2897" s="21">
        <v>39980</v>
      </c>
      <c r="N2897">
        <v>2009</v>
      </c>
      <c r="R2897" s="262">
        <v>60000</v>
      </c>
      <c r="S2897" t="s">
        <v>114</v>
      </c>
      <c r="T2897" t="s">
        <v>114</v>
      </c>
      <c r="U2897">
        <v>5</v>
      </c>
      <c r="W2897">
        <v>-143</v>
      </c>
      <c r="X2897">
        <v>0</v>
      </c>
      <c r="Y2897">
        <v>0</v>
      </c>
      <c r="Z2897">
        <v>0</v>
      </c>
      <c r="AA2897">
        <v>0</v>
      </c>
      <c r="AB2897">
        <v>0</v>
      </c>
      <c r="AC2897">
        <v>-143</v>
      </c>
      <c r="AD2897">
        <v>0</v>
      </c>
      <c r="AE2897">
        <v>0</v>
      </c>
      <c r="AF2897">
        <v>0</v>
      </c>
      <c r="AG2897">
        <v>0</v>
      </c>
      <c r="AH2897">
        <v>0</v>
      </c>
      <c r="AI2897">
        <v>0</v>
      </c>
      <c r="AJ2897">
        <v>0</v>
      </c>
      <c r="AK2897">
        <v>0</v>
      </c>
      <c r="AL2897">
        <v>0</v>
      </c>
      <c r="AM2897">
        <v>0</v>
      </c>
      <c r="AN2897">
        <v>0</v>
      </c>
      <c r="AO2897">
        <v>0</v>
      </c>
      <c r="AP2897">
        <v>0</v>
      </c>
      <c r="AQ2897">
        <v>0</v>
      </c>
      <c r="AR2897">
        <v>0</v>
      </c>
      <c r="AS2897">
        <v>0</v>
      </c>
      <c r="AT2897">
        <v>0</v>
      </c>
      <c r="AU2897">
        <f t="shared" si="88"/>
        <v>0</v>
      </c>
      <c r="AV2897">
        <f t="shared" si="89"/>
        <v>0</v>
      </c>
    </row>
    <row r="2898" spans="1:48" x14ac:dyDescent="0.25">
      <c r="A2898" t="s">
        <v>9685</v>
      </c>
      <c r="C2898" t="s">
        <v>9686</v>
      </c>
      <c r="D2898" t="s">
        <v>9687</v>
      </c>
      <c r="E2898" t="s">
        <v>2310</v>
      </c>
      <c r="F2898">
        <v>10</v>
      </c>
      <c r="G2898">
        <v>10.1</v>
      </c>
      <c r="H2898" t="s">
        <v>2323</v>
      </c>
      <c r="I2898" s="21">
        <v>39961</v>
      </c>
      <c r="J2898">
        <v>2009</v>
      </c>
      <c r="K2898" s="21">
        <v>39986</v>
      </c>
      <c r="L2898">
        <v>2009</v>
      </c>
      <c r="M2898" s="21">
        <v>40637.420092592598</v>
      </c>
      <c r="N2898">
        <v>2011</v>
      </c>
      <c r="R2898" s="262">
        <v>12000</v>
      </c>
      <c r="S2898" t="s">
        <v>114</v>
      </c>
      <c r="T2898" t="s">
        <v>114</v>
      </c>
      <c r="U2898">
        <v>5</v>
      </c>
      <c r="W2898">
        <v>105</v>
      </c>
      <c r="X2898">
        <v>0</v>
      </c>
      <c r="Y2898">
        <v>0</v>
      </c>
      <c r="Z2898">
        <v>0</v>
      </c>
      <c r="AA2898">
        <v>0</v>
      </c>
      <c r="AB2898">
        <v>0</v>
      </c>
      <c r="AC2898">
        <v>105</v>
      </c>
      <c r="AD2898">
        <v>0</v>
      </c>
      <c r="AE2898">
        <v>0</v>
      </c>
      <c r="AF2898">
        <v>0</v>
      </c>
      <c r="AG2898">
        <v>0</v>
      </c>
      <c r="AH2898">
        <v>0</v>
      </c>
      <c r="AI2898">
        <v>0</v>
      </c>
      <c r="AJ2898">
        <v>0</v>
      </c>
      <c r="AK2898">
        <v>0</v>
      </c>
      <c r="AL2898">
        <v>0</v>
      </c>
      <c r="AM2898">
        <v>0</v>
      </c>
      <c r="AN2898">
        <v>0</v>
      </c>
      <c r="AO2898">
        <v>0</v>
      </c>
      <c r="AP2898">
        <v>0</v>
      </c>
      <c r="AQ2898">
        <v>0</v>
      </c>
      <c r="AR2898">
        <v>0</v>
      </c>
      <c r="AS2898">
        <v>0</v>
      </c>
      <c r="AT2898">
        <v>0</v>
      </c>
      <c r="AU2898">
        <f t="shared" si="88"/>
        <v>0</v>
      </c>
      <c r="AV2898">
        <f t="shared" si="89"/>
        <v>0</v>
      </c>
    </row>
    <row r="2899" spans="1:48" x14ac:dyDescent="0.25">
      <c r="A2899" t="s">
        <v>9690</v>
      </c>
      <c r="C2899" t="s">
        <v>9691</v>
      </c>
      <c r="D2899" t="s">
        <v>2313</v>
      </c>
      <c r="E2899" t="s">
        <v>2310</v>
      </c>
      <c r="F2899">
        <v>7</v>
      </c>
      <c r="G2899">
        <v>7.2</v>
      </c>
      <c r="H2899" t="s">
        <v>2017</v>
      </c>
      <c r="I2899" s="21">
        <v>39962</v>
      </c>
      <c r="J2899">
        <v>2009</v>
      </c>
      <c r="K2899" s="21">
        <v>39962</v>
      </c>
      <c r="L2899">
        <v>2009</v>
      </c>
      <c r="M2899" s="21">
        <v>41261.5722453704</v>
      </c>
      <c r="N2899">
        <v>2012</v>
      </c>
      <c r="R2899" s="262">
        <v>65000</v>
      </c>
      <c r="S2899" t="s">
        <v>114</v>
      </c>
      <c r="T2899" t="s">
        <v>114</v>
      </c>
      <c r="U2899">
        <v>5</v>
      </c>
      <c r="W2899">
        <v>0</v>
      </c>
      <c r="X2899">
        <v>0</v>
      </c>
      <c r="Y2899">
        <v>0</v>
      </c>
      <c r="Z2899">
        <v>0</v>
      </c>
      <c r="AA2899">
        <v>0</v>
      </c>
      <c r="AB2899">
        <v>0</v>
      </c>
      <c r="AC2899">
        <v>0</v>
      </c>
      <c r="AD2899">
        <v>0</v>
      </c>
      <c r="AE2899">
        <v>0</v>
      </c>
      <c r="AF2899">
        <v>0</v>
      </c>
      <c r="AG2899">
        <v>0</v>
      </c>
      <c r="AH2899">
        <v>0</v>
      </c>
      <c r="AI2899">
        <v>0</v>
      </c>
      <c r="AJ2899">
        <v>0</v>
      </c>
      <c r="AK2899">
        <v>0</v>
      </c>
      <c r="AL2899">
        <v>0</v>
      </c>
      <c r="AM2899">
        <v>0</v>
      </c>
      <c r="AN2899">
        <v>0</v>
      </c>
      <c r="AO2899">
        <v>0</v>
      </c>
      <c r="AP2899">
        <v>0</v>
      </c>
      <c r="AQ2899">
        <v>0</v>
      </c>
      <c r="AR2899">
        <v>0</v>
      </c>
      <c r="AS2899">
        <v>0</v>
      </c>
      <c r="AT2899">
        <v>0</v>
      </c>
      <c r="AU2899">
        <f t="shared" si="88"/>
        <v>0</v>
      </c>
      <c r="AV2899">
        <f t="shared" si="89"/>
        <v>0</v>
      </c>
    </row>
    <row r="2900" spans="1:48" x14ac:dyDescent="0.25">
      <c r="A2900" t="s">
        <v>9688</v>
      </c>
      <c r="C2900" t="s">
        <v>9689</v>
      </c>
      <c r="D2900" t="s">
        <v>9161</v>
      </c>
      <c r="E2900" t="s">
        <v>1663</v>
      </c>
      <c r="F2900">
        <v>1</v>
      </c>
      <c r="G2900">
        <v>1.2</v>
      </c>
      <c r="H2900" t="s">
        <v>2017</v>
      </c>
      <c r="I2900" s="21">
        <v>39962</v>
      </c>
      <c r="J2900">
        <v>2009</v>
      </c>
      <c r="K2900" s="21">
        <v>39993</v>
      </c>
      <c r="L2900">
        <v>2009</v>
      </c>
      <c r="M2900" s="21">
        <v>40146</v>
      </c>
      <c r="N2900">
        <v>2009</v>
      </c>
      <c r="Q2900" s="262">
        <v>175000</v>
      </c>
      <c r="S2900" t="s">
        <v>114</v>
      </c>
      <c r="T2900" t="s">
        <v>114</v>
      </c>
      <c r="W2900">
        <v>2014</v>
      </c>
      <c r="X2900">
        <v>0</v>
      </c>
      <c r="Y2900">
        <v>0</v>
      </c>
      <c r="Z2900">
        <v>0</v>
      </c>
      <c r="AA2900">
        <v>0</v>
      </c>
      <c r="AB2900">
        <v>0</v>
      </c>
      <c r="AC2900">
        <v>0</v>
      </c>
      <c r="AD2900">
        <v>0</v>
      </c>
      <c r="AE2900">
        <v>0</v>
      </c>
      <c r="AF2900">
        <v>0</v>
      </c>
      <c r="AG2900">
        <v>0</v>
      </c>
      <c r="AH2900">
        <v>0</v>
      </c>
      <c r="AI2900">
        <v>0</v>
      </c>
      <c r="AJ2900">
        <v>0</v>
      </c>
      <c r="AK2900">
        <v>2014</v>
      </c>
      <c r="AL2900">
        <v>0</v>
      </c>
      <c r="AM2900">
        <v>0</v>
      </c>
      <c r="AN2900">
        <v>0</v>
      </c>
      <c r="AO2900">
        <v>0</v>
      </c>
      <c r="AP2900">
        <v>0</v>
      </c>
      <c r="AQ2900">
        <v>0</v>
      </c>
      <c r="AR2900">
        <v>0</v>
      </c>
      <c r="AS2900">
        <v>0</v>
      </c>
      <c r="AT2900">
        <v>0</v>
      </c>
      <c r="AU2900">
        <f t="shared" si="88"/>
        <v>0</v>
      </c>
      <c r="AV2900">
        <f t="shared" si="89"/>
        <v>2014</v>
      </c>
    </row>
    <row r="2901" spans="1:48" x14ac:dyDescent="0.25">
      <c r="A2901" t="s">
        <v>9692</v>
      </c>
      <c r="C2901" t="s">
        <v>9693</v>
      </c>
      <c r="D2901" t="s">
        <v>9694</v>
      </c>
      <c r="E2901" t="s">
        <v>1663</v>
      </c>
      <c r="F2901">
        <v>2</v>
      </c>
      <c r="G2901">
        <v>2.2999999999999998</v>
      </c>
      <c r="H2901" t="s">
        <v>2327</v>
      </c>
      <c r="I2901" s="21">
        <v>39965</v>
      </c>
      <c r="J2901">
        <v>2009</v>
      </c>
      <c r="K2901" s="21">
        <v>39995</v>
      </c>
      <c r="L2901">
        <v>2009</v>
      </c>
      <c r="M2901" s="21">
        <v>40148</v>
      </c>
      <c r="N2901">
        <v>2009</v>
      </c>
      <c r="Q2901" s="262">
        <v>0</v>
      </c>
      <c r="S2901" t="s">
        <v>114</v>
      </c>
      <c r="T2901" t="s">
        <v>114</v>
      </c>
      <c r="W2901">
        <v>900</v>
      </c>
      <c r="X2901">
        <v>0</v>
      </c>
      <c r="Y2901">
        <v>0</v>
      </c>
      <c r="Z2901">
        <v>0</v>
      </c>
      <c r="AA2901">
        <v>0</v>
      </c>
      <c r="AB2901">
        <v>0</v>
      </c>
      <c r="AC2901">
        <v>0</v>
      </c>
      <c r="AD2901">
        <v>0</v>
      </c>
      <c r="AE2901">
        <v>0</v>
      </c>
      <c r="AF2901">
        <v>0</v>
      </c>
      <c r="AG2901">
        <v>0</v>
      </c>
      <c r="AH2901">
        <v>0</v>
      </c>
      <c r="AI2901">
        <v>0</v>
      </c>
      <c r="AJ2901">
        <v>450</v>
      </c>
      <c r="AK2901">
        <v>450</v>
      </c>
      <c r="AL2901">
        <v>0</v>
      </c>
      <c r="AM2901">
        <v>0</v>
      </c>
      <c r="AN2901">
        <v>0</v>
      </c>
      <c r="AO2901">
        <v>0</v>
      </c>
      <c r="AP2901">
        <v>0</v>
      </c>
      <c r="AQ2901">
        <v>0</v>
      </c>
      <c r="AR2901">
        <v>0</v>
      </c>
      <c r="AS2901">
        <v>0</v>
      </c>
      <c r="AT2901">
        <v>0</v>
      </c>
      <c r="AU2901">
        <f t="shared" si="88"/>
        <v>0</v>
      </c>
      <c r="AV2901">
        <f t="shared" si="89"/>
        <v>900</v>
      </c>
    </row>
    <row r="2902" spans="1:48" x14ac:dyDescent="0.25">
      <c r="A2902" t="s">
        <v>9695</v>
      </c>
      <c r="C2902" t="s">
        <v>9696</v>
      </c>
      <c r="D2902" t="s">
        <v>9697</v>
      </c>
      <c r="E2902" t="s">
        <v>2310</v>
      </c>
      <c r="F2902">
        <v>9</v>
      </c>
      <c r="G2902">
        <v>9.1</v>
      </c>
      <c r="H2902" t="s">
        <v>2323</v>
      </c>
      <c r="I2902" s="21">
        <v>39966</v>
      </c>
      <c r="J2902">
        <v>2009</v>
      </c>
      <c r="K2902" s="21">
        <v>39966</v>
      </c>
      <c r="L2902">
        <v>2009</v>
      </c>
      <c r="M2902" s="21">
        <v>40148.655949074098</v>
      </c>
      <c r="N2902">
        <v>2009</v>
      </c>
      <c r="R2902" s="262">
        <v>36000</v>
      </c>
      <c r="S2902" t="s">
        <v>114</v>
      </c>
      <c r="T2902" t="s">
        <v>114</v>
      </c>
      <c r="U2902">
        <v>5</v>
      </c>
      <c r="W2902">
        <v>344</v>
      </c>
      <c r="X2902">
        <v>0</v>
      </c>
      <c r="Y2902">
        <v>0</v>
      </c>
      <c r="Z2902">
        <v>0</v>
      </c>
      <c r="AA2902">
        <v>0</v>
      </c>
      <c r="AB2902">
        <v>0</v>
      </c>
      <c r="AC2902">
        <v>344</v>
      </c>
      <c r="AD2902">
        <v>0</v>
      </c>
      <c r="AE2902">
        <v>0</v>
      </c>
      <c r="AF2902">
        <v>0</v>
      </c>
      <c r="AG2902">
        <v>0</v>
      </c>
      <c r="AH2902">
        <v>0</v>
      </c>
      <c r="AI2902">
        <v>0</v>
      </c>
      <c r="AJ2902">
        <v>0</v>
      </c>
      <c r="AK2902">
        <v>0</v>
      </c>
      <c r="AL2902">
        <v>0</v>
      </c>
      <c r="AM2902">
        <v>0</v>
      </c>
      <c r="AN2902">
        <v>0</v>
      </c>
      <c r="AO2902">
        <v>0</v>
      </c>
      <c r="AP2902">
        <v>0</v>
      </c>
      <c r="AQ2902">
        <v>0</v>
      </c>
      <c r="AR2902">
        <v>0</v>
      </c>
      <c r="AS2902">
        <v>0</v>
      </c>
      <c r="AT2902">
        <v>0</v>
      </c>
      <c r="AU2902">
        <f t="shared" si="88"/>
        <v>0</v>
      </c>
      <c r="AV2902">
        <f t="shared" si="89"/>
        <v>0</v>
      </c>
    </row>
    <row r="2903" spans="1:48" x14ac:dyDescent="0.25">
      <c r="A2903" t="s">
        <v>9698</v>
      </c>
      <c r="C2903" t="s">
        <v>9699</v>
      </c>
      <c r="D2903" t="s">
        <v>9700</v>
      </c>
      <c r="E2903" t="s">
        <v>2310</v>
      </c>
      <c r="F2903">
        <v>10</v>
      </c>
      <c r="G2903">
        <v>10.1</v>
      </c>
      <c r="H2903" t="s">
        <v>2323</v>
      </c>
      <c r="I2903" s="21">
        <v>39968</v>
      </c>
      <c r="J2903">
        <v>2009</v>
      </c>
      <c r="K2903" s="21">
        <v>39968</v>
      </c>
      <c r="L2903">
        <v>2009</v>
      </c>
      <c r="M2903" s="21">
        <v>40199.641493055598</v>
      </c>
      <c r="N2903">
        <v>2010</v>
      </c>
      <c r="R2903" s="262">
        <v>69000</v>
      </c>
      <c r="S2903" t="s">
        <v>114</v>
      </c>
      <c r="T2903" t="s">
        <v>114</v>
      </c>
      <c r="U2903">
        <v>5</v>
      </c>
      <c r="W2903">
        <v>670</v>
      </c>
      <c r="X2903">
        <v>0</v>
      </c>
      <c r="Y2903">
        <v>0</v>
      </c>
      <c r="Z2903">
        <v>0</v>
      </c>
      <c r="AA2903">
        <v>0</v>
      </c>
      <c r="AB2903">
        <v>0</v>
      </c>
      <c r="AC2903">
        <v>670</v>
      </c>
      <c r="AD2903">
        <v>0</v>
      </c>
      <c r="AE2903">
        <v>0</v>
      </c>
      <c r="AF2903">
        <v>0</v>
      </c>
      <c r="AG2903">
        <v>0</v>
      </c>
      <c r="AH2903">
        <v>0</v>
      </c>
      <c r="AI2903">
        <v>0</v>
      </c>
      <c r="AJ2903">
        <v>0</v>
      </c>
      <c r="AK2903">
        <v>0</v>
      </c>
      <c r="AL2903">
        <v>0</v>
      </c>
      <c r="AM2903">
        <v>0</v>
      </c>
      <c r="AN2903">
        <v>0</v>
      </c>
      <c r="AO2903">
        <v>0</v>
      </c>
      <c r="AP2903">
        <v>0</v>
      </c>
      <c r="AQ2903">
        <v>0</v>
      </c>
      <c r="AR2903">
        <v>0</v>
      </c>
      <c r="AS2903">
        <v>0</v>
      </c>
      <c r="AT2903">
        <v>0</v>
      </c>
      <c r="AU2903">
        <f t="shared" si="88"/>
        <v>0</v>
      </c>
      <c r="AV2903">
        <f t="shared" si="89"/>
        <v>0</v>
      </c>
    </row>
    <row r="2904" spans="1:48" x14ac:dyDescent="0.25">
      <c r="A2904" t="s">
        <v>9701</v>
      </c>
      <c r="C2904" t="s">
        <v>9702</v>
      </c>
      <c r="D2904" t="s">
        <v>9703</v>
      </c>
      <c r="E2904" t="s">
        <v>2310</v>
      </c>
      <c r="F2904">
        <v>13</v>
      </c>
      <c r="G2904">
        <v>13.3</v>
      </c>
      <c r="H2904" t="s">
        <v>2017</v>
      </c>
      <c r="I2904" s="21">
        <v>39972</v>
      </c>
      <c r="J2904">
        <v>2009</v>
      </c>
      <c r="K2904" s="21">
        <v>39972</v>
      </c>
      <c r="L2904">
        <v>2009</v>
      </c>
      <c r="P2904" s="21">
        <v>43664.381358368097</v>
      </c>
      <c r="R2904" s="262">
        <v>0</v>
      </c>
      <c r="S2904" t="s">
        <v>114</v>
      </c>
      <c r="T2904" t="s">
        <v>114</v>
      </c>
      <c r="U2904">
        <v>5</v>
      </c>
      <c r="W2904">
        <v>0</v>
      </c>
      <c r="X2904">
        <v>0</v>
      </c>
      <c r="Y2904">
        <v>0</v>
      </c>
      <c r="Z2904">
        <v>0</v>
      </c>
      <c r="AA2904">
        <v>0</v>
      </c>
      <c r="AB2904">
        <v>0</v>
      </c>
      <c r="AC2904">
        <v>0</v>
      </c>
      <c r="AD2904">
        <v>0</v>
      </c>
      <c r="AE2904">
        <v>0</v>
      </c>
      <c r="AF2904">
        <v>0</v>
      </c>
      <c r="AG2904">
        <v>0</v>
      </c>
      <c r="AH2904">
        <v>0</v>
      </c>
      <c r="AI2904">
        <v>0</v>
      </c>
      <c r="AJ2904">
        <v>0</v>
      </c>
      <c r="AK2904">
        <v>0</v>
      </c>
      <c r="AL2904">
        <v>0</v>
      </c>
      <c r="AM2904">
        <v>0</v>
      </c>
      <c r="AN2904">
        <v>0</v>
      </c>
      <c r="AO2904">
        <v>0</v>
      </c>
      <c r="AP2904">
        <v>0</v>
      </c>
      <c r="AQ2904">
        <v>0</v>
      </c>
      <c r="AR2904">
        <v>0</v>
      </c>
      <c r="AS2904">
        <v>0</v>
      </c>
      <c r="AT2904">
        <v>0</v>
      </c>
      <c r="AU2904">
        <f t="shared" si="88"/>
        <v>0</v>
      </c>
      <c r="AV2904">
        <f t="shared" si="89"/>
        <v>0</v>
      </c>
    </row>
    <row r="2905" spans="1:48" x14ac:dyDescent="0.25">
      <c r="A2905" t="s">
        <v>9704</v>
      </c>
      <c r="C2905" t="s">
        <v>9705</v>
      </c>
      <c r="D2905" t="s">
        <v>9706</v>
      </c>
      <c r="E2905" t="s">
        <v>2310</v>
      </c>
      <c r="F2905">
        <v>8</v>
      </c>
      <c r="G2905">
        <v>8.3000000000000007</v>
      </c>
      <c r="H2905" t="s">
        <v>2323</v>
      </c>
      <c r="I2905" s="21">
        <v>39973</v>
      </c>
      <c r="J2905">
        <v>2009</v>
      </c>
      <c r="K2905" s="21">
        <v>39973</v>
      </c>
      <c r="L2905">
        <v>2009</v>
      </c>
      <c r="M2905" s="21">
        <v>40921.471828703703</v>
      </c>
      <c r="N2905">
        <v>2012</v>
      </c>
      <c r="R2905" s="262">
        <v>123583</v>
      </c>
      <c r="S2905" t="s">
        <v>114</v>
      </c>
      <c r="T2905" t="s">
        <v>114</v>
      </c>
      <c r="U2905">
        <v>5</v>
      </c>
      <c r="W2905">
        <v>3120</v>
      </c>
      <c r="X2905">
        <v>0</v>
      </c>
      <c r="Y2905">
        <v>0</v>
      </c>
      <c r="Z2905">
        <v>0</v>
      </c>
      <c r="AA2905">
        <v>0</v>
      </c>
      <c r="AB2905">
        <v>0</v>
      </c>
      <c r="AC2905">
        <v>3120</v>
      </c>
      <c r="AD2905">
        <v>0</v>
      </c>
      <c r="AE2905">
        <v>0</v>
      </c>
      <c r="AF2905">
        <v>0</v>
      </c>
      <c r="AG2905">
        <v>0</v>
      </c>
      <c r="AH2905">
        <v>0</v>
      </c>
      <c r="AI2905">
        <v>0</v>
      </c>
      <c r="AJ2905">
        <v>0</v>
      </c>
      <c r="AK2905">
        <v>0</v>
      </c>
      <c r="AL2905">
        <v>0</v>
      </c>
      <c r="AM2905">
        <v>0</v>
      </c>
      <c r="AN2905">
        <v>0</v>
      </c>
      <c r="AO2905">
        <v>0</v>
      </c>
      <c r="AP2905">
        <v>0</v>
      </c>
      <c r="AQ2905">
        <v>0</v>
      </c>
      <c r="AR2905">
        <v>0</v>
      </c>
      <c r="AS2905">
        <v>0</v>
      </c>
      <c r="AT2905">
        <v>0</v>
      </c>
      <c r="AU2905">
        <f t="shared" ref="AU2905:AU2968" si="90">SUM(AN2905:AQ2905,AS2905)</f>
        <v>0</v>
      </c>
      <c r="AV2905">
        <f t="shared" ref="AV2905:AV2968" si="91">SUM(Y2905:AB2905,AH2905:AM2905)</f>
        <v>0</v>
      </c>
    </row>
    <row r="2906" spans="1:48" x14ac:dyDescent="0.25">
      <c r="A2906" t="s">
        <v>9707</v>
      </c>
      <c r="C2906" t="s">
        <v>9708</v>
      </c>
      <c r="D2906" t="s">
        <v>9709</v>
      </c>
      <c r="E2906" t="s">
        <v>2310</v>
      </c>
      <c r="F2906">
        <v>10</v>
      </c>
      <c r="G2906">
        <v>10.1</v>
      </c>
      <c r="H2906" t="s">
        <v>2323</v>
      </c>
      <c r="I2906" s="21">
        <v>39973</v>
      </c>
      <c r="J2906">
        <v>2009</v>
      </c>
      <c r="K2906" s="21">
        <v>39973</v>
      </c>
      <c r="L2906">
        <v>2009</v>
      </c>
      <c r="M2906" s="21">
        <v>40259.526192129597</v>
      </c>
      <c r="N2906">
        <v>2010</v>
      </c>
      <c r="R2906" s="262">
        <v>326000</v>
      </c>
      <c r="S2906" t="s">
        <v>114</v>
      </c>
      <c r="T2906" t="s">
        <v>114</v>
      </c>
      <c r="U2906">
        <v>5</v>
      </c>
      <c r="W2906">
        <v>3577</v>
      </c>
      <c r="X2906">
        <v>1</v>
      </c>
      <c r="Y2906">
        <v>0</v>
      </c>
      <c r="Z2906">
        <v>0</v>
      </c>
      <c r="AA2906">
        <v>0</v>
      </c>
      <c r="AB2906">
        <v>0</v>
      </c>
      <c r="AC2906">
        <v>3577</v>
      </c>
      <c r="AD2906">
        <v>0</v>
      </c>
      <c r="AE2906">
        <v>0</v>
      </c>
      <c r="AF2906">
        <v>0</v>
      </c>
      <c r="AG2906">
        <v>0</v>
      </c>
      <c r="AH2906">
        <v>0</v>
      </c>
      <c r="AI2906">
        <v>0</v>
      </c>
      <c r="AJ2906">
        <v>0</v>
      </c>
      <c r="AK2906">
        <v>0</v>
      </c>
      <c r="AL2906">
        <v>0</v>
      </c>
      <c r="AM2906">
        <v>0</v>
      </c>
      <c r="AN2906">
        <v>0</v>
      </c>
      <c r="AO2906">
        <v>1</v>
      </c>
      <c r="AP2906">
        <v>0</v>
      </c>
      <c r="AQ2906">
        <v>0</v>
      </c>
      <c r="AR2906">
        <v>0</v>
      </c>
      <c r="AS2906">
        <v>0</v>
      </c>
      <c r="AT2906">
        <v>0</v>
      </c>
      <c r="AU2906">
        <f t="shared" si="90"/>
        <v>1</v>
      </c>
      <c r="AV2906">
        <f t="shared" si="91"/>
        <v>0</v>
      </c>
    </row>
    <row r="2907" spans="1:48" x14ac:dyDescent="0.25">
      <c r="A2907" t="s">
        <v>19754</v>
      </c>
      <c r="C2907" t="s">
        <v>19755</v>
      </c>
      <c r="D2907" t="s">
        <v>19756</v>
      </c>
      <c r="E2907" t="s">
        <v>2310</v>
      </c>
      <c r="F2907">
        <v>15</v>
      </c>
      <c r="G2907">
        <v>15.2</v>
      </c>
      <c r="H2907" t="s">
        <v>2323</v>
      </c>
      <c r="I2907" s="21">
        <v>39973</v>
      </c>
      <c r="J2907">
        <v>2009</v>
      </c>
      <c r="K2907" s="21">
        <v>39973</v>
      </c>
      <c r="L2907">
        <v>2009</v>
      </c>
      <c r="M2907" s="21">
        <v>44266</v>
      </c>
      <c r="N2907">
        <v>2021</v>
      </c>
      <c r="R2907" s="262">
        <v>389000</v>
      </c>
      <c r="S2907" t="s">
        <v>13254</v>
      </c>
      <c r="U2907">
        <v>5</v>
      </c>
      <c r="W2907">
        <v>4992</v>
      </c>
      <c r="X2907">
        <v>1</v>
      </c>
      <c r="Y2907">
        <v>0</v>
      </c>
      <c r="Z2907">
        <v>0</v>
      </c>
      <c r="AA2907">
        <v>0</v>
      </c>
      <c r="AB2907">
        <v>0</v>
      </c>
      <c r="AC2907">
        <v>4992</v>
      </c>
      <c r="AD2907">
        <v>0</v>
      </c>
      <c r="AE2907">
        <v>0</v>
      </c>
      <c r="AF2907">
        <v>0</v>
      </c>
      <c r="AG2907">
        <v>0</v>
      </c>
      <c r="AH2907">
        <v>0</v>
      </c>
      <c r="AI2907">
        <v>0</v>
      </c>
      <c r="AJ2907">
        <v>0</v>
      </c>
      <c r="AK2907">
        <v>0</v>
      </c>
      <c r="AL2907">
        <v>0</v>
      </c>
      <c r="AM2907">
        <v>0</v>
      </c>
      <c r="AN2907">
        <v>0</v>
      </c>
      <c r="AO2907">
        <v>1</v>
      </c>
      <c r="AP2907">
        <v>0</v>
      </c>
      <c r="AQ2907">
        <v>0</v>
      </c>
      <c r="AR2907">
        <v>0</v>
      </c>
      <c r="AS2907">
        <v>0</v>
      </c>
      <c r="AT2907">
        <v>0</v>
      </c>
      <c r="AU2907">
        <f t="shared" si="90"/>
        <v>1</v>
      </c>
      <c r="AV2907">
        <f t="shared" si="91"/>
        <v>0</v>
      </c>
    </row>
    <row r="2908" spans="1:48" x14ac:dyDescent="0.25">
      <c r="A2908" t="s">
        <v>9710</v>
      </c>
      <c r="C2908" t="s">
        <v>9711</v>
      </c>
      <c r="D2908" t="s">
        <v>9712</v>
      </c>
      <c r="E2908" t="s">
        <v>2310</v>
      </c>
      <c r="F2908">
        <v>10</v>
      </c>
      <c r="G2908">
        <v>10.1</v>
      </c>
      <c r="H2908" t="s">
        <v>2323</v>
      </c>
      <c r="I2908" s="21">
        <v>39974</v>
      </c>
      <c r="J2908">
        <v>2009</v>
      </c>
      <c r="K2908" s="21">
        <v>39974</v>
      </c>
      <c r="L2908">
        <v>2009</v>
      </c>
      <c r="M2908" s="21">
        <v>40225.566747685203</v>
      </c>
      <c r="N2908">
        <v>2010</v>
      </c>
      <c r="R2908" s="262">
        <v>34255</v>
      </c>
      <c r="S2908" t="s">
        <v>114</v>
      </c>
      <c r="T2908" t="s">
        <v>114</v>
      </c>
      <c r="U2908">
        <v>5</v>
      </c>
      <c r="W2908">
        <v>336</v>
      </c>
      <c r="X2908">
        <v>0</v>
      </c>
      <c r="Y2908">
        <v>0</v>
      </c>
      <c r="Z2908">
        <v>0</v>
      </c>
      <c r="AA2908">
        <v>0</v>
      </c>
      <c r="AB2908">
        <v>0</v>
      </c>
      <c r="AC2908">
        <v>336</v>
      </c>
      <c r="AD2908">
        <v>0</v>
      </c>
      <c r="AE2908">
        <v>0</v>
      </c>
      <c r="AF2908">
        <v>0</v>
      </c>
      <c r="AG2908">
        <v>0</v>
      </c>
      <c r="AH2908">
        <v>0</v>
      </c>
      <c r="AI2908">
        <v>0</v>
      </c>
      <c r="AJ2908">
        <v>0</v>
      </c>
      <c r="AK2908">
        <v>0</v>
      </c>
      <c r="AL2908">
        <v>0</v>
      </c>
      <c r="AM2908">
        <v>0</v>
      </c>
      <c r="AN2908">
        <v>0</v>
      </c>
      <c r="AO2908">
        <v>0</v>
      </c>
      <c r="AP2908">
        <v>0</v>
      </c>
      <c r="AQ2908">
        <v>0</v>
      </c>
      <c r="AR2908">
        <v>0</v>
      </c>
      <c r="AS2908">
        <v>0</v>
      </c>
      <c r="AT2908">
        <v>0</v>
      </c>
      <c r="AU2908">
        <f t="shared" si="90"/>
        <v>0</v>
      </c>
      <c r="AV2908">
        <f t="shared" si="91"/>
        <v>0</v>
      </c>
    </row>
    <row r="2909" spans="1:48" x14ac:dyDescent="0.25">
      <c r="A2909" t="s">
        <v>9713</v>
      </c>
      <c r="C2909" t="s">
        <v>9714</v>
      </c>
      <c r="D2909" t="s">
        <v>9715</v>
      </c>
      <c r="E2909" t="s">
        <v>2310</v>
      </c>
      <c r="F2909">
        <v>13</v>
      </c>
      <c r="G2909">
        <v>13.2</v>
      </c>
      <c r="H2909" t="s">
        <v>2327</v>
      </c>
      <c r="I2909" s="21">
        <v>39975</v>
      </c>
      <c r="J2909">
        <v>2009</v>
      </c>
      <c r="K2909" s="21">
        <v>39975</v>
      </c>
      <c r="L2909">
        <v>2009</v>
      </c>
      <c r="M2909" s="21">
        <v>41711.491122685198</v>
      </c>
      <c r="N2909">
        <v>2014</v>
      </c>
      <c r="R2909" s="262">
        <v>111000</v>
      </c>
      <c r="S2909" t="s">
        <v>114</v>
      </c>
      <c r="T2909" t="s">
        <v>114</v>
      </c>
      <c r="U2909">
        <v>15</v>
      </c>
      <c r="W2909">
        <v>2710</v>
      </c>
      <c r="X2909">
        <v>0</v>
      </c>
      <c r="Y2909">
        <v>0</v>
      </c>
      <c r="Z2909">
        <v>0</v>
      </c>
      <c r="AA2909">
        <v>0</v>
      </c>
      <c r="AB2909">
        <v>0</v>
      </c>
      <c r="AC2909">
        <v>0</v>
      </c>
      <c r="AD2909">
        <v>0</v>
      </c>
      <c r="AE2909">
        <v>0</v>
      </c>
      <c r="AF2909">
        <v>0</v>
      </c>
      <c r="AG2909">
        <v>0</v>
      </c>
      <c r="AH2909">
        <v>0</v>
      </c>
      <c r="AI2909">
        <v>0</v>
      </c>
      <c r="AJ2909">
        <v>0</v>
      </c>
      <c r="AK2909">
        <v>0</v>
      </c>
      <c r="AL2909">
        <v>0</v>
      </c>
      <c r="AM2909">
        <v>2710</v>
      </c>
      <c r="AN2909">
        <v>0</v>
      </c>
      <c r="AO2909">
        <v>0</v>
      </c>
      <c r="AP2909">
        <v>0</v>
      </c>
      <c r="AQ2909">
        <v>0</v>
      </c>
      <c r="AR2909">
        <v>0</v>
      </c>
      <c r="AS2909">
        <v>0</v>
      </c>
      <c r="AT2909">
        <v>0</v>
      </c>
      <c r="AU2909">
        <f t="shared" si="90"/>
        <v>0</v>
      </c>
      <c r="AV2909">
        <f t="shared" si="91"/>
        <v>2710</v>
      </c>
    </row>
    <row r="2910" spans="1:48" x14ac:dyDescent="0.25">
      <c r="A2910" t="s">
        <v>9716</v>
      </c>
      <c r="C2910" t="s">
        <v>9717</v>
      </c>
      <c r="D2910" t="s">
        <v>9718</v>
      </c>
      <c r="E2910" t="s">
        <v>2310</v>
      </c>
      <c r="F2910">
        <v>9</v>
      </c>
      <c r="G2910">
        <v>9.3000000000000007</v>
      </c>
      <c r="H2910" t="s">
        <v>2323</v>
      </c>
      <c r="I2910" s="21">
        <v>39975</v>
      </c>
      <c r="J2910">
        <v>2009</v>
      </c>
      <c r="K2910" s="21">
        <v>39975</v>
      </c>
      <c r="L2910">
        <v>2009</v>
      </c>
      <c r="P2910" s="21">
        <v>42292.396620370397</v>
      </c>
      <c r="Q2910" s="262">
        <v>100000</v>
      </c>
      <c r="R2910" s="262">
        <v>52000</v>
      </c>
      <c r="S2910" t="s">
        <v>114</v>
      </c>
      <c r="T2910" t="s">
        <v>114</v>
      </c>
      <c r="U2910">
        <v>5</v>
      </c>
      <c r="W2910">
        <v>1061</v>
      </c>
      <c r="X2910">
        <v>0</v>
      </c>
      <c r="Y2910">
        <v>0</v>
      </c>
      <c r="Z2910">
        <v>0</v>
      </c>
      <c r="AA2910">
        <v>0</v>
      </c>
      <c r="AB2910">
        <v>0</v>
      </c>
      <c r="AC2910">
        <v>1061</v>
      </c>
      <c r="AD2910">
        <v>0</v>
      </c>
      <c r="AE2910">
        <v>0</v>
      </c>
      <c r="AF2910">
        <v>0</v>
      </c>
      <c r="AG2910">
        <v>0</v>
      </c>
      <c r="AH2910">
        <v>0</v>
      </c>
      <c r="AI2910">
        <v>0</v>
      </c>
      <c r="AJ2910">
        <v>0</v>
      </c>
      <c r="AK2910">
        <v>0</v>
      </c>
      <c r="AL2910">
        <v>0</v>
      </c>
      <c r="AM2910">
        <v>0</v>
      </c>
      <c r="AN2910">
        <v>0</v>
      </c>
      <c r="AO2910">
        <v>0</v>
      </c>
      <c r="AP2910">
        <v>0</v>
      </c>
      <c r="AQ2910">
        <v>0</v>
      </c>
      <c r="AR2910">
        <v>0</v>
      </c>
      <c r="AS2910">
        <v>0</v>
      </c>
      <c r="AT2910">
        <v>0</v>
      </c>
      <c r="AU2910">
        <f t="shared" si="90"/>
        <v>0</v>
      </c>
      <c r="AV2910">
        <f t="shared" si="91"/>
        <v>0</v>
      </c>
    </row>
    <row r="2911" spans="1:48" x14ac:dyDescent="0.25">
      <c r="A2911" t="s">
        <v>9719</v>
      </c>
      <c r="C2911" t="s">
        <v>9720</v>
      </c>
      <c r="D2911" t="s">
        <v>9721</v>
      </c>
      <c r="E2911" t="s">
        <v>2310</v>
      </c>
      <c r="F2911">
        <v>8</v>
      </c>
      <c r="G2911">
        <v>8.1</v>
      </c>
      <c r="H2911" t="s">
        <v>2323</v>
      </c>
      <c r="I2911" s="21">
        <v>39975</v>
      </c>
      <c r="J2911">
        <v>2009</v>
      </c>
      <c r="K2911" s="21">
        <v>39975</v>
      </c>
      <c r="L2911">
        <v>2009</v>
      </c>
      <c r="M2911" s="21">
        <v>40164.413530092599</v>
      </c>
      <c r="N2911">
        <v>2009</v>
      </c>
      <c r="R2911" s="262">
        <v>101338</v>
      </c>
      <c r="S2911" t="s">
        <v>114</v>
      </c>
      <c r="T2911" t="s">
        <v>114</v>
      </c>
      <c r="U2911">
        <v>8</v>
      </c>
      <c r="W2911">
        <v>0</v>
      </c>
      <c r="X2911">
        <v>0</v>
      </c>
      <c r="Y2911">
        <v>0</v>
      </c>
      <c r="Z2911">
        <v>0</v>
      </c>
      <c r="AA2911">
        <v>0</v>
      </c>
      <c r="AB2911">
        <v>0</v>
      </c>
      <c r="AC2911">
        <v>0</v>
      </c>
      <c r="AD2911">
        <v>0</v>
      </c>
      <c r="AE2911">
        <v>0</v>
      </c>
      <c r="AF2911">
        <v>0</v>
      </c>
      <c r="AG2911">
        <v>0</v>
      </c>
      <c r="AH2911">
        <v>0</v>
      </c>
      <c r="AI2911">
        <v>0</v>
      </c>
      <c r="AJ2911">
        <v>0</v>
      </c>
      <c r="AK2911">
        <v>0</v>
      </c>
      <c r="AL2911">
        <v>0</v>
      </c>
      <c r="AM2911">
        <v>0</v>
      </c>
      <c r="AN2911">
        <v>0</v>
      </c>
      <c r="AO2911">
        <v>0</v>
      </c>
      <c r="AP2911">
        <v>0</v>
      </c>
      <c r="AQ2911">
        <v>0</v>
      </c>
      <c r="AR2911">
        <v>0</v>
      </c>
      <c r="AS2911">
        <v>0</v>
      </c>
      <c r="AT2911">
        <v>0</v>
      </c>
      <c r="AU2911">
        <f t="shared" si="90"/>
        <v>0</v>
      </c>
      <c r="AV2911">
        <f t="shared" si="91"/>
        <v>0</v>
      </c>
    </row>
    <row r="2912" spans="1:48" x14ac:dyDescent="0.25">
      <c r="A2912" t="s">
        <v>9722</v>
      </c>
      <c r="C2912" t="s">
        <v>9644</v>
      </c>
      <c r="D2912" t="s">
        <v>9723</v>
      </c>
      <c r="E2912" t="s">
        <v>2310</v>
      </c>
      <c r="F2912">
        <v>9</v>
      </c>
      <c r="G2912">
        <v>9.1</v>
      </c>
      <c r="H2912" t="s">
        <v>2323</v>
      </c>
      <c r="I2912" s="21">
        <v>39975</v>
      </c>
      <c r="J2912">
        <v>2009</v>
      </c>
      <c r="K2912" s="21">
        <v>39975</v>
      </c>
      <c r="L2912">
        <v>2009</v>
      </c>
      <c r="M2912" s="21">
        <v>40310.351840277799</v>
      </c>
      <c r="N2912">
        <v>2010</v>
      </c>
      <c r="R2912" s="262">
        <v>550000</v>
      </c>
      <c r="S2912" t="s">
        <v>114</v>
      </c>
      <c r="T2912" t="s">
        <v>114</v>
      </c>
      <c r="U2912">
        <v>5</v>
      </c>
      <c r="W2912">
        <v>5957</v>
      </c>
      <c r="X2912">
        <v>1</v>
      </c>
      <c r="Y2912">
        <v>0</v>
      </c>
      <c r="Z2912">
        <v>0</v>
      </c>
      <c r="AA2912">
        <v>0</v>
      </c>
      <c r="AB2912">
        <v>0</v>
      </c>
      <c r="AC2912">
        <v>5957</v>
      </c>
      <c r="AD2912">
        <v>0</v>
      </c>
      <c r="AE2912">
        <v>0</v>
      </c>
      <c r="AF2912">
        <v>0</v>
      </c>
      <c r="AG2912">
        <v>0</v>
      </c>
      <c r="AH2912">
        <v>0</v>
      </c>
      <c r="AI2912">
        <v>0</v>
      </c>
      <c r="AJ2912">
        <v>0</v>
      </c>
      <c r="AK2912">
        <v>0</v>
      </c>
      <c r="AL2912">
        <v>0</v>
      </c>
      <c r="AM2912">
        <v>0</v>
      </c>
      <c r="AN2912">
        <v>0</v>
      </c>
      <c r="AO2912">
        <v>1</v>
      </c>
      <c r="AP2912">
        <v>0</v>
      </c>
      <c r="AQ2912">
        <v>0</v>
      </c>
      <c r="AR2912">
        <v>0</v>
      </c>
      <c r="AS2912">
        <v>0</v>
      </c>
      <c r="AT2912">
        <v>0</v>
      </c>
      <c r="AU2912">
        <f t="shared" si="90"/>
        <v>1</v>
      </c>
      <c r="AV2912">
        <f t="shared" si="91"/>
        <v>0</v>
      </c>
    </row>
    <row r="2913" spans="1:48" x14ac:dyDescent="0.25">
      <c r="A2913" t="s">
        <v>9724</v>
      </c>
      <c r="C2913" t="s">
        <v>9725</v>
      </c>
      <c r="D2913" t="s">
        <v>9726</v>
      </c>
      <c r="E2913" t="s">
        <v>2310</v>
      </c>
      <c r="F2913">
        <v>10</v>
      </c>
      <c r="G2913">
        <v>10.1</v>
      </c>
      <c r="H2913" t="s">
        <v>2323</v>
      </c>
      <c r="I2913" s="21">
        <v>39980</v>
      </c>
      <c r="J2913">
        <v>2009</v>
      </c>
      <c r="K2913" s="21">
        <v>39980</v>
      </c>
      <c r="L2913">
        <v>2009</v>
      </c>
      <c r="M2913" s="21">
        <v>41450.623576388898</v>
      </c>
      <c r="N2913">
        <v>2013</v>
      </c>
      <c r="R2913" s="262">
        <v>262000</v>
      </c>
      <c r="S2913" t="s">
        <v>114</v>
      </c>
      <c r="T2913" t="s">
        <v>114</v>
      </c>
      <c r="U2913">
        <v>5</v>
      </c>
      <c r="W2913">
        <v>2795</v>
      </c>
      <c r="X2913">
        <v>1</v>
      </c>
      <c r="Y2913">
        <v>0</v>
      </c>
      <c r="Z2913">
        <v>0</v>
      </c>
      <c r="AA2913">
        <v>0</v>
      </c>
      <c r="AB2913">
        <v>0</v>
      </c>
      <c r="AC2913">
        <v>2795</v>
      </c>
      <c r="AD2913">
        <v>0</v>
      </c>
      <c r="AE2913">
        <v>0</v>
      </c>
      <c r="AF2913">
        <v>0</v>
      </c>
      <c r="AG2913">
        <v>0</v>
      </c>
      <c r="AH2913">
        <v>0</v>
      </c>
      <c r="AI2913">
        <v>0</v>
      </c>
      <c r="AJ2913">
        <v>0</v>
      </c>
      <c r="AK2913">
        <v>0</v>
      </c>
      <c r="AL2913">
        <v>0</v>
      </c>
      <c r="AM2913">
        <v>0</v>
      </c>
      <c r="AN2913">
        <v>0</v>
      </c>
      <c r="AO2913">
        <v>1</v>
      </c>
      <c r="AP2913">
        <v>0</v>
      </c>
      <c r="AQ2913">
        <v>0</v>
      </c>
      <c r="AR2913">
        <v>0</v>
      </c>
      <c r="AS2913">
        <v>0</v>
      </c>
      <c r="AT2913">
        <v>0</v>
      </c>
      <c r="AU2913">
        <f t="shared" si="90"/>
        <v>1</v>
      </c>
      <c r="AV2913">
        <f t="shared" si="91"/>
        <v>0</v>
      </c>
    </row>
    <row r="2914" spans="1:48" x14ac:dyDescent="0.25">
      <c r="A2914" t="s">
        <v>9727</v>
      </c>
      <c r="C2914" t="s">
        <v>9728</v>
      </c>
      <c r="D2914" t="s">
        <v>9729</v>
      </c>
      <c r="E2914" t="s">
        <v>2310</v>
      </c>
      <c r="F2914">
        <v>15</v>
      </c>
      <c r="G2914">
        <v>15.3</v>
      </c>
      <c r="H2914" t="s">
        <v>2022</v>
      </c>
      <c r="I2914" s="21">
        <v>39982</v>
      </c>
      <c r="J2914">
        <v>2009</v>
      </c>
      <c r="K2914" s="21">
        <v>39982</v>
      </c>
      <c r="L2914">
        <v>2009</v>
      </c>
      <c r="M2914" s="21">
        <v>40325.442673611098</v>
      </c>
      <c r="N2914">
        <v>2010</v>
      </c>
      <c r="R2914" s="262">
        <v>164000</v>
      </c>
      <c r="S2914" t="s">
        <v>114</v>
      </c>
      <c r="T2914" t="s">
        <v>114</v>
      </c>
      <c r="U2914">
        <v>5</v>
      </c>
      <c r="W2914">
        <v>1500</v>
      </c>
      <c r="X2914">
        <v>1</v>
      </c>
      <c r="Y2914">
        <v>0</v>
      </c>
      <c r="Z2914">
        <v>0</v>
      </c>
      <c r="AA2914">
        <v>0</v>
      </c>
      <c r="AB2914">
        <v>0</v>
      </c>
      <c r="AC2914">
        <v>1500</v>
      </c>
      <c r="AD2914">
        <v>0</v>
      </c>
      <c r="AE2914">
        <v>0</v>
      </c>
      <c r="AF2914">
        <v>0</v>
      </c>
      <c r="AG2914">
        <v>0</v>
      </c>
      <c r="AH2914">
        <v>0</v>
      </c>
      <c r="AI2914">
        <v>0</v>
      </c>
      <c r="AJ2914">
        <v>0</v>
      </c>
      <c r="AK2914">
        <v>0</v>
      </c>
      <c r="AL2914">
        <v>0</v>
      </c>
      <c r="AM2914">
        <v>0</v>
      </c>
      <c r="AN2914">
        <v>0</v>
      </c>
      <c r="AO2914">
        <v>1</v>
      </c>
      <c r="AP2914">
        <v>0</v>
      </c>
      <c r="AQ2914">
        <v>0</v>
      </c>
      <c r="AR2914">
        <v>0</v>
      </c>
      <c r="AS2914">
        <v>0</v>
      </c>
      <c r="AT2914">
        <v>0</v>
      </c>
      <c r="AU2914">
        <f t="shared" si="90"/>
        <v>1</v>
      </c>
      <c r="AV2914">
        <f t="shared" si="91"/>
        <v>0</v>
      </c>
    </row>
    <row r="2915" spans="1:48" x14ac:dyDescent="0.25">
      <c r="A2915" t="s">
        <v>9730</v>
      </c>
      <c r="C2915" t="s">
        <v>9731</v>
      </c>
      <c r="D2915" t="s">
        <v>9732</v>
      </c>
      <c r="E2915" t="s">
        <v>1663</v>
      </c>
      <c r="F2915">
        <v>2</v>
      </c>
      <c r="G2915">
        <v>2.2000000000000002</v>
      </c>
      <c r="H2915" t="s">
        <v>2327</v>
      </c>
      <c r="I2915" s="21">
        <v>39988</v>
      </c>
      <c r="J2915">
        <v>2009</v>
      </c>
      <c r="K2915" s="21">
        <v>40018</v>
      </c>
      <c r="L2915">
        <v>2009</v>
      </c>
      <c r="M2915" s="21">
        <v>40171</v>
      </c>
      <c r="N2915">
        <v>2009</v>
      </c>
      <c r="Q2915" s="262">
        <v>130000</v>
      </c>
      <c r="S2915" t="s">
        <v>114</v>
      </c>
      <c r="T2915" t="s">
        <v>114</v>
      </c>
      <c r="W2915">
        <v>737</v>
      </c>
      <c r="X2915">
        <v>0</v>
      </c>
      <c r="Y2915">
        <v>0</v>
      </c>
      <c r="Z2915">
        <v>0</v>
      </c>
      <c r="AA2915">
        <v>0</v>
      </c>
      <c r="AB2915">
        <v>0</v>
      </c>
      <c r="AC2915">
        <v>737</v>
      </c>
      <c r="AD2915">
        <v>0</v>
      </c>
      <c r="AE2915">
        <v>0</v>
      </c>
      <c r="AF2915">
        <v>0</v>
      </c>
      <c r="AG2915">
        <v>0</v>
      </c>
      <c r="AH2915">
        <v>0</v>
      </c>
      <c r="AI2915">
        <v>0</v>
      </c>
      <c r="AJ2915">
        <v>0</v>
      </c>
      <c r="AK2915">
        <v>0</v>
      </c>
      <c r="AL2915">
        <v>0</v>
      </c>
      <c r="AM2915">
        <v>0</v>
      </c>
      <c r="AN2915">
        <v>0</v>
      </c>
      <c r="AO2915">
        <v>0</v>
      </c>
      <c r="AP2915">
        <v>0</v>
      </c>
      <c r="AQ2915">
        <v>0</v>
      </c>
      <c r="AR2915">
        <v>0</v>
      </c>
      <c r="AS2915">
        <v>0</v>
      </c>
      <c r="AT2915">
        <v>0</v>
      </c>
      <c r="AU2915">
        <f t="shared" si="90"/>
        <v>0</v>
      </c>
      <c r="AV2915">
        <f t="shared" si="91"/>
        <v>0</v>
      </c>
    </row>
    <row r="2916" spans="1:48" x14ac:dyDescent="0.25">
      <c r="A2916" t="s">
        <v>9733</v>
      </c>
      <c r="C2916" t="s">
        <v>9734</v>
      </c>
      <c r="D2916" t="s">
        <v>9735</v>
      </c>
      <c r="E2916" t="s">
        <v>2310</v>
      </c>
      <c r="F2916">
        <v>10</v>
      </c>
      <c r="G2916">
        <v>10.1</v>
      </c>
      <c r="H2916" t="s">
        <v>2323</v>
      </c>
      <c r="I2916" s="21">
        <v>39993.330995370401</v>
      </c>
      <c r="J2916">
        <v>2009</v>
      </c>
      <c r="K2916" s="21">
        <v>39993.330995370401</v>
      </c>
      <c r="L2916">
        <v>2009</v>
      </c>
      <c r="M2916" s="21">
        <v>40193.4508796296</v>
      </c>
      <c r="N2916">
        <v>2010</v>
      </c>
      <c r="R2916" s="262">
        <v>43000</v>
      </c>
      <c r="S2916" t="s">
        <v>114</v>
      </c>
      <c r="T2916" t="s">
        <v>114</v>
      </c>
      <c r="U2916">
        <v>5</v>
      </c>
      <c r="W2916">
        <v>417</v>
      </c>
      <c r="X2916">
        <v>0</v>
      </c>
      <c r="Y2916">
        <v>0</v>
      </c>
      <c r="Z2916">
        <v>0</v>
      </c>
      <c r="AA2916">
        <v>0</v>
      </c>
      <c r="AB2916">
        <v>0</v>
      </c>
      <c r="AC2916">
        <v>417</v>
      </c>
      <c r="AD2916">
        <v>0</v>
      </c>
      <c r="AE2916">
        <v>0</v>
      </c>
      <c r="AF2916">
        <v>0</v>
      </c>
      <c r="AG2916">
        <v>0</v>
      </c>
      <c r="AH2916">
        <v>0</v>
      </c>
      <c r="AI2916">
        <v>0</v>
      </c>
      <c r="AJ2916">
        <v>0</v>
      </c>
      <c r="AK2916">
        <v>0</v>
      </c>
      <c r="AL2916">
        <v>0</v>
      </c>
      <c r="AM2916">
        <v>0</v>
      </c>
      <c r="AN2916">
        <v>0</v>
      </c>
      <c r="AO2916">
        <v>0</v>
      </c>
      <c r="AP2916">
        <v>0</v>
      </c>
      <c r="AQ2916">
        <v>0</v>
      </c>
      <c r="AR2916">
        <v>0</v>
      </c>
      <c r="AS2916">
        <v>0</v>
      </c>
      <c r="AT2916">
        <v>0</v>
      </c>
      <c r="AU2916">
        <f t="shared" si="90"/>
        <v>0</v>
      </c>
      <c r="AV2916">
        <f t="shared" si="91"/>
        <v>0</v>
      </c>
    </row>
    <row r="2917" spans="1:48" x14ac:dyDescent="0.25">
      <c r="A2917" t="s">
        <v>9736</v>
      </c>
      <c r="C2917" t="s">
        <v>9737</v>
      </c>
      <c r="D2917" t="s">
        <v>9738</v>
      </c>
      <c r="E2917" t="s">
        <v>2310</v>
      </c>
      <c r="F2917">
        <v>15</v>
      </c>
      <c r="G2917">
        <v>15.1</v>
      </c>
      <c r="H2917" t="s">
        <v>2022</v>
      </c>
      <c r="I2917" s="21">
        <v>39994.593368055597</v>
      </c>
      <c r="J2917">
        <v>2009</v>
      </c>
      <c r="K2917" s="21">
        <v>39994.593368055597</v>
      </c>
      <c r="L2917">
        <v>2009</v>
      </c>
      <c r="M2917" s="21">
        <v>40564.5920833333</v>
      </c>
      <c r="N2917">
        <v>2011</v>
      </c>
      <c r="R2917" s="262">
        <v>44000</v>
      </c>
      <c r="S2917" t="s">
        <v>114</v>
      </c>
      <c r="T2917" t="s">
        <v>114</v>
      </c>
      <c r="U2917">
        <v>8</v>
      </c>
      <c r="W2917">
        <v>425</v>
      </c>
      <c r="X2917">
        <v>1</v>
      </c>
      <c r="Y2917">
        <v>0</v>
      </c>
      <c r="Z2917">
        <v>0</v>
      </c>
      <c r="AA2917">
        <v>0</v>
      </c>
      <c r="AB2917">
        <v>0</v>
      </c>
      <c r="AC2917">
        <v>0</v>
      </c>
      <c r="AD2917">
        <v>0</v>
      </c>
      <c r="AE2917">
        <v>0</v>
      </c>
      <c r="AF2917">
        <v>425</v>
      </c>
      <c r="AG2917">
        <v>0</v>
      </c>
      <c r="AH2917">
        <v>0</v>
      </c>
      <c r="AI2917">
        <v>0</v>
      </c>
      <c r="AJ2917">
        <v>0</v>
      </c>
      <c r="AK2917">
        <v>0</v>
      </c>
      <c r="AL2917">
        <v>0</v>
      </c>
      <c r="AM2917">
        <v>0</v>
      </c>
      <c r="AN2917">
        <v>0</v>
      </c>
      <c r="AO2917">
        <v>0</v>
      </c>
      <c r="AP2917">
        <v>0</v>
      </c>
      <c r="AQ2917">
        <v>0</v>
      </c>
      <c r="AR2917">
        <v>1</v>
      </c>
      <c r="AS2917">
        <v>0</v>
      </c>
      <c r="AT2917">
        <v>0</v>
      </c>
      <c r="AU2917">
        <f t="shared" si="90"/>
        <v>0</v>
      </c>
      <c r="AV2917">
        <f t="shared" si="91"/>
        <v>0</v>
      </c>
    </row>
    <row r="2918" spans="1:48" x14ac:dyDescent="0.25">
      <c r="A2918" t="s">
        <v>9739</v>
      </c>
      <c r="C2918" t="s">
        <v>9615</v>
      </c>
      <c r="D2918" t="s">
        <v>9740</v>
      </c>
      <c r="E2918" t="s">
        <v>2310</v>
      </c>
      <c r="F2918">
        <v>15</v>
      </c>
      <c r="G2918">
        <v>15.4</v>
      </c>
      <c r="H2918" t="s">
        <v>2323</v>
      </c>
      <c r="I2918" s="21">
        <v>39996.589942129598</v>
      </c>
      <c r="J2918">
        <v>2009</v>
      </c>
      <c r="K2918" s="21">
        <v>39996.589942129598</v>
      </c>
      <c r="L2918">
        <v>2009</v>
      </c>
      <c r="M2918" s="21">
        <v>40716.366400462997</v>
      </c>
      <c r="N2918">
        <v>2011</v>
      </c>
      <c r="Q2918" s="262">
        <v>700000</v>
      </c>
      <c r="R2918" s="262">
        <v>364000</v>
      </c>
      <c r="S2918" t="s">
        <v>114</v>
      </c>
      <c r="T2918" t="s">
        <v>114</v>
      </c>
      <c r="U2918">
        <v>5</v>
      </c>
      <c r="W2918">
        <v>4384</v>
      </c>
      <c r="X2918">
        <v>1</v>
      </c>
      <c r="Y2918">
        <v>0</v>
      </c>
      <c r="Z2918">
        <v>0</v>
      </c>
      <c r="AA2918">
        <v>0</v>
      </c>
      <c r="AB2918">
        <v>0</v>
      </c>
      <c r="AC2918">
        <v>4384</v>
      </c>
      <c r="AD2918">
        <v>0</v>
      </c>
      <c r="AE2918">
        <v>0</v>
      </c>
      <c r="AF2918">
        <v>0</v>
      </c>
      <c r="AG2918">
        <v>0</v>
      </c>
      <c r="AH2918">
        <v>0</v>
      </c>
      <c r="AI2918">
        <v>0</v>
      </c>
      <c r="AJ2918">
        <v>0</v>
      </c>
      <c r="AK2918">
        <v>0</v>
      </c>
      <c r="AL2918">
        <v>0</v>
      </c>
      <c r="AM2918">
        <v>0</v>
      </c>
      <c r="AN2918">
        <v>0</v>
      </c>
      <c r="AO2918">
        <v>1</v>
      </c>
      <c r="AP2918">
        <v>0</v>
      </c>
      <c r="AQ2918">
        <v>0</v>
      </c>
      <c r="AR2918">
        <v>0</v>
      </c>
      <c r="AS2918">
        <v>0</v>
      </c>
      <c r="AT2918">
        <v>0</v>
      </c>
      <c r="AU2918">
        <f t="shared" si="90"/>
        <v>1</v>
      </c>
      <c r="AV2918">
        <f t="shared" si="91"/>
        <v>0</v>
      </c>
    </row>
    <row r="2919" spans="1:48" x14ac:dyDescent="0.25">
      <c r="A2919" t="s">
        <v>9741</v>
      </c>
      <c r="C2919" t="s">
        <v>4934</v>
      </c>
      <c r="D2919" t="s">
        <v>8150</v>
      </c>
      <c r="E2919" t="s">
        <v>2310</v>
      </c>
      <c r="F2919">
        <v>9</v>
      </c>
      <c r="G2919">
        <v>9.1</v>
      </c>
      <c r="H2919" t="s">
        <v>2323</v>
      </c>
      <c r="I2919" s="21">
        <v>39996.678437499999</v>
      </c>
      <c r="J2919">
        <v>2009</v>
      </c>
      <c r="K2919" s="21">
        <v>39996.678437499999</v>
      </c>
      <c r="L2919">
        <v>2009</v>
      </c>
      <c r="M2919" s="21">
        <v>40311.367627314801</v>
      </c>
      <c r="N2919">
        <v>2010</v>
      </c>
      <c r="Q2919" s="262">
        <v>870000</v>
      </c>
      <c r="R2919" s="262">
        <v>92000</v>
      </c>
      <c r="S2919" t="s">
        <v>114</v>
      </c>
      <c r="T2919" t="s">
        <v>114</v>
      </c>
      <c r="U2919">
        <v>5</v>
      </c>
      <c r="W2919">
        <v>2307</v>
      </c>
      <c r="X2919">
        <v>0</v>
      </c>
      <c r="Y2919">
        <v>0</v>
      </c>
      <c r="Z2919">
        <v>0</v>
      </c>
      <c r="AA2919">
        <v>0</v>
      </c>
      <c r="AB2919">
        <v>0</v>
      </c>
      <c r="AC2919">
        <v>2307</v>
      </c>
      <c r="AD2919">
        <v>0</v>
      </c>
      <c r="AE2919">
        <v>0</v>
      </c>
      <c r="AF2919">
        <v>0</v>
      </c>
      <c r="AG2919">
        <v>0</v>
      </c>
      <c r="AH2919">
        <v>0</v>
      </c>
      <c r="AI2919">
        <v>0</v>
      </c>
      <c r="AJ2919">
        <v>0</v>
      </c>
      <c r="AK2919">
        <v>0</v>
      </c>
      <c r="AL2919">
        <v>0</v>
      </c>
      <c r="AM2919">
        <v>0</v>
      </c>
      <c r="AN2919">
        <v>0</v>
      </c>
      <c r="AO2919">
        <v>0</v>
      </c>
      <c r="AP2919">
        <v>0</v>
      </c>
      <c r="AQ2919">
        <v>0</v>
      </c>
      <c r="AR2919">
        <v>0</v>
      </c>
      <c r="AS2919">
        <v>0</v>
      </c>
      <c r="AT2919">
        <v>0</v>
      </c>
      <c r="AU2919">
        <f t="shared" si="90"/>
        <v>0</v>
      </c>
      <c r="AV2919">
        <f t="shared" si="91"/>
        <v>0</v>
      </c>
    </row>
    <row r="2920" spans="1:48" x14ac:dyDescent="0.25">
      <c r="A2920" t="s">
        <v>9742</v>
      </c>
      <c r="C2920" t="s">
        <v>9743</v>
      </c>
      <c r="D2920" t="s">
        <v>9744</v>
      </c>
      <c r="E2920" t="s">
        <v>2310</v>
      </c>
      <c r="F2920">
        <v>8</v>
      </c>
      <c r="G2920">
        <v>8.1</v>
      </c>
      <c r="H2920" t="s">
        <v>2323</v>
      </c>
      <c r="I2920" s="21">
        <v>39996.713541666701</v>
      </c>
      <c r="J2920">
        <v>2009</v>
      </c>
      <c r="K2920" s="21">
        <v>39996.713541666701</v>
      </c>
      <c r="L2920">
        <v>2009</v>
      </c>
      <c r="M2920" s="21">
        <v>40240.446550925903</v>
      </c>
      <c r="N2920">
        <v>2010</v>
      </c>
      <c r="Q2920" s="262">
        <v>259000</v>
      </c>
      <c r="R2920" s="262">
        <v>118000</v>
      </c>
      <c r="S2920" t="s">
        <v>114</v>
      </c>
      <c r="T2920" t="s">
        <v>114</v>
      </c>
      <c r="U2920">
        <v>8</v>
      </c>
      <c r="W2920">
        <v>1400</v>
      </c>
      <c r="X2920">
        <v>1</v>
      </c>
      <c r="Y2920">
        <v>0</v>
      </c>
      <c r="Z2920">
        <v>0</v>
      </c>
      <c r="AA2920">
        <v>0</v>
      </c>
      <c r="AB2920">
        <v>0</v>
      </c>
      <c r="AC2920">
        <v>400</v>
      </c>
      <c r="AD2920">
        <v>0</v>
      </c>
      <c r="AE2920">
        <v>0</v>
      </c>
      <c r="AF2920">
        <v>1000</v>
      </c>
      <c r="AG2920">
        <v>0</v>
      </c>
      <c r="AH2920">
        <v>0</v>
      </c>
      <c r="AI2920">
        <v>0</v>
      </c>
      <c r="AJ2920">
        <v>0</v>
      </c>
      <c r="AK2920">
        <v>0</v>
      </c>
      <c r="AL2920">
        <v>0</v>
      </c>
      <c r="AM2920">
        <v>0</v>
      </c>
      <c r="AN2920">
        <v>0</v>
      </c>
      <c r="AO2920">
        <v>0</v>
      </c>
      <c r="AP2920">
        <v>0</v>
      </c>
      <c r="AQ2920">
        <v>0</v>
      </c>
      <c r="AR2920">
        <v>1</v>
      </c>
      <c r="AS2920">
        <v>0</v>
      </c>
      <c r="AT2920">
        <v>0</v>
      </c>
      <c r="AU2920">
        <f t="shared" si="90"/>
        <v>0</v>
      </c>
      <c r="AV2920">
        <f t="shared" si="91"/>
        <v>0</v>
      </c>
    </row>
    <row r="2921" spans="1:48" x14ac:dyDescent="0.25">
      <c r="A2921" t="s">
        <v>9745</v>
      </c>
      <c r="C2921" t="s">
        <v>9746</v>
      </c>
      <c r="D2921" t="s">
        <v>3601</v>
      </c>
      <c r="E2921" t="s">
        <v>2310</v>
      </c>
      <c r="F2921">
        <v>15</v>
      </c>
      <c r="G2921">
        <v>15.1</v>
      </c>
      <c r="H2921" t="s">
        <v>2022</v>
      </c>
      <c r="I2921" s="21">
        <v>40000.551226851901</v>
      </c>
      <c r="J2921">
        <v>2009</v>
      </c>
      <c r="K2921" s="21">
        <v>40000.551226851901</v>
      </c>
      <c r="L2921">
        <v>2009</v>
      </c>
      <c r="M2921" s="21">
        <v>40514.674861111103</v>
      </c>
      <c r="N2921">
        <v>2010</v>
      </c>
      <c r="R2921" s="262">
        <v>184000</v>
      </c>
      <c r="S2921" t="s">
        <v>114</v>
      </c>
      <c r="T2921" t="s">
        <v>114</v>
      </c>
      <c r="U2921">
        <v>5</v>
      </c>
      <c r="W2921">
        <v>2454</v>
      </c>
      <c r="X2921">
        <v>0</v>
      </c>
      <c r="Y2921">
        <v>0</v>
      </c>
      <c r="Z2921">
        <v>0</v>
      </c>
      <c r="AA2921">
        <v>0</v>
      </c>
      <c r="AB2921">
        <v>0</v>
      </c>
      <c r="AC2921">
        <v>2454</v>
      </c>
      <c r="AD2921">
        <v>0</v>
      </c>
      <c r="AE2921">
        <v>0</v>
      </c>
      <c r="AF2921">
        <v>0</v>
      </c>
      <c r="AG2921">
        <v>0</v>
      </c>
      <c r="AH2921">
        <v>0</v>
      </c>
      <c r="AI2921">
        <v>0</v>
      </c>
      <c r="AJ2921">
        <v>0</v>
      </c>
      <c r="AK2921">
        <v>0</v>
      </c>
      <c r="AL2921">
        <v>0</v>
      </c>
      <c r="AM2921">
        <v>0</v>
      </c>
      <c r="AN2921">
        <v>0</v>
      </c>
      <c r="AO2921">
        <v>0</v>
      </c>
      <c r="AP2921">
        <v>0</v>
      </c>
      <c r="AQ2921">
        <v>0</v>
      </c>
      <c r="AR2921">
        <v>0</v>
      </c>
      <c r="AS2921">
        <v>0</v>
      </c>
      <c r="AT2921">
        <v>0</v>
      </c>
      <c r="AU2921">
        <f t="shared" si="90"/>
        <v>0</v>
      </c>
      <c r="AV2921">
        <f t="shared" si="91"/>
        <v>0</v>
      </c>
    </row>
    <row r="2922" spans="1:48" x14ac:dyDescent="0.25">
      <c r="A2922" t="s">
        <v>9747</v>
      </c>
      <c r="C2922" t="s">
        <v>9748</v>
      </c>
      <c r="D2922" t="s">
        <v>9749</v>
      </c>
      <c r="E2922" t="s">
        <v>1663</v>
      </c>
      <c r="F2922">
        <v>3</v>
      </c>
      <c r="G2922">
        <v>3.1</v>
      </c>
      <c r="H2922" t="s">
        <v>2017</v>
      </c>
      <c r="I2922" s="21">
        <v>40001</v>
      </c>
      <c r="J2922">
        <v>2009</v>
      </c>
      <c r="K2922" s="21">
        <v>40032</v>
      </c>
      <c r="L2922">
        <v>2009</v>
      </c>
      <c r="M2922" s="21">
        <v>40185</v>
      </c>
      <c r="N2922">
        <v>2010</v>
      </c>
      <c r="Q2922" s="262">
        <v>0</v>
      </c>
      <c r="S2922" t="s">
        <v>114</v>
      </c>
      <c r="T2922" t="s">
        <v>114</v>
      </c>
      <c r="W2922">
        <v>2280</v>
      </c>
      <c r="X2922">
        <v>1</v>
      </c>
      <c r="Y2922">
        <v>0</v>
      </c>
      <c r="Z2922">
        <v>0</v>
      </c>
      <c r="AA2922">
        <v>0</v>
      </c>
      <c r="AB2922">
        <v>0</v>
      </c>
      <c r="AC2922">
        <v>2280</v>
      </c>
      <c r="AD2922">
        <v>0</v>
      </c>
      <c r="AE2922">
        <v>0</v>
      </c>
      <c r="AF2922">
        <v>0</v>
      </c>
      <c r="AG2922">
        <v>0</v>
      </c>
      <c r="AH2922">
        <v>0</v>
      </c>
      <c r="AI2922">
        <v>0</v>
      </c>
      <c r="AJ2922">
        <v>0</v>
      </c>
      <c r="AK2922">
        <v>0</v>
      </c>
      <c r="AL2922">
        <v>0</v>
      </c>
      <c r="AM2922">
        <v>0</v>
      </c>
      <c r="AN2922">
        <v>0</v>
      </c>
      <c r="AO2922">
        <v>1</v>
      </c>
      <c r="AP2922">
        <v>0</v>
      </c>
      <c r="AQ2922">
        <v>0</v>
      </c>
      <c r="AR2922">
        <v>0</v>
      </c>
      <c r="AS2922">
        <v>0</v>
      </c>
      <c r="AT2922">
        <v>0</v>
      </c>
      <c r="AU2922">
        <f t="shared" si="90"/>
        <v>1</v>
      </c>
      <c r="AV2922">
        <f t="shared" si="91"/>
        <v>0</v>
      </c>
    </row>
    <row r="2923" spans="1:48" x14ac:dyDescent="0.25">
      <c r="A2923" t="s">
        <v>9750</v>
      </c>
      <c r="C2923" t="s">
        <v>7403</v>
      </c>
      <c r="D2923" t="s">
        <v>8618</v>
      </c>
      <c r="E2923" t="s">
        <v>2310</v>
      </c>
      <c r="F2923">
        <v>14</v>
      </c>
      <c r="G2923">
        <v>14.2</v>
      </c>
      <c r="H2923" t="s">
        <v>2017</v>
      </c>
      <c r="I2923" s="21">
        <v>40001.446006944403</v>
      </c>
      <c r="J2923">
        <v>2009</v>
      </c>
      <c r="K2923" s="21">
        <v>40001.446006944403</v>
      </c>
      <c r="L2923">
        <v>2009</v>
      </c>
      <c r="M2923" s="21">
        <v>40310.588576388902</v>
      </c>
      <c r="N2923">
        <v>2010</v>
      </c>
      <c r="Q2923" s="262">
        <v>28000</v>
      </c>
      <c r="R2923" s="262">
        <v>42000</v>
      </c>
      <c r="S2923" t="s">
        <v>114</v>
      </c>
      <c r="T2923" t="s">
        <v>114</v>
      </c>
      <c r="U2923">
        <v>5</v>
      </c>
      <c r="W2923">
        <v>420</v>
      </c>
      <c r="X2923">
        <v>0</v>
      </c>
      <c r="Y2923">
        <v>0</v>
      </c>
      <c r="Z2923">
        <v>0</v>
      </c>
      <c r="AA2923">
        <v>0</v>
      </c>
      <c r="AB2923">
        <v>0</v>
      </c>
      <c r="AC2923">
        <v>420</v>
      </c>
      <c r="AD2923">
        <v>0</v>
      </c>
      <c r="AE2923">
        <v>0</v>
      </c>
      <c r="AF2923">
        <v>0</v>
      </c>
      <c r="AG2923">
        <v>0</v>
      </c>
      <c r="AH2923">
        <v>0</v>
      </c>
      <c r="AI2923">
        <v>0</v>
      </c>
      <c r="AJ2923">
        <v>0</v>
      </c>
      <c r="AK2923">
        <v>0</v>
      </c>
      <c r="AL2923">
        <v>0</v>
      </c>
      <c r="AM2923">
        <v>0</v>
      </c>
      <c r="AN2923">
        <v>0</v>
      </c>
      <c r="AO2923">
        <v>0</v>
      </c>
      <c r="AP2923">
        <v>0</v>
      </c>
      <c r="AQ2923">
        <v>0</v>
      </c>
      <c r="AR2923">
        <v>0</v>
      </c>
      <c r="AS2923">
        <v>0</v>
      </c>
      <c r="AT2923">
        <v>0</v>
      </c>
      <c r="AU2923">
        <f t="shared" si="90"/>
        <v>0</v>
      </c>
      <c r="AV2923">
        <f t="shared" si="91"/>
        <v>0</v>
      </c>
    </row>
    <row r="2924" spans="1:48" x14ac:dyDescent="0.25">
      <c r="A2924" t="s">
        <v>9751</v>
      </c>
      <c r="C2924" t="s">
        <v>9752</v>
      </c>
      <c r="D2924" t="s">
        <v>9753</v>
      </c>
      <c r="E2924" t="s">
        <v>2310</v>
      </c>
      <c r="F2924">
        <v>15</v>
      </c>
      <c r="G2924">
        <v>15.1</v>
      </c>
      <c r="H2924" t="s">
        <v>2022</v>
      </c>
      <c r="I2924" s="21">
        <v>40001.621284722198</v>
      </c>
      <c r="J2924">
        <v>2009</v>
      </c>
      <c r="K2924" s="21">
        <v>40001.621284722198</v>
      </c>
      <c r="L2924">
        <v>2009</v>
      </c>
      <c r="M2924" s="21">
        <v>40332.613483796304</v>
      </c>
      <c r="N2924">
        <v>2010</v>
      </c>
      <c r="Q2924" s="262">
        <v>490000</v>
      </c>
      <c r="R2924" s="262">
        <v>113000</v>
      </c>
      <c r="S2924" t="s">
        <v>114</v>
      </c>
      <c r="T2924" t="s">
        <v>114</v>
      </c>
      <c r="U2924">
        <v>5</v>
      </c>
      <c r="W2924">
        <v>1439</v>
      </c>
      <c r="X2924">
        <v>1</v>
      </c>
      <c r="Y2924">
        <v>0</v>
      </c>
      <c r="Z2924">
        <v>0</v>
      </c>
      <c r="AA2924">
        <v>0</v>
      </c>
      <c r="AB2924">
        <v>0</v>
      </c>
      <c r="AC2924">
        <v>1439</v>
      </c>
      <c r="AD2924">
        <v>0</v>
      </c>
      <c r="AE2924">
        <v>0</v>
      </c>
      <c r="AF2924">
        <v>0</v>
      </c>
      <c r="AG2924">
        <v>0</v>
      </c>
      <c r="AH2924">
        <v>0</v>
      </c>
      <c r="AI2924">
        <v>0</v>
      </c>
      <c r="AJ2924">
        <v>0</v>
      </c>
      <c r="AK2924">
        <v>0</v>
      </c>
      <c r="AL2924">
        <v>0</v>
      </c>
      <c r="AM2924">
        <v>0</v>
      </c>
      <c r="AN2924">
        <v>0</v>
      </c>
      <c r="AO2924">
        <v>1</v>
      </c>
      <c r="AP2924">
        <v>0</v>
      </c>
      <c r="AQ2924">
        <v>0</v>
      </c>
      <c r="AR2924">
        <v>0</v>
      </c>
      <c r="AS2924">
        <v>0</v>
      </c>
      <c r="AT2924">
        <v>0</v>
      </c>
      <c r="AU2924">
        <f t="shared" si="90"/>
        <v>1</v>
      </c>
      <c r="AV2924">
        <f t="shared" si="91"/>
        <v>0</v>
      </c>
    </row>
    <row r="2925" spans="1:48" x14ac:dyDescent="0.25">
      <c r="A2925" t="s">
        <v>9754</v>
      </c>
      <c r="C2925" t="s">
        <v>9755</v>
      </c>
      <c r="D2925" t="s">
        <v>9756</v>
      </c>
      <c r="E2925" t="s">
        <v>1663</v>
      </c>
      <c r="F2925">
        <v>3</v>
      </c>
      <c r="G2925">
        <v>3.4</v>
      </c>
      <c r="H2925" t="s">
        <v>2017</v>
      </c>
      <c r="I2925" s="21">
        <v>40002</v>
      </c>
      <c r="J2925">
        <v>2009</v>
      </c>
      <c r="K2925" s="21">
        <v>40033</v>
      </c>
      <c r="L2925">
        <v>2009</v>
      </c>
      <c r="M2925" s="21">
        <v>40186</v>
      </c>
      <c r="N2925">
        <v>2010</v>
      </c>
      <c r="Q2925" s="262">
        <v>0</v>
      </c>
      <c r="S2925" t="s">
        <v>114</v>
      </c>
      <c r="T2925" t="s">
        <v>114</v>
      </c>
      <c r="W2925">
        <v>2661</v>
      </c>
      <c r="X2925">
        <v>1</v>
      </c>
      <c r="Y2925">
        <v>0</v>
      </c>
      <c r="Z2925">
        <v>0</v>
      </c>
      <c r="AA2925">
        <v>0</v>
      </c>
      <c r="AB2925">
        <v>0</v>
      </c>
      <c r="AC2925">
        <v>2661</v>
      </c>
      <c r="AD2925">
        <v>0</v>
      </c>
      <c r="AE2925">
        <v>0</v>
      </c>
      <c r="AF2925">
        <v>0</v>
      </c>
      <c r="AG2925">
        <v>0</v>
      </c>
      <c r="AH2925">
        <v>0</v>
      </c>
      <c r="AI2925">
        <v>0</v>
      </c>
      <c r="AJ2925">
        <v>0</v>
      </c>
      <c r="AK2925">
        <v>0</v>
      </c>
      <c r="AL2925">
        <v>0</v>
      </c>
      <c r="AM2925">
        <v>0</v>
      </c>
      <c r="AN2925">
        <v>0</v>
      </c>
      <c r="AO2925">
        <v>1</v>
      </c>
      <c r="AP2925">
        <v>0</v>
      </c>
      <c r="AQ2925">
        <v>0</v>
      </c>
      <c r="AR2925">
        <v>0</v>
      </c>
      <c r="AS2925">
        <v>0</v>
      </c>
      <c r="AT2925">
        <v>0</v>
      </c>
      <c r="AU2925">
        <f t="shared" si="90"/>
        <v>1</v>
      </c>
      <c r="AV2925">
        <f t="shared" si="91"/>
        <v>0</v>
      </c>
    </row>
    <row r="2926" spans="1:48" x14ac:dyDescent="0.25">
      <c r="A2926" t="s">
        <v>9757</v>
      </c>
      <c r="C2926" t="s">
        <v>9758</v>
      </c>
      <c r="D2926" t="s">
        <v>9759</v>
      </c>
      <c r="E2926" t="s">
        <v>1663</v>
      </c>
      <c r="F2926">
        <v>3</v>
      </c>
      <c r="G2926">
        <v>3.1</v>
      </c>
      <c r="H2926" t="s">
        <v>2017</v>
      </c>
      <c r="I2926" s="21">
        <v>40002</v>
      </c>
      <c r="J2926">
        <v>2009</v>
      </c>
      <c r="K2926" s="21">
        <v>40033</v>
      </c>
      <c r="L2926">
        <v>2009</v>
      </c>
      <c r="M2926" s="21">
        <v>40186</v>
      </c>
      <c r="N2926">
        <v>2010</v>
      </c>
      <c r="Q2926" s="262">
        <v>0</v>
      </c>
      <c r="S2926" t="s">
        <v>114</v>
      </c>
      <c r="T2926" t="s">
        <v>114</v>
      </c>
      <c r="W2926">
        <v>2284</v>
      </c>
      <c r="X2926">
        <v>1</v>
      </c>
      <c r="Y2926">
        <v>0</v>
      </c>
      <c r="Z2926">
        <v>0</v>
      </c>
      <c r="AA2926">
        <v>0</v>
      </c>
      <c r="AB2926">
        <v>0</v>
      </c>
      <c r="AC2926">
        <v>2284</v>
      </c>
      <c r="AD2926">
        <v>0</v>
      </c>
      <c r="AE2926">
        <v>0</v>
      </c>
      <c r="AF2926">
        <v>0</v>
      </c>
      <c r="AG2926">
        <v>0</v>
      </c>
      <c r="AH2926">
        <v>0</v>
      </c>
      <c r="AI2926">
        <v>0</v>
      </c>
      <c r="AJ2926">
        <v>0</v>
      </c>
      <c r="AK2926">
        <v>0</v>
      </c>
      <c r="AL2926">
        <v>0</v>
      </c>
      <c r="AM2926">
        <v>0</v>
      </c>
      <c r="AN2926">
        <v>0</v>
      </c>
      <c r="AO2926">
        <v>1</v>
      </c>
      <c r="AP2926">
        <v>0</v>
      </c>
      <c r="AQ2926">
        <v>0</v>
      </c>
      <c r="AR2926">
        <v>0</v>
      </c>
      <c r="AS2926">
        <v>0</v>
      </c>
      <c r="AT2926">
        <v>0</v>
      </c>
      <c r="AU2926">
        <f t="shared" si="90"/>
        <v>1</v>
      </c>
      <c r="AV2926">
        <f t="shared" si="91"/>
        <v>0</v>
      </c>
    </row>
    <row r="2927" spans="1:48" x14ac:dyDescent="0.25">
      <c r="A2927" t="s">
        <v>9760</v>
      </c>
      <c r="C2927" t="s">
        <v>9761</v>
      </c>
      <c r="D2927" t="s">
        <v>3220</v>
      </c>
      <c r="E2927" t="s">
        <v>2310</v>
      </c>
      <c r="F2927">
        <v>15</v>
      </c>
      <c r="G2927">
        <v>15.1</v>
      </c>
      <c r="H2927" t="s">
        <v>2022</v>
      </c>
      <c r="I2927" s="21">
        <v>40003.602986111102</v>
      </c>
      <c r="J2927">
        <v>2009</v>
      </c>
      <c r="K2927" s="21">
        <v>40057.457858796297</v>
      </c>
      <c r="L2927">
        <v>2009</v>
      </c>
      <c r="M2927" s="21">
        <v>41737.461782407401</v>
      </c>
      <c r="N2927">
        <v>2014</v>
      </c>
      <c r="R2927" s="262">
        <v>746000</v>
      </c>
      <c r="S2927" t="s">
        <v>114</v>
      </c>
      <c r="T2927" t="s">
        <v>114</v>
      </c>
      <c r="U2927">
        <v>15</v>
      </c>
      <c r="W2927">
        <v>0</v>
      </c>
      <c r="X2927">
        <v>0</v>
      </c>
      <c r="Y2927">
        <v>0</v>
      </c>
      <c r="Z2927">
        <v>0</v>
      </c>
      <c r="AA2927">
        <v>0</v>
      </c>
      <c r="AB2927">
        <v>0</v>
      </c>
      <c r="AC2927">
        <v>0</v>
      </c>
      <c r="AD2927">
        <v>0</v>
      </c>
      <c r="AE2927">
        <v>0</v>
      </c>
      <c r="AF2927">
        <v>0</v>
      </c>
      <c r="AG2927">
        <v>0</v>
      </c>
      <c r="AH2927">
        <v>0</v>
      </c>
      <c r="AI2927">
        <v>0</v>
      </c>
      <c r="AJ2927">
        <v>0</v>
      </c>
      <c r="AK2927">
        <v>0</v>
      </c>
      <c r="AL2927">
        <v>0</v>
      </c>
      <c r="AM2927">
        <v>0</v>
      </c>
      <c r="AN2927">
        <v>0</v>
      </c>
      <c r="AO2927">
        <v>0</v>
      </c>
      <c r="AP2927">
        <v>0</v>
      </c>
      <c r="AQ2927">
        <v>0</v>
      </c>
      <c r="AR2927">
        <v>0</v>
      </c>
      <c r="AS2927">
        <v>0</v>
      </c>
      <c r="AT2927">
        <v>0</v>
      </c>
      <c r="AU2927">
        <f t="shared" si="90"/>
        <v>0</v>
      </c>
      <c r="AV2927">
        <f t="shared" si="91"/>
        <v>0</v>
      </c>
    </row>
    <row r="2928" spans="1:48" x14ac:dyDescent="0.25">
      <c r="A2928" t="s">
        <v>9762</v>
      </c>
      <c r="C2928" t="s">
        <v>9763</v>
      </c>
      <c r="D2928" t="s">
        <v>9764</v>
      </c>
      <c r="E2928" t="s">
        <v>1663</v>
      </c>
      <c r="F2928">
        <v>3</v>
      </c>
      <c r="G2928">
        <v>3.1</v>
      </c>
      <c r="H2928" t="s">
        <v>2017</v>
      </c>
      <c r="I2928" s="21">
        <v>40010</v>
      </c>
      <c r="J2928">
        <v>2009</v>
      </c>
      <c r="K2928" s="21">
        <v>40041</v>
      </c>
      <c r="L2928">
        <v>2009</v>
      </c>
      <c r="M2928" s="21">
        <v>40194</v>
      </c>
      <c r="N2928">
        <v>2010</v>
      </c>
      <c r="Q2928" s="262">
        <v>0</v>
      </c>
      <c r="S2928" t="s">
        <v>114</v>
      </c>
      <c r="T2928" t="s">
        <v>114</v>
      </c>
      <c r="W2928">
        <v>1751</v>
      </c>
      <c r="X2928">
        <v>1</v>
      </c>
      <c r="Y2928">
        <v>0</v>
      </c>
      <c r="Z2928">
        <v>0</v>
      </c>
      <c r="AA2928">
        <v>0</v>
      </c>
      <c r="AB2928">
        <v>0</v>
      </c>
      <c r="AC2928">
        <v>0</v>
      </c>
      <c r="AD2928">
        <v>1751</v>
      </c>
      <c r="AE2928">
        <v>0</v>
      </c>
      <c r="AF2928">
        <v>0</v>
      </c>
      <c r="AG2928">
        <v>0</v>
      </c>
      <c r="AH2928">
        <v>0</v>
      </c>
      <c r="AI2928">
        <v>0</v>
      </c>
      <c r="AJ2928">
        <v>0</v>
      </c>
      <c r="AK2928">
        <v>0</v>
      </c>
      <c r="AL2928">
        <v>0</v>
      </c>
      <c r="AM2928">
        <v>0</v>
      </c>
      <c r="AN2928">
        <v>0</v>
      </c>
      <c r="AO2928">
        <v>0</v>
      </c>
      <c r="AP2928">
        <v>1</v>
      </c>
      <c r="AQ2928">
        <v>0</v>
      </c>
      <c r="AR2928">
        <v>0</v>
      </c>
      <c r="AS2928">
        <v>0</v>
      </c>
      <c r="AT2928">
        <v>0</v>
      </c>
      <c r="AU2928">
        <f t="shared" si="90"/>
        <v>1</v>
      </c>
      <c r="AV2928">
        <f t="shared" si="91"/>
        <v>0</v>
      </c>
    </row>
    <row r="2929" spans="1:48" x14ac:dyDescent="0.25">
      <c r="A2929" t="s">
        <v>9765</v>
      </c>
      <c r="C2929" t="s">
        <v>9763</v>
      </c>
      <c r="D2929" t="s">
        <v>9766</v>
      </c>
      <c r="E2929" t="s">
        <v>1663</v>
      </c>
      <c r="F2929">
        <v>3</v>
      </c>
      <c r="G2929">
        <v>3.1</v>
      </c>
      <c r="H2929" t="s">
        <v>2017</v>
      </c>
      <c r="I2929" s="21">
        <v>40010</v>
      </c>
      <c r="J2929">
        <v>2009</v>
      </c>
      <c r="K2929" s="21">
        <v>40041</v>
      </c>
      <c r="L2929">
        <v>2009</v>
      </c>
      <c r="M2929" s="21">
        <v>40194</v>
      </c>
      <c r="N2929">
        <v>2010</v>
      </c>
      <c r="Q2929" s="262">
        <v>0</v>
      </c>
      <c r="S2929" t="s">
        <v>114</v>
      </c>
      <c r="T2929" t="s">
        <v>114</v>
      </c>
      <c r="W2929">
        <v>1751</v>
      </c>
      <c r="X2929">
        <v>1</v>
      </c>
      <c r="Y2929">
        <v>0</v>
      </c>
      <c r="Z2929">
        <v>0</v>
      </c>
      <c r="AA2929">
        <v>0</v>
      </c>
      <c r="AB2929">
        <v>0</v>
      </c>
      <c r="AC2929">
        <v>0</v>
      </c>
      <c r="AD2929">
        <v>1751</v>
      </c>
      <c r="AE2929">
        <v>0</v>
      </c>
      <c r="AF2929">
        <v>0</v>
      </c>
      <c r="AG2929">
        <v>0</v>
      </c>
      <c r="AH2929">
        <v>0</v>
      </c>
      <c r="AI2929">
        <v>0</v>
      </c>
      <c r="AJ2929">
        <v>0</v>
      </c>
      <c r="AK2929">
        <v>0</v>
      </c>
      <c r="AL2929">
        <v>0</v>
      </c>
      <c r="AM2929">
        <v>0</v>
      </c>
      <c r="AN2929">
        <v>0</v>
      </c>
      <c r="AO2929">
        <v>0</v>
      </c>
      <c r="AP2929">
        <v>1</v>
      </c>
      <c r="AQ2929">
        <v>0</v>
      </c>
      <c r="AR2929">
        <v>0</v>
      </c>
      <c r="AS2929">
        <v>0</v>
      </c>
      <c r="AT2929">
        <v>0</v>
      </c>
      <c r="AU2929">
        <f t="shared" si="90"/>
        <v>1</v>
      </c>
      <c r="AV2929">
        <f t="shared" si="91"/>
        <v>0</v>
      </c>
    </row>
    <row r="2930" spans="1:48" x14ac:dyDescent="0.25">
      <c r="A2930" t="s">
        <v>9767</v>
      </c>
      <c r="C2930" t="s">
        <v>9768</v>
      </c>
      <c r="D2930" t="s">
        <v>9769</v>
      </c>
      <c r="E2930" t="s">
        <v>2310</v>
      </c>
      <c r="F2930">
        <v>14</v>
      </c>
      <c r="G2930">
        <v>14.1</v>
      </c>
      <c r="H2930" t="s">
        <v>2022</v>
      </c>
      <c r="I2930" s="21">
        <v>40010.401446759301</v>
      </c>
      <c r="J2930">
        <v>2009</v>
      </c>
      <c r="K2930" s="21">
        <v>40010.401446759301</v>
      </c>
      <c r="L2930">
        <v>2009</v>
      </c>
      <c r="M2930" s="21">
        <v>40354.392222222203</v>
      </c>
      <c r="N2930">
        <v>2010</v>
      </c>
      <c r="Q2930" s="262">
        <v>240000</v>
      </c>
      <c r="R2930" s="262">
        <v>162000</v>
      </c>
      <c r="S2930" t="s">
        <v>114</v>
      </c>
      <c r="T2930" t="s">
        <v>114</v>
      </c>
      <c r="U2930">
        <v>5</v>
      </c>
      <c r="W2930">
        <v>1586</v>
      </c>
      <c r="X2930">
        <v>1</v>
      </c>
      <c r="Y2930">
        <v>0</v>
      </c>
      <c r="Z2930">
        <v>0</v>
      </c>
      <c r="AA2930">
        <v>0</v>
      </c>
      <c r="AB2930">
        <v>0</v>
      </c>
      <c r="AC2930">
        <v>1586</v>
      </c>
      <c r="AD2930">
        <v>0</v>
      </c>
      <c r="AE2930">
        <v>0</v>
      </c>
      <c r="AF2930">
        <v>0</v>
      </c>
      <c r="AG2930">
        <v>0</v>
      </c>
      <c r="AH2930">
        <v>0</v>
      </c>
      <c r="AI2930">
        <v>0</v>
      </c>
      <c r="AJ2930">
        <v>0</v>
      </c>
      <c r="AK2930">
        <v>0</v>
      </c>
      <c r="AL2930">
        <v>0</v>
      </c>
      <c r="AM2930">
        <v>0</v>
      </c>
      <c r="AN2930">
        <v>0</v>
      </c>
      <c r="AO2930">
        <v>1</v>
      </c>
      <c r="AP2930">
        <v>0</v>
      </c>
      <c r="AQ2930">
        <v>0</v>
      </c>
      <c r="AR2930">
        <v>0</v>
      </c>
      <c r="AS2930">
        <v>0</v>
      </c>
      <c r="AT2930">
        <v>0</v>
      </c>
      <c r="AU2930">
        <f t="shared" si="90"/>
        <v>1</v>
      </c>
      <c r="AV2930">
        <f t="shared" si="91"/>
        <v>0</v>
      </c>
    </row>
    <row r="2931" spans="1:48" x14ac:dyDescent="0.25">
      <c r="A2931" t="s">
        <v>9770</v>
      </c>
      <c r="C2931" t="s">
        <v>9771</v>
      </c>
      <c r="D2931" t="s">
        <v>8944</v>
      </c>
      <c r="E2931" t="s">
        <v>2310</v>
      </c>
      <c r="F2931">
        <v>8</v>
      </c>
      <c r="G2931">
        <v>8.1999999999999993</v>
      </c>
      <c r="H2931" t="s">
        <v>2022</v>
      </c>
      <c r="I2931" s="21">
        <v>40016.680034722202</v>
      </c>
      <c r="J2931">
        <v>2009</v>
      </c>
      <c r="K2931" s="21">
        <v>40016.680034722202</v>
      </c>
      <c r="L2931">
        <v>2009</v>
      </c>
      <c r="M2931" s="21">
        <v>40429.580092592601</v>
      </c>
      <c r="N2931">
        <v>2010</v>
      </c>
      <c r="Q2931" s="262">
        <v>135000</v>
      </c>
      <c r="R2931" s="262">
        <v>41666</v>
      </c>
      <c r="S2931" t="s">
        <v>114</v>
      </c>
      <c r="T2931" t="s">
        <v>114</v>
      </c>
      <c r="U2931">
        <v>5</v>
      </c>
      <c r="W2931">
        <v>384</v>
      </c>
      <c r="X2931">
        <v>0</v>
      </c>
      <c r="Y2931">
        <v>0</v>
      </c>
      <c r="Z2931">
        <v>0</v>
      </c>
      <c r="AA2931">
        <v>0</v>
      </c>
      <c r="AB2931">
        <v>0</v>
      </c>
      <c r="AC2931">
        <v>384</v>
      </c>
      <c r="AD2931">
        <v>0</v>
      </c>
      <c r="AE2931">
        <v>0</v>
      </c>
      <c r="AF2931">
        <v>0</v>
      </c>
      <c r="AG2931">
        <v>0</v>
      </c>
      <c r="AH2931">
        <v>0</v>
      </c>
      <c r="AI2931">
        <v>0</v>
      </c>
      <c r="AJ2931">
        <v>0</v>
      </c>
      <c r="AK2931">
        <v>0</v>
      </c>
      <c r="AL2931">
        <v>0</v>
      </c>
      <c r="AM2931">
        <v>0</v>
      </c>
      <c r="AN2931">
        <v>0</v>
      </c>
      <c r="AO2931">
        <v>0</v>
      </c>
      <c r="AP2931">
        <v>0</v>
      </c>
      <c r="AQ2931">
        <v>0</v>
      </c>
      <c r="AR2931">
        <v>0</v>
      </c>
      <c r="AS2931">
        <v>0</v>
      </c>
      <c r="AT2931">
        <v>0</v>
      </c>
      <c r="AU2931">
        <f t="shared" si="90"/>
        <v>0</v>
      </c>
      <c r="AV2931">
        <f t="shared" si="91"/>
        <v>0</v>
      </c>
    </row>
    <row r="2932" spans="1:48" x14ac:dyDescent="0.25">
      <c r="A2932" t="s">
        <v>9772</v>
      </c>
      <c r="C2932" t="s">
        <v>9773</v>
      </c>
      <c r="D2932" t="s">
        <v>9774</v>
      </c>
      <c r="E2932" t="s">
        <v>2310</v>
      </c>
      <c r="F2932">
        <v>9</v>
      </c>
      <c r="G2932">
        <v>9.1</v>
      </c>
      <c r="H2932" t="s">
        <v>2323</v>
      </c>
      <c r="I2932" s="21">
        <v>40022.536446759303</v>
      </c>
      <c r="J2932">
        <v>2009</v>
      </c>
      <c r="K2932" s="21">
        <v>40022.536446759303</v>
      </c>
      <c r="L2932">
        <v>2009</v>
      </c>
      <c r="M2932" s="21">
        <v>40500.449201388903</v>
      </c>
      <c r="N2932">
        <v>2010</v>
      </c>
      <c r="Q2932" s="262">
        <v>1791000</v>
      </c>
      <c r="R2932" s="262">
        <v>444000</v>
      </c>
      <c r="S2932" t="s">
        <v>114</v>
      </c>
      <c r="T2932" t="s">
        <v>114</v>
      </c>
      <c r="U2932">
        <v>5</v>
      </c>
      <c r="W2932">
        <v>5115</v>
      </c>
      <c r="X2932">
        <v>1</v>
      </c>
      <c r="Y2932">
        <v>0</v>
      </c>
      <c r="Z2932">
        <v>0</v>
      </c>
      <c r="AA2932">
        <v>0</v>
      </c>
      <c r="AB2932">
        <v>0</v>
      </c>
      <c r="AC2932">
        <v>5115</v>
      </c>
      <c r="AD2932">
        <v>0</v>
      </c>
      <c r="AE2932">
        <v>0</v>
      </c>
      <c r="AF2932">
        <v>0</v>
      </c>
      <c r="AG2932">
        <v>0</v>
      </c>
      <c r="AH2932">
        <v>0</v>
      </c>
      <c r="AI2932">
        <v>0</v>
      </c>
      <c r="AJ2932">
        <v>0</v>
      </c>
      <c r="AK2932">
        <v>0</v>
      </c>
      <c r="AL2932">
        <v>0</v>
      </c>
      <c r="AM2932">
        <v>0</v>
      </c>
      <c r="AN2932">
        <v>0</v>
      </c>
      <c r="AO2932">
        <v>1</v>
      </c>
      <c r="AP2932">
        <v>0</v>
      </c>
      <c r="AQ2932">
        <v>0</v>
      </c>
      <c r="AR2932">
        <v>0</v>
      </c>
      <c r="AS2932">
        <v>0</v>
      </c>
      <c r="AT2932">
        <v>0</v>
      </c>
      <c r="AU2932">
        <f t="shared" si="90"/>
        <v>1</v>
      </c>
      <c r="AV2932">
        <f t="shared" si="91"/>
        <v>0</v>
      </c>
    </row>
    <row r="2933" spans="1:48" x14ac:dyDescent="0.25">
      <c r="A2933" t="s">
        <v>9775</v>
      </c>
      <c r="C2933" t="s">
        <v>9776</v>
      </c>
      <c r="D2933" t="s">
        <v>9777</v>
      </c>
      <c r="E2933" t="s">
        <v>2310</v>
      </c>
      <c r="F2933">
        <v>8</v>
      </c>
      <c r="G2933">
        <v>8.1999999999999993</v>
      </c>
      <c r="H2933" t="s">
        <v>2022</v>
      </c>
      <c r="I2933" s="21">
        <v>40023.624467592599</v>
      </c>
      <c r="J2933">
        <v>2009</v>
      </c>
      <c r="K2933" s="21">
        <v>40023.624467592599</v>
      </c>
      <c r="L2933">
        <v>2009</v>
      </c>
      <c r="M2933" s="21">
        <v>40225.6086574074</v>
      </c>
      <c r="N2933">
        <v>2010</v>
      </c>
      <c r="Q2933" s="262">
        <v>100000</v>
      </c>
      <c r="R2933" s="262">
        <v>58000</v>
      </c>
      <c r="S2933" t="s">
        <v>114</v>
      </c>
      <c r="T2933" t="s">
        <v>114</v>
      </c>
      <c r="U2933">
        <v>8</v>
      </c>
      <c r="W2933">
        <v>539</v>
      </c>
      <c r="X2933">
        <v>1</v>
      </c>
      <c r="Y2933">
        <v>0</v>
      </c>
      <c r="Z2933">
        <v>0</v>
      </c>
      <c r="AA2933">
        <v>0</v>
      </c>
      <c r="AB2933">
        <v>0</v>
      </c>
      <c r="AC2933">
        <v>0</v>
      </c>
      <c r="AD2933">
        <v>0</v>
      </c>
      <c r="AE2933">
        <v>0</v>
      </c>
      <c r="AF2933">
        <v>539</v>
      </c>
      <c r="AG2933">
        <v>0</v>
      </c>
      <c r="AH2933">
        <v>0</v>
      </c>
      <c r="AI2933">
        <v>0</v>
      </c>
      <c r="AJ2933">
        <v>0</v>
      </c>
      <c r="AK2933">
        <v>0</v>
      </c>
      <c r="AL2933">
        <v>0</v>
      </c>
      <c r="AM2933">
        <v>0</v>
      </c>
      <c r="AN2933">
        <v>0</v>
      </c>
      <c r="AO2933">
        <v>0</v>
      </c>
      <c r="AP2933">
        <v>0</v>
      </c>
      <c r="AQ2933">
        <v>0</v>
      </c>
      <c r="AR2933">
        <v>1</v>
      </c>
      <c r="AS2933">
        <v>0</v>
      </c>
      <c r="AT2933">
        <v>0</v>
      </c>
      <c r="AU2933">
        <f t="shared" si="90"/>
        <v>0</v>
      </c>
      <c r="AV2933">
        <f t="shared" si="91"/>
        <v>0</v>
      </c>
    </row>
    <row r="2934" spans="1:48" x14ac:dyDescent="0.25">
      <c r="A2934" t="s">
        <v>9778</v>
      </c>
      <c r="C2934" t="s">
        <v>9779</v>
      </c>
      <c r="D2934" t="s">
        <v>9780</v>
      </c>
      <c r="E2934" t="s">
        <v>1663</v>
      </c>
      <c r="F2934">
        <v>6</v>
      </c>
      <c r="G2934">
        <v>6.1</v>
      </c>
      <c r="H2934" t="s">
        <v>2017</v>
      </c>
      <c r="I2934" s="21">
        <v>40025</v>
      </c>
      <c r="J2934">
        <v>2009</v>
      </c>
      <c r="K2934" s="21">
        <v>40056</v>
      </c>
      <c r="L2934">
        <v>2009</v>
      </c>
      <c r="M2934" s="21">
        <v>40209</v>
      </c>
      <c r="N2934">
        <v>2010</v>
      </c>
      <c r="Q2934" s="262">
        <v>20000</v>
      </c>
      <c r="S2934" t="s">
        <v>114</v>
      </c>
      <c r="T2934" t="s">
        <v>114</v>
      </c>
      <c r="W2934">
        <v>156</v>
      </c>
      <c r="X2934">
        <v>0</v>
      </c>
      <c r="Y2934">
        <v>0</v>
      </c>
      <c r="Z2934">
        <v>0</v>
      </c>
      <c r="AA2934">
        <v>0</v>
      </c>
      <c r="AB2934">
        <v>0</v>
      </c>
      <c r="AC2934">
        <v>156</v>
      </c>
      <c r="AD2934">
        <v>0</v>
      </c>
      <c r="AE2934">
        <v>0</v>
      </c>
      <c r="AF2934">
        <v>0</v>
      </c>
      <c r="AG2934">
        <v>0</v>
      </c>
      <c r="AH2934">
        <v>0</v>
      </c>
      <c r="AI2934">
        <v>0</v>
      </c>
      <c r="AJ2934">
        <v>0</v>
      </c>
      <c r="AK2934">
        <v>0</v>
      </c>
      <c r="AL2934">
        <v>0</v>
      </c>
      <c r="AM2934">
        <v>0</v>
      </c>
      <c r="AN2934">
        <v>0</v>
      </c>
      <c r="AO2934">
        <v>0</v>
      </c>
      <c r="AP2934">
        <v>0</v>
      </c>
      <c r="AQ2934">
        <v>0</v>
      </c>
      <c r="AR2934">
        <v>0</v>
      </c>
      <c r="AS2934">
        <v>0</v>
      </c>
      <c r="AT2934">
        <v>0</v>
      </c>
      <c r="AU2934">
        <f t="shared" si="90"/>
        <v>0</v>
      </c>
      <c r="AV2934">
        <f t="shared" si="91"/>
        <v>0</v>
      </c>
    </row>
    <row r="2935" spans="1:48" x14ac:dyDescent="0.25">
      <c r="A2935" t="s">
        <v>13397</v>
      </c>
      <c r="B2935" t="s">
        <v>114</v>
      </c>
      <c r="C2935" t="s">
        <v>13398</v>
      </c>
      <c r="D2935" t="s">
        <v>13399</v>
      </c>
      <c r="E2935" t="s">
        <v>1663</v>
      </c>
      <c r="F2935">
        <v>2</v>
      </c>
      <c r="G2935">
        <v>2.6</v>
      </c>
      <c r="H2935" t="s">
        <v>2327</v>
      </c>
      <c r="I2935" s="21">
        <v>40028</v>
      </c>
      <c r="J2935">
        <v>2009</v>
      </c>
      <c r="K2935" s="21">
        <v>40031</v>
      </c>
      <c r="L2935">
        <v>2009</v>
      </c>
      <c r="M2935" s="21">
        <v>42751</v>
      </c>
      <c r="N2935">
        <v>2017</v>
      </c>
      <c r="Q2935" s="262">
        <v>0</v>
      </c>
      <c r="S2935" t="s">
        <v>13254</v>
      </c>
      <c r="W2935">
        <v>1586</v>
      </c>
      <c r="X2935">
        <v>1</v>
      </c>
      <c r="Y2935">
        <v>0</v>
      </c>
      <c r="Z2935">
        <v>0</v>
      </c>
      <c r="AA2935">
        <v>0</v>
      </c>
      <c r="AB2935">
        <v>0</v>
      </c>
      <c r="AC2935">
        <v>1586</v>
      </c>
      <c r="AD2935">
        <v>0</v>
      </c>
      <c r="AE2935">
        <v>0</v>
      </c>
      <c r="AF2935">
        <v>0</v>
      </c>
      <c r="AG2935">
        <v>0</v>
      </c>
      <c r="AH2935">
        <v>0</v>
      </c>
      <c r="AI2935">
        <v>0</v>
      </c>
      <c r="AJ2935">
        <v>0</v>
      </c>
      <c r="AK2935">
        <v>0</v>
      </c>
      <c r="AL2935">
        <v>0</v>
      </c>
      <c r="AM2935">
        <v>0</v>
      </c>
      <c r="AN2935">
        <v>0</v>
      </c>
      <c r="AO2935">
        <v>1</v>
      </c>
      <c r="AP2935">
        <v>0</v>
      </c>
      <c r="AQ2935">
        <v>0</v>
      </c>
      <c r="AR2935">
        <v>0</v>
      </c>
      <c r="AS2935">
        <v>0</v>
      </c>
      <c r="AT2935">
        <v>0</v>
      </c>
      <c r="AU2935">
        <f t="shared" si="90"/>
        <v>1</v>
      </c>
      <c r="AV2935">
        <f t="shared" si="91"/>
        <v>0</v>
      </c>
    </row>
    <row r="2936" spans="1:48" x14ac:dyDescent="0.25">
      <c r="A2936" t="s">
        <v>9781</v>
      </c>
      <c r="C2936" t="s">
        <v>9782</v>
      </c>
      <c r="D2936" t="s">
        <v>9783</v>
      </c>
      <c r="E2936" t="s">
        <v>2310</v>
      </c>
      <c r="F2936">
        <v>10</v>
      </c>
      <c r="G2936">
        <v>10.1</v>
      </c>
      <c r="H2936" t="s">
        <v>2323</v>
      </c>
      <c r="I2936" s="21">
        <v>40029.669467592597</v>
      </c>
      <c r="J2936">
        <v>2009</v>
      </c>
      <c r="K2936" s="21">
        <v>40029.669467592597</v>
      </c>
      <c r="L2936">
        <v>2009</v>
      </c>
      <c r="M2936" s="21">
        <v>40520.405300925901</v>
      </c>
      <c r="N2936">
        <v>2010</v>
      </c>
      <c r="Q2936" s="262">
        <v>120000</v>
      </c>
      <c r="R2936" s="262">
        <v>231000</v>
      </c>
      <c r="S2936" t="s">
        <v>114</v>
      </c>
      <c r="T2936" t="s">
        <v>114</v>
      </c>
      <c r="U2936">
        <v>5</v>
      </c>
      <c r="V2936">
        <v>1648</v>
      </c>
      <c r="W2936">
        <v>811</v>
      </c>
      <c r="X2936">
        <v>0</v>
      </c>
      <c r="Y2936">
        <v>0</v>
      </c>
      <c r="Z2936">
        <v>0</v>
      </c>
      <c r="AA2936">
        <v>0</v>
      </c>
      <c r="AB2936">
        <v>0</v>
      </c>
      <c r="AC2936">
        <v>811</v>
      </c>
      <c r="AD2936">
        <v>0</v>
      </c>
      <c r="AE2936">
        <v>0</v>
      </c>
      <c r="AF2936">
        <v>0</v>
      </c>
      <c r="AG2936">
        <v>0</v>
      </c>
      <c r="AH2936">
        <v>0</v>
      </c>
      <c r="AI2936">
        <v>0</v>
      </c>
      <c r="AJ2936">
        <v>0</v>
      </c>
      <c r="AK2936">
        <v>0</v>
      </c>
      <c r="AL2936">
        <v>0</v>
      </c>
      <c r="AM2936">
        <v>0</v>
      </c>
      <c r="AN2936">
        <v>0</v>
      </c>
      <c r="AO2936">
        <v>0</v>
      </c>
      <c r="AP2936">
        <v>0</v>
      </c>
      <c r="AQ2936">
        <v>0</v>
      </c>
      <c r="AR2936">
        <v>0</v>
      </c>
      <c r="AS2936">
        <v>0</v>
      </c>
      <c r="AT2936">
        <v>0</v>
      </c>
      <c r="AU2936">
        <f t="shared" si="90"/>
        <v>0</v>
      </c>
      <c r="AV2936">
        <f t="shared" si="91"/>
        <v>0</v>
      </c>
    </row>
    <row r="2937" spans="1:48" x14ac:dyDescent="0.25">
      <c r="A2937" t="s">
        <v>9784</v>
      </c>
      <c r="C2937" t="s">
        <v>9785</v>
      </c>
      <c r="D2937" t="s">
        <v>9783</v>
      </c>
      <c r="E2937" t="s">
        <v>2310</v>
      </c>
      <c r="F2937">
        <v>10</v>
      </c>
      <c r="G2937">
        <v>10.1</v>
      </c>
      <c r="H2937" t="s">
        <v>2323</v>
      </c>
      <c r="I2937" s="21">
        <v>40029.701874999999</v>
      </c>
      <c r="J2937">
        <v>2009</v>
      </c>
      <c r="K2937" s="21">
        <v>40029.701874999999</v>
      </c>
      <c r="L2937">
        <v>2009</v>
      </c>
      <c r="M2937" s="21">
        <v>40147.479340277801</v>
      </c>
      <c r="N2937">
        <v>2009</v>
      </c>
      <c r="Q2937" s="262">
        <v>6000</v>
      </c>
      <c r="R2937" s="262">
        <v>41666</v>
      </c>
      <c r="S2937" t="s">
        <v>114</v>
      </c>
      <c r="T2937" t="s">
        <v>114</v>
      </c>
      <c r="U2937">
        <v>5</v>
      </c>
      <c r="W2937">
        <v>0</v>
      </c>
      <c r="X2937">
        <v>0</v>
      </c>
      <c r="Y2937">
        <v>0</v>
      </c>
      <c r="Z2937">
        <v>0</v>
      </c>
      <c r="AA2937">
        <v>0</v>
      </c>
      <c r="AB2937">
        <v>0</v>
      </c>
      <c r="AC2937">
        <v>0</v>
      </c>
      <c r="AD2937">
        <v>0</v>
      </c>
      <c r="AE2937">
        <v>0</v>
      </c>
      <c r="AF2937">
        <v>0</v>
      </c>
      <c r="AG2937">
        <v>0</v>
      </c>
      <c r="AH2937">
        <v>0</v>
      </c>
      <c r="AI2937">
        <v>0</v>
      </c>
      <c r="AJ2937">
        <v>0</v>
      </c>
      <c r="AK2937">
        <v>0</v>
      </c>
      <c r="AL2937">
        <v>0</v>
      </c>
      <c r="AM2937">
        <v>0</v>
      </c>
      <c r="AN2937">
        <v>0</v>
      </c>
      <c r="AO2937">
        <v>0</v>
      </c>
      <c r="AP2937">
        <v>0</v>
      </c>
      <c r="AQ2937">
        <v>0</v>
      </c>
      <c r="AR2937">
        <v>0</v>
      </c>
      <c r="AS2937">
        <v>0</v>
      </c>
      <c r="AT2937">
        <v>0</v>
      </c>
      <c r="AU2937">
        <f t="shared" si="90"/>
        <v>0</v>
      </c>
      <c r="AV2937">
        <f t="shared" si="91"/>
        <v>0</v>
      </c>
    </row>
    <row r="2938" spans="1:48" x14ac:dyDescent="0.25">
      <c r="A2938" t="s">
        <v>9786</v>
      </c>
      <c r="C2938" t="s">
        <v>9787</v>
      </c>
      <c r="D2938" t="s">
        <v>6275</v>
      </c>
      <c r="E2938" t="s">
        <v>2310</v>
      </c>
      <c r="F2938">
        <v>13</v>
      </c>
      <c r="G2938">
        <v>13.3</v>
      </c>
      <c r="H2938" t="s">
        <v>2017</v>
      </c>
      <c r="I2938" s="21">
        <v>40031.460509259297</v>
      </c>
      <c r="J2938">
        <v>2009</v>
      </c>
      <c r="K2938" s="21">
        <v>40031.460509259297</v>
      </c>
      <c r="L2938">
        <v>2009</v>
      </c>
      <c r="M2938" s="21">
        <v>40184.562465277799</v>
      </c>
      <c r="N2938">
        <v>2010</v>
      </c>
      <c r="Q2938" s="262">
        <v>35000</v>
      </c>
      <c r="R2938" s="262">
        <v>41666</v>
      </c>
      <c r="S2938" t="s">
        <v>114</v>
      </c>
      <c r="T2938" t="s">
        <v>114</v>
      </c>
      <c r="U2938">
        <v>5</v>
      </c>
      <c r="W2938">
        <v>0</v>
      </c>
      <c r="X2938">
        <v>0</v>
      </c>
      <c r="Y2938">
        <v>0</v>
      </c>
      <c r="Z2938">
        <v>0</v>
      </c>
      <c r="AA2938">
        <v>0</v>
      </c>
      <c r="AB2938">
        <v>0</v>
      </c>
      <c r="AC2938">
        <v>0</v>
      </c>
      <c r="AD2938">
        <v>0</v>
      </c>
      <c r="AE2938">
        <v>0</v>
      </c>
      <c r="AF2938">
        <v>0</v>
      </c>
      <c r="AG2938">
        <v>0</v>
      </c>
      <c r="AH2938">
        <v>0</v>
      </c>
      <c r="AI2938">
        <v>0</v>
      </c>
      <c r="AJ2938">
        <v>0</v>
      </c>
      <c r="AK2938">
        <v>0</v>
      </c>
      <c r="AL2938">
        <v>0</v>
      </c>
      <c r="AM2938">
        <v>0</v>
      </c>
      <c r="AN2938">
        <v>0</v>
      </c>
      <c r="AO2938">
        <v>0</v>
      </c>
      <c r="AP2938">
        <v>0</v>
      </c>
      <c r="AQ2938">
        <v>0</v>
      </c>
      <c r="AR2938">
        <v>0</v>
      </c>
      <c r="AS2938">
        <v>0</v>
      </c>
      <c r="AT2938">
        <v>0</v>
      </c>
      <c r="AU2938">
        <f t="shared" si="90"/>
        <v>0</v>
      </c>
      <c r="AV2938">
        <f t="shared" si="91"/>
        <v>0</v>
      </c>
    </row>
    <row r="2939" spans="1:48" x14ac:dyDescent="0.25">
      <c r="A2939" t="s">
        <v>9788</v>
      </c>
      <c r="C2939" t="s">
        <v>9789</v>
      </c>
      <c r="D2939" t="s">
        <v>9790</v>
      </c>
      <c r="E2939" t="s">
        <v>2310</v>
      </c>
      <c r="F2939">
        <v>9</v>
      </c>
      <c r="G2939">
        <v>9.3000000000000007</v>
      </c>
      <c r="H2939" t="s">
        <v>2323</v>
      </c>
      <c r="I2939" s="21">
        <v>40031.520960648202</v>
      </c>
      <c r="J2939">
        <v>2009</v>
      </c>
      <c r="K2939" s="21">
        <v>40031.520960648202</v>
      </c>
      <c r="L2939">
        <v>2009</v>
      </c>
      <c r="M2939" s="21">
        <v>40156.545486111099</v>
      </c>
      <c r="N2939">
        <v>2009</v>
      </c>
      <c r="Q2939" s="262">
        <v>75000</v>
      </c>
      <c r="R2939" s="262">
        <v>63000</v>
      </c>
      <c r="S2939" t="s">
        <v>114</v>
      </c>
      <c r="T2939" t="s">
        <v>114</v>
      </c>
      <c r="U2939">
        <v>5</v>
      </c>
      <c r="V2939">
        <v>600</v>
      </c>
      <c r="W2939">
        <v>44</v>
      </c>
      <c r="X2939">
        <v>0</v>
      </c>
      <c r="Y2939">
        <v>0</v>
      </c>
      <c r="Z2939">
        <v>0</v>
      </c>
      <c r="AA2939">
        <v>0</v>
      </c>
      <c r="AB2939">
        <v>0</v>
      </c>
      <c r="AC2939">
        <v>44</v>
      </c>
      <c r="AD2939">
        <v>0</v>
      </c>
      <c r="AE2939">
        <v>0</v>
      </c>
      <c r="AF2939">
        <v>0</v>
      </c>
      <c r="AG2939">
        <v>0</v>
      </c>
      <c r="AH2939">
        <v>0</v>
      </c>
      <c r="AI2939">
        <v>0</v>
      </c>
      <c r="AJ2939">
        <v>0</v>
      </c>
      <c r="AK2939">
        <v>0</v>
      </c>
      <c r="AL2939">
        <v>0</v>
      </c>
      <c r="AM2939">
        <v>0</v>
      </c>
      <c r="AN2939">
        <v>0</v>
      </c>
      <c r="AO2939">
        <v>0</v>
      </c>
      <c r="AP2939">
        <v>0</v>
      </c>
      <c r="AQ2939">
        <v>0</v>
      </c>
      <c r="AR2939">
        <v>0</v>
      </c>
      <c r="AS2939">
        <v>0</v>
      </c>
      <c r="AT2939">
        <v>0</v>
      </c>
      <c r="AU2939">
        <f t="shared" si="90"/>
        <v>0</v>
      </c>
      <c r="AV2939">
        <f t="shared" si="91"/>
        <v>0</v>
      </c>
    </row>
    <row r="2940" spans="1:48" x14ac:dyDescent="0.25">
      <c r="A2940" t="s">
        <v>9791</v>
      </c>
      <c r="C2940" t="s">
        <v>9792</v>
      </c>
      <c r="D2940" t="s">
        <v>9793</v>
      </c>
      <c r="E2940" t="s">
        <v>2310</v>
      </c>
      <c r="F2940">
        <v>8</v>
      </c>
      <c r="G2940">
        <v>8.1999999999999993</v>
      </c>
      <c r="H2940" t="s">
        <v>2022</v>
      </c>
      <c r="I2940" s="21">
        <v>40031.658240740697</v>
      </c>
      <c r="J2940">
        <v>2009</v>
      </c>
      <c r="K2940" s="21">
        <v>40031.658240740697</v>
      </c>
      <c r="L2940">
        <v>2009</v>
      </c>
      <c r="M2940" s="21">
        <v>41066.550057870401</v>
      </c>
      <c r="N2940">
        <v>2012</v>
      </c>
      <c r="Q2940" s="262">
        <v>6500000</v>
      </c>
      <c r="R2940" s="262">
        <v>733000</v>
      </c>
      <c r="S2940" t="s">
        <v>114</v>
      </c>
      <c r="T2940" t="s">
        <v>114</v>
      </c>
      <c r="U2940">
        <v>5</v>
      </c>
      <c r="W2940">
        <v>8026</v>
      </c>
      <c r="X2940">
        <v>1</v>
      </c>
      <c r="Y2940">
        <v>0</v>
      </c>
      <c r="Z2940">
        <v>0</v>
      </c>
      <c r="AA2940">
        <v>0</v>
      </c>
      <c r="AB2940">
        <v>0</v>
      </c>
      <c r="AC2940">
        <v>8026</v>
      </c>
      <c r="AD2940">
        <v>0</v>
      </c>
      <c r="AE2940">
        <v>0</v>
      </c>
      <c r="AF2940">
        <v>0</v>
      </c>
      <c r="AG2940">
        <v>0</v>
      </c>
      <c r="AH2940">
        <v>0</v>
      </c>
      <c r="AI2940">
        <v>0</v>
      </c>
      <c r="AJ2940">
        <v>0</v>
      </c>
      <c r="AK2940">
        <v>0</v>
      </c>
      <c r="AL2940">
        <v>0</v>
      </c>
      <c r="AM2940">
        <v>0</v>
      </c>
      <c r="AN2940">
        <v>0</v>
      </c>
      <c r="AO2940">
        <v>1</v>
      </c>
      <c r="AP2940">
        <v>0</v>
      </c>
      <c r="AQ2940">
        <v>0</v>
      </c>
      <c r="AR2940">
        <v>0</v>
      </c>
      <c r="AS2940">
        <v>0</v>
      </c>
      <c r="AT2940">
        <v>0</v>
      </c>
      <c r="AU2940">
        <f t="shared" si="90"/>
        <v>1</v>
      </c>
      <c r="AV2940">
        <f t="shared" si="91"/>
        <v>0</v>
      </c>
    </row>
    <row r="2941" spans="1:48" x14ac:dyDescent="0.25">
      <c r="A2941" t="s">
        <v>9794</v>
      </c>
      <c r="C2941" t="s">
        <v>9795</v>
      </c>
      <c r="D2941" t="s">
        <v>9796</v>
      </c>
      <c r="E2941" t="s">
        <v>2310</v>
      </c>
      <c r="F2941">
        <v>9</v>
      </c>
      <c r="G2941">
        <v>9.3000000000000007</v>
      </c>
      <c r="H2941" t="s">
        <v>2323</v>
      </c>
      <c r="I2941" s="21">
        <v>40035.476481481499</v>
      </c>
      <c r="J2941">
        <v>2009</v>
      </c>
      <c r="K2941" s="21">
        <v>40035.476481481499</v>
      </c>
      <c r="L2941">
        <v>2009</v>
      </c>
      <c r="M2941" s="21">
        <v>40170.409548611096</v>
      </c>
      <c r="N2941">
        <v>2009</v>
      </c>
      <c r="Q2941" s="262">
        <v>80000</v>
      </c>
      <c r="R2941" s="262">
        <v>138666</v>
      </c>
      <c r="S2941" t="s">
        <v>114</v>
      </c>
      <c r="T2941" t="s">
        <v>114</v>
      </c>
      <c r="U2941">
        <v>8</v>
      </c>
      <c r="W2941">
        <v>208</v>
      </c>
      <c r="X2941">
        <v>1</v>
      </c>
      <c r="Y2941">
        <v>0</v>
      </c>
      <c r="Z2941">
        <v>0</v>
      </c>
      <c r="AA2941">
        <v>0</v>
      </c>
      <c r="AB2941">
        <v>0</v>
      </c>
      <c r="AC2941">
        <v>0</v>
      </c>
      <c r="AD2941">
        <v>0</v>
      </c>
      <c r="AE2941">
        <v>0</v>
      </c>
      <c r="AF2941">
        <v>208</v>
      </c>
      <c r="AG2941">
        <v>0</v>
      </c>
      <c r="AH2941">
        <v>0</v>
      </c>
      <c r="AI2941">
        <v>0</v>
      </c>
      <c r="AJ2941">
        <v>0</v>
      </c>
      <c r="AK2941">
        <v>0</v>
      </c>
      <c r="AL2941">
        <v>0</v>
      </c>
      <c r="AM2941">
        <v>0</v>
      </c>
      <c r="AN2941">
        <v>0</v>
      </c>
      <c r="AO2941">
        <v>0</v>
      </c>
      <c r="AP2941">
        <v>0</v>
      </c>
      <c r="AQ2941">
        <v>0</v>
      </c>
      <c r="AR2941">
        <v>1</v>
      </c>
      <c r="AS2941">
        <v>0</v>
      </c>
      <c r="AT2941">
        <v>0</v>
      </c>
      <c r="AU2941">
        <f t="shared" si="90"/>
        <v>0</v>
      </c>
      <c r="AV2941">
        <f t="shared" si="91"/>
        <v>0</v>
      </c>
    </row>
    <row r="2942" spans="1:48" x14ac:dyDescent="0.25">
      <c r="A2942" t="s">
        <v>9797</v>
      </c>
      <c r="C2942" t="s">
        <v>9798</v>
      </c>
      <c r="D2942" t="s">
        <v>9799</v>
      </c>
      <c r="E2942" t="s">
        <v>2310</v>
      </c>
      <c r="F2942">
        <v>15</v>
      </c>
      <c r="G2942">
        <v>15.1</v>
      </c>
      <c r="H2942" t="s">
        <v>2022</v>
      </c>
      <c r="I2942" s="21">
        <v>40036.360625000001</v>
      </c>
      <c r="J2942">
        <v>2009</v>
      </c>
      <c r="K2942" s="21">
        <v>40036.360625000001</v>
      </c>
      <c r="L2942">
        <v>2009</v>
      </c>
      <c r="M2942" s="21">
        <v>40332.493136574099</v>
      </c>
      <c r="N2942">
        <v>2010</v>
      </c>
      <c r="Q2942" s="262">
        <v>40000</v>
      </c>
      <c r="R2942" s="262">
        <v>41666</v>
      </c>
      <c r="S2942" t="s">
        <v>114</v>
      </c>
      <c r="T2942" t="s">
        <v>114</v>
      </c>
      <c r="U2942">
        <v>5</v>
      </c>
      <c r="W2942">
        <v>288</v>
      </c>
      <c r="X2942">
        <v>0</v>
      </c>
      <c r="Y2942">
        <v>0</v>
      </c>
      <c r="Z2942">
        <v>0</v>
      </c>
      <c r="AA2942">
        <v>0</v>
      </c>
      <c r="AB2942">
        <v>0</v>
      </c>
      <c r="AC2942">
        <v>288</v>
      </c>
      <c r="AD2942">
        <v>0</v>
      </c>
      <c r="AE2942">
        <v>0</v>
      </c>
      <c r="AF2942">
        <v>0</v>
      </c>
      <c r="AG2942">
        <v>0</v>
      </c>
      <c r="AH2942">
        <v>0</v>
      </c>
      <c r="AI2942">
        <v>0</v>
      </c>
      <c r="AJ2942">
        <v>0</v>
      </c>
      <c r="AK2942">
        <v>0</v>
      </c>
      <c r="AL2942">
        <v>0</v>
      </c>
      <c r="AM2942">
        <v>0</v>
      </c>
      <c r="AN2942">
        <v>0</v>
      </c>
      <c r="AO2942">
        <v>0</v>
      </c>
      <c r="AP2942">
        <v>0</v>
      </c>
      <c r="AQ2942">
        <v>0</v>
      </c>
      <c r="AR2942">
        <v>0</v>
      </c>
      <c r="AS2942">
        <v>0</v>
      </c>
      <c r="AT2942">
        <v>0</v>
      </c>
      <c r="AU2942">
        <f t="shared" si="90"/>
        <v>0</v>
      </c>
      <c r="AV2942">
        <f t="shared" si="91"/>
        <v>0</v>
      </c>
    </row>
    <row r="2943" spans="1:48" x14ac:dyDescent="0.25">
      <c r="A2943" t="s">
        <v>9800</v>
      </c>
      <c r="C2943" t="s">
        <v>9801</v>
      </c>
      <c r="D2943" t="s">
        <v>9802</v>
      </c>
      <c r="E2943" t="s">
        <v>2310</v>
      </c>
      <c r="F2943">
        <v>10</v>
      </c>
      <c r="G2943">
        <v>10.1</v>
      </c>
      <c r="H2943" t="s">
        <v>2323</v>
      </c>
      <c r="I2943" s="21">
        <v>40036.429791666698</v>
      </c>
      <c r="J2943">
        <v>2009</v>
      </c>
      <c r="K2943" s="21">
        <v>40036.429791666698</v>
      </c>
      <c r="L2943">
        <v>2009</v>
      </c>
      <c r="M2943" s="21">
        <v>41409.412476851903</v>
      </c>
      <c r="N2943">
        <v>2013</v>
      </c>
      <c r="Q2943" s="262">
        <v>40000</v>
      </c>
      <c r="R2943" s="262">
        <v>41666</v>
      </c>
      <c r="S2943" t="s">
        <v>114</v>
      </c>
      <c r="T2943" t="s">
        <v>114</v>
      </c>
      <c r="U2943">
        <v>5</v>
      </c>
      <c r="W2943">
        <v>960</v>
      </c>
      <c r="X2943">
        <v>0</v>
      </c>
      <c r="Y2943">
        <v>0</v>
      </c>
      <c r="Z2943">
        <v>0</v>
      </c>
      <c r="AA2943">
        <v>0</v>
      </c>
      <c r="AB2943">
        <v>0</v>
      </c>
      <c r="AC2943">
        <v>960</v>
      </c>
      <c r="AD2943">
        <v>0</v>
      </c>
      <c r="AE2943">
        <v>0</v>
      </c>
      <c r="AF2943">
        <v>0</v>
      </c>
      <c r="AG2943">
        <v>0</v>
      </c>
      <c r="AH2943">
        <v>0</v>
      </c>
      <c r="AI2943">
        <v>0</v>
      </c>
      <c r="AJ2943">
        <v>0</v>
      </c>
      <c r="AK2943">
        <v>0</v>
      </c>
      <c r="AL2943">
        <v>0</v>
      </c>
      <c r="AM2943">
        <v>0</v>
      </c>
      <c r="AN2943">
        <v>0</v>
      </c>
      <c r="AO2943">
        <v>0</v>
      </c>
      <c r="AP2943">
        <v>0</v>
      </c>
      <c r="AQ2943">
        <v>0</v>
      </c>
      <c r="AR2943">
        <v>0</v>
      </c>
      <c r="AS2943">
        <v>0</v>
      </c>
      <c r="AT2943">
        <v>0</v>
      </c>
      <c r="AU2943">
        <f t="shared" si="90"/>
        <v>0</v>
      </c>
      <c r="AV2943">
        <f t="shared" si="91"/>
        <v>0</v>
      </c>
    </row>
    <row r="2944" spans="1:48" x14ac:dyDescent="0.25">
      <c r="A2944" t="s">
        <v>9803</v>
      </c>
      <c r="C2944" t="s">
        <v>9804</v>
      </c>
      <c r="D2944" t="s">
        <v>9805</v>
      </c>
      <c r="E2944" t="s">
        <v>2310</v>
      </c>
      <c r="F2944">
        <v>9</v>
      </c>
      <c r="G2944">
        <v>9.1999999999999993</v>
      </c>
      <c r="H2944" t="s">
        <v>2022</v>
      </c>
      <c r="I2944" s="21">
        <v>40036.456435185202</v>
      </c>
      <c r="J2944">
        <v>2009</v>
      </c>
      <c r="K2944" s="21">
        <v>40036.456435185202</v>
      </c>
      <c r="L2944">
        <v>2009</v>
      </c>
      <c r="M2944" s="21">
        <v>40534.6017013889</v>
      </c>
      <c r="N2944">
        <v>2010</v>
      </c>
      <c r="Q2944" s="262">
        <v>170000</v>
      </c>
      <c r="R2944" s="262">
        <v>107000</v>
      </c>
      <c r="S2944" t="s">
        <v>114</v>
      </c>
      <c r="T2944" t="s">
        <v>114</v>
      </c>
      <c r="U2944">
        <v>5</v>
      </c>
      <c r="W2944">
        <v>1389</v>
      </c>
      <c r="X2944">
        <v>0</v>
      </c>
      <c r="Y2944">
        <v>0</v>
      </c>
      <c r="Z2944">
        <v>0</v>
      </c>
      <c r="AA2944">
        <v>0</v>
      </c>
      <c r="AB2944">
        <v>0</v>
      </c>
      <c r="AC2944">
        <v>1389</v>
      </c>
      <c r="AD2944">
        <v>0</v>
      </c>
      <c r="AE2944">
        <v>0</v>
      </c>
      <c r="AF2944">
        <v>0</v>
      </c>
      <c r="AG2944">
        <v>0</v>
      </c>
      <c r="AH2944">
        <v>0</v>
      </c>
      <c r="AI2944">
        <v>0</v>
      </c>
      <c r="AJ2944">
        <v>0</v>
      </c>
      <c r="AK2944">
        <v>0</v>
      </c>
      <c r="AL2944">
        <v>0</v>
      </c>
      <c r="AM2944">
        <v>0</v>
      </c>
      <c r="AN2944">
        <v>0</v>
      </c>
      <c r="AO2944">
        <v>0</v>
      </c>
      <c r="AP2944">
        <v>0</v>
      </c>
      <c r="AQ2944">
        <v>0</v>
      </c>
      <c r="AR2944">
        <v>0</v>
      </c>
      <c r="AS2944">
        <v>0</v>
      </c>
      <c r="AT2944">
        <v>0</v>
      </c>
      <c r="AU2944">
        <f t="shared" si="90"/>
        <v>0</v>
      </c>
      <c r="AV2944">
        <f t="shared" si="91"/>
        <v>0</v>
      </c>
    </row>
    <row r="2945" spans="1:48" x14ac:dyDescent="0.25">
      <c r="A2945" t="s">
        <v>9806</v>
      </c>
      <c r="C2945" t="s">
        <v>9807</v>
      </c>
      <c r="D2945" t="s">
        <v>6726</v>
      </c>
      <c r="E2945" t="s">
        <v>2310</v>
      </c>
      <c r="F2945">
        <v>14</v>
      </c>
      <c r="G2945">
        <v>14.1</v>
      </c>
      <c r="H2945" t="s">
        <v>2022</v>
      </c>
      <c r="I2945" s="21">
        <v>40036.714085648098</v>
      </c>
      <c r="J2945">
        <v>2009</v>
      </c>
      <c r="K2945" s="21">
        <v>40036.714085648098</v>
      </c>
      <c r="L2945">
        <v>2009</v>
      </c>
      <c r="M2945" s="21">
        <v>40388.367303240702</v>
      </c>
      <c r="N2945">
        <v>2010</v>
      </c>
      <c r="Q2945" s="262">
        <v>250000</v>
      </c>
      <c r="R2945" s="262">
        <v>135000</v>
      </c>
      <c r="S2945" t="s">
        <v>114</v>
      </c>
      <c r="T2945" t="s">
        <v>114</v>
      </c>
      <c r="U2945">
        <v>5</v>
      </c>
      <c r="W2945">
        <v>2144</v>
      </c>
      <c r="X2945">
        <v>0</v>
      </c>
      <c r="Y2945">
        <v>0</v>
      </c>
      <c r="Z2945">
        <v>0</v>
      </c>
      <c r="AA2945">
        <v>0</v>
      </c>
      <c r="AB2945">
        <v>0</v>
      </c>
      <c r="AC2945">
        <v>2144</v>
      </c>
      <c r="AD2945">
        <v>0</v>
      </c>
      <c r="AE2945">
        <v>0</v>
      </c>
      <c r="AF2945">
        <v>0</v>
      </c>
      <c r="AG2945">
        <v>0</v>
      </c>
      <c r="AH2945">
        <v>0</v>
      </c>
      <c r="AI2945">
        <v>0</v>
      </c>
      <c r="AJ2945">
        <v>0</v>
      </c>
      <c r="AK2945">
        <v>0</v>
      </c>
      <c r="AL2945">
        <v>0</v>
      </c>
      <c r="AM2945">
        <v>0</v>
      </c>
      <c r="AN2945">
        <v>0</v>
      </c>
      <c r="AO2945">
        <v>0</v>
      </c>
      <c r="AP2945">
        <v>0</v>
      </c>
      <c r="AQ2945">
        <v>0</v>
      </c>
      <c r="AR2945">
        <v>0</v>
      </c>
      <c r="AS2945">
        <v>0</v>
      </c>
      <c r="AT2945">
        <v>0</v>
      </c>
      <c r="AU2945">
        <f t="shared" si="90"/>
        <v>0</v>
      </c>
      <c r="AV2945">
        <f t="shared" si="91"/>
        <v>0</v>
      </c>
    </row>
    <row r="2946" spans="1:48" x14ac:dyDescent="0.25">
      <c r="A2946" t="s">
        <v>9808</v>
      </c>
      <c r="C2946" t="s">
        <v>9809</v>
      </c>
      <c r="D2946" t="s">
        <v>8798</v>
      </c>
      <c r="E2946" t="s">
        <v>1663</v>
      </c>
      <c r="F2946">
        <v>2</v>
      </c>
      <c r="G2946">
        <v>2.2999999999999998</v>
      </c>
      <c r="H2946" t="s">
        <v>2327</v>
      </c>
      <c r="I2946" s="21">
        <v>40037</v>
      </c>
      <c r="J2946">
        <v>2009</v>
      </c>
      <c r="K2946" s="21">
        <v>40068</v>
      </c>
      <c r="L2946">
        <v>2009</v>
      </c>
      <c r="M2946" s="21">
        <v>40221</v>
      </c>
      <c r="N2946">
        <v>2010</v>
      </c>
      <c r="Q2946" s="262">
        <v>100000</v>
      </c>
      <c r="S2946" t="s">
        <v>114</v>
      </c>
      <c r="T2946" t="s">
        <v>114</v>
      </c>
      <c r="W2946">
        <v>1445</v>
      </c>
      <c r="X2946">
        <v>0</v>
      </c>
      <c r="Y2946">
        <v>0</v>
      </c>
      <c r="Z2946">
        <v>0</v>
      </c>
      <c r="AA2946">
        <v>0</v>
      </c>
      <c r="AB2946">
        <v>0</v>
      </c>
      <c r="AC2946">
        <v>0</v>
      </c>
      <c r="AD2946">
        <v>0</v>
      </c>
      <c r="AE2946">
        <v>0</v>
      </c>
      <c r="AF2946">
        <v>0</v>
      </c>
      <c r="AG2946">
        <v>0</v>
      </c>
      <c r="AH2946">
        <v>0</v>
      </c>
      <c r="AI2946">
        <v>0</v>
      </c>
      <c r="AJ2946">
        <v>1445</v>
      </c>
      <c r="AK2946">
        <v>0</v>
      </c>
      <c r="AL2946">
        <v>0</v>
      </c>
      <c r="AM2946">
        <v>0</v>
      </c>
      <c r="AN2946">
        <v>0</v>
      </c>
      <c r="AO2946">
        <v>0</v>
      </c>
      <c r="AP2946">
        <v>0</v>
      </c>
      <c r="AQ2946">
        <v>0</v>
      </c>
      <c r="AR2946">
        <v>0</v>
      </c>
      <c r="AS2946">
        <v>0</v>
      </c>
      <c r="AT2946">
        <v>0</v>
      </c>
      <c r="AU2946">
        <f t="shared" si="90"/>
        <v>0</v>
      </c>
      <c r="AV2946">
        <f t="shared" si="91"/>
        <v>1445</v>
      </c>
    </row>
    <row r="2947" spans="1:48" x14ac:dyDescent="0.25">
      <c r="A2947" t="s">
        <v>9810</v>
      </c>
      <c r="C2947" t="s">
        <v>9811</v>
      </c>
      <c r="D2947" t="s">
        <v>3693</v>
      </c>
      <c r="E2947" t="s">
        <v>2310</v>
      </c>
      <c r="F2947">
        <v>9</v>
      </c>
      <c r="G2947">
        <v>9.1999999999999993</v>
      </c>
      <c r="H2947" t="s">
        <v>2022</v>
      </c>
      <c r="I2947" s="21">
        <v>40042.601354166698</v>
      </c>
      <c r="J2947">
        <v>2009</v>
      </c>
      <c r="K2947" s="21">
        <v>40042.601354166698</v>
      </c>
      <c r="L2947">
        <v>2009</v>
      </c>
      <c r="M2947" s="21">
        <v>40122.468229166698</v>
      </c>
      <c r="N2947">
        <v>2009</v>
      </c>
      <c r="Q2947" s="262">
        <v>30000</v>
      </c>
      <c r="R2947" s="262">
        <v>41666</v>
      </c>
      <c r="S2947" t="s">
        <v>114</v>
      </c>
      <c r="T2947" t="s">
        <v>114</v>
      </c>
      <c r="U2947">
        <v>5</v>
      </c>
      <c r="W2947">
        <v>617</v>
      </c>
      <c r="X2947">
        <v>0</v>
      </c>
      <c r="Y2947">
        <v>0</v>
      </c>
      <c r="Z2947">
        <v>0</v>
      </c>
      <c r="AA2947">
        <v>0</v>
      </c>
      <c r="AB2947">
        <v>0</v>
      </c>
      <c r="AC2947">
        <v>617</v>
      </c>
      <c r="AD2947">
        <v>0</v>
      </c>
      <c r="AE2947">
        <v>0</v>
      </c>
      <c r="AF2947">
        <v>0</v>
      </c>
      <c r="AG2947">
        <v>0</v>
      </c>
      <c r="AH2947">
        <v>0</v>
      </c>
      <c r="AI2947">
        <v>0</v>
      </c>
      <c r="AJ2947">
        <v>0</v>
      </c>
      <c r="AK2947">
        <v>0</v>
      </c>
      <c r="AL2947">
        <v>0</v>
      </c>
      <c r="AM2947">
        <v>0</v>
      </c>
      <c r="AN2947">
        <v>0</v>
      </c>
      <c r="AO2947">
        <v>0</v>
      </c>
      <c r="AP2947">
        <v>0</v>
      </c>
      <c r="AQ2947">
        <v>0</v>
      </c>
      <c r="AR2947">
        <v>0</v>
      </c>
      <c r="AS2947">
        <v>0</v>
      </c>
      <c r="AT2947">
        <v>0</v>
      </c>
      <c r="AU2947">
        <f t="shared" si="90"/>
        <v>0</v>
      </c>
      <c r="AV2947">
        <f t="shared" si="91"/>
        <v>0</v>
      </c>
    </row>
    <row r="2948" spans="1:48" x14ac:dyDescent="0.25">
      <c r="A2948" t="s">
        <v>9812</v>
      </c>
      <c r="C2948" t="s">
        <v>9813</v>
      </c>
      <c r="D2948" t="s">
        <v>9814</v>
      </c>
      <c r="E2948" t="s">
        <v>2310</v>
      </c>
      <c r="F2948">
        <v>10</v>
      </c>
      <c r="G2948">
        <v>10.1</v>
      </c>
      <c r="H2948" t="s">
        <v>2323</v>
      </c>
      <c r="I2948" s="21">
        <v>40045.685162037</v>
      </c>
      <c r="J2948">
        <v>2009</v>
      </c>
      <c r="K2948" s="21">
        <v>40045.685162037</v>
      </c>
      <c r="L2948">
        <v>2009</v>
      </c>
      <c r="M2948" s="21">
        <v>40444.449652777803</v>
      </c>
      <c r="N2948">
        <v>2010</v>
      </c>
      <c r="Q2948" s="262">
        <v>350000</v>
      </c>
      <c r="R2948" s="262">
        <v>243000</v>
      </c>
      <c r="S2948" t="s">
        <v>114</v>
      </c>
      <c r="T2948" t="s">
        <v>114</v>
      </c>
      <c r="U2948">
        <v>5</v>
      </c>
      <c r="W2948">
        <v>2321</v>
      </c>
      <c r="X2948">
        <v>0</v>
      </c>
      <c r="Y2948">
        <v>0</v>
      </c>
      <c r="Z2948">
        <v>0</v>
      </c>
      <c r="AA2948">
        <v>0</v>
      </c>
      <c r="AB2948">
        <v>0</v>
      </c>
      <c r="AC2948">
        <v>2321</v>
      </c>
      <c r="AD2948">
        <v>0</v>
      </c>
      <c r="AE2948">
        <v>0</v>
      </c>
      <c r="AF2948">
        <v>0</v>
      </c>
      <c r="AG2948">
        <v>0</v>
      </c>
      <c r="AH2948">
        <v>0</v>
      </c>
      <c r="AI2948">
        <v>0</v>
      </c>
      <c r="AJ2948">
        <v>0</v>
      </c>
      <c r="AK2948">
        <v>0</v>
      </c>
      <c r="AL2948">
        <v>0</v>
      </c>
      <c r="AM2948">
        <v>0</v>
      </c>
      <c r="AN2948">
        <v>0</v>
      </c>
      <c r="AO2948">
        <v>0</v>
      </c>
      <c r="AP2948">
        <v>0</v>
      </c>
      <c r="AQ2948">
        <v>0</v>
      </c>
      <c r="AR2948">
        <v>0</v>
      </c>
      <c r="AS2948">
        <v>0</v>
      </c>
      <c r="AT2948">
        <v>0</v>
      </c>
      <c r="AU2948">
        <f t="shared" si="90"/>
        <v>0</v>
      </c>
      <c r="AV2948">
        <f t="shared" si="91"/>
        <v>0</v>
      </c>
    </row>
    <row r="2949" spans="1:48" x14ac:dyDescent="0.25">
      <c r="A2949" t="s">
        <v>9815</v>
      </c>
      <c r="C2949" t="s">
        <v>7403</v>
      </c>
      <c r="D2949" t="s">
        <v>9816</v>
      </c>
      <c r="E2949" t="s">
        <v>2310</v>
      </c>
      <c r="F2949">
        <v>8</v>
      </c>
      <c r="G2949">
        <v>8.1</v>
      </c>
      <c r="H2949" t="s">
        <v>2323</v>
      </c>
      <c r="I2949" s="21">
        <v>40049.632175925901</v>
      </c>
      <c r="J2949">
        <v>2009</v>
      </c>
      <c r="K2949" s="21">
        <v>40049.632175925901</v>
      </c>
      <c r="L2949">
        <v>2009</v>
      </c>
      <c r="M2949" s="21">
        <v>40534.604467592602</v>
      </c>
      <c r="N2949">
        <v>2010</v>
      </c>
      <c r="Q2949" s="262">
        <v>900000</v>
      </c>
      <c r="R2949" s="262">
        <v>41666</v>
      </c>
      <c r="S2949" t="s">
        <v>114</v>
      </c>
      <c r="T2949" t="s">
        <v>114</v>
      </c>
      <c r="U2949">
        <v>5</v>
      </c>
      <c r="W2949">
        <v>963</v>
      </c>
      <c r="X2949">
        <v>0</v>
      </c>
      <c r="Y2949">
        <v>0</v>
      </c>
      <c r="Z2949">
        <v>0</v>
      </c>
      <c r="AA2949">
        <v>0</v>
      </c>
      <c r="AB2949">
        <v>0</v>
      </c>
      <c r="AC2949">
        <v>963</v>
      </c>
      <c r="AD2949">
        <v>0</v>
      </c>
      <c r="AE2949">
        <v>0</v>
      </c>
      <c r="AF2949">
        <v>0</v>
      </c>
      <c r="AG2949">
        <v>0</v>
      </c>
      <c r="AH2949">
        <v>0</v>
      </c>
      <c r="AI2949">
        <v>0</v>
      </c>
      <c r="AJ2949">
        <v>0</v>
      </c>
      <c r="AK2949">
        <v>0</v>
      </c>
      <c r="AL2949">
        <v>0</v>
      </c>
      <c r="AM2949">
        <v>0</v>
      </c>
      <c r="AN2949">
        <v>0</v>
      </c>
      <c r="AO2949">
        <v>0</v>
      </c>
      <c r="AP2949">
        <v>0</v>
      </c>
      <c r="AQ2949">
        <v>0</v>
      </c>
      <c r="AR2949">
        <v>0</v>
      </c>
      <c r="AS2949">
        <v>0</v>
      </c>
      <c r="AT2949">
        <v>0</v>
      </c>
      <c r="AU2949">
        <f t="shared" si="90"/>
        <v>0</v>
      </c>
      <c r="AV2949">
        <f t="shared" si="91"/>
        <v>0</v>
      </c>
    </row>
    <row r="2950" spans="1:48" x14ac:dyDescent="0.25">
      <c r="A2950" t="s">
        <v>9817</v>
      </c>
      <c r="C2950" t="s">
        <v>9818</v>
      </c>
      <c r="D2950" t="s">
        <v>9819</v>
      </c>
      <c r="E2950" t="s">
        <v>1663</v>
      </c>
      <c r="F2950">
        <v>6</v>
      </c>
      <c r="G2950">
        <v>6.2</v>
      </c>
      <c r="H2950" t="s">
        <v>2017</v>
      </c>
      <c r="I2950" s="21">
        <v>40051</v>
      </c>
      <c r="J2950">
        <v>2009</v>
      </c>
      <c r="K2950" s="21">
        <v>40082</v>
      </c>
      <c r="L2950">
        <v>2009</v>
      </c>
      <c r="M2950" s="21">
        <v>40235</v>
      </c>
      <c r="N2950">
        <v>2010</v>
      </c>
      <c r="Q2950" s="262">
        <v>0</v>
      </c>
      <c r="S2950" t="s">
        <v>114</v>
      </c>
      <c r="T2950" t="s">
        <v>114</v>
      </c>
      <c r="W2950">
        <v>4132</v>
      </c>
      <c r="X2950">
        <v>0</v>
      </c>
      <c r="Y2950">
        <v>0</v>
      </c>
      <c r="Z2950">
        <v>0</v>
      </c>
      <c r="AA2950">
        <v>0</v>
      </c>
      <c r="AB2950">
        <v>0</v>
      </c>
      <c r="AC2950">
        <v>4132</v>
      </c>
      <c r="AD2950">
        <v>0</v>
      </c>
      <c r="AE2950">
        <v>0</v>
      </c>
      <c r="AF2950">
        <v>0</v>
      </c>
      <c r="AG2950">
        <v>0</v>
      </c>
      <c r="AH2950">
        <v>0</v>
      </c>
      <c r="AI2950">
        <v>0</v>
      </c>
      <c r="AJ2950">
        <v>0</v>
      </c>
      <c r="AK2950">
        <v>0</v>
      </c>
      <c r="AL2950">
        <v>0</v>
      </c>
      <c r="AM2950">
        <v>0</v>
      </c>
      <c r="AN2950">
        <v>0</v>
      </c>
      <c r="AO2950">
        <v>0</v>
      </c>
      <c r="AP2950">
        <v>0</v>
      </c>
      <c r="AQ2950">
        <v>0</v>
      </c>
      <c r="AR2950">
        <v>0</v>
      </c>
      <c r="AS2950">
        <v>0</v>
      </c>
      <c r="AT2950">
        <v>0</v>
      </c>
      <c r="AU2950">
        <f t="shared" si="90"/>
        <v>0</v>
      </c>
      <c r="AV2950">
        <f t="shared" si="91"/>
        <v>0</v>
      </c>
    </row>
    <row r="2951" spans="1:48" x14ac:dyDescent="0.25">
      <c r="A2951" t="s">
        <v>9820</v>
      </c>
      <c r="C2951" t="s">
        <v>9821</v>
      </c>
      <c r="D2951" t="s">
        <v>9822</v>
      </c>
      <c r="E2951" t="s">
        <v>2310</v>
      </c>
      <c r="F2951">
        <v>14</v>
      </c>
      <c r="G2951">
        <v>14.1</v>
      </c>
      <c r="H2951" t="s">
        <v>2022</v>
      </c>
      <c r="I2951" s="21">
        <v>40053.606643518498</v>
      </c>
      <c r="J2951">
        <v>2009</v>
      </c>
      <c r="K2951" s="21">
        <v>40053.606643518498</v>
      </c>
      <c r="L2951">
        <v>2009</v>
      </c>
      <c r="M2951" s="21">
        <v>40561.566446759301</v>
      </c>
      <c r="N2951">
        <v>2011</v>
      </c>
      <c r="Q2951" s="262">
        <v>239000</v>
      </c>
      <c r="R2951" s="262">
        <v>41666</v>
      </c>
      <c r="S2951" t="s">
        <v>114</v>
      </c>
      <c r="T2951" t="s">
        <v>114</v>
      </c>
      <c r="U2951">
        <v>11</v>
      </c>
      <c r="W2951">
        <v>560</v>
      </c>
      <c r="X2951">
        <v>0</v>
      </c>
      <c r="Y2951">
        <v>0</v>
      </c>
      <c r="Z2951">
        <v>0</v>
      </c>
      <c r="AA2951">
        <v>0</v>
      </c>
      <c r="AB2951">
        <v>0</v>
      </c>
      <c r="AC2951">
        <v>0</v>
      </c>
      <c r="AD2951">
        <v>0</v>
      </c>
      <c r="AE2951">
        <v>0</v>
      </c>
      <c r="AF2951">
        <v>0</v>
      </c>
      <c r="AG2951">
        <v>0</v>
      </c>
      <c r="AH2951">
        <v>0</v>
      </c>
      <c r="AI2951">
        <v>560</v>
      </c>
      <c r="AJ2951">
        <v>0</v>
      </c>
      <c r="AK2951">
        <v>0</v>
      </c>
      <c r="AL2951">
        <v>0</v>
      </c>
      <c r="AM2951">
        <v>0</v>
      </c>
      <c r="AN2951">
        <v>0</v>
      </c>
      <c r="AO2951">
        <v>0</v>
      </c>
      <c r="AP2951">
        <v>0</v>
      </c>
      <c r="AQ2951">
        <v>0</v>
      </c>
      <c r="AR2951">
        <v>0</v>
      </c>
      <c r="AS2951">
        <v>0</v>
      </c>
      <c r="AT2951">
        <v>0</v>
      </c>
      <c r="AU2951">
        <f t="shared" si="90"/>
        <v>0</v>
      </c>
      <c r="AV2951">
        <f t="shared" si="91"/>
        <v>560</v>
      </c>
    </row>
    <row r="2952" spans="1:48" x14ac:dyDescent="0.25">
      <c r="A2952" t="s">
        <v>9823</v>
      </c>
      <c r="C2952" t="s">
        <v>9824</v>
      </c>
      <c r="D2952" t="s">
        <v>9822</v>
      </c>
      <c r="E2952" t="s">
        <v>2310</v>
      </c>
      <c r="F2952">
        <v>14</v>
      </c>
      <c r="G2952">
        <v>14.1</v>
      </c>
      <c r="H2952" t="s">
        <v>2022</v>
      </c>
      <c r="I2952" s="21">
        <v>40053.635775463001</v>
      </c>
      <c r="J2952">
        <v>2009</v>
      </c>
      <c r="K2952" s="21">
        <v>40053.635775463001</v>
      </c>
      <c r="L2952">
        <v>2009</v>
      </c>
      <c r="M2952" s="21">
        <v>40561.618437500001</v>
      </c>
      <c r="N2952">
        <v>2011</v>
      </c>
      <c r="Q2952" s="262">
        <v>239000</v>
      </c>
      <c r="R2952" s="262">
        <v>41666</v>
      </c>
      <c r="S2952" t="s">
        <v>114</v>
      </c>
      <c r="T2952" t="s">
        <v>114</v>
      </c>
      <c r="U2952">
        <v>11</v>
      </c>
      <c r="W2952">
        <v>448</v>
      </c>
      <c r="X2952">
        <v>0</v>
      </c>
      <c r="Y2952">
        <v>0</v>
      </c>
      <c r="Z2952">
        <v>0</v>
      </c>
      <c r="AA2952">
        <v>0</v>
      </c>
      <c r="AB2952">
        <v>0</v>
      </c>
      <c r="AC2952">
        <v>0</v>
      </c>
      <c r="AD2952">
        <v>0</v>
      </c>
      <c r="AE2952">
        <v>0</v>
      </c>
      <c r="AF2952">
        <v>0</v>
      </c>
      <c r="AG2952">
        <v>0</v>
      </c>
      <c r="AH2952">
        <v>0</v>
      </c>
      <c r="AI2952">
        <v>448</v>
      </c>
      <c r="AJ2952">
        <v>0</v>
      </c>
      <c r="AK2952">
        <v>0</v>
      </c>
      <c r="AL2952">
        <v>0</v>
      </c>
      <c r="AM2952">
        <v>0</v>
      </c>
      <c r="AN2952">
        <v>0</v>
      </c>
      <c r="AO2952">
        <v>0</v>
      </c>
      <c r="AP2952">
        <v>0</v>
      </c>
      <c r="AQ2952">
        <v>0</v>
      </c>
      <c r="AR2952">
        <v>0</v>
      </c>
      <c r="AS2952">
        <v>0</v>
      </c>
      <c r="AT2952">
        <v>0</v>
      </c>
      <c r="AU2952">
        <f t="shared" si="90"/>
        <v>0</v>
      </c>
      <c r="AV2952">
        <f t="shared" si="91"/>
        <v>448</v>
      </c>
    </row>
    <row r="2953" spans="1:48" x14ac:dyDescent="0.25">
      <c r="A2953" t="s">
        <v>9825</v>
      </c>
      <c r="C2953" t="s">
        <v>9826</v>
      </c>
      <c r="D2953" t="s">
        <v>9827</v>
      </c>
      <c r="E2953" t="s">
        <v>2310</v>
      </c>
      <c r="F2953">
        <v>13</v>
      </c>
      <c r="G2953">
        <v>13.2</v>
      </c>
      <c r="H2953" t="s">
        <v>2327</v>
      </c>
      <c r="I2953" s="21">
        <v>40057.6026388889</v>
      </c>
      <c r="J2953">
        <v>2009</v>
      </c>
      <c r="K2953" s="21">
        <v>40057.6026388889</v>
      </c>
      <c r="L2953">
        <v>2009</v>
      </c>
      <c r="M2953" s="21">
        <v>40785.403229166703</v>
      </c>
      <c r="N2953">
        <v>2011</v>
      </c>
      <c r="Q2953" s="262">
        <v>4200000</v>
      </c>
      <c r="R2953" s="262">
        <v>737000</v>
      </c>
      <c r="S2953" t="s">
        <v>114</v>
      </c>
      <c r="T2953" t="s">
        <v>114</v>
      </c>
      <c r="U2953">
        <v>17</v>
      </c>
      <c r="W2953">
        <v>7734</v>
      </c>
      <c r="X2953">
        <v>2</v>
      </c>
      <c r="Y2953">
        <v>0</v>
      </c>
      <c r="Z2953">
        <v>0</v>
      </c>
      <c r="AA2953">
        <v>0</v>
      </c>
      <c r="AB2953">
        <v>0</v>
      </c>
      <c r="AC2953">
        <v>1061</v>
      </c>
      <c r="AD2953">
        <v>5929</v>
      </c>
      <c r="AE2953">
        <v>0</v>
      </c>
      <c r="AF2953">
        <v>744</v>
      </c>
      <c r="AG2953">
        <v>0</v>
      </c>
      <c r="AH2953">
        <v>0</v>
      </c>
      <c r="AI2953">
        <v>0</v>
      </c>
      <c r="AJ2953">
        <v>0</v>
      </c>
      <c r="AK2953">
        <v>0</v>
      </c>
      <c r="AL2953">
        <v>0</v>
      </c>
      <c r="AM2953">
        <v>0</v>
      </c>
      <c r="AN2953">
        <v>0</v>
      </c>
      <c r="AO2953">
        <v>0</v>
      </c>
      <c r="AP2953">
        <v>1</v>
      </c>
      <c r="AQ2953">
        <v>0</v>
      </c>
      <c r="AR2953">
        <v>1</v>
      </c>
      <c r="AS2953">
        <v>0</v>
      </c>
      <c r="AT2953">
        <v>0</v>
      </c>
      <c r="AU2953">
        <f t="shared" si="90"/>
        <v>1</v>
      </c>
      <c r="AV2953">
        <f t="shared" si="91"/>
        <v>0</v>
      </c>
    </row>
    <row r="2954" spans="1:48" x14ac:dyDescent="0.25">
      <c r="A2954" t="s">
        <v>9828</v>
      </c>
      <c r="C2954" t="s">
        <v>9829</v>
      </c>
      <c r="D2954" t="s">
        <v>9830</v>
      </c>
      <c r="E2954" t="s">
        <v>2310</v>
      </c>
      <c r="F2954">
        <v>15</v>
      </c>
      <c r="G2954">
        <v>15.2</v>
      </c>
      <c r="H2954" t="s">
        <v>2323</v>
      </c>
      <c r="I2954" s="21">
        <v>40064.430057870399</v>
      </c>
      <c r="J2954">
        <v>2009</v>
      </c>
      <c r="K2954" s="21">
        <v>40064.430057870399</v>
      </c>
      <c r="L2954">
        <v>2009</v>
      </c>
      <c r="M2954" s="21">
        <v>41555.614872685197</v>
      </c>
      <c r="N2954">
        <v>2013</v>
      </c>
      <c r="Q2954" s="262">
        <v>138000</v>
      </c>
      <c r="R2954" s="262">
        <v>137368</v>
      </c>
      <c r="S2954" t="s">
        <v>114</v>
      </c>
      <c r="T2954" t="s">
        <v>114</v>
      </c>
      <c r="U2954">
        <v>8</v>
      </c>
      <c r="W2954">
        <v>980</v>
      </c>
      <c r="X2954">
        <v>0</v>
      </c>
      <c r="Y2954">
        <v>0</v>
      </c>
      <c r="Z2954">
        <v>0</v>
      </c>
      <c r="AA2954">
        <v>0</v>
      </c>
      <c r="AB2954">
        <v>0</v>
      </c>
      <c r="AC2954">
        <v>0</v>
      </c>
      <c r="AD2954">
        <v>0</v>
      </c>
      <c r="AE2954">
        <v>0</v>
      </c>
      <c r="AF2954">
        <v>980</v>
      </c>
      <c r="AG2954">
        <v>0</v>
      </c>
      <c r="AH2954">
        <v>0</v>
      </c>
      <c r="AI2954">
        <v>0</v>
      </c>
      <c r="AJ2954">
        <v>0</v>
      </c>
      <c r="AK2954">
        <v>0</v>
      </c>
      <c r="AL2954">
        <v>0</v>
      </c>
      <c r="AM2954">
        <v>0</v>
      </c>
      <c r="AN2954">
        <v>0</v>
      </c>
      <c r="AO2954">
        <v>0</v>
      </c>
      <c r="AP2954">
        <v>0</v>
      </c>
      <c r="AQ2954">
        <v>0</v>
      </c>
      <c r="AR2954">
        <v>0</v>
      </c>
      <c r="AS2954">
        <v>0</v>
      </c>
      <c r="AT2954">
        <v>0</v>
      </c>
      <c r="AU2954">
        <f t="shared" si="90"/>
        <v>0</v>
      </c>
      <c r="AV2954">
        <f t="shared" si="91"/>
        <v>0</v>
      </c>
    </row>
    <row r="2955" spans="1:48" x14ac:dyDescent="0.25">
      <c r="A2955" t="s">
        <v>9831</v>
      </c>
      <c r="C2955" t="s">
        <v>8393</v>
      </c>
      <c r="D2955" t="s">
        <v>9832</v>
      </c>
      <c r="E2955" t="s">
        <v>2310</v>
      </c>
      <c r="F2955">
        <v>10</v>
      </c>
      <c r="G2955">
        <v>10.1</v>
      </c>
      <c r="H2955" t="s">
        <v>2323</v>
      </c>
      <c r="I2955" s="21">
        <v>40064.694351851896</v>
      </c>
      <c r="J2955">
        <v>2009</v>
      </c>
      <c r="K2955" s="21">
        <v>40064.694351851896</v>
      </c>
      <c r="L2955">
        <v>2009</v>
      </c>
      <c r="M2955" s="21">
        <v>40365.393900463001</v>
      </c>
      <c r="N2955">
        <v>2010</v>
      </c>
      <c r="Q2955" s="262">
        <v>262900</v>
      </c>
      <c r="R2955" s="262">
        <v>119000</v>
      </c>
      <c r="S2955" t="s">
        <v>114</v>
      </c>
      <c r="T2955" t="s">
        <v>114</v>
      </c>
      <c r="U2955">
        <v>8</v>
      </c>
      <c r="W2955">
        <v>1441</v>
      </c>
      <c r="X2955">
        <v>1</v>
      </c>
      <c r="Y2955">
        <v>0</v>
      </c>
      <c r="Z2955">
        <v>0</v>
      </c>
      <c r="AA2955">
        <v>0</v>
      </c>
      <c r="AB2955">
        <v>0</v>
      </c>
      <c r="AC2955">
        <v>448</v>
      </c>
      <c r="AD2955">
        <v>0</v>
      </c>
      <c r="AE2955">
        <v>0</v>
      </c>
      <c r="AF2955">
        <v>993</v>
      </c>
      <c r="AG2955">
        <v>0</v>
      </c>
      <c r="AH2955">
        <v>0</v>
      </c>
      <c r="AI2955">
        <v>0</v>
      </c>
      <c r="AJ2955">
        <v>0</v>
      </c>
      <c r="AK2955">
        <v>0</v>
      </c>
      <c r="AL2955">
        <v>0</v>
      </c>
      <c r="AM2955">
        <v>0</v>
      </c>
      <c r="AN2955">
        <v>0</v>
      </c>
      <c r="AO2955">
        <v>0</v>
      </c>
      <c r="AP2955">
        <v>0</v>
      </c>
      <c r="AQ2955">
        <v>0</v>
      </c>
      <c r="AR2955">
        <v>1</v>
      </c>
      <c r="AS2955">
        <v>0</v>
      </c>
      <c r="AT2955">
        <v>0</v>
      </c>
      <c r="AU2955">
        <f t="shared" si="90"/>
        <v>0</v>
      </c>
      <c r="AV2955">
        <f t="shared" si="91"/>
        <v>0</v>
      </c>
    </row>
    <row r="2956" spans="1:48" x14ac:dyDescent="0.25">
      <c r="A2956" t="s">
        <v>9833</v>
      </c>
      <c r="C2956" t="s">
        <v>9834</v>
      </c>
      <c r="D2956" t="s">
        <v>9144</v>
      </c>
      <c r="E2956" t="s">
        <v>1663</v>
      </c>
      <c r="F2956">
        <v>3</v>
      </c>
      <c r="G2956">
        <v>3.1</v>
      </c>
      <c r="H2956" t="s">
        <v>2017</v>
      </c>
      <c r="I2956" s="21">
        <v>40065</v>
      </c>
      <c r="J2956">
        <v>2009</v>
      </c>
      <c r="K2956" s="21">
        <v>40095</v>
      </c>
      <c r="L2956">
        <v>2009</v>
      </c>
      <c r="M2956" s="21">
        <v>40246</v>
      </c>
      <c r="N2956">
        <v>2010</v>
      </c>
      <c r="Q2956" s="262">
        <v>0</v>
      </c>
      <c r="S2956" t="s">
        <v>114</v>
      </c>
      <c r="T2956" t="s">
        <v>114</v>
      </c>
      <c r="W2956">
        <v>2778</v>
      </c>
      <c r="X2956">
        <v>0</v>
      </c>
      <c r="Y2956">
        <v>0</v>
      </c>
      <c r="Z2956">
        <v>0</v>
      </c>
      <c r="AA2956">
        <v>0</v>
      </c>
      <c r="AB2956">
        <v>0</v>
      </c>
      <c r="AC2956">
        <v>0</v>
      </c>
      <c r="AD2956">
        <v>2778</v>
      </c>
      <c r="AE2956">
        <v>0</v>
      </c>
      <c r="AF2956">
        <v>0</v>
      </c>
      <c r="AG2956">
        <v>0</v>
      </c>
      <c r="AH2956">
        <v>0</v>
      </c>
      <c r="AI2956">
        <v>0</v>
      </c>
      <c r="AJ2956">
        <v>0</v>
      </c>
      <c r="AK2956">
        <v>0</v>
      </c>
      <c r="AL2956">
        <v>0</v>
      </c>
      <c r="AM2956">
        <v>0</v>
      </c>
      <c r="AN2956">
        <v>0</v>
      </c>
      <c r="AO2956">
        <v>0</v>
      </c>
      <c r="AP2956">
        <v>0</v>
      </c>
      <c r="AQ2956">
        <v>0</v>
      </c>
      <c r="AR2956">
        <v>0</v>
      </c>
      <c r="AS2956">
        <v>0</v>
      </c>
      <c r="AT2956">
        <v>0</v>
      </c>
      <c r="AU2956">
        <f t="shared" si="90"/>
        <v>0</v>
      </c>
      <c r="AV2956">
        <f t="shared" si="91"/>
        <v>0</v>
      </c>
    </row>
    <row r="2957" spans="1:48" x14ac:dyDescent="0.25">
      <c r="A2957" t="s">
        <v>9835</v>
      </c>
      <c r="C2957" t="s">
        <v>8393</v>
      </c>
      <c r="D2957" t="s">
        <v>5059</v>
      </c>
      <c r="E2957" t="s">
        <v>2310</v>
      </c>
      <c r="F2957">
        <v>9</v>
      </c>
      <c r="G2957">
        <v>9.3000000000000007</v>
      </c>
      <c r="H2957" t="s">
        <v>2323</v>
      </c>
      <c r="I2957" s="21">
        <v>40066.442893518499</v>
      </c>
      <c r="J2957">
        <v>2009</v>
      </c>
      <c r="K2957" s="21">
        <v>40066.442893518499</v>
      </c>
      <c r="L2957">
        <v>2009</v>
      </c>
      <c r="M2957" s="21">
        <v>40526.473888888897</v>
      </c>
      <c r="N2957">
        <v>2010</v>
      </c>
      <c r="Q2957" s="262">
        <v>205000</v>
      </c>
      <c r="R2957" s="262">
        <v>98000</v>
      </c>
      <c r="S2957" t="s">
        <v>114</v>
      </c>
      <c r="T2957" t="s">
        <v>114</v>
      </c>
      <c r="U2957">
        <v>8</v>
      </c>
      <c r="W2957">
        <v>960</v>
      </c>
      <c r="X2957">
        <v>0</v>
      </c>
      <c r="Y2957">
        <v>0</v>
      </c>
      <c r="Z2957">
        <v>0</v>
      </c>
      <c r="AA2957">
        <v>0</v>
      </c>
      <c r="AB2957">
        <v>0</v>
      </c>
      <c r="AC2957">
        <v>0</v>
      </c>
      <c r="AD2957">
        <v>0</v>
      </c>
      <c r="AE2957">
        <v>0</v>
      </c>
      <c r="AF2957">
        <v>960</v>
      </c>
      <c r="AG2957">
        <v>0</v>
      </c>
      <c r="AH2957">
        <v>0</v>
      </c>
      <c r="AI2957">
        <v>0</v>
      </c>
      <c r="AJ2957">
        <v>0</v>
      </c>
      <c r="AK2957">
        <v>0</v>
      </c>
      <c r="AL2957">
        <v>0</v>
      </c>
      <c r="AM2957">
        <v>0</v>
      </c>
      <c r="AN2957">
        <v>0</v>
      </c>
      <c r="AO2957">
        <v>0</v>
      </c>
      <c r="AP2957">
        <v>0</v>
      </c>
      <c r="AQ2957">
        <v>0</v>
      </c>
      <c r="AR2957">
        <v>0</v>
      </c>
      <c r="AS2957">
        <v>0</v>
      </c>
      <c r="AT2957">
        <v>0</v>
      </c>
      <c r="AU2957">
        <f t="shared" si="90"/>
        <v>0</v>
      </c>
      <c r="AV2957">
        <f t="shared" si="91"/>
        <v>0</v>
      </c>
    </row>
    <row r="2958" spans="1:48" x14ac:dyDescent="0.25">
      <c r="A2958" t="s">
        <v>9836</v>
      </c>
      <c r="C2958" t="s">
        <v>9837</v>
      </c>
      <c r="D2958" t="s">
        <v>9838</v>
      </c>
      <c r="E2958" t="s">
        <v>2310</v>
      </c>
      <c r="F2958">
        <v>15</v>
      </c>
      <c r="G2958">
        <v>15.3</v>
      </c>
      <c r="H2958" t="s">
        <v>2022</v>
      </c>
      <c r="I2958" s="21">
        <v>40066.6034953704</v>
      </c>
      <c r="J2958">
        <v>2009</v>
      </c>
      <c r="K2958" s="21">
        <v>40066.6034953704</v>
      </c>
      <c r="L2958">
        <v>2009</v>
      </c>
      <c r="M2958" s="21">
        <v>40360.577511574098</v>
      </c>
      <c r="N2958">
        <v>2010</v>
      </c>
      <c r="Q2958" s="262">
        <v>50000</v>
      </c>
      <c r="R2958" s="262">
        <v>41666</v>
      </c>
      <c r="S2958" t="s">
        <v>114</v>
      </c>
      <c r="T2958" t="s">
        <v>114</v>
      </c>
      <c r="U2958">
        <v>5</v>
      </c>
      <c r="W2958">
        <v>200</v>
      </c>
      <c r="X2958">
        <v>0</v>
      </c>
      <c r="Y2958">
        <v>0</v>
      </c>
      <c r="Z2958">
        <v>0</v>
      </c>
      <c r="AA2958">
        <v>0</v>
      </c>
      <c r="AB2958">
        <v>0</v>
      </c>
      <c r="AC2958">
        <v>200</v>
      </c>
      <c r="AD2958">
        <v>0</v>
      </c>
      <c r="AE2958">
        <v>0</v>
      </c>
      <c r="AF2958">
        <v>0</v>
      </c>
      <c r="AG2958">
        <v>0</v>
      </c>
      <c r="AH2958">
        <v>0</v>
      </c>
      <c r="AI2958">
        <v>0</v>
      </c>
      <c r="AJ2958">
        <v>0</v>
      </c>
      <c r="AK2958">
        <v>0</v>
      </c>
      <c r="AL2958">
        <v>0</v>
      </c>
      <c r="AM2958">
        <v>0</v>
      </c>
      <c r="AN2958">
        <v>0</v>
      </c>
      <c r="AO2958">
        <v>0</v>
      </c>
      <c r="AP2958">
        <v>0</v>
      </c>
      <c r="AQ2958">
        <v>0</v>
      </c>
      <c r="AR2958">
        <v>0</v>
      </c>
      <c r="AS2958">
        <v>0</v>
      </c>
      <c r="AT2958">
        <v>0</v>
      </c>
      <c r="AU2958">
        <f t="shared" si="90"/>
        <v>0</v>
      </c>
      <c r="AV2958">
        <f t="shared" si="91"/>
        <v>0</v>
      </c>
    </row>
    <row r="2959" spans="1:48" x14ac:dyDescent="0.25">
      <c r="A2959" t="s">
        <v>9839</v>
      </c>
      <c r="C2959" t="s">
        <v>9840</v>
      </c>
      <c r="D2959" t="s">
        <v>4242</v>
      </c>
      <c r="E2959" t="s">
        <v>2310</v>
      </c>
      <c r="F2959">
        <v>9</v>
      </c>
      <c r="G2959">
        <v>9.4</v>
      </c>
      <c r="H2959" t="s">
        <v>2323</v>
      </c>
      <c r="I2959" s="21">
        <v>40067.426134259302</v>
      </c>
      <c r="J2959">
        <v>2009</v>
      </c>
      <c r="K2959" s="21">
        <v>40067.426134259302</v>
      </c>
      <c r="L2959">
        <v>2009</v>
      </c>
      <c r="M2959" s="21">
        <v>40365.458622685197</v>
      </c>
      <c r="N2959">
        <v>2010</v>
      </c>
      <c r="Q2959" s="262">
        <v>400000</v>
      </c>
      <c r="R2959" s="262">
        <v>70000</v>
      </c>
      <c r="S2959" t="s">
        <v>114</v>
      </c>
      <c r="T2959" t="s">
        <v>114</v>
      </c>
      <c r="U2959">
        <v>5</v>
      </c>
      <c r="W2959">
        <v>569</v>
      </c>
      <c r="X2959">
        <v>0</v>
      </c>
      <c r="Y2959">
        <v>0</v>
      </c>
      <c r="Z2959">
        <v>0</v>
      </c>
      <c r="AA2959">
        <v>0</v>
      </c>
      <c r="AB2959">
        <v>0</v>
      </c>
      <c r="AC2959">
        <v>569</v>
      </c>
      <c r="AD2959">
        <v>0</v>
      </c>
      <c r="AE2959">
        <v>0</v>
      </c>
      <c r="AF2959">
        <v>0</v>
      </c>
      <c r="AG2959">
        <v>0</v>
      </c>
      <c r="AH2959">
        <v>0</v>
      </c>
      <c r="AI2959">
        <v>0</v>
      </c>
      <c r="AJ2959">
        <v>0</v>
      </c>
      <c r="AK2959">
        <v>0</v>
      </c>
      <c r="AL2959">
        <v>0</v>
      </c>
      <c r="AM2959">
        <v>0</v>
      </c>
      <c r="AN2959">
        <v>0</v>
      </c>
      <c r="AO2959">
        <v>0</v>
      </c>
      <c r="AP2959">
        <v>0</v>
      </c>
      <c r="AQ2959">
        <v>0</v>
      </c>
      <c r="AR2959">
        <v>0</v>
      </c>
      <c r="AS2959">
        <v>0</v>
      </c>
      <c r="AT2959">
        <v>0</v>
      </c>
      <c r="AU2959">
        <f t="shared" si="90"/>
        <v>0</v>
      </c>
      <c r="AV2959">
        <f t="shared" si="91"/>
        <v>0</v>
      </c>
    </row>
    <row r="2960" spans="1:48" x14ac:dyDescent="0.25">
      <c r="A2960" t="s">
        <v>9841</v>
      </c>
      <c r="C2960" t="s">
        <v>9842</v>
      </c>
      <c r="D2960" t="s">
        <v>9843</v>
      </c>
      <c r="E2960" t="s">
        <v>2310</v>
      </c>
      <c r="F2960">
        <v>12</v>
      </c>
      <c r="G2960">
        <v>12.3</v>
      </c>
      <c r="H2960" t="s">
        <v>2017</v>
      </c>
      <c r="I2960" s="21">
        <v>40071.462939814803</v>
      </c>
      <c r="J2960">
        <v>2009</v>
      </c>
      <c r="K2960" s="21">
        <v>40071.462939814803</v>
      </c>
      <c r="L2960">
        <v>2009</v>
      </c>
      <c r="M2960" s="21">
        <v>40857.380787037</v>
      </c>
      <c r="N2960">
        <v>2011</v>
      </c>
      <c r="Q2960" s="262">
        <v>75000</v>
      </c>
      <c r="R2960" s="262">
        <v>34000</v>
      </c>
      <c r="S2960" t="s">
        <v>114</v>
      </c>
      <c r="T2960" t="s">
        <v>114</v>
      </c>
      <c r="U2960">
        <v>5</v>
      </c>
      <c r="W2960">
        <v>330</v>
      </c>
      <c r="X2960">
        <v>0</v>
      </c>
      <c r="Y2960">
        <v>0</v>
      </c>
      <c r="Z2960">
        <v>0</v>
      </c>
      <c r="AA2960">
        <v>0</v>
      </c>
      <c r="AB2960">
        <v>0</v>
      </c>
      <c r="AC2960">
        <v>330</v>
      </c>
      <c r="AD2960">
        <v>0</v>
      </c>
      <c r="AE2960">
        <v>0</v>
      </c>
      <c r="AF2960">
        <v>0</v>
      </c>
      <c r="AG2960">
        <v>0</v>
      </c>
      <c r="AH2960">
        <v>0</v>
      </c>
      <c r="AI2960">
        <v>0</v>
      </c>
      <c r="AJ2960">
        <v>0</v>
      </c>
      <c r="AK2960">
        <v>0</v>
      </c>
      <c r="AL2960">
        <v>0</v>
      </c>
      <c r="AM2960">
        <v>0</v>
      </c>
      <c r="AN2960">
        <v>0</v>
      </c>
      <c r="AO2960">
        <v>0</v>
      </c>
      <c r="AP2960">
        <v>0</v>
      </c>
      <c r="AQ2960">
        <v>0</v>
      </c>
      <c r="AR2960">
        <v>0</v>
      </c>
      <c r="AS2960">
        <v>0</v>
      </c>
      <c r="AT2960">
        <v>0</v>
      </c>
      <c r="AU2960">
        <f t="shared" si="90"/>
        <v>0</v>
      </c>
      <c r="AV2960">
        <f t="shared" si="91"/>
        <v>0</v>
      </c>
    </row>
    <row r="2961" spans="1:48" x14ac:dyDescent="0.25">
      <c r="A2961" t="s">
        <v>9844</v>
      </c>
      <c r="C2961" t="s">
        <v>9845</v>
      </c>
      <c r="D2961" t="s">
        <v>9846</v>
      </c>
      <c r="E2961" t="s">
        <v>2310</v>
      </c>
      <c r="F2961">
        <v>8</v>
      </c>
      <c r="G2961">
        <v>8.1999999999999993</v>
      </c>
      <c r="H2961" t="s">
        <v>2022</v>
      </c>
      <c r="I2961" s="21">
        <v>40073.325555555602</v>
      </c>
      <c r="J2961">
        <v>2009</v>
      </c>
      <c r="K2961" s="21">
        <v>40073.325555555602</v>
      </c>
      <c r="L2961">
        <v>2009</v>
      </c>
      <c r="M2961" s="21">
        <v>40722.413472222201</v>
      </c>
      <c r="N2961">
        <v>2011</v>
      </c>
      <c r="Q2961" s="262">
        <v>3998000</v>
      </c>
      <c r="R2961" s="262">
        <v>932000</v>
      </c>
      <c r="S2961" t="s">
        <v>114</v>
      </c>
      <c r="T2961" t="s">
        <v>114</v>
      </c>
      <c r="U2961">
        <v>5</v>
      </c>
      <c r="W2961">
        <v>8123</v>
      </c>
      <c r="X2961">
        <v>1</v>
      </c>
      <c r="Y2961">
        <v>0</v>
      </c>
      <c r="Z2961">
        <v>0</v>
      </c>
      <c r="AA2961">
        <v>0</v>
      </c>
      <c r="AB2961">
        <v>0</v>
      </c>
      <c r="AC2961">
        <v>8123</v>
      </c>
      <c r="AD2961">
        <v>0</v>
      </c>
      <c r="AE2961">
        <v>0</v>
      </c>
      <c r="AF2961">
        <v>0</v>
      </c>
      <c r="AG2961">
        <v>0</v>
      </c>
      <c r="AH2961">
        <v>0</v>
      </c>
      <c r="AI2961">
        <v>0</v>
      </c>
      <c r="AJ2961">
        <v>0</v>
      </c>
      <c r="AK2961">
        <v>0</v>
      </c>
      <c r="AL2961">
        <v>0</v>
      </c>
      <c r="AM2961">
        <v>0</v>
      </c>
      <c r="AN2961">
        <v>0</v>
      </c>
      <c r="AO2961">
        <v>1</v>
      </c>
      <c r="AP2961">
        <v>0</v>
      </c>
      <c r="AQ2961">
        <v>0</v>
      </c>
      <c r="AR2961">
        <v>0</v>
      </c>
      <c r="AS2961">
        <v>0</v>
      </c>
      <c r="AT2961">
        <v>0</v>
      </c>
      <c r="AU2961">
        <f t="shared" si="90"/>
        <v>1</v>
      </c>
      <c r="AV2961">
        <f t="shared" si="91"/>
        <v>0</v>
      </c>
    </row>
    <row r="2962" spans="1:48" x14ac:dyDescent="0.25">
      <c r="A2962" t="s">
        <v>9847</v>
      </c>
      <c r="C2962" t="s">
        <v>9848</v>
      </c>
      <c r="D2962" t="s">
        <v>9846</v>
      </c>
      <c r="E2962" t="s">
        <v>2310</v>
      </c>
      <c r="F2962">
        <v>8</v>
      </c>
      <c r="G2962">
        <v>8.1999999999999993</v>
      </c>
      <c r="H2962" t="s">
        <v>2022</v>
      </c>
      <c r="I2962" s="21">
        <v>40073.3995601852</v>
      </c>
      <c r="J2962">
        <v>2009</v>
      </c>
      <c r="K2962" s="21">
        <v>40073.3995601852</v>
      </c>
      <c r="L2962">
        <v>2009</v>
      </c>
      <c r="M2962" s="21">
        <v>40722.417453703703</v>
      </c>
      <c r="N2962">
        <v>2011</v>
      </c>
      <c r="Q2962" s="262">
        <v>535000</v>
      </c>
      <c r="R2962" s="262">
        <v>180000</v>
      </c>
      <c r="S2962" t="s">
        <v>114</v>
      </c>
      <c r="T2962" t="s">
        <v>114</v>
      </c>
      <c r="U2962">
        <v>5</v>
      </c>
      <c r="W2962">
        <v>2860</v>
      </c>
      <c r="X2962">
        <v>1</v>
      </c>
      <c r="Y2962">
        <v>0</v>
      </c>
      <c r="Z2962">
        <v>0</v>
      </c>
      <c r="AA2962">
        <v>0</v>
      </c>
      <c r="AB2962">
        <v>0</v>
      </c>
      <c r="AC2962">
        <v>2860</v>
      </c>
      <c r="AD2962">
        <v>0</v>
      </c>
      <c r="AE2962">
        <v>0</v>
      </c>
      <c r="AF2962">
        <v>0</v>
      </c>
      <c r="AG2962">
        <v>0</v>
      </c>
      <c r="AH2962">
        <v>0</v>
      </c>
      <c r="AI2962">
        <v>0</v>
      </c>
      <c r="AJ2962">
        <v>0</v>
      </c>
      <c r="AK2962">
        <v>0</v>
      </c>
      <c r="AL2962">
        <v>0</v>
      </c>
      <c r="AM2962">
        <v>0</v>
      </c>
      <c r="AN2962">
        <v>0</v>
      </c>
      <c r="AO2962">
        <v>1</v>
      </c>
      <c r="AP2962">
        <v>0</v>
      </c>
      <c r="AQ2962">
        <v>0</v>
      </c>
      <c r="AR2962">
        <v>0</v>
      </c>
      <c r="AS2962">
        <v>0</v>
      </c>
      <c r="AT2962">
        <v>0</v>
      </c>
      <c r="AU2962">
        <f t="shared" si="90"/>
        <v>1</v>
      </c>
      <c r="AV2962">
        <f t="shared" si="91"/>
        <v>0</v>
      </c>
    </row>
    <row r="2963" spans="1:48" x14ac:dyDescent="0.25">
      <c r="A2963" t="s">
        <v>9849</v>
      </c>
      <c r="C2963" t="s">
        <v>9850</v>
      </c>
      <c r="D2963" t="s">
        <v>9851</v>
      </c>
      <c r="E2963" t="s">
        <v>2310</v>
      </c>
      <c r="F2963">
        <v>8</v>
      </c>
      <c r="G2963">
        <v>8.4</v>
      </c>
      <c r="H2963" t="s">
        <v>2017</v>
      </c>
      <c r="I2963" s="21">
        <v>40073.401053240697</v>
      </c>
      <c r="J2963">
        <v>2009</v>
      </c>
      <c r="K2963" s="21">
        <v>40073.401053240697</v>
      </c>
      <c r="L2963">
        <v>2009</v>
      </c>
      <c r="M2963" s="21">
        <v>40122.617071759298</v>
      </c>
      <c r="N2963">
        <v>2009</v>
      </c>
      <c r="Q2963" s="262">
        <v>15000</v>
      </c>
      <c r="R2963" s="262">
        <v>49000</v>
      </c>
      <c r="S2963" t="s">
        <v>114</v>
      </c>
      <c r="T2963" t="s">
        <v>114</v>
      </c>
      <c r="U2963">
        <v>5</v>
      </c>
      <c r="W2963">
        <v>1230</v>
      </c>
      <c r="X2963">
        <v>0</v>
      </c>
      <c r="Y2963">
        <v>0</v>
      </c>
      <c r="Z2963">
        <v>0</v>
      </c>
      <c r="AA2963">
        <v>0</v>
      </c>
      <c r="AB2963">
        <v>0</v>
      </c>
      <c r="AC2963">
        <v>1230</v>
      </c>
      <c r="AD2963">
        <v>0</v>
      </c>
      <c r="AE2963">
        <v>0</v>
      </c>
      <c r="AF2963">
        <v>0</v>
      </c>
      <c r="AG2963">
        <v>0</v>
      </c>
      <c r="AH2963">
        <v>0</v>
      </c>
      <c r="AI2963">
        <v>0</v>
      </c>
      <c r="AJ2963">
        <v>0</v>
      </c>
      <c r="AK2963">
        <v>0</v>
      </c>
      <c r="AL2963">
        <v>0</v>
      </c>
      <c r="AM2963">
        <v>0</v>
      </c>
      <c r="AN2963">
        <v>0</v>
      </c>
      <c r="AO2963">
        <v>0</v>
      </c>
      <c r="AP2963">
        <v>0</v>
      </c>
      <c r="AQ2963">
        <v>0</v>
      </c>
      <c r="AR2963">
        <v>0</v>
      </c>
      <c r="AS2963">
        <v>0</v>
      </c>
      <c r="AT2963">
        <v>0</v>
      </c>
      <c r="AU2963">
        <f t="shared" si="90"/>
        <v>0</v>
      </c>
      <c r="AV2963">
        <f t="shared" si="91"/>
        <v>0</v>
      </c>
    </row>
    <row r="2964" spans="1:48" x14ac:dyDescent="0.25">
      <c r="A2964" t="s">
        <v>9852</v>
      </c>
      <c r="C2964" t="s">
        <v>9737</v>
      </c>
      <c r="D2964" t="s">
        <v>4386</v>
      </c>
      <c r="E2964" t="s">
        <v>2310</v>
      </c>
      <c r="F2964">
        <v>12</v>
      </c>
      <c r="G2964">
        <v>12.3</v>
      </c>
      <c r="H2964" t="s">
        <v>2017</v>
      </c>
      <c r="I2964" s="21">
        <v>40073.622939814799</v>
      </c>
      <c r="J2964">
        <v>2009</v>
      </c>
      <c r="K2964" s="21">
        <v>40073.622939814799</v>
      </c>
      <c r="L2964">
        <v>2009</v>
      </c>
      <c r="M2964" s="21">
        <v>40389.426423611098</v>
      </c>
      <c r="N2964">
        <v>2010</v>
      </c>
      <c r="Q2964" s="262">
        <v>700000</v>
      </c>
      <c r="R2964" s="262">
        <v>129000</v>
      </c>
      <c r="S2964" t="s">
        <v>114</v>
      </c>
      <c r="T2964" t="s">
        <v>114</v>
      </c>
      <c r="U2964">
        <v>8</v>
      </c>
      <c r="W2964">
        <v>1478</v>
      </c>
      <c r="X2964">
        <v>1</v>
      </c>
      <c r="Y2964">
        <v>0</v>
      </c>
      <c r="Z2964">
        <v>0</v>
      </c>
      <c r="AA2964">
        <v>0</v>
      </c>
      <c r="AB2964">
        <v>0</v>
      </c>
      <c r="AC2964">
        <v>986</v>
      </c>
      <c r="AD2964">
        <v>0</v>
      </c>
      <c r="AE2964">
        <v>0</v>
      </c>
      <c r="AF2964">
        <v>492</v>
      </c>
      <c r="AG2964">
        <v>0</v>
      </c>
      <c r="AH2964">
        <v>0</v>
      </c>
      <c r="AI2964">
        <v>0</v>
      </c>
      <c r="AJ2964">
        <v>0</v>
      </c>
      <c r="AK2964">
        <v>0</v>
      </c>
      <c r="AL2964">
        <v>0</v>
      </c>
      <c r="AM2964">
        <v>0</v>
      </c>
      <c r="AN2964">
        <v>0</v>
      </c>
      <c r="AO2964">
        <v>0</v>
      </c>
      <c r="AP2964">
        <v>0</v>
      </c>
      <c r="AQ2964">
        <v>0</v>
      </c>
      <c r="AR2964">
        <v>1</v>
      </c>
      <c r="AS2964">
        <v>0</v>
      </c>
      <c r="AT2964">
        <v>0</v>
      </c>
      <c r="AU2964">
        <f t="shared" si="90"/>
        <v>0</v>
      </c>
      <c r="AV2964">
        <f t="shared" si="91"/>
        <v>0</v>
      </c>
    </row>
    <row r="2965" spans="1:48" x14ac:dyDescent="0.25">
      <c r="A2965" t="s">
        <v>9853</v>
      </c>
      <c r="C2965" t="s">
        <v>9854</v>
      </c>
      <c r="D2965" t="s">
        <v>2354</v>
      </c>
      <c r="E2965" t="s">
        <v>2310</v>
      </c>
      <c r="F2965">
        <v>8</v>
      </c>
      <c r="G2965">
        <v>8.1</v>
      </c>
      <c r="H2965" t="s">
        <v>2323</v>
      </c>
      <c r="I2965" s="21">
        <v>40073.649328703701</v>
      </c>
      <c r="J2965">
        <v>2009</v>
      </c>
      <c r="K2965" s="21">
        <v>40073.649328703701</v>
      </c>
      <c r="L2965">
        <v>2009</v>
      </c>
      <c r="M2965" s="21">
        <v>40466.372488425899</v>
      </c>
      <c r="N2965">
        <v>2010</v>
      </c>
      <c r="Q2965" s="262">
        <v>150000</v>
      </c>
      <c r="R2965" s="262">
        <v>62000</v>
      </c>
      <c r="S2965" t="s">
        <v>114</v>
      </c>
      <c r="T2965" t="s">
        <v>114</v>
      </c>
      <c r="U2965">
        <v>7</v>
      </c>
      <c r="W2965">
        <v>465</v>
      </c>
      <c r="X2965">
        <v>3</v>
      </c>
      <c r="Y2965">
        <v>0</v>
      </c>
      <c r="Z2965">
        <v>0</v>
      </c>
      <c r="AA2965">
        <v>0</v>
      </c>
      <c r="AB2965">
        <v>0</v>
      </c>
      <c r="AC2965">
        <v>0</v>
      </c>
      <c r="AD2965">
        <v>0</v>
      </c>
      <c r="AE2965">
        <v>465</v>
      </c>
      <c r="AF2965">
        <v>0</v>
      </c>
      <c r="AG2965">
        <v>0</v>
      </c>
      <c r="AH2965">
        <v>0</v>
      </c>
      <c r="AI2965">
        <v>0</v>
      </c>
      <c r="AJ2965">
        <v>0</v>
      </c>
      <c r="AK2965">
        <v>0</v>
      </c>
      <c r="AL2965">
        <v>0</v>
      </c>
      <c r="AM2965">
        <v>0</v>
      </c>
      <c r="AN2965">
        <v>0</v>
      </c>
      <c r="AO2965">
        <v>0</v>
      </c>
      <c r="AP2965">
        <v>0</v>
      </c>
      <c r="AQ2965">
        <v>3</v>
      </c>
      <c r="AR2965">
        <v>0</v>
      </c>
      <c r="AS2965">
        <v>0</v>
      </c>
      <c r="AT2965">
        <v>0</v>
      </c>
      <c r="AU2965">
        <f t="shared" si="90"/>
        <v>3</v>
      </c>
      <c r="AV2965">
        <f t="shared" si="91"/>
        <v>0</v>
      </c>
    </row>
    <row r="2966" spans="1:48" x14ac:dyDescent="0.25">
      <c r="A2966" t="s">
        <v>9855</v>
      </c>
      <c r="C2966" t="s">
        <v>9856</v>
      </c>
      <c r="D2966" t="s">
        <v>9857</v>
      </c>
      <c r="E2966" t="s">
        <v>1663</v>
      </c>
      <c r="F2966">
        <v>3</v>
      </c>
      <c r="G2966">
        <v>3.4</v>
      </c>
      <c r="H2966" t="s">
        <v>2017</v>
      </c>
      <c r="I2966" s="21">
        <v>40074</v>
      </c>
      <c r="J2966">
        <v>2009</v>
      </c>
      <c r="K2966" s="21">
        <v>40104</v>
      </c>
      <c r="L2966">
        <v>2009</v>
      </c>
      <c r="M2966" s="21">
        <v>40255</v>
      </c>
      <c r="N2966">
        <v>2010</v>
      </c>
      <c r="Q2966" s="262">
        <v>250000</v>
      </c>
      <c r="S2966" t="s">
        <v>114</v>
      </c>
      <c r="T2966" t="s">
        <v>114</v>
      </c>
      <c r="W2966">
        <v>1739</v>
      </c>
      <c r="X2966">
        <v>2</v>
      </c>
      <c r="Y2966">
        <v>0</v>
      </c>
      <c r="Z2966">
        <v>0</v>
      </c>
      <c r="AA2966">
        <v>0</v>
      </c>
      <c r="AB2966">
        <v>0</v>
      </c>
      <c r="AC2966">
        <v>0</v>
      </c>
      <c r="AD2966">
        <v>1739</v>
      </c>
      <c r="AE2966">
        <v>0</v>
      </c>
      <c r="AF2966">
        <v>0</v>
      </c>
      <c r="AG2966">
        <v>0</v>
      </c>
      <c r="AH2966">
        <v>0</v>
      </c>
      <c r="AI2966">
        <v>0</v>
      </c>
      <c r="AJ2966">
        <v>0</v>
      </c>
      <c r="AK2966">
        <v>0</v>
      </c>
      <c r="AL2966">
        <v>0</v>
      </c>
      <c r="AM2966">
        <v>0</v>
      </c>
      <c r="AN2966">
        <v>0</v>
      </c>
      <c r="AO2966">
        <v>0</v>
      </c>
      <c r="AP2966">
        <v>2</v>
      </c>
      <c r="AQ2966">
        <v>0</v>
      </c>
      <c r="AR2966">
        <v>0</v>
      </c>
      <c r="AS2966">
        <v>0</v>
      </c>
      <c r="AT2966">
        <v>0</v>
      </c>
      <c r="AU2966">
        <f t="shared" si="90"/>
        <v>2</v>
      </c>
      <c r="AV2966">
        <f t="shared" si="91"/>
        <v>0</v>
      </c>
    </row>
    <row r="2967" spans="1:48" x14ac:dyDescent="0.25">
      <c r="A2967" t="s">
        <v>9858</v>
      </c>
      <c r="C2967" t="s">
        <v>9859</v>
      </c>
      <c r="D2967" t="s">
        <v>9857</v>
      </c>
      <c r="E2967" t="s">
        <v>1663</v>
      </c>
      <c r="F2967">
        <v>3</v>
      </c>
      <c r="G2967">
        <v>3.4</v>
      </c>
      <c r="H2967" t="s">
        <v>2017</v>
      </c>
      <c r="I2967" s="21">
        <v>40074</v>
      </c>
      <c r="J2967">
        <v>2009</v>
      </c>
      <c r="K2967" s="21">
        <v>40104</v>
      </c>
      <c r="L2967">
        <v>2009</v>
      </c>
      <c r="M2967" s="21">
        <v>40255</v>
      </c>
      <c r="N2967">
        <v>2010</v>
      </c>
      <c r="Q2967" s="262">
        <v>250000</v>
      </c>
      <c r="S2967" t="s">
        <v>114</v>
      </c>
      <c r="T2967" t="s">
        <v>114</v>
      </c>
      <c r="W2967">
        <v>1780</v>
      </c>
      <c r="X2967">
        <v>2</v>
      </c>
      <c r="Y2967">
        <v>0</v>
      </c>
      <c r="Z2967">
        <v>0</v>
      </c>
      <c r="AA2967">
        <v>0</v>
      </c>
      <c r="AB2967">
        <v>0</v>
      </c>
      <c r="AC2967">
        <v>0</v>
      </c>
      <c r="AD2967">
        <v>1780</v>
      </c>
      <c r="AE2967">
        <v>0</v>
      </c>
      <c r="AF2967">
        <v>0</v>
      </c>
      <c r="AG2967">
        <v>0</v>
      </c>
      <c r="AH2967">
        <v>0</v>
      </c>
      <c r="AI2967">
        <v>0</v>
      </c>
      <c r="AJ2967">
        <v>0</v>
      </c>
      <c r="AK2967">
        <v>0</v>
      </c>
      <c r="AL2967">
        <v>0</v>
      </c>
      <c r="AM2967">
        <v>0</v>
      </c>
      <c r="AN2967">
        <v>0</v>
      </c>
      <c r="AO2967">
        <v>0</v>
      </c>
      <c r="AP2967">
        <v>2</v>
      </c>
      <c r="AQ2967">
        <v>0</v>
      </c>
      <c r="AR2967">
        <v>0</v>
      </c>
      <c r="AS2967">
        <v>0</v>
      </c>
      <c r="AT2967">
        <v>0</v>
      </c>
      <c r="AU2967">
        <f t="shared" si="90"/>
        <v>2</v>
      </c>
      <c r="AV2967">
        <f t="shared" si="91"/>
        <v>0</v>
      </c>
    </row>
    <row r="2968" spans="1:48" x14ac:dyDescent="0.25">
      <c r="A2968" t="s">
        <v>9860</v>
      </c>
      <c r="C2968" t="s">
        <v>9861</v>
      </c>
      <c r="D2968" t="s">
        <v>9862</v>
      </c>
      <c r="E2968" t="s">
        <v>1663</v>
      </c>
      <c r="F2968">
        <v>3</v>
      </c>
      <c r="G2968">
        <v>3.4</v>
      </c>
      <c r="H2968" t="s">
        <v>2017</v>
      </c>
      <c r="I2968" s="21">
        <v>40074</v>
      </c>
      <c r="J2968">
        <v>2009</v>
      </c>
      <c r="K2968" s="21">
        <v>40104</v>
      </c>
      <c r="L2968">
        <v>2009</v>
      </c>
      <c r="M2968" s="21">
        <v>40255</v>
      </c>
      <c r="N2968">
        <v>2010</v>
      </c>
      <c r="Q2968" s="262">
        <v>250000</v>
      </c>
      <c r="S2968" t="s">
        <v>114</v>
      </c>
      <c r="T2968" t="s">
        <v>114</v>
      </c>
      <c r="W2968">
        <v>1780</v>
      </c>
      <c r="X2968">
        <v>2</v>
      </c>
      <c r="Y2968">
        <v>0</v>
      </c>
      <c r="Z2968">
        <v>0</v>
      </c>
      <c r="AA2968">
        <v>0</v>
      </c>
      <c r="AB2968">
        <v>0</v>
      </c>
      <c r="AC2968">
        <v>0</v>
      </c>
      <c r="AD2968">
        <v>1780</v>
      </c>
      <c r="AE2968">
        <v>0</v>
      </c>
      <c r="AF2968">
        <v>0</v>
      </c>
      <c r="AG2968">
        <v>0</v>
      </c>
      <c r="AH2968">
        <v>0</v>
      </c>
      <c r="AI2968">
        <v>0</v>
      </c>
      <c r="AJ2968">
        <v>0</v>
      </c>
      <c r="AK2968">
        <v>0</v>
      </c>
      <c r="AL2968">
        <v>0</v>
      </c>
      <c r="AM2968">
        <v>0</v>
      </c>
      <c r="AN2968">
        <v>0</v>
      </c>
      <c r="AO2968">
        <v>0</v>
      </c>
      <c r="AP2968">
        <v>2</v>
      </c>
      <c r="AQ2968">
        <v>0</v>
      </c>
      <c r="AR2968">
        <v>0</v>
      </c>
      <c r="AS2968">
        <v>0</v>
      </c>
      <c r="AT2968">
        <v>0</v>
      </c>
      <c r="AU2968">
        <f t="shared" si="90"/>
        <v>2</v>
      </c>
      <c r="AV2968">
        <f t="shared" si="91"/>
        <v>0</v>
      </c>
    </row>
    <row r="2969" spans="1:48" x14ac:dyDescent="0.25">
      <c r="A2969" t="s">
        <v>9863</v>
      </c>
      <c r="C2969" t="s">
        <v>9864</v>
      </c>
      <c r="D2969" t="s">
        <v>9865</v>
      </c>
      <c r="E2969" t="s">
        <v>1663</v>
      </c>
      <c r="F2969">
        <v>3</v>
      </c>
      <c r="G2969">
        <v>3.4</v>
      </c>
      <c r="H2969" t="s">
        <v>2017</v>
      </c>
      <c r="I2969" s="21">
        <v>40074</v>
      </c>
      <c r="J2969">
        <v>2009</v>
      </c>
      <c r="K2969" s="21">
        <v>40104</v>
      </c>
      <c r="L2969">
        <v>2009</v>
      </c>
      <c r="M2969" s="21">
        <v>40255</v>
      </c>
      <c r="N2969">
        <v>2010</v>
      </c>
      <c r="Q2969" s="262">
        <v>250000</v>
      </c>
      <c r="S2969" t="s">
        <v>114</v>
      </c>
      <c r="T2969" t="s">
        <v>114</v>
      </c>
      <c r="W2969">
        <v>1739</v>
      </c>
      <c r="X2969">
        <v>2</v>
      </c>
      <c r="Y2969">
        <v>0</v>
      </c>
      <c r="Z2969">
        <v>0</v>
      </c>
      <c r="AA2969">
        <v>0</v>
      </c>
      <c r="AB2969">
        <v>0</v>
      </c>
      <c r="AC2969">
        <v>0</v>
      </c>
      <c r="AD2969">
        <v>1739</v>
      </c>
      <c r="AE2969">
        <v>0</v>
      </c>
      <c r="AF2969">
        <v>0</v>
      </c>
      <c r="AG2969">
        <v>0</v>
      </c>
      <c r="AH2969">
        <v>0</v>
      </c>
      <c r="AI2969">
        <v>0</v>
      </c>
      <c r="AJ2969">
        <v>0</v>
      </c>
      <c r="AK2969">
        <v>0</v>
      </c>
      <c r="AL2969">
        <v>0</v>
      </c>
      <c r="AM2969">
        <v>0</v>
      </c>
      <c r="AN2969">
        <v>0</v>
      </c>
      <c r="AO2969">
        <v>0</v>
      </c>
      <c r="AP2969">
        <v>2</v>
      </c>
      <c r="AQ2969">
        <v>0</v>
      </c>
      <c r="AR2969">
        <v>0</v>
      </c>
      <c r="AS2969">
        <v>0</v>
      </c>
      <c r="AT2969">
        <v>0</v>
      </c>
      <c r="AU2969">
        <f t="shared" ref="AU2969:AU3032" si="92">SUM(AN2969:AQ2969,AS2969)</f>
        <v>2</v>
      </c>
      <c r="AV2969">
        <f t="shared" ref="AV2969:AV3032" si="93">SUM(Y2969:AB2969,AH2969:AM2969)</f>
        <v>0</v>
      </c>
    </row>
    <row r="2970" spans="1:48" x14ac:dyDescent="0.25">
      <c r="A2970" t="s">
        <v>9866</v>
      </c>
      <c r="C2970" t="s">
        <v>9867</v>
      </c>
      <c r="D2970" t="s">
        <v>9868</v>
      </c>
      <c r="E2970" t="s">
        <v>2310</v>
      </c>
      <c r="F2970">
        <v>10</v>
      </c>
      <c r="G2970">
        <v>10.1</v>
      </c>
      <c r="H2970" t="s">
        <v>2323</v>
      </c>
      <c r="I2970" s="21">
        <v>40078.515902777799</v>
      </c>
      <c r="J2970">
        <v>2009</v>
      </c>
      <c r="K2970" s="21">
        <v>40078.515902777799</v>
      </c>
      <c r="L2970">
        <v>2009</v>
      </c>
      <c r="M2970" s="21">
        <v>40773.534872685203</v>
      </c>
      <c r="N2970">
        <v>2011</v>
      </c>
      <c r="Q2970" s="262">
        <v>115000</v>
      </c>
      <c r="R2970" s="262">
        <v>115000</v>
      </c>
      <c r="S2970" t="s">
        <v>114</v>
      </c>
      <c r="T2970" t="s">
        <v>114</v>
      </c>
      <c r="U2970">
        <v>5</v>
      </c>
      <c r="V2970">
        <v>662</v>
      </c>
      <c r="W2970">
        <v>260</v>
      </c>
      <c r="X2970">
        <v>0</v>
      </c>
      <c r="Y2970">
        <v>0</v>
      </c>
      <c r="Z2970">
        <v>0</v>
      </c>
      <c r="AA2970">
        <v>0</v>
      </c>
      <c r="AB2970">
        <v>0</v>
      </c>
      <c r="AC2970">
        <v>260</v>
      </c>
      <c r="AD2970">
        <v>0</v>
      </c>
      <c r="AE2970">
        <v>0</v>
      </c>
      <c r="AF2970">
        <v>0</v>
      </c>
      <c r="AG2970">
        <v>0</v>
      </c>
      <c r="AH2970">
        <v>0</v>
      </c>
      <c r="AI2970">
        <v>0</v>
      </c>
      <c r="AJ2970">
        <v>0</v>
      </c>
      <c r="AK2970">
        <v>0</v>
      </c>
      <c r="AL2970">
        <v>0</v>
      </c>
      <c r="AM2970">
        <v>0</v>
      </c>
      <c r="AN2970">
        <v>0</v>
      </c>
      <c r="AO2970">
        <v>0</v>
      </c>
      <c r="AP2970">
        <v>0</v>
      </c>
      <c r="AQ2970">
        <v>0</v>
      </c>
      <c r="AR2970">
        <v>0</v>
      </c>
      <c r="AS2970">
        <v>0</v>
      </c>
      <c r="AT2970">
        <v>0</v>
      </c>
      <c r="AU2970">
        <f t="shared" si="92"/>
        <v>0</v>
      </c>
      <c r="AV2970">
        <f t="shared" si="93"/>
        <v>0</v>
      </c>
    </row>
    <row r="2971" spans="1:48" x14ac:dyDescent="0.25">
      <c r="A2971" t="s">
        <v>9869</v>
      </c>
      <c r="C2971" t="s">
        <v>9870</v>
      </c>
      <c r="D2971" t="s">
        <v>9871</v>
      </c>
      <c r="E2971" t="s">
        <v>1663</v>
      </c>
      <c r="F2971">
        <v>5</v>
      </c>
      <c r="G2971">
        <v>5.5</v>
      </c>
      <c r="H2971" t="s">
        <v>2017</v>
      </c>
      <c r="I2971" s="21">
        <v>40081</v>
      </c>
      <c r="J2971">
        <v>2009</v>
      </c>
      <c r="K2971" s="21">
        <v>40111</v>
      </c>
      <c r="L2971">
        <v>2009</v>
      </c>
      <c r="M2971" s="21">
        <v>40262</v>
      </c>
      <c r="N2971">
        <v>2010</v>
      </c>
      <c r="Q2971" s="262">
        <v>300000</v>
      </c>
      <c r="S2971" t="s">
        <v>114</v>
      </c>
      <c r="T2971" t="s">
        <v>114</v>
      </c>
      <c r="W2971">
        <v>1990</v>
      </c>
      <c r="X2971">
        <v>0</v>
      </c>
      <c r="Y2971">
        <v>0</v>
      </c>
      <c r="Z2971">
        <v>0</v>
      </c>
      <c r="AA2971">
        <v>0</v>
      </c>
      <c r="AB2971">
        <v>0</v>
      </c>
      <c r="AC2971">
        <v>1990</v>
      </c>
      <c r="AD2971">
        <v>0</v>
      </c>
      <c r="AE2971">
        <v>0</v>
      </c>
      <c r="AF2971">
        <v>0</v>
      </c>
      <c r="AG2971">
        <v>0</v>
      </c>
      <c r="AH2971">
        <v>0</v>
      </c>
      <c r="AI2971">
        <v>0</v>
      </c>
      <c r="AJ2971">
        <v>0</v>
      </c>
      <c r="AK2971">
        <v>0</v>
      </c>
      <c r="AL2971">
        <v>0</v>
      </c>
      <c r="AM2971">
        <v>0</v>
      </c>
      <c r="AN2971">
        <v>0</v>
      </c>
      <c r="AO2971">
        <v>0</v>
      </c>
      <c r="AP2971">
        <v>0</v>
      </c>
      <c r="AQ2971">
        <v>0</v>
      </c>
      <c r="AR2971">
        <v>0</v>
      </c>
      <c r="AS2971">
        <v>0</v>
      </c>
      <c r="AT2971">
        <v>0</v>
      </c>
      <c r="AU2971">
        <f t="shared" si="92"/>
        <v>0</v>
      </c>
      <c r="AV2971">
        <f t="shared" si="93"/>
        <v>0</v>
      </c>
    </row>
    <row r="2972" spans="1:48" x14ac:dyDescent="0.25">
      <c r="A2972" t="s">
        <v>9872</v>
      </c>
      <c r="C2972" t="s">
        <v>9873</v>
      </c>
      <c r="D2972" t="s">
        <v>6270</v>
      </c>
      <c r="E2972" t="s">
        <v>2310</v>
      </c>
      <c r="F2972">
        <v>9</v>
      </c>
      <c r="G2972">
        <v>9.1999999999999993</v>
      </c>
      <c r="H2972" t="s">
        <v>2022</v>
      </c>
      <c r="I2972" s="21">
        <v>40087.456435185202</v>
      </c>
      <c r="J2972">
        <v>2009</v>
      </c>
      <c r="K2972" s="21">
        <v>40087.456435185202</v>
      </c>
      <c r="L2972">
        <v>2009</v>
      </c>
      <c r="M2972" s="21">
        <v>40905.593472222201</v>
      </c>
      <c r="N2972">
        <v>2011</v>
      </c>
      <c r="Q2972" s="262">
        <v>15000</v>
      </c>
      <c r="R2972" s="262">
        <v>41666</v>
      </c>
      <c r="S2972" t="s">
        <v>114</v>
      </c>
      <c r="T2972" t="s">
        <v>114</v>
      </c>
      <c r="U2972">
        <v>5</v>
      </c>
      <c r="W2972">
        <v>360</v>
      </c>
      <c r="X2972">
        <v>0</v>
      </c>
      <c r="Y2972">
        <v>0</v>
      </c>
      <c r="Z2972">
        <v>0</v>
      </c>
      <c r="AA2972">
        <v>0</v>
      </c>
      <c r="AB2972">
        <v>0</v>
      </c>
      <c r="AC2972">
        <v>360</v>
      </c>
      <c r="AD2972">
        <v>0</v>
      </c>
      <c r="AE2972">
        <v>0</v>
      </c>
      <c r="AF2972">
        <v>0</v>
      </c>
      <c r="AG2972">
        <v>0</v>
      </c>
      <c r="AH2972">
        <v>0</v>
      </c>
      <c r="AI2972">
        <v>0</v>
      </c>
      <c r="AJ2972">
        <v>0</v>
      </c>
      <c r="AK2972">
        <v>0</v>
      </c>
      <c r="AL2972">
        <v>0</v>
      </c>
      <c r="AM2972">
        <v>0</v>
      </c>
      <c r="AN2972">
        <v>0</v>
      </c>
      <c r="AO2972">
        <v>0</v>
      </c>
      <c r="AP2972">
        <v>0</v>
      </c>
      <c r="AQ2972">
        <v>0</v>
      </c>
      <c r="AR2972">
        <v>0</v>
      </c>
      <c r="AS2972">
        <v>0</v>
      </c>
      <c r="AT2972">
        <v>0</v>
      </c>
      <c r="AU2972">
        <f t="shared" si="92"/>
        <v>0</v>
      </c>
      <c r="AV2972">
        <f t="shared" si="93"/>
        <v>0</v>
      </c>
    </row>
    <row r="2973" spans="1:48" x14ac:dyDescent="0.25">
      <c r="A2973" t="s">
        <v>9874</v>
      </c>
      <c r="C2973" t="s">
        <v>5048</v>
      </c>
      <c r="D2973" t="s">
        <v>9875</v>
      </c>
      <c r="E2973" t="s">
        <v>2310</v>
      </c>
      <c r="F2973">
        <v>9</v>
      </c>
      <c r="G2973">
        <v>9.1</v>
      </c>
      <c r="H2973" t="s">
        <v>2323</v>
      </c>
      <c r="I2973" s="21">
        <v>40088.470706018503</v>
      </c>
      <c r="J2973">
        <v>2009</v>
      </c>
      <c r="K2973" s="21">
        <v>40088.470706018503</v>
      </c>
      <c r="L2973">
        <v>2009</v>
      </c>
      <c r="M2973" s="21">
        <v>40372.700636574104</v>
      </c>
      <c r="N2973">
        <v>2010</v>
      </c>
      <c r="Q2973" s="262">
        <v>65000</v>
      </c>
      <c r="R2973" s="262">
        <v>41666</v>
      </c>
      <c r="S2973" t="s">
        <v>114</v>
      </c>
      <c r="T2973" t="s">
        <v>114</v>
      </c>
      <c r="U2973">
        <v>5</v>
      </c>
      <c r="W2973">
        <v>672</v>
      </c>
      <c r="X2973">
        <v>0</v>
      </c>
      <c r="Y2973">
        <v>0</v>
      </c>
      <c r="Z2973">
        <v>0</v>
      </c>
      <c r="AA2973">
        <v>0</v>
      </c>
      <c r="AB2973">
        <v>0</v>
      </c>
      <c r="AC2973">
        <v>672</v>
      </c>
      <c r="AD2973">
        <v>0</v>
      </c>
      <c r="AE2973">
        <v>0</v>
      </c>
      <c r="AF2973">
        <v>0</v>
      </c>
      <c r="AG2973">
        <v>0</v>
      </c>
      <c r="AH2973">
        <v>0</v>
      </c>
      <c r="AI2973">
        <v>0</v>
      </c>
      <c r="AJ2973">
        <v>0</v>
      </c>
      <c r="AK2973">
        <v>0</v>
      </c>
      <c r="AL2973">
        <v>0</v>
      </c>
      <c r="AM2973">
        <v>0</v>
      </c>
      <c r="AN2973">
        <v>0</v>
      </c>
      <c r="AO2973">
        <v>0</v>
      </c>
      <c r="AP2973">
        <v>0</v>
      </c>
      <c r="AQ2973">
        <v>0</v>
      </c>
      <c r="AR2973">
        <v>0</v>
      </c>
      <c r="AS2973">
        <v>0</v>
      </c>
      <c r="AT2973">
        <v>0</v>
      </c>
      <c r="AU2973">
        <f t="shared" si="92"/>
        <v>0</v>
      </c>
      <c r="AV2973">
        <f t="shared" si="93"/>
        <v>0</v>
      </c>
    </row>
    <row r="2974" spans="1:48" x14ac:dyDescent="0.25">
      <c r="A2974" t="s">
        <v>9876</v>
      </c>
      <c r="C2974" t="s">
        <v>9877</v>
      </c>
      <c r="D2974" t="s">
        <v>9878</v>
      </c>
      <c r="E2974" t="s">
        <v>1663</v>
      </c>
      <c r="F2974">
        <v>6</v>
      </c>
      <c r="G2974">
        <v>6.1</v>
      </c>
      <c r="H2974" t="s">
        <v>2017</v>
      </c>
      <c r="I2974" s="21">
        <v>40091</v>
      </c>
      <c r="J2974">
        <v>2009</v>
      </c>
      <c r="K2974" s="21">
        <v>40122</v>
      </c>
      <c r="L2974">
        <v>2009</v>
      </c>
      <c r="M2974" s="21">
        <v>40273</v>
      </c>
      <c r="N2974">
        <v>2010</v>
      </c>
      <c r="Q2974" s="262">
        <v>550000</v>
      </c>
      <c r="S2974" t="s">
        <v>114</v>
      </c>
      <c r="T2974" t="s">
        <v>114</v>
      </c>
      <c r="W2974">
        <v>315</v>
      </c>
      <c r="X2974">
        <v>0</v>
      </c>
      <c r="Y2974">
        <v>0</v>
      </c>
      <c r="Z2974">
        <v>0</v>
      </c>
      <c r="AA2974">
        <v>0</v>
      </c>
      <c r="AB2974">
        <v>0</v>
      </c>
      <c r="AC2974">
        <v>315</v>
      </c>
      <c r="AD2974">
        <v>0</v>
      </c>
      <c r="AE2974">
        <v>0</v>
      </c>
      <c r="AF2974">
        <v>0</v>
      </c>
      <c r="AG2974">
        <v>0</v>
      </c>
      <c r="AH2974">
        <v>0</v>
      </c>
      <c r="AI2974">
        <v>0</v>
      </c>
      <c r="AJ2974">
        <v>0</v>
      </c>
      <c r="AK2974">
        <v>0</v>
      </c>
      <c r="AL2974">
        <v>0</v>
      </c>
      <c r="AM2974">
        <v>0</v>
      </c>
      <c r="AN2974">
        <v>0</v>
      </c>
      <c r="AO2974">
        <v>0</v>
      </c>
      <c r="AP2974">
        <v>0</v>
      </c>
      <c r="AQ2974">
        <v>0</v>
      </c>
      <c r="AR2974">
        <v>0</v>
      </c>
      <c r="AS2974">
        <v>0</v>
      </c>
      <c r="AT2974">
        <v>0</v>
      </c>
      <c r="AU2974">
        <f t="shared" si="92"/>
        <v>0</v>
      </c>
      <c r="AV2974">
        <f t="shared" si="93"/>
        <v>0</v>
      </c>
    </row>
    <row r="2975" spans="1:48" x14ac:dyDescent="0.25">
      <c r="A2975" t="s">
        <v>9879</v>
      </c>
      <c r="C2975" t="s">
        <v>9880</v>
      </c>
      <c r="D2975" t="s">
        <v>9281</v>
      </c>
      <c r="E2975" t="s">
        <v>1663</v>
      </c>
      <c r="F2975">
        <v>6</v>
      </c>
      <c r="G2975">
        <v>6.1</v>
      </c>
      <c r="H2975" t="s">
        <v>2017</v>
      </c>
      <c r="I2975" s="21">
        <v>40091</v>
      </c>
      <c r="J2975">
        <v>2009</v>
      </c>
      <c r="K2975" s="21">
        <v>40122</v>
      </c>
      <c r="L2975">
        <v>2009</v>
      </c>
      <c r="M2975" s="21">
        <v>40273</v>
      </c>
      <c r="N2975">
        <v>2010</v>
      </c>
      <c r="Q2975" s="262">
        <v>150000</v>
      </c>
      <c r="S2975" t="s">
        <v>114</v>
      </c>
      <c r="T2975" t="s">
        <v>114</v>
      </c>
      <c r="W2975">
        <v>503</v>
      </c>
      <c r="X2975">
        <v>0</v>
      </c>
      <c r="Y2975">
        <v>0</v>
      </c>
      <c r="Z2975">
        <v>0</v>
      </c>
      <c r="AA2975">
        <v>0</v>
      </c>
      <c r="AB2975">
        <v>0</v>
      </c>
      <c r="AC2975">
        <v>503</v>
      </c>
      <c r="AD2975">
        <v>0</v>
      </c>
      <c r="AE2975">
        <v>0</v>
      </c>
      <c r="AF2975">
        <v>0</v>
      </c>
      <c r="AG2975">
        <v>0</v>
      </c>
      <c r="AH2975">
        <v>0</v>
      </c>
      <c r="AI2975">
        <v>0</v>
      </c>
      <c r="AJ2975">
        <v>0</v>
      </c>
      <c r="AK2975">
        <v>0</v>
      </c>
      <c r="AL2975">
        <v>0</v>
      </c>
      <c r="AM2975">
        <v>0</v>
      </c>
      <c r="AN2975">
        <v>0</v>
      </c>
      <c r="AO2975">
        <v>0</v>
      </c>
      <c r="AP2975">
        <v>0</v>
      </c>
      <c r="AQ2975">
        <v>0</v>
      </c>
      <c r="AR2975">
        <v>0</v>
      </c>
      <c r="AS2975">
        <v>0</v>
      </c>
      <c r="AT2975">
        <v>0</v>
      </c>
      <c r="AU2975">
        <f t="shared" si="92"/>
        <v>0</v>
      </c>
      <c r="AV2975">
        <f t="shared" si="93"/>
        <v>0</v>
      </c>
    </row>
    <row r="2976" spans="1:48" x14ac:dyDescent="0.25">
      <c r="A2976" t="s">
        <v>9881</v>
      </c>
      <c r="C2976" t="s">
        <v>9882</v>
      </c>
      <c r="D2976" t="s">
        <v>9883</v>
      </c>
      <c r="E2976" t="s">
        <v>2310</v>
      </c>
      <c r="F2976">
        <v>8</v>
      </c>
      <c r="G2976">
        <v>8.1</v>
      </c>
      <c r="H2976" t="s">
        <v>2323</v>
      </c>
      <c r="I2976" s="21">
        <v>40092.693472222199</v>
      </c>
      <c r="J2976">
        <v>2009</v>
      </c>
      <c r="K2976" s="21">
        <v>40092.693472222199</v>
      </c>
      <c r="L2976">
        <v>2009</v>
      </c>
      <c r="M2976" s="21">
        <v>40444.454861111102</v>
      </c>
      <c r="N2976">
        <v>2010</v>
      </c>
      <c r="Q2976" s="262">
        <v>160000</v>
      </c>
      <c r="R2976" s="262">
        <v>69000</v>
      </c>
      <c r="S2976" t="s">
        <v>114</v>
      </c>
      <c r="T2976" t="s">
        <v>114</v>
      </c>
      <c r="U2976">
        <v>5</v>
      </c>
      <c r="W2976">
        <v>1728</v>
      </c>
      <c r="X2976">
        <v>0</v>
      </c>
      <c r="Y2976">
        <v>0</v>
      </c>
      <c r="Z2976">
        <v>0</v>
      </c>
      <c r="AA2976">
        <v>0</v>
      </c>
      <c r="AB2976">
        <v>0</v>
      </c>
      <c r="AC2976">
        <v>1728</v>
      </c>
      <c r="AD2976">
        <v>0</v>
      </c>
      <c r="AE2976">
        <v>0</v>
      </c>
      <c r="AF2976">
        <v>0</v>
      </c>
      <c r="AG2976">
        <v>0</v>
      </c>
      <c r="AH2976">
        <v>0</v>
      </c>
      <c r="AI2976">
        <v>0</v>
      </c>
      <c r="AJ2976">
        <v>0</v>
      </c>
      <c r="AK2976">
        <v>0</v>
      </c>
      <c r="AL2976">
        <v>0</v>
      </c>
      <c r="AM2976">
        <v>0</v>
      </c>
      <c r="AN2976">
        <v>0</v>
      </c>
      <c r="AO2976">
        <v>0</v>
      </c>
      <c r="AP2976">
        <v>0</v>
      </c>
      <c r="AQ2976">
        <v>0</v>
      </c>
      <c r="AR2976">
        <v>0</v>
      </c>
      <c r="AS2976">
        <v>0</v>
      </c>
      <c r="AT2976">
        <v>0</v>
      </c>
      <c r="AU2976">
        <f t="shared" si="92"/>
        <v>0</v>
      </c>
      <c r="AV2976">
        <f t="shared" si="93"/>
        <v>0</v>
      </c>
    </row>
    <row r="2977" spans="1:48" x14ac:dyDescent="0.25">
      <c r="A2977" t="s">
        <v>9884</v>
      </c>
      <c r="C2977" t="s">
        <v>9885</v>
      </c>
      <c r="D2977" t="s">
        <v>9886</v>
      </c>
      <c r="E2977" t="s">
        <v>2310</v>
      </c>
      <c r="F2977">
        <v>9</v>
      </c>
      <c r="G2977">
        <v>9.3000000000000007</v>
      </c>
      <c r="H2977" t="s">
        <v>2323</v>
      </c>
      <c r="I2977" s="21">
        <v>40094.502673611103</v>
      </c>
      <c r="J2977">
        <v>2009</v>
      </c>
      <c r="K2977" s="21">
        <v>40094.502673611103</v>
      </c>
      <c r="L2977">
        <v>2009</v>
      </c>
      <c r="M2977" s="21">
        <v>40500.662905092599</v>
      </c>
      <c r="N2977">
        <v>2010</v>
      </c>
      <c r="Q2977" s="262">
        <v>300000</v>
      </c>
      <c r="R2977" s="262">
        <v>194000</v>
      </c>
      <c r="S2977" t="s">
        <v>114</v>
      </c>
      <c r="T2977" t="s">
        <v>114</v>
      </c>
      <c r="U2977">
        <v>5</v>
      </c>
      <c r="W2977">
        <v>2072</v>
      </c>
      <c r="X2977">
        <v>1</v>
      </c>
      <c r="Y2977">
        <v>0</v>
      </c>
      <c r="Z2977">
        <v>0</v>
      </c>
      <c r="AA2977">
        <v>0</v>
      </c>
      <c r="AB2977">
        <v>0</v>
      </c>
      <c r="AC2977">
        <v>2072</v>
      </c>
      <c r="AD2977">
        <v>0</v>
      </c>
      <c r="AE2977">
        <v>0</v>
      </c>
      <c r="AF2977">
        <v>0</v>
      </c>
      <c r="AG2977">
        <v>0</v>
      </c>
      <c r="AH2977">
        <v>0</v>
      </c>
      <c r="AI2977">
        <v>0</v>
      </c>
      <c r="AJ2977">
        <v>0</v>
      </c>
      <c r="AK2977">
        <v>0</v>
      </c>
      <c r="AL2977">
        <v>0</v>
      </c>
      <c r="AM2977">
        <v>0</v>
      </c>
      <c r="AN2977">
        <v>0</v>
      </c>
      <c r="AO2977">
        <v>1</v>
      </c>
      <c r="AP2977">
        <v>0</v>
      </c>
      <c r="AQ2977">
        <v>0</v>
      </c>
      <c r="AR2977">
        <v>0</v>
      </c>
      <c r="AS2977">
        <v>0</v>
      </c>
      <c r="AT2977">
        <v>0</v>
      </c>
      <c r="AU2977">
        <f t="shared" si="92"/>
        <v>1</v>
      </c>
      <c r="AV2977">
        <f t="shared" si="93"/>
        <v>0</v>
      </c>
    </row>
    <row r="2978" spans="1:48" x14ac:dyDescent="0.25">
      <c r="A2978" t="s">
        <v>9887</v>
      </c>
      <c r="C2978" t="s">
        <v>9888</v>
      </c>
      <c r="D2978" t="s">
        <v>9889</v>
      </c>
      <c r="E2978" t="s">
        <v>2310</v>
      </c>
      <c r="F2978">
        <v>9</v>
      </c>
      <c r="G2978">
        <v>9.4</v>
      </c>
      <c r="H2978" t="s">
        <v>2323</v>
      </c>
      <c r="I2978" s="21">
        <v>40099.5409953704</v>
      </c>
      <c r="J2978">
        <v>2009</v>
      </c>
      <c r="K2978" s="21">
        <v>40099.5409953704</v>
      </c>
      <c r="L2978">
        <v>2009</v>
      </c>
      <c r="M2978" s="21">
        <v>40547.652743055602</v>
      </c>
      <c r="N2978">
        <v>2011</v>
      </c>
      <c r="R2978" s="262">
        <v>368000</v>
      </c>
      <c r="S2978" t="s">
        <v>114</v>
      </c>
      <c r="T2978" t="s">
        <v>114</v>
      </c>
      <c r="U2978">
        <v>5</v>
      </c>
      <c r="W2978">
        <v>3852</v>
      </c>
      <c r="X2978">
        <v>1</v>
      </c>
      <c r="Y2978">
        <v>0</v>
      </c>
      <c r="Z2978">
        <v>0</v>
      </c>
      <c r="AA2978">
        <v>0</v>
      </c>
      <c r="AB2978">
        <v>0</v>
      </c>
      <c r="AC2978">
        <v>3852</v>
      </c>
      <c r="AD2978">
        <v>0</v>
      </c>
      <c r="AE2978">
        <v>0</v>
      </c>
      <c r="AF2978">
        <v>0</v>
      </c>
      <c r="AG2978">
        <v>0</v>
      </c>
      <c r="AH2978">
        <v>0</v>
      </c>
      <c r="AI2978">
        <v>0</v>
      </c>
      <c r="AJ2978">
        <v>0</v>
      </c>
      <c r="AK2978">
        <v>0</v>
      </c>
      <c r="AL2978">
        <v>0</v>
      </c>
      <c r="AM2978">
        <v>0</v>
      </c>
      <c r="AN2978">
        <v>0</v>
      </c>
      <c r="AO2978">
        <v>1</v>
      </c>
      <c r="AP2978">
        <v>0</v>
      </c>
      <c r="AQ2978">
        <v>0</v>
      </c>
      <c r="AR2978">
        <v>0</v>
      </c>
      <c r="AS2978">
        <v>0</v>
      </c>
      <c r="AT2978">
        <v>0</v>
      </c>
      <c r="AU2978">
        <f t="shared" si="92"/>
        <v>1</v>
      </c>
      <c r="AV2978">
        <f t="shared" si="93"/>
        <v>0</v>
      </c>
    </row>
    <row r="2979" spans="1:48" x14ac:dyDescent="0.25">
      <c r="A2979" t="s">
        <v>9890</v>
      </c>
      <c r="C2979" t="s">
        <v>9891</v>
      </c>
      <c r="D2979" t="s">
        <v>9892</v>
      </c>
      <c r="E2979" t="s">
        <v>1663</v>
      </c>
      <c r="F2979">
        <v>5</v>
      </c>
      <c r="G2979">
        <v>5.5</v>
      </c>
      <c r="H2979" t="s">
        <v>2017</v>
      </c>
      <c r="I2979" s="21">
        <v>40102</v>
      </c>
      <c r="J2979">
        <v>2009</v>
      </c>
      <c r="K2979" s="21">
        <v>40133</v>
      </c>
      <c r="L2979">
        <v>2009</v>
      </c>
      <c r="M2979" s="21">
        <v>40284</v>
      </c>
      <c r="N2979">
        <v>2010</v>
      </c>
      <c r="Q2979" s="262">
        <v>0</v>
      </c>
      <c r="S2979" t="s">
        <v>114</v>
      </c>
      <c r="T2979" t="s">
        <v>114</v>
      </c>
      <c r="W2979">
        <v>4154</v>
      </c>
      <c r="X2979">
        <v>1</v>
      </c>
      <c r="Y2979">
        <v>0</v>
      </c>
      <c r="Z2979">
        <v>0</v>
      </c>
      <c r="AA2979">
        <v>0</v>
      </c>
      <c r="AB2979">
        <v>0</v>
      </c>
      <c r="AC2979">
        <v>4154</v>
      </c>
      <c r="AD2979">
        <v>0</v>
      </c>
      <c r="AE2979">
        <v>0</v>
      </c>
      <c r="AF2979">
        <v>0</v>
      </c>
      <c r="AG2979">
        <v>0</v>
      </c>
      <c r="AH2979">
        <v>0</v>
      </c>
      <c r="AI2979">
        <v>0</v>
      </c>
      <c r="AJ2979">
        <v>0</v>
      </c>
      <c r="AK2979">
        <v>0</v>
      </c>
      <c r="AL2979">
        <v>0</v>
      </c>
      <c r="AM2979">
        <v>0</v>
      </c>
      <c r="AN2979">
        <v>0</v>
      </c>
      <c r="AO2979">
        <v>1</v>
      </c>
      <c r="AP2979">
        <v>0</v>
      </c>
      <c r="AQ2979">
        <v>0</v>
      </c>
      <c r="AR2979">
        <v>0</v>
      </c>
      <c r="AS2979">
        <v>0</v>
      </c>
      <c r="AT2979">
        <v>0</v>
      </c>
      <c r="AU2979">
        <f t="shared" si="92"/>
        <v>1</v>
      </c>
      <c r="AV2979">
        <f t="shared" si="93"/>
        <v>0</v>
      </c>
    </row>
    <row r="2980" spans="1:48" x14ac:dyDescent="0.25">
      <c r="A2980" t="s">
        <v>9893</v>
      </c>
      <c r="C2980" t="s">
        <v>9894</v>
      </c>
      <c r="D2980" t="s">
        <v>9895</v>
      </c>
      <c r="E2980" t="s">
        <v>1663</v>
      </c>
      <c r="F2980">
        <v>5</v>
      </c>
      <c r="G2980">
        <v>5.5</v>
      </c>
      <c r="H2980" t="s">
        <v>2017</v>
      </c>
      <c r="I2980" s="21">
        <v>40105</v>
      </c>
      <c r="J2980">
        <v>2009</v>
      </c>
      <c r="K2980" s="21">
        <v>40136</v>
      </c>
      <c r="L2980">
        <v>2009</v>
      </c>
      <c r="M2980" s="21">
        <v>40287</v>
      </c>
      <c r="N2980">
        <v>2010</v>
      </c>
      <c r="Q2980" s="262">
        <v>116363</v>
      </c>
      <c r="S2980" t="s">
        <v>114</v>
      </c>
      <c r="T2980" t="s">
        <v>114</v>
      </c>
      <c r="W2980">
        <v>2059</v>
      </c>
      <c r="X2980">
        <v>1</v>
      </c>
      <c r="Y2980">
        <v>0</v>
      </c>
      <c r="Z2980">
        <v>0</v>
      </c>
      <c r="AA2980">
        <v>0</v>
      </c>
      <c r="AB2980">
        <v>0</v>
      </c>
      <c r="AC2980">
        <v>2059</v>
      </c>
      <c r="AD2980">
        <v>0</v>
      </c>
      <c r="AE2980">
        <v>0</v>
      </c>
      <c r="AF2980">
        <v>0</v>
      </c>
      <c r="AG2980">
        <v>0</v>
      </c>
      <c r="AH2980">
        <v>0</v>
      </c>
      <c r="AI2980">
        <v>0</v>
      </c>
      <c r="AJ2980">
        <v>0</v>
      </c>
      <c r="AK2980">
        <v>0</v>
      </c>
      <c r="AL2980">
        <v>0</v>
      </c>
      <c r="AM2980">
        <v>0</v>
      </c>
      <c r="AN2980">
        <v>0</v>
      </c>
      <c r="AO2980">
        <v>1</v>
      </c>
      <c r="AP2980">
        <v>0</v>
      </c>
      <c r="AQ2980">
        <v>0</v>
      </c>
      <c r="AR2980">
        <v>0</v>
      </c>
      <c r="AS2980">
        <v>0</v>
      </c>
      <c r="AT2980">
        <v>0</v>
      </c>
      <c r="AU2980">
        <f t="shared" si="92"/>
        <v>1</v>
      </c>
      <c r="AV2980">
        <f t="shared" si="93"/>
        <v>0</v>
      </c>
    </row>
    <row r="2981" spans="1:48" x14ac:dyDescent="0.25">
      <c r="A2981" t="s">
        <v>9896</v>
      </c>
      <c r="C2981" t="s">
        <v>9897</v>
      </c>
      <c r="D2981" t="s">
        <v>9898</v>
      </c>
      <c r="E2981" t="s">
        <v>1663</v>
      </c>
      <c r="F2981">
        <v>5</v>
      </c>
      <c r="G2981">
        <v>5.5</v>
      </c>
      <c r="H2981" t="s">
        <v>2017</v>
      </c>
      <c r="I2981" s="21">
        <v>40105</v>
      </c>
      <c r="J2981">
        <v>2009</v>
      </c>
      <c r="K2981" s="21">
        <v>40136</v>
      </c>
      <c r="L2981">
        <v>2009</v>
      </c>
      <c r="M2981" s="21">
        <v>40287</v>
      </c>
      <c r="N2981">
        <v>2010</v>
      </c>
      <c r="Q2981" s="262">
        <v>116363</v>
      </c>
      <c r="S2981" t="s">
        <v>114</v>
      </c>
      <c r="T2981" t="s">
        <v>114</v>
      </c>
      <c r="W2981">
        <v>2059</v>
      </c>
      <c r="X2981">
        <v>1</v>
      </c>
      <c r="Y2981">
        <v>0</v>
      </c>
      <c r="Z2981">
        <v>0</v>
      </c>
      <c r="AA2981">
        <v>0</v>
      </c>
      <c r="AB2981">
        <v>0</v>
      </c>
      <c r="AC2981">
        <v>2059</v>
      </c>
      <c r="AD2981">
        <v>0</v>
      </c>
      <c r="AE2981">
        <v>0</v>
      </c>
      <c r="AF2981">
        <v>0</v>
      </c>
      <c r="AG2981">
        <v>0</v>
      </c>
      <c r="AH2981">
        <v>0</v>
      </c>
      <c r="AI2981">
        <v>0</v>
      </c>
      <c r="AJ2981">
        <v>0</v>
      </c>
      <c r="AK2981">
        <v>0</v>
      </c>
      <c r="AL2981">
        <v>0</v>
      </c>
      <c r="AM2981">
        <v>0</v>
      </c>
      <c r="AN2981">
        <v>0</v>
      </c>
      <c r="AO2981">
        <v>1</v>
      </c>
      <c r="AP2981">
        <v>0</v>
      </c>
      <c r="AQ2981">
        <v>0</v>
      </c>
      <c r="AR2981">
        <v>0</v>
      </c>
      <c r="AS2981">
        <v>0</v>
      </c>
      <c r="AT2981">
        <v>0</v>
      </c>
      <c r="AU2981">
        <f t="shared" si="92"/>
        <v>1</v>
      </c>
      <c r="AV2981">
        <f t="shared" si="93"/>
        <v>0</v>
      </c>
    </row>
    <row r="2982" spans="1:48" x14ac:dyDescent="0.25">
      <c r="A2982" t="s">
        <v>9899</v>
      </c>
      <c r="C2982" t="s">
        <v>9900</v>
      </c>
      <c r="D2982" t="s">
        <v>9901</v>
      </c>
      <c r="E2982" t="s">
        <v>1663</v>
      </c>
      <c r="F2982">
        <v>5</v>
      </c>
      <c r="G2982">
        <v>5.5</v>
      </c>
      <c r="H2982" t="s">
        <v>2017</v>
      </c>
      <c r="I2982" s="21">
        <v>40105</v>
      </c>
      <c r="J2982">
        <v>2009</v>
      </c>
      <c r="K2982" s="21">
        <v>40136</v>
      </c>
      <c r="L2982">
        <v>2009</v>
      </c>
      <c r="M2982" s="21">
        <v>40287</v>
      </c>
      <c r="N2982">
        <v>2010</v>
      </c>
      <c r="Q2982" s="262">
        <v>116363</v>
      </c>
      <c r="S2982" t="s">
        <v>114</v>
      </c>
      <c r="T2982" t="s">
        <v>114</v>
      </c>
      <c r="W2982">
        <v>1747</v>
      </c>
      <c r="X2982">
        <v>1</v>
      </c>
      <c r="Y2982">
        <v>0</v>
      </c>
      <c r="Z2982">
        <v>0</v>
      </c>
      <c r="AA2982">
        <v>0</v>
      </c>
      <c r="AB2982">
        <v>0</v>
      </c>
      <c r="AC2982">
        <v>1747</v>
      </c>
      <c r="AD2982">
        <v>0</v>
      </c>
      <c r="AE2982">
        <v>0</v>
      </c>
      <c r="AF2982">
        <v>0</v>
      </c>
      <c r="AG2982">
        <v>0</v>
      </c>
      <c r="AH2982">
        <v>0</v>
      </c>
      <c r="AI2982">
        <v>0</v>
      </c>
      <c r="AJ2982">
        <v>0</v>
      </c>
      <c r="AK2982">
        <v>0</v>
      </c>
      <c r="AL2982">
        <v>0</v>
      </c>
      <c r="AM2982">
        <v>0</v>
      </c>
      <c r="AN2982">
        <v>0</v>
      </c>
      <c r="AO2982">
        <v>1</v>
      </c>
      <c r="AP2982">
        <v>0</v>
      </c>
      <c r="AQ2982">
        <v>0</v>
      </c>
      <c r="AR2982">
        <v>0</v>
      </c>
      <c r="AS2982">
        <v>0</v>
      </c>
      <c r="AT2982">
        <v>0</v>
      </c>
      <c r="AU2982">
        <f t="shared" si="92"/>
        <v>1</v>
      </c>
      <c r="AV2982">
        <f t="shared" si="93"/>
        <v>0</v>
      </c>
    </row>
    <row r="2983" spans="1:48" x14ac:dyDescent="0.25">
      <c r="A2983" t="s">
        <v>9902</v>
      </c>
      <c r="C2983" t="s">
        <v>9903</v>
      </c>
      <c r="D2983" t="s">
        <v>9904</v>
      </c>
      <c r="E2983" t="s">
        <v>1663</v>
      </c>
      <c r="F2983">
        <v>5</v>
      </c>
      <c r="G2983">
        <v>5.5</v>
      </c>
      <c r="H2983" t="s">
        <v>2017</v>
      </c>
      <c r="I2983" s="21">
        <v>40105</v>
      </c>
      <c r="J2983">
        <v>2009</v>
      </c>
      <c r="K2983" s="21">
        <v>40136</v>
      </c>
      <c r="L2983">
        <v>2009</v>
      </c>
      <c r="M2983" s="21">
        <v>40287</v>
      </c>
      <c r="N2983">
        <v>2010</v>
      </c>
      <c r="Q2983" s="262">
        <v>116363</v>
      </c>
      <c r="S2983" t="s">
        <v>114</v>
      </c>
      <c r="T2983" t="s">
        <v>114</v>
      </c>
      <c r="W2983">
        <v>1747</v>
      </c>
      <c r="X2983">
        <v>1</v>
      </c>
      <c r="Y2983">
        <v>0</v>
      </c>
      <c r="Z2983">
        <v>0</v>
      </c>
      <c r="AA2983">
        <v>0</v>
      </c>
      <c r="AB2983">
        <v>0</v>
      </c>
      <c r="AC2983">
        <v>1747</v>
      </c>
      <c r="AD2983">
        <v>0</v>
      </c>
      <c r="AE2983">
        <v>0</v>
      </c>
      <c r="AF2983">
        <v>0</v>
      </c>
      <c r="AG2983">
        <v>0</v>
      </c>
      <c r="AH2983">
        <v>0</v>
      </c>
      <c r="AI2983">
        <v>0</v>
      </c>
      <c r="AJ2983">
        <v>0</v>
      </c>
      <c r="AK2983">
        <v>0</v>
      </c>
      <c r="AL2983">
        <v>0</v>
      </c>
      <c r="AM2983">
        <v>0</v>
      </c>
      <c r="AN2983">
        <v>0</v>
      </c>
      <c r="AO2983">
        <v>1</v>
      </c>
      <c r="AP2983">
        <v>0</v>
      </c>
      <c r="AQ2983">
        <v>0</v>
      </c>
      <c r="AR2983">
        <v>0</v>
      </c>
      <c r="AS2983">
        <v>0</v>
      </c>
      <c r="AT2983">
        <v>0</v>
      </c>
      <c r="AU2983">
        <f t="shared" si="92"/>
        <v>1</v>
      </c>
      <c r="AV2983">
        <f t="shared" si="93"/>
        <v>0</v>
      </c>
    </row>
    <row r="2984" spans="1:48" x14ac:dyDescent="0.25">
      <c r="A2984" t="s">
        <v>9905</v>
      </c>
      <c r="C2984" t="s">
        <v>9906</v>
      </c>
      <c r="D2984" t="s">
        <v>9907</v>
      </c>
      <c r="E2984" t="s">
        <v>1663</v>
      </c>
      <c r="F2984">
        <v>5</v>
      </c>
      <c r="G2984">
        <v>5.5</v>
      </c>
      <c r="H2984" t="s">
        <v>2017</v>
      </c>
      <c r="I2984" s="21">
        <v>40105</v>
      </c>
      <c r="J2984">
        <v>2009</v>
      </c>
      <c r="K2984" s="21">
        <v>40136</v>
      </c>
      <c r="L2984">
        <v>2009</v>
      </c>
      <c r="M2984" s="21">
        <v>40287</v>
      </c>
      <c r="N2984">
        <v>2010</v>
      </c>
      <c r="Q2984" s="262">
        <v>116363</v>
      </c>
      <c r="S2984" t="s">
        <v>114</v>
      </c>
      <c r="T2984" t="s">
        <v>114</v>
      </c>
      <c r="W2984">
        <v>1747</v>
      </c>
      <c r="X2984">
        <v>1</v>
      </c>
      <c r="Y2984">
        <v>0</v>
      </c>
      <c r="Z2984">
        <v>0</v>
      </c>
      <c r="AA2984">
        <v>0</v>
      </c>
      <c r="AB2984">
        <v>0</v>
      </c>
      <c r="AC2984">
        <v>1747</v>
      </c>
      <c r="AD2984">
        <v>0</v>
      </c>
      <c r="AE2984">
        <v>0</v>
      </c>
      <c r="AF2984">
        <v>0</v>
      </c>
      <c r="AG2984">
        <v>0</v>
      </c>
      <c r="AH2984">
        <v>0</v>
      </c>
      <c r="AI2984">
        <v>0</v>
      </c>
      <c r="AJ2984">
        <v>0</v>
      </c>
      <c r="AK2984">
        <v>0</v>
      </c>
      <c r="AL2984">
        <v>0</v>
      </c>
      <c r="AM2984">
        <v>0</v>
      </c>
      <c r="AN2984">
        <v>0</v>
      </c>
      <c r="AO2984">
        <v>1</v>
      </c>
      <c r="AP2984">
        <v>0</v>
      </c>
      <c r="AQ2984">
        <v>0</v>
      </c>
      <c r="AR2984">
        <v>0</v>
      </c>
      <c r="AS2984">
        <v>0</v>
      </c>
      <c r="AT2984">
        <v>0</v>
      </c>
      <c r="AU2984">
        <f t="shared" si="92"/>
        <v>1</v>
      </c>
      <c r="AV2984">
        <f t="shared" si="93"/>
        <v>0</v>
      </c>
    </row>
    <row r="2985" spans="1:48" x14ac:dyDescent="0.25">
      <c r="A2985" t="s">
        <v>9908</v>
      </c>
      <c r="C2985" t="s">
        <v>9909</v>
      </c>
      <c r="D2985" t="s">
        <v>9910</v>
      </c>
      <c r="E2985" t="s">
        <v>1663</v>
      </c>
      <c r="F2985">
        <v>5</v>
      </c>
      <c r="G2985">
        <v>5.5</v>
      </c>
      <c r="H2985" t="s">
        <v>2017</v>
      </c>
      <c r="I2985" s="21">
        <v>40105</v>
      </c>
      <c r="J2985">
        <v>2009</v>
      </c>
      <c r="K2985" s="21">
        <v>40136</v>
      </c>
      <c r="L2985">
        <v>2009</v>
      </c>
      <c r="M2985" s="21">
        <v>40287</v>
      </c>
      <c r="N2985">
        <v>2010</v>
      </c>
      <c r="Q2985" s="262">
        <v>116363</v>
      </c>
      <c r="S2985" t="s">
        <v>114</v>
      </c>
      <c r="T2985" t="s">
        <v>114</v>
      </c>
      <c r="W2985">
        <v>1747</v>
      </c>
      <c r="X2985">
        <v>1</v>
      </c>
      <c r="Y2985">
        <v>0</v>
      </c>
      <c r="Z2985">
        <v>0</v>
      </c>
      <c r="AA2985">
        <v>0</v>
      </c>
      <c r="AB2985">
        <v>0</v>
      </c>
      <c r="AC2985">
        <v>1747</v>
      </c>
      <c r="AD2985">
        <v>0</v>
      </c>
      <c r="AE2985">
        <v>0</v>
      </c>
      <c r="AF2985">
        <v>0</v>
      </c>
      <c r="AG2985">
        <v>0</v>
      </c>
      <c r="AH2985">
        <v>0</v>
      </c>
      <c r="AI2985">
        <v>0</v>
      </c>
      <c r="AJ2985">
        <v>0</v>
      </c>
      <c r="AK2985">
        <v>0</v>
      </c>
      <c r="AL2985">
        <v>0</v>
      </c>
      <c r="AM2985">
        <v>0</v>
      </c>
      <c r="AN2985">
        <v>0</v>
      </c>
      <c r="AO2985">
        <v>1</v>
      </c>
      <c r="AP2985">
        <v>0</v>
      </c>
      <c r="AQ2985">
        <v>0</v>
      </c>
      <c r="AR2985">
        <v>0</v>
      </c>
      <c r="AS2985">
        <v>0</v>
      </c>
      <c r="AT2985">
        <v>0</v>
      </c>
      <c r="AU2985">
        <f t="shared" si="92"/>
        <v>1</v>
      </c>
      <c r="AV2985">
        <f t="shared" si="93"/>
        <v>0</v>
      </c>
    </row>
    <row r="2986" spans="1:48" x14ac:dyDescent="0.25">
      <c r="A2986" t="s">
        <v>9911</v>
      </c>
      <c r="C2986" t="s">
        <v>9912</v>
      </c>
      <c r="D2986" t="s">
        <v>9913</v>
      </c>
      <c r="E2986" t="s">
        <v>1663</v>
      </c>
      <c r="F2986">
        <v>5</v>
      </c>
      <c r="G2986">
        <v>5.5</v>
      </c>
      <c r="H2986" t="s">
        <v>2017</v>
      </c>
      <c r="I2986" s="21">
        <v>40105</v>
      </c>
      <c r="J2986">
        <v>2009</v>
      </c>
      <c r="K2986" s="21">
        <v>40136</v>
      </c>
      <c r="L2986">
        <v>2009</v>
      </c>
      <c r="M2986" s="21">
        <v>40287</v>
      </c>
      <c r="N2986">
        <v>2010</v>
      </c>
      <c r="Q2986" s="262">
        <v>116363</v>
      </c>
      <c r="S2986" t="s">
        <v>114</v>
      </c>
      <c r="T2986" t="s">
        <v>114</v>
      </c>
      <c r="W2986">
        <v>1747</v>
      </c>
      <c r="X2986">
        <v>1</v>
      </c>
      <c r="Y2986">
        <v>0</v>
      </c>
      <c r="Z2986">
        <v>0</v>
      </c>
      <c r="AA2986">
        <v>0</v>
      </c>
      <c r="AB2986">
        <v>0</v>
      </c>
      <c r="AC2986">
        <v>1747</v>
      </c>
      <c r="AD2986">
        <v>0</v>
      </c>
      <c r="AE2986">
        <v>0</v>
      </c>
      <c r="AF2986">
        <v>0</v>
      </c>
      <c r="AG2986">
        <v>0</v>
      </c>
      <c r="AH2986">
        <v>0</v>
      </c>
      <c r="AI2986">
        <v>0</v>
      </c>
      <c r="AJ2986">
        <v>0</v>
      </c>
      <c r="AK2986">
        <v>0</v>
      </c>
      <c r="AL2986">
        <v>0</v>
      </c>
      <c r="AM2986">
        <v>0</v>
      </c>
      <c r="AN2986">
        <v>0</v>
      </c>
      <c r="AO2986">
        <v>1</v>
      </c>
      <c r="AP2986">
        <v>0</v>
      </c>
      <c r="AQ2986">
        <v>0</v>
      </c>
      <c r="AR2986">
        <v>0</v>
      </c>
      <c r="AS2986">
        <v>0</v>
      </c>
      <c r="AT2986">
        <v>0</v>
      </c>
      <c r="AU2986">
        <f t="shared" si="92"/>
        <v>1</v>
      </c>
      <c r="AV2986">
        <f t="shared" si="93"/>
        <v>0</v>
      </c>
    </row>
    <row r="2987" spans="1:48" x14ac:dyDescent="0.25">
      <c r="A2987" t="s">
        <v>9914</v>
      </c>
      <c r="C2987" t="s">
        <v>9915</v>
      </c>
      <c r="D2987" t="s">
        <v>9916</v>
      </c>
      <c r="E2987" t="s">
        <v>1663</v>
      </c>
      <c r="F2987">
        <v>5</v>
      </c>
      <c r="G2987">
        <v>5.5</v>
      </c>
      <c r="H2987" t="s">
        <v>2017</v>
      </c>
      <c r="I2987" s="21">
        <v>40105</v>
      </c>
      <c r="J2987">
        <v>2009</v>
      </c>
      <c r="K2987" s="21">
        <v>40136</v>
      </c>
      <c r="L2987">
        <v>2009</v>
      </c>
      <c r="M2987" s="21">
        <v>40287</v>
      </c>
      <c r="N2987">
        <v>2010</v>
      </c>
      <c r="Q2987" s="262">
        <v>116363</v>
      </c>
      <c r="S2987" t="s">
        <v>114</v>
      </c>
      <c r="T2987" t="s">
        <v>114</v>
      </c>
      <c r="W2987">
        <v>1747</v>
      </c>
      <c r="X2987">
        <v>1</v>
      </c>
      <c r="Y2987">
        <v>0</v>
      </c>
      <c r="Z2987">
        <v>0</v>
      </c>
      <c r="AA2987">
        <v>0</v>
      </c>
      <c r="AB2987">
        <v>0</v>
      </c>
      <c r="AC2987">
        <v>1747</v>
      </c>
      <c r="AD2987">
        <v>0</v>
      </c>
      <c r="AE2987">
        <v>0</v>
      </c>
      <c r="AF2987">
        <v>0</v>
      </c>
      <c r="AG2987">
        <v>0</v>
      </c>
      <c r="AH2987">
        <v>0</v>
      </c>
      <c r="AI2987">
        <v>0</v>
      </c>
      <c r="AJ2987">
        <v>0</v>
      </c>
      <c r="AK2987">
        <v>0</v>
      </c>
      <c r="AL2987">
        <v>0</v>
      </c>
      <c r="AM2987">
        <v>0</v>
      </c>
      <c r="AN2987">
        <v>0</v>
      </c>
      <c r="AO2987">
        <v>1</v>
      </c>
      <c r="AP2987">
        <v>0</v>
      </c>
      <c r="AQ2987">
        <v>0</v>
      </c>
      <c r="AR2987">
        <v>0</v>
      </c>
      <c r="AS2987">
        <v>0</v>
      </c>
      <c r="AT2987">
        <v>0</v>
      </c>
      <c r="AU2987">
        <f t="shared" si="92"/>
        <v>1</v>
      </c>
      <c r="AV2987">
        <f t="shared" si="93"/>
        <v>0</v>
      </c>
    </row>
    <row r="2988" spans="1:48" x14ac:dyDescent="0.25">
      <c r="A2988" t="s">
        <v>9917</v>
      </c>
      <c r="C2988" t="s">
        <v>9918</v>
      </c>
      <c r="D2988" t="s">
        <v>9919</v>
      </c>
      <c r="E2988" t="s">
        <v>1663</v>
      </c>
      <c r="F2988">
        <v>5</v>
      </c>
      <c r="G2988">
        <v>5.5</v>
      </c>
      <c r="H2988" t="s">
        <v>2017</v>
      </c>
      <c r="I2988" s="21">
        <v>40105</v>
      </c>
      <c r="J2988">
        <v>2009</v>
      </c>
      <c r="K2988" s="21">
        <v>40136</v>
      </c>
      <c r="L2988">
        <v>2009</v>
      </c>
      <c r="M2988" s="21">
        <v>40287</v>
      </c>
      <c r="N2988">
        <v>2010</v>
      </c>
      <c r="Q2988" s="262">
        <v>116363</v>
      </c>
      <c r="S2988" t="s">
        <v>114</v>
      </c>
      <c r="T2988" t="s">
        <v>114</v>
      </c>
      <c r="W2988">
        <v>1914</v>
      </c>
      <c r="X2988">
        <v>1</v>
      </c>
      <c r="Y2988">
        <v>0</v>
      </c>
      <c r="Z2988">
        <v>0</v>
      </c>
      <c r="AA2988">
        <v>0</v>
      </c>
      <c r="AB2988">
        <v>0</v>
      </c>
      <c r="AC2988">
        <v>1914</v>
      </c>
      <c r="AD2988">
        <v>0</v>
      </c>
      <c r="AE2988">
        <v>0</v>
      </c>
      <c r="AF2988">
        <v>0</v>
      </c>
      <c r="AG2988">
        <v>0</v>
      </c>
      <c r="AH2988">
        <v>0</v>
      </c>
      <c r="AI2988">
        <v>0</v>
      </c>
      <c r="AJ2988">
        <v>0</v>
      </c>
      <c r="AK2988">
        <v>0</v>
      </c>
      <c r="AL2988">
        <v>0</v>
      </c>
      <c r="AM2988">
        <v>0</v>
      </c>
      <c r="AN2988">
        <v>0</v>
      </c>
      <c r="AO2988">
        <v>1</v>
      </c>
      <c r="AP2988">
        <v>0</v>
      </c>
      <c r="AQ2988">
        <v>0</v>
      </c>
      <c r="AR2988">
        <v>0</v>
      </c>
      <c r="AS2988">
        <v>0</v>
      </c>
      <c r="AT2988">
        <v>0</v>
      </c>
      <c r="AU2988">
        <f t="shared" si="92"/>
        <v>1</v>
      </c>
      <c r="AV2988">
        <f t="shared" si="93"/>
        <v>0</v>
      </c>
    </row>
    <row r="2989" spans="1:48" x14ac:dyDescent="0.25">
      <c r="A2989" t="s">
        <v>9920</v>
      </c>
      <c r="C2989" t="s">
        <v>9921</v>
      </c>
      <c r="D2989" t="s">
        <v>9922</v>
      </c>
      <c r="E2989" t="s">
        <v>1663</v>
      </c>
      <c r="F2989">
        <v>5</v>
      </c>
      <c r="G2989">
        <v>5.5</v>
      </c>
      <c r="H2989" t="s">
        <v>2017</v>
      </c>
      <c r="I2989" s="21">
        <v>40105</v>
      </c>
      <c r="J2989">
        <v>2009</v>
      </c>
      <c r="K2989" s="21">
        <v>40136</v>
      </c>
      <c r="L2989">
        <v>2009</v>
      </c>
      <c r="M2989" s="21">
        <v>40287</v>
      </c>
      <c r="N2989">
        <v>2010</v>
      </c>
      <c r="Q2989" s="262">
        <v>116363</v>
      </c>
      <c r="S2989" t="s">
        <v>114</v>
      </c>
      <c r="T2989" t="s">
        <v>114</v>
      </c>
      <c r="W2989">
        <v>1914</v>
      </c>
      <c r="X2989">
        <v>1</v>
      </c>
      <c r="Y2989">
        <v>0</v>
      </c>
      <c r="Z2989">
        <v>0</v>
      </c>
      <c r="AA2989">
        <v>0</v>
      </c>
      <c r="AB2989">
        <v>0</v>
      </c>
      <c r="AC2989">
        <v>1914</v>
      </c>
      <c r="AD2989">
        <v>0</v>
      </c>
      <c r="AE2989">
        <v>0</v>
      </c>
      <c r="AF2989">
        <v>0</v>
      </c>
      <c r="AG2989">
        <v>0</v>
      </c>
      <c r="AH2989">
        <v>0</v>
      </c>
      <c r="AI2989">
        <v>0</v>
      </c>
      <c r="AJ2989">
        <v>0</v>
      </c>
      <c r="AK2989">
        <v>0</v>
      </c>
      <c r="AL2989">
        <v>0</v>
      </c>
      <c r="AM2989">
        <v>0</v>
      </c>
      <c r="AN2989">
        <v>0</v>
      </c>
      <c r="AO2989">
        <v>1</v>
      </c>
      <c r="AP2989">
        <v>0</v>
      </c>
      <c r="AQ2989">
        <v>0</v>
      </c>
      <c r="AR2989">
        <v>0</v>
      </c>
      <c r="AS2989">
        <v>0</v>
      </c>
      <c r="AT2989">
        <v>0</v>
      </c>
      <c r="AU2989">
        <f t="shared" si="92"/>
        <v>1</v>
      </c>
      <c r="AV2989">
        <f t="shared" si="93"/>
        <v>0</v>
      </c>
    </row>
    <row r="2990" spans="1:48" x14ac:dyDescent="0.25">
      <c r="A2990" t="s">
        <v>9923</v>
      </c>
      <c r="C2990" t="s">
        <v>9924</v>
      </c>
      <c r="D2990" t="s">
        <v>9925</v>
      </c>
      <c r="E2990" t="s">
        <v>1663</v>
      </c>
      <c r="F2990">
        <v>5</v>
      </c>
      <c r="G2990">
        <v>5.5</v>
      </c>
      <c r="H2990" t="s">
        <v>2017</v>
      </c>
      <c r="I2990" s="21">
        <v>40105</v>
      </c>
      <c r="J2990">
        <v>2009</v>
      </c>
      <c r="K2990" s="21">
        <v>40136</v>
      </c>
      <c r="L2990">
        <v>2009</v>
      </c>
      <c r="M2990" s="21">
        <v>40287</v>
      </c>
      <c r="N2990">
        <v>2010</v>
      </c>
      <c r="Q2990" s="262">
        <v>116363</v>
      </c>
      <c r="S2990" t="s">
        <v>114</v>
      </c>
      <c r="T2990" t="s">
        <v>114</v>
      </c>
      <c r="W2990">
        <v>1562</v>
      </c>
      <c r="X2990">
        <v>1</v>
      </c>
      <c r="Y2990">
        <v>0</v>
      </c>
      <c r="Z2990">
        <v>0</v>
      </c>
      <c r="AA2990">
        <v>0</v>
      </c>
      <c r="AB2990">
        <v>0</v>
      </c>
      <c r="AC2990">
        <v>1562</v>
      </c>
      <c r="AD2990">
        <v>0</v>
      </c>
      <c r="AE2990">
        <v>0</v>
      </c>
      <c r="AF2990">
        <v>0</v>
      </c>
      <c r="AG2990">
        <v>0</v>
      </c>
      <c r="AH2990">
        <v>0</v>
      </c>
      <c r="AI2990">
        <v>0</v>
      </c>
      <c r="AJ2990">
        <v>0</v>
      </c>
      <c r="AK2990">
        <v>0</v>
      </c>
      <c r="AL2990">
        <v>0</v>
      </c>
      <c r="AM2990">
        <v>0</v>
      </c>
      <c r="AN2990">
        <v>0</v>
      </c>
      <c r="AO2990">
        <v>1</v>
      </c>
      <c r="AP2990">
        <v>0</v>
      </c>
      <c r="AQ2990">
        <v>0</v>
      </c>
      <c r="AR2990">
        <v>0</v>
      </c>
      <c r="AS2990">
        <v>0</v>
      </c>
      <c r="AT2990">
        <v>0</v>
      </c>
      <c r="AU2990">
        <f t="shared" si="92"/>
        <v>1</v>
      </c>
      <c r="AV2990">
        <f t="shared" si="93"/>
        <v>0</v>
      </c>
    </row>
    <row r="2991" spans="1:48" x14ac:dyDescent="0.25">
      <c r="A2991" t="s">
        <v>9926</v>
      </c>
      <c r="C2991" t="s">
        <v>9927</v>
      </c>
      <c r="D2991" t="s">
        <v>9928</v>
      </c>
      <c r="E2991" t="s">
        <v>1663</v>
      </c>
      <c r="F2991">
        <v>5</v>
      </c>
      <c r="G2991">
        <v>5.5</v>
      </c>
      <c r="H2991" t="s">
        <v>2017</v>
      </c>
      <c r="I2991" s="21">
        <v>40105</v>
      </c>
      <c r="J2991">
        <v>2009</v>
      </c>
      <c r="K2991" s="21">
        <v>40136</v>
      </c>
      <c r="L2991">
        <v>2009</v>
      </c>
      <c r="M2991" s="21">
        <v>40287</v>
      </c>
      <c r="N2991">
        <v>2010</v>
      </c>
      <c r="Q2991" s="262">
        <v>116363</v>
      </c>
      <c r="S2991" t="s">
        <v>114</v>
      </c>
      <c r="T2991" t="s">
        <v>114</v>
      </c>
      <c r="W2991">
        <v>1562</v>
      </c>
      <c r="X2991">
        <v>1</v>
      </c>
      <c r="Y2991">
        <v>0</v>
      </c>
      <c r="Z2991">
        <v>0</v>
      </c>
      <c r="AA2991">
        <v>0</v>
      </c>
      <c r="AB2991">
        <v>0</v>
      </c>
      <c r="AC2991">
        <v>1562</v>
      </c>
      <c r="AD2991">
        <v>0</v>
      </c>
      <c r="AE2991">
        <v>0</v>
      </c>
      <c r="AF2991">
        <v>0</v>
      </c>
      <c r="AG2991">
        <v>0</v>
      </c>
      <c r="AH2991">
        <v>0</v>
      </c>
      <c r="AI2991">
        <v>0</v>
      </c>
      <c r="AJ2991">
        <v>0</v>
      </c>
      <c r="AK2991">
        <v>0</v>
      </c>
      <c r="AL2991">
        <v>0</v>
      </c>
      <c r="AM2991">
        <v>0</v>
      </c>
      <c r="AN2991">
        <v>0</v>
      </c>
      <c r="AO2991">
        <v>1</v>
      </c>
      <c r="AP2991">
        <v>0</v>
      </c>
      <c r="AQ2991">
        <v>0</v>
      </c>
      <c r="AR2991">
        <v>0</v>
      </c>
      <c r="AS2991">
        <v>0</v>
      </c>
      <c r="AT2991">
        <v>0</v>
      </c>
      <c r="AU2991">
        <f t="shared" si="92"/>
        <v>1</v>
      </c>
      <c r="AV2991">
        <f t="shared" si="93"/>
        <v>0</v>
      </c>
    </row>
    <row r="2992" spans="1:48" x14ac:dyDescent="0.25">
      <c r="A2992" t="s">
        <v>9929</v>
      </c>
      <c r="C2992" t="s">
        <v>9930</v>
      </c>
      <c r="D2992" t="s">
        <v>9931</v>
      </c>
      <c r="E2992" t="s">
        <v>1663</v>
      </c>
      <c r="F2992">
        <v>5</v>
      </c>
      <c r="G2992">
        <v>5.5</v>
      </c>
      <c r="H2992" t="s">
        <v>2017</v>
      </c>
      <c r="I2992" s="21">
        <v>40105</v>
      </c>
      <c r="J2992">
        <v>2009</v>
      </c>
      <c r="K2992" s="21">
        <v>40136</v>
      </c>
      <c r="L2992">
        <v>2009</v>
      </c>
      <c r="M2992" s="21">
        <v>40287</v>
      </c>
      <c r="N2992">
        <v>2010</v>
      </c>
      <c r="Q2992" s="262">
        <v>116363</v>
      </c>
      <c r="S2992" t="s">
        <v>114</v>
      </c>
      <c r="T2992" t="s">
        <v>114</v>
      </c>
      <c r="W2992">
        <v>1562</v>
      </c>
      <c r="X2992">
        <v>1</v>
      </c>
      <c r="Y2992">
        <v>0</v>
      </c>
      <c r="Z2992">
        <v>0</v>
      </c>
      <c r="AA2992">
        <v>0</v>
      </c>
      <c r="AB2992">
        <v>0</v>
      </c>
      <c r="AC2992">
        <v>1562</v>
      </c>
      <c r="AD2992">
        <v>0</v>
      </c>
      <c r="AE2992">
        <v>0</v>
      </c>
      <c r="AF2992">
        <v>0</v>
      </c>
      <c r="AG2992">
        <v>0</v>
      </c>
      <c r="AH2992">
        <v>0</v>
      </c>
      <c r="AI2992">
        <v>0</v>
      </c>
      <c r="AJ2992">
        <v>0</v>
      </c>
      <c r="AK2992">
        <v>0</v>
      </c>
      <c r="AL2992">
        <v>0</v>
      </c>
      <c r="AM2992">
        <v>0</v>
      </c>
      <c r="AN2992">
        <v>0</v>
      </c>
      <c r="AO2992">
        <v>1</v>
      </c>
      <c r="AP2992">
        <v>0</v>
      </c>
      <c r="AQ2992">
        <v>0</v>
      </c>
      <c r="AR2992">
        <v>0</v>
      </c>
      <c r="AS2992">
        <v>0</v>
      </c>
      <c r="AT2992">
        <v>0</v>
      </c>
      <c r="AU2992">
        <f t="shared" si="92"/>
        <v>1</v>
      </c>
      <c r="AV2992">
        <f t="shared" si="93"/>
        <v>0</v>
      </c>
    </row>
    <row r="2993" spans="1:48" x14ac:dyDescent="0.25">
      <c r="A2993" t="s">
        <v>9932</v>
      </c>
      <c r="C2993" t="s">
        <v>9933</v>
      </c>
      <c r="D2993" t="s">
        <v>9934</v>
      </c>
      <c r="E2993" t="s">
        <v>1663</v>
      </c>
      <c r="F2993">
        <v>5</v>
      </c>
      <c r="G2993">
        <v>5.5</v>
      </c>
      <c r="H2993" t="s">
        <v>2017</v>
      </c>
      <c r="I2993" s="21">
        <v>40105</v>
      </c>
      <c r="J2993">
        <v>2009</v>
      </c>
      <c r="K2993" s="21">
        <v>40136</v>
      </c>
      <c r="L2993">
        <v>2009</v>
      </c>
      <c r="M2993" s="21">
        <v>40287</v>
      </c>
      <c r="N2993">
        <v>2010</v>
      </c>
      <c r="Q2993" s="262">
        <v>116363</v>
      </c>
      <c r="S2993" t="s">
        <v>114</v>
      </c>
      <c r="T2993" t="s">
        <v>114</v>
      </c>
      <c r="W2993">
        <v>1562</v>
      </c>
      <c r="X2993">
        <v>1</v>
      </c>
      <c r="Y2993">
        <v>0</v>
      </c>
      <c r="Z2993">
        <v>0</v>
      </c>
      <c r="AA2993">
        <v>0</v>
      </c>
      <c r="AB2993">
        <v>0</v>
      </c>
      <c r="AC2993">
        <v>1562</v>
      </c>
      <c r="AD2993">
        <v>0</v>
      </c>
      <c r="AE2993">
        <v>0</v>
      </c>
      <c r="AF2993">
        <v>0</v>
      </c>
      <c r="AG2993">
        <v>0</v>
      </c>
      <c r="AH2993">
        <v>0</v>
      </c>
      <c r="AI2993">
        <v>0</v>
      </c>
      <c r="AJ2993">
        <v>0</v>
      </c>
      <c r="AK2993">
        <v>0</v>
      </c>
      <c r="AL2993">
        <v>0</v>
      </c>
      <c r="AM2993">
        <v>0</v>
      </c>
      <c r="AN2993">
        <v>0</v>
      </c>
      <c r="AO2993">
        <v>1</v>
      </c>
      <c r="AP2993">
        <v>0</v>
      </c>
      <c r="AQ2993">
        <v>0</v>
      </c>
      <c r="AR2993">
        <v>0</v>
      </c>
      <c r="AS2993">
        <v>0</v>
      </c>
      <c r="AT2993">
        <v>0</v>
      </c>
      <c r="AU2993">
        <f t="shared" si="92"/>
        <v>1</v>
      </c>
      <c r="AV2993">
        <f t="shared" si="93"/>
        <v>0</v>
      </c>
    </row>
    <row r="2994" spans="1:48" x14ac:dyDescent="0.25">
      <c r="A2994" t="s">
        <v>9935</v>
      </c>
      <c r="C2994" t="s">
        <v>9936</v>
      </c>
      <c r="D2994" t="s">
        <v>9937</v>
      </c>
      <c r="E2994" t="s">
        <v>1663</v>
      </c>
      <c r="F2994">
        <v>5</v>
      </c>
      <c r="G2994">
        <v>5.5</v>
      </c>
      <c r="H2994" t="s">
        <v>2017</v>
      </c>
      <c r="I2994" s="21">
        <v>40105</v>
      </c>
      <c r="J2994">
        <v>2009</v>
      </c>
      <c r="K2994" s="21">
        <v>40136</v>
      </c>
      <c r="L2994">
        <v>2009</v>
      </c>
      <c r="M2994" s="21">
        <v>40287</v>
      </c>
      <c r="N2994">
        <v>2010</v>
      </c>
      <c r="Q2994" s="262">
        <v>116363</v>
      </c>
      <c r="S2994" t="s">
        <v>114</v>
      </c>
      <c r="T2994" t="s">
        <v>114</v>
      </c>
      <c r="W2994">
        <v>1562</v>
      </c>
      <c r="X2994">
        <v>1</v>
      </c>
      <c r="Y2994">
        <v>0</v>
      </c>
      <c r="Z2994">
        <v>0</v>
      </c>
      <c r="AA2994">
        <v>0</v>
      </c>
      <c r="AB2994">
        <v>0</v>
      </c>
      <c r="AC2994">
        <v>1562</v>
      </c>
      <c r="AD2994">
        <v>0</v>
      </c>
      <c r="AE2994">
        <v>0</v>
      </c>
      <c r="AF2994">
        <v>0</v>
      </c>
      <c r="AG2994">
        <v>0</v>
      </c>
      <c r="AH2994">
        <v>0</v>
      </c>
      <c r="AI2994">
        <v>0</v>
      </c>
      <c r="AJ2994">
        <v>0</v>
      </c>
      <c r="AK2994">
        <v>0</v>
      </c>
      <c r="AL2994">
        <v>0</v>
      </c>
      <c r="AM2994">
        <v>0</v>
      </c>
      <c r="AN2994">
        <v>0</v>
      </c>
      <c r="AO2994">
        <v>1</v>
      </c>
      <c r="AP2994">
        <v>0</v>
      </c>
      <c r="AQ2994">
        <v>0</v>
      </c>
      <c r="AR2994">
        <v>0</v>
      </c>
      <c r="AS2994">
        <v>0</v>
      </c>
      <c r="AT2994">
        <v>0</v>
      </c>
      <c r="AU2994">
        <f t="shared" si="92"/>
        <v>1</v>
      </c>
      <c r="AV2994">
        <f t="shared" si="93"/>
        <v>0</v>
      </c>
    </row>
    <row r="2995" spans="1:48" x14ac:dyDescent="0.25">
      <c r="A2995" t="s">
        <v>9938</v>
      </c>
      <c r="C2995" t="s">
        <v>9939</v>
      </c>
      <c r="D2995" t="s">
        <v>9940</v>
      </c>
      <c r="E2995" t="s">
        <v>1663</v>
      </c>
      <c r="F2995">
        <v>5</v>
      </c>
      <c r="G2995">
        <v>5.5</v>
      </c>
      <c r="H2995" t="s">
        <v>2017</v>
      </c>
      <c r="I2995" s="21">
        <v>40105</v>
      </c>
      <c r="J2995">
        <v>2009</v>
      </c>
      <c r="K2995" s="21">
        <v>40136</v>
      </c>
      <c r="L2995">
        <v>2009</v>
      </c>
      <c r="M2995" s="21">
        <v>40287</v>
      </c>
      <c r="N2995">
        <v>2010</v>
      </c>
      <c r="Q2995" s="262">
        <v>116363</v>
      </c>
      <c r="S2995" t="s">
        <v>114</v>
      </c>
      <c r="T2995" t="s">
        <v>114</v>
      </c>
      <c r="W2995">
        <v>1562</v>
      </c>
      <c r="X2995">
        <v>1</v>
      </c>
      <c r="Y2995">
        <v>0</v>
      </c>
      <c r="Z2995">
        <v>0</v>
      </c>
      <c r="AA2995">
        <v>0</v>
      </c>
      <c r="AB2995">
        <v>0</v>
      </c>
      <c r="AC2995">
        <v>1562</v>
      </c>
      <c r="AD2995">
        <v>0</v>
      </c>
      <c r="AE2995">
        <v>0</v>
      </c>
      <c r="AF2995">
        <v>0</v>
      </c>
      <c r="AG2995">
        <v>0</v>
      </c>
      <c r="AH2995">
        <v>0</v>
      </c>
      <c r="AI2995">
        <v>0</v>
      </c>
      <c r="AJ2995">
        <v>0</v>
      </c>
      <c r="AK2995">
        <v>0</v>
      </c>
      <c r="AL2995">
        <v>0</v>
      </c>
      <c r="AM2995">
        <v>0</v>
      </c>
      <c r="AN2995">
        <v>0</v>
      </c>
      <c r="AO2995">
        <v>1</v>
      </c>
      <c r="AP2995">
        <v>0</v>
      </c>
      <c r="AQ2995">
        <v>0</v>
      </c>
      <c r="AR2995">
        <v>0</v>
      </c>
      <c r="AS2995">
        <v>0</v>
      </c>
      <c r="AT2995">
        <v>0</v>
      </c>
      <c r="AU2995">
        <f t="shared" si="92"/>
        <v>1</v>
      </c>
      <c r="AV2995">
        <f t="shared" si="93"/>
        <v>0</v>
      </c>
    </row>
    <row r="2996" spans="1:48" x14ac:dyDescent="0.25">
      <c r="A2996" t="s">
        <v>9941</v>
      </c>
      <c r="C2996" t="s">
        <v>9942</v>
      </c>
      <c r="D2996" t="s">
        <v>9943</v>
      </c>
      <c r="E2996" t="s">
        <v>2310</v>
      </c>
      <c r="F2996">
        <v>8</v>
      </c>
      <c r="G2996">
        <v>8.3000000000000007</v>
      </c>
      <c r="H2996" t="s">
        <v>2323</v>
      </c>
      <c r="I2996" s="21">
        <v>40106.616388888899</v>
      </c>
      <c r="J2996">
        <v>2009</v>
      </c>
      <c r="K2996" s="21">
        <v>40106.616388888899</v>
      </c>
      <c r="L2996">
        <v>2009</v>
      </c>
      <c r="M2996" s="21">
        <v>40421.478379629603</v>
      </c>
      <c r="N2996">
        <v>2010</v>
      </c>
      <c r="Q2996" s="262">
        <v>38000</v>
      </c>
      <c r="R2996" s="262">
        <v>8000</v>
      </c>
      <c r="S2996" t="s">
        <v>114</v>
      </c>
      <c r="T2996" t="s">
        <v>114</v>
      </c>
      <c r="U2996">
        <v>15</v>
      </c>
      <c r="W2996">
        <v>128</v>
      </c>
      <c r="X2996">
        <v>0</v>
      </c>
      <c r="Y2996">
        <v>0</v>
      </c>
      <c r="Z2996">
        <v>0</v>
      </c>
      <c r="AA2996">
        <v>0</v>
      </c>
      <c r="AB2996">
        <v>0</v>
      </c>
      <c r="AC2996">
        <v>0</v>
      </c>
      <c r="AD2996">
        <v>0</v>
      </c>
      <c r="AE2996">
        <v>0</v>
      </c>
      <c r="AF2996">
        <v>0</v>
      </c>
      <c r="AG2996">
        <v>0</v>
      </c>
      <c r="AH2996">
        <v>0</v>
      </c>
      <c r="AI2996">
        <v>0</v>
      </c>
      <c r="AJ2996">
        <v>0</v>
      </c>
      <c r="AK2996">
        <v>0</v>
      </c>
      <c r="AL2996">
        <v>0</v>
      </c>
      <c r="AM2996">
        <v>128</v>
      </c>
      <c r="AN2996">
        <v>0</v>
      </c>
      <c r="AO2996">
        <v>0</v>
      </c>
      <c r="AP2996">
        <v>0</v>
      </c>
      <c r="AQ2996">
        <v>0</v>
      </c>
      <c r="AR2996">
        <v>0</v>
      </c>
      <c r="AS2996">
        <v>0</v>
      </c>
      <c r="AT2996">
        <v>0</v>
      </c>
      <c r="AU2996">
        <f t="shared" si="92"/>
        <v>0</v>
      </c>
      <c r="AV2996">
        <f t="shared" si="93"/>
        <v>128</v>
      </c>
    </row>
    <row r="2997" spans="1:48" x14ac:dyDescent="0.25">
      <c r="A2997" t="s">
        <v>9944</v>
      </c>
      <c r="C2997" t="s">
        <v>9945</v>
      </c>
      <c r="D2997" t="s">
        <v>9946</v>
      </c>
      <c r="E2997" t="s">
        <v>2310</v>
      </c>
      <c r="F2997">
        <v>9</v>
      </c>
      <c r="G2997">
        <v>9.1</v>
      </c>
      <c r="H2997" t="s">
        <v>2323</v>
      </c>
      <c r="I2997" s="21">
        <v>40108.692847222199</v>
      </c>
      <c r="J2997">
        <v>2009</v>
      </c>
      <c r="K2997" s="21">
        <v>40108.692847222199</v>
      </c>
      <c r="L2997">
        <v>2009</v>
      </c>
      <c r="M2997" s="21">
        <v>40386.6386458333</v>
      </c>
      <c r="N2997">
        <v>2010</v>
      </c>
      <c r="Q2997" s="262">
        <v>42000</v>
      </c>
      <c r="R2997" s="262">
        <v>5000</v>
      </c>
      <c r="S2997" t="s">
        <v>114</v>
      </c>
      <c r="T2997" t="s">
        <v>114</v>
      </c>
      <c r="U2997">
        <v>15</v>
      </c>
      <c r="W2997">
        <v>200</v>
      </c>
      <c r="X2997">
        <v>0</v>
      </c>
      <c r="Y2997">
        <v>0</v>
      </c>
      <c r="Z2997">
        <v>0</v>
      </c>
      <c r="AA2997">
        <v>0</v>
      </c>
      <c r="AB2997">
        <v>0</v>
      </c>
      <c r="AC2997">
        <v>0</v>
      </c>
      <c r="AD2997">
        <v>0</v>
      </c>
      <c r="AE2997">
        <v>0</v>
      </c>
      <c r="AF2997">
        <v>0</v>
      </c>
      <c r="AG2997">
        <v>0</v>
      </c>
      <c r="AH2997">
        <v>0</v>
      </c>
      <c r="AI2997">
        <v>0</v>
      </c>
      <c r="AJ2997">
        <v>0</v>
      </c>
      <c r="AK2997">
        <v>0</v>
      </c>
      <c r="AL2997">
        <v>0</v>
      </c>
      <c r="AM2997">
        <v>200</v>
      </c>
      <c r="AN2997">
        <v>0</v>
      </c>
      <c r="AO2997">
        <v>0</v>
      </c>
      <c r="AP2997">
        <v>0</v>
      </c>
      <c r="AQ2997">
        <v>0</v>
      </c>
      <c r="AR2997">
        <v>0</v>
      </c>
      <c r="AS2997">
        <v>0</v>
      </c>
      <c r="AT2997">
        <v>0</v>
      </c>
      <c r="AU2997">
        <f t="shared" si="92"/>
        <v>0</v>
      </c>
      <c r="AV2997">
        <f t="shared" si="93"/>
        <v>200</v>
      </c>
    </row>
    <row r="2998" spans="1:48" x14ac:dyDescent="0.25">
      <c r="A2998" t="s">
        <v>9947</v>
      </c>
      <c r="C2998" t="s">
        <v>9948</v>
      </c>
      <c r="D2998" t="s">
        <v>9949</v>
      </c>
      <c r="E2998" t="s">
        <v>2310</v>
      </c>
      <c r="F2998">
        <v>11</v>
      </c>
      <c r="G2998">
        <v>11.3</v>
      </c>
      <c r="H2998" t="s">
        <v>2017</v>
      </c>
      <c r="I2998" s="21">
        <v>40119.509409722203</v>
      </c>
      <c r="J2998">
        <v>2009</v>
      </c>
      <c r="K2998" s="21">
        <v>40119.509409722203</v>
      </c>
      <c r="L2998">
        <v>2009</v>
      </c>
      <c r="M2998" s="21">
        <v>40287.482962962997</v>
      </c>
      <c r="N2998">
        <v>2010</v>
      </c>
      <c r="Q2998" s="262">
        <v>55000</v>
      </c>
      <c r="R2998" s="262">
        <v>22000</v>
      </c>
      <c r="S2998" t="s">
        <v>114</v>
      </c>
      <c r="T2998" t="s">
        <v>114</v>
      </c>
      <c r="U2998">
        <v>5</v>
      </c>
      <c r="W2998">
        <v>207</v>
      </c>
      <c r="X2998">
        <v>0</v>
      </c>
      <c r="Y2998">
        <v>0</v>
      </c>
      <c r="Z2998">
        <v>0</v>
      </c>
      <c r="AA2998">
        <v>0</v>
      </c>
      <c r="AB2998">
        <v>0</v>
      </c>
      <c r="AC2998">
        <v>207</v>
      </c>
      <c r="AD2998">
        <v>0</v>
      </c>
      <c r="AE2998">
        <v>0</v>
      </c>
      <c r="AF2998">
        <v>0</v>
      </c>
      <c r="AG2998">
        <v>0</v>
      </c>
      <c r="AH2998">
        <v>0</v>
      </c>
      <c r="AI2998">
        <v>0</v>
      </c>
      <c r="AJ2998">
        <v>0</v>
      </c>
      <c r="AK2998">
        <v>0</v>
      </c>
      <c r="AL2998">
        <v>0</v>
      </c>
      <c r="AM2998">
        <v>0</v>
      </c>
      <c r="AN2998">
        <v>0</v>
      </c>
      <c r="AO2998">
        <v>0</v>
      </c>
      <c r="AP2998">
        <v>0</v>
      </c>
      <c r="AQ2998">
        <v>0</v>
      </c>
      <c r="AR2998">
        <v>0</v>
      </c>
      <c r="AS2998">
        <v>0</v>
      </c>
      <c r="AT2998">
        <v>0</v>
      </c>
      <c r="AU2998">
        <f t="shared" si="92"/>
        <v>0</v>
      </c>
      <c r="AV2998">
        <f t="shared" si="93"/>
        <v>0</v>
      </c>
    </row>
    <row r="2999" spans="1:48" x14ac:dyDescent="0.25">
      <c r="A2999" t="s">
        <v>9950</v>
      </c>
      <c r="C2999" t="s">
        <v>9951</v>
      </c>
      <c r="D2999" t="s">
        <v>9952</v>
      </c>
      <c r="E2999" t="s">
        <v>2310</v>
      </c>
      <c r="F2999">
        <v>9</v>
      </c>
      <c r="G2999">
        <v>9.4</v>
      </c>
      <c r="H2999" t="s">
        <v>2323</v>
      </c>
      <c r="I2999" s="21">
        <v>40127.389236111099</v>
      </c>
      <c r="J2999">
        <v>2009</v>
      </c>
      <c r="K2999" s="21">
        <v>40127.389236111099</v>
      </c>
      <c r="L2999">
        <v>2009</v>
      </c>
      <c r="M2999" s="21">
        <v>40620.370729166701</v>
      </c>
      <c r="N2999">
        <v>2011</v>
      </c>
      <c r="Q2999" s="262">
        <v>70000</v>
      </c>
      <c r="R2999" s="262">
        <v>68000</v>
      </c>
      <c r="S2999" t="s">
        <v>114</v>
      </c>
      <c r="T2999" t="s">
        <v>114</v>
      </c>
      <c r="U2999">
        <v>5</v>
      </c>
      <c r="W2999">
        <v>665</v>
      </c>
      <c r="X2999">
        <v>0</v>
      </c>
      <c r="Y2999">
        <v>0</v>
      </c>
      <c r="Z2999">
        <v>0</v>
      </c>
      <c r="AA2999">
        <v>0</v>
      </c>
      <c r="AB2999">
        <v>0</v>
      </c>
      <c r="AC2999">
        <v>665</v>
      </c>
      <c r="AD2999">
        <v>0</v>
      </c>
      <c r="AE2999">
        <v>0</v>
      </c>
      <c r="AF2999">
        <v>0</v>
      </c>
      <c r="AG2999">
        <v>0</v>
      </c>
      <c r="AH2999">
        <v>0</v>
      </c>
      <c r="AI2999">
        <v>0</v>
      </c>
      <c r="AJ2999">
        <v>0</v>
      </c>
      <c r="AK2999">
        <v>0</v>
      </c>
      <c r="AL2999">
        <v>0</v>
      </c>
      <c r="AM2999">
        <v>0</v>
      </c>
      <c r="AN2999">
        <v>0</v>
      </c>
      <c r="AO2999">
        <v>0</v>
      </c>
      <c r="AP2999">
        <v>0</v>
      </c>
      <c r="AQ2999">
        <v>0</v>
      </c>
      <c r="AR2999">
        <v>0</v>
      </c>
      <c r="AS2999">
        <v>0</v>
      </c>
      <c r="AT2999">
        <v>0</v>
      </c>
      <c r="AU2999">
        <f t="shared" si="92"/>
        <v>0</v>
      </c>
      <c r="AV2999">
        <f t="shared" si="93"/>
        <v>0</v>
      </c>
    </row>
    <row r="3000" spans="1:48" x14ac:dyDescent="0.25">
      <c r="A3000" t="s">
        <v>9953</v>
      </c>
      <c r="C3000" t="s">
        <v>9954</v>
      </c>
      <c r="D3000" t="s">
        <v>9955</v>
      </c>
      <c r="E3000" t="s">
        <v>2310</v>
      </c>
      <c r="F3000">
        <v>8</v>
      </c>
      <c r="G3000">
        <v>8.1999999999999993</v>
      </c>
      <c r="H3000" t="s">
        <v>2022</v>
      </c>
      <c r="I3000" s="21">
        <v>40136.673958333296</v>
      </c>
      <c r="J3000">
        <v>2009</v>
      </c>
      <c r="K3000" s="21">
        <v>40136.673958333296</v>
      </c>
      <c r="L3000">
        <v>2009</v>
      </c>
      <c r="M3000" s="21">
        <v>40465.650532407402</v>
      </c>
      <c r="N3000">
        <v>2010</v>
      </c>
      <c r="Q3000" s="262">
        <v>10000</v>
      </c>
      <c r="R3000" s="262">
        <v>14000</v>
      </c>
      <c r="S3000" t="s">
        <v>114</v>
      </c>
      <c r="T3000" t="s">
        <v>114</v>
      </c>
      <c r="U3000">
        <v>5</v>
      </c>
      <c r="W3000">
        <v>135</v>
      </c>
      <c r="X3000">
        <v>0</v>
      </c>
      <c r="Y3000">
        <v>0</v>
      </c>
      <c r="Z3000">
        <v>0</v>
      </c>
      <c r="AA3000">
        <v>0</v>
      </c>
      <c r="AB3000">
        <v>0</v>
      </c>
      <c r="AC3000">
        <v>135</v>
      </c>
      <c r="AD3000">
        <v>0</v>
      </c>
      <c r="AE3000">
        <v>0</v>
      </c>
      <c r="AF3000">
        <v>0</v>
      </c>
      <c r="AG3000">
        <v>0</v>
      </c>
      <c r="AH3000">
        <v>0</v>
      </c>
      <c r="AI3000">
        <v>0</v>
      </c>
      <c r="AJ3000">
        <v>0</v>
      </c>
      <c r="AK3000">
        <v>0</v>
      </c>
      <c r="AL3000">
        <v>0</v>
      </c>
      <c r="AM3000">
        <v>0</v>
      </c>
      <c r="AN3000">
        <v>0</v>
      </c>
      <c r="AO3000">
        <v>0</v>
      </c>
      <c r="AP3000">
        <v>0</v>
      </c>
      <c r="AQ3000">
        <v>0</v>
      </c>
      <c r="AR3000">
        <v>0</v>
      </c>
      <c r="AS3000">
        <v>0</v>
      </c>
      <c r="AT3000">
        <v>0</v>
      </c>
      <c r="AU3000">
        <f t="shared" si="92"/>
        <v>0</v>
      </c>
      <c r="AV3000">
        <f t="shared" si="93"/>
        <v>0</v>
      </c>
    </row>
    <row r="3001" spans="1:48" x14ac:dyDescent="0.25">
      <c r="A3001" t="s">
        <v>9956</v>
      </c>
      <c r="C3001" t="s">
        <v>9957</v>
      </c>
      <c r="D3001" t="s">
        <v>9958</v>
      </c>
      <c r="E3001" t="s">
        <v>2310</v>
      </c>
      <c r="F3001">
        <v>9</v>
      </c>
      <c r="G3001">
        <v>9.3000000000000007</v>
      </c>
      <c r="H3001" t="s">
        <v>2323</v>
      </c>
      <c r="I3001" s="21">
        <v>40137.601331018501</v>
      </c>
      <c r="J3001">
        <v>2009</v>
      </c>
      <c r="K3001" s="21">
        <v>40137.601331018501</v>
      </c>
      <c r="L3001">
        <v>2009</v>
      </c>
      <c r="M3001" s="21">
        <v>41004.460185185198</v>
      </c>
      <c r="N3001">
        <v>2012</v>
      </c>
      <c r="Q3001" s="262">
        <v>2880000</v>
      </c>
      <c r="R3001" s="262">
        <v>909000</v>
      </c>
      <c r="S3001" t="s">
        <v>114</v>
      </c>
      <c r="T3001" t="s">
        <v>114</v>
      </c>
      <c r="U3001">
        <v>5</v>
      </c>
      <c r="W3001">
        <v>9524</v>
      </c>
      <c r="X3001">
        <v>1</v>
      </c>
      <c r="Y3001">
        <v>0</v>
      </c>
      <c r="Z3001">
        <v>0</v>
      </c>
      <c r="AA3001">
        <v>0</v>
      </c>
      <c r="AB3001">
        <v>0</v>
      </c>
      <c r="AC3001">
        <v>9524</v>
      </c>
      <c r="AD3001">
        <v>0</v>
      </c>
      <c r="AE3001">
        <v>0</v>
      </c>
      <c r="AF3001">
        <v>0</v>
      </c>
      <c r="AG3001">
        <v>0</v>
      </c>
      <c r="AH3001">
        <v>0</v>
      </c>
      <c r="AI3001">
        <v>0</v>
      </c>
      <c r="AJ3001">
        <v>0</v>
      </c>
      <c r="AK3001">
        <v>0</v>
      </c>
      <c r="AL3001">
        <v>0</v>
      </c>
      <c r="AM3001">
        <v>0</v>
      </c>
      <c r="AN3001">
        <v>0</v>
      </c>
      <c r="AO3001">
        <v>1</v>
      </c>
      <c r="AP3001">
        <v>0</v>
      </c>
      <c r="AQ3001">
        <v>0</v>
      </c>
      <c r="AR3001">
        <v>0</v>
      </c>
      <c r="AS3001">
        <v>0</v>
      </c>
      <c r="AT3001">
        <v>0</v>
      </c>
      <c r="AU3001">
        <f t="shared" si="92"/>
        <v>1</v>
      </c>
      <c r="AV3001">
        <f t="shared" si="93"/>
        <v>0</v>
      </c>
    </row>
    <row r="3002" spans="1:48" x14ac:dyDescent="0.25">
      <c r="A3002" t="s">
        <v>9959</v>
      </c>
      <c r="C3002" t="s">
        <v>9960</v>
      </c>
      <c r="D3002" t="s">
        <v>6036</v>
      </c>
      <c r="E3002" t="s">
        <v>2310</v>
      </c>
      <c r="F3002">
        <v>15</v>
      </c>
      <c r="G3002">
        <v>15.2</v>
      </c>
      <c r="H3002" t="s">
        <v>2323</v>
      </c>
      <c r="I3002" s="21">
        <v>40140.391562500001</v>
      </c>
      <c r="J3002">
        <v>2009</v>
      </c>
      <c r="K3002" s="21">
        <v>40140.391562500001</v>
      </c>
      <c r="L3002">
        <v>2009</v>
      </c>
      <c r="M3002" s="21">
        <v>41828.644768518498</v>
      </c>
      <c r="N3002">
        <v>2014</v>
      </c>
      <c r="Q3002" s="262">
        <v>500000</v>
      </c>
      <c r="R3002" s="262">
        <v>297000</v>
      </c>
      <c r="S3002" t="s">
        <v>114</v>
      </c>
      <c r="T3002" t="s">
        <v>114</v>
      </c>
      <c r="U3002">
        <v>5</v>
      </c>
      <c r="W3002">
        <v>3002</v>
      </c>
      <c r="X3002">
        <v>0</v>
      </c>
      <c r="Y3002">
        <v>0</v>
      </c>
      <c r="Z3002">
        <v>0</v>
      </c>
      <c r="AA3002">
        <v>0</v>
      </c>
      <c r="AB3002">
        <v>0</v>
      </c>
      <c r="AC3002">
        <v>3002</v>
      </c>
      <c r="AD3002">
        <v>0</v>
      </c>
      <c r="AE3002">
        <v>0</v>
      </c>
      <c r="AF3002">
        <v>0</v>
      </c>
      <c r="AG3002">
        <v>0</v>
      </c>
      <c r="AH3002">
        <v>0</v>
      </c>
      <c r="AI3002">
        <v>0</v>
      </c>
      <c r="AJ3002">
        <v>0</v>
      </c>
      <c r="AK3002">
        <v>0</v>
      </c>
      <c r="AL3002">
        <v>0</v>
      </c>
      <c r="AM3002">
        <v>0</v>
      </c>
      <c r="AN3002">
        <v>0</v>
      </c>
      <c r="AO3002">
        <v>0</v>
      </c>
      <c r="AP3002">
        <v>0</v>
      </c>
      <c r="AQ3002">
        <v>0</v>
      </c>
      <c r="AR3002">
        <v>0</v>
      </c>
      <c r="AS3002">
        <v>0</v>
      </c>
      <c r="AT3002">
        <v>0</v>
      </c>
      <c r="AU3002">
        <f t="shared" si="92"/>
        <v>0</v>
      </c>
      <c r="AV3002">
        <f t="shared" si="93"/>
        <v>0</v>
      </c>
    </row>
    <row r="3003" spans="1:48" x14ac:dyDescent="0.25">
      <c r="A3003" t="s">
        <v>9961</v>
      </c>
      <c r="C3003" t="s">
        <v>9962</v>
      </c>
      <c r="D3003" t="s">
        <v>6259</v>
      </c>
      <c r="E3003" t="s">
        <v>2310</v>
      </c>
      <c r="F3003">
        <v>9</v>
      </c>
      <c r="G3003">
        <v>9.1</v>
      </c>
      <c r="H3003" t="s">
        <v>2323</v>
      </c>
      <c r="I3003" s="21">
        <v>40150.611678240697</v>
      </c>
      <c r="J3003">
        <v>2009</v>
      </c>
      <c r="K3003" s="21">
        <v>40150.611678240697</v>
      </c>
      <c r="L3003">
        <v>2009</v>
      </c>
      <c r="M3003" s="21">
        <v>40633.477245370399</v>
      </c>
      <c r="N3003">
        <v>2011</v>
      </c>
      <c r="Q3003" s="262">
        <v>20000</v>
      </c>
      <c r="R3003" s="262">
        <v>15000</v>
      </c>
      <c r="S3003" t="s">
        <v>114</v>
      </c>
      <c r="T3003" t="s">
        <v>114</v>
      </c>
      <c r="U3003">
        <v>5</v>
      </c>
      <c r="W3003">
        <v>369</v>
      </c>
      <c r="X3003">
        <v>0</v>
      </c>
      <c r="Y3003">
        <v>0</v>
      </c>
      <c r="Z3003">
        <v>0</v>
      </c>
      <c r="AA3003">
        <v>0</v>
      </c>
      <c r="AB3003">
        <v>0</v>
      </c>
      <c r="AC3003">
        <v>369</v>
      </c>
      <c r="AD3003">
        <v>0</v>
      </c>
      <c r="AE3003">
        <v>0</v>
      </c>
      <c r="AF3003">
        <v>0</v>
      </c>
      <c r="AG3003">
        <v>0</v>
      </c>
      <c r="AH3003">
        <v>0</v>
      </c>
      <c r="AI3003">
        <v>0</v>
      </c>
      <c r="AJ3003">
        <v>0</v>
      </c>
      <c r="AK3003">
        <v>0</v>
      </c>
      <c r="AL3003">
        <v>0</v>
      </c>
      <c r="AM3003">
        <v>0</v>
      </c>
      <c r="AN3003">
        <v>0</v>
      </c>
      <c r="AO3003">
        <v>0</v>
      </c>
      <c r="AP3003">
        <v>0</v>
      </c>
      <c r="AQ3003">
        <v>0</v>
      </c>
      <c r="AR3003">
        <v>0</v>
      </c>
      <c r="AS3003">
        <v>0</v>
      </c>
      <c r="AT3003">
        <v>0</v>
      </c>
      <c r="AU3003">
        <f t="shared" si="92"/>
        <v>0</v>
      </c>
      <c r="AV3003">
        <f t="shared" si="93"/>
        <v>0</v>
      </c>
    </row>
    <row r="3004" spans="1:48" x14ac:dyDescent="0.25">
      <c r="A3004" t="s">
        <v>9963</v>
      </c>
      <c r="C3004" t="s">
        <v>9964</v>
      </c>
      <c r="D3004" t="s">
        <v>5862</v>
      </c>
      <c r="E3004" t="s">
        <v>1663</v>
      </c>
      <c r="F3004">
        <v>2</v>
      </c>
      <c r="G3004">
        <v>2.6</v>
      </c>
      <c r="H3004" t="s">
        <v>2327</v>
      </c>
      <c r="I3004" s="21">
        <v>40155</v>
      </c>
      <c r="J3004">
        <v>2009</v>
      </c>
      <c r="K3004" s="21">
        <v>40186</v>
      </c>
      <c r="L3004">
        <v>2010</v>
      </c>
      <c r="M3004" s="21">
        <v>40337</v>
      </c>
      <c r="N3004">
        <v>2010</v>
      </c>
      <c r="Q3004" s="262">
        <v>60000</v>
      </c>
      <c r="S3004" t="s">
        <v>114</v>
      </c>
      <c r="T3004" t="s">
        <v>114</v>
      </c>
      <c r="W3004">
        <v>743</v>
      </c>
      <c r="X3004">
        <v>0</v>
      </c>
      <c r="Y3004">
        <v>0</v>
      </c>
      <c r="Z3004">
        <v>0</v>
      </c>
      <c r="AA3004">
        <v>0</v>
      </c>
      <c r="AB3004">
        <v>0</v>
      </c>
      <c r="AC3004">
        <v>743</v>
      </c>
      <c r="AD3004">
        <v>0</v>
      </c>
      <c r="AE3004">
        <v>0</v>
      </c>
      <c r="AF3004">
        <v>0</v>
      </c>
      <c r="AG3004">
        <v>0</v>
      </c>
      <c r="AH3004">
        <v>0</v>
      </c>
      <c r="AI3004">
        <v>0</v>
      </c>
      <c r="AJ3004">
        <v>0</v>
      </c>
      <c r="AK3004">
        <v>0</v>
      </c>
      <c r="AL3004">
        <v>0</v>
      </c>
      <c r="AM3004">
        <v>0</v>
      </c>
      <c r="AN3004">
        <v>0</v>
      </c>
      <c r="AO3004">
        <v>0</v>
      </c>
      <c r="AP3004">
        <v>0</v>
      </c>
      <c r="AQ3004">
        <v>0</v>
      </c>
      <c r="AR3004">
        <v>0</v>
      </c>
      <c r="AS3004">
        <v>0</v>
      </c>
      <c r="AT3004">
        <v>0</v>
      </c>
      <c r="AU3004">
        <f t="shared" si="92"/>
        <v>0</v>
      </c>
      <c r="AV3004">
        <f t="shared" si="93"/>
        <v>0</v>
      </c>
    </row>
    <row r="3005" spans="1:48" x14ac:dyDescent="0.25">
      <c r="A3005" t="s">
        <v>9965</v>
      </c>
      <c r="C3005" t="s">
        <v>9966</v>
      </c>
      <c r="D3005" t="s">
        <v>9967</v>
      </c>
      <c r="E3005" t="s">
        <v>2310</v>
      </c>
      <c r="F3005">
        <v>11</v>
      </c>
      <c r="G3005">
        <v>11.3</v>
      </c>
      <c r="H3005" t="s">
        <v>2017</v>
      </c>
      <c r="I3005" s="21">
        <v>40155.606608796297</v>
      </c>
      <c r="J3005">
        <v>2009</v>
      </c>
      <c r="K3005" s="21">
        <v>40155.606608796297</v>
      </c>
      <c r="L3005">
        <v>2009</v>
      </c>
      <c r="M3005" s="21">
        <v>40767.406736111101</v>
      </c>
      <c r="N3005">
        <v>2011</v>
      </c>
      <c r="Q3005" s="262">
        <v>352000</v>
      </c>
      <c r="R3005" s="262">
        <v>156000</v>
      </c>
      <c r="S3005" t="s">
        <v>114</v>
      </c>
      <c r="T3005" t="s">
        <v>114</v>
      </c>
      <c r="U3005">
        <v>5</v>
      </c>
      <c r="W3005">
        <v>1703</v>
      </c>
      <c r="X3005">
        <v>0</v>
      </c>
      <c r="Y3005">
        <v>0</v>
      </c>
      <c r="Z3005">
        <v>0</v>
      </c>
      <c r="AA3005">
        <v>0</v>
      </c>
      <c r="AB3005">
        <v>0</v>
      </c>
      <c r="AC3005">
        <v>1703</v>
      </c>
      <c r="AD3005">
        <v>0</v>
      </c>
      <c r="AE3005">
        <v>0</v>
      </c>
      <c r="AF3005">
        <v>0</v>
      </c>
      <c r="AG3005">
        <v>0</v>
      </c>
      <c r="AH3005">
        <v>0</v>
      </c>
      <c r="AI3005">
        <v>0</v>
      </c>
      <c r="AJ3005">
        <v>0</v>
      </c>
      <c r="AK3005">
        <v>0</v>
      </c>
      <c r="AL3005">
        <v>0</v>
      </c>
      <c r="AM3005">
        <v>0</v>
      </c>
      <c r="AN3005">
        <v>0</v>
      </c>
      <c r="AO3005">
        <v>0</v>
      </c>
      <c r="AP3005">
        <v>0</v>
      </c>
      <c r="AQ3005">
        <v>0</v>
      </c>
      <c r="AR3005">
        <v>0</v>
      </c>
      <c r="AS3005">
        <v>0</v>
      </c>
      <c r="AT3005">
        <v>0</v>
      </c>
      <c r="AU3005">
        <f t="shared" si="92"/>
        <v>0</v>
      </c>
      <c r="AV3005">
        <f t="shared" si="93"/>
        <v>0</v>
      </c>
    </row>
    <row r="3006" spans="1:48" x14ac:dyDescent="0.25">
      <c r="A3006" t="s">
        <v>9968</v>
      </c>
      <c r="C3006" t="s">
        <v>7450</v>
      </c>
      <c r="D3006" t="s">
        <v>9969</v>
      </c>
      <c r="E3006" t="s">
        <v>2310</v>
      </c>
      <c r="F3006">
        <v>9</v>
      </c>
      <c r="G3006">
        <v>9.3000000000000007</v>
      </c>
      <c r="H3006" t="s">
        <v>2323</v>
      </c>
      <c r="I3006" s="21">
        <v>40162.466666666704</v>
      </c>
      <c r="J3006">
        <v>2009</v>
      </c>
      <c r="K3006" s="21">
        <v>40162.466666666704</v>
      </c>
      <c r="L3006">
        <v>2009</v>
      </c>
      <c r="M3006" s="21">
        <v>42220.586099537002</v>
      </c>
      <c r="N3006">
        <v>2015</v>
      </c>
      <c r="Q3006" s="262">
        <v>10700000</v>
      </c>
      <c r="R3006" s="262">
        <v>989000</v>
      </c>
      <c r="S3006" t="s">
        <v>114</v>
      </c>
      <c r="T3006" t="s">
        <v>114</v>
      </c>
      <c r="U3006">
        <v>5</v>
      </c>
      <c r="W3006">
        <v>15564</v>
      </c>
      <c r="X3006">
        <v>1</v>
      </c>
      <c r="Y3006">
        <v>0</v>
      </c>
      <c r="Z3006">
        <v>0</v>
      </c>
      <c r="AA3006">
        <v>0</v>
      </c>
      <c r="AB3006">
        <v>0</v>
      </c>
      <c r="AC3006">
        <v>15564</v>
      </c>
      <c r="AD3006">
        <v>0</v>
      </c>
      <c r="AE3006">
        <v>0</v>
      </c>
      <c r="AF3006">
        <v>0</v>
      </c>
      <c r="AG3006">
        <v>0</v>
      </c>
      <c r="AH3006">
        <v>0</v>
      </c>
      <c r="AI3006">
        <v>0</v>
      </c>
      <c r="AJ3006">
        <v>0</v>
      </c>
      <c r="AK3006">
        <v>0</v>
      </c>
      <c r="AL3006">
        <v>0</v>
      </c>
      <c r="AM3006">
        <v>0</v>
      </c>
      <c r="AN3006">
        <v>0</v>
      </c>
      <c r="AO3006">
        <v>1</v>
      </c>
      <c r="AP3006">
        <v>0</v>
      </c>
      <c r="AQ3006">
        <v>0</v>
      </c>
      <c r="AR3006">
        <v>0</v>
      </c>
      <c r="AS3006">
        <v>0</v>
      </c>
      <c r="AT3006">
        <v>0</v>
      </c>
      <c r="AU3006">
        <f t="shared" si="92"/>
        <v>1</v>
      </c>
      <c r="AV3006">
        <f t="shared" si="93"/>
        <v>0</v>
      </c>
    </row>
    <row r="3007" spans="1:48" x14ac:dyDescent="0.25">
      <c r="A3007" t="s">
        <v>9970</v>
      </c>
      <c r="C3007" t="s">
        <v>8393</v>
      </c>
      <c r="D3007" t="s">
        <v>9969</v>
      </c>
      <c r="E3007" t="s">
        <v>2310</v>
      </c>
      <c r="F3007">
        <v>9</v>
      </c>
      <c r="G3007">
        <v>9.3000000000000007</v>
      </c>
      <c r="H3007" t="s">
        <v>2323</v>
      </c>
      <c r="I3007" s="21">
        <v>40162.485162037003</v>
      </c>
      <c r="J3007">
        <v>2009</v>
      </c>
      <c r="K3007" s="21">
        <v>40162.485162037003</v>
      </c>
      <c r="L3007">
        <v>2009</v>
      </c>
      <c r="M3007" s="21">
        <v>42013.366840277798</v>
      </c>
      <c r="N3007">
        <v>2015</v>
      </c>
      <c r="Q3007" s="262">
        <v>1000000</v>
      </c>
      <c r="R3007" s="262">
        <v>124000</v>
      </c>
      <c r="S3007" t="s">
        <v>114</v>
      </c>
      <c r="T3007" t="s">
        <v>114</v>
      </c>
      <c r="U3007">
        <v>8</v>
      </c>
      <c r="W3007">
        <v>1998</v>
      </c>
      <c r="X3007">
        <v>1</v>
      </c>
      <c r="Y3007">
        <v>0</v>
      </c>
      <c r="Z3007">
        <v>0</v>
      </c>
      <c r="AA3007">
        <v>0</v>
      </c>
      <c r="AB3007">
        <v>0</v>
      </c>
      <c r="AC3007">
        <v>999</v>
      </c>
      <c r="AD3007">
        <v>0</v>
      </c>
      <c r="AE3007">
        <v>0</v>
      </c>
      <c r="AF3007">
        <v>999</v>
      </c>
      <c r="AG3007">
        <v>0</v>
      </c>
      <c r="AH3007">
        <v>0</v>
      </c>
      <c r="AI3007">
        <v>0</v>
      </c>
      <c r="AJ3007">
        <v>0</v>
      </c>
      <c r="AK3007">
        <v>0</v>
      </c>
      <c r="AL3007">
        <v>0</v>
      </c>
      <c r="AM3007">
        <v>0</v>
      </c>
      <c r="AN3007">
        <v>0</v>
      </c>
      <c r="AO3007">
        <v>0</v>
      </c>
      <c r="AP3007">
        <v>0</v>
      </c>
      <c r="AQ3007">
        <v>0</v>
      </c>
      <c r="AR3007">
        <v>1</v>
      </c>
      <c r="AS3007">
        <v>0</v>
      </c>
      <c r="AT3007">
        <v>0</v>
      </c>
      <c r="AU3007">
        <f t="shared" si="92"/>
        <v>0</v>
      </c>
      <c r="AV3007">
        <f t="shared" si="93"/>
        <v>0</v>
      </c>
    </row>
    <row r="3008" spans="1:48" x14ac:dyDescent="0.25">
      <c r="A3008" t="s">
        <v>9971</v>
      </c>
      <c r="C3008" t="s">
        <v>9972</v>
      </c>
      <c r="D3008" t="s">
        <v>9969</v>
      </c>
      <c r="E3008" t="s">
        <v>2310</v>
      </c>
      <c r="F3008">
        <v>9</v>
      </c>
      <c r="G3008">
        <v>9.3000000000000007</v>
      </c>
      <c r="H3008" t="s">
        <v>2323</v>
      </c>
      <c r="I3008" s="21">
        <v>40162.492291666698</v>
      </c>
      <c r="J3008">
        <v>2009</v>
      </c>
      <c r="K3008" s="21">
        <v>40162.492291666698</v>
      </c>
      <c r="L3008">
        <v>2009</v>
      </c>
      <c r="M3008" s="21">
        <v>42013.368993055599</v>
      </c>
      <c r="N3008">
        <v>2015</v>
      </c>
      <c r="Q3008" s="262">
        <v>16000</v>
      </c>
      <c r="R3008" s="262">
        <v>16000</v>
      </c>
      <c r="S3008" t="s">
        <v>114</v>
      </c>
      <c r="T3008" t="s">
        <v>114</v>
      </c>
      <c r="U3008">
        <v>5</v>
      </c>
      <c r="W3008">
        <v>392</v>
      </c>
      <c r="X3008">
        <v>0</v>
      </c>
      <c r="Y3008">
        <v>0</v>
      </c>
      <c r="Z3008">
        <v>0</v>
      </c>
      <c r="AA3008">
        <v>0</v>
      </c>
      <c r="AB3008">
        <v>0</v>
      </c>
      <c r="AC3008">
        <v>392</v>
      </c>
      <c r="AD3008">
        <v>0</v>
      </c>
      <c r="AE3008">
        <v>0</v>
      </c>
      <c r="AF3008">
        <v>0</v>
      </c>
      <c r="AG3008">
        <v>0</v>
      </c>
      <c r="AH3008">
        <v>0</v>
      </c>
      <c r="AI3008">
        <v>0</v>
      </c>
      <c r="AJ3008">
        <v>0</v>
      </c>
      <c r="AK3008">
        <v>0</v>
      </c>
      <c r="AL3008">
        <v>0</v>
      </c>
      <c r="AM3008">
        <v>0</v>
      </c>
      <c r="AN3008">
        <v>0</v>
      </c>
      <c r="AO3008">
        <v>0</v>
      </c>
      <c r="AP3008">
        <v>0</v>
      </c>
      <c r="AQ3008">
        <v>0</v>
      </c>
      <c r="AR3008">
        <v>0</v>
      </c>
      <c r="AS3008">
        <v>0</v>
      </c>
      <c r="AT3008">
        <v>0</v>
      </c>
      <c r="AU3008">
        <f t="shared" si="92"/>
        <v>0</v>
      </c>
      <c r="AV3008">
        <f t="shared" si="93"/>
        <v>0</v>
      </c>
    </row>
    <row r="3009" spans="1:48" x14ac:dyDescent="0.25">
      <c r="A3009" t="s">
        <v>9973</v>
      </c>
      <c r="C3009" t="s">
        <v>6180</v>
      </c>
      <c r="D3009" t="s">
        <v>9974</v>
      </c>
      <c r="E3009" t="s">
        <v>1663</v>
      </c>
      <c r="F3009">
        <v>3</v>
      </c>
      <c r="G3009">
        <v>3.2</v>
      </c>
      <c r="H3009" t="s">
        <v>2327</v>
      </c>
      <c r="I3009" s="21">
        <v>40168</v>
      </c>
      <c r="J3009">
        <v>2009</v>
      </c>
      <c r="K3009" s="21">
        <v>40199</v>
      </c>
      <c r="L3009">
        <v>2010</v>
      </c>
      <c r="M3009" s="21">
        <v>40350</v>
      </c>
      <c r="N3009">
        <v>2010</v>
      </c>
      <c r="Q3009" s="262">
        <v>0</v>
      </c>
      <c r="S3009" t="s">
        <v>114</v>
      </c>
      <c r="T3009" t="s">
        <v>114</v>
      </c>
      <c r="W3009">
        <v>750</v>
      </c>
      <c r="X3009">
        <v>0</v>
      </c>
      <c r="Y3009">
        <v>0</v>
      </c>
      <c r="Z3009">
        <v>0</v>
      </c>
      <c r="AA3009">
        <v>0</v>
      </c>
      <c r="AB3009">
        <v>0</v>
      </c>
      <c r="AC3009">
        <v>750</v>
      </c>
      <c r="AD3009">
        <v>0</v>
      </c>
      <c r="AE3009">
        <v>0</v>
      </c>
      <c r="AF3009">
        <v>0</v>
      </c>
      <c r="AG3009">
        <v>0</v>
      </c>
      <c r="AH3009">
        <v>0</v>
      </c>
      <c r="AI3009">
        <v>0</v>
      </c>
      <c r="AJ3009">
        <v>0</v>
      </c>
      <c r="AK3009">
        <v>0</v>
      </c>
      <c r="AL3009">
        <v>0</v>
      </c>
      <c r="AM3009">
        <v>0</v>
      </c>
      <c r="AN3009">
        <v>0</v>
      </c>
      <c r="AO3009">
        <v>0</v>
      </c>
      <c r="AP3009">
        <v>0</v>
      </c>
      <c r="AQ3009">
        <v>0</v>
      </c>
      <c r="AR3009">
        <v>0</v>
      </c>
      <c r="AS3009">
        <v>0</v>
      </c>
      <c r="AT3009">
        <v>0</v>
      </c>
      <c r="AU3009">
        <f t="shared" si="92"/>
        <v>0</v>
      </c>
      <c r="AV3009">
        <f t="shared" si="93"/>
        <v>0</v>
      </c>
    </row>
    <row r="3010" spans="1:48" x14ac:dyDescent="0.25">
      <c r="A3010" t="s">
        <v>9975</v>
      </c>
      <c r="C3010" t="s">
        <v>9976</v>
      </c>
      <c r="D3010" t="s">
        <v>9977</v>
      </c>
      <c r="E3010" t="s">
        <v>2310</v>
      </c>
      <c r="F3010">
        <v>10</v>
      </c>
      <c r="G3010">
        <v>10.1</v>
      </c>
      <c r="H3010" t="s">
        <v>2323</v>
      </c>
      <c r="I3010" s="21">
        <v>40168.4441435185</v>
      </c>
      <c r="J3010">
        <v>2009</v>
      </c>
      <c r="K3010" s="21">
        <v>40168.4441435185</v>
      </c>
      <c r="L3010">
        <v>2009</v>
      </c>
      <c r="M3010" s="21">
        <v>40500.461562500001</v>
      </c>
      <c r="N3010">
        <v>2010</v>
      </c>
      <c r="Q3010" s="262">
        <v>450000</v>
      </c>
      <c r="R3010" s="262">
        <v>329000</v>
      </c>
      <c r="S3010" t="s">
        <v>114</v>
      </c>
      <c r="T3010" t="s">
        <v>114</v>
      </c>
      <c r="U3010">
        <v>5</v>
      </c>
      <c r="W3010">
        <v>3726</v>
      </c>
      <c r="X3010">
        <v>1</v>
      </c>
      <c r="Y3010">
        <v>0</v>
      </c>
      <c r="Z3010">
        <v>0</v>
      </c>
      <c r="AA3010">
        <v>0</v>
      </c>
      <c r="AB3010">
        <v>0</v>
      </c>
      <c r="AC3010">
        <v>3726</v>
      </c>
      <c r="AD3010">
        <v>0</v>
      </c>
      <c r="AE3010">
        <v>0</v>
      </c>
      <c r="AF3010">
        <v>0</v>
      </c>
      <c r="AG3010">
        <v>0</v>
      </c>
      <c r="AH3010">
        <v>0</v>
      </c>
      <c r="AI3010">
        <v>0</v>
      </c>
      <c r="AJ3010">
        <v>0</v>
      </c>
      <c r="AK3010">
        <v>0</v>
      </c>
      <c r="AL3010">
        <v>0</v>
      </c>
      <c r="AM3010">
        <v>0</v>
      </c>
      <c r="AN3010">
        <v>0</v>
      </c>
      <c r="AO3010">
        <v>1</v>
      </c>
      <c r="AP3010">
        <v>0</v>
      </c>
      <c r="AQ3010">
        <v>0</v>
      </c>
      <c r="AR3010">
        <v>0</v>
      </c>
      <c r="AS3010">
        <v>0</v>
      </c>
      <c r="AT3010">
        <v>0</v>
      </c>
      <c r="AU3010">
        <f t="shared" si="92"/>
        <v>1</v>
      </c>
      <c r="AV3010">
        <f t="shared" si="93"/>
        <v>0</v>
      </c>
    </row>
    <row r="3011" spans="1:48" x14ac:dyDescent="0.25">
      <c r="A3011" t="s">
        <v>9978</v>
      </c>
      <c r="C3011" t="s">
        <v>9979</v>
      </c>
      <c r="D3011" t="s">
        <v>9980</v>
      </c>
      <c r="E3011" t="s">
        <v>2310</v>
      </c>
      <c r="F3011">
        <v>13</v>
      </c>
      <c r="G3011">
        <v>13.1</v>
      </c>
      <c r="H3011" t="s">
        <v>2327</v>
      </c>
      <c r="I3011" s="21">
        <v>40168.688194444403</v>
      </c>
      <c r="J3011">
        <v>2009</v>
      </c>
      <c r="K3011" s="21">
        <v>40168.688194444403</v>
      </c>
      <c r="L3011">
        <v>2009</v>
      </c>
      <c r="M3011" s="21">
        <v>40591.397650462997</v>
      </c>
      <c r="N3011">
        <v>2011</v>
      </c>
      <c r="Q3011" s="262">
        <v>800000</v>
      </c>
      <c r="R3011" s="262">
        <v>143000</v>
      </c>
      <c r="S3011" t="s">
        <v>114</v>
      </c>
      <c r="T3011" t="s">
        <v>114</v>
      </c>
      <c r="U3011">
        <v>6</v>
      </c>
      <c r="W3011">
        <v>6130</v>
      </c>
      <c r="X3011">
        <v>5</v>
      </c>
      <c r="Y3011">
        <v>0</v>
      </c>
      <c r="Z3011">
        <v>0</v>
      </c>
      <c r="AA3011">
        <v>0</v>
      </c>
      <c r="AB3011">
        <v>0</v>
      </c>
      <c r="AC3011">
        <v>0</v>
      </c>
      <c r="AD3011">
        <v>4077</v>
      </c>
      <c r="AE3011">
        <v>0</v>
      </c>
      <c r="AF3011">
        <v>0</v>
      </c>
      <c r="AG3011">
        <v>0</v>
      </c>
      <c r="AH3011">
        <v>801</v>
      </c>
      <c r="AI3011">
        <v>0</v>
      </c>
      <c r="AJ3011">
        <v>1252</v>
      </c>
      <c r="AK3011">
        <v>0</v>
      </c>
      <c r="AL3011">
        <v>0</v>
      </c>
      <c r="AM3011">
        <v>0</v>
      </c>
      <c r="AN3011">
        <v>0</v>
      </c>
      <c r="AO3011">
        <v>0</v>
      </c>
      <c r="AP3011">
        <v>5</v>
      </c>
      <c r="AQ3011">
        <v>0</v>
      </c>
      <c r="AR3011">
        <v>0</v>
      </c>
      <c r="AS3011">
        <v>0</v>
      </c>
      <c r="AT3011">
        <v>0</v>
      </c>
      <c r="AU3011">
        <f t="shared" si="92"/>
        <v>5</v>
      </c>
      <c r="AV3011">
        <f t="shared" si="93"/>
        <v>2053</v>
      </c>
    </row>
    <row r="3012" spans="1:48" x14ac:dyDescent="0.25">
      <c r="A3012" t="s">
        <v>9981</v>
      </c>
      <c r="C3012" t="s">
        <v>9982</v>
      </c>
      <c r="D3012" t="s">
        <v>9983</v>
      </c>
      <c r="E3012" t="s">
        <v>2310</v>
      </c>
      <c r="F3012">
        <v>9</v>
      </c>
      <c r="G3012">
        <v>9.1999999999999993</v>
      </c>
      <c r="H3012" t="s">
        <v>2022</v>
      </c>
      <c r="I3012" s="21">
        <v>40178.443287037</v>
      </c>
      <c r="J3012">
        <v>2009</v>
      </c>
      <c r="K3012" s="21">
        <v>40178.443287037</v>
      </c>
      <c r="L3012">
        <v>2009</v>
      </c>
      <c r="M3012" s="21">
        <v>40784.365057870396</v>
      </c>
      <c r="N3012">
        <v>2011</v>
      </c>
      <c r="Q3012" s="262">
        <v>2000000</v>
      </c>
      <c r="R3012" s="262">
        <v>539000</v>
      </c>
      <c r="S3012" t="s">
        <v>114</v>
      </c>
      <c r="T3012" t="s">
        <v>114</v>
      </c>
      <c r="U3012">
        <v>5</v>
      </c>
      <c r="W3012">
        <v>5639</v>
      </c>
      <c r="X3012">
        <v>2</v>
      </c>
      <c r="Y3012">
        <v>0</v>
      </c>
      <c r="Z3012">
        <v>0</v>
      </c>
      <c r="AA3012">
        <v>0</v>
      </c>
      <c r="AB3012">
        <v>0</v>
      </c>
      <c r="AC3012">
        <v>5639</v>
      </c>
      <c r="AD3012">
        <v>0</v>
      </c>
      <c r="AE3012">
        <v>0</v>
      </c>
      <c r="AF3012">
        <v>0</v>
      </c>
      <c r="AG3012">
        <v>0</v>
      </c>
      <c r="AH3012">
        <v>0</v>
      </c>
      <c r="AI3012">
        <v>0</v>
      </c>
      <c r="AJ3012">
        <v>0</v>
      </c>
      <c r="AK3012">
        <v>0</v>
      </c>
      <c r="AL3012">
        <v>0</v>
      </c>
      <c r="AM3012">
        <v>0</v>
      </c>
      <c r="AN3012">
        <v>0</v>
      </c>
      <c r="AO3012">
        <v>2</v>
      </c>
      <c r="AP3012">
        <v>0</v>
      </c>
      <c r="AQ3012">
        <v>0</v>
      </c>
      <c r="AR3012">
        <v>0</v>
      </c>
      <c r="AS3012">
        <v>0</v>
      </c>
      <c r="AT3012">
        <v>0</v>
      </c>
      <c r="AU3012">
        <f t="shared" si="92"/>
        <v>2</v>
      </c>
      <c r="AV3012">
        <f t="shared" si="93"/>
        <v>0</v>
      </c>
    </row>
    <row r="3013" spans="1:48" x14ac:dyDescent="0.25">
      <c r="A3013" t="s">
        <v>9984</v>
      </c>
      <c r="C3013" t="s">
        <v>9985</v>
      </c>
      <c r="D3013" t="s">
        <v>9986</v>
      </c>
      <c r="E3013" t="s">
        <v>2310</v>
      </c>
      <c r="F3013">
        <v>10</v>
      </c>
      <c r="G3013">
        <v>10.1</v>
      </c>
      <c r="H3013" t="s">
        <v>2323</v>
      </c>
      <c r="I3013" s="21">
        <v>40183.625173611101</v>
      </c>
      <c r="J3013">
        <v>2010</v>
      </c>
      <c r="K3013" s="21">
        <v>40183.625173611101</v>
      </c>
      <c r="L3013">
        <v>2010</v>
      </c>
      <c r="M3013" s="21">
        <v>40491.564780092602</v>
      </c>
      <c r="N3013">
        <v>2010</v>
      </c>
      <c r="Q3013" s="262">
        <v>100000</v>
      </c>
      <c r="R3013" s="262">
        <v>68000</v>
      </c>
      <c r="S3013" t="s">
        <v>114</v>
      </c>
      <c r="T3013" t="s">
        <v>114</v>
      </c>
      <c r="U3013">
        <v>5</v>
      </c>
      <c r="W3013">
        <v>661</v>
      </c>
      <c r="X3013">
        <v>0</v>
      </c>
      <c r="Y3013">
        <v>0</v>
      </c>
      <c r="Z3013">
        <v>0</v>
      </c>
      <c r="AA3013">
        <v>0</v>
      </c>
      <c r="AB3013">
        <v>0</v>
      </c>
      <c r="AC3013">
        <v>661</v>
      </c>
      <c r="AD3013">
        <v>0</v>
      </c>
      <c r="AE3013">
        <v>0</v>
      </c>
      <c r="AF3013">
        <v>0</v>
      </c>
      <c r="AG3013">
        <v>0</v>
      </c>
      <c r="AH3013">
        <v>0</v>
      </c>
      <c r="AI3013">
        <v>0</v>
      </c>
      <c r="AJ3013">
        <v>0</v>
      </c>
      <c r="AK3013">
        <v>0</v>
      </c>
      <c r="AL3013">
        <v>0</v>
      </c>
      <c r="AM3013">
        <v>0</v>
      </c>
      <c r="AN3013">
        <v>0</v>
      </c>
      <c r="AO3013">
        <v>0</v>
      </c>
      <c r="AP3013">
        <v>0</v>
      </c>
      <c r="AQ3013">
        <v>0</v>
      </c>
      <c r="AR3013">
        <v>0</v>
      </c>
      <c r="AS3013">
        <v>0</v>
      </c>
      <c r="AT3013">
        <v>0</v>
      </c>
      <c r="AU3013">
        <f t="shared" si="92"/>
        <v>0</v>
      </c>
      <c r="AV3013">
        <f t="shared" si="93"/>
        <v>0</v>
      </c>
    </row>
    <row r="3014" spans="1:48" x14ac:dyDescent="0.25">
      <c r="A3014" t="s">
        <v>9987</v>
      </c>
      <c r="C3014" t="s">
        <v>9988</v>
      </c>
      <c r="D3014" t="s">
        <v>9989</v>
      </c>
      <c r="E3014" t="s">
        <v>2310</v>
      </c>
      <c r="F3014">
        <v>15</v>
      </c>
      <c r="G3014">
        <v>15.1</v>
      </c>
      <c r="H3014" t="s">
        <v>2022</v>
      </c>
      <c r="I3014" s="21">
        <v>40191.427766203698</v>
      </c>
      <c r="J3014">
        <v>2010</v>
      </c>
      <c r="K3014" s="21">
        <v>40191.427766203698</v>
      </c>
      <c r="L3014">
        <v>2010</v>
      </c>
      <c r="M3014" s="21">
        <v>41907.670729166697</v>
      </c>
      <c r="N3014">
        <v>2014</v>
      </c>
      <c r="Q3014" s="262">
        <v>90000</v>
      </c>
      <c r="R3014" s="262">
        <v>83000</v>
      </c>
      <c r="S3014" t="s">
        <v>114</v>
      </c>
      <c r="T3014" t="s">
        <v>114</v>
      </c>
      <c r="U3014">
        <v>5</v>
      </c>
      <c r="W3014">
        <v>812</v>
      </c>
      <c r="X3014">
        <v>0</v>
      </c>
      <c r="Y3014">
        <v>0</v>
      </c>
      <c r="Z3014">
        <v>0</v>
      </c>
      <c r="AA3014">
        <v>0</v>
      </c>
      <c r="AB3014">
        <v>0</v>
      </c>
      <c r="AC3014">
        <v>812</v>
      </c>
      <c r="AD3014">
        <v>0</v>
      </c>
      <c r="AE3014">
        <v>0</v>
      </c>
      <c r="AF3014">
        <v>0</v>
      </c>
      <c r="AG3014">
        <v>0</v>
      </c>
      <c r="AH3014">
        <v>0</v>
      </c>
      <c r="AI3014">
        <v>0</v>
      </c>
      <c r="AJ3014">
        <v>0</v>
      </c>
      <c r="AK3014">
        <v>0</v>
      </c>
      <c r="AL3014">
        <v>0</v>
      </c>
      <c r="AM3014">
        <v>0</v>
      </c>
      <c r="AN3014">
        <v>0</v>
      </c>
      <c r="AO3014">
        <v>0</v>
      </c>
      <c r="AP3014">
        <v>0</v>
      </c>
      <c r="AQ3014">
        <v>0</v>
      </c>
      <c r="AR3014">
        <v>0</v>
      </c>
      <c r="AS3014">
        <v>0</v>
      </c>
      <c r="AT3014">
        <v>0</v>
      </c>
      <c r="AU3014">
        <f t="shared" si="92"/>
        <v>0</v>
      </c>
      <c r="AV3014">
        <f t="shared" si="93"/>
        <v>0</v>
      </c>
    </row>
    <row r="3015" spans="1:48" x14ac:dyDescent="0.25">
      <c r="A3015" t="s">
        <v>9990</v>
      </c>
      <c r="C3015" t="s">
        <v>7871</v>
      </c>
      <c r="D3015" t="s">
        <v>9991</v>
      </c>
      <c r="E3015" t="s">
        <v>1663</v>
      </c>
      <c r="F3015">
        <v>3</v>
      </c>
      <c r="G3015">
        <v>3.1</v>
      </c>
      <c r="H3015" t="s">
        <v>2017</v>
      </c>
      <c r="I3015" s="21">
        <v>40197</v>
      </c>
      <c r="J3015">
        <v>2010</v>
      </c>
      <c r="K3015" s="21">
        <v>40228</v>
      </c>
      <c r="L3015">
        <v>2010</v>
      </c>
      <c r="M3015" s="21">
        <v>40378</v>
      </c>
      <c r="N3015">
        <v>2010</v>
      </c>
      <c r="Q3015" s="262">
        <v>250000</v>
      </c>
      <c r="S3015" t="s">
        <v>114</v>
      </c>
      <c r="T3015" t="s">
        <v>114</v>
      </c>
      <c r="W3015">
        <v>2603</v>
      </c>
      <c r="X3015">
        <v>1</v>
      </c>
      <c r="Y3015">
        <v>0</v>
      </c>
      <c r="Z3015">
        <v>0</v>
      </c>
      <c r="AA3015">
        <v>0</v>
      </c>
      <c r="AB3015">
        <v>0</v>
      </c>
      <c r="AC3015">
        <v>2603</v>
      </c>
      <c r="AD3015">
        <v>0</v>
      </c>
      <c r="AE3015">
        <v>0</v>
      </c>
      <c r="AF3015">
        <v>0</v>
      </c>
      <c r="AG3015">
        <v>0</v>
      </c>
      <c r="AH3015">
        <v>0</v>
      </c>
      <c r="AI3015">
        <v>0</v>
      </c>
      <c r="AJ3015">
        <v>0</v>
      </c>
      <c r="AK3015">
        <v>0</v>
      </c>
      <c r="AL3015">
        <v>0</v>
      </c>
      <c r="AM3015">
        <v>0</v>
      </c>
      <c r="AN3015">
        <v>0</v>
      </c>
      <c r="AO3015">
        <v>1</v>
      </c>
      <c r="AP3015">
        <v>0</v>
      </c>
      <c r="AQ3015">
        <v>0</v>
      </c>
      <c r="AR3015">
        <v>0</v>
      </c>
      <c r="AS3015">
        <v>0</v>
      </c>
      <c r="AT3015">
        <v>0</v>
      </c>
      <c r="AU3015">
        <f t="shared" si="92"/>
        <v>1</v>
      </c>
      <c r="AV3015">
        <f t="shared" si="93"/>
        <v>0</v>
      </c>
    </row>
    <row r="3016" spans="1:48" x14ac:dyDescent="0.25">
      <c r="A3016" t="s">
        <v>9992</v>
      </c>
      <c r="C3016" t="s">
        <v>9569</v>
      </c>
      <c r="D3016" t="s">
        <v>9993</v>
      </c>
      <c r="E3016" t="s">
        <v>2310</v>
      </c>
      <c r="F3016">
        <v>9</v>
      </c>
      <c r="G3016">
        <v>9.3000000000000007</v>
      </c>
      <c r="H3016" t="s">
        <v>2323</v>
      </c>
      <c r="I3016" s="21">
        <v>40197.457372685203</v>
      </c>
      <c r="J3016">
        <v>2010</v>
      </c>
      <c r="K3016" s="21">
        <v>40197.457372685203</v>
      </c>
      <c r="L3016">
        <v>2010</v>
      </c>
      <c r="M3016" s="21">
        <v>40850.491851851897</v>
      </c>
      <c r="N3016">
        <v>2011</v>
      </c>
      <c r="Q3016" s="262">
        <v>1500000</v>
      </c>
      <c r="R3016" s="262">
        <v>476000</v>
      </c>
      <c r="S3016" t="s">
        <v>114</v>
      </c>
      <c r="T3016" t="s">
        <v>114</v>
      </c>
      <c r="U3016">
        <v>5</v>
      </c>
      <c r="W3016">
        <v>5002</v>
      </c>
      <c r="X3016">
        <v>2</v>
      </c>
      <c r="Y3016">
        <v>0</v>
      </c>
      <c r="Z3016">
        <v>0</v>
      </c>
      <c r="AA3016">
        <v>0</v>
      </c>
      <c r="AB3016">
        <v>0</v>
      </c>
      <c r="AC3016">
        <v>5002</v>
      </c>
      <c r="AD3016">
        <v>0</v>
      </c>
      <c r="AE3016">
        <v>0</v>
      </c>
      <c r="AF3016">
        <v>0</v>
      </c>
      <c r="AG3016">
        <v>0</v>
      </c>
      <c r="AH3016">
        <v>0</v>
      </c>
      <c r="AI3016">
        <v>0</v>
      </c>
      <c r="AJ3016">
        <v>0</v>
      </c>
      <c r="AK3016">
        <v>0</v>
      </c>
      <c r="AL3016">
        <v>0</v>
      </c>
      <c r="AM3016">
        <v>0</v>
      </c>
      <c r="AN3016">
        <v>0</v>
      </c>
      <c r="AO3016">
        <v>2</v>
      </c>
      <c r="AP3016">
        <v>0</v>
      </c>
      <c r="AQ3016">
        <v>0</v>
      </c>
      <c r="AR3016">
        <v>0</v>
      </c>
      <c r="AS3016">
        <v>0</v>
      </c>
      <c r="AT3016">
        <v>0</v>
      </c>
      <c r="AU3016">
        <f t="shared" si="92"/>
        <v>2</v>
      </c>
      <c r="AV3016">
        <f t="shared" si="93"/>
        <v>0</v>
      </c>
    </row>
    <row r="3017" spans="1:48" x14ac:dyDescent="0.25">
      <c r="A3017" t="s">
        <v>9994</v>
      </c>
      <c r="C3017" t="s">
        <v>7993</v>
      </c>
      <c r="D3017" t="s">
        <v>9995</v>
      </c>
      <c r="E3017" t="s">
        <v>2310</v>
      </c>
      <c r="F3017">
        <v>9</v>
      </c>
      <c r="G3017">
        <v>9.3000000000000007</v>
      </c>
      <c r="H3017" t="s">
        <v>2323</v>
      </c>
      <c r="I3017" s="21">
        <v>40197.503182870401</v>
      </c>
      <c r="J3017">
        <v>2010</v>
      </c>
      <c r="K3017" s="21">
        <v>40197.503182870401</v>
      </c>
      <c r="L3017">
        <v>2010</v>
      </c>
      <c r="M3017" s="21">
        <v>40682.381817129601</v>
      </c>
      <c r="N3017">
        <v>2011</v>
      </c>
      <c r="Q3017" s="262">
        <v>1600000</v>
      </c>
      <c r="R3017" s="262">
        <v>505000</v>
      </c>
      <c r="S3017" t="s">
        <v>114</v>
      </c>
      <c r="T3017" t="s">
        <v>114</v>
      </c>
      <c r="U3017">
        <v>5</v>
      </c>
      <c r="W3017">
        <v>5426</v>
      </c>
      <c r="X3017">
        <v>2</v>
      </c>
      <c r="Y3017">
        <v>0</v>
      </c>
      <c r="Z3017">
        <v>0</v>
      </c>
      <c r="AA3017">
        <v>0</v>
      </c>
      <c r="AB3017">
        <v>0</v>
      </c>
      <c r="AC3017">
        <v>5426</v>
      </c>
      <c r="AD3017">
        <v>0</v>
      </c>
      <c r="AE3017">
        <v>0</v>
      </c>
      <c r="AF3017">
        <v>0</v>
      </c>
      <c r="AG3017">
        <v>0</v>
      </c>
      <c r="AH3017">
        <v>0</v>
      </c>
      <c r="AI3017">
        <v>0</v>
      </c>
      <c r="AJ3017">
        <v>0</v>
      </c>
      <c r="AK3017">
        <v>0</v>
      </c>
      <c r="AL3017">
        <v>0</v>
      </c>
      <c r="AM3017">
        <v>0</v>
      </c>
      <c r="AN3017">
        <v>0</v>
      </c>
      <c r="AO3017">
        <v>2</v>
      </c>
      <c r="AP3017">
        <v>0</v>
      </c>
      <c r="AQ3017">
        <v>0</v>
      </c>
      <c r="AR3017">
        <v>0</v>
      </c>
      <c r="AS3017">
        <v>0</v>
      </c>
      <c r="AT3017">
        <v>0</v>
      </c>
      <c r="AU3017">
        <f t="shared" si="92"/>
        <v>2</v>
      </c>
      <c r="AV3017">
        <f t="shared" si="93"/>
        <v>0</v>
      </c>
    </row>
    <row r="3018" spans="1:48" x14ac:dyDescent="0.25">
      <c r="A3018" t="s">
        <v>9996</v>
      </c>
      <c r="C3018" t="s">
        <v>9997</v>
      </c>
      <c r="D3018" t="s">
        <v>9998</v>
      </c>
      <c r="E3018" t="s">
        <v>2310</v>
      </c>
      <c r="F3018">
        <v>9</v>
      </c>
      <c r="G3018">
        <v>9.4</v>
      </c>
      <c r="H3018" t="s">
        <v>2323</v>
      </c>
      <c r="I3018" s="21">
        <v>40198.572754629597</v>
      </c>
      <c r="J3018">
        <v>2010</v>
      </c>
      <c r="K3018" s="21">
        <v>40198.572754629597</v>
      </c>
      <c r="L3018">
        <v>2010</v>
      </c>
      <c r="M3018" s="21">
        <v>41492.536053240699</v>
      </c>
      <c r="N3018">
        <v>2013</v>
      </c>
      <c r="Q3018" s="262">
        <v>6500000</v>
      </c>
      <c r="R3018" s="262">
        <v>1167000</v>
      </c>
      <c r="S3018" t="s">
        <v>114</v>
      </c>
      <c r="T3018" t="s">
        <v>114</v>
      </c>
      <c r="U3018">
        <v>5</v>
      </c>
      <c r="W3018">
        <v>12970</v>
      </c>
      <c r="X3018">
        <v>1</v>
      </c>
      <c r="Y3018">
        <v>0</v>
      </c>
      <c r="Z3018">
        <v>0</v>
      </c>
      <c r="AA3018">
        <v>0</v>
      </c>
      <c r="AB3018">
        <v>0</v>
      </c>
      <c r="AC3018">
        <v>12970</v>
      </c>
      <c r="AD3018">
        <v>0</v>
      </c>
      <c r="AE3018">
        <v>0</v>
      </c>
      <c r="AF3018">
        <v>0</v>
      </c>
      <c r="AG3018">
        <v>0</v>
      </c>
      <c r="AH3018">
        <v>0</v>
      </c>
      <c r="AI3018">
        <v>0</v>
      </c>
      <c r="AJ3018">
        <v>0</v>
      </c>
      <c r="AK3018">
        <v>0</v>
      </c>
      <c r="AL3018">
        <v>0</v>
      </c>
      <c r="AM3018">
        <v>0</v>
      </c>
      <c r="AN3018">
        <v>0</v>
      </c>
      <c r="AO3018">
        <v>1</v>
      </c>
      <c r="AP3018">
        <v>0</v>
      </c>
      <c r="AQ3018">
        <v>0</v>
      </c>
      <c r="AR3018">
        <v>0</v>
      </c>
      <c r="AS3018">
        <v>0</v>
      </c>
      <c r="AT3018">
        <v>0</v>
      </c>
      <c r="AU3018">
        <f t="shared" si="92"/>
        <v>1</v>
      </c>
      <c r="AV3018">
        <f t="shared" si="93"/>
        <v>0</v>
      </c>
    </row>
    <row r="3019" spans="1:48" x14ac:dyDescent="0.25">
      <c r="A3019" t="s">
        <v>9999</v>
      </c>
      <c r="C3019" t="s">
        <v>10000</v>
      </c>
      <c r="D3019" t="s">
        <v>5368</v>
      </c>
      <c r="E3019" t="s">
        <v>2310</v>
      </c>
      <c r="F3019">
        <v>15</v>
      </c>
      <c r="G3019">
        <v>15.1</v>
      </c>
      <c r="H3019" t="s">
        <v>2022</v>
      </c>
      <c r="I3019" s="21">
        <v>40217.370520833298</v>
      </c>
      <c r="J3019">
        <v>2010</v>
      </c>
      <c r="K3019" s="21">
        <v>40217.370520833298</v>
      </c>
      <c r="L3019">
        <v>2010</v>
      </c>
      <c r="M3019" s="21">
        <v>40402.408194444397</v>
      </c>
      <c r="N3019">
        <v>2010</v>
      </c>
      <c r="Q3019" s="262">
        <v>60000</v>
      </c>
      <c r="R3019" s="262">
        <v>46000</v>
      </c>
      <c r="S3019" t="s">
        <v>114</v>
      </c>
      <c r="T3019" t="s">
        <v>114</v>
      </c>
      <c r="U3019">
        <v>11</v>
      </c>
      <c r="W3019">
        <v>376</v>
      </c>
      <c r="X3019">
        <v>1</v>
      </c>
      <c r="Y3019">
        <v>0</v>
      </c>
      <c r="Z3019">
        <v>0</v>
      </c>
      <c r="AA3019">
        <v>0</v>
      </c>
      <c r="AB3019">
        <v>0</v>
      </c>
      <c r="AC3019">
        <v>0</v>
      </c>
      <c r="AD3019">
        <v>0</v>
      </c>
      <c r="AE3019">
        <v>0</v>
      </c>
      <c r="AF3019">
        <v>0</v>
      </c>
      <c r="AG3019">
        <v>0</v>
      </c>
      <c r="AH3019">
        <v>0</v>
      </c>
      <c r="AI3019">
        <v>376</v>
      </c>
      <c r="AJ3019">
        <v>0</v>
      </c>
      <c r="AK3019">
        <v>0</v>
      </c>
      <c r="AL3019">
        <v>0</v>
      </c>
      <c r="AM3019">
        <v>0</v>
      </c>
      <c r="AN3019">
        <v>0</v>
      </c>
      <c r="AO3019">
        <v>0</v>
      </c>
      <c r="AP3019">
        <v>0</v>
      </c>
      <c r="AQ3019">
        <v>0</v>
      </c>
      <c r="AR3019">
        <v>0</v>
      </c>
      <c r="AS3019">
        <v>0</v>
      </c>
      <c r="AT3019">
        <v>1</v>
      </c>
      <c r="AU3019">
        <f t="shared" si="92"/>
        <v>0</v>
      </c>
      <c r="AV3019">
        <f t="shared" si="93"/>
        <v>376</v>
      </c>
    </row>
    <row r="3020" spans="1:48" x14ac:dyDescent="0.25">
      <c r="A3020" t="s">
        <v>10001</v>
      </c>
      <c r="C3020" t="s">
        <v>10002</v>
      </c>
      <c r="D3020" t="s">
        <v>5368</v>
      </c>
      <c r="E3020" t="s">
        <v>2310</v>
      </c>
      <c r="F3020">
        <v>15</v>
      </c>
      <c r="G3020">
        <v>15.1</v>
      </c>
      <c r="H3020" t="s">
        <v>2022</v>
      </c>
      <c r="I3020" s="21">
        <v>40217.387962963003</v>
      </c>
      <c r="J3020">
        <v>2010</v>
      </c>
      <c r="K3020" s="21">
        <v>40217.387962963003</v>
      </c>
      <c r="L3020">
        <v>2010</v>
      </c>
      <c r="M3020" s="21">
        <v>40829.362337963001</v>
      </c>
      <c r="N3020">
        <v>2011</v>
      </c>
      <c r="Q3020" s="262">
        <v>60000</v>
      </c>
      <c r="R3020" s="262">
        <v>62000</v>
      </c>
      <c r="S3020" t="s">
        <v>114</v>
      </c>
      <c r="T3020" t="s">
        <v>114</v>
      </c>
      <c r="U3020">
        <v>11</v>
      </c>
      <c r="W3020">
        <v>512</v>
      </c>
      <c r="X3020">
        <v>1</v>
      </c>
      <c r="Y3020">
        <v>0</v>
      </c>
      <c r="Z3020">
        <v>0</v>
      </c>
      <c r="AA3020">
        <v>0</v>
      </c>
      <c r="AB3020">
        <v>0</v>
      </c>
      <c r="AC3020">
        <v>0</v>
      </c>
      <c r="AD3020">
        <v>0</v>
      </c>
      <c r="AE3020">
        <v>0</v>
      </c>
      <c r="AF3020">
        <v>0</v>
      </c>
      <c r="AG3020">
        <v>0</v>
      </c>
      <c r="AH3020">
        <v>0</v>
      </c>
      <c r="AI3020">
        <v>512</v>
      </c>
      <c r="AJ3020">
        <v>0</v>
      </c>
      <c r="AK3020">
        <v>0</v>
      </c>
      <c r="AL3020">
        <v>0</v>
      </c>
      <c r="AM3020">
        <v>0</v>
      </c>
      <c r="AN3020">
        <v>0</v>
      </c>
      <c r="AO3020">
        <v>0</v>
      </c>
      <c r="AP3020">
        <v>0</v>
      </c>
      <c r="AQ3020">
        <v>0</v>
      </c>
      <c r="AR3020">
        <v>0</v>
      </c>
      <c r="AS3020">
        <v>0</v>
      </c>
      <c r="AT3020">
        <v>1</v>
      </c>
      <c r="AU3020">
        <f t="shared" si="92"/>
        <v>0</v>
      </c>
      <c r="AV3020">
        <f t="shared" si="93"/>
        <v>512</v>
      </c>
    </row>
    <row r="3021" spans="1:48" x14ac:dyDescent="0.25">
      <c r="A3021" t="s">
        <v>10003</v>
      </c>
      <c r="C3021" t="s">
        <v>10004</v>
      </c>
      <c r="D3021" t="s">
        <v>5368</v>
      </c>
      <c r="E3021" t="s">
        <v>2310</v>
      </c>
      <c r="F3021">
        <v>15</v>
      </c>
      <c r="G3021">
        <v>15.1</v>
      </c>
      <c r="H3021" t="s">
        <v>2022</v>
      </c>
      <c r="I3021" s="21">
        <v>40217.407650462999</v>
      </c>
      <c r="J3021">
        <v>2010</v>
      </c>
      <c r="K3021" s="21">
        <v>40217.407650462999</v>
      </c>
      <c r="L3021">
        <v>2010</v>
      </c>
      <c r="M3021" s="21">
        <v>40402.421585648102</v>
      </c>
      <c r="N3021">
        <v>2010</v>
      </c>
      <c r="Q3021" s="262">
        <v>60000</v>
      </c>
      <c r="R3021" s="262">
        <v>62000</v>
      </c>
      <c r="S3021" t="s">
        <v>114</v>
      </c>
      <c r="T3021" t="s">
        <v>114</v>
      </c>
      <c r="U3021">
        <v>11</v>
      </c>
      <c r="W3021">
        <v>512</v>
      </c>
      <c r="X3021">
        <v>1</v>
      </c>
      <c r="Y3021">
        <v>0</v>
      </c>
      <c r="Z3021">
        <v>0</v>
      </c>
      <c r="AA3021">
        <v>0</v>
      </c>
      <c r="AB3021">
        <v>0</v>
      </c>
      <c r="AC3021">
        <v>0</v>
      </c>
      <c r="AD3021">
        <v>0</v>
      </c>
      <c r="AE3021">
        <v>0</v>
      </c>
      <c r="AF3021">
        <v>0</v>
      </c>
      <c r="AG3021">
        <v>0</v>
      </c>
      <c r="AH3021">
        <v>0</v>
      </c>
      <c r="AI3021">
        <v>512</v>
      </c>
      <c r="AJ3021">
        <v>0</v>
      </c>
      <c r="AK3021">
        <v>0</v>
      </c>
      <c r="AL3021">
        <v>0</v>
      </c>
      <c r="AM3021">
        <v>0</v>
      </c>
      <c r="AN3021">
        <v>0</v>
      </c>
      <c r="AO3021">
        <v>0</v>
      </c>
      <c r="AP3021">
        <v>0</v>
      </c>
      <c r="AQ3021">
        <v>0</v>
      </c>
      <c r="AR3021">
        <v>0</v>
      </c>
      <c r="AS3021">
        <v>0</v>
      </c>
      <c r="AT3021">
        <v>1</v>
      </c>
      <c r="AU3021">
        <f t="shared" si="92"/>
        <v>0</v>
      </c>
      <c r="AV3021">
        <f t="shared" si="93"/>
        <v>512</v>
      </c>
    </row>
    <row r="3022" spans="1:48" x14ac:dyDescent="0.25">
      <c r="A3022" t="s">
        <v>10005</v>
      </c>
      <c r="C3022" t="s">
        <v>10006</v>
      </c>
      <c r="D3022" t="s">
        <v>5368</v>
      </c>
      <c r="E3022" t="s">
        <v>2310</v>
      </c>
      <c r="F3022">
        <v>15</v>
      </c>
      <c r="G3022">
        <v>15.1</v>
      </c>
      <c r="H3022" t="s">
        <v>2022</v>
      </c>
      <c r="I3022" s="21">
        <v>40217.413136574098</v>
      </c>
      <c r="J3022">
        <v>2010</v>
      </c>
      <c r="K3022" s="21">
        <v>40217.413136574098</v>
      </c>
      <c r="L3022">
        <v>2010</v>
      </c>
      <c r="M3022" s="21">
        <v>40402.423229166699</v>
      </c>
      <c r="N3022">
        <v>2010</v>
      </c>
      <c r="Q3022" s="262">
        <v>60000</v>
      </c>
      <c r="R3022" s="262">
        <v>62000</v>
      </c>
      <c r="S3022" t="s">
        <v>114</v>
      </c>
      <c r="T3022" t="s">
        <v>114</v>
      </c>
      <c r="U3022">
        <v>11</v>
      </c>
      <c r="W3022">
        <v>512</v>
      </c>
      <c r="X3022">
        <v>1</v>
      </c>
      <c r="Y3022">
        <v>0</v>
      </c>
      <c r="Z3022">
        <v>0</v>
      </c>
      <c r="AA3022">
        <v>0</v>
      </c>
      <c r="AB3022">
        <v>0</v>
      </c>
      <c r="AC3022">
        <v>0</v>
      </c>
      <c r="AD3022">
        <v>0</v>
      </c>
      <c r="AE3022">
        <v>0</v>
      </c>
      <c r="AF3022">
        <v>0</v>
      </c>
      <c r="AG3022">
        <v>0</v>
      </c>
      <c r="AH3022">
        <v>0</v>
      </c>
      <c r="AI3022">
        <v>512</v>
      </c>
      <c r="AJ3022">
        <v>0</v>
      </c>
      <c r="AK3022">
        <v>0</v>
      </c>
      <c r="AL3022">
        <v>0</v>
      </c>
      <c r="AM3022">
        <v>0</v>
      </c>
      <c r="AN3022">
        <v>0</v>
      </c>
      <c r="AO3022">
        <v>0</v>
      </c>
      <c r="AP3022">
        <v>0</v>
      </c>
      <c r="AQ3022">
        <v>0</v>
      </c>
      <c r="AR3022">
        <v>0</v>
      </c>
      <c r="AS3022">
        <v>0</v>
      </c>
      <c r="AT3022">
        <v>1</v>
      </c>
      <c r="AU3022">
        <f t="shared" si="92"/>
        <v>0</v>
      </c>
      <c r="AV3022">
        <f t="shared" si="93"/>
        <v>512</v>
      </c>
    </row>
    <row r="3023" spans="1:48" x14ac:dyDescent="0.25">
      <c r="A3023" t="s">
        <v>10007</v>
      </c>
      <c r="C3023" t="s">
        <v>10008</v>
      </c>
      <c r="D3023" t="s">
        <v>5174</v>
      </c>
      <c r="E3023" t="s">
        <v>2310</v>
      </c>
      <c r="F3023">
        <v>8</v>
      </c>
      <c r="G3023">
        <v>8.1999999999999993</v>
      </c>
      <c r="H3023" t="s">
        <v>2022</v>
      </c>
      <c r="I3023" s="21">
        <v>40219.402604166702</v>
      </c>
      <c r="J3023">
        <v>2010</v>
      </c>
      <c r="K3023" s="21">
        <v>40219.402604166702</v>
      </c>
      <c r="L3023">
        <v>2010</v>
      </c>
      <c r="M3023" s="21">
        <v>40465.427638888897</v>
      </c>
      <c r="N3023">
        <v>2010</v>
      </c>
      <c r="Q3023" s="262">
        <v>75000</v>
      </c>
      <c r="R3023" s="262">
        <v>10000</v>
      </c>
      <c r="S3023" t="s">
        <v>114</v>
      </c>
      <c r="T3023" t="s">
        <v>114</v>
      </c>
      <c r="U3023">
        <v>5</v>
      </c>
      <c r="V3023">
        <v>97</v>
      </c>
      <c r="W3023">
        <v>97</v>
      </c>
      <c r="X3023">
        <v>0</v>
      </c>
      <c r="Y3023">
        <v>0</v>
      </c>
      <c r="Z3023">
        <v>0</v>
      </c>
      <c r="AA3023">
        <v>0</v>
      </c>
      <c r="AB3023">
        <v>0</v>
      </c>
      <c r="AC3023">
        <v>97</v>
      </c>
      <c r="AD3023">
        <v>0</v>
      </c>
      <c r="AE3023">
        <v>0</v>
      </c>
      <c r="AF3023">
        <v>0</v>
      </c>
      <c r="AG3023">
        <v>0</v>
      </c>
      <c r="AH3023">
        <v>0</v>
      </c>
      <c r="AI3023">
        <v>0</v>
      </c>
      <c r="AJ3023">
        <v>0</v>
      </c>
      <c r="AK3023">
        <v>0</v>
      </c>
      <c r="AL3023">
        <v>0</v>
      </c>
      <c r="AM3023">
        <v>0</v>
      </c>
      <c r="AN3023">
        <v>0</v>
      </c>
      <c r="AO3023">
        <v>0</v>
      </c>
      <c r="AP3023">
        <v>0</v>
      </c>
      <c r="AQ3023">
        <v>0</v>
      </c>
      <c r="AR3023">
        <v>0</v>
      </c>
      <c r="AS3023">
        <v>0</v>
      </c>
      <c r="AT3023">
        <v>0</v>
      </c>
      <c r="AU3023">
        <f t="shared" si="92"/>
        <v>0</v>
      </c>
      <c r="AV3023">
        <f t="shared" si="93"/>
        <v>0</v>
      </c>
    </row>
    <row r="3024" spans="1:48" x14ac:dyDescent="0.25">
      <c r="A3024" t="s">
        <v>10009</v>
      </c>
      <c r="C3024" t="s">
        <v>10010</v>
      </c>
      <c r="D3024" t="s">
        <v>10011</v>
      </c>
      <c r="E3024" t="s">
        <v>2310</v>
      </c>
      <c r="F3024">
        <v>9</v>
      </c>
      <c r="G3024">
        <v>9.3000000000000007</v>
      </c>
      <c r="H3024" t="s">
        <v>2323</v>
      </c>
      <c r="I3024" s="21">
        <v>40225.611875000002</v>
      </c>
      <c r="J3024">
        <v>2010</v>
      </c>
      <c r="K3024" s="21">
        <v>40225.611875000002</v>
      </c>
      <c r="L3024">
        <v>2010</v>
      </c>
      <c r="M3024" s="21">
        <v>41121.452256944402</v>
      </c>
      <c r="N3024">
        <v>2012</v>
      </c>
      <c r="Q3024" s="262">
        <v>2000000</v>
      </c>
      <c r="R3024" s="262">
        <v>919000</v>
      </c>
      <c r="S3024" t="s">
        <v>114</v>
      </c>
      <c r="T3024" t="s">
        <v>114</v>
      </c>
      <c r="U3024">
        <v>5</v>
      </c>
      <c r="W3024">
        <v>8800</v>
      </c>
      <c r="X3024">
        <v>1</v>
      </c>
      <c r="Y3024">
        <v>0</v>
      </c>
      <c r="Z3024">
        <v>0</v>
      </c>
      <c r="AA3024">
        <v>0</v>
      </c>
      <c r="AB3024">
        <v>0</v>
      </c>
      <c r="AC3024">
        <v>8800</v>
      </c>
      <c r="AD3024">
        <v>0</v>
      </c>
      <c r="AE3024">
        <v>0</v>
      </c>
      <c r="AF3024">
        <v>0</v>
      </c>
      <c r="AG3024">
        <v>0</v>
      </c>
      <c r="AH3024">
        <v>0</v>
      </c>
      <c r="AI3024">
        <v>0</v>
      </c>
      <c r="AJ3024">
        <v>0</v>
      </c>
      <c r="AK3024">
        <v>0</v>
      </c>
      <c r="AL3024">
        <v>0</v>
      </c>
      <c r="AM3024">
        <v>0</v>
      </c>
      <c r="AN3024">
        <v>0</v>
      </c>
      <c r="AO3024">
        <v>1</v>
      </c>
      <c r="AP3024">
        <v>0</v>
      </c>
      <c r="AQ3024">
        <v>0</v>
      </c>
      <c r="AR3024">
        <v>0</v>
      </c>
      <c r="AS3024">
        <v>0</v>
      </c>
      <c r="AT3024">
        <v>0</v>
      </c>
      <c r="AU3024">
        <f t="shared" si="92"/>
        <v>1</v>
      </c>
      <c r="AV3024">
        <f t="shared" si="93"/>
        <v>0</v>
      </c>
    </row>
    <row r="3025" spans="1:48" x14ac:dyDescent="0.25">
      <c r="A3025" t="s">
        <v>10012</v>
      </c>
      <c r="C3025" t="s">
        <v>10013</v>
      </c>
      <c r="D3025" t="s">
        <v>10014</v>
      </c>
      <c r="E3025" t="s">
        <v>2310</v>
      </c>
      <c r="F3025">
        <v>8</v>
      </c>
      <c r="G3025">
        <v>8.1999999999999993</v>
      </c>
      <c r="H3025" t="s">
        <v>2022</v>
      </c>
      <c r="I3025" s="21">
        <v>40233.343263888899</v>
      </c>
      <c r="J3025">
        <v>2010</v>
      </c>
      <c r="K3025" s="21">
        <v>40233.343263888899</v>
      </c>
      <c r="L3025">
        <v>2010</v>
      </c>
      <c r="M3025" s="21">
        <v>40373.463043981501</v>
      </c>
      <c r="N3025">
        <v>2010</v>
      </c>
      <c r="Q3025" s="262">
        <v>20000</v>
      </c>
      <c r="R3025" s="262">
        <v>15000</v>
      </c>
      <c r="S3025" t="s">
        <v>114</v>
      </c>
      <c r="T3025" t="s">
        <v>114</v>
      </c>
      <c r="U3025">
        <v>5</v>
      </c>
      <c r="W3025">
        <v>144</v>
      </c>
      <c r="X3025">
        <v>0</v>
      </c>
      <c r="Y3025">
        <v>0</v>
      </c>
      <c r="Z3025">
        <v>0</v>
      </c>
      <c r="AA3025">
        <v>0</v>
      </c>
      <c r="AB3025">
        <v>0</v>
      </c>
      <c r="AC3025">
        <v>144</v>
      </c>
      <c r="AD3025">
        <v>0</v>
      </c>
      <c r="AE3025">
        <v>0</v>
      </c>
      <c r="AF3025">
        <v>0</v>
      </c>
      <c r="AG3025">
        <v>0</v>
      </c>
      <c r="AH3025">
        <v>0</v>
      </c>
      <c r="AI3025">
        <v>0</v>
      </c>
      <c r="AJ3025">
        <v>0</v>
      </c>
      <c r="AK3025">
        <v>0</v>
      </c>
      <c r="AL3025">
        <v>0</v>
      </c>
      <c r="AM3025">
        <v>0</v>
      </c>
      <c r="AN3025">
        <v>0</v>
      </c>
      <c r="AO3025">
        <v>0</v>
      </c>
      <c r="AP3025">
        <v>0</v>
      </c>
      <c r="AQ3025">
        <v>0</v>
      </c>
      <c r="AR3025">
        <v>0</v>
      </c>
      <c r="AS3025">
        <v>0</v>
      </c>
      <c r="AT3025">
        <v>0</v>
      </c>
      <c r="AU3025">
        <f t="shared" si="92"/>
        <v>0</v>
      </c>
      <c r="AV3025">
        <f t="shared" si="93"/>
        <v>0</v>
      </c>
    </row>
    <row r="3026" spans="1:48" x14ac:dyDescent="0.25">
      <c r="A3026" t="s">
        <v>10015</v>
      </c>
      <c r="C3026" t="s">
        <v>10016</v>
      </c>
      <c r="D3026" t="s">
        <v>9496</v>
      </c>
      <c r="E3026" t="s">
        <v>2310</v>
      </c>
      <c r="F3026">
        <v>8</v>
      </c>
      <c r="G3026">
        <v>8.3000000000000007</v>
      </c>
      <c r="H3026" t="s">
        <v>2323</v>
      </c>
      <c r="I3026" s="21">
        <v>40235.439814814803</v>
      </c>
      <c r="J3026">
        <v>2010</v>
      </c>
      <c r="K3026" s="21">
        <v>40235.439814814803</v>
      </c>
      <c r="L3026">
        <v>2010</v>
      </c>
      <c r="M3026" s="21">
        <v>40359.7039351852</v>
      </c>
      <c r="N3026">
        <v>2010</v>
      </c>
      <c r="Q3026" s="262">
        <v>49000</v>
      </c>
      <c r="R3026" s="262">
        <v>23000</v>
      </c>
      <c r="S3026" t="s">
        <v>114</v>
      </c>
      <c r="T3026" t="s">
        <v>114</v>
      </c>
      <c r="U3026">
        <v>7</v>
      </c>
      <c r="W3026">
        <v>204</v>
      </c>
      <c r="X3026">
        <v>1</v>
      </c>
      <c r="Y3026">
        <v>0</v>
      </c>
      <c r="Z3026">
        <v>0</v>
      </c>
      <c r="AA3026">
        <v>0</v>
      </c>
      <c r="AB3026">
        <v>0</v>
      </c>
      <c r="AC3026">
        <v>0</v>
      </c>
      <c r="AD3026">
        <v>0</v>
      </c>
      <c r="AE3026">
        <v>204</v>
      </c>
      <c r="AF3026">
        <v>0</v>
      </c>
      <c r="AG3026">
        <v>0</v>
      </c>
      <c r="AH3026">
        <v>0</v>
      </c>
      <c r="AI3026">
        <v>0</v>
      </c>
      <c r="AJ3026">
        <v>0</v>
      </c>
      <c r="AK3026">
        <v>0</v>
      </c>
      <c r="AL3026">
        <v>0</v>
      </c>
      <c r="AM3026">
        <v>0</v>
      </c>
      <c r="AN3026">
        <v>0</v>
      </c>
      <c r="AO3026">
        <v>0</v>
      </c>
      <c r="AP3026">
        <v>0</v>
      </c>
      <c r="AQ3026">
        <v>1</v>
      </c>
      <c r="AR3026">
        <v>0</v>
      </c>
      <c r="AS3026">
        <v>0</v>
      </c>
      <c r="AT3026">
        <v>0</v>
      </c>
      <c r="AU3026">
        <f t="shared" si="92"/>
        <v>1</v>
      </c>
      <c r="AV3026">
        <f t="shared" si="93"/>
        <v>0</v>
      </c>
    </row>
    <row r="3027" spans="1:48" x14ac:dyDescent="0.25">
      <c r="A3027" t="s">
        <v>10017</v>
      </c>
      <c r="C3027" t="s">
        <v>10018</v>
      </c>
      <c r="D3027" t="s">
        <v>9496</v>
      </c>
      <c r="E3027" t="s">
        <v>2310</v>
      </c>
      <c r="F3027">
        <v>8</v>
      </c>
      <c r="G3027">
        <v>8.3000000000000007</v>
      </c>
      <c r="H3027" t="s">
        <v>2323</v>
      </c>
      <c r="I3027" s="21">
        <v>40235.464780092603</v>
      </c>
      <c r="J3027">
        <v>2010</v>
      </c>
      <c r="K3027" s="21">
        <v>40235.464780092603</v>
      </c>
      <c r="L3027">
        <v>2010</v>
      </c>
      <c r="M3027" s="21">
        <v>40359.705405092602</v>
      </c>
      <c r="N3027">
        <v>2010</v>
      </c>
      <c r="Q3027" s="262">
        <v>49000</v>
      </c>
      <c r="R3027" s="262">
        <v>23000</v>
      </c>
      <c r="S3027" t="s">
        <v>114</v>
      </c>
      <c r="T3027" t="s">
        <v>114</v>
      </c>
      <c r="U3027">
        <v>7</v>
      </c>
      <c r="W3027">
        <v>204</v>
      </c>
      <c r="X3027">
        <v>1</v>
      </c>
      <c r="Y3027">
        <v>0</v>
      </c>
      <c r="Z3027">
        <v>0</v>
      </c>
      <c r="AA3027">
        <v>0</v>
      </c>
      <c r="AB3027">
        <v>0</v>
      </c>
      <c r="AC3027">
        <v>0</v>
      </c>
      <c r="AD3027">
        <v>0</v>
      </c>
      <c r="AE3027">
        <v>204</v>
      </c>
      <c r="AF3027">
        <v>0</v>
      </c>
      <c r="AG3027">
        <v>0</v>
      </c>
      <c r="AH3027">
        <v>0</v>
      </c>
      <c r="AI3027">
        <v>0</v>
      </c>
      <c r="AJ3027">
        <v>0</v>
      </c>
      <c r="AK3027">
        <v>0</v>
      </c>
      <c r="AL3027">
        <v>0</v>
      </c>
      <c r="AM3027">
        <v>0</v>
      </c>
      <c r="AN3027">
        <v>0</v>
      </c>
      <c r="AO3027">
        <v>0</v>
      </c>
      <c r="AP3027">
        <v>0</v>
      </c>
      <c r="AQ3027">
        <v>1</v>
      </c>
      <c r="AR3027">
        <v>0</v>
      </c>
      <c r="AS3027">
        <v>0</v>
      </c>
      <c r="AT3027">
        <v>0</v>
      </c>
      <c r="AU3027">
        <f t="shared" si="92"/>
        <v>1</v>
      </c>
      <c r="AV3027">
        <f t="shared" si="93"/>
        <v>0</v>
      </c>
    </row>
    <row r="3028" spans="1:48" x14ac:dyDescent="0.25">
      <c r="A3028" t="s">
        <v>10019</v>
      </c>
      <c r="C3028" t="s">
        <v>10020</v>
      </c>
      <c r="D3028" t="s">
        <v>9496</v>
      </c>
      <c r="E3028" t="s">
        <v>2310</v>
      </c>
      <c r="F3028">
        <v>8</v>
      </c>
      <c r="G3028">
        <v>8.3000000000000007</v>
      </c>
      <c r="H3028" t="s">
        <v>2323</v>
      </c>
      <c r="I3028" s="21">
        <v>40235.472974536999</v>
      </c>
      <c r="J3028">
        <v>2010</v>
      </c>
      <c r="K3028" s="21">
        <v>40235.472974536999</v>
      </c>
      <c r="L3028">
        <v>2010</v>
      </c>
      <c r="M3028" s="21">
        <v>40359.707013888903</v>
      </c>
      <c r="N3028">
        <v>2010</v>
      </c>
      <c r="Q3028" s="262">
        <v>49000</v>
      </c>
      <c r="R3028" s="262">
        <v>23000</v>
      </c>
      <c r="S3028" t="s">
        <v>114</v>
      </c>
      <c r="T3028" t="s">
        <v>114</v>
      </c>
      <c r="U3028">
        <v>7</v>
      </c>
      <c r="W3028">
        <v>204</v>
      </c>
      <c r="X3028">
        <v>1</v>
      </c>
      <c r="Y3028">
        <v>0</v>
      </c>
      <c r="Z3028">
        <v>0</v>
      </c>
      <c r="AA3028">
        <v>0</v>
      </c>
      <c r="AB3028">
        <v>0</v>
      </c>
      <c r="AC3028">
        <v>0</v>
      </c>
      <c r="AD3028">
        <v>0</v>
      </c>
      <c r="AE3028">
        <v>204</v>
      </c>
      <c r="AF3028">
        <v>0</v>
      </c>
      <c r="AG3028">
        <v>0</v>
      </c>
      <c r="AH3028">
        <v>0</v>
      </c>
      <c r="AI3028">
        <v>0</v>
      </c>
      <c r="AJ3028">
        <v>0</v>
      </c>
      <c r="AK3028">
        <v>0</v>
      </c>
      <c r="AL3028">
        <v>0</v>
      </c>
      <c r="AM3028">
        <v>0</v>
      </c>
      <c r="AN3028">
        <v>0</v>
      </c>
      <c r="AO3028">
        <v>0</v>
      </c>
      <c r="AP3028">
        <v>0</v>
      </c>
      <c r="AQ3028">
        <v>1</v>
      </c>
      <c r="AR3028">
        <v>0</v>
      </c>
      <c r="AS3028">
        <v>0</v>
      </c>
      <c r="AT3028">
        <v>0</v>
      </c>
      <c r="AU3028">
        <f t="shared" si="92"/>
        <v>1</v>
      </c>
      <c r="AV3028">
        <f t="shared" si="93"/>
        <v>0</v>
      </c>
    </row>
    <row r="3029" spans="1:48" x14ac:dyDescent="0.25">
      <c r="A3029" t="s">
        <v>10021</v>
      </c>
      <c r="C3029" t="s">
        <v>10022</v>
      </c>
      <c r="D3029" t="s">
        <v>9496</v>
      </c>
      <c r="E3029" t="s">
        <v>2310</v>
      </c>
      <c r="F3029">
        <v>8</v>
      </c>
      <c r="G3029">
        <v>8.3000000000000007</v>
      </c>
      <c r="H3029" t="s">
        <v>2323</v>
      </c>
      <c r="I3029" s="21">
        <v>40235.474594907399</v>
      </c>
      <c r="J3029">
        <v>2010</v>
      </c>
      <c r="K3029" s="21">
        <v>40235.474594907399</v>
      </c>
      <c r="L3029">
        <v>2010</v>
      </c>
      <c r="M3029" s="21">
        <v>40359.7085069444</v>
      </c>
      <c r="N3029">
        <v>2010</v>
      </c>
      <c r="Q3029" s="262">
        <v>49000</v>
      </c>
      <c r="R3029" s="262">
        <v>23000</v>
      </c>
      <c r="S3029" t="s">
        <v>114</v>
      </c>
      <c r="T3029" t="s">
        <v>114</v>
      </c>
      <c r="U3029">
        <v>7</v>
      </c>
      <c r="W3029">
        <v>204</v>
      </c>
      <c r="X3029">
        <v>1</v>
      </c>
      <c r="Y3029">
        <v>0</v>
      </c>
      <c r="Z3029">
        <v>0</v>
      </c>
      <c r="AA3029">
        <v>0</v>
      </c>
      <c r="AB3029">
        <v>0</v>
      </c>
      <c r="AC3029">
        <v>0</v>
      </c>
      <c r="AD3029">
        <v>0</v>
      </c>
      <c r="AE3029">
        <v>204</v>
      </c>
      <c r="AF3029">
        <v>0</v>
      </c>
      <c r="AG3029">
        <v>0</v>
      </c>
      <c r="AH3029">
        <v>0</v>
      </c>
      <c r="AI3029">
        <v>0</v>
      </c>
      <c r="AJ3029">
        <v>0</v>
      </c>
      <c r="AK3029">
        <v>0</v>
      </c>
      <c r="AL3029">
        <v>0</v>
      </c>
      <c r="AM3029">
        <v>0</v>
      </c>
      <c r="AN3029">
        <v>0</v>
      </c>
      <c r="AO3029">
        <v>0</v>
      </c>
      <c r="AP3029">
        <v>0</v>
      </c>
      <c r="AQ3029">
        <v>1</v>
      </c>
      <c r="AR3029">
        <v>0</v>
      </c>
      <c r="AS3029">
        <v>0</v>
      </c>
      <c r="AT3029">
        <v>0</v>
      </c>
      <c r="AU3029">
        <f t="shared" si="92"/>
        <v>1</v>
      </c>
      <c r="AV3029">
        <f t="shared" si="93"/>
        <v>0</v>
      </c>
    </row>
    <row r="3030" spans="1:48" x14ac:dyDescent="0.25">
      <c r="A3030" t="s">
        <v>10023</v>
      </c>
      <c r="C3030" t="s">
        <v>10024</v>
      </c>
      <c r="D3030" t="s">
        <v>9980</v>
      </c>
      <c r="E3030" t="s">
        <v>2310</v>
      </c>
      <c r="F3030">
        <v>13</v>
      </c>
      <c r="G3030">
        <v>13.1</v>
      </c>
      <c r="H3030" t="s">
        <v>2327</v>
      </c>
      <c r="I3030" s="21">
        <v>40238.446250000001</v>
      </c>
      <c r="J3030">
        <v>2010</v>
      </c>
      <c r="K3030" s="21">
        <v>40238.446250000001</v>
      </c>
      <c r="L3030">
        <v>2010</v>
      </c>
      <c r="M3030" s="21">
        <v>40506.425428240698</v>
      </c>
      <c r="N3030">
        <v>2010</v>
      </c>
      <c r="Q3030" s="262">
        <v>1011961</v>
      </c>
      <c r="R3030" s="262">
        <v>671000</v>
      </c>
      <c r="S3030" t="s">
        <v>114</v>
      </c>
      <c r="T3030" t="s">
        <v>114</v>
      </c>
      <c r="U3030">
        <v>6</v>
      </c>
      <c r="W3030">
        <v>8385</v>
      </c>
      <c r="X3030">
        <v>10</v>
      </c>
      <c r="Y3030">
        <v>0</v>
      </c>
      <c r="Z3030">
        <v>0</v>
      </c>
      <c r="AA3030">
        <v>0</v>
      </c>
      <c r="AB3030">
        <v>0</v>
      </c>
      <c r="AC3030">
        <v>0</v>
      </c>
      <c r="AD3030">
        <v>8385</v>
      </c>
      <c r="AE3030">
        <v>0</v>
      </c>
      <c r="AF3030">
        <v>0</v>
      </c>
      <c r="AG3030">
        <v>0</v>
      </c>
      <c r="AH3030">
        <v>0</v>
      </c>
      <c r="AI3030">
        <v>0</v>
      </c>
      <c r="AJ3030">
        <v>0</v>
      </c>
      <c r="AK3030">
        <v>0</v>
      </c>
      <c r="AL3030">
        <v>0</v>
      </c>
      <c r="AM3030">
        <v>0</v>
      </c>
      <c r="AN3030">
        <v>0</v>
      </c>
      <c r="AO3030">
        <v>0</v>
      </c>
      <c r="AP3030">
        <v>10</v>
      </c>
      <c r="AQ3030">
        <v>0</v>
      </c>
      <c r="AR3030">
        <v>0</v>
      </c>
      <c r="AS3030">
        <v>0</v>
      </c>
      <c r="AT3030">
        <v>0</v>
      </c>
      <c r="AU3030">
        <f t="shared" si="92"/>
        <v>10</v>
      </c>
      <c r="AV3030">
        <f t="shared" si="93"/>
        <v>0</v>
      </c>
    </row>
    <row r="3031" spans="1:48" x14ac:dyDescent="0.25">
      <c r="A3031" t="s">
        <v>10025</v>
      </c>
      <c r="C3031" t="s">
        <v>10026</v>
      </c>
      <c r="D3031" t="s">
        <v>10027</v>
      </c>
      <c r="E3031" t="s">
        <v>2310</v>
      </c>
      <c r="F3031">
        <v>10</v>
      </c>
      <c r="G3031">
        <v>10.1</v>
      </c>
      <c r="H3031" t="s">
        <v>2323</v>
      </c>
      <c r="I3031" s="21">
        <v>40238.701678240701</v>
      </c>
      <c r="J3031">
        <v>2010</v>
      </c>
      <c r="K3031" s="21">
        <v>40238.701678240701</v>
      </c>
      <c r="L3031">
        <v>2010</v>
      </c>
      <c r="M3031" s="21">
        <v>40465.4351157407</v>
      </c>
      <c r="N3031">
        <v>2010</v>
      </c>
      <c r="Q3031" s="262">
        <v>70000</v>
      </c>
      <c r="R3031" s="262">
        <v>72000</v>
      </c>
      <c r="S3031" t="s">
        <v>114</v>
      </c>
      <c r="T3031" t="s">
        <v>114</v>
      </c>
      <c r="U3031">
        <v>5</v>
      </c>
      <c r="W3031">
        <v>682</v>
      </c>
      <c r="X3031">
        <v>0</v>
      </c>
      <c r="Y3031">
        <v>0</v>
      </c>
      <c r="Z3031">
        <v>0</v>
      </c>
      <c r="AA3031">
        <v>0</v>
      </c>
      <c r="AB3031">
        <v>0</v>
      </c>
      <c r="AC3031">
        <v>682</v>
      </c>
      <c r="AD3031">
        <v>0</v>
      </c>
      <c r="AE3031">
        <v>0</v>
      </c>
      <c r="AF3031">
        <v>0</v>
      </c>
      <c r="AG3031">
        <v>0</v>
      </c>
      <c r="AH3031">
        <v>0</v>
      </c>
      <c r="AI3031">
        <v>0</v>
      </c>
      <c r="AJ3031">
        <v>0</v>
      </c>
      <c r="AK3031">
        <v>0</v>
      </c>
      <c r="AL3031">
        <v>0</v>
      </c>
      <c r="AM3031">
        <v>0</v>
      </c>
      <c r="AN3031">
        <v>0</v>
      </c>
      <c r="AO3031">
        <v>0</v>
      </c>
      <c r="AP3031">
        <v>0</v>
      </c>
      <c r="AQ3031">
        <v>0</v>
      </c>
      <c r="AR3031">
        <v>0</v>
      </c>
      <c r="AS3031">
        <v>0</v>
      </c>
      <c r="AT3031">
        <v>0</v>
      </c>
      <c r="AU3031">
        <f t="shared" si="92"/>
        <v>0</v>
      </c>
      <c r="AV3031">
        <f t="shared" si="93"/>
        <v>0</v>
      </c>
    </row>
    <row r="3032" spans="1:48" x14ac:dyDescent="0.25">
      <c r="A3032" t="s">
        <v>10028</v>
      </c>
      <c r="C3032" t="s">
        <v>10029</v>
      </c>
      <c r="D3032" t="s">
        <v>10030</v>
      </c>
      <c r="E3032" t="s">
        <v>2310</v>
      </c>
      <c r="F3032">
        <v>10</v>
      </c>
      <c r="G3032">
        <v>10.1</v>
      </c>
      <c r="H3032" t="s">
        <v>2323</v>
      </c>
      <c r="I3032" s="21">
        <v>40239.435393518499</v>
      </c>
      <c r="J3032">
        <v>2010</v>
      </c>
      <c r="K3032" s="21">
        <v>40239.435393518499</v>
      </c>
      <c r="L3032">
        <v>2010</v>
      </c>
      <c r="M3032" s="21">
        <v>40448.4441435185</v>
      </c>
      <c r="N3032">
        <v>2010</v>
      </c>
      <c r="Q3032" s="262">
        <v>70000</v>
      </c>
      <c r="R3032" s="262">
        <v>47000</v>
      </c>
      <c r="S3032" t="s">
        <v>114</v>
      </c>
      <c r="T3032" t="s">
        <v>114</v>
      </c>
      <c r="U3032">
        <v>5</v>
      </c>
      <c r="V3032">
        <v>60</v>
      </c>
      <c r="W3032">
        <v>408</v>
      </c>
      <c r="X3032">
        <v>0</v>
      </c>
      <c r="Y3032">
        <v>0</v>
      </c>
      <c r="Z3032">
        <v>0</v>
      </c>
      <c r="AA3032">
        <v>0</v>
      </c>
      <c r="AB3032">
        <v>0</v>
      </c>
      <c r="AC3032">
        <v>408</v>
      </c>
      <c r="AD3032">
        <v>0</v>
      </c>
      <c r="AE3032">
        <v>0</v>
      </c>
      <c r="AF3032">
        <v>0</v>
      </c>
      <c r="AG3032">
        <v>0</v>
      </c>
      <c r="AH3032">
        <v>0</v>
      </c>
      <c r="AI3032">
        <v>0</v>
      </c>
      <c r="AJ3032">
        <v>0</v>
      </c>
      <c r="AK3032">
        <v>0</v>
      </c>
      <c r="AL3032">
        <v>0</v>
      </c>
      <c r="AM3032">
        <v>0</v>
      </c>
      <c r="AN3032">
        <v>0</v>
      </c>
      <c r="AO3032">
        <v>0</v>
      </c>
      <c r="AP3032">
        <v>0</v>
      </c>
      <c r="AQ3032">
        <v>0</v>
      </c>
      <c r="AR3032">
        <v>0</v>
      </c>
      <c r="AS3032">
        <v>0</v>
      </c>
      <c r="AT3032">
        <v>0</v>
      </c>
      <c r="AU3032">
        <f t="shared" si="92"/>
        <v>0</v>
      </c>
      <c r="AV3032">
        <f t="shared" si="93"/>
        <v>0</v>
      </c>
    </row>
    <row r="3033" spans="1:48" x14ac:dyDescent="0.25">
      <c r="A3033" t="s">
        <v>10031</v>
      </c>
      <c r="C3033" t="s">
        <v>10032</v>
      </c>
      <c r="D3033" t="s">
        <v>10033</v>
      </c>
      <c r="E3033" t="s">
        <v>2310</v>
      </c>
      <c r="F3033">
        <v>9</v>
      </c>
      <c r="G3033">
        <v>9.1</v>
      </c>
      <c r="H3033" t="s">
        <v>2323</v>
      </c>
      <c r="I3033" s="21">
        <v>40241.383055555598</v>
      </c>
      <c r="J3033">
        <v>2010</v>
      </c>
      <c r="K3033" s="21">
        <v>40241.383055555598</v>
      </c>
      <c r="L3033">
        <v>2010</v>
      </c>
      <c r="M3033" s="21">
        <v>40626.584201388898</v>
      </c>
      <c r="N3033">
        <v>2011</v>
      </c>
      <c r="Q3033" s="262">
        <v>230000</v>
      </c>
      <c r="R3033" s="262">
        <v>152000</v>
      </c>
      <c r="S3033" t="s">
        <v>114</v>
      </c>
      <c r="T3033" t="s">
        <v>114</v>
      </c>
      <c r="U3033">
        <v>5</v>
      </c>
      <c r="W3033">
        <v>1414</v>
      </c>
      <c r="X3033">
        <v>0</v>
      </c>
      <c r="Y3033">
        <v>0</v>
      </c>
      <c r="Z3033">
        <v>0</v>
      </c>
      <c r="AA3033">
        <v>0</v>
      </c>
      <c r="AB3033">
        <v>0</v>
      </c>
      <c r="AC3033">
        <v>1414</v>
      </c>
      <c r="AD3033">
        <v>0</v>
      </c>
      <c r="AE3033">
        <v>0</v>
      </c>
      <c r="AF3033">
        <v>0</v>
      </c>
      <c r="AG3033">
        <v>0</v>
      </c>
      <c r="AH3033">
        <v>0</v>
      </c>
      <c r="AI3033">
        <v>0</v>
      </c>
      <c r="AJ3033">
        <v>0</v>
      </c>
      <c r="AK3033">
        <v>0</v>
      </c>
      <c r="AL3033">
        <v>0</v>
      </c>
      <c r="AM3033">
        <v>0</v>
      </c>
      <c r="AN3033">
        <v>0</v>
      </c>
      <c r="AO3033">
        <v>0</v>
      </c>
      <c r="AP3033">
        <v>0</v>
      </c>
      <c r="AQ3033">
        <v>0</v>
      </c>
      <c r="AR3033">
        <v>0</v>
      </c>
      <c r="AS3033">
        <v>0</v>
      </c>
      <c r="AT3033">
        <v>0</v>
      </c>
      <c r="AU3033">
        <f t="shared" ref="AU3033:AU3096" si="94">SUM(AN3033:AQ3033,AS3033)</f>
        <v>0</v>
      </c>
      <c r="AV3033">
        <f t="shared" ref="AV3033:AV3096" si="95">SUM(Y3033:AB3033,AH3033:AM3033)</f>
        <v>0</v>
      </c>
    </row>
    <row r="3034" spans="1:48" x14ac:dyDescent="0.25">
      <c r="A3034" t="s">
        <v>10034</v>
      </c>
      <c r="C3034" t="s">
        <v>10035</v>
      </c>
      <c r="D3034" t="s">
        <v>10036</v>
      </c>
      <c r="E3034" t="s">
        <v>2310</v>
      </c>
      <c r="F3034">
        <v>8</v>
      </c>
      <c r="G3034">
        <v>8.1</v>
      </c>
      <c r="H3034" t="s">
        <v>2323</v>
      </c>
      <c r="I3034" s="21">
        <v>40241.621851851902</v>
      </c>
      <c r="J3034">
        <v>2010</v>
      </c>
      <c r="K3034" s="21">
        <v>40241.621851851902</v>
      </c>
      <c r="L3034">
        <v>2010</v>
      </c>
      <c r="M3034" s="21">
        <v>40781.421990740702</v>
      </c>
      <c r="N3034">
        <v>2011</v>
      </c>
      <c r="Q3034" s="262">
        <v>3000000</v>
      </c>
      <c r="R3034" s="262">
        <v>724000</v>
      </c>
      <c r="S3034" t="s">
        <v>114</v>
      </c>
      <c r="T3034" t="s">
        <v>114</v>
      </c>
      <c r="U3034">
        <v>5</v>
      </c>
      <c r="W3034">
        <v>7504</v>
      </c>
      <c r="X3034">
        <v>2</v>
      </c>
      <c r="Y3034">
        <v>0</v>
      </c>
      <c r="Z3034">
        <v>0</v>
      </c>
      <c r="AA3034">
        <v>0</v>
      </c>
      <c r="AB3034">
        <v>0</v>
      </c>
      <c r="AC3034">
        <v>7504</v>
      </c>
      <c r="AD3034">
        <v>0</v>
      </c>
      <c r="AE3034">
        <v>0</v>
      </c>
      <c r="AF3034">
        <v>0</v>
      </c>
      <c r="AG3034">
        <v>0</v>
      </c>
      <c r="AH3034">
        <v>0</v>
      </c>
      <c r="AI3034">
        <v>0</v>
      </c>
      <c r="AJ3034">
        <v>0</v>
      </c>
      <c r="AK3034">
        <v>0</v>
      </c>
      <c r="AL3034">
        <v>0</v>
      </c>
      <c r="AM3034">
        <v>0</v>
      </c>
      <c r="AN3034">
        <v>0</v>
      </c>
      <c r="AO3034">
        <v>2</v>
      </c>
      <c r="AP3034">
        <v>0</v>
      </c>
      <c r="AQ3034">
        <v>0</v>
      </c>
      <c r="AR3034">
        <v>0</v>
      </c>
      <c r="AS3034">
        <v>0</v>
      </c>
      <c r="AT3034">
        <v>0</v>
      </c>
      <c r="AU3034">
        <f t="shared" si="94"/>
        <v>2</v>
      </c>
      <c r="AV3034">
        <f t="shared" si="95"/>
        <v>0</v>
      </c>
    </row>
    <row r="3035" spans="1:48" x14ac:dyDescent="0.25">
      <c r="A3035" t="s">
        <v>10037</v>
      </c>
      <c r="C3035" t="s">
        <v>10038</v>
      </c>
      <c r="D3035" t="s">
        <v>10039</v>
      </c>
      <c r="E3035" t="s">
        <v>2310</v>
      </c>
      <c r="F3035">
        <v>8</v>
      </c>
      <c r="G3035">
        <v>8.1</v>
      </c>
      <c r="H3035" t="s">
        <v>2323</v>
      </c>
      <c r="I3035" s="21">
        <v>40247.470925925903</v>
      </c>
      <c r="J3035">
        <v>2010</v>
      </c>
      <c r="K3035" s="21">
        <v>40247.470925925903</v>
      </c>
      <c r="L3035">
        <v>2010</v>
      </c>
      <c r="M3035" s="21">
        <v>40602.383090277799</v>
      </c>
      <c r="N3035">
        <v>2011</v>
      </c>
      <c r="Q3035" s="262">
        <v>200000</v>
      </c>
      <c r="R3035" s="262">
        <v>38000</v>
      </c>
      <c r="S3035" t="s">
        <v>114</v>
      </c>
      <c r="T3035" t="s">
        <v>114</v>
      </c>
      <c r="U3035">
        <v>8</v>
      </c>
      <c r="W3035">
        <v>372</v>
      </c>
      <c r="X3035">
        <v>1</v>
      </c>
      <c r="Y3035">
        <v>0</v>
      </c>
      <c r="Z3035">
        <v>0</v>
      </c>
      <c r="AA3035">
        <v>0</v>
      </c>
      <c r="AB3035">
        <v>0</v>
      </c>
      <c r="AC3035">
        <v>0</v>
      </c>
      <c r="AD3035">
        <v>0</v>
      </c>
      <c r="AE3035">
        <v>0</v>
      </c>
      <c r="AF3035">
        <v>372</v>
      </c>
      <c r="AG3035">
        <v>0</v>
      </c>
      <c r="AH3035">
        <v>0</v>
      </c>
      <c r="AI3035">
        <v>0</v>
      </c>
      <c r="AJ3035">
        <v>0</v>
      </c>
      <c r="AK3035">
        <v>0</v>
      </c>
      <c r="AL3035">
        <v>0</v>
      </c>
      <c r="AM3035">
        <v>0</v>
      </c>
      <c r="AN3035">
        <v>0</v>
      </c>
      <c r="AO3035">
        <v>0</v>
      </c>
      <c r="AP3035">
        <v>0</v>
      </c>
      <c r="AQ3035">
        <v>0</v>
      </c>
      <c r="AR3035">
        <v>1</v>
      </c>
      <c r="AS3035">
        <v>0</v>
      </c>
      <c r="AT3035">
        <v>0</v>
      </c>
      <c r="AU3035">
        <f t="shared" si="94"/>
        <v>0</v>
      </c>
      <c r="AV3035">
        <f t="shared" si="95"/>
        <v>0</v>
      </c>
    </row>
    <row r="3036" spans="1:48" x14ac:dyDescent="0.25">
      <c r="A3036" t="s">
        <v>10040</v>
      </c>
      <c r="C3036" t="s">
        <v>10041</v>
      </c>
      <c r="D3036" t="s">
        <v>10039</v>
      </c>
      <c r="E3036" t="s">
        <v>2310</v>
      </c>
      <c r="F3036">
        <v>8</v>
      </c>
      <c r="G3036">
        <v>8.1</v>
      </c>
      <c r="H3036" t="s">
        <v>2323</v>
      </c>
      <c r="I3036" s="21">
        <v>40247.495335648098</v>
      </c>
      <c r="J3036">
        <v>2010</v>
      </c>
      <c r="K3036" s="21">
        <v>40247.495335648098</v>
      </c>
      <c r="L3036">
        <v>2010</v>
      </c>
      <c r="M3036" s="21">
        <v>40602.408819444398</v>
      </c>
      <c r="N3036">
        <v>2011</v>
      </c>
      <c r="Q3036" s="262">
        <v>300000</v>
      </c>
      <c r="R3036" s="262">
        <v>61000</v>
      </c>
      <c r="S3036" t="s">
        <v>114</v>
      </c>
      <c r="T3036" t="s">
        <v>114</v>
      </c>
      <c r="U3036">
        <v>5</v>
      </c>
      <c r="W3036">
        <v>594</v>
      </c>
      <c r="X3036">
        <v>0</v>
      </c>
      <c r="Y3036">
        <v>0</v>
      </c>
      <c r="Z3036">
        <v>0</v>
      </c>
      <c r="AA3036">
        <v>0</v>
      </c>
      <c r="AB3036">
        <v>0</v>
      </c>
      <c r="AC3036">
        <v>594</v>
      </c>
      <c r="AD3036">
        <v>0</v>
      </c>
      <c r="AE3036">
        <v>0</v>
      </c>
      <c r="AF3036">
        <v>0</v>
      </c>
      <c r="AG3036">
        <v>0</v>
      </c>
      <c r="AH3036">
        <v>0</v>
      </c>
      <c r="AI3036">
        <v>0</v>
      </c>
      <c r="AJ3036">
        <v>0</v>
      </c>
      <c r="AK3036">
        <v>0</v>
      </c>
      <c r="AL3036">
        <v>0</v>
      </c>
      <c r="AM3036">
        <v>0</v>
      </c>
      <c r="AN3036">
        <v>0</v>
      </c>
      <c r="AO3036">
        <v>0</v>
      </c>
      <c r="AP3036">
        <v>0</v>
      </c>
      <c r="AQ3036">
        <v>0</v>
      </c>
      <c r="AR3036">
        <v>0</v>
      </c>
      <c r="AS3036">
        <v>0</v>
      </c>
      <c r="AT3036">
        <v>0</v>
      </c>
      <c r="AU3036">
        <f t="shared" si="94"/>
        <v>0</v>
      </c>
      <c r="AV3036">
        <f t="shared" si="95"/>
        <v>0</v>
      </c>
    </row>
    <row r="3037" spans="1:48" x14ac:dyDescent="0.25">
      <c r="A3037" t="s">
        <v>10042</v>
      </c>
      <c r="C3037" t="s">
        <v>10043</v>
      </c>
      <c r="D3037" t="s">
        <v>7243</v>
      </c>
      <c r="E3037" t="s">
        <v>2310</v>
      </c>
      <c r="F3037">
        <v>9</v>
      </c>
      <c r="G3037">
        <v>9.1999999999999993</v>
      </c>
      <c r="H3037" t="s">
        <v>2022</v>
      </c>
      <c r="I3037" s="21">
        <v>40247.632175925901</v>
      </c>
      <c r="J3037">
        <v>2010</v>
      </c>
      <c r="K3037" s="21">
        <v>40247.632175925901</v>
      </c>
      <c r="L3037">
        <v>2010</v>
      </c>
      <c r="M3037" s="21">
        <v>40522.657812500001</v>
      </c>
      <c r="N3037">
        <v>2010</v>
      </c>
      <c r="Q3037" s="262">
        <v>400000</v>
      </c>
      <c r="R3037" s="262">
        <v>94000</v>
      </c>
      <c r="S3037" t="s">
        <v>114</v>
      </c>
      <c r="T3037" t="s">
        <v>114</v>
      </c>
      <c r="U3037">
        <v>5</v>
      </c>
      <c r="W3037">
        <v>619</v>
      </c>
      <c r="X3037">
        <v>0</v>
      </c>
      <c r="Y3037">
        <v>0</v>
      </c>
      <c r="Z3037">
        <v>0</v>
      </c>
      <c r="AA3037">
        <v>0</v>
      </c>
      <c r="AB3037">
        <v>0</v>
      </c>
      <c r="AC3037">
        <v>619</v>
      </c>
      <c r="AD3037">
        <v>0</v>
      </c>
      <c r="AE3037">
        <v>0</v>
      </c>
      <c r="AF3037">
        <v>0</v>
      </c>
      <c r="AG3037">
        <v>0</v>
      </c>
      <c r="AH3037">
        <v>0</v>
      </c>
      <c r="AI3037">
        <v>0</v>
      </c>
      <c r="AJ3037">
        <v>0</v>
      </c>
      <c r="AK3037">
        <v>0</v>
      </c>
      <c r="AL3037">
        <v>0</v>
      </c>
      <c r="AM3037">
        <v>0</v>
      </c>
      <c r="AN3037">
        <v>0</v>
      </c>
      <c r="AO3037">
        <v>0</v>
      </c>
      <c r="AP3037">
        <v>0</v>
      </c>
      <c r="AQ3037">
        <v>0</v>
      </c>
      <c r="AR3037">
        <v>0</v>
      </c>
      <c r="AS3037">
        <v>0</v>
      </c>
      <c r="AT3037">
        <v>0</v>
      </c>
      <c r="AU3037">
        <f t="shared" si="94"/>
        <v>0</v>
      </c>
      <c r="AV3037">
        <f t="shared" si="95"/>
        <v>0</v>
      </c>
    </row>
    <row r="3038" spans="1:48" x14ac:dyDescent="0.25">
      <c r="A3038" t="s">
        <v>10044</v>
      </c>
      <c r="C3038" t="s">
        <v>10045</v>
      </c>
      <c r="D3038" t="s">
        <v>10046</v>
      </c>
      <c r="E3038" t="s">
        <v>2310</v>
      </c>
      <c r="F3038">
        <v>15</v>
      </c>
      <c r="G3038">
        <v>15.2</v>
      </c>
      <c r="H3038" t="s">
        <v>2323</v>
      </c>
      <c r="I3038" s="21">
        <v>40248.560335648202</v>
      </c>
      <c r="J3038">
        <v>2010</v>
      </c>
      <c r="K3038" s="21">
        <v>40248.560335648202</v>
      </c>
      <c r="L3038">
        <v>2010</v>
      </c>
      <c r="M3038" s="21">
        <v>40561.561296296299</v>
      </c>
      <c r="N3038">
        <v>2011</v>
      </c>
      <c r="Q3038" s="262">
        <v>180000</v>
      </c>
      <c r="R3038" s="262">
        <v>25000</v>
      </c>
      <c r="S3038" t="s">
        <v>114</v>
      </c>
      <c r="T3038" t="s">
        <v>114</v>
      </c>
      <c r="U3038">
        <v>5</v>
      </c>
      <c r="W3038">
        <v>244</v>
      </c>
      <c r="X3038">
        <v>0</v>
      </c>
      <c r="Y3038">
        <v>0</v>
      </c>
      <c r="Z3038">
        <v>0</v>
      </c>
      <c r="AA3038">
        <v>0</v>
      </c>
      <c r="AB3038">
        <v>0</v>
      </c>
      <c r="AC3038">
        <v>244</v>
      </c>
      <c r="AD3038">
        <v>0</v>
      </c>
      <c r="AE3038">
        <v>0</v>
      </c>
      <c r="AF3038">
        <v>0</v>
      </c>
      <c r="AG3038">
        <v>0</v>
      </c>
      <c r="AH3038">
        <v>0</v>
      </c>
      <c r="AI3038">
        <v>0</v>
      </c>
      <c r="AJ3038">
        <v>0</v>
      </c>
      <c r="AK3038">
        <v>0</v>
      </c>
      <c r="AL3038">
        <v>0</v>
      </c>
      <c r="AM3038">
        <v>0</v>
      </c>
      <c r="AN3038">
        <v>0</v>
      </c>
      <c r="AO3038">
        <v>0</v>
      </c>
      <c r="AP3038">
        <v>0</v>
      </c>
      <c r="AQ3038">
        <v>0</v>
      </c>
      <c r="AR3038">
        <v>0</v>
      </c>
      <c r="AS3038">
        <v>0</v>
      </c>
      <c r="AT3038">
        <v>0</v>
      </c>
      <c r="AU3038">
        <f t="shared" si="94"/>
        <v>0</v>
      </c>
      <c r="AV3038">
        <f t="shared" si="95"/>
        <v>0</v>
      </c>
    </row>
    <row r="3039" spans="1:48" x14ac:dyDescent="0.25">
      <c r="A3039" t="s">
        <v>10047</v>
      </c>
      <c r="C3039" t="s">
        <v>10048</v>
      </c>
      <c r="D3039" t="s">
        <v>10049</v>
      </c>
      <c r="E3039" t="s">
        <v>2310</v>
      </c>
      <c r="F3039">
        <v>13</v>
      </c>
      <c r="G3039">
        <v>13.3</v>
      </c>
      <c r="H3039" t="s">
        <v>2017</v>
      </c>
      <c r="I3039" s="21">
        <v>40248.652974536999</v>
      </c>
      <c r="J3039">
        <v>2010</v>
      </c>
      <c r="K3039" s="21">
        <v>40248.652974536999</v>
      </c>
      <c r="L3039">
        <v>2010</v>
      </c>
      <c r="M3039" s="21">
        <v>40620.336666666699</v>
      </c>
      <c r="N3039">
        <v>2011</v>
      </c>
      <c r="Q3039" s="262">
        <v>350000</v>
      </c>
      <c r="R3039" s="262">
        <v>135000</v>
      </c>
      <c r="S3039" t="s">
        <v>114</v>
      </c>
      <c r="T3039" t="s">
        <v>114</v>
      </c>
      <c r="U3039">
        <v>5</v>
      </c>
      <c r="W3039">
        <v>1701</v>
      </c>
      <c r="X3039">
        <v>0</v>
      </c>
      <c r="Y3039">
        <v>0</v>
      </c>
      <c r="Z3039">
        <v>0</v>
      </c>
      <c r="AA3039">
        <v>0</v>
      </c>
      <c r="AB3039">
        <v>0</v>
      </c>
      <c r="AC3039">
        <v>1701</v>
      </c>
      <c r="AD3039">
        <v>0</v>
      </c>
      <c r="AE3039">
        <v>0</v>
      </c>
      <c r="AF3039">
        <v>0</v>
      </c>
      <c r="AG3039">
        <v>0</v>
      </c>
      <c r="AH3039">
        <v>0</v>
      </c>
      <c r="AI3039">
        <v>0</v>
      </c>
      <c r="AJ3039">
        <v>0</v>
      </c>
      <c r="AK3039">
        <v>0</v>
      </c>
      <c r="AL3039">
        <v>0</v>
      </c>
      <c r="AM3039">
        <v>0</v>
      </c>
      <c r="AN3039">
        <v>0</v>
      </c>
      <c r="AO3039">
        <v>0</v>
      </c>
      <c r="AP3039">
        <v>0</v>
      </c>
      <c r="AQ3039">
        <v>0</v>
      </c>
      <c r="AR3039">
        <v>0</v>
      </c>
      <c r="AS3039">
        <v>0</v>
      </c>
      <c r="AT3039">
        <v>0</v>
      </c>
      <c r="AU3039">
        <f t="shared" si="94"/>
        <v>0</v>
      </c>
      <c r="AV3039">
        <f t="shared" si="95"/>
        <v>0</v>
      </c>
    </row>
    <row r="3040" spans="1:48" x14ac:dyDescent="0.25">
      <c r="A3040" t="s">
        <v>10050</v>
      </c>
      <c r="C3040" t="s">
        <v>10051</v>
      </c>
      <c r="D3040" t="s">
        <v>10052</v>
      </c>
      <c r="E3040" t="s">
        <v>1663</v>
      </c>
      <c r="F3040">
        <v>3</v>
      </c>
      <c r="G3040">
        <v>3.1</v>
      </c>
      <c r="H3040" t="s">
        <v>2017</v>
      </c>
      <c r="I3040" s="21">
        <v>40249</v>
      </c>
      <c r="J3040">
        <v>2010</v>
      </c>
      <c r="K3040" s="21">
        <v>40280</v>
      </c>
      <c r="L3040">
        <v>2010</v>
      </c>
      <c r="M3040" s="21">
        <v>40433</v>
      </c>
      <c r="N3040">
        <v>2010</v>
      </c>
      <c r="Q3040" s="262">
        <v>200000</v>
      </c>
      <c r="S3040" t="s">
        <v>114</v>
      </c>
      <c r="T3040" t="s">
        <v>114</v>
      </c>
      <c r="W3040">
        <v>2720</v>
      </c>
      <c r="X3040">
        <v>1</v>
      </c>
      <c r="Y3040">
        <v>0</v>
      </c>
      <c r="Z3040">
        <v>0</v>
      </c>
      <c r="AA3040">
        <v>0</v>
      </c>
      <c r="AB3040">
        <v>0</v>
      </c>
      <c r="AC3040">
        <v>2720</v>
      </c>
      <c r="AD3040">
        <v>0</v>
      </c>
      <c r="AE3040">
        <v>0</v>
      </c>
      <c r="AF3040">
        <v>0</v>
      </c>
      <c r="AG3040">
        <v>0</v>
      </c>
      <c r="AH3040">
        <v>0</v>
      </c>
      <c r="AI3040">
        <v>0</v>
      </c>
      <c r="AJ3040">
        <v>0</v>
      </c>
      <c r="AK3040">
        <v>0</v>
      </c>
      <c r="AL3040">
        <v>0</v>
      </c>
      <c r="AM3040">
        <v>0</v>
      </c>
      <c r="AN3040">
        <v>0</v>
      </c>
      <c r="AO3040">
        <v>1</v>
      </c>
      <c r="AP3040">
        <v>0</v>
      </c>
      <c r="AQ3040">
        <v>0</v>
      </c>
      <c r="AR3040">
        <v>0</v>
      </c>
      <c r="AS3040">
        <v>0</v>
      </c>
      <c r="AT3040">
        <v>0</v>
      </c>
      <c r="AU3040">
        <f t="shared" si="94"/>
        <v>1</v>
      </c>
      <c r="AV3040">
        <f t="shared" si="95"/>
        <v>0</v>
      </c>
    </row>
    <row r="3041" spans="1:48" x14ac:dyDescent="0.25">
      <c r="A3041" t="s">
        <v>10053</v>
      </c>
      <c r="C3041" t="s">
        <v>10054</v>
      </c>
      <c r="D3041" t="s">
        <v>10052</v>
      </c>
      <c r="E3041" t="s">
        <v>1663</v>
      </c>
      <c r="F3041">
        <v>3</v>
      </c>
      <c r="G3041">
        <v>3.1</v>
      </c>
      <c r="H3041" t="s">
        <v>2017</v>
      </c>
      <c r="I3041" s="21">
        <v>40249</v>
      </c>
      <c r="J3041">
        <v>2010</v>
      </c>
      <c r="K3041" s="21">
        <v>40280</v>
      </c>
      <c r="L3041">
        <v>2010</v>
      </c>
      <c r="M3041" s="21">
        <v>40433</v>
      </c>
      <c r="N3041">
        <v>2010</v>
      </c>
      <c r="Q3041" s="262">
        <v>100000</v>
      </c>
      <c r="S3041" t="s">
        <v>114</v>
      </c>
      <c r="T3041" t="s">
        <v>114</v>
      </c>
      <c r="W3041">
        <v>1590</v>
      </c>
      <c r="X3041">
        <v>1</v>
      </c>
      <c r="Y3041">
        <v>0</v>
      </c>
      <c r="Z3041">
        <v>0</v>
      </c>
      <c r="AA3041">
        <v>0</v>
      </c>
      <c r="AB3041">
        <v>0</v>
      </c>
      <c r="AC3041">
        <v>0</v>
      </c>
      <c r="AD3041">
        <v>0</v>
      </c>
      <c r="AE3041">
        <v>1590</v>
      </c>
      <c r="AF3041">
        <v>0</v>
      </c>
      <c r="AG3041">
        <v>0</v>
      </c>
      <c r="AH3041">
        <v>0</v>
      </c>
      <c r="AI3041">
        <v>0</v>
      </c>
      <c r="AJ3041">
        <v>0</v>
      </c>
      <c r="AK3041">
        <v>0</v>
      </c>
      <c r="AL3041">
        <v>0</v>
      </c>
      <c r="AM3041">
        <v>0</v>
      </c>
      <c r="AN3041">
        <v>0</v>
      </c>
      <c r="AO3041">
        <v>0</v>
      </c>
      <c r="AP3041">
        <v>0</v>
      </c>
      <c r="AQ3041">
        <v>1</v>
      </c>
      <c r="AR3041">
        <v>0</v>
      </c>
      <c r="AS3041">
        <v>0</v>
      </c>
      <c r="AT3041">
        <v>0</v>
      </c>
      <c r="AU3041">
        <f t="shared" si="94"/>
        <v>1</v>
      </c>
      <c r="AV3041">
        <f t="shared" si="95"/>
        <v>0</v>
      </c>
    </row>
    <row r="3042" spans="1:48" x14ac:dyDescent="0.25">
      <c r="A3042" t="s">
        <v>10055</v>
      </c>
      <c r="C3042" t="s">
        <v>10056</v>
      </c>
      <c r="D3042" t="s">
        <v>10057</v>
      </c>
      <c r="E3042" t="s">
        <v>2310</v>
      </c>
      <c r="F3042">
        <v>8</v>
      </c>
      <c r="G3042">
        <v>8.1</v>
      </c>
      <c r="H3042" t="s">
        <v>2323</v>
      </c>
      <c r="I3042" s="21">
        <v>40249.540092592601</v>
      </c>
      <c r="J3042">
        <v>2010</v>
      </c>
      <c r="K3042" s="21">
        <v>40249.540092592601</v>
      </c>
      <c r="L3042">
        <v>2010</v>
      </c>
      <c r="M3042" s="21">
        <v>40514.670763888898</v>
      </c>
      <c r="N3042">
        <v>2010</v>
      </c>
      <c r="Q3042" s="262">
        <v>225000</v>
      </c>
      <c r="R3042" s="262">
        <v>77000</v>
      </c>
      <c r="S3042" t="s">
        <v>114</v>
      </c>
      <c r="T3042" t="s">
        <v>114</v>
      </c>
      <c r="U3042">
        <v>5</v>
      </c>
      <c r="W3042">
        <v>688</v>
      </c>
      <c r="X3042">
        <v>0</v>
      </c>
      <c r="Y3042">
        <v>0</v>
      </c>
      <c r="Z3042">
        <v>0</v>
      </c>
      <c r="AA3042">
        <v>0</v>
      </c>
      <c r="AB3042">
        <v>0</v>
      </c>
      <c r="AC3042">
        <v>688</v>
      </c>
      <c r="AD3042">
        <v>0</v>
      </c>
      <c r="AE3042">
        <v>0</v>
      </c>
      <c r="AF3042">
        <v>0</v>
      </c>
      <c r="AG3042">
        <v>0</v>
      </c>
      <c r="AH3042">
        <v>0</v>
      </c>
      <c r="AI3042">
        <v>0</v>
      </c>
      <c r="AJ3042">
        <v>0</v>
      </c>
      <c r="AK3042">
        <v>0</v>
      </c>
      <c r="AL3042">
        <v>0</v>
      </c>
      <c r="AM3042">
        <v>0</v>
      </c>
      <c r="AN3042">
        <v>0</v>
      </c>
      <c r="AO3042">
        <v>0</v>
      </c>
      <c r="AP3042">
        <v>0</v>
      </c>
      <c r="AQ3042">
        <v>0</v>
      </c>
      <c r="AR3042">
        <v>0</v>
      </c>
      <c r="AS3042">
        <v>0</v>
      </c>
      <c r="AT3042">
        <v>0</v>
      </c>
      <c r="AU3042">
        <f t="shared" si="94"/>
        <v>0</v>
      </c>
      <c r="AV3042">
        <f t="shared" si="95"/>
        <v>0</v>
      </c>
    </row>
    <row r="3043" spans="1:48" x14ac:dyDescent="0.25">
      <c r="A3043" t="s">
        <v>10058</v>
      </c>
      <c r="C3043" t="s">
        <v>10059</v>
      </c>
      <c r="D3043" t="s">
        <v>10060</v>
      </c>
      <c r="E3043" t="s">
        <v>2310</v>
      </c>
      <c r="F3043">
        <v>15</v>
      </c>
      <c r="G3043">
        <v>15.2</v>
      </c>
      <c r="H3043" t="s">
        <v>2323</v>
      </c>
      <c r="I3043" s="21">
        <v>40249.6170486111</v>
      </c>
      <c r="J3043">
        <v>2010</v>
      </c>
      <c r="K3043" s="21">
        <v>40249.6170486111</v>
      </c>
      <c r="L3043">
        <v>2010</v>
      </c>
      <c r="M3043" s="21">
        <v>40570.429444444402</v>
      </c>
      <c r="N3043">
        <v>2011</v>
      </c>
      <c r="Q3043" s="262">
        <v>578000</v>
      </c>
      <c r="R3043" s="262">
        <v>175000</v>
      </c>
      <c r="S3043" t="s">
        <v>114</v>
      </c>
      <c r="T3043" t="s">
        <v>114</v>
      </c>
      <c r="U3043">
        <v>5</v>
      </c>
      <c r="W3043">
        <v>2130</v>
      </c>
      <c r="X3043">
        <v>0</v>
      </c>
      <c r="Y3043">
        <v>0</v>
      </c>
      <c r="Z3043">
        <v>0</v>
      </c>
      <c r="AA3043">
        <v>0</v>
      </c>
      <c r="AB3043">
        <v>0</v>
      </c>
      <c r="AC3043">
        <v>2130</v>
      </c>
      <c r="AD3043">
        <v>0</v>
      </c>
      <c r="AE3043">
        <v>0</v>
      </c>
      <c r="AF3043">
        <v>0</v>
      </c>
      <c r="AG3043">
        <v>0</v>
      </c>
      <c r="AH3043">
        <v>0</v>
      </c>
      <c r="AI3043">
        <v>0</v>
      </c>
      <c r="AJ3043">
        <v>0</v>
      </c>
      <c r="AK3043">
        <v>0</v>
      </c>
      <c r="AL3043">
        <v>0</v>
      </c>
      <c r="AM3043">
        <v>0</v>
      </c>
      <c r="AN3043">
        <v>0</v>
      </c>
      <c r="AO3043">
        <v>0</v>
      </c>
      <c r="AP3043">
        <v>0</v>
      </c>
      <c r="AQ3043">
        <v>0</v>
      </c>
      <c r="AR3043">
        <v>0</v>
      </c>
      <c r="AS3043">
        <v>0</v>
      </c>
      <c r="AT3043">
        <v>0</v>
      </c>
      <c r="AU3043">
        <f t="shared" si="94"/>
        <v>0</v>
      </c>
      <c r="AV3043">
        <f t="shared" si="95"/>
        <v>0</v>
      </c>
    </row>
    <row r="3044" spans="1:48" x14ac:dyDescent="0.25">
      <c r="A3044" t="s">
        <v>10061</v>
      </c>
      <c r="C3044" t="s">
        <v>10062</v>
      </c>
      <c r="D3044" t="s">
        <v>10063</v>
      </c>
      <c r="E3044" t="s">
        <v>1663</v>
      </c>
      <c r="F3044">
        <v>5</v>
      </c>
      <c r="G3044">
        <v>5.5</v>
      </c>
      <c r="H3044" t="s">
        <v>2017</v>
      </c>
      <c r="I3044" s="21">
        <v>40252</v>
      </c>
      <c r="J3044">
        <v>2010</v>
      </c>
      <c r="K3044" s="21">
        <v>40283</v>
      </c>
      <c r="L3044">
        <v>2010</v>
      </c>
      <c r="M3044" s="21">
        <v>40436</v>
      </c>
      <c r="N3044">
        <v>2010</v>
      </c>
      <c r="Q3044" s="262">
        <v>525000</v>
      </c>
      <c r="S3044" t="s">
        <v>114</v>
      </c>
      <c r="T3044" t="s">
        <v>114</v>
      </c>
      <c r="W3044">
        <v>3600</v>
      </c>
      <c r="X3044">
        <v>1</v>
      </c>
      <c r="Y3044">
        <v>0</v>
      </c>
      <c r="Z3044">
        <v>0</v>
      </c>
      <c r="AA3044">
        <v>0</v>
      </c>
      <c r="AB3044">
        <v>0</v>
      </c>
      <c r="AC3044">
        <v>3600</v>
      </c>
      <c r="AD3044">
        <v>0</v>
      </c>
      <c r="AE3044">
        <v>0</v>
      </c>
      <c r="AF3044">
        <v>0</v>
      </c>
      <c r="AG3044">
        <v>0</v>
      </c>
      <c r="AH3044">
        <v>0</v>
      </c>
      <c r="AI3044">
        <v>0</v>
      </c>
      <c r="AJ3044">
        <v>0</v>
      </c>
      <c r="AK3044">
        <v>0</v>
      </c>
      <c r="AL3044">
        <v>0</v>
      </c>
      <c r="AM3044">
        <v>0</v>
      </c>
      <c r="AN3044">
        <v>0</v>
      </c>
      <c r="AO3044">
        <v>1</v>
      </c>
      <c r="AP3044">
        <v>0</v>
      </c>
      <c r="AQ3044">
        <v>0</v>
      </c>
      <c r="AR3044">
        <v>0</v>
      </c>
      <c r="AS3044">
        <v>0</v>
      </c>
      <c r="AT3044">
        <v>0</v>
      </c>
      <c r="AU3044">
        <f t="shared" si="94"/>
        <v>1</v>
      </c>
      <c r="AV3044">
        <f t="shared" si="95"/>
        <v>0</v>
      </c>
    </row>
    <row r="3045" spans="1:48" x14ac:dyDescent="0.25">
      <c r="A3045" t="s">
        <v>10064</v>
      </c>
      <c r="C3045" t="s">
        <v>10065</v>
      </c>
      <c r="D3045" t="s">
        <v>10066</v>
      </c>
      <c r="E3045" t="s">
        <v>2310</v>
      </c>
      <c r="F3045">
        <v>13</v>
      </c>
      <c r="G3045">
        <v>13.3</v>
      </c>
      <c r="H3045" t="s">
        <v>2017</v>
      </c>
      <c r="I3045" s="21">
        <v>40255.683923611097</v>
      </c>
      <c r="J3045">
        <v>2010</v>
      </c>
      <c r="K3045" s="21">
        <v>40255.683923611097</v>
      </c>
      <c r="L3045">
        <v>2010</v>
      </c>
      <c r="M3045" s="21">
        <v>40784.345844907402</v>
      </c>
      <c r="N3045">
        <v>2011</v>
      </c>
      <c r="Q3045" s="262">
        <v>80000</v>
      </c>
      <c r="R3045" s="262">
        <v>41000</v>
      </c>
      <c r="S3045" t="s">
        <v>114</v>
      </c>
      <c r="T3045" t="s">
        <v>114</v>
      </c>
      <c r="U3045">
        <v>5</v>
      </c>
      <c r="V3045">
        <v>140</v>
      </c>
      <c r="W3045">
        <v>340</v>
      </c>
      <c r="X3045">
        <v>0</v>
      </c>
      <c r="Y3045">
        <v>0</v>
      </c>
      <c r="Z3045">
        <v>0</v>
      </c>
      <c r="AA3045">
        <v>0</v>
      </c>
      <c r="AB3045">
        <v>0</v>
      </c>
      <c r="AC3045">
        <v>340</v>
      </c>
      <c r="AD3045">
        <v>0</v>
      </c>
      <c r="AE3045">
        <v>0</v>
      </c>
      <c r="AF3045">
        <v>0</v>
      </c>
      <c r="AG3045">
        <v>0</v>
      </c>
      <c r="AH3045">
        <v>0</v>
      </c>
      <c r="AI3045">
        <v>0</v>
      </c>
      <c r="AJ3045">
        <v>0</v>
      </c>
      <c r="AK3045">
        <v>0</v>
      </c>
      <c r="AL3045">
        <v>0</v>
      </c>
      <c r="AM3045">
        <v>0</v>
      </c>
      <c r="AN3045">
        <v>0</v>
      </c>
      <c r="AO3045">
        <v>0</v>
      </c>
      <c r="AP3045">
        <v>0</v>
      </c>
      <c r="AQ3045">
        <v>0</v>
      </c>
      <c r="AR3045">
        <v>0</v>
      </c>
      <c r="AS3045">
        <v>0</v>
      </c>
      <c r="AT3045">
        <v>0</v>
      </c>
      <c r="AU3045">
        <f t="shared" si="94"/>
        <v>0</v>
      </c>
      <c r="AV3045">
        <f t="shared" si="95"/>
        <v>0</v>
      </c>
    </row>
    <row r="3046" spans="1:48" x14ac:dyDescent="0.25">
      <c r="A3046" t="s">
        <v>10067</v>
      </c>
      <c r="C3046" t="s">
        <v>6180</v>
      </c>
      <c r="D3046" t="s">
        <v>10068</v>
      </c>
      <c r="E3046" t="s">
        <v>1663</v>
      </c>
      <c r="F3046">
        <v>6</v>
      </c>
      <c r="G3046">
        <v>6.2</v>
      </c>
      <c r="H3046" t="s">
        <v>2017</v>
      </c>
      <c r="I3046" s="21">
        <v>40261</v>
      </c>
      <c r="J3046">
        <v>2010</v>
      </c>
      <c r="K3046" s="21">
        <v>40292</v>
      </c>
      <c r="L3046">
        <v>2010</v>
      </c>
      <c r="M3046" s="21">
        <v>40445</v>
      </c>
      <c r="N3046">
        <v>2010</v>
      </c>
      <c r="Q3046" s="262">
        <v>200000</v>
      </c>
      <c r="S3046" t="s">
        <v>114</v>
      </c>
      <c r="T3046" t="s">
        <v>114</v>
      </c>
      <c r="W3046">
        <v>1000</v>
      </c>
      <c r="X3046">
        <v>0</v>
      </c>
      <c r="Y3046">
        <v>0</v>
      </c>
      <c r="Z3046">
        <v>0</v>
      </c>
      <c r="AA3046">
        <v>0</v>
      </c>
      <c r="AB3046">
        <v>0</v>
      </c>
      <c r="AC3046">
        <v>1000</v>
      </c>
      <c r="AD3046">
        <v>0</v>
      </c>
      <c r="AE3046">
        <v>0</v>
      </c>
      <c r="AF3046">
        <v>0</v>
      </c>
      <c r="AG3046">
        <v>0</v>
      </c>
      <c r="AH3046">
        <v>0</v>
      </c>
      <c r="AI3046">
        <v>0</v>
      </c>
      <c r="AJ3046">
        <v>0</v>
      </c>
      <c r="AK3046">
        <v>0</v>
      </c>
      <c r="AL3046">
        <v>0</v>
      </c>
      <c r="AM3046">
        <v>0</v>
      </c>
      <c r="AN3046">
        <v>0</v>
      </c>
      <c r="AO3046">
        <v>0</v>
      </c>
      <c r="AP3046">
        <v>0</v>
      </c>
      <c r="AQ3046">
        <v>0</v>
      </c>
      <c r="AR3046">
        <v>0</v>
      </c>
      <c r="AS3046">
        <v>0</v>
      </c>
      <c r="AT3046">
        <v>0</v>
      </c>
      <c r="AU3046">
        <f t="shared" si="94"/>
        <v>0</v>
      </c>
      <c r="AV3046">
        <f t="shared" si="95"/>
        <v>0</v>
      </c>
    </row>
    <row r="3047" spans="1:48" x14ac:dyDescent="0.25">
      <c r="A3047" t="s">
        <v>10069</v>
      </c>
      <c r="C3047" t="s">
        <v>10070</v>
      </c>
      <c r="D3047" t="s">
        <v>10071</v>
      </c>
      <c r="E3047" t="s">
        <v>2310</v>
      </c>
      <c r="F3047">
        <v>10</v>
      </c>
      <c r="G3047">
        <v>10.1</v>
      </c>
      <c r="H3047" t="s">
        <v>2323</v>
      </c>
      <c r="I3047" s="21">
        <v>40267.414652777799</v>
      </c>
      <c r="J3047">
        <v>2010</v>
      </c>
      <c r="K3047" s="21">
        <v>40267.414652777799</v>
      </c>
      <c r="L3047">
        <v>2010</v>
      </c>
      <c r="M3047" s="21">
        <v>41250.407708333303</v>
      </c>
      <c r="N3047">
        <v>2012</v>
      </c>
      <c r="Q3047" s="262">
        <v>92000</v>
      </c>
      <c r="R3047" s="262">
        <v>57000</v>
      </c>
      <c r="S3047" t="s">
        <v>114</v>
      </c>
      <c r="T3047" t="s">
        <v>114</v>
      </c>
      <c r="U3047">
        <v>5</v>
      </c>
      <c r="V3047">
        <v>292</v>
      </c>
      <c r="W3047">
        <v>320</v>
      </c>
      <c r="X3047">
        <v>0</v>
      </c>
      <c r="Y3047">
        <v>0</v>
      </c>
      <c r="Z3047">
        <v>0</v>
      </c>
      <c r="AA3047">
        <v>0</v>
      </c>
      <c r="AB3047">
        <v>0</v>
      </c>
      <c r="AC3047">
        <v>320</v>
      </c>
      <c r="AD3047">
        <v>0</v>
      </c>
      <c r="AE3047">
        <v>0</v>
      </c>
      <c r="AF3047">
        <v>0</v>
      </c>
      <c r="AG3047">
        <v>0</v>
      </c>
      <c r="AH3047">
        <v>0</v>
      </c>
      <c r="AI3047">
        <v>0</v>
      </c>
      <c r="AJ3047">
        <v>0</v>
      </c>
      <c r="AK3047">
        <v>0</v>
      </c>
      <c r="AL3047">
        <v>0</v>
      </c>
      <c r="AM3047">
        <v>0</v>
      </c>
      <c r="AN3047">
        <v>0</v>
      </c>
      <c r="AO3047">
        <v>0</v>
      </c>
      <c r="AP3047">
        <v>0</v>
      </c>
      <c r="AQ3047">
        <v>0</v>
      </c>
      <c r="AR3047">
        <v>0</v>
      </c>
      <c r="AS3047">
        <v>0</v>
      </c>
      <c r="AT3047">
        <v>0</v>
      </c>
      <c r="AU3047">
        <f t="shared" si="94"/>
        <v>0</v>
      </c>
      <c r="AV3047">
        <f t="shared" si="95"/>
        <v>0</v>
      </c>
    </row>
    <row r="3048" spans="1:48" x14ac:dyDescent="0.25">
      <c r="A3048" t="s">
        <v>10072</v>
      </c>
      <c r="C3048" t="s">
        <v>10073</v>
      </c>
      <c r="D3048" t="s">
        <v>10074</v>
      </c>
      <c r="E3048" t="s">
        <v>2310</v>
      </c>
      <c r="F3048">
        <v>8</v>
      </c>
      <c r="G3048">
        <v>8.3000000000000007</v>
      </c>
      <c r="H3048" t="s">
        <v>2323</v>
      </c>
      <c r="I3048" s="21">
        <v>40267.439537036997</v>
      </c>
      <c r="J3048">
        <v>2010</v>
      </c>
      <c r="K3048" s="21">
        <v>40267.439537036997</v>
      </c>
      <c r="L3048">
        <v>2010</v>
      </c>
      <c r="M3048" s="21">
        <v>40480.390509259298</v>
      </c>
      <c r="N3048">
        <v>2010</v>
      </c>
      <c r="Q3048" s="262">
        <v>220000</v>
      </c>
      <c r="R3048" s="262">
        <v>220000</v>
      </c>
      <c r="S3048" t="s">
        <v>114</v>
      </c>
      <c r="T3048" t="s">
        <v>114</v>
      </c>
      <c r="U3048">
        <v>5</v>
      </c>
      <c r="W3048">
        <v>2469</v>
      </c>
      <c r="X3048">
        <v>2</v>
      </c>
      <c r="Y3048">
        <v>0</v>
      </c>
      <c r="Z3048">
        <v>0</v>
      </c>
      <c r="AA3048">
        <v>0</v>
      </c>
      <c r="AB3048">
        <v>0</v>
      </c>
      <c r="AC3048">
        <v>2469</v>
      </c>
      <c r="AD3048">
        <v>0</v>
      </c>
      <c r="AE3048">
        <v>0</v>
      </c>
      <c r="AF3048">
        <v>0</v>
      </c>
      <c r="AG3048">
        <v>0</v>
      </c>
      <c r="AH3048">
        <v>0</v>
      </c>
      <c r="AI3048">
        <v>0</v>
      </c>
      <c r="AJ3048">
        <v>0</v>
      </c>
      <c r="AK3048">
        <v>0</v>
      </c>
      <c r="AL3048">
        <v>0</v>
      </c>
      <c r="AM3048">
        <v>0</v>
      </c>
      <c r="AN3048">
        <v>0</v>
      </c>
      <c r="AO3048">
        <v>2</v>
      </c>
      <c r="AP3048">
        <v>0</v>
      </c>
      <c r="AQ3048">
        <v>0</v>
      </c>
      <c r="AR3048">
        <v>0</v>
      </c>
      <c r="AS3048">
        <v>0</v>
      </c>
      <c r="AT3048">
        <v>0</v>
      </c>
      <c r="AU3048">
        <f t="shared" si="94"/>
        <v>2</v>
      </c>
      <c r="AV3048">
        <f t="shared" si="95"/>
        <v>0</v>
      </c>
    </row>
    <row r="3049" spans="1:48" x14ac:dyDescent="0.25">
      <c r="A3049" t="s">
        <v>10075</v>
      </c>
      <c r="C3049" t="s">
        <v>10076</v>
      </c>
      <c r="D3049" t="s">
        <v>4014</v>
      </c>
      <c r="E3049" t="s">
        <v>2310</v>
      </c>
      <c r="F3049">
        <v>10</v>
      </c>
      <c r="G3049">
        <v>10.1</v>
      </c>
      <c r="H3049" t="s">
        <v>2323</v>
      </c>
      <c r="I3049" s="21">
        <v>40267.475092592598</v>
      </c>
      <c r="J3049">
        <v>2010</v>
      </c>
      <c r="K3049" s="21">
        <v>40267.475092592598</v>
      </c>
      <c r="L3049">
        <v>2010</v>
      </c>
      <c r="M3049" s="21">
        <v>40920.614849537</v>
      </c>
      <c r="N3049">
        <v>2012</v>
      </c>
      <c r="Q3049" s="262">
        <v>100000</v>
      </c>
      <c r="R3049" s="262">
        <v>119000</v>
      </c>
      <c r="S3049" t="s">
        <v>114</v>
      </c>
      <c r="T3049" t="s">
        <v>114</v>
      </c>
      <c r="U3049">
        <v>5</v>
      </c>
      <c r="W3049">
        <v>1713</v>
      </c>
      <c r="X3049">
        <v>0</v>
      </c>
      <c r="Y3049">
        <v>0</v>
      </c>
      <c r="Z3049">
        <v>0</v>
      </c>
      <c r="AA3049">
        <v>0</v>
      </c>
      <c r="AB3049">
        <v>0</v>
      </c>
      <c r="AC3049">
        <v>1713</v>
      </c>
      <c r="AD3049">
        <v>0</v>
      </c>
      <c r="AE3049">
        <v>0</v>
      </c>
      <c r="AF3049">
        <v>0</v>
      </c>
      <c r="AG3049">
        <v>0</v>
      </c>
      <c r="AH3049">
        <v>0</v>
      </c>
      <c r="AI3049">
        <v>0</v>
      </c>
      <c r="AJ3049">
        <v>0</v>
      </c>
      <c r="AK3049">
        <v>0</v>
      </c>
      <c r="AL3049">
        <v>0</v>
      </c>
      <c r="AM3049">
        <v>0</v>
      </c>
      <c r="AN3049">
        <v>0</v>
      </c>
      <c r="AO3049">
        <v>0</v>
      </c>
      <c r="AP3049">
        <v>0</v>
      </c>
      <c r="AQ3049">
        <v>0</v>
      </c>
      <c r="AR3049">
        <v>0</v>
      </c>
      <c r="AS3049">
        <v>0</v>
      </c>
      <c r="AT3049">
        <v>0</v>
      </c>
      <c r="AU3049">
        <f t="shared" si="94"/>
        <v>0</v>
      </c>
      <c r="AV3049">
        <f t="shared" si="95"/>
        <v>0</v>
      </c>
    </row>
    <row r="3050" spans="1:48" x14ac:dyDescent="0.25">
      <c r="A3050" t="s">
        <v>10077</v>
      </c>
      <c r="C3050" t="s">
        <v>10078</v>
      </c>
      <c r="D3050" t="s">
        <v>7287</v>
      </c>
      <c r="E3050" t="s">
        <v>2310</v>
      </c>
      <c r="F3050">
        <v>10</v>
      </c>
      <c r="G3050">
        <v>10.1</v>
      </c>
      <c r="H3050" t="s">
        <v>2323</v>
      </c>
      <c r="I3050" s="21">
        <v>40267.558576388903</v>
      </c>
      <c r="J3050">
        <v>2010</v>
      </c>
      <c r="K3050" s="21">
        <v>40267.558576388903</v>
      </c>
      <c r="L3050">
        <v>2010</v>
      </c>
      <c r="M3050" s="21">
        <v>40618.433888888903</v>
      </c>
      <c r="N3050">
        <v>2011</v>
      </c>
      <c r="Q3050" s="262">
        <v>300000</v>
      </c>
      <c r="R3050" s="262">
        <v>170000</v>
      </c>
      <c r="S3050" t="s">
        <v>114</v>
      </c>
      <c r="T3050" t="s">
        <v>114</v>
      </c>
      <c r="U3050">
        <v>5</v>
      </c>
      <c r="W3050">
        <v>2216</v>
      </c>
      <c r="X3050">
        <v>1</v>
      </c>
      <c r="Y3050">
        <v>0</v>
      </c>
      <c r="Z3050">
        <v>0</v>
      </c>
      <c r="AA3050">
        <v>0</v>
      </c>
      <c r="AB3050">
        <v>0</v>
      </c>
      <c r="AC3050">
        <v>1108</v>
      </c>
      <c r="AD3050">
        <v>0</v>
      </c>
      <c r="AE3050">
        <v>0</v>
      </c>
      <c r="AF3050">
        <v>1108</v>
      </c>
      <c r="AG3050">
        <v>0</v>
      </c>
      <c r="AH3050">
        <v>0</v>
      </c>
      <c r="AI3050">
        <v>0</v>
      </c>
      <c r="AJ3050">
        <v>0</v>
      </c>
      <c r="AK3050">
        <v>0</v>
      </c>
      <c r="AL3050">
        <v>0</v>
      </c>
      <c r="AM3050">
        <v>0</v>
      </c>
      <c r="AN3050">
        <v>0</v>
      </c>
      <c r="AO3050">
        <v>0</v>
      </c>
      <c r="AP3050">
        <v>0</v>
      </c>
      <c r="AQ3050">
        <v>0</v>
      </c>
      <c r="AR3050">
        <v>1</v>
      </c>
      <c r="AS3050">
        <v>0</v>
      </c>
      <c r="AT3050">
        <v>0</v>
      </c>
      <c r="AU3050">
        <f t="shared" si="94"/>
        <v>0</v>
      </c>
      <c r="AV3050">
        <f t="shared" si="95"/>
        <v>0</v>
      </c>
    </row>
    <row r="3051" spans="1:48" x14ac:dyDescent="0.25">
      <c r="A3051" t="s">
        <v>10079</v>
      </c>
      <c r="C3051" t="s">
        <v>10080</v>
      </c>
      <c r="D3051" t="s">
        <v>10081</v>
      </c>
      <c r="E3051" t="s">
        <v>2310</v>
      </c>
      <c r="F3051">
        <v>9</v>
      </c>
      <c r="G3051">
        <v>9.1</v>
      </c>
      <c r="H3051" t="s">
        <v>2323</v>
      </c>
      <c r="I3051" s="21">
        <v>40267.618865740696</v>
      </c>
      <c r="J3051">
        <v>2010</v>
      </c>
      <c r="K3051" s="21">
        <v>40267.618865740696</v>
      </c>
      <c r="L3051">
        <v>2010</v>
      </c>
      <c r="M3051" s="21">
        <v>40625.412303240701</v>
      </c>
      <c r="N3051">
        <v>2011</v>
      </c>
      <c r="Q3051" s="262">
        <v>250000</v>
      </c>
      <c r="R3051" s="262">
        <v>242000</v>
      </c>
      <c r="S3051" t="s">
        <v>114</v>
      </c>
      <c r="T3051" t="s">
        <v>114</v>
      </c>
      <c r="U3051">
        <v>5</v>
      </c>
      <c r="V3051">
        <v>1586</v>
      </c>
      <c r="W3051">
        <v>1171</v>
      </c>
      <c r="X3051">
        <v>0</v>
      </c>
      <c r="Y3051">
        <v>0</v>
      </c>
      <c r="Z3051">
        <v>0</v>
      </c>
      <c r="AA3051">
        <v>0</v>
      </c>
      <c r="AB3051">
        <v>0</v>
      </c>
      <c r="AC3051">
        <v>1171</v>
      </c>
      <c r="AD3051">
        <v>0</v>
      </c>
      <c r="AE3051">
        <v>0</v>
      </c>
      <c r="AF3051">
        <v>0</v>
      </c>
      <c r="AG3051">
        <v>0</v>
      </c>
      <c r="AH3051">
        <v>0</v>
      </c>
      <c r="AI3051">
        <v>0</v>
      </c>
      <c r="AJ3051">
        <v>0</v>
      </c>
      <c r="AK3051">
        <v>0</v>
      </c>
      <c r="AL3051">
        <v>0</v>
      </c>
      <c r="AM3051">
        <v>0</v>
      </c>
      <c r="AN3051">
        <v>0</v>
      </c>
      <c r="AO3051">
        <v>0</v>
      </c>
      <c r="AP3051">
        <v>0</v>
      </c>
      <c r="AQ3051">
        <v>0</v>
      </c>
      <c r="AR3051">
        <v>0</v>
      </c>
      <c r="AS3051">
        <v>0</v>
      </c>
      <c r="AT3051">
        <v>0</v>
      </c>
      <c r="AU3051">
        <f t="shared" si="94"/>
        <v>0</v>
      </c>
      <c r="AV3051">
        <f t="shared" si="95"/>
        <v>0</v>
      </c>
    </row>
    <row r="3052" spans="1:48" x14ac:dyDescent="0.25">
      <c r="A3052" t="s">
        <v>10082</v>
      </c>
      <c r="C3052" t="s">
        <v>10083</v>
      </c>
      <c r="D3052" t="s">
        <v>10084</v>
      </c>
      <c r="E3052" t="s">
        <v>2310</v>
      </c>
      <c r="F3052">
        <v>9</v>
      </c>
      <c r="G3052">
        <v>9.3000000000000007</v>
      </c>
      <c r="H3052" t="s">
        <v>2323</v>
      </c>
      <c r="I3052" s="21">
        <v>40269.659201388902</v>
      </c>
      <c r="J3052">
        <v>2010</v>
      </c>
      <c r="K3052" s="21">
        <v>40269.659201388902</v>
      </c>
      <c r="L3052">
        <v>2010</v>
      </c>
      <c r="M3052" s="21">
        <v>40686.436620370398</v>
      </c>
      <c r="N3052">
        <v>2011</v>
      </c>
      <c r="Q3052" s="262">
        <v>1000000</v>
      </c>
      <c r="R3052" s="262">
        <v>350000</v>
      </c>
      <c r="S3052" t="s">
        <v>114</v>
      </c>
      <c r="T3052" t="s">
        <v>114</v>
      </c>
      <c r="U3052">
        <v>5</v>
      </c>
      <c r="W3052">
        <v>3639</v>
      </c>
      <c r="X3052">
        <v>2</v>
      </c>
      <c r="Y3052">
        <v>0</v>
      </c>
      <c r="Z3052">
        <v>0</v>
      </c>
      <c r="AA3052">
        <v>0</v>
      </c>
      <c r="AB3052">
        <v>0</v>
      </c>
      <c r="AC3052">
        <v>3639</v>
      </c>
      <c r="AD3052">
        <v>0</v>
      </c>
      <c r="AE3052">
        <v>0</v>
      </c>
      <c r="AF3052">
        <v>0</v>
      </c>
      <c r="AG3052">
        <v>0</v>
      </c>
      <c r="AH3052">
        <v>0</v>
      </c>
      <c r="AI3052">
        <v>0</v>
      </c>
      <c r="AJ3052">
        <v>0</v>
      </c>
      <c r="AK3052">
        <v>0</v>
      </c>
      <c r="AL3052">
        <v>0</v>
      </c>
      <c r="AM3052">
        <v>0</v>
      </c>
      <c r="AN3052">
        <v>0</v>
      </c>
      <c r="AO3052">
        <v>2</v>
      </c>
      <c r="AP3052">
        <v>0</v>
      </c>
      <c r="AQ3052">
        <v>0</v>
      </c>
      <c r="AR3052">
        <v>0</v>
      </c>
      <c r="AS3052">
        <v>0</v>
      </c>
      <c r="AT3052">
        <v>0</v>
      </c>
      <c r="AU3052">
        <f t="shared" si="94"/>
        <v>2</v>
      </c>
      <c r="AV3052">
        <f t="shared" si="95"/>
        <v>0</v>
      </c>
    </row>
    <row r="3053" spans="1:48" x14ac:dyDescent="0.25">
      <c r="A3053" t="s">
        <v>10085</v>
      </c>
      <c r="C3053" t="s">
        <v>10086</v>
      </c>
      <c r="D3053" t="s">
        <v>10087</v>
      </c>
      <c r="E3053" t="s">
        <v>1663</v>
      </c>
      <c r="F3053">
        <v>3</v>
      </c>
      <c r="G3053">
        <v>3.4</v>
      </c>
      <c r="H3053" t="s">
        <v>2017</v>
      </c>
      <c r="I3053" s="21">
        <v>40270</v>
      </c>
      <c r="J3053">
        <v>2010</v>
      </c>
      <c r="K3053" s="21">
        <v>40300</v>
      </c>
      <c r="L3053">
        <v>2010</v>
      </c>
      <c r="M3053" s="21">
        <v>40453</v>
      </c>
      <c r="N3053">
        <v>2010</v>
      </c>
      <c r="Q3053" s="262">
        <v>350000</v>
      </c>
      <c r="S3053" t="s">
        <v>114</v>
      </c>
      <c r="T3053" t="s">
        <v>114</v>
      </c>
      <c r="W3053">
        <v>3046</v>
      </c>
      <c r="X3053">
        <v>1</v>
      </c>
      <c r="Y3053">
        <v>0</v>
      </c>
      <c r="Z3053">
        <v>0</v>
      </c>
      <c r="AA3053">
        <v>0</v>
      </c>
      <c r="AB3053">
        <v>0</v>
      </c>
      <c r="AC3053">
        <v>3046</v>
      </c>
      <c r="AD3053">
        <v>0</v>
      </c>
      <c r="AE3053">
        <v>0</v>
      </c>
      <c r="AF3053">
        <v>0</v>
      </c>
      <c r="AG3053">
        <v>0</v>
      </c>
      <c r="AH3053">
        <v>0</v>
      </c>
      <c r="AI3053">
        <v>0</v>
      </c>
      <c r="AJ3053">
        <v>0</v>
      </c>
      <c r="AK3053">
        <v>0</v>
      </c>
      <c r="AL3053">
        <v>0</v>
      </c>
      <c r="AM3053">
        <v>0</v>
      </c>
      <c r="AN3053">
        <v>0</v>
      </c>
      <c r="AO3053">
        <v>1</v>
      </c>
      <c r="AP3053">
        <v>0</v>
      </c>
      <c r="AQ3053">
        <v>0</v>
      </c>
      <c r="AR3053">
        <v>0</v>
      </c>
      <c r="AS3053">
        <v>0</v>
      </c>
      <c r="AT3053">
        <v>0</v>
      </c>
      <c r="AU3053">
        <f t="shared" si="94"/>
        <v>1</v>
      </c>
      <c r="AV3053">
        <f t="shared" si="95"/>
        <v>0</v>
      </c>
    </row>
    <row r="3054" spans="1:48" x14ac:dyDescent="0.25">
      <c r="A3054" t="s">
        <v>10088</v>
      </c>
      <c r="C3054" t="s">
        <v>10089</v>
      </c>
      <c r="D3054" t="s">
        <v>4365</v>
      </c>
      <c r="E3054" t="s">
        <v>2310</v>
      </c>
      <c r="F3054">
        <v>9</v>
      </c>
      <c r="G3054">
        <v>9.1</v>
      </c>
      <c r="H3054" t="s">
        <v>2323</v>
      </c>
      <c r="I3054" s="21">
        <v>40274.607175925899</v>
      </c>
      <c r="J3054">
        <v>2010</v>
      </c>
      <c r="K3054" s="21">
        <v>40274.607175925899</v>
      </c>
      <c r="L3054">
        <v>2010</v>
      </c>
      <c r="M3054" s="21">
        <v>40822.500706018502</v>
      </c>
      <c r="N3054">
        <v>2011</v>
      </c>
      <c r="Q3054" s="262">
        <v>200000</v>
      </c>
      <c r="R3054" s="262">
        <v>327000</v>
      </c>
      <c r="S3054" t="s">
        <v>114</v>
      </c>
      <c r="T3054" t="s">
        <v>114</v>
      </c>
      <c r="U3054">
        <v>10</v>
      </c>
      <c r="W3054">
        <v>0</v>
      </c>
      <c r="X3054">
        <v>0</v>
      </c>
      <c r="Y3054">
        <v>0</v>
      </c>
      <c r="Z3054">
        <v>0</v>
      </c>
      <c r="AA3054">
        <v>0</v>
      </c>
      <c r="AB3054">
        <v>0</v>
      </c>
      <c r="AC3054">
        <v>0</v>
      </c>
      <c r="AD3054">
        <v>0</v>
      </c>
      <c r="AE3054">
        <v>0</v>
      </c>
      <c r="AF3054">
        <v>0</v>
      </c>
      <c r="AG3054">
        <v>0</v>
      </c>
      <c r="AH3054">
        <v>0</v>
      </c>
      <c r="AI3054">
        <v>0</v>
      </c>
      <c r="AJ3054">
        <v>0</v>
      </c>
      <c r="AK3054">
        <v>0</v>
      </c>
      <c r="AL3054">
        <v>0</v>
      </c>
      <c r="AM3054">
        <v>0</v>
      </c>
      <c r="AN3054">
        <v>0</v>
      </c>
      <c r="AO3054">
        <v>0</v>
      </c>
      <c r="AP3054">
        <v>0</v>
      </c>
      <c r="AQ3054">
        <v>0</v>
      </c>
      <c r="AR3054">
        <v>0</v>
      </c>
      <c r="AS3054">
        <v>0</v>
      </c>
      <c r="AT3054">
        <v>0</v>
      </c>
      <c r="AU3054">
        <f t="shared" si="94"/>
        <v>0</v>
      </c>
      <c r="AV3054">
        <f t="shared" si="95"/>
        <v>0</v>
      </c>
    </row>
    <row r="3055" spans="1:48" x14ac:dyDescent="0.25">
      <c r="A3055" t="s">
        <v>10090</v>
      </c>
      <c r="C3055" t="s">
        <v>10091</v>
      </c>
      <c r="D3055" t="s">
        <v>10092</v>
      </c>
      <c r="E3055" t="s">
        <v>2310</v>
      </c>
      <c r="F3055">
        <v>9</v>
      </c>
      <c r="G3055">
        <v>9.4</v>
      </c>
      <c r="H3055" t="s">
        <v>2323</v>
      </c>
      <c r="I3055" s="21">
        <v>40276.407835648097</v>
      </c>
      <c r="J3055">
        <v>2010</v>
      </c>
      <c r="K3055" s="21">
        <v>40276.407835648097</v>
      </c>
      <c r="L3055">
        <v>2010</v>
      </c>
      <c r="M3055" s="21">
        <v>40512.451365740701</v>
      </c>
      <c r="N3055">
        <v>2010</v>
      </c>
      <c r="Q3055" s="262">
        <v>800000</v>
      </c>
      <c r="R3055" s="262">
        <v>392000</v>
      </c>
      <c r="S3055" t="s">
        <v>114</v>
      </c>
      <c r="T3055" t="s">
        <v>114</v>
      </c>
      <c r="U3055">
        <v>15</v>
      </c>
      <c r="W3055">
        <v>7500</v>
      </c>
      <c r="X3055">
        <v>0</v>
      </c>
      <c r="Y3055">
        <v>0</v>
      </c>
      <c r="Z3055">
        <v>0</v>
      </c>
      <c r="AA3055">
        <v>0</v>
      </c>
      <c r="AB3055">
        <v>0</v>
      </c>
      <c r="AC3055">
        <v>0</v>
      </c>
      <c r="AD3055">
        <v>0</v>
      </c>
      <c r="AE3055">
        <v>0</v>
      </c>
      <c r="AF3055">
        <v>0</v>
      </c>
      <c r="AG3055">
        <v>0</v>
      </c>
      <c r="AH3055">
        <v>0</v>
      </c>
      <c r="AI3055">
        <v>0</v>
      </c>
      <c r="AJ3055">
        <v>0</v>
      </c>
      <c r="AK3055">
        <v>0</v>
      </c>
      <c r="AL3055">
        <v>0</v>
      </c>
      <c r="AM3055">
        <v>7500</v>
      </c>
      <c r="AN3055">
        <v>0</v>
      </c>
      <c r="AO3055">
        <v>0</v>
      </c>
      <c r="AP3055">
        <v>0</v>
      </c>
      <c r="AQ3055">
        <v>0</v>
      </c>
      <c r="AR3055">
        <v>0</v>
      </c>
      <c r="AS3055">
        <v>0</v>
      </c>
      <c r="AT3055">
        <v>0</v>
      </c>
      <c r="AU3055">
        <f t="shared" si="94"/>
        <v>0</v>
      </c>
      <c r="AV3055">
        <f t="shared" si="95"/>
        <v>7500</v>
      </c>
    </row>
    <row r="3056" spans="1:48" x14ac:dyDescent="0.25">
      <c r="A3056" t="s">
        <v>10093</v>
      </c>
      <c r="C3056" t="s">
        <v>10094</v>
      </c>
      <c r="D3056" t="s">
        <v>10095</v>
      </c>
      <c r="E3056" t="s">
        <v>2310</v>
      </c>
      <c r="F3056">
        <v>8</v>
      </c>
      <c r="G3056">
        <v>8.1999999999999993</v>
      </c>
      <c r="H3056" t="s">
        <v>2022</v>
      </c>
      <c r="I3056" s="21">
        <v>40276.473113425898</v>
      </c>
      <c r="J3056">
        <v>2010</v>
      </c>
      <c r="K3056" s="21">
        <v>40276.473113425898</v>
      </c>
      <c r="L3056">
        <v>2010</v>
      </c>
      <c r="M3056" s="21">
        <v>40777.409803240698</v>
      </c>
      <c r="N3056">
        <v>2011</v>
      </c>
      <c r="Q3056" s="262">
        <v>50000</v>
      </c>
      <c r="R3056" s="262">
        <v>98000</v>
      </c>
      <c r="S3056" t="s">
        <v>114</v>
      </c>
      <c r="T3056" t="s">
        <v>114</v>
      </c>
      <c r="U3056">
        <v>5</v>
      </c>
      <c r="W3056">
        <v>1728</v>
      </c>
      <c r="X3056">
        <v>0</v>
      </c>
      <c r="Y3056">
        <v>0</v>
      </c>
      <c r="Z3056">
        <v>0</v>
      </c>
      <c r="AA3056">
        <v>0</v>
      </c>
      <c r="AB3056">
        <v>0</v>
      </c>
      <c r="AC3056">
        <v>1728</v>
      </c>
      <c r="AD3056">
        <v>0</v>
      </c>
      <c r="AE3056">
        <v>0</v>
      </c>
      <c r="AF3056">
        <v>0</v>
      </c>
      <c r="AG3056">
        <v>0</v>
      </c>
      <c r="AH3056">
        <v>0</v>
      </c>
      <c r="AI3056">
        <v>0</v>
      </c>
      <c r="AJ3056">
        <v>0</v>
      </c>
      <c r="AK3056">
        <v>0</v>
      </c>
      <c r="AL3056">
        <v>0</v>
      </c>
      <c r="AM3056">
        <v>0</v>
      </c>
      <c r="AN3056">
        <v>0</v>
      </c>
      <c r="AO3056">
        <v>0</v>
      </c>
      <c r="AP3056">
        <v>0</v>
      </c>
      <c r="AQ3056">
        <v>0</v>
      </c>
      <c r="AR3056">
        <v>0</v>
      </c>
      <c r="AS3056">
        <v>0</v>
      </c>
      <c r="AT3056">
        <v>0</v>
      </c>
      <c r="AU3056">
        <f t="shared" si="94"/>
        <v>0</v>
      </c>
      <c r="AV3056">
        <f t="shared" si="95"/>
        <v>0</v>
      </c>
    </row>
    <row r="3057" spans="1:48" x14ac:dyDescent="0.25">
      <c r="A3057" t="s">
        <v>10096</v>
      </c>
      <c r="C3057" t="s">
        <v>10097</v>
      </c>
      <c r="D3057" t="s">
        <v>9980</v>
      </c>
      <c r="E3057" t="s">
        <v>2310</v>
      </c>
      <c r="F3057">
        <v>13</v>
      </c>
      <c r="G3057">
        <v>13.1</v>
      </c>
      <c r="H3057" t="s">
        <v>2327</v>
      </c>
      <c r="I3057" s="21">
        <v>40276.624351851897</v>
      </c>
      <c r="J3057">
        <v>2010</v>
      </c>
      <c r="K3057" s="21">
        <v>40276.624351851897</v>
      </c>
      <c r="L3057">
        <v>2010</v>
      </c>
      <c r="M3057" s="21">
        <v>40522.592962962997</v>
      </c>
      <c r="N3057">
        <v>2010</v>
      </c>
      <c r="Q3057" s="262">
        <v>1011961</v>
      </c>
      <c r="R3057" s="262">
        <v>671000</v>
      </c>
      <c r="S3057" t="s">
        <v>114</v>
      </c>
      <c r="T3057" t="s">
        <v>114</v>
      </c>
      <c r="U3057">
        <v>6</v>
      </c>
      <c r="W3057">
        <v>8385</v>
      </c>
      <c r="X3057">
        <v>10</v>
      </c>
      <c r="Y3057">
        <v>0</v>
      </c>
      <c r="Z3057">
        <v>0</v>
      </c>
      <c r="AA3057">
        <v>0</v>
      </c>
      <c r="AB3057">
        <v>0</v>
      </c>
      <c r="AC3057">
        <v>0</v>
      </c>
      <c r="AD3057">
        <v>8385</v>
      </c>
      <c r="AE3057">
        <v>0</v>
      </c>
      <c r="AF3057">
        <v>0</v>
      </c>
      <c r="AG3057">
        <v>0</v>
      </c>
      <c r="AH3057">
        <v>0</v>
      </c>
      <c r="AI3057">
        <v>0</v>
      </c>
      <c r="AJ3057">
        <v>0</v>
      </c>
      <c r="AK3057">
        <v>0</v>
      </c>
      <c r="AL3057">
        <v>0</v>
      </c>
      <c r="AM3057">
        <v>0</v>
      </c>
      <c r="AN3057">
        <v>0</v>
      </c>
      <c r="AO3057">
        <v>0</v>
      </c>
      <c r="AP3057">
        <v>10</v>
      </c>
      <c r="AQ3057">
        <v>0</v>
      </c>
      <c r="AR3057">
        <v>0</v>
      </c>
      <c r="AS3057">
        <v>0</v>
      </c>
      <c r="AT3057">
        <v>0</v>
      </c>
      <c r="AU3057">
        <f t="shared" si="94"/>
        <v>10</v>
      </c>
      <c r="AV3057">
        <f t="shared" si="95"/>
        <v>0</v>
      </c>
    </row>
    <row r="3058" spans="1:48" x14ac:dyDescent="0.25">
      <c r="A3058" t="s">
        <v>10098</v>
      </c>
      <c r="C3058" t="s">
        <v>10099</v>
      </c>
      <c r="D3058" t="s">
        <v>7243</v>
      </c>
      <c r="E3058" t="s">
        <v>2310</v>
      </c>
      <c r="F3058">
        <v>9</v>
      </c>
      <c r="G3058">
        <v>9.1999999999999993</v>
      </c>
      <c r="H3058" t="s">
        <v>2022</v>
      </c>
      <c r="I3058" s="21">
        <v>40280.6159259259</v>
      </c>
      <c r="J3058">
        <v>2010</v>
      </c>
      <c r="K3058" s="21">
        <v>40280.6159259259</v>
      </c>
      <c r="L3058">
        <v>2010</v>
      </c>
      <c r="M3058" s="21">
        <v>40716.404236111099</v>
      </c>
      <c r="N3058">
        <v>2011</v>
      </c>
      <c r="Q3058" s="262">
        <v>150000</v>
      </c>
      <c r="R3058" s="262">
        <v>32000</v>
      </c>
      <c r="S3058" t="s">
        <v>114</v>
      </c>
      <c r="T3058" t="s">
        <v>114</v>
      </c>
      <c r="U3058">
        <v>5</v>
      </c>
      <c r="V3058">
        <v>72</v>
      </c>
      <c r="W3058">
        <v>170</v>
      </c>
      <c r="X3058">
        <v>0</v>
      </c>
      <c r="Y3058">
        <v>0</v>
      </c>
      <c r="Z3058">
        <v>0</v>
      </c>
      <c r="AA3058">
        <v>0</v>
      </c>
      <c r="AB3058">
        <v>0</v>
      </c>
      <c r="AC3058">
        <v>170</v>
      </c>
      <c r="AD3058">
        <v>0</v>
      </c>
      <c r="AE3058">
        <v>0</v>
      </c>
      <c r="AF3058">
        <v>0</v>
      </c>
      <c r="AG3058">
        <v>0</v>
      </c>
      <c r="AH3058">
        <v>0</v>
      </c>
      <c r="AI3058">
        <v>0</v>
      </c>
      <c r="AJ3058">
        <v>0</v>
      </c>
      <c r="AK3058">
        <v>0</v>
      </c>
      <c r="AL3058">
        <v>0</v>
      </c>
      <c r="AM3058">
        <v>0</v>
      </c>
      <c r="AN3058">
        <v>0</v>
      </c>
      <c r="AO3058">
        <v>0</v>
      </c>
      <c r="AP3058">
        <v>0</v>
      </c>
      <c r="AQ3058">
        <v>0</v>
      </c>
      <c r="AR3058">
        <v>0</v>
      </c>
      <c r="AS3058">
        <v>0</v>
      </c>
      <c r="AT3058">
        <v>0</v>
      </c>
      <c r="AU3058">
        <f t="shared" si="94"/>
        <v>0</v>
      </c>
      <c r="AV3058">
        <f t="shared" si="95"/>
        <v>0</v>
      </c>
    </row>
    <row r="3059" spans="1:48" x14ac:dyDescent="0.25">
      <c r="A3059" t="s">
        <v>10100</v>
      </c>
      <c r="C3059" t="s">
        <v>10101</v>
      </c>
      <c r="D3059" t="s">
        <v>10102</v>
      </c>
      <c r="E3059" t="s">
        <v>2310</v>
      </c>
      <c r="F3059">
        <v>9</v>
      </c>
      <c r="G3059">
        <v>9.4</v>
      </c>
      <c r="H3059" t="s">
        <v>2323</v>
      </c>
      <c r="I3059" s="21">
        <v>40281.597546296303</v>
      </c>
      <c r="J3059">
        <v>2010</v>
      </c>
      <c r="K3059" s="21">
        <v>40281.597546296303</v>
      </c>
      <c r="L3059">
        <v>2010</v>
      </c>
      <c r="M3059" s="21">
        <v>40591.463032407402</v>
      </c>
      <c r="N3059">
        <v>2011</v>
      </c>
      <c r="Q3059" s="262">
        <v>60000</v>
      </c>
      <c r="R3059" s="262">
        <v>20000</v>
      </c>
      <c r="S3059" t="s">
        <v>114</v>
      </c>
      <c r="T3059" t="s">
        <v>114</v>
      </c>
      <c r="U3059">
        <v>5</v>
      </c>
      <c r="W3059">
        <v>0</v>
      </c>
      <c r="X3059">
        <v>0</v>
      </c>
      <c r="Y3059">
        <v>0</v>
      </c>
      <c r="Z3059">
        <v>0</v>
      </c>
      <c r="AA3059">
        <v>0</v>
      </c>
      <c r="AB3059">
        <v>0</v>
      </c>
      <c r="AC3059">
        <v>0</v>
      </c>
      <c r="AD3059">
        <v>0</v>
      </c>
      <c r="AE3059">
        <v>0</v>
      </c>
      <c r="AF3059">
        <v>0</v>
      </c>
      <c r="AG3059">
        <v>0</v>
      </c>
      <c r="AH3059">
        <v>0</v>
      </c>
      <c r="AI3059">
        <v>0</v>
      </c>
      <c r="AJ3059">
        <v>0</v>
      </c>
      <c r="AK3059">
        <v>0</v>
      </c>
      <c r="AL3059">
        <v>0</v>
      </c>
      <c r="AM3059">
        <v>0</v>
      </c>
      <c r="AN3059">
        <v>0</v>
      </c>
      <c r="AO3059">
        <v>0</v>
      </c>
      <c r="AP3059">
        <v>0</v>
      </c>
      <c r="AQ3059">
        <v>0</v>
      </c>
      <c r="AR3059">
        <v>0</v>
      </c>
      <c r="AS3059">
        <v>0</v>
      </c>
      <c r="AT3059">
        <v>0</v>
      </c>
      <c r="AU3059">
        <f t="shared" si="94"/>
        <v>0</v>
      </c>
      <c r="AV3059">
        <f t="shared" si="95"/>
        <v>0</v>
      </c>
    </row>
    <row r="3060" spans="1:48" x14ac:dyDescent="0.25">
      <c r="A3060" t="s">
        <v>10103</v>
      </c>
      <c r="C3060" t="s">
        <v>10104</v>
      </c>
      <c r="D3060" t="s">
        <v>8073</v>
      </c>
      <c r="E3060" t="s">
        <v>2310</v>
      </c>
      <c r="F3060">
        <v>14</v>
      </c>
      <c r="G3060">
        <v>14.1</v>
      </c>
      <c r="H3060" t="s">
        <v>2022</v>
      </c>
      <c r="I3060" s="21">
        <v>40282.341759259303</v>
      </c>
      <c r="J3060">
        <v>2010</v>
      </c>
      <c r="K3060" s="21">
        <v>40282.341759259303</v>
      </c>
      <c r="L3060">
        <v>2010</v>
      </c>
      <c r="M3060" s="21">
        <v>41096.520868055602</v>
      </c>
      <c r="N3060">
        <v>2012</v>
      </c>
      <c r="Q3060" s="262">
        <v>540000</v>
      </c>
      <c r="R3060" s="262">
        <v>416000</v>
      </c>
      <c r="S3060" t="s">
        <v>114</v>
      </c>
      <c r="T3060" t="s">
        <v>114</v>
      </c>
      <c r="U3060">
        <v>5</v>
      </c>
      <c r="W3060">
        <v>5112</v>
      </c>
      <c r="X3060">
        <v>1</v>
      </c>
      <c r="Y3060">
        <v>0</v>
      </c>
      <c r="Z3060">
        <v>0</v>
      </c>
      <c r="AA3060">
        <v>0</v>
      </c>
      <c r="AB3060">
        <v>0</v>
      </c>
      <c r="AC3060">
        <v>5112</v>
      </c>
      <c r="AD3060">
        <v>0</v>
      </c>
      <c r="AE3060">
        <v>0</v>
      </c>
      <c r="AF3060">
        <v>0</v>
      </c>
      <c r="AG3060">
        <v>0</v>
      </c>
      <c r="AH3060">
        <v>0</v>
      </c>
      <c r="AI3060">
        <v>0</v>
      </c>
      <c r="AJ3060">
        <v>0</v>
      </c>
      <c r="AK3060">
        <v>0</v>
      </c>
      <c r="AL3060">
        <v>0</v>
      </c>
      <c r="AM3060">
        <v>0</v>
      </c>
      <c r="AN3060">
        <v>0</v>
      </c>
      <c r="AO3060">
        <v>1</v>
      </c>
      <c r="AP3060">
        <v>0</v>
      </c>
      <c r="AQ3060">
        <v>0</v>
      </c>
      <c r="AR3060">
        <v>0</v>
      </c>
      <c r="AS3060">
        <v>0</v>
      </c>
      <c r="AT3060">
        <v>0</v>
      </c>
      <c r="AU3060">
        <f t="shared" si="94"/>
        <v>1</v>
      </c>
      <c r="AV3060">
        <f t="shared" si="95"/>
        <v>0</v>
      </c>
    </row>
    <row r="3061" spans="1:48" x14ac:dyDescent="0.25">
      <c r="A3061" t="s">
        <v>10105</v>
      </c>
      <c r="C3061" t="s">
        <v>10106</v>
      </c>
      <c r="D3061" t="s">
        <v>10107</v>
      </c>
      <c r="E3061" t="s">
        <v>2310</v>
      </c>
      <c r="F3061">
        <v>13</v>
      </c>
      <c r="G3061">
        <v>13.1</v>
      </c>
      <c r="H3061" t="s">
        <v>2327</v>
      </c>
      <c r="I3061" s="21">
        <v>40282.381712962997</v>
      </c>
      <c r="J3061">
        <v>2010</v>
      </c>
      <c r="K3061" s="21">
        <v>40282.381712962997</v>
      </c>
      <c r="L3061">
        <v>2010</v>
      </c>
      <c r="M3061" s="21">
        <v>40416.7106712963</v>
      </c>
      <c r="N3061">
        <v>2010</v>
      </c>
      <c r="Q3061" s="262">
        <v>350000</v>
      </c>
      <c r="R3061" s="262">
        <v>25000</v>
      </c>
      <c r="S3061" t="s">
        <v>114</v>
      </c>
      <c r="T3061" t="s">
        <v>114</v>
      </c>
      <c r="U3061">
        <v>15</v>
      </c>
      <c r="W3061">
        <v>223</v>
      </c>
      <c r="X3061">
        <v>0</v>
      </c>
      <c r="Y3061">
        <v>0</v>
      </c>
      <c r="Z3061">
        <v>0</v>
      </c>
      <c r="AA3061">
        <v>0</v>
      </c>
      <c r="AB3061">
        <v>0</v>
      </c>
      <c r="AC3061">
        <v>0</v>
      </c>
      <c r="AD3061">
        <v>0</v>
      </c>
      <c r="AE3061">
        <v>0</v>
      </c>
      <c r="AF3061">
        <v>0</v>
      </c>
      <c r="AG3061">
        <v>0</v>
      </c>
      <c r="AH3061">
        <v>0</v>
      </c>
      <c r="AI3061">
        <v>0</v>
      </c>
      <c r="AJ3061">
        <v>0</v>
      </c>
      <c r="AK3061">
        <v>0</v>
      </c>
      <c r="AL3061">
        <v>0</v>
      </c>
      <c r="AM3061">
        <v>223</v>
      </c>
      <c r="AN3061">
        <v>0</v>
      </c>
      <c r="AO3061">
        <v>0</v>
      </c>
      <c r="AP3061">
        <v>0</v>
      </c>
      <c r="AQ3061">
        <v>0</v>
      </c>
      <c r="AR3061">
        <v>0</v>
      </c>
      <c r="AS3061">
        <v>0</v>
      </c>
      <c r="AT3061">
        <v>0</v>
      </c>
      <c r="AU3061">
        <f t="shared" si="94"/>
        <v>0</v>
      </c>
      <c r="AV3061">
        <f t="shared" si="95"/>
        <v>223</v>
      </c>
    </row>
    <row r="3062" spans="1:48" x14ac:dyDescent="0.25">
      <c r="A3062" t="s">
        <v>10108</v>
      </c>
      <c r="C3062" t="s">
        <v>10109</v>
      </c>
      <c r="D3062" t="s">
        <v>10110</v>
      </c>
      <c r="E3062" t="s">
        <v>2310</v>
      </c>
      <c r="F3062">
        <v>13</v>
      </c>
      <c r="G3062">
        <v>13.1</v>
      </c>
      <c r="H3062" t="s">
        <v>2327</v>
      </c>
      <c r="I3062" s="21">
        <v>40282.414571759298</v>
      </c>
      <c r="J3062">
        <v>2010</v>
      </c>
      <c r="K3062" s="21">
        <v>40282.414571759298</v>
      </c>
      <c r="L3062">
        <v>2010</v>
      </c>
      <c r="M3062" s="21">
        <v>40570.434675925899</v>
      </c>
      <c r="N3062">
        <v>2011</v>
      </c>
      <c r="Q3062" s="262">
        <v>150000</v>
      </c>
      <c r="R3062" s="262">
        <v>35000</v>
      </c>
      <c r="S3062" t="s">
        <v>114</v>
      </c>
      <c r="T3062" t="s">
        <v>114</v>
      </c>
      <c r="U3062">
        <v>15</v>
      </c>
      <c r="W3062">
        <v>640</v>
      </c>
      <c r="X3062">
        <v>0</v>
      </c>
      <c r="Y3062">
        <v>0</v>
      </c>
      <c r="Z3062">
        <v>0</v>
      </c>
      <c r="AA3062">
        <v>0</v>
      </c>
      <c r="AB3062">
        <v>0</v>
      </c>
      <c r="AC3062">
        <v>0</v>
      </c>
      <c r="AD3062">
        <v>0</v>
      </c>
      <c r="AE3062">
        <v>0</v>
      </c>
      <c r="AF3062">
        <v>0</v>
      </c>
      <c r="AG3062">
        <v>0</v>
      </c>
      <c r="AH3062">
        <v>0</v>
      </c>
      <c r="AI3062">
        <v>0</v>
      </c>
      <c r="AJ3062">
        <v>0</v>
      </c>
      <c r="AK3062">
        <v>0</v>
      </c>
      <c r="AL3062">
        <v>0</v>
      </c>
      <c r="AM3062">
        <v>640</v>
      </c>
      <c r="AN3062">
        <v>0</v>
      </c>
      <c r="AO3062">
        <v>0</v>
      </c>
      <c r="AP3062">
        <v>0</v>
      </c>
      <c r="AQ3062">
        <v>0</v>
      </c>
      <c r="AR3062">
        <v>0</v>
      </c>
      <c r="AS3062">
        <v>0</v>
      </c>
      <c r="AT3062">
        <v>0</v>
      </c>
      <c r="AU3062">
        <f t="shared" si="94"/>
        <v>0</v>
      </c>
      <c r="AV3062">
        <f t="shared" si="95"/>
        <v>640</v>
      </c>
    </row>
    <row r="3063" spans="1:48" x14ac:dyDescent="0.25">
      <c r="A3063" t="s">
        <v>10111</v>
      </c>
      <c r="C3063" t="s">
        <v>10112</v>
      </c>
      <c r="D3063" t="s">
        <v>10113</v>
      </c>
      <c r="E3063" t="s">
        <v>1663</v>
      </c>
      <c r="F3063">
        <v>3</v>
      </c>
      <c r="G3063">
        <v>3.4</v>
      </c>
      <c r="H3063" t="s">
        <v>2017</v>
      </c>
      <c r="I3063" s="21">
        <v>40287</v>
      </c>
      <c r="J3063">
        <v>2010</v>
      </c>
      <c r="K3063" s="21">
        <v>40317</v>
      </c>
      <c r="L3063">
        <v>2010</v>
      </c>
      <c r="M3063" s="21">
        <v>40470</v>
      </c>
      <c r="N3063">
        <v>2010</v>
      </c>
      <c r="Q3063" s="262">
        <v>380000</v>
      </c>
      <c r="S3063" t="s">
        <v>114</v>
      </c>
      <c r="T3063" t="s">
        <v>114</v>
      </c>
      <c r="W3063">
        <v>2088</v>
      </c>
      <c r="X3063">
        <v>2</v>
      </c>
      <c r="Y3063">
        <v>0</v>
      </c>
      <c r="Z3063">
        <v>0</v>
      </c>
      <c r="AA3063">
        <v>0</v>
      </c>
      <c r="AB3063">
        <v>0</v>
      </c>
      <c r="AC3063">
        <v>0</v>
      </c>
      <c r="AD3063">
        <v>2088</v>
      </c>
      <c r="AE3063">
        <v>0</v>
      </c>
      <c r="AF3063">
        <v>0</v>
      </c>
      <c r="AG3063">
        <v>0</v>
      </c>
      <c r="AH3063">
        <v>0</v>
      </c>
      <c r="AI3063">
        <v>0</v>
      </c>
      <c r="AJ3063">
        <v>0</v>
      </c>
      <c r="AK3063">
        <v>0</v>
      </c>
      <c r="AL3063">
        <v>0</v>
      </c>
      <c r="AM3063">
        <v>0</v>
      </c>
      <c r="AN3063">
        <v>0</v>
      </c>
      <c r="AO3063">
        <v>0</v>
      </c>
      <c r="AP3063">
        <v>2</v>
      </c>
      <c r="AQ3063">
        <v>0</v>
      </c>
      <c r="AR3063">
        <v>0</v>
      </c>
      <c r="AS3063">
        <v>0</v>
      </c>
      <c r="AT3063">
        <v>0</v>
      </c>
      <c r="AU3063">
        <f t="shared" si="94"/>
        <v>2</v>
      </c>
      <c r="AV3063">
        <f t="shared" si="95"/>
        <v>0</v>
      </c>
    </row>
    <row r="3064" spans="1:48" x14ac:dyDescent="0.25">
      <c r="A3064" t="s">
        <v>10114</v>
      </c>
      <c r="C3064" t="s">
        <v>10115</v>
      </c>
      <c r="D3064" t="s">
        <v>10116</v>
      </c>
      <c r="E3064" t="s">
        <v>2310</v>
      </c>
      <c r="F3064">
        <v>8</v>
      </c>
      <c r="G3064">
        <v>8.1</v>
      </c>
      <c r="H3064" t="s">
        <v>2323</v>
      </c>
      <c r="I3064" s="21">
        <v>40290.705254629604</v>
      </c>
      <c r="J3064">
        <v>2010</v>
      </c>
      <c r="K3064" s="21">
        <v>40290.705254629604</v>
      </c>
      <c r="L3064">
        <v>2010</v>
      </c>
      <c r="M3064" s="21">
        <v>40620.365243055603</v>
      </c>
      <c r="N3064">
        <v>2011</v>
      </c>
      <c r="Q3064" s="262">
        <v>400000</v>
      </c>
      <c r="R3064" s="262">
        <v>120000</v>
      </c>
      <c r="S3064" t="s">
        <v>114</v>
      </c>
      <c r="T3064" t="s">
        <v>114</v>
      </c>
      <c r="U3064">
        <v>8</v>
      </c>
      <c r="W3064">
        <v>1575</v>
      </c>
      <c r="X3064">
        <v>1</v>
      </c>
      <c r="Y3064">
        <v>0</v>
      </c>
      <c r="Z3064">
        <v>0</v>
      </c>
      <c r="AA3064">
        <v>0</v>
      </c>
      <c r="AB3064">
        <v>0</v>
      </c>
      <c r="AC3064">
        <v>870</v>
      </c>
      <c r="AD3064">
        <v>0</v>
      </c>
      <c r="AE3064">
        <v>0</v>
      </c>
      <c r="AF3064">
        <v>705</v>
      </c>
      <c r="AG3064">
        <v>0</v>
      </c>
      <c r="AH3064">
        <v>0</v>
      </c>
      <c r="AI3064">
        <v>0</v>
      </c>
      <c r="AJ3064">
        <v>0</v>
      </c>
      <c r="AK3064">
        <v>0</v>
      </c>
      <c r="AL3064">
        <v>0</v>
      </c>
      <c r="AM3064">
        <v>0</v>
      </c>
      <c r="AN3064">
        <v>0</v>
      </c>
      <c r="AO3064">
        <v>0</v>
      </c>
      <c r="AP3064">
        <v>0</v>
      </c>
      <c r="AQ3064">
        <v>0</v>
      </c>
      <c r="AR3064">
        <v>1</v>
      </c>
      <c r="AS3064">
        <v>0</v>
      </c>
      <c r="AT3064">
        <v>0</v>
      </c>
      <c r="AU3064">
        <f t="shared" si="94"/>
        <v>0</v>
      </c>
      <c r="AV3064">
        <f t="shared" si="95"/>
        <v>0</v>
      </c>
    </row>
    <row r="3065" spans="1:48" x14ac:dyDescent="0.25">
      <c r="A3065" t="s">
        <v>10117</v>
      </c>
      <c r="C3065" t="s">
        <v>10118</v>
      </c>
      <c r="D3065" t="s">
        <v>10119</v>
      </c>
      <c r="E3065" t="s">
        <v>2310</v>
      </c>
      <c r="F3065">
        <v>12</v>
      </c>
      <c r="G3065">
        <v>12.2</v>
      </c>
      <c r="H3065" t="s">
        <v>2017</v>
      </c>
      <c r="I3065" s="21">
        <v>40294.4073726852</v>
      </c>
      <c r="J3065">
        <v>2010</v>
      </c>
      <c r="K3065" s="21">
        <v>40294.4073726852</v>
      </c>
      <c r="L3065">
        <v>2010</v>
      </c>
      <c r="M3065" s="21">
        <v>40785.3921990741</v>
      </c>
      <c r="N3065">
        <v>2011</v>
      </c>
      <c r="Q3065" s="262">
        <v>275000</v>
      </c>
      <c r="R3065" s="262">
        <v>173000</v>
      </c>
      <c r="S3065" t="s">
        <v>114</v>
      </c>
      <c r="T3065" t="s">
        <v>114</v>
      </c>
      <c r="U3065">
        <v>5</v>
      </c>
      <c r="W3065">
        <v>2580</v>
      </c>
      <c r="X3065">
        <v>2</v>
      </c>
      <c r="Y3065">
        <v>0</v>
      </c>
      <c r="Z3065">
        <v>0</v>
      </c>
      <c r="AA3065">
        <v>0</v>
      </c>
      <c r="AB3065">
        <v>0</v>
      </c>
      <c r="AC3065">
        <v>2580</v>
      </c>
      <c r="AD3065">
        <v>0</v>
      </c>
      <c r="AE3065">
        <v>0</v>
      </c>
      <c r="AF3065">
        <v>0</v>
      </c>
      <c r="AG3065">
        <v>0</v>
      </c>
      <c r="AH3065">
        <v>0</v>
      </c>
      <c r="AI3065">
        <v>0</v>
      </c>
      <c r="AJ3065">
        <v>0</v>
      </c>
      <c r="AK3065">
        <v>0</v>
      </c>
      <c r="AL3065">
        <v>0</v>
      </c>
      <c r="AM3065">
        <v>0</v>
      </c>
      <c r="AN3065">
        <v>0</v>
      </c>
      <c r="AO3065">
        <v>2</v>
      </c>
      <c r="AP3065">
        <v>0</v>
      </c>
      <c r="AQ3065">
        <v>0</v>
      </c>
      <c r="AR3065">
        <v>0</v>
      </c>
      <c r="AS3065">
        <v>0</v>
      </c>
      <c r="AT3065">
        <v>0</v>
      </c>
      <c r="AU3065">
        <f t="shared" si="94"/>
        <v>2</v>
      </c>
      <c r="AV3065">
        <f t="shared" si="95"/>
        <v>0</v>
      </c>
    </row>
    <row r="3066" spans="1:48" x14ac:dyDescent="0.25">
      <c r="A3066" t="s">
        <v>10120</v>
      </c>
      <c r="C3066" t="s">
        <v>10121</v>
      </c>
      <c r="D3066" t="s">
        <v>10122</v>
      </c>
      <c r="E3066" t="s">
        <v>2310</v>
      </c>
      <c r="F3066">
        <v>10</v>
      </c>
      <c r="G3066">
        <v>10.1</v>
      </c>
      <c r="H3066" t="s">
        <v>2323</v>
      </c>
      <c r="I3066" s="21">
        <v>40294.443356481497</v>
      </c>
      <c r="J3066">
        <v>2010</v>
      </c>
      <c r="K3066" s="21">
        <v>40294.443356481497</v>
      </c>
      <c r="L3066">
        <v>2010</v>
      </c>
      <c r="P3066" s="21">
        <v>42128.472928240699</v>
      </c>
      <c r="Q3066" s="262">
        <v>150000</v>
      </c>
      <c r="R3066" s="262">
        <v>84000</v>
      </c>
      <c r="S3066" t="s">
        <v>114</v>
      </c>
      <c r="T3066" t="s">
        <v>114</v>
      </c>
      <c r="U3066">
        <v>5</v>
      </c>
      <c r="W3066">
        <v>804</v>
      </c>
      <c r="X3066">
        <v>0</v>
      </c>
      <c r="Y3066">
        <v>0</v>
      </c>
      <c r="Z3066">
        <v>0</v>
      </c>
      <c r="AA3066">
        <v>0</v>
      </c>
      <c r="AB3066">
        <v>0</v>
      </c>
      <c r="AC3066">
        <v>804</v>
      </c>
      <c r="AD3066">
        <v>0</v>
      </c>
      <c r="AE3066">
        <v>0</v>
      </c>
      <c r="AF3066">
        <v>0</v>
      </c>
      <c r="AG3066">
        <v>0</v>
      </c>
      <c r="AH3066">
        <v>0</v>
      </c>
      <c r="AI3066">
        <v>0</v>
      </c>
      <c r="AJ3066">
        <v>0</v>
      </c>
      <c r="AK3066">
        <v>0</v>
      </c>
      <c r="AL3066">
        <v>0</v>
      </c>
      <c r="AM3066">
        <v>0</v>
      </c>
      <c r="AN3066">
        <v>0</v>
      </c>
      <c r="AO3066">
        <v>0</v>
      </c>
      <c r="AP3066">
        <v>0</v>
      </c>
      <c r="AQ3066">
        <v>0</v>
      </c>
      <c r="AR3066">
        <v>0</v>
      </c>
      <c r="AS3066">
        <v>0</v>
      </c>
      <c r="AT3066">
        <v>0</v>
      </c>
      <c r="AU3066">
        <f t="shared" si="94"/>
        <v>0</v>
      </c>
      <c r="AV3066">
        <f t="shared" si="95"/>
        <v>0</v>
      </c>
    </row>
    <row r="3067" spans="1:48" x14ac:dyDescent="0.25">
      <c r="A3067" t="s">
        <v>10123</v>
      </c>
      <c r="C3067" t="s">
        <v>10124</v>
      </c>
      <c r="D3067" t="s">
        <v>10125</v>
      </c>
      <c r="E3067" t="s">
        <v>2310</v>
      </c>
      <c r="F3067">
        <v>8</v>
      </c>
      <c r="G3067">
        <v>8.1</v>
      </c>
      <c r="H3067" t="s">
        <v>2323</v>
      </c>
      <c r="I3067" s="21">
        <v>40294.4905208333</v>
      </c>
      <c r="J3067">
        <v>2010</v>
      </c>
      <c r="K3067" s="21">
        <v>40294.4905208333</v>
      </c>
      <c r="L3067">
        <v>2010</v>
      </c>
      <c r="M3067" s="21">
        <v>40809.439247685201</v>
      </c>
      <c r="N3067">
        <v>2011</v>
      </c>
      <c r="Q3067" s="262">
        <v>75000</v>
      </c>
      <c r="R3067" s="262">
        <v>59000</v>
      </c>
      <c r="S3067" t="s">
        <v>114</v>
      </c>
      <c r="T3067" t="s">
        <v>114</v>
      </c>
      <c r="U3067">
        <v>5</v>
      </c>
      <c r="W3067">
        <v>552</v>
      </c>
      <c r="X3067">
        <v>0</v>
      </c>
      <c r="Y3067">
        <v>0</v>
      </c>
      <c r="Z3067">
        <v>0</v>
      </c>
      <c r="AA3067">
        <v>0</v>
      </c>
      <c r="AB3067">
        <v>0</v>
      </c>
      <c r="AC3067">
        <v>552</v>
      </c>
      <c r="AD3067">
        <v>0</v>
      </c>
      <c r="AE3067">
        <v>0</v>
      </c>
      <c r="AF3067">
        <v>0</v>
      </c>
      <c r="AG3067">
        <v>0</v>
      </c>
      <c r="AH3067">
        <v>0</v>
      </c>
      <c r="AI3067">
        <v>0</v>
      </c>
      <c r="AJ3067">
        <v>0</v>
      </c>
      <c r="AK3067">
        <v>0</v>
      </c>
      <c r="AL3067">
        <v>0</v>
      </c>
      <c r="AM3067">
        <v>0</v>
      </c>
      <c r="AN3067">
        <v>0</v>
      </c>
      <c r="AO3067">
        <v>0</v>
      </c>
      <c r="AP3067">
        <v>0</v>
      </c>
      <c r="AQ3067">
        <v>0</v>
      </c>
      <c r="AR3067">
        <v>0</v>
      </c>
      <c r="AS3067">
        <v>0</v>
      </c>
      <c r="AT3067">
        <v>0</v>
      </c>
      <c r="AU3067">
        <f t="shared" si="94"/>
        <v>0</v>
      </c>
      <c r="AV3067">
        <f t="shared" si="95"/>
        <v>0</v>
      </c>
    </row>
    <row r="3068" spans="1:48" x14ac:dyDescent="0.25">
      <c r="A3068" t="s">
        <v>10126</v>
      </c>
      <c r="C3068" t="s">
        <v>10115</v>
      </c>
      <c r="D3068" t="s">
        <v>7727</v>
      </c>
      <c r="E3068" t="s">
        <v>2310</v>
      </c>
      <c r="F3068">
        <v>9</v>
      </c>
      <c r="G3068">
        <v>9.1999999999999993</v>
      </c>
      <c r="H3068" t="s">
        <v>2022</v>
      </c>
      <c r="I3068" s="21">
        <v>40294.615949074097</v>
      </c>
      <c r="J3068">
        <v>2010</v>
      </c>
      <c r="K3068" s="21">
        <v>40294.615949074097</v>
      </c>
      <c r="L3068">
        <v>2010</v>
      </c>
      <c r="M3068" s="21">
        <v>40522.588333333297</v>
      </c>
      <c r="N3068">
        <v>2010</v>
      </c>
      <c r="Q3068" s="262">
        <v>295000</v>
      </c>
      <c r="R3068" s="262">
        <v>69000</v>
      </c>
      <c r="S3068" t="s">
        <v>114</v>
      </c>
      <c r="T3068" t="s">
        <v>114</v>
      </c>
      <c r="U3068">
        <v>8</v>
      </c>
      <c r="W3068">
        <v>666</v>
      </c>
      <c r="X3068">
        <v>1</v>
      </c>
      <c r="Y3068">
        <v>0</v>
      </c>
      <c r="Z3068">
        <v>0</v>
      </c>
      <c r="AA3068">
        <v>0</v>
      </c>
      <c r="AB3068">
        <v>0</v>
      </c>
      <c r="AC3068">
        <v>0</v>
      </c>
      <c r="AD3068">
        <v>0</v>
      </c>
      <c r="AE3068">
        <v>0</v>
      </c>
      <c r="AF3068">
        <v>666</v>
      </c>
      <c r="AG3068">
        <v>0</v>
      </c>
      <c r="AH3068">
        <v>0</v>
      </c>
      <c r="AI3068">
        <v>0</v>
      </c>
      <c r="AJ3068">
        <v>0</v>
      </c>
      <c r="AK3068">
        <v>0</v>
      </c>
      <c r="AL3068">
        <v>0</v>
      </c>
      <c r="AM3068">
        <v>0</v>
      </c>
      <c r="AN3068">
        <v>0</v>
      </c>
      <c r="AO3068">
        <v>0</v>
      </c>
      <c r="AP3068">
        <v>0</v>
      </c>
      <c r="AQ3068">
        <v>0</v>
      </c>
      <c r="AR3068">
        <v>1</v>
      </c>
      <c r="AS3068">
        <v>0</v>
      </c>
      <c r="AT3068">
        <v>0</v>
      </c>
      <c r="AU3068">
        <f t="shared" si="94"/>
        <v>0</v>
      </c>
      <c r="AV3068">
        <f t="shared" si="95"/>
        <v>0</v>
      </c>
    </row>
    <row r="3069" spans="1:48" x14ac:dyDescent="0.25">
      <c r="A3069" t="s">
        <v>10127</v>
      </c>
      <c r="C3069" t="s">
        <v>10128</v>
      </c>
      <c r="D3069" t="s">
        <v>10129</v>
      </c>
      <c r="E3069" t="s">
        <v>2310</v>
      </c>
      <c r="F3069">
        <v>11</v>
      </c>
      <c r="G3069">
        <v>11.2</v>
      </c>
      <c r="H3069" t="s">
        <v>2017</v>
      </c>
      <c r="I3069" s="21">
        <v>40295.462129629603</v>
      </c>
      <c r="J3069">
        <v>2010</v>
      </c>
      <c r="K3069" s="21">
        <v>40295.462129629603</v>
      </c>
      <c r="L3069">
        <v>2010</v>
      </c>
      <c r="M3069" s="21">
        <v>40680.583668981497</v>
      </c>
      <c r="N3069">
        <v>2011</v>
      </c>
      <c r="Q3069" s="262">
        <v>200000</v>
      </c>
      <c r="R3069" s="262">
        <v>166000</v>
      </c>
      <c r="S3069" t="s">
        <v>114</v>
      </c>
      <c r="T3069" t="s">
        <v>114</v>
      </c>
      <c r="U3069">
        <v>5</v>
      </c>
      <c r="W3069">
        <v>1775</v>
      </c>
      <c r="X3069">
        <v>2</v>
      </c>
      <c r="Y3069">
        <v>0</v>
      </c>
      <c r="Z3069">
        <v>0</v>
      </c>
      <c r="AA3069">
        <v>0</v>
      </c>
      <c r="AB3069">
        <v>0</v>
      </c>
      <c r="AC3069">
        <v>1775</v>
      </c>
      <c r="AD3069">
        <v>0</v>
      </c>
      <c r="AE3069">
        <v>0</v>
      </c>
      <c r="AF3069">
        <v>0</v>
      </c>
      <c r="AG3069">
        <v>0</v>
      </c>
      <c r="AH3069">
        <v>0</v>
      </c>
      <c r="AI3069">
        <v>0</v>
      </c>
      <c r="AJ3069">
        <v>0</v>
      </c>
      <c r="AK3069">
        <v>0</v>
      </c>
      <c r="AL3069">
        <v>0</v>
      </c>
      <c r="AM3069">
        <v>0</v>
      </c>
      <c r="AN3069">
        <v>0</v>
      </c>
      <c r="AO3069">
        <v>2</v>
      </c>
      <c r="AP3069">
        <v>0</v>
      </c>
      <c r="AQ3069">
        <v>0</v>
      </c>
      <c r="AR3069">
        <v>0</v>
      </c>
      <c r="AS3069">
        <v>0</v>
      </c>
      <c r="AT3069">
        <v>0</v>
      </c>
      <c r="AU3069">
        <f t="shared" si="94"/>
        <v>2</v>
      </c>
      <c r="AV3069">
        <f t="shared" si="95"/>
        <v>0</v>
      </c>
    </row>
    <row r="3070" spans="1:48" x14ac:dyDescent="0.25">
      <c r="A3070" t="s">
        <v>10130</v>
      </c>
      <c r="C3070" t="s">
        <v>10131</v>
      </c>
      <c r="D3070" t="s">
        <v>6255</v>
      </c>
      <c r="E3070" t="s">
        <v>1663</v>
      </c>
      <c r="F3070">
        <v>3</v>
      </c>
      <c r="G3070">
        <v>3.3</v>
      </c>
      <c r="H3070" t="s">
        <v>2017</v>
      </c>
      <c r="I3070" s="21">
        <v>40297</v>
      </c>
      <c r="J3070">
        <v>2010</v>
      </c>
      <c r="K3070" s="21">
        <v>40327</v>
      </c>
      <c r="L3070">
        <v>2010</v>
      </c>
      <c r="M3070" s="21">
        <v>40480</v>
      </c>
      <c r="N3070">
        <v>2010</v>
      </c>
      <c r="Q3070" s="262">
        <v>20000</v>
      </c>
      <c r="S3070" t="s">
        <v>114</v>
      </c>
      <c r="T3070" t="s">
        <v>114</v>
      </c>
      <c r="W3070">
        <v>384</v>
      </c>
      <c r="X3070">
        <v>0</v>
      </c>
      <c r="Y3070">
        <v>0</v>
      </c>
      <c r="Z3070">
        <v>0</v>
      </c>
      <c r="AA3070">
        <v>0</v>
      </c>
      <c r="AB3070">
        <v>0</v>
      </c>
      <c r="AC3070">
        <v>0</v>
      </c>
      <c r="AD3070">
        <v>0</v>
      </c>
      <c r="AE3070">
        <v>0</v>
      </c>
      <c r="AF3070">
        <v>0</v>
      </c>
      <c r="AG3070">
        <v>0</v>
      </c>
      <c r="AH3070">
        <v>0</v>
      </c>
      <c r="AI3070">
        <v>0</v>
      </c>
      <c r="AJ3070">
        <v>384</v>
      </c>
      <c r="AK3070">
        <v>0</v>
      </c>
      <c r="AL3070">
        <v>0</v>
      </c>
      <c r="AM3070">
        <v>0</v>
      </c>
      <c r="AN3070">
        <v>0</v>
      </c>
      <c r="AO3070">
        <v>0</v>
      </c>
      <c r="AP3070">
        <v>0</v>
      </c>
      <c r="AQ3070">
        <v>0</v>
      </c>
      <c r="AR3070">
        <v>0</v>
      </c>
      <c r="AS3070">
        <v>0</v>
      </c>
      <c r="AT3070">
        <v>0</v>
      </c>
      <c r="AU3070">
        <f t="shared" si="94"/>
        <v>0</v>
      </c>
      <c r="AV3070">
        <f t="shared" si="95"/>
        <v>384</v>
      </c>
    </row>
    <row r="3071" spans="1:48" x14ac:dyDescent="0.25">
      <c r="A3071" t="s">
        <v>10132</v>
      </c>
      <c r="C3071" t="s">
        <v>10133</v>
      </c>
      <c r="D3071" t="s">
        <v>10134</v>
      </c>
      <c r="E3071" t="s">
        <v>2310</v>
      </c>
      <c r="F3071">
        <v>15</v>
      </c>
      <c r="G3071">
        <v>15.2</v>
      </c>
      <c r="H3071" t="s">
        <v>2323</v>
      </c>
      <c r="I3071" s="21">
        <v>40298.611180555599</v>
      </c>
      <c r="J3071">
        <v>2010</v>
      </c>
      <c r="K3071" s="21">
        <v>43571.533881678202</v>
      </c>
      <c r="L3071">
        <v>2019</v>
      </c>
      <c r="P3071" s="21">
        <v>43571.534810995399</v>
      </c>
      <c r="Q3071" s="262">
        <v>160000</v>
      </c>
      <c r="R3071" s="262">
        <v>96000</v>
      </c>
      <c r="S3071" t="s">
        <v>114</v>
      </c>
      <c r="T3071" t="s">
        <v>114</v>
      </c>
      <c r="U3071">
        <v>5</v>
      </c>
      <c r="W3071">
        <v>1244</v>
      </c>
      <c r="X3071">
        <v>0</v>
      </c>
      <c r="Y3071">
        <v>0</v>
      </c>
      <c r="Z3071">
        <v>0</v>
      </c>
      <c r="AA3071">
        <v>0</v>
      </c>
      <c r="AB3071">
        <v>0</v>
      </c>
      <c r="AC3071">
        <v>1244</v>
      </c>
      <c r="AD3071">
        <v>0</v>
      </c>
      <c r="AE3071">
        <v>0</v>
      </c>
      <c r="AF3071">
        <v>0</v>
      </c>
      <c r="AG3071">
        <v>0</v>
      </c>
      <c r="AH3071">
        <v>0</v>
      </c>
      <c r="AI3071">
        <v>0</v>
      </c>
      <c r="AJ3071">
        <v>0</v>
      </c>
      <c r="AK3071">
        <v>0</v>
      </c>
      <c r="AL3071">
        <v>0</v>
      </c>
      <c r="AM3071">
        <v>0</v>
      </c>
      <c r="AN3071">
        <v>0</v>
      </c>
      <c r="AO3071">
        <v>0</v>
      </c>
      <c r="AP3071">
        <v>0</v>
      </c>
      <c r="AQ3071">
        <v>0</v>
      </c>
      <c r="AR3071">
        <v>0</v>
      </c>
      <c r="AS3071">
        <v>0</v>
      </c>
      <c r="AT3071">
        <v>0</v>
      </c>
      <c r="AU3071">
        <f t="shared" si="94"/>
        <v>0</v>
      </c>
      <c r="AV3071">
        <f t="shared" si="95"/>
        <v>0</v>
      </c>
    </row>
    <row r="3072" spans="1:48" x14ac:dyDescent="0.25">
      <c r="A3072" t="s">
        <v>10135</v>
      </c>
      <c r="C3072" t="s">
        <v>10136</v>
      </c>
      <c r="D3072" t="s">
        <v>10137</v>
      </c>
      <c r="E3072" t="s">
        <v>2310</v>
      </c>
      <c r="F3072">
        <v>8</v>
      </c>
      <c r="G3072">
        <v>8.1</v>
      </c>
      <c r="H3072" t="s">
        <v>2323</v>
      </c>
      <c r="I3072" s="21">
        <v>40304.402696759302</v>
      </c>
      <c r="J3072">
        <v>2010</v>
      </c>
      <c r="K3072" s="21">
        <v>40304.402696759302</v>
      </c>
      <c r="L3072">
        <v>2010</v>
      </c>
      <c r="M3072" s="21">
        <v>40827.543749999997</v>
      </c>
      <c r="N3072">
        <v>2011</v>
      </c>
      <c r="Q3072" s="262">
        <v>1500000</v>
      </c>
      <c r="R3072" s="262">
        <v>432000</v>
      </c>
      <c r="S3072" t="s">
        <v>114</v>
      </c>
      <c r="T3072" t="s">
        <v>114</v>
      </c>
      <c r="U3072">
        <v>17</v>
      </c>
      <c r="W3072">
        <v>4925</v>
      </c>
      <c r="X3072">
        <v>2</v>
      </c>
      <c r="Y3072">
        <v>0</v>
      </c>
      <c r="Z3072">
        <v>0</v>
      </c>
      <c r="AA3072">
        <v>0</v>
      </c>
      <c r="AB3072">
        <v>0</v>
      </c>
      <c r="AC3072">
        <v>1230</v>
      </c>
      <c r="AD3072">
        <v>3120</v>
      </c>
      <c r="AE3072">
        <v>0</v>
      </c>
      <c r="AF3072">
        <v>575</v>
      </c>
      <c r="AG3072">
        <v>0</v>
      </c>
      <c r="AH3072">
        <v>0</v>
      </c>
      <c r="AI3072">
        <v>0</v>
      </c>
      <c r="AJ3072">
        <v>0</v>
      </c>
      <c r="AK3072">
        <v>0</v>
      </c>
      <c r="AL3072">
        <v>0</v>
      </c>
      <c r="AM3072">
        <v>0</v>
      </c>
      <c r="AN3072">
        <v>0</v>
      </c>
      <c r="AO3072">
        <v>0</v>
      </c>
      <c r="AP3072">
        <v>1</v>
      </c>
      <c r="AQ3072">
        <v>0</v>
      </c>
      <c r="AR3072">
        <v>1</v>
      </c>
      <c r="AS3072">
        <v>0</v>
      </c>
      <c r="AT3072">
        <v>0</v>
      </c>
      <c r="AU3072">
        <f t="shared" si="94"/>
        <v>1</v>
      </c>
      <c r="AV3072">
        <f t="shared" si="95"/>
        <v>0</v>
      </c>
    </row>
    <row r="3073" spans="1:48" x14ac:dyDescent="0.25">
      <c r="A3073" t="s">
        <v>10138</v>
      </c>
      <c r="C3073" t="s">
        <v>4934</v>
      </c>
      <c r="D3073" t="s">
        <v>10137</v>
      </c>
      <c r="E3073" t="s">
        <v>2310</v>
      </c>
      <c r="F3073">
        <v>8</v>
      </c>
      <c r="G3073">
        <v>8.1</v>
      </c>
      <c r="H3073" t="s">
        <v>2323</v>
      </c>
      <c r="I3073" s="21">
        <v>40304.412824074097</v>
      </c>
      <c r="J3073">
        <v>2010</v>
      </c>
      <c r="K3073" s="21">
        <v>40304.412824074097</v>
      </c>
      <c r="L3073">
        <v>2010</v>
      </c>
      <c r="M3073" s="21">
        <v>40737.644733796304</v>
      </c>
      <c r="N3073">
        <v>2011</v>
      </c>
      <c r="Q3073" s="262">
        <v>500000</v>
      </c>
      <c r="R3073" s="262">
        <v>105000</v>
      </c>
      <c r="S3073" t="s">
        <v>114</v>
      </c>
      <c r="T3073" t="s">
        <v>114</v>
      </c>
      <c r="U3073">
        <v>5</v>
      </c>
      <c r="W3073">
        <v>1824</v>
      </c>
      <c r="X3073">
        <v>0</v>
      </c>
      <c r="Y3073">
        <v>0</v>
      </c>
      <c r="Z3073">
        <v>0</v>
      </c>
      <c r="AA3073">
        <v>0</v>
      </c>
      <c r="AB3073">
        <v>0</v>
      </c>
      <c r="AC3073">
        <v>1824</v>
      </c>
      <c r="AD3073">
        <v>0</v>
      </c>
      <c r="AE3073">
        <v>0</v>
      </c>
      <c r="AF3073">
        <v>0</v>
      </c>
      <c r="AG3073">
        <v>0</v>
      </c>
      <c r="AH3073">
        <v>0</v>
      </c>
      <c r="AI3073">
        <v>0</v>
      </c>
      <c r="AJ3073">
        <v>0</v>
      </c>
      <c r="AK3073">
        <v>0</v>
      </c>
      <c r="AL3073">
        <v>0</v>
      </c>
      <c r="AM3073">
        <v>0</v>
      </c>
      <c r="AN3073">
        <v>0</v>
      </c>
      <c r="AO3073">
        <v>0</v>
      </c>
      <c r="AP3073">
        <v>0</v>
      </c>
      <c r="AQ3073">
        <v>0</v>
      </c>
      <c r="AR3073">
        <v>0</v>
      </c>
      <c r="AS3073">
        <v>0</v>
      </c>
      <c r="AT3073">
        <v>0</v>
      </c>
      <c r="AU3073">
        <f t="shared" si="94"/>
        <v>0</v>
      </c>
      <c r="AV3073">
        <f t="shared" si="95"/>
        <v>0</v>
      </c>
    </row>
    <row r="3074" spans="1:48" x14ac:dyDescent="0.25">
      <c r="A3074" t="s">
        <v>10139</v>
      </c>
      <c r="C3074" t="s">
        <v>10140</v>
      </c>
      <c r="D3074" t="s">
        <v>10141</v>
      </c>
      <c r="E3074" t="s">
        <v>2310</v>
      </c>
      <c r="F3074">
        <v>9</v>
      </c>
      <c r="G3074">
        <v>9.3000000000000007</v>
      </c>
      <c r="H3074" t="s">
        <v>2323</v>
      </c>
      <c r="I3074" s="21">
        <v>40305.488993055602</v>
      </c>
      <c r="J3074">
        <v>2010</v>
      </c>
      <c r="K3074" s="21">
        <v>40305.488993055602</v>
      </c>
      <c r="L3074">
        <v>2010</v>
      </c>
      <c r="M3074" s="21">
        <v>40745.501331018502</v>
      </c>
      <c r="N3074">
        <v>2011</v>
      </c>
      <c r="Q3074" s="262">
        <v>1300000</v>
      </c>
      <c r="R3074" s="262">
        <v>532000</v>
      </c>
      <c r="S3074" t="s">
        <v>114</v>
      </c>
      <c r="T3074" t="s">
        <v>114</v>
      </c>
      <c r="U3074">
        <v>5</v>
      </c>
      <c r="W3074">
        <v>5820</v>
      </c>
      <c r="X3074">
        <v>2</v>
      </c>
      <c r="Y3074">
        <v>0</v>
      </c>
      <c r="Z3074">
        <v>0</v>
      </c>
      <c r="AA3074">
        <v>0</v>
      </c>
      <c r="AB3074">
        <v>0</v>
      </c>
      <c r="AC3074">
        <v>5820</v>
      </c>
      <c r="AD3074">
        <v>0</v>
      </c>
      <c r="AE3074">
        <v>0</v>
      </c>
      <c r="AF3074">
        <v>0</v>
      </c>
      <c r="AG3074">
        <v>0</v>
      </c>
      <c r="AH3074">
        <v>0</v>
      </c>
      <c r="AI3074">
        <v>0</v>
      </c>
      <c r="AJ3074">
        <v>0</v>
      </c>
      <c r="AK3074">
        <v>0</v>
      </c>
      <c r="AL3074">
        <v>0</v>
      </c>
      <c r="AM3074">
        <v>0</v>
      </c>
      <c r="AN3074">
        <v>0</v>
      </c>
      <c r="AO3074">
        <v>2</v>
      </c>
      <c r="AP3074">
        <v>0</v>
      </c>
      <c r="AQ3074">
        <v>0</v>
      </c>
      <c r="AR3074">
        <v>0</v>
      </c>
      <c r="AS3074">
        <v>0</v>
      </c>
      <c r="AT3074">
        <v>0</v>
      </c>
      <c r="AU3074">
        <f t="shared" si="94"/>
        <v>2</v>
      </c>
      <c r="AV3074">
        <f t="shared" si="95"/>
        <v>0</v>
      </c>
    </row>
    <row r="3075" spans="1:48" x14ac:dyDescent="0.25">
      <c r="A3075" t="s">
        <v>10142</v>
      </c>
      <c r="C3075" t="s">
        <v>10143</v>
      </c>
      <c r="D3075" t="s">
        <v>10144</v>
      </c>
      <c r="E3075" t="s">
        <v>2310</v>
      </c>
      <c r="F3075">
        <v>8</v>
      </c>
      <c r="G3075">
        <v>8.1999999999999993</v>
      </c>
      <c r="H3075" t="s">
        <v>2022</v>
      </c>
      <c r="I3075" s="21">
        <v>40308.634907407402</v>
      </c>
      <c r="J3075">
        <v>2010</v>
      </c>
      <c r="K3075" s="21">
        <v>40308.634907407402</v>
      </c>
      <c r="L3075">
        <v>2010</v>
      </c>
      <c r="M3075" s="21">
        <v>40591.433923611097</v>
      </c>
      <c r="N3075">
        <v>2011</v>
      </c>
      <c r="Q3075" s="262">
        <v>12500</v>
      </c>
      <c r="R3075" s="262">
        <v>10000</v>
      </c>
      <c r="S3075" t="s">
        <v>114</v>
      </c>
      <c r="T3075" t="s">
        <v>114</v>
      </c>
      <c r="U3075">
        <v>5</v>
      </c>
      <c r="W3075">
        <v>240</v>
      </c>
      <c r="X3075">
        <v>0</v>
      </c>
      <c r="Y3075">
        <v>0</v>
      </c>
      <c r="Z3075">
        <v>0</v>
      </c>
      <c r="AA3075">
        <v>0</v>
      </c>
      <c r="AB3075">
        <v>0</v>
      </c>
      <c r="AC3075">
        <v>240</v>
      </c>
      <c r="AD3075">
        <v>0</v>
      </c>
      <c r="AE3075">
        <v>0</v>
      </c>
      <c r="AF3075">
        <v>0</v>
      </c>
      <c r="AG3075">
        <v>0</v>
      </c>
      <c r="AH3075">
        <v>0</v>
      </c>
      <c r="AI3075">
        <v>0</v>
      </c>
      <c r="AJ3075">
        <v>0</v>
      </c>
      <c r="AK3075">
        <v>0</v>
      </c>
      <c r="AL3075">
        <v>0</v>
      </c>
      <c r="AM3075">
        <v>0</v>
      </c>
      <c r="AN3075">
        <v>0</v>
      </c>
      <c r="AO3075">
        <v>0</v>
      </c>
      <c r="AP3075">
        <v>0</v>
      </c>
      <c r="AQ3075">
        <v>0</v>
      </c>
      <c r="AR3075">
        <v>0</v>
      </c>
      <c r="AS3075">
        <v>0</v>
      </c>
      <c r="AT3075">
        <v>0</v>
      </c>
      <c r="AU3075">
        <f t="shared" si="94"/>
        <v>0</v>
      </c>
      <c r="AV3075">
        <f t="shared" si="95"/>
        <v>0</v>
      </c>
    </row>
    <row r="3076" spans="1:48" x14ac:dyDescent="0.25">
      <c r="A3076" t="s">
        <v>10145</v>
      </c>
      <c r="C3076" t="s">
        <v>10143</v>
      </c>
      <c r="D3076" t="s">
        <v>10144</v>
      </c>
      <c r="E3076" t="s">
        <v>2310</v>
      </c>
      <c r="F3076">
        <v>8</v>
      </c>
      <c r="G3076">
        <v>8.1999999999999993</v>
      </c>
      <c r="H3076" t="s">
        <v>2022</v>
      </c>
      <c r="I3076" s="21">
        <v>40308.640208333301</v>
      </c>
      <c r="J3076">
        <v>2010</v>
      </c>
      <c r="K3076" s="21">
        <v>40308.640208333301</v>
      </c>
      <c r="L3076">
        <v>2010</v>
      </c>
      <c r="M3076" s="21">
        <v>40591.4359259259</v>
      </c>
      <c r="N3076">
        <v>2011</v>
      </c>
      <c r="Q3076" s="262">
        <v>12500</v>
      </c>
      <c r="R3076" s="262">
        <v>10000</v>
      </c>
      <c r="S3076" t="s">
        <v>114</v>
      </c>
      <c r="T3076" t="s">
        <v>114</v>
      </c>
      <c r="U3076">
        <v>5</v>
      </c>
      <c r="W3076">
        <v>240</v>
      </c>
      <c r="X3076">
        <v>0</v>
      </c>
      <c r="Y3076">
        <v>0</v>
      </c>
      <c r="Z3076">
        <v>0</v>
      </c>
      <c r="AA3076">
        <v>0</v>
      </c>
      <c r="AB3076">
        <v>0</v>
      </c>
      <c r="AC3076">
        <v>240</v>
      </c>
      <c r="AD3076">
        <v>0</v>
      </c>
      <c r="AE3076">
        <v>0</v>
      </c>
      <c r="AF3076">
        <v>0</v>
      </c>
      <c r="AG3076">
        <v>0</v>
      </c>
      <c r="AH3076">
        <v>0</v>
      </c>
      <c r="AI3076">
        <v>0</v>
      </c>
      <c r="AJ3076">
        <v>0</v>
      </c>
      <c r="AK3076">
        <v>0</v>
      </c>
      <c r="AL3076">
        <v>0</v>
      </c>
      <c r="AM3076">
        <v>0</v>
      </c>
      <c r="AN3076">
        <v>0</v>
      </c>
      <c r="AO3076">
        <v>0</v>
      </c>
      <c r="AP3076">
        <v>0</v>
      </c>
      <c r="AQ3076">
        <v>0</v>
      </c>
      <c r="AR3076">
        <v>0</v>
      </c>
      <c r="AS3076">
        <v>0</v>
      </c>
      <c r="AT3076">
        <v>0</v>
      </c>
      <c r="AU3076">
        <f t="shared" si="94"/>
        <v>0</v>
      </c>
      <c r="AV3076">
        <f t="shared" si="95"/>
        <v>0</v>
      </c>
    </row>
    <row r="3077" spans="1:48" x14ac:dyDescent="0.25">
      <c r="A3077" t="s">
        <v>10146</v>
      </c>
      <c r="C3077" t="s">
        <v>10147</v>
      </c>
      <c r="D3077" t="s">
        <v>10148</v>
      </c>
      <c r="E3077" t="s">
        <v>2310</v>
      </c>
      <c r="F3077">
        <v>8</v>
      </c>
      <c r="G3077">
        <v>8.1999999999999993</v>
      </c>
      <c r="H3077" t="s">
        <v>2022</v>
      </c>
      <c r="I3077" s="21">
        <v>40309.561157407399</v>
      </c>
      <c r="J3077">
        <v>2010</v>
      </c>
      <c r="K3077" s="21">
        <v>40309.561157407399</v>
      </c>
      <c r="L3077">
        <v>2010</v>
      </c>
      <c r="M3077" s="21">
        <v>40666.386076388902</v>
      </c>
      <c r="N3077">
        <v>2011</v>
      </c>
      <c r="Q3077" s="262">
        <v>300000</v>
      </c>
      <c r="R3077" s="262">
        <v>145000</v>
      </c>
      <c r="S3077" t="s">
        <v>114</v>
      </c>
      <c r="T3077" t="s">
        <v>114</v>
      </c>
      <c r="U3077">
        <v>5</v>
      </c>
      <c r="W3077">
        <v>2071</v>
      </c>
      <c r="X3077">
        <v>2</v>
      </c>
      <c r="Y3077">
        <v>0</v>
      </c>
      <c r="Z3077">
        <v>0</v>
      </c>
      <c r="AA3077">
        <v>0</v>
      </c>
      <c r="AB3077">
        <v>0</v>
      </c>
      <c r="AC3077">
        <v>2071</v>
      </c>
      <c r="AD3077">
        <v>0</v>
      </c>
      <c r="AE3077">
        <v>0</v>
      </c>
      <c r="AF3077">
        <v>0</v>
      </c>
      <c r="AG3077">
        <v>0</v>
      </c>
      <c r="AH3077">
        <v>0</v>
      </c>
      <c r="AI3077">
        <v>0</v>
      </c>
      <c r="AJ3077">
        <v>0</v>
      </c>
      <c r="AK3077">
        <v>0</v>
      </c>
      <c r="AL3077">
        <v>0</v>
      </c>
      <c r="AM3077">
        <v>0</v>
      </c>
      <c r="AN3077">
        <v>0</v>
      </c>
      <c r="AO3077">
        <v>2</v>
      </c>
      <c r="AP3077">
        <v>0</v>
      </c>
      <c r="AQ3077">
        <v>0</v>
      </c>
      <c r="AR3077">
        <v>0</v>
      </c>
      <c r="AS3077">
        <v>0</v>
      </c>
      <c r="AT3077">
        <v>0</v>
      </c>
      <c r="AU3077">
        <f t="shared" si="94"/>
        <v>2</v>
      </c>
      <c r="AV3077">
        <f t="shared" si="95"/>
        <v>0</v>
      </c>
    </row>
    <row r="3078" spans="1:48" x14ac:dyDescent="0.25">
      <c r="A3078" t="s">
        <v>10149</v>
      </c>
      <c r="C3078" t="s">
        <v>10150</v>
      </c>
      <c r="D3078" t="s">
        <v>6787</v>
      </c>
      <c r="E3078" t="s">
        <v>2310</v>
      </c>
      <c r="F3078">
        <v>9</v>
      </c>
      <c r="G3078">
        <v>9.4</v>
      </c>
      <c r="H3078" t="s">
        <v>2323</v>
      </c>
      <c r="I3078" s="21">
        <v>40309.621886574103</v>
      </c>
      <c r="J3078">
        <v>2010</v>
      </c>
      <c r="K3078" s="21">
        <v>40309.621886574103</v>
      </c>
      <c r="L3078">
        <v>2010</v>
      </c>
      <c r="M3078" s="21">
        <v>40491.548796296302</v>
      </c>
      <c r="N3078">
        <v>2010</v>
      </c>
      <c r="Q3078" s="262">
        <v>100000</v>
      </c>
      <c r="R3078" s="262">
        <v>24000</v>
      </c>
      <c r="S3078" t="s">
        <v>114</v>
      </c>
      <c r="T3078" t="s">
        <v>114</v>
      </c>
      <c r="U3078">
        <v>5</v>
      </c>
      <c r="W3078">
        <v>0</v>
      </c>
      <c r="X3078">
        <v>0</v>
      </c>
      <c r="Y3078">
        <v>0</v>
      </c>
      <c r="Z3078">
        <v>0</v>
      </c>
      <c r="AA3078">
        <v>0</v>
      </c>
      <c r="AB3078">
        <v>0</v>
      </c>
      <c r="AC3078">
        <v>0</v>
      </c>
      <c r="AD3078">
        <v>0</v>
      </c>
      <c r="AE3078">
        <v>0</v>
      </c>
      <c r="AF3078">
        <v>0</v>
      </c>
      <c r="AG3078">
        <v>0</v>
      </c>
      <c r="AH3078">
        <v>0</v>
      </c>
      <c r="AI3078">
        <v>0</v>
      </c>
      <c r="AJ3078">
        <v>0</v>
      </c>
      <c r="AK3078">
        <v>0</v>
      </c>
      <c r="AL3078">
        <v>0</v>
      </c>
      <c r="AM3078">
        <v>0</v>
      </c>
      <c r="AN3078">
        <v>0</v>
      </c>
      <c r="AO3078">
        <v>0</v>
      </c>
      <c r="AP3078">
        <v>0</v>
      </c>
      <c r="AQ3078">
        <v>0</v>
      </c>
      <c r="AR3078">
        <v>0</v>
      </c>
      <c r="AS3078">
        <v>0</v>
      </c>
      <c r="AT3078">
        <v>0</v>
      </c>
      <c r="AU3078">
        <f t="shared" si="94"/>
        <v>0</v>
      </c>
      <c r="AV3078">
        <f t="shared" si="95"/>
        <v>0</v>
      </c>
    </row>
    <row r="3079" spans="1:48" x14ac:dyDescent="0.25">
      <c r="A3079" t="s">
        <v>10151</v>
      </c>
      <c r="C3079" t="s">
        <v>10152</v>
      </c>
      <c r="D3079" t="s">
        <v>2336</v>
      </c>
      <c r="E3079" t="s">
        <v>1663</v>
      </c>
      <c r="F3079">
        <v>5</v>
      </c>
      <c r="G3079">
        <v>5.4</v>
      </c>
      <c r="H3079" t="s">
        <v>2017</v>
      </c>
      <c r="I3079" s="21">
        <v>40315</v>
      </c>
      <c r="J3079">
        <v>2010</v>
      </c>
      <c r="K3079" s="21">
        <v>40346</v>
      </c>
      <c r="L3079">
        <v>2010</v>
      </c>
      <c r="M3079" s="21">
        <v>40499</v>
      </c>
      <c r="N3079">
        <v>2010</v>
      </c>
      <c r="S3079" t="s">
        <v>114</v>
      </c>
      <c r="T3079" t="s">
        <v>114</v>
      </c>
      <c r="W3079">
        <v>7860</v>
      </c>
      <c r="X3079">
        <v>0</v>
      </c>
      <c r="Y3079">
        <v>0</v>
      </c>
      <c r="Z3079">
        <v>0</v>
      </c>
      <c r="AA3079">
        <v>0</v>
      </c>
      <c r="AB3079">
        <v>0</v>
      </c>
      <c r="AC3079">
        <v>0</v>
      </c>
      <c r="AD3079">
        <v>0</v>
      </c>
      <c r="AE3079">
        <v>0</v>
      </c>
      <c r="AF3079">
        <v>0</v>
      </c>
      <c r="AG3079">
        <v>0</v>
      </c>
      <c r="AH3079">
        <v>0</v>
      </c>
      <c r="AI3079">
        <v>0</v>
      </c>
      <c r="AJ3079">
        <v>0</v>
      </c>
      <c r="AK3079">
        <v>0</v>
      </c>
      <c r="AL3079">
        <v>0</v>
      </c>
      <c r="AM3079">
        <v>7860</v>
      </c>
      <c r="AN3079">
        <v>0</v>
      </c>
      <c r="AO3079">
        <v>0</v>
      </c>
      <c r="AP3079">
        <v>0</v>
      </c>
      <c r="AQ3079">
        <v>0</v>
      </c>
      <c r="AR3079">
        <v>0</v>
      </c>
      <c r="AS3079">
        <v>0</v>
      </c>
      <c r="AT3079">
        <v>0</v>
      </c>
      <c r="AU3079">
        <f t="shared" si="94"/>
        <v>0</v>
      </c>
      <c r="AV3079">
        <f t="shared" si="95"/>
        <v>7860</v>
      </c>
    </row>
    <row r="3080" spans="1:48" x14ac:dyDescent="0.25">
      <c r="A3080" t="s">
        <v>10153</v>
      </c>
      <c r="C3080" t="s">
        <v>10154</v>
      </c>
      <c r="D3080" t="s">
        <v>10155</v>
      </c>
      <c r="E3080" t="s">
        <v>2310</v>
      </c>
      <c r="F3080">
        <v>8</v>
      </c>
      <c r="G3080">
        <v>8.3000000000000007</v>
      </c>
      <c r="H3080" t="s">
        <v>2323</v>
      </c>
      <c r="I3080" s="21">
        <v>40315.452083333301</v>
      </c>
      <c r="J3080">
        <v>2010</v>
      </c>
      <c r="K3080" s="21">
        <v>40315.452083333301</v>
      </c>
      <c r="L3080">
        <v>2010</v>
      </c>
      <c r="M3080" s="21">
        <v>40767.377500000002</v>
      </c>
      <c r="N3080">
        <v>2011</v>
      </c>
      <c r="Q3080" s="262">
        <v>85000</v>
      </c>
      <c r="R3080" s="262">
        <v>110000</v>
      </c>
      <c r="S3080" t="s">
        <v>114</v>
      </c>
      <c r="T3080" t="s">
        <v>114</v>
      </c>
      <c r="U3080">
        <v>5</v>
      </c>
      <c r="W3080">
        <v>2764</v>
      </c>
      <c r="X3080">
        <v>0</v>
      </c>
      <c r="Y3080">
        <v>0</v>
      </c>
      <c r="Z3080">
        <v>0</v>
      </c>
      <c r="AA3080">
        <v>0</v>
      </c>
      <c r="AB3080">
        <v>0</v>
      </c>
      <c r="AC3080">
        <v>2764</v>
      </c>
      <c r="AD3080">
        <v>0</v>
      </c>
      <c r="AE3080">
        <v>0</v>
      </c>
      <c r="AF3080">
        <v>0</v>
      </c>
      <c r="AG3080">
        <v>0</v>
      </c>
      <c r="AH3080">
        <v>0</v>
      </c>
      <c r="AI3080">
        <v>0</v>
      </c>
      <c r="AJ3080">
        <v>0</v>
      </c>
      <c r="AK3080">
        <v>0</v>
      </c>
      <c r="AL3080">
        <v>0</v>
      </c>
      <c r="AM3080">
        <v>0</v>
      </c>
      <c r="AN3080">
        <v>0</v>
      </c>
      <c r="AO3080">
        <v>0</v>
      </c>
      <c r="AP3080">
        <v>0</v>
      </c>
      <c r="AQ3080">
        <v>0</v>
      </c>
      <c r="AR3080">
        <v>0</v>
      </c>
      <c r="AS3080">
        <v>0</v>
      </c>
      <c r="AT3080">
        <v>0</v>
      </c>
      <c r="AU3080">
        <f t="shared" si="94"/>
        <v>0</v>
      </c>
      <c r="AV3080">
        <f t="shared" si="95"/>
        <v>0</v>
      </c>
    </row>
    <row r="3081" spans="1:48" x14ac:dyDescent="0.25">
      <c r="A3081" t="s">
        <v>10156</v>
      </c>
      <c r="C3081" t="s">
        <v>10157</v>
      </c>
      <c r="D3081" t="s">
        <v>10158</v>
      </c>
      <c r="E3081" t="s">
        <v>2310</v>
      </c>
      <c r="F3081">
        <v>9</v>
      </c>
      <c r="G3081">
        <v>9.3000000000000007</v>
      </c>
      <c r="H3081" t="s">
        <v>2323</v>
      </c>
      <c r="I3081" s="21">
        <v>40319.437650462998</v>
      </c>
      <c r="J3081">
        <v>2010</v>
      </c>
      <c r="K3081" s="21">
        <v>40319.437650462998</v>
      </c>
      <c r="L3081">
        <v>2010</v>
      </c>
      <c r="M3081" s="21">
        <v>40784.369907407403</v>
      </c>
      <c r="N3081">
        <v>2011</v>
      </c>
      <c r="Q3081" s="262">
        <v>497000</v>
      </c>
      <c r="R3081" s="262">
        <v>159000</v>
      </c>
      <c r="S3081" t="s">
        <v>114</v>
      </c>
      <c r="T3081" t="s">
        <v>114</v>
      </c>
      <c r="U3081">
        <v>8</v>
      </c>
      <c r="W3081">
        <v>1995</v>
      </c>
      <c r="X3081">
        <v>1</v>
      </c>
      <c r="Y3081">
        <v>0</v>
      </c>
      <c r="Z3081">
        <v>0</v>
      </c>
      <c r="AA3081">
        <v>0</v>
      </c>
      <c r="AB3081">
        <v>0</v>
      </c>
      <c r="AC3081">
        <v>1025</v>
      </c>
      <c r="AD3081">
        <v>0</v>
      </c>
      <c r="AE3081">
        <v>0</v>
      </c>
      <c r="AF3081">
        <v>970</v>
      </c>
      <c r="AG3081">
        <v>0</v>
      </c>
      <c r="AH3081">
        <v>0</v>
      </c>
      <c r="AI3081">
        <v>0</v>
      </c>
      <c r="AJ3081">
        <v>0</v>
      </c>
      <c r="AK3081">
        <v>0</v>
      </c>
      <c r="AL3081">
        <v>0</v>
      </c>
      <c r="AM3081">
        <v>0</v>
      </c>
      <c r="AN3081">
        <v>0</v>
      </c>
      <c r="AO3081">
        <v>0</v>
      </c>
      <c r="AP3081">
        <v>0</v>
      </c>
      <c r="AQ3081">
        <v>0</v>
      </c>
      <c r="AR3081">
        <v>1</v>
      </c>
      <c r="AS3081">
        <v>0</v>
      </c>
      <c r="AT3081">
        <v>0</v>
      </c>
      <c r="AU3081">
        <f t="shared" si="94"/>
        <v>0</v>
      </c>
      <c r="AV3081">
        <f t="shared" si="95"/>
        <v>0</v>
      </c>
    </row>
    <row r="3082" spans="1:48" x14ac:dyDescent="0.25">
      <c r="A3082" t="s">
        <v>10159</v>
      </c>
      <c r="C3082" t="s">
        <v>10160</v>
      </c>
      <c r="D3082" t="s">
        <v>5006</v>
      </c>
      <c r="E3082" t="s">
        <v>2310</v>
      </c>
      <c r="F3082">
        <v>9</v>
      </c>
      <c r="G3082">
        <v>9.1999999999999993</v>
      </c>
      <c r="H3082" t="s">
        <v>2022</v>
      </c>
      <c r="I3082" s="21">
        <v>40319.502094907402</v>
      </c>
      <c r="J3082">
        <v>2010</v>
      </c>
      <c r="K3082" s="21">
        <v>40319.502094907402</v>
      </c>
      <c r="L3082">
        <v>2010</v>
      </c>
      <c r="M3082" s="21">
        <v>40549.351458333302</v>
      </c>
      <c r="N3082">
        <v>2011</v>
      </c>
      <c r="Q3082" s="262">
        <v>82000</v>
      </c>
      <c r="R3082" s="262">
        <v>34000</v>
      </c>
      <c r="S3082" t="s">
        <v>114</v>
      </c>
      <c r="T3082" t="s">
        <v>114</v>
      </c>
      <c r="U3082">
        <v>5</v>
      </c>
      <c r="W3082">
        <v>327</v>
      </c>
      <c r="X3082">
        <v>0</v>
      </c>
      <c r="Y3082">
        <v>0</v>
      </c>
      <c r="Z3082">
        <v>0</v>
      </c>
      <c r="AA3082">
        <v>0</v>
      </c>
      <c r="AB3082">
        <v>0</v>
      </c>
      <c r="AC3082">
        <v>327</v>
      </c>
      <c r="AD3082">
        <v>0</v>
      </c>
      <c r="AE3082">
        <v>0</v>
      </c>
      <c r="AF3082">
        <v>0</v>
      </c>
      <c r="AG3082">
        <v>0</v>
      </c>
      <c r="AH3082">
        <v>0</v>
      </c>
      <c r="AI3082">
        <v>0</v>
      </c>
      <c r="AJ3082">
        <v>0</v>
      </c>
      <c r="AK3082">
        <v>0</v>
      </c>
      <c r="AL3082">
        <v>0</v>
      </c>
      <c r="AM3082">
        <v>0</v>
      </c>
      <c r="AN3082">
        <v>0</v>
      </c>
      <c r="AO3082">
        <v>0</v>
      </c>
      <c r="AP3082">
        <v>0</v>
      </c>
      <c r="AQ3082">
        <v>0</v>
      </c>
      <c r="AR3082">
        <v>0</v>
      </c>
      <c r="AS3082">
        <v>0</v>
      </c>
      <c r="AT3082">
        <v>0</v>
      </c>
      <c r="AU3082">
        <f t="shared" si="94"/>
        <v>0</v>
      </c>
      <c r="AV3082">
        <f t="shared" si="95"/>
        <v>0</v>
      </c>
    </row>
    <row r="3083" spans="1:48" x14ac:dyDescent="0.25">
      <c r="A3083" t="s">
        <v>10161</v>
      </c>
      <c r="C3083" t="s">
        <v>10162</v>
      </c>
      <c r="D3083" t="s">
        <v>10163</v>
      </c>
      <c r="E3083" t="s">
        <v>2310</v>
      </c>
      <c r="F3083">
        <v>10</v>
      </c>
      <c r="G3083">
        <v>10.1</v>
      </c>
      <c r="H3083" t="s">
        <v>2323</v>
      </c>
      <c r="I3083" s="21">
        <v>40319.661215277803</v>
      </c>
      <c r="J3083">
        <v>2010</v>
      </c>
      <c r="K3083" s="21">
        <v>40319.661215277803</v>
      </c>
      <c r="L3083">
        <v>2010</v>
      </c>
      <c r="M3083" s="21">
        <v>40466.369421296302</v>
      </c>
      <c r="N3083">
        <v>2010</v>
      </c>
      <c r="Q3083" s="262">
        <v>170000</v>
      </c>
      <c r="R3083" s="262">
        <v>74000</v>
      </c>
      <c r="S3083" t="s">
        <v>114</v>
      </c>
      <c r="T3083" t="s">
        <v>114</v>
      </c>
      <c r="U3083">
        <v>5</v>
      </c>
      <c r="W3083">
        <v>402</v>
      </c>
      <c r="X3083">
        <v>0</v>
      </c>
      <c r="Y3083">
        <v>0</v>
      </c>
      <c r="Z3083">
        <v>0</v>
      </c>
      <c r="AA3083">
        <v>0</v>
      </c>
      <c r="AB3083">
        <v>0</v>
      </c>
      <c r="AC3083">
        <v>402</v>
      </c>
      <c r="AD3083">
        <v>0</v>
      </c>
      <c r="AE3083">
        <v>0</v>
      </c>
      <c r="AF3083">
        <v>0</v>
      </c>
      <c r="AG3083">
        <v>0</v>
      </c>
      <c r="AH3083">
        <v>0</v>
      </c>
      <c r="AI3083">
        <v>0</v>
      </c>
      <c r="AJ3083">
        <v>0</v>
      </c>
      <c r="AK3083">
        <v>0</v>
      </c>
      <c r="AL3083">
        <v>0</v>
      </c>
      <c r="AM3083">
        <v>0</v>
      </c>
      <c r="AN3083">
        <v>0</v>
      </c>
      <c r="AO3083">
        <v>0</v>
      </c>
      <c r="AP3083">
        <v>0</v>
      </c>
      <c r="AQ3083">
        <v>0</v>
      </c>
      <c r="AR3083">
        <v>0</v>
      </c>
      <c r="AS3083">
        <v>0</v>
      </c>
      <c r="AT3083">
        <v>0</v>
      </c>
      <c r="AU3083">
        <f t="shared" si="94"/>
        <v>0</v>
      </c>
      <c r="AV3083">
        <f t="shared" si="95"/>
        <v>0</v>
      </c>
    </row>
    <row r="3084" spans="1:48" x14ac:dyDescent="0.25">
      <c r="A3084" t="s">
        <v>10164</v>
      </c>
      <c r="C3084" t="s">
        <v>10165</v>
      </c>
      <c r="D3084" t="s">
        <v>10166</v>
      </c>
      <c r="E3084" t="s">
        <v>2310</v>
      </c>
      <c r="F3084">
        <v>13</v>
      </c>
      <c r="G3084">
        <v>13.3</v>
      </c>
      <c r="H3084" t="s">
        <v>2017</v>
      </c>
      <c r="I3084" s="21">
        <v>40323.5027430556</v>
      </c>
      <c r="J3084">
        <v>2010</v>
      </c>
      <c r="K3084" s="21">
        <v>40323.5027430556</v>
      </c>
      <c r="L3084">
        <v>2010</v>
      </c>
      <c r="M3084" s="21">
        <v>40757.4454513889</v>
      </c>
      <c r="N3084">
        <v>2011</v>
      </c>
      <c r="Q3084" s="262">
        <v>1000000</v>
      </c>
      <c r="R3084" s="262">
        <v>454000</v>
      </c>
      <c r="S3084" t="s">
        <v>114</v>
      </c>
      <c r="T3084" t="s">
        <v>114</v>
      </c>
      <c r="U3084">
        <v>5</v>
      </c>
      <c r="V3084">
        <v>2759</v>
      </c>
      <c r="W3084">
        <v>2405</v>
      </c>
      <c r="X3084">
        <v>0</v>
      </c>
      <c r="Y3084">
        <v>0</v>
      </c>
      <c r="Z3084">
        <v>0</v>
      </c>
      <c r="AA3084">
        <v>0</v>
      </c>
      <c r="AB3084">
        <v>0</v>
      </c>
      <c r="AC3084">
        <v>2405</v>
      </c>
      <c r="AD3084">
        <v>0</v>
      </c>
      <c r="AE3084">
        <v>0</v>
      </c>
      <c r="AF3084">
        <v>0</v>
      </c>
      <c r="AG3084">
        <v>0</v>
      </c>
      <c r="AH3084">
        <v>0</v>
      </c>
      <c r="AI3084">
        <v>0</v>
      </c>
      <c r="AJ3084">
        <v>0</v>
      </c>
      <c r="AK3084">
        <v>0</v>
      </c>
      <c r="AL3084">
        <v>0</v>
      </c>
      <c r="AM3084">
        <v>0</v>
      </c>
      <c r="AN3084">
        <v>0</v>
      </c>
      <c r="AO3084">
        <v>0</v>
      </c>
      <c r="AP3084">
        <v>0</v>
      </c>
      <c r="AQ3084">
        <v>0</v>
      </c>
      <c r="AR3084">
        <v>0</v>
      </c>
      <c r="AS3084">
        <v>0</v>
      </c>
      <c r="AT3084">
        <v>0</v>
      </c>
      <c r="AU3084">
        <f t="shared" si="94"/>
        <v>0</v>
      </c>
      <c r="AV3084">
        <f t="shared" si="95"/>
        <v>0</v>
      </c>
    </row>
    <row r="3085" spans="1:48" x14ac:dyDescent="0.25">
      <c r="A3085" t="s">
        <v>10167</v>
      </c>
      <c r="C3085" t="s">
        <v>10168</v>
      </c>
      <c r="D3085" t="s">
        <v>10169</v>
      </c>
      <c r="E3085" t="s">
        <v>2310</v>
      </c>
      <c r="F3085">
        <v>15</v>
      </c>
      <c r="G3085">
        <v>15.2</v>
      </c>
      <c r="H3085" t="s">
        <v>2323</v>
      </c>
      <c r="I3085" s="21">
        <v>40323.676284722198</v>
      </c>
      <c r="J3085">
        <v>2010</v>
      </c>
      <c r="K3085" s="21">
        <v>40323.676284722198</v>
      </c>
      <c r="L3085">
        <v>2010</v>
      </c>
      <c r="M3085" s="21">
        <v>41101.640115740702</v>
      </c>
      <c r="N3085">
        <v>2012</v>
      </c>
      <c r="Q3085" s="262">
        <v>400000</v>
      </c>
      <c r="R3085" s="262">
        <v>159000</v>
      </c>
      <c r="S3085" t="s">
        <v>114</v>
      </c>
      <c r="T3085" t="s">
        <v>114</v>
      </c>
      <c r="U3085">
        <v>5</v>
      </c>
      <c r="W3085">
        <v>2165</v>
      </c>
      <c r="X3085">
        <v>1</v>
      </c>
      <c r="Y3085">
        <v>0</v>
      </c>
      <c r="Z3085">
        <v>0</v>
      </c>
      <c r="AA3085">
        <v>0</v>
      </c>
      <c r="AB3085">
        <v>0</v>
      </c>
      <c r="AC3085">
        <v>2165</v>
      </c>
      <c r="AD3085">
        <v>0</v>
      </c>
      <c r="AE3085">
        <v>0</v>
      </c>
      <c r="AF3085">
        <v>0</v>
      </c>
      <c r="AG3085">
        <v>0</v>
      </c>
      <c r="AH3085">
        <v>0</v>
      </c>
      <c r="AI3085">
        <v>0</v>
      </c>
      <c r="AJ3085">
        <v>0</v>
      </c>
      <c r="AK3085">
        <v>0</v>
      </c>
      <c r="AL3085">
        <v>0</v>
      </c>
      <c r="AM3085">
        <v>0</v>
      </c>
      <c r="AN3085">
        <v>0</v>
      </c>
      <c r="AO3085">
        <v>1</v>
      </c>
      <c r="AP3085">
        <v>0</v>
      </c>
      <c r="AQ3085">
        <v>0</v>
      </c>
      <c r="AR3085">
        <v>0</v>
      </c>
      <c r="AS3085">
        <v>0</v>
      </c>
      <c r="AT3085">
        <v>0</v>
      </c>
      <c r="AU3085">
        <f t="shared" si="94"/>
        <v>1</v>
      </c>
      <c r="AV3085">
        <f t="shared" si="95"/>
        <v>0</v>
      </c>
    </row>
    <row r="3086" spans="1:48" x14ac:dyDescent="0.25">
      <c r="A3086" t="s">
        <v>10170</v>
      </c>
      <c r="C3086" t="s">
        <v>10171</v>
      </c>
      <c r="D3086" t="s">
        <v>10172</v>
      </c>
      <c r="E3086" t="s">
        <v>2310</v>
      </c>
      <c r="F3086">
        <v>8</v>
      </c>
      <c r="G3086">
        <v>8.3000000000000007</v>
      </c>
      <c r="H3086" t="s">
        <v>2323</v>
      </c>
      <c r="I3086" s="21">
        <v>40330.6355092593</v>
      </c>
      <c r="J3086">
        <v>2010</v>
      </c>
      <c r="K3086" s="21">
        <v>40330.6355092593</v>
      </c>
      <c r="L3086">
        <v>2010</v>
      </c>
      <c r="M3086" s="21">
        <v>40564.4741782407</v>
      </c>
      <c r="N3086">
        <v>2011</v>
      </c>
      <c r="Q3086" s="262">
        <v>500000</v>
      </c>
      <c r="R3086" s="262">
        <v>295000</v>
      </c>
      <c r="S3086" t="s">
        <v>114</v>
      </c>
      <c r="T3086" t="s">
        <v>114</v>
      </c>
      <c r="U3086">
        <v>5</v>
      </c>
      <c r="W3086">
        <v>3080</v>
      </c>
      <c r="X3086">
        <v>2</v>
      </c>
      <c r="Y3086">
        <v>0</v>
      </c>
      <c r="Z3086">
        <v>0</v>
      </c>
      <c r="AA3086">
        <v>0</v>
      </c>
      <c r="AB3086">
        <v>0</v>
      </c>
      <c r="AC3086">
        <v>3080</v>
      </c>
      <c r="AD3086">
        <v>0</v>
      </c>
      <c r="AE3086">
        <v>0</v>
      </c>
      <c r="AF3086">
        <v>0</v>
      </c>
      <c r="AG3086">
        <v>0</v>
      </c>
      <c r="AH3086">
        <v>0</v>
      </c>
      <c r="AI3086">
        <v>0</v>
      </c>
      <c r="AJ3086">
        <v>0</v>
      </c>
      <c r="AK3086">
        <v>0</v>
      </c>
      <c r="AL3086">
        <v>0</v>
      </c>
      <c r="AM3086">
        <v>0</v>
      </c>
      <c r="AN3086">
        <v>0</v>
      </c>
      <c r="AO3086">
        <v>2</v>
      </c>
      <c r="AP3086">
        <v>0</v>
      </c>
      <c r="AQ3086">
        <v>0</v>
      </c>
      <c r="AR3086">
        <v>0</v>
      </c>
      <c r="AS3086">
        <v>0</v>
      </c>
      <c r="AT3086">
        <v>0</v>
      </c>
      <c r="AU3086">
        <f t="shared" si="94"/>
        <v>2</v>
      </c>
      <c r="AV3086">
        <f t="shared" si="95"/>
        <v>0</v>
      </c>
    </row>
    <row r="3087" spans="1:48" x14ac:dyDescent="0.25">
      <c r="A3087" t="s">
        <v>10173</v>
      </c>
      <c r="C3087" t="s">
        <v>7880</v>
      </c>
      <c r="D3087" t="s">
        <v>10172</v>
      </c>
      <c r="E3087" t="s">
        <v>2310</v>
      </c>
      <c r="F3087">
        <v>8</v>
      </c>
      <c r="G3087">
        <v>8.3000000000000007</v>
      </c>
      <c r="H3087" t="s">
        <v>2323</v>
      </c>
      <c r="I3087" s="21">
        <v>40330.663819444402</v>
      </c>
      <c r="J3087">
        <v>2010</v>
      </c>
      <c r="K3087" s="21">
        <v>40330.663819444402</v>
      </c>
      <c r="L3087">
        <v>2010</v>
      </c>
      <c r="M3087" s="21">
        <v>40564.479456018496</v>
      </c>
      <c r="N3087">
        <v>2011</v>
      </c>
      <c r="Q3087" s="262">
        <v>60000</v>
      </c>
      <c r="R3087" s="262">
        <v>40000</v>
      </c>
      <c r="S3087" t="s">
        <v>114</v>
      </c>
      <c r="T3087" t="s">
        <v>114</v>
      </c>
      <c r="U3087">
        <v>5</v>
      </c>
      <c r="W3087">
        <v>996</v>
      </c>
      <c r="X3087">
        <v>0</v>
      </c>
      <c r="Y3087">
        <v>0</v>
      </c>
      <c r="Z3087">
        <v>0</v>
      </c>
      <c r="AA3087">
        <v>0</v>
      </c>
      <c r="AB3087">
        <v>0</v>
      </c>
      <c r="AC3087">
        <v>996</v>
      </c>
      <c r="AD3087">
        <v>0</v>
      </c>
      <c r="AE3087">
        <v>0</v>
      </c>
      <c r="AF3087">
        <v>0</v>
      </c>
      <c r="AG3087">
        <v>0</v>
      </c>
      <c r="AH3087">
        <v>0</v>
      </c>
      <c r="AI3087">
        <v>0</v>
      </c>
      <c r="AJ3087">
        <v>0</v>
      </c>
      <c r="AK3087">
        <v>0</v>
      </c>
      <c r="AL3087">
        <v>0</v>
      </c>
      <c r="AM3087">
        <v>0</v>
      </c>
      <c r="AN3087">
        <v>0</v>
      </c>
      <c r="AO3087">
        <v>0</v>
      </c>
      <c r="AP3087">
        <v>0</v>
      </c>
      <c r="AQ3087">
        <v>0</v>
      </c>
      <c r="AR3087">
        <v>0</v>
      </c>
      <c r="AS3087">
        <v>0</v>
      </c>
      <c r="AT3087">
        <v>0</v>
      </c>
      <c r="AU3087">
        <f t="shared" si="94"/>
        <v>0</v>
      </c>
      <c r="AV3087">
        <f t="shared" si="95"/>
        <v>0</v>
      </c>
    </row>
    <row r="3088" spans="1:48" x14ac:dyDescent="0.25">
      <c r="A3088" t="s">
        <v>10174</v>
      </c>
      <c r="C3088" t="s">
        <v>10175</v>
      </c>
      <c r="D3088" t="s">
        <v>10176</v>
      </c>
      <c r="E3088" t="s">
        <v>2310</v>
      </c>
      <c r="F3088">
        <v>9</v>
      </c>
      <c r="G3088">
        <v>9.1999999999999993</v>
      </c>
      <c r="H3088" t="s">
        <v>2022</v>
      </c>
      <c r="I3088" s="21">
        <v>40331.346122685201</v>
      </c>
      <c r="J3088">
        <v>2010</v>
      </c>
      <c r="K3088" s="21">
        <v>40331.346122685201</v>
      </c>
      <c r="L3088">
        <v>2010</v>
      </c>
      <c r="M3088" s="21">
        <v>41103.597361111097</v>
      </c>
      <c r="N3088">
        <v>2012</v>
      </c>
      <c r="Q3088" s="262">
        <v>6000000</v>
      </c>
      <c r="R3088" s="262">
        <v>850000</v>
      </c>
      <c r="S3088" t="s">
        <v>114</v>
      </c>
      <c r="T3088" t="s">
        <v>114</v>
      </c>
      <c r="U3088">
        <v>5</v>
      </c>
      <c r="W3088">
        <v>9664</v>
      </c>
      <c r="X3088">
        <v>1</v>
      </c>
      <c r="Y3088">
        <v>0</v>
      </c>
      <c r="Z3088">
        <v>0</v>
      </c>
      <c r="AA3088">
        <v>0</v>
      </c>
      <c r="AB3088">
        <v>0</v>
      </c>
      <c r="AC3088">
        <v>9664</v>
      </c>
      <c r="AD3088">
        <v>0</v>
      </c>
      <c r="AE3088">
        <v>0</v>
      </c>
      <c r="AF3088">
        <v>0</v>
      </c>
      <c r="AG3088">
        <v>0</v>
      </c>
      <c r="AH3088">
        <v>0</v>
      </c>
      <c r="AI3088">
        <v>0</v>
      </c>
      <c r="AJ3088">
        <v>0</v>
      </c>
      <c r="AK3088">
        <v>0</v>
      </c>
      <c r="AL3088">
        <v>0</v>
      </c>
      <c r="AM3088">
        <v>0</v>
      </c>
      <c r="AN3088">
        <v>0</v>
      </c>
      <c r="AO3088">
        <v>1</v>
      </c>
      <c r="AP3088">
        <v>0</v>
      </c>
      <c r="AQ3088">
        <v>0</v>
      </c>
      <c r="AR3088">
        <v>0</v>
      </c>
      <c r="AS3088">
        <v>0</v>
      </c>
      <c r="AT3088">
        <v>0</v>
      </c>
      <c r="AU3088">
        <f t="shared" si="94"/>
        <v>1</v>
      </c>
      <c r="AV3088">
        <f t="shared" si="95"/>
        <v>0</v>
      </c>
    </row>
    <row r="3089" spans="1:48" x14ac:dyDescent="0.25">
      <c r="A3089" t="s">
        <v>10177</v>
      </c>
      <c r="C3089" t="s">
        <v>10178</v>
      </c>
      <c r="D3089" t="s">
        <v>10179</v>
      </c>
      <c r="E3089" t="s">
        <v>1663</v>
      </c>
      <c r="F3089">
        <v>3</v>
      </c>
      <c r="G3089">
        <v>3.4</v>
      </c>
      <c r="H3089" t="s">
        <v>2017</v>
      </c>
      <c r="I3089" s="21">
        <v>40332</v>
      </c>
      <c r="J3089">
        <v>2010</v>
      </c>
      <c r="K3089" s="21">
        <v>40362</v>
      </c>
      <c r="L3089">
        <v>2010</v>
      </c>
      <c r="M3089" s="21">
        <v>40515</v>
      </c>
      <c r="N3089">
        <v>2010</v>
      </c>
      <c r="Q3089" s="262">
        <v>20000</v>
      </c>
      <c r="S3089" t="s">
        <v>114</v>
      </c>
      <c r="T3089" t="s">
        <v>114</v>
      </c>
      <c r="W3089">
        <v>3000</v>
      </c>
      <c r="X3089">
        <v>1</v>
      </c>
      <c r="Y3089">
        <v>0</v>
      </c>
      <c r="Z3089">
        <v>0</v>
      </c>
      <c r="AA3089">
        <v>0</v>
      </c>
      <c r="AB3089">
        <v>0</v>
      </c>
      <c r="AC3089">
        <v>3000</v>
      </c>
      <c r="AD3089">
        <v>0</v>
      </c>
      <c r="AE3089">
        <v>0</v>
      </c>
      <c r="AF3089">
        <v>0</v>
      </c>
      <c r="AG3089">
        <v>0</v>
      </c>
      <c r="AH3089">
        <v>0</v>
      </c>
      <c r="AI3089">
        <v>0</v>
      </c>
      <c r="AJ3089">
        <v>0</v>
      </c>
      <c r="AK3089">
        <v>0</v>
      </c>
      <c r="AL3089">
        <v>0</v>
      </c>
      <c r="AM3089">
        <v>0</v>
      </c>
      <c r="AN3089">
        <v>0</v>
      </c>
      <c r="AO3089">
        <v>1</v>
      </c>
      <c r="AP3089">
        <v>0</v>
      </c>
      <c r="AQ3089">
        <v>0</v>
      </c>
      <c r="AR3089">
        <v>0</v>
      </c>
      <c r="AS3089">
        <v>0</v>
      </c>
      <c r="AT3089">
        <v>0</v>
      </c>
      <c r="AU3089">
        <f t="shared" si="94"/>
        <v>1</v>
      </c>
      <c r="AV3089">
        <f t="shared" si="95"/>
        <v>0</v>
      </c>
    </row>
    <row r="3090" spans="1:48" x14ac:dyDescent="0.25">
      <c r="A3090" t="s">
        <v>10180</v>
      </c>
      <c r="C3090" t="s">
        <v>10181</v>
      </c>
      <c r="D3090" t="s">
        <v>10182</v>
      </c>
      <c r="E3090" t="s">
        <v>1663</v>
      </c>
      <c r="F3090">
        <v>3</v>
      </c>
      <c r="G3090">
        <v>3.1</v>
      </c>
      <c r="H3090" t="s">
        <v>2017</v>
      </c>
      <c r="I3090" s="21">
        <v>40336</v>
      </c>
      <c r="J3090">
        <v>2010</v>
      </c>
      <c r="K3090" s="21">
        <v>40366</v>
      </c>
      <c r="L3090">
        <v>2010</v>
      </c>
      <c r="M3090" s="21">
        <v>40519</v>
      </c>
      <c r="N3090">
        <v>2010</v>
      </c>
      <c r="Q3090" s="262">
        <v>60000</v>
      </c>
      <c r="S3090" t="s">
        <v>114</v>
      </c>
      <c r="T3090" t="s">
        <v>114</v>
      </c>
      <c r="W3090">
        <v>1649</v>
      </c>
      <c r="X3090">
        <v>1</v>
      </c>
      <c r="Y3090">
        <v>0</v>
      </c>
      <c r="Z3090">
        <v>0</v>
      </c>
      <c r="AA3090">
        <v>0</v>
      </c>
      <c r="AB3090">
        <v>0</v>
      </c>
      <c r="AC3090">
        <v>1649</v>
      </c>
      <c r="AD3090">
        <v>0</v>
      </c>
      <c r="AE3090">
        <v>0</v>
      </c>
      <c r="AF3090">
        <v>0</v>
      </c>
      <c r="AG3090">
        <v>0</v>
      </c>
      <c r="AH3090">
        <v>0</v>
      </c>
      <c r="AI3090">
        <v>0</v>
      </c>
      <c r="AJ3090">
        <v>0</v>
      </c>
      <c r="AK3090">
        <v>0</v>
      </c>
      <c r="AL3090">
        <v>0</v>
      </c>
      <c r="AM3090">
        <v>0</v>
      </c>
      <c r="AN3090">
        <v>0</v>
      </c>
      <c r="AO3090">
        <v>1</v>
      </c>
      <c r="AP3090">
        <v>0</v>
      </c>
      <c r="AQ3090">
        <v>0</v>
      </c>
      <c r="AR3090">
        <v>0</v>
      </c>
      <c r="AS3090">
        <v>0</v>
      </c>
      <c r="AT3090">
        <v>0</v>
      </c>
      <c r="AU3090">
        <f t="shared" si="94"/>
        <v>1</v>
      </c>
      <c r="AV3090">
        <f t="shared" si="95"/>
        <v>0</v>
      </c>
    </row>
    <row r="3091" spans="1:48" x14ac:dyDescent="0.25">
      <c r="A3091" t="s">
        <v>10183</v>
      </c>
      <c r="C3091" t="s">
        <v>10184</v>
      </c>
      <c r="D3091" t="s">
        <v>10185</v>
      </c>
      <c r="E3091" t="s">
        <v>2310</v>
      </c>
      <c r="F3091">
        <v>13</v>
      </c>
      <c r="G3091">
        <v>13.2</v>
      </c>
      <c r="H3091" t="s">
        <v>2327</v>
      </c>
      <c r="I3091" s="21">
        <v>40338.330358796302</v>
      </c>
      <c r="J3091">
        <v>2010</v>
      </c>
      <c r="K3091" s="21">
        <v>40338.330358796302</v>
      </c>
      <c r="L3091">
        <v>2010</v>
      </c>
      <c r="M3091" s="21">
        <v>41395.447800925896</v>
      </c>
      <c r="N3091">
        <v>2013</v>
      </c>
      <c r="Q3091" s="262">
        <v>6000000</v>
      </c>
      <c r="R3091" s="262">
        <v>778000</v>
      </c>
      <c r="S3091" t="s">
        <v>114</v>
      </c>
      <c r="T3091" t="s">
        <v>114</v>
      </c>
      <c r="U3091">
        <v>5</v>
      </c>
      <c r="W3091">
        <v>8330</v>
      </c>
      <c r="X3091">
        <v>1</v>
      </c>
      <c r="Y3091">
        <v>0</v>
      </c>
      <c r="Z3091">
        <v>0</v>
      </c>
      <c r="AA3091">
        <v>0</v>
      </c>
      <c r="AB3091">
        <v>0</v>
      </c>
      <c r="AC3091">
        <v>8330</v>
      </c>
      <c r="AD3091">
        <v>0</v>
      </c>
      <c r="AE3091">
        <v>0</v>
      </c>
      <c r="AF3091">
        <v>0</v>
      </c>
      <c r="AG3091">
        <v>0</v>
      </c>
      <c r="AH3091">
        <v>0</v>
      </c>
      <c r="AI3091">
        <v>0</v>
      </c>
      <c r="AJ3091">
        <v>0</v>
      </c>
      <c r="AK3091">
        <v>0</v>
      </c>
      <c r="AL3091">
        <v>0</v>
      </c>
      <c r="AM3091">
        <v>0</v>
      </c>
      <c r="AN3091">
        <v>0</v>
      </c>
      <c r="AO3091">
        <v>1</v>
      </c>
      <c r="AP3091">
        <v>0</v>
      </c>
      <c r="AQ3091">
        <v>0</v>
      </c>
      <c r="AR3091">
        <v>0</v>
      </c>
      <c r="AS3091">
        <v>0</v>
      </c>
      <c r="AT3091">
        <v>0</v>
      </c>
      <c r="AU3091">
        <f t="shared" si="94"/>
        <v>1</v>
      </c>
      <c r="AV3091">
        <f t="shared" si="95"/>
        <v>0</v>
      </c>
    </row>
    <row r="3092" spans="1:48" x14ac:dyDescent="0.25">
      <c r="A3092" t="s">
        <v>10186</v>
      </c>
      <c r="C3092" t="s">
        <v>10187</v>
      </c>
      <c r="D3092" t="s">
        <v>10185</v>
      </c>
      <c r="E3092" t="s">
        <v>2310</v>
      </c>
      <c r="F3092">
        <v>13</v>
      </c>
      <c r="G3092">
        <v>13.2</v>
      </c>
      <c r="H3092" t="s">
        <v>2327</v>
      </c>
      <c r="I3092" s="21">
        <v>40338.378344907404</v>
      </c>
      <c r="J3092">
        <v>2010</v>
      </c>
      <c r="K3092" s="21">
        <v>40338.378344907404</v>
      </c>
      <c r="L3092">
        <v>2010</v>
      </c>
      <c r="M3092" s="21">
        <v>41395.450277777803</v>
      </c>
      <c r="N3092">
        <v>2013</v>
      </c>
      <c r="Q3092" s="262">
        <v>650000</v>
      </c>
      <c r="R3092" s="262">
        <v>101000</v>
      </c>
      <c r="S3092" t="s">
        <v>114</v>
      </c>
      <c r="T3092" t="s">
        <v>114</v>
      </c>
      <c r="U3092">
        <v>8</v>
      </c>
      <c r="W3092">
        <v>981</v>
      </c>
      <c r="X3092">
        <v>1</v>
      </c>
      <c r="Y3092">
        <v>0</v>
      </c>
      <c r="Z3092">
        <v>0</v>
      </c>
      <c r="AA3092">
        <v>0</v>
      </c>
      <c r="AB3092">
        <v>0</v>
      </c>
      <c r="AC3092">
        <v>0</v>
      </c>
      <c r="AD3092">
        <v>0</v>
      </c>
      <c r="AE3092">
        <v>0</v>
      </c>
      <c r="AF3092">
        <v>981</v>
      </c>
      <c r="AG3092">
        <v>0</v>
      </c>
      <c r="AH3092">
        <v>0</v>
      </c>
      <c r="AI3092">
        <v>0</v>
      </c>
      <c r="AJ3092">
        <v>0</v>
      </c>
      <c r="AK3092">
        <v>0</v>
      </c>
      <c r="AL3092">
        <v>0</v>
      </c>
      <c r="AM3092">
        <v>0</v>
      </c>
      <c r="AN3092">
        <v>0</v>
      </c>
      <c r="AO3092">
        <v>0</v>
      </c>
      <c r="AP3092">
        <v>0</v>
      </c>
      <c r="AQ3092">
        <v>0</v>
      </c>
      <c r="AR3092">
        <v>1</v>
      </c>
      <c r="AS3092">
        <v>0</v>
      </c>
      <c r="AT3092">
        <v>0</v>
      </c>
      <c r="AU3092">
        <f t="shared" si="94"/>
        <v>0</v>
      </c>
      <c r="AV3092">
        <f t="shared" si="95"/>
        <v>0</v>
      </c>
    </row>
    <row r="3093" spans="1:48" x14ac:dyDescent="0.25">
      <c r="A3093" t="s">
        <v>10188</v>
      </c>
      <c r="C3093" t="s">
        <v>5963</v>
      </c>
      <c r="D3093" t="s">
        <v>10189</v>
      </c>
      <c r="E3093" t="s">
        <v>1663</v>
      </c>
      <c r="F3093">
        <v>5</v>
      </c>
      <c r="G3093">
        <v>5.5</v>
      </c>
      <c r="H3093" t="s">
        <v>2017</v>
      </c>
      <c r="I3093" s="21">
        <v>40339</v>
      </c>
      <c r="J3093">
        <v>2010</v>
      </c>
      <c r="K3093" s="21">
        <v>40369</v>
      </c>
      <c r="L3093">
        <v>2010</v>
      </c>
      <c r="M3093" s="21">
        <v>40522</v>
      </c>
      <c r="N3093">
        <v>2010</v>
      </c>
      <c r="Q3093" s="262">
        <v>297874.14</v>
      </c>
      <c r="S3093" t="s">
        <v>114</v>
      </c>
      <c r="T3093" t="s">
        <v>114</v>
      </c>
      <c r="W3093">
        <v>1694</v>
      </c>
      <c r="X3093">
        <v>1</v>
      </c>
      <c r="Y3093">
        <v>0</v>
      </c>
      <c r="Z3093">
        <v>0</v>
      </c>
      <c r="AA3093">
        <v>0</v>
      </c>
      <c r="AB3093">
        <v>0</v>
      </c>
      <c r="AC3093">
        <v>1694</v>
      </c>
      <c r="AD3093">
        <v>0</v>
      </c>
      <c r="AE3093">
        <v>0</v>
      </c>
      <c r="AF3093">
        <v>0</v>
      </c>
      <c r="AG3093">
        <v>0</v>
      </c>
      <c r="AH3093">
        <v>0</v>
      </c>
      <c r="AI3093">
        <v>0</v>
      </c>
      <c r="AJ3093">
        <v>0</v>
      </c>
      <c r="AK3093">
        <v>0</v>
      </c>
      <c r="AL3093">
        <v>0</v>
      </c>
      <c r="AM3093">
        <v>0</v>
      </c>
      <c r="AN3093">
        <v>0</v>
      </c>
      <c r="AO3093">
        <v>1</v>
      </c>
      <c r="AP3093">
        <v>0</v>
      </c>
      <c r="AQ3093">
        <v>0</v>
      </c>
      <c r="AR3093">
        <v>0</v>
      </c>
      <c r="AS3093">
        <v>0</v>
      </c>
      <c r="AT3093">
        <v>0</v>
      </c>
      <c r="AU3093">
        <f t="shared" si="94"/>
        <v>1</v>
      </c>
      <c r="AV3093">
        <f t="shared" si="95"/>
        <v>0</v>
      </c>
    </row>
    <row r="3094" spans="1:48" x14ac:dyDescent="0.25">
      <c r="A3094" t="s">
        <v>10190</v>
      </c>
      <c r="C3094" t="s">
        <v>10191</v>
      </c>
      <c r="D3094" t="s">
        <v>10192</v>
      </c>
      <c r="E3094" t="s">
        <v>2310</v>
      </c>
      <c r="F3094">
        <v>14</v>
      </c>
      <c r="G3094">
        <v>14.2</v>
      </c>
      <c r="H3094" t="s">
        <v>2017</v>
      </c>
      <c r="I3094" s="21">
        <v>40346.397060185198</v>
      </c>
      <c r="J3094">
        <v>2010</v>
      </c>
      <c r="K3094" s="21">
        <v>40346.397060185198</v>
      </c>
      <c r="L3094">
        <v>2010</v>
      </c>
      <c r="M3094" s="21">
        <v>40449.370694444398</v>
      </c>
      <c r="N3094">
        <v>2010</v>
      </c>
      <c r="Q3094" s="262">
        <v>50000</v>
      </c>
      <c r="R3094" s="262">
        <v>26000</v>
      </c>
      <c r="S3094" t="s">
        <v>114</v>
      </c>
      <c r="T3094" t="s">
        <v>114</v>
      </c>
      <c r="U3094">
        <v>5</v>
      </c>
      <c r="W3094">
        <v>206</v>
      </c>
      <c r="X3094">
        <v>0</v>
      </c>
      <c r="Y3094">
        <v>0</v>
      </c>
      <c r="Z3094">
        <v>0</v>
      </c>
      <c r="AA3094">
        <v>0</v>
      </c>
      <c r="AB3094">
        <v>0</v>
      </c>
      <c r="AC3094">
        <v>206</v>
      </c>
      <c r="AD3094">
        <v>0</v>
      </c>
      <c r="AE3094">
        <v>0</v>
      </c>
      <c r="AF3094">
        <v>0</v>
      </c>
      <c r="AG3094">
        <v>0</v>
      </c>
      <c r="AH3094">
        <v>0</v>
      </c>
      <c r="AI3094">
        <v>0</v>
      </c>
      <c r="AJ3094">
        <v>0</v>
      </c>
      <c r="AK3094">
        <v>0</v>
      </c>
      <c r="AL3094">
        <v>0</v>
      </c>
      <c r="AM3094">
        <v>0</v>
      </c>
      <c r="AN3094">
        <v>0</v>
      </c>
      <c r="AO3094">
        <v>0</v>
      </c>
      <c r="AP3094">
        <v>0</v>
      </c>
      <c r="AQ3094">
        <v>0</v>
      </c>
      <c r="AR3094">
        <v>0</v>
      </c>
      <c r="AS3094">
        <v>0</v>
      </c>
      <c r="AT3094">
        <v>0</v>
      </c>
      <c r="AU3094">
        <f t="shared" si="94"/>
        <v>0</v>
      </c>
      <c r="AV3094">
        <f t="shared" si="95"/>
        <v>0</v>
      </c>
    </row>
    <row r="3095" spans="1:48" x14ac:dyDescent="0.25">
      <c r="A3095" t="s">
        <v>10193</v>
      </c>
      <c r="C3095" t="s">
        <v>10194</v>
      </c>
      <c r="D3095" t="s">
        <v>10195</v>
      </c>
      <c r="E3095" t="s">
        <v>2310</v>
      </c>
      <c r="F3095">
        <v>9</v>
      </c>
      <c r="G3095">
        <v>9.3000000000000007</v>
      </c>
      <c r="H3095" t="s">
        <v>2323</v>
      </c>
      <c r="I3095" s="21">
        <v>40346.494953703703</v>
      </c>
      <c r="J3095">
        <v>2010</v>
      </c>
      <c r="K3095" s="21">
        <v>40346.494953703703</v>
      </c>
      <c r="L3095">
        <v>2010</v>
      </c>
      <c r="M3095" s="21">
        <v>41346.563148148103</v>
      </c>
      <c r="N3095">
        <v>2013</v>
      </c>
      <c r="Q3095" s="262">
        <v>6500000</v>
      </c>
      <c r="R3095" s="262">
        <v>1100000</v>
      </c>
      <c r="S3095" t="s">
        <v>114</v>
      </c>
      <c r="T3095" t="s">
        <v>114</v>
      </c>
      <c r="U3095">
        <v>5</v>
      </c>
      <c r="W3095">
        <v>10743</v>
      </c>
      <c r="X3095">
        <v>1</v>
      </c>
      <c r="Y3095">
        <v>0</v>
      </c>
      <c r="Z3095">
        <v>0</v>
      </c>
      <c r="AA3095">
        <v>0</v>
      </c>
      <c r="AB3095">
        <v>0</v>
      </c>
      <c r="AC3095">
        <v>10743</v>
      </c>
      <c r="AD3095">
        <v>0</v>
      </c>
      <c r="AE3095">
        <v>0</v>
      </c>
      <c r="AF3095">
        <v>0</v>
      </c>
      <c r="AG3095">
        <v>0</v>
      </c>
      <c r="AH3095">
        <v>0</v>
      </c>
      <c r="AI3095">
        <v>0</v>
      </c>
      <c r="AJ3095">
        <v>0</v>
      </c>
      <c r="AK3095">
        <v>0</v>
      </c>
      <c r="AL3095">
        <v>0</v>
      </c>
      <c r="AM3095">
        <v>0</v>
      </c>
      <c r="AN3095">
        <v>0</v>
      </c>
      <c r="AO3095">
        <v>1</v>
      </c>
      <c r="AP3095">
        <v>0</v>
      </c>
      <c r="AQ3095">
        <v>0</v>
      </c>
      <c r="AR3095">
        <v>0</v>
      </c>
      <c r="AS3095">
        <v>0</v>
      </c>
      <c r="AT3095">
        <v>0</v>
      </c>
      <c r="AU3095">
        <f t="shared" si="94"/>
        <v>1</v>
      </c>
      <c r="AV3095">
        <f t="shared" si="95"/>
        <v>0</v>
      </c>
    </row>
    <row r="3096" spans="1:48" x14ac:dyDescent="0.25">
      <c r="A3096" t="s">
        <v>10196</v>
      </c>
      <c r="C3096" t="s">
        <v>10197</v>
      </c>
      <c r="D3096" t="s">
        <v>10198</v>
      </c>
      <c r="E3096" t="s">
        <v>2310</v>
      </c>
      <c r="F3096">
        <v>9</v>
      </c>
      <c r="G3096">
        <v>9.4</v>
      </c>
      <c r="H3096" t="s">
        <v>2323</v>
      </c>
      <c r="I3096" s="21">
        <v>40350.506770833301</v>
      </c>
      <c r="J3096">
        <v>2010</v>
      </c>
      <c r="K3096" s="21">
        <v>40350.506770833301</v>
      </c>
      <c r="L3096">
        <v>2010</v>
      </c>
      <c r="M3096" s="21">
        <v>40948.680937500001</v>
      </c>
      <c r="N3096">
        <v>2012</v>
      </c>
      <c r="Q3096" s="262">
        <v>3000000</v>
      </c>
      <c r="R3096" s="262">
        <v>609000</v>
      </c>
      <c r="S3096" t="s">
        <v>114</v>
      </c>
      <c r="T3096" t="s">
        <v>114</v>
      </c>
      <c r="U3096">
        <v>5</v>
      </c>
      <c r="W3096">
        <v>6524</v>
      </c>
      <c r="X3096">
        <v>1</v>
      </c>
      <c r="Y3096">
        <v>0</v>
      </c>
      <c r="Z3096">
        <v>0</v>
      </c>
      <c r="AA3096">
        <v>0</v>
      </c>
      <c r="AB3096">
        <v>0</v>
      </c>
      <c r="AC3096">
        <v>6524</v>
      </c>
      <c r="AD3096">
        <v>0</v>
      </c>
      <c r="AE3096">
        <v>0</v>
      </c>
      <c r="AF3096">
        <v>0</v>
      </c>
      <c r="AG3096">
        <v>0</v>
      </c>
      <c r="AH3096">
        <v>0</v>
      </c>
      <c r="AI3096">
        <v>0</v>
      </c>
      <c r="AJ3096">
        <v>0</v>
      </c>
      <c r="AK3096">
        <v>0</v>
      </c>
      <c r="AL3096">
        <v>0</v>
      </c>
      <c r="AM3096">
        <v>0</v>
      </c>
      <c r="AN3096">
        <v>0</v>
      </c>
      <c r="AO3096">
        <v>1</v>
      </c>
      <c r="AP3096">
        <v>0</v>
      </c>
      <c r="AQ3096">
        <v>0</v>
      </c>
      <c r="AR3096">
        <v>0</v>
      </c>
      <c r="AS3096">
        <v>0</v>
      </c>
      <c r="AT3096">
        <v>0</v>
      </c>
      <c r="AU3096">
        <f t="shared" si="94"/>
        <v>1</v>
      </c>
      <c r="AV3096">
        <f t="shared" si="95"/>
        <v>0</v>
      </c>
    </row>
    <row r="3097" spans="1:48" x14ac:dyDescent="0.25">
      <c r="A3097" t="s">
        <v>10199</v>
      </c>
      <c r="C3097" t="s">
        <v>10200</v>
      </c>
      <c r="D3097" t="s">
        <v>10201</v>
      </c>
      <c r="E3097" t="s">
        <v>2310</v>
      </c>
      <c r="F3097">
        <v>9</v>
      </c>
      <c r="G3097">
        <v>9.3000000000000007</v>
      </c>
      <c r="H3097" t="s">
        <v>2323</v>
      </c>
      <c r="I3097" s="21">
        <v>40350.659351851798</v>
      </c>
      <c r="J3097">
        <v>2010</v>
      </c>
      <c r="K3097" s="21">
        <v>40350.659351851798</v>
      </c>
      <c r="L3097">
        <v>2010</v>
      </c>
      <c r="M3097" s="21">
        <v>41016.5523958333</v>
      </c>
      <c r="N3097">
        <v>2012</v>
      </c>
      <c r="Q3097" s="262">
        <v>2000000</v>
      </c>
      <c r="R3097" s="262">
        <v>844000</v>
      </c>
      <c r="S3097" t="s">
        <v>114</v>
      </c>
      <c r="T3097" t="s">
        <v>114</v>
      </c>
      <c r="U3097">
        <v>5</v>
      </c>
      <c r="W3097">
        <v>9100</v>
      </c>
      <c r="X3097">
        <v>2</v>
      </c>
      <c r="Y3097">
        <v>0</v>
      </c>
      <c r="Z3097">
        <v>0</v>
      </c>
      <c r="AA3097">
        <v>0</v>
      </c>
      <c r="AB3097">
        <v>0</v>
      </c>
      <c r="AC3097">
        <v>9100</v>
      </c>
      <c r="AD3097">
        <v>0</v>
      </c>
      <c r="AE3097">
        <v>0</v>
      </c>
      <c r="AF3097">
        <v>0</v>
      </c>
      <c r="AG3097">
        <v>0</v>
      </c>
      <c r="AH3097">
        <v>0</v>
      </c>
      <c r="AI3097">
        <v>0</v>
      </c>
      <c r="AJ3097">
        <v>0</v>
      </c>
      <c r="AK3097">
        <v>0</v>
      </c>
      <c r="AL3097">
        <v>0</v>
      </c>
      <c r="AM3097">
        <v>0</v>
      </c>
      <c r="AN3097">
        <v>0</v>
      </c>
      <c r="AO3097">
        <v>1</v>
      </c>
      <c r="AP3097">
        <v>0</v>
      </c>
      <c r="AQ3097">
        <v>0</v>
      </c>
      <c r="AR3097">
        <v>1</v>
      </c>
      <c r="AS3097">
        <v>0</v>
      </c>
      <c r="AT3097">
        <v>0</v>
      </c>
      <c r="AU3097">
        <f t="shared" ref="AU3097:AU3160" si="96">SUM(AN3097:AQ3097,AS3097)</f>
        <v>1</v>
      </c>
      <c r="AV3097">
        <f t="shared" ref="AV3097:AV3160" si="97">SUM(Y3097:AB3097,AH3097:AM3097)</f>
        <v>0</v>
      </c>
    </row>
    <row r="3098" spans="1:48" x14ac:dyDescent="0.25">
      <c r="A3098" t="s">
        <v>10202</v>
      </c>
      <c r="C3098" t="s">
        <v>10203</v>
      </c>
      <c r="D3098" t="s">
        <v>9610</v>
      </c>
      <c r="E3098" t="s">
        <v>2310</v>
      </c>
      <c r="F3098">
        <v>15</v>
      </c>
      <c r="G3098">
        <v>15.3</v>
      </c>
      <c r="H3098" t="s">
        <v>2022</v>
      </c>
      <c r="I3098" s="21">
        <v>40353.473587963003</v>
      </c>
      <c r="J3098">
        <v>2010</v>
      </c>
      <c r="K3098" s="21">
        <v>40353.473587963003</v>
      </c>
      <c r="L3098">
        <v>2010</v>
      </c>
      <c r="M3098" s="21">
        <v>41396.4381712963</v>
      </c>
      <c r="N3098">
        <v>2013</v>
      </c>
      <c r="Q3098" s="262">
        <v>200000</v>
      </c>
      <c r="R3098" s="262">
        <v>173000</v>
      </c>
      <c r="S3098" t="s">
        <v>114</v>
      </c>
      <c r="T3098" t="s">
        <v>114</v>
      </c>
      <c r="U3098">
        <v>5</v>
      </c>
      <c r="W3098">
        <v>2795</v>
      </c>
      <c r="X3098">
        <v>0</v>
      </c>
      <c r="Y3098">
        <v>0</v>
      </c>
      <c r="Z3098">
        <v>0</v>
      </c>
      <c r="AA3098">
        <v>0</v>
      </c>
      <c r="AB3098">
        <v>0</v>
      </c>
      <c r="AC3098">
        <v>2795</v>
      </c>
      <c r="AD3098">
        <v>0</v>
      </c>
      <c r="AE3098">
        <v>0</v>
      </c>
      <c r="AF3098">
        <v>0</v>
      </c>
      <c r="AG3098">
        <v>0</v>
      </c>
      <c r="AH3098">
        <v>0</v>
      </c>
      <c r="AI3098">
        <v>0</v>
      </c>
      <c r="AJ3098">
        <v>0</v>
      </c>
      <c r="AK3098">
        <v>0</v>
      </c>
      <c r="AL3098">
        <v>0</v>
      </c>
      <c r="AM3098">
        <v>0</v>
      </c>
      <c r="AN3098">
        <v>0</v>
      </c>
      <c r="AO3098">
        <v>0</v>
      </c>
      <c r="AP3098">
        <v>0</v>
      </c>
      <c r="AQ3098">
        <v>0</v>
      </c>
      <c r="AR3098">
        <v>0</v>
      </c>
      <c r="AS3098">
        <v>0</v>
      </c>
      <c r="AT3098">
        <v>0</v>
      </c>
      <c r="AU3098">
        <f t="shared" si="96"/>
        <v>0</v>
      </c>
      <c r="AV3098">
        <f t="shared" si="97"/>
        <v>0</v>
      </c>
    </row>
    <row r="3099" spans="1:48" x14ac:dyDescent="0.25">
      <c r="A3099" t="s">
        <v>10204</v>
      </c>
      <c r="C3099" t="s">
        <v>10205</v>
      </c>
      <c r="D3099" t="s">
        <v>8825</v>
      </c>
      <c r="E3099" t="s">
        <v>2310</v>
      </c>
      <c r="F3099">
        <v>13</v>
      </c>
      <c r="G3099">
        <v>13.3</v>
      </c>
      <c r="H3099" t="s">
        <v>2017</v>
      </c>
      <c r="I3099" s="21">
        <v>40358.391180555598</v>
      </c>
      <c r="J3099">
        <v>2010</v>
      </c>
      <c r="K3099" s="21">
        <v>40358.391180555598</v>
      </c>
      <c r="L3099">
        <v>2010</v>
      </c>
      <c r="M3099" s="21">
        <v>41782.427418981497</v>
      </c>
      <c r="N3099">
        <v>2014</v>
      </c>
      <c r="Q3099" s="262">
        <v>240000</v>
      </c>
      <c r="R3099" s="262">
        <v>525000</v>
      </c>
      <c r="S3099" t="s">
        <v>114</v>
      </c>
      <c r="T3099" t="s">
        <v>114</v>
      </c>
      <c r="U3099">
        <v>5</v>
      </c>
      <c r="V3099">
        <v>444</v>
      </c>
      <c r="W3099">
        <v>2454</v>
      </c>
      <c r="X3099">
        <v>0</v>
      </c>
      <c r="Y3099">
        <v>0</v>
      </c>
      <c r="Z3099">
        <v>0</v>
      </c>
      <c r="AA3099">
        <v>0</v>
      </c>
      <c r="AB3099">
        <v>0</v>
      </c>
      <c r="AC3099">
        <v>2454</v>
      </c>
      <c r="AD3099">
        <v>0</v>
      </c>
      <c r="AE3099">
        <v>0</v>
      </c>
      <c r="AF3099">
        <v>0</v>
      </c>
      <c r="AG3099">
        <v>0</v>
      </c>
      <c r="AH3099">
        <v>0</v>
      </c>
      <c r="AI3099">
        <v>0</v>
      </c>
      <c r="AJ3099">
        <v>0</v>
      </c>
      <c r="AK3099">
        <v>0</v>
      </c>
      <c r="AL3099">
        <v>0</v>
      </c>
      <c r="AM3099">
        <v>0</v>
      </c>
      <c r="AN3099">
        <v>0</v>
      </c>
      <c r="AO3099">
        <v>0</v>
      </c>
      <c r="AP3099">
        <v>0</v>
      </c>
      <c r="AQ3099">
        <v>0</v>
      </c>
      <c r="AR3099">
        <v>0</v>
      </c>
      <c r="AS3099">
        <v>0</v>
      </c>
      <c r="AT3099">
        <v>0</v>
      </c>
      <c r="AU3099">
        <f t="shared" si="96"/>
        <v>0</v>
      </c>
      <c r="AV3099">
        <f t="shared" si="97"/>
        <v>0</v>
      </c>
    </row>
    <row r="3100" spans="1:48" x14ac:dyDescent="0.25">
      <c r="A3100" t="s">
        <v>10206</v>
      </c>
      <c r="C3100" t="s">
        <v>10207</v>
      </c>
      <c r="D3100" t="s">
        <v>7352</v>
      </c>
      <c r="E3100" t="s">
        <v>2310</v>
      </c>
      <c r="F3100">
        <v>15</v>
      </c>
      <c r="G3100">
        <v>15.3</v>
      </c>
      <c r="H3100" t="s">
        <v>2022</v>
      </c>
      <c r="I3100" s="21">
        <v>40358.447280092601</v>
      </c>
      <c r="J3100">
        <v>2010</v>
      </c>
      <c r="K3100" s="21">
        <v>40358.447280092601</v>
      </c>
      <c r="L3100">
        <v>2010</v>
      </c>
      <c r="M3100" s="21">
        <v>40830.465381944399</v>
      </c>
      <c r="N3100">
        <v>2011</v>
      </c>
      <c r="Q3100" s="262">
        <v>35000</v>
      </c>
      <c r="R3100" s="262">
        <v>38000</v>
      </c>
      <c r="S3100" t="s">
        <v>114</v>
      </c>
      <c r="T3100" t="s">
        <v>114</v>
      </c>
      <c r="U3100">
        <v>5</v>
      </c>
      <c r="W3100">
        <v>945</v>
      </c>
      <c r="X3100">
        <v>0</v>
      </c>
      <c r="Y3100">
        <v>0</v>
      </c>
      <c r="Z3100">
        <v>0</v>
      </c>
      <c r="AA3100">
        <v>0</v>
      </c>
      <c r="AB3100">
        <v>0</v>
      </c>
      <c r="AC3100">
        <v>945</v>
      </c>
      <c r="AD3100">
        <v>0</v>
      </c>
      <c r="AE3100">
        <v>0</v>
      </c>
      <c r="AF3100">
        <v>0</v>
      </c>
      <c r="AG3100">
        <v>0</v>
      </c>
      <c r="AH3100">
        <v>0</v>
      </c>
      <c r="AI3100">
        <v>0</v>
      </c>
      <c r="AJ3100">
        <v>0</v>
      </c>
      <c r="AK3100">
        <v>0</v>
      </c>
      <c r="AL3100">
        <v>0</v>
      </c>
      <c r="AM3100">
        <v>0</v>
      </c>
      <c r="AN3100">
        <v>0</v>
      </c>
      <c r="AO3100">
        <v>0</v>
      </c>
      <c r="AP3100">
        <v>0</v>
      </c>
      <c r="AQ3100">
        <v>0</v>
      </c>
      <c r="AR3100">
        <v>0</v>
      </c>
      <c r="AS3100">
        <v>0</v>
      </c>
      <c r="AT3100">
        <v>0</v>
      </c>
      <c r="AU3100">
        <f t="shared" si="96"/>
        <v>0</v>
      </c>
      <c r="AV3100">
        <f t="shared" si="97"/>
        <v>0</v>
      </c>
    </row>
    <row r="3101" spans="1:48" x14ac:dyDescent="0.25">
      <c r="A3101" t="s">
        <v>10208</v>
      </c>
      <c r="C3101" t="s">
        <v>10209</v>
      </c>
      <c r="D3101" t="s">
        <v>10210</v>
      </c>
      <c r="E3101" t="s">
        <v>2310</v>
      </c>
      <c r="F3101">
        <v>9</v>
      </c>
      <c r="G3101">
        <v>9.4</v>
      </c>
      <c r="H3101" t="s">
        <v>2323</v>
      </c>
      <c r="I3101" s="21">
        <v>40358.621631944399</v>
      </c>
      <c r="J3101">
        <v>2010</v>
      </c>
      <c r="K3101" s="21">
        <v>40358.621631944399</v>
      </c>
      <c r="L3101">
        <v>2010</v>
      </c>
      <c r="M3101" s="21">
        <v>40777.414942129602</v>
      </c>
      <c r="N3101">
        <v>2011</v>
      </c>
      <c r="Q3101" s="262">
        <v>504000</v>
      </c>
      <c r="R3101" s="262">
        <v>56000</v>
      </c>
      <c r="S3101" t="s">
        <v>114</v>
      </c>
      <c r="T3101" t="s">
        <v>114</v>
      </c>
      <c r="U3101">
        <v>5</v>
      </c>
      <c r="W3101">
        <v>498</v>
      </c>
      <c r="X3101">
        <v>0</v>
      </c>
      <c r="Y3101">
        <v>0</v>
      </c>
      <c r="Z3101">
        <v>0</v>
      </c>
      <c r="AA3101">
        <v>0</v>
      </c>
      <c r="AB3101">
        <v>0</v>
      </c>
      <c r="AC3101">
        <v>498</v>
      </c>
      <c r="AD3101">
        <v>0</v>
      </c>
      <c r="AE3101">
        <v>0</v>
      </c>
      <c r="AF3101">
        <v>0</v>
      </c>
      <c r="AG3101">
        <v>0</v>
      </c>
      <c r="AH3101">
        <v>0</v>
      </c>
      <c r="AI3101">
        <v>0</v>
      </c>
      <c r="AJ3101">
        <v>0</v>
      </c>
      <c r="AK3101">
        <v>0</v>
      </c>
      <c r="AL3101">
        <v>0</v>
      </c>
      <c r="AM3101">
        <v>0</v>
      </c>
      <c r="AN3101">
        <v>0</v>
      </c>
      <c r="AO3101">
        <v>0</v>
      </c>
      <c r="AP3101">
        <v>0</v>
      </c>
      <c r="AQ3101">
        <v>0</v>
      </c>
      <c r="AR3101">
        <v>0</v>
      </c>
      <c r="AS3101">
        <v>0</v>
      </c>
      <c r="AT3101">
        <v>0</v>
      </c>
      <c r="AU3101">
        <f t="shared" si="96"/>
        <v>0</v>
      </c>
      <c r="AV3101">
        <f t="shared" si="97"/>
        <v>0</v>
      </c>
    </row>
    <row r="3102" spans="1:48" x14ac:dyDescent="0.25">
      <c r="A3102" t="s">
        <v>10211</v>
      </c>
      <c r="C3102" t="s">
        <v>10212</v>
      </c>
      <c r="D3102" t="s">
        <v>10213</v>
      </c>
      <c r="E3102" t="s">
        <v>1663</v>
      </c>
      <c r="F3102">
        <v>4</v>
      </c>
      <c r="G3102">
        <v>4.2</v>
      </c>
      <c r="H3102" t="s">
        <v>2327</v>
      </c>
      <c r="I3102" s="21">
        <v>40360</v>
      </c>
      <c r="J3102">
        <v>2010</v>
      </c>
      <c r="K3102" s="21">
        <v>40391</v>
      </c>
      <c r="L3102">
        <v>2010</v>
      </c>
      <c r="M3102" s="21">
        <v>40544</v>
      </c>
      <c r="N3102">
        <v>2011</v>
      </c>
      <c r="Q3102" s="262">
        <v>500000</v>
      </c>
      <c r="S3102" t="s">
        <v>114</v>
      </c>
      <c r="T3102" t="s">
        <v>114</v>
      </c>
      <c r="W3102">
        <v>2806</v>
      </c>
      <c r="X3102">
        <v>0</v>
      </c>
      <c r="Y3102">
        <v>0</v>
      </c>
      <c r="Z3102">
        <v>0</v>
      </c>
      <c r="AA3102">
        <v>0</v>
      </c>
      <c r="AB3102">
        <v>0</v>
      </c>
      <c r="AC3102">
        <v>0</v>
      </c>
      <c r="AD3102">
        <v>0</v>
      </c>
      <c r="AE3102">
        <v>0</v>
      </c>
      <c r="AF3102">
        <v>0</v>
      </c>
      <c r="AG3102">
        <v>0</v>
      </c>
      <c r="AH3102">
        <v>0</v>
      </c>
      <c r="AI3102">
        <v>0</v>
      </c>
      <c r="AJ3102">
        <v>0</v>
      </c>
      <c r="AK3102">
        <v>2806</v>
      </c>
      <c r="AL3102">
        <v>0</v>
      </c>
      <c r="AM3102">
        <v>0</v>
      </c>
      <c r="AN3102">
        <v>0</v>
      </c>
      <c r="AO3102">
        <v>0</v>
      </c>
      <c r="AP3102">
        <v>0</v>
      </c>
      <c r="AQ3102">
        <v>0</v>
      </c>
      <c r="AR3102">
        <v>0</v>
      </c>
      <c r="AS3102">
        <v>0</v>
      </c>
      <c r="AT3102">
        <v>0</v>
      </c>
      <c r="AU3102">
        <f t="shared" si="96"/>
        <v>0</v>
      </c>
      <c r="AV3102">
        <f t="shared" si="97"/>
        <v>2806</v>
      </c>
    </row>
    <row r="3103" spans="1:48" x14ac:dyDescent="0.25">
      <c r="A3103" t="s">
        <v>10214</v>
      </c>
      <c r="C3103" t="s">
        <v>10215</v>
      </c>
      <c r="D3103" t="s">
        <v>10216</v>
      </c>
      <c r="E3103" t="s">
        <v>2310</v>
      </c>
      <c r="F3103">
        <v>10</v>
      </c>
      <c r="G3103">
        <v>10.1</v>
      </c>
      <c r="H3103" t="s">
        <v>2323</v>
      </c>
      <c r="I3103" s="21">
        <v>40360.464548611097</v>
      </c>
      <c r="J3103">
        <v>2010</v>
      </c>
      <c r="K3103" s="21">
        <v>40360.464548611097</v>
      </c>
      <c r="L3103">
        <v>2010</v>
      </c>
      <c r="M3103" s="21">
        <v>40567.516226851898</v>
      </c>
      <c r="N3103">
        <v>2011</v>
      </c>
      <c r="Q3103" s="262">
        <v>50000</v>
      </c>
      <c r="R3103" s="262">
        <v>19000</v>
      </c>
      <c r="S3103" t="s">
        <v>114</v>
      </c>
      <c r="T3103" t="s">
        <v>114</v>
      </c>
      <c r="U3103">
        <v>5</v>
      </c>
      <c r="W3103">
        <v>184</v>
      </c>
      <c r="X3103">
        <v>0</v>
      </c>
      <c r="Y3103">
        <v>0</v>
      </c>
      <c r="Z3103">
        <v>0</v>
      </c>
      <c r="AA3103">
        <v>0</v>
      </c>
      <c r="AB3103">
        <v>0</v>
      </c>
      <c r="AC3103">
        <v>184</v>
      </c>
      <c r="AD3103">
        <v>0</v>
      </c>
      <c r="AE3103">
        <v>0</v>
      </c>
      <c r="AF3103">
        <v>0</v>
      </c>
      <c r="AG3103">
        <v>0</v>
      </c>
      <c r="AH3103">
        <v>0</v>
      </c>
      <c r="AI3103">
        <v>0</v>
      </c>
      <c r="AJ3103">
        <v>0</v>
      </c>
      <c r="AK3103">
        <v>0</v>
      </c>
      <c r="AL3103">
        <v>0</v>
      </c>
      <c r="AM3103">
        <v>0</v>
      </c>
      <c r="AN3103">
        <v>0</v>
      </c>
      <c r="AO3103">
        <v>0</v>
      </c>
      <c r="AP3103">
        <v>0</v>
      </c>
      <c r="AQ3103">
        <v>0</v>
      </c>
      <c r="AR3103">
        <v>0</v>
      </c>
      <c r="AS3103">
        <v>0</v>
      </c>
      <c r="AT3103">
        <v>0</v>
      </c>
      <c r="AU3103">
        <f t="shared" si="96"/>
        <v>0</v>
      </c>
      <c r="AV3103">
        <f t="shared" si="97"/>
        <v>0</v>
      </c>
    </row>
    <row r="3104" spans="1:48" x14ac:dyDescent="0.25">
      <c r="A3104" t="s">
        <v>10217</v>
      </c>
      <c r="C3104" t="s">
        <v>10218</v>
      </c>
      <c r="D3104" t="s">
        <v>9721</v>
      </c>
      <c r="E3104" t="s">
        <v>2310</v>
      </c>
      <c r="F3104">
        <v>8</v>
      </c>
      <c r="G3104">
        <v>8.1</v>
      </c>
      <c r="H3104" t="s">
        <v>2323</v>
      </c>
      <c r="I3104" s="21">
        <v>40367.656400462998</v>
      </c>
      <c r="J3104">
        <v>2010</v>
      </c>
      <c r="K3104" s="21">
        <v>40367.656400462998</v>
      </c>
      <c r="L3104">
        <v>2010</v>
      </c>
      <c r="M3104" s="21">
        <v>40809.426793981504</v>
      </c>
      <c r="N3104">
        <v>2011</v>
      </c>
      <c r="Q3104" s="262">
        <v>500000</v>
      </c>
      <c r="R3104" s="262">
        <v>109000</v>
      </c>
      <c r="S3104" t="s">
        <v>114</v>
      </c>
      <c r="T3104" t="s">
        <v>114</v>
      </c>
      <c r="U3104">
        <v>5</v>
      </c>
      <c r="W3104">
        <v>941</v>
      </c>
      <c r="X3104">
        <v>0</v>
      </c>
      <c r="Y3104">
        <v>0</v>
      </c>
      <c r="Z3104">
        <v>0</v>
      </c>
      <c r="AA3104">
        <v>0</v>
      </c>
      <c r="AB3104">
        <v>0</v>
      </c>
      <c r="AC3104">
        <v>941</v>
      </c>
      <c r="AD3104">
        <v>0</v>
      </c>
      <c r="AE3104">
        <v>0</v>
      </c>
      <c r="AF3104">
        <v>0</v>
      </c>
      <c r="AG3104">
        <v>0</v>
      </c>
      <c r="AH3104">
        <v>0</v>
      </c>
      <c r="AI3104">
        <v>0</v>
      </c>
      <c r="AJ3104">
        <v>0</v>
      </c>
      <c r="AK3104">
        <v>0</v>
      </c>
      <c r="AL3104">
        <v>0</v>
      </c>
      <c r="AM3104">
        <v>0</v>
      </c>
      <c r="AN3104">
        <v>0</v>
      </c>
      <c r="AO3104">
        <v>0</v>
      </c>
      <c r="AP3104">
        <v>0</v>
      </c>
      <c r="AQ3104">
        <v>0</v>
      </c>
      <c r="AR3104">
        <v>0</v>
      </c>
      <c r="AS3104">
        <v>0</v>
      </c>
      <c r="AT3104">
        <v>0</v>
      </c>
      <c r="AU3104">
        <f t="shared" si="96"/>
        <v>0</v>
      </c>
      <c r="AV3104">
        <f t="shared" si="97"/>
        <v>0</v>
      </c>
    </row>
    <row r="3105" spans="1:48" x14ac:dyDescent="0.25">
      <c r="A3105" t="s">
        <v>10219</v>
      </c>
      <c r="C3105" t="s">
        <v>10220</v>
      </c>
      <c r="D3105" t="s">
        <v>10221</v>
      </c>
      <c r="E3105" t="s">
        <v>1663</v>
      </c>
      <c r="F3105">
        <v>5</v>
      </c>
      <c r="G3105">
        <v>5.5</v>
      </c>
      <c r="H3105" t="s">
        <v>2017</v>
      </c>
      <c r="I3105" s="21">
        <v>40371</v>
      </c>
      <c r="J3105">
        <v>2010</v>
      </c>
      <c r="K3105" s="21">
        <v>40402</v>
      </c>
      <c r="L3105">
        <v>2010</v>
      </c>
      <c r="M3105" s="21">
        <v>40555</v>
      </c>
      <c r="N3105">
        <v>2011</v>
      </c>
      <c r="Q3105" s="262">
        <v>50000</v>
      </c>
      <c r="S3105" t="s">
        <v>114</v>
      </c>
      <c r="T3105" t="s">
        <v>114</v>
      </c>
      <c r="W3105">
        <v>360</v>
      </c>
      <c r="X3105">
        <v>0</v>
      </c>
      <c r="Y3105">
        <v>0</v>
      </c>
      <c r="Z3105">
        <v>0</v>
      </c>
      <c r="AA3105">
        <v>0</v>
      </c>
      <c r="AB3105">
        <v>0</v>
      </c>
      <c r="AC3105">
        <v>360</v>
      </c>
      <c r="AD3105">
        <v>0</v>
      </c>
      <c r="AE3105">
        <v>0</v>
      </c>
      <c r="AF3105">
        <v>0</v>
      </c>
      <c r="AG3105">
        <v>0</v>
      </c>
      <c r="AH3105">
        <v>0</v>
      </c>
      <c r="AI3105">
        <v>0</v>
      </c>
      <c r="AJ3105">
        <v>0</v>
      </c>
      <c r="AK3105">
        <v>0</v>
      </c>
      <c r="AL3105">
        <v>0</v>
      </c>
      <c r="AM3105">
        <v>0</v>
      </c>
      <c r="AN3105">
        <v>0</v>
      </c>
      <c r="AO3105">
        <v>0</v>
      </c>
      <c r="AP3105">
        <v>0</v>
      </c>
      <c r="AQ3105">
        <v>0</v>
      </c>
      <c r="AR3105">
        <v>0</v>
      </c>
      <c r="AS3105">
        <v>0</v>
      </c>
      <c r="AT3105">
        <v>0</v>
      </c>
      <c r="AU3105">
        <f t="shared" si="96"/>
        <v>0</v>
      </c>
      <c r="AV3105">
        <f t="shared" si="97"/>
        <v>0</v>
      </c>
    </row>
    <row r="3106" spans="1:48" x14ac:dyDescent="0.25">
      <c r="A3106" t="s">
        <v>10222</v>
      </c>
      <c r="C3106" t="s">
        <v>10223</v>
      </c>
      <c r="D3106" t="s">
        <v>10224</v>
      </c>
      <c r="E3106" t="s">
        <v>2310</v>
      </c>
      <c r="F3106">
        <v>9</v>
      </c>
      <c r="G3106">
        <v>9.3000000000000007</v>
      </c>
      <c r="H3106" t="s">
        <v>2323</v>
      </c>
      <c r="I3106" s="21">
        <v>40371.437071759297</v>
      </c>
      <c r="J3106">
        <v>2010</v>
      </c>
      <c r="K3106" s="21">
        <v>40371.437071759297</v>
      </c>
      <c r="L3106">
        <v>2010</v>
      </c>
      <c r="M3106" s="21">
        <v>40745.495289351798</v>
      </c>
      <c r="N3106">
        <v>2011</v>
      </c>
      <c r="Q3106" s="262">
        <v>110000</v>
      </c>
      <c r="R3106" s="262">
        <v>158000</v>
      </c>
      <c r="S3106" t="s">
        <v>114</v>
      </c>
      <c r="T3106" t="s">
        <v>114</v>
      </c>
      <c r="U3106">
        <v>8</v>
      </c>
      <c r="W3106">
        <v>2293</v>
      </c>
      <c r="X3106">
        <v>1</v>
      </c>
      <c r="Y3106">
        <v>0</v>
      </c>
      <c r="Z3106">
        <v>0</v>
      </c>
      <c r="AA3106">
        <v>0</v>
      </c>
      <c r="AB3106">
        <v>0</v>
      </c>
      <c r="AC3106">
        <v>1296</v>
      </c>
      <c r="AD3106">
        <v>0</v>
      </c>
      <c r="AE3106">
        <v>0</v>
      </c>
      <c r="AF3106">
        <v>997</v>
      </c>
      <c r="AG3106">
        <v>0</v>
      </c>
      <c r="AH3106">
        <v>0</v>
      </c>
      <c r="AI3106">
        <v>0</v>
      </c>
      <c r="AJ3106">
        <v>0</v>
      </c>
      <c r="AK3106">
        <v>0</v>
      </c>
      <c r="AL3106">
        <v>0</v>
      </c>
      <c r="AM3106">
        <v>0</v>
      </c>
      <c r="AN3106">
        <v>0</v>
      </c>
      <c r="AO3106">
        <v>0</v>
      </c>
      <c r="AP3106">
        <v>0</v>
      </c>
      <c r="AQ3106">
        <v>0</v>
      </c>
      <c r="AR3106">
        <v>1</v>
      </c>
      <c r="AS3106">
        <v>0</v>
      </c>
      <c r="AT3106">
        <v>0</v>
      </c>
      <c r="AU3106">
        <f t="shared" si="96"/>
        <v>0</v>
      </c>
      <c r="AV3106">
        <f t="shared" si="97"/>
        <v>0</v>
      </c>
    </row>
    <row r="3107" spans="1:48" x14ac:dyDescent="0.25">
      <c r="A3107" t="s">
        <v>10225</v>
      </c>
      <c r="C3107" t="s">
        <v>10226</v>
      </c>
      <c r="D3107" t="s">
        <v>2447</v>
      </c>
      <c r="E3107" t="s">
        <v>1663</v>
      </c>
      <c r="F3107">
        <v>6</v>
      </c>
      <c r="G3107">
        <v>6.2</v>
      </c>
      <c r="H3107" t="s">
        <v>2017</v>
      </c>
      <c r="I3107" s="21">
        <v>40375</v>
      </c>
      <c r="J3107">
        <v>2010</v>
      </c>
      <c r="K3107" s="21">
        <v>40406</v>
      </c>
      <c r="L3107">
        <v>2010</v>
      </c>
      <c r="M3107" s="21">
        <v>40559</v>
      </c>
      <c r="N3107">
        <v>2011</v>
      </c>
      <c r="Q3107" s="262">
        <v>275000</v>
      </c>
      <c r="S3107" t="s">
        <v>114</v>
      </c>
      <c r="T3107" t="s">
        <v>114</v>
      </c>
      <c r="W3107">
        <v>1100</v>
      </c>
      <c r="X3107">
        <v>0</v>
      </c>
      <c r="Y3107">
        <v>0</v>
      </c>
      <c r="Z3107">
        <v>0</v>
      </c>
      <c r="AA3107">
        <v>0</v>
      </c>
      <c r="AB3107">
        <v>0</v>
      </c>
      <c r="AC3107">
        <v>1100</v>
      </c>
      <c r="AD3107">
        <v>0</v>
      </c>
      <c r="AE3107">
        <v>0</v>
      </c>
      <c r="AF3107">
        <v>0</v>
      </c>
      <c r="AG3107">
        <v>0</v>
      </c>
      <c r="AH3107">
        <v>0</v>
      </c>
      <c r="AI3107">
        <v>0</v>
      </c>
      <c r="AJ3107">
        <v>0</v>
      </c>
      <c r="AK3107">
        <v>0</v>
      </c>
      <c r="AL3107">
        <v>0</v>
      </c>
      <c r="AM3107">
        <v>0</v>
      </c>
      <c r="AN3107">
        <v>0</v>
      </c>
      <c r="AO3107">
        <v>0</v>
      </c>
      <c r="AP3107">
        <v>0</v>
      </c>
      <c r="AQ3107">
        <v>0</v>
      </c>
      <c r="AR3107">
        <v>0</v>
      </c>
      <c r="AS3107">
        <v>0</v>
      </c>
      <c r="AT3107">
        <v>0</v>
      </c>
      <c r="AU3107">
        <f t="shared" si="96"/>
        <v>0</v>
      </c>
      <c r="AV3107">
        <f t="shared" si="97"/>
        <v>0</v>
      </c>
    </row>
    <row r="3108" spans="1:48" x14ac:dyDescent="0.25">
      <c r="A3108" t="s">
        <v>10227</v>
      </c>
      <c r="C3108" t="s">
        <v>10228</v>
      </c>
      <c r="D3108" t="s">
        <v>10229</v>
      </c>
      <c r="E3108" t="s">
        <v>2310</v>
      </c>
      <c r="F3108">
        <v>8</v>
      </c>
      <c r="G3108">
        <v>8.1999999999999993</v>
      </c>
      <c r="H3108" t="s">
        <v>2022</v>
      </c>
      <c r="I3108" s="21">
        <v>40380.3984375</v>
      </c>
      <c r="J3108">
        <v>2010</v>
      </c>
      <c r="K3108" s="21">
        <v>40380.3984375</v>
      </c>
      <c r="L3108">
        <v>2010</v>
      </c>
      <c r="M3108" s="21">
        <v>40850.479050925896</v>
      </c>
      <c r="N3108">
        <v>2011</v>
      </c>
      <c r="Q3108" s="262">
        <v>500000</v>
      </c>
      <c r="R3108" s="262">
        <v>126000</v>
      </c>
      <c r="S3108" t="s">
        <v>114</v>
      </c>
      <c r="T3108" t="s">
        <v>114</v>
      </c>
      <c r="U3108">
        <v>8</v>
      </c>
      <c r="W3108">
        <v>999</v>
      </c>
      <c r="X3108">
        <v>1</v>
      </c>
      <c r="Y3108">
        <v>0</v>
      </c>
      <c r="Z3108">
        <v>0</v>
      </c>
      <c r="AA3108">
        <v>0</v>
      </c>
      <c r="AB3108">
        <v>0</v>
      </c>
      <c r="AC3108">
        <v>0</v>
      </c>
      <c r="AD3108">
        <v>0</v>
      </c>
      <c r="AE3108">
        <v>0</v>
      </c>
      <c r="AF3108">
        <v>999</v>
      </c>
      <c r="AG3108">
        <v>0</v>
      </c>
      <c r="AH3108">
        <v>0</v>
      </c>
      <c r="AI3108">
        <v>0</v>
      </c>
      <c r="AJ3108">
        <v>0</v>
      </c>
      <c r="AK3108">
        <v>0</v>
      </c>
      <c r="AL3108">
        <v>0</v>
      </c>
      <c r="AM3108">
        <v>0</v>
      </c>
      <c r="AN3108">
        <v>0</v>
      </c>
      <c r="AO3108">
        <v>0</v>
      </c>
      <c r="AP3108">
        <v>0</v>
      </c>
      <c r="AQ3108">
        <v>0</v>
      </c>
      <c r="AR3108">
        <v>1</v>
      </c>
      <c r="AS3108">
        <v>0</v>
      </c>
      <c r="AT3108">
        <v>0</v>
      </c>
      <c r="AU3108">
        <f t="shared" si="96"/>
        <v>0</v>
      </c>
      <c r="AV3108">
        <f t="shared" si="97"/>
        <v>0</v>
      </c>
    </row>
    <row r="3109" spans="1:48" x14ac:dyDescent="0.25">
      <c r="A3109" t="s">
        <v>10230</v>
      </c>
      <c r="C3109" t="s">
        <v>10231</v>
      </c>
      <c r="D3109" t="s">
        <v>10232</v>
      </c>
      <c r="E3109" t="s">
        <v>2310</v>
      </c>
      <c r="F3109">
        <v>8</v>
      </c>
      <c r="G3109">
        <v>8.1999999999999993</v>
      </c>
      <c r="H3109" t="s">
        <v>2022</v>
      </c>
      <c r="I3109" s="21">
        <v>40386.646643518499</v>
      </c>
      <c r="J3109">
        <v>2010</v>
      </c>
      <c r="K3109" s="21">
        <v>40386.646643518499</v>
      </c>
      <c r="L3109">
        <v>2010</v>
      </c>
      <c r="M3109" s="21">
        <v>40590.4696064815</v>
      </c>
      <c r="N3109">
        <v>2011</v>
      </c>
      <c r="Q3109" s="262">
        <v>350000</v>
      </c>
      <c r="R3109" s="262">
        <v>282000</v>
      </c>
      <c r="S3109" t="s">
        <v>114</v>
      </c>
      <c r="T3109" t="s">
        <v>114</v>
      </c>
      <c r="U3109">
        <v>5</v>
      </c>
      <c r="V3109">
        <v>3116</v>
      </c>
      <c r="W3109">
        <v>417</v>
      </c>
      <c r="X3109">
        <v>0</v>
      </c>
      <c r="Y3109">
        <v>0</v>
      </c>
      <c r="Z3109">
        <v>0</v>
      </c>
      <c r="AA3109">
        <v>0</v>
      </c>
      <c r="AB3109">
        <v>0</v>
      </c>
      <c r="AC3109">
        <v>417</v>
      </c>
      <c r="AD3109">
        <v>0</v>
      </c>
      <c r="AE3109">
        <v>0</v>
      </c>
      <c r="AF3109">
        <v>0</v>
      </c>
      <c r="AG3109">
        <v>0</v>
      </c>
      <c r="AH3109">
        <v>0</v>
      </c>
      <c r="AI3109">
        <v>0</v>
      </c>
      <c r="AJ3109">
        <v>0</v>
      </c>
      <c r="AK3109">
        <v>0</v>
      </c>
      <c r="AL3109">
        <v>0</v>
      </c>
      <c r="AM3109">
        <v>0</v>
      </c>
      <c r="AN3109">
        <v>0</v>
      </c>
      <c r="AO3109">
        <v>0</v>
      </c>
      <c r="AP3109">
        <v>0</v>
      </c>
      <c r="AQ3109">
        <v>0</v>
      </c>
      <c r="AR3109">
        <v>0</v>
      </c>
      <c r="AS3109">
        <v>0</v>
      </c>
      <c r="AT3109">
        <v>0</v>
      </c>
      <c r="AU3109">
        <f t="shared" si="96"/>
        <v>0</v>
      </c>
      <c r="AV3109">
        <f t="shared" si="97"/>
        <v>0</v>
      </c>
    </row>
    <row r="3110" spans="1:48" x14ac:dyDescent="0.25">
      <c r="A3110" t="s">
        <v>10233</v>
      </c>
      <c r="C3110" t="s">
        <v>10234</v>
      </c>
      <c r="D3110" t="s">
        <v>10235</v>
      </c>
      <c r="E3110" t="s">
        <v>2310</v>
      </c>
      <c r="F3110">
        <v>13</v>
      </c>
      <c r="G3110">
        <v>13.3</v>
      </c>
      <c r="H3110" t="s">
        <v>2017</v>
      </c>
      <c r="I3110" s="21">
        <v>40388.5061921296</v>
      </c>
      <c r="J3110">
        <v>2010</v>
      </c>
      <c r="K3110" s="21">
        <v>40388.5061921296</v>
      </c>
      <c r="L3110">
        <v>2010</v>
      </c>
      <c r="M3110" s="21">
        <v>41018.380949074097</v>
      </c>
      <c r="N3110">
        <v>2012</v>
      </c>
      <c r="Q3110" s="262">
        <v>3200000</v>
      </c>
      <c r="R3110" s="262">
        <v>776000</v>
      </c>
      <c r="S3110" t="s">
        <v>114</v>
      </c>
      <c r="T3110" t="s">
        <v>114</v>
      </c>
      <c r="U3110">
        <v>5</v>
      </c>
      <c r="W3110">
        <v>7992</v>
      </c>
      <c r="X3110">
        <v>1</v>
      </c>
      <c r="Y3110">
        <v>0</v>
      </c>
      <c r="Z3110">
        <v>0</v>
      </c>
      <c r="AA3110">
        <v>0</v>
      </c>
      <c r="AB3110">
        <v>0</v>
      </c>
      <c r="AC3110">
        <v>7992</v>
      </c>
      <c r="AD3110">
        <v>0</v>
      </c>
      <c r="AE3110">
        <v>0</v>
      </c>
      <c r="AF3110">
        <v>0</v>
      </c>
      <c r="AG3110">
        <v>0</v>
      </c>
      <c r="AH3110">
        <v>0</v>
      </c>
      <c r="AI3110">
        <v>0</v>
      </c>
      <c r="AJ3110">
        <v>0</v>
      </c>
      <c r="AK3110">
        <v>0</v>
      </c>
      <c r="AL3110">
        <v>0</v>
      </c>
      <c r="AM3110">
        <v>0</v>
      </c>
      <c r="AN3110">
        <v>0</v>
      </c>
      <c r="AO3110">
        <v>1</v>
      </c>
      <c r="AP3110">
        <v>0</v>
      </c>
      <c r="AQ3110">
        <v>0</v>
      </c>
      <c r="AR3110">
        <v>0</v>
      </c>
      <c r="AS3110">
        <v>0</v>
      </c>
      <c r="AT3110">
        <v>0</v>
      </c>
      <c r="AU3110">
        <f t="shared" si="96"/>
        <v>1</v>
      </c>
      <c r="AV3110">
        <f t="shared" si="97"/>
        <v>0</v>
      </c>
    </row>
    <row r="3111" spans="1:48" x14ac:dyDescent="0.25">
      <c r="A3111" t="s">
        <v>10236</v>
      </c>
      <c r="C3111" t="s">
        <v>10237</v>
      </c>
      <c r="D3111" t="s">
        <v>10238</v>
      </c>
      <c r="E3111" t="s">
        <v>2310</v>
      </c>
      <c r="F3111">
        <v>15</v>
      </c>
      <c r="G3111">
        <v>15.3</v>
      </c>
      <c r="H3111" t="s">
        <v>2022</v>
      </c>
      <c r="I3111" s="21">
        <v>40389.4664583333</v>
      </c>
      <c r="J3111">
        <v>2010</v>
      </c>
      <c r="K3111" s="21">
        <v>40389.4664583333</v>
      </c>
      <c r="L3111">
        <v>2010</v>
      </c>
      <c r="M3111" s="21">
        <v>41473.543414351901</v>
      </c>
      <c r="N3111">
        <v>2013</v>
      </c>
      <c r="Q3111" s="262">
        <v>250000</v>
      </c>
      <c r="R3111" s="262">
        <v>194000</v>
      </c>
      <c r="S3111" t="s">
        <v>114</v>
      </c>
      <c r="T3111" t="s">
        <v>114</v>
      </c>
      <c r="U3111">
        <v>5</v>
      </c>
      <c r="W3111">
        <v>1840</v>
      </c>
      <c r="X3111">
        <v>1</v>
      </c>
      <c r="Y3111">
        <v>0</v>
      </c>
      <c r="Z3111">
        <v>0</v>
      </c>
      <c r="AA3111">
        <v>0</v>
      </c>
      <c r="AB3111">
        <v>0</v>
      </c>
      <c r="AC3111">
        <v>1840</v>
      </c>
      <c r="AD3111">
        <v>0</v>
      </c>
      <c r="AE3111">
        <v>0</v>
      </c>
      <c r="AF3111">
        <v>0</v>
      </c>
      <c r="AG3111">
        <v>0</v>
      </c>
      <c r="AH3111">
        <v>0</v>
      </c>
      <c r="AI3111">
        <v>0</v>
      </c>
      <c r="AJ3111">
        <v>0</v>
      </c>
      <c r="AK3111">
        <v>0</v>
      </c>
      <c r="AL3111">
        <v>0</v>
      </c>
      <c r="AM3111">
        <v>0</v>
      </c>
      <c r="AN3111">
        <v>0</v>
      </c>
      <c r="AO3111">
        <v>1</v>
      </c>
      <c r="AP3111">
        <v>0</v>
      </c>
      <c r="AQ3111">
        <v>0</v>
      </c>
      <c r="AR3111">
        <v>0</v>
      </c>
      <c r="AS3111">
        <v>0</v>
      </c>
      <c r="AT3111">
        <v>0</v>
      </c>
      <c r="AU3111">
        <f t="shared" si="96"/>
        <v>1</v>
      </c>
      <c r="AV3111">
        <f t="shared" si="97"/>
        <v>0</v>
      </c>
    </row>
    <row r="3112" spans="1:48" x14ac:dyDescent="0.25">
      <c r="A3112" t="s">
        <v>10239</v>
      </c>
      <c r="C3112" t="s">
        <v>10073</v>
      </c>
      <c r="D3112" t="s">
        <v>9989</v>
      </c>
      <c r="E3112" t="s">
        <v>2310</v>
      </c>
      <c r="F3112">
        <v>15</v>
      </c>
      <c r="G3112">
        <v>15.1</v>
      </c>
      <c r="H3112" t="s">
        <v>2022</v>
      </c>
      <c r="I3112" s="21">
        <v>40389.611886574101</v>
      </c>
      <c r="J3112">
        <v>2010</v>
      </c>
      <c r="K3112" s="21">
        <v>40389.611886574101</v>
      </c>
      <c r="L3112">
        <v>2010</v>
      </c>
      <c r="M3112" s="21">
        <v>40616.557662036997</v>
      </c>
      <c r="N3112">
        <v>2011</v>
      </c>
      <c r="Q3112" s="262">
        <v>300000</v>
      </c>
      <c r="R3112" s="262">
        <v>164000</v>
      </c>
      <c r="S3112" t="s">
        <v>114</v>
      </c>
      <c r="T3112" t="s">
        <v>114</v>
      </c>
      <c r="U3112">
        <v>5</v>
      </c>
      <c r="W3112">
        <v>1500</v>
      </c>
      <c r="X3112">
        <v>1</v>
      </c>
      <c r="Y3112">
        <v>0</v>
      </c>
      <c r="Z3112">
        <v>0</v>
      </c>
      <c r="AA3112">
        <v>0</v>
      </c>
      <c r="AB3112">
        <v>0</v>
      </c>
      <c r="AC3112">
        <v>1500</v>
      </c>
      <c r="AD3112">
        <v>0</v>
      </c>
      <c r="AE3112">
        <v>0</v>
      </c>
      <c r="AF3112">
        <v>0</v>
      </c>
      <c r="AG3112">
        <v>0</v>
      </c>
      <c r="AH3112">
        <v>0</v>
      </c>
      <c r="AI3112">
        <v>0</v>
      </c>
      <c r="AJ3112">
        <v>0</v>
      </c>
      <c r="AK3112">
        <v>0</v>
      </c>
      <c r="AL3112">
        <v>0</v>
      </c>
      <c r="AM3112">
        <v>0</v>
      </c>
      <c r="AN3112">
        <v>0</v>
      </c>
      <c r="AO3112">
        <v>1</v>
      </c>
      <c r="AP3112">
        <v>0</v>
      </c>
      <c r="AQ3112">
        <v>0</v>
      </c>
      <c r="AR3112">
        <v>0</v>
      </c>
      <c r="AS3112">
        <v>0</v>
      </c>
      <c r="AT3112">
        <v>0</v>
      </c>
      <c r="AU3112">
        <f t="shared" si="96"/>
        <v>1</v>
      </c>
      <c r="AV3112">
        <f t="shared" si="97"/>
        <v>0</v>
      </c>
    </row>
    <row r="3113" spans="1:48" x14ac:dyDescent="0.25">
      <c r="A3113" t="s">
        <v>10240</v>
      </c>
      <c r="C3113" t="s">
        <v>10241</v>
      </c>
      <c r="D3113" t="s">
        <v>10242</v>
      </c>
      <c r="E3113" t="s">
        <v>1663</v>
      </c>
      <c r="F3113">
        <v>3</v>
      </c>
      <c r="G3113">
        <v>3.1</v>
      </c>
      <c r="H3113" t="s">
        <v>2017</v>
      </c>
      <c r="I3113" s="21">
        <v>40394</v>
      </c>
      <c r="J3113">
        <v>2010</v>
      </c>
      <c r="K3113" s="21">
        <v>40425</v>
      </c>
      <c r="L3113">
        <v>2010</v>
      </c>
      <c r="M3113" s="21">
        <v>40578</v>
      </c>
      <c r="N3113">
        <v>2011</v>
      </c>
      <c r="Q3113" s="262">
        <v>65200</v>
      </c>
      <c r="S3113" t="s">
        <v>114</v>
      </c>
      <c r="T3113" t="s">
        <v>114</v>
      </c>
      <c r="W3113">
        <v>50</v>
      </c>
      <c r="X3113">
        <v>0</v>
      </c>
      <c r="Y3113">
        <v>0</v>
      </c>
      <c r="Z3113">
        <v>0</v>
      </c>
      <c r="AA3113">
        <v>0</v>
      </c>
      <c r="AB3113">
        <v>0</v>
      </c>
      <c r="AC3113">
        <v>50</v>
      </c>
      <c r="AD3113">
        <v>0</v>
      </c>
      <c r="AE3113">
        <v>0</v>
      </c>
      <c r="AF3113">
        <v>0</v>
      </c>
      <c r="AG3113">
        <v>0</v>
      </c>
      <c r="AH3113">
        <v>0</v>
      </c>
      <c r="AI3113">
        <v>0</v>
      </c>
      <c r="AJ3113">
        <v>0</v>
      </c>
      <c r="AK3113">
        <v>0</v>
      </c>
      <c r="AL3113">
        <v>0</v>
      </c>
      <c r="AM3113">
        <v>0</v>
      </c>
      <c r="AN3113">
        <v>0</v>
      </c>
      <c r="AO3113">
        <v>0</v>
      </c>
      <c r="AP3113">
        <v>0</v>
      </c>
      <c r="AQ3113">
        <v>0</v>
      </c>
      <c r="AR3113">
        <v>0</v>
      </c>
      <c r="AS3113">
        <v>0</v>
      </c>
      <c r="AT3113">
        <v>0</v>
      </c>
      <c r="AU3113">
        <f t="shared" si="96"/>
        <v>0</v>
      </c>
      <c r="AV3113">
        <f t="shared" si="97"/>
        <v>0</v>
      </c>
    </row>
    <row r="3114" spans="1:48" x14ac:dyDescent="0.25">
      <c r="A3114" t="s">
        <v>10243</v>
      </c>
      <c r="C3114" t="s">
        <v>10244</v>
      </c>
      <c r="D3114" t="s">
        <v>10030</v>
      </c>
      <c r="E3114" t="s">
        <v>2310</v>
      </c>
      <c r="F3114">
        <v>10</v>
      </c>
      <c r="G3114">
        <v>10.1</v>
      </c>
      <c r="H3114" t="s">
        <v>2323</v>
      </c>
      <c r="I3114" s="21">
        <v>40395.437083333301</v>
      </c>
      <c r="J3114">
        <v>2010</v>
      </c>
      <c r="K3114" s="21">
        <v>40395.437083333301</v>
      </c>
      <c r="L3114">
        <v>2010</v>
      </c>
      <c r="M3114" s="21">
        <v>40549.345555555599</v>
      </c>
      <c r="N3114">
        <v>2011</v>
      </c>
      <c r="Q3114" s="262">
        <v>40000</v>
      </c>
      <c r="R3114" s="262">
        <v>20000</v>
      </c>
      <c r="S3114" t="s">
        <v>114</v>
      </c>
      <c r="T3114" t="s">
        <v>114</v>
      </c>
      <c r="U3114">
        <v>5</v>
      </c>
      <c r="W3114">
        <v>192</v>
      </c>
      <c r="X3114">
        <v>0</v>
      </c>
      <c r="Y3114">
        <v>0</v>
      </c>
      <c r="Z3114">
        <v>0</v>
      </c>
      <c r="AA3114">
        <v>0</v>
      </c>
      <c r="AB3114">
        <v>0</v>
      </c>
      <c r="AC3114">
        <v>192</v>
      </c>
      <c r="AD3114">
        <v>0</v>
      </c>
      <c r="AE3114">
        <v>0</v>
      </c>
      <c r="AF3114">
        <v>0</v>
      </c>
      <c r="AG3114">
        <v>0</v>
      </c>
      <c r="AH3114">
        <v>0</v>
      </c>
      <c r="AI3114">
        <v>0</v>
      </c>
      <c r="AJ3114">
        <v>0</v>
      </c>
      <c r="AK3114">
        <v>0</v>
      </c>
      <c r="AL3114">
        <v>0</v>
      </c>
      <c r="AM3114">
        <v>0</v>
      </c>
      <c r="AN3114">
        <v>0</v>
      </c>
      <c r="AO3114">
        <v>0</v>
      </c>
      <c r="AP3114">
        <v>0</v>
      </c>
      <c r="AQ3114">
        <v>0</v>
      </c>
      <c r="AR3114">
        <v>0</v>
      </c>
      <c r="AS3114">
        <v>0</v>
      </c>
      <c r="AT3114">
        <v>0</v>
      </c>
      <c r="AU3114">
        <f t="shared" si="96"/>
        <v>0</v>
      </c>
      <c r="AV3114">
        <f t="shared" si="97"/>
        <v>0</v>
      </c>
    </row>
    <row r="3115" spans="1:48" x14ac:dyDescent="0.25">
      <c r="A3115" t="s">
        <v>10245</v>
      </c>
      <c r="C3115" t="s">
        <v>10246</v>
      </c>
      <c r="D3115" t="s">
        <v>10247</v>
      </c>
      <c r="E3115" t="s">
        <v>2310</v>
      </c>
      <c r="F3115">
        <v>9</v>
      </c>
      <c r="G3115">
        <v>9.1999999999999993</v>
      </c>
      <c r="H3115" t="s">
        <v>2022</v>
      </c>
      <c r="I3115" s="21">
        <v>40400.513611111099</v>
      </c>
      <c r="J3115">
        <v>2010</v>
      </c>
      <c r="K3115" s="21">
        <v>40400.513611111099</v>
      </c>
      <c r="L3115">
        <v>2010</v>
      </c>
      <c r="M3115" s="21">
        <v>41109.621631944399</v>
      </c>
      <c r="N3115">
        <v>2012</v>
      </c>
      <c r="Q3115" s="262">
        <v>4200000</v>
      </c>
      <c r="R3115" s="262">
        <v>635000</v>
      </c>
      <c r="S3115" t="s">
        <v>114</v>
      </c>
      <c r="T3115" t="s">
        <v>114</v>
      </c>
      <c r="U3115">
        <v>5</v>
      </c>
      <c r="W3115">
        <v>7326</v>
      </c>
      <c r="X3115">
        <v>1</v>
      </c>
      <c r="Y3115">
        <v>0</v>
      </c>
      <c r="Z3115">
        <v>0</v>
      </c>
      <c r="AA3115">
        <v>0</v>
      </c>
      <c r="AB3115">
        <v>0</v>
      </c>
      <c r="AC3115">
        <v>7326</v>
      </c>
      <c r="AD3115">
        <v>0</v>
      </c>
      <c r="AE3115">
        <v>0</v>
      </c>
      <c r="AF3115">
        <v>0</v>
      </c>
      <c r="AG3115">
        <v>0</v>
      </c>
      <c r="AH3115">
        <v>0</v>
      </c>
      <c r="AI3115">
        <v>0</v>
      </c>
      <c r="AJ3115">
        <v>0</v>
      </c>
      <c r="AK3115">
        <v>0</v>
      </c>
      <c r="AL3115">
        <v>0</v>
      </c>
      <c r="AM3115">
        <v>0</v>
      </c>
      <c r="AN3115">
        <v>0</v>
      </c>
      <c r="AO3115">
        <v>1</v>
      </c>
      <c r="AP3115">
        <v>0</v>
      </c>
      <c r="AQ3115">
        <v>0</v>
      </c>
      <c r="AR3115">
        <v>0</v>
      </c>
      <c r="AS3115">
        <v>0</v>
      </c>
      <c r="AT3115">
        <v>0</v>
      </c>
      <c r="AU3115">
        <f t="shared" si="96"/>
        <v>1</v>
      </c>
      <c r="AV3115">
        <f t="shared" si="97"/>
        <v>0</v>
      </c>
    </row>
    <row r="3116" spans="1:48" x14ac:dyDescent="0.25">
      <c r="A3116" t="s">
        <v>10248</v>
      </c>
      <c r="C3116" t="s">
        <v>10249</v>
      </c>
      <c r="D3116" t="s">
        <v>10250</v>
      </c>
      <c r="E3116" t="s">
        <v>2310</v>
      </c>
      <c r="F3116">
        <v>10</v>
      </c>
      <c r="G3116">
        <v>10.1</v>
      </c>
      <c r="H3116" t="s">
        <v>2323</v>
      </c>
      <c r="I3116" s="21">
        <v>40407.357604166697</v>
      </c>
      <c r="J3116">
        <v>2010</v>
      </c>
      <c r="K3116" s="21">
        <v>40407.357604166697</v>
      </c>
      <c r="L3116">
        <v>2010</v>
      </c>
      <c r="M3116" s="21">
        <v>40891.582256944399</v>
      </c>
      <c r="N3116">
        <v>2011</v>
      </c>
      <c r="Q3116" s="262">
        <v>414000</v>
      </c>
      <c r="R3116" s="262">
        <v>414000</v>
      </c>
      <c r="S3116" t="s">
        <v>114</v>
      </c>
      <c r="T3116" t="s">
        <v>114</v>
      </c>
      <c r="U3116">
        <v>10</v>
      </c>
      <c r="V3116">
        <v>2658</v>
      </c>
      <c r="W3116">
        <v>0</v>
      </c>
      <c r="X3116">
        <v>0</v>
      </c>
      <c r="Y3116">
        <v>0</v>
      </c>
      <c r="Z3116">
        <v>0</v>
      </c>
      <c r="AA3116">
        <v>0</v>
      </c>
      <c r="AB3116">
        <v>0</v>
      </c>
      <c r="AC3116">
        <v>0</v>
      </c>
      <c r="AD3116">
        <v>0</v>
      </c>
      <c r="AE3116">
        <v>0</v>
      </c>
      <c r="AF3116">
        <v>0</v>
      </c>
      <c r="AG3116">
        <v>0</v>
      </c>
      <c r="AH3116">
        <v>2658</v>
      </c>
      <c r="AI3116">
        <v>0</v>
      </c>
      <c r="AJ3116">
        <v>-2658</v>
      </c>
      <c r="AK3116">
        <v>0</v>
      </c>
      <c r="AL3116">
        <v>0</v>
      </c>
      <c r="AM3116">
        <v>0</v>
      </c>
      <c r="AN3116">
        <v>0</v>
      </c>
      <c r="AO3116">
        <v>0</v>
      </c>
      <c r="AP3116">
        <v>0</v>
      </c>
      <c r="AQ3116">
        <v>0</v>
      </c>
      <c r="AR3116">
        <v>0</v>
      </c>
      <c r="AS3116">
        <v>0</v>
      </c>
      <c r="AT3116">
        <v>0</v>
      </c>
      <c r="AU3116">
        <f t="shared" si="96"/>
        <v>0</v>
      </c>
      <c r="AV3116">
        <f t="shared" si="97"/>
        <v>0</v>
      </c>
    </row>
    <row r="3117" spans="1:48" x14ac:dyDescent="0.25">
      <c r="A3117" t="s">
        <v>10251</v>
      </c>
      <c r="C3117" t="s">
        <v>10252</v>
      </c>
      <c r="D3117" t="s">
        <v>10253</v>
      </c>
      <c r="E3117" t="s">
        <v>2310</v>
      </c>
      <c r="F3117">
        <v>9</v>
      </c>
      <c r="G3117">
        <v>9.3000000000000007</v>
      </c>
      <c r="H3117" t="s">
        <v>2323</v>
      </c>
      <c r="I3117" s="21">
        <v>40407.407928240696</v>
      </c>
      <c r="J3117">
        <v>2010</v>
      </c>
      <c r="K3117" s="21">
        <v>40407.407928240696</v>
      </c>
      <c r="L3117">
        <v>2010</v>
      </c>
      <c r="M3117" s="21">
        <v>40954.440277777801</v>
      </c>
      <c r="N3117">
        <v>2012</v>
      </c>
      <c r="Q3117" s="262">
        <v>50000</v>
      </c>
      <c r="R3117" s="262">
        <v>62000</v>
      </c>
      <c r="S3117" t="s">
        <v>114</v>
      </c>
      <c r="T3117" t="s">
        <v>114</v>
      </c>
      <c r="U3117">
        <v>5</v>
      </c>
      <c r="V3117">
        <v>395</v>
      </c>
      <c r="W3117">
        <v>180</v>
      </c>
      <c r="X3117">
        <v>0</v>
      </c>
      <c r="Y3117">
        <v>0</v>
      </c>
      <c r="Z3117">
        <v>0</v>
      </c>
      <c r="AA3117">
        <v>0</v>
      </c>
      <c r="AB3117">
        <v>0</v>
      </c>
      <c r="AC3117">
        <v>180</v>
      </c>
      <c r="AD3117">
        <v>0</v>
      </c>
      <c r="AE3117">
        <v>0</v>
      </c>
      <c r="AF3117">
        <v>0</v>
      </c>
      <c r="AG3117">
        <v>0</v>
      </c>
      <c r="AH3117">
        <v>0</v>
      </c>
      <c r="AI3117">
        <v>0</v>
      </c>
      <c r="AJ3117">
        <v>0</v>
      </c>
      <c r="AK3117">
        <v>0</v>
      </c>
      <c r="AL3117">
        <v>0</v>
      </c>
      <c r="AM3117">
        <v>0</v>
      </c>
      <c r="AN3117">
        <v>0</v>
      </c>
      <c r="AO3117">
        <v>0</v>
      </c>
      <c r="AP3117">
        <v>0</v>
      </c>
      <c r="AQ3117">
        <v>0</v>
      </c>
      <c r="AR3117">
        <v>0</v>
      </c>
      <c r="AS3117">
        <v>0</v>
      </c>
      <c r="AT3117">
        <v>0</v>
      </c>
      <c r="AU3117">
        <f t="shared" si="96"/>
        <v>0</v>
      </c>
      <c r="AV3117">
        <f t="shared" si="97"/>
        <v>0</v>
      </c>
    </row>
    <row r="3118" spans="1:48" x14ac:dyDescent="0.25">
      <c r="A3118" t="s">
        <v>10254</v>
      </c>
      <c r="C3118" t="s">
        <v>10255</v>
      </c>
      <c r="D3118" t="s">
        <v>3007</v>
      </c>
      <c r="E3118" t="s">
        <v>2310</v>
      </c>
      <c r="F3118">
        <v>12</v>
      </c>
      <c r="G3118">
        <v>12.2</v>
      </c>
      <c r="H3118" t="s">
        <v>2017</v>
      </c>
      <c r="I3118" s="21">
        <v>40407.513252314799</v>
      </c>
      <c r="J3118">
        <v>2010</v>
      </c>
      <c r="K3118" s="21">
        <v>40407.513252314799</v>
      </c>
      <c r="L3118">
        <v>2010</v>
      </c>
      <c r="M3118" s="21">
        <v>40637.417314814797</v>
      </c>
      <c r="N3118">
        <v>2011</v>
      </c>
      <c r="Q3118" s="262">
        <v>100000</v>
      </c>
      <c r="R3118" s="262">
        <v>76000</v>
      </c>
      <c r="S3118" t="s">
        <v>114</v>
      </c>
      <c r="T3118" t="s">
        <v>114</v>
      </c>
      <c r="U3118">
        <v>5</v>
      </c>
      <c r="V3118">
        <v>350</v>
      </c>
      <c r="W3118">
        <v>450</v>
      </c>
      <c r="X3118">
        <v>0</v>
      </c>
      <c r="Y3118">
        <v>0</v>
      </c>
      <c r="Z3118">
        <v>0</v>
      </c>
      <c r="AA3118">
        <v>0</v>
      </c>
      <c r="AB3118">
        <v>0</v>
      </c>
      <c r="AC3118">
        <v>450</v>
      </c>
      <c r="AD3118">
        <v>0</v>
      </c>
      <c r="AE3118">
        <v>0</v>
      </c>
      <c r="AF3118">
        <v>0</v>
      </c>
      <c r="AG3118">
        <v>0</v>
      </c>
      <c r="AH3118">
        <v>0</v>
      </c>
      <c r="AI3118">
        <v>0</v>
      </c>
      <c r="AJ3118">
        <v>0</v>
      </c>
      <c r="AK3118">
        <v>0</v>
      </c>
      <c r="AL3118">
        <v>0</v>
      </c>
      <c r="AM3118">
        <v>0</v>
      </c>
      <c r="AN3118">
        <v>0</v>
      </c>
      <c r="AO3118">
        <v>0</v>
      </c>
      <c r="AP3118">
        <v>0</v>
      </c>
      <c r="AQ3118">
        <v>0</v>
      </c>
      <c r="AR3118">
        <v>0</v>
      </c>
      <c r="AS3118">
        <v>0</v>
      </c>
      <c r="AT3118">
        <v>0</v>
      </c>
      <c r="AU3118">
        <f t="shared" si="96"/>
        <v>0</v>
      </c>
      <c r="AV3118">
        <f t="shared" si="97"/>
        <v>0</v>
      </c>
    </row>
    <row r="3119" spans="1:48" x14ac:dyDescent="0.25">
      <c r="A3119" t="s">
        <v>10256</v>
      </c>
      <c r="C3119" t="s">
        <v>10078</v>
      </c>
      <c r="D3119" t="s">
        <v>7519</v>
      </c>
      <c r="E3119" t="s">
        <v>2310</v>
      </c>
      <c r="F3119">
        <v>15</v>
      </c>
      <c r="G3119">
        <v>15.1</v>
      </c>
      <c r="H3119" t="s">
        <v>2022</v>
      </c>
      <c r="I3119" s="21">
        <v>40410.449918981503</v>
      </c>
      <c r="J3119">
        <v>2010</v>
      </c>
      <c r="K3119" s="21">
        <v>40410.449918981503</v>
      </c>
      <c r="L3119">
        <v>2010</v>
      </c>
      <c r="M3119" s="21">
        <v>40751.640428240702</v>
      </c>
      <c r="N3119">
        <v>2011</v>
      </c>
      <c r="Q3119" s="262">
        <v>73000</v>
      </c>
      <c r="R3119" s="262">
        <v>73000</v>
      </c>
      <c r="S3119" t="s">
        <v>114</v>
      </c>
      <c r="T3119" t="s">
        <v>114</v>
      </c>
      <c r="U3119">
        <v>8</v>
      </c>
      <c r="W3119">
        <v>600</v>
      </c>
      <c r="X3119">
        <v>1</v>
      </c>
      <c r="Y3119">
        <v>0</v>
      </c>
      <c r="Z3119">
        <v>0</v>
      </c>
      <c r="AA3119">
        <v>0</v>
      </c>
      <c r="AB3119">
        <v>0</v>
      </c>
      <c r="AC3119">
        <v>0</v>
      </c>
      <c r="AD3119">
        <v>0</v>
      </c>
      <c r="AE3119">
        <v>0</v>
      </c>
      <c r="AF3119">
        <v>600</v>
      </c>
      <c r="AG3119">
        <v>0</v>
      </c>
      <c r="AH3119">
        <v>0</v>
      </c>
      <c r="AI3119">
        <v>0</v>
      </c>
      <c r="AJ3119">
        <v>0</v>
      </c>
      <c r="AK3119">
        <v>0</v>
      </c>
      <c r="AL3119">
        <v>0</v>
      </c>
      <c r="AM3119">
        <v>0</v>
      </c>
      <c r="AN3119">
        <v>0</v>
      </c>
      <c r="AO3119">
        <v>0</v>
      </c>
      <c r="AP3119">
        <v>0</v>
      </c>
      <c r="AQ3119">
        <v>0</v>
      </c>
      <c r="AR3119">
        <v>1</v>
      </c>
      <c r="AS3119">
        <v>0</v>
      </c>
      <c r="AT3119">
        <v>0</v>
      </c>
      <c r="AU3119">
        <f t="shared" si="96"/>
        <v>0</v>
      </c>
      <c r="AV3119">
        <f t="shared" si="97"/>
        <v>0</v>
      </c>
    </row>
    <row r="3120" spans="1:48" x14ac:dyDescent="0.25">
      <c r="A3120" t="s">
        <v>10257</v>
      </c>
      <c r="C3120" t="s">
        <v>10258</v>
      </c>
      <c r="D3120" t="s">
        <v>1620</v>
      </c>
      <c r="E3120" t="s">
        <v>2310</v>
      </c>
      <c r="F3120">
        <v>15</v>
      </c>
      <c r="G3120">
        <v>15.3</v>
      </c>
      <c r="H3120" t="s">
        <v>2022</v>
      </c>
      <c r="I3120" s="21">
        <v>40415.369664351798</v>
      </c>
      <c r="J3120">
        <v>2010</v>
      </c>
      <c r="K3120" s="21">
        <v>40415.369664351798</v>
      </c>
      <c r="L3120">
        <v>2010</v>
      </c>
      <c r="M3120" s="21">
        <v>41872.669247685197</v>
      </c>
      <c r="N3120">
        <v>2014</v>
      </c>
      <c r="Q3120" s="262">
        <v>200000</v>
      </c>
      <c r="R3120" s="262">
        <v>77000</v>
      </c>
      <c r="S3120" t="s">
        <v>114</v>
      </c>
      <c r="T3120" t="s">
        <v>114</v>
      </c>
      <c r="U3120">
        <v>5</v>
      </c>
      <c r="W3120">
        <v>1936</v>
      </c>
      <c r="X3120">
        <v>0</v>
      </c>
      <c r="Y3120">
        <v>0</v>
      </c>
      <c r="Z3120">
        <v>0</v>
      </c>
      <c r="AA3120">
        <v>0</v>
      </c>
      <c r="AB3120">
        <v>0</v>
      </c>
      <c r="AC3120">
        <v>1936</v>
      </c>
      <c r="AD3120">
        <v>0</v>
      </c>
      <c r="AE3120">
        <v>0</v>
      </c>
      <c r="AF3120">
        <v>0</v>
      </c>
      <c r="AG3120">
        <v>0</v>
      </c>
      <c r="AH3120">
        <v>0</v>
      </c>
      <c r="AI3120">
        <v>0</v>
      </c>
      <c r="AJ3120">
        <v>0</v>
      </c>
      <c r="AK3120">
        <v>0</v>
      </c>
      <c r="AL3120">
        <v>0</v>
      </c>
      <c r="AM3120">
        <v>0</v>
      </c>
      <c r="AN3120">
        <v>0</v>
      </c>
      <c r="AO3120">
        <v>0</v>
      </c>
      <c r="AP3120">
        <v>0</v>
      </c>
      <c r="AQ3120">
        <v>0</v>
      </c>
      <c r="AR3120">
        <v>0</v>
      </c>
      <c r="AS3120">
        <v>0</v>
      </c>
      <c r="AT3120">
        <v>0</v>
      </c>
      <c r="AU3120">
        <f t="shared" si="96"/>
        <v>0</v>
      </c>
      <c r="AV3120">
        <f t="shared" si="97"/>
        <v>0</v>
      </c>
    </row>
    <row r="3121" spans="1:48" x14ac:dyDescent="0.25">
      <c r="A3121" t="s">
        <v>10259</v>
      </c>
      <c r="C3121" t="s">
        <v>10260</v>
      </c>
      <c r="D3121" t="s">
        <v>10229</v>
      </c>
      <c r="E3121" t="s">
        <v>2310</v>
      </c>
      <c r="F3121">
        <v>8</v>
      </c>
      <c r="G3121">
        <v>8.1999999999999993</v>
      </c>
      <c r="H3121" t="s">
        <v>2022</v>
      </c>
      <c r="I3121" s="21">
        <v>40416.561111111099</v>
      </c>
      <c r="J3121">
        <v>2010</v>
      </c>
      <c r="K3121" s="21">
        <v>40416.561111111099</v>
      </c>
      <c r="L3121">
        <v>2010</v>
      </c>
      <c r="M3121" s="21">
        <v>40947.571701388901</v>
      </c>
      <c r="N3121">
        <v>2012</v>
      </c>
      <c r="Q3121" s="262">
        <v>200000</v>
      </c>
      <c r="R3121" s="262">
        <v>64000</v>
      </c>
      <c r="S3121" t="s">
        <v>114</v>
      </c>
      <c r="T3121" t="s">
        <v>114</v>
      </c>
      <c r="U3121">
        <v>8</v>
      </c>
      <c r="W3121">
        <v>890</v>
      </c>
      <c r="X3121">
        <v>1</v>
      </c>
      <c r="Y3121">
        <v>0</v>
      </c>
      <c r="Z3121">
        <v>0</v>
      </c>
      <c r="AA3121">
        <v>0</v>
      </c>
      <c r="AB3121">
        <v>0</v>
      </c>
      <c r="AC3121">
        <v>451</v>
      </c>
      <c r="AD3121">
        <v>0</v>
      </c>
      <c r="AE3121">
        <v>0</v>
      </c>
      <c r="AF3121">
        <v>439</v>
      </c>
      <c r="AG3121">
        <v>0</v>
      </c>
      <c r="AH3121">
        <v>0</v>
      </c>
      <c r="AI3121">
        <v>0</v>
      </c>
      <c r="AJ3121">
        <v>0</v>
      </c>
      <c r="AK3121">
        <v>0</v>
      </c>
      <c r="AL3121">
        <v>0</v>
      </c>
      <c r="AM3121">
        <v>0</v>
      </c>
      <c r="AN3121">
        <v>0</v>
      </c>
      <c r="AO3121">
        <v>0</v>
      </c>
      <c r="AP3121">
        <v>0</v>
      </c>
      <c r="AQ3121">
        <v>0</v>
      </c>
      <c r="AR3121">
        <v>1</v>
      </c>
      <c r="AS3121">
        <v>0</v>
      </c>
      <c r="AT3121">
        <v>0</v>
      </c>
      <c r="AU3121">
        <f t="shared" si="96"/>
        <v>0</v>
      </c>
      <c r="AV3121">
        <f t="shared" si="97"/>
        <v>0</v>
      </c>
    </row>
    <row r="3122" spans="1:48" x14ac:dyDescent="0.25">
      <c r="A3122" t="s">
        <v>10261</v>
      </c>
      <c r="C3122" t="s">
        <v>10262</v>
      </c>
      <c r="D3122" t="s">
        <v>10263</v>
      </c>
      <c r="E3122" t="s">
        <v>2310</v>
      </c>
      <c r="F3122">
        <v>9</v>
      </c>
      <c r="G3122">
        <v>9.4</v>
      </c>
      <c r="H3122" t="s">
        <v>2323</v>
      </c>
      <c r="I3122" s="21">
        <v>40416.647685185198</v>
      </c>
      <c r="J3122">
        <v>2010</v>
      </c>
      <c r="K3122" s="21">
        <v>40416.647685185198</v>
      </c>
      <c r="L3122">
        <v>2010</v>
      </c>
      <c r="M3122" s="21">
        <v>41409.464942129598</v>
      </c>
      <c r="N3122">
        <v>2013</v>
      </c>
      <c r="Q3122" s="262">
        <v>5100000</v>
      </c>
      <c r="R3122" s="262">
        <v>1172000</v>
      </c>
      <c r="S3122" t="s">
        <v>114</v>
      </c>
      <c r="T3122" t="s">
        <v>114</v>
      </c>
      <c r="U3122">
        <v>5</v>
      </c>
      <c r="W3122">
        <v>10772</v>
      </c>
      <c r="X3122">
        <v>1</v>
      </c>
      <c r="Y3122">
        <v>0</v>
      </c>
      <c r="Z3122">
        <v>0</v>
      </c>
      <c r="AA3122">
        <v>0</v>
      </c>
      <c r="AB3122">
        <v>0</v>
      </c>
      <c r="AC3122">
        <v>10772</v>
      </c>
      <c r="AD3122">
        <v>0</v>
      </c>
      <c r="AE3122">
        <v>0</v>
      </c>
      <c r="AF3122">
        <v>0</v>
      </c>
      <c r="AG3122">
        <v>0</v>
      </c>
      <c r="AH3122">
        <v>0</v>
      </c>
      <c r="AI3122">
        <v>0</v>
      </c>
      <c r="AJ3122">
        <v>0</v>
      </c>
      <c r="AK3122">
        <v>0</v>
      </c>
      <c r="AL3122">
        <v>0</v>
      </c>
      <c r="AM3122">
        <v>0</v>
      </c>
      <c r="AN3122">
        <v>0</v>
      </c>
      <c r="AO3122">
        <v>1</v>
      </c>
      <c r="AP3122">
        <v>0</v>
      </c>
      <c r="AQ3122">
        <v>0</v>
      </c>
      <c r="AR3122">
        <v>0</v>
      </c>
      <c r="AS3122">
        <v>0</v>
      </c>
      <c r="AT3122">
        <v>0</v>
      </c>
      <c r="AU3122">
        <f t="shared" si="96"/>
        <v>1</v>
      </c>
      <c r="AV3122">
        <f t="shared" si="97"/>
        <v>0</v>
      </c>
    </row>
    <row r="3123" spans="1:48" x14ac:dyDescent="0.25">
      <c r="A3123" t="s">
        <v>10264</v>
      </c>
      <c r="C3123" t="s">
        <v>10265</v>
      </c>
      <c r="D3123" t="s">
        <v>5851</v>
      </c>
      <c r="E3123" t="s">
        <v>2310</v>
      </c>
      <c r="F3123">
        <v>9</v>
      </c>
      <c r="G3123">
        <v>9.3000000000000007</v>
      </c>
      <c r="H3123" t="s">
        <v>2323</v>
      </c>
      <c r="I3123" s="21">
        <v>40430.4668634259</v>
      </c>
      <c r="J3123">
        <v>2010</v>
      </c>
      <c r="K3123" s="21">
        <v>40430.4668634259</v>
      </c>
      <c r="L3123">
        <v>2010</v>
      </c>
      <c r="M3123" s="21">
        <v>40921.655787037002</v>
      </c>
      <c r="N3123">
        <v>2012</v>
      </c>
      <c r="Q3123" s="262">
        <v>40000</v>
      </c>
      <c r="R3123" s="262">
        <v>40000</v>
      </c>
      <c r="S3123" t="s">
        <v>114</v>
      </c>
      <c r="T3123" t="s">
        <v>114</v>
      </c>
      <c r="U3123">
        <v>5</v>
      </c>
      <c r="W3123">
        <v>992</v>
      </c>
      <c r="X3123">
        <v>0</v>
      </c>
      <c r="Y3123">
        <v>0</v>
      </c>
      <c r="Z3123">
        <v>0</v>
      </c>
      <c r="AA3123">
        <v>0</v>
      </c>
      <c r="AB3123">
        <v>0</v>
      </c>
      <c r="AC3123">
        <v>992</v>
      </c>
      <c r="AD3123">
        <v>0</v>
      </c>
      <c r="AE3123">
        <v>0</v>
      </c>
      <c r="AF3123">
        <v>0</v>
      </c>
      <c r="AG3123">
        <v>0</v>
      </c>
      <c r="AH3123">
        <v>0</v>
      </c>
      <c r="AI3123">
        <v>0</v>
      </c>
      <c r="AJ3123">
        <v>0</v>
      </c>
      <c r="AK3123">
        <v>0</v>
      </c>
      <c r="AL3123">
        <v>0</v>
      </c>
      <c r="AM3123">
        <v>0</v>
      </c>
      <c r="AN3123">
        <v>0</v>
      </c>
      <c r="AO3123">
        <v>0</v>
      </c>
      <c r="AP3123">
        <v>0</v>
      </c>
      <c r="AQ3123">
        <v>0</v>
      </c>
      <c r="AR3123">
        <v>0</v>
      </c>
      <c r="AS3123">
        <v>0</v>
      </c>
      <c r="AT3123">
        <v>0</v>
      </c>
      <c r="AU3123">
        <f t="shared" si="96"/>
        <v>0</v>
      </c>
      <c r="AV3123">
        <f t="shared" si="97"/>
        <v>0</v>
      </c>
    </row>
    <row r="3124" spans="1:48" x14ac:dyDescent="0.25">
      <c r="A3124" t="s">
        <v>10266</v>
      </c>
      <c r="C3124" t="s">
        <v>10267</v>
      </c>
      <c r="D3124" t="s">
        <v>10268</v>
      </c>
      <c r="E3124" t="s">
        <v>2310</v>
      </c>
      <c r="F3124">
        <v>9</v>
      </c>
      <c r="G3124">
        <v>9.1</v>
      </c>
      <c r="H3124" t="s">
        <v>2323</v>
      </c>
      <c r="I3124" s="21">
        <v>40430.628287036998</v>
      </c>
      <c r="J3124">
        <v>2010</v>
      </c>
      <c r="K3124" s="21">
        <v>40430.628287036998</v>
      </c>
      <c r="L3124">
        <v>2010</v>
      </c>
      <c r="M3124" s="21">
        <v>40892.398194444402</v>
      </c>
      <c r="N3124">
        <v>2011</v>
      </c>
      <c r="Q3124" s="262">
        <v>600000</v>
      </c>
      <c r="R3124" s="262">
        <v>397000</v>
      </c>
      <c r="S3124" t="s">
        <v>114</v>
      </c>
      <c r="T3124" t="s">
        <v>114</v>
      </c>
      <c r="U3124">
        <v>5</v>
      </c>
      <c r="W3124">
        <v>4215</v>
      </c>
      <c r="X3124">
        <v>2</v>
      </c>
      <c r="Y3124">
        <v>0</v>
      </c>
      <c r="Z3124">
        <v>0</v>
      </c>
      <c r="AA3124">
        <v>0</v>
      </c>
      <c r="AB3124">
        <v>0</v>
      </c>
      <c r="AC3124">
        <v>4215</v>
      </c>
      <c r="AD3124">
        <v>0</v>
      </c>
      <c r="AE3124">
        <v>0</v>
      </c>
      <c r="AF3124">
        <v>0</v>
      </c>
      <c r="AG3124">
        <v>0</v>
      </c>
      <c r="AH3124">
        <v>0</v>
      </c>
      <c r="AI3124">
        <v>0</v>
      </c>
      <c r="AJ3124">
        <v>0</v>
      </c>
      <c r="AK3124">
        <v>0</v>
      </c>
      <c r="AL3124">
        <v>0</v>
      </c>
      <c r="AM3124">
        <v>0</v>
      </c>
      <c r="AN3124">
        <v>0</v>
      </c>
      <c r="AO3124">
        <v>2</v>
      </c>
      <c r="AP3124">
        <v>0</v>
      </c>
      <c r="AQ3124">
        <v>0</v>
      </c>
      <c r="AR3124">
        <v>0</v>
      </c>
      <c r="AS3124">
        <v>0</v>
      </c>
      <c r="AT3124">
        <v>0</v>
      </c>
      <c r="AU3124">
        <f t="shared" si="96"/>
        <v>2</v>
      </c>
      <c r="AV3124">
        <f t="shared" si="97"/>
        <v>0</v>
      </c>
    </row>
    <row r="3125" spans="1:48" x14ac:dyDescent="0.25">
      <c r="A3125" t="s">
        <v>10269</v>
      </c>
      <c r="C3125" t="s">
        <v>10270</v>
      </c>
      <c r="D3125" t="s">
        <v>10271</v>
      </c>
      <c r="E3125" t="s">
        <v>2310</v>
      </c>
      <c r="F3125">
        <v>15</v>
      </c>
      <c r="G3125">
        <v>15.3</v>
      </c>
      <c r="H3125" t="s">
        <v>2022</v>
      </c>
      <c r="I3125" s="21">
        <v>40435.4553703704</v>
      </c>
      <c r="J3125">
        <v>2010</v>
      </c>
      <c r="K3125" s="21">
        <v>40435.4553703704</v>
      </c>
      <c r="L3125">
        <v>2010</v>
      </c>
      <c r="M3125" s="21">
        <v>40828.536180555602</v>
      </c>
      <c r="N3125">
        <v>2011</v>
      </c>
      <c r="Q3125" s="262">
        <v>70000</v>
      </c>
      <c r="R3125" s="262">
        <v>48000</v>
      </c>
      <c r="S3125" t="s">
        <v>114</v>
      </c>
      <c r="T3125" t="s">
        <v>114</v>
      </c>
      <c r="U3125">
        <v>5</v>
      </c>
      <c r="W3125">
        <v>465</v>
      </c>
      <c r="X3125">
        <v>0</v>
      </c>
      <c r="Y3125">
        <v>0</v>
      </c>
      <c r="Z3125">
        <v>0</v>
      </c>
      <c r="AA3125">
        <v>0</v>
      </c>
      <c r="AB3125">
        <v>0</v>
      </c>
      <c r="AC3125">
        <v>465</v>
      </c>
      <c r="AD3125">
        <v>0</v>
      </c>
      <c r="AE3125">
        <v>0</v>
      </c>
      <c r="AF3125">
        <v>0</v>
      </c>
      <c r="AG3125">
        <v>0</v>
      </c>
      <c r="AH3125">
        <v>0</v>
      </c>
      <c r="AI3125">
        <v>0</v>
      </c>
      <c r="AJ3125">
        <v>0</v>
      </c>
      <c r="AK3125">
        <v>0</v>
      </c>
      <c r="AL3125">
        <v>0</v>
      </c>
      <c r="AM3125">
        <v>0</v>
      </c>
      <c r="AN3125">
        <v>0</v>
      </c>
      <c r="AO3125">
        <v>0</v>
      </c>
      <c r="AP3125">
        <v>0</v>
      </c>
      <c r="AQ3125">
        <v>0</v>
      </c>
      <c r="AR3125">
        <v>0</v>
      </c>
      <c r="AS3125">
        <v>0</v>
      </c>
      <c r="AT3125">
        <v>0</v>
      </c>
      <c r="AU3125">
        <f t="shared" si="96"/>
        <v>0</v>
      </c>
      <c r="AV3125">
        <f t="shared" si="97"/>
        <v>0</v>
      </c>
    </row>
    <row r="3126" spans="1:48" x14ac:dyDescent="0.25">
      <c r="A3126" t="s">
        <v>10272</v>
      </c>
      <c r="C3126" t="s">
        <v>10273</v>
      </c>
      <c r="D3126" t="s">
        <v>10274</v>
      </c>
      <c r="E3126" t="s">
        <v>2310</v>
      </c>
      <c r="F3126">
        <v>13</v>
      </c>
      <c r="G3126">
        <v>13.2</v>
      </c>
      <c r="H3126" t="s">
        <v>2327</v>
      </c>
      <c r="I3126" s="21">
        <v>40436.370868055601</v>
      </c>
      <c r="J3126">
        <v>2010</v>
      </c>
      <c r="K3126" s="21">
        <v>40436.370868055601</v>
      </c>
      <c r="L3126">
        <v>2010</v>
      </c>
      <c r="M3126" s="21">
        <v>41340.653460648202</v>
      </c>
      <c r="N3126">
        <v>2013</v>
      </c>
      <c r="Q3126" s="262">
        <v>5500000</v>
      </c>
      <c r="R3126" s="262">
        <v>839000</v>
      </c>
      <c r="S3126" t="s">
        <v>114</v>
      </c>
      <c r="T3126" t="s">
        <v>114</v>
      </c>
      <c r="U3126">
        <v>5</v>
      </c>
      <c r="W3126">
        <v>8712</v>
      </c>
      <c r="X3126">
        <v>1</v>
      </c>
      <c r="Y3126">
        <v>0</v>
      </c>
      <c r="Z3126">
        <v>0</v>
      </c>
      <c r="AA3126">
        <v>0</v>
      </c>
      <c r="AB3126">
        <v>0</v>
      </c>
      <c r="AC3126">
        <v>8712</v>
      </c>
      <c r="AD3126">
        <v>0</v>
      </c>
      <c r="AE3126">
        <v>0</v>
      </c>
      <c r="AF3126">
        <v>0</v>
      </c>
      <c r="AG3126">
        <v>0</v>
      </c>
      <c r="AH3126">
        <v>0</v>
      </c>
      <c r="AI3126">
        <v>0</v>
      </c>
      <c r="AJ3126">
        <v>0</v>
      </c>
      <c r="AK3126">
        <v>0</v>
      </c>
      <c r="AL3126">
        <v>0</v>
      </c>
      <c r="AM3126">
        <v>0</v>
      </c>
      <c r="AN3126">
        <v>0</v>
      </c>
      <c r="AO3126">
        <v>1</v>
      </c>
      <c r="AP3126">
        <v>0</v>
      </c>
      <c r="AQ3126">
        <v>0</v>
      </c>
      <c r="AR3126">
        <v>0</v>
      </c>
      <c r="AS3126">
        <v>0</v>
      </c>
      <c r="AT3126">
        <v>0</v>
      </c>
      <c r="AU3126">
        <f t="shared" si="96"/>
        <v>1</v>
      </c>
      <c r="AV3126">
        <f t="shared" si="97"/>
        <v>0</v>
      </c>
    </row>
    <row r="3127" spans="1:48" x14ac:dyDescent="0.25">
      <c r="A3127" t="s">
        <v>10275</v>
      </c>
      <c r="C3127" t="s">
        <v>10276</v>
      </c>
      <c r="D3127" t="s">
        <v>10277</v>
      </c>
      <c r="E3127" t="s">
        <v>2310</v>
      </c>
      <c r="F3127">
        <v>9</v>
      </c>
      <c r="G3127">
        <v>9.3000000000000007</v>
      </c>
      <c r="H3127" t="s">
        <v>2323</v>
      </c>
      <c r="I3127" s="21">
        <v>40437.440891203703</v>
      </c>
      <c r="J3127">
        <v>2010</v>
      </c>
      <c r="K3127" s="21">
        <v>40437.440891203703</v>
      </c>
      <c r="L3127">
        <v>2010</v>
      </c>
      <c r="M3127" s="21">
        <v>41270.382337962998</v>
      </c>
      <c r="N3127">
        <v>2012</v>
      </c>
      <c r="Q3127" s="262">
        <v>900000</v>
      </c>
      <c r="R3127" s="262">
        <v>253000</v>
      </c>
      <c r="S3127" t="s">
        <v>114</v>
      </c>
      <c r="T3127" t="s">
        <v>114</v>
      </c>
      <c r="U3127">
        <v>5</v>
      </c>
      <c r="V3127">
        <v>1455</v>
      </c>
      <c r="W3127">
        <v>1376</v>
      </c>
      <c r="X3127">
        <v>0</v>
      </c>
      <c r="Y3127">
        <v>0</v>
      </c>
      <c r="Z3127">
        <v>0</v>
      </c>
      <c r="AA3127">
        <v>0</v>
      </c>
      <c r="AB3127">
        <v>0</v>
      </c>
      <c r="AC3127">
        <v>1376</v>
      </c>
      <c r="AD3127">
        <v>0</v>
      </c>
      <c r="AE3127">
        <v>0</v>
      </c>
      <c r="AF3127">
        <v>0</v>
      </c>
      <c r="AG3127">
        <v>0</v>
      </c>
      <c r="AH3127">
        <v>0</v>
      </c>
      <c r="AI3127">
        <v>0</v>
      </c>
      <c r="AJ3127">
        <v>0</v>
      </c>
      <c r="AK3127">
        <v>0</v>
      </c>
      <c r="AL3127">
        <v>0</v>
      </c>
      <c r="AM3127">
        <v>0</v>
      </c>
      <c r="AN3127">
        <v>0</v>
      </c>
      <c r="AO3127">
        <v>0</v>
      </c>
      <c r="AP3127">
        <v>0</v>
      </c>
      <c r="AQ3127">
        <v>0</v>
      </c>
      <c r="AR3127">
        <v>0</v>
      </c>
      <c r="AS3127">
        <v>0</v>
      </c>
      <c r="AT3127">
        <v>0</v>
      </c>
      <c r="AU3127">
        <f t="shared" si="96"/>
        <v>0</v>
      </c>
      <c r="AV3127">
        <f t="shared" si="97"/>
        <v>0</v>
      </c>
    </row>
    <row r="3128" spans="1:48" x14ac:dyDescent="0.25">
      <c r="A3128" t="s">
        <v>10278</v>
      </c>
      <c r="C3128" t="s">
        <v>10279</v>
      </c>
      <c r="D3128" t="s">
        <v>3060</v>
      </c>
      <c r="E3128" t="s">
        <v>2310</v>
      </c>
      <c r="F3128">
        <v>15</v>
      </c>
      <c r="G3128">
        <v>15.2</v>
      </c>
      <c r="H3128" t="s">
        <v>2323</v>
      </c>
      <c r="I3128" s="21">
        <v>40444.605624999997</v>
      </c>
      <c r="J3128">
        <v>2010</v>
      </c>
      <c r="K3128" s="21">
        <v>40444.605624999997</v>
      </c>
      <c r="L3128">
        <v>2010</v>
      </c>
      <c r="M3128" s="21">
        <v>41325.374930555598</v>
      </c>
      <c r="N3128">
        <v>2013</v>
      </c>
      <c r="Q3128" s="262">
        <v>160000</v>
      </c>
      <c r="R3128" s="262">
        <v>52000</v>
      </c>
      <c r="S3128" t="s">
        <v>114</v>
      </c>
      <c r="T3128" t="s">
        <v>114</v>
      </c>
      <c r="U3128">
        <v>5</v>
      </c>
      <c r="W3128">
        <v>504</v>
      </c>
      <c r="X3128">
        <v>0</v>
      </c>
      <c r="Y3128">
        <v>0</v>
      </c>
      <c r="Z3128">
        <v>0</v>
      </c>
      <c r="AA3128">
        <v>0</v>
      </c>
      <c r="AB3128">
        <v>0</v>
      </c>
      <c r="AC3128">
        <v>504</v>
      </c>
      <c r="AD3128">
        <v>0</v>
      </c>
      <c r="AE3128">
        <v>0</v>
      </c>
      <c r="AF3128">
        <v>0</v>
      </c>
      <c r="AG3128">
        <v>0</v>
      </c>
      <c r="AH3128">
        <v>0</v>
      </c>
      <c r="AI3128">
        <v>0</v>
      </c>
      <c r="AJ3128">
        <v>0</v>
      </c>
      <c r="AK3128">
        <v>0</v>
      </c>
      <c r="AL3128">
        <v>0</v>
      </c>
      <c r="AM3128">
        <v>0</v>
      </c>
      <c r="AN3128">
        <v>0</v>
      </c>
      <c r="AO3128">
        <v>0</v>
      </c>
      <c r="AP3128">
        <v>0</v>
      </c>
      <c r="AQ3128">
        <v>0</v>
      </c>
      <c r="AR3128">
        <v>0</v>
      </c>
      <c r="AS3128">
        <v>0</v>
      </c>
      <c r="AT3128">
        <v>0</v>
      </c>
      <c r="AU3128">
        <f t="shared" si="96"/>
        <v>0</v>
      </c>
      <c r="AV3128">
        <f t="shared" si="97"/>
        <v>0</v>
      </c>
    </row>
    <row r="3129" spans="1:48" x14ac:dyDescent="0.25">
      <c r="A3129" t="s">
        <v>10280</v>
      </c>
      <c r="C3129" t="s">
        <v>10281</v>
      </c>
      <c r="D3129" t="s">
        <v>10282</v>
      </c>
      <c r="E3129" t="s">
        <v>2310</v>
      </c>
      <c r="F3129">
        <v>15</v>
      </c>
      <c r="G3129">
        <v>15.2</v>
      </c>
      <c r="H3129" t="s">
        <v>2323</v>
      </c>
      <c r="I3129" s="21">
        <v>40448.569131944401</v>
      </c>
      <c r="J3129">
        <v>2010</v>
      </c>
      <c r="K3129" s="21">
        <v>40448.569131944401</v>
      </c>
      <c r="L3129">
        <v>2010</v>
      </c>
      <c r="M3129" s="21">
        <v>40716.390810185199</v>
      </c>
      <c r="N3129">
        <v>2011</v>
      </c>
      <c r="Q3129" s="262">
        <v>55000</v>
      </c>
      <c r="R3129" s="262">
        <v>69000</v>
      </c>
      <c r="S3129" t="s">
        <v>114</v>
      </c>
      <c r="T3129" t="s">
        <v>114</v>
      </c>
      <c r="U3129">
        <v>5</v>
      </c>
      <c r="W3129">
        <v>1728</v>
      </c>
      <c r="X3129">
        <v>0</v>
      </c>
      <c r="Y3129">
        <v>0</v>
      </c>
      <c r="Z3129">
        <v>0</v>
      </c>
      <c r="AA3129">
        <v>0</v>
      </c>
      <c r="AB3129">
        <v>0</v>
      </c>
      <c r="AC3129">
        <v>1728</v>
      </c>
      <c r="AD3129">
        <v>0</v>
      </c>
      <c r="AE3129">
        <v>0</v>
      </c>
      <c r="AF3129">
        <v>0</v>
      </c>
      <c r="AG3129">
        <v>0</v>
      </c>
      <c r="AH3129">
        <v>0</v>
      </c>
      <c r="AI3129">
        <v>0</v>
      </c>
      <c r="AJ3129">
        <v>0</v>
      </c>
      <c r="AK3129">
        <v>0</v>
      </c>
      <c r="AL3129">
        <v>0</v>
      </c>
      <c r="AM3129">
        <v>0</v>
      </c>
      <c r="AN3129">
        <v>0</v>
      </c>
      <c r="AO3129">
        <v>0</v>
      </c>
      <c r="AP3129">
        <v>0</v>
      </c>
      <c r="AQ3129">
        <v>0</v>
      </c>
      <c r="AR3129">
        <v>0</v>
      </c>
      <c r="AS3129">
        <v>0</v>
      </c>
      <c r="AT3129">
        <v>0</v>
      </c>
      <c r="AU3129">
        <f t="shared" si="96"/>
        <v>0</v>
      </c>
      <c r="AV3129">
        <f t="shared" si="97"/>
        <v>0</v>
      </c>
    </row>
    <row r="3130" spans="1:48" x14ac:dyDescent="0.25">
      <c r="A3130" t="s">
        <v>10283</v>
      </c>
      <c r="C3130" t="s">
        <v>10284</v>
      </c>
      <c r="D3130" t="s">
        <v>10285</v>
      </c>
      <c r="E3130" t="s">
        <v>2310</v>
      </c>
      <c r="F3130">
        <v>9</v>
      </c>
      <c r="G3130">
        <v>9.1999999999999993</v>
      </c>
      <c r="H3130" t="s">
        <v>2022</v>
      </c>
      <c r="I3130" s="21">
        <v>40449.384814814803</v>
      </c>
      <c r="J3130">
        <v>2010</v>
      </c>
      <c r="K3130" s="21">
        <v>40449.384814814803</v>
      </c>
      <c r="L3130">
        <v>2010</v>
      </c>
      <c r="M3130" s="21">
        <v>41205.453946759299</v>
      </c>
      <c r="N3130">
        <v>2012</v>
      </c>
      <c r="Q3130" s="262">
        <v>500000</v>
      </c>
      <c r="R3130" s="262">
        <v>501000</v>
      </c>
      <c r="S3130" t="s">
        <v>114</v>
      </c>
      <c r="T3130" t="s">
        <v>114</v>
      </c>
      <c r="U3130">
        <v>5</v>
      </c>
      <c r="W3130">
        <v>4554</v>
      </c>
      <c r="X3130">
        <v>1</v>
      </c>
      <c r="Y3130">
        <v>0</v>
      </c>
      <c r="Z3130">
        <v>0</v>
      </c>
      <c r="AA3130">
        <v>0</v>
      </c>
      <c r="AB3130">
        <v>0</v>
      </c>
      <c r="AC3130">
        <v>4554</v>
      </c>
      <c r="AD3130">
        <v>0</v>
      </c>
      <c r="AE3130">
        <v>0</v>
      </c>
      <c r="AF3130">
        <v>0</v>
      </c>
      <c r="AG3130">
        <v>0</v>
      </c>
      <c r="AH3130">
        <v>0</v>
      </c>
      <c r="AI3130">
        <v>0</v>
      </c>
      <c r="AJ3130">
        <v>0</v>
      </c>
      <c r="AK3130">
        <v>0</v>
      </c>
      <c r="AL3130">
        <v>0</v>
      </c>
      <c r="AM3130">
        <v>0</v>
      </c>
      <c r="AN3130">
        <v>0</v>
      </c>
      <c r="AO3130">
        <v>1</v>
      </c>
      <c r="AP3130">
        <v>0</v>
      </c>
      <c r="AQ3130">
        <v>0</v>
      </c>
      <c r="AR3130">
        <v>0</v>
      </c>
      <c r="AS3130">
        <v>0</v>
      </c>
      <c r="AT3130">
        <v>0</v>
      </c>
      <c r="AU3130">
        <f t="shared" si="96"/>
        <v>1</v>
      </c>
      <c r="AV3130">
        <f t="shared" si="97"/>
        <v>0</v>
      </c>
    </row>
    <row r="3131" spans="1:48" x14ac:dyDescent="0.25">
      <c r="A3131" t="s">
        <v>10286</v>
      </c>
      <c r="C3131" t="s">
        <v>7880</v>
      </c>
      <c r="D3131" t="s">
        <v>10285</v>
      </c>
      <c r="E3131" t="s">
        <v>2310</v>
      </c>
      <c r="F3131">
        <v>9</v>
      </c>
      <c r="G3131">
        <v>9.1999999999999993</v>
      </c>
      <c r="H3131" t="s">
        <v>2022</v>
      </c>
      <c r="I3131" s="21">
        <v>40449.398553240702</v>
      </c>
      <c r="J3131">
        <v>2010</v>
      </c>
      <c r="K3131" s="21">
        <v>40449.398553240702</v>
      </c>
      <c r="L3131">
        <v>2010</v>
      </c>
      <c r="P3131" s="21">
        <v>42292.547175925902</v>
      </c>
      <c r="Q3131" s="262">
        <v>100000</v>
      </c>
      <c r="R3131" s="262">
        <v>103000</v>
      </c>
      <c r="S3131" t="s">
        <v>114</v>
      </c>
      <c r="T3131" t="s">
        <v>114</v>
      </c>
      <c r="U3131">
        <v>5</v>
      </c>
      <c r="W3131">
        <v>2592</v>
      </c>
      <c r="X3131">
        <v>0</v>
      </c>
      <c r="Y3131">
        <v>0</v>
      </c>
      <c r="Z3131">
        <v>0</v>
      </c>
      <c r="AA3131">
        <v>0</v>
      </c>
      <c r="AB3131">
        <v>0</v>
      </c>
      <c r="AC3131">
        <v>2592</v>
      </c>
      <c r="AD3131">
        <v>0</v>
      </c>
      <c r="AE3131">
        <v>0</v>
      </c>
      <c r="AF3131">
        <v>0</v>
      </c>
      <c r="AG3131">
        <v>0</v>
      </c>
      <c r="AH3131">
        <v>0</v>
      </c>
      <c r="AI3131">
        <v>0</v>
      </c>
      <c r="AJ3131">
        <v>0</v>
      </c>
      <c r="AK3131">
        <v>0</v>
      </c>
      <c r="AL3131">
        <v>0</v>
      </c>
      <c r="AM3131">
        <v>0</v>
      </c>
      <c r="AN3131">
        <v>0</v>
      </c>
      <c r="AO3131">
        <v>0</v>
      </c>
      <c r="AP3131">
        <v>0</v>
      </c>
      <c r="AQ3131">
        <v>0</v>
      </c>
      <c r="AR3131">
        <v>0</v>
      </c>
      <c r="AS3131">
        <v>0</v>
      </c>
      <c r="AT3131">
        <v>0</v>
      </c>
      <c r="AU3131">
        <f t="shared" si="96"/>
        <v>0</v>
      </c>
      <c r="AV3131">
        <f t="shared" si="97"/>
        <v>0</v>
      </c>
    </row>
    <row r="3132" spans="1:48" x14ac:dyDescent="0.25">
      <c r="A3132" t="s">
        <v>10287</v>
      </c>
      <c r="C3132" t="s">
        <v>10288</v>
      </c>
      <c r="D3132" t="s">
        <v>10289</v>
      </c>
      <c r="E3132" t="s">
        <v>2310</v>
      </c>
      <c r="F3132">
        <v>12</v>
      </c>
      <c r="G3132">
        <v>12.3</v>
      </c>
      <c r="H3132" t="s">
        <v>2017</v>
      </c>
      <c r="I3132" s="21">
        <v>40451.442766203698</v>
      </c>
      <c r="J3132">
        <v>2010</v>
      </c>
      <c r="K3132" s="21">
        <v>40451.442766203698</v>
      </c>
      <c r="L3132">
        <v>2010</v>
      </c>
      <c r="M3132" s="21">
        <v>40652.604675925897</v>
      </c>
      <c r="N3132">
        <v>2011</v>
      </c>
      <c r="Q3132" s="262">
        <v>75000</v>
      </c>
      <c r="R3132" s="262">
        <v>4000</v>
      </c>
      <c r="S3132" t="s">
        <v>114</v>
      </c>
      <c r="T3132" t="s">
        <v>114</v>
      </c>
      <c r="U3132">
        <v>5</v>
      </c>
      <c r="W3132">
        <v>37</v>
      </c>
      <c r="X3132">
        <v>0</v>
      </c>
      <c r="Y3132">
        <v>0</v>
      </c>
      <c r="Z3132">
        <v>0</v>
      </c>
      <c r="AA3132">
        <v>0</v>
      </c>
      <c r="AB3132">
        <v>0</v>
      </c>
      <c r="AC3132">
        <v>37</v>
      </c>
      <c r="AD3132">
        <v>0</v>
      </c>
      <c r="AE3132">
        <v>0</v>
      </c>
      <c r="AF3132">
        <v>0</v>
      </c>
      <c r="AG3132">
        <v>0</v>
      </c>
      <c r="AH3132">
        <v>0</v>
      </c>
      <c r="AI3132">
        <v>0</v>
      </c>
      <c r="AJ3132">
        <v>0</v>
      </c>
      <c r="AK3132">
        <v>0</v>
      </c>
      <c r="AL3132">
        <v>0</v>
      </c>
      <c r="AM3132">
        <v>0</v>
      </c>
      <c r="AN3132">
        <v>0</v>
      </c>
      <c r="AO3132">
        <v>0</v>
      </c>
      <c r="AP3132">
        <v>0</v>
      </c>
      <c r="AQ3132">
        <v>0</v>
      </c>
      <c r="AR3132">
        <v>0</v>
      </c>
      <c r="AS3132">
        <v>0</v>
      </c>
      <c r="AT3132">
        <v>0</v>
      </c>
      <c r="AU3132">
        <f t="shared" si="96"/>
        <v>0</v>
      </c>
      <c r="AV3132">
        <f t="shared" si="97"/>
        <v>0</v>
      </c>
    </row>
    <row r="3133" spans="1:48" x14ac:dyDescent="0.25">
      <c r="A3133" t="s">
        <v>10290</v>
      </c>
      <c r="C3133" t="s">
        <v>10291</v>
      </c>
      <c r="D3133" t="s">
        <v>6736</v>
      </c>
      <c r="E3133" t="s">
        <v>2310</v>
      </c>
      <c r="F3133">
        <v>11</v>
      </c>
      <c r="G3133">
        <v>11.2</v>
      </c>
      <c r="H3133" t="s">
        <v>2017</v>
      </c>
      <c r="I3133" s="21">
        <v>40452.358368055597</v>
      </c>
      <c r="J3133">
        <v>2010</v>
      </c>
      <c r="K3133" s="21">
        <v>40452.358368055597</v>
      </c>
      <c r="L3133">
        <v>2010</v>
      </c>
      <c r="M3133" s="21">
        <v>40553.404016203698</v>
      </c>
      <c r="N3133">
        <v>2011</v>
      </c>
      <c r="Q3133" s="262">
        <v>25000</v>
      </c>
      <c r="R3133" s="262">
        <v>10000</v>
      </c>
      <c r="S3133" t="s">
        <v>114</v>
      </c>
      <c r="T3133" t="s">
        <v>114</v>
      </c>
      <c r="U3133">
        <v>15</v>
      </c>
      <c r="W3133">
        <v>240</v>
      </c>
      <c r="X3133">
        <v>0</v>
      </c>
      <c r="Y3133">
        <v>0</v>
      </c>
      <c r="Z3133">
        <v>0</v>
      </c>
      <c r="AA3133">
        <v>0</v>
      </c>
      <c r="AB3133">
        <v>0</v>
      </c>
      <c r="AC3133">
        <v>0</v>
      </c>
      <c r="AD3133">
        <v>0</v>
      </c>
      <c r="AE3133">
        <v>0</v>
      </c>
      <c r="AF3133">
        <v>0</v>
      </c>
      <c r="AG3133">
        <v>0</v>
      </c>
      <c r="AH3133">
        <v>0</v>
      </c>
      <c r="AI3133">
        <v>0</v>
      </c>
      <c r="AJ3133">
        <v>0</v>
      </c>
      <c r="AK3133">
        <v>0</v>
      </c>
      <c r="AL3133">
        <v>0</v>
      </c>
      <c r="AM3133">
        <v>240</v>
      </c>
      <c r="AN3133">
        <v>0</v>
      </c>
      <c r="AO3133">
        <v>0</v>
      </c>
      <c r="AP3133">
        <v>0</v>
      </c>
      <c r="AQ3133">
        <v>0</v>
      </c>
      <c r="AR3133">
        <v>0</v>
      </c>
      <c r="AS3133">
        <v>0</v>
      </c>
      <c r="AT3133">
        <v>0</v>
      </c>
      <c r="AU3133">
        <f t="shared" si="96"/>
        <v>0</v>
      </c>
      <c r="AV3133">
        <f t="shared" si="97"/>
        <v>240</v>
      </c>
    </row>
    <row r="3134" spans="1:48" x14ac:dyDescent="0.25">
      <c r="A3134" t="s">
        <v>10292</v>
      </c>
      <c r="C3134" t="s">
        <v>10293</v>
      </c>
      <c r="D3134" t="s">
        <v>9656</v>
      </c>
      <c r="E3134" t="s">
        <v>2310</v>
      </c>
      <c r="F3134">
        <v>8</v>
      </c>
      <c r="G3134">
        <v>8.3000000000000007</v>
      </c>
      <c r="H3134" t="s">
        <v>2323</v>
      </c>
      <c r="I3134" s="21">
        <v>40463.487060185202</v>
      </c>
      <c r="J3134">
        <v>2010</v>
      </c>
      <c r="K3134" s="21">
        <v>40463.487060185202</v>
      </c>
      <c r="L3134">
        <v>2010</v>
      </c>
      <c r="M3134" s="21">
        <v>40665.605208333298</v>
      </c>
      <c r="N3134">
        <v>2011</v>
      </c>
      <c r="Q3134" s="262">
        <v>250000</v>
      </c>
      <c r="R3134" s="262">
        <v>148000</v>
      </c>
      <c r="S3134" t="s">
        <v>114</v>
      </c>
      <c r="T3134" t="s">
        <v>114</v>
      </c>
      <c r="U3134">
        <v>8</v>
      </c>
      <c r="W3134">
        <v>1915</v>
      </c>
      <c r="X3134">
        <v>1</v>
      </c>
      <c r="Y3134">
        <v>0</v>
      </c>
      <c r="Z3134">
        <v>0</v>
      </c>
      <c r="AA3134">
        <v>0</v>
      </c>
      <c r="AB3134">
        <v>0</v>
      </c>
      <c r="AC3134">
        <v>960</v>
      </c>
      <c r="AD3134">
        <v>0</v>
      </c>
      <c r="AE3134">
        <v>0</v>
      </c>
      <c r="AF3134">
        <v>955</v>
      </c>
      <c r="AG3134">
        <v>0</v>
      </c>
      <c r="AH3134">
        <v>0</v>
      </c>
      <c r="AI3134">
        <v>0</v>
      </c>
      <c r="AJ3134">
        <v>0</v>
      </c>
      <c r="AK3134">
        <v>0</v>
      </c>
      <c r="AL3134">
        <v>0</v>
      </c>
      <c r="AM3134">
        <v>0</v>
      </c>
      <c r="AN3134">
        <v>0</v>
      </c>
      <c r="AO3134">
        <v>0</v>
      </c>
      <c r="AP3134">
        <v>0</v>
      </c>
      <c r="AQ3134">
        <v>0</v>
      </c>
      <c r="AR3134">
        <v>1</v>
      </c>
      <c r="AS3134">
        <v>0</v>
      </c>
      <c r="AT3134">
        <v>0</v>
      </c>
      <c r="AU3134">
        <f t="shared" si="96"/>
        <v>0</v>
      </c>
      <c r="AV3134">
        <f t="shared" si="97"/>
        <v>0</v>
      </c>
    </row>
    <row r="3135" spans="1:48" x14ac:dyDescent="0.25">
      <c r="A3135" t="s">
        <v>10294</v>
      </c>
      <c r="C3135" t="s">
        <v>10187</v>
      </c>
      <c r="D3135" t="s">
        <v>5205</v>
      </c>
      <c r="E3135" t="s">
        <v>2310</v>
      </c>
      <c r="F3135">
        <v>9</v>
      </c>
      <c r="G3135">
        <v>9.1</v>
      </c>
      <c r="H3135" t="s">
        <v>2323</v>
      </c>
      <c r="I3135" s="21">
        <v>40465.549699074101</v>
      </c>
      <c r="J3135">
        <v>2010</v>
      </c>
      <c r="K3135" s="21">
        <v>40465.549699074101</v>
      </c>
      <c r="L3135">
        <v>2010</v>
      </c>
      <c r="M3135" s="21">
        <v>40815.621296296304</v>
      </c>
      <c r="N3135">
        <v>2011</v>
      </c>
      <c r="Q3135" s="262">
        <v>250000</v>
      </c>
      <c r="R3135" s="262">
        <v>96000</v>
      </c>
      <c r="S3135" t="s">
        <v>114</v>
      </c>
      <c r="T3135" t="s">
        <v>114</v>
      </c>
      <c r="U3135">
        <v>8</v>
      </c>
      <c r="W3135">
        <v>900</v>
      </c>
      <c r="X3135">
        <v>1</v>
      </c>
      <c r="Y3135">
        <v>0</v>
      </c>
      <c r="Z3135">
        <v>0</v>
      </c>
      <c r="AA3135">
        <v>0</v>
      </c>
      <c r="AB3135">
        <v>0</v>
      </c>
      <c r="AC3135">
        <v>0</v>
      </c>
      <c r="AD3135">
        <v>0</v>
      </c>
      <c r="AE3135">
        <v>0</v>
      </c>
      <c r="AF3135">
        <v>900</v>
      </c>
      <c r="AG3135">
        <v>0</v>
      </c>
      <c r="AH3135">
        <v>0</v>
      </c>
      <c r="AI3135">
        <v>0</v>
      </c>
      <c r="AJ3135">
        <v>0</v>
      </c>
      <c r="AK3135">
        <v>0</v>
      </c>
      <c r="AL3135">
        <v>0</v>
      </c>
      <c r="AM3135">
        <v>0</v>
      </c>
      <c r="AN3135">
        <v>0</v>
      </c>
      <c r="AO3135">
        <v>0</v>
      </c>
      <c r="AP3135">
        <v>0</v>
      </c>
      <c r="AQ3135">
        <v>0</v>
      </c>
      <c r="AR3135">
        <v>1</v>
      </c>
      <c r="AS3135">
        <v>0</v>
      </c>
      <c r="AT3135">
        <v>0</v>
      </c>
      <c r="AU3135">
        <f t="shared" si="96"/>
        <v>0</v>
      </c>
      <c r="AV3135">
        <f t="shared" si="97"/>
        <v>0</v>
      </c>
    </row>
    <row r="3136" spans="1:48" x14ac:dyDescent="0.25">
      <c r="A3136" t="s">
        <v>10295</v>
      </c>
      <c r="C3136" t="s">
        <v>10296</v>
      </c>
      <c r="D3136" t="s">
        <v>2387</v>
      </c>
      <c r="E3136" t="s">
        <v>2310</v>
      </c>
      <c r="F3136">
        <v>8</v>
      </c>
      <c r="G3136">
        <v>8.1999999999999993</v>
      </c>
      <c r="H3136" t="s">
        <v>2022</v>
      </c>
      <c r="I3136" s="21">
        <v>40465.603599536997</v>
      </c>
      <c r="J3136">
        <v>2010</v>
      </c>
      <c r="K3136" s="21">
        <v>40465.603599536997</v>
      </c>
      <c r="L3136">
        <v>2010</v>
      </c>
      <c r="P3136" s="21">
        <v>42292.551967592597</v>
      </c>
      <c r="Q3136" s="262">
        <v>73000</v>
      </c>
      <c r="R3136" s="262">
        <v>0</v>
      </c>
      <c r="S3136" t="s">
        <v>114</v>
      </c>
      <c r="T3136" t="s">
        <v>114</v>
      </c>
      <c r="U3136">
        <v>5</v>
      </c>
      <c r="W3136">
        <v>909</v>
      </c>
      <c r="X3136">
        <v>0</v>
      </c>
      <c r="Y3136">
        <v>0</v>
      </c>
      <c r="Z3136">
        <v>0</v>
      </c>
      <c r="AA3136">
        <v>0</v>
      </c>
      <c r="AB3136">
        <v>0</v>
      </c>
      <c r="AC3136">
        <v>909</v>
      </c>
      <c r="AD3136">
        <v>0</v>
      </c>
      <c r="AE3136">
        <v>0</v>
      </c>
      <c r="AF3136">
        <v>0</v>
      </c>
      <c r="AG3136">
        <v>0</v>
      </c>
      <c r="AH3136">
        <v>0</v>
      </c>
      <c r="AI3136">
        <v>0</v>
      </c>
      <c r="AJ3136">
        <v>0</v>
      </c>
      <c r="AK3136">
        <v>0</v>
      </c>
      <c r="AL3136">
        <v>0</v>
      </c>
      <c r="AM3136">
        <v>0</v>
      </c>
      <c r="AN3136">
        <v>0</v>
      </c>
      <c r="AO3136">
        <v>0</v>
      </c>
      <c r="AP3136">
        <v>0</v>
      </c>
      <c r="AQ3136">
        <v>0</v>
      </c>
      <c r="AR3136">
        <v>0</v>
      </c>
      <c r="AS3136">
        <v>0</v>
      </c>
      <c r="AT3136">
        <v>0</v>
      </c>
      <c r="AU3136">
        <f t="shared" si="96"/>
        <v>0</v>
      </c>
      <c r="AV3136">
        <f t="shared" si="97"/>
        <v>0</v>
      </c>
    </row>
    <row r="3137" spans="1:48" x14ac:dyDescent="0.25">
      <c r="A3137" t="s">
        <v>10297</v>
      </c>
      <c r="C3137" t="s">
        <v>6180</v>
      </c>
      <c r="D3137" t="s">
        <v>10298</v>
      </c>
      <c r="E3137" t="s">
        <v>1663</v>
      </c>
      <c r="F3137">
        <v>6</v>
      </c>
      <c r="G3137">
        <v>6.1</v>
      </c>
      <c r="H3137" t="s">
        <v>2017</v>
      </c>
      <c r="I3137" s="21">
        <v>40470</v>
      </c>
      <c r="J3137">
        <v>2010</v>
      </c>
      <c r="K3137" s="21">
        <v>40501</v>
      </c>
      <c r="L3137">
        <v>2010</v>
      </c>
      <c r="M3137" s="21">
        <v>40652</v>
      </c>
      <c r="N3137">
        <v>2011</v>
      </c>
      <c r="Q3137" s="262">
        <v>20000</v>
      </c>
      <c r="S3137" t="s">
        <v>114</v>
      </c>
      <c r="T3137" t="s">
        <v>114</v>
      </c>
      <c r="W3137">
        <v>216</v>
      </c>
      <c r="X3137">
        <v>0</v>
      </c>
      <c r="Y3137">
        <v>0</v>
      </c>
      <c r="Z3137">
        <v>0</v>
      </c>
      <c r="AA3137">
        <v>0</v>
      </c>
      <c r="AB3137">
        <v>0</v>
      </c>
      <c r="AC3137">
        <v>216</v>
      </c>
      <c r="AD3137">
        <v>0</v>
      </c>
      <c r="AE3137">
        <v>0</v>
      </c>
      <c r="AF3137">
        <v>0</v>
      </c>
      <c r="AG3137">
        <v>0</v>
      </c>
      <c r="AH3137">
        <v>0</v>
      </c>
      <c r="AI3137">
        <v>0</v>
      </c>
      <c r="AJ3137">
        <v>0</v>
      </c>
      <c r="AK3137">
        <v>0</v>
      </c>
      <c r="AL3137">
        <v>0</v>
      </c>
      <c r="AM3137">
        <v>0</v>
      </c>
      <c r="AN3137">
        <v>0</v>
      </c>
      <c r="AO3137">
        <v>0</v>
      </c>
      <c r="AP3137">
        <v>0</v>
      </c>
      <c r="AQ3137">
        <v>0</v>
      </c>
      <c r="AR3137">
        <v>0</v>
      </c>
      <c r="AS3137">
        <v>0</v>
      </c>
      <c r="AT3137">
        <v>0</v>
      </c>
      <c r="AU3137">
        <f t="shared" si="96"/>
        <v>0</v>
      </c>
      <c r="AV3137">
        <f t="shared" si="97"/>
        <v>0</v>
      </c>
    </row>
    <row r="3138" spans="1:48" x14ac:dyDescent="0.25">
      <c r="A3138" t="s">
        <v>10299</v>
      </c>
      <c r="C3138" t="s">
        <v>10300</v>
      </c>
      <c r="D3138" t="s">
        <v>6329</v>
      </c>
      <c r="E3138" t="s">
        <v>2310</v>
      </c>
      <c r="F3138">
        <v>9</v>
      </c>
      <c r="G3138">
        <v>9.1999999999999993</v>
      </c>
      <c r="H3138" t="s">
        <v>2022</v>
      </c>
      <c r="I3138" s="21">
        <v>40483.605069444398</v>
      </c>
      <c r="J3138">
        <v>2010</v>
      </c>
      <c r="K3138" s="21">
        <v>40483.605069444398</v>
      </c>
      <c r="L3138">
        <v>2010</v>
      </c>
      <c r="M3138" s="21">
        <v>40666.401041666701</v>
      </c>
      <c r="N3138">
        <v>2011</v>
      </c>
      <c r="Q3138" s="262">
        <v>122000</v>
      </c>
      <c r="R3138" s="262">
        <v>110000</v>
      </c>
      <c r="S3138" t="s">
        <v>114</v>
      </c>
      <c r="T3138" t="s">
        <v>114</v>
      </c>
      <c r="U3138">
        <v>5</v>
      </c>
      <c r="W3138">
        <v>1056</v>
      </c>
      <c r="X3138">
        <v>1</v>
      </c>
      <c r="Y3138">
        <v>0</v>
      </c>
      <c r="Z3138">
        <v>0</v>
      </c>
      <c r="AA3138">
        <v>0</v>
      </c>
      <c r="AB3138">
        <v>0</v>
      </c>
      <c r="AC3138">
        <v>1056</v>
      </c>
      <c r="AD3138">
        <v>0</v>
      </c>
      <c r="AE3138">
        <v>0</v>
      </c>
      <c r="AF3138">
        <v>0</v>
      </c>
      <c r="AG3138">
        <v>0</v>
      </c>
      <c r="AH3138">
        <v>0</v>
      </c>
      <c r="AI3138">
        <v>0</v>
      </c>
      <c r="AJ3138">
        <v>0</v>
      </c>
      <c r="AK3138">
        <v>0</v>
      </c>
      <c r="AL3138">
        <v>0</v>
      </c>
      <c r="AM3138">
        <v>0</v>
      </c>
      <c r="AN3138">
        <v>0</v>
      </c>
      <c r="AO3138">
        <v>1</v>
      </c>
      <c r="AP3138">
        <v>0</v>
      </c>
      <c r="AQ3138">
        <v>0</v>
      </c>
      <c r="AR3138">
        <v>0</v>
      </c>
      <c r="AS3138">
        <v>0</v>
      </c>
      <c r="AT3138">
        <v>0</v>
      </c>
      <c r="AU3138">
        <f t="shared" si="96"/>
        <v>1</v>
      </c>
      <c r="AV3138">
        <f t="shared" si="97"/>
        <v>0</v>
      </c>
    </row>
    <row r="3139" spans="1:48" x14ac:dyDescent="0.25">
      <c r="A3139" t="s">
        <v>10301</v>
      </c>
      <c r="C3139" t="s">
        <v>10302</v>
      </c>
      <c r="D3139" t="s">
        <v>4836</v>
      </c>
      <c r="E3139" t="s">
        <v>2310</v>
      </c>
      <c r="F3139">
        <v>9</v>
      </c>
      <c r="G3139">
        <v>9.1</v>
      </c>
      <c r="H3139" t="s">
        <v>2323</v>
      </c>
      <c r="I3139" s="21">
        <v>40490.578368055598</v>
      </c>
      <c r="J3139">
        <v>2010</v>
      </c>
      <c r="K3139" s="21">
        <v>40490.578368055598</v>
      </c>
      <c r="L3139">
        <v>2010</v>
      </c>
      <c r="M3139" s="21">
        <v>40856.653692129599</v>
      </c>
      <c r="N3139">
        <v>2011</v>
      </c>
      <c r="Q3139" s="262">
        <v>200000</v>
      </c>
      <c r="R3139" s="262">
        <v>122000</v>
      </c>
      <c r="S3139" t="s">
        <v>114</v>
      </c>
      <c r="T3139" t="s">
        <v>114</v>
      </c>
      <c r="U3139">
        <v>8</v>
      </c>
      <c r="W3139">
        <v>1368</v>
      </c>
      <c r="X3139">
        <v>1</v>
      </c>
      <c r="Y3139">
        <v>0</v>
      </c>
      <c r="Z3139">
        <v>0</v>
      </c>
      <c r="AA3139">
        <v>0</v>
      </c>
      <c r="AB3139">
        <v>0</v>
      </c>
      <c r="AC3139">
        <v>373</v>
      </c>
      <c r="AD3139">
        <v>0</v>
      </c>
      <c r="AE3139">
        <v>0</v>
      </c>
      <c r="AF3139">
        <v>995</v>
      </c>
      <c r="AG3139">
        <v>0</v>
      </c>
      <c r="AH3139">
        <v>0</v>
      </c>
      <c r="AI3139">
        <v>0</v>
      </c>
      <c r="AJ3139">
        <v>0</v>
      </c>
      <c r="AK3139">
        <v>0</v>
      </c>
      <c r="AL3139">
        <v>0</v>
      </c>
      <c r="AM3139">
        <v>0</v>
      </c>
      <c r="AN3139">
        <v>0</v>
      </c>
      <c r="AO3139">
        <v>0</v>
      </c>
      <c r="AP3139">
        <v>0</v>
      </c>
      <c r="AQ3139">
        <v>0</v>
      </c>
      <c r="AR3139">
        <v>1</v>
      </c>
      <c r="AS3139">
        <v>0</v>
      </c>
      <c r="AT3139">
        <v>0</v>
      </c>
      <c r="AU3139">
        <f t="shared" si="96"/>
        <v>0</v>
      </c>
      <c r="AV3139">
        <f t="shared" si="97"/>
        <v>0</v>
      </c>
    </row>
    <row r="3140" spans="1:48" x14ac:dyDescent="0.25">
      <c r="A3140" t="s">
        <v>10303</v>
      </c>
      <c r="C3140" t="s">
        <v>10304</v>
      </c>
      <c r="D3140" t="s">
        <v>10110</v>
      </c>
      <c r="E3140" t="s">
        <v>2310</v>
      </c>
      <c r="F3140">
        <v>13</v>
      </c>
      <c r="G3140">
        <v>13.1</v>
      </c>
      <c r="H3140" t="s">
        <v>2327</v>
      </c>
      <c r="I3140" s="21">
        <v>40497.656597222202</v>
      </c>
      <c r="J3140">
        <v>2010</v>
      </c>
      <c r="K3140" s="21">
        <v>40497.656597222202</v>
      </c>
      <c r="L3140">
        <v>2010</v>
      </c>
      <c r="M3140" s="21">
        <v>41143.574560185203</v>
      </c>
      <c r="N3140">
        <v>2012</v>
      </c>
      <c r="Q3140" s="262">
        <v>45000</v>
      </c>
      <c r="R3140" s="262">
        <v>65000</v>
      </c>
      <c r="S3140" t="s">
        <v>114</v>
      </c>
      <c r="T3140" t="s">
        <v>114</v>
      </c>
      <c r="U3140">
        <v>15</v>
      </c>
      <c r="W3140">
        <v>993</v>
      </c>
      <c r="X3140">
        <v>0</v>
      </c>
      <c r="Y3140">
        <v>0</v>
      </c>
      <c r="Z3140">
        <v>0</v>
      </c>
      <c r="AA3140">
        <v>0</v>
      </c>
      <c r="AB3140">
        <v>0</v>
      </c>
      <c r="AC3140">
        <v>0</v>
      </c>
      <c r="AD3140">
        <v>0</v>
      </c>
      <c r="AE3140">
        <v>0</v>
      </c>
      <c r="AF3140">
        <v>0</v>
      </c>
      <c r="AG3140">
        <v>0</v>
      </c>
      <c r="AH3140">
        <v>0</v>
      </c>
      <c r="AI3140">
        <v>0</v>
      </c>
      <c r="AJ3140">
        <v>0</v>
      </c>
      <c r="AK3140">
        <v>0</v>
      </c>
      <c r="AL3140">
        <v>0</v>
      </c>
      <c r="AM3140">
        <v>993</v>
      </c>
      <c r="AN3140">
        <v>0</v>
      </c>
      <c r="AO3140">
        <v>0</v>
      </c>
      <c r="AP3140">
        <v>0</v>
      </c>
      <c r="AQ3140">
        <v>0</v>
      </c>
      <c r="AR3140">
        <v>0</v>
      </c>
      <c r="AS3140">
        <v>0</v>
      </c>
      <c r="AT3140">
        <v>0</v>
      </c>
      <c r="AU3140">
        <f t="shared" si="96"/>
        <v>0</v>
      </c>
      <c r="AV3140">
        <f t="shared" si="97"/>
        <v>993</v>
      </c>
    </row>
    <row r="3141" spans="1:48" x14ac:dyDescent="0.25">
      <c r="A3141" t="s">
        <v>10305</v>
      </c>
      <c r="C3141" t="s">
        <v>10306</v>
      </c>
      <c r="D3141" t="s">
        <v>10307</v>
      </c>
      <c r="E3141" t="s">
        <v>2310</v>
      </c>
      <c r="F3141">
        <v>9</v>
      </c>
      <c r="G3141">
        <v>9.1999999999999993</v>
      </c>
      <c r="H3141" t="s">
        <v>2022</v>
      </c>
      <c r="I3141" s="21">
        <v>40500.600011574097</v>
      </c>
      <c r="J3141">
        <v>2010</v>
      </c>
      <c r="K3141" s="21">
        <v>40500.600011574097</v>
      </c>
      <c r="L3141">
        <v>2010</v>
      </c>
      <c r="M3141" s="21">
        <v>41340.714189814797</v>
      </c>
      <c r="N3141">
        <v>2013</v>
      </c>
      <c r="Q3141" s="262">
        <v>3700000</v>
      </c>
      <c r="R3141" s="262">
        <v>691000</v>
      </c>
      <c r="S3141" t="s">
        <v>114</v>
      </c>
      <c r="T3141" t="s">
        <v>114</v>
      </c>
      <c r="U3141">
        <v>5</v>
      </c>
      <c r="V3141">
        <v>4638</v>
      </c>
      <c r="W3141">
        <v>4672</v>
      </c>
      <c r="X3141">
        <v>0</v>
      </c>
      <c r="Y3141">
        <v>0</v>
      </c>
      <c r="Z3141">
        <v>0</v>
      </c>
      <c r="AA3141">
        <v>0</v>
      </c>
      <c r="AB3141">
        <v>0</v>
      </c>
      <c r="AC3141">
        <v>4672</v>
      </c>
      <c r="AD3141">
        <v>0</v>
      </c>
      <c r="AE3141">
        <v>0</v>
      </c>
      <c r="AF3141">
        <v>0</v>
      </c>
      <c r="AG3141">
        <v>0</v>
      </c>
      <c r="AH3141">
        <v>0</v>
      </c>
      <c r="AI3141">
        <v>0</v>
      </c>
      <c r="AJ3141">
        <v>0</v>
      </c>
      <c r="AK3141">
        <v>0</v>
      </c>
      <c r="AL3141">
        <v>0</v>
      </c>
      <c r="AM3141">
        <v>0</v>
      </c>
      <c r="AN3141">
        <v>0</v>
      </c>
      <c r="AO3141">
        <v>0</v>
      </c>
      <c r="AP3141">
        <v>0</v>
      </c>
      <c r="AQ3141">
        <v>0</v>
      </c>
      <c r="AR3141">
        <v>0</v>
      </c>
      <c r="AS3141">
        <v>0</v>
      </c>
      <c r="AT3141">
        <v>0</v>
      </c>
      <c r="AU3141">
        <f t="shared" si="96"/>
        <v>0</v>
      </c>
      <c r="AV3141">
        <f t="shared" si="97"/>
        <v>0</v>
      </c>
    </row>
    <row r="3142" spans="1:48" x14ac:dyDescent="0.25">
      <c r="A3142" t="s">
        <v>10308</v>
      </c>
      <c r="C3142" t="s">
        <v>10309</v>
      </c>
      <c r="D3142" t="s">
        <v>10310</v>
      </c>
      <c r="E3142" t="s">
        <v>2310</v>
      </c>
      <c r="F3142">
        <v>15</v>
      </c>
      <c r="G3142">
        <v>15.1</v>
      </c>
      <c r="H3142" t="s">
        <v>2022</v>
      </c>
      <c r="I3142" s="21">
        <v>40505.416527777801</v>
      </c>
      <c r="J3142">
        <v>2010</v>
      </c>
      <c r="K3142" s="21">
        <v>40505.416527777801</v>
      </c>
      <c r="L3142">
        <v>2010</v>
      </c>
      <c r="M3142" s="21">
        <v>40757.449421296304</v>
      </c>
      <c r="N3142">
        <v>2011</v>
      </c>
      <c r="Q3142" s="262">
        <v>200000</v>
      </c>
      <c r="R3142" s="262">
        <v>125000</v>
      </c>
      <c r="S3142" t="s">
        <v>114</v>
      </c>
      <c r="T3142" t="s">
        <v>114</v>
      </c>
      <c r="U3142">
        <v>5</v>
      </c>
      <c r="W3142">
        <v>1574</v>
      </c>
      <c r="X3142">
        <v>2</v>
      </c>
      <c r="Y3142">
        <v>0</v>
      </c>
      <c r="Z3142">
        <v>0</v>
      </c>
      <c r="AA3142">
        <v>0</v>
      </c>
      <c r="AB3142">
        <v>0</v>
      </c>
      <c r="AC3142">
        <v>1574</v>
      </c>
      <c r="AD3142">
        <v>0</v>
      </c>
      <c r="AE3142">
        <v>0</v>
      </c>
      <c r="AF3142">
        <v>0</v>
      </c>
      <c r="AG3142">
        <v>0</v>
      </c>
      <c r="AH3142">
        <v>0</v>
      </c>
      <c r="AI3142">
        <v>0</v>
      </c>
      <c r="AJ3142">
        <v>0</v>
      </c>
      <c r="AK3142">
        <v>0</v>
      </c>
      <c r="AL3142">
        <v>0</v>
      </c>
      <c r="AM3142">
        <v>0</v>
      </c>
      <c r="AN3142">
        <v>0</v>
      </c>
      <c r="AO3142">
        <v>2</v>
      </c>
      <c r="AP3142">
        <v>0</v>
      </c>
      <c r="AQ3142">
        <v>0</v>
      </c>
      <c r="AR3142">
        <v>0</v>
      </c>
      <c r="AS3142">
        <v>0</v>
      </c>
      <c r="AT3142">
        <v>0</v>
      </c>
      <c r="AU3142">
        <f t="shared" si="96"/>
        <v>2</v>
      </c>
      <c r="AV3142">
        <f t="shared" si="97"/>
        <v>0</v>
      </c>
    </row>
    <row r="3143" spans="1:48" x14ac:dyDescent="0.25">
      <c r="A3143" t="s">
        <v>10311</v>
      </c>
      <c r="C3143" t="s">
        <v>10312</v>
      </c>
      <c r="D3143" t="s">
        <v>1577</v>
      </c>
      <c r="E3143" t="s">
        <v>2310</v>
      </c>
      <c r="F3143">
        <v>15</v>
      </c>
      <c r="G3143">
        <v>15.4</v>
      </c>
      <c r="H3143" t="s">
        <v>2323</v>
      </c>
      <c r="I3143" s="21">
        <v>40512.6256712963</v>
      </c>
      <c r="J3143">
        <v>2010</v>
      </c>
      <c r="K3143" s="21">
        <v>40512.6256712963</v>
      </c>
      <c r="L3143">
        <v>2010</v>
      </c>
      <c r="M3143" s="21">
        <v>40864.5461574074</v>
      </c>
      <c r="N3143">
        <v>2011</v>
      </c>
      <c r="Q3143" s="262">
        <v>200000</v>
      </c>
      <c r="R3143" s="262">
        <v>74000</v>
      </c>
      <c r="S3143" t="s">
        <v>114</v>
      </c>
      <c r="T3143" t="s">
        <v>114</v>
      </c>
      <c r="U3143">
        <v>5</v>
      </c>
      <c r="V3143">
        <v>400</v>
      </c>
      <c r="W3143">
        <v>527</v>
      </c>
      <c r="X3143">
        <v>0</v>
      </c>
      <c r="Y3143">
        <v>0</v>
      </c>
      <c r="Z3143">
        <v>0</v>
      </c>
      <c r="AA3143">
        <v>0</v>
      </c>
      <c r="AB3143">
        <v>0</v>
      </c>
      <c r="AC3143">
        <v>527</v>
      </c>
      <c r="AD3143">
        <v>0</v>
      </c>
      <c r="AE3143">
        <v>0</v>
      </c>
      <c r="AF3143">
        <v>0</v>
      </c>
      <c r="AG3143">
        <v>0</v>
      </c>
      <c r="AH3143">
        <v>0</v>
      </c>
      <c r="AI3143">
        <v>0</v>
      </c>
      <c r="AJ3143">
        <v>0</v>
      </c>
      <c r="AK3143">
        <v>0</v>
      </c>
      <c r="AL3143">
        <v>0</v>
      </c>
      <c r="AM3143">
        <v>0</v>
      </c>
      <c r="AN3143">
        <v>0</v>
      </c>
      <c r="AO3143">
        <v>0</v>
      </c>
      <c r="AP3143">
        <v>0</v>
      </c>
      <c r="AQ3143">
        <v>0</v>
      </c>
      <c r="AR3143">
        <v>0</v>
      </c>
      <c r="AS3143">
        <v>0</v>
      </c>
      <c r="AT3143">
        <v>0</v>
      </c>
      <c r="AU3143">
        <f t="shared" si="96"/>
        <v>0</v>
      </c>
      <c r="AV3143">
        <f t="shared" si="97"/>
        <v>0</v>
      </c>
    </row>
    <row r="3144" spans="1:48" x14ac:dyDescent="0.25">
      <c r="A3144" t="s">
        <v>10313</v>
      </c>
      <c r="C3144" t="s">
        <v>10314</v>
      </c>
      <c r="D3144" t="s">
        <v>10315</v>
      </c>
      <c r="E3144" t="s">
        <v>2310</v>
      </c>
      <c r="F3144">
        <v>12</v>
      </c>
      <c r="G3144">
        <v>12.3</v>
      </c>
      <c r="H3144" t="s">
        <v>2017</v>
      </c>
      <c r="I3144" s="21">
        <v>40519.656226851897</v>
      </c>
      <c r="J3144">
        <v>2010</v>
      </c>
      <c r="K3144" s="21">
        <v>40519.656226851897</v>
      </c>
      <c r="L3144">
        <v>2010</v>
      </c>
      <c r="M3144" s="21">
        <v>40751.635925925897</v>
      </c>
      <c r="N3144">
        <v>2011</v>
      </c>
      <c r="Q3144" s="262">
        <v>750000</v>
      </c>
      <c r="R3144" s="262">
        <v>194000</v>
      </c>
      <c r="S3144" t="s">
        <v>114</v>
      </c>
      <c r="T3144" t="s">
        <v>114</v>
      </c>
      <c r="U3144">
        <v>5</v>
      </c>
      <c r="V3144">
        <v>1989</v>
      </c>
      <c r="W3144">
        <v>638</v>
      </c>
      <c r="X3144">
        <v>0</v>
      </c>
      <c r="Y3144">
        <v>0</v>
      </c>
      <c r="Z3144">
        <v>0</v>
      </c>
      <c r="AA3144">
        <v>0</v>
      </c>
      <c r="AB3144">
        <v>0</v>
      </c>
      <c r="AC3144">
        <v>638</v>
      </c>
      <c r="AD3144">
        <v>0</v>
      </c>
      <c r="AE3144">
        <v>0</v>
      </c>
      <c r="AF3144">
        <v>0</v>
      </c>
      <c r="AG3144">
        <v>0</v>
      </c>
      <c r="AH3144">
        <v>0</v>
      </c>
      <c r="AI3144">
        <v>0</v>
      </c>
      <c r="AJ3144">
        <v>0</v>
      </c>
      <c r="AK3144">
        <v>0</v>
      </c>
      <c r="AL3144">
        <v>0</v>
      </c>
      <c r="AM3144">
        <v>0</v>
      </c>
      <c r="AN3144">
        <v>0</v>
      </c>
      <c r="AO3144">
        <v>0</v>
      </c>
      <c r="AP3144">
        <v>0</v>
      </c>
      <c r="AQ3144">
        <v>0</v>
      </c>
      <c r="AR3144">
        <v>0</v>
      </c>
      <c r="AS3144">
        <v>0</v>
      </c>
      <c r="AT3144">
        <v>0</v>
      </c>
      <c r="AU3144">
        <f t="shared" si="96"/>
        <v>0</v>
      </c>
      <c r="AV3144">
        <f t="shared" si="97"/>
        <v>0</v>
      </c>
    </row>
    <row r="3145" spans="1:48" x14ac:dyDescent="0.25">
      <c r="A3145" t="s">
        <v>10319</v>
      </c>
      <c r="C3145" t="s">
        <v>10320</v>
      </c>
      <c r="D3145" t="s">
        <v>10321</v>
      </c>
      <c r="E3145" t="s">
        <v>1663</v>
      </c>
      <c r="F3145">
        <v>6</v>
      </c>
      <c r="G3145">
        <v>6.1</v>
      </c>
      <c r="H3145" t="s">
        <v>2017</v>
      </c>
      <c r="I3145" s="21">
        <v>40522</v>
      </c>
      <c r="J3145">
        <v>2010</v>
      </c>
      <c r="K3145" s="21">
        <v>40553</v>
      </c>
      <c r="L3145">
        <v>2011</v>
      </c>
      <c r="M3145" s="21">
        <v>40704</v>
      </c>
      <c r="N3145">
        <v>2011</v>
      </c>
      <c r="Q3145" s="262">
        <v>250000</v>
      </c>
      <c r="S3145" t="s">
        <v>114</v>
      </c>
      <c r="T3145" t="s">
        <v>114</v>
      </c>
      <c r="W3145">
        <v>540</v>
      </c>
      <c r="X3145">
        <v>0</v>
      </c>
      <c r="Y3145">
        <v>0</v>
      </c>
      <c r="Z3145">
        <v>0</v>
      </c>
      <c r="AA3145">
        <v>0</v>
      </c>
      <c r="AB3145">
        <v>0</v>
      </c>
      <c r="AC3145">
        <v>540</v>
      </c>
      <c r="AD3145">
        <v>0</v>
      </c>
      <c r="AE3145">
        <v>0</v>
      </c>
      <c r="AF3145">
        <v>0</v>
      </c>
      <c r="AG3145">
        <v>0</v>
      </c>
      <c r="AH3145">
        <v>0</v>
      </c>
      <c r="AI3145">
        <v>0</v>
      </c>
      <c r="AJ3145">
        <v>0</v>
      </c>
      <c r="AK3145">
        <v>0</v>
      </c>
      <c r="AL3145">
        <v>0</v>
      </c>
      <c r="AM3145">
        <v>0</v>
      </c>
      <c r="AN3145">
        <v>0</v>
      </c>
      <c r="AO3145">
        <v>0</v>
      </c>
      <c r="AP3145">
        <v>0</v>
      </c>
      <c r="AQ3145">
        <v>0</v>
      </c>
      <c r="AR3145">
        <v>0</v>
      </c>
      <c r="AS3145">
        <v>0</v>
      </c>
      <c r="AT3145">
        <v>0</v>
      </c>
      <c r="AU3145">
        <f t="shared" si="96"/>
        <v>0</v>
      </c>
      <c r="AV3145">
        <f t="shared" si="97"/>
        <v>0</v>
      </c>
    </row>
    <row r="3146" spans="1:48" x14ac:dyDescent="0.25">
      <c r="A3146" t="s">
        <v>10316</v>
      </c>
      <c r="C3146" t="s">
        <v>10317</v>
      </c>
      <c r="D3146" t="s">
        <v>10318</v>
      </c>
      <c r="E3146" t="s">
        <v>1663</v>
      </c>
      <c r="F3146">
        <v>2</v>
      </c>
      <c r="G3146">
        <v>2.2999999999999998</v>
      </c>
      <c r="H3146" t="s">
        <v>2327</v>
      </c>
      <c r="I3146" s="21">
        <v>40522</v>
      </c>
      <c r="J3146">
        <v>2010</v>
      </c>
      <c r="K3146" s="21">
        <v>40553</v>
      </c>
      <c r="L3146">
        <v>2011</v>
      </c>
      <c r="M3146" s="21">
        <v>40704</v>
      </c>
      <c r="N3146">
        <v>2011</v>
      </c>
      <c r="Q3146" s="262">
        <v>2850000</v>
      </c>
      <c r="S3146" t="s">
        <v>114</v>
      </c>
      <c r="T3146" t="s">
        <v>114</v>
      </c>
      <c r="W3146">
        <v>4752</v>
      </c>
      <c r="X3146">
        <v>0</v>
      </c>
      <c r="Y3146">
        <v>0</v>
      </c>
      <c r="Z3146">
        <v>0</v>
      </c>
      <c r="AA3146">
        <v>0</v>
      </c>
      <c r="AB3146">
        <v>0</v>
      </c>
      <c r="AC3146">
        <v>0</v>
      </c>
      <c r="AD3146">
        <v>0</v>
      </c>
      <c r="AE3146">
        <v>0</v>
      </c>
      <c r="AF3146">
        <v>0</v>
      </c>
      <c r="AG3146">
        <v>0</v>
      </c>
      <c r="AH3146">
        <v>0</v>
      </c>
      <c r="AI3146">
        <v>0</v>
      </c>
      <c r="AJ3146">
        <v>0</v>
      </c>
      <c r="AK3146">
        <v>0</v>
      </c>
      <c r="AL3146">
        <v>0</v>
      </c>
      <c r="AM3146">
        <v>4752</v>
      </c>
      <c r="AN3146">
        <v>0</v>
      </c>
      <c r="AO3146">
        <v>0</v>
      </c>
      <c r="AP3146">
        <v>0</v>
      </c>
      <c r="AQ3146">
        <v>0</v>
      </c>
      <c r="AR3146">
        <v>0</v>
      </c>
      <c r="AS3146">
        <v>0</v>
      </c>
      <c r="AT3146">
        <v>0</v>
      </c>
      <c r="AU3146">
        <f t="shared" si="96"/>
        <v>0</v>
      </c>
      <c r="AV3146">
        <f t="shared" si="97"/>
        <v>4752</v>
      </c>
    </row>
    <row r="3147" spans="1:48" x14ac:dyDescent="0.25">
      <c r="A3147" t="s">
        <v>10322</v>
      </c>
      <c r="C3147" t="s">
        <v>10323</v>
      </c>
      <c r="D3147" t="s">
        <v>10310</v>
      </c>
      <c r="E3147" t="s">
        <v>2310</v>
      </c>
      <c r="F3147">
        <v>15</v>
      </c>
      <c r="G3147">
        <v>15.1</v>
      </c>
      <c r="H3147" t="s">
        <v>2022</v>
      </c>
      <c r="I3147" s="21">
        <v>40525.4894907407</v>
      </c>
      <c r="J3147">
        <v>2010</v>
      </c>
      <c r="K3147" s="21">
        <v>40525.4894907407</v>
      </c>
      <c r="L3147">
        <v>2010</v>
      </c>
      <c r="M3147" s="21">
        <v>41703.670555555596</v>
      </c>
      <c r="N3147">
        <v>2014</v>
      </c>
      <c r="Q3147" s="262">
        <v>100000</v>
      </c>
      <c r="R3147" s="262">
        <v>23000</v>
      </c>
      <c r="S3147" t="s">
        <v>114</v>
      </c>
      <c r="T3147" t="s">
        <v>114</v>
      </c>
      <c r="U3147">
        <v>5</v>
      </c>
      <c r="W3147">
        <v>576</v>
      </c>
      <c r="X3147">
        <v>0</v>
      </c>
      <c r="Y3147">
        <v>0</v>
      </c>
      <c r="Z3147">
        <v>0</v>
      </c>
      <c r="AA3147">
        <v>0</v>
      </c>
      <c r="AB3147">
        <v>0</v>
      </c>
      <c r="AC3147">
        <v>576</v>
      </c>
      <c r="AD3147">
        <v>0</v>
      </c>
      <c r="AE3147">
        <v>0</v>
      </c>
      <c r="AF3147">
        <v>0</v>
      </c>
      <c r="AG3147">
        <v>0</v>
      </c>
      <c r="AH3147">
        <v>0</v>
      </c>
      <c r="AI3147">
        <v>0</v>
      </c>
      <c r="AJ3147">
        <v>0</v>
      </c>
      <c r="AK3147">
        <v>0</v>
      </c>
      <c r="AL3147">
        <v>0</v>
      </c>
      <c r="AM3147">
        <v>0</v>
      </c>
      <c r="AN3147">
        <v>0</v>
      </c>
      <c r="AO3147">
        <v>0</v>
      </c>
      <c r="AP3147">
        <v>0</v>
      </c>
      <c r="AQ3147">
        <v>0</v>
      </c>
      <c r="AR3147">
        <v>0</v>
      </c>
      <c r="AS3147">
        <v>0</v>
      </c>
      <c r="AT3147">
        <v>0</v>
      </c>
      <c r="AU3147">
        <f t="shared" si="96"/>
        <v>0</v>
      </c>
      <c r="AV3147">
        <f t="shared" si="97"/>
        <v>0</v>
      </c>
    </row>
    <row r="3148" spans="1:48" x14ac:dyDescent="0.25">
      <c r="A3148" t="s">
        <v>10324</v>
      </c>
      <c r="C3148" t="s">
        <v>10309</v>
      </c>
      <c r="D3148" t="s">
        <v>10325</v>
      </c>
      <c r="E3148" t="s">
        <v>2310</v>
      </c>
      <c r="F3148">
        <v>9</v>
      </c>
      <c r="G3148">
        <v>9.1999999999999993</v>
      </c>
      <c r="H3148" t="s">
        <v>2022</v>
      </c>
      <c r="I3148" s="21">
        <v>40533.684166666702</v>
      </c>
      <c r="J3148">
        <v>2010</v>
      </c>
      <c r="K3148" s="21">
        <v>40533.684166666702</v>
      </c>
      <c r="L3148">
        <v>2010</v>
      </c>
      <c r="M3148" s="21">
        <v>41004.447905092602</v>
      </c>
      <c r="N3148">
        <v>2012</v>
      </c>
      <c r="Q3148" s="262">
        <v>350000</v>
      </c>
      <c r="R3148" s="262">
        <v>109000</v>
      </c>
      <c r="S3148" t="s">
        <v>114</v>
      </c>
      <c r="T3148" t="s">
        <v>114</v>
      </c>
      <c r="U3148">
        <v>5</v>
      </c>
      <c r="W3148">
        <v>998</v>
      </c>
      <c r="X3148">
        <v>1</v>
      </c>
      <c r="Y3148">
        <v>0</v>
      </c>
      <c r="Z3148">
        <v>0</v>
      </c>
      <c r="AA3148">
        <v>0</v>
      </c>
      <c r="AB3148">
        <v>0</v>
      </c>
      <c r="AC3148">
        <v>998</v>
      </c>
      <c r="AD3148">
        <v>0</v>
      </c>
      <c r="AE3148">
        <v>0</v>
      </c>
      <c r="AF3148">
        <v>0</v>
      </c>
      <c r="AG3148">
        <v>0</v>
      </c>
      <c r="AH3148">
        <v>0</v>
      </c>
      <c r="AI3148">
        <v>0</v>
      </c>
      <c r="AJ3148">
        <v>0</v>
      </c>
      <c r="AK3148">
        <v>0</v>
      </c>
      <c r="AL3148">
        <v>0</v>
      </c>
      <c r="AM3148">
        <v>0</v>
      </c>
      <c r="AN3148">
        <v>0</v>
      </c>
      <c r="AO3148">
        <v>1</v>
      </c>
      <c r="AP3148">
        <v>0</v>
      </c>
      <c r="AQ3148">
        <v>0</v>
      </c>
      <c r="AR3148">
        <v>0</v>
      </c>
      <c r="AS3148">
        <v>0</v>
      </c>
      <c r="AT3148">
        <v>0</v>
      </c>
      <c r="AU3148">
        <f t="shared" si="96"/>
        <v>1</v>
      </c>
      <c r="AV3148">
        <f t="shared" si="97"/>
        <v>0</v>
      </c>
    </row>
    <row r="3149" spans="1:48" x14ac:dyDescent="0.25">
      <c r="A3149" t="s">
        <v>10326</v>
      </c>
      <c r="C3149" t="s">
        <v>10327</v>
      </c>
      <c r="D3149" t="s">
        <v>10328</v>
      </c>
      <c r="E3149" t="s">
        <v>2310</v>
      </c>
      <c r="F3149">
        <v>8</v>
      </c>
      <c r="G3149">
        <v>8.1</v>
      </c>
      <c r="H3149" t="s">
        <v>2323</v>
      </c>
      <c r="I3149" s="21">
        <v>40568.628576388903</v>
      </c>
      <c r="J3149">
        <v>2011</v>
      </c>
      <c r="K3149" s="21">
        <v>40568.628576388903</v>
      </c>
      <c r="L3149">
        <v>2011</v>
      </c>
      <c r="M3149" s="21">
        <v>42580.4144675926</v>
      </c>
      <c r="N3149">
        <v>2016</v>
      </c>
      <c r="Q3149" s="262">
        <v>1500000</v>
      </c>
      <c r="R3149" s="262">
        <v>371000</v>
      </c>
      <c r="S3149" t="s">
        <v>114</v>
      </c>
      <c r="T3149" t="s">
        <v>114</v>
      </c>
      <c r="U3149">
        <v>5</v>
      </c>
      <c r="V3149">
        <v>1103</v>
      </c>
      <c r="W3149">
        <v>3734</v>
      </c>
      <c r="X3149">
        <v>0</v>
      </c>
      <c r="Y3149">
        <v>0</v>
      </c>
      <c r="Z3149">
        <v>0</v>
      </c>
      <c r="AA3149">
        <v>0</v>
      </c>
      <c r="AB3149">
        <v>0</v>
      </c>
      <c r="AC3149">
        <v>3734</v>
      </c>
      <c r="AD3149">
        <v>0</v>
      </c>
      <c r="AE3149">
        <v>0</v>
      </c>
      <c r="AF3149">
        <v>0</v>
      </c>
      <c r="AG3149">
        <v>0</v>
      </c>
      <c r="AH3149">
        <v>0</v>
      </c>
      <c r="AI3149">
        <v>0</v>
      </c>
      <c r="AJ3149">
        <v>0</v>
      </c>
      <c r="AK3149">
        <v>0</v>
      </c>
      <c r="AL3149">
        <v>0</v>
      </c>
      <c r="AM3149">
        <v>0</v>
      </c>
      <c r="AN3149">
        <v>0</v>
      </c>
      <c r="AO3149">
        <v>0</v>
      </c>
      <c r="AP3149">
        <v>0</v>
      </c>
      <c r="AQ3149">
        <v>0</v>
      </c>
      <c r="AR3149">
        <v>0</v>
      </c>
      <c r="AS3149">
        <v>0</v>
      </c>
      <c r="AT3149">
        <v>0</v>
      </c>
      <c r="AU3149">
        <f t="shared" si="96"/>
        <v>0</v>
      </c>
      <c r="AV3149">
        <f t="shared" si="97"/>
        <v>0</v>
      </c>
    </row>
    <row r="3150" spans="1:48" x14ac:dyDescent="0.25">
      <c r="A3150" t="s">
        <v>10329</v>
      </c>
      <c r="C3150" t="s">
        <v>10330</v>
      </c>
      <c r="D3150" t="s">
        <v>3420</v>
      </c>
      <c r="E3150" t="s">
        <v>2310</v>
      </c>
      <c r="F3150">
        <v>9</v>
      </c>
      <c r="G3150">
        <v>9.4</v>
      </c>
      <c r="H3150" t="s">
        <v>2323</v>
      </c>
      <c r="I3150" s="21">
        <v>40570.5546875</v>
      </c>
      <c r="J3150">
        <v>2011</v>
      </c>
      <c r="K3150" s="21">
        <v>40570.5546875</v>
      </c>
      <c r="L3150">
        <v>2011</v>
      </c>
      <c r="M3150" s="21">
        <v>40716.345833333296</v>
      </c>
      <c r="N3150">
        <v>2011</v>
      </c>
      <c r="Q3150" s="262">
        <v>100000</v>
      </c>
      <c r="R3150" s="262">
        <v>58000</v>
      </c>
      <c r="S3150" t="s">
        <v>114</v>
      </c>
      <c r="T3150" t="s">
        <v>114</v>
      </c>
      <c r="U3150">
        <v>5</v>
      </c>
      <c r="W3150">
        <v>535</v>
      </c>
      <c r="X3150">
        <v>0</v>
      </c>
      <c r="Y3150">
        <v>0</v>
      </c>
      <c r="Z3150">
        <v>0</v>
      </c>
      <c r="AA3150">
        <v>0</v>
      </c>
      <c r="AB3150">
        <v>0</v>
      </c>
      <c r="AC3150">
        <v>535</v>
      </c>
      <c r="AD3150">
        <v>0</v>
      </c>
      <c r="AE3150">
        <v>0</v>
      </c>
      <c r="AF3150">
        <v>0</v>
      </c>
      <c r="AG3150">
        <v>0</v>
      </c>
      <c r="AH3150">
        <v>0</v>
      </c>
      <c r="AI3150">
        <v>0</v>
      </c>
      <c r="AJ3150">
        <v>0</v>
      </c>
      <c r="AK3150">
        <v>0</v>
      </c>
      <c r="AL3150">
        <v>0</v>
      </c>
      <c r="AM3150">
        <v>0</v>
      </c>
      <c r="AN3150">
        <v>0</v>
      </c>
      <c r="AO3150">
        <v>0</v>
      </c>
      <c r="AP3150">
        <v>0</v>
      </c>
      <c r="AQ3150">
        <v>0</v>
      </c>
      <c r="AR3150">
        <v>0</v>
      </c>
      <c r="AS3150">
        <v>0</v>
      </c>
      <c r="AT3150">
        <v>0</v>
      </c>
      <c r="AU3150">
        <f t="shared" si="96"/>
        <v>0</v>
      </c>
      <c r="AV3150">
        <f t="shared" si="97"/>
        <v>0</v>
      </c>
    </row>
    <row r="3151" spans="1:48" x14ac:dyDescent="0.25">
      <c r="A3151" t="s">
        <v>10331</v>
      </c>
      <c r="C3151" t="s">
        <v>10332</v>
      </c>
      <c r="D3151" t="s">
        <v>3577</v>
      </c>
      <c r="E3151" t="s">
        <v>2310</v>
      </c>
      <c r="F3151">
        <v>10</v>
      </c>
      <c r="G3151">
        <v>10.1</v>
      </c>
      <c r="H3151" t="s">
        <v>2323</v>
      </c>
      <c r="I3151" s="21">
        <v>40570.6531944444</v>
      </c>
      <c r="J3151">
        <v>2011</v>
      </c>
      <c r="K3151" s="21">
        <v>40570.6531944444</v>
      </c>
      <c r="L3151">
        <v>2011</v>
      </c>
      <c r="M3151" s="21">
        <v>40809.429768518501</v>
      </c>
      <c r="N3151">
        <v>2011</v>
      </c>
      <c r="Q3151" s="262">
        <v>29000</v>
      </c>
      <c r="R3151" s="262">
        <v>25000</v>
      </c>
      <c r="S3151" t="s">
        <v>114</v>
      </c>
      <c r="T3151" t="s">
        <v>114</v>
      </c>
      <c r="U3151">
        <v>5</v>
      </c>
      <c r="W3151">
        <v>240</v>
      </c>
      <c r="X3151">
        <v>0</v>
      </c>
      <c r="Y3151">
        <v>0</v>
      </c>
      <c r="Z3151">
        <v>0</v>
      </c>
      <c r="AA3151">
        <v>0</v>
      </c>
      <c r="AB3151">
        <v>0</v>
      </c>
      <c r="AC3151">
        <v>240</v>
      </c>
      <c r="AD3151">
        <v>0</v>
      </c>
      <c r="AE3151">
        <v>0</v>
      </c>
      <c r="AF3151">
        <v>0</v>
      </c>
      <c r="AG3151">
        <v>0</v>
      </c>
      <c r="AH3151">
        <v>0</v>
      </c>
      <c r="AI3151">
        <v>0</v>
      </c>
      <c r="AJ3151">
        <v>0</v>
      </c>
      <c r="AK3151">
        <v>0</v>
      </c>
      <c r="AL3151">
        <v>0</v>
      </c>
      <c r="AM3151">
        <v>0</v>
      </c>
      <c r="AN3151">
        <v>0</v>
      </c>
      <c r="AO3151">
        <v>0</v>
      </c>
      <c r="AP3151">
        <v>0</v>
      </c>
      <c r="AQ3151">
        <v>0</v>
      </c>
      <c r="AR3151">
        <v>0</v>
      </c>
      <c r="AS3151">
        <v>0</v>
      </c>
      <c r="AT3151">
        <v>0</v>
      </c>
      <c r="AU3151">
        <f t="shared" si="96"/>
        <v>0</v>
      </c>
      <c r="AV3151">
        <f t="shared" si="97"/>
        <v>0</v>
      </c>
    </row>
    <row r="3152" spans="1:48" x14ac:dyDescent="0.25">
      <c r="A3152" t="s">
        <v>10333</v>
      </c>
      <c r="C3152" t="s">
        <v>10334</v>
      </c>
      <c r="D3152" t="s">
        <v>10335</v>
      </c>
      <c r="E3152" t="s">
        <v>2310</v>
      </c>
      <c r="F3152">
        <v>9</v>
      </c>
      <c r="G3152">
        <v>9.1999999999999993</v>
      </c>
      <c r="H3152" t="s">
        <v>2022</v>
      </c>
      <c r="I3152" s="21">
        <v>40584.501331018502</v>
      </c>
      <c r="J3152">
        <v>2011</v>
      </c>
      <c r="K3152" s="21">
        <v>40584.501331018502</v>
      </c>
      <c r="L3152">
        <v>2011</v>
      </c>
      <c r="M3152" s="21">
        <v>40921.664687500001</v>
      </c>
      <c r="N3152">
        <v>2012</v>
      </c>
      <c r="Q3152" s="262">
        <v>400000</v>
      </c>
      <c r="R3152" s="262">
        <v>307000</v>
      </c>
      <c r="S3152" t="s">
        <v>114</v>
      </c>
      <c r="T3152" t="s">
        <v>114</v>
      </c>
      <c r="U3152">
        <v>5</v>
      </c>
      <c r="W3152">
        <v>2892</v>
      </c>
      <c r="X3152">
        <v>0</v>
      </c>
      <c r="Y3152">
        <v>0</v>
      </c>
      <c r="Z3152">
        <v>0</v>
      </c>
      <c r="AA3152">
        <v>0</v>
      </c>
      <c r="AB3152">
        <v>0</v>
      </c>
      <c r="AC3152">
        <v>2892</v>
      </c>
      <c r="AD3152">
        <v>0</v>
      </c>
      <c r="AE3152">
        <v>0</v>
      </c>
      <c r="AF3152">
        <v>0</v>
      </c>
      <c r="AG3152">
        <v>0</v>
      </c>
      <c r="AH3152">
        <v>0</v>
      </c>
      <c r="AI3152">
        <v>0</v>
      </c>
      <c r="AJ3152">
        <v>0</v>
      </c>
      <c r="AK3152">
        <v>0</v>
      </c>
      <c r="AL3152">
        <v>0</v>
      </c>
      <c r="AM3152">
        <v>0</v>
      </c>
      <c r="AN3152">
        <v>0</v>
      </c>
      <c r="AO3152">
        <v>0</v>
      </c>
      <c r="AP3152">
        <v>0</v>
      </c>
      <c r="AQ3152">
        <v>0</v>
      </c>
      <c r="AR3152">
        <v>0</v>
      </c>
      <c r="AS3152">
        <v>0</v>
      </c>
      <c r="AT3152">
        <v>0</v>
      </c>
      <c r="AU3152">
        <f t="shared" si="96"/>
        <v>0</v>
      </c>
      <c r="AV3152">
        <f t="shared" si="97"/>
        <v>0</v>
      </c>
    </row>
    <row r="3153" spans="1:48" x14ac:dyDescent="0.25">
      <c r="A3153" t="s">
        <v>10336</v>
      </c>
      <c r="C3153" t="s">
        <v>10337</v>
      </c>
      <c r="D3153" t="s">
        <v>10338</v>
      </c>
      <c r="E3153" t="s">
        <v>2310</v>
      </c>
      <c r="F3153">
        <v>8</v>
      </c>
      <c r="G3153">
        <v>8.3000000000000007</v>
      </c>
      <c r="H3153" t="s">
        <v>2323</v>
      </c>
      <c r="I3153" s="21">
        <v>40585.393900463001</v>
      </c>
      <c r="J3153">
        <v>2011</v>
      </c>
      <c r="K3153" s="21">
        <v>40585.393900463001</v>
      </c>
      <c r="L3153">
        <v>2011</v>
      </c>
      <c r="M3153" s="21">
        <v>40911.401192129597</v>
      </c>
      <c r="N3153">
        <v>2012</v>
      </c>
      <c r="Q3153" s="262">
        <v>250000</v>
      </c>
      <c r="R3153" s="262">
        <v>83000</v>
      </c>
      <c r="S3153" t="s">
        <v>114</v>
      </c>
      <c r="T3153" t="s">
        <v>114</v>
      </c>
      <c r="U3153">
        <v>5</v>
      </c>
      <c r="W3153">
        <v>725</v>
      </c>
      <c r="X3153">
        <v>0</v>
      </c>
      <c r="Y3153">
        <v>0</v>
      </c>
      <c r="Z3153">
        <v>0</v>
      </c>
      <c r="AA3153">
        <v>0</v>
      </c>
      <c r="AB3153">
        <v>0</v>
      </c>
      <c r="AC3153">
        <v>725</v>
      </c>
      <c r="AD3153">
        <v>0</v>
      </c>
      <c r="AE3153">
        <v>0</v>
      </c>
      <c r="AF3153">
        <v>0</v>
      </c>
      <c r="AG3153">
        <v>0</v>
      </c>
      <c r="AH3153">
        <v>0</v>
      </c>
      <c r="AI3153">
        <v>0</v>
      </c>
      <c r="AJ3153">
        <v>0</v>
      </c>
      <c r="AK3153">
        <v>0</v>
      </c>
      <c r="AL3153">
        <v>0</v>
      </c>
      <c r="AM3153">
        <v>0</v>
      </c>
      <c r="AN3153">
        <v>0</v>
      </c>
      <c r="AO3153">
        <v>0</v>
      </c>
      <c r="AP3153">
        <v>0</v>
      </c>
      <c r="AQ3153">
        <v>0</v>
      </c>
      <c r="AR3153">
        <v>0</v>
      </c>
      <c r="AS3153">
        <v>0</v>
      </c>
      <c r="AT3153">
        <v>0</v>
      </c>
      <c r="AU3153">
        <f t="shared" si="96"/>
        <v>0</v>
      </c>
      <c r="AV3153">
        <f t="shared" si="97"/>
        <v>0</v>
      </c>
    </row>
    <row r="3154" spans="1:48" x14ac:dyDescent="0.25">
      <c r="A3154" t="s">
        <v>10339</v>
      </c>
      <c r="C3154" t="s">
        <v>10340</v>
      </c>
      <c r="D3154" t="s">
        <v>10341</v>
      </c>
      <c r="E3154" t="s">
        <v>2310</v>
      </c>
      <c r="F3154">
        <v>7</v>
      </c>
      <c r="G3154">
        <v>7.1</v>
      </c>
      <c r="H3154" t="s">
        <v>2017</v>
      </c>
      <c r="I3154" s="21">
        <v>40585.6786111111</v>
      </c>
      <c r="J3154">
        <v>2011</v>
      </c>
      <c r="K3154" s="21">
        <v>40585.6786111111</v>
      </c>
      <c r="L3154">
        <v>2011</v>
      </c>
      <c r="M3154" s="21">
        <v>40773.5414467593</v>
      </c>
      <c r="N3154">
        <v>2011</v>
      </c>
      <c r="Q3154" s="262">
        <v>123000</v>
      </c>
      <c r="R3154" s="262">
        <v>123000</v>
      </c>
      <c r="S3154" t="s">
        <v>114</v>
      </c>
      <c r="T3154" t="s">
        <v>114</v>
      </c>
      <c r="U3154">
        <v>14</v>
      </c>
      <c r="V3154">
        <v>2148</v>
      </c>
      <c r="W3154">
        <v>0</v>
      </c>
      <c r="X3154">
        <v>0</v>
      </c>
      <c r="Y3154">
        <v>0</v>
      </c>
      <c r="Z3154">
        <v>0</v>
      </c>
      <c r="AA3154">
        <v>0</v>
      </c>
      <c r="AB3154">
        <v>0</v>
      </c>
      <c r="AC3154">
        <v>0</v>
      </c>
      <c r="AD3154">
        <v>0</v>
      </c>
      <c r="AE3154">
        <v>0</v>
      </c>
      <c r="AF3154">
        <v>0</v>
      </c>
      <c r="AG3154">
        <v>0</v>
      </c>
      <c r="AH3154">
        <v>0</v>
      </c>
      <c r="AI3154">
        <v>0</v>
      </c>
      <c r="AJ3154">
        <v>0</v>
      </c>
      <c r="AK3154">
        <v>0</v>
      </c>
      <c r="AL3154">
        <v>0</v>
      </c>
      <c r="AM3154">
        <v>0</v>
      </c>
      <c r="AN3154">
        <v>0</v>
      </c>
      <c r="AO3154">
        <v>0</v>
      </c>
      <c r="AP3154">
        <v>0</v>
      </c>
      <c r="AQ3154">
        <v>0</v>
      </c>
      <c r="AR3154">
        <v>0</v>
      </c>
      <c r="AS3154">
        <v>0</v>
      </c>
      <c r="AT3154">
        <v>0</v>
      </c>
      <c r="AU3154">
        <f t="shared" si="96"/>
        <v>0</v>
      </c>
      <c r="AV3154">
        <f t="shared" si="97"/>
        <v>0</v>
      </c>
    </row>
    <row r="3155" spans="1:48" x14ac:dyDescent="0.25">
      <c r="A3155" t="s">
        <v>10342</v>
      </c>
      <c r="C3155" t="s">
        <v>10267</v>
      </c>
      <c r="D3155" t="s">
        <v>10343</v>
      </c>
      <c r="E3155" t="s">
        <v>2310</v>
      </c>
      <c r="F3155">
        <v>9</v>
      </c>
      <c r="G3155">
        <v>9.3000000000000007</v>
      </c>
      <c r="H3155" t="s">
        <v>2323</v>
      </c>
      <c r="I3155" s="21">
        <v>40589.447673611103</v>
      </c>
      <c r="J3155">
        <v>2011</v>
      </c>
      <c r="K3155" s="21">
        <v>40589.447673611103</v>
      </c>
      <c r="L3155">
        <v>2011</v>
      </c>
      <c r="M3155" s="21">
        <v>41004.491527777798</v>
      </c>
      <c r="N3155">
        <v>2012</v>
      </c>
      <c r="Q3155" s="262">
        <v>1400000</v>
      </c>
      <c r="R3155" s="262">
        <v>334000</v>
      </c>
      <c r="S3155" t="s">
        <v>114</v>
      </c>
      <c r="T3155" t="s">
        <v>114</v>
      </c>
      <c r="U3155">
        <v>5</v>
      </c>
      <c r="W3155">
        <v>3664</v>
      </c>
      <c r="X3155">
        <v>1</v>
      </c>
      <c r="Y3155">
        <v>0</v>
      </c>
      <c r="Z3155">
        <v>0</v>
      </c>
      <c r="AA3155">
        <v>0</v>
      </c>
      <c r="AB3155">
        <v>0</v>
      </c>
      <c r="AC3155">
        <v>3664</v>
      </c>
      <c r="AD3155">
        <v>0</v>
      </c>
      <c r="AE3155">
        <v>0</v>
      </c>
      <c r="AF3155">
        <v>0</v>
      </c>
      <c r="AG3155">
        <v>0</v>
      </c>
      <c r="AH3155">
        <v>0</v>
      </c>
      <c r="AI3155">
        <v>0</v>
      </c>
      <c r="AJ3155">
        <v>0</v>
      </c>
      <c r="AK3155">
        <v>0</v>
      </c>
      <c r="AL3155">
        <v>0</v>
      </c>
      <c r="AM3155">
        <v>0</v>
      </c>
      <c r="AN3155">
        <v>0</v>
      </c>
      <c r="AO3155">
        <v>1</v>
      </c>
      <c r="AP3155">
        <v>0</v>
      </c>
      <c r="AQ3155">
        <v>0</v>
      </c>
      <c r="AR3155">
        <v>0</v>
      </c>
      <c r="AS3155">
        <v>0</v>
      </c>
      <c r="AT3155">
        <v>0</v>
      </c>
      <c r="AU3155">
        <f t="shared" si="96"/>
        <v>1</v>
      </c>
      <c r="AV3155">
        <f t="shared" si="97"/>
        <v>0</v>
      </c>
    </row>
    <row r="3156" spans="1:48" x14ac:dyDescent="0.25">
      <c r="A3156" t="s">
        <v>10344</v>
      </c>
      <c r="C3156" t="s">
        <v>10345</v>
      </c>
      <c r="D3156" t="s">
        <v>9565</v>
      </c>
      <c r="E3156" t="s">
        <v>2310</v>
      </c>
      <c r="F3156">
        <v>15</v>
      </c>
      <c r="G3156">
        <v>15.1</v>
      </c>
      <c r="H3156" t="s">
        <v>2022</v>
      </c>
      <c r="I3156" s="21">
        <v>40591.6157060185</v>
      </c>
      <c r="J3156">
        <v>2011</v>
      </c>
      <c r="K3156" s="21">
        <v>40591.6157060185</v>
      </c>
      <c r="L3156">
        <v>2011</v>
      </c>
      <c r="M3156" s="21">
        <v>40745.432453703703</v>
      </c>
      <c r="N3156">
        <v>2011</v>
      </c>
      <c r="Q3156" s="262">
        <v>60000</v>
      </c>
      <c r="R3156" s="262">
        <v>27000</v>
      </c>
      <c r="S3156" t="s">
        <v>114</v>
      </c>
      <c r="T3156" t="s">
        <v>114</v>
      </c>
      <c r="U3156">
        <v>5</v>
      </c>
      <c r="V3156">
        <v>224</v>
      </c>
      <c r="W3156">
        <v>96</v>
      </c>
      <c r="X3156">
        <v>0</v>
      </c>
      <c r="Y3156">
        <v>0</v>
      </c>
      <c r="Z3156">
        <v>0</v>
      </c>
      <c r="AA3156">
        <v>0</v>
      </c>
      <c r="AB3156">
        <v>0</v>
      </c>
      <c r="AC3156">
        <v>96</v>
      </c>
      <c r="AD3156">
        <v>0</v>
      </c>
      <c r="AE3156">
        <v>0</v>
      </c>
      <c r="AF3156">
        <v>0</v>
      </c>
      <c r="AG3156">
        <v>0</v>
      </c>
      <c r="AH3156">
        <v>0</v>
      </c>
      <c r="AI3156">
        <v>0</v>
      </c>
      <c r="AJ3156">
        <v>0</v>
      </c>
      <c r="AK3156">
        <v>0</v>
      </c>
      <c r="AL3156">
        <v>0</v>
      </c>
      <c r="AM3156">
        <v>0</v>
      </c>
      <c r="AN3156">
        <v>0</v>
      </c>
      <c r="AO3156">
        <v>0</v>
      </c>
      <c r="AP3156">
        <v>0</v>
      </c>
      <c r="AQ3156">
        <v>0</v>
      </c>
      <c r="AR3156">
        <v>0</v>
      </c>
      <c r="AS3156">
        <v>0</v>
      </c>
      <c r="AT3156">
        <v>0</v>
      </c>
      <c r="AU3156">
        <f t="shared" si="96"/>
        <v>0</v>
      </c>
      <c r="AV3156">
        <f t="shared" si="97"/>
        <v>0</v>
      </c>
    </row>
    <row r="3157" spans="1:48" x14ac:dyDescent="0.25">
      <c r="A3157" t="s">
        <v>10346</v>
      </c>
      <c r="C3157" t="s">
        <v>10347</v>
      </c>
      <c r="D3157" t="s">
        <v>10348</v>
      </c>
      <c r="E3157" t="s">
        <v>2310</v>
      </c>
      <c r="F3157">
        <v>8</v>
      </c>
      <c r="G3157">
        <v>8.1999999999999993</v>
      </c>
      <c r="H3157" t="s">
        <v>2022</v>
      </c>
      <c r="I3157" s="21">
        <v>40596.444398148102</v>
      </c>
      <c r="J3157">
        <v>2011</v>
      </c>
      <c r="K3157" s="21">
        <v>40596.444398148102</v>
      </c>
      <c r="L3157">
        <v>2011</v>
      </c>
      <c r="M3157" s="21">
        <v>41326.442638888897</v>
      </c>
      <c r="N3157">
        <v>2013</v>
      </c>
      <c r="Q3157" s="262">
        <v>60000</v>
      </c>
      <c r="R3157" s="262">
        <v>40000</v>
      </c>
      <c r="S3157" t="s">
        <v>114</v>
      </c>
      <c r="T3157" t="s">
        <v>114</v>
      </c>
      <c r="U3157">
        <v>5</v>
      </c>
      <c r="W3157">
        <v>1024</v>
      </c>
      <c r="X3157">
        <v>0</v>
      </c>
      <c r="Y3157">
        <v>0</v>
      </c>
      <c r="Z3157">
        <v>0</v>
      </c>
      <c r="AA3157">
        <v>0</v>
      </c>
      <c r="AB3157">
        <v>0</v>
      </c>
      <c r="AC3157">
        <v>1024</v>
      </c>
      <c r="AD3157">
        <v>0</v>
      </c>
      <c r="AE3157">
        <v>0</v>
      </c>
      <c r="AF3157">
        <v>0</v>
      </c>
      <c r="AG3157">
        <v>0</v>
      </c>
      <c r="AH3157">
        <v>0</v>
      </c>
      <c r="AI3157">
        <v>0</v>
      </c>
      <c r="AJ3157">
        <v>0</v>
      </c>
      <c r="AK3157">
        <v>0</v>
      </c>
      <c r="AL3157">
        <v>0</v>
      </c>
      <c r="AM3157">
        <v>0</v>
      </c>
      <c r="AN3157">
        <v>0</v>
      </c>
      <c r="AO3157">
        <v>0</v>
      </c>
      <c r="AP3157">
        <v>0</v>
      </c>
      <c r="AQ3157">
        <v>0</v>
      </c>
      <c r="AR3157">
        <v>0</v>
      </c>
      <c r="AS3157">
        <v>0</v>
      </c>
      <c r="AT3157">
        <v>0</v>
      </c>
      <c r="AU3157">
        <f t="shared" si="96"/>
        <v>0</v>
      </c>
      <c r="AV3157">
        <f t="shared" si="97"/>
        <v>0</v>
      </c>
    </row>
    <row r="3158" spans="1:48" x14ac:dyDescent="0.25">
      <c r="A3158" t="s">
        <v>10349</v>
      </c>
      <c r="C3158" t="s">
        <v>10350</v>
      </c>
      <c r="D3158" t="s">
        <v>5710</v>
      </c>
      <c r="E3158" t="s">
        <v>2310</v>
      </c>
      <c r="F3158">
        <v>10</v>
      </c>
      <c r="G3158">
        <v>10.1</v>
      </c>
      <c r="H3158" t="s">
        <v>2323</v>
      </c>
      <c r="I3158" s="21">
        <v>40597.390636574099</v>
      </c>
      <c r="J3158">
        <v>2011</v>
      </c>
      <c r="K3158" s="21">
        <v>40597.390636574099</v>
      </c>
      <c r="L3158">
        <v>2011</v>
      </c>
      <c r="M3158" s="21">
        <v>40940.610439814802</v>
      </c>
      <c r="N3158">
        <v>2012</v>
      </c>
      <c r="Q3158" s="262">
        <v>50000</v>
      </c>
      <c r="R3158" s="262">
        <v>20000</v>
      </c>
      <c r="S3158" t="s">
        <v>114</v>
      </c>
      <c r="T3158" t="s">
        <v>114</v>
      </c>
      <c r="U3158">
        <v>5</v>
      </c>
      <c r="W3158">
        <v>179</v>
      </c>
      <c r="X3158">
        <v>0</v>
      </c>
      <c r="Y3158">
        <v>0</v>
      </c>
      <c r="Z3158">
        <v>0</v>
      </c>
      <c r="AA3158">
        <v>0</v>
      </c>
      <c r="AB3158">
        <v>0</v>
      </c>
      <c r="AC3158">
        <v>179</v>
      </c>
      <c r="AD3158">
        <v>0</v>
      </c>
      <c r="AE3158">
        <v>0</v>
      </c>
      <c r="AF3158">
        <v>0</v>
      </c>
      <c r="AG3158">
        <v>0</v>
      </c>
      <c r="AH3158">
        <v>0</v>
      </c>
      <c r="AI3158">
        <v>0</v>
      </c>
      <c r="AJ3158">
        <v>0</v>
      </c>
      <c r="AK3158">
        <v>0</v>
      </c>
      <c r="AL3158">
        <v>0</v>
      </c>
      <c r="AM3158">
        <v>0</v>
      </c>
      <c r="AN3158">
        <v>0</v>
      </c>
      <c r="AO3158">
        <v>0</v>
      </c>
      <c r="AP3158">
        <v>0</v>
      </c>
      <c r="AQ3158">
        <v>0</v>
      </c>
      <c r="AR3158">
        <v>0</v>
      </c>
      <c r="AS3158">
        <v>0</v>
      </c>
      <c r="AT3158">
        <v>0</v>
      </c>
      <c r="AU3158">
        <f t="shared" si="96"/>
        <v>0</v>
      </c>
      <c r="AV3158">
        <f t="shared" si="97"/>
        <v>0</v>
      </c>
    </row>
    <row r="3159" spans="1:48" x14ac:dyDescent="0.25">
      <c r="A3159" t="s">
        <v>10351</v>
      </c>
      <c r="C3159" t="s">
        <v>10352</v>
      </c>
      <c r="D3159" t="s">
        <v>2545</v>
      </c>
      <c r="E3159" t="s">
        <v>2310</v>
      </c>
      <c r="F3159">
        <v>9</v>
      </c>
      <c r="G3159">
        <v>9.3000000000000007</v>
      </c>
      <c r="H3159" t="s">
        <v>2323</v>
      </c>
      <c r="I3159" s="21">
        <v>40598.623622685198</v>
      </c>
      <c r="J3159">
        <v>2011</v>
      </c>
      <c r="K3159" s="21">
        <v>40598.623622685198</v>
      </c>
      <c r="L3159">
        <v>2011</v>
      </c>
      <c r="M3159" s="21">
        <v>40820.475636574098</v>
      </c>
      <c r="N3159">
        <v>2011</v>
      </c>
      <c r="Q3159" s="262">
        <v>190000</v>
      </c>
      <c r="R3159" s="262">
        <v>116000</v>
      </c>
      <c r="S3159" t="s">
        <v>114</v>
      </c>
      <c r="T3159" t="s">
        <v>114</v>
      </c>
      <c r="U3159">
        <v>8</v>
      </c>
      <c r="W3159">
        <v>998</v>
      </c>
      <c r="X3159">
        <v>1</v>
      </c>
      <c r="Y3159">
        <v>0</v>
      </c>
      <c r="Z3159">
        <v>0</v>
      </c>
      <c r="AA3159">
        <v>0</v>
      </c>
      <c r="AB3159">
        <v>0</v>
      </c>
      <c r="AC3159">
        <v>0</v>
      </c>
      <c r="AD3159">
        <v>0</v>
      </c>
      <c r="AE3159">
        <v>0</v>
      </c>
      <c r="AF3159">
        <v>998</v>
      </c>
      <c r="AG3159">
        <v>0</v>
      </c>
      <c r="AH3159">
        <v>0</v>
      </c>
      <c r="AI3159">
        <v>0</v>
      </c>
      <c r="AJ3159">
        <v>0</v>
      </c>
      <c r="AK3159">
        <v>0</v>
      </c>
      <c r="AL3159">
        <v>0</v>
      </c>
      <c r="AM3159">
        <v>0</v>
      </c>
      <c r="AN3159">
        <v>0</v>
      </c>
      <c r="AO3159">
        <v>0</v>
      </c>
      <c r="AP3159">
        <v>0</v>
      </c>
      <c r="AQ3159">
        <v>0</v>
      </c>
      <c r="AR3159">
        <v>1</v>
      </c>
      <c r="AS3159">
        <v>0</v>
      </c>
      <c r="AT3159">
        <v>0</v>
      </c>
      <c r="AU3159">
        <f t="shared" si="96"/>
        <v>0</v>
      </c>
      <c r="AV3159">
        <f t="shared" si="97"/>
        <v>0</v>
      </c>
    </row>
    <row r="3160" spans="1:48" x14ac:dyDescent="0.25">
      <c r="A3160" t="s">
        <v>10353</v>
      </c>
      <c r="C3160" t="s">
        <v>10354</v>
      </c>
      <c r="D3160" t="s">
        <v>7753</v>
      </c>
      <c r="E3160" t="s">
        <v>2310</v>
      </c>
      <c r="F3160">
        <v>9</v>
      </c>
      <c r="G3160">
        <v>9.1</v>
      </c>
      <c r="H3160" t="s">
        <v>2323</v>
      </c>
      <c r="I3160" s="21">
        <v>40606.342314814799</v>
      </c>
      <c r="J3160">
        <v>2011</v>
      </c>
      <c r="K3160" s="21">
        <v>40606.342314814799</v>
      </c>
      <c r="L3160">
        <v>2011</v>
      </c>
      <c r="M3160" s="21">
        <v>41058.4936689815</v>
      </c>
      <c r="N3160">
        <v>2012</v>
      </c>
      <c r="Q3160" s="262">
        <v>250000</v>
      </c>
      <c r="R3160" s="262">
        <v>73000</v>
      </c>
      <c r="S3160" t="s">
        <v>114</v>
      </c>
      <c r="T3160" t="s">
        <v>114</v>
      </c>
      <c r="U3160">
        <v>5</v>
      </c>
      <c r="W3160">
        <v>758</v>
      </c>
      <c r="X3160">
        <v>0</v>
      </c>
      <c r="Y3160">
        <v>0</v>
      </c>
      <c r="Z3160">
        <v>0</v>
      </c>
      <c r="AA3160">
        <v>0</v>
      </c>
      <c r="AB3160">
        <v>0</v>
      </c>
      <c r="AC3160">
        <v>758</v>
      </c>
      <c r="AD3160">
        <v>0</v>
      </c>
      <c r="AE3160">
        <v>0</v>
      </c>
      <c r="AF3160">
        <v>0</v>
      </c>
      <c r="AG3160">
        <v>0</v>
      </c>
      <c r="AH3160">
        <v>0</v>
      </c>
      <c r="AI3160">
        <v>0</v>
      </c>
      <c r="AJ3160">
        <v>0</v>
      </c>
      <c r="AK3160">
        <v>0</v>
      </c>
      <c r="AL3160">
        <v>0</v>
      </c>
      <c r="AM3160">
        <v>0</v>
      </c>
      <c r="AN3160">
        <v>0</v>
      </c>
      <c r="AO3160">
        <v>0</v>
      </c>
      <c r="AP3160">
        <v>0</v>
      </c>
      <c r="AQ3160">
        <v>0</v>
      </c>
      <c r="AR3160">
        <v>0</v>
      </c>
      <c r="AS3160">
        <v>0</v>
      </c>
      <c r="AT3160">
        <v>0</v>
      </c>
      <c r="AU3160">
        <f t="shared" si="96"/>
        <v>0</v>
      </c>
      <c r="AV3160">
        <f t="shared" si="97"/>
        <v>0</v>
      </c>
    </row>
    <row r="3161" spans="1:48" x14ac:dyDescent="0.25">
      <c r="A3161" t="s">
        <v>10355</v>
      </c>
      <c r="C3161" t="s">
        <v>10356</v>
      </c>
      <c r="D3161" t="s">
        <v>10357</v>
      </c>
      <c r="E3161" t="s">
        <v>2310</v>
      </c>
      <c r="F3161">
        <v>9</v>
      </c>
      <c r="G3161">
        <v>9.3000000000000007</v>
      </c>
      <c r="H3161" t="s">
        <v>2323</v>
      </c>
      <c r="I3161" s="21">
        <v>40606.619351851798</v>
      </c>
      <c r="J3161">
        <v>2011</v>
      </c>
      <c r="K3161" s="21">
        <v>40606.619351851798</v>
      </c>
      <c r="L3161">
        <v>2011</v>
      </c>
      <c r="M3161" s="21">
        <v>41485.525717592602</v>
      </c>
      <c r="N3161">
        <v>2013</v>
      </c>
      <c r="Q3161" s="262">
        <v>1450000</v>
      </c>
      <c r="R3161" s="262">
        <v>464000</v>
      </c>
      <c r="S3161" t="s">
        <v>114</v>
      </c>
      <c r="T3161" t="s">
        <v>114</v>
      </c>
      <c r="U3161">
        <v>5</v>
      </c>
      <c r="W3161">
        <v>4948</v>
      </c>
      <c r="X3161">
        <v>1</v>
      </c>
      <c r="Y3161">
        <v>0</v>
      </c>
      <c r="Z3161">
        <v>0</v>
      </c>
      <c r="AA3161">
        <v>0</v>
      </c>
      <c r="AB3161">
        <v>0</v>
      </c>
      <c r="AC3161">
        <v>4948</v>
      </c>
      <c r="AD3161">
        <v>0</v>
      </c>
      <c r="AE3161">
        <v>0</v>
      </c>
      <c r="AF3161">
        <v>0</v>
      </c>
      <c r="AG3161">
        <v>0</v>
      </c>
      <c r="AH3161">
        <v>0</v>
      </c>
      <c r="AI3161">
        <v>0</v>
      </c>
      <c r="AJ3161">
        <v>0</v>
      </c>
      <c r="AK3161">
        <v>0</v>
      </c>
      <c r="AL3161">
        <v>0</v>
      </c>
      <c r="AM3161">
        <v>0</v>
      </c>
      <c r="AN3161">
        <v>0</v>
      </c>
      <c r="AO3161">
        <v>1</v>
      </c>
      <c r="AP3161">
        <v>0</v>
      </c>
      <c r="AQ3161">
        <v>0</v>
      </c>
      <c r="AR3161">
        <v>0</v>
      </c>
      <c r="AS3161">
        <v>0</v>
      </c>
      <c r="AT3161">
        <v>0</v>
      </c>
      <c r="AU3161">
        <f t="shared" ref="AU3161:AU3224" si="98">SUM(AN3161:AQ3161,AS3161)</f>
        <v>1</v>
      </c>
      <c r="AV3161">
        <f t="shared" ref="AV3161:AV3224" si="99">SUM(Y3161:AB3161,AH3161:AM3161)</f>
        <v>0</v>
      </c>
    </row>
    <row r="3162" spans="1:48" x14ac:dyDescent="0.25">
      <c r="A3162" t="s">
        <v>10358</v>
      </c>
      <c r="C3162" t="s">
        <v>10359</v>
      </c>
      <c r="D3162" t="s">
        <v>4591</v>
      </c>
      <c r="E3162" t="s">
        <v>2310</v>
      </c>
      <c r="F3162">
        <v>9</v>
      </c>
      <c r="G3162">
        <v>9.1999999999999993</v>
      </c>
      <c r="H3162" t="s">
        <v>2022</v>
      </c>
      <c r="I3162" s="21">
        <v>40617.481446759302</v>
      </c>
      <c r="J3162">
        <v>2011</v>
      </c>
      <c r="M3162" s="21">
        <v>40836.455300925903</v>
      </c>
      <c r="N3162">
        <v>2011</v>
      </c>
      <c r="Q3162" s="262">
        <v>100000</v>
      </c>
      <c r="R3162" s="262">
        <v>0</v>
      </c>
      <c r="S3162" t="s">
        <v>114</v>
      </c>
      <c r="T3162" t="s">
        <v>114</v>
      </c>
      <c r="U3162">
        <v>15</v>
      </c>
      <c r="W3162">
        <v>0</v>
      </c>
      <c r="X3162">
        <v>0</v>
      </c>
      <c r="Y3162">
        <v>0</v>
      </c>
      <c r="Z3162">
        <v>0</v>
      </c>
      <c r="AA3162">
        <v>0</v>
      </c>
      <c r="AB3162">
        <v>0</v>
      </c>
      <c r="AC3162">
        <v>0</v>
      </c>
      <c r="AD3162">
        <v>0</v>
      </c>
      <c r="AE3162">
        <v>0</v>
      </c>
      <c r="AF3162">
        <v>0</v>
      </c>
      <c r="AG3162">
        <v>0</v>
      </c>
      <c r="AH3162">
        <v>0</v>
      </c>
      <c r="AI3162">
        <v>0</v>
      </c>
      <c r="AJ3162">
        <v>0</v>
      </c>
      <c r="AK3162">
        <v>0</v>
      </c>
      <c r="AL3162">
        <v>0</v>
      </c>
      <c r="AM3162">
        <v>0</v>
      </c>
      <c r="AN3162">
        <v>0</v>
      </c>
      <c r="AO3162">
        <v>0</v>
      </c>
      <c r="AP3162">
        <v>0</v>
      </c>
      <c r="AQ3162">
        <v>0</v>
      </c>
      <c r="AR3162">
        <v>0</v>
      </c>
      <c r="AS3162">
        <v>0</v>
      </c>
      <c r="AT3162">
        <v>0</v>
      </c>
      <c r="AU3162">
        <f t="shared" si="98"/>
        <v>0</v>
      </c>
      <c r="AV3162">
        <f t="shared" si="99"/>
        <v>0</v>
      </c>
    </row>
    <row r="3163" spans="1:48" x14ac:dyDescent="0.25">
      <c r="A3163" t="s">
        <v>10360</v>
      </c>
      <c r="C3163" t="s">
        <v>10361</v>
      </c>
      <c r="D3163" t="s">
        <v>10092</v>
      </c>
      <c r="E3163" t="s">
        <v>2310</v>
      </c>
      <c r="F3163">
        <v>9</v>
      </c>
      <c r="G3163">
        <v>9.4</v>
      </c>
      <c r="H3163" t="s">
        <v>2323</v>
      </c>
      <c r="I3163" s="21">
        <v>40618.410601851901</v>
      </c>
      <c r="J3163">
        <v>2011</v>
      </c>
      <c r="K3163" s="21">
        <v>40618.410601851901</v>
      </c>
      <c r="L3163">
        <v>2011</v>
      </c>
      <c r="M3163" s="21">
        <v>40926.366932870398</v>
      </c>
      <c r="N3163">
        <v>2012</v>
      </c>
      <c r="Q3163" s="262">
        <v>400000</v>
      </c>
      <c r="R3163" s="262">
        <v>240000</v>
      </c>
      <c r="S3163" t="s">
        <v>114</v>
      </c>
      <c r="T3163" t="s">
        <v>114</v>
      </c>
      <c r="U3163">
        <v>15</v>
      </c>
      <c r="W3163">
        <v>2973</v>
      </c>
      <c r="X3163">
        <v>0</v>
      </c>
      <c r="Y3163">
        <v>0</v>
      </c>
      <c r="Z3163">
        <v>0</v>
      </c>
      <c r="AA3163">
        <v>0</v>
      </c>
      <c r="AB3163">
        <v>0</v>
      </c>
      <c r="AC3163">
        <v>0</v>
      </c>
      <c r="AD3163">
        <v>0</v>
      </c>
      <c r="AE3163">
        <v>0</v>
      </c>
      <c r="AF3163">
        <v>0</v>
      </c>
      <c r="AG3163">
        <v>0</v>
      </c>
      <c r="AH3163">
        <v>0</v>
      </c>
      <c r="AI3163">
        <v>0</v>
      </c>
      <c r="AJ3163">
        <v>0</v>
      </c>
      <c r="AK3163">
        <v>0</v>
      </c>
      <c r="AL3163">
        <v>0</v>
      </c>
      <c r="AM3163">
        <v>2973</v>
      </c>
      <c r="AN3163">
        <v>0</v>
      </c>
      <c r="AO3163">
        <v>0</v>
      </c>
      <c r="AP3163">
        <v>0</v>
      </c>
      <c r="AQ3163">
        <v>0</v>
      </c>
      <c r="AR3163">
        <v>0</v>
      </c>
      <c r="AS3163">
        <v>0</v>
      </c>
      <c r="AT3163">
        <v>0</v>
      </c>
      <c r="AU3163">
        <f t="shared" si="98"/>
        <v>0</v>
      </c>
      <c r="AV3163">
        <f t="shared" si="99"/>
        <v>2973</v>
      </c>
    </row>
    <row r="3164" spans="1:48" x14ac:dyDescent="0.25">
      <c r="A3164" t="s">
        <v>10362</v>
      </c>
      <c r="C3164" t="s">
        <v>10363</v>
      </c>
      <c r="D3164" t="s">
        <v>10364</v>
      </c>
      <c r="E3164" t="s">
        <v>2310</v>
      </c>
      <c r="F3164">
        <v>8</v>
      </c>
      <c r="G3164">
        <v>8.4</v>
      </c>
      <c r="H3164" t="s">
        <v>2017</v>
      </c>
      <c r="I3164" s="21">
        <v>40619.393240740697</v>
      </c>
      <c r="J3164">
        <v>2011</v>
      </c>
      <c r="K3164" s="21">
        <v>40619.393240740697</v>
      </c>
      <c r="L3164">
        <v>2011</v>
      </c>
      <c r="M3164" s="21">
        <v>40716.394293981502</v>
      </c>
      <c r="N3164">
        <v>2011</v>
      </c>
      <c r="Q3164" s="262">
        <v>30000</v>
      </c>
      <c r="R3164" s="262">
        <v>39000</v>
      </c>
      <c r="S3164" t="s">
        <v>114</v>
      </c>
      <c r="T3164" t="s">
        <v>114</v>
      </c>
      <c r="U3164">
        <v>12</v>
      </c>
      <c r="W3164">
        <v>0</v>
      </c>
      <c r="X3164">
        <v>0</v>
      </c>
      <c r="Y3164">
        <v>0</v>
      </c>
      <c r="Z3164">
        <v>0</v>
      </c>
      <c r="AA3164">
        <v>0</v>
      </c>
      <c r="AB3164">
        <v>0</v>
      </c>
      <c r="AC3164">
        <v>0</v>
      </c>
      <c r="AD3164">
        <v>0</v>
      </c>
      <c r="AE3164">
        <v>0</v>
      </c>
      <c r="AF3164">
        <v>0</v>
      </c>
      <c r="AG3164">
        <v>0</v>
      </c>
      <c r="AH3164">
        <v>0</v>
      </c>
      <c r="AI3164">
        <v>0</v>
      </c>
      <c r="AJ3164">
        <v>0</v>
      </c>
      <c r="AK3164">
        <v>0</v>
      </c>
      <c r="AL3164">
        <v>0</v>
      </c>
      <c r="AM3164">
        <v>0</v>
      </c>
      <c r="AN3164">
        <v>0</v>
      </c>
      <c r="AO3164">
        <v>0</v>
      </c>
      <c r="AP3164">
        <v>0</v>
      </c>
      <c r="AQ3164">
        <v>0</v>
      </c>
      <c r="AR3164">
        <v>0</v>
      </c>
      <c r="AS3164">
        <v>0</v>
      </c>
      <c r="AT3164">
        <v>0</v>
      </c>
      <c r="AU3164">
        <f t="shared" si="98"/>
        <v>0</v>
      </c>
      <c r="AV3164">
        <f t="shared" si="99"/>
        <v>0</v>
      </c>
    </row>
    <row r="3165" spans="1:48" x14ac:dyDescent="0.25">
      <c r="A3165" t="s">
        <v>10365</v>
      </c>
      <c r="C3165" t="s">
        <v>10366</v>
      </c>
      <c r="D3165" t="s">
        <v>3231</v>
      </c>
      <c r="E3165" t="s">
        <v>2310</v>
      </c>
      <c r="F3165">
        <v>7</v>
      </c>
      <c r="G3165">
        <v>7.1</v>
      </c>
      <c r="H3165" t="s">
        <v>2017</v>
      </c>
      <c r="I3165" s="21">
        <v>40623.578055555598</v>
      </c>
      <c r="J3165">
        <v>2011</v>
      </c>
      <c r="K3165" s="21">
        <v>40623.578055555598</v>
      </c>
      <c r="L3165">
        <v>2011</v>
      </c>
      <c r="M3165" s="21">
        <v>40947.564664351798</v>
      </c>
      <c r="N3165">
        <v>2012</v>
      </c>
      <c r="Q3165" s="262">
        <v>1200000</v>
      </c>
      <c r="R3165" s="262">
        <v>799000</v>
      </c>
      <c r="S3165" t="s">
        <v>114</v>
      </c>
      <c r="T3165" t="s">
        <v>114</v>
      </c>
      <c r="U3165">
        <v>14</v>
      </c>
      <c r="W3165">
        <v>11468</v>
      </c>
      <c r="X3165">
        <v>0</v>
      </c>
      <c r="Y3165">
        <v>0</v>
      </c>
      <c r="Z3165">
        <v>0</v>
      </c>
      <c r="AA3165">
        <v>0</v>
      </c>
      <c r="AB3165">
        <v>0</v>
      </c>
      <c r="AC3165">
        <v>0</v>
      </c>
      <c r="AD3165">
        <v>0</v>
      </c>
      <c r="AE3165">
        <v>0</v>
      </c>
      <c r="AF3165">
        <v>0</v>
      </c>
      <c r="AG3165">
        <v>0</v>
      </c>
      <c r="AH3165">
        <v>0</v>
      </c>
      <c r="AI3165">
        <v>0</v>
      </c>
      <c r="AJ3165">
        <v>0</v>
      </c>
      <c r="AK3165">
        <v>0</v>
      </c>
      <c r="AL3165">
        <v>11468</v>
      </c>
      <c r="AM3165">
        <v>0</v>
      </c>
      <c r="AN3165">
        <v>0</v>
      </c>
      <c r="AO3165">
        <v>0</v>
      </c>
      <c r="AP3165">
        <v>0</v>
      </c>
      <c r="AQ3165">
        <v>0</v>
      </c>
      <c r="AR3165">
        <v>0</v>
      </c>
      <c r="AS3165">
        <v>0</v>
      </c>
      <c r="AT3165">
        <v>0</v>
      </c>
      <c r="AU3165">
        <f t="shared" si="98"/>
        <v>0</v>
      </c>
      <c r="AV3165">
        <f t="shared" si="99"/>
        <v>11468</v>
      </c>
    </row>
    <row r="3166" spans="1:48" x14ac:dyDescent="0.25">
      <c r="A3166" t="s">
        <v>10367</v>
      </c>
      <c r="C3166" t="s">
        <v>10368</v>
      </c>
      <c r="D3166" t="s">
        <v>10369</v>
      </c>
      <c r="E3166" t="s">
        <v>2310</v>
      </c>
      <c r="F3166">
        <v>9</v>
      </c>
      <c r="G3166">
        <v>9.3000000000000007</v>
      </c>
      <c r="H3166" t="s">
        <v>2323</v>
      </c>
      <c r="I3166" s="21">
        <v>40624.364768518499</v>
      </c>
      <c r="J3166">
        <v>2011</v>
      </c>
      <c r="K3166" s="21">
        <v>40624.364768518499</v>
      </c>
      <c r="L3166">
        <v>2011</v>
      </c>
      <c r="M3166" s="21">
        <v>41142.567557870403</v>
      </c>
      <c r="N3166">
        <v>2012</v>
      </c>
      <c r="Q3166" s="262">
        <v>1300000</v>
      </c>
      <c r="R3166" s="262">
        <v>293000</v>
      </c>
      <c r="S3166" t="s">
        <v>114</v>
      </c>
      <c r="T3166" t="s">
        <v>114</v>
      </c>
      <c r="U3166">
        <v>5</v>
      </c>
      <c r="W3166">
        <v>4390</v>
      </c>
      <c r="X3166">
        <v>1</v>
      </c>
      <c r="Y3166">
        <v>0</v>
      </c>
      <c r="Z3166">
        <v>0</v>
      </c>
      <c r="AA3166">
        <v>0</v>
      </c>
      <c r="AB3166">
        <v>0</v>
      </c>
      <c r="AC3166">
        <v>4390</v>
      </c>
      <c r="AD3166">
        <v>0</v>
      </c>
      <c r="AE3166">
        <v>0</v>
      </c>
      <c r="AF3166">
        <v>0</v>
      </c>
      <c r="AG3166">
        <v>0</v>
      </c>
      <c r="AH3166">
        <v>0</v>
      </c>
      <c r="AI3166">
        <v>0</v>
      </c>
      <c r="AJ3166">
        <v>0</v>
      </c>
      <c r="AK3166">
        <v>0</v>
      </c>
      <c r="AL3166">
        <v>0</v>
      </c>
      <c r="AM3166">
        <v>0</v>
      </c>
      <c r="AN3166">
        <v>0</v>
      </c>
      <c r="AO3166">
        <v>1</v>
      </c>
      <c r="AP3166">
        <v>0</v>
      </c>
      <c r="AQ3166">
        <v>0</v>
      </c>
      <c r="AR3166">
        <v>0</v>
      </c>
      <c r="AS3166">
        <v>0</v>
      </c>
      <c r="AT3166">
        <v>0</v>
      </c>
      <c r="AU3166">
        <f t="shared" si="98"/>
        <v>1</v>
      </c>
      <c r="AV3166">
        <f t="shared" si="99"/>
        <v>0</v>
      </c>
    </row>
    <row r="3167" spans="1:48" x14ac:dyDescent="0.25">
      <c r="A3167" t="s">
        <v>10370</v>
      </c>
      <c r="C3167" t="s">
        <v>10371</v>
      </c>
      <c r="D3167" t="s">
        <v>10372</v>
      </c>
      <c r="E3167" t="s">
        <v>2310</v>
      </c>
      <c r="F3167">
        <v>12</v>
      </c>
      <c r="G3167">
        <v>12.3</v>
      </c>
      <c r="H3167" t="s">
        <v>2017</v>
      </c>
      <c r="I3167" s="21">
        <v>40624.669224537</v>
      </c>
      <c r="J3167">
        <v>2011</v>
      </c>
      <c r="K3167" s="21">
        <v>40624.669224537</v>
      </c>
      <c r="L3167">
        <v>2011</v>
      </c>
      <c r="M3167" s="21">
        <v>41220.498888888898</v>
      </c>
      <c r="N3167">
        <v>2012</v>
      </c>
      <c r="Q3167" s="262">
        <v>500000</v>
      </c>
      <c r="R3167" s="262">
        <v>440000</v>
      </c>
      <c r="S3167" t="s">
        <v>114</v>
      </c>
      <c r="T3167" t="s">
        <v>114</v>
      </c>
      <c r="U3167">
        <v>5</v>
      </c>
      <c r="W3167">
        <v>4754</v>
      </c>
      <c r="X3167">
        <v>0</v>
      </c>
      <c r="Y3167">
        <v>0</v>
      </c>
      <c r="Z3167">
        <v>0</v>
      </c>
      <c r="AA3167">
        <v>0</v>
      </c>
      <c r="AB3167">
        <v>0</v>
      </c>
      <c r="AC3167">
        <v>4754</v>
      </c>
      <c r="AD3167">
        <v>0</v>
      </c>
      <c r="AE3167">
        <v>0</v>
      </c>
      <c r="AF3167">
        <v>0</v>
      </c>
      <c r="AG3167">
        <v>0</v>
      </c>
      <c r="AH3167">
        <v>0</v>
      </c>
      <c r="AI3167">
        <v>0</v>
      </c>
      <c r="AJ3167">
        <v>0</v>
      </c>
      <c r="AK3167">
        <v>0</v>
      </c>
      <c r="AL3167">
        <v>0</v>
      </c>
      <c r="AM3167">
        <v>0</v>
      </c>
      <c r="AN3167">
        <v>0</v>
      </c>
      <c r="AO3167">
        <v>0</v>
      </c>
      <c r="AP3167">
        <v>0</v>
      </c>
      <c r="AQ3167">
        <v>0</v>
      </c>
      <c r="AR3167">
        <v>0</v>
      </c>
      <c r="AS3167">
        <v>0</v>
      </c>
      <c r="AT3167">
        <v>0</v>
      </c>
      <c r="AU3167">
        <f t="shared" si="98"/>
        <v>0</v>
      </c>
      <c r="AV3167">
        <f t="shared" si="99"/>
        <v>0</v>
      </c>
    </row>
    <row r="3168" spans="1:48" x14ac:dyDescent="0.25">
      <c r="A3168" t="s">
        <v>10373</v>
      </c>
      <c r="C3168" t="s">
        <v>10374</v>
      </c>
      <c r="D3168" t="s">
        <v>10375</v>
      </c>
      <c r="E3168" t="s">
        <v>2310</v>
      </c>
      <c r="F3168">
        <v>15</v>
      </c>
      <c r="G3168">
        <v>15.1</v>
      </c>
      <c r="H3168" t="s">
        <v>2022</v>
      </c>
      <c r="I3168" s="21">
        <v>40625.677951388898</v>
      </c>
      <c r="J3168">
        <v>2011</v>
      </c>
      <c r="K3168" s="21">
        <v>40625.677951388898</v>
      </c>
      <c r="L3168">
        <v>2011</v>
      </c>
      <c r="M3168" s="21">
        <v>40809.348194444399</v>
      </c>
      <c r="N3168">
        <v>2011</v>
      </c>
      <c r="Q3168" s="262">
        <v>118000</v>
      </c>
      <c r="R3168" s="262">
        <v>48000</v>
      </c>
      <c r="S3168" t="s">
        <v>114</v>
      </c>
      <c r="T3168" t="s">
        <v>114</v>
      </c>
      <c r="U3168">
        <v>5</v>
      </c>
      <c r="W3168">
        <v>468</v>
      </c>
      <c r="X3168">
        <v>0</v>
      </c>
      <c r="Y3168">
        <v>0</v>
      </c>
      <c r="Z3168">
        <v>0</v>
      </c>
      <c r="AA3168">
        <v>0</v>
      </c>
      <c r="AB3168">
        <v>0</v>
      </c>
      <c r="AC3168">
        <v>468</v>
      </c>
      <c r="AD3168">
        <v>0</v>
      </c>
      <c r="AE3168">
        <v>0</v>
      </c>
      <c r="AF3168">
        <v>0</v>
      </c>
      <c r="AG3168">
        <v>0</v>
      </c>
      <c r="AH3168">
        <v>0</v>
      </c>
      <c r="AI3168">
        <v>0</v>
      </c>
      <c r="AJ3168">
        <v>0</v>
      </c>
      <c r="AK3168">
        <v>0</v>
      </c>
      <c r="AL3168">
        <v>0</v>
      </c>
      <c r="AM3168">
        <v>0</v>
      </c>
      <c r="AN3168">
        <v>0</v>
      </c>
      <c r="AO3168">
        <v>0</v>
      </c>
      <c r="AP3168">
        <v>0</v>
      </c>
      <c r="AQ3168">
        <v>0</v>
      </c>
      <c r="AR3168">
        <v>0</v>
      </c>
      <c r="AS3168">
        <v>0</v>
      </c>
      <c r="AT3168">
        <v>0</v>
      </c>
      <c r="AU3168">
        <f t="shared" si="98"/>
        <v>0</v>
      </c>
      <c r="AV3168">
        <f t="shared" si="99"/>
        <v>0</v>
      </c>
    </row>
    <row r="3169" spans="1:48" x14ac:dyDescent="0.25">
      <c r="A3169" t="s">
        <v>10376</v>
      </c>
      <c r="C3169" t="s">
        <v>10377</v>
      </c>
      <c r="D3169" t="s">
        <v>4122</v>
      </c>
      <c r="E3169" t="s">
        <v>2310</v>
      </c>
      <c r="F3169">
        <v>9</v>
      </c>
      <c r="G3169">
        <v>9.3000000000000007</v>
      </c>
      <c r="H3169" t="s">
        <v>2323</v>
      </c>
      <c r="I3169" s="21">
        <v>40626.43</v>
      </c>
      <c r="J3169">
        <v>2011</v>
      </c>
      <c r="K3169" s="21">
        <v>40626.43</v>
      </c>
      <c r="L3169">
        <v>2011</v>
      </c>
      <c r="M3169" s="21">
        <v>40738.573414351798</v>
      </c>
      <c r="N3169">
        <v>2011</v>
      </c>
      <c r="Q3169" s="262">
        <v>6000</v>
      </c>
      <c r="R3169" s="262">
        <v>8000</v>
      </c>
      <c r="S3169" t="s">
        <v>114</v>
      </c>
      <c r="T3169" t="s">
        <v>114</v>
      </c>
      <c r="U3169">
        <v>5</v>
      </c>
      <c r="W3169">
        <v>72</v>
      </c>
      <c r="X3169">
        <v>0</v>
      </c>
      <c r="Y3169">
        <v>0</v>
      </c>
      <c r="Z3169">
        <v>0</v>
      </c>
      <c r="AA3169">
        <v>0</v>
      </c>
      <c r="AB3169">
        <v>0</v>
      </c>
      <c r="AC3169">
        <v>72</v>
      </c>
      <c r="AD3169">
        <v>0</v>
      </c>
      <c r="AE3169">
        <v>0</v>
      </c>
      <c r="AF3169">
        <v>0</v>
      </c>
      <c r="AG3169">
        <v>0</v>
      </c>
      <c r="AH3169">
        <v>0</v>
      </c>
      <c r="AI3169">
        <v>0</v>
      </c>
      <c r="AJ3169">
        <v>0</v>
      </c>
      <c r="AK3169">
        <v>0</v>
      </c>
      <c r="AL3169">
        <v>0</v>
      </c>
      <c r="AM3169">
        <v>0</v>
      </c>
      <c r="AN3169">
        <v>0</v>
      </c>
      <c r="AO3169">
        <v>0</v>
      </c>
      <c r="AP3169">
        <v>0</v>
      </c>
      <c r="AQ3169">
        <v>0</v>
      </c>
      <c r="AR3169">
        <v>0</v>
      </c>
      <c r="AS3169">
        <v>0</v>
      </c>
      <c r="AT3169">
        <v>0</v>
      </c>
      <c r="AU3169">
        <f t="shared" si="98"/>
        <v>0</v>
      </c>
      <c r="AV3169">
        <f t="shared" si="99"/>
        <v>0</v>
      </c>
    </row>
    <row r="3170" spans="1:48" x14ac:dyDescent="0.25">
      <c r="A3170" t="s">
        <v>10378</v>
      </c>
      <c r="C3170" t="s">
        <v>10379</v>
      </c>
      <c r="D3170" t="s">
        <v>10380</v>
      </c>
      <c r="E3170" t="s">
        <v>2310</v>
      </c>
      <c r="F3170">
        <v>10</v>
      </c>
      <c r="G3170">
        <v>10.1</v>
      </c>
      <c r="H3170" t="s">
        <v>2323</v>
      </c>
      <c r="I3170" s="21">
        <v>40626.653842592597</v>
      </c>
      <c r="J3170">
        <v>2011</v>
      </c>
      <c r="K3170" s="21">
        <v>40626.653842592597</v>
      </c>
      <c r="L3170">
        <v>2011</v>
      </c>
      <c r="M3170" s="21">
        <v>40865.4054861111</v>
      </c>
      <c r="N3170">
        <v>2011</v>
      </c>
      <c r="Q3170" s="262">
        <v>110000</v>
      </c>
      <c r="R3170" s="262">
        <v>79000</v>
      </c>
      <c r="S3170" t="s">
        <v>114</v>
      </c>
      <c r="T3170" t="s">
        <v>114</v>
      </c>
      <c r="U3170">
        <v>5</v>
      </c>
      <c r="V3170">
        <v>441</v>
      </c>
      <c r="W3170">
        <v>446</v>
      </c>
      <c r="X3170">
        <v>0</v>
      </c>
      <c r="Y3170">
        <v>0</v>
      </c>
      <c r="Z3170">
        <v>0</v>
      </c>
      <c r="AA3170">
        <v>0</v>
      </c>
      <c r="AB3170">
        <v>0</v>
      </c>
      <c r="AC3170">
        <v>446</v>
      </c>
      <c r="AD3170">
        <v>0</v>
      </c>
      <c r="AE3170">
        <v>0</v>
      </c>
      <c r="AF3170">
        <v>0</v>
      </c>
      <c r="AG3170">
        <v>0</v>
      </c>
      <c r="AH3170">
        <v>0</v>
      </c>
      <c r="AI3170">
        <v>0</v>
      </c>
      <c r="AJ3170">
        <v>0</v>
      </c>
      <c r="AK3170">
        <v>0</v>
      </c>
      <c r="AL3170">
        <v>0</v>
      </c>
      <c r="AM3170">
        <v>0</v>
      </c>
      <c r="AN3170">
        <v>0</v>
      </c>
      <c r="AO3170">
        <v>0</v>
      </c>
      <c r="AP3170">
        <v>0</v>
      </c>
      <c r="AQ3170">
        <v>0</v>
      </c>
      <c r="AR3170">
        <v>0</v>
      </c>
      <c r="AS3170">
        <v>0</v>
      </c>
      <c r="AT3170">
        <v>0</v>
      </c>
      <c r="AU3170">
        <f t="shared" si="98"/>
        <v>0</v>
      </c>
      <c r="AV3170">
        <f t="shared" si="99"/>
        <v>0</v>
      </c>
    </row>
    <row r="3171" spans="1:48" x14ac:dyDescent="0.25">
      <c r="A3171" t="s">
        <v>10381</v>
      </c>
      <c r="C3171" t="s">
        <v>10382</v>
      </c>
      <c r="D3171" t="s">
        <v>10383</v>
      </c>
      <c r="E3171" t="s">
        <v>1663</v>
      </c>
      <c r="F3171">
        <v>3</v>
      </c>
      <c r="G3171">
        <v>3.4</v>
      </c>
      <c r="H3171" t="s">
        <v>2017</v>
      </c>
      <c r="I3171" s="21">
        <v>40627</v>
      </c>
      <c r="J3171">
        <v>2011</v>
      </c>
      <c r="K3171" s="21">
        <v>40658</v>
      </c>
      <c r="L3171">
        <v>2011</v>
      </c>
      <c r="M3171" s="21">
        <v>40811</v>
      </c>
      <c r="N3171">
        <v>2011</v>
      </c>
      <c r="Q3171" s="262">
        <v>400000</v>
      </c>
      <c r="S3171" t="s">
        <v>114</v>
      </c>
      <c r="T3171" t="s">
        <v>114</v>
      </c>
      <c r="W3171">
        <v>1807</v>
      </c>
      <c r="X3171">
        <v>1</v>
      </c>
      <c r="Y3171">
        <v>0</v>
      </c>
      <c r="Z3171">
        <v>0</v>
      </c>
      <c r="AA3171">
        <v>0</v>
      </c>
      <c r="AB3171">
        <v>0</v>
      </c>
      <c r="AC3171">
        <v>1807</v>
      </c>
      <c r="AD3171">
        <v>0</v>
      </c>
      <c r="AE3171">
        <v>0</v>
      </c>
      <c r="AF3171">
        <v>0</v>
      </c>
      <c r="AG3171">
        <v>0</v>
      </c>
      <c r="AH3171">
        <v>0</v>
      </c>
      <c r="AI3171">
        <v>0</v>
      </c>
      <c r="AJ3171">
        <v>0</v>
      </c>
      <c r="AK3171">
        <v>0</v>
      </c>
      <c r="AL3171">
        <v>0</v>
      </c>
      <c r="AM3171">
        <v>0</v>
      </c>
      <c r="AN3171">
        <v>0</v>
      </c>
      <c r="AO3171">
        <v>1</v>
      </c>
      <c r="AP3171">
        <v>0</v>
      </c>
      <c r="AQ3171">
        <v>0</v>
      </c>
      <c r="AR3171">
        <v>0</v>
      </c>
      <c r="AS3171">
        <v>0</v>
      </c>
      <c r="AT3171">
        <v>0</v>
      </c>
      <c r="AU3171">
        <f t="shared" si="98"/>
        <v>1</v>
      </c>
      <c r="AV3171">
        <f t="shared" si="99"/>
        <v>0</v>
      </c>
    </row>
    <row r="3172" spans="1:48" x14ac:dyDescent="0.25">
      <c r="A3172" t="s">
        <v>10384</v>
      </c>
      <c r="C3172" t="s">
        <v>10385</v>
      </c>
      <c r="D3172" t="s">
        <v>10386</v>
      </c>
      <c r="E3172" t="s">
        <v>2310</v>
      </c>
      <c r="F3172">
        <v>13</v>
      </c>
      <c r="G3172">
        <v>13.3</v>
      </c>
      <c r="H3172" t="s">
        <v>2017</v>
      </c>
      <c r="I3172" s="21">
        <v>40630.553912037001</v>
      </c>
      <c r="J3172">
        <v>2011</v>
      </c>
      <c r="K3172" s="21">
        <v>40630.553912037001</v>
      </c>
      <c r="L3172">
        <v>2011</v>
      </c>
      <c r="M3172" s="21">
        <v>41166.448773148099</v>
      </c>
      <c r="N3172">
        <v>2012</v>
      </c>
      <c r="Q3172" s="262">
        <v>1750000</v>
      </c>
      <c r="R3172" s="262">
        <v>450000</v>
      </c>
      <c r="S3172" t="s">
        <v>114</v>
      </c>
      <c r="T3172" t="s">
        <v>114</v>
      </c>
      <c r="U3172">
        <v>5</v>
      </c>
      <c r="W3172">
        <v>4706</v>
      </c>
      <c r="X3172">
        <v>1</v>
      </c>
      <c r="Y3172">
        <v>0</v>
      </c>
      <c r="Z3172">
        <v>0</v>
      </c>
      <c r="AA3172">
        <v>0</v>
      </c>
      <c r="AB3172">
        <v>0</v>
      </c>
      <c r="AC3172">
        <v>4706</v>
      </c>
      <c r="AD3172">
        <v>0</v>
      </c>
      <c r="AE3172">
        <v>0</v>
      </c>
      <c r="AF3172">
        <v>0</v>
      </c>
      <c r="AG3172">
        <v>0</v>
      </c>
      <c r="AH3172">
        <v>0</v>
      </c>
      <c r="AI3172">
        <v>0</v>
      </c>
      <c r="AJ3172">
        <v>0</v>
      </c>
      <c r="AK3172">
        <v>0</v>
      </c>
      <c r="AL3172">
        <v>0</v>
      </c>
      <c r="AM3172">
        <v>0</v>
      </c>
      <c r="AN3172">
        <v>0</v>
      </c>
      <c r="AO3172">
        <v>1</v>
      </c>
      <c r="AP3172">
        <v>0</v>
      </c>
      <c r="AQ3172">
        <v>0</v>
      </c>
      <c r="AR3172">
        <v>0</v>
      </c>
      <c r="AS3172">
        <v>0</v>
      </c>
      <c r="AT3172">
        <v>0</v>
      </c>
      <c r="AU3172">
        <f t="shared" si="98"/>
        <v>1</v>
      </c>
      <c r="AV3172">
        <f t="shared" si="99"/>
        <v>0</v>
      </c>
    </row>
    <row r="3173" spans="1:48" x14ac:dyDescent="0.25">
      <c r="A3173" t="s">
        <v>10387</v>
      </c>
      <c r="C3173" t="s">
        <v>10157</v>
      </c>
      <c r="D3173" t="s">
        <v>10386</v>
      </c>
      <c r="E3173" t="s">
        <v>2310</v>
      </c>
      <c r="F3173">
        <v>13</v>
      </c>
      <c r="G3173">
        <v>13.3</v>
      </c>
      <c r="H3173" t="s">
        <v>2017</v>
      </c>
      <c r="I3173" s="21">
        <v>40630.575312499997</v>
      </c>
      <c r="J3173">
        <v>2011</v>
      </c>
      <c r="K3173" s="21">
        <v>40630.575312499997</v>
      </c>
      <c r="L3173">
        <v>2011</v>
      </c>
      <c r="M3173" s="21">
        <v>40982.445</v>
      </c>
      <c r="N3173">
        <v>2012</v>
      </c>
      <c r="Q3173" s="262">
        <v>250000</v>
      </c>
      <c r="R3173" s="262">
        <v>120000</v>
      </c>
      <c r="S3173" t="s">
        <v>114</v>
      </c>
      <c r="T3173" t="s">
        <v>114</v>
      </c>
      <c r="U3173">
        <v>8</v>
      </c>
      <c r="W3173">
        <v>1315</v>
      </c>
      <c r="X3173">
        <v>1</v>
      </c>
      <c r="Y3173">
        <v>0</v>
      </c>
      <c r="Z3173">
        <v>0</v>
      </c>
      <c r="AA3173">
        <v>0</v>
      </c>
      <c r="AB3173">
        <v>0</v>
      </c>
      <c r="AC3173">
        <v>372</v>
      </c>
      <c r="AD3173">
        <v>0</v>
      </c>
      <c r="AE3173">
        <v>0</v>
      </c>
      <c r="AF3173">
        <v>943</v>
      </c>
      <c r="AG3173">
        <v>0</v>
      </c>
      <c r="AH3173">
        <v>0</v>
      </c>
      <c r="AI3173">
        <v>0</v>
      </c>
      <c r="AJ3173">
        <v>0</v>
      </c>
      <c r="AK3173">
        <v>0</v>
      </c>
      <c r="AL3173">
        <v>0</v>
      </c>
      <c r="AM3173">
        <v>0</v>
      </c>
      <c r="AN3173">
        <v>0</v>
      </c>
      <c r="AO3173">
        <v>0</v>
      </c>
      <c r="AP3173">
        <v>0</v>
      </c>
      <c r="AQ3173">
        <v>0</v>
      </c>
      <c r="AR3173">
        <v>1</v>
      </c>
      <c r="AS3173">
        <v>0</v>
      </c>
      <c r="AT3173">
        <v>0</v>
      </c>
      <c r="AU3173">
        <f t="shared" si="98"/>
        <v>0</v>
      </c>
      <c r="AV3173">
        <f t="shared" si="99"/>
        <v>0</v>
      </c>
    </row>
    <row r="3174" spans="1:48" x14ac:dyDescent="0.25">
      <c r="A3174" t="s">
        <v>10388</v>
      </c>
      <c r="C3174" t="s">
        <v>10265</v>
      </c>
      <c r="D3174" t="s">
        <v>10389</v>
      </c>
      <c r="E3174" t="s">
        <v>2310</v>
      </c>
      <c r="F3174">
        <v>8</v>
      </c>
      <c r="G3174">
        <v>8.3000000000000007</v>
      </c>
      <c r="H3174" t="s">
        <v>2323</v>
      </c>
      <c r="I3174" s="21">
        <v>40631.5613310185</v>
      </c>
      <c r="J3174">
        <v>2011</v>
      </c>
      <c r="K3174" s="21">
        <v>42824.372939814799</v>
      </c>
      <c r="L3174">
        <v>2017</v>
      </c>
      <c r="Q3174" s="262">
        <v>125000</v>
      </c>
      <c r="R3174" s="262">
        <v>140000</v>
      </c>
      <c r="S3174" t="s">
        <v>114</v>
      </c>
      <c r="T3174" t="s">
        <v>114</v>
      </c>
      <c r="U3174">
        <v>5</v>
      </c>
      <c r="W3174">
        <v>3608</v>
      </c>
      <c r="X3174">
        <v>0</v>
      </c>
      <c r="Y3174">
        <v>0</v>
      </c>
      <c r="Z3174">
        <v>0</v>
      </c>
      <c r="AA3174">
        <v>0</v>
      </c>
      <c r="AB3174">
        <v>0</v>
      </c>
      <c r="AC3174">
        <v>3608</v>
      </c>
      <c r="AD3174">
        <v>0</v>
      </c>
      <c r="AE3174">
        <v>0</v>
      </c>
      <c r="AF3174">
        <v>0</v>
      </c>
      <c r="AG3174">
        <v>0</v>
      </c>
      <c r="AH3174">
        <v>0</v>
      </c>
      <c r="AI3174">
        <v>0</v>
      </c>
      <c r="AJ3174">
        <v>0</v>
      </c>
      <c r="AK3174">
        <v>0</v>
      </c>
      <c r="AL3174">
        <v>0</v>
      </c>
      <c r="AM3174">
        <v>0</v>
      </c>
      <c r="AN3174">
        <v>0</v>
      </c>
      <c r="AO3174">
        <v>0</v>
      </c>
      <c r="AP3174">
        <v>0</v>
      </c>
      <c r="AQ3174">
        <v>0</v>
      </c>
      <c r="AR3174">
        <v>0</v>
      </c>
      <c r="AS3174">
        <v>0</v>
      </c>
      <c r="AT3174">
        <v>0</v>
      </c>
      <c r="AU3174">
        <f t="shared" si="98"/>
        <v>0</v>
      </c>
      <c r="AV3174">
        <f t="shared" si="99"/>
        <v>0</v>
      </c>
    </row>
    <row r="3175" spans="1:48" x14ac:dyDescent="0.25">
      <c r="A3175" t="s">
        <v>10390</v>
      </c>
      <c r="C3175" t="s">
        <v>7880</v>
      </c>
      <c r="D3175" t="s">
        <v>10391</v>
      </c>
      <c r="E3175" t="s">
        <v>2310</v>
      </c>
      <c r="F3175">
        <v>9</v>
      </c>
      <c r="G3175">
        <v>9.3000000000000007</v>
      </c>
      <c r="H3175" t="s">
        <v>2323</v>
      </c>
      <c r="I3175" s="21">
        <v>40633.6035416667</v>
      </c>
      <c r="J3175">
        <v>2011</v>
      </c>
      <c r="K3175" s="21">
        <v>40633.6035416667</v>
      </c>
      <c r="L3175">
        <v>2011</v>
      </c>
      <c r="M3175" s="21">
        <v>41164.386331018497</v>
      </c>
      <c r="N3175">
        <v>2012</v>
      </c>
      <c r="Q3175" s="262">
        <v>500000</v>
      </c>
      <c r="R3175" s="262">
        <v>138000</v>
      </c>
      <c r="S3175" t="s">
        <v>114</v>
      </c>
      <c r="T3175" t="s">
        <v>114</v>
      </c>
      <c r="U3175">
        <v>5</v>
      </c>
      <c r="W3175">
        <v>3545</v>
      </c>
      <c r="X3175">
        <v>0</v>
      </c>
      <c r="Y3175">
        <v>0</v>
      </c>
      <c r="Z3175">
        <v>0</v>
      </c>
      <c r="AA3175">
        <v>0</v>
      </c>
      <c r="AB3175">
        <v>0</v>
      </c>
      <c r="AC3175">
        <v>3545</v>
      </c>
      <c r="AD3175">
        <v>0</v>
      </c>
      <c r="AE3175">
        <v>0</v>
      </c>
      <c r="AF3175">
        <v>0</v>
      </c>
      <c r="AG3175">
        <v>0</v>
      </c>
      <c r="AH3175">
        <v>0</v>
      </c>
      <c r="AI3175">
        <v>0</v>
      </c>
      <c r="AJ3175">
        <v>0</v>
      </c>
      <c r="AK3175">
        <v>0</v>
      </c>
      <c r="AL3175">
        <v>0</v>
      </c>
      <c r="AM3175">
        <v>0</v>
      </c>
      <c r="AN3175">
        <v>0</v>
      </c>
      <c r="AO3175">
        <v>0</v>
      </c>
      <c r="AP3175">
        <v>0</v>
      </c>
      <c r="AQ3175">
        <v>0</v>
      </c>
      <c r="AR3175">
        <v>0</v>
      </c>
      <c r="AS3175">
        <v>0</v>
      </c>
      <c r="AT3175">
        <v>0</v>
      </c>
      <c r="AU3175">
        <f t="shared" si="98"/>
        <v>0</v>
      </c>
      <c r="AV3175">
        <f t="shared" si="99"/>
        <v>0</v>
      </c>
    </row>
    <row r="3176" spans="1:48" x14ac:dyDescent="0.25">
      <c r="A3176" t="s">
        <v>10392</v>
      </c>
      <c r="C3176" t="s">
        <v>10260</v>
      </c>
      <c r="D3176" t="s">
        <v>10393</v>
      </c>
      <c r="E3176" t="s">
        <v>2310</v>
      </c>
      <c r="F3176">
        <v>15</v>
      </c>
      <c r="G3176">
        <v>15.3</v>
      </c>
      <c r="H3176" t="s">
        <v>2022</v>
      </c>
      <c r="I3176" s="21">
        <v>40640.641863425903</v>
      </c>
      <c r="J3176">
        <v>2011</v>
      </c>
      <c r="K3176" s="21">
        <v>40640.641863425903</v>
      </c>
      <c r="L3176">
        <v>2011</v>
      </c>
      <c r="M3176" s="21">
        <v>40864.567546296297</v>
      </c>
      <c r="N3176">
        <v>2011</v>
      </c>
      <c r="Q3176" s="262">
        <v>125000</v>
      </c>
      <c r="R3176" s="262">
        <v>129000</v>
      </c>
      <c r="S3176" t="s">
        <v>114</v>
      </c>
      <c r="T3176" t="s">
        <v>114</v>
      </c>
      <c r="U3176">
        <v>8</v>
      </c>
      <c r="W3176">
        <v>620</v>
      </c>
      <c r="X3176">
        <v>1</v>
      </c>
      <c r="Y3176">
        <v>0</v>
      </c>
      <c r="Z3176">
        <v>0</v>
      </c>
      <c r="AA3176">
        <v>0</v>
      </c>
      <c r="AB3176">
        <v>0</v>
      </c>
      <c r="AC3176">
        <v>0</v>
      </c>
      <c r="AD3176">
        <v>0</v>
      </c>
      <c r="AE3176">
        <v>0</v>
      </c>
      <c r="AF3176">
        <v>620</v>
      </c>
      <c r="AG3176">
        <v>0</v>
      </c>
      <c r="AH3176">
        <v>0</v>
      </c>
      <c r="AI3176">
        <v>0</v>
      </c>
      <c r="AJ3176">
        <v>0</v>
      </c>
      <c r="AK3176">
        <v>0</v>
      </c>
      <c r="AL3176">
        <v>0</v>
      </c>
      <c r="AM3176">
        <v>0</v>
      </c>
      <c r="AN3176">
        <v>0</v>
      </c>
      <c r="AO3176">
        <v>0</v>
      </c>
      <c r="AP3176">
        <v>0</v>
      </c>
      <c r="AQ3176">
        <v>0</v>
      </c>
      <c r="AR3176">
        <v>1</v>
      </c>
      <c r="AS3176">
        <v>0</v>
      </c>
      <c r="AT3176">
        <v>0</v>
      </c>
      <c r="AU3176">
        <f t="shared" si="98"/>
        <v>0</v>
      </c>
      <c r="AV3176">
        <f t="shared" si="99"/>
        <v>0</v>
      </c>
    </row>
    <row r="3177" spans="1:48" x14ac:dyDescent="0.25">
      <c r="A3177" t="s">
        <v>10394</v>
      </c>
      <c r="C3177" t="s">
        <v>10395</v>
      </c>
      <c r="D3177" t="s">
        <v>10396</v>
      </c>
      <c r="E3177" t="s">
        <v>1663</v>
      </c>
      <c r="F3177">
        <v>4</v>
      </c>
      <c r="G3177">
        <v>4.0999999999999996</v>
      </c>
      <c r="H3177" t="s">
        <v>2327</v>
      </c>
      <c r="I3177" s="21">
        <v>40641</v>
      </c>
      <c r="J3177">
        <v>2011</v>
      </c>
      <c r="K3177" s="21">
        <v>40671</v>
      </c>
      <c r="L3177">
        <v>2011</v>
      </c>
      <c r="M3177" s="21">
        <v>40824</v>
      </c>
      <c r="N3177">
        <v>2011</v>
      </c>
      <c r="Q3177" s="262">
        <v>15000</v>
      </c>
      <c r="S3177" t="s">
        <v>114</v>
      </c>
      <c r="T3177" t="s">
        <v>114</v>
      </c>
      <c r="W3177">
        <v>300</v>
      </c>
      <c r="X3177">
        <v>0</v>
      </c>
      <c r="Y3177">
        <v>0</v>
      </c>
      <c r="Z3177">
        <v>0</v>
      </c>
      <c r="AA3177">
        <v>0</v>
      </c>
      <c r="AB3177">
        <v>0</v>
      </c>
      <c r="AC3177">
        <v>0</v>
      </c>
      <c r="AD3177">
        <v>0</v>
      </c>
      <c r="AE3177">
        <v>0</v>
      </c>
      <c r="AF3177">
        <v>0</v>
      </c>
      <c r="AG3177">
        <v>0</v>
      </c>
      <c r="AH3177">
        <v>300</v>
      </c>
      <c r="AI3177">
        <v>0</v>
      </c>
      <c r="AJ3177">
        <v>0</v>
      </c>
      <c r="AK3177">
        <v>0</v>
      </c>
      <c r="AL3177">
        <v>0</v>
      </c>
      <c r="AM3177">
        <v>0</v>
      </c>
      <c r="AN3177">
        <v>0</v>
      </c>
      <c r="AO3177">
        <v>0</v>
      </c>
      <c r="AP3177">
        <v>0</v>
      </c>
      <c r="AQ3177">
        <v>0</v>
      </c>
      <c r="AR3177">
        <v>0</v>
      </c>
      <c r="AS3177">
        <v>0</v>
      </c>
      <c r="AT3177">
        <v>0</v>
      </c>
      <c r="AU3177">
        <f t="shared" si="98"/>
        <v>0</v>
      </c>
      <c r="AV3177">
        <f t="shared" si="99"/>
        <v>300</v>
      </c>
    </row>
    <row r="3178" spans="1:48" x14ac:dyDescent="0.25">
      <c r="A3178" t="s">
        <v>10397</v>
      </c>
      <c r="C3178" t="s">
        <v>10398</v>
      </c>
      <c r="D3178" t="s">
        <v>10399</v>
      </c>
      <c r="E3178" t="s">
        <v>1663</v>
      </c>
      <c r="F3178">
        <v>4</v>
      </c>
      <c r="G3178">
        <v>4.0999999999999996</v>
      </c>
      <c r="H3178" t="s">
        <v>2327</v>
      </c>
      <c r="I3178" s="21">
        <v>40641</v>
      </c>
      <c r="J3178">
        <v>2011</v>
      </c>
      <c r="K3178" s="21">
        <v>40671</v>
      </c>
      <c r="L3178">
        <v>2011</v>
      </c>
      <c r="M3178" s="21">
        <v>40824</v>
      </c>
      <c r="N3178">
        <v>2011</v>
      </c>
      <c r="Q3178" s="262">
        <v>30000</v>
      </c>
      <c r="S3178" t="s">
        <v>114</v>
      </c>
      <c r="T3178" t="s">
        <v>114</v>
      </c>
      <c r="W3178">
        <v>980</v>
      </c>
      <c r="X3178">
        <v>0</v>
      </c>
      <c r="Y3178">
        <v>0</v>
      </c>
      <c r="Z3178">
        <v>0</v>
      </c>
      <c r="AA3178">
        <v>0</v>
      </c>
      <c r="AB3178">
        <v>0</v>
      </c>
      <c r="AC3178">
        <v>0</v>
      </c>
      <c r="AD3178">
        <v>0</v>
      </c>
      <c r="AE3178">
        <v>0</v>
      </c>
      <c r="AF3178">
        <v>0</v>
      </c>
      <c r="AG3178">
        <v>0</v>
      </c>
      <c r="AH3178">
        <v>980</v>
      </c>
      <c r="AI3178">
        <v>0</v>
      </c>
      <c r="AJ3178">
        <v>0</v>
      </c>
      <c r="AK3178">
        <v>0</v>
      </c>
      <c r="AL3178">
        <v>0</v>
      </c>
      <c r="AM3178">
        <v>0</v>
      </c>
      <c r="AN3178">
        <v>0</v>
      </c>
      <c r="AO3178">
        <v>0</v>
      </c>
      <c r="AP3178">
        <v>0</v>
      </c>
      <c r="AQ3178">
        <v>0</v>
      </c>
      <c r="AR3178">
        <v>0</v>
      </c>
      <c r="AS3178">
        <v>0</v>
      </c>
      <c r="AT3178">
        <v>0</v>
      </c>
      <c r="AU3178">
        <f t="shared" si="98"/>
        <v>0</v>
      </c>
      <c r="AV3178">
        <f t="shared" si="99"/>
        <v>980</v>
      </c>
    </row>
    <row r="3179" spans="1:48" x14ac:dyDescent="0.25">
      <c r="A3179" t="s">
        <v>10400</v>
      </c>
      <c r="C3179" t="s">
        <v>10401</v>
      </c>
      <c r="D3179" t="s">
        <v>10402</v>
      </c>
      <c r="E3179" t="s">
        <v>1663</v>
      </c>
      <c r="F3179">
        <v>3</v>
      </c>
      <c r="G3179">
        <v>3.1</v>
      </c>
      <c r="H3179" t="s">
        <v>2017</v>
      </c>
      <c r="I3179" s="21">
        <v>40644</v>
      </c>
      <c r="J3179">
        <v>2011</v>
      </c>
      <c r="K3179" s="21">
        <v>40674</v>
      </c>
      <c r="L3179">
        <v>2011</v>
      </c>
      <c r="M3179" s="21">
        <v>40827</v>
      </c>
      <c r="N3179">
        <v>2011</v>
      </c>
      <c r="Q3179" s="262">
        <v>160000</v>
      </c>
      <c r="S3179" t="s">
        <v>114</v>
      </c>
      <c r="T3179" t="s">
        <v>114</v>
      </c>
      <c r="W3179">
        <v>1470</v>
      </c>
      <c r="X3179">
        <v>1</v>
      </c>
      <c r="Y3179">
        <v>0</v>
      </c>
      <c r="Z3179">
        <v>0</v>
      </c>
      <c r="AA3179">
        <v>0</v>
      </c>
      <c r="AB3179">
        <v>0</v>
      </c>
      <c r="AC3179">
        <v>0</v>
      </c>
      <c r="AD3179">
        <v>1470</v>
      </c>
      <c r="AE3179">
        <v>0</v>
      </c>
      <c r="AF3179">
        <v>0</v>
      </c>
      <c r="AG3179">
        <v>0</v>
      </c>
      <c r="AH3179">
        <v>0</v>
      </c>
      <c r="AI3179">
        <v>0</v>
      </c>
      <c r="AJ3179">
        <v>0</v>
      </c>
      <c r="AK3179">
        <v>0</v>
      </c>
      <c r="AL3179">
        <v>0</v>
      </c>
      <c r="AM3179">
        <v>0</v>
      </c>
      <c r="AN3179">
        <v>0</v>
      </c>
      <c r="AO3179">
        <v>0</v>
      </c>
      <c r="AP3179">
        <v>1</v>
      </c>
      <c r="AQ3179">
        <v>0</v>
      </c>
      <c r="AR3179">
        <v>0</v>
      </c>
      <c r="AS3179">
        <v>0</v>
      </c>
      <c r="AT3179">
        <v>0</v>
      </c>
      <c r="AU3179">
        <f t="shared" si="98"/>
        <v>1</v>
      </c>
      <c r="AV3179">
        <f t="shared" si="99"/>
        <v>0</v>
      </c>
    </row>
    <row r="3180" spans="1:48" x14ac:dyDescent="0.25">
      <c r="A3180" t="s">
        <v>10403</v>
      </c>
      <c r="C3180" t="s">
        <v>10404</v>
      </c>
      <c r="D3180" t="s">
        <v>10405</v>
      </c>
      <c r="E3180" t="s">
        <v>1663</v>
      </c>
      <c r="F3180">
        <v>3</v>
      </c>
      <c r="G3180">
        <v>3.1</v>
      </c>
      <c r="H3180" t="s">
        <v>2017</v>
      </c>
      <c r="I3180" s="21">
        <v>40644</v>
      </c>
      <c r="J3180">
        <v>2011</v>
      </c>
      <c r="K3180" s="21">
        <v>40674</v>
      </c>
      <c r="L3180">
        <v>2011</v>
      </c>
      <c r="M3180" s="21">
        <v>40827</v>
      </c>
      <c r="N3180">
        <v>2011</v>
      </c>
      <c r="Q3180" s="262">
        <v>160000</v>
      </c>
      <c r="S3180" t="s">
        <v>114</v>
      </c>
      <c r="T3180" t="s">
        <v>114</v>
      </c>
      <c r="W3180">
        <v>1470</v>
      </c>
      <c r="X3180">
        <v>1</v>
      </c>
      <c r="Y3180">
        <v>0</v>
      </c>
      <c r="Z3180">
        <v>0</v>
      </c>
      <c r="AA3180">
        <v>0</v>
      </c>
      <c r="AB3180">
        <v>0</v>
      </c>
      <c r="AC3180">
        <v>0</v>
      </c>
      <c r="AD3180">
        <v>1470</v>
      </c>
      <c r="AE3180">
        <v>0</v>
      </c>
      <c r="AF3180">
        <v>0</v>
      </c>
      <c r="AG3180">
        <v>0</v>
      </c>
      <c r="AH3180">
        <v>0</v>
      </c>
      <c r="AI3180">
        <v>0</v>
      </c>
      <c r="AJ3180">
        <v>0</v>
      </c>
      <c r="AK3180">
        <v>0</v>
      </c>
      <c r="AL3180">
        <v>0</v>
      </c>
      <c r="AM3180">
        <v>0</v>
      </c>
      <c r="AN3180">
        <v>0</v>
      </c>
      <c r="AO3180">
        <v>0</v>
      </c>
      <c r="AP3180">
        <v>1</v>
      </c>
      <c r="AQ3180">
        <v>0</v>
      </c>
      <c r="AR3180">
        <v>0</v>
      </c>
      <c r="AS3180">
        <v>0</v>
      </c>
      <c r="AT3180">
        <v>0</v>
      </c>
      <c r="AU3180">
        <f t="shared" si="98"/>
        <v>1</v>
      </c>
      <c r="AV3180">
        <f t="shared" si="99"/>
        <v>0</v>
      </c>
    </row>
    <row r="3181" spans="1:48" x14ac:dyDescent="0.25">
      <c r="A3181" t="s">
        <v>10406</v>
      </c>
      <c r="C3181" t="s">
        <v>10407</v>
      </c>
      <c r="D3181" t="s">
        <v>10408</v>
      </c>
      <c r="E3181" t="s">
        <v>1663</v>
      </c>
      <c r="F3181">
        <v>3</v>
      </c>
      <c r="G3181">
        <v>3.1</v>
      </c>
      <c r="H3181" t="s">
        <v>2017</v>
      </c>
      <c r="I3181" s="21">
        <v>40644</v>
      </c>
      <c r="J3181">
        <v>2011</v>
      </c>
      <c r="K3181" s="21">
        <v>40674</v>
      </c>
      <c r="L3181">
        <v>2011</v>
      </c>
      <c r="M3181" s="21">
        <v>40827</v>
      </c>
      <c r="N3181">
        <v>2011</v>
      </c>
      <c r="Q3181" s="262">
        <v>160000</v>
      </c>
      <c r="S3181" t="s">
        <v>114</v>
      </c>
      <c r="T3181" t="s">
        <v>114</v>
      </c>
      <c r="W3181">
        <v>1470</v>
      </c>
      <c r="X3181">
        <v>1</v>
      </c>
      <c r="Y3181">
        <v>0</v>
      </c>
      <c r="Z3181">
        <v>0</v>
      </c>
      <c r="AA3181">
        <v>0</v>
      </c>
      <c r="AB3181">
        <v>0</v>
      </c>
      <c r="AC3181">
        <v>0</v>
      </c>
      <c r="AD3181">
        <v>1470</v>
      </c>
      <c r="AE3181">
        <v>0</v>
      </c>
      <c r="AF3181">
        <v>0</v>
      </c>
      <c r="AG3181">
        <v>0</v>
      </c>
      <c r="AH3181">
        <v>0</v>
      </c>
      <c r="AI3181">
        <v>0</v>
      </c>
      <c r="AJ3181">
        <v>0</v>
      </c>
      <c r="AK3181">
        <v>0</v>
      </c>
      <c r="AL3181">
        <v>0</v>
      </c>
      <c r="AM3181">
        <v>0</v>
      </c>
      <c r="AN3181">
        <v>0</v>
      </c>
      <c r="AO3181">
        <v>0</v>
      </c>
      <c r="AP3181">
        <v>1</v>
      </c>
      <c r="AQ3181">
        <v>0</v>
      </c>
      <c r="AR3181">
        <v>0</v>
      </c>
      <c r="AS3181">
        <v>0</v>
      </c>
      <c r="AT3181">
        <v>0</v>
      </c>
      <c r="AU3181">
        <f t="shared" si="98"/>
        <v>1</v>
      </c>
      <c r="AV3181">
        <f t="shared" si="99"/>
        <v>0</v>
      </c>
    </row>
    <row r="3182" spans="1:48" x14ac:dyDescent="0.25">
      <c r="A3182" t="s">
        <v>10409</v>
      </c>
      <c r="C3182" t="s">
        <v>10410</v>
      </c>
      <c r="D3182" t="s">
        <v>10411</v>
      </c>
      <c r="E3182" t="s">
        <v>1663</v>
      </c>
      <c r="F3182">
        <v>3</v>
      </c>
      <c r="G3182">
        <v>3.1</v>
      </c>
      <c r="H3182" t="s">
        <v>2017</v>
      </c>
      <c r="I3182" s="21">
        <v>40644</v>
      </c>
      <c r="J3182">
        <v>2011</v>
      </c>
      <c r="K3182" s="21">
        <v>40674</v>
      </c>
      <c r="L3182">
        <v>2011</v>
      </c>
      <c r="M3182" s="21">
        <v>40827</v>
      </c>
      <c r="N3182">
        <v>2011</v>
      </c>
      <c r="Q3182" s="262">
        <v>160000</v>
      </c>
      <c r="S3182" t="s">
        <v>114</v>
      </c>
      <c r="T3182" t="s">
        <v>114</v>
      </c>
      <c r="W3182">
        <v>1470</v>
      </c>
      <c r="X3182">
        <v>1</v>
      </c>
      <c r="Y3182">
        <v>0</v>
      </c>
      <c r="Z3182">
        <v>0</v>
      </c>
      <c r="AA3182">
        <v>0</v>
      </c>
      <c r="AB3182">
        <v>0</v>
      </c>
      <c r="AC3182">
        <v>0</v>
      </c>
      <c r="AD3182">
        <v>1470</v>
      </c>
      <c r="AE3182">
        <v>0</v>
      </c>
      <c r="AF3182">
        <v>0</v>
      </c>
      <c r="AG3182">
        <v>0</v>
      </c>
      <c r="AH3182">
        <v>0</v>
      </c>
      <c r="AI3182">
        <v>0</v>
      </c>
      <c r="AJ3182">
        <v>0</v>
      </c>
      <c r="AK3182">
        <v>0</v>
      </c>
      <c r="AL3182">
        <v>0</v>
      </c>
      <c r="AM3182">
        <v>0</v>
      </c>
      <c r="AN3182">
        <v>0</v>
      </c>
      <c r="AO3182">
        <v>0</v>
      </c>
      <c r="AP3182">
        <v>1</v>
      </c>
      <c r="AQ3182">
        <v>0</v>
      </c>
      <c r="AR3182">
        <v>0</v>
      </c>
      <c r="AS3182">
        <v>0</v>
      </c>
      <c r="AT3182">
        <v>0</v>
      </c>
      <c r="AU3182">
        <f t="shared" si="98"/>
        <v>1</v>
      </c>
      <c r="AV3182">
        <f t="shared" si="99"/>
        <v>0</v>
      </c>
    </row>
    <row r="3183" spans="1:48" x14ac:dyDescent="0.25">
      <c r="A3183" t="s">
        <v>10412</v>
      </c>
      <c r="C3183" t="s">
        <v>10267</v>
      </c>
      <c r="D3183" t="s">
        <v>1675</v>
      </c>
      <c r="E3183" t="s">
        <v>2310</v>
      </c>
      <c r="F3183">
        <v>15</v>
      </c>
      <c r="G3183">
        <v>15.2</v>
      </c>
      <c r="H3183" t="s">
        <v>2323</v>
      </c>
      <c r="I3183" s="21">
        <v>40644.617939814802</v>
      </c>
      <c r="J3183">
        <v>2011</v>
      </c>
      <c r="K3183" s="21">
        <v>40644.617939814802</v>
      </c>
      <c r="L3183">
        <v>2011</v>
      </c>
      <c r="M3183" s="21">
        <v>41144.643611111103</v>
      </c>
      <c r="N3183">
        <v>2012</v>
      </c>
      <c r="Q3183" s="262">
        <v>800000</v>
      </c>
      <c r="R3183" s="262">
        <v>292000</v>
      </c>
      <c r="S3183" t="s">
        <v>114</v>
      </c>
      <c r="T3183" t="s">
        <v>114</v>
      </c>
      <c r="U3183">
        <v>5</v>
      </c>
      <c r="W3183">
        <v>3176</v>
      </c>
      <c r="X3183">
        <v>1</v>
      </c>
      <c r="Y3183">
        <v>0</v>
      </c>
      <c r="Z3183">
        <v>0</v>
      </c>
      <c r="AA3183">
        <v>0</v>
      </c>
      <c r="AB3183">
        <v>0</v>
      </c>
      <c r="AC3183">
        <v>3176</v>
      </c>
      <c r="AD3183">
        <v>0</v>
      </c>
      <c r="AE3183">
        <v>0</v>
      </c>
      <c r="AF3183">
        <v>0</v>
      </c>
      <c r="AG3183">
        <v>0</v>
      </c>
      <c r="AH3183">
        <v>0</v>
      </c>
      <c r="AI3183">
        <v>0</v>
      </c>
      <c r="AJ3183">
        <v>0</v>
      </c>
      <c r="AK3183">
        <v>0</v>
      </c>
      <c r="AL3183">
        <v>0</v>
      </c>
      <c r="AM3183">
        <v>0</v>
      </c>
      <c r="AN3183">
        <v>0</v>
      </c>
      <c r="AO3183">
        <v>1</v>
      </c>
      <c r="AP3183">
        <v>0</v>
      </c>
      <c r="AQ3183">
        <v>0</v>
      </c>
      <c r="AR3183">
        <v>0</v>
      </c>
      <c r="AS3183">
        <v>0</v>
      </c>
      <c r="AT3183">
        <v>0</v>
      </c>
      <c r="AU3183">
        <f t="shared" si="98"/>
        <v>1</v>
      </c>
      <c r="AV3183">
        <f t="shared" si="99"/>
        <v>0</v>
      </c>
    </row>
    <row r="3184" spans="1:48" x14ac:dyDescent="0.25">
      <c r="A3184" t="s">
        <v>10413</v>
      </c>
      <c r="C3184" t="s">
        <v>10414</v>
      </c>
      <c r="D3184" t="s">
        <v>10415</v>
      </c>
      <c r="E3184" t="s">
        <v>2310</v>
      </c>
      <c r="F3184">
        <v>15</v>
      </c>
      <c r="G3184">
        <v>15.1</v>
      </c>
      <c r="H3184" t="s">
        <v>2022</v>
      </c>
      <c r="I3184" s="21">
        <v>40646.517361111102</v>
      </c>
      <c r="J3184">
        <v>2011</v>
      </c>
      <c r="K3184" s="21">
        <v>40646.517361111102</v>
      </c>
      <c r="L3184">
        <v>2011</v>
      </c>
      <c r="M3184" s="21">
        <v>41737.370891203696</v>
      </c>
      <c r="N3184">
        <v>2014</v>
      </c>
      <c r="Q3184" s="262">
        <v>5000</v>
      </c>
      <c r="R3184" s="262">
        <v>49000</v>
      </c>
      <c r="S3184" t="s">
        <v>114</v>
      </c>
      <c r="T3184" t="s">
        <v>114</v>
      </c>
      <c r="U3184">
        <v>5</v>
      </c>
      <c r="W3184">
        <v>480</v>
      </c>
      <c r="X3184">
        <v>0</v>
      </c>
      <c r="Y3184">
        <v>0</v>
      </c>
      <c r="Z3184">
        <v>0</v>
      </c>
      <c r="AA3184">
        <v>0</v>
      </c>
      <c r="AB3184">
        <v>0</v>
      </c>
      <c r="AC3184">
        <v>480</v>
      </c>
      <c r="AD3184">
        <v>0</v>
      </c>
      <c r="AE3184">
        <v>0</v>
      </c>
      <c r="AF3184">
        <v>0</v>
      </c>
      <c r="AG3184">
        <v>0</v>
      </c>
      <c r="AH3184">
        <v>0</v>
      </c>
      <c r="AI3184">
        <v>0</v>
      </c>
      <c r="AJ3184">
        <v>0</v>
      </c>
      <c r="AK3184">
        <v>0</v>
      </c>
      <c r="AL3184">
        <v>0</v>
      </c>
      <c r="AM3184">
        <v>0</v>
      </c>
      <c r="AN3184">
        <v>0</v>
      </c>
      <c r="AO3184">
        <v>0</v>
      </c>
      <c r="AP3184">
        <v>0</v>
      </c>
      <c r="AQ3184">
        <v>0</v>
      </c>
      <c r="AR3184">
        <v>0</v>
      </c>
      <c r="AS3184">
        <v>0</v>
      </c>
      <c r="AT3184">
        <v>0</v>
      </c>
      <c r="AU3184">
        <f t="shared" si="98"/>
        <v>0</v>
      </c>
      <c r="AV3184">
        <f t="shared" si="99"/>
        <v>0</v>
      </c>
    </row>
    <row r="3185" spans="1:48" x14ac:dyDescent="0.25">
      <c r="A3185" t="s">
        <v>10416</v>
      </c>
      <c r="C3185" t="s">
        <v>10417</v>
      </c>
      <c r="D3185" t="s">
        <v>10418</v>
      </c>
      <c r="E3185" t="s">
        <v>2310</v>
      </c>
      <c r="F3185">
        <v>9</v>
      </c>
      <c r="G3185">
        <v>9.4</v>
      </c>
      <c r="H3185" t="s">
        <v>2323</v>
      </c>
      <c r="I3185" s="21">
        <v>40646.568865740701</v>
      </c>
      <c r="J3185">
        <v>2011</v>
      </c>
      <c r="K3185" s="21">
        <v>40646.568865740701</v>
      </c>
      <c r="L3185">
        <v>2011</v>
      </c>
      <c r="M3185" s="21">
        <v>41443.434212963002</v>
      </c>
      <c r="N3185">
        <v>2013</v>
      </c>
      <c r="Q3185" s="262">
        <v>4000000</v>
      </c>
      <c r="R3185" s="262">
        <v>798000</v>
      </c>
      <c r="S3185" t="s">
        <v>114</v>
      </c>
      <c r="T3185" t="s">
        <v>114</v>
      </c>
      <c r="U3185">
        <v>5</v>
      </c>
      <c r="W3185">
        <v>8965</v>
      </c>
      <c r="X3185">
        <v>1</v>
      </c>
      <c r="Y3185">
        <v>0</v>
      </c>
      <c r="Z3185">
        <v>0</v>
      </c>
      <c r="AA3185">
        <v>0</v>
      </c>
      <c r="AB3185">
        <v>0</v>
      </c>
      <c r="AC3185">
        <v>8965</v>
      </c>
      <c r="AD3185">
        <v>0</v>
      </c>
      <c r="AE3185">
        <v>0</v>
      </c>
      <c r="AF3185">
        <v>0</v>
      </c>
      <c r="AG3185">
        <v>0</v>
      </c>
      <c r="AH3185">
        <v>0</v>
      </c>
      <c r="AI3185">
        <v>0</v>
      </c>
      <c r="AJ3185">
        <v>0</v>
      </c>
      <c r="AK3185">
        <v>0</v>
      </c>
      <c r="AL3185">
        <v>0</v>
      </c>
      <c r="AM3185">
        <v>0</v>
      </c>
      <c r="AN3185">
        <v>0</v>
      </c>
      <c r="AO3185">
        <v>1</v>
      </c>
      <c r="AP3185">
        <v>0</v>
      </c>
      <c r="AQ3185">
        <v>0</v>
      </c>
      <c r="AR3185">
        <v>0</v>
      </c>
      <c r="AS3185">
        <v>0</v>
      </c>
      <c r="AT3185">
        <v>0</v>
      </c>
      <c r="AU3185">
        <f t="shared" si="98"/>
        <v>1</v>
      </c>
      <c r="AV3185">
        <f t="shared" si="99"/>
        <v>0</v>
      </c>
    </row>
    <row r="3186" spans="1:48" x14ac:dyDescent="0.25">
      <c r="A3186" t="s">
        <v>10419</v>
      </c>
      <c r="C3186" t="s">
        <v>10417</v>
      </c>
      <c r="D3186" t="s">
        <v>10420</v>
      </c>
      <c r="E3186" t="s">
        <v>2310</v>
      </c>
      <c r="F3186">
        <v>9</v>
      </c>
      <c r="G3186">
        <v>9.1</v>
      </c>
      <c r="H3186" t="s">
        <v>2323</v>
      </c>
      <c r="I3186" s="21">
        <v>40647.370509259301</v>
      </c>
      <c r="J3186">
        <v>2011</v>
      </c>
      <c r="K3186" s="21">
        <v>40647.370509259301</v>
      </c>
      <c r="L3186">
        <v>2011</v>
      </c>
      <c r="M3186" s="21">
        <v>40983.566261574102</v>
      </c>
      <c r="N3186">
        <v>2012</v>
      </c>
      <c r="Q3186" s="262">
        <v>1000000</v>
      </c>
      <c r="R3186" s="262">
        <v>456000</v>
      </c>
      <c r="S3186" t="s">
        <v>114</v>
      </c>
      <c r="T3186" t="s">
        <v>114</v>
      </c>
      <c r="U3186">
        <v>5</v>
      </c>
      <c r="W3186">
        <v>4969</v>
      </c>
      <c r="X3186">
        <v>1</v>
      </c>
      <c r="Y3186">
        <v>0</v>
      </c>
      <c r="Z3186">
        <v>0</v>
      </c>
      <c r="AA3186">
        <v>0</v>
      </c>
      <c r="AB3186">
        <v>0</v>
      </c>
      <c r="AC3186">
        <v>4969</v>
      </c>
      <c r="AD3186">
        <v>0</v>
      </c>
      <c r="AE3186">
        <v>0</v>
      </c>
      <c r="AF3186">
        <v>0</v>
      </c>
      <c r="AG3186">
        <v>0</v>
      </c>
      <c r="AH3186">
        <v>0</v>
      </c>
      <c r="AI3186">
        <v>0</v>
      </c>
      <c r="AJ3186">
        <v>0</v>
      </c>
      <c r="AK3186">
        <v>0</v>
      </c>
      <c r="AL3186">
        <v>0</v>
      </c>
      <c r="AM3186">
        <v>0</v>
      </c>
      <c r="AN3186">
        <v>0</v>
      </c>
      <c r="AO3186">
        <v>1</v>
      </c>
      <c r="AP3186">
        <v>0</v>
      </c>
      <c r="AQ3186">
        <v>0</v>
      </c>
      <c r="AR3186">
        <v>0</v>
      </c>
      <c r="AS3186">
        <v>0</v>
      </c>
      <c r="AT3186">
        <v>0</v>
      </c>
      <c r="AU3186">
        <f t="shared" si="98"/>
        <v>1</v>
      </c>
      <c r="AV3186">
        <f t="shared" si="99"/>
        <v>0</v>
      </c>
    </row>
    <row r="3187" spans="1:48" x14ac:dyDescent="0.25">
      <c r="A3187" t="s">
        <v>10421</v>
      </c>
      <c r="C3187" t="s">
        <v>10422</v>
      </c>
      <c r="D3187" t="s">
        <v>4588</v>
      </c>
      <c r="E3187" t="s">
        <v>2310</v>
      </c>
      <c r="F3187">
        <v>7</v>
      </c>
      <c r="G3187">
        <v>7.2</v>
      </c>
      <c r="H3187" t="s">
        <v>2017</v>
      </c>
      <c r="I3187" s="21">
        <v>40647.441585648201</v>
      </c>
      <c r="J3187">
        <v>2011</v>
      </c>
      <c r="K3187" s="21">
        <v>40647.441585648201</v>
      </c>
      <c r="L3187">
        <v>2011</v>
      </c>
      <c r="P3187" s="21">
        <v>42292.589942129598</v>
      </c>
      <c r="Q3187" s="262">
        <v>29000</v>
      </c>
      <c r="R3187" s="262">
        <v>16000</v>
      </c>
      <c r="S3187" t="s">
        <v>114</v>
      </c>
      <c r="T3187" t="s">
        <v>114</v>
      </c>
      <c r="U3187">
        <v>14</v>
      </c>
      <c r="W3187">
        <v>144</v>
      </c>
      <c r="X3187">
        <v>0</v>
      </c>
      <c r="Y3187">
        <v>0</v>
      </c>
      <c r="Z3187">
        <v>0</v>
      </c>
      <c r="AA3187">
        <v>0</v>
      </c>
      <c r="AB3187">
        <v>0</v>
      </c>
      <c r="AC3187">
        <v>0</v>
      </c>
      <c r="AD3187">
        <v>0</v>
      </c>
      <c r="AE3187">
        <v>0</v>
      </c>
      <c r="AF3187">
        <v>0</v>
      </c>
      <c r="AG3187">
        <v>0</v>
      </c>
      <c r="AH3187">
        <v>0</v>
      </c>
      <c r="AI3187">
        <v>0</v>
      </c>
      <c r="AJ3187">
        <v>0</v>
      </c>
      <c r="AK3187">
        <v>0</v>
      </c>
      <c r="AL3187">
        <v>144</v>
      </c>
      <c r="AM3187">
        <v>0</v>
      </c>
      <c r="AN3187">
        <v>0</v>
      </c>
      <c r="AO3187">
        <v>0</v>
      </c>
      <c r="AP3187">
        <v>0</v>
      </c>
      <c r="AQ3187">
        <v>0</v>
      </c>
      <c r="AR3187">
        <v>0</v>
      </c>
      <c r="AS3187">
        <v>0</v>
      </c>
      <c r="AT3187">
        <v>0</v>
      </c>
      <c r="AU3187">
        <f t="shared" si="98"/>
        <v>0</v>
      </c>
      <c r="AV3187">
        <f t="shared" si="99"/>
        <v>144</v>
      </c>
    </row>
    <row r="3188" spans="1:48" x14ac:dyDescent="0.25">
      <c r="A3188" t="s">
        <v>10423</v>
      </c>
      <c r="C3188" t="s">
        <v>10424</v>
      </c>
      <c r="D3188" t="s">
        <v>4790</v>
      </c>
      <c r="E3188" t="s">
        <v>2310</v>
      </c>
      <c r="F3188">
        <v>8</v>
      </c>
      <c r="G3188">
        <v>8.3000000000000007</v>
      </c>
      <c r="H3188" t="s">
        <v>2323</v>
      </c>
      <c r="I3188" s="21">
        <v>40651.611631944397</v>
      </c>
      <c r="J3188">
        <v>2011</v>
      </c>
      <c r="K3188" s="21">
        <v>40651.611631944397</v>
      </c>
      <c r="L3188">
        <v>2011</v>
      </c>
      <c r="M3188" s="21">
        <v>42348.3459953704</v>
      </c>
      <c r="N3188">
        <v>2015</v>
      </c>
      <c r="Q3188" s="262">
        <v>100000</v>
      </c>
      <c r="R3188" s="262">
        <v>165000</v>
      </c>
      <c r="S3188" t="s">
        <v>114</v>
      </c>
      <c r="T3188" t="s">
        <v>114</v>
      </c>
      <c r="U3188">
        <v>5</v>
      </c>
      <c r="W3188">
        <v>4264</v>
      </c>
      <c r="X3188">
        <v>0</v>
      </c>
      <c r="Y3188">
        <v>0</v>
      </c>
      <c r="Z3188">
        <v>0</v>
      </c>
      <c r="AA3188">
        <v>0</v>
      </c>
      <c r="AB3188">
        <v>0</v>
      </c>
      <c r="AC3188">
        <v>4264</v>
      </c>
      <c r="AD3188">
        <v>0</v>
      </c>
      <c r="AE3188">
        <v>0</v>
      </c>
      <c r="AF3188">
        <v>0</v>
      </c>
      <c r="AG3188">
        <v>0</v>
      </c>
      <c r="AH3188">
        <v>0</v>
      </c>
      <c r="AI3188">
        <v>0</v>
      </c>
      <c r="AJ3188">
        <v>0</v>
      </c>
      <c r="AK3188">
        <v>0</v>
      </c>
      <c r="AL3188">
        <v>0</v>
      </c>
      <c r="AM3188">
        <v>0</v>
      </c>
      <c r="AN3188">
        <v>0</v>
      </c>
      <c r="AO3188">
        <v>0</v>
      </c>
      <c r="AP3188">
        <v>0</v>
      </c>
      <c r="AQ3188">
        <v>0</v>
      </c>
      <c r="AR3188">
        <v>0</v>
      </c>
      <c r="AS3188">
        <v>0</v>
      </c>
      <c r="AT3188">
        <v>0</v>
      </c>
      <c r="AU3188">
        <f t="shared" si="98"/>
        <v>0</v>
      </c>
      <c r="AV3188">
        <f t="shared" si="99"/>
        <v>0</v>
      </c>
    </row>
    <row r="3189" spans="1:48" x14ac:dyDescent="0.25">
      <c r="A3189" t="s">
        <v>10425</v>
      </c>
      <c r="C3189" t="s">
        <v>10426</v>
      </c>
      <c r="D3189" t="s">
        <v>10427</v>
      </c>
      <c r="E3189" t="s">
        <v>2310</v>
      </c>
      <c r="F3189">
        <v>9</v>
      </c>
      <c r="G3189">
        <v>9.1999999999999993</v>
      </c>
      <c r="H3189" t="s">
        <v>2022</v>
      </c>
      <c r="I3189" s="21">
        <v>40652.421238425901</v>
      </c>
      <c r="J3189">
        <v>2011</v>
      </c>
      <c r="K3189" s="21">
        <v>40652.421238425901</v>
      </c>
      <c r="L3189">
        <v>2011</v>
      </c>
      <c r="M3189" s="21">
        <v>41270.568217592598</v>
      </c>
      <c r="N3189">
        <v>2012</v>
      </c>
      <c r="Q3189" s="262">
        <v>2000000</v>
      </c>
      <c r="R3189" s="262">
        <v>658000</v>
      </c>
      <c r="S3189" t="s">
        <v>114</v>
      </c>
      <c r="T3189" t="s">
        <v>114</v>
      </c>
      <c r="U3189">
        <v>5</v>
      </c>
      <c r="W3189">
        <v>7815</v>
      </c>
      <c r="X3189">
        <v>1</v>
      </c>
      <c r="Y3189">
        <v>0</v>
      </c>
      <c r="Z3189">
        <v>0</v>
      </c>
      <c r="AA3189">
        <v>0</v>
      </c>
      <c r="AB3189">
        <v>0</v>
      </c>
      <c r="AC3189">
        <v>7815</v>
      </c>
      <c r="AD3189">
        <v>0</v>
      </c>
      <c r="AE3189">
        <v>0</v>
      </c>
      <c r="AF3189">
        <v>0</v>
      </c>
      <c r="AG3189">
        <v>0</v>
      </c>
      <c r="AH3189">
        <v>0</v>
      </c>
      <c r="AI3189">
        <v>0</v>
      </c>
      <c r="AJ3189">
        <v>0</v>
      </c>
      <c r="AK3189">
        <v>0</v>
      </c>
      <c r="AL3189">
        <v>0</v>
      </c>
      <c r="AM3189">
        <v>0</v>
      </c>
      <c r="AN3189">
        <v>0</v>
      </c>
      <c r="AO3189">
        <v>1</v>
      </c>
      <c r="AP3189">
        <v>0</v>
      </c>
      <c r="AQ3189">
        <v>0</v>
      </c>
      <c r="AR3189">
        <v>0</v>
      </c>
      <c r="AS3189">
        <v>0</v>
      </c>
      <c r="AT3189">
        <v>0</v>
      </c>
      <c r="AU3189">
        <f t="shared" si="98"/>
        <v>1</v>
      </c>
      <c r="AV3189">
        <f t="shared" si="99"/>
        <v>0</v>
      </c>
    </row>
    <row r="3190" spans="1:48" x14ac:dyDescent="0.25">
      <c r="A3190" t="s">
        <v>10428</v>
      </c>
      <c r="C3190" t="s">
        <v>10429</v>
      </c>
      <c r="D3190" t="s">
        <v>10430</v>
      </c>
      <c r="E3190" t="s">
        <v>2310</v>
      </c>
      <c r="F3190">
        <v>13</v>
      </c>
      <c r="G3190">
        <v>13.2</v>
      </c>
      <c r="H3190" t="s">
        <v>2327</v>
      </c>
      <c r="I3190" s="21">
        <v>40654.431504629603</v>
      </c>
      <c r="J3190">
        <v>2011</v>
      </c>
      <c r="K3190" s="21">
        <v>40654.431504629603</v>
      </c>
      <c r="L3190">
        <v>2011</v>
      </c>
      <c r="M3190" s="21">
        <v>41492.629293981503</v>
      </c>
      <c r="N3190">
        <v>2013</v>
      </c>
      <c r="Q3190" s="262">
        <v>2600000</v>
      </c>
      <c r="R3190" s="262">
        <v>678000</v>
      </c>
      <c r="S3190" t="s">
        <v>114</v>
      </c>
      <c r="T3190" t="s">
        <v>114</v>
      </c>
      <c r="U3190">
        <v>5</v>
      </c>
      <c r="W3190">
        <v>6947</v>
      </c>
      <c r="X3190">
        <v>1</v>
      </c>
      <c r="Y3190">
        <v>0</v>
      </c>
      <c r="Z3190">
        <v>0</v>
      </c>
      <c r="AA3190">
        <v>0</v>
      </c>
      <c r="AB3190">
        <v>0</v>
      </c>
      <c r="AC3190">
        <v>6947</v>
      </c>
      <c r="AD3190">
        <v>0</v>
      </c>
      <c r="AE3190">
        <v>0</v>
      </c>
      <c r="AF3190">
        <v>0</v>
      </c>
      <c r="AG3190">
        <v>0</v>
      </c>
      <c r="AH3190">
        <v>0</v>
      </c>
      <c r="AI3190">
        <v>0</v>
      </c>
      <c r="AJ3190">
        <v>0</v>
      </c>
      <c r="AK3190">
        <v>0</v>
      </c>
      <c r="AL3190">
        <v>0</v>
      </c>
      <c r="AM3190">
        <v>0</v>
      </c>
      <c r="AN3190">
        <v>0</v>
      </c>
      <c r="AO3190">
        <v>1</v>
      </c>
      <c r="AP3190">
        <v>0</v>
      </c>
      <c r="AQ3190">
        <v>0</v>
      </c>
      <c r="AR3190">
        <v>0</v>
      </c>
      <c r="AS3190">
        <v>0</v>
      </c>
      <c r="AT3190">
        <v>0</v>
      </c>
      <c r="AU3190">
        <f t="shared" si="98"/>
        <v>1</v>
      </c>
      <c r="AV3190">
        <f t="shared" si="99"/>
        <v>0</v>
      </c>
    </row>
    <row r="3191" spans="1:48" x14ac:dyDescent="0.25">
      <c r="A3191" t="s">
        <v>10431</v>
      </c>
      <c r="C3191" t="s">
        <v>10426</v>
      </c>
      <c r="D3191" t="s">
        <v>10432</v>
      </c>
      <c r="E3191" t="s">
        <v>2310</v>
      </c>
      <c r="F3191">
        <v>8</v>
      </c>
      <c r="G3191">
        <v>8.1</v>
      </c>
      <c r="H3191" t="s">
        <v>2323</v>
      </c>
      <c r="I3191" s="21">
        <v>40654.644976851901</v>
      </c>
      <c r="J3191">
        <v>2011</v>
      </c>
      <c r="K3191" s="21">
        <v>40654.644976851901</v>
      </c>
      <c r="L3191">
        <v>2011</v>
      </c>
      <c r="M3191" s="21">
        <v>41382.7366666667</v>
      </c>
      <c r="N3191">
        <v>2013</v>
      </c>
      <c r="Q3191" s="262">
        <v>400000</v>
      </c>
      <c r="R3191" s="262">
        <v>665000</v>
      </c>
      <c r="S3191" t="s">
        <v>114</v>
      </c>
      <c r="T3191" t="s">
        <v>114</v>
      </c>
      <c r="U3191">
        <v>5</v>
      </c>
      <c r="W3191">
        <v>6836</v>
      </c>
      <c r="X3191">
        <v>1</v>
      </c>
      <c r="Y3191">
        <v>0</v>
      </c>
      <c r="Z3191">
        <v>0</v>
      </c>
      <c r="AA3191">
        <v>0</v>
      </c>
      <c r="AB3191">
        <v>0</v>
      </c>
      <c r="AC3191">
        <v>6836</v>
      </c>
      <c r="AD3191">
        <v>0</v>
      </c>
      <c r="AE3191">
        <v>0</v>
      </c>
      <c r="AF3191">
        <v>0</v>
      </c>
      <c r="AG3191">
        <v>0</v>
      </c>
      <c r="AH3191">
        <v>0</v>
      </c>
      <c r="AI3191">
        <v>0</v>
      </c>
      <c r="AJ3191">
        <v>0</v>
      </c>
      <c r="AK3191">
        <v>0</v>
      </c>
      <c r="AL3191">
        <v>0</v>
      </c>
      <c r="AM3191">
        <v>0</v>
      </c>
      <c r="AN3191">
        <v>0</v>
      </c>
      <c r="AO3191">
        <v>1</v>
      </c>
      <c r="AP3191">
        <v>0</v>
      </c>
      <c r="AQ3191">
        <v>0</v>
      </c>
      <c r="AR3191">
        <v>0</v>
      </c>
      <c r="AS3191">
        <v>0</v>
      </c>
      <c r="AT3191">
        <v>0</v>
      </c>
      <c r="AU3191">
        <f t="shared" si="98"/>
        <v>1</v>
      </c>
      <c r="AV3191">
        <f t="shared" si="99"/>
        <v>0</v>
      </c>
    </row>
    <row r="3192" spans="1:48" x14ac:dyDescent="0.25">
      <c r="A3192" t="s">
        <v>10433</v>
      </c>
      <c r="C3192" t="s">
        <v>10260</v>
      </c>
      <c r="D3192" t="s">
        <v>10432</v>
      </c>
      <c r="E3192" t="s">
        <v>2310</v>
      </c>
      <c r="F3192">
        <v>8</v>
      </c>
      <c r="G3192">
        <v>8.1</v>
      </c>
      <c r="H3192" t="s">
        <v>2323</v>
      </c>
      <c r="I3192" s="21">
        <v>40654.655613425901</v>
      </c>
      <c r="J3192">
        <v>2011</v>
      </c>
      <c r="K3192" s="21">
        <v>40654.655613425901</v>
      </c>
      <c r="L3192">
        <v>2011</v>
      </c>
      <c r="M3192" s="21">
        <v>41397.674513888902</v>
      </c>
      <c r="N3192">
        <v>2013</v>
      </c>
      <c r="Q3192" s="262">
        <v>400000</v>
      </c>
      <c r="R3192" s="262">
        <v>78000</v>
      </c>
      <c r="S3192" t="s">
        <v>114</v>
      </c>
      <c r="T3192" t="s">
        <v>114</v>
      </c>
      <c r="U3192">
        <v>8</v>
      </c>
      <c r="W3192">
        <v>772</v>
      </c>
      <c r="X3192">
        <v>1</v>
      </c>
      <c r="Y3192">
        <v>0</v>
      </c>
      <c r="Z3192">
        <v>0</v>
      </c>
      <c r="AA3192">
        <v>0</v>
      </c>
      <c r="AB3192">
        <v>0</v>
      </c>
      <c r="AC3192">
        <v>0</v>
      </c>
      <c r="AD3192">
        <v>0</v>
      </c>
      <c r="AE3192">
        <v>0</v>
      </c>
      <c r="AF3192">
        <v>772</v>
      </c>
      <c r="AG3192">
        <v>0</v>
      </c>
      <c r="AH3192">
        <v>0</v>
      </c>
      <c r="AI3192">
        <v>0</v>
      </c>
      <c r="AJ3192">
        <v>0</v>
      </c>
      <c r="AK3192">
        <v>0</v>
      </c>
      <c r="AL3192">
        <v>0</v>
      </c>
      <c r="AM3192">
        <v>0</v>
      </c>
      <c r="AN3192">
        <v>0</v>
      </c>
      <c r="AO3192">
        <v>0</v>
      </c>
      <c r="AP3192">
        <v>0</v>
      </c>
      <c r="AQ3192">
        <v>0</v>
      </c>
      <c r="AR3192">
        <v>1</v>
      </c>
      <c r="AS3192">
        <v>0</v>
      </c>
      <c r="AT3192">
        <v>0</v>
      </c>
      <c r="AU3192">
        <f t="shared" si="98"/>
        <v>0</v>
      </c>
      <c r="AV3192">
        <f t="shared" si="99"/>
        <v>0</v>
      </c>
    </row>
    <row r="3193" spans="1:48" x14ac:dyDescent="0.25">
      <c r="A3193" t="s">
        <v>10434</v>
      </c>
      <c r="C3193" t="s">
        <v>10435</v>
      </c>
      <c r="D3193" t="s">
        <v>8432</v>
      </c>
      <c r="E3193" t="s">
        <v>2310</v>
      </c>
      <c r="F3193">
        <v>8</v>
      </c>
      <c r="G3193">
        <v>8.1999999999999993</v>
      </c>
      <c r="H3193" t="s">
        <v>2022</v>
      </c>
      <c r="I3193" s="21">
        <v>40658.652071759301</v>
      </c>
      <c r="J3193">
        <v>2011</v>
      </c>
      <c r="K3193" s="21">
        <v>40658.652071759301</v>
      </c>
      <c r="L3193">
        <v>2011</v>
      </c>
      <c r="M3193" s="21">
        <v>41017.662974537001</v>
      </c>
      <c r="N3193">
        <v>2012</v>
      </c>
      <c r="Q3193" s="262">
        <v>41000</v>
      </c>
      <c r="R3193" s="262">
        <v>41000</v>
      </c>
      <c r="S3193" t="s">
        <v>114</v>
      </c>
      <c r="T3193" t="s">
        <v>114</v>
      </c>
      <c r="U3193">
        <v>5</v>
      </c>
      <c r="W3193">
        <v>1040</v>
      </c>
      <c r="X3193">
        <v>0</v>
      </c>
      <c r="Y3193">
        <v>0</v>
      </c>
      <c r="Z3193">
        <v>0</v>
      </c>
      <c r="AA3193">
        <v>0</v>
      </c>
      <c r="AB3193">
        <v>0</v>
      </c>
      <c r="AC3193">
        <v>1040</v>
      </c>
      <c r="AD3193">
        <v>0</v>
      </c>
      <c r="AE3193">
        <v>0</v>
      </c>
      <c r="AF3193">
        <v>0</v>
      </c>
      <c r="AG3193">
        <v>0</v>
      </c>
      <c r="AH3193">
        <v>0</v>
      </c>
      <c r="AI3193">
        <v>0</v>
      </c>
      <c r="AJ3193">
        <v>0</v>
      </c>
      <c r="AK3193">
        <v>0</v>
      </c>
      <c r="AL3193">
        <v>0</v>
      </c>
      <c r="AM3193">
        <v>0</v>
      </c>
      <c r="AN3193">
        <v>0</v>
      </c>
      <c r="AO3193">
        <v>0</v>
      </c>
      <c r="AP3193">
        <v>0</v>
      </c>
      <c r="AQ3193">
        <v>0</v>
      </c>
      <c r="AR3193">
        <v>0</v>
      </c>
      <c r="AS3193">
        <v>0</v>
      </c>
      <c r="AT3193">
        <v>0</v>
      </c>
      <c r="AU3193">
        <f t="shared" si="98"/>
        <v>0</v>
      </c>
      <c r="AV3193">
        <f t="shared" si="99"/>
        <v>0</v>
      </c>
    </row>
    <row r="3194" spans="1:48" x14ac:dyDescent="0.25">
      <c r="A3194" t="s">
        <v>10436</v>
      </c>
      <c r="C3194" t="s">
        <v>10140</v>
      </c>
      <c r="D3194" t="s">
        <v>10437</v>
      </c>
      <c r="E3194" t="s">
        <v>2310</v>
      </c>
      <c r="F3194">
        <v>9</v>
      </c>
      <c r="G3194">
        <v>9.4</v>
      </c>
      <c r="H3194" t="s">
        <v>2323</v>
      </c>
      <c r="I3194" s="21">
        <v>40660.617812500001</v>
      </c>
      <c r="J3194">
        <v>2011</v>
      </c>
      <c r="K3194" s="21">
        <v>40660.617812500001</v>
      </c>
      <c r="L3194">
        <v>2011</v>
      </c>
      <c r="M3194" s="21">
        <v>41205.457106481503</v>
      </c>
      <c r="N3194">
        <v>2012</v>
      </c>
      <c r="Q3194" s="262">
        <v>2500000</v>
      </c>
      <c r="R3194" s="262">
        <v>509000</v>
      </c>
      <c r="S3194" t="s">
        <v>114</v>
      </c>
      <c r="T3194" t="s">
        <v>114</v>
      </c>
      <c r="U3194">
        <v>5</v>
      </c>
      <c r="W3194">
        <v>5828</v>
      </c>
      <c r="X3194">
        <v>1</v>
      </c>
      <c r="Y3194">
        <v>0</v>
      </c>
      <c r="Z3194">
        <v>0</v>
      </c>
      <c r="AA3194">
        <v>0</v>
      </c>
      <c r="AB3194">
        <v>0</v>
      </c>
      <c r="AC3194">
        <v>5828</v>
      </c>
      <c r="AD3194">
        <v>0</v>
      </c>
      <c r="AE3194">
        <v>0</v>
      </c>
      <c r="AF3194">
        <v>0</v>
      </c>
      <c r="AG3194">
        <v>0</v>
      </c>
      <c r="AH3194">
        <v>0</v>
      </c>
      <c r="AI3194">
        <v>0</v>
      </c>
      <c r="AJ3194">
        <v>0</v>
      </c>
      <c r="AK3194">
        <v>0</v>
      </c>
      <c r="AL3194">
        <v>0</v>
      </c>
      <c r="AM3194">
        <v>0</v>
      </c>
      <c r="AN3194">
        <v>0</v>
      </c>
      <c r="AO3194">
        <v>1</v>
      </c>
      <c r="AP3194">
        <v>0</v>
      </c>
      <c r="AQ3194">
        <v>0</v>
      </c>
      <c r="AR3194">
        <v>0</v>
      </c>
      <c r="AS3194">
        <v>0</v>
      </c>
      <c r="AT3194">
        <v>0</v>
      </c>
      <c r="AU3194">
        <f t="shared" si="98"/>
        <v>1</v>
      </c>
      <c r="AV3194">
        <f t="shared" si="99"/>
        <v>0</v>
      </c>
    </row>
    <row r="3195" spans="1:48" x14ac:dyDescent="0.25">
      <c r="A3195" t="s">
        <v>10438</v>
      </c>
      <c r="C3195" t="s">
        <v>10439</v>
      </c>
      <c r="D3195" t="s">
        <v>10440</v>
      </c>
      <c r="E3195" t="s">
        <v>2310</v>
      </c>
      <c r="F3195">
        <v>13</v>
      </c>
      <c r="G3195">
        <v>13.1</v>
      </c>
      <c r="H3195" t="s">
        <v>2327</v>
      </c>
      <c r="I3195" s="21">
        <v>40661.568090277797</v>
      </c>
      <c r="J3195">
        <v>2011</v>
      </c>
      <c r="K3195" s="21">
        <v>40661.568090277797</v>
      </c>
      <c r="L3195">
        <v>2011</v>
      </c>
      <c r="M3195" s="21">
        <v>40863.652928240699</v>
      </c>
      <c r="N3195">
        <v>2011</v>
      </c>
      <c r="Q3195" s="262">
        <v>541000</v>
      </c>
      <c r="R3195" s="262">
        <v>541000</v>
      </c>
      <c r="S3195" t="s">
        <v>114</v>
      </c>
      <c r="T3195" t="s">
        <v>114</v>
      </c>
      <c r="U3195">
        <v>15</v>
      </c>
      <c r="V3195">
        <v>4439</v>
      </c>
      <c r="W3195">
        <v>1163</v>
      </c>
      <c r="X3195">
        <v>0</v>
      </c>
      <c r="Y3195">
        <v>0</v>
      </c>
      <c r="Z3195">
        <v>0</v>
      </c>
      <c r="AA3195">
        <v>0</v>
      </c>
      <c r="AB3195">
        <v>0</v>
      </c>
      <c r="AC3195">
        <v>0</v>
      </c>
      <c r="AD3195">
        <v>0</v>
      </c>
      <c r="AE3195">
        <v>0</v>
      </c>
      <c r="AF3195">
        <v>0</v>
      </c>
      <c r="AG3195">
        <v>0</v>
      </c>
      <c r="AH3195">
        <v>0</v>
      </c>
      <c r="AI3195">
        <v>0</v>
      </c>
      <c r="AJ3195">
        <v>0</v>
      </c>
      <c r="AK3195">
        <v>0</v>
      </c>
      <c r="AL3195">
        <v>0</v>
      </c>
      <c r="AM3195">
        <v>1163</v>
      </c>
      <c r="AN3195">
        <v>0</v>
      </c>
      <c r="AO3195">
        <v>0</v>
      </c>
      <c r="AP3195">
        <v>0</v>
      </c>
      <c r="AQ3195">
        <v>0</v>
      </c>
      <c r="AR3195">
        <v>0</v>
      </c>
      <c r="AS3195">
        <v>0</v>
      </c>
      <c r="AT3195">
        <v>0</v>
      </c>
      <c r="AU3195">
        <f t="shared" si="98"/>
        <v>0</v>
      </c>
      <c r="AV3195">
        <f t="shared" si="99"/>
        <v>1163</v>
      </c>
    </row>
    <row r="3196" spans="1:48" x14ac:dyDescent="0.25">
      <c r="A3196" t="s">
        <v>10441</v>
      </c>
      <c r="C3196" t="s">
        <v>10442</v>
      </c>
      <c r="D3196" t="s">
        <v>10443</v>
      </c>
      <c r="E3196" t="s">
        <v>2310</v>
      </c>
      <c r="F3196">
        <v>9</v>
      </c>
      <c r="G3196">
        <v>9.3000000000000007</v>
      </c>
      <c r="H3196" t="s">
        <v>2323</v>
      </c>
      <c r="I3196" s="21">
        <v>40666.547534722202</v>
      </c>
      <c r="J3196">
        <v>2011</v>
      </c>
      <c r="K3196" s="21">
        <v>40666.547534722202</v>
      </c>
      <c r="L3196">
        <v>2011</v>
      </c>
      <c r="M3196" s="21">
        <v>41170.656331018501</v>
      </c>
      <c r="N3196">
        <v>2012</v>
      </c>
      <c r="Q3196" s="262">
        <v>2000000</v>
      </c>
      <c r="R3196" s="262">
        <v>501000</v>
      </c>
      <c r="S3196" t="s">
        <v>114</v>
      </c>
      <c r="T3196" t="s">
        <v>114</v>
      </c>
      <c r="U3196">
        <v>5</v>
      </c>
      <c r="W3196">
        <v>5734</v>
      </c>
      <c r="X3196">
        <v>1</v>
      </c>
      <c r="Y3196">
        <v>0</v>
      </c>
      <c r="Z3196">
        <v>0</v>
      </c>
      <c r="AA3196">
        <v>0</v>
      </c>
      <c r="AB3196">
        <v>0</v>
      </c>
      <c r="AC3196">
        <v>5734</v>
      </c>
      <c r="AD3196">
        <v>0</v>
      </c>
      <c r="AE3196">
        <v>0</v>
      </c>
      <c r="AF3196">
        <v>0</v>
      </c>
      <c r="AG3196">
        <v>0</v>
      </c>
      <c r="AH3196">
        <v>0</v>
      </c>
      <c r="AI3196">
        <v>0</v>
      </c>
      <c r="AJ3196">
        <v>0</v>
      </c>
      <c r="AK3196">
        <v>0</v>
      </c>
      <c r="AL3196">
        <v>0</v>
      </c>
      <c r="AM3196">
        <v>0</v>
      </c>
      <c r="AN3196">
        <v>0</v>
      </c>
      <c r="AO3196">
        <v>1</v>
      </c>
      <c r="AP3196">
        <v>0</v>
      </c>
      <c r="AQ3196">
        <v>0</v>
      </c>
      <c r="AR3196">
        <v>0</v>
      </c>
      <c r="AS3196">
        <v>0</v>
      </c>
      <c r="AT3196">
        <v>0</v>
      </c>
      <c r="AU3196">
        <f t="shared" si="98"/>
        <v>1</v>
      </c>
      <c r="AV3196">
        <f t="shared" si="99"/>
        <v>0</v>
      </c>
    </row>
    <row r="3197" spans="1:48" x14ac:dyDescent="0.25">
      <c r="A3197" t="s">
        <v>10444</v>
      </c>
      <c r="C3197" t="s">
        <v>10445</v>
      </c>
      <c r="D3197" t="s">
        <v>10443</v>
      </c>
      <c r="E3197" t="s">
        <v>2310</v>
      </c>
      <c r="F3197">
        <v>9</v>
      </c>
      <c r="G3197">
        <v>9.3000000000000007</v>
      </c>
      <c r="H3197" t="s">
        <v>2323</v>
      </c>
      <c r="I3197" s="21">
        <v>40666.582349536999</v>
      </c>
      <c r="J3197">
        <v>2011</v>
      </c>
      <c r="K3197" s="21">
        <v>40666.582349536999</v>
      </c>
      <c r="L3197">
        <v>2011</v>
      </c>
      <c r="M3197" s="21">
        <v>41038.463553240697</v>
      </c>
      <c r="N3197">
        <v>2012</v>
      </c>
      <c r="Q3197" s="262">
        <v>400000</v>
      </c>
      <c r="R3197" s="262">
        <v>99000</v>
      </c>
      <c r="S3197" t="s">
        <v>114</v>
      </c>
      <c r="T3197" t="s">
        <v>114</v>
      </c>
      <c r="U3197">
        <v>8</v>
      </c>
      <c r="W3197">
        <v>971</v>
      </c>
      <c r="X3197">
        <v>1</v>
      </c>
      <c r="Y3197">
        <v>0</v>
      </c>
      <c r="Z3197">
        <v>0</v>
      </c>
      <c r="AA3197">
        <v>0</v>
      </c>
      <c r="AB3197">
        <v>0</v>
      </c>
      <c r="AC3197">
        <v>0</v>
      </c>
      <c r="AD3197">
        <v>0</v>
      </c>
      <c r="AE3197">
        <v>0</v>
      </c>
      <c r="AF3197">
        <v>971</v>
      </c>
      <c r="AG3197">
        <v>0</v>
      </c>
      <c r="AH3197">
        <v>0</v>
      </c>
      <c r="AI3197">
        <v>0</v>
      </c>
      <c r="AJ3197">
        <v>0</v>
      </c>
      <c r="AK3197">
        <v>0</v>
      </c>
      <c r="AL3197">
        <v>0</v>
      </c>
      <c r="AM3197">
        <v>0</v>
      </c>
      <c r="AN3197">
        <v>0</v>
      </c>
      <c r="AO3197">
        <v>0</v>
      </c>
      <c r="AP3197">
        <v>0</v>
      </c>
      <c r="AQ3197">
        <v>0</v>
      </c>
      <c r="AR3197">
        <v>1</v>
      </c>
      <c r="AS3197">
        <v>0</v>
      </c>
      <c r="AT3197">
        <v>0</v>
      </c>
      <c r="AU3197">
        <f t="shared" si="98"/>
        <v>0</v>
      </c>
      <c r="AV3197">
        <f t="shared" si="99"/>
        <v>0</v>
      </c>
    </row>
    <row r="3198" spans="1:48" x14ac:dyDescent="0.25">
      <c r="A3198" t="s">
        <v>10446</v>
      </c>
      <c r="C3198" t="s">
        <v>10447</v>
      </c>
      <c r="D3198" t="s">
        <v>10448</v>
      </c>
      <c r="E3198" t="s">
        <v>2310</v>
      </c>
      <c r="F3198">
        <v>13</v>
      </c>
      <c r="G3198">
        <v>13.3</v>
      </c>
      <c r="H3198" t="s">
        <v>2017</v>
      </c>
      <c r="I3198" s="21">
        <v>40667.504571759302</v>
      </c>
      <c r="J3198">
        <v>2011</v>
      </c>
      <c r="K3198" s="21">
        <v>40667.504571759302</v>
      </c>
      <c r="L3198">
        <v>2011</v>
      </c>
      <c r="P3198" s="21">
        <v>42292.605231481502</v>
      </c>
      <c r="Q3198" s="262">
        <v>20000</v>
      </c>
      <c r="R3198" s="262">
        <v>18000</v>
      </c>
      <c r="S3198" t="s">
        <v>114</v>
      </c>
      <c r="T3198" t="s">
        <v>114</v>
      </c>
      <c r="U3198">
        <v>5</v>
      </c>
      <c r="V3198">
        <v>116</v>
      </c>
      <c r="W3198">
        <v>91</v>
      </c>
      <c r="X3198">
        <v>0</v>
      </c>
      <c r="Y3198">
        <v>0</v>
      </c>
      <c r="Z3198">
        <v>0</v>
      </c>
      <c r="AA3198">
        <v>0</v>
      </c>
      <c r="AB3198">
        <v>0</v>
      </c>
      <c r="AC3198">
        <v>91</v>
      </c>
      <c r="AD3198">
        <v>0</v>
      </c>
      <c r="AE3198">
        <v>0</v>
      </c>
      <c r="AF3198">
        <v>0</v>
      </c>
      <c r="AG3198">
        <v>0</v>
      </c>
      <c r="AH3198">
        <v>0</v>
      </c>
      <c r="AI3198">
        <v>0</v>
      </c>
      <c r="AJ3198">
        <v>0</v>
      </c>
      <c r="AK3198">
        <v>0</v>
      </c>
      <c r="AL3198">
        <v>0</v>
      </c>
      <c r="AM3198">
        <v>0</v>
      </c>
      <c r="AN3198">
        <v>0</v>
      </c>
      <c r="AO3198">
        <v>0</v>
      </c>
      <c r="AP3198">
        <v>0</v>
      </c>
      <c r="AQ3198">
        <v>0</v>
      </c>
      <c r="AR3198">
        <v>0</v>
      </c>
      <c r="AS3198">
        <v>0</v>
      </c>
      <c r="AT3198">
        <v>0</v>
      </c>
      <c r="AU3198">
        <f t="shared" si="98"/>
        <v>0</v>
      </c>
      <c r="AV3198">
        <f t="shared" si="99"/>
        <v>0</v>
      </c>
    </row>
    <row r="3199" spans="1:48" x14ac:dyDescent="0.25">
      <c r="A3199" t="s">
        <v>10449</v>
      </c>
      <c r="C3199" t="s">
        <v>10450</v>
      </c>
      <c r="D3199" t="s">
        <v>10451</v>
      </c>
      <c r="E3199" t="s">
        <v>2310</v>
      </c>
      <c r="F3199">
        <v>13</v>
      </c>
      <c r="G3199">
        <v>13.3</v>
      </c>
      <c r="H3199" t="s">
        <v>2017</v>
      </c>
      <c r="I3199" s="21">
        <v>40668.440034722204</v>
      </c>
      <c r="J3199">
        <v>2011</v>
      </c>
      <c r="K3199" s="21">
        <v>40668.440034722204</v>
      </c>
      <c r="L3199">
        <v>2011</v>
      </c>
      <c r="M3199" s="21">
        <v>42290.379236111097</v>
      </c>
      <c r="N3199">
        <v>2015</v>
      </c>
      <c r="Q3199" s="262">
        <v>2755000</v>
      </c>
      <c r="R3199" s="262">
        <v>477000</v>
      </c>
      <c r="S3199" t="s">
        <v>114</v>
      </c>
      <c r="T3199" t="s">
        <v>114</v>
      </c>
      <c r="U3199">
        <v>5</v>
      </c>
      <c r="W3199">
        <v>4898</v>
      </c>
      <c r="X3199">
        <v>1</v>
      </c>
      <c r="Y3199">
        <v>0</v>
      </c>
      <c r="Z3199">
        <v>0</v>
      </c>
      <c r="AA3199">
        <v>0</v>
      </c>
      <c r="AB3199">
        <v>0</v>
      </c>
      <c r="AC3199">
        <v>4898</v>
      </c>
      <c r="AD3199">
        <v>0</v>
      </c>
      <c r="AE3199">
        <v>0</v>
      </c>
      <c r="AF3199">
        <v>0</v>
      </c>
      <c r="AG3199">
        <v>0</v>
      </c>
      <c r="AH3199">
        <v>0</v>
      </c>
      <c r="AI3199">
        <v>0</v>
      </c>
      <c r="AJ3199">
        <v>0</v>
      </c>
      <c r="AK3199">
        <v>0</v>
      </c>
      <c r="AL3199">
        <v>0</v>
      </c>
      <c r="AM3199">
        <v>0</v>
      </c>
      <c r="AN3199">
        <v>0</v>
      </c>
      <c r="AO3199">
        <v>1</v>
      </c>
      <c r="AP3199">
        <v>0</v>
      </c>
      <c r="AQ3199">
        <v>0</v>
      </c>
      <c r="AR3199">
        <v>0</v>
      </c>
      <c r="AS3199">
        <v>0</v>
      </c>
      <c r="AT3199">
        <v>0</v>
      </c>
      <c r="AU3199">
        <f t="shared" si="98"/>
        <v>1</v>
      </c>
      <c r="AV3199">
        <f t="shared" si="99"/>
        <v>0</v>
      </c>
    </row>
    <row r="3200" spans="1:48" x14ac:dyDescent="0.25">
      <c r="A3200" t="s">
        <v>10452</v>
      </c>
      <c r="C3200" t="s">
        <v>10453</v>
      </c>
      <c r="D3200" t="s">
        <v>10454</v>
      </c>
      <c r="E3200" t="s">
        <v>2310</v>
      </c>
      <c r="F3200">
        <v>12</v>
      </c>
      <c r="G3200">
        <v>12.3</v>
      </c>
      <c r="H3200" t="s">
        <v>2017</v>
      </c>
      <c r="I3200" s="21">
        <v>40668.656041666698</v>
      </c>
      <c r="J3200">
        <v>2011</v>
      </c>
      <c r="K3200" s="21">
        <v>40668.656041666698</v>
      </c>
      <c r="L3200">
        <v>2011</v>
      </c>
      <c r="M3200" s="21">
        <v>40850.5790277778</v>
      </c>
      <c r="N3200">
        <v>2011</v>
      </c>
      <c r="Q3200" s="262">
        <v>40000</v>
      </c>
      <c r="R3200" s="262">
        <v>33000</v>
      </c>
      <c r="S3200" t="s">
        <v>114</v>
      </c>
      <c r="T3200" t="s">
        <v>114</v>
      </c>
      <c r="U3200">
        <v>5</v>
      </c>
      <c r="W3200">
        <v>321</v>
      </c>
      <c r="X3200">
        <v>0</v>
      </c>
      <c r="Y3200">
        <v>0</v>
      </c>
      <c r="Z3200">
        <v>0</v>
      </c>
      <c r="AA3200">
        <v>0</v>
      </c>
      <c r="AB3200">
        <v>0</v>
      </c>
      <c r="AC3200">
        <v>321</v>
      </c>
      <c r="AD3200">
        <v>0</v>
      </c>
      <c r="AE3200">
        <v>0</v>
      </c>
      <c r="AF3200">
        <v>0</v>
      </c>
      <c r="AG3200">
        <v>0</v>
      </c>
      <c r="AH3200">
        <v>0</v>
      </c>
      <c r="AI3200">
        <v>0</v>
      </c>
      <c r="AJ3200">
        <v>0</v>
      </c>
      <c r="AK3200">
        <v>0</v>
      </c>
      <c r="AL3200">
        <v>0</v>
      </c>
      <c r="AM3200">
        <v>0</v>
      </c>
      <c r="AN3200">
        <v>0</v>
      </c>
      <c r="AO3200">
        <v>0</v>
      </c>
      <c r="AP3200">
        <v>0</v>
      </c>
      <c r="AQ3200">
        <v>0</v>
      </c>
      <c r="AR3200">
        <v>0</v>
      </c>
      <c r="AS3200">
        <v>0</v>
      </c>
      <c r="AT3200">
        <v>0</v>
      </c>
      <c r="AU3200">
        <f t="shared" si="98"/>
        <v>0</v>
      </c>
      <c r="AV3200">
        <f t="shared" si="99"/>
        <v>0</v>
      </c>
    </row>
    <row r="3201" spans="1:48" x14ac:dyDescent="0.25">
      <c r="A3201" t="s">
        <v>10455</v>
      </c>
      <c r="C3201" t="s">
        <v>10456</v>
      </c>
      <c r="D3201" t="s">
        <v>10457</v>
      </c>
      <c r="E3201" t="s">
        <v>2310</v>
      </c>
      <c r="F3201">
        <v>8</v>
      </c>
      <c r="G3201">
        <v>8.1</v>
      </c>
      <c r="H3201" t="s">
        <v>2323</v>
      </c>
      <c r="I3201" s="21">
        <v>40672.515370370398</v>
      </c>
      <c r="J3201">
        <v>2011</v>
      </c>
      <c r="K3201" s="21">
        <v>40672.515370370398</v>
      </c>
      <c r="L3201">
        <v>2011</v>
      </c>
      <c r="M3201" s="21">
        <v>41136.441793981503</v>
      </c>
      <c r="N3201">
        <v>2012</v>
      </c>
      <c r="Q3201" s="262">
        <v>250000</v>
      </c>
      <c r="R3201" s="262">
        <v>138000</v>
      </c>
      <c r="S3201" t="s">
        <v>114</v>
      </c>
      <c r="T3201" t="s">
        <v>114</v>
      </c>
      <c r="U3201">
        <v>5</v>
      </c>
      <c r="W3201">
        <v>1974</v>
      </c>
      <c r="X3201">
        <v>0</v>
      </c>
      <c r="Y3201">
        <v>0</v>
      </c>
      <c r="Z3201">
        <v>0</v>
      </c>
      <c r="AA3201">
        <v>0</v>
      </c>
      <c r="AB3201">
        <v>0</v>
      </c>
      <c r="AC3201">
        <v>1974</v>
      </c>
      <c r="AD3201">
        <v>0</v>
      </c>
      <c r="AE3201">
        <v>0</v>
      </c>
      <c r="AF3201">
        <v>0</v>
      </c>
      <c r="AG3201">
        <v>0</v>
      </c>
      <c r="AH3201">
        <v>0</v>
      </c>
      <c r="AI3201">
        <v>0</v>
      </c>
      <c r="AJ3201">
        <v>0</v>
      </c>
      <c r="AK3201">
        <v>0</v>
      </c>
      <c r="AL3201">
        <v>0</v>
      </c>
      <c r="AM3201">
        <v>0</v>
      </c>
      <c r="AN3201">
        <v>0</v>
      </c>
      <c r="AO3201">
        <v>0</v>
      </c>
      <c r="AP3201">
        <v>0</v>
      </c>
      <c r="AQ3201">
        <v>0</v>
      </c>
      <c r="AR3201">
        <v>0</v>
      </c>
      <c r="AS3201">
        <v>0</v>
      </c>
      <c r="AT3201">
        <v>0</v>
      </c>
      <c r="AU3201">
        <f t="shared" si="98"/>
        <v>0</v>
      </c>
      <c r="AV3201">
        <f t="shared" si="99"/>
        <v>0</v>
      </c>
    </row>
    <row r="3202" spans="1:48" x14ac:dyDescent="0.25">
      <c r="A3202" t="s">
        <v>10458</v>
      </c>
      <c r="C3202" t="s">
        <v>10459</v>
      </c>
      <c r="D3202" t="s">
        <v>7872</v>
      </c>
      <c r="E3202" t="s">
        <v>1663</v>
      </c>
      <c r="F3202">
        <v>6</v>
      </c>
      <c r="G3202">
        <v>6.1</v>
      </c>
      <c r="H3202" t="s">
        <v>2017</v>
      </c>
      <c r="I3202" s="21">
        <v>40674</v>
      </c>
      <c r="J3202">
        <v>2011</v>
      </c>
      <c r="K3202" s="21">
        <v>40705</v>
      </c>
      <c r="L3202">
        <v>2011</v>
      </c>
      <c r="M3202" s="21">
        <v>40858</v>
      </c>
      <c r="N3202">
        <v>2011</v>
      </c>
      <c r="Q3202" s="262">
        <v>75000</v>
      </c>
      <c r="S3202" t="s">
        <v>114</v>
      </c>
      <c r="T3202" t="s">
        <v>114</v>
      </c>
      <c r="W3202">
        <v>550</v>
      </c>
      <c r="X3202">
        <v>0</v>
      </c>
      <c r="Y3202">
        <v>0</v>
      </c>
      <c r="Z3202">
        <v>0</v>
      </c>
      <c r="AA3202">
        <v>0</v>
      </c>
      <c r="AB3202">
        <v>0</v>
      </c>
      <c r="AC3202">
        <v>550</v>
      </c>
      <c r="AD3202">
        <v>0</v>
      </c>
      <c r="AE3202">
        <v>0</v>
      </c>
      <c r="AF3202">
        <v>0</v>
      </c>
      <c r="AG3202">
        <v>0</v>
      </c>
      <c r="AH3202">
        <v>0</v>
      </c>
      <c r="AI3202">
        <v>0</v>
      </c>
      <c r="AJ3202">
        <v>0</v>
      </c>
      <c r="AK3202">
        <v>0</v>
      </c>
      <c r="AL3202">
        <v>0</v>
      </c>
      <c r="AM3202">
        <v>0</v>
      </c>
      <c r="AN3202">
        <v>0</v>
      </c>
      <c r="AO3202">
        <v>0</v>
      </c>
      <c r="AP3202">
        <v>0</v>
      </c>
      <c r="AQ3202">
        <v>0</v>
      </c>
      <c r="AR3202">
        <v>0</v>
      </c>
      <c r="AS3202">
        <v>0</v>
      </c>
      <c r="AT3202">
        <v>0</v>
      </c>
      <c r="AU3202">
        <f t="shared" si="98"/>
        <v>0</v>
      </c>
      <c r="AV3202">
        <f t="shared" si="99"/>
        <v>0</v>
      </c>
    </row>
    <row r="3203" spans="1:48" x14ac:dyDescent="0.25">
      <c r="A3203" t="s">
        <v>10460</v>
      </c>
      <c r="C3203" t="s">
        <v>10461</v>
      </c>
      <c r="D3203" t="s">
        <v>10462</v>
      </c>
      <c r="E3203" t="s">
        <v>2310</v>
      </c>
      <c r="F3203">
        <v>14</v>
      </c>
      <c r="G3203">
        <v>14.1</v>
      </c>
      <c r="H3203" t="s">
        <v>2022</v>
      </c>
      <c r="I3203" s="21">
        <v>40676.416111111103</v>
      </c>
      <c r="J3203">
        <v>2011</v>
      </c>
      <c r="K3203" s="21">
        <v>40676.416111111103</v>
      </c>
      <c r="L3203">
        <v>2011</v>
      </c>
      <c r="M3203" s="21">
        <v>40935.424016203702</v>
      </c>
      <c r="N3203">
        <v>2012</v>
      </c>
      <c r="Q3203" s="262">
        <v>130000</v>
      </c>
      <c r="R3203" s="262">
        <v>146000</v>
      </c>
      <c r="S3203" t="s">
        <v>114</v>
      </c>
      <c r="T3203" t="s">
        <v>114</v>
      </c>
      <c r="U3203">
        <v>5</v>
      </c>
      <c r="V3203">
        <v>646</v>
      </c>
      <c r="W3203">
        <v>1689</v>
      </c>
      <c r="X3203">
        <v>0</v>
      </c>
      <c r="Y3203">
        <v>0</v>
      </c>
      <c r="Z3203">
        <v>0</v>
      </c>
      <c r="AA3203">
        <v>0</v>
      </c>
      <c r="AB3203">
        <v>0</v>
      </c>
      <c r="AC3203">
        <v>1689</v>
      </c>
      <c r="AD3203">
        <v>0</v>
      </c>
      <c r="AE3203">
        <v>0</v>
      </c>
      <c r="AF3203">
        <v>0</v>
      </c>
      <c r="AG3203">
        <v>0</v>
      </c>
      <c r="AH3203">
        <v>0</v>
      </c>
      <c r="AI3203">
        <v>0</v>
      </c>
      <c r="AJ3203">
        <v>0</v>
      </c>
      <c r="AK3203">
        <v>0</v>
      </c>
      <c r="AL3203">
        <v>0</v>
      </c>
      <c r="AM3203">
        <v>0</v>
      </c>
      <c r="AN3203">
        <v>0</v>
      </c>
      <c r="AO3203">
        <v>0</v>
      </c>
      <c r="AP3203">
        <v>0</v>
      </c>
      <c r="AQ3203">
        <v>0</v>
      </c>
      <c r="AR3203">
        <v>0</v>
      </c>
      <c r="AS3203">
        <v>0</v>
      </c>
      <c r="AT3203">
        <v>0</v>
      </c>
      <c r="AU3203">
        <f t="shared" si="98"/>
        <v>0</v>
      </c>
      <c r="AV3203">
        <f t="shared" si="99"/>
        <v>0</v>
      </c>
    </row>
    <row r="3204" spans="1:48" x14ac:dyDescent="0.25">
      <c r="A3204" t="s">
        <v>10463</v>
      </c>
      <c r="C3204" t="s">
        <v>10464</v>
      </c>
      <c r="D3204" t="s">
        <v>10465</v>
      </c>
      <c r="E3204" t="s">
        <v>1663</v>
      </c>
      <c r="F3204">
        <v>3</v>
      </c>
      <c r="G3204">
        <v>3.1</v>
      </c>
      <c r="H3204" t="s">
        <v>2017</v>
      </c>
      <c r="I3204" s="21">
        <v>40680</v>
      </c>
      <c r="J3204">
        <v>2011</v>
      </c>
      <c r="K3204" s="21">
        <v>40711</v>
      </c>
      <c r="L3204">
        <v>2011</v>
      </c>
      <c r="M3204" s="21">
        <v>40864</v>
      </c>
      <c r="N3204">
        <v>2011</v>
      </c>
      <c r="Q3204" s="262">
        <v>166000</v>
      </c>
      <c r="S3204" t="s">
        <v>114</v>
      </c>
      <c r="T3204" t="s">
        <v>114</v>
      </c>
      <c r="W3204">
        <v>1470</v>
      </c>
      <c r="X3204">
        <v>1</v>
      </c>
      <c r="Y3204">
        <v>0</v>
      </c>
      <c r="Z3204">
        <v>0</v>
      </c>
      <c r="AA3204">
        <v>0</v>
      </c>
      <c r="AB3204">
        <v>0</v>
      </c>
      <c r="AC3204">
        <v>0</v>
      </c>
      <c r="AD3204">
        <v>1470</v>
      </c>
      <c r="AE3204">
        <v>0</v>
      </c>
      <c r="AF3204">
        <v>0</v>
      </c>
      <c r="AG3204">
        <v>0</v>
      </c>
      <c r="AH3204">
        <v>0</v>
      </c>
      <c r="AI3204">
        <v>0</v>
      </c>
      <c r="AJ3204">
        <v>0</v>
      </c>
      <c r="AK3204">
        <v>0</v>
      </c>
      <c r="AL3204">
        <v>0</v>
      </c>
      <c r="AM3204">
        <v>0</v>
      </c>
      <c r="AN3204">
        <v>0</v>
      </c>
      <c r="AO3204">
        <v>0</v>
      </c>
      <c r="AP3204">
        <v>1</v>
      </c>
      <c r="AQ3204">
        <v>0</v>
      </c>
      <c r="AR3204">
        <v>0</v>
      </c>
      <c r="AS3204">
        <v>0</v>
      </c>
      <c r="AT3204">
        <v>0</v>
      </c>
      <c r="AU3204">
        <f t="shared" si="98"/>
        <v>1</v>
      </c>
      <c r="AV3204">
        <f t="shared" si="99"/>
        <v>0</v>
      </c>
    </row>
    <row r="3205" spans="1:48" x14ac:dyDescent="0.25">
      <c r="A3205" t="s">
        <v>10466</v>
      </c>
      <c r="C3205" t="s">
        <v>7716</v>
      </c>
      <c r="D3205" t="s">
        <v>10467</v>
      </c>
      <c r="E3205" t="s">
        <v>1663</v>
      </c>
      <c r="F3205">
        <v>3</v>
      </c>
      <c r="G3205">
        <v>3.1</v>
      </c>
      <c r="H3205" t="s">
        <v>2017</v>
      </c>
      <c r="I3205" s="21">
        <v>40680</v>
      </c>
      <c r="J3205">
        <v>2011</v>
      </c>
      <c r="K3205" s="21">
        <v>40711</v>
      </c>
      <c r="L3205">
        <v>2011</v>
      </c>
      <c r="M3205" s="21">
        <v>40864</v>
      </c>
      <c r="N3205">
        <v>2011</v>
      </c>
      <c r="Q3205" s="262">
        <v>166000</v>
      </c>
      <c r="S3205" t="s">
        <v>114</v>
      </c>
      <c r="T3205" t="s">
        <v>114</v>
      </c>
      <c r="W3205">
        <v>1470</v>
      </c>
      <c r="X3205">
        <v>1</v>
      </c>
      <c r="Y3205">
        <v>0</v>
      </c>
      <c r="Z3205">
        <v>0</v>
      </c>
      <c r="AA3205">
        <v>0</v>
      </c>
      <c r="AB3205">
        <v>0</v>
      </c>
      <c r="AC3205">
        <v>0</v>
      </c>
      <c r="AD3205">
        <v>1470</v>
      </c>
      <c r="AE3205">
        <v>0</v>
      </c>
      <c r="AF3205">
        <v>0</v>
      </c>
      <c r="AG3205">
        <v>0</v>
      </c>
      <c r="AH3205">
        <v>0</v>
      </c>
      <c r="AI3205">
        <v>0</v>
      </c>
      <c r="AJ3205">
        <v>0</v>
      </c>
      <c r="AK3205">
        <v>0</v>
      </c>
      <c r="AL3205">
        <v>0</v>
      </c>
      <c r="AM3205">
        <v>0</v>
      </c>
      <c r="AN3205">
        <v>0</v>
      </c>
      <c r="AO3205">
        <v>0</v>
      </c>
      <c r="AP3205">
        <v>1</v>
      </c>
      <c r="AQ3205">
        <v>0</v>
      </c>
      <c r="AR3205">
        <v>0</v>
      </c>
      <c r="AS3205">
        <v>0</v>
      </c>
      <c r="AT3205">
        <v>0</v>
      </c>
      <c r="AU3205">
        <f t="shared" si="98"/>
        <v>1</v>
      </c>
      <c r="AV3205">
        <f t="shared" si="99"/>
        <v>0</v>
      </c>
    </row>
    <row r="3206" spans="1:48" x14ac:dyDescent="0.25">
      <c r="A3206" t="s">
        <v>10468</v>
      </c>
      <c r="C3206" t="s">
        <v>10469</v>
      </c>
      <c r="D3206" t="s">
        <v>10470</v>
      </c>
      <c r="E3206" t="s">
        <v>1663</v>
      </c>
      <c r="F3206">
        <v>3</v>
      </c>
      <c r="G3206">
        <v>3.1</v>
      </c>
      <c r="H3206" t="s">
        <v>2017</v>
      </c>
      <c r="I3206" s="21">
        <v>40680</v>
      </c>
      <c r="J3206">
        <v>2011</v>
      </c>
      <c r="K3206" s="21">
        <v>40711</v>
      </c>
      <c r="L3206">
        <v>2011</v>
      </c>
      <c r="M3206" s="21">
        <v>40864</v>
      </c>
      <c r="N3206">
        <v>2011</v>
      </c>
      <c r="Q3206" s="262">
        <v>166000</v>
      </c>
      <c r="S3206" t="s">
        <v>114</v>
      </c>
      <c r="T3206" t="s">
        <v>114</v>
      </c>
      <c r="W3206">
        <v>1470</v>
      </c>
      <c r="X3206">
        <v>1</v>
      </c>
      <c r="Y3206">
        <v>0</v>
      </c>
      <c r="Z3206">
        <v>0</v>
      </c>
      <c r="AA3206">
        <v>0</v>
      </c>
      <c r="AB3206">
        <v>0</v>
      </c>
      <c r="AC3206">
        <v>0</v>
      </c>
      <c r="AD3206">
        <v>1470</v>
      </c>
      <c r="AE3206">
        <v>0</v>
      </c>
      <c r="AF3206">
        <v>0</v>
      </c>
      <c r="AG3206">
        <v>0</v>
      </c>
      <c r="AH3206">
        <v>0</v>
      </c>
      <c r="AI3206">
        <v>0</v>
      </c>
      <c r="AJ3206">
        <v>0</v>
      </c>
      <c r="AK3206">
        <v>0</v>
      </c>
      <c r="AL3206">
        <v>0</v>
      </c>
      <c r="AM3206">
        <v>0</v>
      </c>
      <c r="AN3206">
        <v>0</v>
      </c>
      <c r="AO3206">
        <v>0</v>
      </c>
      <c r="AP3206">
        <v>1</v>
      </c>
      <c r="AQ3206">
        <v>0</v>
      </c>
      <c r="AR3206">
        <v>0</v>
      </c>
      <c r="AS3206">
        <v>0</v>
      </c>
      <c r="AT3206">
        <v>0</v>
      </c>
      <c r="AU3206">
        <f t="shared" si="98"/>
        <v>1</v>
      </c>
      <c r="AV3206">
        <f t="shared" si="99"/>
        <v>0</v>
      </c>
    </row>
    <row r="3207" spans="1:48" x14ac:dyDescent="0.25">
      <c r="A3207" t="s">
        <v>10471</v>
      </c>
      <c r="C3207" t="s">
        <v>7716</v>
      </c>
      <c r="D3207" t="s">
        <v>10472</v>
      </c>
      <c r="E3207" t="s">
        <v>1663</v>
      </c>
      <c r="F3207">
        <v>3</v>
      </c>
      <c r="G3207">
        <v>3.1</v>
      </c>
      <c r="H3207" t="s">
        <v>2017</v>
      </c>
      <c r="I3207" s="21">
        <v>40680</v>
      </c>
      <c r="J3207">
        <v>2011</v>
      </c>
      <c r="K3207" s="21">
        <v>40711</v>
      </c>
      <c r="L3207">
        <v>2011</v>
      </c>
      <c r="M3207" s="21">
        <v>40864</v>
      </c>
      <c r="N3207">
        <v>2011</v>
      </c>
      <c r="Q3207" s="262">
        <v>166000</v>
      </c>
      <c r="S3207" t="s">
        <v>114</v>
      </c>
      <c r="T3207" t="s">
        <v>114</v>
      </c>
      <c r="W3207">
        <v>1470</v>
      </c>
      <c r="X3207">
        <v>1</v>
      </c>
      <c r="Y3207">
        <v>0</v>
      </c>
      <c r="Z3207">
        <v>0</v>
      </c>
      <c r="AA3207">
        <v>0</v>
      </c>
      <c r="AB3207">
        <v>0</v>
      </c>
      <c r="AC3207">
        <v>0</v>
      </c>
      <c r="AD3207">
        <v>1470</v>
      </c>
      <c r="AE3207">
        <v>0</v>
      </c>
      <c r="AF3207">
        <v>0</v>
      </c>
      <c r="AG3207">
        <v>0</v>
      </c>
      <c r="AH3207">
        <v>0</v>
      </c>
      <c r="AI3207">
        <v>0</v>
      </c>
      <c r="AJ3207">
        <v>0</v>
      </c>
      <c r="AK3207">
        <v>0</v>
      </c>
      <c r="AL3207">
        <v>0</v>
      </c>
      <c r="AM3207">
        <v>0</v>
      </c>
      <c r="AN3207">
        <v>0</v>
      </c>
      <c r="AO3207">
        <v>0</v>
      </c>
      <c r="AP3207">
        <v>1</v>
      </c>
      <c r="AQ3207">
        <v>0</v>
      </c>
      <c r="AR3207">
        <v>0</v>
      </c>
      <c r="AS3207">
        <v>0</v>
      </c>
      <c r="AT3207">
        <v>0</v>
      </c>
      <c r="AU3207">
        <f t="shared" si="98"/>
        <v>1</v>
      </c>
      <c r="AV3207">
        <f t="shared" si="99"/>
        <v>0</v>
      </c>
    </row>
    <row r="3208" spans="1:48" x14ac:dyDescent="0.25">
      <c r="A3208" t="s">
        <v>10473</v>
      </c>
      <c r="C3208" t="s">
        <v>10474</v>
      </c>
      <c r="D3208" t="s">
        <v>10475</v>
      </c>
      <c r="E3208" t="s">
        <v>1663</v>
      </c>
      <c r="F3208">
        <v>3</v>
      </c>
      <c r="G3208">
        <v>3.4</v>
      </c>
      <c r="H3208" t="s">
        <v>2017</v>
      </c>
      <c r="I3208" s="21">
        <v>40682</v>
      </c>
      <c r="J3208">
        <v>2011</v>
      </c>
      <c r="K3208" s="21">
        <v>40713</v>
      </c>
      <c r="L3208">
        <v>2011</v>
      </c>
      <c r="M3208" s="21">
        <v>40866</v>
      </c>
      <c r="N3208">
        <v>2011</v>
      </c>
      <c r="Q3208" s="262">
        <v>162500</v>
      </c>
      <c r="S3208" t="s">
        <v>114</v>
      </c>
      <c r="T3208" t="s">
        <v>114</v>
      </c>
      <c r="W3208">
        <v>1632</v>
      </c>
      <c r="X3208">
        <v>1</v>
      </c>
      <c r="Y3208">
        <v>0</v>
      </c>
      <c r="Z3208">
        <v>0</v>
      </c>
      <c r="AA3208">
        <v>0</v>
      </c>
      <c r="AB3208">
        <v>0</v>
      </c>
      <c r="AC3208">
        <v>0</v>
      </c>
      <c r="AD3208">
        <v>1632</v>
      </c>
      <c r="AE3208">
        <v>0</v>
      </c>
      <c r="AF3208">
        <v>0</v>
      </c>
      <c r="AG3208">
        <v>0</v>
      </c>
      <c r="AH3208">
        <v>0</v>
      </c>
      <c r="AI3208">
        <v>0</v>
      </c>
      <c r="AJ3208">
        <v>0</v>
      </c>
      <c r="AK3208">
        <v>0</v>
      </c>
      <c r="AL3208">
        <v>0</v>
      </c>
      <c r="AM3208">
        <v>0</v>
      </c>
      <c r="AN3208">
        <v>0</v>
      </c>
      <c r="AO3208">
        <v>0</v>
      </c>
      <c r="AP3208">
        <v>1</v>
      </c>
      <c r="AQ3208">
        <v>0</v>
      </c>
      <c r="AR3208">
        <v>0</v>
      </c>
      <c r="AS3208">
        <v>0</v>
      </c>
      <c r="AT3208">
        <v>0</v>
      </c>
      <c r="AU3208">
        <f t="shared" si="98"/>
        <v>1</v>
      </c>
      <c r="AV3208">
        <f t="shared" si="99"/>
        <v>0</v>
      </c>
    </row>
    <row r="3209" spans="1:48" x14ac:dyDescent="0.25">
      <c r="A3209" t="s">
        <v>10476</v>
      </c>
      <c r="C3209" t="s">
        <v>10477</v>
      </c>
      <c r="D3209" t="s">
        <v>10478</v>
      </c>
      <c r="E3209" t="s">
        <v>1663</v>
      </c>
      <c r="F3209">
        <v>3</v>
      </c>
      <c r="G3209">
        <v>3.4</v>
      </c>
      <c r="H3209" t="s">
        <v>2017</v>
      </c>
      <c r="I3209" s="21">
        <v>40682</v>
      </c>
      <c r="J3209">
        <v>2011</v>
      </c>
      <c r="K3209" s="21">
        <v>40713</v>
      </c>
      <c r="L3209">
        <v>2011</v>
      </c>
      <c r="M3209" s="21">
        <v>40866</v>
      </c>
      <c r="N3209">
        <v>2011</v>
      </c>
      <c r="Q3209" s="262">
        <v>162500</v>
      </c>
      <c r="S3209" t="s">
        <v>114</v>
      </c>
      <c r="T3209" t="s">
        <v>114</v>
      </c>
      <c r="W3209">
        <v>1643</v>
      </c>
      <c r="X3209">
        <v>1</v>
      </c>
      <c r="Y3209">
        <v>0</v>
      </c>
      <c r="Z3209">
        <v>0</v>
      </c>
      <c r="AA3209">
        <v>0</v>
      </c>
      <c r="AB3209">
        <v>0</v>
      </c>
      <c r="AC3209">
        <v>0</v>
      </c>
      <c r="AD3209">
        <v>1643</v>
      </c>
      <c r="AE3209">
        <v>0</v>
      </c>
      <c r="AF3209">
        <v>0</v>
      </c>
      <c r="AG3209">
        <v>0</v>
      </c>
      <c r="AH3209">
        <v>0</v>
      </c>
      <c r="AI3209">
        <v>0</v>
      </c>
      <c r="AJ3209">
        <v>0</v>
      </c>
      <c r="AK3209">
        <v>0</v>
      </c>
      <c r="AL3209">
        <v>0</v>
      </c>
      <c r="AM3209">
        <v>0</v>
      </c>
      <c r="AN3209">
        <v>0</v>
      </c>
      <c r="AO3209">
        <v>0</v>
      </c>
      <c r="AP3209">
        <v>1</v>
      </c>
      <c r="AQ3209">
        <v>0</v>
      </c>
      <c r="AR3209">
        <v>0</v>
      </c>
      <c r="AS3209">
        <v>0</v>
      </c>
      <c r="AT3209">
        <v>0</v>
      </c>
      <c r="AU3209">
        <f t="shared" si="98"/>
        <v>1</v>
      </c>
      <c r="AV3209">
        <f t="shared" si="99"/>
        <v>0</v>
      </c>
    </row>
    <row r="3210" spans="1:48" x14ac:dyDescent="0.25">
      <c r="A3210" t="s">
        <v>10479</v>
      </c>
      <c r="C3210" t="s">
        <v>10480</v>
      </c>
      <c r="D3210" t="s">
        <v>10481</v>
      </c>
      <c r="E3210" t="s">
        <v>1663</v>
      </c>
      <c r="F3210">
        <v>3</v>
      </c>
      <c r="G3210">
        <v>3.4</v>
      </c>
      <c r="H3210" t="s">
        <v>2017</v>
      </c>
      <c r="I3210" s="21">
        <v>40682</v>
      </c>
      <c r="J3210">
        <v>2011</v>
      </c>
      <c r="K3210" s="21">
        <v>40713</v>
      </c>
      <c r="L3210">
        <v>2011</v>
      </c>
      <c r="M3210" s="21">
        <v>40866</v>
      </c>
      <c r="N3210">
        <v>2011</v>
      </c>
      <c r="Q3210" s="262">
        <v>162500</v>
      </c>
      <c r="S3210" t="s">
        <v>114</v>
      </c>
      <c r="T3210" t="s">
        <v>114</v>
      </c>
      <c r="W3210">
        <v>1632</v>
      </c>
      <c r="X3210">
        <v>1</v>
      </c>
      <c r="Y3210">
        <v>0</v>
      </c>
      <c r="Z3210">
        <v>0</v>
      </c>
      <c r="AA3210">
        <v>0</v>
      </c>
      <c r="AB3210">
        <v>0</v>
      </c>
      <c r="AC3210">
        <v>0</v>
      </c>
      <c r="AD3210">
        <v>1632</v>
      </c>
      <c r="AE3210">
        <v>0</v>
      </c>
      <c r="AF3210">
        <v>0</v>
      </c>
      <c r="AG3210">
        <v>0</v>
      </c>
      <c r="AH3210">
        <v>0</v>
      </c>
      <c r="AI3210">
        <v>0</v>
      </c>
      <c r="AJ3210">
        <v>0</v>
      </c>
      <c r="AK3210">
        <v>0</v>
      </c>
      <c r="AL3210">
        <v>0</v>
      </c>
      <c r="AM3210">
        <v>0</v>
      </c>
      <c r="AN3210">
        <v>0</v>
      </c>
      <c r="AO3210">
        <v>0</v>
      </c>
      <c r="AP3210">
        <v>1</v>
      </c>
      <c r="AQ3210">
        <v>0</v>
      </c>
      <c r="AR3210">
        <v>0</v>
      </c>
      <c r="AS3210">
        <v>0</v>
      </c>
      <c r="AT3210">
        <v>0</v>
      </c>
      <c r="AU3210">
        <f t="shared" si="98"/>
        <v>1</v>
      </c>
      <c r="AV3210">
        <f t="shared" si="99"/>
        <v>0</v>
      </c>
    </row>
    <row r="3211" spans="1:48" x14ac:dyDescent="0.25">
      <c r="A3211" t="s">
        <v>10482</v>
      </c>
      <c r="C3211" t="s">
        <v>10483</v>
      </c>
      <c r="D3211" t="s">
        <v>10484</v>
      </c>
      <c r="E3211" t="s">
        <v>1663</v>
      </c>
      <c r="F3211">
        <v>3</v>
      </c>
      <c r="G3211">
        <v>3.4</v>
      </c>
      <c r="H3211" t="s">
        <v>2017</v>
      </c>
      <c r="I3211" s="21">
        <v>40682</v>
      </c>
      <c r="J3211">
        <v>2011</v>
      </c>
      <c r="K3211" s="21">
        <v>40713</v>
      </c>
      <c r="L3211">
        <v>2011</v>
      </c>
      <c r="M3211" s="21">
        <v>40866</v>
      </c>
      <c r="N3211">
        <v>2011</v>
      </c>
      <c r="Q3211" s="262">
        <v>162500</v>
      </c>
      <c r="S3211" t="s">
        <v>114</v>
      </c>
      <c r="T3211" t="s">
        <v>114</v>
      </c>
      <c r="W3211">
        <v>1643</v>
      </c>
      <c r="X3211">
        <v>1</v>
      </c>
      <c r="Y3211">
        <v>0</v>
      </c>
      <c r="Z3211">
        <v>0</v>
      </c>
      <c r="AA3211">
        <v>0</v>
      </c>
      <c r="AB3211">
        <v>0</v>
      </c>
      <c r="AC3211">
        <v>0</v>
      </c>
      <c r="AD3211">
        <v>1643</v>
      </c>
      <c r="AE3211">
        <v>0</v>
      </c>
      <c r="AF3211">
        <v>0</v>
      </c>
      <c r="AG3211">
        <v>0</v>
      </c>
      <c r="AH3211">
        <v>0</v>
      </c>
      <c r="AI3211">
        <v>0</v>
      </c>
      <c r="AJ3211">
        <v>0</v>
      </c>
      <c r="AK3211">
        <v>0</v>
      </c>
      <c r="AL3211">
        <v>0</v>
      </c>
      <c r="AM3211">
        <v>0</v>
      </c>
      <c r="AN3211">
        <v>0</v>
      </c>
      <c r="AO3211">
        <v>0</v>
      </c>
      <c r="AP3211">
        <v>1</v>
      </c>
      <c r="AQ3211">
        <v>0</v>
      </c>
      <c r="AR3211">
        <v>0</v>
      </c>
      <c r="AS3211">
        <v>0</v>
      </c>
      <c r="AT3211">
        <v>0</v>
      </c>
      <c r="AU3211">
        <f t="shared" si="98"/>
        <v>1</v>
      </c>
      <c r="AV3211">
        <f t="shared" si="99"/>
        <v>0</v>
      </c>
    </row>
    <row r="3212" spans="1:48" x14ac:dyDescent="0.25">
      <c r="A3212" t="s">
        <v>10485</v>
      </c>
      <c r="C3212" t="s">
        <v>10486</v>
      </c>
      <c r="D3212" t="s">
        <v>10487</v>
      </c>
      <c r="E3212" t="s">
        <v>2310</v>
      </c>
      <c r="F3212">
        <v>11</v>
      </c>
      <c r="G3212">
        <v>11.1</v>
      </c>
      <c r="H3212" t="s">
        <v>2327</v>
      </c>
      <c r="I3212" s="21">
        <v>40686.456921296303</v>
      </c>
      <c r="J3212">
        <v>2011</v>
      </c>
      <c r="K3212" s="21">
        <v>40686.456921296303</v>
      </c>
      <c r="L3212">
        <v>2011</v>
      </c>
      <c r="M3212" s="21">
        <v>41402.460138888899</v>
      </c>
      <c r="N3212">
        <v>2013</v>
      </c>
      <c r="Q3212" s="262">
        <v>35000</v>
      </c>
      <c r="R3212" s="262">
        <v>17000</v>
      </c>
      <c r="S3212" t="s">
        <v>114</v>
      </c>
      <c r="T3212" t="s">
        <v>114</v>
      </c>
      <c r="U3212">
        <v>10</v>
      </c>
      <c r="W3212">
        <v>0</v>
      </c>
      <c r="X3212">
        <v>0</v>
      </c>
      <c r="Y3212">
        <v>0</v>
      </c>
      <c r="Z3212">
        <v>0</v>
      </c>
      <c r="AA3212">
        <v>0</v>
      </c>
      <c r="AB3212">
        <v>0</v>
      </c>
      <c r="AC3212">
        <v>0</v>
      </c>
      <c r="AD3212">
        <v>0</v>
      </c>
      <c r="AE3212">
        <v>0</v>
      </c>
      <c r="AF3212">
        <v>0</v>
      </c>
      <c r="AG3212">
        <v>0</v>
      </c>
      <c r="AH3212">
        <v>0</v>
      </c>
      <c r="AI3212">
        <v>0</v>
      </c>
      <c r="AJ3212">
        <v>0</v>
      </c>
      <c r="AK3212">
        <v>0</v>
      </c>
      <c r="AL3212">
        <v>0</v>
      </c>
      <c r="AM3212">
        <v>0</v>
      </c>
      <c r="AN3212">
        <v>0</v>
      </c>
      <c r="AO3212">
        <v>0</v>
      </c>
      <c r="AP3212">
        <v>0</v>
      </c>
      <c r="AQ3212">
        <v>0</v>
      </c>
      <c r="AR3212">
        <v>0</v>
      </c>
      <c r="AS3212">
        <v>0</v>
      </c>
      <c r="AT3212">
        <v>0</v>
      </c>
      <c r="AU3212">
        <f t="shared" si="98"/>
        <v>0</v>
      </c>
      <c r="AV3212">
        <f t="shared" si="99"/>
        <v>0</v>
      </c>
    </row>
    <row r="3213" spans="1:48" x14ac:dyDescent="0.25">
      <c r="A3213" t="s">
        <v>10488</v>
      </c>
      <c r="C3213" t="s">
        <v>10489</v>
      </c>
      <c r="D3213" t="s">
        <v>10490</v>
      </c>
      <c r="E3213" t="s">
        <v>2310</v>
      </c>
      <c r="F3213">
        <v>9</v>
      </c>
      <c r="G3213">
        <v>9.4</v>
      </c>
      <c r="H3213" t="s">
        <v>2323</v>
      </c>
      <c r="I3213" s="21">
        <v>40686.596747685202</v>
      </c>
      <c r="J3213">
        <v>2011</v>
      </c>
      <c r="K3213" s="21">
        <v>40686.596747685202</v>
      </c>
      <c r="L3213">
        <v>2011</v>
      </c>
      <c r="M3213" s="21">
        <v>40920.508738425902</v>
      </c>
      <c r="N3213">
        <v>2012</v>
      </c>
      <c r="Q3213" s="262">
        <v>350000</v>
      </c>
      <c r="R3213" s="262">
        <v>150000</v>
      </c>
      <c r="S3213" t="s">
        <v>114</v>
      </c>
      <c r="T3213" t="s">
        <v>114</v>
      </c>
      <c r="U3213">
        <v>5</v>
      </c>
      <c r="W3213">
        <v>1472</v>
      </c>
      <c r="X3213">
        <v>0</v>
      </c>
      <c r="Y3213">
        <v>0</v>
      </c>
      <c r="Z3213">
        <v>0</v>
      </c>
      <c r="AA3213">
        <v>0</v>
      </c>
      <c r="AB3213">
        <v>0</v>
      </c>
      <c r="AC3213">
        <v>1472</v>
      </c>
      <c r="AD3213">
        <v>0</v>
      </c>
      <c r="AE3213">
        <v>0</v>
      </c>
      <c r="AF3213">
        <v>0</v>
      </c>
      <c r="AG3213">
        <v>0</v>
      </c>
      <c r="AH3213">
        <v>0</v>
      </c>
      <c r="AI3213">
        <v>0</v>
      </c>
      <c r="AJ3213">
        <v>0</v>
      </c>
      <c r="AK3213">
        <v>0</v>
      </c>
      <c r="AL3213">
        <v>0</v>
      </c>
      <c r="AM3213">
        <v>0</v>
      </c>
      <c r="AN3213">
        <v>0</v>
      </c>
      <c r="AO3213">
        <v>0</v>
      </c>
      <c r="AP3213">
        <v>0</v>
      </c>
      <c r="AQ3213">
        <v>0</v>
      </c>
      <c r="AR3213">
        <v>0</v>
      </c>
      <c r="AS3213">
        <v>0</v>
      </c>
      <c r="AT3213">
        <v>0</v>
      </c>
      <c r="AU3213">
        <f t="shared" si="98"/>
        <v>0</v>
      </c>
      <c r="AV3213">
        <f t="shared" si="99"/>
        <v>0</v>
      </c>
    </row>
    <row r="3214" spans="1:48" x14ac:dyDescent="0.25">
      <c r="A3214" t="s">
        <v>10491</v>
      </c>
      <c r="C3214" t="s">
        <v>10492</v>
      </c>
      <c r="D3214" t="s">
        <v>10493</v>
      </c>
      <c r="E3214" t="s">
        <v>1663</v>
      </c>
      <c r="F3214">
        <v>3</v>
      </c>
      <c r="G3214">
        <v>3.2</v>
      </c>
      <c r="H3214" t="s">
        <v>2327</v>
      </c>
      <c r="I3214" s="21">
        <v>40688</v>
      </c>
      <c r="J3214">
        <v>2011</v>
      </c>
      <c r="K3214" s="21">
        <v>40719</v>
      </c>
      <c r="L3214">
        <v>2011</v>
      </c>
      <c r="M3214" s="21">
        <v>40872</v>
      </c>
      <c r="N3214">
        <v>2011</v>
      </c>
      <c r="Q3214" s="262">
        <v>80000</v>
      </c>
      <c r="S3214" t="s">
        <v>114</v>
      </c>
      <c r="T3214" t="s">
        <v>114</v>
      </c>
      <c r="W3214">
        <v>442</v>
      </c>
      <c r="X3214">
        <v>1</v>
      </c>
      <c r="Y3214">
        <v>0</v>
      </c>
      <c r="Z3214">
        <v>0</v>
      </c>
      <c r="AA3214">
        <v>0</v>
      </c>
      <c r="AB3214">
        <v>0</v>
      </c>
      <c r="AC3214">
        <v>0</v>
      </c>
      <c r="AD3214">
        <v>0</v>
      </c>
      <c r="AE3214">
        <v>442</v>
      </c>
      <c r="AF3214">
        <v>0</v>
      </c>
      <c r="AG3214">
        <v>0</v>
      </c>
      <c r="AH3214">
        <v>0</v>
      </c>
      <c r="AI3214">
        <v>0</v>
      </c>
      <c r="AJ3214">
        <v>0</v>
      </c>
      <c r="AK3214">
        <v>0</v>
      </c>
      <c r="AL3214">
        <v>0</v>
      </c>
      <c r="AM3214">
        <v>0</v>
      </c>
      <c r="AN3214">
        <v>0</v>
      </c>
      <c r="AO3214">
        <v>0</v>
      </c>
      <c r="AP3214">
        <v>0</v>
      </c>
      <c r="AQ3214">
        <v>1</v>
      </c>
      <c r="AR3214">
        <v>0</v>
      </c>
      <c r="AS3214">
        <v>0</v>
      </c>
      <c r="AT3214">
        <v>0</v>
      </c>
      <c r="AU3214">
        <f t="shared" si="98"/>
        <v>1</v>
      </c>
      <c r="AV3214">
        <f t="shared" si="99"/>
        <v>0</v>
      </c>
    </row>
    <row r="3215" spans="1:48" x14ac:dyDescent="0.25">
      <c r="A3215" t="s">
        <v>10494</v>
      </c>
      <c r="C3215" t="s">
        <v>10495</v>
      </c>
      <c r="D3215" t="s">
        <v>10496</v>
      </c>
      <c r="E3215" t="s">
        <v>2310</v>
      </c>
      <c r="F3215">
        <v>9</v>
      </c>
      <c r="G3215">
        <v>9.4</v>
      </c>
      <c r="H3215" t="s">
        <v>2323</v>
      </c>
      <c r="I3215" s="21">
        <v>40689.441261574102</v>
      </c>
      <c r="J3215">
        <v>2011</v>
      </c>
      <c r="K3215" s="21">
        <v>40689.441261574102</v>
      </c>
      <c r="L3215">
        <v>2011</v>
      </c>
      <c r="M3215" s="21">
        <v>41031.5484953704</v>
      </c>
      <c r="N3215">
        <v>2012</v>
      </c>
      <c r="Q3215" s="262">
        <v>250000</v>
      </c>
      <c r="R3215" s="262">
        <v>119000</v>
      </c>
      <c r="S3215" t="s">
        <v>114</v>
      </c>
      <c r="T3215" t="s">
        <v>114</v>
      </c>
      <c r="U3215">
        <v>5</v>
      </c>
      <c r="V3215">
        <v>600</v>
      </c>
      <c r="W3215">
        <v>700</v>
      </c>
      <c r="X3215">
        <v>0</v>
      </c>
      <c r="Y3215">
        <v>0</v>
      </c>
      <c r="Z3215">
        <v>0</v>
      </c>
      <c r="AA3215">
        <v>0</v>
      </c>
      <c r="AB3215">
        <v>0</v>
      </c>
      <c r="AC3215">
        <v>700</v>
      </c>
      <c r="AD3215">
        <v>0</v>
      </c>
      <c r="AE3215">
        <v>0</v>
      </c>
      <c r="AF3215">
        <v>0</v>
      </c>
      <c r="AG3215">
        <v>0</v>
      </c>
      <c r="AH3215">
        <v>0</v>
      </c>
      <c r="AI3215">
        <v>0</v>
      </c>
      <c r="AJ3215">
        <v>0</v>
      </c>
      <c r="AK3215">
        <v>0</v>
      </c>
      <c r="AL3215">
        <v>0</v>
      </c>
      <c r="AM3215">
        <v>0</v>
      </c>
      <c r="AN3215">
        <v>0</v>
      </c>
      <c r="AO3215">
        <v>0</v>
      </c>
      <c r="AP3215">
        <v>0</v>
      </c>
      <c r="AQ3215">
        <v>0</v>
      </c>
      <c r="AR3215">
        <v>0</v>
      </c>
      <c r="AS3215">
        <v>0</v>
      </c>
      <c r="AT3215">
        <v>0</v>
      </c>
      <c r="AU3215">
        <f t="shared" si="98"/>
        <v>0</v>
      </c>
      <c r="AV3215">
        <f t="shared" si="99"/>
        <v>0</v>
      </c>
    </row>
    <row r="3216" spans="1:48" x14ac:dyDescent="0.25">
      <c r="A3216" t="s">
        <v>10497</v>
      </c>
      <c r="C3216" t="s">
        <v>10498</v>
      </c>
      <c r="D3216" t="s">
        <v>10499</v>
      </c>
      <c r="E3216" t="s">
        <v>2310</v>
      </c>
      <c r="F3216">
        <v>9</v>
      </c>
      <c r="G3216">
        <v>9.3000000000000007</v>
      </c>
      <c r="H3216" t="s">
        <v>2323</v>
      </c>
      <c r="I3216" s="21">
        <v>40689.480046296303</v>
      </c>
      <c r="J3216">
        <v>2011</v>
      </c>
      <c r="M3216" s="21">
        <v>40850.439293981501</v>
      </c>
      <c r="N3216">
        <v>2011</v>
      </c>
      <c r="Q3216" s="262">
        <v>125000</v>
      </c>
      <c r="R3216" s="262">
        <v>60000</v>
      </c>
      <c r="S3216" t="s">
        <v>114</v>
      </c>
      <c r="T3216" t="s">
        <v>114</v>
      </c>
      <c r="U3216">
        <v>5</v>
      </c>
      <c r="V3216">
        <v>400</v>
      </c>
      <c r="W3216">
        <v>234</v>
      </c>
      <c r="X3216">
        <v>0</v>
      </c>
      <c r="Y3216">
        <v>0</v>
      </c>
      <c r="Z3216">
        <v>0</v>
      </c>
      <c r="AA3216">
        <v>0</v>
      </c>
      <c r="AB3216">
        <v>0</v>
      </c>
      <c r="AC3216">
        <v>234</v>
      </c>
      <c r="AD3216">
        <v>0</v>
      </c>
      <c r="AE3216">
        <v>0</v>
      </c>
      <c r="AF3216">
        <v>0</v>
      </c>
      <c r="AG3216">
        <v>0</v>
      </c>
      <c r="AH3216">
        <v>0</v>
      </c>
      <c r="AI3216">
        <v>0</v>
      </c>
      <c r="AJ3216">
        <v>0</v>
      </c>
      <c r="AK3216">
        <v>0</v>
      </c>
      <c r="AL3216">
        <v>0</v>
      </c>
      <c r="AM3216">
        <v>0</v>
      </c>
      <c r="AN3216">
        <v>0</v>
      </c>
      <c r="AO3216">
        <v>0</v>
      </c>
      <c r="AP3216">
        <v>0</v>
      </c>
      <c r="AQ3216">
        <v>0</v>
      </c>
      <c r="AR3216">
        <v>0</v>
      </c>
      <c r="AS3216">
        <v>0</v>
      </c>
      <c r="AT3216">
        <v>0</v>
      </c>
      <c r="AU3216">
        <f t="shared" si="98"/>
        <v>0</v>
      </c>
      <c r="AV3216">
        <f t="shared" si="99"/>
        <v>0</v>
      </c>
    </row>
    <row r="3217" spans="1:48" x14ac:dyDescent="0.25">
      <c r="A3217" t="s">
        <v>10500</v>
      </c>
      <c r="C3217" t="s">
        <v>10501</v>
      </c>
      <c r="D3217" t="s">
        <v>10502</v>
      </c>
      <c r="E3217" t="s">
        <v>2310</v>
      </c>
      <c r="F3217">
        <v>9</v>
      </c>
      <c r="G3217">
        <v>9.1</v>
      </c>
      <c r="H3217" t="s">
        <v>2323</v>
      </c>
      <c r="I3217" s="21">
        <v>40694.438240740703</v>
      </c>
      <c r="J3217">
        <v>2011</v>
      </c>
      <c r="K3217" s="21">
        <v>40694.438240740703</v>
      </c>
      <c r="L3217">
        <v>2011</v>
      </c>
      <c r="M3217" s="21">
        <v>41100.552638888897</v>
      </c>
      <c r="N3217">
        <v>2012</v>
      </c>
      <c r="Q3217" s="262">
        <v>1300000</v>
      </c>
      <c r="R3217" s="262">
        <v>395000</v>
      </c>
      <c r="S3217" t="s">
        <v>114</v>
      </c>
      <c r="T3217" t="s">
        <v>114</v>
      </c>
      <c r="U3217">
        <v>5</v>
      </c>
      <c r="W3217">
        <v>4366</v>
      </c>
      <c r="X3217">
        <v>1</v>
      </c>
      <c r="Y3217">
        <v>0</v>
      </c>
      <c r="Z3217">
        <v>0</v>
      </c>
      <c r="AA3217">
        <v>0</v>
      </c>
      <c r="AB3217">
        <v>0</v>
      </c>
      <c r="AC3217">
        <v>4366</v>
      </c>
      <c r="AD3217">
        <v>0</v>
      </c>
      <c r="AE3217">
        <v>0</v>
      </c>
      <c r="AF3217">
        <v>0</v>
      </c>
      <c r="AG3217">
        <v>0</v>
      </c>
      <c r="AH3217">
        <v>0</v>
      </c>
      <c r="AI3217">
        <v>0</v>
      </c>
      <c r="AJ3217">
        <v>0</v>
      </c>
      <c r="AK3217">
        <v>0</v>
      </c>
      <c r="AL3217">
        <v>0</v>
      </c>
      <c r="AM3217">
        <v>0</v>
      </c>
      <c r="AN3217">
        <v>0</v>
      </c>
      <c r="AO3217">
        <v>1</v>
      </c>
      <c r="AP3217">
        <v>0</v>
      </c>
      <c r="AQ3217">
        <v>0</v>
      </c>
      <c r="AR3217">
        <v>0</v>
      </c>
      <c r="AS3217">
        <v>0</v>
      </c>
      <c r="AT3217">
        <v>0</v>
      </c>
      <c r="AU3217">
        <f t="shared" si="98"/>
        <v>1</v>
      </c>
      <c r="AV3217">
        <f t="shared" si="99"/>
        <v>0</v>
      </c>
    </row>
    <row r="3218" spans="1:48" x14ac:dyDescent="0.25">
      <c r="A3218" t="s">
        <v>10503</v>
      </c>
      <c r="C3218" t="s">
        <v>10504</v>
      </c>
      <c r="D3218" t="s">
        <v>10427</v>
      </c>
      <c r="E3218" t="s">
        <v>2310</v>
      </c>
      <c r="F3218">
        <v>9</v>
      </c>
      <c r="G3218">
        <v>9.1999999999999993</v>
      </c>
      <c r="H3218" t="s">
        <v>2022</v>
      </c>
      <c r="I3218" s="21">
        <v>40695.403101851902</v>
      </c>
      <c r="J3218">
        <v>2011</v>
      </c>
      <c r="K3218" s="21">
        <v>40695.403101851902</v>
      </c>
      <c r="L3218">
        <v>2011</v>
      </c>
      <c r="M3218" s="21">
        <v>41768.610798611102</v>
      </c>
      <c r="N3218">
        <v>2014</v>
      </c>
      <c r="Q3218" s="262">
        <v>300000</v>
      </c>
      <c r="R3218" s="262">
        <v>128000</v>
      </c>
      <c r="S3218" t="s">
        <v>114</v>
      </c>
      <c r="T3218" t="s">
        <v>114</v>
      </c>
      <c r="U3218">
        <v>8</v>
      </c>
      <c r="W3218">
        <v>1693</v>
      </c>
      <c r="X3218">
        <v>1</v>
      </c>
      <c r="Y3218">
        <v>0</v>
      </c>
      <c r="Z3218">
        <v>0</v>
      </c>
      <c r="AA3218">
        <v>0</v>
      </c>
      <c r="AB3218">
        <v>0</v>
      </c>
      <c r="AC3218">
        <v>694</v>
      </c>
      <c r="AD3218">
        <v>0</v>
      </c>
      <c r="AE3218">
        <v>0</v>
      </c>
      <c r="AF3218">
        <v>999</v>
      </c>
      <c r="AG3218">
        <v>0</v>
      </c>
      <c r="AH3218">
        <v>0</v>
      </c>
      <c r="AI3218">
        <v>0</v>
      </c>
      <c r="AJ3218">
        <v>0</v>
      </c>
      <c r="AK3218">
        <v>0</v>
      </c>
      <c r="AL3218">
        <v>0</v>
      </c>
      <c r="AM3218">
        <v>0</v>
      </c>
      <c r="AN3218">
        <v>0</v>
      </c>
      <c r="AO3218">
        <v>0</v>
      </c>
      <c r="AP3218">
        <v>0</v>
      </c>
      <c r="AQ3218">
        <v>0</v>
      </c>
      <c r="AR3218">
        <v>1</v>
      </c>
      <c r="AS3218">
        <v>0</v>
      </c>
      <c r="AT3218">
        <v>0</v>
      </c>
      <c r="AU3218">
        <f t="shared" si="98"/>
        <v>0</v>
      </c>
      <c r="AV3218">
        <f t="shared" si="99"/>
        <v>0</v>
      </c>
    </row>
    <row r="3219" spans="1:48" x14ac:dyDescent="0.25">
      <c r="A3219" t="s">
        <v>10505</v>
      </c>
      <c r="C3219" t="s">
        <v>10506</v>
      </c>
      <c r="D3219" t="s">
        <v>10507</v>
      </c>
      <c r="E3219" t="s">
        <v>2310</v>
      </c>
      <c r="F3219">
        <v>13</v>
      </c>
      <c r="G3219">
        <v>13.2</v>
      </c>
      <c r="H3219" t="s">
        <v>2327</v>
      </c>
      <c r="I3219" s="21">
        <v>40695.681689814803</v>
      </c>
      <c r="J3219">
        <v>2011</v>
      </c>
      <c r="K3219" s="21">
        <v>40695.681689814803</v>
      </c>
      <c r="L3219">
        <v>2011</v>
      </c>
      <c r="M3219" s="21">
        <v>41332.573067129597</v>
      </c>
      <c r="N3219">
        <v>2013</v>
      </c>
      <c r="Q3219" s="262">
        <v>2900000</v>
      </c>
      <c r="R3219" s="262">
        <v>713000</v>
      </c>
      <c r="S3219" t="s">
        <v>114</v>
      </c>
      <c r="T3219" t="s">
        <v>114</v>
      </c>
      <c r="U3219">
        <v>5</v>
      </c>
      <c r="W3219">
        <v>7520</v>
      </c>
      <c r="X3219">
        <v>1</v>
      </c>
      <c r="Y3219">
        <v>0</v>
      </c>
      <c r="Z3219">
        <v>0</v>
      </c>
      <c r="AA3219">
        <v>0</v>
      </c>
      <c r="AB3219">
        <v>0</v>
      </c>
      <c r="AC3219">
        <v>7520</v>
      </c>
      <c r="AD3219">
        <v>0</v>
      </c>
      <c r="AE3219">
        <v>0</v>
      </c>
      <c r="AF3219">
        <v>0</v>
      </c>
      <c r="AG3219">
        <v>0</v>
      </c>
      <c r="AH3219">
        <v>0</v>
      </c>
      <c r="AI3219">
        <v>0</v>
      </c>
      <c r="AJ3219">
        <v>0</v>
      </c>
      <c r="AK3219">
        <v>0</v>
      </c>
      <c r="AL3219">
        <v>0</v>
      </c>
      <c r="AM3219">
        <v>0</v>
      </c>
      <c r="AN3219">
        <v>0</v>
      </c>
      <c r="AO3219">
        <v>1</v>
      </c>
      <c r="AP3219">
        <v>0</v>
      </c>
      <c r="AQ3219">
        <v>0</v>
      </c>
      <c r="AR3219">
        <v>0</v>
      </c>
      <c r="AS3219">
        <v>0</v>
      </c>
      <c r="AT3219">
        <v>0</v>
      </c>
      <c r="AU3219">
        <f t="shared" si="98"/>
        <v>1</v>
      </c>
      <c r="AV3219">
        <f t="shared" si="99"/>
        <v>0</v>
      </c>
    </row>
    <row r="3220" spans="1:48" x14ac:dyDescent="0.25">
      <c r="A3220" t="s">
        <v>10508</v>
      </c>
      <c r="C3220" t="s">
        <v>10509</v>
      </c>
      <c r="D3220" t="s">
        <v>10510</v>
      </c>
      <c r="E3220" t="s">
        <v>2310</v>
      </c>
      <c r="F3220">
        <v>9</v>
      </c>
      <c r="G3220">
        <v>9.1999999999999993</v>
      </c>
      <c r="H3220" t="s">
        <v>2022</v>
      </c>
      <c r="I3220" s="21">
        <v>40696.474537037</v>
      </c>
      <c r="J3220">
        <v>2011</v>
      </c>
      <c r="K3220" s="21">
        <v>40696.474537037</v>
      </c>
      <c r="L3220">
        <v>2011</v>
      </c>
      <c r="M3220" s="21">
        <v>41038.487986111097</v>
      </c>
      <c r="N3220">
        <v>2012</v>
      </c>
      <c r="Q3220" s="262">
        <v>460000</v>
      </c>
      <c r="R3220" s="262">
        <v>249000</v>
      </c>
      <c r="S3220" t="s">
        <v>114</v>
      </c>
      <c r="T3220" t="s">
        <v>114</v>
      </c>
      <c r="U3220">
        <v>5</v>
      </c>
      <c r="V3220">
        <v>2072</v>
      </c>
      <c r="W3220">
        <v>1932</v>
      </c>
      <c r="X3220">
        <v>0</v>
      </c>
      <c r="Y3220">
        <v>0</v>
      </c>
      <c r="Z3220">
        <v>0</v>
      </c>
      <c r="AA3220">
        <v>0</v>
      </c>
      <c r="AB3220">
        <v>0</v>
      </c>
      <c r="AC3220">
        <v>1932</v>
      </c>
      <c r="AD3220">
        <v>0</v>
      </c>
      <c r="AE3220">
        <v>0</v>
      </c>
      <c r="AF3220">
        <v>0</v>
      </c>
      <c r="AG3220">
        <v>0</v>
      </c>
      <c r="AH3220">
        <v>0</v>
      </c>
      <c r="AI3220">
        <v>0</v>
      </c>
      <c r="AJ3220">
        <v>0</v>
      </c>
      <c r="AK3220">
        <v>0</v>
      </c>
      <c r="AL3220">
        <v>0</v>
      </c>
      <c r="AM3220">
        <v>0</v>
      </c>
      <c r="AN3220">
        <v>0</v>
      </c>
      <c r="AO3220">
        <v>0</v>
      </c>
      <c r="AP3220">
        <v>0</v>
      </c>
      <c r="AQ3220">
        <v>0</v>
      </c>
      <c r="AR3220">
        <v>0</v>
      </c>
      <c r="AS3220">
        <v>0</v>
      </c>
      <c r="AT3220">
        <v>0</v>
      </c>
      <c r="AU3220">
        <f t="shared" si="98"/>
        <v>0</v>
      </c>
      <c r="AV3220">
        <f t="shared" si="99"/>
        <v>0</v>
      </c>
    </row>
    <row r="3221" spans="1:48" x14ac:dyDescent="0.25">
      <c r="A3221" t="s">
        <v>10511</v>
      </c>
      <c r="C3221" t="s">
        <v>10512</v>
      </c>
      <c r="D3221" t="s">
        <v>10513</v>
      </c>
      <c r="E3221" t="s">
        <v>2310</v>
      </c>
      <c r="F3221">
        <v>15</v>
      </c>
      <c r="G3221">
        <v>15.4</v>
      </c>
      <c r="H3221" t="s">
        <v>2323</v>
      </c>
      <c r="I3221" s="21">
        <v>40696.677928240701</v>
      </c>
      <c r="J3221">
        <v>2011</v>
      </c>
      <c r="K3221" s="21">
        <v>40696.677928240701</v>
      </c>
      <c r="L3221">
        <v>2011</v>
      </c>
      <c r="M3221" s="21">
        <v>41373.672766203701</v>
      </c>
      <c r="N3221">
        <v>2013</v>
      </c>
      <c r="Q3221" s="262">
        <v>2676737</v>
      </c>
      <c r="R3221" s="262">
        <v>607000</v>
      </c>
      <c r="S3221" t="s">
        <v>114</v>
      </c>
      <c r="T3221" t="s">
        <v>114</v>
      </c>
      <c r="U3221">
        <v>5</v>
      </c>
      <c r="W3221">
        <v>7617</v>
      </c>
      <c r="X3221">
        <v>1</v>
      </c>
      <c r="Y3221">
        <v>0</v>
      </c>
      <c r="Z3221">
        <v>0</v>
      </c>
      <c r="AA3221">
        <v>0</v>
      </c>
      <c r="AB3221">
        <v>0</v>
      </c>
      <c r="AC3221">
        <v>7617</v>
      </c>
      <c r="AD3221">
        <v>0</v>
      </c>
      <c r="AE3221">
        <v>0</v>
      </c>
      <c r="AF3221">
        <v>0</v>
      </c>
      <c r="AG3221">
        <v>0</v>
      </c>
      <c r="AH3221">
        <v>0</v>
      </c>
      <c r="AI3221">
        <v>0</v>
      </c>
      <c r="AJ3221">
        <v>0</v>
      </c>
      <c r="AK3221">
        <v>0</v>
      </c>
      <c r="AL3221">
        <v>0</v>
      </c>
      <c r="AM3221">
        <v>0</v>
      </c>
      <c r="AN3221">
        <v>0</v>
      </c>
      <c r="AO3221">
        <v>1</v>
      </c>
      <c r="AP3221">
        <v>0</v>
      </c>
      <c r="AQ3221">
        <v>0</v>
      </c>
      <c r="AR3221">
        <v>0</v>
      </c>
      <c r="AS3221">
        <v>0</v>
      </c>
      <c r="AT3221">
        <v>0</v>
      </c>
      <c r="AU3221">
        <f t="shared" si="98"/>
        <v>1</v>
      </c>
      <c r="AV3221">
        <f t="shared" si="99"/>
        <v>0</v>
      </c>
    </row>
    <row r="3222" spans="1:48" x14ac:dyDescent="0.25">
      <c r="A3222" t="s">
        <v>10514</v>
      </c>
      <c r="C3222" t="s">
        <v>10515</v>
      </c>
      <c r="D3222" t="s">
        <v>10516</v>
      </c>
      <c r="E3222" t="s">
        <v>1663</v>
      </c>
      <c r="F3222">
        <v>3</v>
      </c>
      <c r="G3222">
        <v>3.1</v>
      </c>
      <c r="H3222" t="s">
        <v>2017</v>
      </c>
      <c r="I3222" s="21">
        <v>40700</v>
      </c>
      <c r="J3222">
        <v>2011</v>
      </c>
      <c r="K3222" s="21">
        <v>40730</v>
      </c>
      <c r="L3222">
        <v>2011</v>
      </c>
      <c r="M3222" s="21">
        <v>40883</v>
      </c>
      <c r="N3222">
        <v>2011</v>
      </c>
      <c r="Q3222" s="262">
        <v>166000</v>
      </c>
      <c r="S3222" t="s">
        <v>114</v>
      </c>
      <c r="T3222" t="s">
        <v>114</v>
      </c>
      <c r="W3222">
        <v>1479</v>
      </c>
      <c r="X3222">
        <v>1</v>
      </c>
      <c r="Y3222">
        <v>0</v>
      </c>
      <c r="Z3222">
        <v>0</v>
      </c>
      <c r="AA3222">
        <v>0</v>
      </c>
      <c r="AB3222">
        <v>0</v>
      </c>
      <c r="AC3222">
        <v>0</v>
      </c>
      <c r="AD3222">
        <v>1479</v>
      </c>
      <c r="AE3222">
        <v>0</v>
      </c>
      <c r="AF3222">
        <v>0</v>
      </c>
      <c r="AG3222">
        <v>0</v>
      </c>
      <c r="AH3222">
        <v>0</v>
      </c>
      <c r="AI3222">
        <v>0</v>
      </c>
      <c r="AJ3222">
        <v>0</v>
      </c>
      <c r="AK3222">
        <v>0</v>
      </c>
      <c r="AL3222">
        <v>0</v>
      </c>
      <c r="AM3222">
        <v>0</v>
      </c>
      <c r="AN3222">
        <v>0</v>
      </c>
      <c r="AO3222">
        <v>0</v>
      </c>
      <c r="AP3222">
        <v>1</v>
      </c>
      <c r="AQ3222">
        <v>0</v>
      </c>
      <c r="AR3222">
        <v>0</v>
      </c>
      <c r="AS3222">
        <v>0</v>
      </c>
      <c r="AT3222">
        <v>0</v>
      </c>
      <c r="AU3222">
        <f t="shared" si="98"/>
        <v>1</v>
      </c>
      <c r="AV3222">
        <f t="shared" si="99"/>
        <v>0</v>
      </c>
    </row>
    <row r="3223" spans="1:48" x14ac:dyDescent="0.25">
      <c r="A3223" t="s">
        <v>10517</v>
      </c>
      <c r="C3223" t="s">
        <v>10518</v>
      </c>
      <c r="D3223" t="s">
        <v>10519</v>
      </c>
      <c r="E3223" t="s">
        <v>1663</v>
      </c>
      <c r="F3223">
        <v>3</v>
      </c>
      <c r="G3223">
        <v>3.1</v>
      </c>
      <c r="H3223" t="s">
        <v>2017</v>
      </c>
      <c r="I3223" s="21">
        <v>40700</v>
      </c>
      <c r="J3223">
        <v>2011</v>
      </c>
      <c r="K3223" s="21">
        <v>40730</v>
      </c>
      <c r="L3223">
        <v>2011</v>
      </c>
      <c r="M3223" s="21">
        <v>40883</v>
      </c>
      <c r="N3223">
        <v>2011</v>
      </c>
      <c r="Q3223" s="262">
        <v>166000</v>
      </c>
      <c r="S3223" t="s">
        <v>114</v>
      </c>
      <c r="T3223" t="s">
        <v>114</v>
      </c>
      <c r="W3223">
        <v>1470</v>
      </c>
      <c r="X3223">
        <v>1</v>
      </c>
      <c r="Y3223">
        <v>0</v>
      </c>
      <c r="Z3223">
        <v>0</v>
      </c>
      <c r="AA3223">
        <v>0</v>
      </c>
      <c r="AB3223">
        <v>0</v>
      </c>
      <c r="AC3223">
        <v>0</v>
      </c>
      <c r="AD3223">
        <v>1470</v>
      </c>
      <c r="AE3223">
        <v>0</v>
      </c>
      <c r="AF3223">
        <v>0</v>
      </c>
      <c r="AG3223">
        <v>0</v>
      </c>
      <c r="AH3223">
        <v>0</v>
      </c>
      <c r="AI3223">
        <v>0</v>
      </c>
      <c r="AJ3223">
        <v>0</v>
      </c>
      <c r="AK3223">
        <v>0</v>
      </c>
      <c r="AL3223">
        <v>0</v>
      </c>
      <c r="AM3223">
        <v>0</v>
      </c>
      <c r="AN3223">
        <v>0</v>
      </c>
      <c r="AO3223">
        <v>0</v>
      </c>
      <c r="AP3223">
        <v>1</v>
      </c>
      <c r="AQ3223">
        <v>0</v>
      </c>
      <c r="AR3223">
        <v>0</v>
      </c>
      <c r="AS3223">
        <v>0</v>
      </c>
      <c r="AT3223">
        <v>0</v>
      </c>
      <c r="AU3223">
        <f t="shared" si="98"/>
        <v>1</v>
      </c>
      <c r="AV3223">
        <f t="shared" si="99"/>
        <v>0</v>
      </c>
    </row>
    <row r="3224" spans="1:48" x14ac:dyDescent="0.25">
      <c r="A3224" t="s">
        <v>10520</v>
      </c>
      <c r="C3224" t="s">
        <v>10521</v>
      </c>
      <c r="D3224" t="s">
        <v>10522</v>
      </c>
      <c r="E3224" t="s">
        <v>2310</v>
      </c>
      <c r="F3224">
        <v>8</v>
      </c>
      <c r="G3224">
        <v>8.1999999999999993</v>
      </c>
      <c r="H3224" t="s">
        <v>2022</v>
      </c>
      <c r="I3224" s="21">
        <v>40700.588090277801</v>
      </c>
      <c r="J3224">
        <v>2011</v>
      </c>
      <c r="K3224" s="21">
        <v>40700.588090277801</v>
      </c>
      <c r="L3224">
        <v>2011</v>
      </c>
      <c r="M3224" s="21">
        <v>41199.476307870398</v>
      </c>
      <c r="N3224">
        <v>2012</v>
      </c>
      <c r="Q3224" s="262">
        <v>1500000</v>
      </c>
      <c r="R3224" s="262">
        <v>473000</v>
      </c>
      <c r="S3224" t="s">
        <v>114</v>
      </c>
      <c r="T3224" t="s">
        <v>114</v>
      </c>
      <c r="U3224">
        <v>5</v>
      </c>
      <c r="W3224">
        <v>4999</v>
      </c>
      <c r="X3224">
        <v>1</v>
      </c>
      <c r="Y3224">
        <v>0</v>
      </c>
      <c r="Z3224">
        <v>0</v>
      </c>
      <c r="AA3224">
        <v>0</v>
      </c>
      <c r="AB3224">
        <v>0</v>
      </c>
      <c r="AC3224">
        <v>4999</v>
      </c>
      <c r="AD3224">
        <v>0</v>
      </c>
      <c r="AE3224">
        <v>0</v>
      </c>
      <c r="AF3224">
        <v>0</v>
      </c>
      <c r="AG3224">
        <v>0</v>
      </c>
      <c r="AH3224">
        <v>0</v>
      </c>
      <c r="AI3224">
        <v>0</v>
      </c>
      <c r="AJ3224">
        <v>0</v>
      </c>
      <c r="AK3224">
        <v>0</v>
      </c>
      <c r="AL3224">
        <v>0</v>
      </c>
      <c r="AM3224">
        <v>0</v>
      </c>
      <c r="AN3224">
        <v>0</v>
      </c>
      <c r="AO3224">
        <v>1</v>
      </c>
      <c r="AP3224">
        <v>0</v>
      </c>
      <c r="AQ3224">
        <v>0</v>
      </c>
      <c r="AR3224">
        <v>0</v>
      </c>
      <c r="AS3224">
        <v>0</v>
      </c>
      <c r="AT3224">
        <v>0</v>
      </c>
      <c r="AU3224">
        <f t="shared" si="98"/>
        <v>1</v>
      </c>
      <c r="AV3224">
        <f t="shared" si="99"/>
        <v>0</v>
      </c>
    </row>
    <row r="3225" spans="1:48" x14ac:dyDescent="0.25">
      <c r="A3225" t="s">
        <v>10523</v>
      </c>
      <c r="C3225" t="s">
        <v>10524</v>
      </c>
      <c r="D3225" t="s">
        <v>10525</v>
      </c>
      <c r="E3225" t="s">
        <v>2310</v>
      </c>
      <c r="F3225">
        <v>7</v>
      </c>
      <c r="G3225">
        <v>7.1</v>
      </c>
      <c r="H3225" t="s">
        <v>2017</v>
      </c>
      <c r="I3225" s="21">
        <v>40701.611851851798</v>
      </c>
      <c r="J3225">
        <v>2011</v>
      </c>
      <c r="K3225" s="21">
        <v>40701.611851851798</v>
      </c>
      <c r="L3225">
        <v>2011</v>
      </c>
      <c r="M3225" s="21">
        <v>40920.399583333303</v>
      </c>
      <c r="N3225">
        <v>2012</v>
      </c>
      <c r="Q3225" s="262">
        <v>266000</v>
      </c>
      <c r="R3225" s="262">
        <v>266000</v>
      </c>
      <c r="S3225" t="s">
        <v>114</v>
      </c>
      <c r="T3225" t="s">
        <v>114</v>
      </c>
      <c r="U3225">
        <v>7</v>
      </c>
      <c r="W3225">
        <v>2971</v>
      </c>
      <c r="X3225">
        <v>1</v>
      </c>
      <c r="Y3225">
        <v>0</v>
      </c>
      <c r="Z3225">
        <v>0</v>
      </c>
      <c r="AA3225">
        <v>0</v>
      </c>
      <c r="AB3225">
        <v>0</v>
      </c>
      <c r="AC3225">
        <v>0</v>
      </c>
      <c r="AD3225">
        <v>0</v>
      </c>
      <c r="AE3225">
        <v>2971</v>
      </c>
      <c r="AF3225">
        <v>0</v>
      </c>
      <c r="AG3225">
        <v>0</v>
      </c>
      <c r="AH3225">
        <v>0</v>
      </c>
      <c r="AI3225">
        <v>0</v>
      </c>
      <c r="AJ3225">
        <v>0</v>
      </c>
      <c r="AK3225">
        <v>0</v>
      </c>
      <c r="AL3225">
        <v>0</v>
      </c>
      <c r="AM3225">
        <v>0</v>
      </c>
      <c r="AN3225">
        <v>0</v>
      </c>
      <c r="AO3225">
        <v>0</v>
      </c>
      <c r="AP3225">
        <v>0</v>
      </c>
      <c r="AQ3225">
        <v>1</v>
      </c>
      <c r="AR3225">
        <v>0</v>
      </c>
      <c r="AS3225">
        <v>0</v>
      </c>
      <c r="AT3225">
        <v>0</v>
      </c>
      <c r="AU3225">
        <f t="shared" ref="AU3225:AU3288" si="100">SUM(AN3225:AQ3225,AS3225)</f>
        <v>1</v>
      </c>
      <c r="AV3225">
        <f t="shared" ref="AV3225:AV3288" si="101">SUM(Y3225:AB3225,AH3225:AM3225)</f>
        <v>0</v>
      </c>
    </row>
    <row r="3226" spans="1:48" x14ac:dyDescent="0.25">
      <c r="A3226" t="s">
        <v>10526</v>
      </c>
      <c r="C3226" t="s">
        <v>10527</v>
      </c>
      <c r="D3226" t="s">
        <v>10528</v>
      </c>
      <c r="E3226" t="s">
        <v>2310</v>
      </c>
      <c r="F3226">
        <v>11</v>
      </c>
      <c r="G3226">
        <v>11.3</v>
      </c>
      <c r="H3226" t="s">
        <v>2017</v>
      </c>
      <c r="I3226" s="21">
        <v>40701.632245370398</v>
      </c>
      <c r="J3226">
        <v>2011</v>
      </c>
      <c r="K3226" s="21">
        <v>40701.632245370398</v>
      </c>
      <c r="L3226">
        <v>2011</v>
      </c>
      <c r="M3226" s="21">
        <v>41163.661562499998</v>
      </c>
      <c r="N3226">
        <v>2012</v>
      </c>
      <c r="Q3226" s="262">
        <v>900000</v>
      </c>
      <c r="R3226" s="262">
        <v>405000</v>
      </c>
      <c r="S3226" t="s">
        <v>114</v>
      </c>
      <c r="T3226" t="s">
        <v>114</v>
      </c>
      <c r="U3226">
        <v>5</v>
      </c>
      <c r="W3226">
        <v>3903</v>
      </c>
      <c r="X3226">
        <v>1</v>
      </c>
      <c r="Y3226">
        <v>0</v>
      </c>
      <c r="Z3226">
        <v>0</v>
      </c>
      <c r="AA3226">
        <v>0</v>
      </c>
      <c r="AB3226">
        <v>0</v>
      </c>
      <c r="AC3226">
        <v>3903</v>
      </c>
      <c r="AD3226">
        <v>0</v>
      </c>
      <c r="AE3226">
        <v>0</v>
      </c>
      <c r="AF3226">
        <v>0</v>
      </c>
      <c r="AG3226">
        <v>0</v>
      </c>
      <c r="AH3226">
        <v>0</v>
      </c>
      <c r="AI3226">
        <v>0</v>
      </c>
      <c r="AJ3226">
        <v>0</v>
      </c>
      <c r="AK3226">
        <v>0</v>
      </c>
      <c r="AL3226">
        <v>0</v>
      </c>
      <c r="AM3226">
        <v>0</v>
      </c>
      <c r="AN3226">
        <v>0</v>
      </c>
      <c r="AO3226">
        <v>1</v>
      </c>
      <c r="AP3226">
        <v>0</v>
      </c>
      <c r="AQ3226">
        <v>0</v>
      </c>
      <c r="AR3226">
        <v>0</v>
      </c>
      <c r="AS3226">
        <v>0</v>
      </c>
      <c r="AT3226">
        <v>0</v>
      </c>
      <c r="AU3226">
        <f t="shared" si="100"/>
        <v>1</v>
      </c>
      <c r="AV3226">
        <f t="shared" si="101"/>
        <v>0</v>
      </c>
    </row>
    <row r="3227" spans="1:48" x14ac:dyDescent="0.25">
      <c r="A3227" t="s">
        <v>10529</v>
      </c>
      <c r="C3227" t="s">
        <v>10530</v>
      </c>
      <c r="D3227" t="s">
        <v>10531</v>
      </c>
      <c r="E3227" t="s">
        <v>2310</v>
      </c>
      <c r="F3227">
        <v>9</v>
      </c>
      <c r="G3227">
        <v>9.3000000000000007</v>
      </c>
      <c r="H3227" t="s">
        <v>2323</v>
      </c>
      <c r="I3227" s="21">
        <v>40702.594456018502</v>
      </c>
      <c r="J3227">
        <v>2011</v>
      </c>
      <c r="K3227" s="21">
        <v>40702.594456018502</v>
      </c>
      <c r="L3227">
        <v>2011</v>
      </c>
      <c r="M3227" s="21">
        <v>41996.3582523148</v>
      </c>
      <c r="N3227">
        <v>2014</v>
      </c>
      <c r="Q3227" s="262">
        <v>1487500</v>
      </c>
      <c r="R3227" s="262">
        <v>386000</v>
      </c>
      <c r="S3227" t="s">
        <v>114</v>
      </c>
      <c r="T3227" t="s">
        <v>114</v>
      </c>
      <c r="U3227">
        <v>5</v>
      </c>
      <c r="W3227">
        <v>4571</v>
      </c>
      <c r="X3227">
        <v>1</v>
      </c>
      <c r="Y3227">
        <v>0</v>
      </c>
      <c r="Z3227">
        <v>0</v>
      </c>
      <c r="AA3227">
        <v>0</v>
      </c>
      <c r="AB3227">
        <v>0</v>
      </c>
      <c r="AC3227">
        <v>4571</v>
      </c>
      <c r="AD3227">
        <v>0</v>
      </c>
      <c r="AE3227">
        <v>0</v>
      </c>
      <c r="AF3227">
        <v>0</v>
      </c>
      <c r="AG3227">
        <v>0</v>
      </c>
      <c r="AH3227">
        <v>0</v>
      </c>
      <c r="AI3227">
        <v>0</v>
      </c>
      <c r="AJ3227">
        <v>0</v>
      </c>
      <c r="AK3227">
        <v>0</v>
      </c>
      <c r="AL3227">
        <v>0</v>
      </c>
      <c r="AM3227">
        <v>0</v>
      </c>
      <c r="AN3227">
        <v>0</v>
      </c>
      <c r="AO3227">
        <v>1</v>
      </c>
      <c r="AP3227">
        <v>0</v>
      </c>
      <c r="AQ3227">
        <v>0</v>
      </c>
      <c r="AR3227">
        <v>0</v>
      </c>
      <c r="AS3227">
        <v>0</v>
      </c>
      <c r="AT3227">
        <v>0</v>
      </c>
      <c r="AU3227">
        <f t="shared" si="100"/>
        <v>1</v>
      </c>
      <c r="AV3227">
        <f t="shared" si="101"/>
        <v>0</v>
      </c>
    </row>
    <row r="3228" spans="1:48" x14ac:dyDescent="0.25">
      <c r="A3228" t="s">
        <v>10532</v>
      </c>
      <c r="C3228" t="s">
        <v>10533</v>
      </c>
      <c r="D3228" t="s">
        <v>10534</v>
      </c>
      <c r="E3228" t="s">
        <v>2310</v>
      </c>
      <c r="F3228">
        <v>11</v>
      </c>
      <c r="G3228">
        <v>11.2</v>
      </c>
      <c r="H3228" t="s">
        <v>2017</v>
      </c>
      <c r="I3228" s="21">
        <v>40703.406006944402</v>
      </c>
      <c r="J3228">
        <v>2011</v>
      </c>
      <c r="K3228" s="21">
        <v>40703.406006944402</v>
      </c>
      <c r="L3228">
        <v>2011</v>
      </c>
      <c r="M3228" s="21">
        <v>40921.670555555596</v>
      </c>
      <c r="N3228">
        <v>2012</v>
      </c>
      <c r="Q3228" s="262">
        <v>350000</v>
      </c>
      <c r="R3228" s="262">
        <v>249000</v>
      </c>
      <c r="S3228" t="s">
        <v>114</v>
      </c>
      <c r="T3228" t="s">
        <v>114</v>
      </c>
      <c r="U3228">
        <v>5</v>
      </c>
      <c r="W3228">
        <v>2771</v>
      </c>
      <c r="X3228">
        <v>1</v>
      </c>
      <c r="Y3228">
        <v>0</v>
      </c>
      <c r="Z3228">
        <v>0</v>
      </c>
      <c r="AA3228">
        <v>0</v>
      </c>
      <c r="AB3228">
        <v>0</v>
      </c>
      <c r="AC3228">
        <v>2771</v>
      </c>
      <c r="AD3228">
        <v>0</v>
      </c>
      <c r="AE3228">
        <v>0</v>
      </c>
      <c r="AF3228">
        <v>0</v>
      </c>
      <c r="AG3228">
        <v>0</v>
      </c>
      <c r="AH3228">
        <v>0</v>
      </c>
      <c r="AI3228">
        <v>0</v>
      </c>
      <c r="AJ3228">
        <v>0</v>
      </c>
      <c r="AK3228">
        <v>0</v>
      </c>
      <c r="AL3228">
        <v>0</v>
      </c>
      <c r="AM3228">
        <v>0</v>
      </c>
      <c r="AN3228">
        <v>0</v>
      </c>
      <c r="AO3228">
        <v>1</v>
      </c>
      <c r="AP3228">
        <v>0</v>
      </c>
      <c r="AQ3228">
        <v>0</v>
      </c>
      <c r="AR3228">
        <v>0</v>
      </c>
      <c r="AS3228">
        <v>0</v>
      </c>
      <c r="AT3228">
        <v>0</v>
      </c>
      <c r="AU3228">
        <f t="shared" si="100"/>
        <v>1</v>
      </c>
      <c r="AV3228">
        <f t="shared" si="101"/>
        <v>0</v>
      </c>
    </row>
    <row r="3229" spans="1:48" x14ac:dyDescent="0.25">
      <c r="A3229" t="s">
        <v>10535</v>
      </c>
      <c r="C3229" t="s">
        <v>10536</v>
      </c>
      <c r="D3229" t="s">
        <v>10507</v>
      </c>
      <c r="E3229" t="s">
        <v>2310</v>
      </c>
      <c r="F3229">
        <v>13</v>
      </c>
      <c r="G3229">
        <v>13.2</v>
      </c>
      <c r="H3229" t="s">
        <v>2327</v>
      </c>
      <c r="I3229" s="21">
        <v>40708.434259259302</v>
      </c>
      <c r="J3229">
        <v>2011</v>
      </c>
      <c r="K3229" s="21">
        <v>40708.434259259302</v>
      </c>
      <c r="L3229">
        <v>2011</v>
      </c>
      <c r="M3229" s="21">
        <v>41332.578900462999</v>
      </c>
      <c r="N3229">
        <v>2013</v>
      </c>
      <c r="Q3229" s="262">
        <v>350000</v>
      </c>
      <c r="R3229" s="262">
        <v>105000</v>
      </c>
      <c r="S3229" t="s">
        <v>114</v>
      </c>
      <c r="T3229" t="s">
        <v>114</v>
      </c>
      <c r="U3229">
        <v>8</v>
      </c>
      <c r="W3229">
        <v>999</v>
      </c>
      <c r="X3229">
        <v>1</v>
      </c>
      <c r="Y3229">
        <v>0</v>
      </c>
      <c r="Z3229">
        <v>0</v>
      </c>
      <c r="AA3229">
        <v>0</v>
      </c>
      <c r="AB3229">
        <v>0</v>
      </c>
      <c r="AC3229">
        <v>0</v>
      </c>
      <c r="AD3229">
        <v>0</v>
      </c>
      <c r="AE3229">
        <v>0</v>
      </c>
      <c r="AF3229">
        <v>999</v>
      </c>
      <c r="AG3229">
        <v>0</v>
      </c>
      <c r="AH3229">
        <v>0</v>
      </c>
      <c r="AI3229">
        <v>0</v>
      </c>
      <c r="AJ3229">
        <v>0</v>
      </c>
      <c r="AK3229">
        <v>0</v>
      </c>
      <c r="AL3229">
        <v>0</v>
      </c>
      <c r="AM3229">
        <v>0</v>
      </c>
      <c r="AN3229">
        <v>0</v>
      </c>
      <c r="AO3229">
        <v>0</v>
      </c>
      <c r="AP3229">
        <v>0</v>
      </c>
      <c r="AQ3229">
        <v>0</v>
      </c>
      <c r="AR3229">
        <v>1</v>
      </c>
      <c r="AS3229">
        <v>0</v>
      </c>
      <c r="AT3229">
        <v>0</v>
      </c>
      <c r="AU3229">
        <f t="shared" si="100"/>
        <v>0</v>
      </c>
      <c r="AV3229">
        <f t="shared" si="101"/>
        <v>0</v>
      </c>
    </row>
    <row r="3230" spans="1:48" x14ac:dyDescent="0.25">
      <c r="A3230" t="s">
        <v>10537</v>
      </c>
      <c r="C3230" t="s">
        <v>10538</v>
      </c>
      <c r="D3230" t="s">
        <v>10539</v>
      </c>
      <c r="E3230" t="s">
        <v>1663</v>
      </c>
      <c r="F3230">
        <v>3</v>
      </c>
      <c r="G3230">
        <v>3.1</v>
      </c>
      <c r="H3230" t="s">
        <v>2017</v>
      </c>
      <c r="I3230" s="21">
        <v>40709</v>
      </c>
      <c r="J3230">
        <v>2011</v>
      </c>
      <c r="K3230" s="21">
        <v>40739</v>
      </c>
      <c r="L3230">
        <v>2011</v>
      </c>
      <c r="M3230" s="21">
        <v>40892</v>
      </c>
      <c r="N3230">
        <v>2011</v>
      </c>
      <c r="Q3230" s="262">
        <v>300000</v>
      </c>
      <c r="S3230" t="s">
        <v>114</v>
      </c>
      <c r="T3230" t="s">
        <v>114</v>
      </c>
      <c r="W3230">
        <v>2820</v>
      </c>
      <c r="X3230">
        <v>1</v>
      </c>
      <c r="Y3230">
        <v>0</v>
      </c>
      <c r="Z3230">
        <v>0</v>
      </c>
      <c r="AA3230">
        <v>0</v>
      </c>
      <c r="AB3230">
        <v>0</v>
      </c>
      <c r="AC3230">
        <v>2820</v>
      </c>
      <c r="AD3230">
        <v>0</v>
      </c>
      <c r="AE3230">
        <v>0</v>
      </c>
      <c r="AF3230">
        <v>0</v>
      </c>
      <c r="AG3230">
        <v>0</v>
      </c>
      <c r="AH3230">
        <v>0</v>
      </c>
      <c r="AI3230">
        <v>0</v>
      </c>
      <c r="AJ3230">
        <v>0</v>
      </c>
      <c r="AK3230">
        <v>0</v>
      </c>
      <c r="AL3230">
        <v>0</v>
      </c>
      <c r="AM3230">
        <v>0</v>
      </c>
      <c r="AN3230">
        <v>0</v>
      </c>
      <c r="AO3230">
        <v>1</v>
      </c>
      <c r="AP3230">
        <v>0</v>
      </c>
      <c r="AQ3230">
        <v>0</v>
      </c>
      <c r="AR3230">
        <v>0</v>
      </c>
      <c r="AS3230">
        <v>0</v>
      </c>
      <c r="AT3230">
        <v>0</v>
      </c>
      <c r="AU3230">
        <f t="shared" si="100"/>
        <v>1</v>
      </c>
      <c r="AV3230">
        <f t="shared" si="101"/>
        <v>0</v>
      </c>
    </row>
    <row r="3231" spans="1:48" x14ac:dyDescent="0.25">
      <c r="A3231" t="s">
        <v>10540</v>
      </c>
      <c r="C3231" t="s">
        <v>10541</v>
      </c>
      <c r="D3231" t="s">
        <v>10102</v>
      </c>
      <c r="E3231" t="s">
        <v>2310</v>
      </c>
      <c r="F3231">
        <v>9</v>
      </c>
      <c r="G3231">
        <v>9.4</v>
      </c>
      <c r="H3231" t="s">
        <v>2323</v>
      </c>
      <c r="I3231" s="21">
        <v>40714.347037036998</v>
      </c>
      <c r="J3231">
        <v>2011</v>
      </c>
      <c r="K3231" s="21">
        <v>40714.347037036998</v>
      </c>
      <c r="L3231">
        <v>2011</v>
      </c>
      <c r="M3231" s="21">
        <v>41079.550138888902</v>
      </c>
      <c r="N3231">
        <v>2012</v>
      </c>
      <c r="Q3231" s="262">
        <v>453900</v>
      </c>
      <c r="R3231" s="262">
        <v>130000</v>
      </c>
      <c r="S3231" t="s">
        <v>114</v>
      </c>
      <c r="T3231" t="s">
        <v>114</v>
      </c>
      <c r="U3231">
        <v>8</v>
      </c>
      <c r="W3231">
        <v>1513</v>
      </c>
      <c r="X3231">
        <v>1</v>
      </c>
      <c r="Y3231">
        <v>0</v>
      </c>
      <c r="Z3231">
        <v>0</v>
      </c>
      <c r="AA3231">
        <v>0</v>
      </c>
      <c r="AB3231">
        <v>0</v>
      </c>
      <c r="AC3231">
        <v>513</v>
      </c>
      <c r="AD3231">
        <v>0</v>
      </c>
      <c r="AE3231">
        <v>0</v>
      </c>
      <c r="AF3231">
        <v>1000</v>
      </c>
      <c r="AG3231">
        <v>0</v>
      </c>
      <c r="AH3231">
        <v>0</v>
      </c>
      <c r="AI3231">
        <v>0</v>
      </c>
      <c r="AJ3231">
        <v>0</v>
      </c>
      <c r="AK3231">
        <v>0</v>
      </c>
      <c r="AL3231">
        <v>0</v>
      </c>
      <c r="AM3231">
        <v>0</v>
      </c>
      <c r="AN3231">
        <v>0</v>
      </c>
      <c r="AO3231">
        <v>0</v>
      </c>
      <c r="AP3231">
        <v>0</v>
      </c>
      <c r="AQ3231">
        <v>0</v>
      </c>
      <c r="AR3231">
        <v>1</v>
      </c>
      <c r="AS3231">
        <v>0</v>
      </c>
      <c r="AT3231">
        <v>0</v>
      </c>
      <c r="AU3231">
        <f t="shared" si="100"/>
        <v>0</v>
      </c>
      <c r="AV3231">
        <f t="shared" si="101"/>
        <v>0</v>
      </c>
    </row>
    <row r="3232" spans="1:48" x14ac:dyDescent="0.25">
      <c r="A3232" t="s">
        <v>10542</v>
      </c>
      <c r="C3232" t="s">
        <v>10543</v>
      </c>
      <c r="D3232" t="s">
        <v>8351</v>
      </c>
      <c r="E3232" t="s">
        <v>2310</v>
      </c>
      <c r="F3232">
        <v>8</v>
      </c>
      <c r="G3232">
        <v>8.1</v>
      </c>
      <c r="H3232" t="s">
        <v>2323</v>
      </c>
      <c r="I3232" s="21">
        <v>40714.403981481497</v>
      </c>
      <c r="J3232">
        <v>2011</v>
      </c>
      <c r="K3232" s="21">
        <v>40714.403981481497</v>
      </c>
      <c r="L3232">
        <v>2011</v>
      </c>
      <c r="M3232" s="21">
        <v>41241.557673611103</v>
      </c>
      <c r="N3232">
        <v>2012</v>
      </c>
      <c r="Q3232" s="262">
        <v>30000</v>
      </c>
      <c r="R3232" s="262">
        <v>14000</v>
      </c>
      <c r="S3232" t="s">
        <v>114</v>
      </c>
      <c r="T3232" t="s">
        <v>114</v>
      </c>
      <c r="U3232">
        <v>5</v>
      </c>
      <c r="W3232">
        <v>360</v>
      </c>
      <c r="X3232">
        <v>0</v>
      </c>
      <c r="Y3232">
        <v>0</v>
      </c>
      <c r="Z3232">
        <v>0</v>
      </c>
      <c r="AA3232">
        <v>0</v>
      </c>
      <c r="AB3232">
        <v>0</v>
      </c>
      <c r="AC3232">
        <v>360</v>
      </c>
      <c r="AD3232">
        <v>0</v>
      </c>
      <c r="AE3232">
        <v>0</v>
      </c>
      <c r="AF3232">
        <v>0</v>
      </c>
      <c r="AG3232">
        <v>0</v>
      </c>
      <c r="AH3232">
        <v>0</v>
      </c>
      <c r="AI3232">
        <v>0</v>
      </c>
      <c r="AJ3232">
        <v>0</v>
      </c>
      <c r="AK3232">
        <v>0</v>
      </c>
      <c r="AL3232">
        <v>0</v>
      </c>
      <c r="AM3232">
        <v>0</v>
      </c>
      <c r="AN3232">
        <v>0</v>
      </c>
      <c r="AO3232">
        <v>0</v>
      </c>
      <c r="AP3232">
        <v>0</v>
      </c>
      <c r="AQ3232">
        <v>0</v>
      </c>
      <c r="AR3232">
        <v>0</v>
      </c>
      <c r="AS3232">
        <v>0</v>
      </c>
      <c r="AT3232">
        <v>0</v>
      </c>
      <c r="AU3232">
        <f t="shared" si="100"/>
        <v>0</v>
      </c>
      <c r="AV3232">
        <f t="shared" si="101"/>
        <v>0</v>
      </c>
    </row>
    <row r="3233" spans="1:48" x14ac:dyDescent="0.25">
      <c r="A3233" t="s">
        <v>10544</v>
      </c>
      <c r="C3233" t="s">
        <v>10545</v>
      </c>
      <c r="D3233" t="s">
        <v>10546</v>
      </c>
      <c r="E3233" t="s">
        <v>2310</v>
      </c>
      <c r="F3233">
        <v>9</v>
      </c>
      <c r="G3233">
        <v>9.4</v>
      </c>
      <c r="H3233" t="s">
        <v>2323</v>
      </c>
      <c r="I3233" s="21">
        <v>40715.547673611101</v>
      </c>
      <c r="J3233">
        <v>2011</v>
      </c>
      <c r="K3233" s="21">
        <v>40715.547673611101</v>
      </c>
      <c r="L3233">
        <v>2011</v>
      </c>
      <c r="M3233" s="21">
        <v>41124.372534722199</v>
      </c>
      <c r="N3233">
        <v>2012</v>
      </c>
      <c r="Q3233" s="262">
        <v>200000</v>
      </c>
      <c r="R3233" s="262">
        <v>125000</v>
      </c>
      <c r="S3233" t="s">
        <v>114</v>
      </c>
      <c r="T3233" t="s">
        <v>114</v>
      </c>
      <c r="U3233">
        <v>5</v>
      </c>
      <c r="W3233">
        <v>1232</v>
      </c>
      <c r="X3233">
        <v>0</v>
      </c>
      <c r="Y3233">
        <v>0</v>
      </c>
      <c r="Z3233">
        <v>0</v>
      </c>
      <c r="AA3233">
        <v>0</v>
      </c>
      <c r="AB3233">
        <v>0</v>
      </c>
      <c r="AC3233">
        <v>1232</v>
      </c>
      <c r="AD3233">
        <v>0</v>
      </c>
      <c r="AE3233">
        <v>0</v>
      </c>
      <c r="AF3233">
        <v>0</v>
      </c>
      <c r="AG3233">
        <v>0</v>
      </c>
      <c r="AH3233">
        <v>0</v>
      </c>
      <c r="AI3233">
        <v>0</v>
      </c>
      <c r="AJ3233">
        <v>0</v>
      </c>
      <c r="AK3233">
        <v>0</v>
      </c>
      <c r="AL3233">
        <v>0</v>
      </c>
      <c r="AM3233">
        <v>0</v>
      </c>
      <c r="AN3233">
        <v>0</v>
      </c>
      <c r="AO3233">
        <v>0</v>
      </c>
      <c r="AP3233">
        <v>0</v>
      </c>
      <c r="AQ3233">
        <v>0</v>
      </c>
      <c r="AR3233">
        <v>0</v>
      </c>
      <c r="AS3233">
        <v>0</v>
      </c>
      <c r="AT3233">
        <v>0</v>
      </c>
      <c r="AU3233">
        <f t="shared" si="100"/>
        <v>0</v>
      </c>
      <c r="AV3233">
        <f t="shared" si="101"/>
        <v>0</v>
      </c>
    </row>
    <row r="3234" spans="1:48" x14ac:dyDescent="0.25">
      <c r="A3234" t="s">
        <v>10547</v>
      </c>
      <c r="C3234" t="s">
        <v>10533</v>
      </c>
      <c r="D3234" t="s">
        <v>10548</v>
      </c>
      <c r="E3234" t="s">
        <v>2310</v>
      </c>
      <c r="F3234">
        <v>9</v>
      </c>
      <c r="G3234">
        <v>9.1</v>
      </c>
      <c r="H3234" t="s">
        <v>2323</v>
      </c>
      <c r="I3234" s="21">
        <v>40715.609166666698</v>
      </c>
      <c r="J3234">
        <v>2011</v>
      </c>
      <c r="K3234" s="21">
        <v>40715.609166666698</v>
      </c>
      <c r="L3234">
        <v>2011</v>
      </c>
      <c r="M3234" s="21">
        <v>41144.623136574097</v>
      </c>
      <c r="N3234">
        <v>2012</v>
      </c>
      <c r="Q3234" s="262">
        <v>577000</v>
      </c>
      <c r="R3234" s="262">
        <v>612000</v>
      </c>
      <c r="S3234" t="s">
        <v>114</v>
      </c>
      <c r="T3234" t="s">
        <v>114</v>
      </c>
      <c r="U3234">
        <v>5</v>
      </c>
      <c r="W3234">
        <v>6722</v>
      </c>
      <c r="X3234">
        <v>1</v>
      </c>
      <c r="Y3234">
        <v>0</v>
      </c>
      <c r="Z3234">
        <v>0</v>
      </c>
      <c r="AA3234">
        <v>0</v>
      </c>
      <c r="AB3234">
        <v>0</v>
      </c>
      <c r="AC3234">
        <v>6722</v>
      </c>
      <c r="AD3234">
        <v>0</v>
      </c>
      <c r="AE3234">
        <v>0</v>
      </c>
      <c r="AF3234">
        <v>0</v>
      </c>
      <c r="AG3234">
        <v>0</v>
      </c>
      <c r="AH3234">
        <v>0</v>
      </c>
      <c r="AI3234">
        <v>0</v>
      </c>
      <c r="AJ3234">
        <v>0</v>
      </c>
      <c r="AK3234">
        <v>0</v>
      </c>
      <c r="AL3234">
        <v>0</v>
      </c>
      <c r="AM3234">
        <v>0</v>
      </c>
      <c r="AN3234">
        <v>0</v>
      </c>
      <c r="AO3234">
        <v>1</v>
      </c>
      <c r="AP3234">
        <v>0</v>
      </c>
      <c r="AQ3234">
        <v>0</v>
      </c>
      <c r="AR3234">
        <v>0</v>
      </c>
      <c r="AS3234">
        <v>0</v>
      </c>
      <c r="AT3234">
        <v>0</v>
      </c>
      <c r="AU3234">
        <f t="shared" si="100"/>
        <v>1</v>
      </c>
      <c r="AV3234">
        <f t="shared" si="101"/>
        <v>0</v>
      </c>
    </row>
    <row r="3235" spans="1:48" x14ac:dyDescent="0.25">
      <c r="A3235" t="s">
        <v>10549</v>
      </c>
      <c r="C3235" t="s">
        <v>10550</v>
      </c>
      <c r="D3235" t="s">
        <v>10176</v>
      </c>
      <c r="E3235" t="s">
        <v>2310</v>
      </c>
      <c r="F3235">
        <v>9</v>
      </c>
      <c r="G3235">
        <v>9.1999999999999993</v>
      </c>
      <c r="H3235" t="s">
        <v>2022</v>
      </c>
      <c r="I3235" s="21">
        <v>40716.434965277796</v>
      </c>
      <c r="J3235">
        <v>2011</v>
      </c>
      <c r="K3235" s="21">
        <v>40716.434965277796</v>
      </c>
      <c r="L3235">
        <v>2011</v>
      </c>
      <c r="M3235" s="21">
        <v>41697.434456018498</v>
      </c>
      <c r="N3235">
        <v>2014</v>
      </c>
      <c r="Q3235" s="262">
        <v>300000</v>
      </c>
      <c r="R3235" s="262">
        <v>32000</v>
      </c>
      <c r="S3235" t="s">
        <v>114</v>
      </c>
      <c r="T3235" t="s">
        <v>114</v>
      </c>
      <c r="U3235">
        <v>5</v>
      </c>
      <c r="W3235">
        <v>826</v>
      </c>
      <c r="X3235">
        <v>0</v>
      </c>
      <c r="Y3235">
        <v>0</v>
      </c>
      <c r="Z3235">
        <v>0</v>
      </c>
      <c r="AA3235">
        <v>0</v>
      </c>
      <c r="AB3235">
        <v>0</v>
      </c>
      <c r="AC3235">
        <v>826</v>
      </c>
      <c r="AD3235">
        <v>0</v>
      </c>
      <c r="AE3235">
        <v>0</v>
      </c>
      <c r="AF3235">
        <v>0</v>
      </c>
      <c r="AG3235">
        <v>0</v>
      </c>
      <c r="AH3235">
        <v>0</v>
      </c>
      <c r="AI3235">
        <v>0</v>
      </c>
      <c r="AJ3235">
        <v>0</v>
      </c>
      <c r="AK3235">
        <v>0</v>
      </c>
      <c r="AL3235">
        <v>0</v>
      </c>
      <c r="AM3235">
        <v>0</v>
      </c>
      <c r="AN3235">
        <v>0</v>
      </c>
      <c r="AO3235">
        <v>0</v>
      </c>
      <c r="AP3235">
        <v>0</v>
      </c>
      <c r="AQ3235">
        <v>0</v>
      </c>
      <c r="AR3235">
        <v>0</v>
      </c>
      <c r="AS3235">
        <v>0</v>
      </c>
      <c r="AT3235">
        <v>0</v>
      </c>
      <c r="AU3235">
        <f t="shared" si="100"/>
        <v>0</v>
      </c>
      <c r="AV3235">
        <f t="shared" si="101"/>
        <v>0</v>
      </c>
    </row>
    <row r="3236" spans="1:48" x14ac:dyDescent="0.25">
      <c r="A3236" t="s">
        <v>10551</v>
      </c>
      <c r="C3236" t="s">
        <v>10552</v>
      </c>
      <c r="D3236" t="s">
        <v>10229</v>
      </c>
      <c r="E3236" t="s">
        <v>2310</v>
      </c>
      <c r="F3236">
        <v>8</v>
      </c>
      <c r="G3236">
        <v>8.1999999999999993</v>
      </c>
      <c r="H3236" t="s">
        <v>2022</v>
      </c>
      <c r="I3236" s="21">
        <v>40716.4978819444</v>
      </c>
      <c r="J3236">
        <v>2011</v>
      </c>
      <c r="K3236" s="21">
        <v>40716.4978819444</v>
      </c>
      <c r="L3236">
        <v>2011</v>
      </c>
      <c r="M3236" s="21">
        <v>41340.718958333302</v>
      </c>
      <c r="N3236">
        <v>2013</v>
      </c>
      <c r="Q3236" s="262">
        <v>150000</v>
      </c>
      <c r="R3236" s="262">
        <v>25000</v>
      </c>
      <c r="S3236" t="s">
        <v>114</v>
      </c>
      <c r="T3236" t="s">
        <v>114</v>
      </c>
      <c r="U3236">
        <v>5</v>
      </c>
      <c r="W3236">
        <v>387</v>
      </c>
      <c r="X3236">
        <v>0</v>
      </c>
      <c r="Y3236">
        <v>0</v>
      </c>
      <c r="Z3236">
        <v>0</v>
      </c>
      <c r="AA3236">
        <v>0</v>
      </c>
      <c r="AB3236">
        <v>0</v>
      </c>
      <c r="AC3236">
        <v>387</v>
      </c>
      <c r="AD3236">
        <v>0</v>
      </c>
      <c r="AE3236">
        <v>0</v>
      </c>
      <c r="AF3236">
        <v>0</v>
      </c>
      <c r="AG3236">
        <v>0</v>
      </c>
      <c r="AH3236">
        <v>0</v>
      </c>
      <c r="AI3236">
        <v>0</v>
      </c>
      <c r="AJ3236">
        <v>0</v>
      </c>
      <c r="AK3236">
        <v>0</v>
      </c>
      <c r="AL3236">
        <v>0</v>
      </c>
      <c r="AM3236">
        <v>0</v>
      </c>
      <c r="AN3236">
        <v>0</v>
      </c>
      <c r="AO3236">
        <v>0</v>
      </c>
      <c r="AP3236">
        <v>0</v>
      </c>
      <c r="AQ3236">
        <v>0</v>
      </c>
      <c r="AR3236">
        <v>0</v>
      </c>
      <c r="AS3236">
        <v>0</v>
      </c>
      <c r="AT3236">
        <v>0</v>
      </c>
      <c r="AU3236">
        <f t="shared" si="100"/>
        <v>0</v>
      </c>
      <c r="AV3236">
        <f t="shared" si="101"/>
        <v>0</v>
      </c>
    </row>
    <row r="3237" spans="1:48" x14ac:dyDescent="0.25">
      <c r="A3237" t="s">
        <v>10553</v>
      </c>
      <c r="C3237" t="s">
        <v>10554</v>
      </c>
      <c r="D3237" t="s">
        <v>10555</v>
      </c>
      <c r="E3237" t="s">
        <v>2310</v>
      </c>
      <c r="F3237">
        <v>14</v>
      </c>
      <c r="G3237">
        <v>14.2</v>
      </c>
      <c r="H3237" t="s">
        <v>2017</v>
      </c>
      <c r="I3237" s="21">
        <v>40722.6348842593</v>
      </c>
      <c r="J3237">
        <v>2011</v>
      </c>
      <c r="K3237" s="21">
        <v>40722.6348842593</v>
      </c>
      <c r="L3237">
        <v>2011</v>
      </c>
      <c r="M3237" s="21">
        <v>41467.549189814803</v>
      </c>
      <c r="N3237">
        <v>2013</v>
      </c>
      <c r="Q3237" s="262">
        <v>700000</v>
      </c>
      <c r="R3237" s="262">
        <v>342000</v>
      </c>
      <c r="S3237" t="s">
        <v>114</v>
      </c>
      <c r="T3237" t="s">
        <v>114</v>
      </c>
      <c r="U3237">
        <v>5</v>
      </c>
      <c r="W3237">
        <v>3809</v>
      </c>
      <c r="X3237">
        <v>1</v>
      </c>
      <c r="Y3237">
        <v>0</v>
      </c>
      <c r="Z3237">
        <v>0</v>
      </c>
      <c r="AA3237">
        <v>0</v>
      </c>
      <c r="AB3237">
        <v>0</v>
      </c>
      <c r="AC3237">
        <v>3809</v>
      </c>
      <c r="AD3237">
        <v>0</v>
      </c>
      <c r="AE3237">
        <v>0</v>
      </c>
      <c r="AF3237">
        <v>0</v>
      </c>
      <c r="AG3237">
        <v>0</v>
      </c>
      <c r="AH3237">
        <v>0</v>
      </c>
      <c r="AI3237">
        <v>0</v>
      </c>
      <c r="AJ3237">
        <v>0</v>
      </c>
      <c r="AK3237">
        <v>0</v>
      </c>
      <c r="AL3237">
        <v>0</v>
      </c>
      <c r="AM3237">
        <v>0</v>
      </c>
      <c r="AN3237">
        <v>0</v>
      </c>
      <c r="AO3237">
        <v>1</v>
      </c>
      <c r="AP3237">
        <v>0</v>
      </c>
      <c r="AQ3237">
        <v>0</v>
      </c>
      <c r="AR3237">
        <v>0</v>
      </c>
      <c r="AS3237">
        <v>0</v>
      </c>
      <c r="AT3237">
        <v>0</v>
      </c>
      <c r="AU3237">
        <f t="shared" si="100"/>
        <v>1</v>
      </c>
      <c r="AV3237">
        <f t="shared" si="101"/>
        <v>0</v>
      </c>
    </row>
    <row r="3238" spans="1:48" x14ac:dyDescent="0.25">
      <c r="A3238" t="s">
        <v>10556</v>
      </c>
      <c r="C3238" t="s">
        <v>10557</v>
      </c>
      <c r="D3238" t="s">
        <v>9843</v>
      </c>
      <c r="E3238" t="s">
        <v>2310</v>
      </c>
      <c r="F3238">
        <v>12</v>
      </c>
      <c r="G3238">
        <v>12.3</v>
      </c>
      <c r="H3238" t="s">
        <v>2017</v>
      </c>
      <c r="I3238" s="21">
        <v>40723.341388888897</v>
      </c>
      <c r="J3238">
        <v>2011</v>
      </c>
      <c r="K3238" s="21">
        <v>40723.341388888897</v>
      </c>
      <c r="L3238">
        <v>2011</v>
      </c>
      <c r="M3238" s="21">
        <v>41101.663009259297</v>
      </c>
      <c r="N3238">
        <v>2012</v>
      </c>
      <c r="Q3238" s="262">
        <v>50000</v>
      </c>
      <c r="R3238" s="262">
        <v>60000</v>
      </c>
      <c r="S3238" t="s">
        <v>114</v>
      </c>
      <c r="T3238" t="s">
        <v>114</v>
      </c>
      <c r="U3238">
        <v>8</v>
      </c>
      <c r="W3238">
        <v>0</v>
      </c>
      <c r="X3238">
        <v>0</v>
      </c>
      <c r="Y3238">
        <v>0</v>
      </c>
      <c r="Z3238">
        <v>0</v>
      </c>
      <c r="AA3238">
        <v>0</v>
      </c>
      <c r="AB3238">
        <v>0</v>
      </c>
      <c r="AC3238">
        <v>0</v>
      </c>
      <c r="AD3238">
        <v>0</v>
      </c>
      <c r="AE3238">
        <v>0</v>
      </c>
      <c r="AF3238">
        <v>0</v>
      </c>
      <c r="AG3238">
        <v>0</v>
      </c>
      <c r="AH3238">
        <v>0</v>
      </c>
      <c r="AI3238">
        <v>0</v>
      </c>
      <c r="AJ3238">
        <v>0</v>
      </c>
      <c r="AK3238">
        <v>0</v>
      </c>
      <c r="AL3238">
        <v>0</v>
      </c>
      <c r="AM3238">
        <v>0</v>
      </c>
      <c r="AN3238">
        <v>0</v>
      </c>
      <c r="AO3238">
        <v>0</v>
      </c>
      <c r="AP3238">
        <v>0</v>
      </c>
      <c r="AQ3238">
        <v>0</v>
      </c>
      <c r="AR3238">
        <v>0</v>
      </c>
      <c r="AS3238">
        <v>0</v>
      </c>
      <c r="AT3238">
        <v>0</v>
      </c>
      <c r="AU3238">
        <f t="shared" si="100"/>
        <v>0</v>
      </c>
      <c r="AV3238">
        <f t="shared" si="101"/>
        <v>0</v>
      </c>
    </row>
    <row r="3239" spans="1:48" x14ac:dyDescent="0.25">
      <c r="A3239" t="s">
        <v>10558</v>
      </c>
      <c r="C3239" t="s">
        <v>10559</v>
      </c>
      <c r="D3239" t="s">
        <v>10560</v>
      </c>
      <c r="E3239" t="s">
        <v>2310</v>
      </c>
      <c r="F3239">
        <v>9</v>
      </c>
      <c r="G3239">
        <v>9.1999999999999993</v>
      </c>
      <c r="H3239" t="s">
        <v>2022</v>
      </c>
      <c r="I3239" s="21">
        <v>40723.429050925901</v>
      </c>
      <c r="J3239">
        <v>2011</v>
      </c>
      <c r="K3239" s="21">
        <v>40723.429050925901</v>
      </c>
      <c r="L3239">
        <v>2011</v>
      </c>
      <c r="M3239" s="21">
        <v>40975.688287037003</v>
      </c>
      <c r="N3239">
        <v>2012</v>
      </c>
      <c r="Q3239" s="262">
        <v>625000</v>
      </c>
      <c r="R3239" s="262">
        <v>403000</v>
      </c>
      <c r="S3239" t="s">
        <v>114</v>
      </c>
      <c r="T3239" t="s">
        <v>114</v>
      </c>
      <c r="U3239">
        <v>5</v>
      </c>
      <c r="W3239">
        <v>0</v>
      </c>
      <c r="X3239">
        <v>0</v>
      </c>
      <c r="Y3239">
        <v>0</v>
      </c>
      <c r="Z3239">
        <v>0</v>
      </c>
      <c r="AA3239">
        <v>0</v>
      </c>
      <c r="AB3239">
        <v>0</v>
      </c>
      <c r="AC3239">
        <v>0</v>
      </c>
      <c r="AD3239">
        <v>0</v>
      </c>
      <c r="AE3239">
        <v>0</v>
      </c>
      <c r="AF3239">
        <v>0</v>
      </c>
      <c r="AG3239">
        <v>0</v>
      </c>
      <c r="AH3239">
        <v>0</v>
      </c>
      <c r="AI3239">
        <v>0</v>
      </c>
      <c r="AJ3239">
        <v>0</v>
      </c>
      <c r="AK3239">
        <v>0</v>
      </c>
      <c r="AL3239">
        <v>0</v>
      </c>
      <c r="AM3239">
        <v>0</v>
      </c>
      <c r="AN3239">
        <v>0</v>
      </c>
      <c r="AO3239">
        <v>0</v>
      </c>
      <c r="AP3239">
        <v>0</v>
      </c>
      <c r="AQ3239">
        <v>0</v>
      </c>
      <c r="AR3239">
        <v>0</v>
      </c>
      <c r="AS3239">
        <v>0</v>
      </c>
      <c r="AT3239">
        <v>0</v>
      </c>
      <c r="AU3239">
        <f t="shared" si="100"/>
        <v>0</v>
      </c>
      <c r="AV3239">
        <f t="shared" si="101"/>
        <v>0</v>
      </c>
    </row>
    <row r="3240" spans="1:48" x14ac:dyDescent="0.25">
      <c r="A3240" t="s">
        <v>10561</v>
      </c>
      <c r="C3240" t="s">
        <v>7477</v>
      </c>
      <c r="D3240" t="s">
        <v>10562</v>
      </c>
      <c r="E3240" t="s">
        <v>2310</v>
      </c>
      <c r="F3240">
        <v>8</v>
      </c>
      <c r="G3240">
        <v>8.1999999999999993</v>
      </c>
      <c r="H3240" t="s">
        <v>2022</v>
      </c>
      <c r="I3240" s="21">
        <v>40723.602175925902</v>
      </c>
      <c r="J3240">
        <v>2011</v>
      </c>
      <c r="K3240" s="21">
        <v>40723.602175925902</v>
      </c>
      <c r="L3240">
        <v>2011</v>
      </c>
      <c r="M3240" s="21">
        <v>40850.487754629597</v>
      </c>
      <c r="N3240">
        <v>2011</v>
      </c>
      <c r="Q3240" s="262">
        <v>27000</v>
      </c>
      <c r="R3240" s="262">
        <v>24000</v>
      </c>
      <c r="S3240" t="s">
        <v>114</v>
      </c>
      <c r="T3240" t="s">
        <v>114</v>
      </c>
      <c r="U3240">
        <v>5</v>
      </c>
      <c r="W3240">
        <v>608</v>
      </c>
      <c r="X3240">
        <v>0</v>
      </c>
      <c r="Y3240">
        <v>0</v>
      </c>
      <c r="Z3240">
        <v>0</v>
      </c>
      <c r="AA3240">
        <v>0</v>
      </c>
      <c r="AB3240">
        <v>0</v>
      </c>
      <c r="AC3240">
        <v>608</v>
      </c>
      <c r="AD3240">
        <v>0</v>
      </c>
      <c r="AE3240">
        <v>0</v>
      </c>
      <c r="AF3240">
        <v>0</v>
      </c>
      <c r="AG3240">
        <v>0</v>
      </c>
      <c r="AH3240">
        <v>0</v>
      </c>
      <c r="AI3240">
        <v>0</v>
      </c>
      <c r="AJ3240">
        <v>0</v>
      </c>
      <c r="AK3240">
        <v>0</v>
      </c>
      <c r="AL3240">
        <v>0</v>
      </c>
      <c r="AM3240">
        <v>0</v>
      </c>
      <c r="AN3240">
        <v>0</v>
      </c>
      <c r="AO3240">
        <v>0</v>
      </c>
      <c r="AP3240">
        <v>0</v>
      </c>
      <c r="AQ3240">
        <v>0</v>
      </c>
      <c r="AR3240">
        <v>0</v>
      </c>
      <c r="AS3240">
        <v>0</v>
      </c>
      <c r="AT3240">
        <v>0</v>
      </c>
      <c r="AU3240">
        <f t="shared" si="100"/>
        <v>0</v>
      </c>
      <c r="AV3240">
        <f t="shared" si="101"/>
        <v>0</v>
      </c>
    </row>
    <row r="3241" spans="1:48" x14ac:dyDescent="0.25">
      <c r="A3241" t="s">
        <v>10563</v>
      </c>
      <c r="C3241" t="s">
        <v>10564</v>
      </c>
      <c r="D3241" t="s">
        <v>10513</v>
      </c>
      <c r="E3241" t="s">
        <v>2310</v>
      </c>
      <c r="F3241">
        <v>15</v>
      </c>
      <c r="G3241">
        <v>15.4</v>
      </c>
      <c r="H3241" t="s">
        <v>2323</v>
      </c>
      <c r="I3241" s="21">
        <v>40723.6241898148</v>
      </c>
      <c r="J3241">
        <v>2011</v>
      </c>
      <c r="K3241" s="21">
        <v>40723.6241898148</v>
      </c>
      <c r="L3241">
        <v>2011</v>
      </c>
      <c r="M3241" s="21">
        <v>41374.491446759297</v>
      </c>
      <c r="N3241">
        <v>2013</v>
      </c>
      <c r="Q3241" s="262">
        <v>390000</v>
      </c>
      <c r="R3241" s="262">
        <v>114000</v>
      </c>
      <c r="S3241" t="s">
        <v>114</v>
      </c>
      <c r="T3241" t="s">
        <v>114</v>
      </c>
      <c r="U3241">
        <v>8</v>
      </c>
      <c r="W3241">
        <v>1300</v>
      </c>
      <c r="X3241">
        <v>1</v>
      </c>
      <c r="Y3241">
        <v>0</v>
      </c>
      <c r="Z3241">
        <v>0</v>
      </c>
      <c r="AA3241">
        <v>0</v>
      </c>
      <c r="AB3241">
        <v>0</v>
      </c>
      <c r="AC3241">
        <v>360</v>
      </c>
      <c r="AD3241">
        <v>0</v>
      </c>
      <c r="AE3241">
        <v>0</v>
      </c>
      <c r="AF3241">
        <v>940</v>
      </c>
      <c r="AG3241">
        <v>0</v>
      </c>
      <c r="AH3241">
        <v>0</v>
      </c>
      <c r="AI3241">
        <v>0</v>
      </c>
      <c r="AJ3241">
        <v>0</v>
      </c>
      <c r="AK3241">
        <v>0</v>
      </c>
      <c r="AL3241">
        <v>0</v>
      </c>
      <c r="AM3241">
        <v>0</v>
      </c>
      <c r="AN3241">
        <v>0</v>
      </c>
      <c r="AO3241">
        <v>0</v>
      </c>
      <c r="AP3241">
        <v>0</v>
      </c>
      <c r="AQ3241">
        <v>0</v>
      </c>
      <c r="AR3241">
        <v>1</v>
      </c>
      <c r="AS3241">
        <v>0</v>
      </c>
      <c r="AT3241">
        <v>0</v>
      </c>
      <c r="AU3241">
        <f t="shared" si="100"/>
        <v>0</v>
      </c>
      <c r="AV3241">
        <f t="shared" si="101"/>
        <v>0</v>
      </c>
    </row>
    <row r="3242" spans="1:48" x14ac:dyDescent="0.25">
      <c r="A3242" t="s">
        <v>10565</v>
      </c>
      <c r="C3242" t="s">
        <v>10566</v>
      </c>
      <c r="D3242" t="s">
        <v>7596</v>
      </c>
      <c r="E3242" t="s">
        <v>2310</v>
      </c>
      <c r="F3242">
        <v>13</v>
      </c>
      <c r="G3242">
        <v>13.1</v>
      </c>
      <c r="H3242" t="s">
        <v>2327</v>
      </c>
      <c r="I3242" s="21">
        <v>40724.400949074101</v>
      </c>
      <c r="J3242">
        <v>2011</v>
      </c>
      <c r="K3242" s="21">
        <v>40724.400949074101</v>
      </c>
      <c r="L3242">
        <v>2011</v>
      </c>
      <c r="M3242" s="21">
        <v>41318.433298611097</v>
      </c>
      <c r="N3242">
        <v>2013</v>
      </c>
      <c r="Q3242" s="262">
        <v>382216</v>
      </c>
      <c r="R3242" s="262">
        <v>383000</v>
      </c>
      <c r="S3242" t="s">
        <v>114</v>
      </c>
      <c r="T3242" t="s">
        <v>114</v>
      </c>
      <c r="U3242">
        <v>11</v>
      </c>
      <c r="W3242">
        <v>0</v>
      </c>
      <c r="X3242">
        <v>0</v>
      </c>
      <c r="Y3242">
        <v>0</v>
      </c>
      <c r="Z3242">
        <v>0</v>
      </c>
      <c r="AA3242">
        <v>0</v>
      </c>
      <c r="AB3242">
        <v>0</v>
      </c>
      <c r="AC3242">
        <v>0</v>
      </c>
      <c r="AD3242">
        <v>0</v>
      </c>
      <c r="AE3242">
        <v>0</v>
      </c>
      <c r="AF3242">
        <v>0</v>
      </c>
      <c r="AG3242">
        <v>0</v>
      </c>
      <c r="AH3242">
        <v>0</v>
      </c>
      <c r="AI3242">
        <v>0</v>
      </c>
      <c r="AJ3242">
        <v>0</v>
      </c>
      <c r="AK3242">
        <v>0</v>
      </c>
      <c r="AL3242">
        <v>0</v>
      </c>
      <c r="AM3242">
        <v>0</v>
      </c>
      <c r="AN3242">
        <v>0</v>
      </c>
      <c r="AO3242">
        <v>0</v>
      </c>
      <c r="AP3242">
        <v>0</v>
      </c>
      <c r="AQ3242">
        <v>0</v>
      </c>
      <c r="AR3242">
        <v>0</v>
      </c>
      <c r="AS3242">
        <v>0</v>
      </c>
      <c r="AT3242">
        <v>0</v>
      </c>
      <c r="AU3242">
        <f t="shared" si="100"/>
        <v>0</v>
      </c>
      <c r="AV3242">
        <f t="shared" si="101"/>
        <v>0</v>
      </c>
    </row>
    <row r="3243" spans="1:48" x14ac:dyDescent="0.25">
      <c r="A3243" t="s">
        <v>10567</v>
      </c>
      <c r="C3243" t="s">
        <v>10568</v>
      </c>
      <c r="D3243" t="s">
        <v>2779</v>
      </c>
      <c r="E3243" t="s">
        <v>2310</v>
      </c>
      <c r="F3243">
        <v>13</v>
      </c>
      <c r="G3243">
        <v>13.3</v>
      </c>
      <c r="H3243" t="s">
        <v>2017</v>
      </c>
      <c r="I3243" s="21">
        <v>40724.477476851898</v>
      </c>
      <c r="J3243">
        <v>2011</v>
      </c>
      <c r="K3243" s="21">
        <v>40724.477476851898</v>
      </c>
      <c r="L3243">
        <v>2011</v>
      </c>
      <c r="P3243" s="21">
        <v>42292.611550925903</v>
      </c>
      <c r="Q3243" s="262">
        <v>100000</v>
      </c>
      <c r="R3243" s="262">
        <v>50000</v>
      </c>
      <c r="S3243" t="s">
        <v>114</v>
      </c>
      <c r="T3243" t="s">
        <v>114</v>
      </c>
      <c r="U3243">
        <v>5</v>
      </c>
      <c r="W3243">
        <v>489</v>
      </c>
      <c r="X3243">
        <v>0</v>
      </c>
      <c r="Y3243">
        <v>0</v>
      </c>
      <c r="Z3243">
        <v>0</v>
      </c>
      <c r="AA3243">
        <v>0</v>
      </c>
      <c r="AB3243">
        <v>0</v>
      </c>
      <c r="AC3243">
        <v>489</v>
      </c>
      <c r="AD3243">
        <v>0</v>
      </c>
      <c r="AE3243">
        <v>0</v>
      </c>
      <c r="AF3243">
        <v>0</v>
      </c>
      <c r="AG3243">
        <v>0</v>
      </c>
      <c r="AH3243">
        <v>0</v>
      </c>
      <c r="AI3243">
        <v>0</v>
      </c>
      <c r="AJ3243">
        <v>0</v>
      </c>
      <c r="AK3243">
        <v>0</v>
      </c>
      <c r="AL3243">
        <v>0</v>
      </c>
      <c r="AM3243">
        <v>0</v>
      </c>
      <c r="AN3243">
        <v>0</v>
      </c>
      <c r="AO3243">
        <v>0</v>
      </c>
      <c r="AP3243">
        <v>0</v>
      </c>
      <c r="AQ3243">
        <v>0</v>
      </c>
      <c r="AR3243">
        <v>0</v>
      </c>
      <c r="AS3243">
        <v>0</v>
      </c>
      <c r="AT3243">
        <v>0</v>
      </c>
      <c r="AU3243">
        <f t="shared" si="100"/>
        <v>0</v>
      </c>
      <c r="AV3243">
        <f t="shared" si="101"/>
        <v>0</v>
      </c>
    </row>
    <row r="3244" spans="1:48" x14ac:dyDescent="0.25">
      <c r="A3244" t="s">
        <v>10569</v>
      </c>
      <c r="C3244" t="s">
        <v>10570</v>
      </c>
      <c r="D3244" t="s">
        <v>10571</v>
      </c>
      <c r="E3244" t="s">
        <v>2310</v>
      </c>
      <c r="F3244">
        <v>13</v>
      </c>
      <c r="G3244">
        <v>13.3</v>
      </c>
      <c r="H3244" t="s">
        <v>2017</v>
      </c>
      <c r="I3244" s="21">
        <v>40724.611608796302</v>
      </c>
      <c r="J3244">
        <v>2011</v>
      </c>
      <c r="K3244" s="21">
        <v>40724.611608796302</v>
      </c>
      <c r="L3244">
        <v>2011</v>
      </c>
      <c r="M3244" s="21">
        <v>41087.565601851798</v>
      </c>
      <c r="N3244">
        <v>2012</v>
      </c>
      <c r="Q3244" s="262">
        <v>150000</v>
      </c>
      <c r="R3244" s="262">
        <v>29000</v>
      </c>
      <c r="S3244" t="s">
        <v>114</v>
      </c>
      <c r="T3244" t="s">
        <v>114</v>
      </c>
      <c r="U3244">
        <v>5</v>
      </c>
      <c r="W3244">
        <v>174</v>
      </c>
      <c r="X3244">
        <v>0</v>
      </c>
      <c r="Y3244">
        <v>0</v>
      </c>
      <c r="Z3244">
        <v>0</v>
      </c>
      <c r="AA3244">
        <v>0</v>
      </c>
      <c r="AB3244">
        <v>0</v>
      </c>
      <c r="AC3244">
        <v>174</v>
      </c>
      <c r="AD3244">
        <v>0</v>
      </c>
      <c r="AE3244">
        <v>0</v>
      </c>
      <c r="AF3244">
        <v>0</v>
      </c>
      <c r="AG3244">
        <v>0</v>
      </c>
      <c r="AH3244">
        <v>0</v>
      </c>
      <c r="AI3244">
        <v>0</v>
      </c>
      <c r="AJ3244">
        <v>0</v>
      </c>
      <c r="AK3244">
        <v>0</v>
      </c>
      <c r="AL3244">
        <v>0</v>
      </c>
      <c r="AM3244">
        <v>0</v>
      </c>
      <c r="AN3244">
        <v>0</v>
      </c>
      <c r="AO3244">
        <v>0</v>
      </c>
      <c r="AP3244">
        <v>0</v>
      </c>
      <c r="AQ3244">
        <v>0</v>
      </c>
      <c r="AR3244">
        <v>0</v>
      </c>
      <c r="AS3244">
        <v>0</v>
      </c>
      <c r="AT3244">
        <v>0</v>
      </c>
      <c r="AU3244">
        <f t="shared" si="100"/>
        <v>0</v>
      </c>
      <c r="AV3244">
        <f t="shared" si="101"/>
        <v>0</v>
      </c>
    </row>
    <row r="3245" spans="1:48" x14ac:dyDescent="0.25">
      <c r="A3245" t="s">
        <v>10572</v>
      </c>
      <c r="C3245" t="s">
        <v>10573</v>
      </c>
      <c r="D3245" t="s">
        <v>10574</v>
      </c>
      <c r="E3245" t="s">
        <v>1663</v>
      </c>
      <c r="F3245">
        <v>3</v>
      </c>
      <c r="G3245">
        <v>3.1</v>
      </c>
      <c r="H3245" t="s">
        <v>2017</v>
      </c>
      <c r="I3245" s="21">
        <v>40730</v>
      </c>
      <c r="J3245">
        <v>2011</v>
      </c>
      <c r="K3245" s="21">
        <v>40761</v>
      </c>
      <c r="L3245">
        <v>2011</v>
      </c>
      <c r="M3245" s="21">
        <v>40914</v>
      </c>
      <c r="N3245">
        <v>2012</v>
      </c>
      <c r="Q3245" s="262">
        <v>160000</v>
      </c>
      <c r="S3245" t="s">
        <v>114</v>
      </c>
      <c r="T3245" t="s">
        <v>114</v>
      </c>
      <c r="W3245">
        <v>1209</v>
      </c>
      <c r="X3245">
        <v>1</v>
      </c>
      <c r="Y3245">
        <v>0</v>
      </c>
      <c r="Z3245">
        <v>0</v>
      </c>
      <c r="AA3245">
        <v>0</v>
      </c>
      <c r="AB3245">
        <v>0</v>
      </c>
      <c r="AC3245">
        <v>0</v>
      </c>
      <c r="AD3245">
        <v>1209</v>
      </c>
      <c r="AE3245">
        <v>0</v>
      </c>
      <c r="AF3245">
        <v>0</v>
      </c>
      <c r="AG3245">
        <v>0</v>
      </c>
      <c r="AH3245">
        <v>0</v>
      </c>
      <c r="AI3245">
        <v>0</v>
      </c>
      <c r="AJ3245">
        <v>0</v>
      </c>
      <c r="AK3245">
        <v>0</v>
      </c>
      <c r="AL3245">
        <v>0</v>
      </c>
      <c r="AM3245">
        <v>0</v>
      </c>
      <c r="AN3245">
        <v>0</v>
      </c>
      <c r="AO3245">
        <v>0</v>
      </c>
      <c r="AP3245">
        <v>1</v>
      </c>
      <c r="AQ3245">
        <v>0</v>
      </c>
      <c r="AR3245">
        <v>0</v>
      </c>
      <c r="AS3245">
        <v>0</v>
      </c>
      <c r="AT3245">
        <v>0</v>
      </c>
      <c r="AU3245">
        <f t="shared" si="100"/>
        <v>1</v>
      </c>
      <c r="AV3245">
        <f t="shared" si="101"/>
        <v>0</v>
      </c>
    </row>
    <row r="3246" spans="1:48" x14ac:dyDescent="0.25">
      <c r="A3246" t="s">
        <v>10575</v>
      </c>
      <c r="C3246" t="s">
        <v>10576</v>
      </c>
      <c r="D3246" t="s">
        <v>10577</v>
      </c>
      <c r="E3246" t="s">
        <v>1663</v>
      </c>
      <c r="F3246">
        <v>3</v>
      </c>
      <c r="G3246">
        <v>3.1</v>
      </c>
      <c r="H3246" t="s">
        <v>2017</v>
      </c>
      <c r="I3246" s="21">
        <v>40730</v>
      </c>
      <c r="J3246">
        <v>2011</v>
      </c>
      <c r="K3246" s="21">
        <v>40761</v>
      </c>
      <c r="L3246">
        <v>2011</v>
      </c>
      <c r="M3246" s="21">
        <v>40914</v>
      </c>
      <c r="N3246">
        <v>2012</v>
      </c>
      <c r="Q3246" s="262">
        <v>160000</v>
      </c>
      <c r="S3246" t="s">
        <v>114</v>
      </c>
      <c r="T3246" t="s">
        <v>114</v>
      </c>
      <c r="W3246">
        <v>1209</v>
      </c>
      <c r="X3246">
        <v>1</v>
      </c>
      <c r="Y3246">
        <v>0</v>
      </c>
      <c r="Z3246">
        <v>0</v>
      </c>
      <c r="AA3246">
        <v>0</v>
      </c>
      <c r="AB3246">
        <v>0</v>
      </c>
      <c r="AC3246">
        <v>0</v>
      </c>
      <c r="AD3246">
        <v>1209</v>
      </c>
      <c r="AE3246">
        <v>0</v>
      </c>
      <c r="AF3246">
        <v>0</v>
      </c>
      <c r="AG3246">
        <v>0</v>
      </c>
      <c r="AH3246">
        <v>0</v>
      </c>
      <c r="AI3246">
        <v>0</v>
      </c>
      <c r="AJ3246">
        <v>0</v>
      </c>
      <c r="AK3246">
        <v>0</v>
      </c>
      <c r="AL3246">
        <v>0</v>
      </c>
      <c r="AM3246">
        <v>0</v>
      </c>
      <c r="AN3246">
        <v>0</v>
      </c>
      <c r="AO3246">
        <v>0</v>
      </c>
      <c r="AP3246">
        <v>1</v>
      </c>
      <c r="AQ3246">
        <v>0</v>
      </c>
      <c r="AR3246">
        <v>0</v>
      </c>
      <c r="AS3246">
        <v>0</v>
      </c>
      <c r="AT3246">
        <v>0</v>
      </c>
      <c r="AU3246">
        <f t="shared" si="100"/>
        <v>1</v>
      </c>
      <c r="AV3246">
        <f t="shared" si="101"/>
        <v>0</v>
      </c>
    </row>
    <row r="3247" spans="1:48" x14ac:dyDescent="0.25">
      <c r="A3247" t="s">
        <v>10578</v>
      </c>
      <c r="C3247" t="s">
        <v>10579</v>
      </c>
      <c r="D3247" t="s">
        <v>10580</v>
      </c>
      <c r="E3247" t="s">
        <v>2310</v>
      </c>
      <c r="F3247">
        <v>9</v>
      </c>
      <c r="G3247">
        <v>9.3000000000000007</v>
      </c>
      <c r="H3247" t="s">
        <v>2323</v>
      </c>
      <c r="I3247" s="21">
        <v>40732.510474536997</v>
      </c>
      <c r="J3247">
        <v>2011</v>
      </c>
      <c r="K3247" s="21">
        <v>40732.510474536997</v>
      </c>
      <c r="L3247">
        <v>2011</v>
      </c>
      <c r="M3247" s="21">
        <v>41319.679965277799</v>
      </c>
      <c r="N3247">
        <v>2013</v>
      </c>
      <c r="Q3247" s="262">
        <v>300000</v>
      </c>
      <c r="R3247" s="262">
        <v>263000</v>
      </c>
      <c r="S3247" t="s">
        <v>114</v>
      </c>
      <c r="T3247" t="s">
        <v>114</v>
      </c>
      <c r="U3247">
        <v>8</v>
      </c>
      <c r="W3247">
        <v>4078</v>
      </c>
      <c r="X3247">
        <v>1</v>
      </c>
      <c r="Y3247">
        <v>0</v>
      </c>
      <c r="Z3247">
        <v>0</v>
      </c>
      <c r="AA3247">
        <v>0</v>
      </c>
      <c r="AB3247">
        <v>0</v>
      </c>
      <c r="AC3247">
        <v>3081</v>
      </c>
      <c r="AD3247">
        <v>0</v>
      </c>
      <c r="AE3247">
        <v>0</v>
      </c>
      <c r="AF3247">
        <v>997</v>
      </c>
      <c r="AG3247">
        <v>0</v>
      </c>
      <c r="AH3247">
        <v>0</v>
      </c>
      <c r="AI3247">
        <v>0</v>
      </c>
      <c r="AJ3247">
        <v>0</v>
      </c>
      <c r="AK3247">
        <v>0</v>
      </c>
      <c r="AL3247">
        <v>0</v>
      </c>
      <c r="AM3247">
        <v>0</v>
      </c>
      <c r="AN3247">
        <v>0</v>
      </c>
      <c r="AO3247">
        <v>0</v>
      </c>
      <c r="AP3247">
        <v>0</v>
      </c>
      <c r="AQ3247">
        <v>0</v>
      </c>
      <c r="AR3247">
        <v>1</v>
      </c>
      <c r="AS3247">
        <v>0</v>
      </c>
      <c r="AT3247">
        <v>0</v>
      </c>
      <c r="AU3247">
        <f t="shared" si="100"/>
        <v>0</v>
      </c>
      <c r="AV3247">
        <f t="shared" si="101"/>
        <v>0</v>
      </c>
    </row>
    <row r="3248" spans="1:48" x14ac:dyDescent="0.25">
      <c r="A3248" t="s">
        <v>10581</v>
      </c>
      <c r="C3248" t="s">
        <v>10582</v>
      </c>
      <c r="D3248" t="s">
        <v>10583</v>
      </c>
      <c r="E3248" t="s">
        <v>2310</v>
      </c>
      <c r="F3248">
        <v>10</v>
      </c>
      <c r="G3248">
        <v>10.1</v>
      </c>
      <c r="H3248" t="s">
        <v>2323</v>
      </c>
      <c r="I3248" s="21">
        <v>40735.567581018498</v>
      </c>
      <c r="J3248">
        <v>2011</v>
      </c>
      <c r="K3248" s="21">
        <v>40735.567581018498</v>
      </c>
      <c r="L3248">
        <v>2011</v>
      </c>
      <c r="P3248" s="21">
        <v>41935.469236111101</v>
      </c>
      <c r="Q3248" s="262">
        <v>60000</v>
      </c>
      <c r="R3248" s="262">
        <v>116000</v>
      </c>
      <c r="S3248" t="s">
        <v>114</v>
      </c>
      <c r="T3248" t="s">
        <v>114</v>
      </c>
      <c r="U3248">
        <v>5</v>
      </c>
      <c r="W3248">
        <v>2928</v>
      </c>
      <c r="X3248">
        <v>0</v>
      </c>
      <c r="Y3248">
        <v>0</v>
      </c>
      <c r="Z3248">
        <v>0</v>
      </c>
      <c r="AA3248">
        <v>0</v>
      </c>
      <c r="AB3248">
        <v>0</v>
      </c>
      <c r="AC3248">
        <v>2928</v>
      </c>
      <c r="AD3248">
        <v>0</v>
      </c>
      <c r="AE3248">
        <v>0</v>
      </c>
      <c r="AF3248">
        <v>0</v>
      </c>
      <c r="AG3248">
        <v>0</v>
      </c>
      <c r="AH3248">
        <v>0</v>
      </c>
      <c r="AI3248">
        <v>0</v>
      </c>
      <c r="AJ3248">
        <v>0</v>
      </c>
      <c r="AK3248">
        <v>0</v>
      </c>
      <c r="AL3248">
        <v>0</v>
      </c>
      <c r="AM3248">
        <v>0</v>
      </c>
      <c r="AN3248">
        <v>0</v>
      </c>
      <c r="AO3248">
        <v>0</v>
      </c>
      <c r="AP3248">
        <v>0</v>
      </c>
      <c r="AQ3248">
        <v>0</v>
      </c>
      <c r="AR3248">
        <v>0</v>
      </c>
      <c r="AS3248">
        <v>0</v>
      </c>
      <c r="AT3248">
        <v>0</v>
      </c>
      <c r="AU3248">
        <f t="shared" si="100"/>
        <v>0</v>
      </c>
      <c r="AV3248">
        <f t="shared" si="101"/>
        <v>0</v>
      </c>
    </row>
    <row r="3249" spans="1:48" x14ac:dyDescent="0.25">
      <c r="A3249" t="s">
        <v>10584</v>
      </c>
      <c r="C3249" t="s">
        <v>10585</v>
      </c>
      <c r="D3249" t="s">
        <v>4423</v>
      </c>
      <c r="E3249" t="s">
        <v>2310</v>
      </c>
      <c r="F3249">
        <v>8</v>
      </c>
      <c r="G3249">
        <v>8.1999999999999993</v>
      </c>
      <c r="H3249" t="s">
        <v>2022</v>
      </c>
      <c r="I3249" s="21">
        <v>40735.6702083333</v>
      </c>
      <c r="J3249">
        <v>2011</v>
      </c>
      <c r="K3249" s="21">
        <v>40735.6702083333</v>
      </c>
      <c r="L3249">
        <v>2011</v>
      </c>
      <c r="M3249" s="21">
        <v>41031.425428240698</v>
      </c>
      <c r="N3249">
        <v>2012</v>
      </c>
      <c r="Q3249" s="262">
        <v>15000</v>
      </c>
      <c r="R3249" s="262">
        <v>12000</v>
      </c>
      <c r="S3249" t="s">
        <v>114</v>
      </c>
      <c r="T3249" t="s">
        <v>114</v>
      </c>
      <c r="U3249">
        <v>5</v>
      </c>
      <c r="W3249">
        <v>296</v>
      </c>
      <c r="X3249">
        <v>0</v>
      </c>
      <c r="Y3249">
        <v>0</v>
      </c>
      <c r="Z3249">
        <v>0</v>
      </c>
      <c r="AA3249">
        <v>0</v>
      </c>
      <c r="AB3249">
        <v>0</v>
      </c>
      <c r="AC3249">
        <v>296</v>
      </c>
      <c r="AD3249">
        <v>0</v>
      </c>
      <c r="AE3249">
        <v>0</v>
      </c>
      <c r="AF3249">
        <v>0</v>
      </c>
      <c r="AG3249">
        <v>0</v>
      </c>
      <c r="AH3249">
        <v>0</v>
      </c>
      <c r="AI3249">
        <v>0</v>
      </c>
      <c r="AJ3249">
        <v>0</v>
      </c>
      <c r="AK3249">
        <v>0</v>
      </c>
      <c r="AL3249">
        <v>0</v>
      </c>
      <c r="AM3249">
        <v>0</v>
      </c>
      <c r="AN3249">
        <v>0</v>
      </c>
      <c r="AO3249">
        <v>0</v>
      </c>
      <c r="AP3249">
        <v>0</v>
      </c>
      <c r="AQ3249">
        <v>0</v>
      </c>
      <c r="AR3249">
        <v>0</v>
      </c>
      <c r="AS3249">
        <v>0</v>
      </c>
      <c r="AT3249">
        <v>0</v>
      </c>
      <c r="AU3249">
        <f t="shared" si="100"/>
        <v>0</v>
      </c>
      <c r="AV3249">
        <f t="shared" si="101"/>
        <v>0</v>
      </c>
    </row>
    <row r="3250" spans="1:48" x14ac:dyDescent="0.25">
      <c r="A3250" t="s">
        <v>10586</v>
      </c>
      <c r="C3250" t="s">
        <v>10587</v>
      </c>
      <c r="D3250" t="s">
        <v>4423</v>
      </c>
      <c r="E3250" t="s">
        <v>2310</v>
      </c>
      <c r="F3250">
        <v>8</v>
      </c>
      <c r="G3250">
        <v>8.1999999999999993</v>
      </c>
      <c r="H3250" t="s">
        <v>2022</v>
      </c>
      <c r="I3250" s="21">
        <v>40736.538067129601</v>
      </c>
      <c r="J3250">
        <v>2011</v>
      </c>
      <c r="K3250" s="21">
        <v>40736.538067129601</v>
      </c>
      <c r="L3250">
        <v>2011</v>
      </c>
      <c r="M3250" s="21">
        <v>41031.419571759303</v>
      </c>
      <c r="N3250">
        <v>2012</v>
      </c>
      <c r="Q3250" s="262">
        <v>30000</v>
      </c>
      <c r="R3250" s="262">
        <v>16000</v>
      </c>
      <c r="S3250" t="s">
        <v>114</v>
      </c>
      <c r="T3250" t="s">
        <v>114</v>
      </c>
      <c r="U3250">
        <v>5</v>
      </c>
      <c r="W3250">
        <v>150</v>
      </c>
      <c r="X3250">
        <v>0</v>
      </c>
      <c r="Y3250">
        <v>0</v>
      </c>
      <c r="Z3250">
        <v>0</v>
      </c>
      <c r="AA3250">
        <v>0</v>
      </c>
      <c r="AB3250">
        <v>0</v>
      </c>
      <c r="AC3250">
        <v>150</v>
      </c>
      <c r="AD3250">
        <v>0</v>
      </c>
      <c r="AE3250">
        <v>0</v>
      </c>
      <c r="AF3250">
        <v>0</v>
      </c>
      <c r="AG3250">
        <v>0</v>
      </c>
      <c r="AH3250">
        <v>0</v>
      </c>
      <c r="AI3250">
        <v>0</v>
      </c>
      <c r="AJ3250">
        <v>0</v>
      </c>
      <c r="AK3250">
        <v>0</v>
      </c>
      <c r="AL3250">
        <v>0</v>
      </c>
      <c r="AM3250">
        <v>0</v>
      </c>
      <c r="AN3250">
        <v>0</v>
      </c>
      <c r="AO3250">
        <v>0</v>
      </c>
      <c r="AP3250">
        <v>0</v>
      </c>
      <c r="AQ3250">
        <v>0</v>
      </c>
      <c r="AR3250">
        <v>0</v>
      </c>
      <c r="AS3250">
        <v>0</v>
      </c>
      <c r="AT3250">
        <v>0</v>
      </c>
      <c r="AU3250">
        <f t="shared" si="100"/>
        <v>0</v>
      </c>
      <c r="AV3250">
        <f t="shared" si="101"/>
        <v>0</v>
      </c>
    </row>
    <row r="3251" spans="1:48" x14ac:dyDescent="0.25">
      <c r="A3251" t="s">
        <v>10588</v>
      </c>
      <c r="C3251" t="s">
        <v>10589</v>
      </c>
      <c r="D3251" t="s">
        <v>3115</v>
      </c>
      <c r="E3251" t="s">
        <v>2310</v>
      </c>
      <c r="F3251">
        <v>14</v>
      </c>
      <c r="G3251">
        <v>14.1</v>
      </c>
      <c r="H3251" t="s">
        <v>2022</v>
      </c>
      <c r="I3251" s="21">
        <v>40737.560960648101</v>
      </c>
      <c r="J3251">
        <v>2011</v>
      </c>
      <c r="K3251" s="21">
        <v>40737.560960648101</v>
      </c>
      <c r="L3251">
        <v>2011</v>
      </c>
      <c r="M3251" s="21">
        <v>40850.603784722203</v>
      </c>
      <c r="N3251">
        <v>2011</v>
      </c>
      <c r="Q3251" s="262">
        <v>50700</v>
      </c>
      <c r="R3251" s="262">
        <v>31000</v>
      </c>
      <c r="S3251" t="s">
        <v>114</v>
      </c>
      <c r="T3251" t="s">
        <v>114</v>
      </c>
      <c r="U3251">
        <v>5</v>
      </c>
      <c r="W3251">
        <v>785</v>
      </c>
      <c r="X3251">
        <v>0</v>
      </c>
      <c r="Y3251">
        <v>0</v>
      </c>
      <c r="Z3251">
        <v>0</v>
      </c>
      <c r="AA3251">
        <v>0</v>
      </c>
      <c r="AB3251">
        <v>0</v>
      </c>
      <c r="AC3251">
        <v>785</v>
      </c>
      <c r="AD3251">
        <v>0</v>
      </c>
      <c r="AE3251">
        <v>0</v>
      </c>
      <c r="AF3251">
        <v>0</v>
      </c>
      <c r="AG3251">
        <v>0</v>
      </c>
      <c r="AH3251">
        <v>0</v>
      </c>
      <c r="AI3251">
        <v>0</v>
      </c>
      <c r="AJ3251">
        <v>0</v>
      </c>
      <c r="AK3251">
        <v>0</v>
      </c>
      <c r="AL3251">
        <v>0</v>
      </c>
      <c r="AM3251">
        <v>0</v>
      </c>
      <c r="AN3251">
        <v>0</v>
      </c>
      <c r="AO3251">
        <v>0</v>
      </c>
      <c r="AP3251">
        <v>0</v>
      </c>
      <c r="AQ3251">
        <v>0</v>
      </c>
      <c r="AR3251">
        <v>0</v>
      </c>
      <c r="AS3251">
        <v>0</v>
      </c>
      <c r="AT3251">
        <v>0</v>
      </c>
      <c r="AU3251">
        <f t="shared" si="100"/>
        <v>0</v>
      </c>
      <c r="AV3251">
        <f t="shared" si="101"/>
        <v>0</v>
      </c>
    </row>
    <row r="3252" spans="1:48" x14ac:dyDescent="0.25">
      <c r="A3252" t="s">
        <v>10590</v>
      </c>
      <c r="C3252" t="s">
        <v>10591</v>
      </c>
      <c r="D3252" t="s">
        <v>10592</v>
      </c>
      <c r="E3252" t="s">
        <v>2310</v>
      </c>
      <c r="F3252">
        <v>12</v>
      </c>
      <c r="G3252">
        <v>12.3</v>
      </c>
      <c r="H3252" t="s">
        <v>2017</v>
      </c>
      <c r="I3252" s="21">
        <v>40742.512118055602</v>
      </c>
      <c r="J3252">
        <v>2011</v>
      </c>
      <c r="K3252" s="21">
        <v>40742.512118055602</v>
      </c>
      <c r="L3252">
        <v>2011</v>
      </c>
      <c r="M3252" s="21">
        <v>41689.534884259301</v>
      </c>
      <c r="N3252">
        <v>2014</v>
      </c>
      <c r="Q3252" s="262">
        <v>550000</v>
      </c>
      <c r="R3252" s="262">
        <v>122000</v>
      </c>
      <c r="S3252" t="s">
        <v>114</v>
      </c>
      <c r="T3252" t="s">
        <v>114</v>
      </c>
      <c r="U3252">
        <v>5</v>
      </c>
      <c r="V3252">
        <v>928</v>
      </c>
      <c r="W3252">
        <v>472</v>
      </c>
      <c r="X3252">
        <v>0</v>
      </c>
      <c r="Y3252">
        <v>0</v>
      </c>
      <c r="Z3252">
        <v>0</v>
      </c>
      <c r="AA3252">
        <v>0</v>
      </c>
      <c r="AB3252">
        <v>0</v>
      </c>
      <c r="AC3252">
        <v>472</v>
      </c>
      <c r="AD3252">
        <v>0</v>
      </c>
      <c r="AE3252">
        <v>0</v>
      </c>
      <c r="AF3252">
        <v>0</v>
      </c>
      <c r="AG3252">
        <v>0</v>
      </c>
      <c r="AH3252">
        <v>0</v>
      </c>
      <c r="AI3252">
        <v>0</v>
      </c>
      <c r="AJ3252">
        <v>0</v>
      </c>
      <c r="AK3252">
        <v>0</v>
      </c>
      <c r="AL3252">
        <v>0</v>
      </c>
      <c r="AM3252">
        <v>0</v>
      </c>
      <c r="AN3252">
        <v>0</v>
      </c>
      <c r="AO3252">
        <v>0</v>
      </c>
      <c r="AP3252">
        <v>0</v>
      </c>
      <c r="AQ3252">
        <v>0</v>
      </c>
      <c r="AR3252">
        <v>0</v>
      </c>
      <c r="AS3252">
        <v>0</v>
      </c>
      <c r="AT3252">
        <v>0</v>
      </c>
      <c r="AU3252">
        <f t="shared" si="100"/>
        <v>0</v>
      </c>
      <c r="AV3252">
        <f t="shared" si="101"/>
        <v>0</v>
      </c>
    </row>
    <row r="3253" spans="1:48" x14ac:dyDescent="0.25">
      <c r="A3253" t="s">
        <v>10593</v>
      </c>
      <c r="C3253" t="s">
        <v>10564</v>
      </c>
      <c r="D3253" t="s">
        <v>9793</v>
      </c>
      <c r="E3253" t="s">
        <v>2310</v>
      </c>
      <c r="F3253">
        <v>8</v>
      </c>
      <c r="G3253">
        <v>8.1999999999999993</v>
      </c>
      <c r="H3253" t="s">
        <v>2022</v>
      </c>
      <c r="I3253" s="21">
        <v>40742.6954050926</v>
      </c>
      <c r="J3253">
        <v>2011</v>
      </c>
      <c r="K3253" s="21">
        <v>40742.6954050926</v>
      </c>
      <c r="L3253">
        <v>2011</v>
      </c>
      <c r="M3253" s="21">
        <v>41040.464282407404</v>
      </c>
      <c r="N3253">
        <v>2012</v>
      </c>
      <c r="Q3253" s="262">
        <v>550000</v>
      </c>
      <c r="R3253" s="262">
        <v>97000</v>
      </c>
      <c r="S3253" t="s">
        <v>114</v>
      </c>
      <c r="T3253" t="s">
        <v>114</v>
      </c>
      <c r="U3253">
        <v>8</v>
      </c>
      <c r="W3253">
        <v>911</v>
      </c>
      <c r="X3253">
        <v>1</v>
      </c>
      <c r="Y3253">
        <v>0</v>
      </c>
      <c r="Z3253">
        <v>0</v>
      </c>
      <c r="AA3253">
        <v>0</v>
      </c>
      <c r="AB3253">
        <v>0</v>
      </c>
      <c r="AC3253">
        <v>0</v>
      </c>
      <c r="AD3253">
        <v>0</v>
      </c>
      <c r="AE3253">
        <v>0</v>
      </c>
      <c r="AF3253">
        <v>911</v>
      </c>
      <c r="AG3253">
        <v>0</v>
      </c>
      <c r="AH3253">
        <v>0</v>
      </c>
      <c r="AI3253">
        <v>0</v>
      </c>
      <c r="AJ3253">
        <v>0</v>
      </c>
      <c r="AK3253">
        <v>0</v>
      </c>
      <c r="AL3253">
        <v>0</v>
      </c>
      <c r="AM3253">
        <v>0</v>
      </c>
      <c r="AN3253">
        <v>0</v>
      </c>
      <c r="AO3253">
        <v>0</v>
      </c>
      <c r="AP3253">
        <v>0</v>
      </c>
      <c r="AQ3253">
        <v>0</v>
      </c>
      <c r="AR3253">
        <v>1</v>
      </c>
      <c r="AS3253">
        <v>0</v>
      </c>
      <c r="AT3253">
        <v>0</v>
      </c>
      <c r="AU3253">
        <f t="shared" si="100"/>
        <v>0</v>
      </c>
      <c r="AV3253">
        <f t="shared" si="101"/>
        <v>0</v>
      </c>
    </row>
    <row r="3254" spans="1:48" x14ac:dyDescent="0.25">
      <c r="A3254" t="s">
        <v>10594</v>
      </c>
      <c r="C3254" t="s">
        <v>10533</v>
      </c>
      <c r="D3254" t="s">
        <v>10595</v>
      </c>
      <c r="E3254" t="s">
        <v>2310</v>
      </c>
      <c r="F3254">
        <v>9</v>
      </c>
      <c r="G3254">
        <v>9.1</v>
      </c>
      <c r="H3254" t="s">
        <v>2323</v>
      </c>
      <c r="I3254" s="21">
        <v>40743.389340277798</v>
      </c>
      <c r="J3254">
        <v>2011</v>
      </c>
      <c r="K3254" s="21">
        <v>40743.389340277798</v>
      </c>
      <c r="L3254">
        <v>2011</v>
      </c>
      <c r="M3254" s="21">
        <v>41284.689814814803</v>
      </c>
      <c r="N3254">
        <v>2013</v>
      </c>
      <c r="Q3254" s="262">
        <v>1500000</v>
      </c>
      <c r="R3254" s="262">
        <v>445000</v>
      </c>
      <c r="S3254" t="s">
        <v>114</v>
      </c>
      <c r="T3254" t="s">
        <v>114</v>
      </c>
      <c r="U3254">
        <v>5</v>
      </c>
      <c r="W3254">
        <v>4267</v>
      </c>
      <c r="X3254">
        <v>1</v>
      </c>
      <c r="Y3254">
        <v>0</v>
      </c>
      <c r="Z3254">
        <v>0</v>
      </c>
      <c r="AA3254">
        <v>0</v>
      </c>
      <c r="AB3254">
        <v>0</v>
      </c>
      <c r="AC3254">
        <v>4267</v>
      </c>
      <c r="AD3254">
        <v>0</v>
      </c>
      <c r="AE3254">
        <v>0</v>
      </c>
      <c r="AF3254">
        <v>0</v>
      </c>
      <c r="AG3254">
        <v>0</v>
      </c>
      <c r="AH3254">
        <v>0</v>
      </c>
      <c r="AI3254">
        <v>0</v>
      </c>
      <c r="AJ3254">
        <v>0</v>
      </c>
      <c r="AK3254">
        <v>0</v>
      </c>
      <c r="AL3254">
        <v>0</v>
      </c>
      <c r="AM3254">
        <v>0</v>
      </c>
      <c r="AN3254">
        <v>0</v>
      </c>
      <c r="AO3254">
        <v>1</v>
      </c>
      <c r="AP3254">
        <v>0</v>
      </c>
      <c r="AQ3254">
        <v>0</v>
      </c>
      <c r="AR3254">
        <v>0</v>
      </c>
      <c r="AS3254">
        <v>0</v>
      </c>
      <c r="AT3254">
        <v>0</v>
      </c>
      <c r="AU3254">
        <f t="shared" si="100"/>
        <v>1</v>
      </c>
      <c r="AV3254">
        <f t="shared" si="101"/>
        <v>0</v>
      </c>
    </row>
    <row r="3255" spans="1:48" x14ac:dyDescent="0.25">
      <c r="A3255" t="s">
        <v>10596</v>
      </c>
      <c r="C3255" t="s">
        <v>10545</v>
      </c>
      <c r="D3255" t="s">
        <v>9184</v>
      </c>
      <c r="E3255" t="s">
        <v>2310</v>
      </c>
      <c r="F3255">
        <v>15</v>
      </c>
      <c r="G3255">
        <v>15.2</v>
      </c>
      <c r="H3255" t="s">
        <v>2323</v>
      </c>
      <c r="I3255" s="21">
        <v>40744.472557870402</v>
      </c>
      <c r="J3255">
        <v>2011</v>
      </c>
      <c r="K3255" s="21">
        <v>40744.472557870402</v>
      </c>
      <c r="L3255">
        <v>2011</v>
      </c>
      <c r="M3255" s="21">
        <v>41950.358391203699</v>
      </c>
      <c r="N3255">
        <v>2014</v>
      </c>
      <c r="Q3255" s="262">
        <v>10000</v>
      </c>
      <c r="R3255" s="262">
        <v>19000</v>
      </c>
      <c r="S3255" t="s">
        <v>114</v>
      </c>
      <c r="T3255" t="s">
        <v>114</v>
      </c>
      <c r="U3255">
        <v>5</v>
      </c>
      <c r="W3255">
        <v>112</v>
      </c>
      <c r="X3255">
        <v>0</v>
      </c>
      <c r="Y3255">
        <v>0</v>
      </c>
      <c r="Z3255">
        <v>0</v>
      </c>
      <c r="AA3255">
        <v>0</v>
      </c>
      <c r="AB3255">
        <v>0</v>
      </c>
      <c r="AC3255">
        <v>112</v>
      </c>
      <c r="AD3255">
        <v>0</v>
      </c>
      <c r="AE3255">
        <v>0</v>
      </c>
      <c r="AF3255">
        <v>0</v>
      </c>
      <c r="AG3255">
        <v>0</v>
      </c>
      <c r="AH3255">
        <v>0</v>
      </c>
      <c r="AI3255">
        <v>0</v>
      </c>
      <c r="AJ3255">
        <v>0</v>
      </c>
      <c r="AK3255">
        <v>0</v>
      </c>
      <c r="AL3255">
        <v>0</v>
      </c>
      <c r="AM3255">
        <v>0</v>
      </c>
      <c r="AN3255">
        <v>0</v>
      </c>
      <c r="AO3255">
        <v>0</v>
      </c>
      <c r="AP3255">
        <v>0</v>
      </c>
      <c r="AQ3255">
        <v>0</v>
      </c>
      <c r="AR3255">
        <v>0</v>
      </c>
      <c r="AS3255">
        <v>0</v>
      </c>
      <c r="AT3255">
        <v>0</v>
      </c>
      <c r="AU3255">
        <f t="shared" si="100"/>
        <v>0</v>
      </c>
      <c r="AV3255">
        <f t="shared" si="101"/>
        <v>0</v>
      </c>
    </row>
    <row r="3256" spans="1:48" x14ac:dyDescent="0.25">
      <c r="A3256" t="s">
        <v>10597</v>
      </c>
      <c r="C3256" t="s">
        <v>4934</v>
      </c>
      <c r="D3256" t="s">
        <v>10522</v>
      </c>
      <c r="E3256" t="s">
        <v>2310</v>
      </c>
      <c r="F3256">
        <v>8</v>
      </c>
      <c r="G3256">
        <v>8.1999999999999993</v>
      </c>
      <c r="H3256" t="s">
        <v>2022</v>
      </c>
      <c r="I3256" s="21">
        <v>40749.595428240696</v>
      </c>
      <c r="J3256">
        <v>2011</v>
      </c>
      <c r="K3256" s="21">
        <v>40749.595428240696</v>
      </c>
      <c r="L3256">
        <v>2011</v>
      </c>
      <c r="M3256" s="21">
        <v>41974.6573726852</v>
      </c>
      <c r="N3256">
        <v>2014</v>
      </c>
      <c r="Q3256" s="262">
        <v>200000</v>
      </c>
      <c r="R3256" s="262">
        <v>76000</v>
      </c>
      <c r="S3256" t="s">
        <v>114</v>
      </c>
      <c r="T3256" t="s">
        <v>114</v>
      </c>
      <c r="U3256">
        <v>5</v>
      </c>
      <c r="W3256">
        <v>1950</v>
      </c>
      <c r="X3256">
        <v>0</v>
      </c>
      <c r="Y3256">
        <v>0</v>
      </c>
      <c r="Z3256">
        <v>0</v>
      </c>
      <c r="AA3256">
        <v>0</v>
      </c>
      <c r="AB3256">
        <v>0</v>
      </c>
      <c r="AC3256">
        <v>1950</v>
      </c>
      <c r="AD3256">
        <v>0</v>
      </c>
      <c r="AE3256">
        <v>0</v>
      </c>
      <c r="AF3256">
        <v>0</v>
      </c>
      <c r="AG3256">
        <v>0</v>
      </c>
      <c r="AH3256">
        <v>0</v>
      </c>
      <c r="AI3256">
        <v>0</v>
      </c>
      <c r="AJ3256">
        <v>0</v>
      </c>
      <c r="AK3256">
        <v>0</v>
      </c>
      <c r="AL3256">
        <v>0</v>
      </c>
      <c r="AM3256">
        <v>0</v>
      </c>
      <c r="AN3256">
        <v>0</v>
      </c>
      <c r="AO3256">
        <v>0</v>
      </c>
      <c r="AP3256">
        <v>0</v>
      </c>
      <c r="AQ3256">
        <v>0</v>
      </c>
      <c r="AR3256">
        <v>0</v>
      </c>
      <c r="AS3256">
        <v>0</v>
      </c>
      <c r="AT3256">
        <v>0</v>
      </c>
      <c r="AU3256">
        <f t="shared" si="100"/>
        <v>0</v>
      </c>
      <c r="AV3256">
        <f t="shared" si="101"/>
        <v>0</v>
      </c>
    </row>
    <row r="3257" spans="1:48" x14ac:dyDescent="0.25">
      <c r="A3257" t="s">
        <v>10601</v>
      </c>
      <c r="C3257" t="s">
        <v>10602</v>
      </c>
      <c r="D3257" t="s">
        <v>10603</v>
      </c>
      <c r="E3257" t="s">
        <v>1663</v>
      </c>
      <c r="F3257">
        <v>4</v>
      </c>
      <c r="G3257">
        <v>4.3</v>
      </c>
      <c r="H3257" t="s">
        <v>2327</v>
      </c>
      <c r="I3257" s="21">
        <v>40752</v>
      </c>
      <c r="J3257">
        <v>2011</v>
      </c>
      <c r="K3257" s="21">
        <v>40783</v>
      </c>
      <c r="L3257">
        <v>2011</v>
      </c>
      <c r="M3257" s="21">
        <v>40936</v>
      </c>
      <c r="N3257">
        <v>2012</v>
      </c>
      <c r="Q3257" s="262">
        <v>7500000</v>
      </c>
      <c r="S3257" t="s">
        <v>114</v>
      </c>
      <c r="T3257" t="s">
        <v>114</v>
      </c>
      <c r="W3257">
        <v>11000</v>
      </c>
      <c r="X3257">
        <v>0</v>
      </c>
      <c r="Y3257">
        <v>0</v>
      </c>
      <c r="Z3257">
        <v>0</v>
      </c>
      <c r="AA3257">
        <v>0</v>
      </c>
      <c r="AB3257">
        <v>0</v>
      </c>
      <c r="AC3257">
        <v>0</v>
      </c>
      <c r="AD3257">
        <v>0</v>
      </c>
      <c r="AE3257">
        <v>0</v>
      </c>
      <c r="AF3257">
        <v>0</v>
      </c>
      <c r="AG3257">
        <v>0</v>
      </c>
      <c r="AH3257">
        <v>0</v>
      </c>
      <c r="AI3257">
        <v>0</v>
      </c>
      <c r="AJ3257">
        <v>0</v>
      </c>
      <c r="AK3257">
        <v>0</v>
      </c>
      <c r="AL3257">
        <v>0</v>
      </c>
      <c r="AM3257">
        <v>11000</v>
      </c>
      <c r="AN3257">
        <v>0</v>
      </c>
      <c r="AO3257">
        <v>0</v>
      </c>
      <c r="AP3257">
        <v>0</v>
      </c>
      <c r="AQ3257">
        <v>0</v>
      </c>
      <c r="AR3257">
        <v>0</v>
      </c>
      <c r="AS3257">
        <v>0</v>
      </c>
      <c r="AT3257">
        <v>0</v>
      </c>
      <c r="AU3257">
        <f t="shared" si="100"/>
        <v>0</v>
      </c>
      <c r="AV3257">
        <f t="shared" si="101"/>
        <v>11000</v>
      </c>
    </row>
    <row r="3258" spans="1:48" x14ac:dyDescent="0.25">
      <c r="A3258" t="s">
        <v>10598</v>
      </c>
      <c r="C3258" t="s">
        <v>10599</v>
      </c>
      <c r="D3258" t="s">
        <v>10600</v>
      </c>
      <c r="E3258" t="s">
        <v>1663</v>
      </c>
      <c r="F3258">
        <v>2</v>
      </c>
      <c r="G3258">
        <v>2.2000000000000002</v>
      </c>
      <c r="H3258" t="s">
        <v>2327</v>
      </c>
      <c r="I3258" s="21">
        <v>40752</v>
      </c>
      <c r="J3258">
        <v>2011</v>
      </c>
      <c r="K3258" s="21">
        <v>40783</v>
      </c>
      <c r="L3258">
        <v>2011</v>
      </c>
      <c r="M3258" s="21">
        <v>40936</v>
      </c>
      <c r="N3258">
        <v>2012</v>
      </c>
      <c r="Q3258" s="262">
        <v>175000</v>
      </c>
      <c r="S3258" t="s">
        <v>114</v>
      </c>
      <c r="T3258" t="s">
        <v>114</v>
      </c>
      <c r="W3258">
        <v>1900</v>
      </c>
      <c r="X3258">
        <v>1</v>
      </c>
      <c r="Y3258">
        <v>0</v>
      </c>
      <c r="Z3258">
        <v>0</v>
      </c>
      <c r="AA3258">
        <v>0</v>
      </c>
      <c r="AB3258">
        <v>0</v>
      </c>
      <c r="AC3258">
        <v>1900</v>
      </c>
      <c r="AD3258">
        <v>0</v>
      </c>
      <c r="AE3258">
        <v>0</v>
      </c>
      <c r="AF3258">
        <v>0</v>
      </c>
      <c r="AG3258">
        <v>0</v>
      </c>
      <c r="AH3258">
        <v>0</v>
      </c>
      <c r="AI3258">
        <v>0</v>
      </c>
      <c r="AJ3258">
        <v>0</v>
      </c>
      <c r="AK3258">
        <v>0</v>
      </c>
      <c r="AL3258">
        <v>0</v>
      </c>
      <c r="AM3258">
        <v>0</v>
      </c>
      <c r="AN3258">
        <v>0</v>
      </c>
      <c r="AO3258">
        <v>1</v>
      </c>
      <c r="AP3258">
        <v>0</v>
      </c>
      <c r="AQ3258">
        <v>0</v>
      </c>
      <c r="AR3258">
        <v>0</v>
      </c>
      <c r="AS3258">
        <v>0</v>
      </c>
      <c r="AT3258">
        <v>0</v>
      </c>
      <c r="AU3258">
        <f t="shared" si="100"/>
        <v>1</v>
      </c>
      <c r="AV3258">
        <f t="shared" si="101"/>
        <v>0</v>
      </c>
    </row>
    <row r="3259" spans="1:48" x14ac:dyDescent="0.25">
      <c r="A3259" t="s">
        <v>10607</v>
      </c>
      <c r="C3259" t="s">
        <v>10608</v>
      </c>
      <c r="D3259" t="s">
        <v>10609</v>
      </c>
      <c r="E3259" t="s">
        <v>1663</v>
      </c>
      <c r="F3259">
        <v>9</v>
      </c>
      <c r="G3259">
        <v>9.4</v>
      </c>
      <c r="H3259" t="s">
        <v>2323</v>
      </c>
      <c r="I3259" s="21">
        <v>40756</v>
      </c>
      <c r="J3259">
        <v>2011</v>
      </c>
      <c r="K3259" s="21">
        <v>40787</v>
      </c>
      <c r="L3259">
        <v>2011</v>
      </c>
      <c r="M3259" s="21">
        <v>40940</v>
      </c>
      <c r="N3259">
        <v>2012</v>
      </c>
      <c r="Q3259" s="262">
        <v>505000</v>
      </c>
      <c r="S3259" t="s">
        <v>114</v>
      </c>
      <c r="T3259" t="s">
        <v>114</v>
      </c>
      <c r="W3259">
        <v>2150</v>
      </c>
      <c r="X3259">
        <v>1</v>
      </c>
      <c r="Y3259">
        <v>0</v>
      </c>
      <c r="Z3259">
        <v>0</v>
      </c>
      <c r="AA3259">
        <v>0</v>
      </c>
      <c r="AB3259">
        <v>0</v>
      </c>
      <c r="AC3259">
        <v>2150</v>
      </c>
      <c r="AD3259">
        <v>0</v>
      </c>
      <c r="AE3259">
        <v>0</v>
      </c>
      <c r="AF3259">
        <v>0</v>
      </c>
      <c r="AG3259">
        <v>0</v>
      </c>
      <c r="AH3259">
        <v>0</v>
      </c>
      <c r="AI3259">
        <v>0</v>
      </c>
      <c r="AJ3259">
        <v>0</v>
      </c>
      <c r="AK3259">
        <v>0</v>
      </c>
      <c r="AL3259">
        <v>0</v>
      </c>
      <c r="AM3259">
        <v>0</v>
      </c>
      <c r="AN3259">
        <v>0</v>
      </c>
      <c r="AO3259">
        <v>1</v>
      </c>
      <c r="AP3259">
        <v>0</v>
      </c>
      <c r="AQ3259">
        <v>0</v>
      </c>
      <c r="AR3259">
        <v>0</v>
      </c>
      <c r="AS3259">
        <v>0</v>
      </c>
      <c r="AT3259">
        <v>0</v>
      </c>
      <c r="AU3259">
        <f t="shared" si="100"/>
        <v>1</v>
      </c>
      <c r="AV3259">
        <f t="shared" si="101"/>
        <v>0</v>
      </c>
    </row>
    <row r="3260" spans="1:48" x14ac:dyDescent="0.25">
      <c r="A3260" t="s">
        <v>10604</v>
      </c>
      <c r="C3260" t="s">
        <v>10605</v>
      </c>
      <c r="D3260" t="s">
        <v>10606</v>
      </c>
      <c r="E3260" t="s">
        <v>1663</v>
      </c>
      <c r="F3260">
        <v>6</v>
      </c>
      <c r="G3260">
        <v>6.1</v>
      </c>
      <c r="H3260" t="s">
        <v>2017</v>
      </c>
      <c r="I3260" s="21">
        <v>40756</v>
      </c>
      <c r="J3260">
        <v>2011</v>
      </c>
      <c r="K3260" s="21">
        <v>40787</v>
      </c>
      <c r="L3260">
        <v>2011</v>
      </c>
      <c r="M3260" s="21">
        <v>40940</v>
      </c>
      <c r="N3260">
        <v>2012</v>
      </c>
      <c r="Q3260" s="262">
        <v>150000</v>
      </c>
      <c r="S3260" t="s">
        <v>114</v>
      </c>
      <c r="T3260" t="s">
        <v>114</v>
      </c>
      <c r="W3260">
        <v>200</v>
      </c>
      <c r="X3260">
        <v>0</v>
      </c>
      <c r="Y3260">
        <v>0</v>
      </c>
      <c r="Z3260">
        <v>0</v>
      </c>
      <c r="AA3260">
        <v>0</v>
      </c>
      <c r="AB3260">
        <v>0</v>
      </c>
      <c r="AC3260">
        <v>200</v>
      </c>
      <c r="AD3260">
        <v>0</v>
      </c>
      <c r="AE3260">
        <v>0</v>
      </c>
      <c r="AF3260">
        <v>0</v>
      </c>
      <c r="AG3260">
        <v>0</v>
      </c>
      <c r="AH3260">
        <v>0</v>
      </c>
      <c r="AI3260">
        <v>0</v>
      </c>
      <c r="AJ3260">
        <v>0</v>
      </c>
      <c r="AK3260">
        <v>0</v>
      </c>
      <c r="AL3260">
        <v>0</v>
      </c>
      <c r="AM3260">
        <v>0</v>
      </c>
      <c r="AN3260">
        <v>0</v>
      </c>
      <c r="AO3260">
        <v>0</v>
      </c>
      <c r="AP3260">
        <v>0</v>
      </c>
      <c r="AQ3260">
        <v>0</v>
      </c>
      <c r="AR3260">
        <v>0</v>
      </c>
      <c r="AS3260">
        <v>0</v>
      </c>
      <c r="AT3260">
        <v>0</v>
      </c>
      <c r="AU3260">
        <f t="shared" si="100"/>
        <v>0</v>
      </c>
      <c r="AV3260">
        <f t="shared" si="101"/>
        <v>0</v>
      </c>
    </row>
    <row r="3261" spans="1:48" x14ac:dyDescent="0.25">
      <c r="A3261" t="s">
        <v>10610</v>
      </c>
      <c r="C3261" t="s">
        <v>10611</v>
      </c>
      <c r="D3261" t="s">
        <v>4698</v>
      </c>
      <c r="E3261" t="s">
        <v>2310</v>
      </c>
      <c r="F3261">
        <v>9</v>
      </c>
      <c r="G3261">
        <v>9.4</v>
      </c>
      <c r="H3261" t="s">
        <v>2323</v>
      </c>
      <c r="I3261" s="21">
        <v>40756.593587962998</v>
      </c>
      <c r="J3261">
        <v>2011</v>
      </c>
      <c r="K3261" s="21">
        <v>40756.593587962998</v>
      </c>
      <c r="L3261">
        <v>2011</v>
      </c>
      <c r="M3261" s="21">
        <v>40820.466307870403</v>
      </c>
      <c r="N3261">
        <v>2011</v>
      </c>
      <c r="Q3261" s="262">
        <v>4000</v>
      </c>
      <c r="R3261" s="262">
        <v>0</v>
      </c>
      <c r="S3261" t="s">
        <v>114</v>
      </c>
      <c r="T3261" t="s">
        <v>114</v>
      </c>
      <c r="U3261">
        <v>15</v>
      </c>
      <c r="W3261">
        <v>0</v>
      </c>
      <c r="X3261">
        <v>0</v>
      </c>
      <c r="Y3261">
        <v>0</v>
      </c>
      <c r="Z3261">
        <v>0</v>
      </c>
      <c r="AA3261">
        <v>0</v>
      </c>
      <c r="AB3261">
        <v>0</v>
      </c>
      <c r="AC3261">
        <v>0</v>
      </c>
      <c r="AD3261">
        <v>0</v>
      </c>
      <c r="AE3261">
        <v>0</v>
      </c>
      <c r="AF3261">
        <v>0</v>
      </c>
      <c r="AG3261">
        <v>0</v>
      </c>
      <c r="AH3261">
        <v>0</v>
      </c>
      <c r="AI3261">
        <v>0</v>
      </c>
      <c r="AJ3261">
        <v>0</v>
      </c>
      <c r="AK3261">
        <v>0</v>
      </c>
      <c r="AL3261">
        <v>0</v>
      </c>
      <c r="AM3261">
        <v>0</v>
      </c>
      <c r="AN3261">
        <v>0</v>
      </c>
      <c r="AO3261">
        <v>0</v>
      </c>
      <c r="AP3261">
        <v>0</v>
      </c>
      <c r="AQ3261">
        <v>0</v>
      </c>
      <c r="AR3261">
        <v>0</v>
      </c>
      <c r="AS3261">
        <v>0</v>
      </c>
      <c r="AT3261">
        <v>0</v>
      </c>
      <c r="AU3261">
        <f t="shared" si="100"/>
        <v>0</v>
      </c>
      <c r="AV3261">
        <f t="shared" si="101"/>
        <v>0</v>
      </c>
    </row>
    <row r="3262" spans="1:48" x14ac:dyDescent="0.25">
      <c r="A3262" t="s">
        <v>10612</v>
      </c>
      <c r="C3262" t="s">
        <v>10613</v>
      </c>
      <c r="D3262" t="s">
        <v>8048</v>
      </c>
      <c r="E3262" t="s">
        <v>2310</v>
      </c>
      <c r="F3262">
        <v>8</v>
      </c>
      <c r="G3262">
        <v>8.3000000000000007</v>
      </c>
      <c r="H3262" t="s">
        <v>2323</v>
      </c>
      <c r="I3262" s="21">
        <v>40757.378993055601</v>
      </c>
      <c r="J3262">
        <v>2011</v>
      </c>
      <c r="K3262" s="21">
        <v>40757.378993055601</v>
      </c>
      <c r="L3262">
        <v>2011</v>
      </c>
      <c r="M3262" s="21">
        <v>41918.421539351897</v>
      </c>
      <c r="N3262">
        <v>2014</v>
      </c>
      <c r="Q3262" s="262">
        <v>227000</v>
      </c>
      <c r="R3262" s="262">
        <v>227000</v>
      </c>
      <c r="S3262" t="s">
        <v>114</v>
      </c>
      <c r="T3262" t="s">
        <v>114</v>
      </c>
      <c r="U3262">
        <v>5</v>
      </c>
      <c r="W3262">
        <v>0</v>
      </c>
      <c r="X3262">
        <v>0</v>
      </c>
      <c r="Y3262">
        <v>0</v>
      </c>
      <c r="Z3262">
        <v>0</v>
      </c>
      <c r="AA3262">
        <v>0</v>
      </c>
      <c r="AB3262">
        <v>0</v>
      </c>
      <c r="AC3262">
        <v>0</v>
      </c>
      <c r="AD3262">
        <v>0</v>
      </c>
      <c r="AE3262">
        <v>0</v>
      </c>
      <c r="AF3262">
        <v>0</v>
      </c>
      <c r="AG3262">
        <v>0</v>
      </c>
      <c r="AH3262">
        <v>0</v>
      </c>
      <c r="AI3262">
        <v>0</v>
      </c>
      <c r="AJ3262">
        <v>0</v>
      </c>
      <c r="AK3262">
        <v>0</v>
      </c>
      <c r="AL3262">
        <v>0</v>
      </c>
      <c r="AM3262">
        <v>0</v>
      </c>
      <c r="AN3262">
        <v>0</v>
      </c>
      <c r="AO3262">
        <v>0</v>
      </c>
      <c r="AP3262">
        <v>0</v>
      </c>
      <c r="AQ3262">
        <v>0</v>
      </c>
      <c r="AR3262">
        <v>0</v>
      </c>
      <c r="AS3262">
        <v>0</v>
      </c>
      <c r="AT3262">
        <v>0</v>
      </c>
      <c r="AU3262">
        <f t="shared" si="100"/>
        <v>0</v>
      </c>
      <c r="AV3262">
        <f t="shared" si="101"/>
        <v>0</v>
      </c>
    </row>
    <row r="3263" spans="1:48" x14ac:dyDescent="0.25">
      <c r="A3263" t="s">
        <v>10614</v>
      </c>
      <c r="C3263" t="s">
        <v>5048</v>
      </c>
      <c r="D3263" t="s">
        <v>10615</v>
      </c>
      <c r="E3263" t="s">
        <v>2310</v>
      </c>
      <c r="F3263">
        <v>9</v>
      </c>
      <c r="G3263">
        <v>9.3000000000000007</v>
      </c>
      <c r="H3263" t="s">
        <v>2323</v>
      </c>
      <c r="I3263" s="21">
        <v>40758.3840277778</v>
      </c>
      <c r="J3263">
        <v>2011</v>
      </c>
      <c r="K3263" s="21">
        <v>40758.3840277778</v>
      </c>
      <c r="L3263">
        <v>2011</v>
      </c>
      <c r="M3263" s="21">
        <v>41219.584085648101</v>
      </c>
      <c r="N3263">
        <v>2012</v>
      </c>
      <c r="Q3263" s="262">
        <v>30000</v>
      </c>
      <c r="R3263" s="262">
        <v>31000</v>
      </c>
      <c r="S3263" t="s">
        <v>114</v>
      </c>
      <c r="T3263" t="s">
        <v>114</v>
      </c>
      <c r="U3263">
        <v>5</v>
      </c>
      <c r="W3263">
        <v>776</v>
      </c>
      <c r="X3263">
        <v>0</v>
      </c>
      <c r="Y3263">
        <v>0</v>
      </c>
      <c r="Z3263">
        <v>0</v>
      </c>
      <c r="AA3263">
        <v>0</v>
      </c>
      <c r="AB3263">
        <v>0</v>
      </c>
      <c r="AC3263">
        <v>776</v>
      </c>
      <c r="AD3263">
        <v>0</v>
      </c>
      <c r="AE3263">
        <v>0</v>
      </c>
      <c r="AF3263">
        <v>0</v>
      </c>
      <c r="AG3263">
        <v>0</v>
      </c>
      <c r="AH3263">
        <v>0</v>
      </c>
      <c r="AI3263">
        <v>0</v>
      </c>
      <c r="AJ3263">
        <v>0</v>
      </c>
      <c r="AK3263">
        <v>0</v>
      </c>
      <c r="AL3263">
        <v>0</v>
      </c>
      <c r="AM3263">
        <v>0</v>
      </c>
      <c r="AN3263">
        <v>0</v>
      </c>
      <c r="AO3263">
        <v>0</v>
      </c>
      <c r="AP3263">
        <v>0</v>
      </c>
      <c r="AQ3263">
        <v>0</v>
      </c>
      <c r="AR3263">
        <v>0</v>
      </c>
      <c r="AS3263">
        <v>0</v>
      </c>
      <c r="AT3263">
        <v>0</v>
      </c>
      <c r="AU3263">
        <f t="shared" si="100"/>
        <v>0</v>
      </c>
      <c r="AV3263">
        <f t="shared" si="101"/>
        <v>0</v>
      </c>
    </row>
    <row r="3264" spans="1:48" x14ac:dyDescent="0.25">
      <c r="A3264" t="s">
        <v>10616</v>
      </c>
      <c r="C3264" t="s">
        <v>10617</v>
      </c>
      <c r="D3264" t="s">
        <v>10618</v>
      </c>
      <c r="E3264" t="s">
        <v>2310</v>
      </c>
      <c r="F3264">
        <v>9</v>
      </c>
      <c r="G3264">
        <v>9.1</v>
      </c>
      <c r="H3264" t="s">
        <v>2323</v>
      </c>
      <c r="I3264" s="21">
        <v>40759.366122685198</v>
      </c>
      <c r="J3264">
        <v>2011</v>
      </c>
      <c r="K3264" s="21">
        <v>40759.366122685198</v>
      </c>
      <c r="L3264">
        <v>2011</v>
      </c>
      <c r="M3264" s="21">
        <v>41080.396747685198</v>
      </c>
      <c r="N3264">
        <v>2012</v>
      </c>
      <c r="Q3264" s="262">
        <v>281500</v>
      </c>
      <c r="R3264" s="262">
        <v>114000</v>
      </c>
      <c r="S3264" t="s">
        <v>114</v>
      </c>
      <c r="T3264" t="s">
        <v>114</v>
      </c>
      <c r="U3264">
        <v>5</v>
      </c>
      <c r="W3264">
        <v>1126</v>
      </c>
      <c r="X3264">
        <v>0</v>
      </c>
      <c r="Y3264">
        <v>0</v>
      </c>
      <c r="Z3264">
        <v>0</v>
      </c>
      <c r="AA3264">
        <v>0</v>
      </c>
      <c r="AB3264">
        <v>0</v>
      </c>
      <c r="AC3264">
        <v>1126</v>
      </c>
      <c r="AD3264">
        <v>0</v>
      </c>
      <c r="AE3264">
        <v>0</v>
      </c>
      <c r="AF3264">
        <v>0</v>
      </c>
      <c r="AG3264">
        <v>0</v>
      </c>
      <c r="AH3264">
        <v>0</v>
      </c>
      <c r="AI3264">
        <v>0</v>
      </c>
      <c r="AJ3264">
        <v>0</v>
      </c>
      <c r="AK3264">
        <v>0</v>
      </c>
      <c r="AL3264">
        <v>0</v>
      </c>
      <c r="AM3264">
        <v>0</v>
      </c>
      <c r="AN3264">
        <v>0</v>
      </c>
      <c r="AO3264">
        <v>0</v>
      </c>
      <c r="AP3264">
        <v>0</v>
      </c>
      <c r="AQ3264">
        <v>0</v>
      </c>
      <c r="AR3264">
        <v>0</v>
      </c>
      <c r="AS3264">
        <v>0</v>
      </c>
      <c r="AT3264">
        <v>0</v>
      </c>
      <c r="AU3264">
        <f t="shared" si="100"/>
        <v>0</v>
      </c>
      <c r="AV3264">
        <f t="shared" si="101"/>
        <v>0</v>
      </c>
    </row>
    <row r="3265" spans="1:48" x14ac:dyDescent="0.25">
      <c r="A3265" t="s">
        <v>10619</v>
      </c>
      <c r="C3265" t="s">
        <v>10620</v>
      </c>
      <c r="D3265" t="s">
        <v>6635</v>
      </c>
      <c r="E3265" t="s">
        <v>2310</v>
      </c>
      <c r="F3265">
        <v>15</v>
      </c>
      <c r="G3265">
        <v>15.1</v>
      </c>
      <c r="H3265" t="s">
        <v>2022</v>
      </c>
      <c r="I3265" s="21">
        <v>40759.472627314797</v>
      </c>
      <c r="J3265">
        <v>2011</v>
      </c>
      <c r="K3265" s="21">
        <v>40759.472627314797</v>
      </c>
      <c r="L3265">
        <v>2011</v>
      </c>
      <c r="M3265" s="21">
        <v>40898.5527083333</v>
      </c>
      <c r="N3265">
        <v>2011</v>
      </c>
      <c r="Q3265" s="262">
        <v>200000</v>
      </c>
      <c r="R3265" s="262">
        <v>0</v>
      </c>
      <c r="S3265" t="s">
        <v>114</v>
      </c>
      <c r="T3265" t="s">
        <v>114</v>
      </c>
      <c r="U3265">
        <v>8</v>
      </c>
      <c r="W3265">
        <v>0</v>
      </c>
      <c r="X3265">
        <v>1</v>
      </c>
      <c r="Y3265">
        <v>0</v>
      </c>
      <c r="Z3265">
        <v>0</v>
      </c>
      <c r="AA3265">
        <v>0</v>
      </c>
      <c r="AB3265">
        <v>0</v>
      </c>
      <c r="AC3265">
        <v>0</v>
      </c>
      <c r="AD3265">
        <v>0</v>
      </c>
      <c r="AE3265">
        <v>0</v>
      </c>
      <c r="AF3265">
        <v>0</v>
      </c>
      <c r="AG3265">
        <v>0</v>
      </c>
      <c r="AH3265">
        <v>0</v>
      </c>
      <c r="AI3265">
        <v>0</v>
      </c>
      <c r="AJ3265">
        <v>0</v>
      </c>
      <c r="AK3265">
        <v>0</v>
      </c>
      <c r="AL3265">
        <v>0</v>
      </c>
      <c r="AM3265">
        <v>0</v>
      </c>
      <c r="AN3265">
        <v>0</v>
      </c>
      <c r="AO3265">
        <v>0</v>
      </c>
      <c r="AP3265">
        <v>0</v>
      </c>
      <c r="AQ3265">
        <v>0</v>
      </c>
      <c r="AR3265">
        <v>1</v>
      </c>
      <c r="AS3265">
        <v>0</v>
      </c>
      <c r="AT3265">
        <v>0</v>
      </c>
      <c r="AU3265">
        <f t="shared" si="100"/>
        <v>0</v>
      </c>
      <c r="AV3265">
        <f t="shared" si="101"/>
        <v>0</v>
      </c>
    </row>
    <row r="3266" spans="1:48" x14ac:dyDescent="0.25">
      <c r="A3266" t="s">
        <v>10621</v>
      </c>
      <c r="C3266" t="s">
        <v>10622</v>
      </c>
      <c r="D3266" t="s">
        <v>10623</v>
      </c>
      <c r="E3266" t="s">
        <v>2310</v>
      </c>
      <c r="F3266">
        <v>8</v>
      </c>
      <c r="G3266">
        <v>8.1999999999999993</v>
      </c>
      <c r="H3266" t="s">
        <v>2022</v>
      </c>
      <c r="I3266" s="21">
        <v>40759.515324074098</v>
      </c>
      <c r="J3266">
        <v>2011</v>
      </c>
      <c r="K3266" s="21">
        <v>40759.515324074098</v>
      </c>
      <c r="L3266">
        <v>2011</v>
      </c>
      <c r="M3266" s="21">
        <v>41397.6710185185</v>
      </c>
      <c r="N3266">
        <v>2013</v>
      </c>
      <c r="Q3266" s="262">
        <v>7000</v>
      </c>
      <c r="R3266" s="262">
        <v>5000</v>
      </c>
      <c r="S3266" t="s">
        <v>114</v>
      </c>
      <c r="T3266" t="s">
        <v>114</v>
      </c>
      <c r="U3266">
        <v>15</v>
      </c>
      <c r="W3266">
        <v>123</v>
      </c>
      <c r="X3266">
        <v>0</v>
      </c>
      <c r="Y3266">
        <v>0</v>
      </c>
      <c r="Z3266">
        <v>0</v>
      </c>
      <c r="AA3266">
        <v>0</v>
      </c>
      <c r="AB3266">
        <v>0</v>
      </c>
      <c r="AC3266">
        <v>0</v>
      </c>
      <c r="AD3266">
        <v>0</v>
      </c>
      <c r="AE3266">
        <v>0</v>
      </c>
      <c r="AF3266">
        <v>0</v>
      </c>
      <c r="AG3266">
        <v>0</v>
      </c>
      <c r="AH3266">
        <v>0</v>
      </c>
      <c r="AI3266">
        <v>0</v>
      </c>
      <c r="AJ3266">
        <v>0</v>
      </c>
      <c r="AK3266">
        <v>0</v>
      </c>
      <c r="AL3266">
        <v>0</v>
      </c>
      <c r="AM3266">
        <v>123</v>
      </c>
      <c r="AN3266">
        <v>0</v>
      </c>
      <c r="AO3266">
        <v>0</v>
      </c>
      <c r="AP3266">
        <v>0</v>
      </c>
      <c r="AQ3266">
        <v>0</v>
      </c>
      <c r="AR3266">
        <v>0</v>
      </c>
      <c r="AS3266">
        <v>0</v>
      </c>
      <c r="AT3266">
        <v>0</v>
      </c>
      <c r="AU3266">
        <f t="shared" si="100"/>
        <v>0</v>
      </c>
      <c r="AV3266">
        <f t="shared" si="101"/>
        <v>123</v>
      </c>
    </row>
    <row r="3267" spans="1:48" x14ac:dyDescent="0.25">
      <c r="A3267" t="s">
        <v>10624</v>
      </c>
      <c r="C3267" t="s">
        <v>10625</v>
      </c>
      <c r="D3267" t="s">
        <v>5368</v>
      </c>
      <c r="E3267" t="s">
        <v>2310</v>
      </c>
      <c r="F3267">
        <v>15</v>
      </c>
      <c r="G3267">
        <v>15.1</v>
      </c>
      <c r="H3267" t="s">
        <v>2022</v>
      </c>
      <c r="I3267" s="21">
        <v>40763.4687962963</v>
      </c>
      <c r="J3267">
        <v>2011</v>
      </c>
      <c r="K3267" s="21">
        <v>40763.4687962963</v>
      </c>
      <c r="L3267">
        <v>2011</v>
      </c>
      <c r="M3267" s="21">
        <v>41102.434363425898</v>
      </c>
      <c r="N3267">
        <v>2012</v>
      </c>
      <c r="Q3267" s="262">
        <v>75000</v>
      </c>
      <c r="R3267" s="262">
        <v>47000</v>
      </c>
      <c r="S3267" t="s">
        <v>114</v>
      </c>
      <c r="T3267" t="s">
        <v>114</v>
      </c>
      <c r="U3267">
        <v>5</v>
      </c>
      <c r="W3267">
        <v>1200</v>
      </c>
      <c r="X3267">
        <v>0</v>
      </c>
      <c r="Y3267">
        <v>0</v>
      </c>
      <c r="Z3267">
        <v>0</v>
      </c>
      <c r="AA3267">
        <v>0</v>
      </c>
      <c r="AB3267">
        <v>0</v>
      </c>
      <c r="AC3267">
        <v>1200</v>
      </c>
      <c r="AD3267">
        <v>0</v>
      </c>
      <c r="AE3267">
        <v>0</v>
      </c>
      <c r="AF3267">
        <v>0</v>
      </c>
      <c r="AG3267">
        <v>0</v>
      </c>
      <c r="AH3267">
        <v>0</v>
      </c>
      <c r="AI3267">
        <v>0</v>
      </c>
      <c r="AJ3267">
        <v>0</v>
      </c>
      <c r="AK3267">
        <v>0</v>
      </c>
      <c r="AL3267">
        <v>0</v>
      </c>
      <c r="AM3267">
        <v>0</v>
      </c>
      <c r="AN3267">
        <v>0</v>
      </c>
      <c r="AO3267">
        <v>0</v>
      </c>
      <c r="AP3267">
        <v>0</v>
      </c>
      <c r="AQ3267">
        <v>0</v>
      </c>
      <c r="AR3267">
        <v>0</v>
      </c>
      <c r="AS3267">
        <v>0</v>
      </c>
      <c r="AT3267">
        <v>0</v>
      </c>
      <c r="AU3267">
        <f t="shared" si="100"/>
        <v>0</v>
      </c>
      <c r="AV3267">
        <f t="shared" si="101"/>
        <v>0</v>
      </c>
    </row>
    <row r="3268" spans="1:48" x14ac:dyDescent="0.25">
      <c r="A3268" t="s">
        <v>10626</v>
      </c>
      <c r="C3268" t="s">
        <v>10627</v>
      </c>
      <c r="D3268" t="s">
        <v>10595</v>
      </c>
      <c r="E3268" t="s">
        <v>2310</v>
      </c>
      <c r="F3268">
        <v>9</v>
      </c>
      <c r="G3268">
        <v>9.1</v>
      </c>
      <c r="H3268" t="s">
        <v>2323</v>
      </c>
      <c r="I3268" s="21">
        <v>40763.542997685203</v>
      </c>
      <c r="J3268">
        <v>2011</v>
      </c>
      <c r="K3268" s="21">
        <v>40763.542997685203</v>
      </c>
      <c r="L3268">
        <v>2011</v>
      </c>
      <c r="M3268" s="21">
        <v>41284.699907407397</v>
      </c>
      <c r="N3268">
        <v>2013</v>
      </c>
      <c r="Q3268" s="262">
        <v>500000</v>
      </c>
      <c r="R3268" s="262">
        <v>503000</v>
      </c>
      <c r="S3268" t="s">
        <v>114</v>
      </c>
      <c r="T3268" t="s">
        <v>114</v>
      </c>
      <c r="U3268">
        <v>5</v>
      </c>
      <c r="W3268">
        <v>1488</v>
      </c>
      <c r="X3268">
        <v>0</v>
      </c>
      <c r="Y3268">
        <v>0</v>
      </c>
      <c r="Z3268">
        <v>0</v>
      </c>
      <c r="AA3268">
        <v>0</v>
      </c>
      <c r="AB3268">
        <v>0</v>
      </c>
      <c r="AC3268">
        <v>1488</v>
      </c>
      <c r="AD3268">
        <v>0</v>
      </c>
      <c r="AE3268">
        <v>0</v>
      </c>
      <c r="AF3268">
        <v>0</v>
      </c>
      <c r="AG3268">
        <v>0</v>
      </c>
      <c r="AH3268">
        <v>0</v>
      </c>
      <c r="AI3268">
        <v>0</v>
      </c>
      <c r="AJ3268">
        <v>0</v>
      </c>
      <c r="AK3268">
        <v>0</v>
      </c>
      <c r="AL3268">
        <v>0</v>
      </c>
      <c r="AM3268">
        <v>0</v>
      </c>
      <c r="AN3268">
        <v>0</v>
      </c>
      <c r="AO3268">
        <v>0</v>
      </c>
      <c r="AP3268">
        <v>0</v>
      </c>
      <c r="AQ3268">
        <v>0</v>
      </c>
      <c r="AR3268">
        <v>0</v>
      </c>
      <c r="AS3268">
        <v>0</v>
      </c>
      <c r="AT3268">
        <v>0</v>
      </c>
      <c r="AU3268">
        <f t="shared" si="100"/>
        <v>0</v>
      </c>
      <c r="AV3268">
        <f t="shared" si="101"/>
        <v>0</v>
      </c>
    </row>
    <row r="3269" spans="1:48" x14ac:dyDescent="0.25">
      <c r="A3269" t="s">
        <v>10628</v>
      </c>
      <c r="C3269" t="s">
        <v>10629</v>
      </c>
      <c r="D3269" t="s">
        <v>10630</v>
      </c>
      <c r="E3269" t="s">
        <v>2310</v>
      </c>
      <c r="F3269">
        <v>9</v>
      </c>
      <c r="G3269">
        <v>9.1</v>
      </c>
      <c r="H3269" t="s">
        <v>2323</v>
      </c>
      <c r="I3269" s="21">
        <v>40763.672361111101</v>
      </c>
      <c r="J3269">
        <v>2011</v>
      </c>
      <c r="K3269" s="21">
        <v>40763.672361111101</v>
      </c>
      <c r="L3269">
        <v>2011</v>
      </c>
      <c r="M3269" s="21">
        <v>41346.5868402778</v>
      </c>
      <c r="N3269">
        <v>2013</v>
      </c>
      <c r="Q3269" s="262">
        <v>1000000</v>
      </c>
      <c r="R3269" s="262">
        <v>575000</v>
      </c>
      <c r="S3269" t="s">
        <v>114</v>
      </c>
      <c r="T3269" t="s">
        <v>114</v>
      </c>
      <c r="U3269">
        <v>5</v>
      </c>
      <c r="W3269">
        <v>5508</v>
      </c>
      <c r="X3269">
        <v>1</v>
      </c>
      <c r="Y3269">
        <v>0</v>
      </c>
      <c r="Z3269">
        <v>0</v>
      </c>
      <c r="AA3269">
        <v>0</v>
      </c>
      <c r="AB3269">
        <v>0</v>
      </c>
      <c r="AC3269">
        <v>5508</v>
      </c>
      <c r="AD3269">
        <v>0</v>
      </c>
      <c r="AE3269">
        <v>0</v>
      </c>
      <c r="AF3269">
        <v>0</v>
      </c>
      <c r="AG3269">
        <v>0</v>
      </c>
      <c r="AH3269">
        <v>0</v>
      </c>
      <c r="AI3269">
        <v>0</v>
      </c>
      <c r="AJ3269">
        <v>0</v>
      </c>
      <c r="AK3269">
        <v>0</v>
      </c>
      <c r="AL3269">
        <v>0</v>
      </c>
      <c r="AM3269">
        <v>0</v>
      </c>
      <c r="AN3269">
        <v>0</v>
      </c>
      <c r="AO3269">
        <v>1</v>
      </c>
      <c r="AP3269">
        <v>0</v>
      </c>
      <c r="AQ3269">
        <v>0</v>
      </c>
      <c r="AR3269">
        <v>0</v>
      </c>
      <c r="AS3269">
        <v>0</v>
      </c>
      <c r="AT3269">
        <v>0</v>
      </c>
      <c r="AU3269">
        <f t="shared" si="100"/>
        <v>1</v>
      </c>
      <c r="AV3269">
        <f t="shared" si="101"/>
        <v>0</v>
      </c>
    </row>
    <row r="3270" spans="1:48" x14ac:dyDescent="0.25">
      <c r="A3270" t="s">
        <v>10631</v>
      </c>
      <c r="C3270" t="s">
        <v>10632</v>
      </c>
      <c r="D3270" t="s">
        <v>2453</v>
      </c>
      <c r="E3270" t="s">
        <v>2310</v>
      </c>
      <c r="F3270">
        <v>13</v>
      </c>
      <c r="G3270">
        <v>13.1</v>
      </c>
      <c r="H3270" t="s">
        <v>2327</v>
      </c>
      <c r="I3270" s="21">
        <v>40764.418240740699</v>
      </c>
      <c r="J3270">
        <v>2011</v>
      </c>
      <c r="K3270" s="21">
        <v>40764.418240740699</v>
      </c>
      <c r="L3270">
        <v>2011</v>
      </c>
      <c r="M3270" s="21">
        <v>40891.655509259297</v>
      </c>
      <c r="N3270">
        <v>2011</v>
      </c>
      <c r="Q3270" s="262">
        <v>28000</v>
      </c>
      <c r="R3270" s="262">
        <v>15000</v>
      </c>
      <c r="S3270" t="s">
        <v>114</v>
      </c>
      <c r="T3270" t="s">
        <v>114</v>
      </c>
      <c r="U3270">
        <v>12</v>
      </c>
      <c r="W3270">
        <v>138</v>
      </c>
      <c r="X3270">
        <v>0</v>
      </c>
      <c r="Y3270">
        <v>0</v>
      </c>
      <c r="Z3270">
        <v>0</v>
      </c>
      <c r="AA3270">
        <v>0</v>
      </c>
      <c r="AB3270">
        <v>0</v>
      </c>
      <c r="AC3270">
        <v>0</v>
      </c>
      <c r="AD3270">
        <v>0</v>
      </c>
      <c r="AE3270">
        <v>0</v>
      </c>
      <c r="AF3270">
        <v>0</v>
      </c>
      <c r="AG3270">
        <v>0</v>
      </c>
      <c r="AH3270">
        <v>0</v>
      </c>
      <c r="AI3270">
        <v>0</v>
      </c>
      <c r="AJ3270">
        <v>138</v>
      </c>
      <c r="AK3270">
        <v>0</v>
      </c>
      <c r="AL3270">
        <v>0</v>
      </c>
      <c r="AM3270">
        <v>0</v>
      </c>
      <c r="AN3270">
        <v>0</v>
      </c>
      <c r="AO3270">
        <v>0</v>
      </c>
      <c r="AP3270">
        <v>0</v>
      </c>
      <c r="AQ3270">
        <v>0</v>
      </c>
      <c r="AR3270">
        <v>0</v>
      </c>
      <c r="AS3270">
        <v>0</v>
      </c>
      <c r="AT3270">
        <v>0</v>
      </c>
      <c r="AU3270">
        <f t="shared" si="100"/>
        <v>0</v>
      </c>
      <c r="AV3270">
        <f t="shared" si="101"/>
        <v>138</v>
      </c>
    </row>
    <row r="3271" spans="1:48" x14ac:dyDescent="0.25">
      <c r="A3271" t="s">
        <v>10633</v>
      </c>
      <c r="C3271" t="s">
        <v>5048</v>
      </c>
      <c r="D3271" t="s">
        <v>10634</v>
      </c>
      <c r="E3271" t="s">
        <v>2310</v>
      </c>
      <c r="F3271">
        <v>15</v>
      </c>
      <c r="G3271">
        <v>15.3</v>
      </c>
      <c r="H3271" t="s">
        <v>2022</v>
      </c>
      <c r="I3271" s="21">
        <v>40765.385520833297</v>
      </c>
      <c r="J3271">
        <v>2011</v>
      </c>
      <c r="K3271" s="21">
        <v>40765.385520833297</v>
      </c>
      <c r="L3271">
        <v>2011</v>
      </c>
      <c r="M3271" s="21">
        <v>41250.443171296298</v>
      </c>
      <c r="N3271">
        <v>2012</v>
      </c>
      <c r="Q3271" s="262">
        <v>63765</v>
      </c>
      <c r="R3271" s="262">
        <v>56000</v>
      </c>
      <c r="S3271" t="s">
        <v>114</v>
      </c>
      <c r="T3271" t="s">
        <v>114</v>
      </c>
      <c r="U3271">
        <v>5</v>
      </c>
      <c r="W3271">
        <v>864</v>
      </c>
      <c r="X3271">
        <v>0</v>
      </c>
      <c r="Y3271">
        <v>0</v>
      </c>
      <c r="Z3271">
        <v>0</v>
      </c>
      <c r="AA3271">
        <v>0</v>
      </c>
      <c r="AB3271">
        <v>0</v>
      </c>
      <c r="AC3271">
        <v>864</v>
      </c>
      <c r="AD3271">
        <v>0</v>
      </c>
      <c r="AE3271">
        <v>0</v>
      </c>
      <c r="AF3271">
        <v>0</v>
      </c>
      <c r="AG3271">
        <v>0</v>
      </c>
      <c r="AH3271">
        <v>0</v>
      </c>
      <c r="AI3271">
        <v>0</v>
      </c>
      <c r="AJ3271">
        <v>0</v>
      </c>
      <c r="AK3271">
        <v>0</v>
      </c>
      <c r="AL3271">
        <v>0</v>
      </c>
      <c r="AM3271">
        <v>0</v>
      </c>
      <c r="AN3271">
        <v>0</v>
      </c>
      <c r="AO3271">
        <v>0</v>
      </c>
      <c r="AP3271">
        <v>0</v>
      </c>
      <c r="AQ3271">
        <v>0</v>
      </c>
      <c r="AR3271">
        <v>0</v>
      </c>
      <c r="AS3271">
        <v>0</v>
      </c>
      <c r="AT3271">
        <v>0</v>
      </c>
      <c r="AU3271">
        <f t="shared" si="100"/>
        <v>0</v>
      </c>
      <c r="AV3271">
        <f t="shared" si="101"/>
        <v>0</v>
      </c>
    </row>
    <row r="3272" spans="1:48" x14ac:dyDescent="0.25">
      <c r="A3272" t="s">
        <v>10635</v>
      </c>
      <c r="C3272" t="s">
        <v>10636</v>
      </c>
      <c r="D3272" t="s">
        <v>10637</v>
      </c>
      <c r="E3272" t="s">
        <v>2310</v>
      </c>
      <c r="F3272">
        <v>15</v>
      </c>
      <c r="G3272">
        <v>15.3</v>
      </c>
      <c r="H3272" t="s">
        <v>2022</v>
      </c>
      <c r="I3272" s="21">
        <v>40765.613946759302</v>
      </c>
      <c r="J3272">
        <v>2011</v>
      </c>
      <c r="K3272" s="21">
        <v>40765.613946759302</v>
      </c>
      <c r="L3272">
        <v>2011</v>
      </c>
      <c r="M3272" s="21">
        <v>42089.497129629599</v>
      </c>
      <c r="N3272">
        <v>2015</v>
      </c>
      <c r="Q3272" s="262">
        <v>200000</v>
      </c>
      <c r="R3272" s="262">
        <v>105000</v>
      </c>
      <c r="S3272" t="s">
        <v>114</v>
      </c>
      <c r="T3272" t="s">
        <v>114</v>
      </c>
      <c r="U3272">
        <v>5</v>
      </c>
      <c r="W3272">
        <v>1370</v>
      </c>
      <c r="X3272">
        <v>1</v>
      </c>
      <c r="Y3272">
        <v>0</v>
      </c>
      <c r="Z3272">
        <v>0</v>
      </c>
      <c r="AA3272">
        <v>0</v>
      </c>
      <c r="AB3272">
        <v>0</v>
      </c>
      <c r="AC3272">
        <v>1370</v>
      </c>
      <c r="AD3272">
        <v>0</v>
      </c>
      <c r="AE3272">
        <v>0</v>
      </c>
      <c r="AF3272">
        <v>0</v>
      </c>
      <c r="AG3272">
        <v>0</v>
      </c>
      <c r="AH3272">
        <v>0</v>
      </c>
      <c r="AI3272">
        <v>0</v>
      </c>
      <c r="AJ3272">
        <v>0</v>
      </c>
      <c r="AK3272">
        <v>0</v>
      </c>
      <c r="AL3272">
        <v>0</v>
      </c>
      <c r="AM3272">
        <v>0</v>
      </c>
      <c r="AN3272">
        <v>0</v>
      </c>
      <c r="AO3272">
        <v>1</v>
      </c>
      <c r="AP3272">
        <v>0</v>
      </c>
      <c r="AQ3272">
        <v>0</v>
      </c>
      <c r="AR3272">
        <v>0</v>
      </c>
      <c r="AS3272">
        <v>0</v>
      </c>
      <c r="AT3272">
        <v>0</v>
      </c>
      <c r="AU3272">
        <f t="shared" si="100"/>
        <v>1</v>
      </c>
      <c r="AV3272">
        <f t="shared" si="101"/>
        <v>0</v>
      </c>
    </row>
    <row r="3273" spans="1:48" x14ac:dyDescent="0.25">
      <c r="A3273" t="s">
        <v>10638</v>
      </c>
      <c r="C3273" t="s">
        <v>10639</v>
      </c>
      <c r="D3273" t="s">
        <v>10640</v>
      </c>
      <c r="E3273" t="s">
        <v>2310</v>
      </c>
      <c r="F3273">
        <v>9</v>
      </c>
      <c r="G3273">
        <v>9.3000000000000007</v>
      </c>
      <c r="H3273" t="s">
        <v>2323</v>
      </c>
      <c r="I3273" s="21">
        <v>40766.486469907402</v>
      </c>
      <c r="J3273">
        <v>2011</v>
      </c>
      <c r="K3273" s="21">
        <v>40766.486469907402</v>
      </c>
      <c r="L3273">
        <v>2011</v>
      </c>
      <c r="M3273" s="21">
        <v>40898.516990740703</v>
      </c>
      <c r="N3273">
        <v>2011</v>
      </c>
      <c r="Q3273" s="262">
        <v>32000</v>
      </c>
      <c r="R3273" s="262">
        <v>54000</v>
      </c>
      <c r="S3273" t="s">
        <v>114</v>
      </c>
      <c r="T3273" t="s">
        <v>114</v>
      </c>
      <c r="U3273">
        <v>5</v>
      </c>
      <c r="W3273">
        <v>418</v>
      </c>
      <c r="X3273">
        <v>0</v>
      </c>
      <c r="Y3273">
        <v>0</v>
      </c>
      <c r="Z3273">
        <v>0</v>
      </c>
      <c r="AA3273">
        <v>0</v>
      </c>
      <c r="AB3273">
        <v>0</v>
      </c>
      <c r="AC3273">
        <v>418</v>
      </c>
      <c r="AD3273">
        <v>0</v>
      </c>
      <c r="AE3273">
        <v>0</v>
      </c>
      <c r="AF3273">
        <v>0</v>
      </c>
      <c r="AG3273">
        <v>0</v>
      </c>
      <c r="AH3273">
        <v>0</v>
      </c>
      <c r="AI3273">
        <v>0</v>
      </c>
      <c r="AJ3273">
        <v>0</v>
      </c>
      <c r="AK3273">
        <v>0</v>
      </c>
      <c r="AL3273">
        <v>0</v>
      </c>
      <c r="AM3273">
        <v>0</v>
      </c>
      <c r="AN3273">
        <v>0</v>
      </c>
      <c r="AO3273">
        <v>0</v>
      </c>
      <c r="AP3273">
        <v>0</v>
      </c>
      <c r="AQ3273">
        <v>0</v>
      </c>
      <c r="AR3273">
        <v>0</v>
      </c>
      <c r="AS3273">
        <v>0</v>
      </c>
      <c r="AT3273">
        <v>0</v>
      </c>
      <c r="AU3273">
        <f t="shared" si="100"/>
        <v>0</v>
      </c>
      <c r="AV3273">
        <f t="shared" si="101"/>
        <v>0</v>
      </c>
    </row>
    <row r="3274" spans="1:48" x14ac:dyDescent="0.25">
      <c r="A3274" t="s">
        <v>10641</v>
      </c>
      <c r="C3274" t="s">
        <v>4934</v>
      </c>
      <c r="D3274" t="s">
        <v>10642</v>
      </c>
      <c r="E3274" t="s">
        <v>2310</v>
      </c>
      <c r="F3274">
        <v>8</v>
      </c>
      <c r="G3274">
        <v>8.3000000000000007</v>
      </c>
      <c r="H3274" t="s">
        <v>2323</v>
      </c>
      <c r="I3274" s="21">
        <v>40770.639884259297</v>
      </c>
      <c r="J3274">
        <v>2011</v>
      </c>
      <c r="K3274" s="21">
        <v>40770.639884259297</v>
      </c>
      <c r="L3274">
        <v>2011</v>
      </c>
      <c r="M3274" s="21">
        <v>41325.349710648101</v>
      </c>
      <c r="N3274">
        <v>2013</v>
      </c>
      <c r="Q3274" s="262">
        <v>140000</v>
      </c>
      <c r="R3274" s="262">
        <v>106000</v>
      </c>
      <c r="S3274" t="s">
        <v>114</v>
      </c>
      <c r="T3274" t="s">
        <v>114</v>
      </c>
      <c r="U3274">
        <v>5</v>
      </c>
      <c r="W3274">
        <v>2160</v>
      </c>
      <c r="X3274">
        <v>0</v>
      </c>
      <c r="Y3274">
        <v>0</v>
      </c>
      <c r="Z3274">
        <v>0</v>
      </c>
      <c r="AA3274">
        <v>0</v>
      </c>
      <c r="AB3274">
        <v>0</v>
      </c>
      <c r="AC3274">
        <v>2160</v>
      </c>
      <c r="AD3274">
        <v>0</v>
      </c>
      <c r="AE3274">
        <v>0</v>
      </c>
      <c r="AF3274">
        <v>0</v>
      </c>
      <c r="AG3274">
        <v>0</v>
      </c>
      <c r="AH3274">
        <v>0</v>
      </c>
      <c r="AI3274">
        <v>0</v>
      </c>
      <c r="AJ3274">
        <v>0</v>
      </c>
      <c r="AK3274">
        <v>0</v>
      </c>
      <c r="AL3274">
        <v>0</v>
      </c>
      <c r="AM3274">
        <v>0</v>
      </c>
      <c r="AN3274">
        <v>0</v>
      </c>
      <c r="AO3274">
        <v>0</v>
      </c>
      <c r="AP3274">
        <v>0</v>
      </c>
      <c r="AQ3274">
        <v>0</v>
      </c>
      <c r="AR3274">
        <v>0</v>
      </c>
      <c r="AS3274">
        <v>0</v>
      </c>
      <c r="AT3274">
        <v>0</v>
      </c>
      <c r="AU3274">
        <f t="shared" si="100"/>
        <v>0</v>
      </c>
      <c r="AV3274">
        <f t="shared" si="101"/>
        <v>0</v>
      </c>
    </row>
    <row r="3275" spans="1:48" x14ac:dyDescent="0.25">
      <c r="A3275" t="s">
        <v>10643</v>
      </c>
      <c r="C3275" t="s">
        <v>10644</v>
      </c>
      <c r="D3275" t="s">
        <v>10645</v>
      </c>
      <c r="E3275" t="s">
        <v>1663</v>
      </c>
      <c r="F3275">
        <v>3</v>
      </c>
      <c r="G3275">
        <v>3.1</v>
      </c>
      <c r="H3275" t="s">
        <v>2017</v>
      </c>
      <c r="I3275" s="21">
        <v>40778</v>
      </c>
      <c r="J3275">
        <v>2011</v>
      </c>
      <c r="K3275" s="21">
        <v>40809</v>
      </c>
      <c r="L3275">
        <v>2011</v>
      </c>
      <c r="M3275" s="21">
        <v>40962</v>
      </c>
      <c r="N3275">
        <v>2012</v>
      </c>
      <c r="Q3275" s="262">
        <v>80000</v>
      </c>
      <c r="S3275" t="s">
        <v>114</v>
      </c>
      <c r="T3275" t="s">
        <v>114</v>
      </c>
      <c r="W3275">
        <v>1152</v>
      </c>
      <c r="X3275">
        <v>0</v>
      </c>
      <c r="Y3275">
        <v>0</v>
      </c>
      <c r="Z3275">
        <v>0</v>
      </c>
      <c r="AA3275">
        <v>0</v>
      </c>
      <c r="AB3275">
        <v>0</v>
      </c>
      <c r="AC3275">
        <v>0</v>
      </c>
      <c r="AD3275">
        <v>1152</v>
      </c>
      <c r="AE3275">
        <v>0</v>
      </c>
      <c r="AF3275">
        <v>0</v>
      </c>
      <c r="AG3275">
        <v>0</v>
      </c>
      <c r="AH3275">
        <v>0</v>
      </c>
      <c r="AI3275">
        <v>0</v>
      </c>
      <c r="AJ3275">
        <v>0</v>
      </c>
      <c r="AK3275">
        <v>0</v>
      </c>
      <c r="AL3275">
        <v>0</v>
      </c>
      <c r="AM3275">
        <v>0</v>
      </c>
      <c r="AN3275">
        <v>0</v>
      </c>
      <c r="AO3275">
        <v>0</v>
      </c>
      <c r="AP3275">
        <v>0</v>
      </c>
      <c r="AQ3275">
        <v>0</v>
      </c>
      <c r="AR3275">
        <v>0</v>
      </c>
      <c r="AS3275">
        <v>0</v>
      </c>
      <c r="AT3275">
        <v>0</v>
      </c>
      <c r="AU3275">
        <f t="shared" si="100"/>
        <v>0</v>
      </c>
      <c r="AV3275">
        <f t="shared" si="101"/>
        <v>0</v>
      </c>
    </row>
    <row r="3276" spans="1:48" x14ac:dyDescent="0.25">
      <c r="A3276" t="s">
        <v>10646</v>
      </c>
      <c r="C3276" t="s">
        <v>10647</v>
      </c>
      <c r="D3276" t="s">
        <v>10645</v>
      </c>
      <c r="E3276" t="s">
        <v>1663</v>
      </c>
      <c r="F3276">
        <v>3</v>
      </c>
      <c r="G3276">
        <v>3.1</v>
      </c>
      <c r="H3276" t="s">
        <v>2017</v>
      </c>
      <c r="I3276" s="21">
        <v>40778</v>
      </c>
      <c r="J3276">
        <v>2011</v>
      </c>
      <c r="K3276" s="21">
        <v>40809</v>
      </c>
      <c r="L3276">
        <v>2011</v>
      </c>
      <c r="M3276" s="21">
        <v>40962</v>
      </c>
      <c r="N3276">
        <v>2012</v>
      </c>
      <c r="Q3276" s="262">
        <v>80000</v>
      </c>
      <c r="S3276" t="s">
        <v>114</v>
      </c>
      <c r="T3276" t="s">
        <v>114</v>
      </c>
      <c r="W3276">
        <v>1344</v>
      </c>
      <c r="X3276">
        <v>0</v>
      </c>
      <c r="Y3276">
        <v>0</v>
      </c>
      <c r="Z3276">
        <v>0</v>
      </c>
      <c r="AA3276">
        <v>0</v>
      </c>
      <c r="AB3276">
        <v>0</v>
      </c>
      <c r="AC3276">
        <v>0</v>
      </c>
      <c r="AD3276">
        <v>1344</v>
      </c>
      <c r="AE3276">
        <v>0</v>
      </c>
      <c r="AF3276">
        <v>0</v>
      </c>
      <c r="AG3276">
        <v>0</v>
      </c>
      <c r="AH3276">
        <v>0</v>
      </c>
      <c r="AI3276">
        <v>0</v>
      </c>
      <c r="AJ3276">
        <v>0</v>
      </c>
      <c r="AK3276">
        <v>0</v>
      </c>
      <c r="AL3276">
        <v>0</v>
      </c>
      <c r="AM3276">
        <v>0</v>
      </c>
      <c r="AN3276">
        <v>0</v>
      </c>
      <c r="AO3276">
        <v>0</v>
      </c>
      <c r="AP3276">
        <v>0</v>
      </c>
      <c r="AQ3276">
        <v>0</v>
      </c>
      <c r="AR3276">
        <v>0</v>
      </c>
      <c r="AS3276">
        <v>0</v>
      </c>
      <c r="AT3276">
        <v>0</v>
      </c>
      <c r="AU3276">
        <f t="shared" si="100"/>
        <v>0</v>
      </c>
      <c r="AV3276">
        <f t="shared" si="101"/>
        <v>0</v>
      </c>
    </row>
    <row r="3277" spans="1:48" x14ac:dyDescent="0.25">
      <c r="A3277" t="s">
        <v>10648</v>
      </c>
      <c r="C3277" t="s">
        <v>10649</v>
      </c>
      <c r="D3277" t="s">
        <v>2892</v>
      </c>
      <c r="E3277" t="s">
        <v>1663</v>
      </c>
      <c r="F3277">
        <v>5</v>
      </c>
      <c r="G3277">
        <v>5.5</v>
      </c>
      <c r="H3277" t="s">
        <v>2017</v>
      </c>
      <c r="I3277" s="21">
        <v>40779</v>
      </c>
      <c r="J3277">
        <v>2011</v>
      </c>
      <c r="K3277" s="21">
        <v>40810</v>
      </c>
      <c r="L3277">
        <v>2011</v>
      </c>
      <c r="M3277" s="21">
        <v>40963</v>
      </c>
      <c r="N3277">
        <v>2012</v>
      </c>
      <c r="Q3277" s="262">
        <v>400000</v>
      </c>
      <c r="S3277" t="s">
        <v>114</v>
      </c>
      <c r="T3277" t="s">
        <v>114</v>
      </c>
      <c r="W3277">
        <v>2038</v>
      </c>
      <c r="X3277">
        <v>1</v>
      </c>
      <c r="Y3277">
        <v>0</v>
      </c>
      <c r="Z3277">
        <v>0</v>
      </c>
      <c r="AA3277">
        <v>0</v>
      </c>
      <c r="AB3277">
        <v>0</v>
      </c>
      <c r="AC3277">
        <v>2038</v>
      </c>
      <c r="AD3277">
        <v>0</v>
      </c>
      <c r="AE3277">
        <v>0</v>
      </c>
      <c r="AF3277">
        <v>0</v>
      </c>
      <c r="AG3277">
        <v>0</v>
      </c>
      <c r="AH3277">
        <v>0</v>
      </c>
      <c r="AI3277">
        <v>0</v>
      </c>
      <c r="AJ3277">
        <v>0</v>
      </c>
      <c r="AK3277">
        <v>0</v>
      </c>
      <c r="AL3277">
        <v>0</v>
      </c>
      <c r="AM3277">
        <v>0</v>
      </c>
      <c r="AN3277">
        <v>0</v>
      </c>
      <c r="AO3277">
        <v>1</v>
      </c>
      <c r="AP3277">
        <v>0</v>
      </c>
      <c r="AQ3277">
        <v>0</v>
      </c>
      <c r="AR3277">
        <v>0</v>
      </c>
      <c r="AS3277">
        <v>0</v>
      </c>
      <c r="AT3277">
        <v>0</v>
      </c>
      <c r="AU3277">
        <f t="shared" si="100"/>
        <v>1</v>
      </c>
      <c r="AV3277">
        <f t="shared" si="101"/>
        <v>0</v>
      </c>
    </row>
    <row r="3278" spans="1:48" x14ac:dyDescent="0.25">
      <c r="A3278" t="s">
        <v>13400</v>
      </c>
      <c r="B3278" t="s">
        <v>114</v>
      </c>
      <c r="C3278" t="s">
        <v>13401</v>
      </c>
      <c r="D3278" t="s">
        <v>13402</v>
      </c>
      <c r="E3278" t="s">
        <v>1663</v>
      </c>
      <c r="F3278">
        <v>5</v>
      </c>
      <c r="G3278">
        <v>5.5</v>
      </c>
      <c r="H3278" t="s">
        <v>2017</v>
      </c>
      <c r="I3278" s="21">
        <v>40784</v>
      </c>
      <c r="J3278">
        <v>2011</v>
      </c>
      <c r="K3278" s="21">
        <v>40812</v>
      </c>
      <c r="L3278">
        <v>2011</v>
      </c>
      <c r="M3278" s="21">
        <v>42751</v>
      </c>
      <c r="N3278">
        <v>2017</v>
      </c>
      <c r="Q3278" s="262">
        <v>3000</v>
      </c>
      <c r="S3278" t="s">
        <v>13253</v>
      </c>
      <c r="T3278">
        <v>13566</v>
      </c>
      <c r="W3278">
        <v>66</v>
      </c>
      <c r="X3278">
        <v>0</v>
      </c>
      <c r="Y3278">
        <v>0</v>
      </c>
      <c r="Z3278">
        <v>0</v>
      </c>
      <c r="AA3278">
        <v>0</v>
      </c>
      <c r="AB3278">
        <v>0</v>
      </c>
      <c r="AC3278">
        <v>66</v>
      </c>
      <c r="AD3278">
        <v>0</v>
      </c>
      <c r="AE3278">
        <v>0</v>
      </c>
      <c r="AF3278">
        <v>0</v>
      </c>
      <c r="AG3278">
        <v>0</v>
      </c>
      <c r="AH3278">
        <v>0</v>
      </c>
      <c r="AI3278">
        <v>0</v>
      </c>
      <c r="AJ3278">
        <v>0</v>
      </c>
      <c r="AK3278">
        <v>0</v>
      </c>
      <c r="AL3278">
        <v>0</v>
      </c>
      <c r="AM3278">
        <v>0</v>
      </c>
      <c r="AN3278">
        <v>0</v>
      </c>
      <c r="AO3278">
        <v>0</v>
      </c>
      <c r="AP3278">
        <v>0</v>
      </c>
      <c r="AQ3278">
        <v>0</v>
      </c>
      <c r="AR3278">
        <v>0</v>
      </c>
      <c r="AS3278">
        <v>0</v>
      </c>
      <c r="AT3278">
        <v>0</v>
      </c>
      <c r="AU3278">
        <f t="shared" si="100"/>
        <v>0</v>
      </c>
      <c r="AV3278">
        <f t="shared" si="101"/>
        <v>0</v>
      </c>
    </row>
    <row r="3279" spans="1:48" x14ac:dyDescent="0.25">
      <c r="A3279" t="s">
        <v>10650</v>
      </c>
      <c r="C3279" t="s">
        <v>10651</v>
      </c>
      <c r="D3279" t="s">
        <v>10652</v>
      </c>
      <c r="E3279" t="s">
        <v>2310</v>
      </c>
      <c r="F3279">
        <v>8</v>
      </c>
      <c r="G3279">
        <v>8.4</v>
      </c>
      <c r="H3279" t="s">
        <v>2017</v>
      </c>
      <c r="I3279" s="21">
        <v>40786.4633680556</v>
      </c>
      <c r="J3279">
        <v>2011</v>
      </c>
      <c r="K3279" s="21">
        <v>40786.4633680556</v>
      </c>
      <c r="L3279">
        <v>2011</v>
      </c>
      <c r="M3279" s="21">
        <v>41261.560578703698</v>
      </c>
      <c r="N3279">
        <v>2012</v>
      </c>
      <c r="Q3279" s="262">
        <v>25000</v>
      </c>
      <c r="R3279" s="262">
        <v>37000</v>
      </c>
      <c r="S3279" t="s">
        <v>114</v>
      </c>
      <c r="T3279" t="s">
        <v>114</v>
      </c>
      <c r="U3279">
        <v>5</v>
      </c>
      <c r="W3279">
        <v>360</v>
      </c>
      <c r="X3279">
        <v>0</v>
      </c>
      <c r="Y3279">
        <v>0</v>
      </c>
      <c r="Z3279">
        <v>0</v>
      </c>
      <c r="AA3279">
        <v>0</v>
      </c>
      <c r="AB3279">
        <v>0</v>
      </c>
      <c r="AC3279">
        <v>360</v>
      </c>
      <c r="AD3279">
        <v>0</v>
      </c>
      <c r="AE3279">
        <v>0</v>
      </c>
      <c r="AF3279">
        <v>0</v>
      </c>
      <c r="AG3279">
        <v>0</v>
      </c>
      <c r="AH3279">
        <v>0</v>
      </c>
      <c r="AI3279">
        <v>0</v>
      </c>
      <c r="AJ3279">
        <v>0</v>
      </c>
      <c r="AK3279">
        <v>0</v>
      </c>
      <c r="AL3279">
        <v>0</v>
      </c>
      <c r="AM3279">
        <v>0</v>
      </c>
      <c r="AN3279">
        <v>0</v>
      </c>
      <c r="AO3279">
        <v>0</v>
      </c>
      <c r="AP3279">
        <v>0</v>
      </c>
      <c r="AQ3279">
        <v>0</v>
      </c>
      <c r="AR3279">
        <v>0</v>
      </c>
      <c r="AS3279">
        <v>0</v>
      </c>
      <c r="AT3279">
        <v>0</v>
      </c>
      <c r="AU3279">
        <f t="shared" si="100"/>
        <v>0</v>
      </c>
      <c r="AV3279">
        <f t="shared" si="101"/>
        <v>0</v>
      </c>
    </row>
    <row r="3280" spans="1:48" x14ac:dyDescent="0.25">
      <c r="A3280" t="s">
        <v>10653</v>
      </c>
      <c r="C3280" t="s">
        <v>10654</v>
      </c>
      <c r="D3280" t="s">
        <v>6635</v>
      </c>
      <c r="E3280" t="s">
        <v>2310</v>
      </c>
      <c r="F3280">
        <v>15</v>
      </c>
      <c r="G3280">
        <v>15.1</v>
      </c>
      <c r="H3280" t="s">
        <v>2022</v>
      </c>
      <c r="I3280" s="21">
        <v>40788.4110069444</v>
      </c>
      <c r="J3280">
        <v>2011</v>
      </c>
      <c r="K3280" s="21">
        <v>40788.4110069444</v>
      </c>
      <c r="L3280">
        <v>2011</v>
      </c>
      <c r="M3280" s="21">
        <v>41473.702430555597</v>
      </c>
      <c r="N3280">
        <v>2013</v>
      </c>
      <c r="Q3280" s="262">
        <v>4800000</v>
      </c>
      <c r="R3280" s="262">
        <v>584000</v>
      </c>
      <c r="S3280" t="s">
        <v>114</v>
      </c>
      <c r="T3280" t="s">
        <v>114</v>
      </c>
      <c r="U3280">
        <v>5</v>
      </c>
      <c r="W3280">
        <v>6768</v>
      </c>
      <c r="X3280">
        <v>1</v>
      </c>
      <c r="Y3280">
        <v>0</v>
      </c>
      <c r="Z3280">
        <v>0</v>
      </c>
      <c r="AA3280">
        <v>0</v>
      </c>
      <c r="AB3280">
        <v>0</v>
      </c>
      <c r="AC3280">
        <v>6768</v>
      </c>
      <c r="AD3280">
        <v>0</v>
      </c>
      <c r="AE3280">
        <v>0</v>
      </c>
      <c r="AF3280">
        <v>0</v>
      </c>
      <c r="AG3280">
        <v>0</v>
      </c>
      <c r="AH3280">
        <v>0</v>
      </c>
      <c r="AI3280">
        <v>0</v>
      </c>
      <c r="AJ3280">
        <v>0</v>
      </c>
      <c r="AK3280">
        <v>0</v>
      </c>
      <c r="AL3280">
        <v>0</v>
      </c>
      <c r="AM3280">
        <v>0</v>
      </c>
      <c r="AN3280">
        <v>0</v>
      </c>
      <c r="AO3280">
        <v>1</v>
      </c>
      <c r="AP3280">
        <v>0</v>
      </c>
      <c r="AQ3280">
        <v>0</v>
      </c>
      <c r="AR3280">
        <v>0</v>
      </c>
      <c r="AS3280">
        <v>0</v>
      </c>
      <c r="AT3280">
        <v>0</v>
      </c>
      <c r="AU3280">
        <f t="shared" si="100"/>
        <v>1</v>
      </c>
      <c r="AV3280">
        <f t="shared" si="101"/>
        <v>0</v>
      </c>
    </row>
    <row r="3281" spans="1:48" x14ac:dyDescent="0.25">
      <c r="A3281" t="s">
        <v>10655</v>
      </c>
      <c r="C3281" t="s">
        <v>10656</v>
      </c>
      <c r="D3281" t="s">
        <v>10657</v>
      </c>
      <c r="E3281" t="s">
        <v>2310</v>
      </c>
      <c r="F3281">
        <v>8</v>
      </c>
      <c r="G3281">
        <v>8.1</v>
      </c>
      <c r="H3281" t="s">
        <v>2323</v>
      </c>
      <c r="I3281" s="21">
        <v>40788.616249999999</v>
      </c>
      <c r="J3281">
        <v>2011</v>
      </c>
      <c r="K3281" s="21">
        <v>40788.616249999999</v>
      </c>
      <c r="L3281">
        <v>2011</v>
      </c>
      <c r="M3281" s="21">
        <v>41795.573796296303</v>
      </c>
      <c r="N3281">
        <v>2014</v>
      </c>
      <c r="Q3281" s="262">
        <v>8500000</v>
      </c>
      <c r="R3281" s="262">
        <v>822000</v>
      </c>
      <c r="S3281" t="s">
        <v>114</v>
      </c>
      <c r="T3281" t="s">
        <v>114</v>
      </c>
      <c r="U3281">
        <v>5</v>
      </c>
      <c r="W3281">
        <v>9021</v>
      </c>
      <c r="X3281">
        <v>1</v>
      </c>
      <c r="Y3281">
        <v>0</v>
      </c>
      <c r="Z3281">
        <v>0</v>
      </c>
      <c r="AA3281">
        <v>0</v>
      </c>
      <c r="AB3281">
        <v>0</v>
      </c>
      <c r="AC3281">
        <v>9021</v>
      </c>
      <c r="AD3281">
        <v>0</v>
      </c>
      <c r="AE3281">
        <v>0</v>
      </c>
      <c r="AF3281">
        <v>0</v>
      </c>
      <c r="AG3281">
        <v>0</v>
      </c>
      <c r="AH3281">
        <v>0</v>
      </c>
      <c r="AI3281">
        <v>0</v>
      </c>
      <c r="AJ3281">
        <v>0</v>
      </c>
      <c r="AK3281">
        <v>0</v>
      </c>
      <c r="AL3281">
        <v>0</v>
      </c>
      <c r="AM3281">
        <v>0</v>
      </c>
      <c r="AN3281">
        <v>0</v>
      </c>
      <c r="AO3281">
        <v>1</v>
      </c>
      <c r="AP3281">
        <v>0</v>
      </c>
      <c r="AQ3281">
        <v>0</v>
      </c>
      <c r="AR3281">
        <v>0</v>
      </c>
      <c r="AS3281">
        <v>0</v>
      </c>
      <c r="AT3281">
        <v>0</v>
      </c>
      <c r="AU3281">
        <f t="shared" si="100"/>
        <v>1</v>
      </c>
      <c r="AV3281">
        <f t="shared" si="101"/>
        <v>0</v>
      </c>
    </row>
    <row r="3282" spans="1:48" x14ac:dyDescent="0.25">
      <c r="A3282" t="s">
        <v>10658</v>
      </c>
      <c r="C3282" t="s">
        <v>10659</v>
      </c>
      <c r="D3282" t="s">
        <v>10657</v>
      </c>
      <c r="E3282" t="s">
        <v>2310</v>
      </c>
      <c r="F3282">
        <v>8</v>
      </c>
      <c r="G3282">
        <v>8.1</v>
      </c>
      <c r="H3282" t="s">
        <v>2323</v>
      </c>
      <c r="I3282" s="21">
        <v>40788.643703703703</v>
      </c>
      <c r="J3282">
        <v>2011</v>
      </c>
      <c r="K3282" s="21">
        <v>40788.643703703703</v>
      </c>
      <c r="L3282">
        <v>2011</v>
      </c>
      <c r="M3282" s="21">
        <v>41795.577557870398</v>
      </c>
      <c r="N3282">
        <v>2014</v>
      </c>
      <c r="Q3282" s="262">
        <v>850000</v>
      </c>
      <c r="R3282" s="262">
        <v>99000</v>
      </c>
      <c r="S3282" t="s">
        <v>114</v>
      </c>
      <c r="T3282" t="s">
        <v>114</v>
      </c>
      <c r="U3282">
        <v>8</v>
      </c>
      <c r="W3282">
        <v>977</v>
      </c>
      <c r="X3282">
        <v>1</v>
      </c>
      <c r="Y3282">
        <v>0</v>
      </c>
      <c r="Z3282">
        <v>0</v>
      </c>
      <c r="AA3282">
        <v>0</v>
      </c>
      <c r="AB3282">
        <v>0</v>
      </c>
      <c r="AC3282">
        <v>0</v>
      </c>
      <c r="AD3282">
        <v>0</v>
      </c>
      <c r="AE3282">
        <v>0</v>
      </c>
      <c r="AF3282">
        <v>977</v>
      </c>
      <c r="AG3282">
        <v>0</v>
      </c>
      <c r="AH3282">
        <v>0</v>
      </c>
      <c r="AI3282">
        <v>0</v>
      </c>
      <c r="AJ3282">
        <v>0</v>
      </c>
      <c r="AK3282">
        <v>0</v>
      </c>
      <c r="AL3282">
        <v>0</v>
      </c>
      <c r="AM3282">
        <v>0</v>
      </c>
      <c r="AN3282">
        <v>0</v>
      </c>
      <c r="AO3282">
        <v>0</v>
      </c>
      <c r="AP3282">
        <v>0</v>
      </c>
      <c r="AQ3282">
        <v>0</v>
      </c>
      <c r="AR3282">
        <v>1</v>
      </c>
      <c r="AS3282">
        <v>0</v>
      </c>
      <c r="AT3282">
        <v>0</v>
      </c>
      <c r="AU3282">
        <f t="shared" si="100"/>
        <v>0</v>
      </c>
      <c r="AV3282">
        <f t="shared" si="101"/>
        <v>0</v>
      </c>
    </row>
    <row r="3283" spans="1:48" x14ac:dyDescent="0.25">
      <c r="A3283" t="s">
        <v>10660</v>
      </c>
      <c r="C3283" t="s">
        <v>10661</v>
      </c>
      <c r="D3283" t="s">
        <v>9213</v>
      </c>
      <c r="E3283" t="s">
        <v>2310</v>
      </c>
      <c r="F3283">
        <v>8</v>
      </c>
      <c r="G3283">
        <v>8.1999999999999993</v>
      </c>
      <c r="H3283" t="s">
        <v>2022</v>
      </c>
      <c r="I3283" s="21">
        <v>40788.6737615741</v>
      </c>
      <c r="J3283">
        <v>2011</v>
      </c>
      <c r="K3283" s="21">
        <v>40788.6737615741</v>
      </c>
      <c r="L3283">
        <v>2011</v>
      </c>
      <c r="M3283" s="21">
        <v>40975.413807870398</v>
      </c>
      <c r="N3283">
        <v>2012</v>
      </c>
      <c r="Q3283" s="262">
        <v>185000</v>
      </c>
      <c r="R3283" s="262">
        <v>40000</v>
      </c>
      <c r="S3283" t="s">
        <v>114</v>
      </c>
      <c r="T3283" t="s">
        <v>114</v>
      </c>
      <c r="U3283">
        <v>5</v>
      </c>
      <c r="W3283">
        <v>392</v>
      </c>
      <c r="X3283">
        <v>0</v>
      </c>
      <c r="Y3283">
        <v>0</v>
      </c>
      <c r="Z3283">
        <v>0</v>
      </c>
      <c r="AA3283">
        <v>0</v>
      </c>
      <c r="AB3283">
        <v>0</v>
      </c>
      <c r="AC3283">
        <v>392</v>
      </c>
      <c r="AD3283">
        <v>0</v>
      </c>
      <c r="AE3283">
        <v>0</v>
      </c>
      <c r="AF3283">
        <v>0</v>
      </c>
      <c r="AG3283">
        <v>0</v>
      </c>
      <c r="AH3283">
        <v>0</v>
      </c>
      <c r="AI3283">
        <v>0</v>
      </c>
      <c r="AJ3283">
        <v>0</v>
      </c>
      <c r="AK3283">
        <v>0</v>
      </c>
      <c r="AL3283">
        <v>0</v>
      </c>
      <c r="AM3283">
        <v>0</v>
      </c>
      <c r="AN3283">
        <v>0</v>
      </c>
      <c r="AO3283">
        <v>0</v>
      </c>
      <c r="AP3283">
        <v>0</v>
      </c>
      <c r="AQ3283">
        <v>0</v>
      </c>
      <c r="AR3283">
        <v>0</v>
      </c>
      <c r="AS3283">
        <v>0</v>
      </c>
      <c r="AT3283">
        <v>0</v>
      </c>
      <c r="AU3283">
        <f t="shared" si="100"/>
        <v>0</v>
      </c>
      <c r="AV3283">
        <f t="shared" si="101"/>
        <v>0</v>
      </c>
    </row>
    <row r="3284" spans="1:48" x14ac:dyDescent="0.25">
      <c r="A3284" t="s">
        <v>10662</v>
      </c>
      <c r="C3284" t="s">
        <v>10663</v>
      </c>
      <c r="D3284" t="s">
        <v>9989</v>
      </c>
      <c r="E3284" t="s">
        <v>2310</v>
      </c>
      <c r="F3284">
        <v>15</v>
      </c>
      <c r="G3284">
        <v>15.1</v>
      </c>
      <c r="H3284" t="s">
        <v>2022</v>
      </c>
      <c r="I3284" s="21">
        <v>40793.665358796301</v>
      </c>
      <c r="J3284">
        <v>2011</v>
      </c>
      <c r="K3284" s="21">
        <v>40793.665358796301</v>
      </c>
      <c r="L3284">
        <v>2011</v>
      </c>
      <c r="M3284" s="21">
        <v>40891.646631944401</v>
      </c>
      <c r="N3284">
        <v>2011</v>
      </c>
      <c r="Q3284" s="262">
        <v>320000</v>
      </c>
      <c r="R3284" s="262">
        <v>36000</v>
      </c>
      <c r="S3284" t="s">
        <v>114</v>
      </c>
      <c r="T3284" t="s">
        <v>114</v>
      </c>
      <c r="U3284">
        <v>15</v>
      </c>
      <c r="W3284">
        <v>892</v>
      </c>
      <c r="X3284">
        <v>0</v>
      </c>
      <c r="Y3284">
        <v>0</v>
      </c>
      <c r="Z3284">
        <v>0</v>
      </c>
      <c r="AA3284">
        <v>0</v>
      </c>
      <c r="AB3284">
        <v>0</v>
      </c>
      <c r="AC3284">
        <v>0</v>
      </c>
      <c r="AD3284">
        <v>0</v>
      </c>
      <c r="AE3284">
        <v>0</v>
      </c>
      <c r="AF3284">
        <v>0</v>
      </c>
      <c r="AG3284">
        <v>0</v>
      </c>
      <c r="AH3284">
        <v>0</v>
      </c>
      <c r="AI3284">
        <v>0</v>
      </c>
      <c r="AJ3284">
        <v>0</v>
      </c>
      <c r="AK3284">
        <v>0</v>
      </c>
      <c r="AL3284">
        <v>0</v>
      </c>
      <c r="AM3284">
        <v>892</v>
      </c>
      <c r="AN3284">
        <v>0</v>
      </c>
      <c r="AO3284">
        <v>0</v>
      </c>
      <c r="AP3284">
        <v>0</v>
      </c>
      <c r="AQ3284">
        <v>0</v>
      </c>
      <c r="AR3284">
        <v>0</v>
      </c>
      <c r="AS3284">
        <v>0</v>
      </c>
      <c r="AT3284">
        <v>0</v>
      </c>
      <c r="AU3284">
        <f t="shared" si="100"/>
        <v>0</v>
      </c>
      <c r="AV3284">
        <f t="shared" si="101"/>
        <v>892</v>
      </c>
    </row>
    <row r="3285" spans="1:48" x14ac:dyDescent="0.25">
      <c r="A3285" t="s">
        <v>10664</v>
      </c>
      <c r="C3285" t="s">
        <v>10665</v>
      </c>
      <c r="D3285" t="s">
        <v>10666</v>
      </c>
      <c r="E3285" t="s">
        <v>2310</v>
      </c>
      <c r="F3285">
        <v>9</v>
      </c>
      <c r="G3285">
        <v>9.4</v>
      </c>
      <c r="H3285" t="s">
        <v>2323</v>
      </c>
      <c r="I3285" s="21">
        <v>40794.442708333299</v>
      </c>
      <c r="J3285">
        <v>2011</v>
      </c>
      <c r="K3285" s="21">
        <v>40794.442708333299</v>
      </c>
      <c r="L3285">
        <v>2011</v>
      </c>
      <c r="M3285" s="21">
        <v>41619.629907407398</v>
      </c>
      <c r="N3285">
        <v>2013</v>
      </c>
      <c r="Q3285" s="262">
        <v>3000000</v>
      </c>
      <c r="R3285" s="262">
        <v>878000</v>
      </c>
      <c r="S3285" t="s">
        <v>114</v>
      </c>
      <c r="T3285" t="s">
        <v>114</v>
      </c>
      <c r="U3285">
        <v>5</v>
      </c>
      <c r="W3285">
        <v>9607</v>
      </c>
      <c r="X3285">
        <v>1</v>
      </c>
      <c r="Y3285">
        <v>0</v>
      </c>
      <c r="Z3285">
        <v>0</v>
      </c>
      <c r="AA3285">
        <v>0</v>
      </c>
      <c r="AB3285">
        <v>0</v>
      </c>
      <c r="AC3285">
        <v>9607</v>
      </c>
      <c r="AD3285">
        <v>0</v>
      </c>
      <c r="AE3285">
        <v>0</v>
      </c>
      <c r="AF3285">
        <v>0</v>
      </c>
      <c r="AG3285">
        <v>0</v>
      </c>
      <c r="AH3285">
        <v>0</v>
      </c>
      <c r="AI3285">
        <v>0</v>
      </c>
      <c r="AJ3285">
        <v>0</v>
      </c>
      <c r="AK3285">
        <v>0</v>
      </c>
      <c r="AL3285">
        <v>0</v>
      </c>
      <c r="AM3285">
        <v>0</v>
      </c>
      <c r="AN3285">
        <v>0</v>
      </c>
      <c r="AO3285">
        <v>1</v>
      </c>
      <c r="AP3285">
        <v>0</v>
      </c>
      <c r="AQ3285">
        <v>0</v>
      </c>
      <c r="AR3285">
        <v>0</v>
      </c>
      <c r="AS3285">
        <v>0</v>
      </c>
      <c r="AT3285">
        <v>0</v>
      </c>
      <c r="AU3285">
        <f t="shared" si="100"/>
        <v>1</v>
      </c>
      <c r="AV3285">
        <f t="shared" si="101"/>
        <v>0</v>
      </c>
    </row>
    <row r="3286" spans="1:48" x14ac:dyDescent="0.25">
      <c r="A3286" t="s">
        <v>18908</v>
      </c>
      <c r="B3286" t="s">
        <v>114</v>
      </c>
      <c r="C3286" t="s">
        <v>18909</v>
      </c>
      <c r="D3286" t="s">
        <v>10328</v>
      </c>
      <c r="E3286" t="s">
        <v>2310</v>
      </c>
      <c r="F3286">
        <v>8</v>
      </c>
      <c r="G3286">
        <v>8.1</v>
      </c>
      <c r="H3286" t="s">
        <v>2323</v>
      </c>
      <c r="I3286" s="21">
        <v>40794.47216435185</v>
      </c>
      <c r="J3286">
        <v>2011</v>
      </c>
      <c r="K3286" s="21">
        <v>40794.47216435185</v>
      </c>
      <c r="L3286">
        <v>2011</v>
      </c>
      <c r="M3286" s="21">
        <v>43668.700281053243</v>
      </c>
      <c r="N3286">
        <v>2019</v>
      </c>
      <c r="Q3286" s="262">
        <v>10000</v>
      </c>
      <c r="R3286" s="262">
        <v>23000</v>
      </c>
      <c r="S3286" t="s">
        <v>13254</v>
      </c>
      <c r="U3286">
        <v>5</v>
      </c>
      <c r="W3286">
        <v>576</v>
      </c>
      <c r="X3286">
        <v>0</v>
      </c>
      <c r="Y3286">
        <v>0</v>
      </c>
      <c r="Z3286">
        <v>0</v>
      </c>
      <c r="AA3286">
        <v>0</v>
      </c>
      <c r="AB3286">
        <v>0</v>
      </c>
      <c r="AC3286">
        <v>576</v>
      </c>
      <c r="AD3286">
        <v>0</v>
      </c>
      <c r="AE3286">
        <v>0</v>
      </c>
      <c r="AF3286">
        <v>0</v>
      </c>
      <c r="AG3286">
        <v>0</v>
      </c>
      <c r="AH3286">
        <v>0</v>
      </c>
      <c r="AI3286">
        <v>0</v>
      </c>
      <c r="AJ3286">
        <v>0</v>
      </c>
      <c r="AK3286">
        <v>0</v>
      </c>
      <c r="AL3286">
        <v>0</v>
      </c>
      <c r="AM3286">
        <v>0</v>
      </c>
      <c r="AN3286">
        <v>0</v>
      </c>
      <c r="AO3286">
        <v>0</v>
      </c>
      <c r="AP3286">
        <v>0</v>
      </c>
      <c r="AQ3286">
        <v>0</v>
      </c>
      <c r="AR3286">
        <v>0</v>
      </c>
      <c r="AS3286">
        <v>0</v>
      </c>
      <c r="AT3286">
        <v>0</v>
      </c>
      <c r="AU3286">
        <f t="shared" si="100"/>
        <v>0</v>
      </c>
      <c r="AV3286">
        <f t="shared" si="101"/>
        <v>0</v>
      </c>
    </row>
    <row r="3287" spans="1:48" x14ac:dyDescent="0.25">
      <c r="A3287" t="s">
        <v>10667</v>
      </c>
      <c r="C3287" t="s">
        <v>10668</v>
      </c>
      <c r="D3287" t="s">
        <v>10669</v>
      </c>
      <c r="E3287" t="s">
        <v>2310</v>
      </c>
      <c r="F3287">
        <v>9</v>
      </c>
      <c r="G3287">
        <v>9.1</v>
      </c>
      <c r="H3287" t="s">
        <v>2323</v>
      </c>
      <c r="I3287" s="21">
        <v>40794.488877314798</v>
      </c>
      <c r="J3287">
        <v>2011</v>
      </c>
      <c r="K3287" s="21">
        <v>40794.488877314798</v>
      </c>
      <c r="L3287">
        <v>2011</v>
      </c>
      <c r="M3287" s="21">
        <v>41110.6405324074</v>
      </c>
      <c r="N3287">
        <v>2012</v>
      </c>
      <c r="Q3287" s="262">
        <v>250000</v>
      </c>
      <c r="R3287" s="262">
        <v>106000</v>
      </c>
      <c r="S3287" t="s">
        <v>114</v>
      </c>
      <c r="T3287" t="s">
        <v>114</v>
      </c>
      <c r="U3287">
        <v>5</v>
      </c>
      <c r="W3287">
        <v>1486</v>
      </c>
      <c r="X3287">
        <v>0</v>
      </c>
      <c r="Y3287">
        <v>0</v>
      </c>
      <c r="Z3287">
        <v>0</v>
      </c>
      <c r="AA3287">
        <v>0</v>
      </c>
      <c r="AB3287">
        <v>0</v>
      </c>
      <c r="AC3287">
        <v>1486</v>
      </c>
      <c r="AD3287">
        <v>0</v>
      </c>
      <c r="AE3287">
        <v>0</v>
      </c>
      <c r="AF3287">
        <v>0</v>
      </c>
      <c r="AG3287">
        <v>0</v>
      </c>
      <c r="AH3287">
        <v>0</v>
      </c>
      <c r="AI3287">
        <v>0</v>
      </c>
      <c r="AJ3287">
        <v>0</v>
      </c>
      <c r="AK3287">
        <v>0</v>
      </c>
      <c r="AL3287">
        <v>0</v>
      </c>
      <c r="AM3287">
        <v>0</v>
      </c>
      <c r="AN3287">
        <v>0</v>
      </c>
      <c r="AO3287">
        <v>0</v>
      </c>
      <c r="AP3287">
        <v>0</v>
      </c>
      <c r="AQ3287">
        <v>0</v>
      </c>
      <c r="AR3287">
        <v>0</v>
      </c>
      <c r="AS3287">
        <v>0</v>
      </c>
      <c r="AT3287">
        <v>0</v>
      </c>
      <c r="AU3287">
        <f t="shared" si="100"/>
        <v>0</v>
      </c>
      <c r="AV3287">
        <f t="shared" si="101"/>
        <v>0</v>
      </c>
    </row>
    <row r="3288" spans="1:48" x14ac:dyDescent="0.25">
      <c r="A3288" t="s">
        <v>10670</v>
      </c>
      <c r="C3288" t="s">
        <v>10671</v>
      </c>
      <c r="D3288" t="s">
        <v>10672</v>
      </c>
      <c r="E3288" t="s">
        <v>2310</v>
      </c>
      <c r="F3288">
        <v>8</v>
      </c>
      <c r="G3288">
        <v>8.1999999999999993</v>
      </c>
      <c r="H3288" t="s">
        <v>2022</v>
      </c>
      <c r="I3288" s="21">
        <v>40794.534421296303</v>
      </c>
      <c r="J3288">
        <v>2011</v>
      </c>
      <c r="K3288" s="21">
        <v>40794.534421296303</v>
      </c>
      <c r="L3288">
        <v>2011</v>
      </c>
      <c r="M3288" s="21">
        <v>41347.4148263889</v>
      </c>
      <c r="N3288">
        <v>2013</v>
      </c>
      <c r="Q3288" s="262">
        <v>100000</v>
      </c>
      <c r="R3288" s="262">
        <v>83000</v>
      </c>
      <c r="S3288" t="s">
        <v>114</v>
      </c>
      <c r="T3288" t="s">
        <v>114</v>
      </c>
      <c r="U3288">
        <v>5</v>
      </c>
      <c r="V3288">
        <v>665</v>
      </c>
      <c r="W3288">
        <v>835</v>
      </c>
      <c r="X3288">
        <v>0</v>
      </c>
      <c r="Y3288">
        <v>0</v>
      </c>
      <c r="Z3288">
        <v>0</v>
      </c>
      <c r="AA3288">
        <v>0</v>
      </c>
      <c r="AB3288">
        <v>0</v>
      </c>
      <c r="AC3288">
        <v>835</v>
      </c>
      <c r="AD3288">
        <v>0</v>
      </c>
      <c r="AE3288">
        <v>0</v>
      </c>
      <c r="AF3288">
        <v>0</v>
      </c>
      <c r="AG3288">
        <v>0</v>
      </c>
      <c r="AH3288">
        <v>0</v>
      </c>
      <c r="AI3288">
        <v>0</v>
      </c>
      <c r="AJ3288">
        <v>0</v>
      </c>
      <c r="AK3288">
        <v>0</v>
      </c>
      <c r="AL3288">
        <v>0</v>
      </c>
      <c r="AM3288">
        <v>0</v>
      </c>
      <c r="AN3288">
        <v>0</v>
      </c>
      <c r="AO3288">
        <v>0</v>
      </c>
      <c r="AP3288">
        <v>0</v>
      </c>
      <c r="AQ3288">
        <v>0</v>
      </c>
      <c r="AR3288">
        <v>0</v>
      </c>
      <c r="AS3288">
        <v>0</v>
      </c>
      <c r="AT3288">
        <v>0</v>
      </c>
      <c r="AU3288">
        <f t="shared" si="100"/>
        <v>0</v>
      </c>
      <c r="AV3288">
        <f t="shared" si="101"/>
        <v>0</v>
      </c>
    </row>
    <row r="3289" spans="1:48" x14ac:dyDescent="0.25">
      <c r="A3289" t="s">
        <v>10673</v>
      </c>
      <c r="C3289" t="s">
        <v>10674</v>
      </c>
      <c r="D3289" t="s">
        <v>10675</v>
      </c>
      <c r="E3289" t="s">
        <v>2310</v>
      </c>
      <c r="F3289">
        <v>9</v>
      </c>
      <c r="G3289">
        <v>9.4</v>
      </c>
      <c r="H3289" t="s">
        <v>2323</v>
      </c>
      <c r="I3289" s="21">
        <v>40794.596689814804</v>
      </c>
      <c r="J3289">
        <v>2011</v>
      </c>
      <c r="K3289" s="21">
        <v>40794.596689814804</v>
      </c>
      <c r="L3289">
        <v>2011</v>
      </c>
      <c r="M3289" s="21">
        <v>41038.682708333297</v>
      </c>
      <c r="N3289">
        <v>2012</v>
      </c>
      <c r="Q3289" s="262">
        <v>20000</v>
      </c>
      <c r="R3289" s="262">
        <v>36000</v>
      </c>
      <c r="S3289" t="s">
        <v>114</v>
      </c>
      <c r="T3289" t="s">
        <v>114</v>
      </c>
      <c r="U3289">
        <v>11</v>
      </c>
      <c r="W3289">
        <v>0</v>
      </c>
      <c r="X3289">
        <v>0</v>
      </c>
      <c r="Y3289">
        <v>0</v>
      </c>
      <c r="Z3289">
        <v>0</v>
      </c>
      <c r="AA3289">
        <v>0</v>
      </c>
      <c r="AB3289">
        <v>0</v>
      </c>
      <c r="AC3289">
        <v>0</v>
      </c>
      <c r="AD3289">
        <v>0</v>
      </c>
      <c r="AE3289">
        <v>0</v>
      </c>
      <c r="AF3289">
        <v>0</v>
      </c>
      <c r="AG3289">
        <v>0</v>
      </c>
      <c r="AH3289">
        <v>0</v>
      </c>
      <c r="AI3289">
        <v>0</v>
      </c>
      <c r="AJ3289">
        <v>0</v>
      </c>
      <c r="AK3289">
        <v>0</v>
      </c>
      <c r="AL3289">
        <v>0</v>
      </c>
      <c r="AM3289">
        <v>0</v>
      </c>
      <c r="AN3289">
        <v>0</v>
      </c>
      <c r="AO3289">
        <v>0</v>
      </c>
      <c r="AP3289">
        <v>0</v>
      </c>
      <c r="AQ3289">
        <v>0</v>
      </c>
      <c r="AR3289">
        <v>0</v>
      </c>
      <c r="AS3289">
        <v>0</v>
      </c>
      <c r="AT3289">
        <v>0</v>
      </c>
      <c r="AU3289">
        <f t="shared" ref="AU3289:AU3352" si="102">SUM(AN3289:AQ3289,AS3289)</f>
        <v>0</v>
      </c>
      <c r="AV3289">
        <f t="shared" ref="AV3289:AV3352" si="103">SUM(Y3289:AB3289,AH3289:AM3289)</f>
        <v>0</v>
      </c>
    </row>
    <row r="3290" spans="1:48" x14ac:dyDescent="0.25">
      <c r="A3290" t="s">
        <v>10676</v>
      </c>
      <c r="C3290" t="s">
        <v>10677</v>
      </c>
      <c r="D3290" t="s">
        <v>10678</v>
      </c>
      <c r="E3290" t="s">
        <v>2310</v>
      </c>
      <c r="F3290">
        <v>15</v>
      </c>
      <c r="G3290">
        <v>15.4</v>
      </c>
      <c r="H3290" t="s">
        <v>2323</v>
      </c>
      <c r="I3290" s="21">
        <v>40795.5394675926</v>
      </c>
      <c r="J3290">
        <v>2011</v>
      </c>
      <c r="K3290" s="21">
        <v>40795.5394675926</v>
      </c>
      <c r="L3290">
        <v>2011</v>
      </c>
      <c r="M3290" s="21">
        <v>40834.537824074097</v>
      </c>
      <c r="N3290">
        <v>2011</v>
      </c>
      <c r="Q3290" s="262">
        <v>5750</v>
      </c>
      <c r="R3290" s="262">
        <v>11000</v>
      </c>
      <c r="S3290" t="s">
        <v>114</v>
      </c>
      <c r="T3290" t="s">
        <v>114</v>
      </c>
      <c r="U3290">
        <v>5</v>
      </c>
      <c r="W3290">
        <v>416</v>
      </c>
      <c r="X3290">
        <v>0</v>
      </c>
      <c r="Y3290">
        <v>0</v>
      </c>
      <c r="Z3290">
        <v>0</v>
      </c>
      <c r="AA3290">
        <v>0</v>
      </c>
      <c r="AB3290">
        <v>0</v>
      </c>
      <c r="AC3290">
        <v>416</v>
      </c>
      <c r="AD3290">
        <v>0</v>
      </c>
      <c r="AE3290">
        <v>0</v>
      </c>
      <c r="AF3290">
        <v>0</v>
      </c>
      <c r="AG3290">
        <v>0</v>
      </c>
      <c r="AH3290">
        <v>0</v>
      </c>
      <c r="AI3290">
        <v>0</v>
      </c>
      <c r="AJ3290">
        <v>0</v>
      </c>
      <c r="AK3290">
        <v>0</v>
      </c>
      <c r="AL3290">
        <v>0</v>
      </c>
      <c r="AM3290">
        <v>0</v>
      </c>
      <c r="AN3290">
        <v>0</v>
      </c>
      <c r="AO3290">
        <v>0</v>
      </c>
      <c r="AP3290">
        <v>0</v>
      </c>
      <c r="AQ3290">
        <v>0</v>
      </c>
      <c r="AR3290">
        <v>0</v>
      </c>
      <c r="AS3290">
        <v>0</v>
      </c>
      <c r="AT3290">
        <v>0</v>
      </c>
      <c r="AU3290">
        <f t="shared" si="102"/>
        <v>0</v>
      </c>
      <c r="AV3290">
        <f t="shared" si="103"/>
        <v>0</v>
      </c>
    </row>
    <row r="3291" spans="1:48" x14ac:dyDescent="0.25">
      <c r="A3291" t="s">
        <v>10679</v>
      </c>
      <c r="C3291" t="s">
        <v>10680</v>
      </c>
      <c r="D3291" t="s">
        <v>10678</v>
      </c>
      <c r="E3291" t="s">
        <v>2310</v>
      </c>
      <c r="F3291">
        <v>15</v>
      </c>
      <c r="G3291">
        <v>15.4</v>
      </c>
      <c r="H3291" t="s">
        <v>2323</v>
      </c>
      <c r="I3291" s="21">
        <v>40795.547048611101</v>
      </c>
      <c r="J3291">
        <v>2011</v>
      </c>
      <c r="K3291" s="21">
        <v>40795.547048611101</v>
      </c>
      <c r="L3291">
        <v>2011</v>
      </c>
      <c r="M3291" s="21">
        <v>40834.540104166699</v>
      </c>
      <c r="N3291">
        <v>2011</v>
      </c>
      <c r="Q3291" s="262">
        <v>5750</v>
      </c>
      <c r="R3291" s="262">
        <v>11000</v>
      </c>
      <c r="S3291" t="s">
        <v>114</v>
      </c>
      <c r="T3291" t="s">
        <v>114</v>
      </c>
      <c r="U3291">
        <v>5</v>
      </c>
      <c r="W3291">
        <v>416</v>
      </c>
      <c r="X3291">
        <v>0</v>
      </c>
      <c r="Y3291">
        <v>0</v>
      </c>
      <c r="Z3291">
        <v>0</v>
      </c>
      <c r="AA3291">
        <v>0</v>
      </c>
      <c r="AB3291">
        <v>0</v>
      </c>
      <c r="AC3291">
        <v>416</v>
      </c>
      <c r="AD3291">
        <v>0</v>
      </c>
      <c r="AE3291">
        <v>0</v>
      </c>
      <c r="AF3291">
        <v>0</v>
      </c>
      <c r="AG3291">
        <v>0</v>
      </c>
      <c r="AH3291">
        <v>0</v>
      </c>
      <c r="AI3291">
        <v>0</v>
      </c>
      <c r="AJ3291">
        <v>0</v>
      </c>
      <c r="AK3291">
        <v>0</v>
      </c>
      <c r="AL3291">
        <v>0</v>
      </c>
      <c r="AM3291">
        <v>0</v>
      </c>
      <c r="AN3291">
        <v>0</v>
      </c>
      <c r="AO3291">
        <v>0</v>
      </c>
      <c r="AP3291">
        <v>0</v>
      </c>
      <c r="AQ3291">
        <v>0</v>
      </c>
      <c r="AR3291">
        <v>0</v>
      </c>
      <c r="AS3291">
        <v>0</v>
      </c>
      <c r="AT3291">
        <v>0</v>
      </c>
      <c r="AU3291">
        <f t="shared" si="102"/>
        <v>0</v>
      </c>
      <c r="AV3291">
        <f t="shared" si="103"/>
        <v>0</v>
      </c>
    </row>
    <row r="3292" spans="1:48" x14ac:dyDescent="0.25">
      <c r="A3292" t="s">
        <v>10681</v>
      </c>
      <c r="C3292" t="s">
        <v>10682</v>
      </c>
      <c r="D3292" t="s">
        <v>10683</v>
      </c>
      <c r="E3292" t="s">
        <v>2310</v>
      </c>
      <c r="F3292">
        <v>10</v>
      </c>
      <c r="G3292">
        <v>10.1</v>
      </c>
      <c r="H3292" t="s">
        <v>2323</v>
      </c>
      <c r="I3292" s="21">
        <v>40798.445081018501</v>
      </c>
      <c r="J3292">
        <v>2011</v>
      </c>
      <c r="K3292" s="21">
        <v>40798.445081018501</v>
      </c>
      <c r="L3292">
        <v>2011</v>
      </c>
      <c r="M3292" s="21">
        <v>40975.631828703699</v>
      </c>
      <c r="N3292">
        <v>2012</v>
      </c>
      <c r="Q3292" s="262">
        <v>32500</v>
      </c>
      <c r="R3292" s="262">
        <v>11000</v>
      </c>
      <c r="S3292" t="s">
        <v>114</v>
      </c>
      <c r="T3292" t="s">
        <v>114</v>
      </c>
      <c r="U3292">
        <v>5</v>
      </c>
      <c r="W3292">
        <v>100</v>
      </c>
      <c r="X3292">
        <v>0</v>
      </c>
      <c r="Y3292">
        <v>0</v>
      </c>
      <c r="Z3292">
        <v>0</v>
      </c>
      <c r="AA3292">
        <v>0</v>
      </c>
      <c r="AB3292">
        <v>0</v>
      </c>
      <c r="AC3292">
        <v>100</v>
      </c>
      <c r="AD3292">
        <v>0</v>
      </c>
      <c r="AE3292">
        <v>0</v>
      </c>
      <c r="AF3292">
        <v>0</v>
      </c>
      <c r="AG3292">
        <v>0</v>
      </c>
      <c r="AH3292">
        <v>0</v>
      </c>
      <c r="AI3292">
        <v>0</v>
      </c>
      <c r="AJ3292">
        <v>0</v>
      </c>
      <c r="AK3292">
        <v>0</v>
      </c>
      <c r="AL3292">
        <v>0</v>
      </c>
      <c r="AM3292">
        <v>0</v>
      </c>
      <c r="AN3292">
        <v>0</v>
      </c>
      <c r="AO3292">
        <v>0</v>
      </c>
      <c r="AP3292">
        <v>0</v>
      </c>
      <c r="AQ3292">
        <v>0</v>
      </c>
      <c r="AR3292">
        <v>0</v>
      </c>
      <c r="AS3292">
        <v>0</v>
      </c>
      <c r="AT3292">
        <v>0</v>
      </c>
      <c r="AU3292">
        <f t="shared" si="102"/>
        <v>0</v>
      </c>
      <c r="AV3292">
        <f t="shared" si="103"/>
        <v>0</v>
      </c>
    </row>
    <row r="3293" spans="1:48" x14ac:dyDescent="0.25">
      <c r="A3293" t="s">
        <v>10684</v>
      </c>
      <c r="C3293" t="s">
        <v>10685</v>
      </c>
      <c r="D3293" t="s">
        <v>10686</v>
      </c>
      <c r="E3293" t="s">
        <v>2310</v>
      </c>
      <c r="F3293">
        <v>9</v>
      </c>
      <c r="G3293">
        <v>9.1</v>
      </c>
      <c r="H3293" t="s">
        <v>2323</v>
      </c>
      <c r="I3293" s="21">
        <v>40798.485972222203</v>
      </c>
      <c r="J3293">
        <v>2011</v>
      </c>
      <c r="K3293" s="21">
        <v>40798.485972222203</v>
      </c>
      <c r="L3293">
        <v>2011</v>
      </c>
      <c r="M3293" s="21">
        <v>41646.469236111101</v>
      </c>
      <c r="N3293">
        <v>2014</v>
      </c>
      <c r="Q3293" s="262">
        <v>50000</v>
      </c>
      <c r="R3293" s="262">
        <v>26000</v>
      </c>
      <c r="S3293" t="s">
        <v>114</v>
      </c>
      <c r="T3293" t="s">
        <v>114</v>
      </c>
      <c r="U3293">
        <v>5</v>
      </c>
      <c r="W3293">
        <v>255</v>
      </c>
      <c r="X3293">
        <v>0</v>
      </c>
      <c r="Y3293">
        <v>0</v>
      </c>
      <c r="Z3293">
        <v>0</v>
      </c>
      <c r="AA3293">
        <v>0</v>
      </c>
      <c r="AB3293">
        <v>0</v>
      </c>
      <c r="AC3293">
        <v>255</v>
      </c>
      <c r="AD3293">
        <v>0</v>
      </c>
      <c r="AE3293">
        <v>0</v>
      </c>
      <c r="AF3293">
        <v>0</v>
      </c>
      <c r="AG3293">
        <v>0</v>
      </c>
      <c r="AH3293">
        <v>0</v>
      </c>
      <c r="AI3293">
        <v>0</v>
      </c>
      <c r="AJ3293">
        <v>0</v>
      </c>
      <c r="AK3293">
        <v>0</v>
      </c>
      <c r="AL3293">
        <v>0</v>
      </c>
      <c r="AM3293">
        <v>0</v>
      </c>
      <c r="AN3293">
        <v>0</v>
      </c>
      <c r="AO3293">
        <v>0</v>
      </c>
      <c r="AP3293">
        <v>0</v>
      </c>
      <c r="AQ3293">
        <v>0</v>
      </c>
      <c r="AR3293">
        <v>0</v>
      </c>
      <c r="AS3293">
        <v>0</v>
      </c>
      <c r="AT3293">
        <v>0</v>
      </c>
      <c r="AU3293">
        <f t="shared" si="102"/>
        <v>0</v>
      </c>
      <c r="AV3293">
        <f t="shared" si="103"/>
        <v>0</v>
      </c>
    </row>
    <row r="3294" spans="1:48" x14ac:dyDescent="0.25">
      <c r="A3294" t="s">
        <v>10687</v>
      </c>
      <c r="C3294" t="s">
        <v>7880</v>
      </c>
      <c r="D3294" t="s">
        <v>10686</v>
      </c>
      <c r="E3294" t="s">
        <v>2310</v>
      </c>
      <c r="F3294">
        <v>9</v>
      </c>
      <c r="G3294">
        <v>9.1</v>
      </c>
      <c r="H3294" t="s">
        <v>2323</v>
      </c>
      <c r="I3294" s="21">
        <v>40798.522511574098</v>
      </c>
      <c r="J3294">
        <v>2011</v>
      </c>
      <c r="K3294" s="21">
        <v>40798.522511574098</v>
      </c>
      <c r="L3294">
        <v>2011</v>
      </c>
      <c r="M3294" s="21">
        <v>41646.4586921296</v>
      </c>
      <c r="N3294">
        <v>2014</v>
      </c>
      <c r="Q3294" s="262">
        <v>100000</v>
      </c>
      <c r="R3294" s="262">
        <v>50000</v>
      </c>
      <c r="S3294" t="s">
        <v>114</v>
      </c>
      <c r="T3294" t="s">
        <v>114</v>
      </c>
      <c r="U3294">
        <v>5</v>
      </c>
      <c r="W3294">
        <v>1280</v>
      </c>
      <c r="X3294">
        <v>0</v>
      </c>
      <c r="Y3294">
        <v>0</v>
      </c>
      <c r="Z3294">
        <v>0</v>
      </c>
      <c r="AA3294">
        <v>0</v>
      </c>
      <c r="AB3294">
        <v>0</v>
      </c>
      <c r="AC3294">
        <v>1280</v>
      </c>
      <c r="AD3294">
        <v>0</v>
      </c>
      <c r="AE3294">
        <v>0</v>
      </c>
      <c r="AF3294">
        <v>0</v>
      </c>
      <c r="AG3294">
        <v>0</v>
      </c>
      <c r="AH3294">
        <v>0</v>
      </c>
      <c r="AI3294">
        <v>0</v>
      </c>
      <c r="AJ3294">
        <v>0</v>
      </c>
      <c r="AK3294">
        <v>0</v>
      </c>
      <c r="AL3294">
        <v>0</v>
      </c>
      <c r="AM3294">
        <v>0</v>
      </c>
      <c r="AN3294">
        <v>0</v>
      </c>
      <c r="AO3294">
        <v>0</v>
      </c>
      <c r="AP3294">
        <v>0</v>
      </c>
      <c r="AQ3294">
        <v>0</v>
      </c>
      <c r="AR3294">
        <v>0</v>
      </c>
      <c r="AS3294">
        <v>0</v>
      </c>
      <c r="AT3294">
        <v>0</v>
      </c>
      <c r="AU3294">
        <f t="shared" si="102"/>
        <v>0</v>
      </c>
      <c r="AV3294">
        <f t="shared" si="103"/>
        <v>0</v>
      </c>
    </row>
    <row r="3295" spans="1:48" x14ac:dyDescent="0.25">
      <c r="A3295" t="s">
        <v>10688</v>
      </c>
      <c r="C3295" t="s">
        <v>10689</v>
      </c>
      <c r="D3295" t="s">
        <v>10690</v>
      </c>
      <c r="E3295" t="s">
        <v>2310</v>
      </c>
      <c r="F3295">
        <v>15</v>
      </c>
      <c r="G3295">
        <v>15.3</v>
      </c>
      <c r="H3295" t="s">
        <v>2022</v>
      </c>
      <c r="I3295" s="21">
        <v>40799.612905092603</v>
      </c>
      <c r="J3295">
        <v>2011</v>
      </c>
      <c r="K3295" s="21">
        <v>40799.612905092603</v>
      </c>
      <c r="L3295">
        <v>2011</v>
      </c>
      <c r="M3295" s="21">
        <v>41416.366041666697</v>
      </c>
      <c r="N3295">
        <v>2013</v>
      </c>
      <c r="Q3295" s="262">
        <v>600000</v>
      </c>
      <c r="R3295" s="262">
        <v>320000</v>
      </c>
      <c r="S3295" t="s">
        <v>114</v>
      </c>
      <c r="T3295" t="s">
        <v>114</v>
      </c>
      <c r="U3295">
        <v>5</v>
      </c>
      <c r="W3295">
        <v>3588</v>
      </c>
      <c r="X3295">
        <v>1</v>
      </c>
      <c r="Y3295">
        <v>0</v>
      </c>
      <c r="Z3295">
        <v>0</v>
      </c>
      <c r="AA3295">
        <v>0</v>
      </c>
      <c r="AB3295">
        <v>0</v>
      </c>
      <c r="AC3295">
        <v>3588</v>
      </c>
      <c r="AD3295">
        <v>0</v>
      </c>
      <c r="AE3295">
        <v>0</v>
      </c>
      <c r="AF3295">
        <v>0</v>
      </c>
      <c r="AG3295">
        <v>0</v>
      </c>
      <c r="AH3295">
        <v>0</v>
      </c>
      <c r="AI3295">
        <v>0</v>
      </c>
      <c r="AJ3295">
        <v>0</v>
      </c>
      <c r="AK3295">
        <v>0</v>
      </c>
      <c r="AL3295">
        <v>0</v>
      </c>
      <c r="AM3295">
        <v>0</v>
      </c>
      <c r="AN3295">
        <v>0</v>
      </c>
      <c r="AO3295">
        <v>1</v>
      </c>
      <c r="AP3295">
        <v>0</v>
      </c>
      <c r="AQ3295">
        <v>0</v>
      </c>
      <c r="AR3295">
        <v>0</v>
      </c>
      <c r="AS3295">
        <v>0</v>
      </c>
      <c r="AT3295">
        <v>0</v>
      </c>
      <c r="AU3295">
        <f t="shared" si="102"/>
        <v>1</v>
      </c>
      <c r="AV3295">
        <f t="shared" si="103"/>
        <v>0</v>
      </c>
    </row>
    <row r="3296" spans="1:48" x14ac:dyDescent="0.25">
      <c r="A3296" t="s">
        <v>10691</v>
      </c>
      <c r="C3296" t="s">
        <v>10692</v>
      </c>
      <c r="D3296" t="s">
        <v>10693</v>
      </c>
      <c r="E3296" t="s">
        <v>2310</v>
      </c>
      <c r="F3296">
        <v>10</v>
      </c>
      <c r="G3296">
        <v>10.1</v>
      </c>
      <c r="H3296" t="s">
        <v>2323</v>
      </c>
      <c r="I3296" s="21">
        <v>40801.398229166698</v>
      </c>
      <c r="J3296">
        <v>2011</v>
      </c>
      <c r="K3296" s="21">
        <v>40801.398229166698</v>
      </c>
      <c r="L3296">
        <v>2011</v>
      </c>
      <c r="M3296" s="21">
        <v>41409.394618055601</v>
      </c>
      <c r="N3296">
        <v>2013</v>
      </c>
      <c r="Q3296" s="262">
        <v>10000</v>
      </c>
      <c r="R3296" s="262">
        <v>18000</v>
      </c>
      <c r="S3296" t="s">
        <v>114</v>
      </c>
      <c r="T3296" t="s">
        <v>114</v>
      </c>
      <c r="U3296">
        <v>15</v>
      </c>
      <c r="W3296">
        <v>448</v>
      </c>
      <c r="X3296">
        <v>0</v>
      </c>
      <c r="Y3296">
        <v>0</v>
      </c>
      <c r="Z3296">
        <v>0</v>
      </c>
      <c r="AA3296">
        <v>0</v>
      </c>
      <c r="AB3296">
        <v>0</v>
      </c>
      <c r="AC3296">
        <v>0</v>
      </c>
      <c r="AD3296">
        <v>0</v>
      </c>
      <c r="AE3296">
        <v>0</v>
      </c>
      <c r="AF3296">
        <v>0</v>
      </c>
      <c r="AG3296">
        <v>0</v>
      </c>
      <c r="AH3296">
        <v>0</v>
      </c>
      <c r="AI3296">
        <v>0</v>
      </c>
      <c r="AJ3296">
        <v>0</v>
      </c>
      <c r="AK3296">
        <v>0</v>
      </c>
      <c r="AL3296">
        <v>0</v>
      </c>
      <c r="AM3296">
        <v>448</v>
      </c>
      <c r="AN3296">
        <v>0</v>
      </c>
      <c r="AO3296">
        <v>0</v>
      </c>
      <c r="AP3296">
        <v>0</v>
      </c>
      <c r="AQ3296">
        <v>0</v>
      </c>
      <c r="AR3296">
        <v>0</v>
      </c>
      <c r="AS3296">
        <v>0</v>
      </c>
      <c r="AT3296">
        <v>0</v>
      </c>
      <c r="AU3296">
        <f t="shared" si="102"/>
        <v>0</v>
      </c>
      <c r="AV3296">
        <f t="shared" si="103"/>
        <v>448</v>
      </c>
    </row>
    <row r="3297" spans="1:48" x14ac:dyDescent="0.25">
      <c r="A3297" t="s">
        <v>13403</v>
      </c>
      <c r="B3297" t="s">
        <v>114</v>
      </c>
      <c r="C3297" t="s">
        <v>13404</v>
      </c>
      <c r="D3297" t="s">
        <v>13405</v>
      </c>
      <c r="E3297" t="s">
        <v>1663</v>
      </c>
      <c r="F3297">
        <v>3</v>
      </c>
      <c r="G3297">
        <v>3.1</v>
      </c>
      <c r="H3297" t="s">
        <v>2017</v>
      </c>
      <c r="I3297" s="21">
        <v>40802</v>
      </c>
      <c r="J3297">
        <v>2011</v>
      </c>
      <c r="K3297" s="21">
        <v>40822</v>
      </c>
      <c r="L3297">
        <v>2011</v>
      </c>
      <c r="M3297" s="21">
        <v>42751</v>
      </c>
      <c r="N3297">
        <v>2017</v>
      </c>
      <c r="Q3297" s="262">
        <v>30000</v>
      </c>
      <c r="S3297" t="s">
        <v>13254</v>
      </c>
      <c r="W3297">
        <v>150</v>
      </c>
      <c r="X3297">
        <v>0</v>
      </c>
      <c r="Y3297">
        <v>0</v>
      </c>
      <c r="Z3297">
        <v>0</v>
      </c>
      <c r="AA3297">
        <v>0</v>
      </c>
      <c r="AB3297">
        <v>0</v>
      </c>
      <c r="AC3297">
        <v>0</v>
      </c>
      <c r="AD3297">
        <v>0</v>
      </c>
      <c r="AE3297">
        <v>0</v>
      </c>
      <c r="AF3297">
        <v>0</v>
      </c>
      <c r="AG3297">
        <v>0</v>
      </c>
      <c r="AH3297">
        <v>0</v>
      </c>
      <c r="AI3297">
        <v>0</v>
      </c>
      <c r="AJ3297">
        <v>0</v>
      </c>
      <c r="AK3297">
        <v>0</v>
      </c>
      <c r="AL3297">
        <v>0</v>
      </c>
      <c r="AM3297">
        <v>150</v>
      </c>
      <c r="AN3297">
        <v>0</v>
      </c>
      <c r="AO3297">
        <v>0</v>
      </c>
      <c r="AP3297">
        <v>0</v>
      </c>
      <c r="AQ3297">
        <v>0</v>
      </c>
      <c r="AR3297">
        <v>0</v>
      </c>
      <c r="AS3297">
        <v>0</v>
      </c>
      <c r="AT3297">
        <v>0</v>
      </c>
      <c r="AU3297">
        <f t="shared" si="102"/>
        <v>0</v>
      </c>
      <c r="AV3297">
        <f t="shared" si="103"/>
        <v>150</v>
      </c>
    </row>
    <row r="3298" spans="1:48" x14ac:dyDescent="0.25">
      <c r="A3298" t="s">
        <v>10694</v>
      </c>
      <c r="C3298" t="s">
        <v>10695</v>
      </c>
      <c r="D3298" t="s">
        <v>10696</v>
      </c>
      <c r="E3298" t="s">
        <v>2310</v>
      </c>
      <c r="F3298">
        <v>15</v>
      </c>
      <c r="G3298">
        <v>15.2</v>
      </c>
      <c r="H3298" t="s">
        <v>2323</v>
      </c>
      <c r="I3298" s="21">
        <v>40808.414988425902</v>
      </c>
      <c r="J3298">
        <v>2011</v>
      </c>
      <c r="K3298" s="21">
        <v>40808.414988425902</v>
      </c>
      <c r="L3298">
        <v>2011</v>
      </c>
      <c r="M3298" s="21">
        <v>41136.367511574099</v>
      </c>
      <c r="N3298">
        <v>2012</v>
      </c>
      <c r="Q3298" s="262">
        <v>220000</v>
      </c>
      <c r="R3298" s="262">
        <v>145000</v>
      </c>
      <c r="S3298" t="s">
        <v>114</v>
      </c>
      <c r="T3298" t="s">
        <v>114</v>
      </c>
      <c r="U3298">
        <v>8</v>
      </c>
      <c r="W3298">
        <v>2028</v>
      </c>
      <c r="X3298">
        <v>1</v>
      </c>
      <c r="Y3298">
        <v>0</v>
      </c>
      <c r="Z3298">
        <v>0</v>
      </c>
      <c r="AA3298">
        <v>0</v>
      </c>
      <c r="AB3298">
        <v>0</v>
      </c>
      <c r="AC3298">
        <v>1145</v>
      </c>
      <c r="AD3298">
        <v>0</v>
      </c>
      <c r="AE3298">
        <v>0</v>
      </c>
      <c r="AF3298">
        <v>883</v>
      </c>
      <c r="AG3298">
        <v>0</v>
      </c>
      <c r="AH3298">
        <v>0</v>
      </c>
      <c r="AI3298">
        <v>0</v>
      </c>
      <c r="AJ3298">
        <v>0</v>
      </c>
      <c r="AK3298">
        <v>0</v>
      </c>
      <c r="AL3298">
        <v>0</v>
      </c>
      <c r="AM3298">
        <v>0</v>
      </c>
      <c r="AN3298">
        <v>0</v>
      </c>
      <c r="AO3298">
        <v>0</v>
      </c>
      <c r="AP3298">
        <v>0</v>
      </c>
      <c r="AQ3298">
        <v>0</v>
      </c>
      <c r="AR3298">
        <v>1</v>
      </c>
      <c r="AS3298">
        <v>0</v>
      </c>
      <c r="AT3298">
        <v>0</v>
      </c>
      <c r="AU3298">
        <f t="shared" si="102"/>
        <v>0</v>
      </c>
      <c r="AV3298">
        <f t="shared" si="103"/>
        <v>0</v>
      </c>
    </row>
    <row r="3299" spans="1:48" x14ac:dyDescent="0.25">
      <c r="A3299" t="s">
        <v>10697</v>
      </c>
      <c r="C3299" t="s">
        <v>10698</v>
      </c>
      <c r="D3299" t="s">
        <v>2981</v>
      </c>
      <c r="E3299" t="s">
        <v>2310</v>
      </c>
      <c r="F3299">
        <v>15</v>
      </c>
      <c r="G3299">
        <v>15.1</v>
      </c>
      <c r="H3299" t="s">
        <v>2022</v>
      </c>
      <c r="I3299" s="21">
        <v>40808.590752314798</v>
      </c>
      <c r="J3299">
        <v>2011</v>
      </c>
      <c r="K3299" s="21">
        <v>40808.590752314798</v>
      </c>
      <c r="L3299">
        <v>2011</v>
      </c>
      <c r="M3299" s="21">
        <v>41163.441296296303</v>
      </c>
      <c r="N3299">
        <v>2012</v>
      </c>
      <c r="Q3299" s="262">
        <v>220000</v>
      </c>
      <c r="R3299" s="262">
        <v>38000</v>
      </c>
      <c r="S3299" t="s">
        <v>114</v>
      </c>
      <c r="T3299" t="s">
        <v>114</v>
      </c>
      <c r="U3299">
        <v>5</v>
      </c>
      <c r="W3299">
        <v>980</v>
      </c>
      <c r="X3299">
        <v>0</v>
      </c>
      <c r="Y3299">
        <v>0</v>
      </c>
      <c r="Z3299">
        <v>0</v>
      </c>
      <c r="AA3299">
        <v>0</v>
      </c>
      <c r="AB3299">
        <v>0</v>
      </c>
      <c r="AC3299">
        <v>980</v>
      </c>
      <c r="AD3299">
        <v>0</v>
      </c>
      <c r="AE3299">
        <v>0</v>
      </c>
      <c r="AF3299">
        <v>0</v>
      </c>
      <c r="AG3299">
        <v>0</v>
      </c>
      <c r="AH3299">
        <v>0</v>
      </c>
      <c r="AI3299">
        <v>0</v>
      </c>
      <c r="AJ3299">
        <v>0</v>
      </c>
      <c r="AK3299">
        <v>0</v>
      </c>
      <c r="AL3299">
        <v>0</v>
      </c>
      <c r="AM3299">
        <v>0</v>
      </c>
      <c r="AN3299">
        <v>0</v>
      </c>
      <c r="AO3299">
        <v>0</v>
      </c>
      <c r="AP3299">
        <v>0</v>
      </c>
      <c r="AQ3299">
        <v>0</v>
      </c>
      <c r="AR3299">
        <v>0</v>
      </c>
      <c r="AS3299">
        <v>0</v>
      </c>
      <c r="AT3299">
        <v>0</v>
      </c>
      <c r="AU3299">
        <f t="shared" si="102"/>
        <v>0</v>
      </c>
      <c r="AV3299">
        <f t="shared" si="103"/>
        <v>0</v>
      </c>
    </row>
    <row r="3300" spans="1:48" x14ac:dyDescent="0.25">
      <c r="A3300" t="s">
        <v>10699</v>
      </c>
      <c r="C3300" t="s">
        <v>10700</v>
      </c>
      <c r="D3300" t="s">
        <v>5999</v>
      </c>
      <c r="E3300" t="s">
        <v>2310</v>
      </c>
      <c r="F3300">
        <v>15</v>
      </c>
      <c r="G3300">
        <v>15.2</v>
      </c>
      <c r="H3300" t="s">
        <v>2323</v>
      </c>
      <c r="I3300" s="21">
        <v>40808.609618055598</v>
      </c>
      <c r="J3300">
        <v>2011</v>
      </c>
      <c r="K3300" s="21">
        <v>40808.609618055598</v>
      </c>
      <c r="L3300">
        <v>2011</v>
      </c>
      <c r="M3300" s="21">
        <v>41081.564525463</v>
      </c>
      <c r="N3300">
        <v>2012</v>
      </c>
      <c r="Q3300" s="262">
        <v>200000</v>
      </c>
      <c r="R3300" s="262">
        <v>104000</v>
      </c>
      <c r="S3300" t="s">
        <v>114</v>
      </c>
      <c r="T3300" t="s">
        <v>114</v>
      </c>
      <c r="U3300">
        <v>8</v>
      </c>
      <c r="W3300">
        <v>970</v>
      </c>
      <c r="X3300">
        <v>1</v>
      </c>
      <c r="Y3300">
        <v>0</v>
      </c>
      <c r="Z3300">
        <v>0</v>
      </c>
      <c r="AA3300">
        <v>0</v>
      </c>
      <c r="AB3300">
        <v>0</v>
      </c>
      <c r="AC3300">
        <v>0</v>
      </c>
      <c r="AD3300">
        <v>0</v>
      </c>
      <c r="AE3300">
        <v>0</v>
      </c>
      <c r="AF3300">
        <v>970</v>
      </c>
      <c r="AG3300">
        <v>0</v>
      </c>
      <c r="AH3300">
        <v>0</v>
      </c>
      <c r="AI3300">
        <v>0</v>
      </c>
      <c r="AJ3300">
        <v>0</v>
      </c>
      <c r="AK3300">
        <v>0</v>
      </c>
      <c r="AL3300">
        <v>0</v>
      </c>
      <c r="AM3300">
        <v>0</v>
      </c>
      <c r="AN3300">
        <v>0</v>
      </c>
      <c r="AO3300">
        <v>0</v>
      </c>
      <c r="AP3300">
        <v>0</v>
      </c>
      <c r="AQ3300">
        <v>0</v>
      </c>
      <c r="AR3300">
        <v>1</v>
      </c>
      <c r="AS3300">
        <v>0</v>
      </c>
      <c r="AT3300">
        <v>0</v>
      </c>
      <c r="AU3300">
        <f t="shared" si="102"/>
        <v>0</v>
      </c>
      <c r="AV3300">
        <f t="shared" si="103"/>
        <v>0</v>
      </c>
    </row>
    <row r="3301" spans="1:48" x14ac:dyDescent="0.25">
      <c r="A3301" t="s">
        <v>10701</v>
      </c>
      <c r="C3301" t="s">
        <v>10702</v>
      </c>
      <c r="D3301" t="s">
        <v>5368</v>
      </c>
      <c r="E3301" t="s">
        <v>2310</v>
      </c>
      <c r="F3301">
        <v>15</v>
      </c>
      <c r="G3301">
        <v>15.1</v>
      </c>
      <c r="H3301" t="s">
        <v>2022</v>
      </c>
      <c r="I3301" s="21">
        <v>40809.461226851898</v>
      </c>
      <c r="J3301">
        <v>2011</v>
      </c>
      <c r="K3301" s="21">
        <v>40809.461226851898</v>
      </c>
      <c r="L3301">
        <v>2011</v>
      </c>
      <c r="M3301" s="21">
        <v>41102.426874999997</v>
      </c>
      <c r="N3301">
        <v>2012</v>
      </c>
      <c r="Q3301" s="262">
        <v>30000</v>
      </c>
      <c r="R3301" s="262">
        <v>38000</v>
      </c>
      <c r="S3301" t="s">
        <v>114</v>
      </c>
      <c r="T3301" t="s">
        <v>114</v>
      </c>
      <c r="U3301">
        <v>11</v>
      </c>
      <c r="W3301">
        <v>1500</v>
      </c>
      <c r="X3301">
        <v>0</v>
      </c>
      <c r="Y3301">
        <v>0</v>
      </c>
      <c r="Z3301">
        <v>0</v>
      </c>
      <c r="AA3301">
        <v>0</v>
      </c>
      <c r="AB3301">
        <v>0</v>
      </c>
      <c r="AC3301">
        <v>0</v>
      </c>
      <c r="AD3301">
        <v>0</v>
      </c>
      <c r="AE3301">
        <v>0</v>
      </c>
      <c r="AF3301">
        <v>0</v>
      </c>
      <c r="AG3301">
        <v>0</v>
      </c>
      <c r="AH3301">
        <v>0</v>
      </c>
      <c r="AI3301">
        <v>1500</v>
      </c>
      <c r="AJ3301">
        <v>0</v>
      </c>
      <c r="AK3301">
        <v>0</v>
      </c>
      <c r="AL3301">
        <v>0</v>
      </c>
      <c r="AM3301">
        <v>0</v>
      </c>
      <c r="AN3301">
        <v>0</v>
      </c>
      <c r="AO3301">
        <v>0</v>
      </c>
      <c r="AP3301">
        <v>0</v>
      </c>
      <c r="AQ3301">
        <v>0</v>
      </c>
      <c r="AR3301">
        <v>0</v>
      </c>
      <c r="AS3301">
        <v>0</v>
      </c>
      <c r="AT3301">
        <v>0</v>
      </c>
      <c r="AU3301">
        <f t="shared" si="102"/>
        <v>0</v>
      </c>
      <c r="AV3301">
        <f t="shared" si="103"/>
        <v>1500</v>
      </c>
    </row>
    <row r="3302" spans="1:48" x14ac:dyDescent="0.25">
      <c r="A3302" t="s">
        <v>10703</v>
      </c>
      <c r="C3302" t="s">
        <v>10704</v>
      </c>
      <c r="D3302" t="s">
        <v>8286</v>
      </c>
      <c r="E3302" t="s">
        <v>1663</v>
      </c>
      <c r="F3302">
        <v>3</v>
      </c>
      <c r="G3302">
        <v>3.1</v>
      </c>
      <c r="H3302" t="s">
        <v>2017</v>
      </c>
      <c r="I3302" s="21">
        <v>40812</v>
      </c>
      <c r="J3302">
        <v>2011</v>
      </c>
      <c r="K3302" s="21">
        <v>40842</v>
      </c>
      <c r="L3302">
        <v>2011</v>
      </c>
      <c r="M3302" s="21">
        <v>40994</v>
      </c>
      <c r="N3302">
        <v>2012</v>
      </c>
      <c r="Q3302" s="262">
        <v>450000</v>
      </c>
      <c r="S3302" t="s">
        <v>114</v>
      </c>
      <c r="T3302" t="s">
        <v>114</v>
      </c>
      <c r="W3302">
        <v>3112</v>
      </c>
      <c r="X3302">
        <v>1</v>
      </c>
      <c r="Y3302">
        <v>0</v>
      </c>
      <c r="Z3302">
        <v>0</v>
      </c>
      <c r="AA3302">
        <v>0</v>
      </c>
      <c r="AB3302">
        <v>0</v>
      </c>
      <c r="AC3302">
        <v>3112</v>
      </c>
      <c r="AD3302">
        <v>0</v>
      </c>
      <c r="AE3302">
        <v>0</v>
      </c>
      <c r="AF3302">
        <v>0</v>
      </c>
      <c r="AG3302">
        <v>0</v>
      </c>
      <c r="AH3302">
        <v>0</v>
      </c>
      <c r="AI3302">
        <v>0</v>
      </c>
      <c r="AJ3302">
        <v>0</v>
      </c>
      <c r="AK3302">
        <v>0</v>
      </c>
      <c r="AL3302">
        <v>0</v>
      </c>
      <c r="AM3302">
        <v>0</v>
      </c>
      <c r="AN3302">
        <v>0</v>
      </c>
      <c r="AO3302">
        <v>1</v>
      </c>
      <c r="AP3302">
        <v>0</v>
      </c>
      <c r="AQ3302">
        <v>0</v>
      </c>
      <c r="AR3302">
        <v>0</v>
      </c>
      <c r="AS3302">
        <v>0</v>
      </c>
      <c r="AT3302">
        <v>0</v>
      </c>
      <c r="AU3302">
        <f t="shared" si="102"/>
        <v>1</v>
      </c>
      <c r="AV3302">
        <f t="shared" si="103"/>
        <v>0</v>
      </c>
    </row>
    <row r="3303" spans="1:48" x14ac:dyDescent="0.25">
      <c r="A3303" t="s">
        <v>10705</v>
      </c>
      <c r="C3303" t="s">
        <v>10706</v>
      </c>
      <c r="D3303" t="s">
        <v>10707</v>
      </c>
      <c r="E3303" t="s">
        <v>2310</v>
      </c>
      <c r="F3303">
        <v>8</v>
      </c>
      <c r="G3303">
        <v>8.1</v>
      </c>
      <c r="H3303" t="s">
        <v>2323</v>
      </c>
      <c r="I3303" s="21">
        <v>40813.5395601852</v>
      </c>
      <c r="J3303">
        <v>2011</v>
      </c>
      <c r="K3303" s="21">
        <v>40813.5395601852</v>
      </c>
      <c r="L3303">
        <v>2011</v>
      </c>
      <c r="M3303" s="21">
        <v>41446.355717592603</v>
      </c>
      <c r="N3303">
        <v>2013</v>
      </c>
      <c r="Q3303" s="262">
        <v>250000</v>
      </c>
      <c r="R3303" s="262">
        <v>201000</v>
      </c>
      <c r="S3303" t="s">
        <v>114</v>
      </c>
      <c r="T3303" t="s">
        <v>114</v>
      </c>
      <c r="U3303">
        <v>8</v>
      </c>
      <c r="W3303">
        <v>2474</v>
      </c>
      <c r="X3303">
        <v>1</v>
      </c>
      <c r="Y3303">
        <v>0</v>
      </c>
      <c r="Z3303">
        <v>0</v>
      </c>
      <c r="AA3303">
        <v>0</v>
      </c>
      <c r="AB3303">
        <v>0</v>
      </c>
      <c r="AC3303">
        <v>1475</v>
      </c>
      <c r="AD3303">
        <v>0</v>
      </c>
      <c r="AE3303">
        <v>0</v>
      </c>
      <c r="AF3303">
        <v>999</v>
      </c>
      <c r="AG3303">
        <v>0</v>
      </c>
      <c r="AH3303">
        <v>0</v>
      </c>
      <c r="AI3303">
        <v>0</v>
      </c>
      <c r="AJ3303">
        <v>0</v>
      </c>
      <c r="AK3303">
        <v>0</v>
      </c>
      <c r="AL3303">
        <v>0</v>
      </c>
      <c r="AM3303">
        <v>0</v>
      </c>
      <c r="AN3303">
        <v>0</v>
      </c>
      <c r="AO3303">
        <v>0</v>
      </c>
      <c r="AP3303">
        <v>0</v>
      </c>
      <c r="AQ3303">
        <v>0</v>
      </c>
      <c r="AR3303">
        <v>1</v>
      </c>
      <c r="AS3303">
        <v>0</v>
      </c>
      <c r="AT3303">
        <v>0</v>
      </c>
      <c r="AU3303">
        <f t="shared" si="102"/>
        <v>0</v>
      </c>
      <c r="AV3303">
        <f t="shared" si="103"/>
        <v>0</v>
      </c>
    </row>
    <row r="3304" spans="1:48" x14ac:dyDescent="0.25">
      <c r="A3304" t="s">
        <v>10708</v>
      </c>
      <c r="C3304" t="s">
        <v>10709</v>
      </c>
      <c r="D3304" t="s">
        <v>9577</v>
      </c>
      <c r="E3304" t="s">
        <v>2310</v>
      </c>
      <c r="F3304">
        <v>15</v>
      </c>
      <c r="G3304">
        <v>15.1</v>
      </c>
      <c r="H3304" t="s">
        <v>2022</v>
      </c>
      <c r="I3304" s="21">
        <v>40813.628495370402</v>
      </c>
      <c r="J3304">
        <v>2011</v>
      </c>
      <c r="K3304" s="21">
        <v>40813.628495370402</v>
      </c>
      <c r="L3304">
        <v>2011</v>
      </c>
      <c r="P3304" s="21">
        <v>42593.358749999999</v>
      </c>
      <c r="Q3304" s="262">
        <v>1400000</v>
      </c>
      <c r="R3304" s="262">
        <v>1112000</v>
      </c>
      <c r="S3304" t="s">
        <v>114</v>
      </c>
      <c r="T3304" t="s">
        <v>114</v>
      </c>
      <c r="U3304">
        <v>5</v>
      </c>
      <c r="W3304">
        <v>12685</v>
      </c>
      <c r="X3304">
        <v>2</v>
      </c>
      <c r="Y3304">
        <v>0</v>
      </c>
      <c r="Z3304">
        <v>0</v>
      </c>
      <c r="AA3304">
        <v>0</v>
      </c>
      <c r="AB3304">
        <v>0</v>
      </c>
      <c r="AC3304">
        <v>12685</v>
      </c>
      <c r="AD3304">
        <v>0</v>
      </c>
      <c r="AE3304">
        <v>0</v>
      </c>
      <c r="AF3304">
        <v>0</v>
      </c>
      <c r="AG3304">
        <v>0</v>
      </c>
      <c r="AH3304">
        <v>0</v>
      </c>
      <c r="AI3304">
        <v>0</v>
      </c>
      <c r="AJ3304">
        <v>0</v>
      </c>
      <c r="AK3304">
        <v>0</v>
      </c>
      <c r="AL3304">
        <v>0</v>
      </c>
      <c r="AM3304">
        <v>0</v>
      </c>
      <c r="AN3304">
        <v>0</v>
      </c>
      <c r="AO3304">
        <v>2</v>
      </c>
      <c r="AP3304">
        <v>0</v>
      </c>
      <c r="AQ3304">
        <v>0</v>
      </c>
      <c r="AR3304">
        <v>0</v>
      </c>
      <c r="AS3304">
        <v>0</v>
      </c>
      <c r="AT3304">
        <v>0</v>
      </c>
      <c r="AU3304">
        <f t="shared" si="102"/>
        <v>2</v>
      </c>
      <c r="AV3304">
        <f t="shared" si="103"/>
        <v>0</v>
      </c>
    </row>
    <row r="3305" spans="1:48" x14ac:dyDescent="0.25">
      <c r="A3305" t="s">
        <v>10710</v>
      </c>
      <c r="C3305" t="s">
        <v>10711</v>
      </c>
      <c r="D3305" t="s">
        <v>10712</v>
      </c>
      <c r="E3305" t="s">
        <v>1663</v>
      </c>
      <c r="F3305">
        <v>4</v>
      </c>
      <c r="G3305">
        <v>4.2</v>
      </c>
      <c r="H3305" t="s">
        <v>2327</v>
      </c>
      <c r="I3305" s="21">
        <v>40814</v>
      </c>
      <c r="J3305">
        <v>2011</v>
      </c>
      <c r="K3305" s="21">
        <v>40844</v>
      </c>
      <c r="L3305">
        <v>2011</v>
      </c>
      <c r="M3305" s="21">
        <v>40996</v>
      </c>
      <c r="N3305">
        <v>2012</v>
      </c>
      <c r="Q3305" s="262">
        <v>180000</v>
      </c>
      <c r="S3305" t="s">
        <v>114</v>
      </c>
      <c r="T3305" t="s">
        <v>114</v>
      </c>
      <c r="W3305">
        <v>2000</v>
      </c>
      <c r="X3305">
        <v>1</v>
      </c>
      <c r="Y3305">
        <v>0</v>
      </c>
      <c r="Z3305">
        <v>0</v>
      </c>
      <c r="AA3305">
        <v>0</v>
      </c>
      <c r="AB3305">
        <v>0</v>
      </c>
      <c r="AC3305">
        <v>0</v>
      </c>
      <c r="AD3305">
        <v>1000</v>
      </c>
      <c r="AE3305">
        <v>0</v>
      </c>
      <c r="AF3305">
        <v>0</v>
      </c>
      <c r="AG3305">
        <v>0</v>
      </c>
      <c r="AH3305">
        <v>0</v>
      </c>
      <c r="AI3305">
        <v>0</v>
      </c>
      <c r="AJ3305">
        <v>1000</v>
      </c>
      <c r="AK3305">
        <v>0</v>
      </c>
      <c r="AL3305">
        <v>0</v>
      </c>
      <c r="AM3305">
        <v>0</v>
      </c>
      <c r="AN3305">
        <v>0</v>
      </c>
      <c r="AO3305">
        <v>0</v>
      </c>
      <c r="AP3305">
        <v>1</v>
      </c>
      <c r="AQ3305">
        <v>0</v>
      </c>
      <c r="AR3305">
        <v>0</v>
      </c>
      <c r="AS3305">
        <v>0</v>
      </c>
      <c r="AT3305">
        <v>0</v>
      </c>
      <c r="AU3305">
        <f t="shared" si="102"/>
        <v>1</v>
      </c>
      <c r="AV3305">
        <f t="shared" si="103"/>
        <v>1000</v>
      </c>
    </row>
    <row r="3306" spans="1:48" x14ac:dyDescent="0.25">
      <c r="A3306" t="s">
        <v>10713</v>
      </c>
      <c r="C3306" t="s">
        <v>10714</v>
      </c>
      <c r="D3306" t="s">
        <v>10715</v>
      </c>
      <c r="E3306" t="s">
        <v>1663</v>
      </c>
      <c r="F3306">
        <v>4</v>
      </c>
      <c r="G3306">
        <v>4.2</v>
      </c>
      <c r="H3306" t="s">
        <v>2327</v>
      </c>
      <c r="I3306" s="21">
        <v>40814</v>
      </c>
      <c r="J3306">
        <v>2011</v>
      </c>
      <c r="K3306" s="21">
        <v>40844</v>
      </c>
      <c r="L3306">
        <v>2011</v>
      </c>
      <c r="M3306" s="21">
        <v>40996</v>
      </c>
      <c r="N3306">
        <v>2012</v>
      </c>
      <c r="Q3306" s="262">
        <v>180000</v>
      </c>
      <c r="S3306" t="s">
        <v>114</v>
      </c>
      <c r="T3306" t="s">
        <v>114</v>
      </c>
      <c r="W3306">
        <v>2000</v>
      </c>
      <c r="X3306">
        <v>1</v>
      </c>
      <c r="Y3306">
        <v>0</v>
      </c>
      <c r="Z3306">
        <v>0</v>
      </c>
      <c r="AA3306">
        <v>0</v>
      </c>
      <c r="AB3306">
        <v>0</v>
      </c>
      <c r="AC3306">
        <v>0</v>
      </c>
      <c r="AD3306">
        <v>1000</v>
      </c>
      <c r="AE3306">
        <v>0</v>
      </c>
      <c r="AF3306">
        <v>0</v>
      </c>
      <c r="AG3306">
        <v>0</v>
      </c>
      <c r="AH3306">
        <v>0</v>
      </c>
      <c r="AI3306">
        <v>0</v>
      </c>
      <c r="AJ3306">
        <v>1000</v>
      </c>
      <c r="AK3306">
        <v>0</v>
      </c>
      <c r="AL3306">
        <v>0</v>
      </c>
      <c r="AM3306">
        <v>0</v>
      </c>
      <c r="AN3306">
        <v>0</v>
      </c>
      <c r="AO3306">
        <v>0</v>
      </c>
      <c r="AP3306">
        <v>1</v>
      </c>
      <c r="AQ3306">
        <v>0</v>
      </c>
      <c r="AR3306">
        <v>0</v>
      </c>
      <c r="AS3306">
        <v>0</v>
      </c>
      <c r="AT3306">
        <v>0</v>
      </c>
      <c r="AU3306">
        <f t="shared" si="102"/>
        <v>1</v>
      </c>
      <c r="AV3306">
        <f t="shared" si="103"/>
        <v>1000</v>
      </c>
    </row>
    <row r="3307" spans="1:48" x14ac:dyDescent="0.25">
      <c r="A3307" t="s">
        <v>10716</v>
      </c>
      <c r="C3307" t="s">
        <v>10717</v>
      </c>
      <c r="D3307" t="s">
        <v>10718</v>
      </c>
      <c r="E3307" t="s">
        <v>1663</v>
      </c>
      <c r="F3307">
        <v>4</v>
      </c>
      <c r="G3307">
        <v>4.2</v>
      </c>
      <c r="H3307" t="s">
        <v>2327</v>
      </c>
      <c r="I3307" s="21">
        <v>40814</v>
      </c>
      <c r="J3307">
        <v>2011</v>
      </c>
      <c r="K3307" s="21">
        <v>40844</v>
      </c>
      <c r="L3307">
        <v>2011</v>
      </c>
      <c r="M3307" s="21">
        <v>40996</v>
      </c>
      <c r="N3307">
        <v>2012</v>
      </c>
      <c r="Q3307" s="262">
        <v>180000</v>
      </c>
      <c r="S3307" t="s">
        <v>114</v>
      </c>
      <c r="T3307" t="s">
        <v>114</v>
      </c>
      <c r="W3307">
        <v>2000</v>
      </c>
      <c r="X3307">
        <v>1</v>
      </c>
      <c r="Y3307">
        <v>0</v>
      </c>
      <c r="Z3307">
        <v>0</v>
      </c>
      <c r="AA3307">
        <v>0</v>
      </c>
      <c r="AB3307">
        <v>0</v>
      </c>
      <c r="AC3307">
        <v>0</v>
      </c>
      <c r="AD3307">
        <v>1000</v>
      </c>
      <c r="AE3307">
        <v>0</v>
      </c>
      <c r="AF3307">
        <v>0</v>
      </c>
      <c r="AG3307">
        <v>0</v>
      </c>
      <c r="AH3307">
        <v>0</v>
      </c>
      <c r="AI3307">
        <v>0</v>
      </c>
      <c r="AJ3307">
        <v>1000</v>
      </c>
      <c r="AK3307">
        <v>0</v>
      </c>
      <c r="AL3307">
        <v>0</v>
      </c>
      <c r="AM3307">
        <v>0</v>
      </c>
      <c r="AN3307">
        <v>0</v>
      </c>
      <c r="AO3307">
        <v>0</v>
      </c>
      <c r="AP3307">
        <v>1</v>
      </c>
      <c r="AQ3307">
        <v>0</v>
      </c>
      <c r="AR3307">
        <v>0</v>
      </c>
      <c r="AS3307">
        <v>0</v>
      </c>
      <c r="AT3307">
        <v>0</v>
      </c>
      <c r="AU3307">
        <f t="shared" si="102"/>
        <v>1</v>
      </c>
      <c r="AV3307">
        <f t="shared" si="103"/>
        <v>1000</v>
      </c>
    </row>
    <row r="3308" spans="1:48" x14ac:dyDescent="0.25">
      <c r="A3308" t="s">
        <v>10719</v>
      </c>
      <c r="C3308" t="s">
        <v>10720</v>
      </c>
      <c r="D3308" t="s">
        <v>10721</v>
      </c>
      <c r="E3308" t="s">
        <v>1663</v>
      </c>
      <c r="F3308">
        <v>4</v>
      </c>
      <c r="G3308">
        <v>4.2</v>
      </c>
      <c r="H3308" t="s">
        <v>2327</v>
      </c>
      <c r="I3308" s="21">
        <v>40814</v>
      </c>
      <c r="J3308">
        <v>2011</v>
      </c>
      <c r="K3308" s="21">
        <v>40844</v>
      </c>
      <c r="L3308">
        <v>2011</v>
      </c>
      <c r="M3308" s="21">
        <v>40996</v>
      </c>
      <c r="N3308">
        <v>2012</v>
      </c>
      <c r="Q3308" s="262">
        <v>180000</v>
      </c>
      <c r="S3308" t="s">
        <v>114</v>
      </c>
      <c r="T3308" t="s">
        <v>114</v>
      </c>
      <c r="W3308">
        <v>2000</v>
      </c>
      <c r="X3308">
        <v>1</v>
      </c>
      <c r="Y3308">
        <v>0</v>
      </c>
      <c r="Z3308">
        <v>0</v>
      </c>
      <c r="AA3308">
        <v>0</v>
      </c>
      <c r="AB3308">
        <v>0</v>
      </c>
      <c r="AC3308">
        <v>0</v>
      </c>
      <c r="AD3308">
        <v>1000</v>
      </c>
      <c r="AE3308">
        <v>0</v>
      </c>
      <c r="AF3308">
        <v>0</v>
      </c>
      <c r="AG3308">
        <v>0</v>
      </c>
      <c r="AH3308">
        <v>0</v>
      </c>
      <c r="AI3308">
        <v>0</v>
      </c>
      <c r="AJ3308">
        <v>1000</v>
      </c>
      <c r="AK3308">
        <v>0</v>
      </c>
      <c r="AL3308">
        <v>0</v>
      </c>
      <c r="AM3308">
        <v>0</v>
      </c>
      <c r="AN3308">
        <v>0</v>
      </c>
      <c r="AO3308">
        <v>0</v>
      </c>
      <c r="AP3308">
        <v>1</v>
      </c>
      <c r="AQ3308">
        <v>0</v>
      </c>
      <c r="AR3308">
        <v>0</v>
      </c>
      <c r="AS3308">
        <v>0</v>
      </c>
      <c r="AT3308">
        <v>0</v>
      </c>
      <c r="AU3308">
        <f t="shared" si="102"/>
        <v>1</v>
      </c>
      <c r="AV3308">
        <f t="shared" si="103"/>
        <v>1000</v>
      </c>
    </row>
    <row r="3309" spans="1:48" x14ac:dyDescent="0.25">
      <c r="A3309" t="s">
        <v>10722</v>
      </c>
      <c r="C3309" t="s">
        <v>10723</v>
      </c>
      <c r="D3309" t="s">
        <v>10724</v>
      </c>
      <c r="E3309" t="s">
        <v>1663</v>
      </c>
      <c r="F3309">
        <v>4</v>
      </c>
      <c r="G3309">
        <v>4.2</v>
      </c>
      <c r="H3309" t="s">
        <v>2327</v>
      </c>
      <c r="I3309" s="21">
        <v>40814</v>
      </c>
      <c r="J3309">
        <v>2011</v>
      </c>
      <c r="K3309" s="21">
        <v>40844</v>
      </c>
      <c r="L3309">
        <v>2011</v>
      </c>
      <c r="M3309" s="21">
        <v>40996</v>
      </c>
      <c r="N3309">
        <v>2012</v>
      </c>
      <c r="Q3309" s="262">
        <v>180000</v>
      </c>
      <c r="S3309" t="s">
        <v>114</v>
      </c>
      <c r="T3309" t="s">
        <v>114</v>
      </c>
      <c r="W3309">
        <v>2000</v>
      </c>
      <c r="X3309">
        <v>1</v>
      </c>
      <c r="Y3309">
        <v>0</v>
      </c>
      <c r="Z3309">
        <v>0</v>
      </c>
      <c r="AA3309">
        <v>0</v>
      </c>
      <c r="AB3309">
        <v>0</v>
      </c>
      <c r="AC3309">
        <v>0</v>
      </c>
      <c r="AD3309">
        <v>1000</v>
      </c>
      <c r="AE3309">
        <v>0</v>
      </c>
      <c r="AF3309">
        <v>0</v>
      </c>
      <c r="AG3309">
        <v>0</v>
      </c>
      <c r="AH3309">
        <v>0</v>
      </c>
      <c r="AI3309">
        <v>0</v>
      </c>
      <c r="AJ3309">
        <v>1000</v>
      </c>
      <c r="AK3309">
        <v>0</v>
      </c>
      <c r="AL3309">
        <v>0</v>
      </c>
      <c r="AM3309">
        <v>0</v>
      </c>
      <c r="AN3309">
        <v>0</v>
      </c>
      <c r="AO3309">
        <v>0</v>
      </c>
      <c r="AP3309">
        <v>1</v>
      </c>
      <c r="AQ3309">
        <v>0</v>
      </c>
      <c r="AR3309">
        <v>0</v>
      </c>
      <c r="AS3309">
        <v>0</v>
      </c>
      <c r="AT3309">
        <v>0</v>
      </c>
      <c r="AU3309">
        <f t="shared" si="102"/>
        <v>1</v>
      </c>
      <c r="AV3309">
        <f t="shared" si="103"/>
        <v>1000</v>
      </c>
    </row>
    <row r="3310" spans="1:48" x14ac:dyDescent="0.25">
      <c r="A3310" t="s">
        <v>10725</v>
      </c>
      <c r="C3310" t="s">
        <v>10726</v>
      </c>
      <c r="D3310" t="s">
        <v>4635</v>
      </c>
      <c r="E3310" t="s">
        <v>2310</v>
      </c>
      <c r="F3310">
        <v>8</v>
      </c>
      <c r="G3310">
        <v>8.1</v>
      </c>
      <c r="H3310" t="s">
        <v>2323</v>
      </c>
      <c r="I3310" s="21">
        <v>40816.557627314804</v>
      </c>
      <c r="J3310">
        <v>2011</v>
      </c>
      <c r="K3310" s="21">
        <v>40816.557627314804</v>
      </c>
      <c r="L3310">
        <v>2011</v>
      </c>
      <c r="M3310" s="21">
        <v>41004.425081018497</v>
      </c>
      <c r="N3310">
        <v>2012</v>
      </c>
      <c r="Q3310" s="262">
        <v>700000</v>
      </c>
      <c r="R3310" s="262">
        <v>50000</v>
      </c>
      <c r="S3310" t="s">
        <v>114</v>
      </c>
      <c r="T3310" t="s">
        <v>114</v>
      </c>
      <c r="U3310">
        <v>5</v>
      </c>
      <c r="W3310">
        <v>0</v>
      </c>
      <c r="X3310">
        <v>0</v>
      </c>
      <c r="Y3310">
        <v>0</v>
      </c>
      <c r="Z3310">
        <v>0</v>
      </c>
      <c r="AA3310">
        <v>0</v>
      </c>
      <c r="AB3310">
        <v>0</v>
      </c>
      <c r="AC3310">
        <v>0</v>
      </c>
      <c r="AD3310">
        <v>0</v>
      </c>
      <c r="AE3310">
        <v>0</v>
      </c>
      <c r="AF3310">
        <v>0</v>
      </c>
      <c r="AG3310">
        <v>0</v>
      </c>
      <c r="AH3310">
        <v>0</v>
      </c>
      <c r="AI3310">
        <v>0</v>
      </c>
      <c r="AJ3310">
        <v>0</v>
      </c>
      <c r="AK3310">
        <v>0</v>
      </c>
      <c r="AL3310">
        <v>0</v>
      </c>
      <c r="AM3310">
        <v>0</v>
      </c>
      <c r="AN3310">
        <v>0</v>
      </c>
      <c r="AO3310">
        <v>0</v>
      </c>
      <c r="AP3310">
        <v>0</v>
      </c>
      <c r="AQ3310">
        <v>0</v>
      </c>
      <c r="AR3310">
        <v>0</v>
      </c>
      <c r="AS3310">
        <v>0</v>
      </c>
      <c r="AT3310">
        <v>0</v>
      </c>
      <c r="AU3310">
        <f t="shared" si="102"/>
        <v>0</v>
      </c>
      <c r="AV3310">
        <f t="shared" si="103"/>
        <v>0</v>
      </c>
    </row>
    <row r="3311" spans="1:48" x14ac:dyDescent="0.25">
      <c r="A3311" t="s">
        <v>10727</v>
      </c>
      <c r="C3311" t="s">
        <v>10728</v>
      </c>
      <c r="D3311" t="s">
        <v>10046</v>
      </c>
      <c r="E3311" t="s">
        <v>2310</v>
      </c>
      <c r="F3311">
        <v>15</v>
      </c>
      <c r="G3311">
        <v>15.2</v>
      </c>
      <c r="H3311" t="s">
        <v>2323</v>
      </c>
      <c r="I3311" s="21">
        <v>40816.626805555599</v>
      </c>
      <c r="J3311">
        <v>2011</v>
      </c>
      <c r="K3311" s="21">
        <v>40816.626805555599</v>
      </c>
      <c r="L3311">
        <v>2011</v>
      </c>
      <c r="M3311" s="21">
        <v>41346.616759259297</v>
      </c>
      <c r="N3311">
        <v>2013</v>
      </c>
      <c r="Q3311" s="262">
        <v>79250</v>
      </c>
      <c r="R3311" s="262">
        <v>31000</v>
      </c>
      <c r="S3311" t="s">
        <v>114</v>
      </c>
      <c r="T3311" t="s">
        <v>114</v>
      </c>
      <c r="U3311">
        <v>5</v>
      </c>
      <c r="W3311">
        <v>300</v>
      </c>
      <c r="X3311">
        <v>0</v>
      </c>
      <c r="Y3311">
        <v>0</v>
      </c>
      <c r="Z3311">
        <v>0</v>
      </c>
      <c r="AA3311">
        <v>0</v>
      </c>
      <c r="AB3311">
        <v>0</v>
      </c>
      <c r="AC3311">
        <v>300</v>
      </c>
      <c r="AD3311">
        <v>0</v>
      </c>
      <c r="AE3311">
        <v>0</v>
      </c>
      <c r="AF3311">
        <v>0</v>
      </c>
      <c r="AG3311">
        <v>0</v>
      </c>
      <c r="AH3311">
        <v>0</v>
      </c>
      <c r="AI3311">
        <v>0</v>
      </c>
      <c r="AJ3311">
        <v>0</v>
      </c>
      <c r="AK3311">
        <v>0</v>
      </c>
      <c r="AL3311">
        <v>0</v>
      </c>
      <c r="AM3311">
        <v>0</v>
      </c>
      <c r="AN3311">
        <v>0</v>
      </c>
      <c r="AO3311">
        <v>0</v>
      </c>
      <c r="AP3311">
        <v>0</v>
      </c>
      <c r="AQ3311">
        <v>0</v>
      </c>
      <c r="AR3311">
        <v>0</v>
      </c>
      <c r="AS3311">
        <v>0</v>
      </c>
      <c r="AT3311">
        <v>0</v>
      </c>
      <c r="AU3311">
        <f t="shared" si="102"/>
        <v>0</v>
      </c>
      <c r="AV3311">
        <f t="shared" si="103"/>
        <v>0</v>
      </c>
    </row>
    <row r="3312" spans="1:48" x14ac:dyDescent="0.25">
      <c r="A3312" t="s">
        <v>10729</v>
      </c>
      <c r="C3312" t="s">
        <v>10730</v>
      </c>
      <c r="D3312" t="s">
        <v>5368</v>
      </c>
      <c r="E3312" t="s">
        <v>2310</v>
      </c>
      <c r="F3312">
        <v>15</v>
      </c>
      <c r="G3312">
        <v>15.1</v>
      </c>
      <c r="H3312" t="s">
        <v>2022</v>
      </c>
      <c r="I3312" s="21">
        <v>40816.644490740699</v>
      </c>
      <c r="J3312">
        <v>2011</v>
      </c>
      <c r="K3312" s="21">
        <v>40816.644490740699</v>
      </c>
      <c r="L3312">
        <v>2011</v>
      </c>
      <c r="M3312" s="21">
        <v>41675.424733796302</v>
      </c>
      <c r="N3312">
        <v>2014</v>
      </c>
      <c r="Q3312" s="262">
        <v>25000</v>
      </c>
      <c r="R3312" s="262">
        <v>20000</v>
      </c>
      <c r="S3312" t="s">
        <v>114</v>
      </c>
      <c r="T3312" t="s">
        <v>114</v>
      </c>
      <c r="U3312">
        <v>11</v>
      </c>
      <c r="W3312">
        <v>800</v>
      </c>
      <c r="X3312">
        <v>0</v>
      </c>
      <c r="Y3312">
        <v>0</v>
      </c>
      <c r="Z3312">
        <v>0</v>
      </c>
      <c r="AA3312">
        <v>0</v>
      </c>
      <c r="AB3312">
        <v>0</v>
      </c>
      <c r="AC3312">
        <v>0</v>
      </c>
      <c r="AD3312">
        <v>0</v>
      </c>
      <c r="AE3312">
        <v>0</v>
      </c>
      <c r="AF3312">
        <v>0</v>
      </c>
      <c r="AG3312">
        <v>0</v>
      </c>
      <c r="AH3312">
        <v>0</v>
      </c>
      <c r="AI3312">
        <v>800</v>
      </c>
      <c r="AJ3312">
        <v>0</v>
      </c>
      <c r="AK3312">
        <v>0</v>
      </c>
      <c r="AL3312">
        <v>0</v>
      </c>
      <c r="AM3312">
        <v>0</v>
      </c>
      <c r="AN3312">
        <v>0</v>
      </c>
      <c r="AO3312">
        <v>0</v>
      </c>
      <c r="AP3312">
        <v>0</v>
      </c>
      <c r="AQ3312">
        <v>0</v>
      </c>
      <c r="AR3312">
        <v>0</v>
      </c>
      <c r="AS3312">
        <v>0</v>
      </c>
      <c r="AT3312">
        <v>0</v>
      </c>
      <c r="AU3312">
        <f t="shared" si="102"/>
        <v>0</v>
      </c>
      <c r="AV3312">
        <f t="shared" si="103"/>
        <v>800</v>
      </c>
    </row>
    <row r="3313" spans="1:48" x14ac:dyDescent="0.25">
      <c r="A3313" t="s">
        <v>10731</v>
      </c>
      <c r="C3313" t="s">
        <v>10732</v>
      </c>
      <c r="D3313" t="s">
        <v>10733</v>
      </c>
      <c r="E3313" t="s">
        <v>1663</v>
      </c>
      <c r="F3313">
        <v>3</v>
      </c>
      <c r="G3313">
        <v>3.4</v>
      </c>
      <c r="H3313" t="s">
        <v>2017</v>
      </c>
      <c r="I3313" s="21">
        <v>40820</v>
      </c>
      <c r="J3313">
        <v>2011</v>
      </c>
      <c r="K3313" s="21">
        <v>40851</v>
      </c>
      <c r="L3313">
        <v>2011</v>
      </c>
      <c r="M3313" s="21">
        <v>41003</v>
      </c>
      <c r="N3313">
        <v>2012</v>
      </c>
      <c r="Q3313" s="262">
        <v>280000</v>
      </c>
      <c r="S3313" t="s">
        <v>114</v>
      </c>
      <c r="T3313" t="s">
        <v>114</v>
      </c>
      <c r="W3313">
        <v>1985</v>
      </c>
      <c r="X3313">
        <v>1</v>
      </c>
      <c r="Y3313">
        <v>0</v>
      </c>
      <c r="Z3313">
        <v>0</v>
      </c>
      <c r="AA3313">
        <v>0</v>
      </c>
      <c r="AB3313">
        <v>0</v>
      </c>
      <c r="AC3313">
        <v>1985</v>
      </c>
      <c r="AD3313">
        <v>0</v>
      </c>
      <c r="AE3313">
        <v>0</v>
      </c>
      <c r="AF3313">
        <v>0</v>
      </c>
      <c r="AG3313">
        <v>0</v>
      </c>
      <c r="AH3313">
        <v>0</v>
      </c>
      <c r="AI3313">
        <v>0</v>
      </c>
      <c r="AJ3313">
        <v>0</v>
      </c>
      <c r="AK3313">
        <v>0</v>
      </c>
      <c r="AL3313">
        <v>0</v>
      </c>
      <c r="AM3313">
        <v>0</v>
      </c>
      <c r="AN3313">
        <v>0</v>
      </c>
      <c r="AO3313">
        <v>1</v>
      </c>
      <c r="AP3313">
        <v>0</v>
      </c>
      <c r="AQ3313">
        <v>0</v>
      </c>
      <c r="AR3313">
        <v>0</v>
      </c>
      <c r="AS3313">
        <v>0</v>
      </c>
      <c r="AT3313">
        <v>0</v>
      </c>
      <c r="AU3313">
        <f t="shared" si="102"/>
        <v>1</v>
      </c>
      <c r="AV3313">
        <f t="shared" si="103"/>
        <v>0</v>
      </c>
    </row>
    <row r="3314" spans="1:48" x14ac:dyDescent="0.25">
      <c r="A3314" t="s">
        <v>10734</v>
      </c>
      <c r="C3314" t="s">
        <v>6890</v>
      </c>
      <c r="D3314" t="s">
        <v>10735</v>
      </c>
      <c r="E3314" t="s">
        <v>1663</v>
      </c>
      <c r="F3314">
        <v>3</v>
      </c>
      <c r="G3314">
        <v>3.4</v>
      </c>
      <c r="H3314" t="s">
        <v>2017</v>
      </c>
      <c r="I3314" s="21">
        <v>40820</v>
      </c>
      <c r="J3314">
        <v>2011</v>
      </c>
      <c r="K3314" s="21">
        <v>40851</v>
      </c>
      <c r="L3314">
        <v>2011</v>
      </c>
      <c r="M3314" s="21">
        <v>41003</v>
      </c>
      <c r="N3314">
        <v>2012</v>
      </c>
      <c r="Q3314" s="262">
        <v>400000</v>
      </c>
      <c r="S3314" t="s">
        <v>114</v>
      </c>
      <c r="T3314" t="s">
        <v>114</v>
      </c>
      <c r="W3314">
        <v>1985</v>
      </c>
      <c r="X3314">
        <v>1</v>
      </c>
      <c r="Y3314">
        <v>0</v>
      </c>
      <c r="Z3314">
        <v>0</v>
      </c>
      <c r="AA3314">
        <v>0</v>
      </c>
      <c r="AB3314">
        <v>0</v>
      </c>
      <c r="AC3314">
        <v>1985</v>
      </c>
      <c r="AD3314">
        <v>0</v>
      </c>
      <c r="AE3314">
        <v>0</v>
      </c>
      <c r="AF3314">
        <v>0</v>
      </c>
      <c r="AG3314">
        <v>0</v>
      </c>
      <c r="AH3314">
        <v>0</v>
      </c>
      <c r="AI3314">
        <v>0</v>
      </c>
      <c r="AJ3314">
        <v>0</v>
      </c>
      <c r="AK3314">
        <v>0</v>
      </c>
      <c r="AL3314">
        <v>0</v>
      </c>
      <c r="AM3314">
        <v>0</v>
      </c>
      <c r="AN3314">
        <v>0</v>
      </c>
      <c r="AO3314">
        <v>1</v>
      </c>
      <c r="AP3314">
        <v>0</v>
      </c>
      <c r="AQ3314">
        <v>0</v>
      </c>
      <c r="AR3314">
        <v>0</v>
      </c>
      <c r="AS3314">
        <v>0</v>
      </c>
      <c r="AT3314">
        <v>0</v>
      </c>
      <c r="AU3314">
        <f t="shared" si="102"/>
        <v>1</v>
      </c>
      <c r="AV3314">
        <f t="shared" si="103"/>
        <v>0</v>
      </c>
    </row>
    <row r="3315" spans="1:48" x14ac:dyDescent="0.25">
      <c r="A3315" t="s">
        <v>19078</v>
      </c>
      <c r="B3315" t="s">
        <v>114</v>
      </c>
      <c r="C3315" t="s">
        <v>19079</v>
      </c>
      <c r="D3315" t="s">
        <v>19080</v>
      </c>
      <c r="E3315" t="s">
        <v>2310</v>
      </c>
      <c r="F3315">
        <v>9</v>
      </c>
      <c r="G3315">
        <v>9.1999999999999993</v>
      </c>
      <c r="H3315" t="s">
        <v>2022</v>
      </c>
      <c r="I3315" s="21">
        <v>40820.631076388891</v>
      </c>
      <c r="J3315">
        <v>2011</v>
      </c>
      <c r="K3315" s="21">
        <v>43794.425048495374</v>
      </c>
      <c r="L3315">
        <v>2019</v>
      </c>
      <c r="M3315" s="21">
        <v>43749.604780243055</v>
      </c>
      <c r="N3315">
        <v>2019</v>
      </c>
      <c r="Q3315" s="262">
        <v>250000</v>
      </c>
      <c r="R3315" s="262">
        <v>199000</v>
      </c>
      <c r="S3315" t="s">
        <v>13254</v>
      </c>
      <c r="U3315">
        <v>8</v>
      </c>
      <c r="W3315">
        <v>3399</v>
      </c>
      <c r="X3315">
        <v>1</v>
      </c>
      <c r="Y3315">
        <v>0</v>
      </c>
      <c r="Z3315">
        <v>0</v>
      </c>
      <c r="AA3315">
        <v>0</v>
      </c>
      <c r="AB3315">
        <v>0</v>
      </c>
      <c r="AC3315">
        <v>2400</v>
      </c>
      <c r="AD3315">
        <v>0</v>
      </c>
      <c r="AE3315">
        <v>0</v>
      </c>
      <c r="AF3315">
        <v>999</v>
      </c>
      <c r="AG3315">
        <v>0</v>
      </c>
      <c r="AH3315">
        <v>0</v>
      </c>
      <c r="AI3315">
        <v>0</v>
      </c>
      <c r="AJ3315">
        <v>0</v>
      </c>
      <c r="AK3315">
        <v>0</v>
      </c>
      <c r="AL3315">
        <v>0</v>
      </c>
      <c r="AM3315">
        <v>0</v>
      </c>
      <c r="AN3315">
        <v>0</v>
      </c>
      <c r="AO3315">
        <v>0</v>
      </c>
      <c r="AP3315">
        <v>0</v>
      </c>
      <c r="AQ3315">
        <v>0</v>
      </c>
      <c r="AR3315">
        <v>1</v>
      </c>
      <c r="AS3315">
        <v>0</v>
      </c>
      <c r="AT3315">
        <v>0</v>
      </c>
      <c r="AU3315">
        <f t="shared" si="102"/>
        <v>0</v>
      </c>
      <c r="AV3315">
        <f t="shared" si="103"/>
        <v>0</v>
      </c>
    </row>
    <row r="3316" spans="1:48" x14ac:dyDescent="0.25">
      <c r="A3316" t="s">
        <v>10736</v>
      </c>
      <c r="C3316" t="s">
        <v>10737</v>
      </c>
      <c r="D3316" t="s">
        <v>10738</v>
      </c>
      <c r="E3316" t="s">
        <v>2310</v>
      </c>
      <c r="F3316">
        <v>9</v>
      </c>
      <c r="G3316">
        <v>9.1999999999999993</v>
      </c>
      <c r="H3316" t="s">
        <v>2022</v>
      </c>
      <c r="I3316" s="21">
        <v>40820.690729166701</v>
      </c>
      <c r="J3316">
        <v>2011</v>
      </c>
      <c r="K3316" s="21">
        <v>40820.690729166701</v>
      </c>
      <c r="L3316">
        <v>2011</v>
      </c>
      <c r="M3316" s="21">
        <v>41116.565347222197</v>
      </c>
      <c r="N3316">
        <v>2012</v>
      </c>
      <c r="Q3316" s="262">
        <v>600000</v>
      </c>
      <c r="R3316" s="262">
        <v>320000</v>
      </c>
      <c r="S3316" t="s">
        <v>114</v>
      </c>
      <c r="T3316" t="s">
        <v>114</v>
      </c>
      <c r="U3316">
        <v>5</v>
      </c>
      <c r="V3316">
        <v>2332</v>
      </c>
      <c r="W3316">
        <v>2007</v>
      </c>
      <c r="X3316">
        <v>0</v>
      </c>
      <c r="Y3316">
        <v>0</v>
      </c>
      <c r="Z3316">
        <v>0</v>
      </c>
      <c r="AA3316">
        <v>0</v>
      </c>
      <c r="AB3316">
        <v>0</v>
      </c>
      <c r="AC3316">
        <v>2007</v>
      </c>
      <c r="AD3316">
        <v>0</v>
      </c>
      <c r="AE3316">
        <v>0</v>
      </c>
      <c r="AF3316">
        <v>0</v>
      </c>
      <c r="AG3316">
        <v>0</v>
      </c>
      <c r="AH3316">
        <v>0</v>
      </c>
      <c r="AI3316">
        <v>0</v>
      </c>
      <c r="AJ3316">
        <v>0</v>
      </c>
      <c r="AK3316">
        <v>0</v>
      </c>
      <c r="AL3316">
        <v>0</v>
      </c>
      <c r="AM3316">
        <v>0</v>
      </c>
      <c r="AN3316">
        <v>0</v>
      </c>
      <c r="AO3316">
        <v>0</v>
      </c>
      <c r="AP3316">
        <v>0</v>
      </c>
      <c r="AQ3316">
        <v>0</v>
      </c>
      <c r="AR3316">
        <v>0</v>
      </c>
      <c r="AS3316">
        <v>0</v>
      </c>
      <c r="AT3316">
        <v>0</v>
      </c>
      <c r="AU3316">
        <f t="shared" si="102"/>
        <v>0</v>
      </c>
      <c r="AV3316">
        <f t="shared" si="103"/>
        <v>0</v>
      </c>
    </row>
    <row r="3317" spans="1:48" x14ac:dyDescent="0.25">
      <c r="A3317" t="s">
        <v>10739</v>
      </c>
      <c r="C3317" t="s">
        <v>10740</v>
      </c>
      <c r="D3317" t="s">
        <v>6329</v>
      </c>
      <c r="E3317" t="s">
        <v>2310</v>
      </c>
      <c r="F3317">
        <v>9</v>
      </c>
      <c r="G3317">
        <v>9.1999999999999993</v>
      </c>
      <c r="H3317" t="s">
        <v>2022</v>
      </c>
      <c r="I3317" s="21">
        <v>40823.3742361111</v>
      </c>
      <c r="J3317">
        <v>2011</v>
      </c>
      <c r="K3317" s="21">
        <v>40823.3742361111</v>
      </c>
      <c r="L3317">
        <v>2011</v>
      </c>
      <c r="M3317" s="21">
        <v>40905.467013888898</v>
      </c>
      <c r="N3317">
        <v>2011</v>
      </c>
      <c r="Q3317" s="262">
        <v>136000</v>
      </c>
      <c r="R3317" s="262">
        <v>128000</v>
      </c>
      <c r="S3317" t="s">
        <v>114</v>
      </c>
      <c r="T3317" t="s">
        <v>114</v>
      </c>
      <c r="U3317">
        <v>5</v>
      </c>
      <c r="W3317">
        <v>1248</v>
      </c>
      <c r="X3317">
        <v>1</v>
      </c>
      <c r="Y3317">
        <v>0</v>
      </c>
      <c r="Z3317">
        <v>0</v>
      </c>
      <c r="AA3317">
        <v>0</v>
      </c>
      <c r="AB3317">
        <v>0</v>
      </c>
      <c r="AC3317">
        <v>1248</v>
      </c>
      <c r="AD3317">
        <v>0</v>
      </c>
      <c r="AE3317">
        <v>0</v>
      </c>
      <c r="AF3317">
        <v>0</v>
      </c>
      <c r="AG3317">
        <v>0</v>
      </c>
      <c r="AH3317">
        <v>0</v>
      </c>
      <c r="AI3317">
        <v>0</v>
      </c>
      <c r="AJ3317">
        <v>0</v>
      </c>
      <c r="AK3317">
        <v>0</v>
      </c>
      <c r="AL3317">
        <v>0</v>
      </c>
      <c r="AM3317">
        <v>0</v>
      </c>
      <c r="AN3317">
        <v>0</v>
      </c>
      <c r="AO3317">
        <v>1</v>
      </c>
      <c r="AP3317">
        <v>0</v>
      </c>
      <c r="AQ3317">
        <v>0</v>
      </c>
      <c r="AR3317">
        <v>0</v>
      </c>
      <c r="AS3317">
        <v>0</v>
      </c>
      <c r="AT3317">
        <v>0</v>
      </c>
      <c r="AU3317">
        <f t="shared" si="102"/>
        <v>1</v>
      </c>
      <c r="AV3317">
        <f t="shared" si="103"/>
        <v>0</v>
      </c>
    </row>
    <row r="3318" spans="1:48" x14ac:dyDescent="0.25">
      <c r="A3318" t="s">
        <v>10741</v>
      </c>
      <c r="C3318" t="s">
        <v>10742</v>
      </c>
      <c r="D3318" t="s">
        <v>10743</v>
      </c>
      <c r="E3318" t="s">
        <v>2310</v>
      </c>
      <c r="F3318">
        <v>9</v>
      </c>
      <c r="G3318">
        <v>9.4</v>
      </c>
      <c r="H3318" t="s">
        <v>2323</v>
      </c>
      <c r="I3318" s="21">
        <v>40829.610648148097</v>
      </c>
      <c r="J3318">
        <v>2011</v>
      </c>
      <c r="K3318" s="21">
        <v>40829.610648148097</v>
      </c>
      <c r="L3318">
        <v>2011</v>
      </c>
      <c r="M3318" s="21">
        <v>41270.464224536998</v>
      </c>
      <c r="N3318">
        <v>2012</v>
      </c>
      <c r="Q3318" s="262">
        <v>600000</v>
      </c>
      <c r="R3318" s="262">
        <v>206000</v>
      </c>
      <c r="S3318" t="s">
        <v>114</v>
      </c>
      <c r="T3318" t="s">
        <v>114</v>
      </c>
      <c r="U3318">
        <v>8</v>
      </c>
      <c r="W3318">
        <v>3722</v>
      </c>
      <c r="X3318">
        <v>1</v>
      </c>
      <c r="Y3318">
        <v>0</v>
      </c>
      <c r="Z3318">
        <v>0</v>
      </c>
      <c r="AA3318">
        <v>0</v>
      </c>
      <c r="AB3318">
        <v>0</v>
      </c>
      <c r="AC3318">
        <v>2734</v>
      </c>
      <c r="AD3318">
        <v>0</v>
      </c>
      <c r="AE3318">
        <v>0</v>
      </c>
      <c r="AF3318">
        <v>988</v>
      </c>
      <c r="AG3318">
        <v>0</v>
      </c>
      <c r="AH3318">
        <v>0</v>
      </c>
      <c r="AI3318">
        <v>0</v>
      </c>
      <c r="AJ3318">
        <v>0</v>
      </c>
      <c r="AK3318">
        <v>0</v>
      </c>
      <c r="AL3318">
        <v>0</v>
      </c>
      <c r="AM3318">
        <v>0</v>
      </c>
      <c r="AN3318">
        <v>0</v>
      </c>
      <c r="AO3318">
        <v>0</v>
      </c>
      <c r="AP3318">
        <v>0</v>
      </c>
      <c r="AQ3318">
        <v>0</v>
      </c>
      <c r="AR3318">
        <v>1</v>
      </c>
      <c r="AS3318">
        <v>0</v>
      </c>
      <c r="AT3318">
        <v>0</v>
      </c>
      <c r="AU3318">
        <f t="shared" si="102"/>
        <v>0</v>
      </c>
      <c r="AV3318">
        <f t="shared" si="103"/>
        <v>0</v>
      </c>
    </row>
    <row r="3319" spans="1:48" x14ac:dyDescent="0.25">
      <c r="A3319" t="s">
        <v>10744</v>
      </c>
      <c r="C3319" t="s">
        <v>10692</v>
      </c>
      <c r="D3319" t="s">
        <v>6736</v>
      </c>
      <c r="E3319" t="s">
        <v>2310</v>
      </c>
      <c r="F3319">
        <v>11</v>
      </c>
      <c r="G3319">
        <v>11.2</v>
      </c>
      <c r="H3319" t="s">
        <v>2017</v>
      </c>
      <c r="I3319" s="21">
        <v>40830.590729166703</v>
      </c>
      <c r="J3319">
        <v>2011</v>
      </c>
      <c r="K3319" s="21">
        <v>40830.590729166703</v>
      </c>
      <c r="L3319">
        <v>2011</v>
      </c>
      <c r="M3319" s="21">
        <v>41702.6942361111</v>
      </c>
      <c r="N3319">
        <v>2014</v>
      </c>
      <c r="Q3319" s="262">
        <v>24000</v>
      </c>
      <c r="R3319" s="262">
        <v>24000</v>
      </c>
      <c r="S3319" t="s">
        <v>114</v>
      </c>
      <c r="T3319" t="s">
        <v>114</v>
      </c>
      <c r="U3319">
        <v>15</v>
      </c>
      <c r="W3319">
        <v>600</v>
      </c>
      <c r="X3319">
        <v>0</v>
      </c>
      <c r="Y3319">
        <v>0</v>
      </c>
      <c r="Z3319">
        <v>0</v>
      </c>
      <c r="AA3319">
        <v>0</v>
      </c>
      <c r="AB3319">
        <v>0</v>
      </c>
      <c r="AC3319">
        <v>0</v>
      </c>
      <c r="AD3319">
        <v>0</v>
      </c>
      <c r="AE3319">
        <v>0</v>
      </c>
      <c r="AF3319">
        <v>0</v>
      </c>
      <c r="AG3319">
        <v>0</v>
      </c>
      <c r="AH3319">
        <v>0</v>
      </c>
      <c r="AI3319">
        <v>0</v>
      </c>
      <c r="AJ3319">
        <v>0</v>
      </c>
      <c r="AK3319">
        <v>0</v>
      </c>
      <c r="AL3319">
        <v>0</v>
      </c>
      <c r="AM3319">
        <v>600</v>
      </c>
      <c r="AN3319">
        <v>0</v>
      </c>
      <c r="AO3319">
        <v>0</v>
      </c>
      <c r="AP3319">
        <v>0</v>
      </c>
      <c r="AQ3319">
        <v>0</v>
      </c>
      <c r="AR3319">
        <v>0</v>
      </c>
      <c r="AS3319">
        <v>0</v>
      </c>
      <c r="AT3319">
        <v>0</v>
      </c>
      <c r="AU3319">
        <f t="shared" si="102"/>
        <v>0</v>
      </c>
      <c r="AV3319">
        <f t="shared" si="103"/>
        <v>600</v>
      </c>
    </row>
    <row r="3320" spans="1:48" x14ac:dyDescent="0.25">
      <c r="A3320" t="s">
        <v>10745</v>
      </c>
      <c r="C3320" t="s">
        <v>10746</v>
      </c>
      <c r="D3320" t="s">
        <v>10747</v>
      </c>
      <c r="E3320" t="s">
        <v>2310</v>
      </c>
      <c r="F3320">
        <v>9</v>
      </c>
      <c r="G3320">
        <v>9.1</v>
      </c>
      <c r="H3320" t="s">
        <v>2323</v>
      </c>
      <c r="I3320" s="21">
        <v>40834.4350694444</v>
      </c>
      <c r="J3320">
        <v>2011</v>
      </c>
      <c r="K3320" s="21">
        <v>40834.4350694444</v>
      </c>
      <c r="L3320">
        <v>2011</v>
      </c>
      <c r="M3320" s="21">
        <v>41674.512708333299</v>
      </c>
      <c r="N3320">
        <v>2014</v>
      </c>
      <c r="Q3320" s="262">
        <v>267000</v>
      </c>
      <c r="R3320" s="262">
        <v>55000</v>
      </c>
      <c r="S3320" t="s">
        <v>114</v>
      </c>
      <c r="T3320" t="s">
        <v>114</v>
      </c>
      <c r="U3320">
        <v>5</v>
      </c>
      <c r="V3320">
        <v>575</v>
      </c>
      <c r="W3320">
        <v>105</v>
      </c>
      <c r="X3320">
        <v>0</v>
      </c>
      <c r="Y3320">
        <v>0</v>
      </c>
      <c r="Z3320">
        <v>0</v>
      </c>
      <c r="AA3320">
        <v>0</v>
      </c>
      <c r="AB3320">
        <v>0</v>
      </c>
      <c r="AC3320">
        <v>105</v>
      </c>
      <c r="AD3320">
        <v>0</v>
      </c>
      <c r="AE3320">
        <v>0</v>
      </c>
      <c r="AF3320">
        <v>0</v>
      </c>
      <c r="AG3320">
        <v>0</v>
      </c>
      <c r="AH3320">
        <v>0</v>
      </c>
      <c r="AI3320">
        <v>0</v>
      </c>
      <c r="AJ3320">
        <v>0</v>
      </c>
      <c r="AK3320">
        <v>0</v>
      </c>
      <c r="AL3320">
        <v>0</v>
      </c>
      <c r="AM3320">
        <v>0</v>
      </c>
      <c r="AN3320">
        <v>0</v>
      </c>
      <c r="AO3320">
        <v>0</v>
      </c>
      <c r="AP3320">
        <v>0</v>
      </c>
      <c r="AQ3320">
        <v>0</v>
      </c>
      <c r="AR3320">
        <v>0</v>
      </c>
      <c r="AS3320">
        <v>0</v>
      </c>
      <c r="AT3320">
        <v>0</v>
      </c>
      <c r="AU3320">
        <f t="shared" si="102"/>
        <v>0</v>
      </c>
      <c r="AV3320">
        <f t="shared" si="103"/>
        <v>0</v>
      </c>
    </row>
    <row r="3321" spans="1:48" x14ac:dyDescent="0.25">
      <c r="A3321" t="s">
        <v>10748</v>
      </c>
      <c r="C3321" t="s">
        <v>10749</v>
      </c>
      <c r="D3321" t="s">
        <v>10750</v>
      </c>
      <c r="E3321" t="s">
        <v>2310</v>
      </c>
      <c r="F3321">
        <v>8</v>
      </c>
      <c r="G3321">
        <v>8.1999999999999993</v>
      </c>
      <c r="H3321" t="s">
        <v>2022</v>
      </c>
      <c r="I3321" s="21">
        <v>40837.446250000001</v>
      </c>
      <c r="J3321">
        <v>2011</v>
      </c>
      <c r="K3321" s="21">
        <v>40837.446250000001</v>
      </c>
      <c r="L3321">
        <v>2011</v>
      </c>
      <c r="M3321" s="21">
        <v>41131.403206018498</v>
      </c>
      <c r="N3321">
        <v>2012</v>
      </c>
      <c r="Q3321" s="262">
        <v>450000</v>
      </c>
      <c r="R3321" s="262">
        <v>297000</v>
      </c>
      <c r="S3321" t="s">
        <v>114</v>
      </c>
      <c r="T3321" t="s">
        <v>114</v>
      </c>
      <c r="U3321">
        <v>5</v>
      </c>
      <c r="V3321">
        <v>2827</v>
      </c>
      <c r="W3321">
        <v>820</v>
      </c>
      <c r="X3321">
        <v>0</v>
      </c>
      <c r="Y3321">
        <v>0</v>
      </c>
      <c r="Z3321">
        <v>0</v>
      </c>
      <c r="AA3321">
        <v>0</v>
      </c>
      <c r="AB3321">
        <v>0</v>
      </c>
      <c r="AC3321">
        <v>820</v>
      </c>
      <c r="AD3321">
        <v>0</v>
      </c>
      <c r="AE3321">
        <v>0</v>
      </c>
      <c r="AF3321">
        <v>0</v>
      </c>
      <c r="AG3321">
        <v>0</v>
      </c>
      <c r="AH3321">
        <v>0</v>
      </c>
      <c r="AI3321">
        <v>0</v>
      </c>
      <c r="AJ3321">
        <v>0</v>
      </c>
      <c r="AK3321">
        <v>0</v>
      </c>
      <c r="AL3321">
        <v>0</v>
      </c>
      <c r="AM3321">
        <v>0</v>
      </c>
      <c r="AN3321">
        <v>0</v>
      </c>
      <c r="AO3321">
        <v>0</v>
      </c>
      <c r="AP3321">
        <v>0</v>
      </c>
      <c r="AQ3321">
        <v>0</v>
      </c>
      <c r="AR3321">
        <v>0</v>
      </c>
      <c r="AS3321">
        <v>0</v>
      </c>
      <c r="AT3321">
        <v>0</v>
      </c>
      <c r="AU3321">
        <f t="shared" si="102"/>
        <v>0</v>
      </c>
      <c r="AV3321">
        <f t="shared" si="103"/>
        <v>0</v>
      </c>
    </row>
    <row r="3322" spans="1:48" x14ac:dyDescent="0.25">
      <c r="A3322" t="s">
        <v>10751</v>
      </c>
      <c r="C3322" t="s">
        <v>10752</v>
      </c>
      <c r="D3322" t="s">
        <v>5246</v>
      </c>
      <c r="E3322" t="s">
        <v>2310</v>
      </c>
      <c r="F3322">
        <v>8</v>
      </c>
      <c r="G3322">
        <v>8.1</v>
      </c>
      <c r="H3322" t="s">
        <v>2323</v>
      </c>
      <c r="I3322" s="21">
        <v>40837.685671296298</v>
      </c>
      <c r="J3322">
        <v>2011</v>
      </c>
      <c r="K3322" s="21">
        <v>40837.685671296298</v>
      </c>
      <c r="L3322">
        <v>2011</v>
      </c>
      <c r="M3322" s="21">
        <v>41219.588148148097</v>
      </c>
      <c r="N3322">
        <v>2012</v>
      </c>
      <c r="Q3322" s="262">
        <v>150000</v>
      </c>
      <c r="R3322" s="262">
        <v>52000</v>
      </c>
      <c r="S3322" t="s">
        <v>114</v>
      </c>
      <c r="T3322" t="s">
        <v>114</v>
      </c>
      <c r="U3322">
        <v>5</v>
      </c>
      <c r="W3322">
        <v>511</v>
      </c>
      <c r="X3322">
        <v>0</v>
      </c>
      <c r="Y3322">
        <v>0</v>
      </c>
      <c r="Z3322">
        <v>0</v>
      </c>
      <c r="AA3322">
        <v>0</v>
      </c>
      <c r="AB3322">
        <v>0</v>
      </c>
      <c r="AC3322">
        <v>511</v>
      </c>
      <c r="AD3322">
        <v>0</v>
      </c>
      <c r="AE3322">
        <v>0</v>
      </c>
      <c r="AF3322">
        <v>0</v>
      </c>
      <c r="AG3322">
        <v>0</v>
      </c>
      <c r="AH3322">
        <v>0</v>
      </c>
      <c r="AI3322">
        <v>0</v>
      </c>
      <c r="AJ3322">
        <v>0</v>
      </c>
      <c r="AK3322">
        <v>0</v>
      </c>
      <c r="AL3322">
        <v>0</v>
      </c>
      <c r="AM3322">
        <v>0</v>
      </c>
      <c r="AN3322">
        <v>0</v>
      </c>
      <c r="AO3322">
        <v>0</v>
      </c>
      <c r="AP3322">
        <v>0</v>
      </c>
      <c r="AQ3322">
        <v>0</v>
      </c>
      <c r="AR3322">
        <v>0</v>
      </c>
      <c r="AS3322">
        <v>0</v>
      </c>
      <c r="AT3322">
        <v>0</v>
      </c>
      <c r="AU3322">
        <f t="shared" si="102"/>
        <v>0</v>
      </c>
      <c r="AV3322">
        <f t="shared" si="103"/>
        <v>0</v>
      </c>
    </row>
    <row r="3323" spans="1:48" x14ac:dyDescent="0.25">
      <c r="A3323" t="s">
        <v>10753</v>
      </c>
      <c r="C3323" t="s">
        <v>7403</v>
      </c>
      <c r="D3323" t="s">
        <v>2590</v>
      </c>
      <c r="E3323" t="s">
        <v>2310</v>
      </c>
      <c r="F3323">
        <v>10</v>
      </c>
      <c r="G3323">
        <v>10.1</v>
      </c>
      <c r="H3323" t="s">
        <v>2323</v>
      </c>
      <c r="I3323" s="21">
        <v>40849.454560185201</v>
      </c>
      <c r="J3323">
        <v>2011</v>
      </c>
      <c r="K3323" s="21">
        <v>40849.454560185201</v>
      </c>
      <c r="L3323">
        <v>2011</v>
      </c>
      <c r="M3323" s="21">
        <v>41697.414317129602</v>
      </c>
      <c r="N3323">
        <v>2014</v>
      </c>
      <c r="Q3323" s="262">
        <v>20000</v>
      </c>
      <c r="R3323" s="262">
        <v>34000</v>
      </c>
      <c r="S3323" t="s">
        <v>114</v>
      </c>
      <c r="T3323" t="s">
        <v>114</v>
      </c>
      <c r="U3323">
        <v>5</v>
      </c>
      <c r="W3323">
        <v>676</v>
      </c>
      <c r="X3323">
        <v>0</v>
      </c>
      <c r="Y3323">
        <v>0</v>
      </c>
      <c r="Z3323">
        <v>0</v>
      </c>
      <c r="AA3323">
        <v>0</v>
      </c>
      <c r="AB3323">
        <v>0</v>
      </c>
      <c r="AC3323">
        <v>676</v>
      </c>
      <c r="AD3323">
        <v>0</v>
      </c>
      <c r="AE3323">
        <v>0</v>
      </c>
      <c r="AF3323">
        <v>0</v>
      </c>
      <c r="AG3323">
        <v>0</v>
      </c>
      <c r="AH3323">
        <v>0</v>
      </c>
      <c r="AI3323">
        <v>0</v>
      </c>
      <c r="AJ3323">
        <v>0</v>
      </c>
      <c r="AK3323">
        <v>0</v>
      </c>
      <c r="AL3323">
        <v>0</v>
      </c>
      <c r="AM3323">
        <v>0</v>
      </c>
      <c r="AN3323">
        <v>0</v>
      </c>
      <c r="AO3323">
        <v>0</v>
      </c>
      <c r="AP3323">
        <v>0</v>
      </c>
      <c r="AQ3323">
        <v>0</v>
      </c>
      <c r="AR3323">
        <v>0</v>
      </c>
      <c r="AS3323">
        <v>0</v>
      </c>
      <c r="AT3323">
        <v>0</v>
      </c>
      <c r="AU3323">
        <f t="shared" si="102"/>
        <v>0</v>
      </c>
      <c r="AV3323">
        <f t="shared" si="103"/>
        <v>0</v>
      </c>
    </row>
    <row r="3324" spans="1:48" x14ac:dyDescent="0.25">
      <c r="A3324" t="s">
        <v>10754</v>
      </c>
      <c r="C3324" t="s">
        <v>10755</v>
      </c>
      <c r="D3324" t="s">
        <v>10756</v>
      </c>
      <c r="E3324" t="s">
        <v>2310</v>
      </c>
      <c r="F3324">
        <v>9</v>
      </c>
      <c r="G3324">
        <v>9.3000000000000007</v>
      </c>
      <c r="H3324" t="s">
        <v>2323</v>
      </c>
      <c r="I3324" s="21">
        <v>40863.560648148101</v>
      </c>
      <c r="J3324">
        <v>2011</v>
      </c>
      <c r="K3324" s="21">
        <v>40863.560648148101</v>
      </c>
      <c r="L3324">
        <v>2011</v>
      </c>
      <c r="M3324" s="21">
        <v>41131.388402777797</v>
      </c>
      <c r="N3324">
        <v>2012</v>
      </c>
      <c r="Q3324" s="262">
        <v>150000</v>
      </c>
      <c r="R3324" s="262">
        <v>30000</v>
      </c>
      <c r="S3324" t="s">
        <v>114</v>
      </c>
      <c r="T3324" t="s">
        <v>114</v>
      </c>
      <c r="U3324">
        <v>5</v>
      </c>
      <c r="W3324">
        <v>504</v>
      </c>
      <c r="X3324">
        <v>0</v>
      </c>
      <c r="Y3324">
        <v>0</v>
      </c>
      <c r="Z3324">
        <v>0</v>
      </c>
      <c r="AA3324">
        <v>0</v>
      </c>
      <c r="AB3324">
        <v>0</v>
      </c>
      <c r="AC3324">
        <v>504</v>
      </c>
      <c r="AD3324">
        <v>0</v>
      </c>
      <c r="AE3324">
        <v>0</v>
      </c>
      <c r="AF3324">
        <v>0</v>
      </c>
      <c r="AG3324">
        <v>0</v>
      </c>
      <c r="AH3324">
        <v>0</v>
      </c>
      <c r="AI3324">
        <v>0</v>
      </c>
      <c r="AJ3324">
        <v>0</v>
      </c>
      <c r="AK3324">
        <v>0</v>
      </c>
      <c r="AL3324">
        <v>0</v>
      </c>
      <c r="AM3324">
        <v>0</v>
      </c>
      <c r="AN3324">
        <v>0</v>
      </c>
      <c r="AO3324">
        <v>0</v>
      </c>
      <c r="AP3324">
        <v>0</v>
      </c>
      <c r="AQ3324">
        <v>0</v>
      </c>
      <c r="AR3324">
        <v>0</v>
      </c>
      <c r="AS3324">
        <v>0</v>
      </c>
      <c r="AT3324">
        <v>0</v>
      </c>
      <c r="AU3324">
        <f t="shared" si="102"/>
        <v>0</v>
      </c>
      <c r="AV3324">
        <f t="shared" si="103"/>
        <v>0</v>
      </c>
    </row>
    <row r="3325" spans="1:48" x14ac:dyDescent="0.25">
      <c r="A3325" t="s">
        <v>10757</v>
      </c>
      <c r="C3325" t="s">
        <v>10758</v>
      </c>
      <c r="D3325" t="s">
        <v>10759</v>
      </c>
      <c r="E3325" t="s">
        <v>2310</v>
      </c>
      <c r="F3325">
        <v>11</v>
      </c>
      <c r="G3325">
        <v>11.3</v>
      </c>
      <c r="H3325" t="s">
        <v>2017</v>
      </c>
      <c r="I3325" s="21">
        <v>40865.658344907402</v>
      </c>
      <c r="J3325">
        <v>2011</v>
      </c>
      <c r="K3325" s="21">
        <v>40865.658344907402</v>
      </c>
      <c r="L3325">
        <v>2011</v>
      </c>
      <c r="M3325" s="21">
        <v>41649.611643518503</v>
      </c>
      <c r="N3325">
        <v>2014</v>
      </c>
      <c r="Q3325" s="262">
        <v>2400000</v>
      </c>
      <c r="R3325" s="262">
        <v>755000</v>
      </c>
      <c r="S3325" t="s">
        <v>114</v>
      </c>
      <c r="T3325" t="s">
        <v>114</v>
      </c>
      <c r="U3325">
        <v>5</v>
      </c>
      <c r="W3325">
        <v>8471</v>
      </c>
      <c r="X3325">
        <v>1</v>
      </c>
      <c r="Y3325">
        <v>0</v>
      </c>
      <c r="Z3325">
        <v>0</v>
      </c>
      <c r="AA3325">
        <v>0</v>
      </c>
      <c r="AB3325">
        <v>0</v>
      </c>
      <c r="AC3325">
        <v>8471</v>
      </c>
      <c r="AD3325">
        <v>0</v>
      </c>
      <c r="AE3325">
        <v>0</v>
      </c>
      <c r="AF3325">
        <v>0</v>
      </c>
      <c r="AG3325">
        <v>0</v>
      </c>
      <c r="AH3325">
        <v>0</v>
      </c>
      <c r="AI3325">
        <v>0</v>
      </c>
      <c r="AJ3325">
        <v>0</v>
      </c>
      <c r="AK3325">
        <v>0</v>
      </c>
      <c r="AL3325">
        <v>0</v>
      </c>
      <c r="AM3325">
        <v>0</v>
      </c>
      <c r="AN3325">
        <v>0</v>
      </c>
      <c r="AO3325">
        <v>1</v>
      </c>
      <c r="AP3325">
        <v>0</v>
      </c>
      <c r="AQ3325">
        <v>0</v>
      </c>
      <c r="AR3325">
        <v>0</v>
      </c>
      <c r="AS3325">
        <v>0</v>
      </c>
      <c r="AT3325">
        <v>0</v>
      </c>
      <c r="AU3325">
        <f t="shared" si="102"/>
        <v>1</v>
      </c>
      <c r="AV3325">
        <f t="shared" si="103"/>
        <v>0</v>
      </c>
    </row>
    <row r="3326" spans="1:48" x14ac:dyDescent="0.25">
      <c r="A3326" t="s">
        <v>10760</v>
      </c>
      <c r="C3326" t="s">
        <v>10761</v>
      </c>
      <c r="D3326" t="s">
        <v>10762</v>
      </c>
      <c r="E3326" t="s">
        <v>2310</v>
      </c>
      <c r="F3326">
        <v>7</v>
      </c>
      <c r="G3326">
        <v>7.1</v>
      </c>
      <c r="H3326" t="s">
        <v>2017</v>
      </c>
      <c r="I3326" s="21">
        <v>40869.624490740702</v>
      </c>
      <c r="J3326">
        <v>2011</v>
      </c>
      <c r="K3326" s="21">
        <v>40869.624490740702</v>
      </c>
      <c r="L3326">
        <v>2011</v>
      </c>
      <c r="M3326" s="21">
        <v>40948.667638888903</v>
      </c>
      <c r="N3326">
        <v>2012</v>
      </c>
      <c r="Q3326" s="262">
        <v>20000</v>
      </c>
      <c r="R3326" s="262">
        <v>114000</v>
      </c>
      <c r="S3326" t="s">
        <v>114</v>
      </c>
      <c r="T3326" t="s">
        <v>114</v>
      </c>
      <c r="U3326">
        <v>14</v>
      </c>
      <c r="W3326">
        <v>1483</v>
      </c>
      <c r="X3326">
        <v>0</v>
      </c>
      <c r="Y3326">
        <v>0</v>
      </c>
      <c r="Z3326">
        <v>0</v>
      </c>
      <c r="AA3326">
        <v>0</v>
      </c>
      <c r="AB3326">
        <v>0</v>
      </c>
      <c r="AC3326">
        <v>0</v>
      </c>
      <c r="AD3326">
        <v>0</v>
      </c>
      <c r="AE3326">
        <v>0</v>
      </c>
      <c r="AF3326">
        <v>0</v>
      </c>
      <c r="AG3326">
        <v>0</v>
      </c>
      <c r="AH3326">
        <v>0</v>
      </c>
      <c r="AI3326">
        <v>0</v>
      </c>
      <c r="AJ3326">
        <v>0</v>
      </c>
      <c r="AK3326">
        <v>0</v>
      </c>
      <c r="AL3326">
        <v>1483</v>
      </c>
      <c r="AM3326">
        <v>0</v>
      </c>
      <c r="AN3326">
        <v>0</v>
      </c>
      <c r="AO3326">
        <v>0</v>
      </c>
      <c r="AP3326">
        <v>0</v>
      </c>
      <c r="AQ3326">
        <v>0</v>
      </c>
      <c r="AR3326">
        <v>0</v>
      </c>
      <c r="AS3326">
        <v>0</v>
      </c>
      <c r="AT3326">
        <v>0</v>
      </c>
      <c r="AU3326">
        <f t="shared" si="102"/>
        <v>0</v>
      </c>
      <c r="AV3326">
        <f t="shared" si="103"/>
        <v>1483</v>
      </c>
    </row>
    <row r="3327" spans="1:48" x14ac:dyDescent="0.25">
      <c r="A3327" t="s">
        <v>10763</v>
      </c>
      <c r="C3327" t="s">
        <v>10764</v>
      </c>
      <c r="D3327" t="s">
        <v>10765</v>
      </c>
      <c r="E3327" t="s">
        <v>2310</v>
      </c>
      <c r="F3327">
        <v>7</v>
      </c>
      <c r="G3327">
        <v>7.1</v>
      </c>
      <c r="H3327" t="s">
        <v>2017</v>
      </c>
      <c r="I3327" s="21">
        <v>40869.671666666698</v>
      </c>
      <c r="J3327">
        <v>2011</v>
      </c>
      <c r="K3327" s="21">
        <v>40869.671666666698</v>
      </c>
      <c r="L3327">
        <v>2011</v>
      </c>
      <c r="M3327" s="21">
        <v>41032.623541666697</v>
      </c>
      <c r="N3327">
        <v>2012</v>
      </c>
      <c r="Q3327" s="262">
        <v>1000</v>
      </c>
      <c r="R3327" s="262">
        <v>0</v>
      </c>
      <c r="S3327" t="s">
        <v>114</v>
      </c>
      <c r="T3327" t="s">
        <v>114</v>
      </c>
      <c r="U3327">
        <v>10</v>
      </c>
      <c r="W3327">
        <v>0</v>
      </c>
      <c r="X3327">
        <v>0</v>
      </c>
      <c r="Y3327">
        <v>0</v>
      </c>
      <c r="Z3327">
        <v>0</v>
      </c>
      <c r="AA3327">
        <v>0</v>
      </c>
      <c r="AB3327">
        <v>0</v>
      </c>
      <c r="AC3327">
        <v>0</v>
      </c>
      <c r="AD3327">
        <v>0</v>
      </c>
      <c r="AE3327">
        <v>0</v>
      </c>
      <c r="AF3327">
        <v>0</v>
      </c>
      <c r="AG3327">
        <v>0</v>
      </c>
      <c r="AH3327">
        <v>0</v>
      </c>
      <c r="AI3327">
        <v>0</v>
      </c>
      <c r="AJ3327">
        <v>0</v>
      </c>
      <c r="AK3327">
        <v>0</v>
      </c>
      <c r="AL3327">
        <v>0</v>
      </c>
      <c r="AM3327">
        <v>0</v>
      </c>
      <c r="AN3327">
        <v>0</v>
      </c>
      <c r="AO3327">
        <v>0</v>
      </c>
      <c r="AP3327">
        <v>0</v>
      </c>
      <c r="AQ3327">
        <v>0</v>
      </c>
      <c r="AR3327">
        <v>0</v>
      </c>
      <c r="AS3327">
        <v>0</v>
      </c>
      <c r="AT3327">
        <v>0</v>
      </c>
      <c r="AU3327">
        <f t="shared" si="102"/>
        <v>0</v>
      </c>
      <c r="AV3327">
        <f t="shared" si="103"/>
        <v>0</v>
      </c>
    </row>
    <row r="3328" spans="1:48" x14ac:dyDescent="0.25">
      <c r="A3328" t="s">
        <v>10766</v>
      </c>
      <c r="C3328" t="s">
        <v>10767</v>
      </c>
      <c r="D3328" t="s">
        <v>6005</v>
      </c>
      <c r="E3328" t="s">
        <v>2310</v>
      </c>
      <c r="F3328">
        <v>9</v>
      </c>
      <c r="G3328">
        <v>9.3000000000000007</v>
      </c>
      <c r="H3328" t="s">
        <v>2323</v>
      </c>
      <c r="I3328" s="21">
        <v>40883.6487962963</v>
      </c>
      <c r="J3328">
        <v>2011</v>
      </c>
      <c r="K3328" s="21">
        <v>40883.6487962963</v>
      </c>
      <c r="L3328">
        <v>2011</v>
      </c>
      <c r="M3328" s="21">
        <v>41103.572071759299</v>
      </c>
      <c r="N3328">
        <v>2012</v>
      </c>
      <c r="Q3328" s="262">
        <v>63000</v>
      </c>
      <c r="R3328" s="262">
        <v>4000</v>
      </c>
      <c r="S3328" t="s">
        <v>114</v>
      </c>
      <c r="T3328" t="s">
        <v>114</v>
      </c>
      <c r="U3328">
        <v>15</v>
      </c>
      <c r="W3328">
        <v>96</v>
      </c>
      <c r="X3328">
        <v>0</v>
      </c>
      <c r="Y3328">
        <v>0</v>
      </c>
      <c r="Z3328">
        <v>0</v>
      </c>
      <c r="AA3328">
        <v>0</v>
      </c>
      <c r="AB3328">
        <v>0</v>
      </c>
      <c r="AC3328">
        <v>0</v>
      </c>
      <c r="AD3328">
        <v>0</v>
      </c>
      <c r="AE3328">
        <v>0</v>
      </c>
      <c r="AF3328">
        <v>0</v>
      </c>
      <c r="AG3328">
        <v>0</v>
      </c>
      <c r="AH3328">
        <v>0</v>
      </c>
      <c r="AI3328">
        <v>0</v>
      </c>
      <c r="AJ3328">
        <v>0</v>
      </c>
      <c r="AK3328">
        <v>0</v>
      </c>
      <c r="AL3328">
        <v>0</v>
      </c>
      <c r="AM3328">
        <v>96</v>
      </c>
      <c r="AN3328">
        <v>0</v>
      </c>
      <c r="AO3328">
        <v>0</v>
      </c>
      <c r="AP3328">
        <v>0</v>
      </c>
      <c r="AQ3328">
        <v>0</v>
      </c>
      <c r="AR3328">
        <v>0</v>
      </c>
      <c r="AS3328">
        <v>0</v>
      </c>
      <c r="AT3328">
        <v>0</v>
      </c>
      <c r="AU3328">
        <f t="shared" si="102"/>
        <v>0</v>
      </c>
      <c r="AV3328">
        <f t="shared" si="103"/>
        <v>96</v>
      </c>
    </row>
    <row r="3329" spans="1:48" x14ac:dyDescent="0.25">
      <c r="A3329" t="s">
        <v>10768</v>
      </c>
      <c r="C3329" t="s">
        <v>10442</v>
      </c>
      <c r="D3329" t="s">
        <v>10769</v>
      </c>
      <c r="E3329" t="s">
        <v>2310</v>
      </c>
      <c r="F3329">
        <v>10</v>
      </c>
      <c r="G3329">
        <v>10.1</v>
      </c>
      <c r="H3329" t="s">
        <v>2323</v>
      </c>
      <c r="I3329" s="21">
        <v>40892.540578703702</v>
      </c>
      <c r="J3329">
        <v>2011</v>
      </c>
      <c r="K3329" s="21">
        <v>40892.540578703702</v>
      </c>
      <c r="L3329">
        <v>2011</v>
      </c>
      <c r="M3329" s="21">
        <v>41128.575706018499</v>
      </c>
      <c r="N3329">
        <v>2012</v>
      </c>
      <c r="Q3329" s="262">
        <v>230000</v>
      </c>
      <c r="R3329" s="262">
        <v>189000</v>
      </c>
      <c r="S3329" t="s">
        <v>114</v>
      </c>
      <c r="T3329" t="s">
        <v>114</v>
      </c>
      <c r="U3329">
        <v>5</v>
      </c>
      <c r="W3329">
        <v>2144</v>
      </c>
      <c r="X3329">
        <v>1</v>
      </c>
      <c r="Y3329">
        <v>0</v>
      </c>
      <c r="Z3329">
        <v>0</v>
      </c>
      <c r="AA3329">
        <v>0</v>
      </c>
      <c r="AB3329">
        <v>0</v>
      </c>
      <c r="AC3329">
        <v>2144</v>
      </c>
      <c r="AD3329">
        <v>0</v>
      </c>
      <c r="AE3329">
        <v>0</v>
      </c>
      <c r="AF3329">
        <v>0</v>
      </c>
      <c r="AG3329">
        <v>0</v>
      </c>
      <c r="AH3329">
        <v>0</v>
      </c>
      <c r="AI3329">
        <v>0</v>
      </c>
      <c r="AJ3329">
        <v>0</v>
      </c>
      <c r="AK3329">
        <v>0</v>
      </c>
      <c r="AL3329">
        <v>0</v>
      </c>
      <c r="AM3329">
        <v>0</v>
      </c>
      <c r="AN3329">
        <v>0</v>
      </c>
      <c r="AO3329">
        <v>1</v>
      </c>
      <c r="AP3329">
        <v>0</v>
      </c>
      <c r="AQ3329">
        <v>0</v>
      </c>
      <c r="AR3329">
        <v>0</v>
      </c>
      <c r="AS3329">
        <v>0</v>
      </c>
      <c r="AT3329">
        <v>0</v>
      </c>
      <c r="AU3329">
        <f t="shared" si="102"/>
        <v>1</v>
      </c>
      <c r="AV3329">
        <f t="shared" si="103"/>
        <v>0</v>
      </c>
    </row>
    <row r="3330" spans="1:48" x14ac:dyDescent="0.25">
      <c r="A3330" t="s">
        <v>10770</v>
      </c>
      <c r="C3330" t="s">
        <v>10771</v>
      </c>
      <c r="D3330" t="s">
        <v>10772</v>
      </c>
      <c r="E3330" t="s">
        <v>2310</v>
      </c>
      <c r="F3330">
        <v>10</v>
      </c>
      <c r="G3330">
        <v>10.1</v>
      </c>
      <c r="H3330" t="s">
        <v>2323</v>
      </c>
      <c r="I3330" s="21">
        <v>40892.615347222199</v>
      </c>
      <c r="J3330">
        <v>2011</v>
      </c>
      <c r="K3330" s="21">
        <v>40892.615347222199</v>
      </c>
      <c r="L3330">
        <v>2011</v>
      </c>
      <c r="P3330" s="21">
        <v>41697.492314814801</v>
      </c>
      <c r="Q3330" s="262">
        <v>79000</v>
      </c>
      <c r="R3330" s="262">
        <v>61000</v>
      </c>
      <c r="S3330" t="s">
        <v>114</v>
      </c>
      <c r="T3330" t="s">
        <v>114</v>
      </c>
      <c r="U3330">
        <v>5</v>
      </c>
      <c r="W3330">
        <v>1645</v>
      </c>
      <c r="X3330">
        <v>0</v>
      </c>
      <c r="Y3330">
        <v>0</v>
      </c>
      <c r="Z3330">
        <v>0</v>
      </c>
      <c r="AA3330">
        <v>0</v>
      </c>
      <c r="AB3330">
        <v>0</v>
      </c>
      <c r="AC3330">
        <v>1645</v>
      </c>
      <c r="AD3330">
        <v>0</v>
      </c>
      <c r="AE3330">
        <v>0</v>
      </c>
      <c r="AF3330">
        <v>0</v>
      </c>
      <c r="AG3330">
        <v>0</v>
      </c>
      <c r="AH3330">
        <v>0</v>
      </c>
      <c r="AI3330">
        <v>0</v>
      </c>
      <c r="AJ3330">
        <v>0</v>
      </c>
      <c r="AK3330">
        <v>0</v>
      </c>
      <c r="AL3330">
        <v>0</v>
      </c>
      <c r="AM3330">
        <v>0</v>
      </c>
      <c r="AN3330">
        <v>0</v>
      </c>
      <c r="AO3330">
        <v>0</v>
      </c>
      <c r="AP3330">
        <v>0</v>
      </c>
      <c r="AQ3330">
        <v>0</v>
      </c>
      <c r="AR3330">
        <v>0</v>
      </c>
      <c r="AS3330">
        <v>0</v>
      </c>
      <c r="AT3330">
        <v>0</v>
      </c>
      <c r="AU3330">
        <f t="shared" si="102"/>
        <v>0</v>
      </c>
      <c r="AV3330">
        <f t="shared" si="103"/>
        <v>0</v>
      </c>
    </row>
    <row r="3331" spans="1:48" x14ac:dyDescent="0.25">
      <c r="A3331" t="s">
        <v>10773</v>
      </c>
      <c r="C3331" t="s">
        <v>10774</v>
      </c>
      <c r="D3331" t="s">
        <v>7187</v>
      </c>
      <c r="E3331" t="s">
        <v>1663</v>
      </c>
      <c r="F3331">
        <v>3</v>
      </c>
      <c r="G3331">
        <v>3.1</v>
      </c>
      <c r="H3331" t="s">
        <v>2017</v>
      </c>
      <c r="I3331" s="21">
        <v>40921</v>
      </c>
      <c r="J3331">
        <v>2012</v>
      </c>
      <c r="K3331" s="21">
        <v>40952</v>
      </c>
      <c r="L3331">
        <v>2012</v>
      </c>
      <c r="M3331" s="21">
        <v>41103</v>
      </c>
      <c r="N3331">
        <v>2012</v>
      </c>
      <c r="Q3331" s="262">
        <v>314000</v>
      </c>
      <c r="S3331" t="s">
        <v>114</v>
      </c>
      <c r="T3331" t="s">
        <v>114</v>
      </c>
      <c r="W3331">
        <v>2000</v>
      </c>
      <c r="X3331">
        <v>1</v>
      </c>
      <c r="Y3331">
        <v>0</v>
      </c>
      <c r="Z3331">
        <v>0</v>
      </c>
      <c r="AA3331">
        <v>0</v>
      </c>
      <c r="AB3331">
        <v>0</v>
      </c>
      <c r="AC3331">
        <v>2000</v>
      </c>
      <c r="AD3331">
        <v>0</v>
      </c>
      <c r="AE3331">
        <v>0</v>
      </c>
      <c r="AF3331">
        <v>0</v>
      </c>
      <c r="AG3331">
        <v>0</v>
      </c>
      <c r="AH3331">
        <v>0</v>
      </c>
      <c r="AI3331">
        <v>0</v>
      </c>
      <c r="AJ3331">
        <v>0</v>
      </c>
      <c r="AK3331">
        <v>0</v>
      </c>
      <c r="AL3331">
        <v>0</v>
      </c>
      <c r="AM3331">
        <v>0</v>
      </c>
      <c r="AN3331">
        <v>0</v>
      </c>
      <c r="AO3331">
        <v>1</v>
      </c>
      <c r="AP3331">
        <v>0</v>
      </c>
      <c r="AQ3331">
        <v>0</v>
      </c>
      <c r="AR3331">
        <v>0</v>
      </c>
      <c r="AS3331">
        <v>0</v>
      </c>
      <c r="AT3331">
        <v>0</v>
      </c>
      <c r="AU3331">
        <f t="shared" si="102"/>
        <v>1</v>
      </c>
      <c r="AV3331">
        <f t="shared" si="103"/>
        <v>0</v>
      </c>
    </row>
    <row r="3332" spans="1:48" x14ac:dyDescent="0.25">
      <c r="A3332" t="s">
        <v>10775</v>
      </c>
      <c r="C3332" t="s">
        <v>10776</v>
      </c>
      <c r="D3332" t="s">
        <v>10777</v>
      </c>
      <c r="E3332" t="s">
        <v>2310</v>
      </c>
      <c r="F3332">
        <v>9</v>
      </c>
      <c r="G3332">
        <v>9.1999999999999993</v>
      </c>
      <c r="H3332" t="s">
        <v>2022</v>
      </c>
      <c r="I3332" s="21">
        <v>40928.599120370403</v>
      </c>
      <c r="J3332">
        <v>2012</v>
      </c>
      <c r="K3332" s="21">
        <v>41032.384675925903</v>
      </c>
      <c r="L3332">
        <v>2012</v>
      </c>
      <c r="M3332" s="21">
        <v>41222.6632986111</v>
      </c>
      <c r="N3332">
        <v>2012</v>
      </c>
      <c r="Q3332" s="262">
        <v>600000</v>
      </c>
      <c r="R3332" s="262">
        <v>266000</v>
      </c>
      <c r="S3332" t="s">
        <v>114</v>
      </c>
      <c r="T3332" t="s">
        <v>114</v>
      </c>
      <c r="U3332">
        <v>5</v>
      </c>
      <c r="V3332">
        <v>3464</v>
      </c>
      <c r="W3332">
        <v>0</v>
      </c>
      <c r="X3332">
        <v>0</v>
      </c>
      <c r="Y3332">
        <v>0</v>
      </c>
      <c r="Z3332">
        <v>0</v>
      </c>
      <c r="AA3332">
        <v>0</v>
      </c>
      <c r="AB3332">
        <v>0</v>
      </c>
      <c r="AC3332">
        <v>0</v>
      </c>
      <c r="AD3332">
        <v>0</v>
      </c>
      <c r="AE3332">
        <v>0</v>
      </c>
      <c r="AF3332">
        <v>0</v>
      </c>
      <c r="AG3332">
        <v>0</v>
      </c>
      <c r="AH3332">
        <v>0</v>
      </c>
      <c r="AI3332">
        <v>0</v>
      </c>
      <c r="AJ3332">
        <v>0</v>
      </c>
      <c r="AK3332">
        <v>0</v>
      </c>
      <c r="AL3332">
        <v>0</v>
      </c>
      <c r="AM3332">
        <v>0</v>
      </c>
      <c r="AN3332">
        <v>0</v>
      </c>
      <c r="AO3332">
        <v>0</v>
      </c>
      <c r="AP3332">
        <v>0</v>
      </c>
      <c r="AQ3332">
        <v>0</v>
      </c>
      <c r="AR3332">
        <v>0</v>
      </c>
      <c r="AS3332">
        <v>0</v>
      </c>
      <c r="AT3332">
        <v>0</v>
      </c>
      <c r="AU3332">
        <f t="shared" si="102"/>
        <v>0</v>
      </c>
      <c r="AV3332">
        <f t="shared" si="103"/>
        <v>0</v>
      </c>
    </row>
    <row r="3333" spans="1:48" x14ac:dyDescent="0.25">
      <c r="A3333" t="s">
        <v>10778</v>
      </c>
      <c r="C3333" t="s">
        <v>10779</v>
      </c>
      <c r="D3333" t="s">
        <v>2354</v>
      </c>
      <c r="E3333" t="s">
        <v>2310</v>
      </c>
      <c r="F3333">
        <v>8</v>
      </c>
      <c r="G3333">
        <v>8.1</v>
      </c>
      <c r="H3333" t="s">
        <v>2323</v>
      </c>
      <c r="I3333" s="21">
        <v>40932.560335648202</v>
      </c>
      <c r="J3333">
        <v>2012</v>
      </c>
      <c r="K3333" s="21">
        <v>40932.560335648202</v>
      </c>
      <c r="L3333">
        <v>2012</v>
      </c>
      <c r="M3333" s="21">
        <v>41002.549479166701</v>
      </c>
      <c r="N3333">
        <v>2012</v>
      </c>
      <c r="Q3333" s="262">
        <v>25000</v>
      </c>
      <c r="R3333" s="262">
        <v>25000</v>
      </c>
      <c r="S3333" t="s">
        <v>114</v>
      </c>
      <c r="T3333" t="s">
        <v>114</v>
      </c>
      <c r="U3333">
        <v>12</v>
      </c>
      <c r="V3333">
        <v>300</v>
      </c>
      <c r="W3333">
        <v>0</v>
      </c>
      <c r="X3333">
        <v>0</v>
      </c>
      <c r="Y3333">
        <v>0</v>
      </c>
      <c r="Z3333">
        <v>0</v>
      </c>
      <c r="AA3333">
        <v>0</v>
      </c>
      <c r="AB3333">
        <v>0</v>
      </c>
      <c r="AC3333">
        <v>0</v>
      </c>
      <c r="AD3333">
        <v>0</v>
      </c>
      <c r="AE3333">
        <v>0</v>
      </c>
      <c r="AF3333">
        <v>0</v>
      </c>
      <c r="AG3333">
        <v>0</v>
      </c>
      <c r="AH3333">
        <v>0</v>
      </c>
      <c r="AI3333">
        <v>0</v>
      </c>
      <c r="AJ3333">
        <v>0</v>
      </c>
      <c r="AK3333">
        <v>0</v>
      </c>
      <c r="AL3333">
        <v>0</v>
      </c>
      <c r="AM3333">
        <v>0</v>
      </c>
      <c r="AN3333">
        <v>0</v>
      </c>
      <c r="AO3333">
        <v>0</v>
      </c>
      <c r="AP3333">
        <v>0</v>
      </c>
      <c r="AQ3333">
        <v>0</v>
      </c>
      <c r="AR3333">
        <v>0</v>
      </c>
      <c r="AS3333">
        <v>0</v>
      </c>
      <c r="AT3333">
        <v>0</v>
      </c>
      <c r="AU3333">
        <f t="shared" si="102"/>
        <v>0</v>
      </c>
      <c r="AV3333">
        <f t="shared" si="103"/>
        <v>0</v>
      </c>
    </row>
    <row r="3334" spans="1:48" x14ac:dyDescent="0.25">
      <c r="A3334" t="s">
        <v>10780</v>
      </c>
      <c r="C3334" t="s">
        <v>10781</v>
      </c>
      <c r="D3334" t="s">
        <v>10782</v>
      </c>
      <c r="E3334" t="s">
        <v>2310</v>
      </c>
      <c r="F3334">
        <v>8</v>
      </c>
      <c r="G3334">
        <v>8.1999999999999993</v>
      </c>
      <c r="H3334" t="s">
        <v>2022</v>
      </c>
      <c r="I3334" s="21">
        <v>40933.445057870398</v>
      </c>
      <c r="J3334">
        <v>2012</v>
      </c>
      <c r="K3334" s="21">
        <v>40933.445057870398</v>
      </c>
      <c r="L3334">
        <v>2012</v>
      </c>
      <c r="M3334" s="21">
        <v>41872.375590277799</v>
      </c>
      <c r="N3334">
        <v>2014</v>
      </c>
      <c r="Q3334" s="262">
        <v>7500000</v>
      </c>
      <c r="R3334" s="262">
        <v>991000</v>
      </c>
      <c r="S3334" t="s">
        <v>114</v>
      </c>
      <c r="T3334" t="s">
        <v>114</v>
      </c>
      <c r="U3334">
        <v>5</v>
      </c>
      <c r="W3334">
        <v>10763</v>
      </c>
      <c r="X3334">
        <v>1</v>
      </c>
      <c r="Y3334">
        <v>0</v>
      </c>
      <c r="Z3334">
        <v>0</v>
      </c>
      <c r="AA3334">
        <v>0</v>
      </c>
      <c r="AB3334">
        <v>0</v>
      </c>
      <c r="AC3334">
        <v>10763</v>
      </c>
      <c r="AD3334">
        <v>0</v>
      </c>
      <c r="AE3334">
        <v>0</v>
      </c>
      <c r="AF3334">
        <v>0</v>
      </c>
      <c r="AG3334">
        <v>0</v>
      </c>
      <c r="AH3334">
        <v>0</v>
      </c>
      <c r="AI3334">
        <v>0</v>
      </c>
      <c r="AJ3334">
        <v>0</v>
      </c>
      <c r="AK3334">
        <v>0</v>
      </c>
      <c r="AL3334">
        <v>0</v>
      </c>
      <c r="AM3334">
        <v>0</v>
      </c>
      <c r="AN3334">
        <v>0</v>
      </c>
      <c r="AO3334">
        <v>1</v>
      </c>
      <c r="AP3334">
        <v>0</v>
      </c>
      <c r="AQ3334">
        <v>0</v>
      </c>
      <c r="AR3334">
        <v>0</v>
      </c>
      <c r="AS3334">
        <v>0</v>
      </c>
      <c r="AT3334">
        <v>0</v>
      </c>
      <c r="AU3334">
        <f t="shared" si="102"/>
        <v>1</v>
      </c>
      <c r="AV3334">
        <f t="shared" si="103"/>
        <v>0</v>
      </c>
    </row>
    <row r="3335" spans="1:48" x14ac:dyDescent="0.25">
      <c r="A3335" t="s">
        <v>10783</v>
      </c>
      <c r="C3335" t="s">
        <v>10784</v>
      </c>
      <c r="D3335" t="s">
        <v>3534</v>
      </c>
      <c r="E3335" t="s">
        <v>2310</v>
      </c>
      <c r="F3335">
        <v>8</v>
      </c>
      <c r="G3335">
        <v>8.1</v>
      </c>
      <c r="H3335" t="s">
        <v>2323</v>
      </c>
      <c r="I3335" s="21">
        <v>40933.592974537001</v>
      </c>
      <c r="J3335">
        <v>2012</v>
      </c>
      <c r="K3335" s="21">
        <v>40933.592974537001</v>
      </c>
      <c r="L3335">
        <v>2012</v>
      </c>
      <c r="M3335" s="21">
        <v>41261.536956018499</v>
      </c>
      <c r="N3335">
        <v>2012</v>
      </c>
      <c r="Q3335" s="262">
        <v>30000</v>
      </c>
      <c r="R3335" s="262">
        <v>14000</v>
      </c>
      <c r="S3335" t="s">
        <v>114</v>
      </c>
      <c r="T3335" t="s">
        <v>114</v>
      </c>
      <c r="U3335">
        <v>5</v>
      </c>
      <c r="W3335">
        <v>350</v>
      </c>
      <c r="X3335">
        <v>0</v>
      </c>
      <c r="Y3335">
        <v>0</v>
      </c>
      <c r="Z3335">
        <v>0</v>
      </c>
      <c r="AA3335">
        <v>0</v>
      </c>
      <c r="AB3335">
        <v>0</v>
      </c>
      <c r="AC3335">
        <v>350</v>
      </c>
      <c r="AD3335">
        <v>0</v>
      </c>
      <c r="AE3335">
        <v>0</v>
      </c>
      <c r="AF3335">
        <v>0</v>
      </c>
      <c r="AG3335">
        <v>0</v>
      </c>
      <c r="AH3335">
        <v>0</v>
      </c>
      <c r="AI3335">
        <v>0</v>
      </c>
      <c r="AJ3335">
        <v>0</v>
      </c>
      <c r="AK3335">
        <v>0</v>
      </c>
      <c r="AL3335">
        <v>0</v>
      </c>
      <c r="AM3335">
        <v>0</v>
      </c>
      <c r="AN3335">
        <v>0</v>
      </c>
      <c r="AO3335">
        <v>0</v>
      </c>
      <c r="AP3335">
        <v>0</v>
      </c>
      <c r="AQ3335">
        <v>0</v>
      </c>
      <c r="AR3335">
        <v>0</v>
      </c>
      <c r="AS3335">
        <v>0</v>
      </c>
      <c r="AT3335">
        <v>0</v>
      </c>
      <c r="AU3335">
        <f t="shared" si="102"/>
        <v>0</v>
      </c>
      <c r="AV3335">
        <f t="shared" si="103"/>
        <v>0</v>
      </c>
    </row>
    <row r="3336" spans="1:48" x14ac:dyDescent="0.25">
      <c r="A3336" t="s">
        <v>10785</v>
      </c>
      <c r="C3336" t="s">
        <v>10786</v>
      </c>
      <c r="D3336" t="s">
        <v>10787</v>
      </c>
      <c r="E3336" t="s">
        <v>1663</v>
      </c>
      <c r="F3336">
        <v>5</v>
      </c>
      <c r="G3336">
        <v>5.0999999999999996</v>
      </c>
      <c r="H3336" t="s">
        <v>2327</v>
      </c>
      <c r="I3336" s="21">
        <v>40939</v>
      </c>
      <c r="J3336">
        <v>2012</v>
      </c>
      <c r="K3336" s="21">
        <v>40968</v>
      </c>
      <c r="L3336">
        <v>2012</v>
      </c>
      <c r="M3336" s="21">
        <v>41121</v>
      </c>
      <c r="N3336">
        <v>2012</v>
      </c>
      <c r="Q3336" s="262">
        <v>1200000</v>
      </c>
      <c r="S3336" t="s">
        <v>114</v>
      </c>
      <c r="T3336" t="s">
        <v>114</v>
      </c>
      <c r="W3336">
        <v>4760</v>
      </c>
      <c r="X3336">
        <v>1</v>
      </c>
      <c r="Y3336">
        <v>0</v>
      </c>
      <c r="Z3336">
        <v>0</v>
      </c>
      <c r="AA3336">
        <v>0</v>
      </c>
      <c r="AB3336">
        <v>0</v>
      </c>
      <c r="AC3336">
        <v>0</v>
      </c>
      <c r="AD3336">
        <v>0</v>
      </c>
      <c r="AE3336">
        <v>760</v>
      </c>
      <c r="AF3336">
        <v>0</v>
      </c>
      <c r="AG3336">
        <v>0</v>
      </c>
      <c r="AH3336">
        <v>0</v>
      </c>
      <c r="AI3336">
        <v>0</v>
      </c>
      <c r="AJ3336">
        <v>4000</v>
      </c>
      <c r="AK3336">
        <v>0</v>
      </c>
      <c r="AL3336">
        <v>0</v>
      </c>
      <c r="AM3336">
        <v>0</v>
      </c>
      <c r="AN3336">
        <v>0</v>
      </c>
      <c r="AO3336">
        <v>0</v>
      </c>
      <c r="AP3336">
        <v>0</v>
      </c>
      <c r="AQ3336">
        <v>1</v>
      </c>
      <c r="AR3336">
        <v>0</v>
      </c>
      <c r="AS3336">
        <v>0</v>
      </c>
      <c r="AT3336">
        <v>0</v>
      </c>
      <c r="AU3336">
        <f t="shared" si="102"/>
        <v>1</v>
      </c>
      <c r="AV3336">
        <f t="shared" si="103"/>
        <v>4000</v>
      </c>
    </row>
    <row r="3337" spans="1:48" x14ac:dyDescent="0.25">
      <c r="A3337" t="s">
        <v>10788</v>
      </c>
      <c r="C3337" t="s">
        <v>10789</v>
      </c>
      <c r="D3337" t="s">
        <v>10790</v>
      </c>
      <c r="E3337" t="s">
        <v>2310</v>
      </c>
      <c r="F3337">
        <v>10</v>
      </c>
      <c r="G3337">
        <v>10.1</v>
      </c>
      <c r="H3337" t="s">
        <v>2323</v>
      </c>
      <c r="I3337" s="21">
        <v>40946.465289351901</v>
      </c>
      <c r="J3337">
        <v>2012</v>
      </c>
      <c r="K3337" s="21">
        <v>40946.465289351901</v>
      </c>
      <c r="L3337">
        <v>2012</v>
      </c>
      <c r="M3337" s="21">
        <v>41163.4780439815</v>
      </c>
      <c r="N3337">
        <v>2012</v>
      </c>
      <c r="Q3337" s="262">
        <v>200000</v>
      </c>
      <c r="R3337" s="262">
        <v>120000</v>
      </c>
      <c r="S3337" t="s">
        <v>114</v>
      </c>
      <c r="T3337" t="s">
        <v>114</v>
      </c>
      <c r="U3337">
        <v>5</v>
      </c>
      <c r="W3337">
        <v>1155</v>
      </c>
      <c r="X3337">
        <v>0</v>
      </c>
      <c r="Y3337">
        <v>0</v>
      </c>
      <c r="Z3337">
        <v>0</v>
      </c>
      <c r="AA3337">
        <v>0</v>
      </c>
      <c r="AB3337">
        <v>0</v>
      </c>
      <c r="AC3337">
        <v>1155</v>
      </c>
      <c r="AD3337">
        <v>0</v>
      </c>
      <c r="AE3337">
        <v>0</v>
      </c>
      <c r="AF3337">
        <v>0</v>
      </c>
      <c r="AG3337">
        <v>0</v>
      </c>
      <c r="AH3337">
        <v>0</v>
      </c>
      <c r="AI3337">
        <v>0</v>
      </c>
      <c r="AJ3337">
        <v>0</v>
      </c>
      <c r="AK3337">
        <v>0</v>
      </c>
      <c r="AL3337">
        <v>0</v>
      </c>
      <c r="AM3337">
        <v>0</v>
      </c>
      <c r="AN3337">
        <v>0</v>
      </c>
      <c r="AO3337">
        <v>0</v>
      </c>
      <c r="AP3337">
        <v>0</v>
      </c>
      <c r="AQ3337">
        <v>0</v>
      </c>
      <c r="AR3337">
        <v>0</v>
      </c>
      <c r="AS3337">
        <v>0</v>
      </c>
      <c r="AT3337">
        <v>0</v>
      </c>
      <c r="AU3337">
        <f t="shared" si="102"/>
        <v>0</v>
      </c>
      <c r="AV3337">
        <f t="shared" si="103"/>
        <v>0</v>
      </c>
    </row>
    <row r="3338" spans="1:48" x14ac:dyDescent="0.25">
      <c r="A3338" t="s">
        <v>10791</v>
      </c>
      <c r="C3338" t="s">
        <v>6180</v>
      </c>
      <c r="D3338" t="s">
        <v>10792</v>
      </c>
      <c r="E3338" t="s">
        <v>1663</v>
      </c>
      <c r="F3338">
        <v>5</v>
      </c>
      <c r="G3338">
        <v>5.5</v>
      </c>
      <c r="H3338" t="s">
        <v>2017</v>
      </c>
      <c r="I3338" s="21">
        <v>40954</v>
      </c>
      <c r="J3338">
        <v>2012</v>
      </c>
      <c r="K3338" s="21">
        <v>40983</v>
      </c>
      <c r="L3338">
        <v>2012</v>
      </c>
      <c r="M3338" s="21">
        <v>41136</v>
      </c>
      <c r="N3338">
        <v>2012</v>
      </c>
      <c r="Q3338" s="262">
        <v>58000</v>
      </c>
      <c r="S3338" t="s">
        <v>114</v>
      </c>
      <c r="T3338" t="s">
        <v>114</v>
      </c>
      <c r="W3338">
        <v>108</v>
      </c>
      <c r="X3338">
        <v>0</v>
      </c>
      <c r="Y3338">
        <v>0</v>
      </c>
      <c r="Z3338">
        <v>0</v>
      </c>
      <c r="AA3338">
        <v>0</v>
      </c>
      <c r="AB3338">
        <v>0</v>
      </c>
      <c r="AC3338">
        <v>108</v>
      </c>
      <c r="AD3338">
        <v>0</v>
      </c>
      <c r="AE3338">
        <v>0</v>
      </c>
      <c r="AF3338">
        <v>0</v>
      </c>
      <c r="AG3338">
        <v>0</v>
      </c>
      <c r="AH3338">
        <v>0</v>
      </c>
      <c r="AI3338">
        <v>0</v>
      </c>
      <c r="AJ3338">
        <v>0</v>
      </c>
      <c r="AK3338">
        <v>0</v>
      </c>
      <c r="AL3338">
        <v>0</v>
      </c>
      <c r="AM3338">
        <v>0</v>
      </c>
      <c r="AN3338">
        <v>0</v>
      </c>
      <c r="AO3338">
        <v>0</v>
      </c>
      <c r="AP3338">
        <v>0</v>
      </c>
      <c r="AQ3338">
        <v>0</v>
      </c>
      <c r="AR3338">
        <v>0</v>
      </c>
      <c r="AS3338">
        <v>0</v>
      </c>
      <c r="AT3338">
        <v>0</v>
      </c>
      <c r="AU3338">
        <f t="shared" si="102"/>
        <v>0</v>
      </c>
      <c r="AV3338">
        <f t="shared" si="103"/>
        <v>0</v>
      </c>
    </row>
    <row r="3339" spans="1:48" x14ac:dyDescent="0.25">
      <c r="A3339" t="s">
        <v>10793</v>
      </c>
      <c r="C3339" t="s">
        <v>10794</v>
      </c>
      <c r="D3339" t="s">
        <v>10795</v>
      </c>
      <c r="E3339" t="s">
        <v>2310</v>
      </c>
      <c r="F3339">
        <v>8</v>
      </c>
      <c r="G3339">
        <v>8.1999999999999993</v>
      </c>
      <c r="H3339" t="s">
        <v>2022</v>
      </c>
      <c r="I3339" s="21">
        <v>40956.454039351898</v>
      </c>
      <c r="J3339">
        <v>2012</v>
      </c>
      <c r="K3339" s="21">
        <v>40956.454039351898</v>
      </c>
      <c r="L3339">
        <v>2012</v>
      </c>
      <c r="M3339" s="21">
        <v>41432.656678240703</v>
      </c>
      <c r="N3339">
        <v>2013</v>
      </c>
      <c r="Q3339" s="262">
        <v>1200000</v>
      </c>
      <c r="R3339" s="262">
        <v>352000</v>
      </c>
      <c r="S3339" t="s">
        <v>114</v>
      </c>
      <c r="T3339" t="s">
        <v>114</v>
      </c>
      <c r="U3339">
        <v>5</v>
      </c>
      <c r="W3339">
        <v>3944</v>
      </c>
      <c r="X3339">
        <v>1</v>
      </c>
      <c r="Y3339">
        <v>0</v>
      </c>
      <c r="Z3339">
        <v>0</v>
      </c>
      <c r="AA3339">
        <v>0</v>
      </c>
      <c r="AB3339">
        <v>0</v>
      </c>
      <c r="AC3339">
        <v>3944</v>
      </c>
      <c r="AD3339">
        <v>0</v>
      </c>
      <c r="AE3339">
        <v>0</v>
      </c>
      <c r="AF3339">
        <v>0</v>
      </c>
      <c r="AG3339">
        <v>0</v>
      </c>
      <c r="AH3339">
        <v>0</v>
      </c>
      <c r="AI3339">
        <v>0</v>
      </c>
      <c r="AJ3339">
        <v>0</v>
      </c>
      <c r="AK3339">
        <v>0</v>
      </c>
      <c r="AL3339">
        <v>0</v>
      </c>
      <c r="AM3339">
        <v>0</v>
      </c>
      <c r="AN3339">
        <v>0</v>
      </c>
      <c r="AO3339">
        <v>1</v>
      </c>
      <c r="AP3339">
        <v>0</v>
      </c>
      <c r="AQ3339">
        <v>0</v>
      </c>
      <c r="AR3339">
        <v>0</v>
      </c>
      <c r="AS3339">
        <v>0</v>
      </c>
      <c r="AT3339">
        <v>0</v>
      </c>
      <c r="AU3339">
        <f t="shared" si="102"/>
        <v>1</v>
      </c>
      <c r="AV3339">
        <f t="shared" si="103"/>
        <v>0</v>
      </c>
    </row>
    <row r="3340" spans="1:48" x14ac:dyDescent="0.25">
      <c r="A3340" t="s">
        <v>10796</v>
      </c>
      <c r="C3340" t="s">
        <v>10797</v>
      </c>
      <c r="D3340" t="s">
        <v>10798</v>
      </c>
      <c r="E3340" t="s">
        <v>2310</v>
      </c>
      <c r="F3340">
        <v>15</v>
      </c>
      <c r="G3340">
        <v>15.3</v>
      </c>
      <c r="H3340" t="s">
        <v>2022</v>
      </c>
      <c r="I3340" s="21">
        <v>40956.569062499999</v>
      </c>
      <c r="J3340">
        <v>2012</v>
      </c>
      <c r="K3340" s="21">
        <v>40956.569062499999</v>
      </c>
      <c r="L3340">
        <v>2012</v>
      </c>
      <c r="M3340" s="21">
        <v>42388.501238425903</v>
      </c>
      <c r="N3340">
        <v>2016</v>
      </c>
      <c r="Q3340" s="262">
        <v>138000</v>
      </c>
      <c r="R3340" s="262">
        <v>205000</v>
      </c>
      <c r="S3340" t="s">
        <v>114</v>
      </c>
      <c r="T3340" t="s">
        <v>114</v>
      </c>
      <c r="U3340">
        <v>5</v>
      </c>
      <c r="W3340">
        <v>2025</v>
      </c>
      <c r="X3340">
        <v>0</v>
      </c>
      <c r="Y3340">
        <v>0</v>
      </c>
      <c r="Z3340">
        <v>0</v>
      </c>
      <c r="AA3340">
        <v>0</v>
      </c>
      <c r="AB3340">
        <v>0</v>
      </c>
      <c r="AC3340">
        <v>2025</v>
      </c>
      <c r="AD3340">
        <v>0</v>
      </c>
      <c r="AE3340">
        <v>0</v>
      </c>
      <c r="AF3340">
        <v>0</v>
      </c>
      <c r="AG3340">
        <v>0</v>
      </c>
      <c r="AH3340">
        <v>0</v>
      </c>
      <c r="AI3340">
        <v>0</v>
      </c>
      <c r="AJ3340">
        <v>0</v>
      </c>
      <c r="AK3340">
        <v>0</v>
      </c>
      <c r="AL3340">
        <v>0</v>
      </c>
      <c r="AM3340">
        <v>0</v>
      </c>
      <c r="AN3340">
        <v>0</v>
      </c>
      <c r="AO3340">
        <v>0</v>
      </c>
      <c r="AP3340">
        <v>0</v>
      </c>
      <c r="AQ3340">
        <v>0</v>
      </c>
      <c r="AR3340">
        <v>0</v>
      </c>
      <c r="AS3340">
        <v>0</v>
      </c>
      <c r="AT3340">
        <v>0</v>
      </c>
      <c r="AU3340">
        <f t="shared" si="102"/>
        <v>0</v>
      </c>
      <c r="AV3340">
        <f t="shared" si="103"/>
        <v>0</v>
      </c>
    </row>
    <row r="3341" spans="1:48" x14ac:dyDescent="0.25">
      <c r="A3341" t="s">
        <v>10799</v>
      </c>
      <c r="C3341" t="s">
        <v>10800</v>
      </c>
      <c r="D3341" t="s">
        <v>10801</v>
      </c>
      <c r="E3341" t="s">
        <v>1663</v>
      </c>
      <c r="F3341">
        <v>2</v>
      </c>
      <c r="G3341">
        <v>2.2999999999999998</v>
      </c>
      <c r="H3341" t="s">
        <v>2327</v>
      </c>
      <c r="I3341" s="21">
        <v>40960</v>
      </c>
      <c r="J3341">
        <v>2012</v>
      </c>
      <c r="K3341" s="21">
        <v>40989</v>
      </c>
      <c r="L3341">
        <v>2012</v>
      </c>
      <c r="M3341" s="21">
        <v>41142</v>
      </c>
      <c r="N3341">
        <v>2012</v>
      </c>
      <c r="Q3341" s="262">
        <v>60000</v>
      </c>
      <c r="S3341" t="s">
        <v>114</v>
      </c>
      <c r="T3341" t="s">
        <v>114</v>
      </c>
      <c r="W3341">
        <v>764</v>
      </c>
      <c r="X3341">
        <v>2</v>
      </c>
      <c r="Y3341">
        <v>0</v>
      </c>
      <c r="Z3341">
        <v>0</v>
      </c>
      <c r="AA3341">
        <v>0</v>
      </c>
      <c r="AB3341">
        <v>0</v>
      </c>
      <c r="AC3341">
        <v>0</v>
      </c>
      <c r="AD3341">
        <v>0</v>
      </c>
      <c r="AE3341">
        <v>0</v>
      </c>
      <c r="AF3341">
        <v>0</v>
      </c>
      <c r="AG3341">
        <v>0</v>
      </c>
      <c r="AH3341">
        <v>0</v>
      </c>
      <c r="AI3341">
        <v>764</v>
      </c>
      <c r="AJ3341">
        <v>0</v>
      </c>
      <c r="AK3341">
        <v>0</v>
      </c>
      <c r="AL3341">
        <v>0</v>
      </c>
      <c r="AM3341">
        <v>0</v>
      </c>
      <c r="AN3341">
        <v>0</v>
      </c>
      <c r="AO3341">
        <v>0</v>
      </c>
      <c r="AP3341">
        <v>0</v>
      </c>
      <c r="AQ3341">
        <v>0</v>
      </c>
      <c r="AR3341">
        <v>0</v>
      </c>
      <c r="AS3341">
        <v>0</v>
      </c>
      <c r="AT3341">
        <v>2</v>
      </c>
      <c r="AU3341">
        <f t="shared" si="102"/>
        <v>0</v>
      </c>
      <c r="AV3341">
        <f t="shared" si="103"/>
        <v>764</v>
      </c>
    </row>
    <row r="3342" spans="1:48" x14ac:dyDescent="0.25">
      <c r="A3342" t="s">
        <v>10802</v>
      </c>
      <c r="C3342" t="s">
        <v>10803</v>
      </c>
      <c r="D3342" t="s">
        <v>10801</v>
      </c>
      <c r="E3342" t="s">
        <v>1663</v>
      </c>
      <c r="F3342">
        <v>2</v>
      </c>
      <c r="G3342">
        <v>2.2999999999999998</v>
      </c>
      <c r="H3342" t="s">
        <v>2327</v>
      </c>
      <c r="I3342" s="21">
        <v>40960</v>
      </c>
      <c r="J3342">
        <v>2012</v>
      </c>
      <c r="K3342" s="21">
        <v>40989</v>
      </c>
      <c r="L3342">
        <v>2012</v>
      </c>
      <c r="M3342" s="21">
        <v>41142</v>
      </c>
      <c r="N3342">
        <v>2012</v>
      </c>
      <c r="Q3342" s="262">
        <v>810000</v>
      </c>
      <c r="S3342" t="s">
        <v>114</v>
      </c>
      <c r="T3342" t="s">
        <v>114</v>
      </c>
      <c r="W3342">
        <v>10314</v>
      </c>
      <c r="X3342">
        <v>27</v>
      </c>
      <c r="Y3342">
        <v>0</v>
      </c>
      <c r="Z3342">
        <v>0</v>
      </c>
      <c r="AA3342">
        <v>0</v>
      </c>
      <c r="AB3342">
        <v>0</v>
      </c>
      <c r="AC3342">
        <v>0</v>
      </c>
      <c r="AD3342">
        <v>0</v>
      </c>
      <c r="AE3342">
        <v>0</v>
      </c>
      <c r="AF3342">
        <v>0</v>
      </c>
      <c r="AG3342">
        <v>0</v>
      </c>
      <c r="AH3342">
        <v>0</v>
      </c>
      <c r="AI3342">
        <v>10314</v>
      </c>
      <c r="AJ3342">
        <v>0</v>
      </c>
      <c r="AK3342">
        <v>0</v>
      </c>
      <c r="AL3342">
        <v>0</v>
      </c>
      <c r="AM3342">
        <v>0</v>
      </c>
      <c r="AN3342">
        <v>0</v>
      </c>
      <c r="AO3342">
        <v>0</v>
      </c>
      <c r="AP3342">
        <v>0</v>
      </c>
      <c r="AQ3342">
        <v>0</v>
      </c>
      <c r="AR3342">
        <v>0</v>
      </c>
      <c r="AS3342">
        <v>0</v>
      </c>
      <c r="AT3342">
        <v>27</v>
      </c>
      <c r="AU3342">
        <f t="shared" si="102"/>
        <v>0</v>
      </c>
      <c r="AV3342">
        <f t="shared" si="103"/>
        <v>10314</v>
      </c>
    </row>
    <row r="3343" spans="1:48" x14ac:dyDescent="0.25">
      <c r="A3343" t="s">
        <v>10804</v>
      </c>
      <c r="C3343" t="s">
        <v>10805</v>
      </c>
      <c r="D3343" t="s">
        <v>10801</v>
      </c>
      <c r="E3343" t="s">
        <v>1663</v>
      </c>
      <c r="F3343">
        <v>2</v>
      </c>
      <c r="G3343">
        <v>2.2999999999999998</v>
      </c>
      <c r="H3343" t="s">
        <v>2327</v>
      </c>
      <c r="I3343" s="21">
        <v>40960</v>
      </c>
      <c r="J3343">
        <v>2012</v>
      </c>
      <c r="K3343" s="21">
        <v>40989</v>
      </c>
      <c r="L3343">
        <v>2012</v>
      </c>
      <c r="M3343" s="21">
        <v>41142</v>
      </c>
      <c r="N3343">
        <v>2012</v>
      </c>
      <c r="Q3343" s="262">
        <v>212827.2</v>
      </c>
      <c r="S3343" t="s">
        <v>114</v>
      </c>
      <c r="T3343" t="s">
        <v>114</v>
      </c>
      <c r="W3343">
        <v>2115</v>
      </c>
      <c r="X3343">
        <v>-3</v>
      </c>
      <c r="Y3343">
        <v>0</v>
      </c>
      <c r="Z3343">
        <v>0</v>
      </c>
      <c r="AA3343">
        <v>0</v>
      </c>
      <c r="AB3343">
        <v>0</v>
      </c>
      <c r="AC3343">
        <v>0</v>
      </c>
      <c r="AD3343">
        <v>0</v>
      </c>
      <c r="AE3343">
        <v>0</v>
      </c>
      <c r="AF3343">
        <v>0</v>
      </c>
      <c r="AG3343">
        <v>0</v>
      </c>
      <c r="AH3343">
        <v>0</v>
      </c>
      <c r="AI3343">
        <v>2115</v>
      </c>
      <c r="AJ3343">
        <v>0</v>
      </c>
      <c r="AK3343">
        <v>0</v>
      </c>
      <c r="AL3343">
        <v>0</v>
      </c>
      <c r="AM3343">
        <v>0</v>
      </c>
      <c r="AN3343">
        <v>0</v>
      </c>
      <c r="AO3343">
        <v>0</v>
      </c>
      <c r="AP3343">
        <v>0</v>
      </c>
      <c r="AQ3343">
        <v>0</v>
      </c>
      <c r="AR3343">
        <v>0</v>
      </c>
      <c r="AS3343">
        <v>0</v>
      </c>
      <c r="AT3343">
        <v>-3</v>
      </c>
      <c r="AU3343">
        <f t="shared" si="102"/>
        <v>0</v>
      </c>
      <c r="AV3343">
        <f t="shared" si="103"/>
        <v>2115</v>
      </c>
    </row>
    <row r="3344" spans="1:48" x14ac:dyDescent="0.25">
      <c r="A3344" t="s">
        <v>10806</v>
      </c>
      <c r="C3344" t="s">
        <v>10807</v>
      </c>
      <c r="D3344" t="s">
        <v>10808</v>
      </c>
      <c r="E3344" t="s">
        <v>1663</v>
      </c>
      <c r="F3344">
        <v>4</v>
      </c>
      <c r="G3344">
        <v>4.3</v>
      </c>
      <c r="H3344" t="s">
        <v>2327</v>
      </c>
      <c r="I3344" s="21">
        <v>40967</v>
      </c>
      <c r="J3344">
        <v>2012</v>
      </c>
      <c r="K3344" s="21">
        <v>40996</v>
      </c>
      <c r="L3344">
        <v>2012</v>
      </c>
      <c r="M3344" s="21">
        <v>41149</v>
      </c>
      <c r="N3344">
        <v>2012</v>
      </c>
      <c r="Q3344" s="262">
        <v>800000</v>
      </c>
      <c r="S3344" t="s">
        <v>114</v>
      </c>
      <c r="T3344" t="s">
        <v>114</v>
      </c>
      <c r="W3344">
        <v>9212</v>
      </c>
      <c r="X3344">
        <v>7</v>
      </c>
      <c r="Y3344">
        <v>0</v>
      </c>
      <c r="Z3344">
        <v>0</v>
      </c>
      <c r="AA3344">
        <v>0</v>
      </c>
      <c r="AB3344">
        <v>0</v>
      </c>
      <c r="AC3344">
        <v>0</v>
      </c>
      <c r="AD3344">
        <v>4606</v>
      </c>
      <c r="AE3344">
        <v>0</v>
      </c>
      <c r="AF3344">
        <v>0</v>
      </c>
      <c r="AG3344">
        <v>0</v>
      </c>
      <c r="AH3344">
        <v>0</v>
      </c>
      <c r="AI3344">
        <v>0</v>
      </c>
      <c r="AJ3344">
        <v>4606</v>
      </c>
      <c r="AK3344">
        <v>0</v>
      </c>
      <c r="AL3344">
        <v>0</v>
      </c>
      <c r="AM3344">
        <v>0</v>
      </c>
      <c r="AN3344">
        <v>0</v>
      </c>
      <c r="AO3344">
        <v>0</v>
      </c>
      <c r="AP3344">
        <v>7</v>
      </c>
      <c r="AQ3344">
        <v>0</v>
      </c>
      <c r="AR3344">
        <v>0</v>
      </c>
      <c r="AS3344">
        <v>0</v>
      </c>
      <c r="AT3344">
        <v>0</v>
      </c>
      <c r="AU3344">
        <f t="shared" si="102"/>
        <v>7</v>
      </c>
      <c r="AV3344">
        <f t="shared" si="103"/>
        <v>4606</v>
      </c>
    </row>
    <row r="3345" spans="1:48" x14ac:dyDescent="0.25">
      <c r="A3345" t="s">
        <v>10809</v>
      </c>
      <c r="C3345" t="s">
        <v>10810</v>
      </c>
      <c r="D3345" t="s">
        <v>10811</v>
      </c>
      <c r="E3345" t="s">
        <v>2310</v>
      </c>
      <c r="F3345">
        <v>9</v>
      </c>
      <c r="G3345">
        <v>9.4</v>
      </c>
      <c r="H3345" t="s">
        <v>2323</v>
      </c>
      <c r="I3345" s="21">
        <v>40968.391331018502</v>
      </c>
      <c r="J3345">
        <v>2012</v>
      </c>
      <c r="K3345" s="21">
        <v>40968.391331018502</v>
      </c>
      <c r="L3345">
        <v>2012</v>
      </c>
      <c r="M3345" s="21">
        <v>41541.430289351898</v>
      </c>
      <c r="N3345">
        <v>2013</v>
      </c>
      <c r="Q3345" s="262">
        <v>2700000</v>
      </c>
      <c r="R3345" s="262">
        <v>592000</v>
      </c>
      <c r="S3345" t="s">
        <v>114</v>
      </c>
      <c r="T3345" t="s">
        <v>114</v>
      </c>
      <c r="U3345">
        <v>5</v>
      </c>
      <c r="W3345">
        <v>5958</v>
      </c>
      <c r="X3345">
        <v>1</v>
      </c>
      <c r="Y3345">
        <v>0</v>
      </c>
      <c r="Z3345">
        <v>0</v>
      </c>
      <c r="AA3345">
        <v>0</v>
      </c>
      <c r="AB3345">
        <v>0</v>
      </c>
      <c r="AC3345">
        <v>5958</v>
      </c>
      <c r="AD3345">
        <v>0</v>
      </c>
      <c r="AE3345">
        <v>0</v>
      </c>
      <c r="AF3345">
        <v>0</v>
      </c>
      <c r="AG3345">
        <v>0</v>
      </c>
      <c r="AH3345">
        <v>0</v>
      </c>
      <c r="AI3345">
        <v>0</v>
      </c>
      <c r="AJ3345">
        <v>0</v>
      </c>
      <c r="AK3345">
        <v>0</v>
      </c>
      <c r="AL3345">
        <v>0</v>
      </c>
      <c r="AM3345">
        <v>0</v>
      </c>
      <c r="AN3345">
        <v>0</v>
      </c>
      <c r="AO3345">
        <v>1</v>
      </c>
      <c r="AP3345">
        <v>0</v>
      </c>
      <c r="AQ3345">
        <v>0</v>
      </c>
      <c r="AR3345">
        <v>0</v>
      </c>
      <c r="AS3345">
        <v>0</v>
      </c>
      <c r="AT3345">
        <v>0</v>
      </c>
      <c r="AU3345">
        <f t="shared" si="102"/>
        <v>1</v>
      </c>
      <c r="AV3345">
        <f t="shared" si="103"/>
        <v>0</v>
      </c>
    </row>
    <row r="3346" spans="1:48" x14ac:dyDescent="0.25">
      <c r="A3346" t="s">
        <v>10812</v>
      </c>
      <c r="C3346" t="s">
        <v>10813</v>
      </c>
      <c r="D3346" t="s">
        <v>10814</v>
      </c>
      <c r="E3346" t="s">
        <v>2310</v>
      </c>
      <c r="F3346">
        <v>9</v>
      </c>
      <c r="G3346">
        <v>9.1</v>
      </c>
      <c r="H3346" t="s">
        <v>2323</v>
      </c>
      <c r="I3346" s="21">
        <v>40975.348067129598</v>
      </c>
      <c r="J3346">
        <v>2012</v>
      </c>
      <c r="K3346" s="21">
        <v>40975.348067129598</v>
      </c>
      <c r="L3346">
        <v>2012</v>
      </c>
      <c r="M3346" s="21">
        <v>41137.416215277801</v>
      </c>
      <c r="N3346">
        <v>2012</v>
      </c>
      <c r="Q3346" s="262">
        <v>250000</v>
      </c>
      <c r="R3346" s="262">
        <v>29000</v>
      </c>
      <c r="S3346" t="s">
        <v>114</v>
      </c>
      <c r="T3346" t="s">
        <v>114</v>
      </c>
      <c r="U3346">
        <v>5</v>
      </c>
      <c r="W3346">
        <v>396</v>
      </c>
      <c r="X3346">
        <v>0</v>
      </c>
      <c r="Y3346">
        <v>0</v>
      </c>
      <c r="Z3346">
        <v>0</v>
      </c>
      <c r="AA3346">
        <v>0</v>
      </c>
      <c r="AB3346">
        <v>0</v>
      </c>
      <c r="AC3346">
        <v>396</v>
      </c>
      <c r="AD3346">
        <v>0</v>
      </c>
      <c r="AE3346">
        <v>0</v>
      </c>
      <c r="AF3346">
        <v>0</v>
      </c>
      <c r="AG3346">
        <v>0</v>
      </c>
      <c r="AH3346">
        <v>0</v>
      </c>
      <c r="AI3346">
        <v>0</v>
      </c>
      <c r="AJ3346">
        <v>0</v>
      </c>
      <c r="AK3346">
        <v>0</v>
      </c>
      <c r="AL3346">
        <v>0</v>
      </c>
      <c r="AM3346">
        <v>0</v>
      </c>
      <c r="AN3346">
        <v>0</v>
      </c>
      <c r="AO3346">
        <v>0</v>
      </c>
      <c r="AP3346">
        <v>0</v>
      </c>
      <c r="AQ3346">
        <v>0</v>
      </c>
      <c r="AR3346">
        <v>0</v>
      </c>
      <c r="AS3346">
        <v>0</v>
      </c>
      <c r="AT3346">
        <v>0</v>
      </c>
      <c r="AU3346">
        <f t="shared" si="102"/>
        <v>0</v>
      </c>
      <c r="AV3346">
        <f t="shared" si="103"/>
        <v>0</v>
      </c>
    </row>
    <row r="3347" spans="1:48" x14ac:dyDescent="0.25">
      <c r="A3347" t="s">
        <v>10815</v>
      </c>
      <c r="C3347" t="s">
        <v>10816</v>
      </c>
      <c r="D3347" t="s">
        <v>10107</v>
      </c>
      <c r="E3347" t="s">
        <v>2310</v>
      </c>
      <c r="F3347">
        <v>13</v>
      </c>
      <c r="G3347">
        <v>13.1</v>
      </c>
      <c r="H3347" t="s">
        <v>2327</v>
      </c>
      <c r="I3347" s="21">
        <v>40975.428692129601</v>
      </c>
      <c r="J3347">
        <v>2012</v>
      </c>
      <c r="K3347" s="21">
        <v>40975.428692129601</v>
      </c>
      <c r="L3347">
        <v>2012</v>
      </c>
      <c r="M3347" s="21">
        <v>41320.354398148098</v>
      </c>
      <c r="N3347">
        <v>2013</v>
      </c>
      <c r="Q3347" s="262">
        <v>186000</v>
      </c>
      <c r="R3347" s="262">
        <v>160000</v>
      </c>
      <c r="S3347" t="s">
        <v>114</v>
      </c>
      <c r="T3347" t="s">
        <v>114</v>
      </c>
      <c r="U3347">
        <v>6</v>
      </c>
      <c r="W3347">
        <v>1715</v>
      </c>
      <c r="X3347">
        <v>1</v>
      </c>
      <c r="Y3347">
        <v>0</v>
      </c>
      <c r="Z3347">
        <v>0</v>
      </c>
      <c r="AA3347">
        <v>0</v>
      </c>
      <c r="AB3347">
        <v>0</v>
      </c>
      <c r="AC3347">
        <v>0</v>
      </c>
      <c r="AD3347">
        <v>1715</v>
      </c>
      <c r="AE3347">
        <v>0</v>
      </c>
      <c r="AF3347">
        <v>0</v>
      </c>
      <c r="AG3347">
        <v>0</v>
      </c>
      <c r="AH3347">
        <v>0</v>
      </c>
      <c r="AI3347">
        <v>0</v>
      </c>
      <c r="AJ3347">
        <v>0</v>
      </c>
      <c r="AK3347">
        <v>0</v>
      </c>
      <c r="AL3347">
        <v>0</v>
      </c>
      <c r="AM3347">
        <v>0</v>
      </c>
      <c r="AN3347">
        <v>0</v>
      </c>
      <c r="AO3347">
        <v>0</v>
      </c>
      <c r="AP3347">
        <v>1</v>
      </c>
      <c r="AQ3347">
        <v>0</v>
      </c>
      <c r="AR3347">
        <v>0</v>
      </c>
      <c r="AS3347">
        <v>0</v>
      </c>
      <c r="AT3347">
        <v>0</v>
      </c>
      <c r="AU3347">
        <f t="shared" si="102"/>
        <v>1</v>
      </c>
      <c r="AV3347">
        <f t="shared" si="103"/>
        <v>0</v>
      </c>
    </row>
    <row r="3348" spans="1:48" x14ac:dyDescent="0.25">
      <c r="A3348" t="s">
        <v>10817</v>
      </c>
      <c r="C3348" t="s">
        <v>10818</v>
      </c>
      <c r="D3348" t="s">
        <v>10107</v>
      </c>
      <c r="E3348" t="s">
        <v>2310</v>
      </c>
      <c r="F3348">
        <v>13</v>
      </c>
      <c r="G3348">
        <v>13.1</v>
      </c>
      <c r="H3348" t="s">
        <v>2327</v>
      </c>
      <c r="I3348" s="21">
        <v>40975.4393865741</v>
      </c>
      <c r="J3348">
        <v>2012</v>
      </c>
      <c r="K3348" s="21">
        <v>40975.4393865741</v>
      </c>
      <c r="L3348">
        <v>2012</v>
      </c>
      <c r="M3348" s="21">
        <v>41320.356886574104</v>
      </c>
      <c r="N3348">
        <v>2013</v>
      </c>
      <c r="Q3348" s="262">
        <v>186000</v>
      </c>
      <c r="R3348" s="262">
        <v>160000</v>
      </c>
      <c r="S3348" t="s">
        <v>114</v>
      </c>
      <c r="T3348" t="s">
        <v>114</v>
      </c>
      <c r="U3348">
        <v>6</v>
      </c>
      <c r="W3348">
        <v>1715</v>
      </c>
      <c r="X3348">
        <v>1</v>
      </c>
      <c r="Y3348">
        <v>0</v>
      </c>
      <c r="Z3348">
        <v>0</v>
      </c>
      <c r="AA3348">
        <v>0</v>
      </c>
      <c r="AB3348">
        <v>0</v>
      </c>
      <c r="AC3348">
        <v>0</v>
      </c>
      <c r="AD3348">
        <v>1715</v>
      </c>
      <c r="AE3348">
        <v>0</v>
      </c>
      <c r="AF3348">
        <v>0</v>
      </c>
      <c r="AG3348">
        <v>0</v>
      </c>
      <c r="AH3348">
        <v>0</v>
      </c>
      <c r="AI3348">
        <v>0</v>
      </c>
      <c r="AJ3348">
        <v>0</v>
      </c>
      <c r="AK3348">
        <v>0</v>
      </c>
      <c r="AL3348">
        <v>0</v>
      </c>
      <c r="AM3348">
        <v>0</v>
      </c>
      <c r="AN3348">
        <v>0</v>
      </c>
      <c r="AO3348">
        <v>0</v>
      </c>
      <c r="AP3348">
        <v>1</v>
      </c>
      <c r="AQ3348">
        <v>0</v>
      </c>
      <c r="AR3348">
        <v>0</v>
      </c>
      <c r="AS3348">
        <v>0</v>
      </c>
      <c r="AT3348">
        <v>0</v>
      </c>
      <c r="AU3348">
        <f t="shared" si="102"/>
        <v>1</v>
      </c>
      <c r="AV3348">
        <f t="shared" si="103"/>
        <v>0</v>
      </c>
    </row>
    <row r="3349" spans="1:48" x14ac:dyDescent="0.25">
      <c r="A3349" t="s">
        <v>10819</v>
      </c>
      <c r="C3349" t="s">
        <v>10818</v>
      </c>
      <c r="D3349" t="s">
        <v>10107</v>
      </c>
      <c r="E3349" t="s">
        <v>2310</v>
      </c>
      <c r="F3349">
        <v>13</v>
      </c>
      <c r="G3349">
        <v>13.1</v>
      </c>
      <c r="H3349" t="s">
        <v>2327</v>
      </c>
      <c r="I3349" s="21">
        <v>40975.439456018503</v>
      </c>
      <c r="J3349">
        <v>2012</v>
      </c>
      <c r="K3349" s="21">
        <v>40975.439456018503</v>
      </c>
      <c r="L3349">
        <v>2012</v>
      </c>
      <c r="M3349" s="21">
        <v>41320.3592824074</v>
      </c>
      <c r="N3349">
        <v>2013</v>
      </c>
      <c r="Q3349" s="262">
        <v>186000</v>
      </c>
      <c r="R3349" s="262">
        <v>160000</v>
      </c>
      <c r="S3349" t="s">
        <v>114</v>
      </c>
      <c r="T3349" t="s">
        <v>114</v>
      </c>
      <c r="U3349">
        <v>6</v>
      </c>
      <c r="W3349">
        <v>1715</v>
      </c>
      <c r="X3349">
        <v>1</v>
      </c>
      <c r="Y3349">
        <v>0</v>
      </c>
      <c r="Z3349">
        <v>0</v>
      </c>
      <c r="AA3349">
        <v>0</v>
      </c>
      <c r="AB3349">
        <v>0</v>
      </c>
      <c r="AC3349">
        <v>0</v>
      </c>
      <c r="AD3349">
        <v>1715</v>
      </c>
      <c r="AE3349">
        <v>0</v>
      </c>
      <c r="AF3349">
        <v>0</v>
      </c>
      <c r="AG3349">
        <v>0</v>
      </c>
      <c r="AH3349">
        <v>0</v>
      </c>
      <c r="AI3349">
        <v>0</v>
      </c>
      <c r="AJ3349">
        <v>0</v>
      </c>
      <c r="AK3349">
        <v>0</v>
      </c>
      <c r="AL3349">
        <v>0</v>
      </c>
      <c r="AM3349">
        <v>0</v>
      </c>
      <c r="AN3349">
        <v>0</v>
      </c>
      <c r="AO3349">
        <v>0</v>
      </c>
      <c r="AP3349">
        <v>1</v>
      </c>
      <c r="AQ3349">
        <v>0</v>
      </c>
      <c r="AR3349">
        <v>0</v>
      </c>
      <c r="AS3349">
        <v>0</v>
      </c>
      <c r="AT3349">
        <v>0</v>
      </c>
      <c r="AU3349">
        <f t="shared" si="102"/>
        <v>1</v>
      </c>
      <c r="AV3349">
        <f t="shared" si="103"/>
        <v>0</v>
      </c>
    </row>
    <row r="3350" spans="1:48" x14ac:dyDescent="0.25">
      <c r="A3350" t="s">
        <v>10820</v>
      </c>
      <c r="C3350" t="s">
        <v>10818</v>
      </c>
      <c r="D3350" t="s">
        <v>10107</v>
      </c>
      <c r="E3350" t="s">
        <v>2310</v>
      </c>
      <c r="F3350">
        <v>13</v>
      </c>
      <c r="G3350">
        <v>13.1</v>
      </c>
      <c r="H3350" t="s">
        <v>2327</v>
      </c>
      <c r="I3350" s="21">
        <v>40975.439513888901</v>
      </c>
      <c r="J3350">
        <v>2012</v>
      </c>
      <c r="K3350" s="21">
        <v>40975.439513888901</v>
      </c>
      <c r="L3350">
        <v>2012</v>
      </c>
      <c r="M3350" s="21">
        <v>41320.372187499997</v>
      </c>
      <c r="N3350">
        <v>2013</v>
      </c>
      <c r="Q3350" s="262">
        <v>186000</v>
      </c>
      <c r="R3350" s="262">
        <v>160000</v>
      </c>
      <c r="S3350" t="s">
        <v>114</v>
      </c>
      <c r="T3350" t="s">
        <v>114</v>
      </c>
      <c r="U3350">
        <v>6</v>
      </c>
      <c r="W3350">
        <v>1715</v>
      </c>
      <c r="X3350">
        <v>1</v>
      </c>
      <c r="Y3350">
        <v>0</v>
      </c>
      <c r="Z3350">
        <v>0</v>
      </c>
      <c r="AA3350">
        <v>0</v>
      </c>
      <c r="AB3350">
        <v>0</v>
      </c>
      <c r="AC3350">
        <v>0</v>
      </c>
      <c r="AD3350">
        <v>1715</v>
      </c>
      <c r="AE3350">
        <v>0</v>
      </c>
      <c r="AF3350">
        <v>0</v>
      </c>
      <c r="AG3350">
        <v>0</v>
      </c>
      <c r="AH3350">
        <v>0</v>
      </c>
      <c r="AI3350">
        <v>0</v>
      </c>
      <c r="AJ3350">
        <v>0</v>
      </c>
      <c r="AK3350">
        <v>0</v>
      </c>
      <c r="AL3350">
        <v>0</v>
      </c>
      <c r="AM3350">
        <v>0</v>
      </c>
      <c r="AN3350">
        <v>0</v>
      </c>
      <c r="AO3350">
        <v>0</v>
      </c>
      <c r="AP3350">
        <v>1</v>
      </c>
      <c r="AQ3350">
        <v>0</v>
      </c>
      <c r="AR3350">
        <v>0</v>
      </c>
      <c r="AS3350">
        <v>0</v>
      </c>
      <c r="AT3350">
        <v>0</v>
      </c>
      <c r="AU3350">
        <f t="shared" si="102"/>
        <v>1</v>
      </c>
      <c r="AV3350">
        <f t="shared" si="103"/>
        <v>0</v>
      </c>
    </row>
    <row r="3351" spans="1:48" x14ac:dyDescent="0.25">
      <c r="A3351" t="s">
        <v>10821</v>
      </c>
      <c r="C3351" t="s">
        <v>10818</v>
      </c>
      <c r="D3351" t="s">
        <v>10107</v>
      </c>
      <c r="E3351" t="s">
        <v>2310</v>
      </c>
      <c r="F3351">
        <v>13</v>
      </c>
      <c r="G3351">
        <v>13.1</v>
      </c>
      <c r="H3351" t="s">
        <v>2327</v>
      </c>
      <c r="I3351" s="21">
        <v>40975.4395717593</v>
      </c>
      <c r="J3351">
        <v>2012</v>
      </c>
      <c r="K3351" s="21">
        <v>40975.4395717593</v>
      </c>
      <c r="L3351">
        <v>2012</v>
      </c>
      <c r="M3351" s="21">
        <v>41368.680462962999</v>
      </c>
      <c r="N3351">
        <v>2013</v>
      </c>
      <c r="Q3351" s="262">
        <v>186000</v>
      </c>
      <c r="R3351" s="262">
        <v>160000</v>
      </c>
      <c r="S3351" t="s">
        <v>114</v>
      </c>
      <c r="T3351" t="s">
        <v>114</v>
      </c>
      <c r="U3351">
        <v>6</v>
      </c>
      <c r="W3351">
        <v>1715</v>
      </c>
      <c r="X3351">
        <v>1</v>
      </c>
      <c r="Y3351">
        <v>0</v>
      </c>
      <c r="Z3351">
        <v>0</v>
      </c>
      <c r="AA3351">
        <v>0</v>
      </c>
      <c r="AB3351">
        <v>0</v>
      </c>
      <c r="AC3351">
        <v>0</v>
      </c>
      <c r="AD3351">
        <v>1715</v>
      </c>
      <c r="AE3351">
        <v>0</v>
      </c>
      <c r="AF3351">
        <v>0</v>
      </c>
      <c r="AG3351">
        <v>0</v>
      </c>
      <c r="AH3351">
        <v>0</v>
      </c>
      <c r="AI3351">
        <v>0</v>
      </c>
      <c r="AJ3351">
        <v>0</v>
      </c>
      <c r="AK3351">
        <v>0</v>
      </c>
      <c r="AL3351">
        <v>0</v>
      </c>
      <c r="AM3351">
        <v>0</v>
      </c>
      <c r="AN3351">
        <v>0</v>
      </c>
      <c r="AO3351">
        <v>0</v>
      </c>
      <c r="AP3351">
        <v>1</v>
      </c>
      <c r="AQ3351">
        <v>0</v>
      </c>
      <c r="AR3351">
        <v>0</v>
      </c>
      <c r="AS3351">
        <v>0</v>
      </c>
      <c r="AT3351">
        <v>0</v>
      </c>
      <c r="AU3351">
        <f t="shared" si="102"/>
        <v>1</v>
      </c>
      <c r="AV3351">
        <f t="shared" si="103"/>
        <v>0</v>
      </c>
    </row>
    <row r="3352" spans="1:48" x14ac:dyDescent="0.25">
      <c r="A3352" t="s">
        <v>10822</v>
      </c>
      <c r="C3352" t="s">
        <v>10818</v>
      </c>
      <c r="D3352" t="s">
        <v>10107</v>
      </c>
      <c r="E3352" t="s">
        <v>2310</v>
      </c>
      <c r="F3352">
        <v>13</v>
      </c>
      <c r="G3352">
        <v>13.1</v>
      </c>
      <c r="H3352" t="s">
        <v>2327</v>
      </c>
      <c r="I3352" s="21">
        <v>40975.439629629604</v>
      </c>
      <c r="J3352">
        <v>2012</v>
      </c>
      <c r="K3352" s="21">
        <v>40975.439629629604</v>
      </c>
      <c r="L3352">
        <v>2012</v>
      </c>
      <c r="M3352" s="21">
        <v>41340.622407407398</v>
      </c>
      <c r="N3352">
        <v>2013</v>
      </c>
      <c r="Q3352" s="262">
        <v>186000</v>
      </c>
      <c r="R3352" s="262">
        <v>160000</v>
      </c>
      <c r="S3352" t="s">
        <v>114</v>
      </c>
      <c r="T3352" t="s">
        <v>114</v>
      </c>
      <c r="U3352">
        <v>6</v>
      </c>
      <c r="W3352">
        <v>1715</v>
      </c>
      <c r="X3352">
        <v>1</v>
      </c>
      <c r="Y3352">
        <v>0</v>
      </c>
      <c r="Z3352">
        <v>0</v>
      </c>
      <c r="AA3352">
        <v>0</v>
      </c>
      <c r="AB3352">
        <v>0</v>
      </c>
      <c r="AC3352">
        <v>0</v>
      </c>
      <c r="AD3352">
        <v>1715</v>
      </c>
      <c r="AE3352">
        <v>0</v>
      </c>
      <c r="AF3352">
        <v>0</v>
      </c>
      <c r="AG3352">
        <v>0</v>
      </c>
      <c r="AH3352">
        <v>0</v>
      </c>
      <c r="AI3352">
        <v>0</v>
      </c>
      <c r="AJ3352">
        <v>0</v>
      </c>
      <c r="AK3352">
        <v>0</v>
      </c>
      <c r="AL3352">
        <v>0</v>
      </c>
      <c r="AM3352">
        <v>0</v>
      </c>
      <c r="AN3352">
        <v>0</v>
      </c>
      <c r="AO3352">
        <v>0</v>
      </c>
      <c r="AP3352">
        <v>1</v>
      </c>
      <c r="AQ3352">
        <v>0</v>
      </c>
      <c r="AR3352">
        <v>0</v>
      </c>
      <c r="AS3352">
        <v>0</v>
      </c>
      <c r="AT3352">
        <v>0</v>
      </c>
      <c r="AU3352">
        <f t="shared" si="102"/>
        <v>1</v>
      </c>
      <c r="AV3352">
        <f t="shared" si="103"/>
        <v>0</v>
      </c>
    </row>
    <row r="3353" spans="1:48" x14ac:dyDescent="0.25">
      <c r="A3353" t="s">
        <v>10823</v>
      </c>
      <c r="C3353" t="s">
        <v>7880</v>
      </c>
      <c r="D3353" t="s">
        <v>10824</v>
      </c>
      <c r="E3353" t="s">
        <v>2310</v>
      </c>
      <c r="F3353">
        <v>5</v>
      </c>
      <c r="G3353">
        <v>5.5</v>
      </c>
      <c r="H3353" t="s">
        <v>2017</v>
      </c>
      <c r="I3353" s="21">
        <v>40975.604467592602</v>
      </c>
      <c r="J3353">
        <v>2012</v>
      </c>
      <c r="K3353" s="21">
        <v>40975.604467592602</v>
      </c>
      <c r="L3353">
        <v>2012</v>
      </c>
      <c r="M3353" s="21">
        <v>41415.491747685199</v>
      </c>
      <c r="N3353">
        <v>2013</v>
      </c>
      <c r="Q3353" s="262">
        <v>50000</v>
      </c>
      <c r="R3353" s="262">
        <v>29000</v>
      </c>
      <c r="S3353" t="s">
        <v>114</v>
      </c>
      <c r="T3353" t="s">
        <v>114</v>
      </c>
      <c r="U3353">
        <v>5</v>
      </c>
      <c r="W3353">
        <v>728</v>
      </c>
      <c r="X3353">
        <v>0</v>
      </c>
      <c r="Y3353">
        <v>0</v>
      </c>
      <c r="Z3353">
        <v>0</v>
      </c>
      <c r="AA3353">
        <v>0</v>
      </c>
      <c r="AB3353">
        <v>0</v>
      </c>
      <c r="AC3353">
        <v>728</v>
      </c>
      <c r="AD3353">
        <v>0</v>
      </c>
      <c r="AE3353">
        <v>0</v>
      </c>
      <c r="AF3353">
        <v>0</v>
      </c>
      <c r="AG3353">
        <v>0</v>
      </c>
      <c r="AH3353">
        <v>0</v>
      </c>
      <c r="AI3353">
        <v>0</v>
      </c>
      <c r="AJ3353">
        <v>0</v>
      </c>
      <c r="AK3353">
        <v>0</v>
      </c>
      <c r="AL3353">
        <v>0</v>
      </c>
      <c r="AM3353">
        <v>0</v>
      </c>
      <c r="AN3353">
        <v>0</v>
      </c>
      <c r="AO3353">
        <v>0</v>
      </c>
      <c r="AP3353">
        <v>0</v>
      </c>
      <c r="AQ3353">
        <v>0</v>
      </c>
      <c r="AR3353">
        <v>0</v>
      </c>
      <c r="AS3353">
        <v>0</v>
      </c>
      <c r="AT3353">
        <v>0</v>
      </c>
      <c r="AU3353">
        <f t="shared" ref="AU3353:AU3416" si="104">SUM(AN3353:AQ3353,AS3353)</f>
        <v>0</v>
      </c>
      <c r="AV3353">
        <f t="shared" ref="AV3353:AV3416" si="105">SUM(Y3353:AB3353,AH3353:AM3353)</f>
        <v>0</v>
      </c>
    </row>
    <row r="3354" spans="1:48" x14ac:dyDescent="0.25">
      <c r="A3354" t="s">
        <v>10825</v>
      </c>
      <c r="C3354" t="s">
        <v>10826</v>
      </c>
      <c r="D3354" t="s">
        <v>10827</v>
      </c>
      <c r="E3354" t="s">
        <v>2310</v>
      </c>
      <c r="F3354">
        <v>9</v>
      </c>
      <c r="G3354">
        <v>9.1999999999999993</v>
      </c>
      <c r="H3354" t="s">
        <v>2022</v>
      </c>
      <c r="I3354" s="21">
        <v>40975.651111111103</v>
      </c>
      <c r="J3354">
        <v>2012</v>
      </c>
      <c r="K3354" s="21">
        <v>40975.651111111103</v>
      </c>
      <c r="L3354">
        <v>2012</v>
      </c>
      <c r="M3354" s="21">
        <v>41618.65</v>
      </c>
      <c r="N3354">
        <v>2013</v>
      </c>
      <c r="Q3354" s="262">
        <v>4000000</v>
      </c>
      <c r="R3354" s="262">
        <v>734000</v>
      </c>
      <c r="S3354" t="s">
        <v>114</v>
      </c>
      <c r="T3354" t="s">
        <v>114</v>
      </c>
      <c r="U3354">
        <v>5</v>
      </c>
      <c r="W3354">
        <v>7554</v>
      </c>
      <c r="X3354">
        <v>1</v>
      </c>
      <c r="Y3354">
        <v>0</v>
      </c>
      <c r="Z3354">
        <v>0</v>
      </c>
      <c r="AA3354">
        <v>0</v>
      </c>
      <c r="AB3354">
        <v>0</v>
      </c>
      <c r="AC3354">
        <v>7554</v>
      </c>
      <c r="AD3354">
        <v>0</v>
      </c>
      <c r="AE3354">
        <v>0</v>
      </c>
      <c r="AF3354">
        <v>0</v>
      </c>
      <c r="AG3354">
        <v>0</v>
      </c>
      <c r="AH3354">
        <v>0</v>
      </c>
      <c r="AI3354">
        <v>0</v>
      </c>
      <c r="AJ3354">
        <v>0</v>
      </c>
      <c r="AK3354">
        <v>0</v>
      </c>
      <c r="AL3354">
        <v>0</v>
      </c>
      <c r="AM3354">
        <v>0</v>
      </c>
      <c r="AN3354">
        <v>0</v>
      </c>
      <c r="AO3354">
        <v>1</v>
      </c>
      <c r="AP3354">
        <v>0</v>
      </c>
      <c r="AQ3354">
        <v>0</v>
      </c>
      <c r="AR3354">
        <v>0</v>
      </c>
      <c r="AS3354">
        <v>0</v>
      </c>
      <c r="AT3354">
        <v>0</v>
      </c>
      <c r="AU3354">
        <f t="shared" si="104"/>
        <v>1</v>
      </c>
      <c r="AV3354">
        <f t="shared" si="105"/>
        <v>0</v>
      </c>
    </row>
    <row r="3355" spans="1:48" x14ac:dyDescent="0.25">
      <c r="A3355" t="s">
        <v>10828</v>
      </c>
      <c r="C3355" t="s">
        <v>10829</v>
      </c>
      <c r="D3355" t="s">
        <v>10830</v>
      </c>
      <c r="E3355" t="s">
        <v>1663</v>
      </c>
      <c r="F3355">
        <v>3</v>
      </c>
      <c r="G3355">
        <v>3.2</v>
      </c>
      <c r="H3355" t="s">
        <v>2327</v>
      </c>
      <c r="I3355" s="21">
        <v>40977</v>
      </c>
      <c r="J3355">
        <v>2012</v>
      </c>
      <c r="K3355" s="21">
        <v>41008</v>
      </c>
      <c r="L3355">
        <v>2012</v>
      </c>
      <c r="M3355" s="21">
        <v>41161</v>
      </c>
      <c r="N3355">
        <v>2012</v>
      </c>
      <c r="Q3355" s="262">
        <v>150000</v>
      </c>
      <c r="S3355" t="s">
        <v>114</v>
      </c>
      <c r="T3355" t="s">
        <v>114</v>
      </c>
      <c r="W3355">
        <v>1400</v>
      </c>
      <c r="X3355">
        <v>1</v>
      </c>
      <c r="Y3355">
        <v>0</v>
      </c>
      <c r="Z3355">
        <v>0</v>
      </c>
      <c r="AA3355">
        <v>0</v>
      </c>
      <c r="AB3355">
        <v>0</v>
      </c>
      <c r="AC3355">
        <v>1400</v>
      </c>
      <c r="AD3355">
        <v>0</v>
      </c>
      <c r="AE3355">
        <v>0</v>
      </c>
      <c r="AF3355">
        <v>0</v>
      </c>
      <c r="AG3355">
        <v>0</v>
      </c>
      <c r="AH3355">
        <v>0</v>
      </c>
      <c r="AI3355">
        <v>0</v>
      </c>
      <c r="AJ3355">
        <v>0</v>
      </c>
      <c r="AK3355">
        <v>0</v>
      </c>
      <c r="AL3355">
        <v>0</v>
      </c>
      <c r="AM3355">
        <v>0</v>
      </c>
      <c r="AN3355">
        <v>0</v>
      </c>
      <c r="AO3355">
        <v>1</v>
      </c>
      <c r="AP3355">
        <v>0</v>
      </c>
      <c r="AQ3355">
        <v>0</v>
      </c>
      <c r="AR3355">
        <v>0</v>
      </c>
      <c r="AS3355">
        <v>0</v>
      </c>
      <c r="AT3355">
        <v>0</v>
      </c>
      <c r="AU3355">
        <f t="shared" si="104"/>
        <v>1</v>
      </c>
      <c r="AV3355">
        <f t="shared" si="105"/>
        <v>0</v>
      </c>
    </row>
    <row r="3356" spans="1:48" x14ac:dyDescent="0.25">
      <c r="A3356" t="s">
        <v>10831</v>
      </c>
      <c r="C3356" t="s">
        <v>10832</v>
      </c>
      <c r="D3356" t="s">
        <v>10107</v>
      </c>
      <c r="E3356" t="s">
        <v>2310</v>
      </c>
      <c r="F3356">
        <v>13</v>
      </c>
      <c r="G3356">
        <v>13.1</v>
      </c>
      <c r="H3356" t="s">
        <v>2327</v>
      </c>
      <c r="I3356" s="21">
        <v>40981.512002314797</v>
      </c>
      <c r="J3356">
        <v>2012</v>
      </c>
      <c r="K3356" s="21">
        <v>40981.512002314797</v>
      </c>
      <c r="L3356">
        <v>2012</v>
      </c>
      <c r="M3356" s="21">
        <v>41346.583715277797</v>
      </c>
      <c r="N3356">
        <v>2013</v>
      </c>
      <c r="Q3356" s="262">
        <v>186000</v>
      </c>
      <c r="R3356" s="262">
        <v>160000</v>
      </c>
      <c r="S3356" t="s">
        <v>114</v>
      </c>
      <c r="T3356" t="s">
        <v>114</v>
      </c>
      <c r="U3356">
        <v>6</v>
      </c>
      <c r="W3356">
        <v>1715</v>
      </c>
      <c r="X3356">
        <v>1</v>
      </c>
      <c r="Y3356">
        <v>0</v>
      </c>
      <c r="Z3356">
        <v>0</v>
      </c>
      <c r="AA3356">
        <v>0</v>
      </c>
      <c r="AB3356">
        <v>0</v>
      </c>
      <c r="AC3356">
        <v>0</v>
      </c>
      <c r="AD3356">
        <v>1715</v>
      </c>
      <c r="AE3356">
        <v>0</v>
      </c>
      <c r="AF3356">
        <v>0</v>
      </c>
      <c r="AG3356">
        <v>0</v>
      </c>
      <c r="AH3356">
        <v>0</v>
      </c>
      <c r="AI3356">
        <v>0</v>
      </c>
      <c r="AJ3356">
        <v>0</v>
      </c>
      <c r="AK3356">
        <v>0</v>
      </c>
      <c r="AL3356">
        <v>0</v>
      </c>
      <c r="AM3356">
        <v>0</v>
      </c>
      <c r="AN3356">
        <v>0</v>
      </c>
      <c r="AO3356">
        <v>0</v>
      </c>
      <c r="AP3356">
        <v>1</v>
      </c>
      <c r="AQ3356">
        <v>0</v>
      </c>
      <c r="AR3356">
        <v>0</v>
      </c>
      <c r="AS3356">
        <v>0</v>
      </c>
      <c r="AT3356">
        <v>0</v>
      </c>
      <c r="AU3356">
        <f t="shared" si="104"/>
        <v>1</v>
      </c>
      <c r="AV3356">
        <f t="shared" si="105"/>
        <v>0</v>
      </c>
    </row>
    <row r="3357" spans="1:48" x14ac:dyDescent="0.25">
      <c r="A3357" t="s">
        <v>10833</v>
      </c>
      <c r="C3357" t="s">
        <v>10832</v>
      </c>
      <c r="D3357" t="s">
        <v>10107</v>
      </c>
      <c r="E3357" t="s">
        <v>2310</v>
      </c>
      <c r="F3357">
        <v>13</v>
      </c>
      <c r="G3357">
        <v>13.1</v>
      </c>
      <c r="H3357" t="s">
        <v>2327</v>
      </c>
      <c r="I3357" s="21">
        <v>40981.539849537003</v>
      </c>
      <c r="J3357">
        <v>2012</v>
      </c>
      <c r="K3357" s="21">
        <v>40981.539849537003</v>
      </c>
      <c r="L3357">
        <v>2012</v>
      </c>
      <c r="M3357" s="21">
        <v>41368.695462962998</v>
      </c>
      <c r="N3357">
        <v>2013</v>
      </c>
      <c r="Q3357" s="262">
        <v>186000</v>
      </c>
      <c r="R3357" s="262">
        <v>160000</v>
      </c>
      <c r="S3357" t="s">
        <v>114</v>
      </c>
      <c r="T3357" t="s">
        <v>114</v>
      </c>
      <c r="U3357">
        <v>6</v>
      </c>
      <c r="W3357">
        <v>1715</v>
      </c>
      <c r="X3357">
        <v>1</v>
      </c>
      <c r="Y3357">
        <v>0</v>
      </c>
      <c r="Z3357">
        <v>0</v>
      </c>
      <c r="AA3357">
        <v>0</v>
      </c>
      <c r="AB3357">
        <v>0</v>
      </c>
      <c r="AC3357">
        <v>0</v>
      </c>
      <c r="AD3357">
        <v>1715</v>
      </c>
      <c r="AE3357">
        <v>0</v>
      </c>
      <c r="AF3357">
        <v>0</v>
      </c>
      <c r="AG3357">
        <v>0</v>
      </c>
      <c r="AH3357">
        <v>0</v>
      </c>
      <c r="AI3357">
        <v>0</v>
      </c>
      <c r="AJ3357">
        <v>0</v>
      </c>
      <c r="AK3357">
        <v>0</v>
      </c>
      <c r="AL3357">
        <v>0</v>
      </c>
      <c r="AM3357">
        <v>0</v>
      </c>
      <c r="AN3357">
        <v>0</v>
      </c>
      <c r="AO3357">
        <v>0</v>
      </c>
      <c r="AP3357">
        <v>1</v>
      </c>
      <c r="AQ3357">
        <v>0</v>
      </c>
      <c r="AR3357">
        <v>0</v>
      </c>
      <c r="AS3357">
        <v>0</v>
      </c>
      <c r="AT3357">
        <v>0</v>
      </c>
      <c r="AU3357">
        <f t="shared" si="104"/>
        <v>1</v>
      </c>
      <c r="AV3357">
        <f t="shared" si="105"/>
        <v>0</v>
      </c>
    </row>
    <row r="3358" spans="1:48" x14ac:dyDescent="0.25">
      <c r="A3358" t="s">
        <v>10834</v>
      </c>
      <c r="C3358" t="s">
        <v>10260</v>
      </c>
      <c r="D3358" t="s">
        <v>9875</v>
      </c>
      <c r="E3358" t="s">
        <v>2310</v>
      </c>
      <c r="F3358">
        <v>9</v>
      </c>
      <c r="G3358">
        <v>9.1</v>
      </c>
      <c r="H3358" t="s">
        <v>2323</v>
      </c>
      <c r="I3358" s="21">
        <v>40981.618912037004</v>
      </c>
      <c r="J3358">
        <v>2012</v>
      </c>
      <c r="K3358" s="21">
        <v>40981.618912037004</v>
      </c>
      <c r="L3358">
        <v>2012</v>
      </c>
      <c r="M3358" s="21">
        <v>41366.679895833302</v>
      </c>
      <c r="N3358">
        <v>2013</v>
      </c>
      <c r="Q3358" s="262">
        <v>200000</v>
      </c>
      <c r="R3358" s="262">
        <v>138000</v>
      </c>
      <c r="S3358" t="s">
        <v>114</v>
      </c>
      <c r="T3358" t="s">
        <v>114</v>
      </c>
      <c r="U3358">
        <v>17</v>
      </c>
      <c r="W3358">
        <v>2160</v>
      </c>
      <c r="X3358">
        <v>1</v>
      </c>
      <c r="Y3358">
        <v>0</v>
      </c>
      <c r="Z3358">
        <v>0</v>
      </c>
      <c r="AA3358">
        <v>0</v>
      </c>
      <c r="AB3358">
        <v>0</v>
      </c>
      <c r="AC3358">
        <v>1344</v>
      </c>
      <c r="AD3358">
        <v>0</v>
      </c>
      <c r="AE3358">
        <v>0</v>
      </c>
      <c r="AF3358">
        <v>816</v>
      </c>
      <c r="AG3358">
        <v>0</v>
      </c>
      <c r="AH3358">
        <v>0</v>
      </c>
      <c r="AI3358">
        <v>0</v>
      </c>
      <c r="AJ3358">
        <v>0</v>
      </c>
      <c r="AK3358">
        <v>0</v>
      </c>
      <c r="AL3358">
        <v>0</v>
      </c>
      <c r="AM3358">
        <v>0</v>
      </c>
      <c r="AN3358">
        <v>0</v>
      </c>
      <c r="AO3358">
        <v>0</v>
      </c>
      <c r="AP3358">
        <v>0</v>
      </c>
      <c r="AQ3358">
        <v>0</v>
      </c>
      <c r="AR3358">
        <v>1</v>
      </c>
      <c r="AS3358">
        <v>0</v>
      </c>
      <c r="AT3358">
        <v>0</v>
      </c>
      <c r="AU3358">
        <f t="shared" si="104"/>
        <v>0</v>
      </c>
      <c r="AV3358">
        <f t="shared" si="105"/>
        <v>0</v>
      </c>
    </row>
    <row r="3359" spans="1:48" x14ac:dyDescent="0.25">
      <c r="A3359" t="s">
        <v>10835</v>
      </c>
      <c r="C3359" t="s">
        <v>10836</v>
      </c>
      <c r="D3359" t="s">
        <v>3063</v>
      </c>
      <c r="E3359" t="s">
        <v>2310</v>
      </c>
      <c r="F3359">
        <v>12</v>
      </c>
      <c r="G3359">
        <v>12.3</v>
      </c>
      <c r="H3359" t="s">
        <v>2017</v>
      </c>
      <c r="I3359" s="21">
        <v>40982.464351851799</v>
      </c>
      <c r="J3359">
        <v>2012</v>
      </c>
      <c r="K3359" s="21">
        <v>40982.464351851799</v>
      </c>
      <c r="L3359">
        <v>2012</v>
      </c>
      <c r="M3359" s="21">
        <v>41655.449143518497</v>
      </c>
      <c r="N3359">
        <v>2014</v>
      </c>
      <c r="Q3359" s="262">
        <v>500000</v>
      </c>
      <c r="R3359" s="262">
        <v>308000</v>
      </c>
      <c r="S3359" t="s">
        <v>114</v>
      </c>
      <c r="T3359" t="s">
        <v>114</v>
      </c>
      <c r="U3359">
        <v>5</v>
      </c>
      <c r="V3359">
        <v>2792</v>
      </c>
      <c r="W3359">
        <v>885</v>
      </c>
      <c r="X3359">
        <v>0</v>
      </c>
      <c r="Y3359">
        <v>0</v>
      </c>
      <c r="Z3359">
        <v>0</v>
      </c>
      <c r="AA3359">
        <v>0</v>
      </c>
      <c r="AB3359">
        <v>0</v>
      </c>
      <c r="AC3359">
        <v>885</v>
      </c>
      <c r="AD3359">
        <v>0</v>
      </c>
      <c r="AE3359">
        <v>0</v>
      </c>
      <c r="AF3359">
        <v>0</v>
      </c>
      <c r="AG3359">
        <v>0</v>
      </c>
      <c r="AH3359">
        <v>0</v>
      </c>
      <c r="AI3359">
        <v>0</v>
      </c>
      <c r="AJ3359">
        <v>0</v>
      </c>
      <c r="AK3359">
        <v>0</v>
      </c>
      <c r="AL3359">
        <v>0</v>
      </c>
      <c r="AM3359">
        <v>0</v>
      </c>
      <c r="AN3359">
        <v>0</v>
      </c>
      <c r="AO3359">
        <v>0</v>
      </c>
      <c r="AP3359">
        <v>0</v>
      </c>
      <c r="AQ3359">
        <v>0</v>
      </c>
      <c r="AR3359">
        <v>0</v>
      </c>
      <c r="AS3359">
        <v>0</v>
      </c>
      <c r="AT3359">
        <v>0</v>
      </c>
      <c r="AU3359">
        <f t="shared" si="104"/>
        <v>0</v>
      </c>
      <c r="AV3359">
        <f t="shared" si="105"/>
        <v>0</v>
      </c>
    </row>
    <row r="3360" spans="1:48" x14ac:dyDescent="0.25">
      <c r="A3360" t="s">
        <v>10837</v>
      </c>
      <c r="C3360" t="s">
        <v>10838</v>
      </c>
      <c r="D3360" t="s">
        <v>10839</v>
      </c>
      <c r="E3360" t="s">
        <v>2310</v>
      </c>
      <c r="F3360">
        <v>13</v>
      </c>
      <c r="G3360">
        <v>13.1</v>
      </c>
      <c r="H3360" t="s">
        <v>2327</v>
      </c>
      <c r="I3360" s="21">
        <v>40982.639872685198</v>
      </c>
      <c r="J3360">
        <v>2012</v>
      </c>
      <c r="K3360" s="21">
        <v>40982.639872685198</v>
      </c>
      <c r="L3360">
        <v>2012</v>
      </c>
      <c r="M3360" s="21">
        <v>41136.379618055602</v>
      </c>
      <c r="N3360">
        <v>2012</v>
      </c>
      <c r="Q3360" s="262">
        <v>400000</v>
      </c>
      <c r="R3360" s="262">
        <v>174000</v>
      </c>
      <c r="S3360" t="s">
        <v>114</v>
      </c>
      <c r="T3360" t="s">
        <v>114</v>
      </c>
      <c r="U3360">
        <v>10</v>
      </c>
      <c r="V3360">
        <v>1500</v>
      </c>
      <c r="W3360">
        <v>0</v>
      </c>
      <c r="X3360">
        <v>0</v>
      </c>
      <c r="Y3360">
        <v>0</v>
      </c>
      <c r="Z3360">
        <v>0</v>
      </c>
      <c r="AA3360">
        <v>0</v>
      </c>
      <c r="AB3360">
        <v>0</v>
      </c>
      <c r="AC3360">
        <v>0</v>
      </c>
      <c r="AD3360">
        <v>0</v>
      </c>
      <c r="AE3360">
        <v>0</v>
      </c>
      <c r="AF3360">
        <v>0</v>
      </c>
      <c r="AG3360">
        <v>0</v>
      </c>
      <c r="AH3360">
        <v>0</v>
      </c>
      <c r="AI3360">
        <v>0</v>
      </c>
      <c r="AJ3360">
        <v>0</v>
      </c>
      <c r="AK3360">
        <v>0</v>
      </c>
      <c r="AL3360">
        <v>0</v>
      </c>
      <c r="AM3360">
        <v>0</v>
      </c>
      <c r="AN3360">
        <v>0</v>
      </c>
      <c r="AO3360">
        <v>0</v>
      </c>
      <c r="AP3360">
        <v>0</v>
      </c>
      <c r="AQ3360">
        <v>0</v>
      </c>
      <c r="AR3360">
        <v>0</v>
      </c>
      <c r="AS3360">
        <v>0</v>
      </c>
      <c r="AT3360">
        <v>0</v>
      </c>
      <c r="AU3360">
        <f t="shared" si="104"/>
        <v>0</v>
      </c>
      <c r="AV3360">
        <f t="shared" si="105"/>
        <v>0</v>
      </c>
    </row>
    <row r="3361" spans="1:48" x14ac:dyDescent="0.25">
      <c r="A3361" t="s">
        <v>10840</v>
      </c>
      <c r="C3361" t="s">
        <v>10841</v>
      </c>
      <c r="D3361" t="s">
        <v>10842</v>
      </c>
      <c r="E3361" t="s">
        <v>1663</v>
      </c>
      <c r="F3361">
        <v>2</v>
      </c>
      <c r="G3361">
        <v>2.2999999999999998</v>
      </c>
      <c r="H3361" t="s">
        <v>2327</v>
      </c>
      <c r="I3361" s="21">
        <v>40984</v>
      </c>
      <c r="J3361">
        <v>2012</v>
      </c>
      <c r="K3361" s="21">
        <v>41015</v>
      </c>
      <c r="L3361">
        <v>2012</v>
      </c>
      <c r="M3361" s="21">
        <v>41168</v>
      </c>
      <c r="N3361">
        <v>2012</v>
      </c>
      <c r="Q3361" s="262">
        <v>450000</v>
      </c>
      <c r="S3361" t="s">
        <v>114</v>
      </c>
      <c r="T3361" t="s">
        <v>114</v>
      </c>
      <c r="W3361">
        <v>3360</v>
      </c>
      <c r="X3361">
        <v>0</v>
      </c>
      <c r="Y3361">
        <v>0</v>
      </c>
      <c r="Z3361">
        <v>0</v>
      </c>
      <c r="AA3361">
        <v>0</v>
      </c>
      <c r="AB3361">
        <v>0</v>
      </c>
      <c r="AC3361">
        <v>0</v>
      </c>
      <c r="AD3361">
        <v>0</v>
      </c>
      <c r="AE3361">
        <v>0</v>
      </c>
      <c r="AF3361">
        <v>0</v>
      </c>
      <c r="AG3361">
        <v>0</v>
      </c>
      <c r="AH3361">
        <v>0</v>
      </c>
      <c r="AI3361">
        <v>3360</v>
      </c>
      <c r="AJ3361">
        <v>0</v>
      </c>
      <c r="AK3361">
        <v>0</v>
      </c>
      <c r="AL3361">
        <v>0</v>
      </c>
      <c r="AM3361">
        <v>0</v>
      </c>
      <c r="AN3361">
        <v>0</v>
      </c>
      <c r="AO3361">
        <v>0</v>
      </c>
      <c r="AP3361">
        <v>0</v>
      </c>
      <c r="AQ3361">
        <v>0</v>
      </c>
      <c r="AR3361">
        <v>0</v>
      </c>
      <c r="AS3361">
        <v>0</v>
      </c>
      <c r="AT3361">
        <v>0</v>
      </c>
      <c r="AU3361">
        <f t="shared" si="104"/>
        <v>0</v>
      </c>
      <c r="AV3361">
        <f t="shared" si="105"/>
        <v>3360</v>
      </c>
    </row>
    <row r="3362" spans="1:48" x14ac:dyDescent="0.25">
      <c r="A3362" t="s">
        <v>10843</v>
      </c>
      <c r="C3362" t="s">
        <v>10844</v>
      </c>
      <c r="D3362" t="s">
        <v>10845</v>
      </c>
      <c r="E3362" t="s">
        <v>2310</v>
      </c>
      <c r="F3362">
        <v>12</v>
      </c>
      <c r="G3362">
        <v>12.3</v>
      </c>
      <c r="H3362" t="s">
        <v>2017</v>
      </c>
      <c r="I3362" s="21">
        <v>40988.556585648097</v>
      </c>
      <c r="J3362">
        <v>2012</v>
      </c>
      <c r="K3362" s="21">
        <v>40988.556585648097</v>
      </c>
      <c r="L3362">
        <v>2012</v>
      </c>
      <c r="M3362" s="21">
        <v>42584.586562500001</v>
      </c>
      <c r="N3362">
        <v>2016</v>
      </c>
      <c r="Q3362" s="262">
        <v>800000</v>
      </c>
      <c r="R3362" s="262">
        <v>296000</v>
      </c>
      <c r="S3362" t="s">
        <v>114</v>
      </c>
      <c r="T3362" t="s">
        <v>114</v>
      </c>
      <c r="U3362">
        <v>5</v>
      </c>
      <c r="V3362">
        <v>2937</v>
      </c>
      <c r="W3362">
        <v>651</v>
      </c>
      <c r="X3362">
        <v>0</v>
      </c>
      <c r="Y3362">
        <v>0</v>
      </c>
      <c r="Z3362">
        <v>0</v>
      </c>
      <c r="AA3362">
        <v>0</v>
      </c>
      <c r="AB3362">
        <v>0</v>
      </c>
      <c r="AC3362">
        <v>651</v>
      </c>
      <c r="AD3362">
        <v>0</v>
      </c>
      <c r="AE3362">
        <v>0</v>
      </c>
      <c r="AF3362">
        <v>0</v>
      </c>
      <c r="AG3362">
        <v>0</v>
      </c>
      <c r="AH3362">
        <v>0</v>
      </c>
      <c r="AI3362">
        <v>0</v>
      </c>
      <c r="AJ3362">
        <v>0</v>
      </c>
      <c r="AK3362">
        <v>0</v>
      </c>
      <c r="AL3362">
        <v>0</v>
      </c>
      <c r="AM3362">
        <v>0</v>
      </c>
      <c r="AN3362">
        <v>0</v>
      </c>
      <c r="AO3362">
        <v>0</v>
      </c>
      <c r="AP3362">
        <v>0</v>
      </c>
      <c r="AQ3362">
        <v>0</v>
      </c>
      <c r="AR3362">
        <v>0</v>
      </c>
      <c r="AS3362">
        <v>0</v>
      </c>
      <c r="AT3362">
        <v>0</v>
      </c>
      <c r="AU3362">
        <f t="shared" si="104"/>
        <v>0</v>
      </c>
      <c r="AV3362">
        <f t="shared" si="105"/>
        <v>0</v>
      </c>
    </row>
    <row r="3363" spans="1:48" x14ac:dyDescent="0.25">
      <c r="A3363" t="s">
        <v>10846</v>
      </c>
      <c r="C3363" t="s">
        <v>10847</v>
      </c>
      <c r="D3363" t="s">
        <v>10848</v>
      </c>
      <c r="E3363" t="s">
        <v>2310</v>
      </c>
      <c r="F3363">
        <v>8</v>
      </c>
      <c r="G3363">
        <v>8.1999999999999993</v>
      </c>
      <c r="H3363" t="s">
        <v>2022</v>
      </c>
      <c r="I3363" s="21">
        <v>40989.420115740701</v>
      </c>
      <c r="J3363">
        <v>2012</v>
      </c>
      <c r="K3363" s="21">
        <v>40989.420115740701</v>
      </c>
      <c r="L3363">
        <v>2012</v>
      </c>
      <c r="M3363" s="21">
        <v>41396.373124999998</v>
      </c>
      <c r="N3363">
        <v>2013</v>
      </c>
      <c r="Q3363" s="262">
        <v>125000</v>
      </c>
      <c r="R3363" s="262">
        <v>62000</v>
      </c>
      <c r="S3363" t="s">
        <v>114</v>
      </c>
      <c r="T3363" t="s">
        <v>114</v>
      </c>
      <c r="U3363">
        <v>5</v>
      </c>
      <c r="W3363">
        <v>592</v>
      </c>
      <c r="X3363">
        <v>0</v>
      </c>
      <c r="Y3363">
        <v>0</v>
      </c>
      <c r="Z3363">
        <v>0</v>
      </c>
      <c r="AA3363">
        <v>0</v>
      </c>
      <c r="AB3363">
        <v>0</v>
      </c>
      <c r="AC3363">
        <v>592</v>
      </c>
      <c r="AD3363">
        <v>0</v>
      </c>
      <c r="AE3363">
        <v>0</v>
      </c>
      <c r="AF3363">
        <v>0</v>
      </c>
      <c r="AG3363">
        <v>0</v>
      </c>
      <c r="AH3363">
        <v>0</v>
      </c>
      <c r="AI3363">
        <v>0</v>
      </c>
      <c r="AJ3363">
        <v>0</v>
      </c>
      <c r="AK3363">
        <v>0</v>
      </c>
      <c r="AL3363">
        <v>0</v>
      </c>
      <c r="AM3363">
        <v>0</v>
      </c>
      <c r="AN3363">
        <v>0</v>
      </c>
      <c r="AO3363">
        <v>0</v>
      </c>
      <c r="AP3363">
        <v>0</v>
      </c>
      <c r="AQ3363">
        <v>0</v>
      </c>
      <c r="AR3363">
        <v>0</v>
      </c>
      <c r="AS3363">
        <v>0</v>
      </c>
      <c r="AT3363">
        <v>0</v>
      </c>
      <c r="AU3363">
        <f t="shared" si="104"/>
        <v>0</v>
      </c>
      <c r="AV3363">
        <f t="shared" si="105"/>
        <v>0</v>
      </c>
    </row>
    <row r="3364" spans="1:48" x14ac:dyDescent="0.25">
      <c r="A3364" t="s">
        <v>10849</v>
      </c>
      <c r="C3364" t="s">
        <v>10850</v>
      </c>
      <c r="D3364" t="s">
        <v>10525</v>
      </c>
      <c r="E3364" t="s">
        <v>2310</v>
      </c>
      <c r="F3364">
        <v>7</v>
      </c>
      <c r="G3364">
        <v>7.1</v>
      </c>
      <c r="H3364" t="s">
        <v>2017</v>
      </c>
      <c r="I3364" s="21">
        <v>40990.382071759297</v>
      </c>
      <c r="J3364">
        <v>2012</v>
      </c>
      <c r="K3364" s="21">
        <v>40990.382071759297</v>
      </c>
      <c r="L3364">
        <v>2012</v>
      </c>
      <c r="M3364" s="21">
        <v>42447.372395833299</v>
      </c>
      <c r="N3364">
        <v>2016</v>
      </c>
      <c r="Q3364" s="262">
        <v>30000</v>
      </c>
      <c r="R3364" s="262">
        <v>29000</v>
      </c>
      <c r="S3364" t="s">
        <v>114</v>
      </c>
      <c r="T3364" t="s">
        <v>114</v>
      </c>
      <c r="U3364">
        <v>7</v>
      </c>
      <c r="W3364">
        <v>315</v>
      </c>
      <c r="X3364">
        <v>0</v>
      </c>
      <c r="Y3364">
        <v>0</v>
      </c>
      <c r="Z3364">
        <v>0</v>
      </c>
      <c r="AA3364">
        <v>0</v>
      </c>
      <c r="AB3364">
        <v>0</v>
      </c>
      <c r="AC3364">
        <v>0</v>
      </c>
      <c r="AD3364">
        <v>0</v>
      </c>
      <c r="AE3364">
        <v>315</v>
      </c>
      <c r="AF3364">
        <v>0</v>
      </c>
      <c r="AG3364">
        <v>0</v>
      </c>
      <c r="AH3364">
        <v>0</v>
      </c>
      <c r="AI3364">
        <v>0</v>
      </c>
      <c r="AJ3364">
        <v>0</v>
      </c>
      <c r="AK3364">
        <v>0</v>
      </c>
      <c r="AL3364">
        <v>0</v>
      </c>
      <c r="AM3364">
        <v>0</v>
      </c>
      <c r="AN3364">
        <v>0</v>
      </c>
      <c r="AO3364">
        <v>0</v>
      </c>
      <c r="AP3364">
        <v>0</v>
      </c>
      <c r="AQ3364">
        <v>0</v>
      </c>
      <c r="AR3364">
        <v>0</v>
      </c>
      <c r="AS3364">
        <v>0</v>
      </c>
      <c r="AT3364">
        <v>0</v>
      </c>
      <c r="AU3364">
        <f t="shared" si="104"/>
        <v>0</v>
      </c>
      <c r="AV3364">
        <f t="shared" si="105"/>
        <v>0</v>
      </c>
    </row>
    <row r="3365" spans="1:48" x14ac:dyDescent="0.25">
      <c r="A3365" t="s">
        <v>10851</v>
      </c>
      <c r="C3365" t="s">
        <v>7403</v>
      </c>
      <c r="D3365" t="s">
        <v>10852</v>
      </c>
      <c r="E3365" t="s">
        <v>2310</v>
      </c>
      <c r="F3365">
        <v>9</v>
      </c>
      <c r="G3365">
        <v>9.3000000000000007</v>
      </c>
      <c r="H3365" t="s">
        <v>2323</v>
      </c>
      <c r="I3365" s="21">
        <v>40995.588958333297</v>
      </c>
      <c r="J3365">
        <v>2012</v>
      </c>
      <c r="K3365" s="21">
        <v>40995.588958333297</v>
      </c>
      <c r="L3365">
        <v>2012</v>
      </c>
      <c r="M3365" s="21">
        <v>41219.605810185203</v>
      </c>
      <c r="N3365">
        <v>2012</v>
      </c>
      <c r="Q3365" s="262">
        <v>30000</v>
      </c>
      <c r="R3365" s="262">
        <v>24000</v>
      </c>
      <c r="S3365" t="s">
        <v>114</v>
      </c>
      <c r="T3365" t="s">
        <v>114</v>
      </c>
      <c r="U3365">
        <v>5</v>
      </c>
      <c r="W3365">
        <v>597</v>
      </c>
      <c r="X3365">
        <v>0</v>
      </c>
      <c r="Y3365">
        <v>0</v>
      </c>
      <c r="Z3365">
        <v>0</v>
      </c>
      <c r="AA3365">
        <v>0</v>
      </c>
      <c r="AB3365">
        <v>0</v>
      </c>
      <c r="AC3365">
        <v>597</v>
      </c>
      <c r="AD3365">
        <v>0</v>
      </c>
      <c r="AE3365">
        <v>0</v>
      </c>
      <c r="AF3365">
        <v>0</v>
      </c>
      <c r="AG3365">
        <v>0</v>
      </c>
      <c r="AH3365">
        <v>0</v>
      </c>
      <c r="AI3365">
        <v>0</v>
      </c>
      <c r="AJ3365">
        <v>0</v>
      </c>
      <c r="AK3365">
        <v>0</v>
      </c>
      <c r="AL3365">
        <v>0</v>
      </c>
      <c r="AM3365">
        <v>0</v>
      </c>
      <c r="AN3365">
        <v>0</v>
      </c>
      <c r="AO3365">
        <v>0</v>
      </c>
      <c r="AP3365">
        <v>0</v>
      </c>
      <c r="AQ3365">
        <v>0</v>
      </c>
      <c r="AR3365">
        <v>0</v>
      </c>
      <c r="AS3365">
        <v>0</v>
      </c>
      <c r="AT3365">
        <v>0</v>
      </c>
      <c r="AU3365">
        <f t="shared" si="104"/>
        <v>0</v>
      </c>
      <c r="AV3365">
        <f t="shared" si="105"/>
        <v>0</v>
      </c>
    </row>
    <row r="3366" spans="1:48" x14ac:dyDescent="0.25">
      <c r="A3366" t="s">
        <v>10853</v>
      </c>
      <c r="C3366" t="s">
        <v>10265</v>
      </c>
      <c r="D3366" t="s">
        <v>10854</v>
      </c>
      <c r="E3366" t="s">
        <v>2310</v>
      </c>
      <c r="F3366">
        <v>9</v>
      </c>
      <c r="G3366">
        <v>9.1</v>
      </c>
      <c r="H3366" t="s">
        <v>2323</v>
      </c>
      <c r="I3366" s="21">
        <v>40996.632025462997</v>
      </c>
      <c r="J3366">
        <v>2012</v>
      </c>
      <c r="K3366" s="21">
        <v>40996.632025462997</v>
      </c>
      <c r="L3366">
        <v>2012</v>
      </c>
      <c r="M3366" s="21">
        <v>41037.6106365741</v>
      </c>
      <c r="N3366">
        <v>2012</v>
      </c>
      <c r="Q3366" s="262">
        <v>500000</v>
      </c>
      <c r="R3366" s="262">
        <v>299000</v>
      </c>
      <c r="S3366" t="s">
        <v>114</v>
      </c>
      <c r="T3366" t="s">
        <v>114</v>
      </c>
      <c r="U3366">
        <v>5</v>
      </c>
      <c r="W3366">
        <v>4906</v>
      </c>
      <c r="X3366">
        <v>0</v>
      </c>
      <c r="Y3366">
        <v>0</v>
      </c>
      <c r="Z3366">
        <v>0</v>
      </c>
      <c r="AA3366">
        <v>0</v>
      </c>
      <c r="AB3366">
        <v>0</v>
      </c>
      <c r="AC3366">
        <v>4906</v>
      </c>
      <c r="AD3366">
        <v>0</v>
      </c>
      <c r="AE3366">
        <v>0</v>
      </c>
      <c r="AF3366">
        <v>0</v>
      </c>
      <c r="AG3366">
        <v>0</v>
      </c>
      <c r="AH3366">
        <v>0</v>
      </c>
      <c r="AI3366">
        <v>0</v>
      </c>
      <c r="AJ3366">
        <v>0</v>
      </c>
      <c r="AK3366">
        <v>0</v>
      </c>
      <c r="AL3366">
        <v>0</v>
      </c>
      <c r="AM3366">
        <v>0</v>
      </c>
      <c r="AN3366">
        <v>0</v>
      </c>
      <c r="AO3366">
        <v>0</v>
      </c>
      <c r="AP3366">
        <v>0</v>
      </c>
      <c r="AQ3366">
        <v>0</v>
      </c>
      <c r="AR3366">
        <v>0</v>
      </c>
      <c r="AS3366">
        <v>0</v>
      </c>
      <c r="AT3366">
        <v>0</v>
      </c>
      <c r="AU3366">
        <f t="shared" si="104"/>
        <v>0</v>
      </c>
      <c r="AV3366">
        <f t="shared" si="105"/>
        <v>0</v>
      </c>
    </row>
    <row r="3367" spans="1:48" x14ac:dyDescent="0.25">
      <c r="A3367" t="s">
        <v>10855</v>
      </c>
      <c r="C3367" t="s">
        <v>10856</v>
      </c>
      <c r="D3367" t="s">
        <v>10857</v>
      </c>
      <c r="E3367" t="s">
        <v>2310</v>
      </c>
      <c r="F3367">
        <v>9</v>
      </c>
      <c r="G3367">
        <v>9.4</v>
      </c>
      <c r="H3367" t="s">
        <v>2323</v>
      </c>
      <c r="I3367" s="21">
        <v>40997.448900463001</v>
      </c>
      <c r="J3367">
        <v>2012</v>
      </c>
      <c r="K3367" s="21">
        <v>40997.448900463001</v>
      </c>
      <c r="L3367">
        <v>2012</v>
      </c>
      <c r="M3367" s="21">
        <v>41688.589652777802</v>
      </c>
      <c r="N3367">
        <v>2014</v>
      </c>
      <c r="Q3367" s="262">
        <v>2000000</v>
      </c>
      <c r="R3367" s="262">
        <v>513000</v>
      </c>
      <c r="S3367" t="s">
        <v>114</v>
      </c>
      <c r="T3367" t="s">
        <v>114</v>
      </c>
      <c r="U3367">
        <v>5</v>
      </c>
      <c r="W3367">
        <v>4991</v>
      </c>
      <c r="X3367">
        <v>1</v>
      </c>
      <c r="Y3367">
        <v>0</v>
      </c>
      <c r="Z3367">
        <v>0</v>
      </c>
      <c r="AA3367">
        <v>0</v>
      </c>
      <c r="AB3367">
        <v>0</v>
      </c>
      <c r="AC3367">
        <v>4991</v>
      </c>
      <c r="AD3367">
        <v>0</v>
      </c>
      <c r="AE3367">
        <v>0</v>
      </c>
      <c r="AF3367">
        <v>0</v>
      </c>
      <c r="AG3367">
        <v>0</v>
      </c>
      <c r="AH3367">
        <v>0</v>
      </c>
      <c r="AI3367">
        <v>0</v>
      </c>
      <c r="AJ3367">
        <v>0</v>
      </c>
      <c r="AK3367">
        <v>0</v>
      </c>
      <c r="AL3367">
        <v>0</v>
      </c>
      <c r="AM3367">
        <v>0</v>
      </c>
      <c r="AN3367">
        <v>0</v>
      </c>
      <c r="AO3367">
        <v>1</v>
      </c>
      <c r="AP3367">
        <v>0</v>
      </c>
      <c r="AQ3367">
        <v>0</v>
      </c>
      <c r="AR3367">
        <v>0</v>
      </c>
      <c r="AS3367">
        <v>0</v>
      </c>
      <c r="AT3367">
        <v>0</v>
      </c>
      <c r="AU3367">
        <f t="shared" si="104"/>
        <v>1</v>
      </c>
      <c r="AV3367">
        <f t="shared" si="105"/>
        <v>0</v>
      </c>
    </row>
    <row r="3368" spans="1:48" x14ac:dyDescent="0.25">
      <c r="A3368" t="s">
        <v>10858</v>
      </c>
      <c r="C3368" t="s">
        <v>10859</v>
      </c>
      <c r="D3368" t="s">
        <v>1620</v>
      </c>
      <c r="E3368" t="s">
        <v>2310</v>
      </c>
      <c r="F3368">
        <v>15</v>
      </c>
      <c r="G3368">
        <v>15.3</v>
      </c>
      <c r="H3368" t="s">
        <v>2022</v>
      </c>
      <c r="I3368" s="21">
        <v>40997.546076388899</v>
      </c>
      <c r="J3368">
        <v>2012</v>
      </c>
      <c r="K3368" s="21">
        <v>40997.546076388899</v>
      </c>
      <c r="L3368">
        <v>2012</v>
      </c>
      <c r="M3368" s="21">
        <v>41858.688483796301</v>
      </c>
      <c r="N3368">
        <v>2014</v>
      </c>
      <c r="Q3368" s="262">
        <v>2500000</v>
      </c>
      <c r="R3368" s="262">
        <v>715000</v>
      </c>
      <c r="S3368" t="s">
        <v>114</v>
      </c>
      <c r="T3368" t="s">
        <v>114</v>
      </c>
      <c r="U3368">
        <v>5</v>
      </c>
      <c r="W3368">
        <v>6112</v>
      </c>
      <c r="X3368">
        <v>1</v>
      </c>
      <c r="Y3368">
        <v>0</v>
      </c>
      <c r="Z3368">
        <v>0</v>
      </c>
      <c r="AA3368">
        <v>0</v>
      </c>
      <c r="AB3368">
        <v>0</v>
      </c>
      <c r="AC3368">
        <v>6112</v>
      </c>
      <c r="AD3368">
        <v>0</v>
      </c>
      <c r="AE3368">
        <v>0</v>
      </c>
      <c r="AF3368">
        <v>0</v>
      </c>
      <c r="AG3368">
        <v>0</v>
      </c>
      <c r="AH3368">
        <v>0</v>
      </c>
      <c r="AI3368">
        <v>0</v>
      </c>
      <c r="AJ3368">
        <v>0</v>
      </c>
      <c r="AK3368">
        <v>0</v>
      </c>
      <c r="AL3368">
        <v>0</v>
      </c>
      <c r="AM3368">
        <v>0</v>
      </c>
      <c r="AN3368">
        <v>0</v>
      </c>
      <c r="AO3368">
        <v>1</v>
      </c>
      <c r="AP3368">
        <v>0</v>
      </c>
      <c r="AQ3368">
        <v>0</v>
      </c>
      <c r="AR3368">
        <v>0</v>
      </c>
      <c r="AS3368">
        <v>0</v>
      </c>
      <c r="AT3368">
        <v>0</v>
      </c>
      <c r="AU3368">
        <f t="shared" si="104"/>
        <v>1</v>
      </c>
      <c r="AV3368">
        <f t="shared" si="105"/>
        <v>0</v>
      </c>
    </row>
    <row r="3369" spans="1:48" x14ac:dyDescent="0.25">
      <c r="A3369" t="s">
        <v>10860</v>
      </c>
      <c r="C3369" t="s">
        <v>10859</v>
      </c>
      <c r="D3369" t="s">
        <v>10861</v>
      </c>
      <c r="E3369" t="s">
        <v>2310</v>
      </c>
      <c r="F3369">
        <v>10</v>
      </c>
      <c r="G3369">
        <v>10.1</v>
      </c>
      <c r="H3369" t="s">
        <v>2323</v>
      </c>
      <c r="I3369" s="21">
        <v>40998.454895833303</v>
      </c>
      <c r="J3369">
        <v>2012</v>
      </c>
      <c r="K3369" s="21">
        <v>40998.454895833303</v>
      </c>
      <c r="L3369">
        <v>2012</v>
      </c>
      <c r="M3369" s="21">
        <v>41264.568206018499</v>
      </c>
      <c r="N3369">
        <v>2012</v>
      </c>
      <c r="Q3369" s="262">
        <v>550000</v>
      </c>
      <c r="R3369" s="262">
        <v>463000</v>
      </c>
      <c r="S3369" t="s">
        <v>114</v>
      </c>
      <c r="T3369" t="s">
        <v>114</v>
      </c>
      <c r="U3369">
        <v>5</v>
      </c>
      <c r="W3369">
        <v>4934</v>
      </c>
      <c r="X3369">
        <v>1</v>
      </c>
      <c r="Y3369">
        <v>0</v>
      </c>
      <c r="Z3369">
        <v>0</v>
      </c>
      <c r="AA3369">
        <v>0</v>
      </c>
      <c r="AB3369">
        <v>0</v>
      </c>
      <c r="AC3369">
        <v>4934</v>
      </c>
      <c r="AD3369">
        <v>0</v>
      </c>
      <c r="AE3369">
        <v>0</v>
      </c>
      <c r="AF3369">
        <v>0</v>
      </c>
      <c r="AG3369">
        <v>0</v>
      </c>
      <c r="AH3369">
        <v>0</v>
      </c>
      <c r="AI3369">
        <v>0</v>
      </c>
      <c r="AJ3369">
        <v>0</v>
      </c>
      <c r="AK3369">
        <v>0</v>
      </c>
      <c r="AL3369">
        <v>0</v>
      </c>
      <c r="AM3369">
        <v>0</v>
      </c>
      <c r="AN3369">
        <v>0</v>
      </c>
      <c r="AO3369">
        <v>1</v>
      </c>
      <c r="AP3369">
        <v>0</v>
      </c>
      <c r="AQ3369">
        <v>0</v>
      </c>
      <c r="AR3369">
        <v>0</v>
      </c>
      <c r="AS3369">
        <v>0</v>
      </c>
      <c r="AT3369">
        <v>0</v>
      </c>
      <c r="AU3369">
        <f t="shared" si="104"/>
        <v>1</v>
      </c>
      <c r="AV3369">
        <f t="shared" si="105"/>
        <v>0</v>
      </c>
    </row>
    <row r="3370" spans="1:48" x14ac:dyDescent="0.25">
      <c r="A3370" t="s">
        <v>10862</v>
      </c>
      <c r="C3370" t="s">
        <v>10863</v>
      </c>
      <c r="D3370" t="s">
        <v>10864</v>
      </c>
      <c r="E3370" t="s">
        <v>2310</v>
      </c>
      <c r="F3370">
        <v>9</v>
      </c>
      <c r="G3370">
        <v>9.1</v>
      </c>
      <c r="H3370" t="s">
        <v>2323</v>
      </c>
      <c r="I3370" s="21">
        <v>40998.5449421296</v>
      </c>
      <c r="J3370">
        <v>2012</v>
      </c>
      <c r="K3370" s="21">
        <v>40998.5449421296</v>
      </c>
      <c r="L3370">
        <v>2012</v>
      </c>
      <c r="M3370" s="21">
        <v>41261.580347222203</v>
      </c>
      <c r="N3370">
        <v>2012</v>
      </c>
      <c r="Q3370" s="262">
        <v>75000</v>
      </c>
      <c r="R3370" s="262">
        <v>58000</v>
      </c>
      <c r="S3370" t="s">
        <v>114</v>
      </c>
      <c r="T3370" t="s">
        <v>114</v>
      </c>
      <c r="U3370">
        <v>5</v>
      </c>
      <c r="W3370">
        <v>557</v>
      </c>
      <c r="X3370">
        <v>0</v>
      </c>
      <c r="Y3370">
        <v>0</v>
      </c>
      <c r="Z3370">
        <v>0</v>
      </c>
      <c r="AA3370">
        <v>0</v>
      </c>
      <c r="AB3370">
        <v>0</v>
      </c>
      <c r="AC3370">
        <v>557</v>
      </c>
      <c r="AD3370">
        <v>0</v>
      </c>
      <c r="AE3370">
        <v>0</v>
      </c>
      <c r="AF3370">
        <v>0</v>
      </c>
      <c r="AG3370">
        <v>0</v>
      </c>
      <c r="AH3370">
        <v>0</v>
      </c>
      <c r="AI3370">
        <v>0</v>
      </c>
      <c r="AJ3370">
        <v>0</v>
      </c>
      <c r="AK3370">
        <v>0</v>
      </c>
      <c r="AL3370">
        <v>0</v>
      </c>
      <c r="AM3370">
        <v>0</v>
      </c>
      <c r="AN3370">
        <v>0</v>
      </c>
      <c r="AO3370">
        <v>0</v>
      </c>
      <c r="AP3370">
        <v>0</v>
      </c>
      <c r="AQ3370">
        <v>0</v>
      </c>
      <c r="AR3370">
        <v>0</v>
      </c>
      <c r="AS3370">
        <v>0</v>
      </c>
      <c r="AT3370">
        <v>0</v>
      </c>
      <c r="AU3370">
        <f t="shared" si="104"/>
        <v>0</v>
      </c>
      <c r="AV3370">
        <f t="shared" si="105"/>
        <v>0</v>
      </c>
    </row>
    <row r="3371" spans="1:48" x14ac:dyDescent="0.25">
      <c r="A3371" t="s">
        <v>10865</v>
      </c>
      <c r="C3371" t="s">
        <v>10866</v>
      </c>
      <c r="D3371" t="s">
        <v>10867</v>
      </c>
      <c r="E3371" t="s">
        <v>2310</v>
      </c>
      <c r="F3371">
        <v>11</v>
      </c>
      <c r="G3371">
        <v>11.3</v>
      </c>
      <c r="H3371" t="s">
        <v>2017</v>
      </c>
      <c r="I3371" s="21">
        <v>40998.5687384259</v>
      </c>
      <c r="J3371">
        <v>2012</v>
      </c>
      <c r="K3371" s="21">
        <v>40998.5687384259</v>
      </c>
      <c r="L3371">
        <v>2012</v>
      </c>
      <c r="M3371" s="21">
        <v>41261.504050925898</v>
      </c>
      <c r="N3371">
        <v>2012</v>
      </c>
      <c r="Q3371" s="262">
        <v>372000</v>
      </c>
      <c r="R3371" s="262">
        <v>132000</v>
      </c>
      <c r="S3371" t="s">
        <v>114</v>
      </c>
      <c r="T3371" t="s">
        <v>114</v>
      </c>
      <c r="U3371">
        <v>5</v>
      </c>
      <c r="W3371">
        <v>1270</v>
      </c>
      <c r="X3371">
        <v>0</v>
      </c>
      <c r="Y3371">
        <v>0</v>
      </c>
      <c r="Z3371">
        <v>0</v>
      </c>
      <c r="AA3371">
        <v>0</v>
      </c>
      <c r="AB3371">
        <v>0</v>
      </c>
      <c r="AC3371">
        <v>1270</v>
      </c>
      <c r="AD3371">
        <v>0</v>
      </c>
      <c r="AE3371">
        <v>0</v>
      </c>
      <c r="AF3371">
        <v>0</v>
      </c>
      <c r="AG3371">
        <v>0</v>
      </c>
      <c r="AH3371">
        <v>0</v>
      </c>
      <c r="AI3371">
        <v>0</v>
      </c>
      <c r="AJ3371">
        <v>0</v>
      </c>
      <c r="AK3371">
        <v>0</v>
      </c>
      <c r="AL3371">
        <v>0</v>
      </c>
      <c r="AM3371">
        <v>0</v>
      </c>
      <c r="AN3371">
        <v>0</v>
      </c>
      <c r="AO3371">
        <v>0</v>
      </c>
      <c r="AP3371">
        <v>0</v>
      </c>
      <c r="AQ3371">
        <v>0</v>
      </c>
      <c r="AR3371">
        <v>0</v>
      </c>
      <c r="AS3371">
        <v>0</v>
      </c>
      <c r="AT3371">
        <v>0</v>
      </c>
      <c r="AU3371">
        <f t="shared" si="104"/>
        <v>0</v>
      </c>
      <c r="AV3371">
        <f t="shared" si="105"/>
        <v>0</v>
      </c>
    </row>
    <row r="3372" spans="1:48" x14ac:dyDescent="0.25">
      <c r="A3372" t="s">
        <v>10868</v>
      </c>
      <c r="C3372" t="s">
        <v>10869</v>
      </c>
      <c r="D3372" t="s">
        <v>10870</v>
      </c>
      <c r="E3372" t="s">
        <v>2310</v>
      </c>
      <c r="F3372">
        <v>9</v>
      </c>
      <c r="G3372">
        <v>9.4</v>
      </c>
      <c r="H3372" t="s">
        <v>2323</v>
      </c>
      <c r="I3372" s="21">
        <v>40998.662326388898</v>
      </c>
      <c r="J3372">
        <v>2012</v>
      </c>
      <c r="K3372" s="21">
        <v>40998.662326388898</v>
      </c>
      <c r="L3372">
        <v>2012</v>
      </c>
      <c r="M3372" s="21">
        <v>41450.6632523148</v>
      </c>
      <c r="N3372">
        <v>2013</v>
      </c>
      <c r="Q3372" s="262">
        <v>1400000</v>
      </c>
      <c r="R3372" s="262">
        <v>416000</v>
      </c>
      <c r="S3372" t="s">
        <v>114</v>
      </c>
      <c r="T3372" t="s">
        <v>114</v>
      </c>
      <c r="U3372">
        <v>5</v>
      </c>
      <c r="W3372">
        <v>4200</v>
      </c>
      <c r="X3372">
        <v>1</v>
      </c>
      <c r="Y3372">
        <v>0</v>
      </c>
      <c r="Z3372">
        <v>0</v>
      </c>
      <c r="AA3372">
        <v>0</v>
      </c>
      <c r="AB3372">
        <v>0</v>
      </c>
      <c r="AC3372">
        <v>4200</v>
      </c>
      <c r="AD3372">
        <v>0</v>
      </c>
      <c r="AE3372">
        <v>0</v>
      </c>
      <c r="AF3372">
        <v>0</v>
      </c>
      <c r="AG3372">
        <v>0</v>
      </c>
      <c r="AH3372">
        <v>0</v>
      </c>
      <c r="AI3372">
        <v>0</v>
      </c>
      <c r="AJ3372">
        <v>0</v>
      </c>
      <c r="AK3372">
        <v>0</v>
      </c>
      <c r="AL3372">
        <v>0</v>
      </c>
      <c r="AM3372">
        <v>0</v>
      </c>
      <c r="AN3372">
        <v>0</v>
      </c>
      <c r="AO3372">
        <v>1</v>
      </c>
      <c r="AP3372">
        <v>0</v>
      </c>
      <c r="AQ3372">
        <v>0</v>
      </c>
      <c r="AR3372">
        <v>0</v>
      </c>
      <c r="AS3372">
        <v>0</v>
      </c>
      <c r="AT3372">
        <v>0</v>
      </c>
      <c r="AU3372">
        <f t="shared" si="104"/>
        <v>1</v>
      </c>
      <c r="AV3372">
        <f t="shared" si="105"/>
        <v>0</v>
      </c>
    </row>
    <row r="3373" spans="1:48" x14ac:dyDescent="0.25">
      <c r="A3373" t="s">
        <v>10871</v>
      </c>
      <c r="C3373" t="s">
        <v>10872</v>
      </c>
      <c r="D3373" t="s">
        <v>10873</v>
      </c>
      <c r="E3373" t="s">
        <v>2310</v>
      </c>
      <c r="F3373">
        <v>8</v>
      </c>
      <c r="G3373">
        <v>8.3000000000000007</v>
      </c>
      <c r="H3373" t="s">
        <v>2323</v>
      </c>
      <c r="I3373" s="21">
        <v>41002.666736111103</v>
      </c>
      <c r="J3373">
        <v>2012</v>
      </c>
      <c r="K3373" s="21">
        <v>41002.666736111103</v>
      </c>
      <c r="L3373">
        <v>2012</v>
      </c>
      <c r="M3373" s="21">
        <v>41283.434895833299</v>
      </c>
      <c r="N3373">
        <v>2013</v>
      </c>
      <c r="Q3373" s="262">
        <v>28000</v>
      </c>
      <c r="R3373" s="262">
        <v>48000</v>
      </c>
      <c r="S3373" t="s">
        <v>114</v>
      </c>
      <c r="T3373" t="s">
        <v>114</v>
      </c>
      <c r="U3373">
        <v>11</v>
      </c>
      <c r="W3373">
        <v>414</v>
      </c>
      <c r="X3373">
        <v>0</v>
      </c>
      <c r="Y3373">
        <v>0</v>
      </c>
      <c r="Z3373">
        <v>0</v>
      </c>
      <c r="AA3373">
        <v>0</v>
      </c>
      <c r="AB3373">
        <v>0</v>
      </c>
      <c r="AC3373">
        <v>0</v>
      </c>
      <c r="AD3373">
        <v>0</v>
      </c>
      <c r="AE3373">
        <v>0</v>
      </c>
      <c r="AF3373">
        <v>0</v>
      </c>
      <c r="AG3373">
        <v>0</v>
      </c>
      <c r="AH3373">
        <v>0</v>
      </c>
      <c r="AI3373">
        <v>414</v>
      </c>
      <c r="AJ3373">
        <v>0</v>
      </c>
      <c r="AK3373">
        <v>0</v>
      </c>
      <c r="AL3373">
        <v>0</v>
      </c>
      <c r="AM3373">
        <v>0</v>
      </c>
      <c r="AN3373">
        <v>0</v>
      </c>
      <c r="AO3373">
        <v>0</v>
      </c>
      <c r="AP3373">
        <v>0</v>
      </c>
      <c r="AQ3373">
        <v>0</v>
      </c>
      <c r="AR3373">
        <v>0</v>
      </c>
      <c r="AS3373">
        <v>0</v>
      </c>
      <c r="AT3373">
        <v>0</v>
      </c>
      <c r="AU3373">
        <f t="shared" si="104"/>
        <v>0</v>
      </c>
      <c r="AV3373">
        <f t="shared" si="105"/>
        <v>414</v>
      </c>
    </row>
    <row r="3374" spans="1:48" x14ac:dyDescent="0.25">
      <c r="A3374" t="s">
        <v>10874</v>
      </c>
      <c r="C3374" t="s">
        <v>10875</v>
      </c>
      <c r="D3374" t="s">
        <v>2599</v>
      </c>
      <c r="E3374" t="s">
        <v>2310</v>
      </c>
      <c r="F3374">
        <v>13</v>
      </c>
      <c r="G3374">
        <v>13.1</v>
      </c>
      <c r="H3374" t="s">
        <v>2327</v>
      </c>
      <c r="I3374" s="21">
        <v>41003.481377314798</v>
      </c>
      <c r="J3374">
        <v>2012</v>
      </c>
      <c r="K3374" s="21">
        <v>41003.481377314798</v>
      </c>
      <c r="L3374">
        <v>2012</v>
      </c>
      <c r="M3374" s="21">
        <v>41795.475972222201</v>
      </c>
      <c r="N3374">
        <v>2014</v>
      </c>
      <c r="Q3374" s="262">
        <v>150000</v>
      </c>
      <c r="R3374" s="262">
        <v>41000</v>
      </c>
      <c r="S3374" t="s">
        <v>114</v>
      </c>
      <c r="T3374" t="s">
        <v>114</v>
      </c>
      <c r="U3374">
        <v>10</v>
      </c>
      <c r="V3374">
        <v>863</v>
      </c>
      <c r="W3374">
        <v>0</v>
      </c>
      <c r="X3374">
        <v>0</v>
      </c>
      <c r="Y3374">
        <v>0</v>
      </c>
      <c r="Z3374">
        <v>0</v>
      </c>
      <c r="AA3374">
        <v>0</v>
      </c>
      <c r="AB3374">
        <v>0</v>
      </c>
      <c r="AC3374">
        <v>0</v>
      </c>
      <c r="AD3374">
        <v>0</v>
      </c>
      <c r="AE3374">
        <v>0</v>
      </c>
      <c r="AF3374">
        <v>0</v>
      </c>
      <c r="AG3374">
        <v>0</v>
      </c>
      <c r="AH3374">
        <v>0</v>
      </c>
      <c r="AI3374">
        <v>0</v>
      </c>
      <c r="AJ3374">
        <v>0</v>
      </c>
      <c r="AK3374">
        <v>0</v>
      </c>
      <c r="AL3374">
        <v>0</v>
      </c>
      <c r="AM3374">
        <v>0</v>
      </c>
      <c r="AN3374">
        <v>0</v>
      </c>
      <c r="AO3374">
        <v>0</v>
      </c>
      <c r="AP3374">
        <v>0</v>
      </c>
      <c r="AQ3374">
        <v>0</v>
      </c>
      <c r="AR3374">
        <v>0</v>
      </c>
      <c r="AS3374">
        <v>0</v>
      </c>
      <c r="AT3374">
        <v>0</v>
      </c>
      <c r="AU3374">
        <f t="shared" si="104"/>
        <v>0</v>
      </c>
      <c r="AV3374">
        <f t="shared" si="105"/>
        <v>0</v>
      </c>
    </row>
    <row r="3375" spans="1:48" x14ac:dyDescent="0.25">
      <c r="A3375" t="s">
        <v>10876</v>
      </c>
      <c r="C3375" t="s">
        <v>10877</v>
      </c>
      <c r="D3375" t="s">
        <v>10878</v>
      </c>
      <c r="E3375" t="s">
        <v>2310</v>
      </c>
      <c r="F3375">
        <v>7</v>
      </c>
      <c r="G3375">
        <v>7.2</v>
      </c>
      <c r="H3375" t="s">
        <v>2017</v>
      </c>
      <c r="I3375" s="21">
        <v>41003.5602083333</v>
      </c>
      <c r="J3375">
        <v>2012</v>
      </c>
      <c r="K3375" s="21">
        <v>41003.5602083333</v>
      </c>
      <c r="L3375">
        <v>2012</v>
      </c>
      <c r="P3375" s="21">
        <v>43952.346691319399</v>
      </c>
      <c r="Q3375" s="262">
        <v>175000</v>
      </c>
      <c r="R3375" s="262">
        <v>57000</v>
      </c>
      <c r="S3375" t="s">
        <v>114</v>
      </c>
      <c r="T3375" t="s">
        <v>114</v>
      </c>
      <c r="U3375">
        <v>5</v>
      </c>
      <c r="W3375">
        <v>1430</v>
      </c>
      <c r="X3375">
        <v>0</v>
      </c>
      <c r="Y3375">
        <v>0</v>
      </c>
      <c r="Z3375">
        <v>0</v>
      </c>
      <c r="AA3375">
        <v>0</v>
      </c>
      <c r="AB3375">
        <v>0</v>
      </c>
      <c r="AC3375">
        <v>1430</v>
      </c>
      <c r="AD3375">
        <v>0</v>
      </c>
      <c r="AE3375">
        <v>0</v>
      </c>
      <c r="AF3375">
        <v>0</v>
      </c>
      <c r="AG3375">
        <v>0</v>
      </c>
      <c r="AH3375">
        <v>0</v>
      </c>
      <c r="AI3375">
        <v>0</v>
      </c>
      <c r="AJ3375">
        <v>0</v>
      </c>
      <c r="AK3375">
        <v>0</v>
      </c>
      <c r="AL3375">
        <v>0</v>
      </c>
      <c r="AM3375">
        <v>0</v>
      </c>
      <c r="AN3375">
        <v>0</v>
      </c>
      <c r="AO3375">
        <v>0</v>
      </c>
      <c r="AP3375">
        <v>0</v>
      </c>
      <c r="AQ3375">
        <v>0</v>
      </c>
      <c r="AR3375">
        <v>0</v>
      </c>
      <c r="AS3375">
        <v>0</v>
      </c>
      <c r="AT3375">
        <v>0</v>
      </c>
      <c r="AU3375">
        <f t="shared" si="104"/>
        <v>0</v>
      </c>
      <c r="AV3375">
        <f t="shared" si="105"/>
        <v>0</v>
      </c>
    </row>
    <row r="3376" spans="1:48" x14ac:dyDescent="0.25">
      <c r="A3376" t="s">
        <v>10879</v>
      </c>
      <c r="C3376" t="s">
        <v>10880</v>
      </c>
      <c r="D3376" t="s">
        <v>10881</v>
      </c>
      <c r="E3376" t="s">
        <v>1663</v>
      </c>
      <c r="F3376">
        <v>6</v>
      </c>
      <c r="G3376">
        <v>6.1</v>
      </c>
      <c r="H3376" t="s">
        <v>2017</v>
      </c>
      <c r="I3376" s="21">
        <v>41009</v>
      </c>
      <c r="J3376">
        <v>2012</v>
      </c>
      <c r="K3376" s="21">
        <v>41039</v>
      </c>
      <c r="L3376">
        <v>2012</v>
      </c>
      <c r="M3376" s="21">
        <v>41192</v>
      </c>
      <c r="N3376">
        <v>2012</v>
      </c>
      <c r="Q3376" s="262">
        <v>200000</v>
      </c>
      <c r="S3376" t="s">
        <v>114</v>
      </c>
      <c r="T3376" t="s">
        <v>114</v>
      </c>
      <c r="W3376">
        <v>3000</v>
      </c>
      <c r="X3376">
        <v>0</v>
      </c>
      <c r="Y3376">
        <v>0</v>
      </c>
      <c r="Z3376">
        <v>0</v>
      </c>
      <c r="AA3376">
        <v>0</v>
      </c>
      <c r="AB3376">
        <v>0</v>
      </c>
      <c r="AC3376">
        <v>0</v>
      </c>
      <c r="AD3376">
        <v>0</v>
      </c>
      <c r="AE3376">
        <v>0</v>
      </c>
      <c r="AF3376">
        <v>0</v>
      </c>
      <c r="AG3376">
        <v>0</v>
      </c>
      <c r="AH3376">
        <v>0</v>
      </c>
      <c r="AI3376">
        <v>0</v>
      </c>
      <c r="AJ3376">
        <v>0</v>
      </c>
      <c r="AK3376">
        <v>0</v>
      </c>
      <c r="AL3376">
        <v>0</v>
      </c>
      <c r="AM3376">
        <v>3000</v>
      </c>
      <c r="AN3376">
        <v>0</v>
      </c>
      <c r="AO3376">
        <v>0</v>
      </c>
      <c r="AP3376">
        <v>0</v>
      </c>
      <c r="AQ3376">
        <v>0</v>
      </c>
      <c r="AR3376">
        <v>0</v>
      </c>
      <c r="AS3376">
        <v>0</v>
      </c>
      <c r="AT3376">
        <v>0</v>
      </c>
      <c r="AU3376">
        <f t="shared" si="104"/>
        <v>0</v>
      </c>
      <c r="AV3376">
        <f t="shared" si="105"/>
        <v>3000</v>
      </c>
    </row>
    <row r="3377" spans="1:48" x14ac:dyDescent="0.25">
      <c r="A3377" t="s">
        <v>10882</v>
      </c>
      <c r="C3377" t="s">
        <v>9763</v>
      </c>
      <c r="D3377" t="s">
        <v>7000</v>
      </c>
      <c r="E3377" t="s">
        <v>1663</v>
      </c>
      <c r="F3377">
        <v>6</v>
      </c>
      <c r="G3377">
        <v>6.1</v>
      </c>
      <c r="H3377" t="s">
        <v>2017</v>
      </c>
      <c r="I3377" s="21">
        <v>41009</v>
      </c>
      <c r="J3377">
        <v>2012</v>
      </c>
      <c r="K3377" s="21">
        <v>41039</v>
      </c>
      <c r="L3377">
        <v>2012</v>
      </c>
      <c r="M3377" s="21">
        <v>41192</v>
      </c>
      <c r="N3377">
        <v>2012</v>
      </c>
      <c r="Q3377" s="262">
        <v>430000</v>
      </c>
      <c r="S3377" t="s">
        <v>114</v>
      </c>
      <c r="T3377" t="s">
        <v>114</v>
      </c>
      <c r="W3377">
        <v>2583</v>
      </c>
      <c r="X3377">
        <v>1</v>
      </c>
      <c r="Y3377">
        <v>0</v>
      </c>
      <c r="Z3377">
        <v>0</v>
      </c>
      <c r="AA3377">
        <v>0</v>
      </c>
      <c r="AB3377">
        <v>0</v>
      </c>
      <c r="AC3377">
        <v>2583</v>
      </c>
      <c r="AD3377">
        <v>0</v>
      </c>
      <c r="AE3377">
        <v>0</v>
      </c>
      <c r="AF3377">
        <v>0</v>
      </c>
      <c r="AG3377">
        <v>0</v>
      </c>
      <c r="AH3377">
        <v>0</v>
      </c>
      <c r="AI3377">
        <v>0</v>
      </c>
      <c r="AJ3377">
        <v>0</v>
      </c>
      <c r="AK3377">
        <v>0</v>
      </c>
      <c r="AL3377">
        <v>0</v>
      </c>
      <c r="AM3377">
        <v>0</v>
      </c>
      <c r="AN3377">
        <v>0</v>
      </c>
      <c r="AO3377">
        <v>1</v>
      </c>
      <c r="AP3377">
        <v>0</v>
      </c>
      <c r="AQ3377">
        <v>0</v>
      </c>
      <c r="AR3377">
        <v>0</v>
      </c>
      <c r="AS3377">
        <v>0</v>
      </c>
      <c r="AT3377">
        <v>0</v>
      </c>
      <c r="AU3377">
        <f t="shared" si="104"/>
        <v>1</v>
      </c>
      <c r="AV3377">
        <f t="shared" si="105"/>
        <v>0</v>
      </c>
    </row>
    <row r="3378" spans="1:48" x14ac:dyDescent="0.25">
      <c r="A3378" t="s">
        <v>10883</v>
      </c>
      <c r="C3378" t="s">
        <v>10884</v>
      </c>
      <c r="D3378" t="s">
        <v>2336</v>
      </c>
      <c r="E3378" t="s">
        <v>1663</v>
      </c>
      <c r="F3378">
        <v>5</v>
      </c>
      <c r="G3378">
        <v>5.4</v>
      </c>
      <c r="H3378" t="s">
        <v>2017</v>
      </c>
      <c r="I3378" s="21">
        <v>41009</v>
      </c>
      <c r="J3378">
        <v>2012</v>
      </c>
      <c r="K3378" s="21">
        <v>41039</v>
      </c>
      <c r="L3378">
        <v>2012</v>
      </c>
      <c r="M3378" s="21">
        <v>41192</v>
      </c>
      <c r="N3378">
        <v>2012</v>
      </c>
      <c r="Q3378" s="262">
        <v>450000</v>
      </c>
      <c r="S3378" t="s">
        <v>114</v>
      </c>
      <c r="T3378" t="s">
        <v>114</v>
      </c>
      <c r="W3378">
        <v>2858</v>
      </c>
      <c r="X3378">
        <v>0</v>
      </c>
      <c r="Y3378">
        <v>0</v>
      </c>
      <c r="Z3378">
        <v>0</v>
      </c>
      <c r="AA3378">
        <v>0</v>
      </c>
      <c r="AB3378">
        <v>0</v>
      </c>
      <c r="AC3378">
        <v>0</v>
      </c>
      <c r="AD3378">
        <v>0</v>
      </c>
      <c r="AE3378">
        <v>0</v>
      </c>
      <c r="AF3378">
        <v>0</v>
      </c>
      <c r="AG3378">
        <v>0</v>
      </c>
      <c r="AH3378">
        <v>0</v>
      </c>
      <c r="AI3378">
        <v>0</v>
      </c>
      <c r="AJ3378">
        <v>0</v>
      </c>
      <c r="AK3378">
        <v>0</v>
      </c>
      <c r="AL3378">
        <v>0</v>
      </c>
      <c r="AM3378">
        <v>2858</v>
      </c>
      <c r="AN3378">
        <v>0</v>
      </c>
      <c r="AO3378">
        <v>0</v>
      </c>
      <c r="AP3378">
        <v>0</v>
      </c>
      <c r="AQ3378">
        <v>0</v>
      </c>
      <c r="AR3378">
        <v>0</v>
      </c>
      <c r="AS3378">
        <v>0</v>
      </c>
      <c r="AT3378">
        <v>0</v>
      </c>
      <c r="AU3378">
        <f t="shared" si="104"/>
        <v>0</v>
      </c>
      <c r="AV3378">
        <f t="shared" si="105"/>
        <v>2858</v>
      </c>
    </row>
    <row r="3379" spans="1:48" x14ac:dyDescent="0.25">
      <c r="A3379" t="s">
        <v>10885</v>
      </c>
      <c r="C3379" t="s">
        <v>10886</v>
      </c>
      <c r="D3379" t="s">
        <v>10887</v>
      </c>
      <c r="E3379" t="s">
        <v>2310</v>
      </c>
      <c r="F3379">
        <v>11</v>
      </c>
      <c r="G3379">
        <v>11.2</v>
      </c>
      <c r="H3379" t="s">
        <v>2017</v>
      </c>
      <c r="I3379" s="21">
        <v>41009.401840277802</v>
      </c>
      <c r="J3379">
        <v>2012</v>
      </c>
      <c r="K3379" s="21">
        <v>41009.401840277802</v>
      </c>
      <c r="L3379">
        <v>2012</v>
      </c>
      <c r="M3379" s="21">
        <v>41248.546932870398</v>
      </c>
      <c r="N3379">
        <v>2012</v>
      </c>
      <c r="Q3379" s="262">
        <v>300000</v>
      </c>
      <c r="R3379" s="262">
        <v>213000</v>
      </c>
      <c r="S3379" t="s">
        <v>114</v>
      </c>
      <c r="T3379" t="s">
        <v>114</v>
      </c>
      <c r="U3379">
        <v>5</v>
      </c>
      <c r="W3379">
        <v>2341</v>
      </c>
      <c r="X3379">
        <v>1</v>
      </c>
      <c r="Y3379">
        <v>0</v>
      </c>
      <c r="Z3379">
        <v>0</v>
      </c>
      <c r="AA3379">
        <v>0</v>
      </c>
      <c r="AB3379">
        <v>0</v>
      </c>
      <c r="AC3379">
        <v>2341</v>
      </c>
      <c r="AD3379">
        <v>0</v>
      </c>
      <c r="AE3379">
        <v>0</v>
      </c>
      <c r="AF3379">
        <v>0</v>
      </c>
      <c r="AG3379">
        <v>0</v>
      </c>
      <c r="AH3379">
        <v>0</v>
      </c>
      <c r="AI3379">
        <v>0</v>
      </c>
      <c r="AJ3379">
        <v>0</v>
      </c>
      <c r="AK3379">
        <v>0</v>
      </c>
      <c r="AL3379">
        <v>0</v>
      </c>
      <c r="AM3379">
        <v>0</v>
      </c>
      <c r="AN3379">
        <v>0</v>
      </c>
      <c r="AO3379">
        <v>1</v>
      </c>
      <c r="AP3379">
        <v>0</v>
      </c>
      <c r="AQ3379">
        <v>0</v>
      </c>
      <c r="AR3379">
        <v>0</v>
      </c>
      <c r="AS3379">
        <v>0</v>
      </c>
      <c r="AT3379">
        <v>0</v>
      </c>
      <c r="AU3379">
        <f t="shared" si="104"/>
        <v>1</v>
      </c>
      <c r="AV3379">
        <f t="shared" si="105"/>
        <v>0</v>
      </c>
    </row>
    <row r="3380" spans="1:48" x14ac:dyDescent="0.25">
      <c r="A3380" t="s">
        <v>10888</v>
      </c>
      <c r="C3380" t="s">
        <v>10889</v>
      </c>
      <c r="D3380" t="s">
        <v>7352</v>
      </c>
      <c r="E3380" t="s">
        <v>2310</v>
      </c>
      <c r="F3380">
        <v>15</v>
      </c>
      <c r="G3380">
        <v>15.3</v>
      </c>
      <c r="H3380" t="s">
        <v>2022</v>
      </c>
      <c r="I3380" s="21">
        <v>41009.683321759301</v>
      </c>
      <c r="J3380">
        <v>2012</v>
      </c>
      <c r="K3380" s="21">
        <v>41009.683321759301</v>
      </c>
      <c r="L3380">
        <v>2012</v>
      </c>
      <c r="O3380" s="21">
        <v>41690.499803240702</v>
      </c>
      <c r="Q3380" s="262">
        <v>30000</v>
      </c>
      <c r="R3380" s="262">
        <v>26000</v>
      </c>
      <c r="S3380" t="s">
        <v>114</v>
      </c>
      <c r="T3380" t="s">
        <v>114</v>
      </c>
      <c r="U3380">
        <v>5</v>
      </c>
      <c r="W3380">
        <v>250</v>
      </c>
      <c r="X3380">
        <v>0</v>
      </c>
      <c r="Y3380">
        <v>0</v>
      </c>
      <c r="Z3380">
        <v>0</v>
      </c>
      <c r="AA3380">
        <v>0</v>
      </c>
      <c r="AB3380">
        <v>0</v>
      </c>
      <c r="AC3380">
        <v>250</v>
      </c>
      <c r="AD3380">
        <v>0</v>
      </c>
      <c r="AE3380">
        <v>0</v>
      </c>
      <c r="AF3380">
        <v>0</v>
      </c>
      <c r="AG3380">
        <v>0</v>
      </c>
      <c r="AH3380">
        <v>0</v>
      </c>
      <c r="AI3380">
        <v>0</v>
      </c>
      <c r="AJ3380">
        <v>0</v>
      </c>
      <c r="AK3380">
        <v>0</v>
      </c>
      <c r="AL3380">
        <v>0</v>
      </c>
      <c r="AM3380">
        <v>0</v>
      </c>
      <c r="AN3380">
        <v>0</v>
      </c>
      <c r="AO3380">
        <v>0</v>
      </c>
      <c r="AP3380">
        <v>0</v>
      </c>
      <c r="AQ3380">
        <v>0</v>
      </c>
      <c r="AR3380">
        <v>0</v>
      </c>
      <c r="AS3380">
        <v>0</v>
      </c>
      <c r="AT3380">
        <v>0</v>
      </c>
      <c r="AU3380">
        <f t="shared" si="104"/>
        <v>0</v>
      </c>
      <c r="AV3380">
        <f t="shared" si="105"/>
        <v>0</v>
      </c>
    </row>
    <row r="3381" spans="1:48" x14ac:dyDescent="0.25">
      <c r="A3381" t="s">
        <v>10890</v>
      </c>
      <c r="C3381" t="s">
        <v>10891</v>
      </c>
      <c r="D3381" t="s">
        <v>10892</v>
      </c>
      <c r="E3381" t="s">
        <v>2310</v>
      </c>
      <c r="F3381">
        <v>9</v>
      </c>
      <c r="G3381">
        <v>9.4</v>
      </c>
      <c r="H3381" t="s">
        <v>2323</v>
      </c>
      <c r="I3381" s="21">
        <v>41011.645162036999</v>
      </c>
      <c r="J3381">
        <v>2012</v>
      </c>
      <c r="K3381" s="21">
        <v>41011.645162036999</v>
      </c>
      <c r="L3381">
        <v>2012</v>
      </c>
      <c r="M3381" s="21">
        <v>41646.507662037002</v>
      </c>
      <c r="N3381">
        <v>2014</v>
      </c>
      <c r="Q3381" s="262">
        <v>1800000</v>
      </c>
      <c r="R3381" s="262">
        <v>739000</v>
      </c>
      <c r="S3381" t="s">
        <v>114</v>
      </c>
      <c r="T3381" t="s">
        <v>114</v>
      </c>
      <c r="U3381">
        <v>5</v>
      </c>
      <c r="W3381">
        <v>7739</v>
      </c>
      <c r="X3381">
        <v>1</v>
      </c>
      <c r="Y3381">
        <v>0</v>
      </c>
      <c r="Z3381">
        <v>0</v>
      </c>
      <c r="AA3381">
        <v>0</v>
      </c>
      <c r="AB3381">
        <v>0</v>
      </c>
      <c r="AC3381">
        <v>7739</v>
      </c>
      <c r="AD3381">
        <v>0</v>
      </c>
      <c r="AE3381">
        <v>0</v>
      </c>
      <c r="AF3381">
        <v>0</v>
      </c>
      <c r="AG3381">
        <v>0</v>
      </c>
      <c r="AH3381">
        <v>0</v>
      </c>
      <c r="AI3381">
        <v>0</v>
      </c>
      <c r="AJ3381">
        <v>0</v>
      </c>
      <c r="AK3381">
        <v>0</v>
      </c>
      <c r="AL3381">
        <v>0</v>
      </c>
      <c r="AM3381">
        <v>0</v>
      </c>
      <c r="AN3381">
        <v>0</v>
      </c>
      <c r="AO3381">
        <v>1</v>
      </c>
      <c r="AP3381">
        <v>0</v>
      </c>
      <c r="AQ3381">
        <v>0</v>
      </c>
      <c r="AR3381">
        <v>0</v>
      </c>
      <c r="AS3381">
        <v>0</v>
      </c>
      <c r="AT3381">
        <v>0</v>
      </c>
      <c r="AU3381">
        <f t="shared" si="104"/>
        <v>1</v>
      </c>
      <c r="AV3381">
        <f t="shared" si="105"/>
        <v>0</v>
      </c>
    </row>
    <row r="3382" spans="1:48" x14ac:dyDescent="0.25">
      <c r="A3382" t="s">
        <v>10893</v>
      </c>
      <c r="C3382" t="s">
        <v>4934</v>
      </c>
      <c r="D3382" t="s">
        <v>10894</v>
      </c>
      <c r="E3382" t="s">
        <v>2310</v>
      </c>
      <c r="F3382">
        <v>10</v>
      </c>
      <c r="G3382">
        <v>10.1</v>
      </c>
      <c r="H3382" t="s">
        <v>2323</v>
      </c>
      <c r="I3382" s="21">
        <v>41012.551539351902</v>
      </c>
      <c r="J3382">
        <v>2012</v>
      </c>
      <c r="K3382" s="21">
        <v>41012.551539351902</v>
      </c>
      <c r="L3382">
        <v>2012</v>
      </c>
      <c r="M3382" s="21">
        <v>41439.406215277799</v>
      </c>
      <c r="N3382">
        <v>2013</v>
      </c>
      <c r="Q3382" s="262">
        <v>50000</v>
      </c>
      <c r="R3382" s="262">
        <v>73000</v>
      </c>
      <c r="S3382" t="s">
        <v>114</v>
      </c>
      <c r="T3382" t="s">
        <v>114</v>
      </c>
      <c r="U3382">
        <v>5</v>
      </c>
      <c r="W3382">
        <v>1832</v>
      </c>
      <c r="X3382">
        <v>0</v>
      </c>
      <c r="Y3382">
        <v>0</v>
      </c>
      <c r="Z3382">
        <v>0</v>
      </c>
      <c r="AA3382">
        <v>0</v>
      </c>
      <c r="AB3382">
        <v>0</v>
      </c>
      <c r="AC3382">
        <v>1832</v>
      </c>
      <c r="AD3382">
        <v>0</v>
      </c>
      <c r="AE3382">
        <v>0</v>
      </c>
      <c r="AF3382">
        <v>0</v>
      </c>
      <c r="AG3382">
        <v>0</v>
      </c>
      <c r="AH3382">
        <v>0</v>
      </c>
      <c r="AI3382">
        <v>0</v>
      </c>
      <c r="AJ3382">
        <v>0</v>
      </c>
      <c r="AK3382">
        <v>0</v>
      </c>
      <c r="AL3382">
        <v>0</v>
      </c>
      <c r="AM3382">
        <v>0</v>
      </c>
      <c r="AN3382">
        <v>0</v>
      </c>
      <c r="AO3382">
        <v>0</v>
      </c>
      <c r="AP3382">
        <v>0</v>
      </c>
      <c r="AQ3382">
        <v>0</v>
      </c>
      <c r="AR3382">
        <v>0</v>
      </c>
      <c r="AS3382">
        <v>0</v>
      </c>
      <c r="AT3382">
        <v>0</v>
      </c>
      <c r="AU3382">
        <f t="shared" si="104"/>
        <v>0</v>
      </c>
      <c r="AV3382">
        <f t="shared" si="105"/>
        <v>0</v>
      </c>
    </row>
    <row r="3383" spans="1:48" x14ac:dyDescent="0.25">
      <c r="A3383" t="s">
        <v>10895</v>
      </c>
      <c r="C3383" t="s">
        <v>10896</v>
      </c>
      <c r="D3383" t="s">
        <v>10897</v>
      </c>
      <c r="E3383" t="s">
        <v>2310</v>
      </c>
      <c r="F3383">
        <v>13</v>
      </c>
      <c r="G3383">
        <v>13.3</v>
      </c>
      <c r="H3383" t="s">
        <v>2017</v>
      </c>
      <c r="I3383" s="21">
        <v>41012.620983796303</v>
      </c>
      <c r="J3383">
        <v>2012</v>
      </c>
      <c r="K3383" s="21">
        <v>41012.620983796303</v>
      </c>
      <c r="L3383">
        <v>2012</v>
      </c>
      <c r="M3383" s="21">
        <v>41529.456412036998</v>
      </c>
      <c r="N3383">
        <v>2013</v>
      </c>
      <c r="Q3383" s="262">
        <v>750000</v>
      </c>
      <c r="R3383" s="262">
        <v>154000</v>
      </c>
      <c r="S3383" t="s">
        <v>114</v>
      </c>
      <c r="T3383" t="s">
        <v>114</v>
      </c>
      <c r="U3383">
        <v>5</v>
      </c>
      <c r="V3383">
        <v>415</v>
      </c>
      <c r="W3383">
        <v>1125</v>
      </c>
      <c r="X3383">
        <v>0</v>
      </c>
      <c r="Y3383">
        <v>0</v>
      </c>
      <c r="Z3383">
        <v>0</v>
      </c>
      <c r="AA3383">
        <v>0</v>
      </c>
      <c r="AB3383">
        <v>0</v>
      </c>
      <c r="AC3383">
        <v>1125</v>
      </c>
      <c r="AD3383">
        <v>0</v>
      </c>
      <c r="AE3383">
        <v>0</v>
      </c>
      <c r="AF3383">
        <v>0</v>
      </c>
      <c r="AG3383">
        <v>0</v>
      </c>
      <c r="AH3383">
        <v>0</v>
      </c>
      <c r="AI3383">
        <v>0</v>
      </c>
      <c r="AJ3383">
        <v>0</v>
      </c>
      <c r="AK3383">
        <v>0</v>
      </c>
      <c r="AL3383">
        <v>0</v>
      </c>
      <c r="AM3383">
        <v>0</v>
      </c>
      <c r="AN3383">
        <v>0</v>
      </c>
      <c r="AO3383">
        <v>0</v>
      </c>
      <c r="AP3383">
        <v>0</v>
      </c>
      <c r="AQ3383">
        <v>0</v>
      </c>
      <c r="AR3383">
        <v>0</v>
      </c>
      <c r="AS3383">
        <v>0</v>
      </c>
      <c r="AT3383">
        <v>0</v>
      </c>
      <c r="AU3383">
        <f t="shared" si="104"/>
        <v>0</v>
      </c>
      <c r="AV3383">
        <f t="shared" si="105"/>
        <v>0</v>
      </c>
    </row>
    <row r="3384" spans="1:48" x14ac:dyDescent="0.25">
      <c r="A3384" t="s">
        <v>10898</v>
      </c>
      <c r="C3384" t="s">
        <v>10267</v>
      </c>
      <c r="D3384" t="s">
        <v>10899</v>
      </c>
      <c r="E3384" t="s">
        <v>2310</v>
      </c>
      <c r="F3384">
        <v>9</v>
      </c>
      <c r="G3384">
        <v>9.1</v>
      </c>
      <c r="H3384" t="s">
        <v>2323</v>
      </c>
      <c r="I3384" s="21">
        <v>41016.444895833301</v>
      </c>
      <c r="J3384">
        <v>2012</v>
      </c>
      <c r="K3384" s="21">
        <v>41016.444895833301</v>
      </c>
      <c r="L3384">
        <v>2012</v>
      </c>
      <c r="M3384" s="21">
        <v>41488.614027777803</v>
      </c>
      <c r="N3384">
        <v>2013</v>
      </c>
      <c r="Q3384" s="262">
        <v>1000000</v>
      </c>
      <c r="R3384" s="262">
        <v>390000</v>
      </c>
      <c r="S3384" t="s">
        <v>114</v>
      </c>
      <c r="T3384" t="s">
        <v>114</v>
      </c>
      <c r="U3384">
        <v>5</v>
      </c>
      <c r="W3384">
        <v>4075</v>
      </c>
      <c r="X3384">
        <v>1</v>
      </c>
      <c r="Y3384">
        <v>0</v>
      </c>
      <c r="Z3384">
        <v>0</v>
      </c>
      <c r="AA3384">
        <v>0</v>
      </c>
      <c r="AB3384">
        <v>0</v>
      </c>
      <c r="AC3384">
        <v>4075</v>
      </c>
      <c r="AD3384">
        <v>0</v>
      </c>
      <c r="AE3384">
        <v>0</v>
      </c>
      <c r="AF3384">
        <v>0</v>
      </c>
      <c r="AG3384">
        <v>0</v>
      </c>
      <c r="AH3384">
        <v>0</v>
      </c>
      <c r="AI3384">
        <v>0</v>
      </c>
      <c r="AJ3384">
        <v>0</v>
      </c>
      <c r="AK3384">
        <v>0</v>
      </c>
      <c r="AL3384">
        <v>0</v>
      </c>
      <c r="AM3384">
        <v>0</v>
      </c>
      <c r="AN3384">
        <v>0</v>
      </c>
      <c r="AO3384">
        <v>1</v>
      </c>
      <c r="AP3384">
        <v>0</v>
      </c>
      <c r="AQ3384">
        <v>0</v>
      </c>
      <c r="AR3384">
        <v>0</v>
      </c>
      <c r="AS3384">
        <v>0</v>
      </c>
      <c r="AT3384">
        <v>0</v>
      </c>
      <c r="AU3384">
        <f t="shared" si="104"/>
        <v>1</v>
      </c>
      <c r="AV3384">
        <f t="shared" si="105"/>
        <v>0</v>
      </c>
    </row>
    <row r="3385" spans="1:48" x14ac:dyDescent="0.25">
      <c r="A3385" t="s">
        <v>10900</v>
      </c>
      <c r="C3385" t="s">
        <v>10901</v>
      </c>
      <c r="D3385" t="s">
        <v>10902</v>
      </c>
      <c r="E3385" t="s">
        <v>2310</v>
      </c>
      <c r="F3385">
        <v>10</v>
      </c>
      <c r="G3385">
        <v>10.1</v>
      </c>
      <c r="H3385" t="s">
        <v>2323</v>
      </c>
      <c r="I3385" s="21">
        <v>41016.622245370403</v>
      </c>
      <c r="J3385">
        <v>2012</v>
      </c>
      <c r="K3385" s="21">
        <v>41016.622245370403</v>
      </c>
      <c r="L3385">
        <v>2012</v>
      </c>
      <c r="M3385" s="21">
        <v>41270.467696759297</v>
      </c>
      <c r="N3385">
        <v>2012</v>
      </c>
      <c r="Q3385" s="262">
        <v>267000</v>
      </c>
      <c r="R3385" s="262">
        <v>176000</v>
      </c>
      <c r="S3385" t="s">
        <v>114</v>
      </c>
      <c r="T3385" t="s">
        <v>114</v>
      </c>
      <c r="U3385">
        <v>5</v>
      </c>
      <c r="W3385">
        <v>1936</v>
      </c>
      <c r="X3385">
        <v>1</v>
      </c>
      <c r="Y3385">
        <v>0</v>
      </c>
      <c r="Z3385">
        <v>0</v>
      </c>
      <c r="AA3385">
        <v>0</v>
      </c>
      <c r="AB3385">
        <v>0</v>
      </c>
      <c r="AC3385">
        <v>1936</v>
      </c>
      <c r="AD3385">
        <v>0</v>
      </c>
      <c r="AE3385">
        <v>0</v>
      </c>
      <c r="AF3385">
        <v>0</v>
      </c>
      <c r="AG3385">
        <v>0</v>
      </c>
      <c r="AH3385">
        <v>0</v>
      </c>
      <c r="AI3385">
        <v>0</v>
      </c>
      <c r="AJ3385">
        <v>0</v>
      </c>
      <c r="AK3385">
        <v>0</v>
      </c>
      <c r="AL3385">
        <v>0</v>
      </c>
      <c r="AM3385">
        <v>0</v>
      </c>
      <c r="AN3385">
        <v>0</v>
      </c>
      <c r="AO3385">
        <v>1</v>
      </c>
      <c r="AP3385">
        <v>0</v>
      </c>
      <c r="AQ3385">
        <v>0</v>
      </c>
      <c r="AR3385">
        <v>0</v>
      </c>
      <c r="AS3385">
        <v>0</v>
      </c>
      <c r="AT3385">
        <v>0</v>
      </c>
      <c r="AU3385">
        <f t="shared" si="104"/>
        <v>1</v>
      </c>
      <c r="AV3385">
        <f t="shared" si="105"/>
        <v>0</v>
      </c>
    </row>
    <row r="3386" spans="1:48" x14ac:dyDescent="0.25">
      <c r="A3386" t="s">
        <v>10903</v>
      </c>
      <c r="C3386" t="s">
        <v>10904</v>
      </c>
      <c r="D3386" t="s">
        <v>10107</v>
      </c>
      <c r="E3386" t="s">
        <v>2310</v>
      </c>
      <c r="F3386">
        <v>13</v>
      </c>
      <c r="G3386">
        <v>13.1</v>
      </c>
      <c r="H3386" t="s">
        <v>2327</v>
      </c>
      <c r="I3386" s="21">
        <v>41017.502951388902</v>
      </c>
      <c r="J3386">
        <v>2012</v>
      </c>
      <c r="K3386" s="21">
        <v>41017.502951388902</v>
      </c>
      <c r="L3386">
        <v>2012</v>
      </c>
      <c r="M3386" s="21">
        <v>41481.435497685197</v>
      </c>
      <c r="N3386">
        <v>2013</v>
      </c>
      <c r="Q3386" s="262">
        <v>130000</v>
      </c>
      <c r="R3386" s="262">
        <v>160000</v>
      </c>
      <c r="S3386" t="s">
        <v>114</v>
      </c>
      <c r="T3386" t="s">
        <v>114</v>
      </c>
      <c r="U3386">
        <v>6</v>
      </c>
      <c r="W3386">
        <v>1715</v>
      </c>
      <c r="X3386">
        <v>1</v>
      </c>
      <c r="Y3386">
        <v>0</v>
      </c>
      <c r="Z3386">
        <v>0</v>
      </c>
      <c r="AA3386">
        <v>0</v>
      </c>
      <c r="AB3386">
        <v>0</v>
      </c>
      <c r="AC3386">
        <v>0</v>
      </c>
      <c r="AD3386">
        <v>1715</v>
      </c>
      <c r="AE3386">
        <v>0</v>
      </c>
      <c r="AF3386">
        <v>0</v>
      </c>
      <c r="AG3386">
        <v>0</v>
      </c>
      <c r="AH3386">
        <v>0</v>
      </c>
      <c r="AI3386">
        <v>0</v>
      </c>
      <c r="AJ3386">
        <v>0</v>
      </c>
      <c r="AK3386">
        <v>0</v>
      </c>
      <c r="AL3386">
        <v>0</v>
      </c>
      <c r="AM3386">
        <v>0</v>
      </c>
      <c r="AN3386">
        <v>0</v>
      </c>
      <c r="AO3386">
        <v>0</v>
      </c>
      <c r="AP3386">
        <v>1</v>
      </c>
      <c r="AQ3386">
        <v>0</v>
      </c>
      <c r="AR3386">
        <v>0</v>
      </c>
      <c r="AS3386">
        <v>0</v>
      </c>
      <c r="AT3386">
        <v>0</v>
      </c>
      <c r="AU3386">
        <f t="shared" si="104"/>
        <v>1</v>
      </c>
      <c r="AV3386">
        <f t="shared" si="105"/>
        <v>0</v>
      </c>
    </row>
    <row r="3387" spans="1:48" x14ac:dyDescent="0.25">
      <c r="A3387" t="s">
        <v>10905</v>
      </c>
      <c r="C3387" t="s">
        <v>10904</v>
      </c>
      <c r="D3387" t="s">
        <v>10107</v>
      </c>
      <c r="E3387" t="s">
        <v>2310</v>
      </c>
      <c r="F3387">
        <v>13</v>
      </c>
      <c r="G3387">
        <v>13.1</v>
      </c>
      <c r="H3387" t="s">
        <v>2327</v>
      </c>
      <c r="I3387" s="21">
        <v>41017.512870370403</v>
      </c>
      <c r="J3387">
        <v>2012</v>
      </c>
      <c r="K3387" s="21">
        <v>41017.512870370403</v>
      </c>
      <c r="L3387">
        <v>2012</v>
      </c>
      <c r="M3387" s="21">
        <v>41481.433668981503</v>
      </c>
      <c r="N3387">
        <v>2013</v>
      </c>
      <c r="Q3387" s="262">
        <v>130000</v>
      </c>
      <c r="R3387" s="262">
        <v>160000</v>
      </c>
      <c r="S3387" t="s">
        <v>114</v>
      </c>
      <c r="T3387" t="s">
        <v>114</v>
      </c>
      <c r="U3387">
        <v>6</v>
      </c>
      <c r="W3387">
        <v>1715</v>
      </c>
      <c r="X3387">
        <v>1</v>
      </c>
      <c r="Y3387">
        <v>0</v>
      </c>
      <c r="Z3387">
        <v>0</v>
      </c>
      <c r="AA3387">
        <v>0</v>
      </c>
      <c r="AB3387">
        <v>0</v>
      </c>
      <c r="AC3387">
        <v>0</v>
      </c>
      <c r="AD3387">
        <v>1715</v>
      </c>
      <c r="AE3387">
        <v>0</v>
      </c>
      <c r="AF3387">
        <v>0</v>
      </c>
      <c r="AG3387">
        <v>0</v>
      </c>
      <c r="AH3387">
        <v>0</v>
      </c>
      <c r="AI3387">
        <v>0</v>
      </c>
      <c r="AJ3387">
        <v>0</v>
      </c>
      <c r="AK3387">
        <v>0</v>
      </c>
      <c r="AL3387">
        <v>0</v>
      </c>
      <c r="AM3387">
        <v>0</v>
      </c>
      <c r="AN3387">
        <v>0</v>
      </c>
      <c r="AO3387">
        <v>0</v>
      </c>
      <c r="AP3387">
        <v>1</v>
      </c>
      <c r="AQ3387">
        <v>0</v>
      </c>
      <c r="AR3387">
        <v>0</v>
      </c>
      <c r="AS3387">
        <v>0</v>
      </c>
      <c r="AT3387">
        <v>0</v>
      </c>
      <c r="AU3387">
        <f t="shared" si="104"/>
        <v>1</v>
      </c>
      <c r="AV3387">
        <f t="shared" si="105"/>
        <v>0</v>
      </c>
    </row>
    <row r="3388" spans="1:48" x14ac:dyDescent="0.25">
      <c r="A3388" t="s">
        <v>10906</v>
      </c>
      <c r="C3388" t="s">
        <v>10904</v>
      </c>
      <c r="D3388" t="s">
        <v>10107</v>
      </c>
      <c r="E3388" t="s">
        <v>2310</v>
      </c>
      <c r="F3388">
        <v>13</v>
      </c>
      <c r="G3388">
        <v>13.1</v>
      </c>
      <c r="H3388" t="s">
        <v>2327</v>
      </c>
      <c r="I3388" s="21">
        <v>41017.5129282407</v>
      </c>
      <c r="J3388">
        <v>2012</v>
      </c>
      <c r="K3388" s="21">
        <v>41017.5129282407</v>
      </c>
      <c r="L3388">
        <v>2012</v>
      </c>
      <c r="M3388" s="21">
        <v>41481.436435185198</v>
      </c>
      <c r="N3388">
        <v>2013</v>
      </c>
      <c r="Q3388" s="262">
        <v>130000</v>
      </c>
      <c r="R3388" s="262">
        <v>160000</v>
      </c>
      <c r="S3388" t="s">
        <v>114</v>
      </c>
      <c r="T3388" t="s">
        <v>114</v>
      </c>
      <c r="U3388">
        <v>6</v>
      </c>
      <c r="W3388">
        <v>1715</v>
      </c>
      <c r="X3388">
        <v>1</v>
      </c>
      <c r="Y3388">
        <v>0</v>
      </c>
      <c r="Z3388">
        <v>0</v>
      </c>
      <c r="AA3388">
        <v>0</v>
      </c>
      <c r="AB3388">
        <v>0</v>
      </c>
      <c r="AC3388">
        <v>0</v>
      </c>
      <c r="AD3388">
        <v>1715</v>
      </c>
      <c r="AE3388">
        <v>0</v>
      </c>
      <c r="AF3388">
        <v>0</v>
      </c>
      <c r="AG3388">
        <v>0</v>
      </c>
      <c r="AH3388">
        <v>0</v>
      </c>
      <c r="AI3388">
        <v>0</v>
      </c>
      <c r="AJ3388">
        <v>0</v>
      </c>
      <c r="AK3388">
        <v>0</v>
      </c>
      <c r="AL3388">
        <v>0</v>
      </c>
      <c r="AM3388">
        <v>0</v>
      </c>
      <c r="AN3388">
        <v>0</v>
      </c>
      <c r="AO3388">
        <v>0</v>
      </c>
      <c r="AP3388">
        <v>1</v>
      </c>
      <c r="AQ3388">
        <v>0</v>
      </c>
      <c r="AR3388">
        <v>0</v>
      </c>
      <c r="AS3388">
        <v>0</v>
      </c>
      <c r="AT3388">
        <v>0</v>
      </c>
      <c r="AU3388">
        <f t="shared" si="104"/>
        <v>1</v>
      </c>
      <c r="AV3388">
        <f t="shared" si="105"/>
        <v>0</v>
      </c>
    </row>
    <row r="3389" spans="1:48" x14ac:dyDescent="0.25">
      <c r="A3389" t="s">
        <v>10907</v>
      </c>
      <c r="C3389" t="s">
        <v>10904</v>
      </c>
      <c r="D3389" t="s">
        <v>10107</v>
      </c>
      <c r="E3389" t="s">
        <v>2310</v>
      </c>
      <c r="F3389">
        <v>13</v>
      </c>
      <c r="G3389">
        <v>13.1</v>
      </c>
      <c r="H3389" t="s">
        <v>2327</v>
      </c>
      <c r="I3389" s="21">
        <v>41017.512974537</v>
      </c>
      <c r="J3389">
        <v>2012</v>
      </c>
      <c r="K3389" s="21">
        <v>41017.512974537</v>
      </c>
      <c r="L3389">
        <v>2012</v>
      </c>
      <c r="M3389" s="21">
        <v>41481.438159722202</v>
      </c>
      <c r="N3389">
        <v>2013</v>
      </c>
      <c r="Q3389" s="262">
        <v>130000</v>
      </c>
      <c r="R3389" s="262">
        <v>160000</v>
      </c>
      <c r="S3389" t="s">
        <v>114</v>
      </c>
      <c r="T3389" t="s">
        <v>114</v>
      </c>
      <c r="U3389">
        <v>6</v>
      </c>
      <c r="W3389">
        <v>1715</v>
      </c>
      <c r="X3389">
        <v>1</v>
      </c>
      <c r="Y3389">
        <v>0</v>
      </c>
      <c r="Z3389">
        <v>0</v>
      </c>
      <c r="AA3389">
        <v>0</v>
      </c>
      <c r="AB3389">
        <v>0</v>
      </c>
      <c r="AC3389">
        <v>0</v>
      </c>
      <c r="AD3389">
        <v>1715</v>
      </c>
      <c r="AE3389">
        <v>0</v>
      </c>
      <c r="AF3389">
        <v>0</v>
      </c>
      <c r="AG3389">
        <v>0</v>
      </c>
      <c r="AH3389">
        <v>0</v>
      </c>
      <c r="AI3389">
        <v>0</v>
      </c>
      <c r="AJ3389">
        <v>0</v>
      </c>
      <c r="AK3389">
        <v>0</v>
      </c>
      <c r="AL3389">
        <v>0</v>
      </c>
      <c r="AM3389">
        <v>0</v>
      </c>
      <c r="AN3389">
        <v>0</v>
      </c>
      <c r="AO3389">
        <v>0</v>
      </c>
      <c r="AP3389">
        <v>1</v>
      </c>
      <c r="AQ3389">
        <v>0</v>
      </c>
      <c r="AR3389">
        <v>0</v>
      </c>
      <c r="AS3389">
        <v>0</v>
      </c>
      <c r="AT3389">
        <v>0</v>
      </c>
      <c r="AU3389">
        <f t="shared" si="104"/>
        <v>1</v>
      </c>
      <c r="AV3389">
        <f t="shared" si="105"/>
        <v>0</v>
      </c>
    </row>
    <row r="3390" spans="1:48" x14ac:dyDescent="0.25">
      <c r="A3390" t="s">
        <v>10908</v>
      </c>
      <c r="C3390" t="s">
        <v>10909</v>
      </c>
      <c r="D3390" t="s">
        <v>10910</v>
      </c>
      <c r="E3390" t="s">
        <v>2310</v>
      </c>
      <c r="F3390">
        <v>9</v>
      </c>
      <c r="G3390">
        <v>9.3000000000000007</v>
      </c>
      <c r="H3390" t="s">
        <v>2323</v>
      </c>
      <c r="I3390" s="21">
        <v>41019.368958333303</v>
      </c>
      <c r="J3390">
        <v>2012</v>
      </c>
      <c r="K3390" s="21">
        <v>41019.368958333303</v>
      </c>
      <c r="L3390">
        <v>2012</v>
      </c>
      <c r="M3390" s="21">
        <v>41556.581817129598</v>
      </c>
      <c r="N3390">
        <v>2013</v>
      </c>
      <c r="Q3390" s="262">
        <v>1850000</v>
      </c>
      <c r="R3390" s="262">
        <v>419000</v>
      </c>
      <c r="S3390" t="s">
        <v>114</v>
      </c>
      <c r="T3390" t="s">
        <v>114</v>
      </c>
      <c r="U3390">
        <v>5</v>
      </c>
      <c r="W3390">
        <v>3959</v>
      </c>
      <c r="X3390">
        <v>1</v>
      </c>
      <c r="Y3390">
        <v>0</v>
      </c>
      <c r="Z3390">
        <v>0</v>
      </c>
      <c r="AA3390">
        <v>0</v>
      </c>
      <c r="AB3390">
        <v>0</v>
      </c>
      <c r="AC3390">
        <v>3959</v>
      </c>
      <c r="AD3390">
        <v>0</v>
      </c>
      <c r="AE3390">
        <v>0</v>
      </c>
      <c r="AF3390">
        <v>0</v>
      </c>
      <c r="AG3390">
        <v>0</v>
      </c>
      <c r="AH3390">
        <v>0</v>
      </c>
      <c r="AI3390">
        <v>0</v>
      </c>
      <c r="AJ3390">
        <v>0</v>
      </c>
      <c r="AK3390">
        <v>0</v>
      </c>
      <c r="AL3390">
        <v>0</v>
      </c>
      <c r="AM3390">
        <v>0</v>
      </c>
      <c r="AN3390">
        <v>0</v>
      </c>
      <c r="AO3390">
        <v>1</v>
      </c>
      <c r="AP3390">
        <v>0</v>
      </c>
      <c r="AQ3390">
        <v>0</v>
      </c>
      <c r="AR3390">
        <v>0</v>
      </c>
      <c r="AS3390">
        <v>0</v>
      </c>
      <c r="AT3390">
        <v>0</v>
      </c>
      <c r="AU3390">
        <f t="shared" si="104"/>
        <v>1</v>
      </c>
      <c r="AV3390">
        <f t="shared" si="105"/>
        <v>0</v>
      </c>
    </row>
    <row r="3391" spans="1:48" x14ac:dyDescent="0.25">
      <c r="A3391" t="s">
        <v>10911</v>
      </c>
      <c r="C3391" t="s">
        <v>10912</v>
      </c>
      <c r="D3391" t="s">
        <v>10913</v>
      </c>
      <c r="E3391" t="s">
        <v>2310</v>
      </c>
      <c r="F3391">
        <v>15</v>
      </c>
      <c r="G3391">
        <v>15.2</v>
      </c>
      <c r="H3391" t="s">
        <v>2323</v>
      </c>
      <c r="I3391" s="21">
        <v>41019.688634259299</v>
      </c>
      <c r="J3391">
        <v>2012</v>
      </c>
      <c r="K3391" s="21">
        <v>41019.688634259299</v>
      </c>
      <c r="L3391">
        <v>2012</v>
      </c>
      <c r="M3391" s="21">
        <v>41180.421805555598</v>
      </c>
      <c r="N3391">
        <v>2012</v>
      </c>
      <c r="Q3391" s="262">
        <v>96000</v>
      </c>
      <c r="R3391" s="262">
        <v>38000</v>
      </c>
      <c r="S3391" t="s">
        <v>114</v>
      </c>
      <c r="T3391" t="s">
        <v>114</v>
      </c>
      <c r="U3391">
        <v>5</v>
      </c>
      <c r="W3391">
        <v>960</v>
      </c>
      <c r="X3391">
        <v>0</v>
      </c>
      <c r="Y3391">
        <v>0</v>
      </c>
      <c r="Z3391">
        <v>0</v>
      </c>
      <c r="AA3391">
        <v>0</v>
      </c>
      <c r="AB3391">
        <v>0</v>
      </c>
      <c r="AC3391">
        <v>960</v>
      </c>
      <c r="AD3391">
        <v>0</v>
      </c>
      <c r="AE3391">
        <v>0</v>
      </c>
      <c r="AF3391">
        <v>0</v>
      </c>
      <c r="AG3391">
        <v>0</v>
      </c>
      <c r="AH3391">
        <v>0</v>
      </c>
      <c r="AI3391">
        <v>0</v>
      </c>
      <c r="AJ3391">
        <v>0</v>
      </c>
      <c r="AK3391">
        <v>0</v>
      </c>
      <c r="AL3391">
        <v>0</v>
      </c>
      <c r="AM3391">
        <v>0</v>
      </c>
      <c r="AN3391">
        <v>0</v>
      </c>
      <c r="AO3391">
        <v>0</v>
      </c>
      <c r="AP3391">
        <v>0</v>
      </c>
      <c r="AQ3391">
        <v>0</v>
      </c>
      <c r="AR3391">
        <v>0</v>
      </c>
      <c r="AS3391">
        <v>0</v>
      </c>
      <c r="AT3391">
        <v>0</v>
      </c>
      <c r="AU3391">
        <f t="shared" si="104"/>
        <v>0</v>
      </c>
      <c r="AV3391">
        <f t="shared" si="105"/>
        <v>0</v>
      </c>
    </row>
    <row r="3392" spans="1:48" x14ac:dyDescent="0.25">
      <c r="A3392" t="s">
        <v>10914</v>
      </c>
      <c r="C3392" t="s">
        <v>10104</v>
      </c>
      <c r="D3392" t="s">
        <v>10915</v>
      </c>
      <c r="E3392" t="s">
        <v>2310</v>
      </c>
      <c r="F3392">
        <v>12</v>
      </c>
      <c r="G3392">
        <v>12.3</v>
      </c>
      <c r="H3392" t="s">
        <v>2017</v>
      </c>
      <c r="I3392" s="21">
        <v>41024.665104166699</v>
      </c>
      <c r="J3392">
        <v>2012</v>
      </c>
      <c r="K3392" s="21">
        <v>41024.665104166699</v>
      </c>
      <c r="L3392">
        <v>2012</v>
      </c>
      <c r="M3392" s="21">
        <v>41374.495439814797</v>
      </c>
      <c r="N3392">
        <v>2013</v>
      </c>
      <c r="Q3392" s="262">
        <v>515000</v>
      </c>
      <c r="R3392" s="262">
        <v>220000</v>
      </c>
      <c r="S3392" t="s">
        <v>114</v>
      </c>
      <c r="T3392" t="s">
        <v>114</v>
      </c>
      <c r="U3392">
        <v>5</v>
      </c>
      <c r="W3392">
        <v>2396</v>
      </c>
      <c r="X3392">
        <v>1</v>
      </c>
      <c r="Y3392">
        <v>0</v>
      </c>
      <c r="Z3392">
        <v>0</v>
      </c>
      <c r="AA3392">
        <v>0</v>
      </c>
      <c r="AB3392">
        <v>0</v>
      </c>
      <c r="AC3392">
        <v>2396</v>
      </c>
      <c r="AD3392">
        <v>0</v>
      </c>
      <c r="AE3392">
        <v>0</v>
      </c>
      <c r="AF3392">
        <v>0</v>
      </c>
      <c r="AG3392">
        <v>0</v>
      </c>
      <c r="AH3392">
        <v>0</v>
      </c>
      <c r="AI3392">
        <v>0</v>
      </c>
      <c r="AJ3392">
        <v>0</v>
      </c>
      <c r="AK3392">
        <v>0</v>
      </c>
      <c r="AL3392">
        <v>0</v>
      </c>
      <c r="AM3392">
        <v>0</v>
      </c>
      <c r="AN3392">
        <v>0</v>
      </c>
      <c r="AO3392">
        <v>1</v>
      </c>
      <c r="AP3392">
        <v>0</v>
      </c>
      <c r="AQ3392">
        <v>0</v>
      </c>
      <c r="AR3392">
        <v>0</v>
      </c>
      <c r="AS3392">
        <v>0</v>
      </c>
      <c r="AT3392">
        <v>0</v>
      </c>
      <c r="AU3392">
        <f t="shared" si="104"/>
        <v>1</v>
      </c>
      <c r="AV3392">
        <f t="shared" si="105"/>
        <v>0</v>
      </c>
    </row>
    <row r="3393" spans="1:48" x14ac:dyDescent="0.25">
      <c r="A3393" t="s">
        <v>10916</v>
      </c>
      <c r="C3393" t="s">
        <v>10917</v>
      </c>
      <c r="D3393" t="s">
        <v>10918</v>
      </c>
      <c r="E3393" t="s">
        <v>2310</v>
      </c>
      <c r="F3393">
        <v>8</v>
      </c>
      <c r="G3393">
        <v>8.1</v>
      </c>
      <c r="H3393" t="s">
        <v>2323</v>
      </c>
      <c r="I3393" s="21">
        <v>41026.5207407407</v>
      </c>
      <c r="J3393">
        <v>2012</v>
      </c>
      <c r="K3393" s="21">
        <v>41026.5207407407</v>
      </c>
      <c r="L3393">
        <v>2012</v>
      </c>
      <c r="M3393" s="21">
        <v>41583.454224537003</v>
      </c>
      <c r="N3393">
        <v>2013</v>
      </c>
      <c r="Q3393" s="262">
        <v>700000</v>
      </c>
      <c r="R3393" s="262">
        <v>498000</v>
      </c>
      <c r="S3393" t="s">
        <v>114</v>
      </c>
      <c r="T3393" t="s">
        <v>114</v>
      </c>
      <c r="U3393">
        <v>5</v>
      </c>
      <c r="W3393">
        <v>4999</v>
      </c>
      <c r="X3393">
        <v>1</v>
      </c>
      <c r="Y3393">
        <v>0</v>
      </c>
      <c r="Z3393">
        <v>0</v>
      </c>
      <c r="AA3393">
        <v>0</v>
      </c>
      <c r="AB3393">
        <v>0</v>
      </c>
      <c r="AC3393">
        <v>4999</v>
      </c>
      <c r="AD3393">
        <v>0</v>
      </c>
      <c r="AE3393">
        <v>0</v>
      </c>
      <c r="AF3393">
        <v>0</v>
      </c>
      <c r="AG3393">
        <v>0</v>
      </c>
      <c r="AH3393">
        <v>0</v>
      </c>
      <c r="AI3393">
        <v>0</v>
      </c>
      <c r="AJ3393">
        <v>0</v>
      </c>
      <c r="AK3393">
        <v>0</v>
      </c>
      <c r="AL3393">
        <v>0</v>
      </c>
      <c r="AM3393">
        <v>0</v>
      </c>
      <c r="AN3393">
        <v>0</v>
      </c>
      <c r="AO3393">
        <v>1</v>
      </c>
      <c r="AP3393">
        <v>0</v>
      </c>
      <c r="AQ3393">
        <v>0</v>
      </c>
      <c r="AR3393">
        <v>0</v>
      </c>
      <c r="AS3393">
        <v>0</v>
      </c>
      <c r="AT3393">
        <v>0</v>
      </c>
      <c r="AU3393">
        <f t="shared" si="104"/>
        <v>1</v>
      </c>
      <c r="AV3393">
        <f t="shared" si="105"/>
        <v>0</v>
      </c>
    </row>
    <row r="3394" spans="1:48" x14ac:dyDescent="0.25">
      <c r="A3394" t="s">
        <v>10919</v>
      </c>
      <c r="C3394" t="s">
        <v>10920</v>
      </c>
      <c r="D3394" t="s">
        <v>5581</v>
      </c>
      <c r="E3394" t="s">
        <v>2310</v>
      </c>
      <c r="F3394">
        <v>8</v>
      </c>
      <c r="G3394">
        <v>8.1</v>
      </c>
      <c r="H3394" t="s">
        <v>2323</v>
      </c>
      <c r="I3394" s="21">
        <v>41030.4746296296</v>
      </c>
      <c r="J3394">
        <v>2012</v>
      </c>
      <c r="K3394" s="21">
        <v>41030.4746296296</v>
      </c>
      <c r="L3394">
        <v>2012</v>
      </c>
      <c r="M3394" s="21">
        <v>42593.464201388902</v>
      </c>
      <c r="N3394">
        <v>2016</v>
      </c>
      <c r="Q3394" s="262">
        <v>5000000</v>
      </c>
      <c r="R3394" s="262">
        <v>1448000</v>
      </c>
      <c r="S3394" t="s">
        <v>114</v>
      </c>
      <c r="T3394" t="s">
        <v>114</v>
      </c>
      <c r="U3394">
        <v>5</v>
      </c>
      <c r="W3394">
        <v>16532</v>
      </c>
      <c r="X3394">
        <v>1</v>
      </c>
      <c r="Y3394">
        <v>0</v>
      </c>
      <c r="Z3394">
        <v>0</v>
      </c>
      <c r="AA3394">
        <v>0</v>
      </c>
      <c r="AB3394">
        <v>0</v>
      </c>
      <c r="AC3394">
        <v>16532</v>
      </c>
      <c r="AD3394">
        <v>0</v>
      </c>
      <c r="AE3394">
        <v>0</v>
      </c>
      <c r="AF3394">
        <v>0</v>
      </c>
      <c r="AG3394">
        <v>0</v>
      </c>
      <c r="AH3394">
        <v>0</v>
      </c>
      <c r="AI3394">
        <v>0</v>
      </c>
      <c r="AJ3394">
        <v>0</v>
      </c>
      <c r="AK3394">
        <v>0</v>
      </c>
      <c r="AL3394">
        <v>0</v>
      </c>
      <c r="AM3394">
        <v>0</v>
      </c>
      <c r="AN3394">
        <v>0</v>
      </c>
      <c r="AO3394">
        <v>1</v>
      </c>
      <c r="AP3394">
        <v>0</v>
      </c>
      <c r="AQ3394">
        <v>0</v>
      </c>
      <c r="AR3394">
        <v>0</v>
      </c>
      <c r="AS3394">
        <v>0</v>
      </c>
      <c r="AT3394">
        <v>0</v>
      </c>
      <c r="AU3394">
        <f t="shared" si="104"/>
        <v>1</v>
      </c>
      <c r="AV3394">
        <f t="shared" si="105"/>
        <v>0</v>
      </c>
    </row>
    <row r="3395" spans="1:48" x14ac:dyDescent="0.25">
      <c r="A3395" t="s">
        <v>19239</v>
      </c>
      <c r="B3395" t="s">
        <v>114</v>
      </c>
      <c r="C3395" t="s">
        <v>19240</v>
      </c>
      <c r="D3395" t="s">
        <v>6647</v>
      </c>
      <c r="E3395" t="s">
        <v>2310</v>
      </c>
      <c r="F3395">
        <v>7</v>
      </c>
      <c r="G3395">
        <v>7.1</v>
      </c>
      <c r="H3395" t="s">
        <v>2017</v>
      </c>
      <c r="I3395" s="21">
        <v>41030.609733796293</v>
      </c>
      <c r="J3395">
        <v>2012</v>
      </c>
      <c r="K3395" s="21">
        <v>43663.656797835647</v>
      </c>
      <c r="L3395">
        <v>2019</v>
      </c>
      <c r="M3395" s="21">
        <v>43874.399415243053</v>
      </c>
      <c r="N3395">
        <v>2020</v>
      </c>
      <c r="Q3395" s="262">
        <v>153000</v>
      </c>
      <c r="R3395" s="262">
        <v>10000</v>
      </c>
      <c r="S3395" t="s">
        <v>13254</v>
      </c>
      <c r="U3395">
        <v>15</v>
      </c>
      <c r="W3395">
        <v>240</v>
      </c>
      <c r="X3395">
        <v>0</v>
      </c>
      <c r="Y3395">
        <v>0</v>
      </c>
      <c r="Z3395">
        <v>0</v>
      </c>
      <c r="AA3395">
        <v>0</v>
      </c>
      <c r="AB3395">
        <v>0</v>
      </c>
      <c r="AC3395">
        <v>0</v>
      </c>
      <c r="AD3395">
        <v>0</v>
      </c>
      <c r="AE3395">
        <v>0</v>
      </c>
      <c r="AF3395">
        <v>0</v>
      </c>
      <c r="AG3395">
        <v>0</v>
      </c>
      <c r="AH3395">
        <v>0</v>
      </c>
      <c r="AI3395">
        <v>0</v>
      </c>
      <c r="AJ3395">
        <v>0</v>
      </c>
      <c r="AK3395">
        <v>0</v>
      </c>
      <c r="AL3395">
        <v>0</v>
      </c>
      <c r="AM3395">
        <v>240</v>
      </c>
      <c r="AN3395">
        <v>0</v>
      </c>
      <c r="AO3395">
        <v>0</v>
      </c>
      <c r="AP3395">
        <v>0</v>
      </c>
      <c r="AQ3395">
        <v>0</v>
      </c>
      <c r="AR3395">
        <v>0</v>
      </c>
      <c r="AS3395">
        <v>0</v>
      </c>
      <c r="AT3395">
        <v>0</v>
      </c>
      <c r="AU3395">
        <f t="shared" si="104"/>
        <v>0</v>
      </c>
      <c r="AV3395">
        <f t="shared" si="105"/>
        <v>240</v>
      </c>
    </row>
    <row r="3396" spans="1:48" x14ac:dyDescent="0.25">
      <c r="A3396" t="s">
        <v>10921</v>
      </c>
      <c r="C3396" t="s">
        <v>10922</v>
      </c>
      <c r="D3396" t="s">
        <v>6778</v>
      </c>
      <c r="E3396" t="s">
        <v>2310</v>
      </c>
      <c r="F3396">
        <v>8</v>
      </c>
      <c r="G3396">
        <v>8.3000000000000007</v>
      </c>
      <c r="H3396" t="s">
        <v>2323</v>
      </c>
      <c r="I3396" s="21">
        <v>41031.635798611103</v>
      </c>
      <c r="J3396">
        <v>2012</v>
      </c>
      <c r="K3396" s="21">
        <v>41031.635798611103</v>
      </c>
      <c r="L3396">
        <v>2012</v>
      </c>
      <c r="M3396" s="21">
        <v>41732.475902777798</v>
      </c>
      <c r="N3396">
        <v>2014</v>
      </c>
      <c r="Q3396" s="262">
        <v>80000</v>
      </c>
      <c r="R3396" s="262">
        <v>71000</v>
      </c>
      <c r="S3396" t="s">
        <v>114</v>
      </c>
      <c r="T3396" t="s">
        <v>114</v>
      </c>
      <c r="U3396">
        <v>5</v>
      </c>
      <c r="V3396">
        <v>910</v>
      </c>
      <c r="W3396">
        <v>0</v>
      </c>
      <c r="X3396">
        <v>0</v>
      </c>
      <c r="Y3396">
        <v>0</v>
      </c>
      <c r="Z3396">
        <v>0</v>
      </c>
      <c r="AA3396">
        <v>0</v>
      </c>
      <c r="AB3396">
        <v>0</v>
      </c>
      <c r="AC3396">
        <v>0</v>
      </c>
      <c r="AD3396">
        <v>0</v>
      </c>
      <c r="AE3396">
        <v>0</v>
      </c>
      <c r="AF3396">
        <v>0</v>
      </c>
      <c r="AG3396">
        <v>0</v>
      </c>
      <c r="AH3396">
        <v>0</v>
      </c>
      <c r="AI3396">
        <v>0</v>
      </c>
      <c r="AJ3396">
        <v>0</v>
      </c>
      <c r="AK3396">
        <v>0</v>
      </c>
      <c r="AL3396">
        <v>0</v>
      </c>
      <c r="AM3396">
        <v>0</v>
      </c>
      <c r="AN3396">
        <v>0</v>
      </c>
      <c r="AO3396">
        <v>0</v>
      </c>
      <c r="AP3396">
        <v>0</v>
      </c>
      <c r="AQ3396">
        <v>0</v>
      </c>
      <c r="AR3396">
        <v>0</v>
      </c>
      <c r="AS3396">
        <v>0</v>
      </c>
      <c r="AT3396">
        <v>0</v>
      </c>
      <c r="AU3396">
        <f t="shared" si="104"/>
        <v>0</v>
      </c>
      <c r="AV3396">
        <f t="shared" si="105"/>
        <v>0</v>
      </c>
    </row>
    <row r="3397" spans="1:48" x14ac:dyDescent="0.25">
      <c r="A3397" t="s">
        <v>10923</v>
      </c>
      <c r="C3397" t="s">
        <v>10924</v>
      </c>
      <c r="D3397" t="s">
        <v>10925</v>
      </c>
      <c r="E3397" t="s">
        <v>2310</v>
      </c>
      <c r="F3397">
        <v>9</v>
      </c>
      <c r="G3397">
        <v>9.3000000000000007</v>
      </c>
      <c r="H3397" t="s">
        <v>2323</v>
      </c>
      <c r="I3397" s="21">
        <v>41032.581527777802</v>
      </c>
      <c r="J3397">
        <v>2012</v>
      </c>
      <c r="K3397" s="21">
        <v>41032.581527777802</v>
      </c>
      <c r="L3397">
        <v>2012</v>
      </c>
      <c r="M3397" s="21">
        <v>41810.361979166701</v>
      </c>
      <c r="N3397">
        <v>2014</v>
      </c>
      <c r="Q3397" s="262">
        <v>2700000</v>
      </c>
      <c r="R3397" s="262">
        <v>576000</v>
      </c>
      <c r="S3397" t="s">
        <v>114</v>
      </c>
      <c r="T3397" t="s">
        <v>114</v>
      </c>
      <c r="U3397">
        <v>5</v>
      </c>
      <c r="W3397">
        <v>5281</v>
      </c>
      <c r="X3397">
        <v>1</v>
      </c>
      <c r="Y3397">
        <v>0</v>
      </c>
      <c r="Z3397">
        <v>0</v>
      </c>
      <c r="AA3397">
        <v>0</v>
      </c>
      <c r="AB3397">
        <v>0</v>
      </c>
      <c r="AC3397">
        <v>5281</v>
      </c>
      <c r="AD3397">
        <v>0</v>
      </c>
      <c r="AE3397">
        <v>0</v>
      </c>
      <c r="AF3397">
        <v>0</v>
      </c>
      <c r="AG3397">
        <v>0</v>
      </c>
      <c r="AH3397">
        <v>0</v>
      </c>
      <c r="AI3397">
        <v>0</v>
      </c>
      <c r="AJ3397">
        <v>0</v>
      </c>
      <c r="AK3397">
        <v>0</v>
      </c>
      <c r="AL3397">
        <v>0</v>
      </c>
      <c r="AM3397">
        <v>0</v>
      </c>
      <c r="AN3397">
        <v>0</v>
      </c>
      <c r="AO3397">
        <v>1</v>
      </c>
      <c r="AP3397">
        <v>0</v>
      </c>
      <c r="AQ3397">
        <v>0</v>
      </c>
      <c r="AR3397">
        <v>0</v>
      </c>
      <c r="AS3397">
        <v>0</v>
      </c>
      <c r="AT3397">
        <v>0</v>
      </c>
      <c r="AU3397">
        <f t="shared" si="104"/>
        <v>1</v>
      </c>
      <c r="AV3397">
        <f t="shared" si="105"/>
        <v>0</v>
      </c>
    </row>
    <row r="3398" spans="1:48" x14ac:dyDescent="0.25">
      <c r="A3398" t="s">
        <v>10926</v>
      </c>
      <c r="C3398" t="s">
        <v>10927</v>
      </c>
      <c r="D3398" t="s">
        <v>5819</v>
      </c>
      <c r="E3398" t="s">
        <v>2310</v>
      </c>
      <c r="F3398">
        <v>9</v>
      </c>
      <c r="G3398">
        <v>9.4</v>
      </c>
      <c r="H3398" t="s">
        <v>2323</v>
      </c>
      <c r="I3398" s="21">
        <v>41032.647997685199</v>
      </c>
      <c r="J3398">
        <v>2012</v>
      </c>
      <c r="K3398" s="21">
        <v>41032.647997685199</v>
      </c>
      <c r="L3398">
        <v>2012</v>
      </c>
      <c r="M3398" s="21">
        <v>42054.433425925898</v>
      </c>
      <c r="N3398">
        <v>2015</v>
      </c>
      <c r="Q3398" s="262">
        <v>100000</v>
      </c>
      <c r="R3398" s="262">
        <v>32000</v>
      </c>
      <c r="S3398" t="s">
        <v>114</v>
      </c>
      <c r="T3398" t="s">
        <v>114</v>
      </c>
      <c r="U3398">
        <v>5</v>
      </c>
      <c r="V3398">
        <v>400</v>
      </c>
      <c r="W3398">
        <v>0</v>
      </c>
      <c r="X3398">
        <v>0</v>
      </c>
      <c r="Y3398">
        <v>0</v>
      </c>
      <c r="Z3398">
        <v>0</v>
      </c>
      <c r="AA3398">
        <v>0</v>
      </c>
      <c r="AB3398">
        <v>0</v>
      </c>
      <c r="AC3398">
        <v>0</v>
      </c>
      <c r="AD3398">
        <v>0</v>
      </c>
      <c r="AE3398">
        <v>0</v>
      </c>
      <c r="AF3398">
        <v>0</v>
      </c>
      <c r="AG3398">
        <v>0</v>
      </c>
      <c r="AH3398">
        <v>0</v>
      </c>
      <c r="AI3398">
        <v>0</v>
      </c>
      <c r="AJ3398">
        <v>0</v>
      </c>
      <c r="AK3398">
        <v>0</v>
      </c>
      <c r="AL3398">
        <v>0</v>
      </c>
      <c r="AM3398">
        <v>0</v>
      </c>
      <c r="AN3398">
        <v>0</v>
      </c>
      <c r="AO3398">
        <v>0</v>
      </c>
      <c r="AP3398">
        <v>0</v>
      </c>
      <c r="AQ3398">
        <v>0</v>
      </c>
      <c r="AR3398">
        <v>0</v>
      </c>
      <c r="AS3398">
        <v>0</v>
      </c>
      <c r="AT3398">
        <v>0</v>
      </c>
      <c r="AU3398">
        <f t="shared" si="104"/>
        <v>0</v>
      </c>
      <c r="AV3398">
        <f t="shared" si="105"/>
        <v>0</v>
      </c>
    </row>
    <row r="3399" spans="1:48" x14ac:dyDescent="0.25">
      <c r="A3399" t="s">
        <v>10928</v>
      </c>
      <c r="C3399" t="s">
        <v>10929</v>
      </c>
      <c r="D3399" t="s">
        <v>10930</v>
      </c>
      <c r="E3399" t="s">
        <v>1663</v>
      </c>
      <c r="F3399">
        <v>6</v>
      </c>
      <c r="G3399">
        <v>6.2</v>
      </c>
      <c r="H3399" t="s">
        <v>2017</v>
      </c>
      <c r="I3399" s="21">
        <v>41037</v>
      </c>
      <c r="J3399">
        <v>2012</v>
      </c>
      <c r="K3399" s="21">
        <v>41068</v>
      </c>
      <c r="L3399">
        <v>2012</v>
      </c>
      <c r="M3399" s="21">
        <v>41221</v>
      </c>
      <c r="N3399">
        <v>2012</v>
      </c>
      <c r="Q3399" s="262">
        <v>1350000</v>
      </c>
      <c r="S3399" t="s">
        <v>114</v>
      </c>
      <c r="T3399" t="s">
        <v>114</v>
      </c>
      <c r="W3399">
        <v>4893</v>
      </c>
      <c r="X3399">
        <v>1</v>
      </c>
      <c r="Y3399">
        <v>0</v>
      </c>
      <c r="Z3399">
        <v>0</v>
      </c>
      <c r="AA3399">
        <v>0</v>
      </c>
      <c r="AB3399">
        <v>0</v>
      </c>
      <c r="AC3399">
        <v>4893</v>
      </c>
      <c r="AD3399">
        <v>0</v>
      </c>
      <c r="AE3399">
        <v>0</v>
      </c>
      <c r="AF3399">
        <v>0</v>
      </c>
      <c r="AG3399">
        <v>0</v>
      </c>
      <c r="AH3399">
        <v>0</v>
      </c>
      <c r="AI3399">
        <v>0</v>
      </c>
      <c r="AJ3399">
        <v>0</v>
      </c>
      <c r="AK3399">
        <v>0</v>
      </c>
      <c r="AL3399">
        <v>0</v>
      </c>
      <c r="AM3399">
        <v>0</v>
      </c>
      <c r="AN3399">
        <v>0</v>
      </c>
      <c r="AO3399">
        <v>1</v>
      </c>
      <c r="AP3399">
        <v>0</v>
      </c>
      <c r="AQ3399">
        <v>0</v>
      </c>
      <c r="AR3399">
        <v>0</v>
      </c>
      <c r="AS3399">
        <v>0</v>
      </c>
      <c r="AT3399">
        <v>0</v>
      </c>
      <c r="AU3399">
        <f t="shared" si="104"/>
        <v>1</v>
      </c>
      <c r="AV3399">
        <f t="shared" si="105"/>
        <v>0</v>
      </c>
    </row>
    <row r="3400" spans="1:48" x14ac:dyDescent="0.25">
      <c r="A3400" t="s">
        <v>10931</v>
      </c>
      <c r="C3400" t="s">
        <v>10932</v>
      </c>
      <c r="D3400" t="s">
        <v>8706</v>
      </c>
      <c r="E3400" t="s">
        <v>2310</v>
      </c>
      <c r="F3400">
        <v>9</v>
      </c>
      <c r="G3400">
        <v>9.1999999999999993</v>
      </c>
      <c r="H3400" t="s">
        <v>2022</v>
      </c>
      <c r="I3400" s="21">
        <v>41038.594490740703</v>
      </c>
      <c r="J3400">
        <v>2012</v>
      </c>
      <c r="K3400" s="21">
        <v>41038.594490740703</v>
      </c>
      <c r="L3400">
        <v>2012</v>
      </c>
      <c r="M3400" s="21">
        <v>41199.4507407407</v>
      </c>
      <c r="N3400">
        <v>2012</v>
      </c>
      <c r="Q3400" s="262">
        <v>175000</v>
      </c>
      <c r="R3400" s="262">
        <v>19000</v>
      </c>
      <c r="S3400" t="s">
        <v>114</v>
      </c>
      <c r="T3400" t="s">
        <v>114</v>
      </c>
      <c r="U3400">
        <v>5</v>
      </c>
      <c r="V3400">
        <v>65</v>
      </c>
      <c r="W3400">
        <v>81</v>
      </c>
      <c r="X3400">
        <v>0</v>
      </c>
      <c r="Y3400">
        <v>0</v>
      </c>
      <c r="Z3400">
        <v>0</v>
      </c>
      <c r="AA3400">
        <v>0</v>
      </c>
      <c r="AB3400">
        <v>0</v>
      </c>
      <c r="AC3400">
        <v>81</v>
      </c>
      <c r="AD3400">
        <v>0</v>
      </c>
      <c r="AE3400">
        <v>0</v>
      </c>
      <c r="AF3400">
        <v>0</v>
      </c>
      <c r="AG3400">
        <v>0</v>
      </c>
      <c r="AH3400">
        <v>0</v>
      </c>
      <c r="AI3400">
        <v>0</v>
      </c>
      <c r="AJ3400">
        <v>0</v>
      </c>
      <c r="AK3400">
        <v>0</v>
      </c>
      <c r="AL3400">
        <v>0</v>
      </c>
      <c r="AM3400">
        <v>0</v>
      </c>
      <c r="AN3400">
        <v>0</v>
      </c>
      <c r="AO3400">
        <v>0</v>
      </c>
      <c r="AP3400">
        <v>0</v>
      </c>
      <c r="AQ3400">
        <v>0</v>
      </c>
      <c r="AR3400">
        <v>0</v>
      </c>
      <c r="AS3400">
        <v>0</v>
      </c>
      <c r="AT3400">
        <v>0</v>
      </c>
      <c r="AU3400">
        <f t="shared" si="104"/>
        <v>0</v>
      </c>
      <c r="AV3400">
        <f t="shared" si="105"/>
        <v>0</v>
      </c>
    </row>
    <row r="3401" spans="1:48" x14ac:dyDescent="0.25">
      <c r="A3401" t="s">
        <v>10933</v>
      </c>
      <c r="C3401" t="s">
        <v>10934</v>
      </c>
      <c r="D3401" t="s">
        <v>5581</v>
      </c>
      <c r="E3401" t="s">
        <v>2310</v>
      </c>
      <c r="F3401">
        <v>8</v>
      </c>
      <c r="G3401">
        <v>8.1</v>
      </c>
      <c r="H3401" t="s">
        <v>2323</v>
      </c>
      <c r="I3401" s="21">
        <v>41044.441828703697</v>
      </c>
      <c r="J3401">
        <v>2012</v>
      </c>
      <c r="K3401" s="21">
        <v>41044.441828703697</v>
      </c>
      <c r="L3401">
        <v>2012</v>
      </c>
      <c r="M3401" s="21">
        <v>42593.461990740703</v>
      </c>
      <c r="N3401">
        <v>2016</v>
      </c>
      <c r="Q3401" s="262">
        <v>130000</v>
      </c>
      <c r="R3401" s="262">
        <v>50000</v>
      </c>
      <c r="S3401" t="s">
        <v>114</v>
      </c>
      <c r="T3401" t="s">
        <v>114</v>
      </c>
      <c r="U3401">
        <v>5</v>
      </c>
      <c r="W3401">
        <v>1250</v>
      </c>
      <c r="X3401">
        <v>0</v>
      </c>
      <c r="Y3401">
        <v>0</v>
      </c>
      <c r="Z3401">
        <v>0</v>
      </c>
      <c r="AA3401">
        <v>0</v>
      </c>
      <c r="AB3401">
        <v>0</v>
      </c>
      <c r="AC3401">
        <v>1250</v>
      </c>
      <c r="AD3401">
        <v>0</v>
      </c>
      <c r="AE3401">
        <v>0</v>
      </c>
      <c r="AF3401">
        <v>0</v>
      </c>
      <c r="AG3401">
        <v>0</v>
      </c>
      <c r="AH3401">
        <v>0</v>
      </c>
      <c r="AI3401">
        <v>0</v>
      </c>
      <c r="AJ3401">
        <v>0</v>
      </c>
      <c r="AK3401">
        <v>0</v>
      </c>
      <c r="AL3401">
        <v>0</v>
      </c>
      <c r="AM3401">
        <v>0</v>
      </c>
      <c r="AN3401">
        <v>0</v>
      </c>
      <c r="AO3401">
        <v>0</v>
      </c>
      <c r="AP3401">
        <v>0</v>
      </c>
      <c r="AQ3401">
        <v>0</v>
      </c>
      <c r="AR3401">
        <v>0</v>
      </c>
      <c r="AS3401">
        <v>0</v>
      </c>
      <c r="AT3401">
        <v>0</v>
      </c>
      <c r="AU3401">
        <f t="shared" si="104"/>
        <v>0</v>
      </c>
      <c r="AV3401">
        <f t="shared" si="105"/>
        <v>0</v>
      </c>
    </row>
    <row r="3402" spans="1:48" x14ac:dyDescent="0.25">
      <c r="A3402" t="s">
        <v>10935</v>
      </c>
      <c r="C3402" t="s">
        <v>10936</v>
      </c>
      <c r="D3402" t="s">
        <v>10107</v>
      </c>
      <c r="E3402" t="s">
        <v>2310</v>
      </c>
      <c r="F3402">
        <v>13</v>
      </c>
      <c r="G3402">
        <v>13.1</v>
      </c>
      <c r="H3402" t="s">
        <v>2327</v>
      </c>
      <c r="I3402" s="21">
        <v>41044.468518518501</v>
      </c>
      <c r="J3402">
        <v>2012</v>
      </c>
      <c r="K3402" s="21">
        <v>41044.468518518501</v>
      </c>
      <c r="L3402">
        <v>2012</v>
      </c>
      <c r="M3402" s="21">
        <v>41312.343773148103</v>
      </c>
      <c r="N3402">
        <v>2013</v>
      </c>
      <c r="Q3402" s="262">
        <v>300000</v>
      </c>
      <c r="R3402" s="262">
        <v>204000</v>
      </c>
      <c r="S3402" t="s">
        <v>114</v>
      </c>
      <c r="T3402" t="s">
        <v>114</v>
      </c>
      <c r="U3402">
        <v>5</v>
      </c>
      <c r="W3402">
        <v>2255</v>
      </c>
      <c r="X3402">
        <v>1</v>
      </c>
      <c r="Y3402">
        <v>0</v>
      </c>
      <c r="Z3402">
        <v>0</v>
      </c>
      <c r="AA3402">
        <v>0</v>
      </c>
      <c r="AB3402">
        <v>0</v>
      </c>
      <c r="AC3402">
        <v>2255</v>
      </c>
      <c r="AD3402">
        <v>0</v>
      </c>
      <c r="AE3402">
        <v>0</v>
      </c>
      <c r="AF3402">
        <v>0</v>
      </c>
      <c r="AG3402">
        <v>0</v>
      </c>
      <c r="AH3402">
        <v>0</v>
      </c>
      <c r="AI3402">
        <v>0</v>
      </c>
      <c r="AJ3402">
        <v>0</v>
      </c>
      <c r="AK3402">
        <v>0</v>
      </c>
      <c r="AL3402">
        <v>0</v>
      </c>
      <c r="AM3402">
        <v>0</v>
      </c>
      <c r="AN3402">
        <v>0</v>
      </c>
      <c r="AO3402">
        <v>1</v>
      </c>
      <c r="AP3402">
        <v>0</v>
      </c>
      <c r="AQ3402">
        <v>0</v>
      </c>
      <c r="AR3402">
        <v>0</v>
      </c>
      <c r="AS3402">
        <v>0</v>
      </c>
      <c r="AT3402">
        <v>0</v>
      </c>
      <c r="AU3402">
        <f t="shared" si="104"/>
        <v>1</v>
      </c>
      <c r="AV3402">
        <f t="shared" si="105"/>
        <v>0</v>
      </c>
    </row>
    <row r="3403" spans="1:48" x14ac:dyDescent="0.25">
      <c r="A3403" t="s">
        <v>10937</v>
      </c>
      <c r="C3403" t="s">
        <v>10938</v>
      </c>
      <c r="D3403" t="s">
        <v>9104</v>
      </c>
      <c r="E3403" t="s">
        <v>2310</v>
      </c>
      <c r="F3403">
        <v>8</v>
      </c>
      <c r="G3403">
        <v>8.3000000000000007</v>
      </c>
      <c r="H3403" t="s">
        <v>2323</v>
      </c>
      <c r="I3403" s="21">
        <v>41044.613680555602</v>
      </c>
      <c r="J3403">
        <v>2012</v>
      </c>
      <c r="K3403" s="21">
        <v>41044.613680555602</v>
      </c>
      <c r="L3403">
        <v>2012</v>
      </c>
      <c r="M3403" s="21">
        <v>41709.494004629603</v>
      </c>
      <c r="N3403">
        <v>2014</v>
      </c>
      <c r="Q3403" s="262">
        <v>70000</v>
      </c>
      <c r="R3403" s="262">
        <v>97000</v>
      </c>
      <c r="S3403" t="s">
        <v>114</v>
      </c>
      <c r="T3403" t="s">
        <v>114</v>
      </c>
      <c r="U3403">
        <v>14</v>
      </c>
      <c r="W3403">
        <v>850</v>
      </c>
      <c r="X3403">
        <v>0</v>
      </c>
      <c r="Y3403">
        <v>0</v>
      </c>
      <c r="Z3403">
        <v>0</v>
      </c>
      <c r="AA3403">
        <v>0</v>
      </c>
      <c r="AB3403">
        <v>0</v>
      </c>
      <c r="AC3403">
        <v>0</v>
      </c>
      <c r="AD3403">
        <v>0</v>
      </c>
      <c r="AE3403">
        <v>0</v>
      </c>
      <c r="AF3403">
        <v>0</v>
      </c>
      <c r="AG3403">
        <v>0</v>
      </c>
      <c r="AH3403">
        <v>0</v>
      </c>
      <c r="AI3403">
        <v>0</v>
      </c>
      <c r="AJ3403">
        <v>0</v>
      </c>
      <c r="AK3403">
        <v>0</v>
      </c>
      <c r="AL3403">
        <v>850</v>
      </c>
      <c r="AM3403">
        <v>0</v>
      </c>
      <c r="AN3403">
        <v>0</v>
      </c>
      <c r="AO3403">
        <v>0</v>
      </c>
      <c r="AP3403">
        <v>0</v>
      </c>
      <c r="AQ3403">
        <v>0</v>
      </c>
      <c r="AR3403">
        <v>0</v>
      </c>
      <c r="AS3403">
        <v>0</v>
      </c>
      <c r="AT3403">
        <v>0</v>
      </c>
      <c r="AU3403">
        <f t="shared" si="104"/>
        <v>0</v>
      </c>
      <c r="AV3403">
        <f t="shared" si="105"/>
        <v>850</v>
      </c>
    </row>
    <row r="3404" spans="1:48" x14ac:dyDescent="0.25">
      <c r="A3404" t="s">
        <v>10939</v>
      </c>
      <c r="C3404" t="s">
        <v>10940</v>
      </c>
      <c r="D3404" t="s">
        <v>10941</v>
      </c>
      <c r="E3404" t="s">
        <v>2310</v>
      </c>
      <c r="F3404">
        <v>15</v>
      </c>
      <c r="G3404">
        <v>15.3</v>
      </c>
      <c r="H3404" t="s">
        <v>2022</v>
      </c>
      <c r="I3404" s="21">
        <v>41044.635358796302</v>
      </c>
      <c r="J3404">
        <v>2012</v>
      </c>
      <c r="K3404" s="21">
        <v>41045.425798611097</v>
      </c>
      <c r="L3404">
        <v>2012</v>
      </c>
      <c r="M3404" s="21">
        <v>41047.673530092601</v>
      </c>
      <c r="N3404">
        <v>2012</v>
      </c>
      <c r="Q3404" s="262">
        <v>40000</v>
      </c>
      <c r="R3404" s="262">
        <v>34000</v>
      </c>
      <c r="S3404" t="s">
        <v>114</v>
      </c>
      <c r="T3404" t="s">
        <v>114</v>
      </c>
      <c r="U3404">
        <v>11</v>
      </c>
      <c r="W3404">
        <v>846</v>
      </c>
      <c r="X3404">
        <v>0</v>
      </c>
      <c r="Y3404">
        <v>0</v>
      </c>
      <c r="Z3404">
        <v>0</v>
      </c>
      <c r="AA3404">
        <v>0</v>
      </c>
      <c r="AB3404">
        <v>0</v>
      </c>
      <c r="AC3404">
        <v>0</v>
      </c>
      <c r="AD3404">
        <v>0</v>
      </c>
      <c r="AE3404">
        <v>0</v>
      </c>
      <c r="AF3404">
        <v>0</v>
      </c>
      <c r="AG3404">
        <v>0</v>
      </c>
      <c r="AH3404">
        <v>0</v>
      </c>
      <c r="AI3404">
        <v>846</v>
      </c>
      <c r="AJ3404">
        <v>0</v>
      </c>
      <c r="AK3404">
        <v>0</v>
      </c>
      <c r="AL3404">
        <v>0</v>
      </c>
      <c r="AM3404">
        <v>0</v>
      </c>
      <c r="AN3404">
        <v>0</v>
      </c>
      <c r="AO3404">
        <v>0</v>
      </c>
      <c r="AP3404">
        <v>0</v>
      </c>
      <c r="AQ3404">
        <v>0</v>
      </c>
      <c r="AR3404">
        <v>0</v>
      </c>
      <c r="AS3404">
        <v>0</v>
      </c>
      <c r="AT3404">
        <v>0</v>
      </c>
      <c r="AU3404">
        <f t="shared" si="104"/>
        <v>0</v>
      </c>
      <c r="AV3404">
        <f t="shared" si="105"/>
        <v>846</v>
      </c>
    </row>
    <row r="3405" spans="1:48" x14ac:dyDescent="0.25">
      <c r="A3405" t="s">
        <v>10942</v>
      </c>
      <c r="C3405" t="s">
        <v>10943</v>
      </c>
      <c r="D3405" t="s">
        <v>10944</v>
      </c>
      <c r="E3405" t="s">
        <v>2310</v>
      </c>
      <c r="F3405">
        <v>9</v>
      </c>
      <c r="G3405">
        <v>9.1999999999999993</v>
      </c>
      <c r="H3405" t="s">
        <v>2022</v>
      </c>
      <c r="I3405" s="21">
        <v>41045.496377314797</v>
      </c>
      <c r="J3405">
        <v>2012</v>
      </c>
      <c r="K3405" s="21">
        <v>41045.496377314797</v>
      </c>
      <c r="L3405">
        <v>2012</v>
      </c>
      <c r="P3405" s="21">
        <v>41759.511990740699</v>
      </c>
      <c r="Q3405" s="262">
        <v>5000000</v>
      </c>
      <c r="R3405" s="262">
        <v>778000</v>
      </c>
      <c r="S3405" t="s">
        <v>114</v>
      </c>
      <c r="T3405" t="s">
        <v>114</v>
      </c>
      <c r="U3405">
        <v>5</v>
      </c>
      <c r="W3405">
        <v>8328</v>
      </c>
      <c r="X3405">
        <v>1</v>
      </c>
      <c r="Y3405">
        <v>0</v>
      </c>
      <c r="Z3405">
        <v>0</v>
      </c>
      <c r="AA3405">
        <v>0</v>
      </c>
      <c r="AB3405">
        <v>0</v>
      </c>
      <c r="AC3405">
        <v>8328</v>
      </c>
      <c r="AD3405">
        <v>0</v>
      </c>
      <c r="AE3405">
        <v>0</v>
      </c>
      <c r="AF3405">
        <v>0</v>
      </c>
      <c r="AG3405">
        <v>0</v>
      </c>
      <c r="AH3405">
        <v>0</v>
      </c>
      <c r="AI3405">
        <v>0</v>
      </c>
      <c r="AJ3405">
        <v>0</v>
      </c>
      <c r="AK3405">
        <v>0</v>
      </c>
      <c r="AL3405">
        <v>0</v>
      </c>
      <c r="AM3405">
        <v>0</v>
      </c>
      <c r="AN3405">
        <v>0</v>
      </c>
      <c r="AO3405">
        <v>1</v>
      </c>
      <c r="AP3405">
        <v>0</v>
      </c>
      <c r="AQ3405">
        <v>0</v>
      </c>
      <c r="AR3405">
        <v>0</v>
      </c>
      <c r="AS3405">
        <v>0</v>
      </c>
      <c r="AT3405">
        <v>0</v>
      </c>
      <c r="AU3405">
        <f t="shared" si="104"/>
        <v>1</v>
      </c>
      <c r="AV3405">
        <f t="shared" si="105"/>
        <v>0</v>
      </c>
    </row>
    <row r="3406" spans="1:48" x14ac:dyDescent="0.25">
      <c r="A3406" t="s">
        <v>10945</v>
      </c>
      <c r="C3406" t="s">
        <v>10946</v>
      </c>
      <c r="D3406" t="s">
        <v>10944</v>
      </c>
      <c r="E3406" t="s">
        <v>2310</v>
      </c>
      <c r="F3406">
        <v>9</v>
      </c>
      <c r="G3406">
        <v>9.1999999999999993</v>
      </c>
      <c r="H3406" t="s">
        <v>2022</v>
      </c>
      <c r="I3406" s="21">
        <v>41045.5105555556</v>
      </c>
      <c r="J3406">
        <v>2012</v>
      </c>
      <c r="P3406" s="21">
        <v>41759.512141203697</v>
      </c>
      <c r="Q3406" s="262">
        <v>100000</v>
      </c>
      <c r="R3406" s="262">
        <v>91000</v>
      </c>
      <c r="S3406" t="s">
        <v>114</v>
      </c>
      <c r="T3406" t="s">
        <v>114</v>
      </c>
      <c r="U3406">
        <v>5</v>
      </c>
      <c r="W3406">
        <v>870</v>
      </c>
      <c r="X3406">
        <v>0</v>
      </c>
      <c r="Y3406">
        <v>0</v>
      </c>
      <c r="Z3406">
        <v>0</v>
      </c>
      <c r="AA3406">
        <v>0</v>
      </c>
      <c r="AB3406">
        <v>0</v>
      </c>
      <c r="AC3406">
        <v>870</v>
      </c>
      <c r="AD3406">
        <v>0</v>
      </c>
      <c r="AE3406">
        <v>0</v>
      </c>
      <c r="AF3406">
        <v>0</v>
      </c>
      <c r="AG3406">
        <v>0</v>
      </c>
      <c r="AH3406">
        <v>0</v>
      </c>
      <c r="AI3406">
        <v>0</v>
      </c>
      <c r="AJ3406">
        <v>0</v>
      </c>
      <c r="AK3406">
        <v>0</v>
      </c>
      <c r="AL3406">
        <v>0</v>
      </c>
      <c r="AM3406">
        <v>0</v>
      </c>
      <c r="AN3406">
        <v>0</v>
      </c>
      <c r="AO3406">
        <v>0</v>
      </c>
      <c r="AP3406">
        <v>0</v>
      </c>
      <c r="AQ3406">
        <v>0</v>
      </c>
      <c r="AR3406">
        <v>0</v>
      </c>
      <c r="AS3406">
        <v>0</v>
      </c>
      <c r="AT3406">
        <v>0</v>
      </c>
      <c r="AU3406">
        <f t="shared" si="104"/>
        <v>0</v>
      </c>
      <c r="AV3406">
        <f t="shared" si="105"/>
        <v>0</v>
      </c>
    </row>
    <row r="3407" spans="1:48" x14ac:dyDescent="0.25">
      <c r="A3407" t="s">
        <v>10947</v>
      </c>
      <c r="C3407" t="s">
        <v>10948</v>
      </c>
      <c r="D3407" t="s">
        <v>6158</v>
      </c>
      <c r="E3407" t="s">
        <v>2310</v>
      </c>
      <c r="F3407">
        <v>11</v>
      </c>
      <c r="G3407">
        <v>11.2</v>
      </c>
      <c r="H3407" t="s">
        <v>2017</v>
      </c>
      <c r="I3407" s="21">
        <v>41045.581875000003</v>
      </c>
      <c r="J3407">
        <v>2012</v>
      </c>
      <c r="K3407" s="21">
        <v>41045.581875000003</v>
      </c>
      <c r="L3407">
        <v>2012</v>
      </c>
      <c r="P3407" s="21">
        <v>42592.468449074098</v>
      </c>
      <c r="Q3407" s="262">
        <v>50000</v>
      </c>
      <c r="R3407" s="262">
        <v>4000</v>
      </c>
      <c r="S3407" t="s">
        <v>114</v>
      </c>
      <c r="T3407" t="s">
        <v>114</v>
      </c>
      <c r="U3407">
        <v>5</v>
      </c>
      <c r="W3407">
        <v>29</v>
      </c>
      <c r="X3407">
        <v>0</v>
      </c>
      <c r="Y3407">
        <v>0</v>
      </c>
      <c r="Z3407">
        <v>0</v>
      </c>
      <c r="AA3407">
        <v>0</v>
      </c>
      <c r="AB3407">
        <v>0</v>
      </c>
      <c r="AC3407">
        <v>29</v>
      </c>
      <c r="AD3407">
        <v>0</v>
      </c>
      <c r="AE3407">
        <v>0</v>
      </c>
      <c r="AF3407">
        <v>0</v>
      </c>
      <c r="AG3407">
        <v>0</v>
      </c>
      <c r="AH3407">
        <v>0</v>
      </c>
      <c r="AI3407">
        <v>0</v>
      </c>
      <c r="AJ3407">
        <v>0</v>
      </c>
      <c r="AK3407">
        <v>0</v>
      </c>
      <c r="AL3407">
        <v>0</v>
      </c>
      <c r="AM3407">
        <v>0</v>
      </c>
      <c r="AN3407">
        <v>0</v>
      </c>
      <c r="AO3407">
        <v>0</v>
      </c>
      <c r="AP3407">
        <v>0</v>
      </c>
      <c r="AQ3407">
        <v>0</v>
      </c>
      <c r="AR3407">
        <v>0</v>
      </c>
      <c r="AS3407">
        <v>0</v>
      </c>
      <c r="AT3407">
        <v>0</v>
      </c>
      <c r="AU3407">
        <f t="shared" si="104"/>
        <v>0</v>
      </c>
      <c r="AV3407">
        <f t="shared" si="105"/>
        <v>0</v>
      </c>
    </row>
    <row r="3408" spans="1:48" x14ac:dyDescent="0.25">
      <c r="A3408" t="s">
        <v>10949</v>
      </c>
      <c r="C3408" t="s">
        <v>10950</v>
      </c>
      <c r="D3408" t="s">
        <v>4880</v>
      </c>
      <c r="E3408" t="s">
        <v>2310</v>
      </c>
      <c r="F3408">
        <v>13</v>
      </c>
      <c r="G3408">
        <v>13.3</v>
      </c>
      <c r="H3408" t="s">
        <v>2017</v>
      </c>
      <c r="I3408" s="21">
        <v>41046.463819444398</v>
      </c>
      <c r="J3408">
        <v>2012</v>
      </c>
      <c r="K3408" s="21">
        <v>41046.463819444398</v>
      </c>
      <c r="L3408">
        <v>2012</v>
      </c>
      <c r="P3408" s="21">
        <v>42592.468923611101</v>
      </c>
      <c r="Q3408" s="262">
        <v>250000</v>
      </c>
      <c r="R3408" s="262">
        <v>131000</v>
      </c>
      <c r="S3408" t="s">
        <v>114</v>
      </c>
      <c r="T3408" t="s">
        <v>114</v>
      </c>
      <c r="U3408">
        <v>5</v>
      </c>
      <c r="W3408">
        <v>1747</v>
      </c>
      <c r="X3408">
        <v>0</v>
      </c>
      <c r="Y3408">
        <v>0</v>
      </c>
      <c r="Z3408">
        <v>0</v>
      </c>
      <c r="AA3408">
        <v>0</v>
      </c>
      <c r="AB3408">
        <v>0</v>
      </c>
      <c r="AC3408">
        <v>1747</v>
      </c>
      <c r="AD3408">
        <v>0</v>
      </c>
      <c r="AE3408">
        <v>0</v>
      </c>
      <c r="AF3408">
        <v>0</v>
      </c>
      <c r="AG3408">
        <v>0</v>
      </c>
      <c r="AH3408">
        <v>0</v>
      </c>
      <c r="AI3408">
        <v>0</v>
      </c>
      <c r="AJ3408">
        <v>0</v>
      </c>
      <c r="AK3408">
        <v>0</v>
      </c>
      <c r="AL3408">
        <v>0</v>
      </c>
      <c r="AM3408">
        <v>0</v>
      </c>
      <c r="AN3408">
        <v>0</v>
      </c>
      <c r="AO3408">
        <v>0</v>
      </c>
      <c r="AP3408">
        <v>0</v>
      </c>
      <c r="AQ3408">
        <v>0</v>
      </c>
      <c r="AR3408">
        <v>0</v>
      </c>
      <c r="AS3408">
        <v>0</v>
      </c>
      <c r="AT3408">
        <v>0</v>
      </c>
      <c r="AU3408">
        <f t="shared" si="104"/>
        <v>0</v>
      </c>
      <c r="AV3408">
        <f t="shared" si="105"/>
        <v>0</v>
      </c>
    </row>
    <row r="3409" spans="1:48" x14ac:dyDescent="0.25">
      <c r="A3409" t="s">
        <v>10951</v>
      </c>
      <c r="C3409" t="s">
        <v>10952</v>
      </c>
      <c r="D3409" t="s">
        <v>10640</v>
      </c>
      <c r="E3409" t="s">
        <v>2310</v>
      </c>
      <c r="F3409">
        <v>9</v>
      </c>
      <c r="G3409">
        <v>9.3000000000000007</v>
      </c>
      <c r="H3409" t="s">
        <v>2323</v>
      </c>
      <c r="I3409" s="21">
        <v>41046.5704050926</v>
      </c>
      <c r="J3409">
        <v>2012</v>
      </c>
      <c r="K3409" s="21">
        <v>41046.5704050926</v>
      </c>
      <c r="L3409">
        <v>2012</v>
      </c>
      <c r="M3409" s="21">
        <v>41697.442743055602</v>
      </c>
      <c r="N3409">
        <v>2014</v>
      </c>
      <c r="Q3409" s="262">
        <v>558000</v>
      </c>
      <c r="R3409" s="262">
        <v>147000</v>
      </c>
      <c r="S3409" t="s">
        <v>114</v>
      </c>
      <c r="T3409" t="s">
        <v>114</v>
      </c>
      <c r="U3409">
        <v>5</v>
      </c>
      <c r="V3409">
        <v>1584</v>
      </c>
      <c r="W3409">
        <v>217</v>
      </c>
      <c r="X3409">
        <v>0</v>
      </c>
      <c r="Y3409">
        <v>0</v>
      </c>
      <c r="Z3409">
        <v>0</v>
      </c>
      <c r="AA3409">
        <v>0</v>
      </c>
      <c r="AB3409">
        <v>0</v>
      </c>
      <c r="AC3409">
        <v>217</v>
      </c>
      <c r="AD3409">
        <v>0</v>
      </c>
      <c r="AE3409">
        <v>0</v>
      </c>
      <c r="AF3409">
        <v>0</v>
      </c>
      <c r="AG3409">
        <v>0</v>
      </c>
      <c r="AH3409">
        <v>0</v>
      </c>
      <c r="AI3409">
        <v>0</v>
      </c>
      <c r="AJ3409">
        <v>0</v>
      </c>
      <c r="AK3409">
        <v>0</v>
      </c>
      <c r="AL3409">
        <v>0</v>
      </c>
      <c r="AM3409">
        <v>0</v>
      </c>
      <c r="AN3409">
        <v>0</v>
      </c>
      <c r="AO3409">
        <v>0</v>
      </c>
      <c r="AP3409">
        <v>0</v>
      </c>
      <c r="AQ3409">
        <v>0</v>
      </c>
      <c r="AR3409">
        <v>0</v>
      </c>
      <c r="AS3409">
        <v>0</v>
      </c>
      <c r="AT3409">
        <v>0</v>
      </c>
      <c r="AU3409">
        <f t="shared" si="104"/>
        <v>0</v>
      </c>
      <c r="AV3409">
        <f t="shared" si="105"/>
        <v>0</v>
      </c>
    </row>
    <row r="3410" spans="1:48" x14ac:dyDescent="0.25">
      <c r="A3410" t="s">
        <v>10953</v>
      </c>
      <c r="C3410" t="s">
        <v>10954</v>
      </c>
      <c r="D3410" t="s">
        <v>10110</v>
      </c>
      <c r="E3410" t="s">
        <v>2310</v>
      </c>
      <c r="F3410">
        <v>13</v>
      </c>
      <c r="G3410">
        <v>13.1</v>
      </c>
      <c r="H3410" t="s">
        <v>2327</v>
      </c>
      <c r="I3410" s="21">
        <v>41047.613854166702</v>
      </c>
      <c r="J3410">
        <v>2012</v>
      </c>
      <c r="K3410" s="21">
        <v>41047.613854166702</v>
      </c>
      <c r="L3410">
        <v>2012</v>
      </c>
      <c r="M3410" s="21">
        <v>41940.5559490741</v>
      </c>
      <c r="N3410">
        <v>2014</v>
      </c>
      <c r="Q3410" s="262">
        <v>270000</v>
      </c>
      <c r="R3410" s="262">
        <v>128000</v>
      </c>
      <c r="S3410" t="s">
        <v>114</v>
      </c>
      <c r="T3410" t="s">
        <v>114</v>
      </c>
      <c r="U3410">
        <v>15</v>
      </c>
      <c r="W3410">
        <v>3240</v>
      </c>
      <c r="X3410">
        <v>0</v>
      </c>
      <c r="Y3410">
        <v>0</v>
      </c>
      <c r="Z3410">
        <v>0</v>
      </c>
      <c r="AA3410">
        <v>0</v>
      </c>
      <c r="AB3410">
        <v>0</v>
      </c>
      <c r="AC3410">
        <v>0</v>
      </c>
      <c r="AD3410">
        <v>0</v>
      </c>
      <c r="AE3410">
        <v>0</v>
      </c>
      <c r="AF3410">
        <v>0</v>
      </c>
      <c r="AG3410">
        <v>0</v>
      </c>
      <c r="AH3410">
        <v>0</v>
      </c>
      <c r="AI3410">
        <v>0</v>
      </c>
      <c r="AJ3410">
        <v>0</v>
      </c>
      <c r="AK3410">
        <v>0</v>
      </c>
      <c r="AL3410">
        <v>0</v>
      </c>
      <c r="AM3410">
        <v>3240</v>
      </c>
      <c r="AN3410">
        <v>0</v>
      </c>
      <c r="AO3410">
        <v>0</v>
      </c>
      <c r="AP3410">
        <v>0</v>
      </c>
      <c r="AQ3410">
        <v>0</v>
      </c>
      <c r="AR3410">
        <v>0</v>
      </c>
      <c r="AS3410">
        <v>0</v>
      </c>
      <c r="AT3410">
        <v>0</v>
      </c>
      <c r="AU3410">
        <f t="shared" si="104"/>
        <v>0</v>
      </c>
      <c r="AV3410">
        <f t="shared" si="105"/>
        <v>3240</v>
      </c>
    </row>
    <row r="3411" spans="1:48" x14ac:dyDescent="0.25">
      <c r="A3411" t="s">
        <v>10955</v>
      </c>
      <c r="C3411" t="s">
        <v>10956</v>
      </c>
      <c r="D3411" t="s">
        <v>10957</v>
      </c>
      <c r="E3411" t="s">
        <v>2310</v>
      </c>
      <c r="F3411">
        <v>9</v>
      </c>
      <c r="G3411">
        <v>9.1999999999999993</v>
      </c>
      <c r="H3411" t="s">
        <v>2022</v>
      </c>
      <c r="I3411" s="21">
        <v>41052.534629629597</v>
      </c>
      <c r="J3411">
        <v>2012</v>
      </c>
      <c r="K3411" s="21">
        <v>41052.534629629597</v>
      </c>
      <c r="L3411">
        <v>2012</v>
      </c>
      <c r="M3411" s="21">
        <v>41856.630590277797</v>
      </c>
      <c r="N3411">
        <v>2014</v>
      </c>
      <c r="Q3411" s="262">
        <v>3100000</v>
      </c>
      <c r="R3411" s="262">
        <v>577000</v>
      </c>
      <c r="S3411" t="s">
        <v>114</v>
      </c>
      <c r="T3411" t="s">
        <v>114</v>
      </c>
      <c r="U3411">
        <v>5</v>
      </c>
      <c r="W3411">
        <v>5668</v>
      </c>
      <c r="X3411">
        <v>1</v>
      </c>
      <c r="Y3411">
        <v>0</v>
      </c>
      <c r="Z3411">
        <v>0</v>
      </c>
      <c r="AA3411">
        <v>0</v>
      </c>
      <c r="AB3411">
        <v>0</v>
      </c>
      <c r="AC3411">
        <v>5668</v>
      </c>
      <c r="AD3411">
        <v>0</v>
      </c>
      <c r="AE3411">
        <v>0</v>
      </c>
      <c r="AF3411">
        <v>0</v>
      </c>
      <c r="AG3411">
        <v>0</v>
      </c>
      <c r="AH3411">
        <v>0</v>
      </c>
      <c r="AI3411">
        <v>0</v>
      </c>
      <c r="AJ3411">
        <v>0</v>
      </c>
      <c r="AK3411">
        <v>0</v>
      </c>
      <c r="AL3411">
        <v>0</v>
      </c>
      <c r="AM3411">
        <v>0</v>
      </c>
      <c r="AN3411">
        <v>0</v>
      </c>
      <c r="AO3411">
        <v>1</v>
      </c>
      <c r="AP3411">
        <v>0</v>
      </c>
      <c r="AQ3411">
        <v>0</v>
      </c>
      <c r="AR3411">
        <v>0</v>
      </c>
      <c r="AS3411">
        <v>0</v>
      </c>
      <c r="AT3411">
        <v>0</v>
      </c>
      <c r="AU3411">
        <f t="shared" si="104"/>
        <v>1</v>
      </c>
      <c r="AV3411">
        <f t="shared" si="105"/>
        <v>0</v>
      </c>
    </row>
    <row r="3412" spans="1:48" x14ac:dyDescent="0.25">
      <c r="A3412" t="s">
        <v>10958</v>
      </c>
      <c r="C3412" t="s">
        <v>10959</v>
      </c>
      <c r="D3412" t="s">
        <v>10960</v>
      </c>
      <c r="E3412" t="s">
        <v>1663</v>
      </c>
      <c r="F3412">
        <v>3</v>
      </c>
      <c r="G3412">
        <v>3.1</v>
      </c>
      <c r="H3412" t="s">
        <v>2017</v>
      </c>
      <c r="I3412" s="21">
        <v>41053</v>
      </c>
      <c r="J3412">
        <v>2012</v>
      </c>
      <c r="K3412" s="21">
        <v>41084</v>
      </c>
      <c r="L3412">
        <v>2012</v>
      </c>
      <c r="M3412" s="21">
        <v>41237</v>
      </c>
      <c r="N3412">
        <v>2012</v>
      </c>
      <c r="Q3412" s="262">
        <v>575000</v>
      </c>
      <c r="S3412" t="s">
        <v>114</v>
      </c>
      <c r="T3412" t="s">
        <v>114</v>
      </c>
      <c r="W3412">
        <v>3830</v>
      </c>
      <c r="X3412">
        <v>1</v>
      </c>
      <c r="Y3412">
        <v>0</v>
      </c>
      <c r="Z3412">
        <v>0</v>
      </c>
      <c r="AA3412">
        <v>0</v>
      </c>
      <c r="AB3412">
        <v>0</v>
      </c>
      <c r="AC3412">
        <v>3830</v>
      </c>
      <c r="AD3412">
        <v>0</v>
      </c>
      <c r="AE3412">
        <v>0</v>
      </c>
      <c r="AF3412">
        <v>0</v>
      </c>
      <c r="AG3412">
        <v>0</v>
      </c>
      <c r="AH3412">
        <v>0</v>
      </c>
      <c r="AI3412">
        <v>0</v>
      </c>
      <c r="AJ3412">
        <v>0</v>
      </c>
      <c r="AK3412">
        <v>0</v>
      </c>
      <c r="AL3412">
        <v>0</v>
      </c>
      <c r="AM3412">
        <v>0</v>
      </c>
      <c r="AN3412">
        <v>0</v>
      </c>
      <c r="AO3412">
        <v>1</v>
      </c>
      <c r="AP3412">
        <v>0</v>
      </c>
      <c r="AQ3412">
        <v>0</v>
      </c>
      <c r="AR3412">
        <v>0</v>
      </c>
      <c r="AS3412">
        <v>0</v>
      </c>
      <c r="AT3412">
        <v>0</v>
      </c>
      <c r="AU3412">
        <f t="shared" si="104"/>
        <v>1</v>
      </c>
      <c r="AV3412">
        <f t="shared" si="105"/>
        <v>0</v>
      </c>
    </row>
    <row r="3413" spans="1:48" x14ac:dyDescent="0.25">
      <c r="A3413" t="s">
        <v>10961</v>
      </c>
      <c r="C3413" t="s">
        <v>10962</v>
      </c>
      <c r="D3413" t="s">
        <v>10963</v>
      </c>
      <c r="E3413" t="s">
        <v>2310</v>
      </c>
      <c r="F3413">
        <v>12</v>
      </c>
      <c r="G3413">
        <v>12.3</v>
      </c>
      <c r="H3413" t="s">
        <v>2017</v>
      </c>
      <c r="I3413" s="21">
        <v>41054.505092592597</v>
      </c>
      <c r="J3413">
        <v>2012</v>
      </c>
      <c r="K3413" s="21">
        <v>41054.505092592597</v>
      </c>
      <c r="L3413">
        <v>2012</v>
      </c>
      <c r="M3413" s="21">
        <v>41697.446759259299</v>
      </c>
      <c r="N3413">
        <v>2014</v>
      </c>
      <c r="Q3413" s="262">
        <v>330000</v>
      </c>
      <c r="R3413" s="262">
        <v>103000</v>
      </c>
      <c r="S3413" t="s">
        <v>114</v>
      </c>
      <c r="T3413" t="s">
        <v>114</v>
      </c>
      <c r="U3413">
        <v>5</v>
      </c>
      <c r="V3413">
        <v>560</v>
      </c>
      <c r="W3413">
        <v>544</v>
      </c>
      <c r="X3413">
        <v>0</v>
      </c>
      <c r="Y3413">
        <v>0</v>
      </c>
      <c r="Z3413">
        <v>0</v>
      </c>
      <c r="AA3413">
        <v>0</v>
      </c>
      <c r="AB3413">
        <v>0</v>
      </c>
      <c r="AC3413">
        <v>544</v>
      </c>
      <c r="AD3413">
        <v>0</v>
      </c>
      <c r="AE3413">
        <v>0</v>
      </c>
      <c r="AF3413">
        <v>0</v>
      </c>
      <c r="AG3413">
        <v>0</v>
      </c>
      <c r="AH3413">
        <v>0</v>
      </c>
      <c r="AI3413">
        <v>0</v>
      </c>
      <c r="AJ3413">
        <v>0</v>
      </c>
      <c r="AK3413">
        <v>0</v>
      </c>
      <c r="AL3413">
        <v>0</v>
      </c>
      <c r="AM3413">
        <v>0</v>
      </c>
      <c r="AN3413">
        <v>0</v>
      </c>
      <c r="AO3413">
        <v>0</v>
      </c>
      <c r="AP3413">
        <v>0</v>
      </c>
      <c r="AQ3413">
        <v>0</v>
      </c>
      <c r="AR3413">
        <v>0</v>
      </c>
      <c r="AS3413">
        <v>0</v>
      </c>
      <c r="AT3413">
        <v>0</v>
      </c>
      <c r="AU3413">
        <f t="shared" si="104"/>
        <v>0</v>
      </c>
      <c r="AV3413">
        <f t="shared" si="105"/>
        <v>0</v>
      </c>
    </row>
    <row r="3414" spans="1:48" x14ac:dyDescent="0.25">
      <c r="A3414" t="s">
        <v>10964</v>
      </c>
      <c r="C3414" t="s">
        <v>7403</v>
      </c>
      <c r="D3414" t="s">
        <v>10965</v>
      </c>
      <c r="E3414" t="s">
        <v>2310</v>
      </c>
      <c r="F3414">
        <v>9</v>
      </c>
      <c r="G3414">
        <v>9.1</v>
      </c>
      <c r="H3414" t="s">
        <v>2323</v>
      </c>
      <c r="I3414" s="21">
        <v>41054.626990740697</v>
      </c>
      <c r="J3414">
        <v>2012</v>
      </c>
      <c r="K3414" s="21">
        <v>41054.626990740697</v>
      </c>
      <c r="L3414">
        <v>2012</v>
      </c>
      <c r="M3414" s="21">
        <v>41261.584282407399</v>
      </c>
      <c r="N3414">
        <v>2012</v>
      </c>
      <c r="Q3414" s="262">
        <v>350000</v>
      </c>
      <c r="R3414" s="262">
        <v>58000</v>
      </c>
      <c r="S3414" t="s">
        <v>114</v>
      </c>
      <c r="T3414" t="s">
        <v>114</v>
      </c>
      <c r="U3414">
        <v>5</v>
      </c>
      <c r="W3414">
        <v>1464</v>
      </c>
      <c r="X3414">
        <v>0</v>
      </c>
      <c r="Y3414">
        <v>0</v>
      </c>
      <c r="Z3414">
        <v>0</v>
      </c>
      <c r="AA3414">
        <v>0</v>
      </c>
      <c r="AB3414">
        <v>0</v>
      </c>
      <c r="AC3414">
        <v>1464</v>
      </c>
      <c r="AD3414">
        <v>0</v>
      </c>
      <c r="AE3414">
        <v>0</v>
      </c>
      <c r="AF3414">
        <v>0</v>
      </c>
      <c r="AG3414">
        <v>0</v>
      </c>
      <c r="AH3414">
        <v>0</v>
      </c>
      <c r="AI3414">
        <v>0</v>
      </c>
      <c r="AJ3414">
        <v>0</v>
      </c>
      <c r="AK3414">
        <v>0</v>
      </c>
      <c r="AL3414">
        <v>0</v>
      </c>
      <c r="AM3414">
        <v>0</v>
      </c>
      <c r="AN3414">
        <v>0</v>
      </c>
      <c r="AO3414">
        <v>0</v>
      </c>
      <c r="AP3414">
        <v>0</v>
      </c>
      <c r="AQ3414">
        <v>0</v>
      </c>
      <c r="AR3414">
        <v>0</v>
      </c>
      <c r="AS3414">
        <v>0</v>
      </c>
      <c r="AT3414">
        <v>0</v>
      </c>
      <c r="AU3414">
        <f t="shared" si="104"/>
        <v>0</v>
      </c>
      <c r="AV3414">
        <f t="shared" si="105"/>
        <v>0</v>
      </c>
    </row>
    <row r="3415" spans="1:48" x14ac:dyDescent="0.25">
      <c r="A3415" t="s">
        <v>10968</v>
      </c>
      <c r="C3415" t="s">
        <v>10969</v>
      </c>
      <c r="D3415" t="s">
        <v>10970</v>
      </c>
      <c r="E3415" t="s">
        <v>1663</v>
      </c>
      <c r="F3415">
        <v>6</v>
      </c>
      <c r="G3415">
        <v>6.1</v>
      </c>
      <c r="H3415" t="s">
        <v>2017</v>
      </c>
      <c r="I3415" s="21">
        <v>41058</v>
      </c>
      <c r="J3415">
        <v>2012</v>
      </c>
      <c r="K3415" s="21">
        <v>41089</v>
      </c>
      <c r="L3415">
        <v>2012</v>
      </c>
      <c r="M3415" s="21">
        <v>41242</v>
      </c>
      <c r="N3415">
        <v>2012</v>
      </c>
      <c r="Q3415" s="262">
        <v>400000</v>
      </c>
      <c r="S3415" t="s">
        <v>114</v>
      </c>
      <c r="T3415" t="s">
        <v>114</v>
      </c>
      <c r="W3415">
        <v>4247</v>
      </c>
      <c r="X3415">
        <v>1</v>
      </c>
      <c r="Y3415">
        <v>0</v>
      </c>
      <c r="Z3415">
        <v>0</v>
      </c>
      <c r="AA3415">
        <v>0</v>
      </c>
      <c r="AB3415">
        <v>0</v>
      </c>
      <c r="AC3415">
        <v>4247</v>
      </c>
      <c r="AD3415">
        <v>0</v>
      </c>
      <c r="AE3415">
        <v>0</v>
      </c>
      <c r="AF3415">
        <v>0</v>
      </c>
      <c r="AG3415">
        <v>0</v>
      </c>
      <c r="AH3415">
        <v>0</v>
      </c>
      <c r="AI3415">
        <v>0</v>
      </c>
      <c r="AJ3415">
        <v>0</v>
      </c>
      <c r="AK3415">
        <v>0</v>
      </c>
      <c r="AL3415">
        <v>0</v>
      </c>
      <c r="AM3415">
        <v>0</v>
      </c>
      <c r="AN3415">
        <v>0</v>
      </c>
      <c r="AO3415">
        <v>1</v>
      </c>
      <c r="AP3415">
        <v>0</v>
      </c>
      <c r="AQ3415">
        <v>0</v>
      </c>
      <c r="AR3415">
        <v>0</v>
      </c>
      <c r="AS3415">
        <v>0</v>
      </c>
      <c r="AT3415">
        <v>0</v>
      </c>
      <c r="AU3415">
        <f t="shared" si="104"/>
        <v>1</v>
      </c>
      <c r="AV3415">
        <f t="shared" si="105"/>
        <v>0</v>
      </c>
    </row>
    <row r="3416" spans="1:48" x14ac:dyDescent="0.25">
      <c r="A3416" t="s">
        <v>10971</v>
      </c>
      <c r="C3416" t="s">
        <v>5718</v>
      </c>
      <c r="D3416" t="s">
        <v>9076</v>
      </c>
      <c r="E3416" t="s">
        <v>1663</v>
      </c>
      <c r="F3416">
        <v>5</v>
      </c>
      <c r="G3416">
        <v>5.5</v>
      </c>
      <c r="H3416" t="s">
        <v>2017</v>
      </c>
      <c r="I3416" s="21">
        <v>41058</v>
      </c>
      <c r="J3416">
        <v>2012</v>
      </c>
      <c r="K3416" s="21">
        <v>41089</v>
      </c>
      <c r="L3416">
        <v>2012</v>
      </c>
      <c r="M3416" s="21">
        <v>41242</v>
      </c>
      <c r="N3416">
        <v>2012</v>
      </c>
      <c r="Q3416" s="262">
        <v>14900</v>
      </c>
      <c r="S3416" t="s">
        <v>114</v>
      </c>
      <c r="T3416" t="s">
        <v>114</v>
      </c>
      <c r="W3416">
        <v>250</v>
      </c>
      <c r="X3416">
        <v>0</v>
      </c>
      <c r="Y3416">
        <v>0</v>
      </c>
      <c r="Z3416">
        <v>0</v>
      </c>
      <c r="AA3416">
        <v>0</v>
      </c>
      <c r="AB3416">
        <v>0</v>
      </c>
      <c r="AC3416">
        <v>250</v>
      </c>
      <c r="AD3416">
        <v>0</v>
      </c>
      <c r="AE3416">
        <v>0</v>
      </c>
      <c r="AF3416">
        <v>0</v>
      </c>
      <c r="AG3416">
        <v>0</v>
      </c>
      <c r="AH3416">
        <v>0</v>
      </c>
      <c r="AI3416">
        <v>0</v>
      </c>
      <c r="AJ3416">
        <v>0</v>
      </c>
      <c r="AK3416">
        <v>0</v>
      </c>
      <c r="AL3416">
        <v>0</v>
      </c>
      <c r="AM3416">
        <v>0</v>
      </c>
      <c r="AN3416">
        <v>0</v>
      </c>
      <c r="AO3416">
        <v>0</v>
      </c>
      <c r="AP3416">
        <v>0</v>
      </c>
      <c r="AQ3416">
        <v>0</v>
      </c>
      <c r="AR3416">
        <v>0</v>
      </c>
      <c r="AS3416">
        <v>0</v>
      </c>
      <c r="AT3416">
        <v>0</v>
      </c>
      <c r="AU3416">
        <f t="shared" si="104"/>
        <v>0</v>
      </c>
      <c r="AV3416">
        <f t="shared" si="105"/>
        <v>0</v>
      </c>
    </row>
    <row r="3417" spans="1:48" x14ac:dyDescent="0.25">
      <c r="A3417" t="s">
        <v>10966</v>
      </c>
      <c r="C3417" t="s">
        <v>10967</v>
      </c>
      <c r="D3417" t="s">
        <v>10600</v>
      </c>
      <c r="E3417" t="s">
        <v>1663</v>
      </c>
      <c r="F3417">
        <v>2</v>
      </c>
      <c r="G3417">
        <v>2.2000000000000002</v>
      </c>
      <c r="H3417" t="s">
        <v>2327</v>
      </c>
      <c r="I3417" s="21">
        <v>41058</v>
      </c>
      <c r="J3417">
        <v>2012</v>
      </c>
      <c r="K3417" s="21">
        <v>41089</v>
      </c>
      <c r="L3417">
        <v>2012</v>
      </c>
      <c r="M3417" s="21">
        <v>41242</v>
      </c>
      <c r="N3417">
        <v>2012</v>
      </c>
      <c r="Q3417" s="262">
        <v>58000</v>
      </c>
      <c r="S3417" t="s">
        <v>114</v>
      </c>
      <c r="T3417" t="s">
        <v>114</v>
      </c>
      <c r="W3417">
        <v>200</v>
      </c>
      <c r="X3417">
        <v>0</v>
      </c>
      <c r="Y3417">
        <v>0</v>
      </c>
      <c r="Z3417">
        <v>0</v>
      </c>
      <c r="AA3417">
        <v>0</v>
      </c>
      <c r="AB3417">
        <v>0</v>
      </c>
      <c r="AC3417">
        <v>200</v>
      </c>
      <c r="AD3417">
        <v>0</v>
      </c>
      <c r="AE3417">
        <v>0</v>
      </c>
      <c r="AF3417">
        <v>0</v>
      </c>
      <c r="AG3417">
        <v>0</v>
      </c>
      <c r="AH3417">
        <v>0</v>
      </c>
      <c r="AI3417">
        <v>0</v>
      </c>
      <c r="AJ3417">
        <v>0</v>
      </c>
      <c r="AK3417">
        <v>0</v>
      </c>
      <c r="AL3417">
        <v>0</v>
      </c>
      <c r="AM3417">
        <v>0</v>
      </c>
      <c r="AN3417">
        <v>0</v>
      </c>
      <c r="AO3417">
        <v>0</v>
      </c>
      <c r="AP3417">
        <v>0</v>
      </c>
      <c r="AQ3417">
        <v>0</v>
      </c>
      <c r="AR3417">
        <v>0</v>
      </c>
      <c r="AS3417">
        <v>0</v>
      </c>
      <c r="AT3417">
        <v>0</v>
      </c>
      <c r="AU3417">
        <f t="shared" ref="AU3417:AU3480" si="106">SUM(AN3417:AQ3417,AS3417)</f>
        <v>0</v>
      </c>
      <c r="AV3417">
        <f t="shared" ref="AV3417:AV3480" si="107">SUM(Y3417:AB3417,AH3417:AM3417)</f>
        <v>0</v>
      </c>
    </row>
    <row r="3418" spans="1:48" x14ac:dyDescent="0.25">
      <c r="A3418" t="s">
        <v>10972</v>
      </c>
      <c r="C3418" t="s">
        <v>10973</v>
      </c>
      <c r="D3418" t="s">
        <v>10974</v>
      </c>
      <c r="E3418" t="s">
        <v>2310</v>
      </c>
      <c r="F3418">
        <v>8</v>
      </c>
      <c r="G3418">
        <v>8.1999999999999993</v>
      </c>
      <c r="H3418" t="s">
        <v>2022</v>
      </c>
      <c r="I3418" s="21">
        <v>41058.547048611101</v>
      </c>
      <c r="J3418">
        <v>2012</v>
      </c>
      <c r="K3418" s="21">
        <v>41058.547048611101</v>
      </c>
      <c r="L3418">
        <v>2012</v>
      </c>
      <c r="M3418" s="21">
        <v>41199.4686111111</v>
      </c>
      <c r="N3418">
        <v>2012</v>
      </c>
      <c r="Q3418" s="262">
        <v>79000</v>
      </c>
      <c r="R3418" s="262">
        <v>26000</v>
      </c>
      <c r="S3418" t="s">
        <v>114</v>
      </c>
      <c r="T3418" t="s">
        <v>114</v>
      </c>
      <c r="U3418">
        <v>8</v>
      </c>
      <c r="W3418">
        <v>246</v>
      </c>
      <c r="X3418">
        <v>1</v>
      </c>
      <c r="Y3418">
        <v>0</v>
      </c>
      <c r="Z3418">
        <v>0</v>
      </c>
      <c r="AA3418">
        <v>0</v>
      </c>
      <c r="AB3418">
        <v>0</v>
      </c>
      <c r="AC3418">
        <v>0</v>
      </c>
      <c r="AD3418">
        <v>0</v>
      </c>
      <c r="AE3418">
        <v>0</v>
      </c>
      <c r="AF3418">
        <v>246</v>
      </c>
      <c r="AG3418">
        <v>0</v>
      </c>
      <c r="AH3418">
        <v>0</v>
      </c>
      <c r="AI3418">
        <v>0</v>
      </c>
      <c r="AJ3418">
        <v>0</v>
      </c>
      <c r="AK3418">
        <v>0</v>
      </c>
      <c r="AL3418">
        <v>0</v>
      </c>
      <c r="AM3418">
        <v>0</v>
      </c>
      <c r="AN3418">
        <v>0</v>
      </c>
      <c r="AO3418">
        <v>0</v>
      </c>
      <c r="AP3418">
        <v>0</v>
      </c>
      <c r="AQ3418">
        <v>0</v>
      </c>
      <c r="AR3418">
        <v>1</v>
      </c>
      <c r="AS3418">
        <v>0</v>
      </c>
      <c r="AT3418">
        <v>0</v>
      </c>
      <c r="AU3418">
        <f t="shared" si="106"/>
        <v>0</v>
      </c>
      <c r="AV3418">
        <f t="shared" si="107"/>
        <v>0</v>
      </c>
    </row>
    <row r="3419" spans="1:48" x14ac:dyDescent="0.25">
      <c r="A3419" t="s">
        <v>10975</v>
      </c>
      <c r="C3419" t="s">
        <v>10976</v>
      </c>
      <c r="D3419" t="s">
        <v>3626</v>
      </c>
      <c r="E3419" t="s">
        <v>2310</v>
      </c>
      <c r="F3419">
        <v>15</v>
      </c>
      <c r="G3419">
        <v>15.1</v>
      </c>
      <c r="H3419" t="s">
        <v>2022</v>
      </c>
      <c r="I3419" s="21">
        <v>41060.521840277797</v>
      </c>
      <c r="J3419">
        <v>2012</v>
      </c>
      <c r="K3419" s="21">
        <v>41060.521840277797</v>
      </c>
      <c r="L3419">
        <v>2012</v>
      </c>
      <c r="M3419" s="21">
        <v>41926.453738425902</v>
      </c>
      <c r="N3419">
        <v>2014</v>
      </c>
      <c r="Q3419" s="262">
        <v>213000</v>
      </c>
      <c r="R3419" s="262">
        <v>348000</v>
      </c>
      <c r="S3419" t="s">
        <v>114</v>
      </c>
      <c r="T3419" t="s">
        <v>114</v>
      </c>
      <c r="U3419">
        <v>7</v>
      </c>
      <c r="W3419">
        <v>4234</v>
      </c>
      <c r="X3419">
        <v>1</v>
      </c>
      <c r="Y3419">
        <v>0</v>
      </c>
      <c r="Z3419">
        <v>0</v>
      </c>
      <c r="AA3419">
        <v>0</v>
      </c>
      <c r="AB3419">
        <v>0</v>
      </c>
      <c r="AC3419">
        <v>0</v>
      </c>
      <c r="AD3419">
        <v>0</v>
      </c>
      <c r="AE3419">
        <v>4234</v>
      </c>
      <c r="AF3419">
        <v>0</v>
      </c>
      <c r="AG3419">
        <v>0</v>
      </c>
      <c r="AH3419">
        <v>0</v>
      </c>
      <c r="AI3419">
        <v>0</v>
      </c>
      <c r="AJ3419">
        <v>0</v>
      </c>
      <c r="AK3419">
        <v>0</v>
      </c>
      <c r="AL3419">
        <v>0</v>
      </c>
      <c r="AM3419">
        <v>0</v>
      </c>
      <c r="AN3419">
        <v>0</v>
      </c>
      <c r="AO3419">
        <v>0</v>
      </c>
      <c r="AP3419">
        <v>0</v>
      </c>
      <c r="AQ3419">
        <v>1</v>
      </c>
      <c r="AR3419">
        <v>0</v>
      </c>
      <c r="AS3419">
        <v>0</v>
      </c>
      <c r="AT3419">
        <v>0</v>
      </c>
      <c r="AU3419">
        <f t="shared" si="106"/>
        <v>1</v>
      </c>
      <c r="AV3419">
        <f t="shared" si="107"/>
        <v>0</v>
      </c>
    </row>
    <row r="3420" spans="1:48" x14ac:dyDescent="0.25">
      <c r="A3420" t="s">
        <v>10977</v>
      </c>
      <c r="C3420" t="s">
        <v>10978</v>
      </c>
      <c r="D3420" t="s">
        <v>10979</v>
      </c>
      <c r="E3420" t="s">
        <v>2310</v>
      </c>
      <c r="F3420">
        <v>15</v>
      </c>
      <c r="G3420">
        <v>15.4</v>
      </c>
      <c r="H3420" t="s">
        <v>2323</v>
      </c>
      <c r="I3420" s="21">
        <v>41060.597847222198</v>
      </c>
      <c r="J3420">
        <v>2012</v>
      </c>
      <c r="K3420" s="21">
        <v>41060.597847222198</v>
      </c>
      <c r="L3420">
        <v>2012</v>
      </c>
      <c r="M3420" s="21">
        <v>41220.496053240699</v>
      </c>
      <c r="N3420">
        <v>2012</v>
      </c>
      <c r="Q3420" s="262">
        <v>58000</v>
      </c>
      <c r="R3420" s="262">
        <v>21000</v>
      </c>
      <c r="S3420" t="s">
        <v>114</v>
      </c>
      <c r="T3420" t="s">
        <v>114</v>
      </c>
      <c r="U3420">
        <v>5</v>
      </c>
      <c r="W3420">
        <v>197</v>
      </c>
      <c r="X3420">
        <v>0</v>
      </c>
      <c r="Y3420">
        <v>0</v>
      </c>
      <c r="Z3420">
        <v>0</v>
      </c>
      <c r="AA3420">
        <v>0</v>
      </c>
      <c r="AB3420">
        <v>0</v>
      </c>
      <c r="AC3420">
        <v>197</v>
      </c>
      <c r="AD3420">
        <v>0</v>
      </c>
      <c r="AE3420">
        <v>0</v>
      </c>
      <c r="AF3420">
        <v>0</v>
      </c>
      <c r="AG3420">
        <v>0</v>
      </c>
      <c r="AH3420">
        <v>0</v>
      </c>
      <c r="AI3420">
        <v>0</v>
      </c>
      <c r="AJ3420">
        <v>0</v>
      </c>
      <c r="AK3420">
        <v>0</v>
      </c>
      <c r="AL3420">
        <v>0</v>
      </c>
      <c r="AM3420">
        <v>0</v>
      </c>
      <c r="AN3420">
        <v>0</v>
      </c>
      <c r="AO3420">
        <v>0</v>
      </c>
      <c r="AP3420">
        <v>0</v>
      </c>
      <c r="AQ3420">
        <v>0</v>
      </c>
      <c r="AR3420">
        <v>0</v>
      </c>
      <c r="AS3420">
        <v>0</v>
      </c>
      <c r="AT3420">
        <v>0</v>
      </c>
      <c r="AU3420">
        <f t="shared" si="106"/>
        <v>0</v>
      </c>
      <c r="AV3420">
        <f t="shared" si="107"/>
        <v>0</v>
      </c>
    </row>
    <row r="3421" spans="1:48" x14ac:dyDescent="0.25">
      <c r="A3421" t="s">
        <v>10980</v>
      </c>
      <c r="C3421" t="s">
        <v>10981</v>
      </c>
      <c r="D3421" t="s">
        <v>10982</v>
      </c>
      <c r="E3421" t="s">
        <v>2310</v>
      </c>
      <c r="F3421">
        <v>9</v>
      </c>
      <c r="G3421">
        <v>9.1</v>
      </c>
      <c r="H3421" t="s">
        <v>2323</v>
      </c>
      <c r="I3421" s="21">
        <v>41065.539363425902</v>
      </c>
      <c r="J3421">
        <v>2012</v>
      </c>
      <c r="K3421" s="21">
        <v>41065.539363425902</v>
      </c>
      <c r="L3421">
        <v>2012</v>
      </c>
      <c r="M3421" s="21">
        <v>41450.344976851899</v>
      </c>
      <c r="N3421">
        <v>2013</v>
      </c>
      <c r="Q3421" s="262">
        <v>1250000</v>
      </c>
      <c r="R3421" s="262">
        <v>479000</v>
      </c>
      <c r="S3421" t="s">
        <v>114</v>
      </c>
      <c r="T3421" t="s">
        <v>114</v>
      </c>
      <c r="U3421">
        <v>5</v>
      </c>
      <c r="W3421">
        <v>4991</v>
      </c>
      <c r="X3421">
        <v>1</v>
      </c>
      <c r="Y3421">
        <v>0</v>
      </c>
      <c r="Z3421">
        <v>0</v>
      </c>
      <c r="AA3421">
        <v>0</v>
      </c>
      <c r="AB3421">
        <v>0</v>
      </c>
      <c r="AC3421">
        <v>4991</v>
      </c>
      <c r="AD3421">
        <v>0</v>
      </c>
      <c r="AE3421">
        <v>0</v>
      </c>
      <c r="AF3421">
        <v>0</v>
      </c>
      <c r="AG3421">
        <v>0</v>
      </c>
      <c r="AH3421">
        <v>0</v>
      </c>
      <c r="AI3421">
        <v>0</v>
      </c>
      <c r="AJ3421">
        <v>0</v>
      </c>
      <c r="AK3421">
        <v>0</v>
      </c>
      <c r="AL3421">
        <v>0</v>
      </c>
      <c r="AM3421">
        <v>0</v>
      </c>
      <c r="AN3421">
        <v>0</v>
      </c>
      <c r="AO3421">
        <v>1</v>
      </c>
      <c r="AP3421">
        <v>0</v>
      </c>
      <c r="AQ3421">
        <v>0</v>
      </c>
      <c r="AR3421">
        <v>0</v>
      </c>
      <c r="AS3421">
        <v>0</v>
      </c>
      <c r="AT3421">
        <v>0</v>
      </c>
      <c r="AU3421">
        <f t="shared" si="106"/>
        <v>1</v>
      </c>
      <c r="AV3421">
        <f t="shared" si="107"/>
        <v>0</v>
      </c>
    </row>
    <row r="3422" spans="1:48" x14ac:dyDescent="0.25">
      <c r="A3422" t="s">
        <v>10983</v>
      </c>
      <c r="C3422" t="s">
        <v>10984</v>
      </c>
      <c r="D3422" t="s">
        <v>4635</v>
      </c>
      <c r="E3422" t="s">
        <v>2310</v>
      </c>
      <c r="F3422">
        <v>8</v>
      </c>
      <c r="G3422">
        <v>8.1</v>
      </c>
      <c r="H3422" t="s">
        <v>2323</v>
      </c>
      <c r="I3422" s="21">
        <v>41065.6179050926</v>
      </c>
      <c r="J3422">
        <v>2012</v>
      </c>
      <c r="K3422" s="21">
        <v>41065.6179050926</v>
      </c>
      <c r="L3422">
        <v>2012</v>
      </c>
      <c r="M3422" s="21">
        <v>41256.483541666697</v>
      </c>
      <c r="N3422">
        <v>2012</v>
      </c>
      <c r="Q3422" s="262">
        <v>150000</v>
      </c>
      <c r="R3422" s="262">
        <v>44000</v>
      </c>
      <c r="S3422" t="s">
        <v>114</v>
      </c>
      <c r="T3422" t="s">
        <v>114</v>
      </c>
      <c r="U3422">
        <v>5</v>
      </c>
      <c r="W3422">
        <v>888</v>
      </c>
      <c r="X3422">
        <v>0</v>
      </c>
      <c r="Y3422">
        <v>0</v>
      </c>
      <c r="Z3422">
        <v>0</v>
      </c>
      <c r="AA3422">
        <v>0</v>
      </c>
      <c r="AB3422">
        <v>0</v>
      </c>
      <c r="AC3422">
        <v>888</v>
      </c>
      <c r="AD3422">
        <v>0</v>
      </c>
      <c r="AE3422">
        <v>0</v>
      </c>
      <c r="AF3422">
        <v>0</v>
      </c>
      <c r="AG3422">
        <v>0</v>
      </c>
      <c r="AH3422">
        <v>0</v>
      </c>
      <c r="AI3422">
        <v>0</v>
      </c>
      <c r="AJ3422">
        <v>0</v>
      </c>
      <c r="AK3422">
        <v>0</v>
      </c>
      <c r="AL3422">
        <v>0</v>
      </c>
      <c r="AM3422">
        <v>0</v>
      </c>
      <c r="AN3422">
        <v>0</v>
      </c>
      <c r="AO3422">
        <v>0</v>
      </c>
      <c r="AP3422">
        <v>0</v>
      </c>
      <c r="AQ3422">
        <v>0</v>
      </c>
      <c r="AR3422">
        <v>0</v>
      </c>
      <c r="AS3422">
        <v>0</v>
      </c>
      <c r="AT3422">
        <v>0</v>
      </c>
      <c r="AU3422">
        <f t="shared" si="106"/>
        <v>0</v>
      </c>
      <c r="AV3422">
        <f t="shared" si="107"/>
        <v>0</v>
      </c>
    </row>
    <row r="3423" spans="1:48" x14ac:dyDescent="0.25">
      <c r="A3423" t="s">
        <v>10985</v>
      </c>
      <c r="C3423" t="s">
        <v>10986</v>
      </c>
      <c r="D3423" t="s">
        <v>10987</v>
      </c>
      <c r="E3423" t="s">
        <v>1663</v>
      </c>
      <c r="F3423">
        <v>6</v>
      </c>
      <c r="G3423">
        <v>6.2</v>
      </c>
      <c r="H3423" t="s">
        <v>2017</v>
      </c>
      <c r="I3423" s="21">
        <v>41066</v>
      </c>
      <c r="J3423">
        <v>2012</v>
      </c>
      <c r="K3423" s="21">
        <v>41096</v>
      </c>
      <c r="L3423">
        <v>2012</v>
      </c>
      <c r="M3423" s="21">
        <v>41249</v>
      </c>
      <c r="N3423">
        <v>2012</v>
      </c>
      <c r="Q3423" s="262">
        <v>400000</v>
      </c>
      <c r="S3423" t="s">
        <v>114</v>
      </c>
      <c r="T3423" t="s">
        <v>114</v>
      </c>
      <c r="W3423">
        <v>2974</v>
      </c>
      <c r="X3423">
        <v>1</v>
      </c>
      <c r="Y3423">
        <v>0</v>
      </c>
      <c r="Z3423">
        <v>0</v>
      </c>
      <c r="AA3423">
        <v>0</v>
      </c>
      <c r="AB3423">
        <v>0</v>
      </c>
      <c r="AC3423">
        <v>2974</v>
      </c>
      <c r="AD3423">
        <v>0</v>
      </c>
      <c r="AE3423">
        <v>0</v>
      </c>
      <c r="AF3423">
        <v>0</v>
      </c>
      <c r="AG3423">
        <v>0</v>
      </c>
      <c r="AH3423">
        <v>0</v>
      </c>
      <c r="AI3423">
        <v>0</v>
      </c>
      <c r="AJ3423">
        <v>0</v>
      </c>
      <c r="AK3423">
        <v>0</v>
      </c>
      <c r="AL3423">
        <v>0</v>
      </c>
      <c r="AM3423">
        <v>0</v>
      </c>
      <c r="AN3423">
        <v>0</v>
      </c>
      <c r="AO3423">
        <v>1</v>
      </c>
      <c r="AP3423">
        <v>0</v>
      </c>
      <c r="AQ3423">
        <v>0</v>
      </c>
      <c r="AR3423">
        <v>0</v>
      </c>
      <c r="AS3423">
        <v>0</v>
      </c>
      <c r="AT3423">
        <v>0</v>
      </c>
      <c r="AU3423">
        <f t="shared" si="106"/>
        <v>1</v>
      </c>
      <c r="AV3423">
        <f t="shared" si="107"/>
        <v>0</v>
      </c>
    </row>
    <row r="3424" spans="1:48" x14ac:dyDescent="0.25">
      <c r="A3424" t="s">
        <v>10988</v>
      </c>
      <c r="C3424" t="s">
        <v>10989</v>
      </c>
      <c r="D3424" t="s">
        <v>10990</v>
      </c>
      <c r="E3424" t="s">
        <v>2310</v>
      </c>
      <c r="F3424">
        <v>9</v>
      </c>
      <c r="G3424">
        <v>9.3000000000000007</v>
      </c>
      <c r="H3424" t="s">
        <v>2323</v>
      </c>
      <c r="I3424" s="21">
        <v>41067.660127314797</v>
      </c>
      <c r="J3424">
        <v>2012</v>
      </c>
      <c r="K3424" s="21">
        <v>41067.660127314797</v>
      </c>
      <c r="L3424">
        <v>2012</v>
      </c>
      <c r="M3424" s="21">
        <v>41201.506932870398</v>
      </c>
      <c r="N3424">
        <v>2012</v>
      </c>
      <c r="Q3424" s="262">
        <v>25000</v>
      </c>
      <c r="R3424" s="262">
        <v>52000</v>
      </c>
      <c r="S3424" t="s">
        <v>114</v>
      </c>
      <c r="T3424" t="s">
        <v>114</v>
      </c>
      <c r="U3424">
        <v>5</v>
      </c>
      <c r="W3424">
        <v>800</v>
      </c>
      <c r="X3424">
        <v>0</v>
      </c>
      <c r="Y3424">
        <v>0</v>
      </c>
      <c r="Z3424">
        <v>0</v>
      </c>
      <c r="AA3424">
        <v>0</v>
      </c>
      <c r="AB3424">
        <v>0</v>
      </c>
      <c r="AC3424">
        <v>800</v>
      </c>
      <c r="AD3424">
        <v>0</v>
      </c>
      <c r="AE3424">
        <v>0</v>
      </c>
      <c r="AF3424">
        <v>0</v>
      </c>
      <c r="AG3424">
        <v>0</v>
      </c>
      <c r="AH3424">
        <v>0</v>
      </c>
      <c r="AI3424">
        <v>0</v>
      </c>
      <c r="AJ3424">
        <v>0</v>
      </c>
      <c r="AK3424">
        <v>0</v>
      </c>
      <c r="AL3424">
        <v>0</v>
      </c>
      <c r="AM3424">
        <v>0</v>
      </c>
      <c r="AN3424">
        <v>0</v>
      </c>
      <c r="AO3424">
        <v>0</v>
      </c>
      <c r="AP3424">
        <v>0</v>
      </c>
      <c r="AQ3424">
        <v>0</v>
      </c>
      <c r="AR3424">
        <v>0</v>
      </c>
      <c r="AS3424">
        <v>0</v>
      </c>
      <c r="AT3424">
        <v>0</v>
      </c>
      <c r="AU3424">
        <f t="shared" si="106"/>
        <v>0</v>
      </c>
      <c r="AV3424">
        <f t="shared" si="107"/>
        <v>0</v>
      </c>
    </row>
    <row r="3425" spans="1:48" x14ac:dyDescent="0.25">
      <c r="A3425" t="s">
        <v>10991</v>
      </c>
      <c r="C3425" t="s">
        <v>10992</v>
      </c>
      <c r="D3425" t="s">
        <v>9270</v>
      </c>
      <c r="E3425" t="s">
        <v>2310</v>
      </c>
      <c r="F3425">
        <v>15</v>
      </c>
      <c r="G3425">
        <v>15.1</v>
      </c>
      <c r="H3425" t="s">
        <v>2022</v>
      </c>
      <c r="I3425" s="21">
        <v>41068.564756944397</v>
      </c>
      <c r="J3425">
        <v>2012</v>
      </c>
      <c r="K3425" s="21">
        <v>41068.564756944397</v>
      </c>
      <c r="L3425">
        <v>2012</v>
      </c>
      <c r="M3425" s="21">
        <v>41536.577187499999</v>
      </c>
      <c r="N3425">
        <v>2013</v>
      </c>
      <c r="Q3425" s="262">
        <v>70000</v>
      </c>
      <c r="R3425" s="262">
        <v>81000</v>
      </c>
      <c r="S3425" t="s">
        <v>114</v>
      </c>
      <c r="T3425" t="s">
        <v>114</v>
      </c>
      <c r="U3425">
        <v>5</v>
      </c>
      <c r="V3425">
        <v>768</v>
      </c>
      <c r="W3425">
        <v>196</v>
      </c>
      <c r="X3425">
        <v>0</v>
      </c>
      <c r="Y3425">
        <v>0</v>
      </c>
      <c r="Z3425">
        <v>0</v>
      </c>
      <c r="AA3425">
        <v>0</v>
      </c>
      <c r="AB3425">
        <v>0</v>
      </c>
      <c r="AC3425">
        <v>196</v>
      </c>
      <c r="AD3425">
        <v>0</v>
      </c>
      <c r="AE3425">
        <v>0</v>
      </c>
      <c r="AF3425">
        <v>0</v>
      </c>
      <c r="AG3425">
        <v>0</v>
      </c>
      <c r="AH3425">
        <v>0</v>
      </c>
      <c r="AI3425">
        <v>0</v>
      </c>
      <c r="AJ3425">
        <v>0</v>
      </c>
      <c r="AK3425">
        <v>0</v>
      </c>
      <c r="AL3425">
        <v>0</v>
      </c>
      <c r="AM3425">
        <v>0</v>
      </c>
      <c r="AN3425">
        <v>0</v>
      </c>
      <c r="AO3425">
        <v>0</v>
      </c>
      <c r="AP3425">
        <v>0</v>
      </c>
      <c r="AQ3425">
        <v>0</v>
      </c>
      <c r="AR3425">
        <v>0</v>
      </c>
      <c r="AS3425">
        <v>0</v>
      </c>
      <c r="AT3425">
        <v>0</v>
      </c>
      <c r="AU3425">
        <f t="shared" si="106"/>
        <v>0</v>
      </c>
      <c r="AV3425">
        <f t="shared" si="107"/>
        <v>0</v>
      </c>
    </row>
    <row r="3426" spans="1:48" x14ac:dyDescent="0.25">
      <c r="A3426" t="s">
        <v>10993</v>
      </c>
      <c r="C3426" t="s">
        <v>10994</v>
      </c>
      <c r="D3426" t="s">
        <v>10995</v>
      </c>
      <c r="E3426" t="s">
        <v>1663</v>
      </c>
      <c r="F3426">
        <v>3</v>
      </c>
      <c r="G3426">
        <v>3.1</v>
      </c>
      <c r="H3426" t="s">
        <v>2017</v>
      </c>
      <c r="I3426" s="21">
        <v>41072</v>
      </c>
      <c r="J3426">
        <v>2012</v>
      </c>
      <c r="K3426" s="21">
        <v>41102</v>
      </c>
      <c r="L3426">
        <v>2012</v>
      </c>
      <c r="M3426" s="21">
        <v>41255</v>
      </c>
      <c r="N3426">
        <v>2012</v>
      </c>
      <c r="Q3426" s="262">
        <v>500000</v>
      </c>
      <c r="S3426" t="s">
        <v>114</v>
      </c>
      <c r="T3426" t="s">
        <v>114</v>
      </c>
      <c r="W3426">
        <v>3112</v>
      </c>
      <c r="X3426">
        <v>1</v>
      </c>
      <c r="Y3426">
        <v>0</v>
      </c>
      <c r="Z3426">
        <v>0</v>
      </c>
      <c r="AA3426">
        <v>0</v>
      </c>
      <c r="AB3426">
        <v>0</v>
      </c>
      <c r="AC3426">
        <v>3112</v>
      </c>
      <c r="AD3426">
        <v>0</v>
      </c>
      <c r="AE3426">
        <v>0</v>
      </c>
      <c r="AF3426">
        <v>0</v>
      </c>
      <c r="AG3426">
        <v>0</v>
      </c>
      <c r="AH3426">
        <v>0</v>
      </c>
      <c r="AI3426">
        <v>0</v>
      </c>
      <c r="AJ3426">
        <v>0</v>
      </c>
      <c r="AK3426">
        <v>0</v>
      </c>
      <c r="AL3426">
        <v>0</v>
      </c>
      <c r="AM3426">
        <v>0</v>
      </c>
      <c r="AN3426">
        <v>0</v>
      </c>
      <c r="AO3426">
        <v>1</v>
      </c>
      <c r="AP3426">
        <v>0</v>
      </c>
      <c r="AQ3426">
        <v>0</v>
      </c>
      <c r="AR3426">
        <v>0</v>
      </c>
      <c r="AS3426">
        <v>0</v>
      </c>
      <c r="AT3426">
        <v>0</v>
      </c>
      <c r="AU3426">
        <f t="shared" si="106"/>
        <v>1</v>
      </c>
      <c r="AV3426">
        <f t="shared" si="107"/>
        <v>0</v>
      </c>
    </row>
    <row r="3427" spans="1:48" x14ac:dyDescent="0.25">
      <c r="A3427" t="s">
        <v>10996</v>
      </c>
      <c r="C3427" t="s">
        <v>10997</v>
      </c>
      <c r="D3427" t="s">
        <v>10998</v>
      </c>
      <c r="E3427" t="s">
        <v>2310</v>
      </c>
      <c r="F3427">
        <v>14</v>
      </c>
      <c r="G3427">
        <v>14.1</v>
      </c>
      <c r="H3427" t="s">
        <v>2022</v>
      </c>
      <c r="I3427" s="21">
        <v>41072.605914351901</v>
      </c>
      <c r="J3427">
        <v>2012</v>
      </c>
      <c r="K3427" s="21">
        <v>41072.605914351901</v>
      </c>
      <c r="L3427">
        <v>2012</v>
      </c>
      <c r="M3427" s="21">
        <v>41261.564907407403</v>
      </c>
      <c r="N3427">
        <v>2012</v>
      </c>
      <c r="Q3427" s="262">
        <v>260000</v>
      </c>
      <c r="R3427" s="262">
        <v>211000</v>
      </c>
      <c r="S3427" t="s">
        <v>114</v>
      </c>
      <c r="T3427" t="s">
        <v>114</v>
      </c>
      <c r="U3427">
        <v>5</v>
      </c>
      <c r="W3427">
        <v>2588</v>
      </c>
      <c r="X3427">
        <v>0</v>
      </c>
      <c r="Y3427">
        <v>0</v>
      </c>
      <c r="Z3427">
        <v>0</v>
      </c>
      <c r="AA3427">
        <v>0</v>
      </c>
      <c r="AB3427">
        <v>0</v>
      </c>
      <c r="AC3427">
        <v>2588</v>
      </c>
      <c r="AD3427">
        <v>0</v>
      </c>
      <c r="AE3427">
        <v>0</v>
      </c>
      <c r="AF3427">
        <v>0</v>
      </c>
      <c r="AG3427">
        <v>0</v>
      </c>
      <c r="AH3427">
        <v>0</v>
      </c>
      <c r="AI3427">
        <v>0</v>
      </c>
      <c r="AJ3427">
        <v>0</v>
      </c>
      <c r="AK3427">
        <v>0</v>
      </c>
      <c r="AL3427">
        <v>0</v>
      </c>
      <c r="AM3427">
        <v>0</v>
      </c>
      <c r="AN3427">
        <v>0</v>
      </c>
      <c r="AO3427">
        <v>0</v>
      </c>
      <c r="AP3427">
        <v>0</v>
      </c>
      <c r="AQ3427">
        <v>0</v>
      </c>
      <c r="AR3427">
        <v>0</v>
      </c>
      <c r="AS3427">
        <v>0</v>
      </c>
      <c r="AT3427">
        <v>0</v>
      </c>
      <c r="AU3427">
        <f t="shared" si="106"/>
        <v>0</v>
      </c>
      <c r="AV3427">
        <f t="shared" si="107"/>
        <v>0</v>
      </c>
    </row>
    <row r="3428" spans="1:48" x14ac:dyDescent="0.25">
      <c r="A3428" t="s">
        <v>10999</v>
      </c>
      <c r="C3428" t="s">
        <v>11000</v>
      </c>
      <c r="D3428" t="s">
        <v>7344</v>
      </c>
      <c r="E3428" t="s">
        <v>2310</v>
      </c>
      <c r="F3428">
        <v>9</v>
      </c>
      <c r="G3428">
        <v>9.1999999999999993</v>
      </c>
      <c r="H3428" t="s">
        <v>2022</v>
      </c>
      <c r="I3428" s="21">
        <v>41073.425949074102</v>
      </c>
      <c r="J3428">
        <v>2012</v>
      </c>
      <c r="K3428" s="21">
        <v>41073.425949074102</v>
      </c>
      <c r="L3428">
        <v>2012</v>
      </c>
      <c r="M3428" s="21">
        <v>41416.545879629601</v>
      </c>
      <c r="N3428">
        <v>2013</v>
      </c>
      <c r="Q3428" s="262">
        <v>400000</v>
      </c>
      <c r="R3428" s="262">
        <v>256000</v>
      </c>
      <c r="S3428" t="s">
        <v>114</v>
      </c>
      <c r="T3428" t="s">
        <v>114</v>
      </c>
      <c r="U3428">
        <v>5</v>
      </c>
      <c r="V3428">
        <v>341</v>
      </c>
      <c r="W3428">
        <v>2551</v>
      </c>
      <c r="X3428">
        <v>0</v>
      </c>
      <c r="Y3428">
        <v>0</v>
      </c>
      <c r="Z3428">
        <v>0</v>
      </c>
      <c r="AA3428">
        <v>0</v>
      </c>
      <c r="AB3428">
        <v>0</v>
      </c>
      <c r="AC3428">
        <v>2551</v>
      </c>
      <c r="AD3428">
        <v>0</v>
      </c>
      <c r="AE3428">
        <v>0</v>
      </c>
      <c r="AF3428">
        <v>0</v>
      </c>
      <c r="AG3428">
        <v>0</v>
      </c>
      <c r="AH3428">
        <v>0</v>
      </c>
      <c r="AI3428">
        <v>0</v>
      </c>
      <c r="AJ3428">
        <v>0</v>
      </c>
      <c r="AK3428">
        <v>0</v>
      </c>
      <c r="AL3428">
        <v>0</v>
      </c>
      <c r="AM3428">
        <v>0</v>
      </c>
      <c r="AN3428">
        <v>0</v>
      </c>
      <c r="AO3428">
        <v>0</v>
      </c>
      <c r="AP3428">
        <v>0</v>
      </c>
      <c r="AQ3428">
        <v>0</v>
      </c>
      <c r="AR3428">
        <v>0</v>
      </c>
      <c r="AS3428">
        <v>0</v>
      </c>
      <c r="AT3428">
        <v>0</v>
      </c>
      <c r="AU3428">
        <f t="shared" si="106"/>
        <v>0</v>
      </c>
      <c r="AV3428">
        <f t="shared" si="107"/>
        <v>0</v>
      </c>
    </row>
    <row r="3429" spans="1:48" x14ac:dyDescent="0.25">
      <c r="A3429" t="s">
        <v>11001</v>
      </c>
      <c r="C3429" t="s">
        <v>11002</v>
      </c>
      <c r="D3429" t="s">
        <v>10546</v>
      </c>
      <c r="E3429" t="s">
        <v>2310</v>
      </c>
      <c r="F3429">
        <v>9</v>
      </c>
      <c r="G3429">
        <v>9.4</v>
      </c>
      <c r="H3429" t="s">
        <v>2323</v>
      </c>
      <c r="I3429" s="21">
        <v>41074.610324074099</v>
      </c>
      <c r="J3429">
        <v>2012</v>
      </c>
      <c r="K3429" s="21">
        <v>41074.610324074099</v>
      </c>
      <c r="L3429">
        <v>2012</v>
      </c>
      <c r="M3429" s="21">
        <v>41710.428680555597</v>
      </c>
      <c r="N3429">
        <v>2014</v>
      </c>
      <c r="Q3429" s="262">
        <v>84000</v>
      </c>
      <c r="R3429" s="262">
        <v>27000</v>
      </c>
      <c r="S3429" t="s">
        <v>114</v>
      </c>
      <c r="T3429" t="s">
        <v>114</v>
      </c>
      <c r="U3429">
        <v>5</v>
      </c>
      <c r="W3429">
        <v>672</v>
      </c>
      <c r="X3429">
        <v>0</v>
      </c>
      <c r="Y3429">
        <v>0</v>
      </c>
      <c r="Z3429">
        <v>0</v>
      </c>
      <c r="AA3429">
        <v>0</v>
      </c>
      <c r="AB3429">
        <v>0</v>
      </c>
      <c r="AC3429">
        <v>672</v>
      </c>
      <c r="AD3429">
        <v>0</v>
      </c>
      <c r="AE3429">
        <v>0</v>
      </c>
      <c r="AF3429">
        <v>0</v>
      </c>
      <c r="AG3429">
        <v>0</v>
      </c>
      <c r="AH3429">
        <v>0</v>
      </c>
      <c r="AI3429">
        <v>0</v>
      </c>
      <c r="AJ3429">
        <v>0</v>
      </c>
      <c r="AK3429">
        <v>0</v>
      </c>
      <c r="AL3429">
        <v>0</v>
      </c>
      <c r="AM3429">
        <v>0</v>
      </c>
      <c r="AN3429">
        <v>0</v>
      </c>
      <c r="AO3429">
        <v>0</v>
      </c>
      <c r="AP3429">
        <v>0</v>
      </c>
      <c r="AQ3429">
        <v>0</v>
      </c>
      <c r="AR3429">
        <v>0</v>
      </c>
      <c r="AS3429">
        <v>0</v>
      </c>
      <c r="AT3429">
        <v>0</v>
      </c>
      <c r="AU3429">
        <f t="shared" si="106"/>
        <v>0</v>
      </c>
      <c r="AV3429">
        <f t="shared" si="107"/>
        <v>0</v>
      </c>
    </row>
    <row r="3430" spans="1:48" x14ac:dyDescent="0.25">
      <c r="A3430" t="s">
        <v>11003</v>
      </c>
      <c r="C3430" t="s">
        <v>11004</v>
      </c>
      <c r="D3430" t="s">
        <v>11005</v>
      </c>
      <c r="E3430" t="s">
        <v>2310</v>
      </c>
      <c r="F3430">
        <v>8</v>
      </c>
      <c r="G3430">
        <v>8.1</v>
      </c>
      <c r="H3430" t="s">
        <v>2323</v>
      </c>
      <c r="I3430" s="21">
        <v>41079.660972222198</v>
      </c>
      <c r="J3430">
        <v>2012</v>
      </c>
      <c r="K3430" s="21">
        <v>41079.660972222198</v>
      </c>
      <c r="L3430">
        <v>2012</v>
      </c>
      <c r="M3430" s="21">
        <v>41353.447037037004</v>
      </c>
      <c r="N3430">
        <v>2013</v>
      </c>
      <c r="Q3430" s="262">
        <v>300000</v>
      </c>
      <c r="R3430" s="262">
        <v>130000</v>
      </c>
      <c r="S3430" t="s">
        <v>114</v>
      </c>
      <c r="T3430" t="s">
        <v>114</v>
      </c>
      <c r="U3430">
        <v>5</v>
      </c>
      <c r="W3430">
        <v>1454</v>
      </c>
      <c r="X3430">
        <v>0</v>
      </c>
      <c r="Y3430">
        <v>0</v>
      </c>
      <c r="Z3430">
        <v>0</v>
      </c>
      <c r="AA3430">
        <v>0</v>
      </c>
      <c r="AB3430">
        <v>0</v>
      </c>
      <c r="AC3430">
        <v>1454</v>
      </c>
      <c r="AD3430">
        <v>0</v>
      </c>
      <c r="AE3430">
        <v>0</v>
      </c>
      <c r="AF3430">
        <v>0</v>
      </c>
      <c r="AG3430">
        <v>0</v>
      </c>
      <c r="AH3430">
        <v>0</v>
      </c>
      <c r="AI3430">
        <v>0</v>
      </c>
      <c r="AJ3430">
        <v>0</v>
      </c>
      <c r="AK3430">
        <v>0</v>
      </c>
      <c r="AL3430">
        <v>0</v>
      </c>
      <c r="AM3430">
        <v>0</v>
      </c>
      <c r="AN3430">
        <v>0</v>
      </c>
      <c r="AO3430">
        <v>0</v>
      </c>
      <c r="AP3430">
        <v>0</v>
      </c>
      <c r="AQ3430">
        <v>0</v>
      </c>
      <c r="AR3430">
        <v>0</v>
      </c>
      <c r="AS3430">
        <v>0</v>
      </c>
      <c r="AT3430">
        <v>0</v>
      </c>
      <c r="AU3430">
        <f t="shared" si="106"/>
        <v>0</v>
      </c>
      <c r="AV3430">
        <f t="shared" si="107"/>
        <v>0</v>
      </c>
    </row>
    <row r="3431" spans="1:48" x14ac:dyDescent="0.25">
      <c r="A3431" t="s">
        <v>11006</v>
      </c>
      <c r="C3431" t="s">
        <v>11007</v>
      </c>
      <c r="D3431" t="s">
        <v>9065</v>
      </c>
      <c r="E3431" t="s">
        <v>1663</v>
      </c>
      <c r="F3431">
        <v>2</v>
      </c>
      <c r="G3431">
        <v>2.1</v>
      </c>
      <c r="H3431" t="s">
        <v>2327</v>
      </c>
      <c r="I3431" s="21">
        <v>41082</v>
      </c>
      <c r="J3431">
        <v>2012</v>
      </c>
      <c r="K3431" s="21">
        <v>41112</v>
      </c>
      <c r="L3431">
        <v>2012</v>
      </c>
      <c r="M3431" s="21">
        <v>41265</v>
      </c>
      <c r="N3431">
        <v>2012</v>
      </c>
      <c r="Q3431" s="262">
        <v>230000</v>
      </c>
      <c r="S3431" t="s">
        <v>114</v>
      </c>
      <c r="T3431" t="s">
        <v>114</v>
      </c>
      <c r="W3431">
        <v>400</v>
      </c>
      <c r="X3431">
        <v>0</v>
      </c>
      <c r="Y3431">
        <v>0</v>
      </c>
      <c r="Z3431">
        <v>0</v>
      </c>
      <c r="AA3431">
        <v>0</v>
      </c>
      <c r="AB3431">
        <v>0</v>
      </c>
      <c r="AC3431">
        <v>0</v>
      </c>
      <c r="AD3431">
        <v>0</v>
      </c>
      <c r="AE3431">
        <v>0</v>
      </c>
      <c r="AF3431">
        <v>0</v>
      </c>
      <c r="AG3431">
        <v>0</v>
      </c>
      <c r="AH3431">
        <v>0</v>
      </c>
      <c r="AI3431">
        <v>0</v>
      </c>
      <c r="AJ3431">
        <v>0</v>
      </c>
      <c r="AK3431">
        <v>0</v>
      </c>
      <c r="AL3431">
        <v>0</v>
      </c>
      <c r="AM3431">
        <v>400</v>
      </c>
      <c r="AN3431">
        <v>0</v>
      </c>
      <c r="AO3431">
        <v>0</v>
      </c>
      <c r="AP3431">
        <v>0</v>
      </c>
      <c r="AQ3431">
        <v>0</v>
      </c>
      <c r="AR3431">
        <v>0</v>
      </c>
      <c r="AS3431">
        <v>0</v>
      </c>
      <c r="AT3431">
        <v>0</v>
      </c>
      <c r="AU3431">
        <f t="shared" si="106"/>
        <v>0</v>
      </c>
      <c r="AV3431">
        <f t="shared" si="107"/>
        <v>400</v>
      </c>
    </row>
    <row r="3432" spans="1:48" x14ac:dyDescent="0.25">
      <c r="A3432" t="s">
        <v>11008</v>
      </c>
      <c r="C3432" t="s">
        <v>11009</v>
      </c>
      <c r="D3432" t="s">
        <v>11010</v>
      </c>
      <c r="E3432" t="s">
        <v>2310</v>
      </c>
      <c r="F3432">
        <v>9</v>
      </c>
      <c r="G3432">
        <v>9.3000000000000007</v>
      </c>
      <c r="H3432" t="s">
        <v>2323</v>
      </c>
      <c r="I3432" s="21">
        <v>41082.649409722202</v>
      </c>
      <c r="J3432">
        <v>2012</v>
      </c>
      <c r="K3432" s="21">
        <v>41082.649409722202</v>
      </c>
      <c r="L3432">
        <v>2012</v>
      </c>
      <c r="M3432" s="21">
        <v>42444.476643518501</v>
      </c>
      <c r="N3432">
        <v>2016</v>
      </c>
      <c r="Q3432" s="262">
        <v>5000000</v>
      </c>
      <c r="R3432" s="262">
        <v>1384000</v>
      </c>
      <c r="S3432" t="s">
        <v>114</v>
      </c>
      <c r="T3432" t="s">
        <v>114</v>
      </c>
      <c r="U3432">
        <v>5</v>
      </c>
      <c r="W3432">
        <v>15335</v>
      </c>
      <c r="X3432">
        <v>1</v>
      </c>
      <c r="Y3432">
        <v>0</v>
      </c>
      <c r="Z3432">
        <v>0</v>
      </c>
      <c r="AA3432">
        <v>0</v>
      </c>
      <c r="AB3432">
        <v>0</v>
      </c>
      <c r="AC3432">
        <v>15335</v>
      </c>
      <c r="AD3432">
        <v>0</v>
      </c>
      <c r="AE3432">
        <v>0</v>
      </c>
      <c r="AF3432">
        <v>0</v>
      </c>
      <c r="AG3432">
        <v>0</v>
      </c>
      <c r="AH3432">
        <v>0</v>
      </c>
      <c r="AI3432">
        <v>0</v>
      </c>
      <c r="AJ3432">
        <v>0</v>
      </c>
      <c r="AK3432">
        <v>0</v>
      </c>
      <c r="AL3432">
        <v>0</v>
      </c>
      <c r="AM3432">
        <v>0</v>
      </c>
      <c r="AN3432">
        <v>0</v>
      </c>
      <c r="AO3432">
        <v>1</v>
      </c>
      <c r="AP3432">
        <v>0</v>
      </c>
      <c r="AQ3432">
        <v>0</v>
      </c>
      <c r="AR3432">
        <v>0</v>
      </c>
      <c r="AS3432">
        <v>0</v>
      </c>
      <c r="AT3432">
        <v>0</v>
      </c>
      <c r="AU3432">
        <f t="shared" si="106"/>
        <v>1</v>
      </c>
      <c r="AV3432">
        <f t="shared" si="107"/>
        <v>0</v>
      </c>
    </row>
    <row r="3433" spans="1:48" x14ac:dyDescent="0.25">
      <c r="A3433" t="s">
        <v>11011</v>
      </c>
      <c r="C3433" t="s">
        <v>11012</v>
      </c>
      <c r="D3433" t="s">
        <v>2336</v>
      </c>
      <c r="E3433" t="s">
        <v>1663</v>
      </c>
      <c r="F3433">
        <v>5</v>
      </c>
      <c r="G3433">
        <v>5.4</v>
      </c>
      <c r="H3433" t="s">
        <v>2017</v>
      </c>
      <c r="I3433" s="21">
        <v>41087</v>
      </c>
      <c r="J3433">
        <v>2012</v>
      </c>
      <c r="K3433" s="21">
        <v>41117</v>
      </c>
      <c r="L3433">
        <v>2012</v>
      </c>
      <c r="M3433" s="21">
        <v>41270</v>
      </c>
      <c r="N3433">
        <v>2012</v>
      </c>
      <c r="Q3433" s="262">
        <v>1400000</v>
      </c>
      <c r="S3433" t="s">
        <v>114</v>
      </c>
      <c r="T3433" t="s">
        <v>114</v>
      </c>
      <c r="W3433">
        <v>8618</v>
      </c>
      <c r="X3433">
        <v>0</v>
      </c>
      <c r="Y3433">
        <v>0</v>
      </c>
      <c r="Z3433">
        <v>0</v>
      </c>
      <c r="AA3433">
        <v>0</v>
      </c>
      <c r="AB3433">
        <v>0</v>
      </c>
      <c r="AC3433">
        <v>0</v>
      </c>
      <c r="AD3433">
        <v>0</v>
      </c>
      <c r="AE3433">
        <v>0</v>
      </c>
      <c r="AF3433">
        <v>0</v>
      </c>
      <c r="AG3433">
        <v>0</v>
      </c>
      <c r="AH3433">
        <v>0</v>
      </c>
      <c r="AI3433">
        <v>0</v>
      </c>
      <c r="AJ3433">
        <v>0</v>
      </c>
      <c r="AK3433">
        <v>0</v>
      </c>
      <c r="AL3433">
        <v>0</v>
      </c>
      <c r="AM3433">
        <v>8618</v>
      </c>
      <c r="AN3433">
        <v>0</v>
      </c>
      <c r="AO3433">
        <v>0</v>
      </c>
      <c r="AP3433">
        <v>0</v>
      </c>
      <c r="AQ3433">
        <v>0</v>
      </c>
      <c r="AR3433">
        <v>0</v>
      </c>
      <c r="AS3433">
        <v>0</v>
      </c>
      <c r="AT3433">
        <v>0</v>
      </c>
      <c r="AU3433">
        <f t="shared" si="106"/>
        <v>0</v>
      </c>
      <c r="AV3433">
        <f t="shared" si="107"/>
        <v>8618</v>
      </c>
    </row>
    <row r="3434" spans="1:48" x14ac:dyDescent="0.25">
      <c r="A3434" t="s">
        <v>11013</v>
      </c>
      <c r="C3434" t="s">
        <v>11014</v>
      </c>
      <c r="D3434" t="s">
        <v>11015</v>
      </c>
      <c r="E3434" t="s">
        <v>1663</v>
      </c>
      <c r="F3434">
        <v>6</v>
      </c>
      <c r="G3434">
        <v>6.1</v>
      </c>
      <c r="H3434" t="s">
        <v>2017</v>
      </c>
      <c r="I3434" s="21">
        <v>41088</v>
      </c>
      <c r="J3434">
        <v>2012</v>
      </c>
      <c r="K3434" s="21">
        <v>41118</v>
      </c>
      <c r="L3434">
        <v>2012</v>
      </c>
      <c r="M3434" s="21">
        <v>41271</v>
      </c>
      <c r="N3434">
        <v>2012</v>
      </c>
      <c r="Q3434" s="262">
        <v>1760000</v>
      </c>
      <c r="S3434" t="s">
        <v>114</v>
      </c>
      <c r="T3434" t="s">
        <v>114</v>
      </c>
      <c r="W3434">
        <v>4961</v>
      </c>
      <c r="X3434">
        <v>1</v>
      </c>
      <c r="Y3434">
        <v>0</v>
      </c>
      <c r="Z3434">
        <v>0</v>
      </c>
      <c r="AA3434">
        <v>0</v>
      </c>
      <c r="AB3434">
        <v>0</v>
      </c>
      <c r="AC3434">
        <v>4961</v>
      </c>
      <c r="AD3434">
        <v>0</v>
      </c>
      <c r="AE3434">
        <v>0</v>
      </c>
      <c r="AF3434">
        <v>0</v>
      </c>
      <c r="AG3434">
        <v>0</v>
      </c>
      <c r="AH3434">
        <v>0</v>
      </c>
      <c r="AI3434">
        <v>0</v>
      </c>
      <c r="AJ3434">
        <v>0</v>
      </c>
      <c r="AK3434">
        <v>0</v>
      </c>
      <c r="AL3434">
        <v>0</v>
      </c>
      <c r="AM3434">
        <v>0</v>
      </c>
      <c r="AN3434">
        <v>0</v>
      </c>
      <c r="AO3434">
        <v>1</v>
      </c>
      <c r="AP3434">
        <v>0</v>
      </c>
      <c r="AQ3434">
        <v>0</v>
      </c>
      <c r="AR3434">
        <v>0</v>
      </c>
      <c r="AS3434">
        <v>0</v>
      </c>
      <c r="AT3434">
        <v>0</v>
      </c>
      <c r="AU3434">
        <f t="shared" si="106"/>
        <v>1</v>
      </c>
      <c r="AV3434">
        <f t="shared" si="107"/>
        <v>0</v>
      </c>
    </row>
    <row r="3435" spans="1:48" x14ac:dyDescent="0.25">
      <c r="A3435" t="s">
        <v>11016</v>
      </c>
      <c r="C3435" t="s">
        <v>4934</v>
      </c>
      <c r="D3435" t="s">
        <v>8057</v>
      </c>
      <c r="E3435" t="s">
        <v>2310</v>
      </c>
      <c r="F3435">
        <v>9</v>
      </c>
      <c r="G3435">
        <v>9.3000000000000007</v>
      </c>
      <c r="H3435" t="s">
        <v>2323</v>
      </c>
      <c r="I3435" s="21">
        <v>41089.692546296297</v>
      </c>
      <c r="J3435">
        <v>2012</v>
      </c>
      <c r="K3435" s="21">
        <v>41089.692546296297</v>
      </c>
      <c r="L3435">
        <v>2012</v>
      </c>
      <c r="M3435" s="21">
        <v>41872.661238425899</v>
      </c>
      <c r="N3435">
        <v>2014</v>
      </c>
      <c r="Q3435" s="262">
        <v>1296</v>
      </c>
      <c r="R3435" s="262">
        <v>52000</v>
      </c>
      <c r="S3435" t="s">
        <v>114</v>
      </c>
      <c r="T3435" t="s">
        <v>114</v>
      </c>
      <c r="U3435">
        <v>5</v>
      </c>
      <c r="W3435">
        <v>1296</v>
      </c>
      <c r="X3435">
        <v>0</v>
      </c>
      <c r="Y3435">
        <v>0</v>
      </c>
      <c r="Z3435">
        <v>0</v>
      </c>
      <c r="AA3435">
        <v>0</v>
      </c>
      <c r="AB3435">
        <v>0</v>
      </c>
      <c r="AC3435">
        <v>1296</v>
      </c>
      <c r="AD3435">
        <v>0</v>
      </c>
      <c r="AE3435">
        <v>0</v>
      </c>
      <c r="AF3435">
        <v>0</v>
      </c>
      <c r="AG3435">
        <v>0</v>
      </c>
      <c r="AH3435">
        <v>0</v>
      </c>
      <c r="AI3435">
        <v>0</v>
      </c>
      <c r="AJ3435">
        <v>0</v>
      </c>
      <c r="AK3435">
        <v>0</v>
      </c>
      <c r="AL3435">
        <v>0</v>
      </c>
      <c r="AM3435">
        <v>0</v>
      </c>
      <c r="AN3435">
        <v>0</v>
      </c>
      <c r="AO3435">
        <v>0</v>
      </c>
      <c r="AP3435">
        <v>0</v>
      </c>
      <c r="AQ3435">
        <v>0</v>
      </c>
      <c r="AR3435">
        <v>0</v>
      </c>
      <c r="AS3435">
        <v>0</v>
      </c>
      <c r="AT3435">
        <v>0</v>
      </c>
      <c r="AU3435">
        <f t="shared" si="106"/>
        <v>0</v>
      </c>
      <c r="AV3435">
        <f t="shared" si="107"/>
        <v>0</v>
      </c>
    </row>
    <row r="3436" spans="1:48" x14ac:dyDescent="0.25">
      <c r="A3436" t="s">
        <v>11017</v>
      </c>
      <c r="C3436" t="s">
        <v>4934</v>
      </c>
      <c r="D3436" t="s">
        <v>11018</v>
      </c>
      <c r="E3436" t="s">
        <v>2310</v>
      </c>
      <c r="F3436">
        <v>14</v>
      </c>
      <c r="G3436">
        <v>14.1</v>
      </c>
      <c r="H3436" t="s">
        <v>2022</v>
      </c>
      <c r="I3436" s="21">
        <v>41093.655509259297</v>
      </c>
      <c r="J3436">
        <v>2012</v>
      </c>
      <c r="K3436" s="21">
        <v>41093.655509259297</v>
      </c>
      <c r="L3436">
        <v>2012</v>
      </c>
      <c r="M3436" s="21">
        <v>41283.429131944402</v>
      </c>
      <c r="N3436">
        <v>2013</v>
      </c>
      <c r="Q3436" s="262">
        <v>150000</v>
      </c>
      <c r="R3436" s="262">
        <v>74000</v>
      </c>
      <c r="S3436" t="s">
        <v>114</v>
      </c>
      <c r="T3436" t="s">
        <v>114</v>
      </c>
      <c r="U3436">
        <v>5</v>
      </c>
      <c r="W3436">
        <v>1868</v>
      </c>
      <c r="X3436">
        <v>0</v>
      </c>
      <c r="Y3436">
        <v>0</v>
      </c>
      <c r="Z3436">
        <v>0</v>
      </c>
      <c r="AA3436">
        <v>0</v>
      </c>
      <c r="AB3436">
        <v>0</v>
      </c>
      <c r="AC3436">
        <v>1868</v>
      </c>
      <c r="AD3436">
        <v>0</v>
      </c>
      <c r="AE3436">
        <v>0</v>
      </c>
      <c r="AF3436">
        <v>0</v>
      </c>
      <c r="AG3436">
        <v>0</v>
      </c>
      <c r="AH3436">
        <v>0</v>
      </c>
      <c r="AI3436">
        <v>0</v>
      </c>
      <c r="AJ3436">
        <v>0</v>
      </c>
      <c r="AK3436">
        <v>0</v>
      </c>
      <c r="AL3436">
        <v>0</v>
      </c>
      <c r="AM3436">
        <v>0</v>
      </c>
      <c r="AN3436">
        <v>0</v>
      </c>
      <c r="AO3436">
        <v>0</v>
      </c>
      <c r="AP3436">
        <v>0</v>
      </c>
      <c r="AQ3436">
        <v>0</v>
      </c>
      <c r="AR3436">
        <v>0</v>
      </c>
      <c r="AS3436">
        <v>0</v>
      </c>
      <c r="AT3436">
        <v>0</v>
      </c>
      <c r="AU3436">
        <f t="shared" si="106"/>
        <v>0</v>
      </c>
      <c r="AV3436">
        <f t="shared" si="107"/>
        <v>0</v>
      </c>
    </row>
    <row r="3437" spans="1:48" x14ac:dyDescent="0.25">
      <c r="A3437" t="s">
        <v>13409</v>
      </c>
      <c r="B3437" t="s">
        <v>114</v>
      </c>
      <c r="C3437" t="s">
        <v>13410</v>
      </c>
      <c r="D3437" t="s">
        <v>13411</v>
      </c>
      <c r="E3437" t="s">
        <v>1663</v>
      </c>
      <c r="F3437">
        <v>3</v>
      </c>
      <c r="G3437">
        <v>3.2</v>
      </c>
      <c r="H3437" t="s">
        <v>2327</v>
      </c>
      <c r="I3437" s="21">
        <v>41100</v>
      </c>
      <c r="J3437">
        <v>2012</v>
      </c>
      <c r="K3437" s="21">
        <v>41107</v>
      </c>
      <c r="L3437">
        <v>2012</v>
      </c>
      <c r="M3437" s="21">
        <v>42754</v>
      </c>
      <c r="N3437">
        <v>2017</v>
      </c>
      <c r="Q3437" s="262">
        <v>4500</v>
      </c>
      <c r="S3437" t="s">
        <v>13253</v>
      </c>
      <c r="T3437">
        <v>10569</v>
      </c>
      <c r="W3437">
        <v>50</v>
      </c>
      <c r="X3437">
        <v>0</v>
      </c>
      <c r="Y3437">
        <v>0</v>
      </c>
      <c r="Z3437">
        <v>0</v>
      </c>
      <c r="AA3437">
        <v>0</v>
      </c>
      <c r="AB3437">
        <v>0</v>
      </c>
      <c r="AC3437">
        <v>50</v>
      </c>
      <c r="AD3437">
        <v>0</v>
      </c>
      <c r="AE3437">
        <v>0</v>
      </c>
      <c r="AF3437">
        <v>0</v>
      </c>
      <c r="AG3437">
        <v>0</v>
      </c>
      <c r="AH3437">
        <v>0</v>
      </c>
      <c r="AI3437">
        <v>0</v>
      </c>
      <c r="AJ3437">
        <v>0</v>
      </c>
      <c r="AK3437">
        <v>0</v>
      </c>
      <c r="AL3437">
        <v>0</v>
      </c>
      <c r="AM3437">
        <v>0</v>
      </c>
      <c r="AN3437">
        <v>0</v>
      </c>
      <c r="AO3437">
        <v>0</v>
      </c>
      <c r="AP3437">
        <v>0</v>
      </c>
      <c r="AQ3437">
        <v>0</v>
      </c>
      <c r="AR3437">
        <v>0</v>
      </c>
      <c r="AS3437">
        <v>0</v>
      </c>
      <c r="AT3437">
        <v>0</v>
      </c>
      <c r="AU3437">
        <f t="shared" si="106"/>
        <v>0</v>
      </c>
      <c r="AV3437">
        <f t="shared" si="107"/>
        <v>0</v>
      </c>
    </row>
    <row r="3438" spans="1:48" x14ac:dyDescent="0.25">
      <c r="A3438" t="s">
        <v>11019</v>
      </c>
      <c r="C3438" t="s">
        <v>11020</v>
      </c>
      <c r="D3438" t="s">
        <v>11021</v>
      </c>
      <c r="E3438" t="s">
        <v>1663</v>
      </c>
      <c r="F3438">
        <v>3</v>
      </c>
      <c r="G3438">
        <v>3.1</v>
      </c>
      <c r="H3438" t="s">
        <v>2017</v>
      </c>
      <c r="I3438" s="21">
        <v>41102</v>
      </c>
      <c r="J3438">
        <v>2012</v>
      </c>
      <c r="K3438" s="21">
        <v>41133</v>
      </c>
      <c r="L3438">
        <v>2012</v>
      </c>
      <c r="M3438" s="21">
        <v>41286</v>
      </c>
      <c r="N3438">
        <v>2013</v>
      </c>
      <c r="Q3438" s="262">
        <v>250000</v>
      </c>
      <c r="S3438" t="s">
        <v>114</v>
      </c>
      <c r="T3438" t="s">
        <v>114</v>
      </c>
      <c r="W3438">
        <v>1917</v>
      </c>
      <c r="X3438">
        <v>1</v>
      </c>
      <c r="Y3438">
        <v>0</v>
      </c>
      <c r="Z3438">
        <v>0</v>
      </c>
      <c r="AA3438">
        <v>0</v>
      </c>
      <c r="AB3438">
        <v>0</v>
      </c>
      <c r="AC3438">
        <v>1917</v>
      </c>
      <c r="AD3438">
        <v>0</v>
      </c>
      <c r="AE3438">
        <v>0</v>
      </c>
      <c r="AF3438">
        <v>0</v>
      </c>
      <c r="AG3438">
        <v>0</v>
      </c>
      <c r="AH3438">
        <v>0</v>
      </c>
      <c r="AI3438">
        <v>0</v>
      </c>
      <c r="AJ3438">
        <v>0</v>
      </c>
      <c r="AK3438">
        <v>0</v>
      </c>
      <c r="AL3438">
        <v>0</v>
      </c>
      <c r="AM3438">
        <v>0</v>
      </c>
      <c r="AN3438">
        <v>0</v>
      </c>
      <c r="AO3438">
        <v>1</v>
      </c>
      <c r="AP3438">
        <v>0</v>
      </c>
      <c r="AQ3438">
        <v>0</v>
      </c>
      <c r="AR3438">
        <v>0</v>
      </c>
      <c r="AS3438">
        <v>0</v>
      </c>
      <c r="AT3438">
        <v>0</v>
      </c>
      <c r="AU3438">
        <f t="shared" si="106"/>
        <v>1</v>
      </c>
      <c r="AV3438">
        <f t="shared" si="107"/>
        <v>0</v>
      </c>
    </row>
    <row r="3439" spans="1:48" x14ac:dyDescent="0.25">
      <c r="A3439" t="s">
        <v>11022</v>
      </c>
      <c r="C3439" t="s">
        <v>11023</v>
      </c>
      <c r="D3439" t="s">
        <v>11024</v>
      </c>
      <c r="E3439" t="s">
        <v>1663</v>
      </c>
      <c r="F3439">
        <v>3</v>
      </c>
      <c r="G3439">
        <v>3.1</v>
      </c>
      <c r="H3439" t="s">
        <v>2017</v>
      </c>
      <c r="I3439" s="21">
        <v>41102</v>
      </c>
      <c r="J3439">
        <v>2012</v>
      </c>
      <c r="K3439" s="21">
        <v>41133</v>
      </c>
      <c r="L3439">
        <v>2012</v>
      </c>
      <c r="M3439" s="21">
        <v>41286</v>
      </c>
      <c r="N3439">
        <v>2013</v>
      </c>
      <c r="Q3439" s="262">
        <v>200000</v>
      </c>
      <c r="S3439" t="s">
        <v>114</v>
      </c>
      <c r="T3439" t="s">
        <v>114</v>
      </c>
      <c r="W3439">
        <v>2024</v>
      </c>
      <c r="X3439">
        <v>2</v>
      </c>
      <c r="Y3439">
        <v>0</v>
      </c>
      <c r="Z3439">
        <v>0</v>
      </c>
      <c r="AA3439">
        <v>0</v>
      </c>
      <c r="AB3439">
        <v>0</v>
      </c>
      <c r="AC3439">
        <v>1500</v>
      </c>
      <c r="AD3439">
        <v>0</v>
      </c>
      <c r="AE3439">
        <v>524</v>
      </c>
      <c r="AF3439">
        <v>0</v>
      </c>
      <c r="AG3439">
        <v>0</v>
      </c>
      <c r="AH3439">
        <v>0</v>
      </c>
      <c r="AI3439">
        <v>0</v>
      </c>
      <c r="AJ3439">
        <v>0</v>
      </c>
      <c r="AK3439">
        <v>0</v>
      </c>
      <c r="AL3439">
        <v>0</v>
      </c>
      <c r="AM3439">
        <v>0</v>
      </c>
      <c r="AN3439">
        <v>0</v>
      </c>
      <c r="AO3439">
        <v>1</v>
      </c>
      <c r="AP3439">
        <v>0</v>
      </c>
      <c r="AQ3439">
        <v>1</v>
      </c>
      <c r="AR3439">
        <v>0</v>
      </c>
      <c r="AS3439">
        <v>0</v>
      </c>
      <c r="AT3439">
        <v>0</v>
      </c>
      <c r="AU3439">
        <f t="shared" si="106"/>
        <v>2</v>
      </c>
      <c r="AV3439">
        <f t="shared" si="107"/>
        <v>0</v>
      </c>
    </row>
    <row r="3440" spans="1:48" x14ac:dyDescent="0.25">
      <c r="A3440" t="s">
        <v>11025</v>
      </c>
      <c r="C3440" t="s">
        <v>11026</v>
      </c>
      <c r="D3440" t="s">
        <v>11027</v>
      </c>
      <c r="E3440" t="s">
        <v>1663</v>
      </c>
      <c r="F3440">
        <v>3</v>
      </c>
      <c r="G3440">
        <v>3.1</v>
      </c>
      <c r="H3440" t="s">
        <v>2017</v>
      </c>
      <c r="I3440" s="21">
        <v>41102</v>
      </c>
      <c r="J3440">
        <v>2012</v>
      </c>
      <c r="K3440" s="21">
        <v>41133</v>
      </c>
      <c r="L3440">
        <v>2012</v>
      </c>
      <c r="M3440" s="21">
        <v>41286</v>
      </c>
      <c r="N3440">
        <v>2013</v>
      </c>
      <c r="Q3440" s="262">
        <v>200000</v>
      </c>
      <c r="S3440" t="s">
        <v>114</v>
      </c>
      <c r="T3440" t="s">
        <v>114</v>
      </c>
      <c r="W3440">
        <v>2024</v>
      </c>
      <c r="X3440">
        <v>2</v>
      </c>
      <c r="Y3440">
        <v>0</v>
      </c>
      <c r="Z3440">
        <v>0</v>
      </c>
      <c r="AA3440">
        <v>0</v>
      </c>
      <c r="AB3440">
        <v>0</v>
      </c>
      <c r="AC3440">
        <v>1500</v>
      </c>
      <c r="AD3440">
        <v>0</v>
      </c>
      <c r="AE3440">
        <v>524</v>
      </c>
      <c r="AF3440">
        <v>0</v>
      </c>
      <c r="AG3440">
        <v>0</v>
      </c>
      <c r="AH3440">
        <v>0</v>
      </c>
      <c r="AI3440">
        <v>0</v>
      </c>
      <c r="AJ3440">
        <v>0</v>
      </c>
      <c r="AK3440">
        <v>0</v>
      </c>
      <c r="AL3440">
        <v>0</v>
      </c>
      <c r="AM3440">
        <v>0</v>
      </c>
      <c r="AN3440">
        <v>0</v>
      </c>
      <c r="AO3440">
        <v>1</v>
      </c>
      <c r="AP3440">
        <v>0</v>
      </c>
      <c r="AQ3440">
        <v>1</v>
      </c>
      <c r="AR3440">
        <v>0</v>
      </c>
      <c r="AS3440">
        <v>0</v>
      </c>
      <c r="AT3440">
        <v>0</v>
      </c>
      <c r="AU3440">
        <f t="shared" si="106"/>
        <v>2</v>
      </c>
      <c r="AV3440">
        <f t="shared" si="107"/>
        <v>0</v>
      </c>
    </row>
    <row r="3441" spans="1:48" x14ac:dyDescent="0.25">
      <c r="A3441" t="s">
        <v>11028</v>
      </c>
      <c r="C3441" t="s">
        <v>11029</v>
      </c>
      <c r="D3441" t="s">
        <v>3631</v>
      </c>
      <c r="E3441" t="s">
        <v>2310</v>
      </c>
      <c r="F3441">
        <v>8</v>
      </c>
      <c r="G3441">
        <v>8.1</v>
      </c>
      <c r="H3441" t="s">
        <v>2323</v>
      </c>
      <c r="I3441" s="21">
        <v>41102.615937499999</v>
      </c>
      <c r="J3441">
        <v>2012</v>
      </c>
      <c r="K3441" s="21">
        <v>41102.615937499999</v>
      </c>
      <c r="L3441">
        <v>2012</v>
      </c>
      <c r="M3441" s="21">
        <v>41439.400694444397</v>
      </c>
      <c r="N3441">
        <v>2013</v>
      </c>
      <c r="Q3441" s="262">
        <v>500000</v>
      </c>
      <c r="R3441" s="262">
        <v>129000</v>
      </c>
      <c r="S3441" t="s">
        <v>114</v>
      </c>
      <c r="T3441" t="s">
        <v>114</v>
      </c>
      <c r="U3441">
        <v>17</v>
      </c>
      <c r="W3441">
        <v>4066</v>
      </c>
      <c r="X3441">
        <v>1</v>
      </c>
      <c r="Y3441">
        <v>0</v>
      </c>
      <c r="Z3441">
        <v>0</v>
      </c>
      <c r="AA3441">
        <v>0</v>
      </c>
      <c r="AB3441">
        <v>0</v>
      </c>
      <c r="AC3441">
        <v>3077</v>
      </c>
      <c r="AD3441">
        <v>0</v>
      </c>
      <c r="AE3441">
        <v>0</v>
      </c>
      <c r="AF3441">
        <v>989</v>
      </c>
      <c r="AG3441">
        <v>0</v>
      </c>
      <c r="AH3441">
        <v>0</v>
      </c>
      <c r="AI3441">
        <v>0</v>
      </c>
      <c r="AJ3441">
        <v>0</v>
      </c>
      <c r="AK3441">
        <v>0</v>
      </c>
      <c r="AL3441">
        <v>0</v>
      </c>
      <c r="AM3441">
        <v>0</v>
      </c>
      <c r="AN3441">
        <v>0</v>
      </c>
      <c r="AO3441">
        <v>0</v>
      </c>
      <c r="AP3441">
        <v>0</v>
      </c>
      <c r="AQ3441">
        <v>0</v>
      </c>
      <c r="AR3441">
        <v>1</v>
      </c>
      <c r="AS3441">
        <v>0</v>
      </c>
      <c r="AT3441">
        <v>0</v>
      </c>
      <c r="AU3441">
        <f t="shared" si="106"/>
        <v>0</v>
      </c>
      <c r="AV3441">
        <f t="shared" si="107"/>
        <v>0</v>
      </c>
    </row>
    <row r="3442" spans="1:48" x14ac:dyDescent="0.25">
      <c r="A3442" t="s">
        <v>11030</v>
      </c>
      <c r="C3442" t="s">
        <v>7880</v>
      </c>
      <c r="D3442" t="s">
        <v>3631</v>
      </c>
      <c r="E3442" t="s">
        <v>2310</v>
      </c>
      <c r="F3442">
        <v>8</v>
      </c>
      <c r="G3442">
        <v>8.1</v>
      </c>
      <c r="H3442" t="s">
        <v>2323</v>
      </c>
      <c r="I3442" s="21">
        <v>41102.628946759301</v>
      </c>
      <c r="J3442">
        <v>2012</v>
      </c>
      <c r="K3442" s="21">
        <v>41102.628946759301</v>
      </c>
      <c r="L3442">
        <v>2012</v>
      </c>
      <c r="M3442" s="21">
        <v>41439.402488425898</v>
      </c>
      <c r="N3442">
        <v>2013</v>
      </c>
      <c r="Q3442" s="262">
        <v>100000</v>
      </c>
      <c r="R3442" s="262">
        <v>99000</v>
      </c>
      <c r="S3442" t="s">
        <v>114</v>
      </c>
      <c r="T3442" t="s">
        <v>114</v>
      </c>
      <c r="U3442">
        <v>5</v>
      </c>
      <c r="W3442">
        <v>2490</v>
      </c>
      <c r="X3442">
        <v>0</v>
      </c>
      <c r="Y3442">
        <v>0</v>
      </c>
      <c r="Z3442">
        <v>0</v>
      </c>
      <c r="AA3442">
        <v>0</v>
      </c>
      <c r="AB3442">
        <v>0</v>
      </c>
      <c r="AC3442">
        <v>2490</v>
      </c>
      <c r="AD3442">
        <v>0</v>
      </c>
      <c r="AE3442">
        <v>0</v>
      </c>
      <c r="AF3442">
        <v>0</v>
      </c>
      <c r="AG3442">
        <v>0</v>
      </c>
      <c r="AH3442">
        <v>0</v>
      </c>
      <c r="AI3442">
        <v>0</v>
      </c>
      <c r="AJ3442">
        <v>0</v>
      </c>
      <c r="AK3442">
        <v>0</v>
      </c>
      <c r="AL3442">
        <v>0</v>
      </c>
      <c r="AM3442">
        <v>0</v>
      </c>
      <c r="AN3442">
        <v>0</v>
      </c>
      <c r="AO3442">
        <v>0</v>
      </c>
      <c r="AP3442">
        <v>0</v>
      </c>
      <c r="AQ3442">
        <v>0</v>
      </c>
      <c r="AR3442">
        <v>0</v>
      </c>
      <c r="AS3442">
        <v>0</v>
      </c>
      <c r="AT3442">
        <v>0</v>
      </c>
      <c r="AU3442">
        <f t="shared" si="106"/>
        <v>0</v>
      </c>
      <c r="AV3442">
        <f t="shared" si="107"/>
        <v>0</v>
      </c>
    </row>
    <row r="3443" spans="1:48" x14ac:dyDescent="0.25">
      <c r="A3443" t="s">
        <v>11031</v>
      </c>
      <c r="C3443" t="s">
        <v>11032</v>
      </c>
      <c r="D3443" t="s">
        <v>3327</v>
      </c>
      <c r="E3443" t="s">
        <v>2310</v>
      </c>
      <c r="F3443">
        <v>9</v>
      </c>
      <c r="G3443">
        <v>9.3000000000000007</v>
      </c>
      <c r="H3443" t="s">
        <v>2323</v>
      </c>
      <c r="I3443" s="21">
        <v>41107.457418981503</v>
      </c>
      <c r="J3443">
        <v>2012</v>
      </c>
      <c r="O3443" s="21">
        <v>41689.6694907407</v>
      </c>
      <c r="Q3443" s="262">
        <v>510000</v>
      </c>
      <c r="R3443" s="262">
        <v>178000</v>
      </c>
      <c r="S3443" t="s">
        <v>114</v>
      </c>
      <c r="T3443" t="s">
        <v>114</v>
      </c>
      <c r="U3443">
        <v>5</v>
      </c>
      <c r="V3443">
        <v>2271</v>
      </c>
      <c r="W3443">
        <v>0</v>
      </c>
      <c r="X3443">
        <v>0</v>
      </c>
      <c r="Y3443">
        <v>0</v>
      </c>
      <c r="Z3443">
        <v>0</v>
      </c>
      <c r="AA3443">
        <v>0</v>
      </c>
      <c r="AB3443">
        <v>0</v>
      </c>
      <c r="AC3443">
        <v>0</v>
      </c>
      <c r="AD3443">
        <v>0</v>
      </c>
      <c r="AE3443">
        <v>0</v>
      </c>
      <c r="AF3443">
        <v>0</v>
      </c>
      <c r="AG3443">
        <v>0</v>
      </c>
      <c r="AH3443">
        <v>0</v>
      </c>
      <c r="AI3443">
        <v>0</v>
      </c>
      <c r="AJ3443">
        <v>0</v>
      </c>
      <c r="AK3443">
        <v>0</v>
      </c>
      <c r="AL3443">
        <v>0</v>
      </c>
      <c r="AM3443">
        <v>0</v>
      </c>
      <c r="AN3443">
        <v>0</v>
      </c>
      <c r="AO3443">
        <v>0</v>
      </c>
      <c r="AP3443">
        <v>0</v>
      </c>
      <c r="AQ3443">
        <v>0</v>
      </c>
      <c r="AR3443">
        <v>0</v>
      </c>
      <c r="AS3443">
        <v>0</v>
      </c>
      <c r="AT3443">
        <v>0</v>
      </c>
      <c r="AU3443">
        <f t="shared" si="106"/>
        <v>0</v>
      </c>
      <c r="AV3443">
        <f t="shared" si="107"/>
        <v>0</v>
      </c>
    </row>
    <row r="3444" spans="1:48" x14ac:dyDescent="0.25">
      <c r="A3444" t="s">
        <v>11033</v>
      </c>
      <c r="C3444" t="s">
        <v>11034</v>
      </c>
      <c r="D3444" t="s">
        <v>5754</v>
      </c>
      <c r="E3444" t="s">
        <v>2310</v>
      </c>
      <c r="F3444">
        <v>9</v>
      </c>
      <c r="G3444">
        <v>9.1</v>
      </c>
      <c r="H3444" t="s">
        <v>2323</v>
      </c>
      <c r="I3444" s="21">
        <v>41107.601493055598</v>
      </c>
      <c r="J3444">
        <v>2012</v>
      </c>
      <c r="K3444" s="21">
        <v>41107.601493055598</v>
      </c>
      <c r="L3444">
        <v>2012</v>
      </c>
      <c r="M3444" s="21">
        <v>41240.489953703698</v>
      </c>
      <c r="N3444">
        <v>2012</v>
      </c>
      <c r="Q3444" s="262">
        <v>80000</v>
      </c>
      <c r="R3444" s="262">
        <v>36000</v>
      </c>
      <c r="S3444" t="s">
        <v>114</v>
      </c>
      <c r="T3444" t="s">
        <v>114</v>
      </c>
      <c r="U3444">
        <v>5</v>
      </c>
      <c r="W3444">
        <v>679</v>
      </c>
      <c r="X3444">
        <v>0</v>
      </c>
      <c r="Y3444">
        <v>0</v>
      </c>
      <c r="Z3444">
        <v>0</v>
      </c>
      <c r="AA3444">
        <v>0</v>
      </c>
      <c r="AB3444">
        <v>0</v>
      </c>
      <c r="AC3444">
        <v>679</v>
      </c>
      <c r="AD3444">
        <v>0</v>
      </c>
      <c r="AE3444">
        <v>0</v>
      </c>
      <c r="AF3444">
        <v>0</v>
      </c>
      <c r="AG3444">
        <v>0</v>
      </c>
      <c r="AH3444">
        <v>0</v>
      </c>
      <c r="AI3444">
        <v>0</v>
      </c>
      <c r="AJ3444">
        <v>0</v>
      </c>
      <c r="AK3444">
        <v>0</v>
      </c>
      <c r="AL3444">
        <v>0</v>
      </c>
      <c r="AM3444">
        <v>0</v>
      </c>
      <c r="AN3444">
        <v>0</v>
      </c>
      <c r="AO3444">
        <v>0</v>
      </c>
      <c r="AP3444">
        <v>0</v>
      </c>
      <c r="AQ3444">
        <v>0</v>
      </c>
      <c r="AR3444">
        <v>0</v>
      </c>
      <c r="AS3444">
        <v>0</v>
      </c>
      <c r="AT3444">
        <v>0</v>
      </c>
      <c r="AU3444">
        <f t="shared" si="106"/>
        <v>0</v>
      </c>
      <c r="AV3444">
        <f t="shared" si="107"/>
        <v>0</v>
      </c>
    </row>
    <row r="3445" spans="1:48" x14ac:dyDescent="0.25">
      <c r="A3445" t="s">
        <v>11035</v>
      </c>
      <c r="C3445" t="s">
        <v>11036</v>
      </c>
      <c r="D3445" t="s">
        <v>9946</v>
      </c>
      <c r="E3445" t="s">
        <v>2310</v>
      </c>
      <c r="F3445">
        <v>9</v>
      </c>
      <c r="G3445">
        <v>9.1</v>
      </c>
      <c r="H3445" t="s">
        <v>2323</v>
      </c>
      <c r="I3445" s="21">
        <v>41109.393900463001</v>
      </c>
      <c r="J3445">
        <v>2012</v>
      </c>
      <c r="K3445" s="21">
        <v>41109.393900463001</v>
      </c>
      <c r="L3445">
        <v>2012</v>
      </c>
      <c r="M3445" s="21">
        <v>41240.483981481499</v>
      </c>
      <c r="N3445">
        <v>2012</v>
      </c>
      <c r="Q3445" s="262">
        <v>34000</v>
      </c>
      <c r="R3445" s="262">
        <v>1000</v>
      </c>
      <c r="S3445" t="s">
        <v>114</v>
      </c>
      <c r="T3445" t="s">
        <v>114</v>
      </c>
      <c r="U3445">
        <v>15</v>
      </c>
      <c r="W3445">
        <v>20</v>
      </c>
      <c r="X3445">
        <v>0</v>
      </c>
      <c r="Y3445">
        <v>0</v>
      </c>
      <c r="Z3445">
        <v>0</v>
      </c>
      <c r="AA3445">
        <v>0</v>
      </c>
      <c r="AB3445">
        <v>0</v>
      </c>
      <c r="AC3445">
        <v>0</v>
      </c>
      <c r="AD3445">
        <v>0</v>
      </c>
      <c r="AE3445">
        <v>0</v>
      </c>
      <c r="AF3445">
        <v>0</v>
      </c>
      <c r="AG3445">
        <v>0</v>
      </c>
      <c r="AH3445">
        <v>0</v>
      </c>
      <c r="AI3445">
        <v>0</v>
      </c>
      <c r="AJ3445">
        <v>0</v>
      </c>
      <c r="AK3445">
        <v>0</v>
      </c>
      <c r="AL3445">
        <v>0</v>
      </c>
      <c r="AM3445">
        <v>20</v>
      </c>
      <c r="AN3445">
        <v>0</v>
      </c>
      <c r="AO3445">
        <v>0</v>
      </c>
      <c r="AP3445">
        <v>0</v>
      </c>
      <c r="AQ3445">
        <v>0</v>
      </c>
      <c r="AR3445">
        <v>0</v>
      </c>
      <c r="AS3445">
        <v>0</v>
      </c>
      <c r="AT3445">
        <v>0</v>
      </c>
      <c r="AU3445">
        <f t="shared" si="106"/>
        <v>0</v>
      </c>
      <c r="AV3445">
        <f t="shared" si="107"/>
        <v>20</v>
      </c>
    </row>
    <row r="3446" spans="1:48" x14ac:dyDescent="0.25">
      <c r="A3446" t="s">
        <v>11037</v>
      </c>
      <c r="C3446" t="s">
        <v>11038</v>
      </c>
      <c r="D3446" t="s">
        <v>10839</v>
      </c>
      <c r="E3446" t="s">
        <v>2310</v>
      </c>
      <c r="F3446">
        <v>13</v>
      </c>
      <c r="G3446">
        <v>13.1</v>
      </c>
      <c r="H3446" t="s">
        <v>2327</v>
      </c>
      <c r="I3446" s="21">
        <v>41109.410798611098</v>
      </c>
      <c r="J3446">
        <v>2012</v>
      </c>
      <c r="K3446" s="21">
        <v>41109.410798611098</v>
      </c>
      <c r="L3446">
        <v>2012</v>
      </c>
      <c r="M3446" s="21">
        <v>41283.4217824074</v>
      </c>
      <c r="N3446">
        <v>2013</v>
      </c>
      <c r="Q3446" s="262">
        <v>300000</v>
      </c>
      <c r="R3446" s="262">
        <v>183000</v>
      </c>
      <c r="S3446" t="s">
        <v>114</v>
      </c>
      <c r="T3446" t="s">
        <v>114</v>
      </c>
      <c r="U3446">
        <v>10</v>
      </c>
      <c r="V3446">
        <v>1980</v>
      </c>
      <c r="W3446">
        <v>0</v>
      </c>
      <c r="X3446">
        <v>0</v>
      </c>
      <c r="Y3446">
        <v>0</v>
      </c>
      <c r="Z3446">
        <v>0</v>
      </c>
      <c r="AA3446">
        <v>0</v>
      </c>
      <c r="AB3446">
        <v>0</v>
      </c>
      <c r="AC3446">
        <v>0</v>
      </c>
      <c r="AD3446">
        <v>0</v>
      </c>
      <c r="AE3446">
        <v>0</v>
      </c>
      <c r="AF3446">
        <v>0</v>
      </c>
      <c r="AG3446">
        <v>0</v>
      </c>
      <c r="AH3446">
        <v>0</v>
      </c>
      <c r="AI3446">
        <v>0</v>
      </c>
      <c r="AJ3446">
        <v>0</v>
      </c>
      <c r="AK3446">
        <v>0</v>
      </c>
      <c r="AL3446">
        <v>0</v>
      </c>
      <c r="AM3446">
        <v>0</v>
      </c>
      <c r="AN3446">
        <v>0</v>
      </c>
      <c r="AO3446">
        <v>0</v>
      </c>
      <c r="AP3446">
        <v>0</v>
      </c>
      <c r="AQ3446">
        <v>0</v>
      </c>
      <c r="AR3446">
        <v>0</v>
      </c>
      <c r="AS3446">
        <v>0</v>
      </c>
      <c r="AT3446">
        <v>0</v>
      </c>
      <c r="AU3446">
        <f t="shared" si="106"/>
        <v>0</v>
      </c>
      <c r="AV3446">
        <f t="shared" si="107"/>
        <v>0</v>
      </c>
    </row>
    <row r="3447" spans="1:48" x14ac:dyDescent="0.25">
      <c r="A3447" t="s">
        <v>11039</v>
      </c>
      <c r="C3447" t="s">
        <v>11040</v>
      </c>
      <c r="D3447" t="s">
        <v>6481</v>
      </c>
      <c r="E3447" t="s">
        <v>2310</v>
      </c>
      <c r="F3447">
        <v>13</v>
      </c>
      <c r="G3447">
        <v>13.1</v>
      </c>
      <c r="H3447" t="s">
        <v>2327</v>
      </c>
      <c r="I3447" s="21">
        <v>41109.648148148102</v>
      </c>
      <c r="J3447">
        <v>2012</v>
      </c>
      <c r="K3447" s="21">
        <v>41109.648148148102</v>
      </c>
      <c r="L3447">
        <v>2012</v>
      </c>
      <c r="M3447" s="21">
        <v>41646.4395717593</v>
      </c>
      <c r="N3447">
        <v>2014</v>
      </c>
      <c r="Q3447" s="262">
        <v>1000000</v>
      </c>
      <c r="R3447" s="262">
        <v>265000</v>
      </c>
      <c r="S3447" t="s">
        <v>114</v>
      </c>
      <c r="T3447" t="s">
        <v>114</v>
      </c>
      <c r="U3447">
        <v>10</v>
      </c>
      <c r="V3447">
        <v>2754</v>
      </c>
      <c r="W3447">
        <v>231</v>
      </c>
      <c r="X3447">
        <v>0</v>
      </c>
      <c r="Y3447">
        <v>0</v>
      </c>
      <c r="Z3447">
        <v>0</v>
      </c>
      <c r="AA3447">
        <v>0</v>
      </c>
      <c r="AB3447">
        <v>0</v>
      </c>
      <c r="AC3447">
        <v>0</v>
      </c>
      <c r="AD3447">
        <v>0</v>
      </c>
      <c r="AE3447">
        <v>0</v>
      </c>
      <c r="AF3447">
        <v>0</v>
      </c>
      <c r="AG3447">
        <v>0</v>
      </c>
      <c r="AH3447">
        <v>231</v>
      </c>
      <c r="AI3447">
        <v>0</v>
      </c>
      <c r="AJ3447">
        <v>0</v>
      </c>
      <c r="AK3447">
        <v>0</v>
      </c>
      <c r="AL3447">
        <v>0</v>
      </c>
      <c r="AM3447">
        <v>0</v>
      </c>
      <c r="AN3447">
        <v>0</v>
      </c>
      <c r="AO3447">
        <v>0</v>
      </c>
      <c r="AP3447">
        <v>0</v>
      </c>
      <c r="AQ3447">
        <v>0</v>
      </c>
      <c r="AR3447">
        <v>0</v>
      </c>
      <c r="AS3447">
        <v>0</v>
      </c>
      <c r="AT3447">
        <v>0</v>
      </c>
      <c r="AU3447">
        <f t="shared" si="106"/>
        <v>0</v>
      </c>
      <c r="AV3447">
        <f t="shared" si="107"/>
        <v>231</v>
      </c>
    </row>
    <row r="3448" spans="1:48" x14ac:dyDescent="0.25">
      <c r="A3448" t="s">
        <v>11041</v>
      </c>
      <c r="C3448" t="s">
        <v>11042</v>
      </c>
      <c r="D3448" t="s">
        <v>11043</v>
      </c>
      <c r="E3448" t="s">
        <v>2310</v>
      </c>
      <c r="F3448">
        <v>15</v>
      </c>
      <c r="G3448">
        <v>15.1</v>
      </c>
      <c r="H3448" t="s">
        <v>2022</v>
      </c>
      <c r="I3448" s="21">
        <v>41116.5383449074</v>
      </c>
      <c r="J3448">
        <v>2012</v>
      </c>
      <c r="K3448" s="21">
        <v>41141.648877314801</v>
      </c>
      <c r="L3448">
        <v>2012</v>
      </c>
      <c r="O3448" s="21">
        <v>41689.584641203699</v>
      </c>
      <c r="Q3448" s="262">
        <v>14000</v>
      </c>
      <c r="R3448" s="262">
        <v>11000</v>
      </c>
      <c r="S3448" t="s">
        <v>114</v>
      </c>
      <c r="T3448" t="s">
        <v>114</v>
      </c>
      <c r="U3448">
        <v>5</v>
      </c>
      <c r="W3448">
        <v>101</v>
      </c>
      <c r="X3448">
        <v>0</v>
      </c>
      <c r="Y3448">
        <v>0</v>
      </c>
      <c r="Z3448">
        <v>0</v>
      </c>
      <c r="AA3448">
        <v>0</v>
      </c>
      <c r="AB3448">
        <v>0</v>
      </c>
      <c r="AC3448">
        <v>101</v>
      </c>
      <c r="AD3448">
        <v>0</v>
      </c>
      <c r="AE3448">
        <v>0</v>
      </c>
      <c r="AF3448">
        <v>0</v>
      </c>
      <c r="AG3448">
        <v>0</v>
      </c>
      <c r="AH3448">
        <v>0</v>
      </c>
      <c r="AI3448">
        <v>0</v>
      </c>
      <c r="AJ3448">
        <v>0</v>
      </c>
      <c r="AK3448">
        <v>0</v>
      </c>
      <c r="AL3448">
        <v>0</v>
      </c>
      <c r="AM3448">
        <v>0</v>
      </c>
      <c r="AN3448">
        <v>0</v>
      </c>
      <c r="AO3448">
        <v>0</v>
      </c>
      <c r="AP3448">
        <v>0</v>
      </c>
      <c r="AQ3448">
        <v>0</v>
      </c>
      <c r="AR3448">
        <v>0</v>
      </c>
      <c r="AS3448">
        <v>0</v>
      </c>
      <c r="AT3448">
        <v>0</v>
      </c>
      <c r="AU3448">
        <f t="shared" si="106"/>
        <v>0</v>
      </c>
      <c r="AV3448">
        <f t="shared" si="107"/>
        <v>0</v>
      </c>
    </row>
    <row r="3449" spans="1:48" x14ac:dyDescent="0.25">
      <c r="A3449" t="s">
        <v>11044</v>
      </c>
      <c r="C3449" t="s">
        <v>10094</v>
      </c>
      <c r="D3449" t="s">
        <v>3414</v>
      </c>
      <c r="E3449" t="s">
        <v>2310</v>
      </c>
      <c r="F3449">
        <v>8</v>
      </c>
      <c r="G3449">
        <v>8.1</v>
      </c>
      <c r="H3449" t="s">
        <v>2323</v>
      </c>
      <c r="I3449" s="21">
        <v>41116.639120370397</v>
      </c>
      <c r="J3449">
        <v>2012</v>
      </c>
      <c r="K3449" s="21">
        <v>41116.639120370397</v>
      </c>
      <c r="L3449">
        <v>2012</v>
      </c>
      <c r="M3449" s="21">
        <v>41397.667175925897</v>
      </c>
      <c r="N3449">
        <v>2013</v>
      </c>
      <c r="Q3449" s="262">
        <v>95000</v>
      </c>
      <c r="R3449" s="262">
        <v>74000</v>
      </c>
      <c r="S3449" t="s">
        <v>114</v>
      </c>
      <c r="T3449" t="s">
        <v>114</v>
      </c>
      <c r="U3449">
        <v>5</v>
      </c>
      <c r="W3449">
        <v>1862</v>
      </c>
      <c r="X3449">
        <v>0</v>
      </c>
      <c r="Y3449">
        <v>0</v>
      </c>
      <c r="Z3449">
        <v>0</v>
      </c>
      <c r="AA3449">
        <v>0</v>
      </c>
      <c r="AB3449">
        <v>0</v>
      </c>
      <c r="AC3449">
        <v>1862</v>
      </c>
      <c r="AD3449">
        <v>0</v>
      </c>
      <c r="AE3449">
        <v>0</v>
      </c>
      <c r="AF3449">
        <v>0</v>
      </c>
      <c r="AG3449">
        <v>0</v>
      </c>
      <c r="AH3449">
        <v>0</v>
      </c>
      <c r="AI3449">
        <v>0</v>
      </c>
      <c r="AJ3449">
        <v>0</v>
      </c>
      <c r="AK3449">
        <v>0</v>
      </c>
      <c r="AL3449">
        <v>0</v>
      </c>
      <c r="AM3449">
        <v>0</v>
      </c>
      <c r="AN3449">
        <v>0</v>
      </c>
      <c r="AO3449">
        <v>0</v>
      </c>
      <c r="AP3449">
        <v>0</v>
      </c>
      <c r="AQ3449">
        <v>0</v>
      </c>
      <c r="AR3449">
        <v>0</v>
      </c>
      <c r="AS3449">
        <v>0</v>
      </c>
      <c r="AT3449">
        <v>0</v>
      </c>
      <c r="AU3449">
        <f t="shared" si="106"/>
        <v>0</v>
      </c>
      <c r="AV3449">
        <f t="shared" si="107"/>
        <v>0</v>
      </c>
    </row>
    <row r="3450" spans="1:48" x14ac:dyDescent="0.25">
      <c r="A3450" t="s">
        <v>11045</v>
      </c>
      <c r="C3450" t="s">
        <v>11046</v>
      </c>
      <c r="D3450" t="s">
        <v>11047</v>
      </c>
      <c r="E3450" t="s">
        <v>2310</v>
      </c>
      <c r="F3450">
        <v>10</v>
      </c>
      <c r="G3450">
        <v>10.199999999999999</v>
      </c>
      <c r="H3450" t="s">
        <v>2323</v>
      </c>
      <c r="I3450" s="21">
        <v>41121.539884259299</v>
      </c>
      <c r="J3450">
        <v>2012</v>
      </c>
      <c r="K3450" s="21">
        <v>41121.539884259299</v>
      </c>
      <c r="L3450">
        <v>2012</v>
      </c>
      <c r="M3450" s="21">
        <v>41395.683333333298</v>
      </c>
      <c r="N3450">
        <v>2013</v>
      </c>
      <c r="Q3450" s="262">
        <v>361000</v>
      </c>
      <c r="R3450" s="262">
        <v>231000</v>
      </c>
      <c r="S3450" t="s">
        <v>114</v>
      </c>
      <c r="T3450" t="s">
        <v>114</v>
      </c>
      <c r="U3450">
        <v>5</v>
      </c>
      <c r="W3450">
        <v>2557</v>
      </c>
      <c r="X3450">
        <v>1</v>
      </c>
      <c r="Y3450">
        <v>0</v>
      </c>
      <c r="Z3450">
        <v>0</v>
      </c>
      <c r="AA3450">
        <v>0</v>
      </c>
      <c r="AB3450">
        <v>0</v>
      </c>
      <c r="AC3450">
        <v>2557</v>
      </c>
      <c r="AD3450">
        <v>0</v>
      </c>
      <c r="AE3450">
        <v>0</v>
      </c>
      <c r="AF3450">
        <v>0</v>
      </c>
      <c r="AG3450">
        <v>0</v>
      </c>
      <c r="AH3450">
        <v>0</v>
      </c>
      <c r="AI3450">
        <v>0</v>
      </c>
      <c r="AJ3450">
        <v>0</v>
      </c>
      <c r="AK3450">
        <v>0</v>
      </c>
      <c r="AL3450">
        <v>0</v>
      </c>
      <c r="AM3450">
        <v>0</v>
      </c>
      <c r="AN3450">
        <v>0</v>
      </c>
      <c r="AO3450">
        <v>1</v>
      </c>
      <c r="AP3450">
        <v>0</v>
      </c>
      <c r="AQ3450">
        <v>0</v>
      </c>
      <c r="AR3450">
        <v>0</v>
      </c>
      <c r="AS3450">
        <v>0</v>
      </c>
      <c r="AT3450">
        <v>0</v>
      </c>
      <c r="AU3450">
        <f t="shared" si="106"/>
        <v>1</v>
      </c>
      <c r="AV3450">
        <f t="shared" si="107"/>
        <v>0</v>
      </c>
    </row>
    <row r="3451" spans="1:48" x14ac:dyDescent="0.25">
      <c r="A3451" t="s">
        <v>11048</v>
      </c>
      <c r="C3451" t="s">
        <v>11049</v>
      </c>
      <c r="D3451" t="s">
        <v>3106</v>
      </c>
      <c r="E3451" t="s">
        <v>2310</v>
      </c>
      <c r="F3451">
        <v>15</v>
      </c>
      <c r="G3451">
        <v>15.2</v>
      </c>
      <c r="H3451" t="s">
        <v>2323</v>
      </c>
      <c r="I3451" s="21">
        <v>41121.641550925902</v>
      </c>
      <c r="J3451">
        <v>2012</v>
      </c>
      <c r="P3451" s="21">
        <v>41487.674814814804</v>
      </c>
      <c r="Q3451" s="262">
        <v>1225000</v>
      </c>
      <c r="R3451" s="262">
        <v>758000</v>
      </c>
      <c r="S3451" t="s">
        <v>114</v>
      </c>
      <c r="T3451" t="s">
        <v>114</v>
      </c>
      <c r="U3451">
        <v>5</v>
      </c>
      <c r="W3451">
        <v>7475</v>
      </c>
      <c r="X3451">
        <v>1</v>
      </c>
      <c r="Y3451">
        <v>0</v>
      </c>
      <c r="Z3451">
        <v>0</v>
      </c>
      <c r="AA3451">
        <v>0</v>
      </c>
      <c r="AB3451">
        <v>0</v>
      </c>
      <c r="AC3451">
        <v>7475</v>
      </c>
      <c r="AD3451">
        <v>0</v>
      </c>
      <c r="AE3451">
        <v>0</v>
      </c>
      <c r="AF3451">
        <v>0</v>
      </c>
      <c r="AG3451">
        <v>0</v>
      </c>
      <c r="AH3451">
        <v>0</v>
      </c>
      <c r="AI3451">
        <v>0</v>
      </c>
      <c r="AJ3451">
        <v>0</v>
      </c>
      <c r="AK3451">
        <v>0</v>
      </c>
      <c r="AL3451">
        <v>0</v>
      </c>
      <c r="AM3451">
        <v>0</v>
      </c>
      <c r="AN3451">
        <v>0</v>
      </c>
      <c r="AO3451">
        <v>1</v>
      </c>
      <c r="AP3451">
        <v>0</v>
      </c>
      <c r="AQ3451">
        <v>0</v>
      </c>
      <c r="AR3451">
        <v>0</v>
      </c>
      <c r="AS3451">
        <v>0</v>
      </c>
      <c r="AT3451">
        <v>0</v>
      </c>
      <c r="AU3451">
        <f t="shared" si="106"/>
        <v>1</v>
      </c>
      <c r="AV3451">
        <f t="shared" si="107"/>
        <v>0</v>
      </c>
    </row>
    <row r="3452" spans="1:48" x14ac:dyDescent="0.25">
      <c r="A3452" t="s">
        <v>11050</v>
      </c>
      <c r="C3452" t="s">
        <v>11051</v>
      </c>
      <c r="D3452" t="s">
        <v>11052</v>
      </c>
      <c r="E3452" t="s">
        <v>2310</v>
      </c>
      <c r="F3452">
        <v>9</v>
      </c>
      <c r="G3452">
        <v>9.3000000000000007</v>
      </c>
      <c r="H3452" t="s">
        <v>2323</v>
      </c>
      <c r="I3452" s="21">
        <v>41121.682280092602</v>
      </c>
      <c r="J3452">
        <v>2012</v>
      </c>
      <c r="K3452" s="21">
        <v>41121.682280092602</v>
      </c>
      <c r="L3452">
        <v>2012</v>
      </c>
      <c r="M3452" s="21">
        <v>41605.434745370403</v>
      </c>
      <c r="N3452">
        <v>2013</v>
      </c>
      <c r="Q3452" s="262">
        <v>10000</v>
      </c>
      <c r="R3452" s="262">
        <v>67000</v>
      </c>
      <c r="S3452" t="s">
        <v>114</v>
      </c>
      <c r="T3452" t="s">
        <v>114</v>
      </c>
      <c r="U3452">
        <v>8</v>
      </c>
      <c r="V3452">
        <v>855</v>
      </c>
      <c r="W3452">
        <v>0</v>
      </c>
      <c r="X3452">
        <v>0</v>
      </c>
      <c r="Y3452">
        <v>0</v>
      </c>
      <c r="Z3452">
        <v>0</v>
      </c>
      <c r="AA3452">
        <v>0</v>
      </c>
      <c r="AB3452">
        <v>0</v>
      </c>
      <c r="AC3452">
        <v>0</v>
      </c>
      <c r="AD3452">
        <v>0</v>
      </c>
      <c r="AE3452">
        <v>0</v>
      </c>
      <c r="AF3452">
        <v>0</v>
      </c>
      <c r="AG3452">
        <v>0</v>
      </c>
      <c r="AH3452">
        <v>0</v>
      </c>
      <c r="AI3452">
        <v>0</v>
      </c>
      <c r="AJ3452">
        <v>0</v>
      </c>
      <c r="AK3452">
        <v>0</v>
      </c>
      <c r="AL3452">
        <v>0</v>
      </c>
      <c r="AM3452">
        <v>0</v>
      </c>
      <c r="AN3452">
        <v>0</v>
      </c>
      <c r="AO3452">
        <v>0</v>
      </c>
      <c r="AP3452">
        <v>0</v>
      </c>
      <c r="AQ3452">
        <v>0</v>
      </c>
      <c r="AR3452">
        <v>0</v>
      </c>
      <c r="AS3452">
        <v>0</v>
      </c>
      <c r="AT3452">
        <v>0</v>
      </c>
      <c r="AU3452">
        <f t="shared" si="106"/>
        <v>0</v>
      </c>
      <c r="AV3452">
        <f t="shared" si="107"/>
        <v>0</v>
      </c>
    </row>
    <row r="3453" spans="1:48" x14ac:dyDescent="0.25">
      <c r="A3453" t="s">
        <v>11053</v>
      </c>
      <c r="C3453" t="s">
        <v>11054</v>
      </c>
      <c r="D3453" t="s">
        <v>11055</v>
      </c>
      <c r="E3453" t="s">
        <v>2310</v>
      </c>
      <c r="F3453">
        <v>9</v>
      </c>
      <c r="G3453">
        <v>9.1999999999999993</v>
      </c>
      <c r="H3453" t="s">
        <v>2022</v>
      </c>
      <c r="I3453" s="21">
        <v>41122.550671296303</v>
      </c>
      <c r="J3453">
        <v>2012</v>
      </c>
      <c r="K3453" s="21">
        <v>41122.550671296303</v>
      </c>
      <c r="L3453">
        <v>2012</v>
      </c>
      <c r="M3453" s="21">
        <v>42131.527743055602</v>
      </c>
      <c r="N3453">
        <v>2015</v>
      </c>
      <c r="Q3453" s="262">
        <v>4500000</v>
      </c>
      <c r="R3453" s="262">
        <v>733000</v>
      </c>
      <c r="S3453" t="s">
        <v>114</v>
      </c>
      <c r="T3453" t="s">
        <v>114</v>
      </c>
      <c r="U3453">
        <v>5</v>
      </c>
      <c r="W3453">
        <v>8569</v>
      </c>
      <c r="X3453">
        <v>1</v>
      </c>
      <c r="Y3453">
        <v>0</v>
      </c>
      <c r="Z3453">
        <v>0</v>
      </c>
      <c r="AA3453">
        <v>0</v>
      </c>
      <c r="AB3453">
        <v>0</v>
      </c>
      <c r="AC3453">
        <v>8569</v>
      </c>
      <c r="AD3453">
        <v>0</v>
      </c>
      <c r="AE3453">
        <v>0</v>
      </c>
      <c r="AF3453">
        <v>0</v>
      </c>
      <c r="AG3453">
        <v>0</v>
      </c>
      <c r="AH3453">
        <v>0</v>
      </c>
      <c r="AI3453">
        <v>0</v>
      </c>
      <c r="AJ3453">
        <v>0</v>
      </c>
      <c r="AK3453">
        <v>0</v>
      </c>
      <c r="AL3453">
        <v>0</v>
      </c>
      <c r="AM3453">
        <v>0</v>
      </c>
      <c r="AN3453">
        <v>0</v>
      </c>
      <c r="AO3453">
        <v>1</v>
      </c>
      <c r="AP3453">
        <v>0</v>
      </c>
      <c r="AQ3453">
        <v>0</v>
      </c>
      <c r="AR3453">
        <v>0</v>
      </c>
      <c r="AS3453">
        <v>0</v>
      </c>
      <c r="AT3453">
        <v>0</v>
      </c>
      <c r="AU3453">
        <f t="shared" si="106"/>
        <v>1</v>
      </c>
      <c r="AV3453">
        <f t="shared" si="107"/>
        <v>0</v>
      </c>
    </row>
    <row r="3454" spans="1:48" x14ac:dyDescent="0.25">
      <c r="A3454" t="s">
        <v>11056</v>
      </c>
      <c r="C3454" t="s">
        <v>11057</v>
      </c>
      <c r="D3454" t="s">
        <v>11055</v>
      </c>
      <c r="E3454" t="s">
        <v>2310</v>
      </c>
      <c r="F3454">
        <v>9</v>
      </c>
      <c r="G3454">
        <v>9.1999999999999993</v>
      </c>
      <c r="H3454" t="s">
        <v>2022</v>
      </c>
      <c r="I3454" s="21">
        <v>41122.636145833298</v>
      </c>
      <c r="J3454">
        <v>2012</v>
      </c>
      <c r="O3454" s="21">
        <v>41472.400381944397</v>
      </c>
      <c r="Q3454" s="262">
        <v>1100000</v>
      </c>
      <c r="R3454" s="262">
        <v>167000</v>
      </c>
      <c r="S3454" t="s">
        <v>114</v>
      </c>
      <c r="T3454" t="s">
        <v>114</v>
      </c>
      <c r="U3454">
        <v>5</v>
      </c>
      <c r="W3454">
        <v>2015</v>
      </c>
      <c r="X3454">
        <v>1</v>
      </c>
      <c r="Y3454">
        <v>0</v>
      </c>
      <c r="Z3454">
        <v>0</v>
      </c>
      <c r="AA3454">
        <v>0</v>
      </c>
      <c r="AB3454">
        <v>0</v>
      </c>
      <c r="AC3454">
        <v>2015</v>
      </c>
      <c r="AD3454">
        <v>0</v>
      </c>
      <c r="AE3454">
        <v>0</v>
      </c>
      <c r="AF3454">
        <v>0</v>
      </c>
      <c r="AG3454">
        <v>0</v>
      </c>
      <c r="AH3454">
        <v>0</v>
      </c>
      <c r="AI3454">
        <v>0</v>
      </c>
      <c r="AJ3454">
        <v>0</v>
      </c>
      <c r="AK3454">
        <v>0</v>
      </c>
      <c r="AL3454">
        <v>0</v>
      </c>
      <c r="AM3454">
        <v>0</v>
      </c>
      <c r="AN3454">
        <v>0</v>
      </c>
      <c r="AO3454">
        <v>1</v>
      </c>
      <c r="AP3454">
        <v>0</v>
      </c>
      <c r="AQ3454">
        <v>0</v>
      </c>
      <c r="AR3454">
        <v>0</v>
      </c>
      <c r="AS3454">
        <v>0</v>
      </c>
      <c r="AT3454">
        <v>0</v>
      </c>
      <c r="AU3454">
        <f t="shared" si="106"/>
        <v>1</v>
      </c>
      <c r="AV3454">
        <f t="shared" si="107"/>
        <v>0</v>
      </c>
    </row>
    <row r="3455" spans="1:48" x14ac:dyDescent="0.25">
      <c r="A3455" t="s">
        <v>11058</v>
      </c>
      <c r="C3455" t="s">
        <v>10187</v>
      </c>
      <c r="D3455" t="s">
        <v>11059</v>
      </c>
      <c r="E3455" t="s">
        <v>2310</v>
      </c>
      <c r="F3455">
        <v>8</v>
      </c>
      <c r="G3455">
        <v>8.1</v>
      </c>
      <c r="H3455" t="s">
        <v>2323</v>
      </c>
      <c r="I3455" s="21">
        <v>41129.586041666698</v>
      </c>
      <c r="J3455">
        <v>2012</v>
      </c>
      <c r="K3455" s="21">
        <v>41129.586041666698</v>
      </c>
      <c r="L3455">
        <v>2012</v>
      </c>
      <c r="M3455" s="21">
        <v>41550.495208333297</v>
      </c>
      <c r="N3455">
        <v>2013</v>
      </c>
      <c r="Q3455" s="262">
        <v>275000</v>
      </c>
      <c r="R3455" s="262">
        <v>130000</v>
      </c>
      <c r="S3455" t="s">
        <v>114</v>
      </c>
      <c r="T3455" t="s">
        <v>114</v>
      </c>
      <c r="U3455">
        <v>17</v>
      </c>
      <c r="W3455">
        <v>1463</v>
      </c>
      <c r="X3455">
        <v>1</v>
      </c>
      <c r="Y3455">
        <v>0</v>
      </c>
      <c r="Z3455">
        <v>0</v>
      </c>
      <c r="AA3455">
        <v>0</v>
      </c>
      <c r="AB3455">
        <v>0</v>
      </c>
      <c r="AC3455">
        <v>465</v>
      </c>
      <c r="AD3455">
        <v>0</v>
      </c>
      <c r="AE3455">
        <v>0</v>
      </c>
      <c r="AF3455">
        <v>998</v>
      </c>
      <c r="AG3455">
        <v>0</v>
      </c>
      <c r="AH3455">
        <v>0</v>
      </c>
      <c r="AI3455">
        <v>0</v>
      </c>
      <c r="AJ3455">
        <v>0</v>
      </c>
      <c r="AK3455">
        <v>0</v>
      </c>
      <c r="AL3455">
        <v>0</v>
      </c>
      <c r="AM3455">
        <v>0</v>
      </c>
      <c r="AN3455">
        <v>0</v>
      </c>
      <c r="AO3455">
        <v>0</v>
      </c>
      <c r="AP3455">
        <v>0</v>
      </c>
      <c r="AQ3455">
        <v>0</v>
      </c>
      <c r="AR3455">
        <v>1</v>
      </c>
      <c r="AS3455">
        <v>0</v>
      </c>
      <c r="AT3455">
        <v>0</v>
      </c>
      <c r="AU3455">
        <f t="shared" si="106"/>
        <v>0</v>
      </c>
      <c r="AV3455">
        <f t="shared" si="107"/>
        <v>0</v>
      </c>
    </row>
    <row r="3456" spans="1:48" x14ac:dyDescent="0.25">
      <c r="A3456" t="s">
        <v>11060</v>
      </c>
      <c r="C3456" t="s">
        <v>11061</v>
      </c>
      <c r="D3456" t="s">
        <v>11062</v>
      </c>
      <c r="E3456" t="s">
        <v>2310</v>
      </c>
      <c r="F3456">
        <v>12</v>
      </c>
      <c r="G3456">
        <v>12.3</v>
      </c>
      <c r="H3456" t="s">
        <v>2017</v>
      </c>
      <c r="I3456" s="21">
        <v>41130.356168981503</v>
      </c>
      <c r="J3456">
        <v>2012</v>
      </c>
      <c r="K3456" s="21">
        <v>41130.356168981503</v>
      </c>
      <c r="L3456">
        <v>2012</v>
      </c>
      <c r="M3456" s="21">
        <v>41514.490949074097</v>
      </c>
      <c r="N3456">
        <v>2013</v>
      </c>
      <c r="Q3456" s="262">
        <v>600000</v>
      </c>
      <c r="R3456" s="262">
        <v>141000</v>
      </c>
      <c r="S3456" t="s">
        <v>114</v>
      </c>
      <c r="T3456" t="s">
        <v>114</v>
      </c>
      <c r="U3456">
        <v>5</v>
      </c>
      <c r="W3456">
        <v>1676</v>
      </c>
      <c r="X3456">
        <v>0</v>
      </c>
      <c r="Y3456">
        <v>0</v>
      </c>
      <c r="Z3456">
        <v>0</v>
      </c>
      <c r="AA3456">
        <v>0</v>
      </c>
      <c r="AB3456">
        <v>0</v>
      </c>
      <c r="AC3456">
        <v>1676</v>
      </c>
      <c r="AD3456">
        <v>0</v>
      </c>
      <c r="AE3456">
        <v>0</v>
      </c>
      <c r="AF3456">
        <v>0</v>
      </c>
      <c r="AG3456">
        <v>0</v>
      </c>
      <c r="AH3456">
        <v>0</v>
      </c>
      <c r="AI3456">
        <v>0</v>
      </c>
      <c r="AJ3456">
        <v>0</v>
      </c>
      <c r="AK3456">
        <v>0</v>
      </c>
      <c r="AL3456">
        <v>0</v>
      </c>
      <c r="AM3456">
        <v>0</v>
      </c>
      <c r="AN3456">
        <v>0</v>
      </c>
      <c r="AO3456">
        <v>0</v>
      </c>
      <c r="AP3456">
        <v>0</v>
      </c>
      <c r="AQ3456">
        <v>0</v>
      </c>
      <c r="AR3456">
        <v>0</v>
      </c>
      <c r="AS3456">
        <v>0</v>
      </c>
      <c r="AT3456">
        <v>0</v>
      </c>
      <c r="AU3456">
        <f t="shared" si="106"/>
        <v>0</v>
      </c>
      <c r="AV3456">
        <f t="shared" si="107"/>
        <v>0</v>
      </c>
    </row>
    <row r="3457" spans="1:48" x14ac:dyDescent="0.25">
      <c r="A3457" t="s">
        <v>11063</v>
      </c>
      <c r="C3457" t="s">
        <v>11064</v>
      </c>
      <c r="D3457" t="s">
        <v>11065</v>
      </c>
      <c r="E3457" t="s">
        <v>2310</v>
      </c>
      <c r="F3457">
        <v>11</v>
      </c>
      <c r="G3457">
        <v>11.3</v>
      </c>
      <c r="H3457" t="s">
        <v>2017</v>
      </c>
      <c r="I3457" s="21">
        <v>41130.416863425897</v>
      </c>
      <c r="J3457">
        <v>2012</v>
      </c>
      <c r="K3457" s="21">
        <v>41130.416863425897</v>
      </c>
      <c r="L3457">
        <v>2012</v>
      </c>
      <c r="M3457" s="21">
        <v>41470.4846875</v>
      </c>
      <c r="N3457">
        <v>2013</v>
      </c>
      <c r="Q3457" s="262">
        <v>315000</v>
      </c>
      <c r="R3457" s="262">
        <v>263000</v>
      </c>
      <c r="S3457" t="s">
        <v>114</v>
      </c>
      <c r="T3457" t="s">
        <v>114</v>
      </c>
      <c r="U3457">
        <v>5</v>
      </c>
      <c r="W3457">
        <v>2696</v>
      </c>
      <c r="X3457">
        <v>1</v>
      </c>
      <c r="Y3457">
        <v>0</v>
      </c>
      <c r="Z3457">
        <v>0</v>
      </c>
      <c r="AA3457">
        <v>0</v>
      </c>
      <c r="AB3457">
        <v>0</v>
      </c>
      <c r="AC3457">
        <v>2696</v>
      </c>
      <c r="AD3457">
        <v>0</v>
      </c>
      <c r="AE3457">
        <v>0</v>
      </c>
      <c r="AF3457">
        <v>0</v>
      </c>
      <c r="AG3457">
        <v>0</v>
      </c>
      <c r="AH3457">
        <v>0</v>
      </c>
      <c r="AI3457">
        <v>0</v>
      </c>
      <c r="AJ3457">
        <v>0</v>
      </c>
      <c r="AK3457">
        <v>0</v>
      </c>
      <c r="AL3457">
        <v>0</v>
      </c>
      <c r="AM3457">
        <v>0</v>
      </c>
      <c r="AN3457">
        <v>0</v>
      </c>
      <c r="AO3457">
        <v>1</v>
      </c>
      <c r="AP3457">
        <v>0</v>
      </c>
      <c r="AQ3457">
        <v>0</v>
      </c>
      <c r="AR3457">
        <v>0</v>
      </c>
      <c r="AS3457">
        <v>0</v>
      </c>
      <c r="AT3457">
        <v>0</v>
      </c>
      <c r="AU3457">
        <f t="shared" si="106"/>
        <v>1</v>
      </c>
      <c r="AV3457">
        <f t="shared" si="107"/>
        <v>0</v>
      </c>
    </row>
    <row r="3458" spans="1:48" x14ac:dyDescent="0.25">
      <c r="A3458" t="s">
        <v>11066</v>
      </c>
      <c r="C3458" t="s">
        <v>11067</v>
      </c>
      <c r="D3458" t="s">
        <v>2658</v>
      </c>
      <c r="E3458" t="s">
        <v>2310</v>
      </c>
      <c r="F3458">
        <v>9</v>
      </c>
      <c r="G3458">
        <v>9.1999999999999993</v>
      </c>
      <c r="H3458" t="s">
        <v>2022</v>
      </c>
      <c r="I3458" s="21">
        <v>41130.448587963001</v>
      </c>
      <c r="J3458">
        <v>2012</v>
      </c>
      <c r="K3458" s="21">
        <v>41130.448587963001</v>
      </c>
      <c r="L3458">
        <v>2012</v>
      </c>
      <c r="M3458" s="21">
        <v>43663.697602083303</v>
      </c>
      <c r="N3458">
        <v>2019</v>
      </c>
      <c r="Q3458" s="262">
        <v>700000</v>
      </c>
      <c r="R3458" s="262">
        <v>199000</v>
      </c>
      <c r="S3458" t="s">
        <v>114</v>
      </c>
      <c r="T3458" t="s">
        <v>114</v>
      </c>
      <c r="U3458">
        <v>5</v>
      </c>
      <c r="W3458">
        <v>1847</v>
      </c>
      <c r="X3458">
        <v>1</v>
      </c>
      <c r="Y3458">
        <v>0</v>
      </c>
      <c r="Z3458">
        <v>0</v>
      </c>
      <c r="AA3458">
        <v>0</v>
      </c>
      <c r="AB3458">
        <v>0</v>
      </c>
      <c r="AC3458">
        <v>1847</v>
      </c>
      <c r="AD3458">
        <v>0</v>
      </c>
      <c r="AE3458">
        <v>0</v>
      </c>
      <c r="AF3458">
        <v>0</v>
      </c>
      <c r="AG3458">
        <v>0</v>
      </c>
      <c r="AH3458">
        <v>0</v>
      </c>
      <c r="AI3458">
        <v>0</v>
      </c>
      <c r="AJ3458">
        <v>0</v>
      </c>
      <c r="AK3458">
        <v>0</v>
      </c>
      <c r="AL3458">
        <v>0</v>
      </c>
      <c r="AM3458">
        <v>0</v>
      </c>
      <c r="AN3458">
        <v>0</v>
      </c>
      <c r="AO3458">
        <v>1</v>
      </c>
      <c r="AP3458">
        <v>0</v>
      </c>
      <c r="AQ3458">
        <v>0</v>
      </c>
      <c r="AR3458">
        <v>0</v>
      </c>
      <c r="AS3458">
        <v>0</v>
      </c>
      <c r="AT3458">
        <v>0</v>
      </c>
      <c r="AU3458">
        <f t="shared" si="106"/>
        <v>1</v>
      </c>
      <c r="AV3458">
        <f t="shared" si="107"/>
        <v>0</v>
      </c>
    </row>
    <row r="3459" spans="1:48" x14ac:dyDescent="0.25">
      <c r="A3459" t="s">
        <v>11068</v>
      </c>
      <c r="C3459" t="s">
        <v>11069</v>
      </c>
      <c r="D3459" t="s">
        <v>6275</v>
      </c>
      <c r="E3459" t="s">
        <v>2310</v>
      </c>
      <c r="F3459">
        <v>13</v>
      </c>
      <c r="G3459">
        <v>13.3</v>
      </c>
      <c r="H3459" t="s">
        <v>2017</v>
      </c>
      <c r="I3459" s="21">
        <v>41130.640300925901</v>
      </c>
      <c r="J3459">
        <v>2012</v>
      </c>
      <c r="K3459" s="21">
        <v>41130.640300925901</v>
      </c>
      <c r="L3459">
        <v>2012</v>
      </c>
      <c r="M3459" s="21">
        <v>41485.698229166701</v>
      </c>
      <c r="N3459">
        <v>2013</v>
      </c>
      <c r="Q3459" s="262">
        <v>102000</v>
      </c>
      <c r="R3459" s="262">
        <v>102000</v>
      </c>
      <c r="S3459" t="s">
        <v>114</v>
      </c>
      <c r="T3459" t="s">
        <v>114</v>
      </c>
      <c r="U3459">
        <v>5</v>
      </c>
      <c r="W3459">
        <v>772</v>
      </c>
      <c r="X3459">
        <v>0</v>
      </c>
      <c r="Y3459">
        <v>0</v>
      </c>
      <c r="Z3459">
        <v>0</v>
      </c>
      <c r="AA3459">
        <v>0</v>
      </c>
      <c r="AB3459">
        <v>0</v>
      </c>
      <c r="AC3459">
        <v>772</v>
      </c>
      <c r="AD3459">
        <v>0</v>
      </c>
      <c r="AE3459">
        <v>0</v>
      </c>
      <c r="AF3459">
        <v>0</v>
      </c>
      <c r="AG3459">
        <v>0</v>
      </c>
      <c r="AH3459">
        <v>0</v>
      </c>
      <c r="AI3459">
        <v>0</v>
      </c>
      <c r="AJ3459">
        <v>0</v>
      </c>
      <c r="AK3459">
        <v>0</v>
      </c>
      <c r="AL3459">
        <v>0</v>
      </c>
      <c r="AM3459">
        <v>0</v>
      </c>
      <c r="AN3459">
        <v>0</v>
      </c>
      <c r="AO3459">
        <v>0</v>
      </c>
      <c r="AP3459">
        <v>0</v>
      </c>
      <c r="AQ3459">
        <v>0</v>
      </c>
      <c r="AR3459">
        <v>0</v>
      </c>
      <c r="AS3459">
        <v>0</v>
      </c>
      <c r="AT3459">
        <v>0</v>
      </c>
      <c r="AU3459">
        <f t="shared" si="106"/>
        <v>0</v>
      </c>
      <c r="AV3459">
        <f t="shared" si="107"/>
        <v>0</v>
      </c>
    </row>
    <row r="3460" spans="1:48" x14ac:dyDescent="0.25">
      <c r="A3460" t="s">
        <v>11070</v>
      </c>
      <c r="C3460" t="s">
        <v>11071</v>
      </c>
      <c r="D3460" t="s">
        <v>11072</v>
      </c>
      <c r="E3460" t="s">
        <v>2310</v>
      </c>
      <c r="F3460">
        <v>9</v>
      </c>
      <c r="G3460">
        <v>9.3000000000000007</v>
      </c>
      <c r="H3460" t="s">
        <v>2323</v>
      </c>
      <c r="I3460" s="21">
        <v>41131.679884259298</v>
      </c>
      <c r="J3460">
        <v>2012</v>
      </c>
      <c r="K3460" s="21">
        <v>41131.679884259298</v>
      </c>
      <c r="L3460">
        <v>2012</v>
      </c>
      <c r="M3460" s="21">
        <v>41592.419282407398</v>
      </c>
      <c r="N3460">
        <v>2013</v>
      </c>
      <c r="Q3460" s="262">
        <v>1500000</v>
      </c>
      <c r="R3460" s="262">
        <v>467000</v>
      </c>
      <c r="S3460" t="s">
        <v>114</v>
      </c>
      <c r="T3460" t="s">
        <v>114</v>
      </c>
      <c r="U3460">
        <v>5</v>
      </c>
      <c r="W3460">
        <v>4863</v>
      </c>
      <c r="X3460">
        <v>1</v>
      </c>
      <c r="Y3460">
        <v>0</v>
      </c>
      <c r="Z3460">
        <v>0</v>
      </c>
      <c r="AA3460">
        <v>0</v>
      </c>
      <c r="AB3460">
        <v>0</v>
      </c>
      <c r="AC3460">
        <v>4863</v>
      </c>
      <c r="AD3460">
        <v>0</v>
      </c>
      <c r="AE3460">
        <v>0</v>
      </c>
      <c r="AF3460">
        <v>0</v>
      </c>
      <c r="AG3460">
        <v>0</v>
      </c>
      <c r="AH3460">
        <v>0</v>
      </c>
      <c r="AI3460">
        <v>0</v>
      </c>
      <c r="AJ3460">
        <v>0</v>
      </c>
      <c r="AK3460">
        <v>0</v>
      </c>
      <c r="AL3460">
        <v>0</v>
      </c>
      <c r="AM3460">
        <v>0</v>
      </c>
      <c r="AN3460">
        <v>0</v>
      </c>
      <c r="AO3460">
        <v>1</v>
      </c>
      <c r="AP3460">
        <v>0</v>
      </c>
      <c r="AQ3460">
        <v>0</v>
      </c>
      <c r="AR3460">
        <v>0</v>
      </c>
      <c r="AS3460">
        <v>0</v>
      </c>
      <c r="AT3460">
        <v>0</v>
      </c>
      <c r="AU3460">
        <f t="shared" si="106"/>
        <v>1</v>
      </c>
      <c r="AV3460">
        <f t="shared" si="107"/>
        <v>0</v>
      </c>
    </row>
    <row r="3461" spans="1:48" x14ac:dyDescent="0.25">
      <c r="A3461" t="s">
        <v>11073</v>
      </c>
      <c r="C3461" t="s">
        <v>11074</v>
      </c>
      <c r="D3461" t="s">
        <v>11075</v>
      </c>
      <c r="E3461" t="s">
        <v>1663</v>
      </c>
      <c r="F3461">
        <v>5</v>
      </c>
      <c r="G3461">
        <v>5.5</v>
      </c>
      <c r="H3461" t="s">
        <v>2017</v>
      </c>
      <c r="I3461" s="21">
        <v>41135</v>
      </c>
      <c r="J3461">
        <v>2012</v>
      </c>
      <c r="K3461" s="21">
        <v>41166</v>
      </c>
      <c r="L3461">
        <v>2012</v>
      </c>
      <c r="M3461" s="21">
        <v>41319</v>
      </c>
      <c r="N3461">
        <v>2013</v>
      </c>
      <c r="Q3461" s="262">
        <v>160000</v>
      </c>
      <c r="S3461" t="s">
        <v>114</v>
      </c>
      <c r="T3461" t="s">
        <v>114</v>
      </c>
      <c r="W3461">
        <v>500</v>
      </c>
      <c r="X3461">
        <v>0</v>
      </c>
      <c r="Y3461">
        <v>0</v>
      </c>
      <c r="Z3461">
        <v>0</v>
      </c>
      <c r="AA3461">
        <v>0</v>
      </c>
      <c r="AB3461">
        <v>0</v>
      </c>
      <c r="AC3461">
        <v>500</v>
      </c>
      <c r="AD3461">
        <v>0</v>
      </c>
      <c r="AE3461">
        <v>0</v>
      </c>
      <c r="AF3461">
        <v>0</v>
      </c>
      <c r="AG3461">
        <v>0</v>
      </c>
      <c r="AH3461">
        <v>0</v>
      </c>
      <c r="AI3461">
        <v>0</v>
      </c>
      <c r="AJ3461">
        <v>0</v>
      </c>
      <c r="AK3461">
        <v>0</v>
      </c>
      <c r="AL3461">
        <v>0</v>
      </c>
      <c r="AM3461">
        <v>0</v>
      </c>
      <c r="AN3461">
        <v>0</v>
      </c>
      <c r="AO3461">
        <v>0</v>
      </c>
      <c r="AP3461">
        <v>0</v>
      </c>
      <c r="AQ3461">
        <v>0</v>
      </c>
      <c r="AR3461">
        <v>0</v>
      </c>
      <c r="AS3461">
        <v>0</v>
      </c>
      <c r="AT3461">
        <v>0</v>
      </c>
      <c r="AU3461">
        <f t="shared" si="106"/>
        <v>0</v>
      </c>
      <c r="AV3461">
        <f t="shared" si="107"/>
        <v>0</v>
      </c>
    </row>
    <row r="3462" spans="1:48" x14ac:dyDescent="0.25">
      <c r="A3462" t="s">
        <v>11076</v>
      </c>
      <c r="C3462" t="s">
        <v>11077</v>
      </c>
      <c r="D3462" t="s">
        <v>11078</v>
      </c>
      <c r="E3462" t="s">
        <v>2310</v>
      </c>
      <c r="F3462">
        <v>10</v>
      </c>
      <c r="G3462">
        <v>10.1</v>
      </c>
      <c r="H3462" t="s">
        <v>2323</v>
      </c>
      <c r="I3462" s="21">
        <v>41135.588136574101</v>
      </c>
      <c r="J3462">
        <v>2012</v>
      </c>
      <c r="K3462" s="21">
        <v>41135.588136574101</v>
      </c>
      <c r="L3462">
        <v>2012</v>
      </c>
      <c r="M3462" s="21">
        <v>41359.468356481499</v>
      </c>
      <c r="N3462">
        <v>2013</v>
      </c>
      <c r="Q3462" s="262">
        <v>50000</v>
      </c>
      <c r="R3462" s="262">
        <v>53000</v>
      </c>
      <c r="S3462" t="s">
        <v>114</v>
      </c>
      <c r="T3462" t="s">
        <v>114</v>
      </c>
      <c r="U3462">
        <v>5</v>
      </c>
      <c r="W3462">
        <v>448</v>
      </c>
      <c r="X3462">
        <v>0</v>
      </c>
      <c r="Y3462">
        <v>0</v>
      </c>
      <c r="Z3462">
        <v>0</v>
      </c>
      <c r="AA3462">
        <v>0</v>
      </c>
      <c r="AB3462">
        <v>0</v>
      </c>
      <c r="AC3462">
        <v>448</v>
      </c>
      <c r="AD3462">
        <v>0</v>
      </c>
      <c r="AE3462">
        <v>0</v>
      </c>
      <c r="AF3462">
        <v>0</v>
      </c>
      <c r="AG3462">
        <v>0</v>
      </c>
      <c r="AH3462">
        <v>0</v>
      </c>
      <c r="AI3462">
        <v>0</v>
      </c>
      <c r="AJ3462">
        <v>0</v>
      </c>
      <c r="AK3462">
        <v>0</v>
      </c>
      <c r="AL3462">
        <v>0</v>
      </c>
      <c r="AM3462">
        <v>0</v>
      </c>
      <c r="AN3462">
        <v>0</v>
      </c>
      <c r="AO3462">
        <v>0</v>
      </c>
      <c r="AP3462">
        <v>0</v>
      </c>
      <c r="AQ3462">
        <v>0</v>
      </c>
      <c r="AR3462">
        <v>0</v>
      </c>
      <c r="AS3462">
        <v>0</v>
      </c>
      <c r="AT3462">
        <v>0</v>
      </c>
      <c r="AU3462">
        <f t="shared" si="106"/>
        <v>0</v>
      </c>
      <c r="AV3462">
        <f t="shared" si="107"/>
        <v>0</v>
      </c>
    </row>
    <row r="3463" spans="1:48" x14ac:dyDescent="0.25">
      <c r="A3463" t="s">
        <v>11079</v>
      </c>
      <c r="C3463" t="s">
        <v>11080</v>
      </c>
      <c r="D3463" t="s">
        <v>6980</v>
      </c>
      <c r="E3463" t="s">
        <v>2310</v>
      </c>
      <c r="F3463">
        <v>15</v>
      </c>
      <c r="G3463">
        <v>15.2</v>
      </c>
      <c r="H3463" t="s">
        <v>2323</v>
      </c>
      <c r="I3463" s="21">
        <v>41136.595509259299</v>
      </c>
      <c r="J3463">
        <v>2012</v>
      </c>
      <c r="K3463" s="21">
        <v>41136.595509259299</v>
      </c>
      <c r="L3463">
        <v>2012</v>
      </c>
      <c r="M3463" s="21">
        <v>41605.358379629601</v>
      </c>
      <c r="N3463">
        <v>2013</v>
      </c>
      <c r="Q3463" s="262">
        <v>1000000</v>
      </c>
      <c r="R3463" s="262">
        <v>557000</v>
      </c>
      <c r="S3463" t="s">
        <v>114</v>
      </c>
      <c r="T3463" t="s">
        <v>114</v>
      </c>
      <c r="U3463">
        <v>5</v>
      </c>
      <c r="W3463">
        <v>5210</v>
      </c>
      <c r="X3463">
        <v>1</v>
      </c>
      <c r="Y3463">
        <v>0</v>
      </c>
      <c r="Z3463">
        <v>0</v>
      </c>
      <c r="AA3463">
        <v>0</v>
      </c>
      <c r="AB3463">
        <v>0</v>
      </c>
      <c r="AC3463">
        <v>5210</v>
      </c>
      <c r="AD3463">
        <v>0</v>
      </c>
      <c r="AE3463">
        <v>0</v>
      </c>
      <c r="AF3463">
        <v>0</v>
      </c>
      <c r="AG3463">
        <v>0</v>
      </c>
      <c r="AH3463">
        <v>0</v>
      </c>
      <c r="AI3463">
        <v>0</v>
      </c>
      <c r="AJ3463">
        <v>0</v>
      </c>
      <c r="AK3463">
        <v>0</v>
      </c>
      <c r="AL3463">
        <v>0</v>
      </c>
      <c r="AM3463">
        <v>0</v>
      </c>
      <c r="AN3463">
        <v>0</v>
      </c>
      <c r="AO3463">
        <v>1</v>
      </c>
      <c r="AP3463">
        <v>0</v>
      </c>
      <c r="AQ3463">
        <v>0</v>
      </c>
      <c r="AR3463">
        <v>0</v>
      </c>
      <c r="AS3463">
        <v>0</v>
      </c>
      <c r="AT3463">
        <v>0</v>
      </c>
      <c r="AU3463">
        <f t="shared" si="106"/>
        <v>1</v>
      </c>
      <c r="AV3463">
        <f t="shared" si="107"/>
        <v>0</v>
      </c>
    </row>
    <row r="3464" spans="1:48" x14ac:dyDescent="0.25">
      <c r="A3464" t="s">
        <v>11081</v>
      </c>
      <c r="C3464" t="s">
        <v>11082</v>
      </c>
      <c r="D3464" t="s">
        <v>6980</v>
      </c>
      <c r="E3464" t="s">
        <v>2310</v>
      </c>
      <c r="F3464">
        <v>15</v>
      </c>
      <c r="G3464">
        <v>15.2</v>
      </c>
      <c r="H3464" t="s">
        <v>2323</v>
      </c>
      <c r="I3464" s="21">
        <v>41136.630590277797</v>
      </c>
      <c r="J3464">
        <v>2012</v>
      </c>
      <c r="K3464" s="21">
        <v>41136.630590277797</v>
      </c>
      <c r="L3464">
        <v>2012</v>
      </c>
      <c r="M3464" s="21">
        <v>41605.360960648097</v>
      </c>
      <c r="N3464">
        <v>2013</v>
      </c>
      <c r="Q3464" s="262">
        <v>400000</v>
      </c>
      <c r="R3464" s="262">
        <v>72000</v>
      </c>
      <c r="S3464" t="s">
        <v>114</v>
      </c>
      <c r="T3464" t="s">
        <v>114</v>
      </c>
      <c r="U3464">
        <v>8</v>
      </c>
      <c r="W3464">
        <v>650</v>
      </c>
      <c r="X3464">
        <v>1</v>
      </c>
      <c r="Y3464">
        <v>0</v>
      </c>
      <c r="Z3464">
        <v>0</v>
      </c>
      <c r="AA3464">
        <v>0</v>
      </c>
      <c r="AB3464">
        <v>0</v>
      </c>
      <c r="AC3464">
        <v>0</v>
      </c>
      <c r="AD3464">
        <v>0</v>
      </c>
      <c r="AE3464">
        <v>0</v>
      </c>
      <c r="AF3464">
        <v>650</v>
      </c>
      <c r="AG3464">
        <v>0</v>
      </c>
      <c r="AH3464">
        <v>0</v>
      </c>
      <c r="AI3464">
        <v>0</v>
      </c>
      <c r="AJ3464">
        <v>0</v>
      </c>
      <c r="AK3464">
        <v>0</v>
      </c>
      <c r="AL3464">
        <v>0</v>
      </c>
      <c r="AM3464">
        <v>0</v>
      </c>
      <c r="AN3464">
        <v>0</v>
      </c>
      <c r="AO3464">
        <v>0</v>
      </c>
      <c r="AP3464">
        <v>0</v>
      </c>
      <c r="AQ3464">
        <v>0</v>
      </c>
      <c r="AR3464">
        <v>1</v>
      </c>
      <c r="AS3464">
        <v>0</v>
      </c>
      <c r="AT3464">
        <v>0</v>
      </c>
      <c r="AU3464">
        <f t="shared" si="106"/>
        <v>0</v>
      </c>
      <c r="AV3464">
        <f t="shared" si="107"/>
        <v>0</v>
      </c>
    </row>
    <row r="3465" spans="1:48" x14ac:dyDescent="0.25">
      <c r="A3465" t="s">
        <v>11083</v>
      </c>
      <c r="C3465" t="s">
        <v>11084</v>
      </c>
      <c r="D3465" t="s">
        <v>11085</v>
      </c>
      <c r="E3465" t="s">
        <v>1663</v>
      </c>
      <c r="F3465">
        <v>6</v>
      </c>
      <c r="G3465">
        <v>6.1</v>
      </c>
      <c r="H3465" t="s">
        <v>2017</v>
      </c>
      <c r="I3465" s="21">
        <v>41137</v>
      </c>
      <c r="J3465">
        <v>2012</v>
      </c>
      <c r="K3465" s="21">
        <v>41168</v>
      </c>
      <c r="L3465">
        <v>2012</v>
      </c>
      <c r="M3465" s="21">
        <v>41321</v>
      </c>
      <c r="N3465">
        <v>2013</v>
      </c>
      <c r="Q3465" s="262">
        <v>1500000</v>
      </c>
      <c r="S3465" t="s">
        <v>114</v>
      </c>
      <c r="T3465" t="s">
        <v>114</v>
      </c>
      <c r="W3465">
        <v>4987</v>
      </c>
      <c r="X3465">
        <v>1</v>
      </c>
      <c r="Y3465">
        <v>0</v>
      </c>
      <c r="Z3465">
        <v>0</v>
      </c>
      <c r="AA3465">
        <v>0</v>
      </c>
      <c r="AB3465">
        <v>0</v>
      </c>
      <c r="AC3465">
        <v>4987</v>
      </c>
      <c r="AD3465">
        <v>0</v>
      </c>
      <c r="AE3465">
        <v>0</v>
      </c>
      <c r="AF3465">
        <v>0</v>
      </c>
      <c r="AG3465">
        <v>0</v>
      </c>
      <c r="AH3465">
        <v>0</v>
      </c>
      <c r="AI3465">
        <v>0</v>
      </c>
      <c r="AJ3465">
        <v>0</v>
      </c>
      <c r="AK3465">
        <v>0</v>
      </c>
      <c r="AL3465">
        <v>0</v>
      </c>
      <c r="AM3465">
        <v>0</v>
      </c>
      <c r="AN3465">
        <v>0</v>
      </c>
      <c r="AO3465">
        <v>1</v>
      </c>
      <c r="AP3465">
        <v>0</v>
      </c>
      <c r="AQ3465">
        <v>0</v>
      </c>
      <c r="AR3465">
        <v>0</v>
      </c>
      <c r="AS3465">
        <v>0</v>
      </c>
      <c r="AT3465">
        <v>0</v>
      </c>
      <c r="AU3465">
        <f t="shared" si="106"/>
        <v>1</v>
      </c>
      <c r="AV3465">
        <f t="shared" si="107"/>
        <v>0</v>
      </c>
    </row>
    <row r="3466" spans="1:48" x14ac:dyDescent="0.25">
      <c r="A3466" t="s">
        <v>11086</v>
      </c>
      <c r="C3466" t="s">
        <v>11087</v>
      </c>
      <c r="D3466" t="s">
        <v>11088</v>
      </c>
      <c r="E3466" t="s">
        <v>2310</v>
      </c>
      <c r="F3466">
        <v>13</v>
      </c>
      <c r="G3466">
        <v>13.3</v>
      </c>
      <c r="H3466" t="s">
        <v>2017</v>
      </c>
      <c r="I3466" s="21">
        <v>41138.5480439815</v>
      </c>
      <c r="J3466">
        <v>2012</v>
      </c>
      <c r="K3466" s="21">
        <v>41138.5480439815</v>
      </c>
      <c r="L3466">
        <v>2012</v>
      </c>
      <c r="M3466" s="21">
        <v>42041.560671296298</v>
      </c>
      <c r="N3466">
        <v>2015</v>
      </c>
      <c r="Q3466" s="262">
        <v>2100000</v>
      </c>
      <c r="R3466" s="262">
        <v>707000</v>
      </c>
      <c r="S3466" t="s">
        <v>114</v>
      </c>
      <c r="T3466" t="s">
        <v>114</v>
      </c>
      <c r="U3466">
        <v>5</v>
      </c>
      <c r="W3466">
        <v>7136</v>
      </c>
      <c r="X3466">
        <v>1</v>
      </c>
      <c r="Y3466">
        <v>0</v>
      </c>
      <c r="Z3466">
        <v>0</v>
      </c>
      <c r="AA3466">
        <v>0</v>
      </c>
      <c r="AB3466">
        <v>0</v>
      </c>
      <c r="AC3466">
        <v>7136</v>
      </c>
      <c r="AD3466">
        <v>0</v>
      </c>
      <c r="AE3466">
        <v>0</v>
      </c>
      <c r="AF3466">
        <v>0</v>
      </c>
      <c r="AG3466">
        <v>0</v>
      </c>
      <c r="AH3466">
        <v>0</v>
      </c>
      <c r="AI3466">
        <v>0</v>
      </c>
      <c r="AJ3466">
        <v>0</v>
      </c>
      <c r="AK3466">
        <v>0</v>
      </c>
      <c r="AL3466">
        <v>0</v>
      </c>
      <c r="AM3466">
        <v>0</v>
      </c>
      <c r="AN3466">
        <v>0</v>
      </c>
      <c r="AO3466">
        <v>1</v>
      </c>
      <c r="AP3466">
        <v>0</v>
      </c>
      <c r="AQ3466">
        <v>0</v>
      </c>
      <c r="AR3466">
        <v>0</v>
      </c>
      <c r="AS3466">
        <v>0</v>
      </c>
      <c r="AT3466">
        <v>0</v>
      </c>
      <c r="AU3466">
        <f t="shared" si="106"/>
        <v>1</v>
      </c>
      <c r="AV3466">
        <f t="shared" si="107"/>
        <v>0</v>
      </c>
    </row>
    <row r="3467" spans="1:48" x14ac:dyDescent="0.25">
      <c r="A3467" t="s">
        <v>11089</v>
      </c>
      <c r="C3467" t="s">
        <v>11090</v>
      </c>
      <c r="D3467" t="s">
        <v>6069</v>
      </c>
      <c r="E3467" t="s">
        <v>2310</v>
      </c>
      <c r="F3467">
        <v>9</v>
      </c>
      <c r="G3467">
        <v>9.3000000000000007</v>
      </c>
      <c r="H3467" t="s">
        <v>2323</v>
      </c>
      <c r="I3467" s="21">
        <v>41143.358738425901</v>
      </c>
      <c r="J3467">
        <v>2012</v>
      </c>
      <c r="K3467" s="21">
        <v>41143.358738425901</v>
      </c>
      <c r="L3467">
        <v>2012</v>
      </c>
      <c r="M3467" s="21">
        <v>41583.441979166702</v>
      </c>
      <c r="N3467">
        <v>2013</v>
      </c>
      <c r="Q3467" s="262">
        <v>82000</v>
      </c>
      <c r="R3467" s="262">
        <v>82000</v>
      </c>
      <c r="S3467" t="s">
        <v>114</v>
      </c>
      <c r="T3467" t="s">
        <v>114</v>
      </c>
      <c r="U3467">
        <v>8</v>
      </c>
      <c r="W3467">
        <v>783</v>
      </c>
      <c r="X3467">
        <v>1</v>
      </c>
      <c r="Y3467">
        <v>0</v>
      </c>
      <c r="Z3467">
        <v>0</v>
      </c>
      <c r="AA3467">
        <v>0</v>
      </c>
      <c r="AB3467">
        <v>0</v>
      </c>
      <c r="AC3467">
        <v>0</v>
      </c>
      <c r="AD3467">
        <v>0</v>
      </c>
      <c r="AE3467">
        <v>0</v>
      </c>
      <c r="AF3467">
        <v>783</v>
      </c>
      <c r="AG3467">
        <v>0</v>
      </c>
      <c r="AH3467">
        <v>0</v>
      </c>
      <c r="AI3467">
        <v>0</v>
      </c>
      <c r="AJ3467">
        <v>0</v>
      </c>
      <c r="AK3467">
        <v>0</v>
      </c>
      <c r="AL3467">
        <v>0</v>
      </c>
      <c r="AM3467">
        <v>0</v>
      </c>
      <c r="AN3467">
        <v>0</v>
      </c>
      <c r="AO3467">
        <v>0</v>
      </c>
      <c r="AP3467">
        <v>0</v>
      </c>
      <c r="AQ3467">
        <v>0</v>
      </c>
      <c r="AR3467">
        <v>1</v>
      </c>
      <c r="AS3467">
        <v>0</v>
      </c>
      <c r="AT3467">
        <v>0</v>
      </c>
      <c r="AU3467">
        <f t="shared" si="106"/>
        <v>0</v>
      </c>
      <c r="AV3467">
        <f t="shared" si="107"/>
        <v>0</v>
      </c>
    </row>
    <row r="3468" spans="1:48" x14ac:dyDescent="0.25">
      <c r="A3468" t="s">
        <v>11091</v>
      </c>
      <c r="C3468" t="s">
        <v>11092</v>
      </c>
      <c r="D3468" t="s">
        <v>11093</v>
      </c>
      <c r="E3468" t="s">
        <v>2310</v>
      </c>
      <c r="F3468">
        <v>10</v>
      </c>
      <c r="G3468">
        <v>10.1</v>
      </c>
      <c r="H3468" t="s">
        <v>2323</v>
      </c>
      <c r="I3468" s="21">
        <v>41144.364085648202</v>
      </c>
      <c r="J3468">
        <v>2012</v>
      </c>
      <c r="K3468" s="21">
        <v>41144.364085648202</v>
      </c>
      <c r="L3468">
        <v>2012</v>
      </c>
      <c r="M3468" s="21">
        <v>41395.674432870401</v>
      </c>
      <c r="N3468">
        <v>2013</v>
      </c>
      <c r="Q3468" s="262">
        <v>361000</v>
      </c>
      <c r="R3468" s="262">
        <v>207000</v>
      </c>
      <c r="S3468" t="s">
        <v>114</v>
      </c>
      <c r="T3468" t="s">
        <v>114</v>
      </c>
      <c r="U3468">
        <v>5</v>
      </c>
      <c r="W3468">
        <v>2255</v>
      </c>
      <c r="X3468">
        <v>1</v>
      </c>
      <c r="Y3468">
        <v>0</v>
      </c>
      <c r="Z3468">
        <v>0</v>
      </c>
      <c r="AA3468">
        <v>0</v>
      </c>
      <c r="AB3468">
        <v>0</v>
      </c>
      <c r="AC3468">
        <v>2255</v>
      </c>
      <c r="AD3468">
        <v>0</v>
      </c>
      <c r="AE3468">
        <v>0</v>
      </c>
      <c r="AF3468">
        <v>0</v>
      </c>
      <c r="AG3468">
        <v>0</v>
      </c>
      <c r="AH3468">
        <v>0</v>
      </c>
      <c r="AI3468">
        <v>0</v>
      </c>
      <c r="AJ3468">
        <v>0</v>
      </c>
      <c r="AK3468">
        <v>0</v>
      </c>
      <c r="AL3468">
        <v>0</v>
      </c>
      <c r="AM3468">
        <v>0</v>
      </c>
      <c r="AN3468">
        <v>0</v>
      </c>
      <c r="AO3468">
        <v>1</v>
      </c>
      <c r="AP3468">
        <v>0</v>
      </c>
      <c r="AQ3468">
        <v>0</v>
      </c>
      <c r="AR3468">
        <v>0</v>
      </c>
      <c r="AS3468">
        <v>0</v>
      </c>
      <c r="AT3468">
        <v>0</v>
      </c>
      <c r="AU3468">
        <f t="shared" si="106"/>
        <v>1</v>
      </c>
      <c r="AV3468">
        <f t="shared" si="107"/>
        <v>0</v>
      </c>
    </row>
    <row r="3469" spans="1:48" x14ac:dyDescent="0.25">
      <c r="A3469" t="s">
        <v>11094</v>
      </c>
      <c r="C3469" t="s">
        <v>11095</v>
      </c>
      <c r="D3469" t="s">
        <v>11096</v>
      </c>
      <c r="E3469" t="s">
        <v>2310</v>
      </c>
      <c r="F3469">
        <v>8</v>
      </c>
      <c r="G3469">
        <v>8.1</v>
      </c>
      <c r="H3469" t="s">
        <v>2323</v>
      </c>
      <c r="I3469" s="21">
        <v>41145.436215277798</v>
      </c>
      <c r="J3469">
        <v>2012</v>
      </c>
      <c r="K3469" s="21">
        <v>41145.436215277798</v>
      </c>
      <c r="L3469">
        <v>2012</v>
      </c>
      <c r="M3469" s="21">
        <v>42164.371574074103</v>
      </c>
      <c r="N3469">
        <v>2015</v>
      </c>
      <c r="Q3469" s="262">
        <v>2000000</v>
      </c>
      <c r="R3469" s="262">
        <v>917000</v>
      </c>
      <c r="S3469" t="s">
        <v>114</v>
      </c>
      <c r="T3469" t="s">
        <v>114</v>
      </c>
      <c r="U3469">
        <v>5</v>
      </c>
      <c r="W3469">
        <v>8218</v>
      </c>
      <c r="X3469">
        <v>1</v>
      </c>
      <c r="Y3469">
        <v>0</v>
      </c>
      <c r="Z3469">
        <v>0</v>
      </c>
      <c r="AA3469">
        <v>0</v>
      </c>
      <c r="AB3469">
        <v>0</v>
      </c>
      <c r="AC3469">
        <v>8218</v>
      </c>
      <c r="AD3469">
        <v>0</v>
      </c>
      <c r="AE3469">
        <v>0</v>
      </c>
      <c r="AF3469">
        <v>0</v>
      </c>
      <c r="AG3469">
        <v>0</v>
      </c>
      <c r="AH3469">
        <v>0</v>
      </c>
      <c r="AI3469">
        <v>0</v>
      </c>
      <c r="AJ3469">
        <v>0</v>
      </c>
      <c r="AK3469">
        <v>0</v>
      </c>
      <c r="AL3469">
        <v>0</v>
      </c>
      <c r="AM3469">
        <v>0</v>
      </c>
      <c r="AN3469">
        <v>0</v>
      </c>
      <c r="AO3469">
        <v>1</v>
      </c>
      <c r="AP3469">
        <v>0</v>
      </c>
      <c r="AQ3469">
        <v>0</v>
      </c>
      <c r="AR3469">
        <v>0</v>
      </c>
      <c r="AS3469">
        <v>0</v>
      </c>
      <c r="AT3469">
        <v>0</v>
      </c>
      <c r="AU3469">
        <f t="shared" si="106"/>
        <v>1</v>
      </c>
      <c r="AV3469">
        <f t="shared" si="107"/>
        <v>0</v>
      </c>
    </row>
    <row r="3470" spans="1:48" x14ac:dyDescent="0.25">
      <c r="A3470" t="s">
        <v>11097</v>
      </c>
      <c r="C3470" t="s">
        <v>11098</v>
      </c>
      <c r="D3470" t="s">
        <v>11099</v>
      </c>
      <c r="E3470" t="s">
        <v>2310</v>
      </c>
      <c r="F3470">
        <v>9</v>
      </c>
      <c r="G3470">
        <v>9.1</v>
      </c>
      <c r="H3470" t="s">
        <v>2323</v>
      </c>
      <c r="I3470" s="21">
        <v>41145.572847222204</v>
      </c>
      <c r="J3470">
        <v>2012</v>
      </c>
      <c r="K3470" s="21">
        <v>41145.572847222204</v>
      </c>
      <c r="L3470">
        <v>2012</v>
      </c>
      <c r="M3470" s="21">
        <v>42207.619664351798</v>
      </c>
      <c r="N3470">
        <v>2015</v>
      </c>
      <c r="Q3470" s="262">
        <v>3000000</v>
      </c>
      <c r="R3470" s="262">
        <v>916000</v>
      </c>
      <c r="S3470" t="s">
        <v>114</v>
      </c>
      <c r="T3470" t="s">
        <v>114</v>
      </c>
      <c r="U3470">
        <v>5</v>
      </c>
      <c r="W3470">
        <v>9916</v>
      </c>
      <c r="X3470">
        <v>1</v>
      </c>
      <c r="Y3470">
        <v>0</v>
      </c>
      <c r="Z3470">
        <v>0</v>
      </c>
      <c r="AA3470">
        <v>0</v>
      </c>
      <c r="AB3470">
        <v>0</v>
      </c>
      <c r="AC3470">
        <v>9916</v>
      </c>
      <c r="AD3470">
        <v>0</v>
      </c>
      <c r="AE3470">
        <v>0</v>
      </c>
      <c r="AF3470">
        <v>0</v>
      </c>
      <c r="AG3470">
        <v>0</v>
      </c>
      <c r="AH3470">
        <v>0</v>
      </c>
      <c r="AI3470">
        <v>0</v>
      </c>
      <c r="AJ3470">
        <v>0</v>
      </c>
      <c r="AK3470">
        <v>0</v>
      </c>
      <c r="AL3470">
        <v>0</v>
      </c>
      <c r="AM3470">
        <v>0</v>
      </c>
      <c r="AN3470">
        <v>0</v>
      </c>
      <c r="AO3470">
        <v>1</v>
      </c>
      <c r="AP3470">
        <v>0</v>
      </c>
      <c r="AQ3470">
        <v>0</v>
      </c>
      <c r="AR3470">
        <v>0</v>
      </c>
      <c r="AS3470">
        <v>0</v>
      </c>
      <c r="AT3470">
        <v>0</v>
      </c>
      <c r="AU3470">
        <f t="shared" si="106"/>
        <v>1</v>
      </c>
      <c r="AV3470">
        <f t="shared" si="107"/>
        <v>0</v>
      </c>
    </row>
    <row r="3471" spans="1:48" x14ac:dyDescent="0.25">
      <c r="A3471" t="s">
        <v>11100</v>
      </c>
      <c r="C3471" t="s">
        <v>11101</v>
      </c>
      <c r="D3471" t="s">
        <v>11099</v>
      </c>
      <c r="E3471" t="s">
        <v>2310</v>
      </c>
      <c r="F3471">
        <v>9</v>
      </c>
      <c r="G3471">
        <v>9.1</v>
      </c>
      <c r="H3471" t="s">
        <v>2323</v>
      </c>
      <c r="I3471" s="21">
        <v>41145.580729166701</v>
      </c>
      <c r="J3471">
        <v>2012</v>
      </c>
      <c r="K3471" s="21">
        <v>41145.580729166701</v>
      </c>
      <c r="L3471">
        <v>2012</v>
      </c>
      <c r="M3471" s="21">
        <v>42298.670474537001</v>
      </c>
      <c r="N3471">
        <v>2015</v>
      </c>
      <c r="Q3471" s="262">
        <v>100000</v>
      </c>
      <c r="R3471" s="262">
        <v>38000</v>
      </c>
      <c r="S3471" t="s">
        <v>114</v>
      </c>
      <c r="T3471" t="s">
        <v>114</v>
      </c>
      <c r="U3471">
        <v>8</v>
      </c>
      <c r="V3471">
        <v>436</v>
      </c>
      <c r="W3471">
        <v>0</v>
      </c>
      <c r="X3471">
        <v>0</v>
      </c>
      <c r="Y3471">
        <v>0</v>
      </c>
      <c r="Z3471">
        <v>0</v>
      </c>
      <c r="AA3471">
        <v>0</v>
      </c>
      <c r="AB3471">
        <v>0</v>
      </c>
      <c r="AC3471">
        <v>-436</v>
      </c>
      <c r="AD3471">
        <v>0</v>
      </c>
      <c r="AE3471">
        <v>0</v>
      </c>
      <c r="AF3471">
        <v>436</v>
      </c>
      <c r="AG3471">
        <v>0</v>
      </c>
      <c r="AH3471">
        <v>0</v>
      </c>
      <c r="AI3471">
        <v>0</v>
      </c>
      <c r="AJ3471">
        <v>0</v>
      </c>
      <c r="AK3471">
        <v>0</v>
      </c>
      <c r="AL3471">
        <v>0</v>
      </c>
      <c r="AM3471">
        <v>0</v>
      </c>
      <c r="AN3471">
        <v>0</v>
      </c>
      <c r="AO3471">
        <v>-1</v>
      </c>
      <c r="AP3471">
        <v>0</v>
      </c>
      <c r="AQ3471">
        <v>0</v>
      </c>
      <c r="AR3471">
        <v>1</v>
      </c>
      <c r="AS3471">
        <v>0</v>
      </c>
      <c r="AT3471">
        <v>0</v>
      </c>
      <c r="AU3471">
        <f t="shared" si="106"/>
        <v>-1</v>
      </c>
      <c r="AV3471">
        <f t="shared" si="107"/>
        <v>0</v>
      </c>
    </row>
    <row r="3472" spans="1:48" x14ac:dyDescent="0.25">
      <c r="A3472" t="s">
        <v>11102</v>
      </c>
      <c r="C3472" t="s">
        <v>11103</v>
      </c>
      <c r="D3472" t="s">
        <v>11104</v>
      </c>
      <c r="E3472" t="s">
        <v>2310</v>
      </c>
      <c r="F3472">
        <v>13</v>
      </c>
      <c r="G3472">
        <v>13.3</v>
      </c>
      <c r="H3472" t="s">
        <v>2017</v>
      </c>
      <c r="I3472" s="21">
        <v>41145.650335648097</v>
      </c>
      <c r="J3472">
        <v>2012</v>
      </c>
      <c r="K3472" s="21">
        <v>41145.650335648097</v>
      </c>
      <c r="L3472">
        <v>2012</v>
      </c>
      <c r="M3472" s="21">
        <v>41878.586527777799</v>
      </c>
      <c r="N3472">
        <v>2014</v>
      </c>
      <c r="Q3472" s="262">
        <v>300000</v>
      </c>
      <c r="R3472" s="262">
        <v>141000</v>
      </c>
      <c r="S3472" t="s">
        <v>114</v>
      </c>
      <c r="T3472" t="s">
        <v>114</v>
      </c>
      <c r="U3472">
        <v>17</v>
      </c>
      <c r="W3472">
        <v>2137</v>
      </c>
      <c r="X3472">
        <v>1</v>
      </c>
      <c r="Y3472">
        <v>0</v>
      </c>
      <c r="Z3472">
        <v>0</v>
      </c>
      <c r="AA3472">
        <v>0</v>
      </c>
      <c r="AB3472">
        <v>0</v>
      </c>
      <c r="AC3472">
        <v>1260</v>
      </c>
      <c r="AD3472">
        <v>0</v>
      </c>
      <c r="AE3472">
        <v>0</v>
      </c>
      <c r="AF3472">
        <v>877</v>
      </c>
      <c r="AG3472">
        <v>0</v>
      </c>
      <c r="AH3472">
        <v>0</v>
      </c>
      <c r="AI3472">
        <v>0</v>
      </c>
      <c r="AJ3472">
        <v>0</v>
      </c>
      <c r="AK3472">
        <v>0</v>
      </c>
      <c r="AL3472">
        <v>0</v>
      </c>
      <c r="AM3472">
        <v>0</v>
      </c>
      <c r="AN3472">
        <v>0</v>
      </c>
      <c r="AO3472">
        <v>0</v>
      </c>
      <c r="AP3472">
        <v>0</v>
      </c>
      <c r="AQ3472">
        <v>0</v>
      </c>
      <c r="AR3472">
        <v>1</v>
      </c>
      <c r="AS3472">
        <v>0</v>
      </c>
      <c r="AT3472">
        <v>0</v>
      </c>
      <c r="AU3472">
        <f t="shared" si="106"/>
        <v>0</v>
      </c>
      <c r="AV3472">
        <f t="shared" si="107"/>
        <v>0</v>
      </c>
    </row>
    <row r="3473" spans="1:48" x14ac:dyDescent="0.25">
      <c r="A3473" t="s">
        <v>11105</v>
      </c>
      <c r="C3473" t="s">
        <v>11106</v>
      </c>
      <c r="D3473" t="s">
        <v>11104</v>
      </c>
      <c r="E3473" t="s">
        <v>2310</v>
      </c>
      <c r="F3473">
        <v>13</v>
      </c>
      <c r="G3473">
        <v>13.3</v>
      </c>
      <c r="H3473" t="s">
        <v>2017</v>
      </c>
      <c r="I3473" s="21">
        <v>41151.400474536997</v>
      </c>
      <c r="J3473">
        <v>2012</v>
      </c>
      <c r="K3473" s="21">
        <v>41151.400474536997</v>
      </c>
      <c r="L3473">
        <v>2012</v>
      </c>
      <c r="Q3473" s="262">
        <v>400000</v>
      </c>
      <c r="R3473" s="262">
        <v>147000</v>
      </c>
      <c r="S3473" t="s">
        <v>114</v>
      </c>
      <c r="T3473" t="s">
        <v>114</v>
      </c>
      <c r="U3473">
        <v>5</v>
      </c>
      <c r="V3473">
        <v>1724</v>
      </c>
      <c r="W3473">
        <v>120</v>
      </c>
      <c r="X3473">
        <v>0</v>
      </c>
      <c r="Y3473">
        <v>0</v>
      </c>
      <c r="Z3473">
        <v>0</v>
      </c>
      <c r="AA3473">
        <v>0</v>
      </c>
      <c r="AB3473">
        <v>0</v>
      </c>
      <c r="AC3473">
        <v>120</v>
      </c>
      <c r="AD3473">
        <v>0</v>
      </c>
      <c r="AE3473">
        <v>0</v>
      </c>
      <c r="AF3473">
        <v>0</v>
      </c>
      <c r="AG3473">
        <v>0</v>
      </c>
      <c r="AH3473">
        <v>0</v>
      </c>
      <c r="AI3473">
        <v>0</v>
      </c>
      <c r="AJ3473">
        <v>0</v>
      </c>
      <c r="AK3473">
        <v>0</v>
      </c>
      <c r="AL3473">
        <v>0</v>
      </c>
      <c r="AM3473">
        <v>0</v>
      </c>
      <c r="AN3473">
        <v>0</v>
      </c>
      <c r="AO3473">
        <v>0</v>
      </c>
      <c r="AP3473">
        <v>0</v>
      </c>
      <c r="AQ3473">
        <v>0</v>
      </c>
      <c r="AR3473">
        <v>0</v>
      </c>
      <c r="AS3473">
        <v>0</v>
      </c>
      <c r="AT3473">
        <v>0</v>
      </c>
      <c r="AU3473">
        <f t="shared" si="106"/>
        <v>0</v>
      </c>
      <c r="AV3473">
        <f t="shared" si="107"/>
        <v>0</v>
      </c>
    </row>
    <row r="3474" spans="1:48" x14ac:dyDescent="0.25">
      <c r="A3474" t="s">
        <v>11107</v>
      </c>
      <c r="C3474" t="s">
        <v>11108</v>
      </c>
      <c r="D3474" t="s">
        <v>11109</v>
      </c>
      <c r="E3474" t="s">
        <v>2310</v>
      </c>
      <c r="F3474">
        <v>12</v>
      </c>
      <c r="G3474">
        <v>12.2</v>
      </c>
      <c r="H3474" t="s">
        <v>2017</v>
      </c>
      <c r="I3474" s="21">
        <v>41156.619062500002</v>
      </c>
      <c r="J3474">
        <v>2012</v>
      </c>
      <c r="K3474" s="21">
        <v>41156.619062500002</v>
      </c>
      <c r="L3474">
        <v>2012</v>
      </c>
      <c r="M3474" s="21">
        <v>41325.3847916667</v>
      </c>
      <c r="N3474">
        <v>2013</v>
      </c>
      <c r="Q3474" s="262">
        <v>100000</v>
      </c>
      <c r="R3474" s="262">
        <v>57000</v>
      </c>
      <c r="S3474" t="s">
        <v>114</v>
      </c>
      <c r="T3474" t="s">
        <v>114</v>
      </c>
      <c r="U3474">
        <v>8</v>
      </c>
      <c r="W3474">
        <v>542</v>
      </c>
      <c r="X3474">
        <v>1</v>
      </c>
      <c r="Y3474">
        <v>0</v>
      </c>
      <c r="Z3474">
        <v>0</v>
      </c>
      <c r="AA3474">
        <v>0</v>
      </c>
      <c r="AB3474">
        <v>0</v>
      </c>
      <c r="AC3474">
        <v>0</v>
      </c>
      <c r="AD3474">
        <v>0</v>
      </c>
      <c r="AE3474">
        <v>0</v>
      </c>
      <c r="AF3474">
        <v>542</v>
      </c>
      <c r="AG3474">
        <v>0</v>
      </c>
      <c r="AH3474">
        <v>0</v>
      </c>
      <c r="AI3474">
        <v>0</v>
      </c>
      <c r="AJ3474">
        <v>0</v>
      </c>
      <c r="AK3474">
        <v>0</v>
      </c>
      <c r="AL3474">
        <v>0</v>
      </c>
      <c r="AM3474">
        <v>0</v>
      </c>
      <c r="AN3474">
        <v>0</v>
      </c>
      <c r="AO3474">
        <v>0</v>
      </c>
      <c r="AP3474">
        <v>0</v>
      </c>
      <c r="AQ3474">
        <v>0</v>
      </c>
      <c r="AR3474">
        <v>1</v>
      </c>
      <c r="AS3474">
        <v>0</v>
      </c>
      <c r="AT3474">
        <v>0</v>
      </c>
      <c r="AU3474">
        <f t="shared" si="106"/>
        <v>0</v>
      </c>
      <c r="AV3474">
        <f t="shared" si="107"/>
        <v>0</v>
      </c>
    </row>
    <row r="3475" spans="1:48" x14ac:dyDescent="0.25">
      <c r="A3475" t="s">
        <v>11110</v>
      </c>
      <c r="C3475" t="s">
        <v>11111</v>
      </c>
      <c r="D3475" t="s">
        <v>11112</v>
      </c>
      <c r="E3475" t="s">
        <v>2310</v>
      </c>
      <c r="F3475">
        <v>10</v>
      </c>
      <c r="G3475">
        <v>10.199999999999999</v>
      </c>
      <c r="H3475" t="s">
        <v>2323</v>
      </c>
      <c r="I3475" s="21">
        <v>41156.692789351902</v>
      </c>
      <c r="J3475">
        <v>2012</v>
      </c>
      <c r="K3475" s="21">
        <v>41156.692789351902</v>
      </c>
      <c r="L3475">
        <v>2012</v>
      </c>
      <c r="M3475" s="21">
        <v>41439.3512962963</v>
      </c>
      <c r="N3475">
        <v>2013</v>
      </c>
      <c r="Q3475" s="262">
        <v>361000</v>
      </c>
      <c r="R3475" s="262">
        <v>214000</v>
      </c>
      <c r="S3475" t="s">
        <v>114</v>
      </c>
      <c r="T3475" t="s">
        <v>114</v>
      </c>
      <c r="U3475">
        <v>5</v>
      </c>
      <c r="W3475">
        <v>2330</v>
      </c>
      <c r="X3475">
        <v>1</v>
      </c>
      <c r="Y3475">
        <v>0</v>
      </c>
      <c r="Z3475">
        <v>0</v>
      </c>
      <c r="AA3475">
        <v>0</v>
      </c>
      <c r="AB3475">
        <v>0</v>
      </c>
      <c r="AC3475">
        <v>2330</v>
      </c>
      <c r="AD3475">
        <v>0</v>
      </c>
      <c r="AE3475">
        <v>0</v>
      </c>
      <c r="AF3475">
        <v>0</v>
      </c>
      <c r="AG3475">
        <v>0</v>
      </c>
      <c r="AH3475">
        <v>0</v>
      </c>
      <c r="AI3475">
        <v>0</v>
      </c>
      <c r="AJ3475">
        <v>0</v>
      </c>
      <c r="AK3475">
        <v>0</v>
      </c>
      <c r="AL3475">
        <v>0</v>
      </c>
      <c r="AM3475">
        <v>0</v>
      </c>
      <c r="AN3475">
        <v>0</v>
      </c>
      <c r="AO3475">
        <v>1</v>
      </c>
      <c r="AP3475">
        <v>0</v>
      </c>
      <c r="AQ3475">
        <v>0</v>
      </c>
      <c r="AR3475">
        <v>0</v>
      </c>
      <c r="AS3475">
        <v>0</v>
      </c>
      <c r="AT3475">
        <v>0</v>
      </c>
      <c r="AU3475">
        <f t="shared" si="106"/>
        <v>1</v>
      </c>
      <c r="AV3475">
        <f t="shared" si="107"/>
        <v>0</v>
      </c>
    </row>
    <row r="3476" spans="1:48" x14ac:dyDescent="0.25">
      <c r="A3476" t="s">
        <v>11113</v>
      </c>
      <c r="C3476" t="s">
        <v>10171</v>
      </c>
      <c r="D3476" t="s">
        <v>11114</v>
      </c>
      <c r="E3476" t="s">
        <v>2310</v>
      </c>
      <c r="F3476">
        <v>12</v>
      </c>
      <c r="G3476">
        <v>12.2</v>
      </c>
      <c r="H3476" t="s">
        <v>2017</v>
      </c>
      <c r="I3476" s="21">
        <v>41159.658171296302</v>
      </c>
      <c r="J3476">
        <v>2012</v>
      </c>
      <c r="K3476" s="21">
        <v>43003.641377314802</v>
      </c>
      <c r="L3476">
        <v>2017</v>
      </c>
      <c r="Q3476" s="262">
        <v>248000</v>
      </c>
      <c r="R3476" s="262">
        <v>248000</v>
      </c>
      <c r="S3476" t="s">
        <v>114</v>
      </c>
      <c r="T3476" t="s">
        <v>114</v>
      </c>
      <c r="U3476">
        <v>5</v>
      </c>
      <c r="W3476">
        <v>2198</v>
      </c>
      <c r="X3476">
        <v>1</v>
      </c>
      <c r="Y3476">
        <v>0</v>
      </c>
      <c r="Z3476">
        <v>0</v>
      </c>
      <c r="AA3476">
        <v>0</v>
      </c>
      <c r="AB3476">
        <v>0</v>
      </c>
      <c r="AC3476">
        <v>2198</v>
      </c>
      <c r="AD3476">
        <v>0</v>
      </c>
      <c r="AE3476">
        <v>0</v>
      </c>
      <c r="AF3476">
        <v>0</v>
      </c>
      <c r="AG3476">
        <v>0</v>
      </c>
      <c r="AH3476">
        <v>0</v>
      </c>
      <c r="AI3476">
        <v>0</v>
      </c>
      <c r="AJ3476">
        <v>0</v>
      </c>
      <c r="AK3476">
        <v>0</v>
      </c>
      <c r="AL3476">
        <v>0</v>
      </c>
      <c r="AM3476">
        <v>0</v>
      </c>
      <c r="AN3476">
        <v>0</v>
      </c>
      <c r="AO3476">
        <v>1</v>
      </c>
      <c r="AP3476">
        <v>0</v>
      </c>
      <c r="AQ3476">
        <v>0</v>
      </c>
      <c r="AR3476">
        <v>0</v>
      </c>
      <c r="AS3476">
        <v>0</v>
      </c>
      <c r="AT3476">
        <v>0</v>
      </c>
      <c r="AU3476">
        <f t="shared" si="106"/>
        <v>1</v>
      </c>
      <c r="AV3476">
        <f t="shared" si="107"/>
        <v>0</v>
      </c>
    </row>
    <row r="3477" spans="1:48" x14ac:dyDescent="0.25">
      <c r="A3477" t="s">
        <v>11115</v>
      </c>
      <c r="C3477" t="s">
        <v>11116</v>
      </c>
      <c r="D3477" t="s">
        <v>11117</v>
      </c>
      <c r="E3477" t="s">
        <v>2310</v>
      </c>
      <c r="F3477">
        <v>8</v>
      </c>
      <c r="G3477">
        <v>8.1</v>
      </c>
      <c r="H3477" t="s">
        <v>2323</v>
      </c>
      <c r="I3477" s="21">
        <v>41165.451064814799</v>
      </c>
      <c r="J3477">
        <v>2012</v>
      </c>
      <c r="K3477" s="21">
        <v>41165.451064814799</v>
      </c>
      <c r="L3477">
        <v>2012</v>
      </c>
      <c r="M3477" s="21">
        <v>41928.543055555601</v>
      </c>
      <c r="N3477">
        <v>2014</v>
      </c>
      <c r="Q3477" s="262">
        <v>2900000</v>
      </c>
      <c r="R3477" s="262">
        <v>483000</v>
      </c>
      <c r="S3477" t="s">
        <v>114</v>
      </c>
      <c r="T3477" t="s">
        <v>114</v>
      </c>
      <c r="U3477">
        <v>5</v>
      </c>
      <c r="W3477">
        <v>5175</v>
      </c>
      <c r="X3477">
        <v>1</v>
      </c>
      <c r="Y3477">
        <v>0</v>
      </c>
      <c r="Z3477">
        <v>0</v>
      </c>
      <c r="AA3477">
        <v>0</v>
      </c>
      <c r="AB3477">
        <v>0</v>
      </c>
      <c r="AC3477">
        <v>5175</v>
      </c>
      <c r="AD3477">
        <v>0</v>
      </c>
      <c r="AE3477">
        <v>0</v>
      </c>
      <c r="AF3477">
        <v>0</v>
      </c>
      <c r="AG3477">
        <v>0</v>
      </c>
      <c r="AH3477">
        <v>0</v>
      </c>
      <c r="AI3477">
        <v>0</v>
      </c>
      <c r="AJ3477">
        <v>0</v>
      </c>
      <c r="AK3477">
        <v>0</v>
      </c>
      <c r="AL3477">
        <v>0</v>
      </c>
      <c r="AM3477">
        <v>0</v>
      </c>
      <c r="AN3477">
        <v>0</v>
      </c>
      <c r="AO3477">
        <v>1</v>
      </c>
      <c r="AP3477">
        <v>0</v>
      </c>
      <c r="AQ3477">
        <v>0</v>
      </c>
      <c r="AR3477">
        <v>0</v>
      </c>
      <c r="AS3477">
        <v>0</v>
      </c>
      <c r="AT3477">
        <v>0</v>
      </c>
      <c r="AU3477">
        <f t="shared" si="106"/>
        <v>1</v>
      </c>
      <c r="AV3477">
        <f t="shared" si="107"/>
        <v>0</v>
      </c>
    </row>
    <row r="3478" spans="1:48" x14ac:dyDescent="0.25">
      <c r="A3478" t="s">
        <v>11118</v>
      </c>
      <c r="C3478" t="s">
        <v>11119</v>
      </c>
      <c r="D3478" t="s">
        <v>8852</v>
      </c>
      <c r="E3478" t="s">
        <v>2310</v>
      </c>
      <c r="F3478">
        <v>11</v>
      </c>
      <c r="G3478">
        <v>11.2</v>
      </c>
      <c r="H3478" t="s">
        <v>2017</v>
      </c>
      <c r="I3478" s="21">
        <v>41171.450474537</v>
      </c>
      <c r="J3478">
        <v>2012</v>
      </c>
      <c r="K3478" s="21">
        <v>41171.450474537</v>
      </c>
      <c r="L3478">
        <v>2012</v>
      </c>
      <c r="M3478" s="21">
        <v>41332.6148032407</v>
      </c>
      <c r="N3478">
        <v>2013</v>
      </c>
      <c r="Q3478" s="262">
        <v>28000</v>
      </c>
      <c r="R3478" s="262">
        <v>28000</v>
      </c>
      <c r="S3478" t="s">
        <v>114</v>
      </c>
      <c r="T3478" t="s">
        <v>114</v>
      </c>
      <c r="U3478">
        <v>5</v>
      </c>
      <c r="W3478">
        <v>348</v>
      </c>
      <c r="X3478">
        <v>0</v>
      </c>
      <c r="Y3478">
        <v>0</v>
      </c>
      <c r="Z3478">
        <v>0</v>
      </c>
      <c r="AA3478">
        <v>0</v>
      </c>
      <c r="AB3478">
        <v>0</v>
      </c>
      <c r="AC3478">
        <v>348</v>
      </c>
      <c r="AD3478">
        <v>0</v>
      </c>
      <c r="AE3478">
        <v>0</v>
      </c>
      <c r="AF3478">
        <v>0</v>
      </c>
      <c r="AG3478">
        <v>0</v>
      </c>
      <c r="AH3478">
        <v>0</v>
      </c>
      <c r="AI3478">
        <v>0</v>
      </c>
      <c r="AJ3478">
        <v>0</v>
      </c>
      <c r="AK3478">
        <v>0</v>
      </c>
      <c r="AL3478">
        <v>0</v>
      </c>
      <c r="AM3478">
        <v>0</v>
      </c>
      <c r="AN3478">
        <v>0</v>
      </c>
      <c r="AO3478">
        <v>0</v>
      </c>
      <c r="AP3478">
        <v>0</v>
      </c>
      <c r="AQ3478">
        <v>0</v>
      </c>
      <c r="AR3478">
        <v>0</v>
      </c>
      <c r="AS3478">
        <v>0</v>
      </c>
      <c r="AT3478">
        <v>0</v>
      </c>
      <c r="AU3478">
        <f t="shared" si="106"/>
        <v>0</v>
      </c>
      <c r="AV3478">
        <f t="shared" si="107"/>
        <v>0</v>
      </c>
    </row>
    <row r="3479" spans="1:48" x14ac:dyDescent="0.25">
      <c r="A3479" t="s">
        <v>11120</v>
      </c>
      <c r="C3479" t="s">
        <v>11121</v>
      </c>
      <c r="D3479" t="s">
        <v>11114</v>
      </c>
      <c r="E3479" t="s">
        <v>2310</v>
      </c>
      <c r="F3479">
        <v>12</v>
      </c>
      <c r="G3479">
        <v>12.2</v>
      </c>
      <c r="H3479" t="s">
        <v>2017</v>
      </c>
      <c r="I3479" s="21">
        <v>41177.404201388897</v>
      </c>
      <c r="J3479">
        <v>2012</v>
      </c>
      <c r="Q3479" s="262">
        <v>1000</v>
      </c>
      <c r="R3479" s="262">
        <v>47000</v>
      </c>
      <c r="S3479" t="s">
        <v>114</v>
      </c>
      <c r="T3479" t="s">
        <v>114</v>
      </c>
      <c r="U3479">
        <v>8</v>
      </c>
      <c r="V3479">
        <v>600</v>
      </c>
      <c r="W3479">
        <v>0</v>
      </c>
      <c r="X3479">
        <v>0</v>
      </c>
      <c r="Y3479">
        <v>0</v>
      </c>
      <c r="Z3479">
        <v>0</v>
      </c>
      <c r="AA3479">
        <v>0</v>
      </c>
      <c r="AB3479">
        <v>0</v>
      </c>
      <c r="AC3479">
        <v>0</v>
      </c>
      <c r="AD3479">
        <v>0</v>
      </c>
      <c r="AE3479">
        <v>0</v>
      </c>
      <c r="AF3479">
        <v>0</v>
      </c>
      <c r="AG3479">
        <v>0</v>
      </c>
      <c r="AH3479">
        <v>0</v>
      </c>
      <c r="AI3479">
        <v>0</v>
      </c>
      <c r="AJ3479">
        <v>0</v>
      </c>
      <c r="AK3479">
        <v>0</v>
      </c>
      <c r="AL3479">
        <v>0</v>
      </c>
      <c r="AM3479">
        <v>0</v>
      </c>
      <c r="AN3479">
        <v>0</v>
      </c>
      <c r="AO3479">
        <v>0</v>
      </c>
      <c r="AP3479">
        <v>0</v>
      </c>
      <c r="AQ3479">
        <v>0</v>
      </c>
      <c r="AR3479">
        <v>0</v>
      </c>
      <c r="AS3479">
        <v>0</v>
      </c>
      <c r="AT3479">
        <v>0</v>
      </c>
      <c r="AU3479">
        <f t="shared" si="106"/>
        <v>0</v>
      </c>
      <c r="AV3479">
        <f t="shared" si="107"/>
        <v>0</v>
      </c>
    </row>
    <row r="3480" spans="1:48" x14ac:dyDescent="0.25">
      <c r="A3480" t="s">
        <v>11122</v>
      </c>
      <c r="C3480" t="s">
        <v>11123</v>
      </c>
      <c r="D3480" t="s">
        <v>7315</v>
      </c>
      <c r="E3480" t="s">
        <v>2310</v>
      </c>
      <c r="F3480">
        <v>11</v>
      </c>
      <c r="G3480">
        <v>11.2</v>
      </c>
      <c r="H3480" t="s">
        <v>2017</v>
      </c>
      <c r="I3480" s="21">
        <v>41177.4750347222</v>
      </c>
      <c r="J3480">
        <v>2012</v>
      </c>
      <c r="K3480" s="21">
        <v>41177.4750347222</v>
      </c>
      <c r="L3480">
        <v>2012</v>
      </c>
      <c r="M3480" s="21">
        <v>41320.346956018497</v>
      </c>
      <c r="N3480">
        <v>2013</v>
      </c>
      <c r="Q3480" s="262">
        <v>27000</v>
      </c>
      <c r="R3480" s="262">
        <v>58000</v>
      </c>
      <c r="S3480" t="s">
        <v>114</v>
      </c>
      <c r="T3480" t="s">
        <v>114</v>
      </c>
      <c r="U3480">
        <v>12</v>
      </c>
      <c r="V3480">
        <v>676</v>
      </c>
      <c r="W3480">
        <v>0</v>
      </c>
      <c r="X3480">
        <v>0</v>
      </c>
      <c r="Y3480">
        <v>0</v>
      </c>
      <c r="Z3480">
        <v>0</v>
      </c>
      <c r="AA3480">
        <v>0</v>
      </c>
      <c r="AB3480">
        <v>0</v>
      </c>
      <c r="AC3480">
        <v>0</v>
      </c>
      <c r="AD3480">
        <v>0</v>
      </c>
      <c r="AE3480">
        <v>0</v>
      </c>
      <c r="AF3480">
        <v>0</v>
      </c>
      <c r="AG3480">
        <v>0</v>
      </c>
      <c r="AH3480">
        <v>0</v>
      </c>
      <c r="AI3480">
        <v>0</v>
      </c>
      <c r="AJ3480">
        <v>0</v>
      </c>
      <c r="AK3480">
        <v>0</v>
      </c>
      <c r="AL3480">
        <v>0</v>
      </c>
      <c r="AM3480">
        <v>0</v>
      </c>
      <c r="AN3480">
        <v>0</v>
      </c>
      <c r="AO3480">
        <v>0</v>
      </c>
      <c r="AP3480">
        <v>0</v>
      </c>
      <c r="AQ3480">
        <v>0</v>
      </c>
      <c r="AR3480">
        <v>0</v>
      </c>
      <c r="AS3480">
        <v>0</v>
      </c>
      <c r="AT3480">
        <v>0</v>
      </c>
      <c r="AU3480">
        <f t="shared" si="106"/>
        <v>0</v>
      </c>
      <c r="AV3480">
        <f t="shared" si="107"/>
        <v>0</v>
      </c>
    </row>
    <row r="3481" spans="1:48" x14ac:dyDescent="0.25">
      <c r="A3481" t="s">
        <v>11124</v>
      </c>
      <c r="C3481" t="s">
        <v>10260</v>
      </c>
      <c r="D3481" t="s">
        <v>11125</v>
      </c>
      <c r="E3481" t="s">
        <v>2310</v>
      </c>
      <c r="F3481">
        <v>15</v>
      </c>
      <c r="G3481">
        <v>15.2</v>
      </c>
      <c r="H3481" t="s">
        <v>2323</v>
      </c>
      <c r="I3481" s="21">
        <v>41177.612476851798</v>
      </c>
      <c r="J3481">
        <v>2012</v>
      </c>
      <c r="K3481" s="21">
        <v>41177.612476851798</v>
      </c>
      <c r="L3481">
        <v>2012</v>
      </c>
      <c r="O3481" s="21">
        <v>41557.405462962997</v>
      </c>
      <c r="Q3481" s="262">
        <v>200000</v>
      </c>
      <c r="R3481" s="262">
        <v>159000</v>
      </c>
      <c r="S3481" t="s">
        <v>114</v>
      </c>
      <c r="T3481" t="s">
        <v>114</v>
      </c>
      <c r="U3481">
        <v>17</v>
      </c>
      <c r="W3481">
        <v>2000</v>
      </c>
      <c r="X3481">
        <v>1</v>
      </c>
      <c r="Y3481">
        <v>0</v>
      </c>
      <c r="Z3481">
        <v>0</v>
      </c>
      <c r="AA3481">
        <v>0</v>
      </c>
      <c r="AB3481">
        <v>0</v>
      </c>
      <c r="AC3481">
        <v>1000</v>
      </c>
      <c r="AD3481">
        <v>0</v>
      </c>
      <c r="AE3481">
        <v>0</v>
      </c>
      <c r="AF3481">
        <v>1000</v>
      </c>
      <c r="AG3481">
        <v>0</v>
      </c>
      <c r="AH3481">
        <v>0</v>
      </c>
      <c r="AI3481">
        <v>0</v>
      </c>
      <c r="AJ3481">
        <v>0</v>
      </c>
      <c r="AK3481">
        <v>0</v>
      </c>
      <c r="AL3481">
        <v>0</v>
      </c>
      <c r="AM3481">
        <v>0</v>
      </c>
      <c r="AN3481">
        <v>0</v>
      </c>
      <c r="AO3481">
        <v>0</v>
      </c>
      <c r="AP3481">
        <v>0</v>
      </c>
      <c r="AQ3481">
        <v>0</v>
      </c>
      <c r="AR3481">
        <v>1</v>
      </c>
      <c r="AS3481">
        <v>0</v>
      </c>
      <c r="AT3481">
        <v>0</v>
      </c>
      <c r="AU3481">
        <f t="shared" ref="AU3481:AU3544" si="108">SUM(AN3481:AQ3481,AS3481)</f>
        <v>0</v>
      </c>
      <c r="AV3481">
        <f t="shared" ref="AV3481:AV3544" si="109">SUM(Y3481:AB3481,AH3481:AM3481)</f>
        <v>0</v>
      </c>
    </row>
    <row r="3482" spans="1:48" x14ac:dyDescent="0.25">
      <c r="A3482" t="s">
        <v>11126</v>
      </c>
      <c r="C3482" t="s">
        <v>11127</v>
      </c>
      <c r="D3482" t="s">
        <v>11128</v>
      </c>
      <c r="E3482" t="s">
        <v>2310</v>
      </c>
      <c r="F3482">
        <v>14</v>
      </c>
      <c r="G3482">
        <v>14.2</v>
      </c>
      <c r="H3482" t="s">
        <v>2017</v>
      </c>
      <c r="I3482" s="21">
        <v>41178.393194444398</v>
      </c>
      <c r="J3482">
        <v>2012</v>
      </c>
      <c r="K3482" s="21">
        <v>41178.393194444398</v>
      </c>
      <c r="L3482">
        <v>2012</v>
      </c>
      <c r="M3482" s="21">
        <v>41774.480462963002</v>
      </c>
      <c r="N3482">
        <v>2014</v>
      </c>
      <c r="Q3482" s="262">
        <v>75000</v>
      </c>
      <c r="R3482" s="262">
        <v>8000</v>
      </c>
      <c r="S3482" t="s">
        <v>114</v>
      </c>
      <c r="T3482" t="s">
        <v>114</v>
      </c>
      <c r="U3482">
        <v>4</v>
      </c>
      <c r="W3482">
        <v>195</v>
      </c>
      <c r="X3482">
        <v>0</v>
      </c>
      <c r="Y3482">
        <v>0</v>
      </c>
      <c r="Z3482">
        <v>0</v>
      </c>
      <c r="AA3482">
        <v>0</v>
      </c>
      <c r="AB3482">
        <v>195</v>
      </c>
      <c r="AC3482">
        <v>0</v>
      </c>
      <c r="AD3482">
        <v>0</v>
      </c>
      <c r="AE3482">
        <v>0</v>
      </c>
      <c r="AF3482">
        <v>0</v>
      </c>
      <c r="AG3482">
        <v>0</v>
      </c>
      <c r="AH3482">
        <v>0</v>
      </c>
      <c r="AI3482">
        <v>0</v>
      </c>
      <c r="AJ3482">
        <v>0</v>
      </c>
      <c r="AK3482">
        <v>0</v>
      </c>
      <c r="AL3482">
        <v>0</v>
      </c>
      <c r="AM3482">
        <v>0</v>
      </c>
      <c r="AN3482">
        <v>0</v>
      </c>
      <c r="AO3482">
        <v>0</v>
      </c>
      <c r="AP3482">
        <v>0</v>
      </c>
      <c r="AQ3482">
        <v>0</v>
      </c>
      <c r="AR3482">
        <v>0</v>
      </c>
      <c r="AS3482">
        <v>0</v>
      </c>
      <c r="AT3482">
        <v>0</v>
      </c>
      <c r="AU3482">
        <f t="shared" si="108"/>
        <v>0</v>
      </c>
      <c r="AV3482">
        <f t="shared" si="109"/>
        <v>195</v>
      </c>
    </row>
    <row r="3483" spans="1:48" x14ac:dyDescent="0.25">
      <c r="A3483" t="s">
        <v>11129</v>
      </c>
      <c r="C3483" t="s">
        <v>11130</v>
      </c>
      <c r="D3483" t="s">
        <v>10795</v>
      </c>
      <c r="E3483" t="s">
        <v>2310</v>
      </c>
      <c r="F3483">
        <v>8</v>
      </c>
      <c r="G3483">
        <v>8.1999999999999993</v>
      </c>
      <c r="H3483" t="s">
        <v>2022</v>
      </c>
      <c r="I3483" s="21">
        <v>41178.4071064815</v>
      </c>
      <c r="J3483">
        <v>2012</v>
      </c>
      <c r="K3483" s="21">
        <v>41178.4071064815</v>
      </c>
      <c r="L3483">
        <v>2012</v>
      </c>
      <c r="M3483" s="21">
        <v>41557.479421296302</v>
      </c>
      <c r="N3483">
        <v>2013</v>
      </c>
      <c r="Q3483" s="262">
        <v>44000</v>
      </c>
      <c r="R3483" s="262">
        <v>16000</v>
      </c>
      <c r="S3483" t="s">
        <v>114</v>
      </c>
      <c r="T3483" t="s">
        <v>114</v>
      </c>
      <c r="U3483">
        <v>8</v>
      </c>
      <c r="W3483">
        <v>-205</v>
      </c>
      <c r="X3483">
        <v>1</v>
      </c>
      <c r="Y3483">
        <v>0</v>
      </c>
      <c r="Z3483">
        <v>0</v>
      </c>
      <c r="AA3483">
        <v>0</v>
      </c>
      <c r="AB3483">
        <v>0</v>
      </c>
      <c r="AC3483">
        <v>-1204</v>
      </c>
      <c r="AD3483">
        <v>0</v>
      </c>
      <c r="AE3483">
        <v>0</v>
      </c>
      <c r="AF3483">
        <v>999</v>
      </c>
      <c r="AG3483">
        <v>0</v>
      </c>
      <c r="AH3483">
        <v>0</v>
      </c>
      <c r="AI3483">
        <v>0</v>
      </c>
      <c r="AJ3483">
        <v>0</v>
      </c>
      <c r="AK3483">
        <v>0</v>
      </c>
      <c r="AL3483">
        <v>0</v>
      </c>
      <c r="AM3483">
        <v>0</v>
      </c>
      <c r="AN3483">
        <v>0</v>
      </c>
      <c r="AO3483">
        <v>0</v>
      </c>
      <c r="AP3483">
        <v>0</v>
      </c>
      <c r="AQ3483">
        <v>0</v>
      </c>
      <c r="AR3483">
        <v>1</v>
      </c>
      <c r="AS3483">
        <v>0</v>
      </c>
      <c r="AT3483">
        <v>0</v>
      </c>
      <c r="AU3483">
        <f t="shared" si="108"/>
        <v>0</v>
      </c>
      <c r="AV3483">
        <f t="shared" si="109"/>
        <v>0</v>
      </c>
    </row>
    <row r="3484" spans="1:48" x14ac:dyDescent="0.25">
      <c r="A3484" t="s">
        <v>11131</v>
      </c>
      <c r="C3484" t="s">
        <v>11132</v>
      </c>
      <c r="D3484" t="s">
        <v>11133</v>
      </c>
      <c r="E3484" t="s">
        <v>2310</v>
      </c>
      <c r="F3484">
        <v>9</v>
      </c>
      <c r="G3484">
        <v>9.3000000000000007</v>
      </c>
      <c r="H3484" t="s">
        <v>2323</v>
      </c>
      <c r="I3484" s="21">
        <v>41184.451736111099</v>
      </c>
      <c r="J3484">
        <v>2012</v>
      </c>
      <c r="K3484" s="21">
        <v>41184.451736111099</v>
      </c>
      <c r="L3484">
        <v>2012</v>
      </c>
      <c r="M3484" s="21">
        <v>41926.701840277798</v>
      </c>
      <c r="N3484">
        <v>2014</v>
      </c>
      <c r="Q3484" s="262">
        <v>1200000</v>
      </c>
      <c r="R3484" s="262">
        <v>813000</v>
      </c>
      <c r="S3484" t="s">
        <v>114</v>
      </c>
      <c r="T3484" t="s">
        <v>114</v>
      </c>
      <c r="U3484">
        <v>5</v>
      </c>
      <c r="W3484">
        <v>8571</v>
      </c>
      <c r="X3484">
        <v>1</v>
      </c>
      <c r="Y3484">
        <v>0</v>
      </c>
      <c r="Z3484">
        <v>0</v>
      </c>
      <c r="AA3484">
        <v>0</v>
      </c>
      <c r="AB3484">
        <v>0</v>
      </c>
      <c r="AC3484">
        <v>8571</v>
      </c>
      <c r="AD3484">
        <v>0</v>
      </c>
      <c r="AE3484">
        <v>0</v>
      </c>
      <c r="AF3484">
        <v>0</v>
      </c>
      <c r="AG3484">
        <v>0</v>
      </c>
      <c r="AH3484">
        <v>0</v>
      </c>
      <c r="AI3484">
        <v>0</v>
      </c>
      <c r="AJ3484">
        <v>0</v>
      </c>
      <c r="AK3484">
        <v>0</v>
      </c>
      <c r="AL3484">
        <v>0</v>
      </c>
      <c r="AM3484">
        <v>0</v>
      </c>
      <c r="AN3484">
        <v>0</v>
      </c>
      <c r="AO3484">
        <v>1</v>
      </c>
      <c r="AP3484">
        <v>0</v>
      </c>
      <c r="AQ3484">
        <v>0</v>
      </c>
      <c r="AR3484">
        <v>0</v>
      </c>
      <c r="AS3484">
        <v>0</v>
      </c>
      <c r="AT3484">
        <v>0</v>
      </c>
      <c r="AU3484">
        <f t="shared" si="108"/>
        <v>1</v>
      </c>
      <c r="AV3484">
        <f t="shared" si="109"/>
        <v>0</v>
      </c>
    </row>
    <row r="3485" spans="1:48" x14ac:dyDescent="0.25">
      <c r="A3485" t="s">
        <v>11134</v>
      </c>
      <c r="C3485" t="s">
        <v>11135</v>
      </c>
      <c r="D3485" t="s">
        <v>11136</v>
      </c>
      <c r="E3485" t="s">
        <v>2310</v>
      </c>
      <c r="F3485">
        <v>9</v>
      </c>
      <c r="G3485">
        <v>9.1</v>
      </c>
      <c r="H3485" t="s">
        <v>2323</v>
      </c>
      <c r="I3485" s="21">
        <v>41185.661504629599</v>
      </c>
      <c r="J3485">
        <v>2012</v>
      </c>
      <c r="K3485" s="21">
        <v>41185.661504629599</v>
      </c>
      <c r="L3485">
        <v>2012</v>
      </c>
      <c r="M3485" s="21">
        <v>41556.6703472222</v>
      </c>
      <c r="N3485">
        <v>2013</v>
      </c>
      <c r="Q3485" s="262">
        <v>400000</v>
      </c>
      <c r="R3485" s="262">
        <v>174000</v>
      </c>
      <c r="S3485" t="s">
        <v>114</v>
      </c>
      <c r="T3485" t="s">
        <v>114</v>
      </c>
      <c r="U3485">
        <v>5</v>
      </c>
      <c r="V3485">
        <v>524</v>
      </c>
      <c r="W3485">
        <v>1313</v>
      </c>
      <c r="X3485">
        <v>0</v>
      </c>
      <c r="Y3485">
        <v>0</v>
      </c>
      <c r="Z3485">
        <v>0</v>
      </c>
      <c r="AA3485">
        <v>0</v>
      </c>
      <c r="AB3485">
        <v>0</v>
      </c>
      <c r="AC3485">
        <v>1313</v>
      </c>
      <c r="AD3485">
        <v>0</v>
      </c>
      <c r="AE3485">
        <v>0</v>
      </c>
      <c r="AF3485">
        <v>0</v>
      </c>
      <c r="AG3485">
        <v>0</v>
      </c>
      <c r="AH3485">
        <v>0</v>
      </c>
      <c r="AI3485">
        <v>0</v>
      </c>
      <c r="AJ3485">
        <v>0</v>
      </c>
      <c r="AK3485">
        <v>0</v>
      </c>
      <c r="AL3485">
        <v>0</v>
      </c>
      <c r="AM3485">
        <v>0</v>
      </c>
      <c r="AN3485">
        <v>0</v>
      </c>
      <c r="AO3485">
        <v>0</v>
      </c>
      <c r="AP3485">
        <v>0</v>
      </c>
      <c r="AQ3485">
        <v>0</v>
      </c>
      <c r="AR3485">
        <v>0</v>
      </c>
      <c r="AS3485">
        <v>0</v>
      </c>
      <c r="AT3485">
        <v>0</v>
      </c>
      <c r="AU3485">
        <f t="shared" si="108"/>
        <v>0</v>
      </c>
      <c r="AV3485">
        <f t="shared" si="109"/>
        <v>0</v>
      </c>
    </row>
    <row r="3486" spans="1:48" x14ac:dyDescent="0.25">
      <c r="A3486" t="s">
        <v>11137</v>
      </c>
      <c r="C3486" t="s">
        <v>11138</v>
      </c>
      <c r="D3486" t="s">
        <v>11139</v>
      </c>
      <c r="E3486" t="s">
        <v>2310</v>
      </c>
      <c r="F3486">
        <v>8</v>
      </c>
      <c r="G3486">
        <v>8.1999999999999993</v>
      </c>
      <c r="H3486" t="s">
        <v>2022</v>
      </c>
      <c r="I3486" s="21">
        <v>41187.599722222199</v>
      </c>
      <c r="J3486">
        <v>2012</v>
      </c>
      <c r="K3486" s="21">
        <v>41187.599722222199</v>
      </c>
      <c r="L3486">
        <v>2012</v>
      </c>
      <c r="M3486" s="21">
        <v>41488.610300925902</v>
      </c>
      <c r="N3486">
        <v>2013</v>
      </c>
      <c r="Q3486" s="262">
        <v>200000</v>
      </c>
      <c r="R3486" s="262">
        <v>146000</v>
      </c>
      <c r="S3486" t="s">
        <v>114</v>
      </c>
      <c r="T3486" t="s">
        <v>114</v>
      </c>
      <c r="U3486">
        <v>5</v>
      </c>
      <c r="W3486">
        <v>2016</v>
      </c>
      <c r="X3486">
        <v>1</v>
      </c>
      <c r="Y3486">
        <v>0</v>
      </c>
      <c r="Z3486">
        <v>0</v>
      </c>
      <c r="AA3486">
        <v>0</v>
      </c>
      <c r="AB3486">
        <v>0</v>
      </c>
      <c r="AC3486">
        <v>2016</v>
      </c>
      <c r="AD3486">
        <v>0</v>
      </c>
      <c r="AE3486">
        <v>0</v>
      </c>
      <c r="AF3486">
        <v>0</v>
      </c>
      <c r="AG3486">
        <v>0</v>
      </c>
      <c r="AH3486">
        <v>0</v>
      </c>
      <c r="AI3486">
        <v>0</v>
      </c>
      <c r="AJ3486">
        <v>0</v>
      </c>
      <c r="AK3486">
        <v>0</v>
      </c>
      <c r="AL3486">
        <v>0</v>
      </c>
      <c r="AM3486">
        <v>0</v>
      </c>
      <c r="AN3486">
        <v>0</v>
      </c>
      <c r="AO3486">
        <v>1</v>
      </c>
      <c r="AP3486">
        <v>0</v>
      </c>
      <c r="AQ3486">
        <v>0</v>
      </c>
      <c r="AR3486">
        <v>0</v>
      </c>
      <c r="AS3486">
        <v>0</v>
      </c>
      <c r="AT3486">
        <v>0</v>
      </c>
      <c r="AU3486">
        <f t="shared" si="108"/>
        <v>1</v>
      </c>
      <c r="AV3486">
        <f t="shared" si="109"/>
        <v>0</v>
      </c>
    </row>
    <row r="3487" spans="1:48" x14ac:dyDescent="0.25">
      <c r="A3487" t="s">
        <v>11140</v>
      </c>
      <c r="C3487" t="s">
        <v>11141</v>
      </c>
      <c r="D3487" t="s">
        <v>3696</v>
      </c>
      <c r="E3487" t="s">
        <v>2310</v>
      </c>
      <c r="F3487">
        <v>8</v>
      </c>
      <c r="G3487">
        <v>8.1</v>
      </c>
      <c r="H3487" t="s">
        <v>2323</v>
      </c>
      <c r="I3487" s="21">
        <v>41192.615601851903</v>
      </c>
      <c r="J3487">
        <v>2012</v>
      </c>
      <c r="K3487" s="21">
        <v>41192.615601851903</v>
      </c>
      <c r="L3487">
        <v>2012</v>
      </c>
      <c r="M3487" s="21">
        <v>41605.364583333299</v>
      </c>
      <c r="N3487">
        <v>2013</v>
      </c>
      <c r="Q3487" s="262">
        <v>48000</v>
      </c>
      <c r="R3487" s="262">
        <v>25000</v>
      </c>
      <c r="S3487" t="s">
        <v>114</v>
      </c>
      <c r="T3487" t="s">
        <v>114</v>
      </c>
      <c r="U3487">
        <v>8</v>
      </c>
      <c r="W3487">
        <v>238</v>
      </c>
      <c r="X3487">
        <v>0</v>
      </c>
      <c r="Y3487">
        <v>0</v>
      </c>
      <c r="Z3487">
        <v>0</v>
      </c>
      <c r="AA3487">
        <v>0</v>
      </c>
      <c r="AB3487">
        <v>0</v>
      </c>
      <c r="AC3487">
        <v>0</v>
      </c>
      <c r="AD3487">
        <v>0</v>
      </c>
      <c r="AE3487">
        <v>0</v>
      </c>
      <c r="AF3487">
        <v>238</v>
      </c>
      <c r="AG3487">
        <v>0</v>
      </c>
      <c r="AH3487">
        <v>0</v>
      </c>
      <c r="AI3487">
        <v>0</v>
      </c>
      <c r="AJ3487">
        <v>0</v>
      </c>
      <c r="AK3487">
        <v>0</v>
      </c>
      <c r="AL3487">
        <v>0</v>
      </c>
      <c r="AM3487">
        <v>0</v>
      </c>
      <c r="AN3487">
        <v>0</v>
      </c>
      <c r="AO3487">
        <v>0</v>
      </c>
      <c r="AP3487">
        <v>0</v>
      </c>
      <c r="AQ3487">
        <v>0</v>
      </c>
      <c r="AR3487">
        <v>0</v>
      </c>
      <c r="AS3487">
        <v>0</v>
      </c>
      <c r="AT3487">
        <v>0</v>
      </c>
      <c r="AU3487">
        <f t="shared" si="108"/>
        <v>0</v>
      </c>
      <c r="AV3487">
        <f t="shared" si="109"/>
        <v>0</v>
      </c>
    </row>
    <row r="3488" spans="1:48" x14ac:dyDescent="0.25">
      <c r="A3488" t="s">
        <v>11142</v>
      </c>
      <c r="C3488" t="s">
        <v>11143</v>
      </c>
      <c r="D3488" t="s">
        <v>4025</v>
      </c>
      <c r="E3488" t="s">
        <v>2310</v>
      </c>
      <c r="F3488">
        <v>15</v>
      </c>
      <c r="G3488">
        <v>15.2</v>
      </c>
      <c r="H3488" t="s">
        <v>2323</v>
      </c>
      <c r="I3488" s="21">
        <v>41192.6702546296</v>
      </c>
      <c r="J3488">
        <v>2012</v>
      </c>
      <c r="K3488" s="21">
        <v>41192.6702546296</v>
      </c>
      <c r="L3488">
        <v>2012</v>
      </c>
      <c r="M3488" s="21">
        <v>41732.448564814797</v>
      </c>
      <c r="N3488">
        <v>2014</v>
      </c>
      <c r="Q3488" s="262">
        <v>20000</v>
      </c>
      <c r="R3488" s="262">
        <v>40000</v>
      </c>
      <c r="S3488" t="s">
        <v>114</v>
      </c>
      <c r="T3488" t="s">
        <v>114</v>
      </c>
      <c r="U3488">
        <v>5</v>
      </c>
      <c r="W3488">
        <v>380</v>
      </c>
      <c r="X3488">
        <v>0</v>
      </c>
      <c r="Y3488">
        <v>0</v>
      </c>
      <c r="Z3488">
        <v>0</v>
      </c>
      <c r="AA3488">
        <v>0</v>
      </c>
      <c r="AB3488">
        <v>0</v>
      </c>
      <c r="AC3488">
        <v>380</v>
      </c>
      <c r="AD3488">
        <v>0</v>
      </c>
      <c r="AE3488">
        <v>0</v>
      </c>
      <c r="AF3488">
        <v>0</v>
      </c>
      <c r="AG3488">
        <v>0</v>
      </c>
      <c r="AH3488">
        <v>0</v>
      </c>
      <c r="AI3488">
        <v>0</v>
      </c>
      <c r="AJ3488">
        <v>0</v>
      </c>
      <c r="AK3488">
        <v>0</v>
      </c>
      <c r="AL3488">
        <v>0</v>
      </c>
      <c r="AM3488">
        <v>0</v>
      </c>
      <c r="AN3488">
        <v>0</v>
      </c>
      <c r="AO3488">
        <v>0</v>
      </c>
      <c r="AP3488">
        <v>0</v>
      </c>
      <c r="AQ3488">
        <v>0</v>
      </c>
      <c r="AR3488">
        <v>0</v>
      </c>
      <c r="AS3488">
        <v>0</v>
      </c>
      <c r="AT3488">
        <v>0</v>
      </c>
      <c r="AU3488">
        <f t="shared" si="108"/>
        <v>0</v>
      </c>
      <c r="AV3488">
        <f t="shared" si="109"/>
        <v>0</v>
      </c>
    </row>
    <row r="3489" spans="1:48" x14ac:dyDescent="0.25">
      <c r="A3489" t="s">
        <v>11144</v>
      </c>
      <c r="C3489" t="s">
        <v>11145</v>
      </c>
      <c r="D3489" t="s">
        <v>6736</v>
      </c>
      <c r="E3489" t="s">
        <v>2310</v>
      </c>
      <c r="F3489">
        <v>11</v>
      </c>
      <c r="G3489">
        <v>11.2</v>
      </c>
      <c r="H3489" t="s">
        <v>2017</v>
      </c>
      <c r="I3489" s="21">
        <v>41194.435960648101</v>
      </c>
      <c r="J3489">
        <v>2012</v>
      </c>
      <c r="K3489" s="21">
        <v>41194.435960648101</v>
      </c>
      <c r="L3489">
        <v>2012</v>
      </c>
      <c r="M3489" s="21">
        <v>42349.670312499999</v>
      </c>
      <c r="N3489">
        <v>2015</v>
      </c>
      <c r="Q3489" s="262">
        <v>40000</v>
      </c>
      <c r="R3489" s="262">
        <v>24000</v>
      </c>
      <c r="S3489" t="s">
        <v>114</v>
      </c>
      <c r="T3489" t="s">
        <v>114</v>
      </c>
      <c r="U3489">
        <v>4</v>
      </c>
      <c r="W3489">
        <v>600</v>
      </c>
      <c r="X3489">
        <v>0</v>
      </c>
      <c r="Y3489">
        <v>0</v>
      </c>
      <c r="Z3489">
        <v>0</v>
      </c>
      <c r="AA3489">
        <v>0</v>
      </c>
      <c r="AB3489">
        <v>600</v>
      </c>
      <c r="AC3489">
        <v>0</v>
      </c>
      <c r="AD3489">
        <v>0</v>
      </c>
      <c r="AE3489">
        <v>0</v>
      </c>
      <c r="AF3489">
        <v>0</v>
      </c>
      <c r="AG3489">
        <v>0</v>
      </c>
      <c r="AH3489">
        <v>0</v>
      </c>
      <c r="AI3489">
        <v>0</v>
      </c>
      <c r="AJ3489">
        <v>0</v>
      </c>
      <c r="AK3489">
        <v>0</v>
      </c>
      <c r="AL3489">
        <v>0</v>
      </c>
      <c r="AM3489">
        <v>0</v>
      </c>
      <c r="AN3489">
        <v>0</v>
      </c>
      <c r="AO3489">
        <v>0</v>
      </c>
      <c r="AP3489">
        <v>0</v>
      </c>
      <c r="AQ3489">
        <v>0</v>
      </c>
      <c r="AR3489">
        <v>0</v>
      </c>
      <c r="AS3489">
        <v>0</v>
      </c>
      <c r="AT3489">
        <v>0</v>
      </c>
      <c r="AU3489">
        <f t="shared" si="108"/>
        <v>0</v>
      </c>
      <c r="AV3489">
        <f t="shared" si="109"/>
        <v>600</v>
      </c>
    </row>
    <row r="3490" spans="1:48" x14ac:dyDescent="0.25">
      <c r="A3490" t="s">
        <v>11146</v>
      </c>
      <c r="C3490" t="s">
        <v>11147</v>
      </c>
      <c r="D3490" t="s">
        <v>11148</v>
      </c>
      <c r="E3490" t="s">
        <v>2310</v>
      </c>
      <c r="F3490">
        <v>8</v>
      </c>
      <c r="G3490">
        <v>8.1</v>
      </c>
      <c r="H3490" t="s">
        <v>2323</v>
      </c>
      <c r="I3490" s="21">
        <v>41194.691319444399</v>
      </c>
      <c r="J3490">
        <v>2012</v>
      </c>
      <c r="K3490" s="21">
        <v>41194.691319444399</v>
      </c>
      <c r="L3490">
        <v>2012</v>
      </c>
      <c r="M3490" s="21">
        <v>42514.696006944403</v>
      </c>
      <c r="N3490">
        <v>2016</v>
      </c>
      <c r="Q3490" s="262">
        <v>4000000</v>
      </c>
      <c r="R3490" s="262">
        <v>986000</v>
      </c>
      <c r="S3490" t="s">
        <v>114</v>
      </c>
      <c r="T3490" t="s">
        <v>114</v>
      </c>
      <c r="U3490">
        <v>5</v>
      </c>
      <c r="W3490">
        <v>9457</v>
      </c>
      <c r="X3490">
        <v>1</v>
      </c>
      <c r="Y3490">
        <v>0</v>
      </c>
      <c r="Z3490">
        <v>0</v>
      </c>
      <c r="AA3490">
        <v>0</v>
      </c>
      <c r="AB3490">
        <v>0</v>
      </c>
      <c r="AC3490">
        <v>9457</v>
      </c>
      <c r="AD3490">
        <v>0</v>
      </c>
      <c r="AE3490">
        <v>0</v>
      </c>
      <c r="AF3490">
        <v>0</v>
      </c>
      <c r="AG3490">
        <v>0</v>
      </c>
      <c r="AH3490">
        <v>0</v>
      </c>
      <c r="AI3490">
        <v>0</v>
      </c>
      <c r="AJ3490">
        <v>0</v>
      </c>
      <c r="AK3490">
        <v>0</v>
      </c>
      <c r="AL3490">
        <v>0</v>
      </c>
      <c r="AM3490">
        <v>0</v>
      </c>
      <c r="AN3490">
        <v>0</v>
      </c>
      <c r="AO3490">
        <v>1</v>
      </c>
      <c r="AP3490">
        <v>0</v>
      </c>
      <c r="AQ3490">
        <v>0</v>
      </c>
      <c r="AR3490">
        <v>0</v>
      </c>
      <c r="AS3490">
        <v>0</v>
      </c>
      <c r="AT3490">
        <v>0</v>
      </c>
      <c r="AU3490">
        <f t="shared" si="108"/>
        <v>1</v>
      </c>
      <c r="AV3490">
        <f t="shared" si="109"/>
        <v>0</v>
      </c>
    </row>
    <row r="3491" spans="1:48" x14ac:dyDescent="0.25">
      <c r="A3491" t="s">
        <v>11149</v>
      </c>
      <c r="C3491" t="s">
        <v>11150</v>
      </c>
      <c r="D3491" t="s">
        <v>11151</v>
      </c>
      <c r="E3491" t="s">
        <v>2310</v>
      </c>
      <c r="F3491">
        <v>9</v>
      </c>
      <c r="G3491">
        <v>9.1999999999999993</v>
      </c>
      <c r="H3491" t="s">
        <v>2022</v>
      </c>
      <c r="I3491" s="21">
        <v>41198.475520833301</v>
      </c>
      <c r="J3491">
        <v>2012</v>
      </c>
      <c r="K3491" s="21">
        <v>41198.475520833301</v>
      </c>
      <c r="L3491">
        <v>2012</v>
      </c>
      <c r="M3491" s="21">
        <v>41996.4469328704</v>
      </c>
      <c r="N3491">
        <v>2014</v>
      </c>
      <c r="Q3491" s="262">
        <v>150000</v>
      </c>
      <c r="R3491" s="262">
        <v>0</v>
      </c>
      <c r="S3491" t="s">
        <v>114</v>
      </c>
      <c r="T3491" t="s">
        <v>114</v>
      </c>
      <c r="U3491">
        <v>5</v>
      </c>
      <c r="V3491">
        <v>864</v>
      </c>
      <c r="W3491">
        <v>0</v>
      </c>
      <c r="X3491">
        <v>1</v>
      </c>
      <c r="Y3491">
        <v>0</v>
      </c>
      <c r="Z3491">
        <v>0</v>
      </c>
      <c r="AA3491">
        <v>0</v>
      </c>
      <c r="AB3491">
        <v>0</v>
      </c>
      <c r="AC3491">
        <v>0</v>
      </c>
      <c r="AD3491">
        <v>0</v>
      </c>
      <c r="AE3491">
        <v>0</v>
      </c>
      <c r="AF3491">
        <v>0</v>
      </c>
      <c r="AG3491">
        <v>0</v>
      </c>
      <c r="AH3491">
        <v>0</v>
      </c>
      <c r="AI3491">
        <v>0</v>
      </c>
      <c r="AJ3491">
        <v>0</v>
      </c>
      <c r="AK3491">
        <v>0</v>
      </c>
      <c r="AL3491">
        <v>0</v>
      </c>
      <c r="AM3491">
        <v>0</v>
      </c>
      <c r="AN3491">
        <v>0</v>
      </c>
      <c r="AO3491">
        <v>1</v>
      </c>
      <c r="AP3491">
        <v>0</v>
      </c>
      <c r="AQ3491">
        <v>0</v>
      </c>
      <c r="AR3491">
        <v>0</v>
      </c>
      <c r="AS3491">
        <v>0</v>
      </c>
      <c r="AT3491">
        <v>0</v>
      </c>
      <c r="AU3491">
        <f t="shared" si="108"/>
        <v>1</v>
      </c>
      <c r="AV3491">
        <f t="shared" si="109"/>
        <v>0</v>
      </c>
    </row>
    <row r="3492" spans="1:48" x14ac:dyDescent="0.25">
      <c r="A3492" t="s">
        <v>11152</v>
      </c>
      <c r="C3492" t="s">
        <v>11153</v>
      </c>
      <c r="D3492" t="s">
        <v>7271</v>
      </c>
      <c r="E3492" t="s">
        <v>1663</v>
      </c>
      <c r="F3492">
        <v>6</v>
      </c>
      <c r="G3492">
        <v>6.2</v>
      </c>
      <c r="H3492" t="s">
        <v>2017</v>
      </c>
      <c r="I3492" s="21">
        <v>41199</v>
      </c>
      <c r="J3492">
        <v>2012</v>
      </c>
      <c r="K3492" s="21">
        <v>41230</v>
      </c>
      <c r="L3492">
        <v>2012</v>
      </c>
      <c r="M3492" s="21">
        <v>41381</v>
      </c>
      <c r="N3492">
        <v>2013</v>
      </c>
      <c r="Q3492" s="262">
        <v>15000</v>
      </c>
      <c r="S3492" t="s">
        <v>114</v>
      </c>
      <c r="T3492" t="s">
        <v>114</v>
      </c>
      <c r="W3492">
        <v>160</v>
      </c>
      <c r="X3492">
        <v>0</v>
      </c>
      <c r="Y3492">
        <v>0</v>
      </c>
      <c r="Z3492">
        <v>0</v>
      </c>
      <c r="AA3492">
        <v>0</v>
      </c>
      <c r="AB3492">
        <v>0</v>
      </c>
      <c r="AC3492">
        <v>160</v>
      </c>
      <c r="AD3492">
        <v>0</v>
      </c>
      <c r="AE3492">
        <v>0</v>
      </c>
      <c r="AF3492">
        <v>0</v>
      </c>
      <c r="AG3492">
        <v>0</v>
      </c>
      <c r="AH3492">
        <v>0</v>
      </c>
      <c r="AI3492">
        <v>0</v>
      </c>
      <c r="AJ3492">
        <v>0</v>
      </c>
      <c r="AK3492">
        <v>0</v>
      </c>
      <c r="AL3492">
        <v>0</v>
      </c>
      <c r="AM3492">
        <v>0</v>
      </c>
      <c r="AN3492">
        <v>0</v>
      </c>
      <c r="AO3492">
        <v>0</v>
      </c>
      <c r="AP3492">
        <v>0</v>
      </c>
      <c r="AQ3492">
        <v>0</v>
      </c>
      <c r="AR3492">
        <v>0</v>
      </c>
      <c r="AS3492">
        <v>0</v>
      </c>
      <c r="AT3492">
        <v>0</v>
      </c>
      <c r="AU3492">
        <f t="shared" si="108"/>
        <v>0</v>
      </c>
      <c r="AV3492">
        <f t="shared" si="109"/>
        <v>0</v>
      </c>
    </row>
    <row r="3493" spans="1:48" x14ac:dyDescent="0.25">
      <c r="A3493" t="s">
        <v>11154</v>
      </c>
      <c r="C3493" t="s">
        <v>11155</v>
      </c>
      <c r="D3493" t="s">
        <v>11156</v>
      </c>
      <c r="E3493" t="s">
        <v>2310</v>
      </c>
      <c r="F3493">
        <v>9</v>
      </c>
      <c r="G3493">
        <v>9.1999999999999993</v>
      </c>
      <c r="H3493" t="s">
        <v>2022</v>
      </c>
      <c r="I3493" s="21">
        <v>41200.497094907398</v>
      </c>
      <c r="J3493">
        <v>2012</v>
      </c>
      <c r="K3493" s="21">
        <v>41200.497094907398</v>
      </c>
      <c r="L3493">
        <v>2012</v>
      </c>
      <c r="M3493" s="21">
        <v>41858.417766203696</v>
      </c>
      <c r="N3493">
        <v>2014</v>
      </c>
      <c r="Q3493" s="262">
        <v>250000</v>
      </c>
      <c r="R3493" s="262">
        <v>73000</v>
      </c>
      <c r="S3493" t="s">
        <v>114</v>
      </c>
      <c r="T3493" t="s">
        <v>114</v>
      </c>
      <c r="U3493">
        <v>5</v>
      </c>
      <c r="W3493">
        <v>1115</v>
      </c>
      <c r="X3493">
        <v>0</v>
      </c>
      <c r="Y3493">
        <v>0</v>
      </c>
      <c r="Z3493">
        <v>0</v>
      </c>
      <c r="AA3493">
        <v>0</v>
      </c>
      <c r="AB3493">
        <v>0</v>
      </c>
      <c r="AC3493">
        <v>1115</v>
      </c>
      <c r="AD3493">
        <v>0</v>
      </c>
      <c r="AE3493">
        <v>0</v>
      </c>
      <c r="AF3493">
        <v>0</v>
      </c>
      <c r="AG3493">
        <v>0</v>
      </c>
      <c r="AH3493">
        <v>0</v>
      </c>
      <c r="AI3493">
        <v>0</v>
      </c>
      <c r="AJ3493">
        <v>0</v>
      </c>
      <c r="AK3493">
        <v>0</v>
      </c>
      <c r="AL3493">
        <v>0</v>
      </c>
      <c r="AM3493">
        <v>0</v>
      </c>
      <c r="AN3493">
        <v>0</v>
      </c>
      <c r="AO3493">
        <v>0</v>
      </c>
      <c r="AP3493">
        <v>0</v>
      </c>
      <c r="AQ3493">
        <v>0</v>
      </c>
      <c r="AR3493">
        <v>0</v>
      </c>
      <c r="AS3493">
        <v>0</v>
      </c>
      <c r="AT3493">
        <v>0</v>
      </c>
      <c r="AU3493">
        <f t="shared" si="108"/>
        <v>0</v>
      </c>
      <c r="AV3493">
        <f t="shared" si="109"/>
        <v>0</v>
      </c>
    </row>
    <row r="3494" spans="1:48" x14ac:dyDescent="0.25">
      <c r="A3494" t="s">
        <v>11157</v>
      </c>
      <c r="C3494" t="s">
        <v>11158</v>
      </c>
      <c r="D3494" t="s">
        <v>10693</v>
      </c>
      <c r="E3494" t="s">
        <v>2310</v>
      </c>
      <c r="F3494">
        <v>10</v>
      </c>
      <c r="G3494">
        <v>10.1</v>
      </c>
      <c r="H3494" t="s">
        <v>2323</v>
      </c>
      <c r="I3494" s="21">
        <v>41204.360335648104</v>
      </c>
      <c r="J3494">
        <v>2012</v>
      </c>
      <c r="K3494" s="21">
        <v>41204.360335648104</v>
      </c>
      <c r="L3494">
        <v>2012</v>
      </c>
      <c r="M3494" s="21">
        <v>41542.299976851798</v>
      </c>
      <c r="N3494">
        <v>2013</v>
      </c>
      <c r="Q3494" s="262">
        <v>4000</v>
      </c>
      <c r="R3494" s="262">
        <v>9000</v>
      </c>
      <c r="S3494" t="s">
        <v>114</v>
      </c>
      <c r="T3494" t="s">
        <v>114</v>
      </c>
      <c r="U3494">
        <v>4</v>
      </c>
      <c r="W3494">
        <v>221</v>
      </c>
      <c r="X3494">
        <v>0</v>
      </c>
      <c r="Y3494">
        <v>0</v>
      </c>
      <c r="Z3494">
        <v>0</v>
      </c>
      <c r="AA3494">
        <v>0</v>
      </c>
      <c r="AB3494">
        <v>221</v>
      </c>
      <c r="AC3494">
        <v>0</v>
      </c>
      <c r="AD3494">
        <v>0</v>
      </c>
      <c r="AE3494">
        <v>0</v>
      </c>
      <c r="AF3494">
        <v>0</v>
      </c>
      <c r="AG3494">
        <v>0</v>
      </c>
      <c r="AH3494">
        <v>0</v>
      </c>
      <c r="AI3494">
        <v>0</v>
      </c>
      <c r="AJ3494">
        <v>0</v>
      </c>
      <c r="AK3494">
        <v>0</v>
      </c>
      <c r="AL3494">
        <v>0</v>
      </c>
      <c r="AM3494">
        <v>0</v>
      </c>
      <c r="AN3494">
        <v>0</v>
      </c>
      <c r="AO3494">
        <v>0</v>
      </c>
      <c r="AP3494">
        <v>0</v>
      </c>
      <c r="AQ3494">
        <v>0</v>
      </c>
      <c r="AR3494">
        <v>0</v>
      </c>
      <c r="AS3494">
        <v>0</v>
      </c>
      <c r="AT3494">
        <v>0</v>
      </c>
      <c r="AU3494">
        <f t="shared" si="108"/>
        <v>0</v>
      </c>
      <c r="AV3494">
        <f t="shared" si="109"/>
        <v>221</v>
      </c>
    </row>
    <row r="3495" spans="1:48" x14ac:dyDescent="0.25">
      <c r="A3495" t="s">
        <v>11159</v>
      </c>
      <c r="C3495" t="s">
        <v>11160</v>
      </c>
      <c r="D3495" t="s">
        <v>8527</v>
      </c>
      <c r="E3495" t="s">
        <v>1663</v>
      </c>
      <c r="F3495">
        <v>2</v>
      </c>
      <c r="G3495">
        <v>2.6</v>
      </c>
      <c r="H3495" t="s">
        <v>2327</v>
      </c>
      <c r="I3495" s="21">
        <v>41205</v>
      </c>
      <c r="J3495">
        <v>2012</v>
      </c>
      <c r="K3495" s="21">
        <v>41236</v>
      </c>
      <c r="L3495">
        <v>2012</v>
      </c>
      <c r="M3495" s="21">
        <v>41387</v>
      </c>
      <c r="N3495">
        <v>2013</v>
      </c>
      <c r="Q3495" s="262">
        <v>110000</v>
      </c>
      <c r="S3495" t="s">
        <v>114</v>
      </c>
      <c r="T3495" t="s">
        <v>114</v>
      </c>
      <c r="W3495">
        <v>416</v>
      </c>
      <c r="X3495">
        <v>1</v>
      </c>
      <c r="Y3495">
        <v>0</v>
      </c>
      <c r="Z3495">
        <v>0</v>
      </c>
      <c r="AA3495">
        <v>0</v>
      </c>
      <c r="AB3495">
        <v>0</v>
      </c>
      <c r="AC3495">
        <v>0</v>
      </c>
      <c r="AD3495">
        <v>0</v>
      </c>
      <c r="AE3495">
        <v>416</v>
      </c>
      <c r="AF3495">
        <v>0</v>
      </c>
      <c r="AG3495">
        <v>0</v>
      </c>
      <c r="AH3495">
        <v>0</v>
      </c>
      <c r="AI3495">
        <v>0</v>
      </c>
      <c r="AJ3495">
        <v>0</v>
      </c>
      <c r="AK3495">
        <v>0</v>
      </c>
      <c r="AL3495">
        <v>0</v>
      </c>
      <c r="AM3495">
        <v>0</v>
      </c>
      <c r="AN3495">
        <v>0</v>
      </c>
      <c r="AO3495">
        <v>0</v>
      </c>
      <c r="AP3495">
        <v>0</v>
      </c>
      <c r="AQ3495">
        <v>1</v>
      </c>
      <c r="AR3495">
        <v>0</v>
      </c>
      <c r="AS3495">
        <v>0</v>
      </c>
      <c r="AT3495">
        <v>0</v>
      </c>
      <c r="AU3495">
        <f t="shared" si="108"/>
        <v>1</v>
      </c>
      <c r="AV3495">
        <f t="shared" si="109"/>
        <v>0</v>
      </c>
    </row>
    <row r="3496" spans="1:48" x14ac:dyDescent="0.25">
      <c r="A3496" t="s">
        <v>11161</v>
      </c>
      <c r="C3496" t="s">
        <v>11162</v>
      </c>
      <c r="D3496" t="s">
        <v>11163</v>
      </c>
      <c r="E3496" t="s">
        <v>2310</v>
      </c>
      <c r="F3496">
        <v>15</v>
      </c>
      <c r="G3496">
        <v>15.2</v>
      </c>
      <c r="H3496" t="s">
        <v>2323</v>
      </c>
      <c r="I3496" s="21">
        <v>41205.608854166698</v>
      </c>
      <c r="J3496">
        <v>2012</v>
      </c>
      <c r="K3496" s="21">
        <v>41205.608854166698</v>
      </c>
      <c r="L3496">
        <v>2012</v>
      </c>
      <c r="P3496" s="21">
        <v>42292.640949074099</v>
      </c>
      <c r="Q3496" s="262">
        <v>60000</v>
      </c>
      <c r="R3496" s="262">
        <v>36000</v>
      </c>
      <c r="S3496" t="s">
        <v>114</v>
      </c>
      <c r="T3496" t="s">
        <v>114</v>
      </c>
      <c r="U3496">
        <v>5</v>
      </c>
      <c r="W3496">
        <v>344</v>
      </c>
      <c r="X3496">
        <v>0</v>
      </c>
      <c r="Y3496">
        <v>0</v>
      </c>
      <c r="Z3496">
        <v>0</v>
      </c>
      <c r="AA3496">
        <v>0</v>
      </c>
      <c r="AB3496">
        <v>0</v>
      </c>
      <c r="AC3496">
        <v>344</v>
      </c>
      <c r="AD3496">
        <v>0</v>
      </c>
      <c r="AE3496">
        <v>0</v>
      </c>
      <c r="AF3496">
        <v>0</v>
      </c>
      <c r="AG3496">
        <v>0</v>
      </c>
      <c r="AH3496">
        <v>0</v>
      </c>
      <c r="AI3496">
        <v>0</v>
      </c>
      <c r="AJ3496">
        <v>0</v>
      </c>
      <c r="AK3496">
        <v>0</v>
      </c>
      <c r="AL3496">
        <v>0</v>
      </c>
      <c r="AM3496">
        <v>0</v>
      </c>
      <c r="AN3496">
        <v>0</v>
      </c>
      <c r="AO3496">
        <v>0</v>
      </c>
      <c r="AP3496">
        <v>0</v>
      </c>
      <c r="AQ3496">
        <v>0</v>
      </c>
      <c r="AR3496">
        <v>0</v>
      </c>
      <c r="AS3496">
        <v>0</v>
      </c>
      <c r="AT3496">
        <v>0</v>
      </c>
      <c r="AU3496">
        <f t="shared" si="108"/>
        <v>0</v>
      </c>
      <c r="AV3496">
        <f t="shared" si="109"/>
        <v>0</v>
      </c>
    </row>
    <row r="3497" spans="1:48" x14ac:dyDescent="0.25">
      <c r="A3497" t="s">
        <v>11164</v>
      </c>
      <c r="C3497" t="s">
        <v>11165</v>
      </c>
      <c r="D3497" t="s">
        <v>11166</v>
      </c>
      <c r="E3497" t="s">
        <v>2310</v>
      </c>
      <c r="F3497">
        <v>9</v>
      </c>
      <c r="G3497">
        <v>9.1999999999999993</v>
      </c>
      <c r="H3497" t="s">
        <v>2022</v>
      </c>
      <c r="I3497" s="21">
        <v>41207.378657407397</v>
      </c>
      <c r="J3497">
        <v>2012</v>
      </c>
      <c r="K3497" s="21">
        <v>41207.378657407397</v>
      </c>
      <c r="L3497">
        <v>2012</v>
      </c>
      <c r="M3497" s="21">
        <v>41467.486099537004</v>
      </c>
      <c r="N3497">
        <v>2013</v>
      </c>
      <c r="Q3497" s="262">
        <v>307000</v>
      </c>
      <c r="R3497" s="262">
        <v>98000</v>
      </c>
      <c r="S3497" t="s">
        <v>114</v>
      </c>
      <c r="T3497" t="s">
        <v>114</v>
      </c>
      <c r="U3497">
        <v>8</v>
      </c>
      <c r="W3497">
        <v>860</v>
      </c>
      <c r="X3497">
        <v>1</v>
      </c>
      <c r="Y3497">
        <v>0</v>
      </c>
      <c r="Z3497">
        <v>0</v>
      </c>
      <c r="AA3497">
        <v>0</v>
      </c>
      <c r="AB3497">
        <v>0</v>
      </c>
      <c r="AC3497">
        <v>0</v>
      </c>
      <c r="AD3497">
        <v>0</v>
      </c>
      <c r="AE3497">
        <v>0</v>
      </c>
      <c r="AF3497">
        <v>860</v>
      </c>
      <c r="AG3497">
        <v>0</v>
      </c>
      <c r="AH3497">
        <v>0</v>
      </c>
      <c r="AI3497">
        <v>0</v>
      </c>
      <c r="AJ3497">
        <v>0</v>
      </c>
      <c r="AK3497">
        <v>0</v>
      </c>
      <c r="AL3497">
        <v>0</v>
      </c>
      <c r="AM3497">
        <v>0</v>
      </c>
      <c r="AN3497">
        <v>0</v>
      </c>
      <c r="AO3497">
        <v>0</v>
      </c>
      <c r="AP3497">
        <v>0</v>
      </c>
      <c r="AQ3497">
        <v>0</v>
      </c>
      <c r="AR3497">
        <v>1</v>
      </c>
      <c r="AS3497">
        <v>0</v>
      </c>
      <c r="AT3497">
        <v>0</v>
      </c>
      <c r="AU3497">
        <f t="shared" si="108"/>
        <v>0</v>
      </c>
      <c r="AV3497">
        <f t="shared" si="109"/>
        <v>0</v>
      </c>
    </row>
    <row r="3498" spans="1:48" x14ac:dyDescent="0.25">
      <c r="A3498" t="s">
        <v>11167</v>
      </c>
      <c r="C3498" t="s">
        <v>11168</v>
      </c>
      <c r="D3498" t="s">
        <v>11169</v>
      </c>
      <c r="E3498" t="s">
        <v>2310</v>
      </c>
      <c r="F3498">
        <v>9</v>
      </c>
      <c r="G3498">
        <v>9.1</v>
      </c>
      <c r="H3498" t="s">
        <v>2323</v>
      </c>
      <c r="I3498" s="21">
        <v>41207.433923611097</v>
      </c>
      <c r="J3498">
        <v>2012</v>
      </c>
      <c r="K3498" s="21">
        <v>41444.348067129598</v>
      </c>
      <c r="L3498">
        <v>2013</v>
      </c>
      <c r="M3498" s="21">
        <v>42108.4688888889</v>
      </c>
      <c r="N3498">
        <v>2015</v>
      </c>
      <c r="Q3498" s="262">
        <v>225000</v>
      </c>
      <c r="R3498" s="262">
        <v>175000</v>
      </c>
      <c r="S3498" t="s">
        <v>114</v>
      </c>
      <c r="T3498" t="s">
        <v>114</v>
      </c>
      <c r="U3498">
        <v>5</v>
      </c>
      <c r="W3498">
        <v>2047</v>
      </c>
      <c r="X3498">
        <v>0</v>
      </c>
      <c r="Y3498">
        <v>0</v>
      </c>
      <c r="Z3498">
        <v>0</v>
      </c>
      <c r="AA3498">
        <v>0</v>
      </c>
      <c r="AB3498">
        <v>0</v>
      </c>
      <c r="AC3498">
        <v>2047</v>
      </c>
      <c r="AD3498">
        <v>0</v>
      </c>
      <c r="AE3498">
        <v>0</v>
      </c>
      <c r="AF3498">
        <v>0</v>
      </c>
      <c r="AG3498">
        <v>0</v>
      </c>
      <c r="AH3498">
        <v>0</v>
      </c>
      <c r="AI3498">
        <v>0</v>
      </c>
      <c r="AJ3498">
        <v>0</v>
      </c>
      <c r="AK3498">
        <v>0</v>
      </c>
      <c r="AL3498">
        <v>0</v>
      </c>
      <c r="AM3498">
        <v>0</v>
      </c>
      <c r="AN3498">
        <v>0</v>
      </c>
      <c r="AO3498">
        <v>0</v>
      </c>
      <c r="AP3498">
        <v>0</v>
      </c>
      <c r="AQ3498">
        <v>0</v>
      </c>
      <c r="AR3498">
        <v>0</v>
      </c>
      <c r="AS3498">
        <v>0</v>
      </c>
      <c r="AT3498">
        <v>0</v>
      </c>
      <c r="AU3498">
        <f t="shared" si="108"/>
        <v>0</v>
      </c>
      <c r="AV3498">
        <f t="shared" si="109"/>
        <v>0</v>
      </c>
    </row>
    <row r="3499" spans="1:48" x14ac:dyDescent="0.25">
      <c r="A3499" t="s">
        <v>11170</v>
      </c>
      <c r="C3499" t="s">
        <v>11171</v>
      </c>
      <c r="D3499" t="s">
        <v>11172</v>
      </c>
      <c r="E3499" t="s">
        <v>2310</v>
      </c>
      <c r="F3499">
        <v>15</v>
      </c>
      <c r="G3499">
        <v>15.2</v>
      </c>
      <c r="H3499" t="s">
        <v>2323</v>
      </c>
      <c r="I3499" s="21">
        <v>41208.504131944399</v>
      </c>
      <c r="J3499">
        <v>2012</v>
      </c>
      <c r="K3499" s="21">
        <v>41208.504131944399</v>
      </c>
      <c r="L3499">
        <v>2012</v>
      </c>
      <c r="M3499" s="21">
        <v>41473.611840277801</v>
      </c>
      <c r="N3499">
        <v>2013</v>
      </c>
      <c r="Q3499" s="262">
        <v>650000</v>
      </c>
      <c r="R3499" s="262">
        <v>181000</v>
      </c>
      <c r="S3499" t="s">
        <v>114</v>
      </c>
      <c r="T3499" t="s">
        <v>114</v>
      </c>
      <c r="U3499">
        <v>5</v>
      </c>
      <c r="W3499">
        <v>4507</v>
      </c>
      <c r="X3499">
        <v>0</v>
      </c>
      <c r="Y3499">
        <v>0</v>
      </c>
      <c r="Z3499">
        <v>0</v>
      </c>
      <c r="AA3499">
        <v>0</v>
      </c>
      <c r="AB3499">
        <v>0</v>
      </c>
      <c r="AC3499">
        <v>4507</v>
      </c>
      <c r="AD3499">
        <v>0</v>
      </c>
      <c r="AE3499">
        <v>0</v>
      </c>
      <c r="AF3499">
        <v>0</v>
      </c>
      <c r="AG3499">
        <v>0</v>
      </c>
      <c r="AH3499">
        <v>0</v>
      </c>
      <c r="AI3499">
        <v>0</v>
      </c>
      <c r="AJ3499">
        <v>0</v>
      </c>
      <c r="AK3499">
        <v>0</v>
      </c>
      <c r="AL3499">
        <v>0</v>
      </c>
      <c r="AM3499">
        <v>0</v>
      </c>
      <c r="AN3499">
        <v>0</v>
      </c>
      <c r="AO3499">
        <v>0</v>
      </c>
      <c r="AP3499">
        <v>0</v>
      </c>
      <c r="AQ3499">
        <v>0</v>
      </c>
      <c r="AR3499">
        <v>0</v>
      </c>
      <c r="AS3499">
        <v>0</v>
      </c>
      <c r="AT3499">
        <v>0</v>
      </c>
      <c r="AU3499">
        <f t="shared" si="108"/>
        <v>0</v>
      </c>
      <c r="AV3499">
        <f t="shared" si="109"/>
        <v>0</v>
      </c>
    </row>
    <row r="3500" spans="1:48" x14ac:dyDescent="0.25">
      <c r="A3500" t="s">
        <v>11173</v>
      </c>
      <c r="C3500" t="s">
        <v>11174</v>
      </c>
      <c r="D3500" t="s">
        <v>11175</v>
      </c>
      <c r="E3500" t="s">
        <v>2310</v>
      </c>
      <c r="F3500">
        <v>8</v>
      </c>
      <c r="G3500">
        <v>8.1999999999999993</v>
      </c>
      <c r="H3500" t="s">
        <v>2022</v>
      </c>
      <c r="I3500" s="21">
        <v>41211.295231481497</v>
      </c>
      <c r="J3500">
        <v>2012</v>
      </c>
      <c r="K3500" s="21">
        <v>41211.295231481497</v>
      </c>
      <c r="L3500">
        <v>2012</v>
      </c>
      <c r="M3500" s="21">
        <v>42180.4375462963</v>
      </c>
      <c r="N3500">
        <v>2015</v>
      </c>
      <c r="Q3500" s="262">
        <v>1500000</v>
      </c>
      <c r="R3500" s="262">
        <v>688000</v>
      </c>
      <c r="S3500" t="s">
        <v>114</v>
      </c>
      <c r="T3500" t="s">
        <v>114</v>
      </c>
      <c r="U3500">
        <v>5</v>
      </c>
      <c r="W3500">
        <v>7436</v>
      </c>
      <c r="X3500">
        <v>1</v>
      </c>
      <c r="Y3500">
        <v>0</v>
      </c>
      <c r="Z3500">
        <v>0</v>
      </c>
      <c r="AA3500">
        <v>0</v>
      </c>
      <c r="AB3500">
        <v>0</v>
      </c>
      <c r="AC3500">
        <v>7436</v>
      </c>
      <c r="AD3500">
        <v>0</v>
      </c>
      <c r="AE3500">
        <v>0</v>
      </c>
      <c r="AF3500">
        <v>0</v>
      </c>
      <c r="AG3500">
        <v>0</v>
      </c>
      <c r="AH3500">
        <v>0</v>
      </c>
      <c r="AI3500">
        <v>0</v>
      </c>
      <c r="AJ3500">
        <v>0</v>
      </c>
      <c r="AK3500">
        <v>0</v>
      </c>
      <c r="AL3500">
        <v>0</v>
      </c>
      <c r="AM3500">
        <v>0</v>
      </c>
      <c r="AN3500">
        <v>0</v>
      </c>
      <c r="AO3500">
        <v>1</v>
      </c>
      <c r="AP3500">
        <v>0</v>
      </c>
      <c r="AQ3500">
        <v>0</v>
      </c>
      <c r="AR3500">
        <v>0</v>
      </c>
      <c r="AS3500">
        <v>0</v>
      </c>
      <c r="AT3500">
        <v>0</v>
      </c>
      <c r="AU3500">
        <f t="shared" si="108"/>
        <v>1</v>
      </c>
      <c r="AV3500">
        <f t="shared" si="109"/>
        <v>0</v>
      </c>
    </row>
    <row r="3501" spans="1:48" x14ac:dyDescent="0.25">
      <c r="A3501" t="s">
        <v>17618</v>
      </c>
      <c r="B3501" t="s">
        <v>114</v>
      </c>
      <c r="C3501" t="s">
        <v>17619</v>
      </c>
      <c r="D3501" t="s">
        <v>8001</v>
      </c>
      <c r="E3501" t="s">
        <v>2310</v>
      </c>
      <c r="F3501">
        <v>10</v>
      </c>
      <c r="G3501">
        <v>10.1</v>
      </c>
      <c r="H3501" t="s">
        <v>2323</v>
      </c>
      <c r="I3501" s="21">
        <v>41213.512418981481</v>
      </c>
      <c r="J3501">
        <v>2012</v>
      </c>
      <c r="K3501" s="21">
        <v>41213.512418981481</v>
      </c>
      <c r="L3501">
        <v>2012</v>
      </c>
      <c r="M3501" s="21">
        <v>44096.601980324071</v>
      </c>
      <c r="N3501">
        <v>2020</v>
      </c>
      <c r="Q3501" s="262">
        <v>75000</v>
      </c>
      <c r="R3501" s="262">
        <v>54000</v>
      </c>
      <c r="S3501" t="s">
        <v>13253</v>
      </c>
      <c r="T3501">
        <v>1066</v>
      </c>
      <c r="U3501">
        <v>5</v>
      </c>
      <c r="W3501">
        <v>690</v>
      </c>
      <c r="X3501">
        <v>0</v>
      </c>
      <c r="Y3501">
        <v>0</v>
      </c>
      <c r="Z3501">
        <v>0</v>
      </c>
      <c r="AA3501">
        <v>0</v>
      </c>
      <c r="AB3501">
        <v>0</v>
      </c>
      <c r="AC3501">
        <v>690</v>
      </c>
      <c r="AD3501">
        <v>0</v>
      </c>
      <c r="AE3501">
        <v>0</v>
      </c>
      <c r="AF3501">
        <v>0</v>
      </c>
      <c r="AG3501">
        <v>0</v>
      </c>
      <c r="AH3501">
        <v>0</v>
      </c>
      <c r="AI3501">
        <v>0</v>
      </c>
      <c r="AJ3501">
        <v>0</v>
      </c>
      <c r="AK3501">
        <v>0</v>
      </c>
      <c r="AL3501">
        <v>0</v>
      </c>
      <c r="AM3501">
        <v>0</v>
      </c>
      <c r="AN3501">
        <v>0</v>
      </c>
      <c r="AO3501">
        <v>0</v>
      </c>
      <c r="AP3501">
        <v>0</v>
      </c>
      <c r="AQ3501">
        <v>0</v>
      </c>
      <c r="AR3501">
        <v>0</v>
      </c>
      <c r="AS3501">
        <v>0</v>
      </c>
      <c r="AT3501">
        <v>0</v>
      </c>
      <c r="AU3501">
        <f t="shared" si="108"/>
        <v>0</v>
      </c>
      <c r="AV3501">
        <f t="shared" si="109"/>
        <v>0</v>
      </c>
    </row>
    <row r="3502" spans="1:48" x14ac:dyDescent="0.25">
      <c r="A3502" t="s">
        <v>11176</v>
      </c>
      <c r="C3502" t="s">
        <v>11177</v>
      </c>
      <c r="D3502" t="s">
        <v>11178</v>
      </c>
      <c r="E3502" t="s">
        <v>2310</v>
      </c>
      <c r="F3502">
        <v>14</v>
      </c>
      <c r="G3502">
        <v>14.1</v>
      </c>
      <c r="H3502" t="s">
        <v>2022</v>
      </c>
      <c r="I3502" s="21">
        <v>41214.590358796297</v>
      </c>
      <c r="J3502">
        <v>2012</v>
      </c>
      <c r="K3502" s="21">
        <v>42430.370763888903</v>
      </c>
      <c r="L3502">
        <v>2016</v>
      </c>
      <c r="P3502" s="21">
        <v>42916.485694444404</v>
      </c>
      <c r="Q3502" s="262">
        <v>2500000</v>
      </c>
      <c r="R3502" s="262">
        <v>851000</v>
      </c>
      <c r="S3502" t="s">
        <v>114</v>
      </c>
      <c r="T3502" t="s">
        <v>114</v>
      </c>
      <c r="U3502">
        <v>5</v>
      </c>
      <c r="V3502">
        <v>3446</v>
      </c>
      <c r="W3502">
        <v>5690</v>
      </c>
      <c r="X3502">
        <v>1</v>
      </c>
      <c r="Y3502">
        <v>0</v>
      </c>
      <c r="Z3502">
        <v>0</v>
      </c>
      <c r="AA3502">
        <v>0</v>
      </c>
      <c r="AB3502">
        <v>0</v>
      </c>
      <c r="AC3502">
        <v>5690</v>
      </c>
      <c r="AD3502">
        <v>0</v>
      </c>
      <c r="AE3502">
        <v>0</v>
      </c>
      <c r="AF3502">
        <v>0</v>
      </c>
      <c r="AG3502">
        <v>0</v>
      </c>
      <c r="AH3502">
        <v>0</v>
      </c>
      <c r="AI3502">
        <v>0</v>
      </c>
      <c r="AJ3502">
        <v>0</v>
      </c>
      <c r="AK3502">
        <v>0</v>
      </c>
      <c r="AL3502">
        <v>0</v>
      </c>
      <c r="AM3502">
        <v>0</v>
      </c>
      <c r="AN3502">
        <v>0</v>
      </c>
      <c r="AO3502">
        <v>1</v>
      </c>
      <c r="AP3502">
        <v>0</v>
      </c>
      <c r="AQ3502">
        <v>0</v>
      </c>
      <c r="AR3502">
        <v>0</v>
      </c>
      <c r="AS3502">
        <v>0</v>
      </c>
      <c r="AT3502">
        <v>0</v>
      </c>
      <c r="AU3502">
        <f t="shared" si="108"/>
        <v>1</v>
      </c>
      <c r="AV3502">
        <f t="shared" si="109"/>
        <v>0</v>
      </c>
    </row>
    <row r="3503" spans="1:48" x14ac:dyDescent="0.25">
      <c r="A3503" t="s">
        <v>11179</v>
      </c>
      <c r="C3503" t="s">
        <v>11180</v>
      </c>
      <c r="D3503" t="s">
        <v>7266</v>
      </c>
      <c r="E3503" t="s">
        <v>2310</v>
      </c>
      <c r="F3503">
        <v>12</v>
      </c>
      <c r="G3503">
        <v>12.2</v>
      </c>
      <c r="H3503" t="s">
        <v>2017</v>
      </c>
      <c r="I3503" s="21">
        <v>41219.478472222203</v>
      </c>
      <c r="J3503">
        <v>2012</v>
      </c>
      <c r="K3503" s="21">
        <v>42738.585335648102</v>
      </c>
      <c r="L3503">
        <v>2017</v>
      </c>
      <c r="M3503" s="21">
        <v>41352.722349536998</v>
      </c>
      <c r="N3503">
        <v>2013</v>
      </c>
      <c r="Q3503" s="262">
        <v>70000</v>
      </c>
      <c r="R3503" s="262">
        <v>29000</v>
      </c>
      <c r="S3503" t="s">
        <v>114</v>
      </c>
      <c r="T3503" t="s">
        <v>114</v>
      </c>
      <c r="U3503">
        <v>10</v>
      </c>
      <c r="W3503">
        <v>315</v>
      </c>
      <c r="X3503">
        <v>0</v>
      </c>
      <c r="Y3503">
        <v>0</v>
      </c>
      <c r="Z3503">
        <v>0</v>
      </c>
      <c r="AA3503">
        <v>0</v>
      </c>
      <c r="AB3503">
        <v>0</v>
      </c>
      <c r="AC3503">
        <v>0</v>
      </c>
      <c r="AD3503">
        <v>0</v>
      </c>
      <c r="AE3503">
        <v>0</v>
      </c>
      <c r="AF3503">
        <v>0</v>
      </c>
      <c r="AG3503">
        <v>0</v>
      </c>
      <c r="AH3503">
        <v>315</v>
      </c>
      <c r="AI3503">
        <v>0</v>
      </c>
      <c r="AJ3503">
        <v>0</v>
      </c>
      <c r="AK3503">
        <v>0</v>
      </c>
      <c r="AL3503">
        <v>0</v>
      </c>
      <c r="AM3503">
        <v>0</v>
      </c>
      <c r="AN3503">
        <v>0</v>
      </c>
      <c r="AO3503">
        <v>0</v>
      </c>
      <c r="AP3503">
        <v>0</v>
      </c>
      <c r="AQ3503">
        <v>0</v>
      </c>
      <c r="AR3503">
        <v>0</v>
      </c>
      <c r="AS3503">
        <v>0</v>
      </c>
      <c r="AT3503">
        <v>0</v>
      </c>
      <c r="AU3503">
        <f t="shared" si="108"/>
        <v>0</v>
      </c>
      <c r="AV3503">
        <f t="shared" si="109"/>
        <v>315</v>
      </c>
    </row>
    <row r="3504" spans="1:48" x14ac:dyDescent="0.25">
      <c r="A3504" t="s">
        <v>11181</v>
      </c>
      <c r="C3504" t="s">
        <v>11182</v>
      </c>
      <c r="D3504" t="s">
        <v>11183</v>
      </c>
      <c r="E3504" t="s">
        <v>2310</v>
      </c>
      <c r="F3504">
        <v>8</v>
      </c>
      <c r="G3504">
        <v>8.1</v>
      </c>
      <c r="H3504" t="s">
        <v>2323</v>
      </c>
      <c r="I3504" s="21">
        <v>41222.5789351852</v>
      </c>
      <c r="J3504">
        <v>2012</v>
      </c>
      <c r="K3504" s="21">
        <v>41222.5789351852</v>
      </c>
      <c r="L3504">
        <v>2012</v>
      </c>
      <c r="M3504" s="21">
        <v>41871.534039351798</v>
      </c>
      <c r="N3504">
        <v>2014</v>
      </c>
      <c r="Q3504" s="262">
        <v>1900000</v>
      </c>
      <c r="R3504" s="262">
        <v>340000</v>
      </c>
      <c r="S3504" t="s">
        <v>114</v>
      </c>
      <c r="T3504" t="s">
        <v>114</v>
      </c>
      <c r="U3504">
        <v>5</v>
      </c>
      <c r="W3504">
        <v>3260</v>
      </c>
      <c r="X3504">
        <v>1</v>
      </c>
      <c r="Y3504">
        <v>0</v>
      </c>
      <c r="Z3504">
        <v>0</v>
      </c>
      <c r="AA3504">
        <v>0</v>
      </c>
      <c r="AB3504">
        <v>0</v>
      </c>
      <c r="AC3504">
        <v>3260</v>
      </c>
      <c r="AD3504">
        <v>0</v>
      </c>
      <c r="AE3504">
        <v>0</v>
      </c>
      <c r="AF3504">
        <v>0</v>
      </c>
      <c r="AG3504">
        <v>0</v>
      </c>
      <c r="AH3504">
        <v>0</v>
      </c>
      <c r="AI3504">
        <v>0</v>
      </c>
      <c r="AJ3504">
        <v>0</v>
      </c>
      <c r="AK3504">
        <v>0</v>
      </c>
      <c r="AL3504">
        <v>0</v>
      </c>
      <c r="AM3504">
        <v>0</v>
      </c>
      <c r="AN3504">
        <v>0</v>
      </c>
      <c r="AO3504">
        <v>1</v>
      </c>
      <c r="AP3504">
        <v>0</v>
      </c>
      <c r="AQ3504">
        <v>0</v>
      </c>
      <c r="AR3504">
        <v>0</v>
      </c>
      <c r="AS3504">
        <v>0</v>
      </c>
      <c r="AT3504">
        <v>0</v>
      </c>
      <c r="AU3504">
        <f t="shared" si="108"/>
        <v>1</v>
      </c>
      <c r="AV3504">
        <f t="shared" si="109"/>
        <v>0</v>
      </c>
    </row>
    <row r="3505" spans="1:48" x14ac:dyDescent="0.25">
      <c r="A3505" t="s">
        <v>11184</v>
      </c>
      <c r="C3505" t="s">
        <v>10237</v>
      </c>
      <c r="D3505" t="s">
        <v>11185</v>
      </c>
      <c r="E3505" t="s">
        <v>2310</v>
      </c>
      <c r="F3505">
        <v>15</v>
      </c>
      <c r="G3505">
        <v>15.2</v>
      </c>
      <c r="H3505" t="s">
        <v>2323</v>
      </c>
      <c r="I3505" s="21">
        <v>41229.494583333297</v>
      </c>
      <c r="J3505">
        <v>2012</v>
      </c>
      <c r="K3505" s="21">
        <v>41450.328831018502</v>
      </c>
      <c r="L3505">
        <v>2013</v>
      </c>
      <c r="M3505" s="21">
        <v>42208.374814814801</v>
      </c>
      <c r="N3505">
        <v>2015</v>
      </c>
      <c r="Q3505" s="262">
        <v>500000</v>
      </c>
      <c r="R3505" s="262">
        <v>197000</v>
      </c>
      <c r="S3505" t="s">
        <v>114</v>
      </c>
      <c r="T3505" t="s">
        <v>114</v>
      </c>
      <c r="U3505">
        <v>5</v>
      </c>
      <c r="W3505">
        <v>1680</v>
      </c>
      <c r="X3505">
        <v>1</v>
      </c>
      <c r="Y3505">
        <v>0</v>
      </c>
      <c r="Z3505">
        <v>0</v>
      </c>
      <c r="AA3505">
        <v>0</v>
      </c>
      <c r="AB3505">
        <v>0</v>
      </c>
      <c r="AC3505">
        <v>1680</v>
      </c>
      <c r="AD3505">
        <v>0</v>
      </c>
      <c r="AE3505">
        <v>0</v>
      </c>
      <c r="AF3505">
        <v>0</v>
      </c>
      <c r="AG3505">
        <v>0</v>
      </c>
      <c r="AH3505">
        <v>0</v>
      </c>
      <c r="AI3505">
        <v>0</v>
      </c>
      <c r="AJ3505">
        <v>0</v>
      </c>
      <c r="AK3505">
        <v>0</v>
      </c>
      <c r="AL3505">
        <v>0</v>
      </c>
      <c r="AM3505">
        <v>0</v>
      </c>
      <c r="AN3505">
        <v>0</v>
      </c>
      <c r="AO3505">
        <v>1</v>
      </c>
      <c r="AP3505">
        <v>0</v>
      </c>
      <c r="AQ3505">
        <v>0</v>
      </c>
      <c r="AR3505">
        <v>0</v>
      </c>
      <c r="AS3505">
        <v>0</v>
      </c>
      <c r="AT3505">
        <v>0</v>
      </c>
      <c r="AU3505">
        <f t="shared" si="108"/>
        <v>1</v>
      </c>
      <c r="AV3505">
        <f t="shared" si="109"/>
        <v>0</v>
      </c>
    </row>
    <row r="3506" spans="1:48" x14ac:dyDescent="0.25">
      <c r="A3506" t="s">
        <v>11186</v>
      </c>
      <c r="C3506" t="s">
        <v>5048</v>
      </c>
      <c r="D3506" t="s">
        <v>11185</v>
      </c>
      <c r="E3506" t="s">
        <v>2310</v>
      </c>
      <c r="F3506">
        <v>15</v>
      </c>
      <c r="G3506">
        <v>15.2</v>
      </c>
      <c r="H3506" t="s">
        <v>2323</v>
      </c>
      <c r="I3506" s="21">
        <v>41229.500439814801</v>
      </c>
      <c r="J3506">
        <v>2012</v>
      </c>
      <c r="K3506" s="21">
        <v>41456.371724536999</v>
      </c>
      <c r="L3506">
        <v>2013</v>
      </c>
      <c r="M3506" s="21">
        <v>42208.670543981498</v>
      </c>
      <c r="N3506">
        <v>2015</v>
      </c>
      <c r="Q3506" s="262">
        <v>100000</v>
      </c>
      <c r="R3506" s="262">
        <v>70000</v>
      </c>
      <c r="S3506" t="s">
        <v>114</v>
      </c>
      <c r="T3506" t="s">
        <v>114</v>
      </c>
      <c r="U3506">
        <v>5</v>
      </c>
      <c r="W3506">
        <v>1760</v>
      </c>
      <c r="X3506">
        <v>0</v>
      </c>
      <c r="Y3506">
        <v>0</v>
      </c>
      <c r="Z3506">
        <v>0</v>
      </c>
      <c r="AA3506">
        <v>0</v>
      </c>
      <c r="AB3506">
        <v>0</v>
      </c>
      <c r="AC3506">
        <v>1760</v>
      </c>
      <c r="AD3506">
        <v>0</v>
      </c>
      <c r="AE3506">
        <v>0</v>
      </c>
      <c r="AF3506">
        <v>0</v>
      </c>
      <c r="AG3506">
        <v>0</v>
      </c>
      <c r="AH3506">
        <v>0</v>
      </c>
      <c r="AI3506">
        <v>0</v>
      </c>
      <c r="AJ3506">
        <v>0</v>
      </c>
      <c r="AK3506">
        <v>0</v>
      </c>
      <c r="AL3506">
        <v>0</v>
      </c>
      <c r="AM3506">
        <v>0</v>
      </c>
      <c r="AN3506">
        <v>0</v>
      </c>
      <c r="AO3506">
        <v>0</v>
      </c>
      <c r="AP3506">
        <v>0</v>
      </c>
      <c r="AQ3506">
        <v>0</v>
      </c>
      <c r="AR3506">
        <v>0</v>
      </c>
      <c r="AS3506">
        <v>0</v>
      </c>
      <c r="AT3506">
        <v>0</v>
      </c>
      <c r="AU3506">
        <f t="shared" si="108"/>
        <v>0</v>
      </c>
      <c r="AV3506">
        <f t="shared" si="109"/>
        <v>0</v>
      </c>
    </row>
    <row r="3507" spans="1:48" x14ac:dyDescent="0.25">
      <c r="A3507" t="s">
        <v>11187</v>
      </c>
      <c r="C3507" t="s">
        <v>11188</v>
      </c>
      <c r="D3507" t="s">
        <v>11189</v>
      </c>
      <c r="E3507" t="s">
        <v>2310</v>
      </c>
      <c r="F3507">
        <v>11</v>
      </c>
      <c r="G3507">
        <v>11.2</v>
      </c>
      <c r="H3507" t="s">
        <v>2017</v>
      </c>
      <c r="I3507" s="21">
        <v>41234.623946759297</v>
      </c>
      <c r="J3507">
        <v>2012</v>
      </c>
      <c r="K3507" s="21">
        <v>41234.623946759297</v>
      </c>
      <c r="L3507">
        <v>2012</v>
      </c>
      <c r="M3507" s="21">
        <v>41795.471076388902</v>
      </c>
      <c r="N3507">
        <v>2014</v>
      </c>
      <c r="Q3507" s="262">
        <v>250000</v>
      </c>
      <c r="R3507" s="262">
        <v>207000</v>
      </c>
      <c r="S3507" t="s">
        <v>114</v>
      </c>
      <c r="T3507" t="s">
        <v>114</v>
      </c>
      <c r="U3507">
        <v>5</v>
      </c>
      <c r="W3507">
        <v>2208</v>
      </c>
      <c r="X3507">
        <v>0</v>
      </c>
      <c r="Y3507">
        <v>0</v>
      </c>
      <c r="Z3507">
        <v>0</v>
      </c>
      <c r="AA3507">
        <v>0</v>
      </c>
      <c r="AB3507">
        <v>0</v>
      </c>
      <c r="AC3507">
        <v>2208</v>
      </c>
      <c r="AD3507">
        <v>0</v>
      </c>
      <c r="AE3507">
        <v>0</v>
      </c>
      <c r="AF3507">
        <v>0</v>
      </c>
      <c r="AG3507">
        <v>0</v>
      </c>
      <c r="AH3507">
        <v>0</v>
      </c>
      <c r="AI3507">
        <v>0</v>
      </c>
      <c r="AJ3507">
        <v>0</v>
      </c>
      <c r="AK3507">
        <v>0</v>
      </c>
      <c r="AL3507">
        <v>0</v>
      </c>
      <c r="AM3507">
        <v>0</v>
      </c>
      <c r="AN3507">
        <v>0</v>
      </c>
      <c r="AO3507">
        <v>0</v>
      </c>
      <c r="AP3507">
        <v>0</v>
      </c>
      <c r="AQ3507">
        <v>0</v>
      </c>
      <c r="AR3507">
        <v>0</v>
      </c>
      <c r="AS3507">
        <v>0</v>
      </c>
      <c r="AT3507">
        <v>0</v>
      </c>
      <c r="AU3507">
        <f t="shared" si="108"/>
        <v>0</v>
      </c>
      <c r="AV3507">
        <f t="shared" si="109"/>
        <v>0</v>
      </c>
    </row>
    <row r="3508" spans="1:48" x14ac:dyDescent="0.25">
      <c r="A3508" t="s">
        <v>11190</v>
      </c>
      <c r="C3508" t="s">
        <v>11191</v>
      </c>
      <c r="D3508" t="s">
        <v>11192</v>
      </c>
      <c r="E3508" t="s">
        <v>1663</v>
      </c>
      <c r="F3508">
        <v>2</v>
      </c>
      <c r="G3508">
        <v>2.2999999999999998</v>
      </c>
      <c r="H3508" t="s">
        <v>2327</v>
      </c>
      <c r="I3508" s="21">
        <v>41239</v>
      </c>
      <c r="J3508">
        <v>2012</v>
      </c>
      <c r="K3508" s="21">
        <v>41269</v>
      </c>
      <c r="L3508">
        <v>2012</v>
      </c>
      <c r="M3508" s="21">
        <v>41420</v>
      </c>
      <c r="N3508">
        <v>2013</v>
      </c>
      <c r="Q3508" s="262">
        <v>1600000</v>
      </c>
      <c r="S3508" t="s">
        <v>114</v>
      </c>
      <c r="T3508" t="s">
        <v>114</v>
      </c>
      <c r="W3508">
        <v>9741</v>
      </c>
      <c r="X3508">
        <v>0</v>
      </c>
      <c r="Y3508">
        <v>0</v>
      </c>
      <c r="Z3508">
        <v>0</v>
      </c>
      <c r="AA3508">
        <v>0</v>
      </c>
      <c r="AB3508">
        <v>0</v>
      </c>
      <c r="AC3508">
        <v>0</v>
      </c>
      <c r="AD3508">
        <v>0</v>
      </c>
      <c r="AE3508">
        <v>0</v>
      </c>
      <c r="AF3508">
        <v>0</v>
      </c>
      <c r="AG3508">
        <v>0</v>
      </c>
      <c r="AH3508">
        <v>0</v>
      </c>
      <c r="AI3508">
        <v>0</v>
      </c>
      <c r="AJ3508">
        <v>3808</v>
      </c>
      <c r="AK3508">
        <v>5933</v>
      </c>
      <c r="AL3508">
        <v>0</v>
      </c>
      <c r="AM3508">
        <v>0</v>
      </c>
      <c r="AN3508">
        <v>0</v>
      </c>
      <c r="AO3508">
        <v>0</v>
      </c>
      <c r="AP3508">
        <v>0</v>
      </c>
      <c r="AQ3508">
        <v>0</v>
      </c>
      <c r="AR3508">
        <v>0</v>
      </c>
      <c r="AS3508">
        <v>0</v>
      </c>
      <c r="AT3508">
        <v>0</v>
      </c>
      <c r="AU3508">
        <f t="shared" si="108"/>
        <v>0</v>
      </c>
      <c r="AV3508">
        <f t="shared" si="109"/>
        <v>9741</v>
      </c>
    </row>
    <row r="3509" spans="1:48" x14ac:dyDescent="0.25">
      <c r="A3509" t="s">
        <v>11193</v>
      </c>
      <c r="C3509" t="s">
        <v>11194</v>
      </c>
      <c r="D3509" t="s">
        <v>11195</v>
      </c>
      <c r="E3509" t="s">
        <v>1663</v>
      </c>
      <c r="F3509">
        <v>4</v>
      </c>
      <c r="G3509">
        <v>4.2</v>
      </c>
      <c r="H3509" t="s">
        <v>2327</v>
      </c>
      <c r="I3509" s="21">
        <v>41255</v>
      </c>
      <c r="J3509">
        <v>2012</v>
      </c>
      <c r="K3509" s="21">
        <v>41286</v>
      </c>
      <c r="L3509">
        <v>2013</v>
      </c>
      <c r="M3509" s="21">
        <v>41437</v>
      </c>
      <c r="N3509">
        <v>2013</v>
      </c>
      <c r="Q3509" s="262">
        <v>35800</v>
      </c>
      <c r="S3509" t="s">
        <v>114</v>
      </c>
      <c r="T3509" t="s">
        <v>114</v>
      </c>
      <c r="W3509">
        <v>280</v>
      </c>
      <c r="X3509">
        <v>0</v>
      </c>
      <c r="Y3509">
        <v>0</v>
      </c>
      <c r="Z3509">
        <v>0</v>
      </c>
      <c r="AA3509">
        <v>0</v>
      </c>
      <c r="AB3509">
        <v>0</v>
      </c>
      <c r="AC3509">
        <v>280</v>
      </c>
      <c r="AD3509">
        <v>0</v>
      </c>
      <c r="AE3509">
        <v>0</v>
      </c>
      <c r="AF3509">
        <v>0</v>
      </c>
      <c r="AG3509">
        <v>0</v>
      </c>
      <c r="AH3509">
        <v>0</v>
      </c>
      <c r="AI3509">
        <v>0</v>
      </c>
      <c r="AJ3509">
        <v>0</v>
      </c>
      <c r="AK3509">
        <v>0</v>
      </c>
      <c r="AL3509">
        <v>0</v>
      </c>
      <c r="AM3509">
        <v>0</v>
      </c>
      <c r="AN3509">
        <v>0</v>
      </c>
      <c r="AO3509">
        <v>0</v>
      </c>
      <c r="AP3509">
        <v>0</v>
      </c>
      <c r="AQ3509">
        <v>0</v>
      </c>
      <c r="AR3509">
        <v>0</v>
      </c>
      <c r="AS3509">
        <v>0</v>
      </c>
      <c r="AT3509">
        <v>0</v>
      </c>
      <c r="AU3509">
        <f t="shared" si="108"/>
        <v>0</v>
      </c>
      <c r="AV3509">
        <f t="shared" si="109"/>
        <v>0</v>
      </c>
    </row>
    <row r="3510" spans="1:48" x14ac:dyDescent="0.25">
      <c r="A3510" t="s">
        <v>11196</v>
      </c>
      <c r="C3510" t="s">
        <v>5963</v>
      </c>
      <c r="D3510" t="s">
        <v>11197</v>
      </c>
      <c r="E3510" t="s">
        <v>1663</v>
      </c>
      <c r="F3510">
        <v>3</v>
      </c>
      <c r="G3510">
        <v>3.1</v>
      </c>
      <c r="H3510" t="s">
        <v>2017</v>
      </c>
      <c r="I3510" s="21">
        <v>41261</v>
      </c>
      <c r="J3510">
        <v>2012</v>
      </c>
      <c r="K3510" s="21">
        <v>41292</v>
      </c>
      <c r="L3510">
        <v>2013</v>
      </c>
      <c r="M3510" s="21">
        <v>41443</v>
      </c>
      <c r="N3510">
        <v>2013</v>
      </c>
      <c r="Q3510" s="262">
        <v>350000</v>
      </c>
      <c r="S3510" t="s">
        <v>114</v>
      </c>
      <c r="T3510" t="s">
        <v>114</v>
      </c>
      <c r="W3510">
        <v>2002</v>
      </c>
      <c r="X3510">
        <v>0</v>
      </c>
      <c r="Y3510">
        <v>0</v>
      </c>
      <c r="Z3510">
        <v>0</v>
      </c>
      <c r="AA3510">
        <v>0</v>
      </c>
      <c r="AB3510">
        <v>0</v>
      </c>
      <c r="AC3510">
        <v>2002</v>
      </c>
      <c r="AD3510">
        <v>0</v>
      </c>
      <c r="AE3510">
        <v>0</v>
      </c>
      <c r="AF3510">
        <v>0</v>
      </c>
      <c r="AG3510">
        <v>0</v>
      </c>
      <c r="AH3510">
        <v>0</v>
      </c>
      <c r="AI3510">
        <v>0</v>
      </c>
      <c r="AJ3510">
        <v>0</v>
      </c>
      <c r="AK3510">
        <v>0</v>
      </c>
      <c r="AL3510">
        <v>0</v>
      </c>
      <c r="AM3510">
        <v>0</v>
      </c>
      <c r="AN3510">
        <v>0</v>
      </c>
      <c r="AO3510">
        <v>0</v>
      </c>
      <c r="AP3510">
        <v>0</v>
      </c>
      <c r="AQ3510">
        <v>0</v>
      </c>
      <c r="AR3510">
        <v>0</v>
      </c>
      <c r="AS3510">
        <v>0</v>
      </c>
      <c r="AT3510">
        <v>0</v>
      </c>
      <c r="AU3510">
        <f t="shared" si="108"/>
        <v>0</v>
      </c>
      <c r="AV3510">
        <f t="shared" si="109"/>
        <v>0</v>
      </c>
    </row>
    <row r="3511" spans="1:48" x14ac:dyDescent="0.25">
      <c r="A3511" t="s">
        <v>11198</v>
      </c>
      <c r="C3511" t="s">
        <v>11199</v>
      </c>
      <c r="D3511" t="s">
        <v>7266</v>
      </c>
      <c r="E3511" t="s">
        <v>2310</v>
      </c>
      <c r="F3511">
        <v>12</v>
      </c>
      <c r="G3511">
        <v>12.2</v>
      </c>
      <c r="H3511" t="s">
        <v>2017</v>
      </c>
      <c r="I3511" s="21">
        <v>41261.456724536998</v>
      </c>
      <c r="J3511">
        <v>2012</v>
      </c>
      <c r="K3511" s="21">
        <v>41261.456724536998</v>
      </c>
      <c r="L3511">
        <v>2012</v>
      </c>
      <c r="M3511" s="21">
        <v>41352.648564814801</v>
      </c>
      <c r="N3511">
        <v>2013</v>
      </c>
      <c r="Q3511" s="262">
        <v>3000</v>
      </c>
      <c r="R3511" s="262">
        <v>3000</v>
      </c>
      <c r="S3511" t="s">
        <v>114</v>
      </c>
      <c r="T3511" t="s">
        <v>114</v>
      </c>
      <c r="U3511">
        <v>10</v>
      </c>
      <c r="W3511">
        <v>56</v>
      </c>
      <c r="X3511">
        <v>0</v>
      </c>
      <c r="Y3511">
        <v>0</v>
      </c>
      <c r="Z3511">
        <v>0</v>
      </c>
      <c r="AA3511">
        <v>0</v>
      </c>
      <c r="AB3511">
        <v>0</v>
      </c>
      <c r="AC3511">
        <v>0</v>
      </c>
      <c r="AD3511">
        <v>0</v>
      </c>
      <c r="AE3511">
        <v>0</v>
      </c>
      <c r="AF3511">
        <v>0</v>
      </c>
      <c r="AG3511">
        <v>0</v>
      </c>
      <c r="AH3511">
        <v>56</v>
      </c>
      <c r="AI3511">
        <v>0</v>
      </c>
      <c r="AJ3511">
        <v>0</v>
      </c>
      <c r="AK3511">
        <v>0</v>
      </c>
      <c r="AL3511">
        <v>0</v>
      </c>
      <c r="AM3511">
        <v>0</v>
      </c>
      <c r="AN3511">
        <v>0</v>
      </c>
      <c r="AO3511">
        <v>0</v>
      </c>
      <c r="AP3511">
        <v>0</v>
      </c>
      <c r="AQ3511">
        <v>0</v>
      </c>
      <c r="AR3511">
        <v>0</v>
      </c>
      <c r="AS3511">
        <v>0</v>
      </c>
      <c r="AT3511">
        <v>0</v>
      </c>
      <c r="AU3511">
        <f t="shared" si="108"/>
        <v>0</v>
      </c>
      <c r="AV3511">
        <f t="shared" si="109"/>
        <v>56</v>
      </c>
    </row>
    <row r="3512" spans="1:48" x14ac:dyDescent="0.25">
      <c r="A3512" t="s">
        <v>11200</v>
      </c>
      <c r="C3512" t="s">
        <v>11201</v>
      </c>
      <c r="D3512" t="s">
        <v>4698</v>
      </c>
      <c r="E3512" t="s">
        <v>2310</v>
      </c>
      <c r="F3512">
        <v>9</v>
      </c>
      <c r="G3512">
        <v>9.4</v>
      </c>
      <c r="H3512" t="s">
        <v>2323</v>
      </c>
      <c r="I3512" s="21">
        <v>41262.633437500001</v>
      </c>
      <c r="J3512">
        <v>2012</v>
      </c>
      <c r="K3512" s="21">
        <v>41262.633437500001</v>
      </c>
      <c r="L3512">
        <v>2012</v>
      </c>
      <c r="M3512" s="21">
        <v>41450.674560185202</v>
      </c>
      <c r="N3512">
        <v>2013</v>
      </c>
      <c r="Q3512" s="262">
        <v>30000</v>
      </c>
      <c r="R3512" s="262">
        <v>46000</v>
      </c>
      <c r="S3512" t="s">
        <v>114</v>
      </c>
      <c r="T3512" t="s">
        <v>114</v>
      </c>
      <c r="U3512">
        <v>15</v>
      </c>
      <c r="V3512">
        <v>537</v>
      </c>
      <c r="W3512">
        <v>0</v>
      </c>
      <c r="X3512">
        <v>0</v>
      </c>
      <c r="Y3512">
        <v>0</v>
      </c>
      <c r="Z3512">
        <v>0</v>
      </c>
      <c r="AA3512">
        <v>0</v>
      </c>
      <c r="AB3512">
        <v>0</v>
      </c>
      <c r="AC3512">
        <v>0</v>
      </c>
      <c r="AD3512">
        <v>0</v>
      </c>
      <c r="AE3512">
        <v>0</v>
      </c>
      <c r="AF3512">
        <v>0</v>
      </c>
      <c r="AG3512">
        <v>0</v>
      </c>
      <c r="AH3512">
        <v>0</v>
      </c>
      <c r="AI3512">
        <v>0</v>
      </c>
      <c r="AJ3512">
        <v>0</v>
      </c>
      <c r="AK3512">
        <v>0</v>
      </c>
      <c r="AL3512">
        <v>0</v>
      </c>
      <c r="AM3512">
        <v>0</v>
      </c>
      <c r="AN3512">
        <v>0</v>
      </c>
      <c r="AO3512">
        <v>0</v>
      </c>
      <c r="AP3512">
        <v>0</v>
      </c>
      <c r="AQ3512">
        <v>0</v>
      </c>
      <c r="AR3512">
        <v>0</v>
      </c>
      <c r="AS3512">
        <v>0</v>
      </c>
      <c r="AT3512">
        <v>0</v>
      </c>
      <c r="AU3512">
        <f t="shared" si="108"/>
        <v>0</v>
      </c>
      <c r="AV3512">
        <f t="shared" si="109"/>
        <v>0</v>
      </c>
    </row>
    <row r="3513" spans="1:48" x14ac:dyDescent="0.25">
      <c r="A3513" t="s">
        <v>11202</v>
      </c>
      <c r="C3513" t="s">
        <v>11203</v>
      </c>
      <c r="D3513" t="s">
        <v>2787</v>
      </c>
      <c r="E3513" t="s">
        <v>2310</v>
      </c>
      <c r="F3513">
        <v>10</v>
      </c>
      <c r="G3513">
        <v>10.1</v>
      </c>
      <c r="H3513" t="s">
        <v>2323</v>
      </c>
      <c r="I3513" s="21">
        <v>41270.600868055597</v>
      </c>
      <c r="J3513">
        <v>2012</v>
      </c>
      <c r="K3513" s="21">
        <v>41270.600868055597</v>
      </c>
      <c r="L3513">
        <v>2012</v>
      </c>
      <c r="M3513" s="21">
        <v>41340.637349536999</v>
      </c>
      <c r="N3513">
        <v>2013</v>
      </c>
      <c r="Q3513" s="262">
        <v>25000</v>
      </c>
      <c r="R3513" s="262">
        <v>13000</v>
      </c>
      <c r="S3513" t="s">
        <v>114</v>
      </c>
      <c r="T3513" t="s">
        <v>114</v>
      </c>
      <c r="U3513">
        <v>5</v>
      </c>
      <c r="V3513">
        <v>165</v>
      </c>
      <c r="W3513">
        <v>0</v>
      </c>
      <c r="X3513">
        <v>0</v>
      </c>
      <c r="Y3513">
        <v>0</v>
      </c>
      <c r="Z3513">
        <v>0</v>
      </c>
      <c r="AA3513">
        <v>0</v>
      </c>
      <c r="AB3513">
        <v>0</v>
      </c>
      <c r="AC3513">
        <v>0</v>
      </c>
      <c r="AD3513">
        <v>0</v>
      </c>
      <c r="AE3513">
        <v>0</v>
      </c>
      <c r="AF3513">
        <v>0</v>
      </c>
      <c r="AG3513">
        <v>0</v>
      </c>
      <c r="AH3513">
        <v>0</v>
      </c>
      <c r="AI3513">
        <v>0</v>
      </c>
      <c r="AJ3513">
        <v>0</v>
      </c>
      <c r="AK3513">
        <v>0</v>
      </c>
      <c r="AL3513">
        <v>0</v>
      </c>
      <c r="AM3513">
        <v>0</v>
      </c>
      <c r="AN3513">
        <v>0</v>
      </c>
      <c r="AO3513">
        <v>0</v>
      </c>
      <c r="AP3513">
        <v>0</v>
      </c>
      <c r="AQ3513">
        <v>0</v>
      </c>
      <c r="AR3513">
        <v>0</v>
      </c>
      <c r="AS3513">
        <v>0</v>
      </c>
      <c r="AT3513">
        <v>0</v>
      </c>
      <c r="AU3513">
        <f t="shared" si="108"/>
        <v>0</v>
      </c>
      <c r="AV3513">
        <f t="shared" si="109"/>
        <v>0</v>
      </c>
    </row>
    <row r="3514" spans="1:48" x14ac:dyDescent="0.25">
      <c r="A3514" t="s">
        <v>11204</v>
      </c>
      <c r="C3514" t="s">
        <v>11205</v>
      </c>
      <c r="D3514" t="s">
        <v>9076</v>
      </c>
      <c r="E3514" t="s">
        <v>1663</v>
      </c>
      <c r="F3514">
        <v>5</v>
      </c>
      <c r="G3514">
        <v>5.5</v>
      </c>
      <c r="H3514" t="s">
        <v>2017</v>
      </c>
      <c r="I3514" s="21">
        <v>41271</v>
      </c>
      <c r="J3514">
        <v>2012</v>
      </c>
      <c r="K3514" s="21">
        <v>41302</v>
      </c>
      <c r="L3514">
        <v>2013</v>
      </c>
      <c r="M3514" s="21">
        <v>41453</v>
      </c>
      <c r="N3514">
        <v>2013</v>
      </c>
      <c r="Q3514" s="262">
        <v>20000</v>
      </c>
      <c r="S3514" t="s">
        <v>114</v>
      </c>
      <c r="T3514" t="s">
        <v>114</v>
      </c>
      <c r="W3514">
        <v>310</v>
      </c>
      <c r="X3514">
        <v>1</v>
      </c>
      <c r="Y3514">
        <v>0</v>
      </c>
      <c r="Z3514">
        <v>0</v>
      </c>
      <c r="AA3514">
        <v>0</v>
      </c>
      <c r="AB3514">
        <v>0</v>
      </c>
      <c r="AC3514">
        <v>310</v>
      </c>
      <c r="AD3514">
        <v>0</v>
      </c>
      <c r="AE3514">
        <v>0</v>
      </c>
      <c r="AF3514">
        <v>0</v>
      </c>
      <c r="AG3514">
        <v>0</v>
      </c>
      <c r="AH3514">
        <v>0</v>
      </c>
      <c r="AI3514">
        <v>0</v>
      </c>
      <c r="AJ3514">
        <v>0</v>
      </c>
      <c r="AK3514">
        <v>0</v>
      </c>
      <c r="AL3514">
        <v>0</v>
      </c>
      <c r="AM3514">
        <v>0</v>
      </c>
      <c r="AN3514">
        <v>0</v>
      </c>
      <c r="AO3514">
        <v>1</v>
      </c>
      <c r="AP3514">
        <v>0</v>
      </c>
      <c r="AQ3514">
        <v>0</v>
      </c>
      <c r="AR3514">
        <v>0</v>
      </c>
      <c r="AS3514">
        <v>0</v>
      </c>
      <c r="AT3514">
        <v>0</v>
      </c>
      <c r="AU3514">
        <f t="shared" si="108"/>
        <v>1</v>
      </c>
      <c r="AV3514">
        <f t="shared" si="109"/>
        <v>0</v>
      </c>
    </row>
    <row r="3515" spans="1:48" x14ac:dyDescent="0.25">
      <c r="A3515" t="s">
        <v>11206</v>
      </c>
      <c r="C3515" t="s">
        <v>11207</v>
      </c>
      <c r="D3515" t="s">
        <v>3919</v>
      </c>
      <c r="E3515" t="s">
        <v>2310</v>
      </c>
      <c r="F3515">
        <v>10</v>
      </c>
      <c r="G3515">
        <v>10.1</v>
      </c>
      <c r="H3515" t="s">
        <v>2323</v>
      </c>
      <c r="I3515" s="21">
        <v>41283.365393518499</v>
      </c>
      <c r="J3515">
        <v>2013</v>
      </c>
      <c r="K3515" s="21">
        <v>41311.647025462997</v>
      </c>
      <c r="L3515">
        <v>2013</v>
      </c>
      <c r="M3515" s="21">
        <v>41395.710810185199</v>
      </c>
      <c r="N3515">
        <v>2013</v>
      </c>
      <c r="Q3515" s="262">
        <v>5000</v>
      </c>
      <c r="R3515" s="262">
        <v>0</v>
      </c>
      <c r="S3515" t="s">
        <v>114</v>
      </c>
      <c r="T3515" t="s">
        <v>114</v>
      </c>
      <c r="V3515">
        <v>312</v>
      </c>
      <c r="W3515">
        <v>0</v>
      </c>
      <c r="X3515">
        <v>1</v>
      </c>
      <c r="Y3515">
        <v>0</v>
      </c>
      <c r="Z3515">
        <v>0</v>
      </c>
      <c r="AA3515">
        <v>0</v>
      </c>
      <c r="AB3515">
        <v>0</v>
      </c>
      <c r="AC3515">
        <v>-993</v>
      </c>
      <c r="AD3515">
        <v>0</v>
      </c>
      <c r="AE3515">
        <v>0</v>
      </c>
      <c r="AF3515">
        <v>993</v>
      </c>
      <c r="AG3515">
        <v>0</v>
      </c>
      <c r="AH3515">
        <v>0</v>
      </c>
      <c r="AI3515">
        <v>0</v>
      </c>
      <c r="AJ3515">
        <v>0</v>
      </c>
      <c r="AK3515">
        <v>0</v>
      </c>
      <c r="AL3515">
        <v>0</v>
      </c>
      <c r="AM3515">
        <v>0</v>
      </c>
      <c r="AN3515">
        <v>0</v>
      </c>
      <c r="AO3515">
        <v>0</v>
      </c>
      <c r="AP3515">
        <v>0</v>
      </c>
      <c r="AQ3515">
        <v>0</v>
      </c>
      <c r="AR3515">
        <v>1</v>
      </c>
      <c r="AS3515">
        <v>0</v>
      </c>
      <c r="AT3515">
        <v>0</v>
      </c>
      <c r="AU3515">
        <f t="shared" si="108"/>
        <v>0</v>
      </c>
      <c r="AV3515">
        <f t="shared" si="109"/>
        <v>0</v>
      </c>
    </row>
    <row r="3516" spans="1:48" x14ac:dyDescent="0.25">
      <c r="A3516" t="s">
        <v>11208</v>
      </c>
      <c r="C3516" t="s">
        <v>11209</v>
      </c>
      <c r="D3516" t="s">
        <v>11210</v>
      </c>
      <c r="E3516" t="s">
        <v>2310</v>
      </c>
      <c r="F3516">
        <v>13</v>
      </c>
      <c r="G3516">
        <v>13.3</v>
      </c>
      <c r="H3516" t="s">
        <v>2017</v>
      </c>
      <c r="I3516" s="21">
        <v>41296.432662036997</v>
      </c>
      <c r="J3516">
        <v>2013</v>
      </c>
      <c r="K3516" s="21">
        <v>41351.449386574102</v>
      </c>
      <c r="L3516">
        <v>2013</v>
      </c>
      <c r="M3516" s="21">
        <v>42226.330034722203</v>
      </c>
      <c r="N3516">
        <v>2015</v>
      </c>
      <c r="Q3516" s="262">
        <v>2000000</v>
      </c>
      <c r="R3516" s="262">
        <v>733000</v>
      </c>
      <c r="S3516" t="s">
        <v>114</v>
      </c>
      <c r="T3516" t="s">
        <v>114</v>
      </c>
      <c r="W3516">
        <v>7744</v>
      </c>
      <c r="X3516">
        <v>1</v>
      </c>
      <c r="Y3516">
        <v>0</v>
      </c>
      <c r="Z3516">
        <v>0</v>
      </c>
      <c r="AA3516">
        <v>0</v>
      </c>
      <c r="AB3516">
        <v>0</v>
      </c>
      <c r="AC3516">
        <v>7744</v>
      </c>
      <c r="AD3516">
        <v>0</v>
      </c>
      <c r="AE3516">
        <v>0</v>
      </c>
      <c r="AF3516">
        <v>0</v>
      </c>
      <c r="AG3516">
        <v>0</v>
      </c>
      <c r="AH3516">
        <v>0</v>
      </c>
      <c r="AI3516">
        <v>0</v>
      </c>
      <c r="AJ3516">
        <v>0</v>
      </c>
      <c r="AK3516">
        <v>0</v>
      </c>
      <c r="AL3516">
        <v>0</v>
      </c>
      <c r="AM3516">
        <v>0</v>
      </c>
      <c r="AN3516">
        <v>0</v>
      </c>
      <c r="AO3516">
        <v>1</v>
      </c>
      <c r="AP3516">
        <v>0</v>
      </c>
      <c r="AQ3516">
        <v>0</v>
      </c>
      <c r="AR3516">
        <v>0</v>
      </c>
      <c r="AS3516">
        <v>0</v>
      </c>
      <c r="AT3516">
        <v>0</v>
      </c>
      <c r="AU3516">
        <f t="shared" si="108"/>
        <v>1</v>
      </c>
      <c r="AV3516">
        <f t="shared" si="109"/>
        <v>0</v>
      </c>
    </row>
    <row r="3517" spans="1:48" x14ac:dyDescent="0.25">
      <c r="A3517" t="s">
        <v>11211</v>
      </c>
      <c r="C3517" t="s">
        <v>11212</v>
      </c>
      <c r="D3517" t="s">
        <v>11213</v>
      </c>
      <c r="E3517" t="s">
        <v>2310</v>
      </c>
      <c r="F3517">
        <v>9</v>
      </c>
      <c r="G3517">
        <v>9.1999999999999993</v>
      </c>
      <c r="H3517" t="s">
        <v>2022</v>
      </c>
      <c r="I3517" s="21">
        <v>41296.487534722197</v>
      </c>
      <c r="J3517">
        <v>2013</v>
      </c>
      <c r="K3517" s="21">
        <v>41318.694583333301</v>
      </c>
      <c r="L3517">
        <v>2013</v>
      </c>
      <c r="M3517" s="21">
        <v>41509.400196759299</v>
      </c>
      <c r="N3517">
        <v>2013</v>
      </c>
      <c r="Q3517" s="262">
        <v>800000</v>
      </c>
      <c r="R3517" s="262">
        <v>300000</v>
      </c>
      <c r="S3517" t="s">
        <v>114</v>
      </c>
      <c r="T3517" t="s">
        <v>114</v>
      </c>
      <c r="V3517">
        <v>3800</v>
      </c>
      <c r="W3517">
        <v>0</v>
      </c>
      <c r="X3517">
        <v>0</v>
      </c>
      <c r="Y3517">
        <v>0</v>
      </c>
      <c r="Z3517">
        <v>0</v>
      </c>
      <c r="AA3517">
        <v>0</v>
      </c>
      <c r="AB3517">
        <v>0</v>
      </c>
      <c r="AC3517">
        <v>0</v>
      </c>
      <c r="AD3517">
        <v>0</v>
      </c>
      <c r="AE3517">
        <v>0</v>
      </c>
      <c r="AF3517">
        <v>0</v>
      </c>
      <c r="AG3517">
        <v>0</v>
      </c>
      <c r="AH3517">
        <v>0</v>
      </c>
      <c r="AI3517">
        <v>0</v>
      </c>
      <c r="AJ3517">
        <v>0</v>
      </c>
      <c r="AK3517">
        <v>0</v>
      </c>
      <c r="AL3517">
        <v>0</v>
      </c>
      <c r="AM3517">
        <v>0</v>
      </c>
      <c r="AN3517">
        <v>0</v>
      </c>
      <c r="AO3517">
        <v>0</v>
      </c>
      <c r="AP3517">
        <v>0</v>
      </c>
      <c r="AQ3517">
        <v>0</v>
      </c>
      <c r="AR3517">
        <v>0</v>
      </c>
      <c r="AS3517">
        <v>0</v>
      </c>
      <c r="AT3517">
        <v>0</v>
      </c>
      <c r="AU3517">
        <f t="shared" si="108"/>
        <v>0</v>
      </c>
      <c r="AV3517">
        <f t="shared" si="109"/>
        <v>0</v>
      </c>
    </row>
    <row r="3518" spans="1:48" x14ac:dyDescent="0.25">
      <c r="A3518" t="s">
        <v>11214</v>
      </c>
      <c r="C3518" t="s">
        <v>11215</v>
      </c>
      <c r="D3518" t="s">
        <v>11216</v>
      </c>
      <c r="E3518" t="s">
        <v>2310</v>
      </c>
      <c r="F3518">
        <v>9</v>
      </c>
      <c r="G3518">
        <v>9.1</v>
      </c>
      <c r="H3518" t="s">
        <v>2323</v>
      </c>
      <c r="I3518" s="21">
        <v>41296.652928240699</v>
      </c>
      <c r="J3518">
        <v>2013</v>
      </c>
      <c r="K3518" s="21">
        <v>41337.434780092597</v>
      </c>
      <c r="L3518">
        <v>2013</v>
      </c>
      <c r="M3518" s="21">
        <v>41438.658796296302</v>
      </c>
      <c r="N3518">
        <v>2013</v>
      </c>
      <c r="Q3518" s="262">
        <v>12500</v>
      </c>
      <c r="R3518" s="262">
        <v>22000</v>
      </c>
      <c r="S3518" t="s">
        <v>114</v>
      </c>
      <c r="T3518" t="s">
        <v>114</v>
      </c>
      <c r="W3518">
        <v>536</v>
      </c>
      <c r="X3518">
        <v>0</v>
      </c>
      <c r="Y3518">
        <v>0</v>
      </c>
      <c r="Z3518">
        <v>0</v>
      </c>
      <c r="AA3518">
        <v>0</v>
      </c>
      <c r="AB3518">
        <v>0</v>
      </c>
      <c r="AC3518">
        <v>536</v>
      </c>
      <c r="AD3518">
        <v>0</v>
      </c>
      <c r="AE3518">
        <v>0</v>
      </c>
      <c r="AF3518">
        <v>0</v>
      </c>
      <c r="AG3518">
        <v>0</v>
      </c>
      <c r="AH3518">
        <v>0</v>
      </c>
      <c r="AI3518">
        <v>0</v>
      </c>
      <c r="AJ3518">
        <v>0</v>
      </c>
      <c r="AK3518">
        <v>0</v>
      </c>
      <c r="AL3518">
        <v>0</v>
      </c>
      <c r="AM3518">
        <v>0</v>
      </c>
      <c r="AN3518">
        <v>0</v>
      </c>
      <c r="AO3518">
        <v>0</v>
      </c>
      <c r="AP3518">
        <v>0</v>
      </c>
      <c r="AQ3518">
        <v>0</v>
      </c>
      <c r="AR3518">
        <v>0</v>
      </c>
      <c r="AS3518">
        <v>0</v>
      </c>
      <c r="AT3518">
        <v>0</v>
      </c>
      <c r="AU3518">
        <f t="shared" si="108"/>
        <v>0</v>
      </c>
      <c r="AV3518">
        <f t="shared" si="109"/>
        <v>0</v>
      </c>
    </row>
    <row r="3519" spans="1:48" x14ac:dyDescent="0.25">
      <c r="A3519" t="s">
        <v>11217</v>
      </c>
      <c r="C3519" t="s">
        <v>11218</v>
      </c>
      <c r="D3519" t="s">
        <v>11219</v>
      </c>
      <c r="E3519" t="s">
        <v>1663</v>
      </c>
      <c r="F3519">
        <v>4</v>
      </c>
      <c r="G3519">
        <v>4.0999999999999996</v>
      </c>
      <c r="H3519" t="s">
        <v>2327</v>
      </c>
      <c r="I3519" s="21">
        <v>41298</v>
      </c>
      <c r="J3519">
        <v>2013</v>
      </c>
      <c r="K3519" s="21">
        <v>41435</v>
      </c>
      <c r="L3519">
        <v>2013</v>
      </c>
      <c r="M3519" s="21">
        <v>41653</v>
      </c>
      <c r="N3519">
        <v>2014</v>
      </c>
      <c r="Q3519" s="262">
        <v>380000</v>
      </c>
      <c r="S3519" t="s">
        <v>114</v>
      </c>
      <c r="T3519" t="s">
        <v>114</v>
      </c>
      <c r="W3519">
        <v>2512</v>
      </c>
      <c r="X3519">
        <v>3</v>
      </c>
      <c r="Y3519">
        <v>0</v>
      </c>
      <c r="Z3519">
        <v>0</v>
      </c>
      <c r="AA3519">
        <v>0</v>
      </c>
      <c r="AB3519">
        <v>0</v>
      </c>
      <c r="AC3519">
        <v>0</v>
      </c>
      <c r="AD3519">
        <v>0</v>
      </c>
      <c r="AE3519">
        <v>2512</v>
      </c>
      <c r="AF3519">
        <v>0</v>
      </c>
      <c r="AG3519">
        <v>0</v>
      </c>
      <c r="AH3519">
        <v>0</v>
      </c>
      <c r="AI3519">
        <v>0</v>
      </c>
      <c r="AJ3519">
        <v>0</v>
      </c>
      <c r="AK3519">
        <v>0</v>
      </c>
      <c r="AL3519">
        <v>0</v>
      </c>
      <c r="AM3519">
        <v>0</v>
      </c>
      <c r="AN3519">
        <v>0</v>
      </c>
      <c r="AO3519">
        <v>0</v>
      </c>
      <c r="AP3519">
        <v>0</v>
      </c>
      <c r="AQ3519">
        <v>3</v>
      </c>
      <c r="AR3519">
        <v>0</v>
      </c>
      <c r="AS3519">
        <v>0</v>
      </c>
      <c r="AT3519">
        <v>0</v>
      </c>
      <c r="AU3519">
        <f t="shared" si="108"/>
        <v>3</v>
      </c>
      <c r="AV3519">
        <f t="shared" si="109"/>
        <v>0</v>
      </c>
    </row>
    <row r="3520" spans="1:48" x14ac:dyDescent="0.25">
      <c r="A3520" t="s">
        <v>11220</v>
      </c>
      <c r="C3520" t="s">
        <v>11221</v>
      </c>
      <c r="D3520" t="s">
        <v>11222</v>
      </c>
      <c r="E3520" t="s">
        <v>1663</v>
      </c>
      <c r="F3520">
        <v>4</v>
      </c>
      <c r="G3520">
        <v>4.0999999999999996</v>
      </c>
      <c r="H3520" t="s">
        <v>2327</v>
      </c>
      <c r="I3520" s="21">
        <v>41298</v>
      </c>
      <c r="J3520">
        <v>2013</v>
      </c>
      <c r="K3520" s="21">
        <v>41435</v>
      </c>
      <c r="L3520">
        <v>2013</v>
      </c>
      <c r="M3520" s="21">
        <v>41653</v>
      </c>
      <c r="N3520">
        <v>2014</v>
      </c>
      <c r="Q3520" s="262">
        <v>1200000</v>
      </c>
      <c r="S3520" t="s">
        <v>114</v>
      </c>
      <c r="T3520" t="s">
        <v>114</v>
      </c>
      <c r="W3520">
        <v>13300</v>
      </c>
      <c r="X3520">
        <v>0</v>
      </c>
      <c r="Y3520">
        <v>0</v>
      </c>
      <c r="Z3520">
        <v>0</v>
      </c>
      <c r="AA3520">
        <v>0</v>
      </c>
      <c r="AB3520">
        <v>0</v>
      </c>
      <c r="AC3520">
        <v>0</v>
      </c>
      <c r="AD3520">
        <v>0</v>
      </c>
      <c r="AE3520">
        <v>0</v>
      </c>
      <c r="AF3520">
        <v>0</v>
      </c>
      <c r="AG3520">
        <v>0</v>
      </c>
      <c r="AH3520">
        <v>0</v>
      </c>
      <c r="AI3520">
        <v>0</v>
      </c>
      <c r="AJ3520">
        <v>0</v>
      </c>
      <c r="AK3520">
        <v>13300</v>
      </c>
      <c r="AL3520">
        <v>0</v>
      </c>
      <c r="AM3520">
        <v>0</v>
      </c>
      <c r="AN3520">
        <v>0</v>
      </c>
      <c r="AO3520">
        <v>0</v>
      </c>
      <c r="AP3520">
        <v>0</v>
      </c>
      <c r="AQ3520">
        <v>0</v>
      </c>
      <c r="AR3520">
        <v>0</v>
      </c>
      <c r="AS3520">
        <v>0</v>
      </c>
      <c r="AT3520">
        <v>0</v>
      </c>
      <c r="AU3520">
        <f t="shared" si="108"/>
        <v>0</v>
      </c>
      <c r="AV3520">
        <f t="shared" si="109"/>
        <v>13300</v>
      </c>
    </row>
    <row r="3521" spans="1:48" x14ac:dyDescent="0.25">
      <c r="A3521" t="s">
        <v>11223</v>
      </c>
      <c r="C3521" t="s">
        <v>11224</v>
      </c>
      <c r="D3521" t="s">
        <v>11225</v>
      </c>
      <c r="E3521" t="s">
        <v>2310</v>
      </c>
      <c r="F3521">
        <v>15</v>
      </c>
      <c r="G3521">
        <v>15.1</v>
      </c>
      <c r="H3521" t="s">
        <v>2022</v>
      </c>
      <c r="I3521" s="21">
        <v>41298.414976851898</v>
      </c>
      <c r="J3521">
        <v>2013</v>
      </c>
      <c r="K3521" s="21">
        <v>41318.676192129598</v>
      </c>
      <c r="L3521">
        <v>2013</v>
      </c>
      <c r="M3521" s="21">
        <v>41439.396238425899</v>
      </c>
      <c r="N3521">
        <v>2013</v>
      </c>
      <c r="Q3521" s="262">
        <v>300000</v>
      </c>
      <c r="R3521" s="262">
        <v>86000</v>
      </c>
      <c r="S3521" t="s">
        <v>114</v>
      </c>
      <c r="T3521" t="s">
        <v>114</v>
      </c>
      <c r="W3521">
        <v>1120</v>
      </c>
      <c r="X3521">
        <v>0</v>
      </c>
      <c r="Y3521">
        <v>0</v>
      </c>
      <c r="Z3521">
        <v>0</v>
      </c>
      <c r="AA3521">
        <v>0</v>
      </c>
      <c r="AB3521">
        <v>0</v>
      </c>
      <c r="AC3521">
        <v>1120</v>
      </c>
      <c r="AD3521">
        <v>0</v>
      </c>
      <c r="AE3521">
        <v>0</v>
      </c>
      <c r="AF3521">
        <v>0</v>
      </c>
      <c r="AG3521">
        <v>0</v>
      </c>
      <c r="AH3521">
        <v>0</v>
      </c>
      <c r="AI3521">
        <v>0</v>
      </c>
      <c r="AJ3521">
        <v>0</v>
      </c>
      <c r="AK3521">
        <v>0</v>
      </c>
      <c r="AL3521">
        <v>0</v>
      </c>
      <c r="AM3521">
        <v>0</v>
      </c>
      <c r="AN3521">
        <v>0</v>
      </c>
      <c r="AO3521">
        <v>0</v>
      </c>
      <c r="AP3521">
        <v>0</v>
      </c>
      <c r="AQ3521">
        <v>0</v>
      </c>
      <c r="AR3521">
        <v>0</v>
      </c>
      <c r="AS3521">
        <v>0</v>
      </c>
      <c r="AT3521">
        <v>0</v>
      </c>
      <c r="AU3521">
        <f t="shared" si="108"/>
        <v>0</v>
      </c>
      <c r="AV3521">
        <f t="shared" si="109"/>
        <v>0</v>
      </c>
    </row>
    <row r="3522" spans="1:48" x14ac:dyDescent="0.25">
      <c r="A3522" t="s">
        <v>11226</v>
      </c>
      <c r="C3522" t="s">
        <v>11227</v>
      </c>
      <c r="D3522" t="s">
        <v>11228</v>
      </c>
      <c r="E3522" t="s">
        <v>2310</v>
      </c>
      <c r="F3522">
        <v>9</v>
      </c>
      <c r="G3522">
        <v>9.3000000000000007</v>
      </c>
      <c r="H3522" t="s">
        <v>2323</v>
      </c>
      <c r="I3522" s="21">
        <v>41298.485648148097</v>
      </c>
      <c r="J3522">
        <v>2013</v>
      </c>
      <c r="K3522" s="21">
        <v>41344.6390972222</v>
      </c>
      <c r="L3522">
        <v>2013</v>
      </c>
      <c r="M3522" s="21">
        <v>42013.460567129601</v>
      </c>
      <c r="N3522">
        <v>2015</v>
      </c>
      <c r="Q3522" s="262">
        <v>1000000</v>
      </c>
      <c r="R3522" s="262">
        <v>404000</v>
      </c>
      <c r="S3522" t="s">
        <v>114</v>
      </c>
      <c r="T3522" t="s">
        <v>114</v>
      </c>
      <c r="W3522">
        <v>3744</v>
      </c>
      <c r="X3522">
        <v>1</v>
      </c>
      <c r="Y3522">
        <v>0</v>
      </c>
      <c r="Z3522">
        <v>0</v>
      </c>
      <c r="AA3522">
        <v>0</v>
      </c>
      <c r="AB3522">
        <v>0</v>
      </c>
      <c r="AC3522">
        <v>3744</v>
      </c>
      <c r="AD3522">
        <v>0</v>
      </c>
      <c r="AE3522">
        <v>0</v>
      </c>
      <c r="AF3522">
        <v>0</v>
      </c>
      <c r="AG3522">
        <v>0</v>
      </c>
      <c r="AH3522">
        <v>0</v>
      </c>
      <c r="AI3522">
        <v>0</v>
      </c>
      <c r="AJ3522">
        <v>0</v>
      </c>
      <c r="AK3522">
        <v>0</v>
      </c>
      <c r="AL3522">
        <v>0</v>
      </c>
      <c r="AM3522">
        <v>0</v>
      </c>
      <c r="AN3522">
        <v>0</v>
      </c>
      <c r="AO3522">
        <v>1</v>
      </c>
      <c r="AP3522">
        <v>0</v>
      </c>
      <c r="AQ3522">
        <v>0</v>
      </c>
      <c r="AR3522">
        <v>0</v>
      </c>
      <c r="AS3522">
        <v>0</v>
      </c>
      <c r="AT3522">
        <v>0</v>
      </c>
      <c r="AU3522">
        <f t="shared" si="108"/>
        <v>1</v>
      </c>
      <c r="AV3522">
        <f t="shared" si="109"/>
        <v>0</v>
      </c>
    </row>
    <row r="3523" spans="1:48" x14ac:dyDescent="0.25">
      <c r="A3523" t="s">
        <v>11229</v>
      </c>
      <c r="C3523" t="s">
        <v>11230</v>
      </c>
      <c r="D3523" t="s">
        <v>11228</v>
      </c>
      <c r="E3523" t="s">
        <v>2310</v>
      </c>
      <c r="F3523">
        <v>9</v>
      </c>
      <c r="G3523">
        <v>9.3000000000000007</v>
      </c>
      <c r="H3523" t="s">
        <v>2323</v>
      </c>
      <c r="I3523" s="21">
        <v>41298.491365740701</v>
      </c>
      <c r="J3523">
        <v>2013</v>
      </c>
      <c r="K3523" s="21">
        <v>41466.481087963002</v>
      </c>
      <c r="L3523">
        <v>2013</v>
      </c>
      <c r="M3523" s="21">
        <v>42429.438634259299</v>
      </c>
      <c r="N3523">
        <v>2016</v>
      </c>
      <c r="Q3523" s="262">
        <v>300000</v>
      </c>
      <c r="R3523" s="262">
        <v>200000</v>
      </c>
      <c r="S3523" t="s">
        <v>114</v>
      </c>
      <c r="T3523" t="s">
        <v>114</v>
      </c>
      <c r="W3523">
        <v>2904</v>
      </c>
      <c r="X3523">
        <v>1</v>
      </c>
      <c r="Y3523">
        <v>0</v>
      </c>
      <c r="Z3523">
        <v>0</v>
      </c>
      <c r="AA3523">
        <v>0</v>
      </c>
      <c r="AB3523">
        <v>0</v>
      </c>
      <c r="AC3523">
        <v>1905</v>
      </c>
      <c r="AD3523">
        <v>0</v>
      </c>
      <c r="AE3523">
        <v>0</v>
      </c>
      <c r="AF3523">
        <v>999</v>
      </c>
      <c r="AG3523">
        <v>0</v>
      </c>
      <c r="AH3523">
        <v>0</v>
      </c>
      <c r="AI3523">
        <v>0</v>
      </c>
      <c r="AJ3523">
        <v>0</v>
      </c>
      <c r="AK3523">
        <v>0</v>
      </c>
      <c r="AL3523">
        <v>0</v>
      </c>
      <c r="AM3523">
        <v>0</v>
      </c>
      <c r="AN3523">
        <v>0</v>
      </c>
      <c r="AO3523">
        <v>0</v>
      </c>
      <c r="AP3523">
        <v>0</v>
      </c>
      <c r="AQ3523">
        <v>0</v>
      </c>
      <c r="AR3523">
        <v>1</v>
      </c>
      <c r="AS3523">
        <v>0</v>
      </c>
      <c r="AT3523">
        <v>0</v>
      </c>
      <c r="AU3523">
        <f t="shared" si="108"/>
        <v>0</v>
      </c>
      <c r="AV3523">
        <f t="shared" si="109"/>
        <v>0</v>
      </c>
    </row>
    <row r="3524" spans="1:48" x14ac:dyDescent="0.25">
      <c r="A3524" t="s">
        <v>11231</v>
      </c>
      <c r="C3524" t="s">
        <v>11232</v>
      </c>
      <c r="D3524" t="s">
        <v>11233</v>
      </c>
      <c r="E3524" t="s">
        <v>1663</v>
      </c>
      <c r="F3524">
        <v>5</v>
      </c>
      <c r="G3524">
        <v>5.2</v>
      </c>
      <c r="H3524" t="s">
        <v>2327</v>
      </c>
      <c r="I3524" s="21">
        <v>41303</v>
      </c>
      <c r="J3524">
        <v>2013</v>
      </c>
      <c r="K3524" s="21">
        <v>41354</v>
      </c>
      <c r="L3524">
        <v>2013</v>
      </c>
      <c r="M3524" s="21">
        <v>41538</v>
      </c>
      <c r="N3524">
        <v>2013</v>
      </c>
      <c r="Q3524" s="262">
        <v>2000000</v>
      </c>
      <c r="S3524" t="s">
        <v>114</v>
      </c>
      <c r="T3524" t="s">
        <v>114</v>
      </c>
      <c r="W3524">
        <v>10359</v>
      </c>
      <c r="X3524">
        <v>0</v>
      </c>
      <c r="Y3524">
        <v>0</v>
      </c>
      <c r="Z3524">
        <v>0</v>
      </c>
      <c r="AA3524">
        <v>0</v>
      </c>
      <c r="AB3524">
        <v>0</v>
      </c>
      <c r="AC3524">
        <v>0</v>
      </c>
      <c r="AD3524">
        <v>0</v>
      </c>
      <c r="AE3524">
        <v>0</v>
      </c>
      <c r="AF3524">
        <v>0</v>
      </c>
      <c r="AG3524">
        <v>0</v>
      </c>
      <c r="AH3524">
        <v>0</v>
      </c>
      <c r="AI3524">
        <v>0</v>
      </c>
      <c r="AJ3524">
        <v>363</v>
      </c>
      <c r="AK3524">
        <v>9996</v>
      </c>
      <c r="AL3524">
        <v>0</v>
      </c>
      <c r="AM3524">
        <v>0</v>
      </c>
      <c r="AN3524">
        <v>0</v>
      </c>
      <c r="AO3524">
        <v>0</v>
      </c>
      <c r="AP3524">
        <v>0</v>
      </c>
      <c r="AQ3524">
        <v>0</v>
      </c>
      <c r="AR3524">
        <v>0</v>
      </c>
      <c r="AS3524">
        <v>0</v>
      </c>
      <c r="AT3524">
        <v>0</v>
      </c>
      <c r="AU3524">
        <f t="shared" si="108"/>
        <v>0</v>
      </c>
      <c r="AV3524">
        <f t="shared" si="109"/>
        <v>10359</v>
      </c>
    </row>
    <row r="3525" spans="1:48" x14ac:dyDescent="0.25">
      <c r="A3525" t="s">
        <v>11234</v>
      </c>
      <c r="C3525" t="s">
        <v>11235</v>
      </c>
      <c r="D3525" t="s">
        <v>10743</v>
      </c>
      <c r="E3525" t="s">
        <v>2310</v>
      </c>
      <c r="F3525">
        <v>9</v>
      </c>
      <c r="G3525">
        <v>9.4</v>
      </c>
      <c r="H3525" t="s">
        <v>2323</v>
      </c>
      <c r="I3525" s="21">
        <v>41304.566724536999</v>
      </c>
      <c r="J3525">
        <v>2013</v>
      </c>
      <c r="K3525" s="21">
        <v>41374.685648148101</v>
      </c>
      <c r="L3525">
        <v>2013</v>
      </c>
      <c r="M3525" s="21">
        <v>41536.567337963003</v>
      </c>
      <c r="N3525">
        <v>2013</v>
      </c>
      <c r="Q3525" s="262">
        <v>80000</v>
      </c>
      <c r="R3525" s="262">
        <v>7000</v>
      </c>
      <c r="S3525" t="s">
        <v>114</v>
      </c>
      <c r="T3525" t="s">
        <v>114</v>
      </c>
      <c r="W3525">
        <v>0</v>
      </c>
      <c r="X3525">
        <v>0</v>
      </c>
      <c r="Y3525">
        <v>0</v>
      </c>
      <c r="Z3525">
        <v>0</v>
      </c>
      <c r="AA3525">
        <v>0</v>
      </c>
      <c r="AB3525">
        <v>0</v>
      </c>
      <c r="AC3525">
        <v>0</v>
      </c>
      <c r="AD3525">
        <v>0</v>
      </c>
      <c r="AE3525">
        <v>0</v>
      </c>
      <c r="AF3525">
        <v>0</v>
      </c>
      <c r="AG3525">
        <v>0</v>
      </c>
      <c r="AH3525">
        <v>0</v>
      </c>
      <c r="AI3525">
        <v>0</v>
      </c>
      <c r="AJ3525">
        <v>0</v>
      </c>
      <c r="AK3525">
        <v>0</v>
      </c>
      <c r="AL3525">
        <v>0</v>
      </c>
      <c r="AM3525">
        <v>0</v>
      </c>
      <c r="AN3525">
        <v>0</v>
      </c>
      <c r="AO3525">
        <v>0</v>
      </c>
      <c r="AP3525">
        <v>0</v>
      </c>
      <c r="AQ3525">
        <v>0</v>
      </c>
      <c r="AR3525">
        <v>0</v>
      </c>
      <c r="AS3525">
        <v>0</v>
      </c>
      <c r="AT3525">
        <v>0</v>
      </c>
      <c r="AU3525">
        <f t="shared" si="108"/>
        <v>0</v>
      </c>
      <c r="AV3525">
        <f t="shared" si="109"/>
        <v>0</v>
      </c>
    </row>
    <row r="3526" spans="1:48" x14ac:dyDescent="0.25">
      <c r="A3526" t="s">
        <v>11236</v>
      </c>
      <c r="C3526" t="s">
        <v>11237</v>
      </c>
      <c r="D3526" t="s">
        <v>11238</v>
      </c>
      <c r="E3526" t="s">
        <v>1663</v>
      </c>
      <c r="F3526">
        <v>2</v>
      </c>
      <c r="G3526">
        <v>2.1</v>
      </c>
      <c r="H3526" t="s">
        <v>2327</v>
      </c>
      <c r="I3526" s="21">
        <v>41312</v>
      </c>
      <c r="J3526">
        <v>2013</v>
      </c>
      <c r="K3526" s="21">
        <v>41359</v>
      </c>
      <c r="L3526">
        <v>2013</v>
      </c>
      <c r="M3526" s="21">
        <v>41563</v>
      </c>
      <c r="N3526">
        <v>2013</v>
      </c>
      <c r="Q3526" s="262">
        <v>1793402</v>
      </c>
      <c r="S3526" t="s">
        <v>114</v>
      </c>
      <c r="T3526" t="s">
        <v>114</v>
      </c>
      <c r="W3526">
        <v>1000</v>
      </c>
      <c r="X3526">
        <v>0</v>
      </c>
      <c r="Y3526">
        <v>0</v>
      </c>
      <c r="Z3526">
        <v>0</v>
      </c>
      <c r="AA3526">
        <v>0</v>
      </c>
      <c r="AB3526">
        <v>0</v>
      </c>
      <c r="AC3526">
        <v>0</v>
      </c>
      <c r="AD3526">
        <v>0</v>
      </c>
      <c r="AE3526">
        <v>0</v>
      </c>
      <c r="AF3526">
        <v>0</v>
      </c>
      <c r="AG3526">
        <v>0</v>
      </c>
      <c r="AH3526">
        <v>1000</v>
      </c>
      <c r="AI3526">
        <v>0</v>
      </c>
      <c r="AJ3526">
        <v>0</v>
      </c>
      <c r="AK3526">
        <v>0</v>
      </c>
      <c r="AL3526">
        <v>0</v>
      </c>
      <c r="AM3526">
        <v>0</v>
      </c>
      <c r="AN3526">
        <v>0</v>
      </c>
      <c r="AO3526">
        <v>0</v>
      </c>
      <c r="AP3526">
        <v>0</v>
      </c>
      <c r="AQ3526">
        <v>0</v>
      </c>
      <c r="AR3526">
        <v>0</v>
      </c>
      <c r="AS3526">
        <v>0</v>
      </c>
      <c r="AT3526">
        <v>0</v>
      </c>
      <c r="AU3526">
        <f t="shared" si="108"/>
        <v>0</v>
      </c>
      <c r="AV3526">
        <f t="shared" si="109"/>
        <v>1000</v>
      </c>
    </row>
    <row r="3527" spans="1:48" x14ac:dyDescent="0.25">
      <c r="A3527" t="s">
        <v>11239</v>
      </c>
      <c r="C3527" t="s">
        <v>11240</v>
      </c>
      <c r="D3527" t="s">
        <v>11241</v>
      </c>
      <c r="E3527" t="s">
        <v>1663</v>
      </c>
      <c r="F3527">
        <v>6</v>
      </c>
      <c r="G3527">
        <v>6.2</v>
      </c>
      <c r="H3527" t="s">
        <v>2017</v>
      </c>
      <c r="I3527" s="21">
        <v>41316</v>
      </c>
      <c r="J3527">
        <v>2013</v>
      </c>
      <c r="K3527" s="21">
        <v>41344</v>
      </c>
      <c r="L3527">
        <v>2013</v>
      </c>
      <c r="M3527" s="21">
        <v>41590</v>
      </c>
      <c r="N3527">
        <v>2013</v>
      </c>
      <c r="Q3527" s="262">
        <v>195000</v>
      </c>
      <c r="S3527" t="s">
        <v>114</v>
      </c>
      <c r="T3527" t="s">
        <v>114</v>
      </c>
      <c r="W3527">
        <v>927</v>
      </c>
      <c r="X3527">
        <v>1</v>
      </c>
      <c r="Y3527">
        <v>0</v>
      </c>
      <c r="Z3527">
        <v>0</v>
      </c>
      <c r="AA3527">
        <v>0</v>
      </c>
      <c r="AB3527">
        <v>0</v>
      </c>
      <c r="AC3527">
        <v>927</v>
      </c>
      <c r="AD3527">
        <v>0</v>
      </c>
      <c r="AE3527">
        <v>0</v>
      </c>
      <c r="AF3527">
        <v>0</v>
      </c>
      <c r="AG3527">
        <v>0</v>
      </c>
      <c r="AH3527">
        <v>0</v>
      </c>
      <c r="AI3527">
        <v>0</v>
      </c>
      <c r="AJ3527">
        <v>0</v>
      </c>
      <c r="AK3527">
        <v>0</v>
      </c>
      <c r="AL3527">
        <v>0</v>
      </c>
      <c r="AM3527">
        <v>0</v>
      </c>
      <c r="AN3527">
        <v>0</v>
      </c>
      <c r="AO3527">
        <v>1</v>
      </c>
      <c r="AP3527">
        <v>0</v>
      </c>
      <c r="AQ3527">
        <v>0</v>
      </c>
      <c r="AR3527">
        <v>0</v>
      </c>
      <c r="AS3527">
        <v>0</v>
      </c>
      <c r="AT3527">
        <v>0</v>
      </c>
      <c r="AU3527">
        <f t="shared" si="108"/>
        <v>1</v>
      </c>
      <c r="AV3527">
        <f t="shared" si="109"/>
        <v>0</v>
      </c>
    </row>
    <row r="3528" spans="1:48" x14ac:dyDescent="0.25">
      <c r="A3528" t="s">
        <v>11242</v>
      </c>
      <c r="C3528" t="s">
        <v>11243</v>
      </c>
      <c r="D3528" t="s">
        <v>11244</v>
      </c>
      <c r="E3528" t="s">
        <v>2310</v>
      </c>
      <c r="F3528">
        <v>9</v>
      </c>
      <c r="G3528">
        <v>9.1</v>
      </c>
      <c r="H3528" t="s">
        <v>2323</v>
      </c>
      <c r="I3528" s="21">
        <v>41317.4428819444</v>
      </c>
      <c r="J3528">
        <v>2013</v>
      </c>
      <c r="K3528" s="21">
        <v>41340.603460648097</v>
      </c>
      <c r="L3528">
        <v>2013</v>
      </c>
      <c r="M3528" s="21">
        <v>42032.687210648102</v>
      </c>
      <c r="N3528">
        <v>2015</v>
      </c>
      <c r="Q3528" s="262">
        <v>1100000</v>
      </c>
      <c r="R3528" s="262">
        <v>234000</v>
      </c>
      <c r="S3528" t="s">
        <v>114</v>
      </c>
      <c r="T3528" t="s">
        <v>114</v>
      </c>
      <c r="V3528">
        <v>3000</v>
      </c>
      <c r="W3528">
        <v>0</v>
      </c>
      <c r="X3528">
        <v>0</v>
      </c>
      <c r="Y3528">
        <v>0</v>
      </c>
      <c r="Z3528">
        <v>0</v>
      </c>
      <c r="AA3528">
        <v>0</v>
      </c>
      <c r="AB3528">
        <v>0</v>
      </c>
      <c r="AC3528">
        <v>0</v>
      </c>
      <c r="AD3528">
        <v>0</v>
      </c>
      <c r="AE3528">
        <v>0</v>
      </c>
      <c r="AF3528">
        <v>0</v>
      </c>
      <c r="AG3528">
        <v>0</v>
      </c>
      <c r="AH3528">
        <v>0</v>
      </c>
      <c r="AI3528">
        <v>0</v>
      </c>
      <c r="AJ3528">
        <v>0</v>
      </c>
      <c r="AK3528">
        <v>0</v>
      </c>
      <c r="AL3528">
        <v>0</v>
      </c>
      <c r="AM3528">
        <v>0</v>
      </c>
      <c r="AN3528">
        <v>0</v>
      </c>
      <c r="AO3528">
        <v>0</v>
      </c>
      <c r="AP3528">
        <v>0</v>
      </c>
      <c r="AQ3528">
        <v>0</v>
      </c>
      <c r="AR3528">
        <v>0</v>
      </c>
      <c r="AS3528">
        <v>0</v>
      </c>
      <c r="AT3528">
        <v>0</v>
      </c>
      <c r="AU3528">
        <f t="shared" si="108"/>
        <v>0</v>
      </c>
      <c r="AV3528">
        <f t="shared" si="109"/>
        <v>0</v>
      </c>
    </row>
    <row r="3529" spans="1:48" x14ac:dyDescent="0.25">
      <c r="A3529" t="s">
        <v>11245</v>
      </c>
      <c r="C3529" t="s">
        <v>11246</v>
      </c>
      <c r="D3529" t="s">
        <v>11247</v>
      </c>
      <c r="E3529" t="s">
        <v>1663</v>
      </c>
      <c r="F3529">
        <v>3</v>
      </c>
      <c r="G3529">
        <v>3.1</v>
      </c>
      <c r="H3529" t="s">
        <v>2017</v>
      </c>
      <c r="I3529" s="21">
        <v>41326</v>
      </c>
      <c r="J3529">
        <v>2013</v>
      </c>
      <c r="K3529" s="21">
        <v>41381</v>
      </c>
      <c r="L3529">
        <v>2013</v>
      </c>
      <c r="M3529" s="21">
        <v>41564</v>
      </c>
      <c r="N3529">
        <v>2013</v>
      </c>
      <c r="Q3529" s="262">
        <v>230000</v>
      </c>
      <c r="S3529" t="s">
        <v>114</v>
      </c>
      <c r="T3529" t="s">
        <v>114</v>
      </c>
      <c r="W3529">
        <v>1152</v>
      </c>
      <c r="X3529">
        <v>1</v>
      </c>
      <c r="Y3529">
        <v>0</v>
      </c>
      <c r="Z3529">
        <v>0</v>
      </c>
      <c r="AA3529">
        <v>0</v>
      </c>
      <c r="AB3529">
        <v>0</v>
      </c>
      <c r="AC3529">
        <v>1152</v>
      </c>
      <c r="AD3529">
        <v>0</v>
      </c>
      <c r="AE3529">
        <v>0</v>
      </c>
      <c r="AF3529">
        <v>0</v>
      </c>
      <c r="AG3529">
        <v>0</v>
      </c>
      <c r="AH3529">
        <v>0</v>
      </c>
      <c r="AI3529">
        <v>0</v>
      </c>
      <c r="AJ3529">
        <v>0</v>
      </c>
      <c r="AK3529">
        <v>0</v>
      </c>
      <c r="AL3529">
        <v>0</v>
      </c>
      <c r="AM3529">
        <v>0</v>
      </c>
      <c r="AN3529">
        <v>0</v>
      </c>
      <c r="AO3529">
        <v>1</v>
      </c>
      <c r="AP3529">
        <v>0</v>
      </c>
      <c r="AQ3529">
        <v>0</v>
      </c>
      <c r="AR3529">
        <v>0</v>
      </c>
      <c r="AS3529">
        <v>0</v>
      </c>
      <c r="AT3529">
        <v>0</v>
      </c>
      <c r="AU3529">
        <f t="shared" si="108"/>
        <v>1</v>
      </c>
      <c r="AV3529">
        <f t="shared" si="109"/>
        <v>0</v>
      </c>
    </row>
    <row r="3530" spans="1:48" x14ac:dyDescent="0.25">
      <c r="A3530" t="s">
        <v>11248</v>
      </c>
      <c r="C3530" t="s">
        <v>11240</v>
      </c>
      <c r="D3530" t="s">
        <v>11249</v>
      </c>
      <c r="E3530" t="s">
        <v>1663</v>
      </c>
      <c r="F3530">
        <v>3</v>
      </c>
      <c r="G3530">
        <v>3.1</v>
      </c>
      <c r="H3530" t="s">
        <v>2017</v>
      </c>
      <c r="I3530" s="21">
        <v>41326</v>
      </c>
      <c r="J3530">
        <v>2013</v>
      </c>
      <c r="K3530" s="21">
        <v>41381</v>
      </c>
      <c r="L3530">
        <v>2013</v>
      </c>
      <c r="M3530" s="21">
        <v>41564</v>
      </c>
      <c r="N3530">
        <v>2013</v>
      </c>
      <c r="Q3530" s="262">
        <v>230000</v>
      </c>
      <c r="S3530" t="s">
        <v>114</v>
      </c>
      <c r="T3530" t="s">
        <v>114</v>
      </c>
      <c r="W3530">
        <v>1152</v>
      </c>
      <c r="X3530">
        <v>1</v>
      </c>
      <c r="Y3530">
        <v>0</v>
      </c>
      <c r="Z3530">
        <v>0</v>
      </c>
      <c r="AA3530">
        <v>0</v>
      </c>
      <c r="AB3530">
        <v>0</v>
      </c>
      <c r="AC3530">
        <v>1152</v>
      </c>
      <c r="AD3530">
        <v>0</v>
      </c>
      <c r="AE3530">
        <v>0</v>
      </c>
      <c r="AF3530">
        <v>0</v>
      </c>
      <c r="AG3530">
        <v>0</v>
      </c>
      <c r="AH3530">
        <v>0</v>
      </c>
      <c r="AI3530">
        <v>0</v>
      </c>
      <c r="AJ3530">
        <v>0</v>
      </c>
      <c r="AK3530">
        <v>0</v>
      </c>
      <c r="AL3530">
        <v>0</v>
      </c>
      <c r="AM3530">
        <v>0</v>
      </c>
      <c r="AN3530">
        <v>0</v>
      </c>
      <c r="AO3530">
        <v>1</v>
      </c>
      <c r="AP3530">
        <v>0</v>
      </c>
      <c r="AQ3530">
        <v>0</v>
      </c>
      <c r="AR3530">
        <v>0</v>
      </c>
      <c r="AS3530">
        <v>0</v>
      </c>
      <c r="AT3530">
        <v>0</v>
      </c>
      <c r="AU3530">
        <f t="shared" si="108"/>
        <v>1</v>
      </c>
      <c r="AV3530">
        <f t="shared" si="109"/>
        <v>0</v>
      </c>
    </row>
    <row r="3531" spans="1:48" x14ac:dyDescent="0.25">
      <c r="A3531" t="s">
        <v>11250</v>
      </c>
      <c r="C3531" t="s">
        <v>11251</v>
      </c>
      <c r="D3531" t="s">
        <v>11252</v>
      </c>
      <c r="E3531" t="s">
        <v>2310</v>
      </c>
      <c r="F3531">
        <v>8</v>
      </c>
      <c r="G3531">
        <v>8.1</v>
      </c>
      <c r="H3531" t="s">
        <v>2323</v>
      </c>
      <c r="I3531" s="21">
        <v>41326.366053240701</v>
      </c>
      <c r="J3531">
        <v>2013</v>
      </c>
      <c r="K3531" s="21">
        <v>41388.6735416667</v>
      </c>
      <c r="L3531">
        <v>2013</v>
      </c>
      <c r="M3531" s="21">
        <v>41866.418506944399</v>
      </c>
      <c r="N3531">
        <v>2014</v>
      </c>
      <c r="Q3531" s="262">
        <v>1500000</v>
      </c>
      <c r="R3531" s="262">
        <v>540000</v>
      </c>
      <c r="S3531" t="s">
        <v>114</v>
      </c>
      <c r="T3531" t="s">
        <v>114</v>
      </c>
      <c r="V3531">
        <v>2836</v>
      </c>
      <c r="W3531">
        <v>3675</v>
      </c>
      <c r="X3531">
        <v>0</v>
      </c>
      <c r="Y3531">
        <v>0</v>
      </c>
      <c r="Z3531">
        <v>0</v>
      </c>
      <c r="AA3531">
        <v>0</v>
      </c>
      <c r="AB3531">
        <v>0</v>
      </c>
      <c r="AC3531">
        <v>3675</v>
      </c>
      <c r="AD3531">
        <v>0</v>
      </c>
      <c r="AE3531">
        <v>0</v>
      </c>
      <c r="AF3531">
        <v>0</v>
      </c>
      <c r="AG3531">
        <v>0</v>
      </c>
      <c r="AH3531">
        <v>0</v>
      </c>
      <c r="AI3531">
        <v>0</v>
      </c>
      <c r="AJ3531">
        <v>0</v>
      </c>
      <c r="AK3531">
        <v>0</v>
      </c>
      <c r="AL3531">
        <v>0</v>
      </c>
      <c r="AM3531">
        <v>0</v>
      </c>
      <c r="AN3531">
        <v>0</v>
      </c>
      <c r="AO3531">
        <v>0</v>
      </c>
      <c r="AP3531">
        <v>0</v>
      </c>
      <c r="AQ3531">
        <v>0</v>
      </c>
      <c r="AR3531">
        <v>0</v>
      </c>
      <c r="AS3531">
        <v>0</v>
      </c>
      <c r="AT3531">
        <v>0</v>
      </c>
      <c r="AU3531">
        <f t="shared" si="108"/>
        <v>0</v>
      </c>
      <c r="AV3531">
        <f t="shared" si="109"/>
        <v>0</v>
      </c>
    </row>
    <row r="3532" spans="1:48" x14ac:dyDescent="0.25">
      <c r="A3532" t="s">
        <v>11253</v>
      </c>
      <c r="C3532" t="s">
        <v>11254</v>
      </c>
      <c r="D3532" t="s">
        <v>11255</v>
      </c>
      <c r="E3532" t="s">
        <v>2310</v>
      </c>
      <c r="F3532">
        <v>8</v>
      </c>
      <c r="G3532">
        <v>8.1999999999999993</v>
      </c>
      <c r="H3532" t="s">
        <v>2022</v>
      </c>
      <c r="I3532" s="21">
        <v>41331.560150463003</v>
      </c>
      <c r="J3532">
        <v>2013</v>
      </c>
      <c r="K3532" s="21">
        <v>42424.626585648097</v>
      </c>
      <c r="L3532">
        <v>2016</v>
      </c>
      <c r="M3532" s="21">
        <v>42424.627152777801</v>
      </c>
      <c r="N3532">
        <v>2016</v>
      </c>
      <c r="Q3532" s="262">
        <v>2600000</v>
      </c>
      <c r="R3532" s="262">
        <v>833000</v>
      </c>
      <c r="S3532" t="s">
        <v>114</v>
      </c>
      <c r="T3532" t="s">
        <v>114</v>
      </c>
      <c r="W3532">
        <v>8271</v>
      </c>
      <c r="X3532">
        <v>1</v>
      </c>
      <c r="Y3532">
        <v>0</v>
      </c>
      <c r="Z3532">
        <v>0</v>
      </c>
      <c r="AA3532">
        <v>0</v>
      </c>
      <c r="AB3532">
        <v>0</v>
      </c>
      <c r="AC3532">
        <v>8271</v>
      </c>
      <c r="AD3532">
        <v>0</v>
      </c>
      <c r="AE3532">
        <v>0</v>
      </c>
      <c r="AF3532">
        <v>0</v>
      </c>
      <c r="AG3532">
        <v>0</v>
      </c>
      <c r="AH3532">
        <v>0</v>
      </c>
      <c r="AI3532">
        <v>0</v>
      </c>
      <c r="AJ3532">
        <v>0</v>
      </c>
      <c r="AK3532">
        <v>0</v>
      </c>
      <c r="AL3532">
        <v>0</v>
      </c>
      <c r="AM3532">
        <v>0</v>
      </c>
      <c r="AN3532">
        <v>0</v>
      </c>
      <c r="AO3532">
        <v>1</v>
      </c>
      <c r="AP3532">
        <v>0</v>
      </c>
      <c r="AQ3532">
        <v>0</v>
      </c>
      <c r="AR3532">
        <v>0</v>
      </c>
      <c r="AS3532">
        <v>0</v>
      </c>
      <c r="AT3532">
        <v>0</v>
      </c>
      <c r="AU3532">
        <f t="shared" si="108"/>
        <v>1</v>
      </c>
      <c r="AV3532">
        <f t="shared" si="109"/>
        <v>0</v>
      </c>
    </row>
    <row r="3533" spans="1:48" x14ac:dyDescent="0.25">
      <c r="A3533" t="s">
        <v>11256</v>
      </c>
      <c r="C3533" t="s">
        <v>11257</v>
      </c>
      <c r="D3533" t="s">
        <v>11255</v>
      </c>
      <c r="E3533" t="s">
        <v>2310</v>
      </c>
      <c r="F3533">
        <v>8</v>
      </c>
      <c r="G3533">
        <v>8.1999999999999993</v>
      </c>
      <c r="H3533" t="s">
        <v>2022</v>
      </c>
      <c r="I3533" s="21">
        <v>41331.6270717593</v>
      </c>
      <c r="J3533">
        <v>2013</v>
      </c>
      <c r="K3533" s="21">
        <v>41436.699699074103</v>
      </c>
      <c r="L3533">
        <v>2013</v>
      </c>
      <c r="M3533" s="21">
        <v>42195.368483796301</v>
      </c>
      <c r="N3533">
        <v>2015</v>
      </c>
      <c r="Q3533" s="262">
        <v>498300</v>
      </c>
      <c r="R3533" s="262">
        <v>163000</v>
      </c>
      <c r="S3533" t="s">
        <v>114</v>
      </c>
      <c r="T3533" t="s">
        <v>114</v>
      </c>
      <c r="W3533">
        <v>1661</v>
      </c>
      <c r="X3533">
        <v>1</v>
      </c>
      <c r="Y3533">
        <v>0</v>
      </c>
      <c r="Z3533">
        <v>0</v>
      </c>
      <c r="AA3533">
        <v>0</v>
      </c>
      <c r="AB3533">
        <v>0</v>
      </c>
      <c r="AC3533">
        <v>681</v>
      </c>
      <c r="AD3533">
        <v>0</v>
      </c>
      <c r="AE3533">
        <v>0</v>
      </c>
      <c r="AF3533">
        <v>980</v>
      </c>
      <c r="AG3533">
        <v>0</v>
      </c>
      <c r="AH3533">
        <v>0</v>
      </c>
      <c r="AI3533">
        <v>0</v>
      </c>
      <c r="AJ3533">
        <v>0</v>
      </c>
      <c r="AK3533">
        <v>0</v>
      </c>
      <c r="AL3533">
        <v>0</v>
      </c>
      <c r="AM3533">
        <v>0</v>
      </c>
      <c r="AN3533">
        <v>0</v>
      </c>
      <c r="AO3533">
        <v>0</v>
      </c>
      <c r="AP3533">
        <v>0</v>
      </c>
      <c r="AQ3533">
        <v>0</v>
      </c>
      <c r="AR3533">
        <v>1</v>
      </c>
      <c r="AS3533">
        <v>0</v>
      </c>
      <c r="AT3533">
        <v>0</v>
      </c>
      <c r="AU3533">
        <f t="shared" si="108"/>
        <v>0</v>
      </c>
      <c r="AV3533">
        <f t="shared" si="109"/>
        <v>0</v>
      </c>
    </row>
    <row r="3534" spans="1:48" x14ac:dyDescent="0.25">
      <c r="A3534" t="s">
        <v>11258</v>
      </c>
      <c r="C3534" t="s">
        <v>11259</v>
      </c>
      <c r="D3534" t="s">
        <v>11255</v>
      </c>
      <c r="E3534" t="s">
        <v>2310</v>
      </c>
      <c r="F3534">
        <v>8</v>
      </c>
      <c r="G3534">
        <v>8.1999999999999993</v>
      </c>
      <c r="H3534" t="s">
        <v>2022</v>
      </c>
      <c r="I3534" s="21">
        <v>41331.627094907402</v>
      </c>
      <c r="J3534">
        <v>2013</v>
      </c>
      <c r="K3534" s="21">
        <v>41436.702175925901</v>
      </c>
      <c r="L3534">
        <v>2013</v>
      </c>
      <c r="M3534" s="21">
        <v>42346.349884259304</v>
      </c>
      <c r="N3534">
        <v>2015</v>
      </c>
      <c r="Q3534" s="262">
        <v>89700</v>
      </c>
      <c r="R3534" s="262">
        <v>15000</v>
      </c>
      <c r="S3534" t="s">
        <v>114</v>
      </c>
      <c r="T3534" t="s">
        <v>114</v>
      </c>
      <c r="W3534">
        <v>0</v>
      </c>
      <c r="X3534">
        <v>0</v>
      </c>
      <c r="Y3534">
        <v>0</v>
      </c>
      <c r="Z3534">
        <v>0</v>
      </c>
      <c r="AA3534">
        <v>0</v>
      </c>
      <c r="AB3534">
        <v>0</v>
      </c>
      <c r="AC3534">
        <v>0</v>
      </c>
      <c r="AD3534">
        <v>0</v>
      </c>
      <c r="AE3534">
        <v>0</v>
      </c>
      <c r="AF3534">
        <v>0</v>
      </c>
      <c r="AG3534">
        <v>0</v>
      </c>
      <c r="AH3534">
        <v>0</v>
      </c>
      <c r="AI3534">
        <v>0</v>
      </c>
      <c r="AJ3534">
        <v>0</v>
      </c>
      <c r="AK3534">
        <v>0</v>
      </c>
      <c r="AL3534">
        <v>0</v>
      </c>
      <c r="AM3534">
        <v>0</v>
      </c>
      <c r="AN3534">
        <v>0</v>
      </c>
      <c r="AO3534">
        <v>0</v>
      </c>
      <c r="AP3534">
        <v>0</v>
      </c>
      <c r="AQ3534">
        <v>0</v>
      </c>
      <c r="AR3534">
        <v>0</v>
      </c>
      <c r="AS3534">
        <v>0</v>
      </c>
      <c r="AT3534">
        <v>0</v>
      </c>
      <c r="AU3534">
        <f t="shared" si="108"/>
        <v>0</v>
      </c>
      <c r="AV3534">
        <f t="shared" si="109"/>
        <v>0</v>
      </c>
    </row>
    <row r="3535" spans="1:48" x14ac:dyDescent="0.25">
      <c r="A3535" t="s">
        <v>11260</v>
      </c>
      <c r="C3535" t="s">
        <v>11261</v>
      </c>
      <c r="D3535" t="s">
        <v>4365</v>
      </c>
      <c r="E3535" t="s">
        <v>2310</v>
      </c>
      <c r="F3535">
        <v>9</v>
      </c>
      <c r="G3535">
        <v>9.1</v>
      </c>
      <c r="H3535" t="s">
        <v>2323</v>
      </c>
      <c r="I3535" s="21">
        <v>41331.671886574099</v>
      </c>
      <c r="J3535">
        <v>2013</v>
      </c>
      <c r="K3535" s="21">
        <v>41444.405590277798</v>
      </c>
      <c r="L3535">
        <v>2013</v>
      </c>
      <c r="M3535" s="21">
        <v>42159.445486111101</v>
      </c>
      <c r="N3535">
        <v>2015</v>
      </c>
      <c r="Q3535" s="262">
        <v>3245000</v>
      </c>
      <c r="R3535" s="262">
        <v>2566000</v>
      </c>
      <c r="S3535" t="s">
        <v>114</v>
      </c>
      <c r="T3535" t="s">
        <v>114</v>
      </c>
      <c r="W3535">
        <v>21108</v>
      </c>
      <c r="X3535">
        <v>0</v>
      </c>
      <c r="Y3535">
        <v>0</v>
      </c>
      <c r="Z3535">
        <v>0</v>
      </c>
      <c r="AA3535">
        <v>0</v>
      </c>
      <c r="AB3535">
        <v>0</v>
      </c>
      <c r="AC3535">
        <v>0</v>
      </c>
      <c r="AD3535">
        <v>0</v>
      </c>
      <c r="AE3535">
        <v>0</v>
      </c>
      <c r="AF3535">
        <v>0</v>
      </c>
      <c r="AG3535">
        <v>0</v>
      </c>
      <c r="AH3535">
        <v>0</v>
      </c>
      <c r="AI3535">
        <v>0</v>
      </c>
      <c r="AJ3535">
        <v>0</v>
      </c>
      <c r="AK3535">
        <v>0</v>
      </c>
      <c r="AL3535">
        <v>0</v>
      </c>
      <c r="AM3535">
        <v>21108</v>
      </c>
      <c r="AN3535">
        <v>0</v>
      </c>
      <c r="AO3535">
        <v>0</v>
      </c>
      <c r="AP3535">
        <v>0</v>
      </c>
      <c r="AQ3535">
        <v>0</v>
      </c>
      <c r="AR3535">
        <v>0</v>
      </c>
      <c r="AS3535">
        <v>0</v>
      </c>
      <c r="AT3535">
        <v>0</v>
      </c>
      <c r="AU3535">
        <f t="shared" si="108"/>
        <v>0</v>
      </c>
      <c r="AV3535">
        <f t="shared" si="109"/>
        <v>21108</v>
      </c>
    </row>
    <row r="3536" spans="1:48" x14ac:dyDescent="0.25">
      <c r="A3536" t="s">
        <v>11262</v>
      </c>
      <c r="C3536" t="s">
        <v>11263</v>
      </c>
      <c r="D3536" t="s">
        <v>11264</v>
      </c>
      <c r="E3536" t="s">
        <v>1663</v>
      </c>
      <c r="F3536">
        <v>3</v>
      </c>
      <c r="G3536">
        <v>3.2</v>
      </c>
      <c r="H3536" t="s">
        <v>2327</v>
      </c>
      <c r="I3536" s="21">
        <v>41332</v>
      </c>
      <c r="J3536">
        <v>2013</v>
      </c>
      <c r="K3536" s="21">
        <v>41361</v>
      </c>
      <c r="L3536">
        <v>2013</v>
      </c>
      <c r="M3536" s="21">
        <v>41545</v>
      </c>
      <c r="N3536">
        <v>2013</v>
      </c>
      <c r="Q3536" s="262">
        <v>75000</v>
      </c>
      <c r="S3536" t="s">
        <v>114</v>
      </c>
      <c r="T3536" t="s">
        <v>114</v>
      </c>
      <c r="W3536">
        <v>0</v>
      </c>
      <c r="X3536">
        <v>0</v>
      </c>
      <c r="Y3536">
        <v>0</v>
      </c>
      <c r="Z3536">
        <v>0</v>
      </c>
      <c r="AA3536">
        <v>0</v>
      </c>
      <c r="AB3536">
        <v>0</v>
      </c>
      <c r="AC3536">
        <v>0</v>
      </c>
      <c r="AD3536">
        <v>0</v>
      </c>
      <c r="AE3536">
        <v>0</v>
      </c>
      <c r="AF3536">
        <v>0</v>
      </c>
      <c r="AG3536">
        <v>0</v>
      </c>
      <c r="AH3536">
        <v>632</v>
      </c>
      <c r="AI3536">
        <v>0</v>
      </c>
      <c r="AJ3536">
        <v>-632</v>
      </c>
      <c r="AK3536">
        <v>0</v>
      </c>
      <c r="AL3536">
        <v>0</v>
      </c>
      <c r="AM3536">
        <v>0</v>
      </c>
      <c r="AN3536">
        <v>0</v>
      </c>
      <c r="AO3536">
        <v>0</v>
      </c>
      <c r="AP3536">
        <v>0</v>
      </c>
      <c r="AQ3536">
        <v>0</v>
      </c>
      <c r="AR3536">
        <v>0</v>
      </c>
      <c r="AS3536">
        <v>0</v>
      </c>
      <c r="AT3536">
        <v>0</v>
      </c>
      <c r="AU3536">
        <f t="shared" si="108"/>
        <v>0</v>
      </c>
      <c r="AV3536">
        <f t="shared" si="109"/>
        <v>0</v>
      </c>
    </row>
    <row r="3537" spans="1:48" x14ac:dyDescent="0.25">
      <c r="A3537" t="s">
        <v>11265</v>
      </c>
      <c r="C3537" t="s">
        <v>11266</v>
      </c>
      <c r="D3537" t="s">
        <v>11267</v>
      </c>
      <c r="E3537" t="s">
        <v>2310</v>
      </c>
      <c r="F3537">
        <v>10</v>
      </c>
      <c r="G3537">
        <v>10.1</v>
      </c>
      <c r="H3537" t="s">
        <v>2323</v>
      </c>
      <c r="I3537" s="21">
        <v>41332.350578703699</v>
      </c>
      <c r="J3537">
        <v>2013</v>
      </c>
      <c r="K3537" s="21">
        <v>41369.409317129597</v>
      </c>
      <c r="L3537">
        <v>2013</v>
      </c>
      <c r="O3537" s="21">
        <v>41702.536863425899</v>
      </c>
      <c r="Q3537" s="262">
        <v>125000</v>
      </c>
      <c r="R3537" s="262">
        <v>53000</v>
      </c>
      <c r="S3537" t="s">
        <v>114</v>
      </c>
      <c r="T3537" t="s">
        <v>114</v>
      </c>
      <c r="W3537">
        <v>510</v>
      </c>
      <c r="X3537">
        <v>0</v>
      </c>
      <c r="Y3537">
        <v>0</v>
      </c>
      <c r="Z3537">
        <v>0</v>
      </c>
      <c r="AA3537">
        <v>0</v>
      </c>
      <c r="AB3537">
        <v>0</v>
      </c>
      <c r="AC3537">
        <v>510</v>
      </c>
      <c r="AD3537">
        <v>0</v>
      </c>
      <c r="AE3537">
        <v>0</v>
      </c>
      <c r="AF3537">
        <v>0</v>
      </c>
      <c r="AG3537">
        <v>0</v>
      </c>
      <c r="AH3537">
        <v>0</v>
      </c>
      <c r="AI3537">
        <v>0</v>
      </c>
      <c r="AJ3537">
        <v>0</v>
      </c>
      <c r="AK3537">
        <v>0</v>
      </c>
      <c r="AL3537">
        <v>0</v>
      </c>
      <c r="AM3537">
        <v>0</v>
      </c>
      <c r="AN3537">
        <v>0</v>
      </c>
      <c r="AO3537">
        <v>0</v>
      </c>
      <c r="AP3537">
        <v>0</v>
      </c>
      <c r="AQ3537">
        <v>0</v>
      </c>
      <c r="AR3537">
        <v>0</v>
      </c>
      <c r="AS3537">
        <v>0</v>
      </c>
      <c r="AT3537">
        <v>0</v>
      </c>
      <c r="AU3537">
        <f t="shared" si="108"/>
        <v>0</v>
      </c>
      <c r="AV3537">
        <f t="shared" si="109"/>
        <v>0</v>
      </c>
    </row>
    <row r="3538" spans="1:48" x14ac:dyDescent="0.25">
      <c r="A3538" t="s">
        <v>11268</v>
      </c>
      <c r="C3538" t="s">
        <v>11269</v>
      </c>
      <c r="D3538" t="s">
        <v>11270</v>
      </c>
      <c r="E3538" t="s">
        <v>2310</v>
      </c>
      <c r="F3538">
        <v>9</v>
      </c>
      <c r="G3538">
        <v>9.1999999999999993</v>
      </c>
      <c r="H3538" t="s">
        <v>2022</v>
      </c>
      <c r="I3538" s="21">
        <v>41332.531215277799</v>
      </c>
      <c r="J3538">
        <v>2013</v>
      </c>
      <c r="K3538" s="21">
        <v>41437.5164814815</v>
      </c>
      <c r="L3538">
        <v>2013</v>
      </c>
      <c r="M3538" s="21">
        <v>41655.443969907399</v>
      </c>
      <c r="N3538">
        <v>2014</v>
      </c>
      <c r="Q3538" s="262">
        <v>280000</v>
      </c>
      <c r="R3538" s="262">
        <v>116000</v>
      </c>
      <c r="S3538" t="s">
        <v>114</v>
      </c>
      <c r="T3538" t="s">
        <v>114</v>
      </c>
      <c r="V3538">
        <v>1465</v>
      </c>
      <c r="W3538">
        <v>0</v>
      </c>
      <c r="X3538">
        <v>0</v>
      </c>
      <c r="Y3538">
        <v>0</v>
      </c>
      <c r="Z3538">
        <v>0</v>
      </c>
      <c r="AA3538">
        <v>0</v>
      </c>
      <c r="AB3538">
        <v>0</v>
      </c>
      <c r="AC3538">
        <v>0</v>
      </c>
      <c r="AD3538">
        <v>0</v>
      </c>
      <c r="AE3538">
        <v>0</v>
      </c>
      <c r="AF3538">
        <v>0</v>
      </c>
      <c r="AG3538">
        <v>0</v>
      </c>
      <c r="AH3538">
        <v>0</v>
      </c>
      <c r="AI3538">
        <v>0</v>
      </c>
      <c r="AJ3538">
        <v>0</v>
      </c>
      <c r="AK3538">
        <v>0</v>
      </c>
      <c r="AL3538">
        <v>0</v>
      </c>
      <c r="AM3538">
        <v>0</v>
      </c>
      <c r="AN3538">
        <v>0</v>
      </c>
      <c r="AO3538">
        <v>0</v>
      </c>
      <c r="AP3538">
        <v>0</v>
      </c>
      <c r="AQ3538">
        <v>0</v>
      </c>
      <c r="AR3538">
        <v>0</v>
      </c>
      <c r="AS3538">
        <v>0</v>
      </c>
      <c r="AT3538">
        <v>0</v>
      </c>
      <c r="AU3538">
        <f t="shared" si="108"/>
        <v>0</v>
      </c>
      <c r="AV3538">
        <f t="shared" si="109"/>
        <v>0</v>
      </c>
    </row>
    <row r="3539" spans="1:48" x14ac:dyDescent="0.25">
      <c r="A3539" t="s">
        <v>11271</v>
      </c>
      <c r="C3539" t="s">
        <v>11272</v>
      </c>
      <c r="D3539" t="s">
        <v>11273</v>
      </c>
      <c r="E3539" t="s">
        <v>2310</v>
      </c>
      <c r="F3539">
        <v>15</v>
      </c>
      <c r="G3539">
        <v>15.4</v>
      </c>
      <c r="H3539" t="s">
        <v>2323</v>
      </c>
      <c r="I3539" s="21">
        <v>41333.416701388902</v>
      </c>
      <c r="J3539">
        <v>2013</v>
      </c>
      <c r="K3539" s="21">
        <v>42885.571180555598</v>
      </c>
      <c r="L3539">
        <v>2017</v>
      </c>
      <c r="Q3539" s="262">
        <v>2100000</v>
      </c>
      <c r="R3539" s="262">
        <v>769000</v>
      </c>
      <c r="S3539" t="s">
        <v>114</v>
      </c>
      <c r="T3539" t="s">
        <v>114</v>
      </c>
      <c r="W3539">
        <v>8327</v>
      </c>
      <c r="X3539">
        <v>0</v>
      </c>
      <c r="Y3539">
        <v>0</v>
      </c>
      <c r="Z3539">
        <v>0</v>
      </c>
      <c r="AA3539">
        <v>0</v>
      </c>
      <c r="AB3539">
        <v>0</v>
      </c>
      <c r="AC3539">
        <v>8327</v>
      </c>
      <c r="AD3539">
        <v>0</v>
      </c>
      <c r="AE3539">
        <v>0</v>
      </c>
      <c r="AF3539">
        <v>0</v>
      </c>
      <c r="AG3539">
        <v>0</v>
      </c>
      <c r="AH3539">
        <v>0</v>
      </c>
      <c r="AI3539">
        <v>0</v>
      </c>
      <c r="AJ3539">
        <v>0</v>
      </c>
      <c r="AK3539">
        <v>0</v>
      </c>
      <c r="AL3539">
        <v>0</v>
      </c>
      <c r="AM3539">
        <v>0</v>
      </c>
      <c r="AN3539">
        <v>0</v>
      </c>
      <c r="AO3539">
        <v>0</v>
      </c>
      <c r="AP3539">
        <v>0</v>
      </c>
      <c r="AQ3539">
        <v>0</v>
      </c>
      <c r="AR3539">
        <v>0</v>
      </c>
      <c r="AS3539">
        <v>0</v>
      </c>
      <c r="AT3539">
        <v>0</v>
      </c>
      <c r="AU3539">
        <f t="shared" si="108"/>
        <v>0</v>
      </c>
      <c r="AV3539">
        <f t="shared" si="109"/>
        <v>0</v>
      </c>
    </row>
    <row r="3540" spans="1:48" x14ac:dyDescent="0.25">
      <c r="A3540" t="s">
        <v>11271</v>
      </c>
      <c r="B3540" t="s">
        <v>11274</v>
      </c>
      <c r="C3540" t="s">
        <v>11275</v>
      </c>
      <c r="D3540" t="s">
        <v>11273</v>
      </c>
      <c r="E3540" t="s">
        <v>2310</v>
      </c>
      <c r="F3540">
        <v>15</v>
      </c>
      <c r="G3540">
        <v>15.4</v>
      </c>
      <c r="H3540" t="s">
        <v>2323</v>
      </c>
      <c r="I3540" s="21">
        <v>41333.416701388902</v>
      </c>
      <c r="J3540">
        <v>2013</v>
      </c>
      <c r="K3540" s="21">
        <v>42885.571180555598</v>
      </c>
      <c r="L3540">
        <v>2017</v>
      </c>
      <c r="S3540" t="s">
        <v>114</v>
      </c>
      <c r="T3540" t="s">
        <v>114</v>
      </c>
      <c r="V3540">
        <v>0</v>
      </c>
      <c r="W3540">
        <v>-875</v>
      </c>
      <c r="X3540">
        <v>-1</v>
      </c>
      <c r="Y3540">
        <v>0</v>
      </c>
      <c r="Z3540">
        <v>0</v>
      </c>
      <c r="AA3540">
        <v>0</v>
      </c>
      <c r="AB3540">
        <v>0</v>
      </c>
      <c r="AC3540">
        <v>-875</v>
      </c>
      <c r="AD3540">
        <v>0</v>
      </c>
      <c r="AE3540">
        <v>0</v>
      </c>
      <c r="AF3540">
        <v>0</v>
      </c>
      <c r="AG3540">
        <v>0</v>
      </c>
      <c r="AH3540">
        <v>0</v>
      </c>
      <c r="AI3540">
        <v>0</v>
      </c>
      <c r="AJ3540">
        <v>0</v>
      </c>
      <c r="AK3540">
        <v>0</v>
      </c>
      <c r="AL3540">
        <v>0</v>
      </c>
      <c r="AM3540">
        <v>0</v>
      </c>
      <c r="AN3540">
        <v>0</v>
      </c>
      <c r="AO3540">
        <v>0</v>
      </c>
      <c r="AP3540">
        <v>0</v>
      </c>
      <c r="AQ3540">
        <v>0</v>
      </c>
      <c r="AR3540">
        <v>-1</v>
      </c>
      <c r="AS3540">
        <v>0</v>
      </c>
      <c r="AT3540">
        <v>0</v>
      </c>
      <c r="AU3540">
        <f t="shared" si="108"/>
        <v>0</v>
      </c>
      <c r="AV3540">
        <f t="shared" si="109"/>
        <v>0</v>
      </c>
    </row>
    <row r="3541" spans="1:48" x14ac:dyDescent="0.25">
      <c r="A3541" t="s">
        <v>11276</v>
      </c>
      <c r="C3541" t="s">
        <v>11277</v>
      </c>
      <c r="D3541" t="s">
        <v>11278</v>
      </c>
      <c r="E3541" t="s">
        <v>2310</v>
      </c>
      <c r="F3541">
        <v>8</v>
      </c>
      <c r="G3541">
        <v>8.1999999999999993</v>
      </c>
      <c r="H3541" t="s">
        <v>2022</v>
      </c>
      <c r="I3541" s="21">
        <v>41334.437650462998</v>
      </c>
      <c r="J3541">
        <v>2013</v>
      </c>
      <c r="K3541" s="21">
        <v>41352.699479166702</v>
      </c>
      <c r="L3541">
        <v>2013</v>
      </c>
      <c r="M3541" s="21">
        <v>41453.4233564815</v>
      </c>
      <c r="N3541">
        <v>2013</v>
      </c>
      <c r="Q3541" s="262">
        <v>60000</v>
      </c>
      <c r="R3541" s="262">
        <v>23000</v>
      </c>
      <c r="S3541" t="s">
        <v>114</v>
      </c>
      <c r="T3541" t="s">
        <v>114</v>
      </c>
      <c r="W3541">
        <v>0</v>
      </c>
      <c r="X3541">
        <v>0</v>
      </c>
      <c r="Y3541">
        <v>0</v>
      </c>
      <c r="Z3541">
        <v>0</v>
      </c>
      <c r="AA3541">
        <v>0</v>
      </c>
      <c r="AB3541">
        <v>0</v>
      </c>
      <c r="AC3541">
        <v>0</v>
      </c>
      <c r="AD3541">
        <v>0</v>
      </c>
      <c r="AE3541">
        <v>0</v>
      </c>
      <c r="AF3541">
        <v>0</v>
      </c>
      <c r="AG3541">
        <v>0</v>
      </c>
      <c r="AH3541">
        <v>0</v>
      </c>
      <c r="AI3541">
        <v>0</v>
      </c>
      <c r="AJ3541">
        <v>0</v>
      </c>
      <c r="AK3541">
        <v>0</v>
      </c>
      <c r="AL3541">
        <v>0</v>
      </c>
      <c r="AM3541">
        <v>0</v>
      </c>
      <c r="AN3541">
        <v>0</v>
      </c>
      <c r="AO3541">
        <v>0</v>
      </c>
      <c r="AP3541">
        <v>0</v>
      </c>
      <c r="AQ3541">
        <v>0</v>
      </c>
      <c r="AR3541">
        <v>0</v>
      </c>
      <c r="AS3541">
        <v>0</v>
      </c>
      <c r="AT3541">
        <v>0</v>
      </c>
      <c r="AU3541">
        <f t="shared" si="108"/>
        <v>0</v>
      </c>
      <c r="AV3541">
        <f t="shared" si="109"/>
        <v>0</v>
      </c>
    </row>
    <row r="3542" spans="1:48" x14ac:dyDescent="0.25">
      <c r="A3542" t="s">
        <v>11279</v>
      </c>
      <c r="C3542" t="s">
        <v>10197</v>
      </c>
      <c r="D3542" t="s">
        <v>11280</v>
      </c>
      <c r="E3542" t="s">
        <v>2310</v>
      </c>
      <c r="F3542">
        <v>12</v>
      </c>
      <c r="G3542">
        <v>12.3</v>
      </c>
      <c r="H3542" t="s">
        <v>2017</v>
      </c>
      <c r="I3542" s="21">
        <v>41334.600995370398</v>
      </c>
      <c r="J3542">
        <v>2013</v>
      </c>
      <c r="K3542" s="21">
        <v>41423.444710648102</v>
      </c>
      <c r="L3542">
        <v>2013</v>
      </c>
      <c r="M3542" s="21">
        <v>41908.585011574098</v>
      </c>
      <c r="N3542">
        <v>2014</v>
      </c>
      <c r="Q3542" s="262">
        <v>1700000</v>
      </c>
      <c r="R3542" s="262">
        <v>638000</v>
      </c>
      <c r="S3542" t="s">
        <v>114</v>
      </c>
      <c r="T3542" t="s">
        <v>114</v>
      </c>
      <c r="W3542">
        <v>6536</v>
      </c>
      <c r="X3542">
        <v>1</v>
      </c>
      <c r="Y3542">
        <v>0</v>
      </c>
      <c r="Z3542">
        <v>0</v>
      </c>
      <c r="AA3542">
        <v>0</v>
      </c>
      <c r="AB3542">
        <v>0</v>
      </c>
      <c r="AC3542">
        <v>6536</v>
      </c>
      <c r="AD3542">
        <v>0</v>
      </c>
      <c r="AE3542">
        <v>0</v>
      </c>
      <c r="AF3542">
        <v>0</v>
      </c>
      <c r="AG3542">
        <v>0</v>
      </c>
      <c r="AH3542">
        <v>0</v>
      </c>
      <c r="AI3542">
        <v>0</v>
      </c>
      <c r="AJ3542">
        <v>0</v>
      </c>
      <c r="AK3542">
        <v>0</v>
      </c>
      <c r="AL3542">
        <v>0</v>
      </c>
      <c r="AM3542">
        <v>0</v>
      </c>
      <c r="AN3542">
        <v>0</v>
      </c>
      <c r="AO3542">
        <v>1</v>
      </c>
      <c r="AP3542">
        <v>0</v>
      </c>
      <c r="AQ3542">
        <v>0</v>
      </c>
      <c r="AR3542">
        <v>0</v>
      </c>
      <c r="AS3542">
        <v>0</v>
      </c>
      <c r="AT3542">
        <v>0</v>
      </c>
      <c r="AU3542">
        <f t="shared" si="108"/>
        <v>1</v>
      </c>
      <c r="AV3542">
        <f t="shared" si="109"/>
        <v>0</v>
      </c>
    </row>
    <row r="3543" spans="1:48" x14ac:dyDescent="0.25">
      <c r="A3543" t="s">
        <v>11281</v>
      </c>
      <c r="C3543" t="s">
        <v>11282</v>
      </c>
      <c r="D3543" t="s">
        <v>11283</v>
      </c>
      <c r="E3543" t="s">
        <v>2310</v>
      </c>
      <c r="F3543">
        <v>14</v>
      </c>
      <c r="G3543">
        <v>14.1</v>
      </c>
      <c r="H3543" t="s">
        <v>2022</v>
      </c>
      <c r="I3543" s="21">
        <v>41334.653148148202</v>
      </c>
      <c r="J3543">
        <v>2013</v>
      </c>
      <c r="K3543" s="21">
        <v>41397.579837963</v>
      </c>
      <c r="L3543">
        <v>2013</v>
      </c>
      <c r="M3543" s="21">
        <v>41809.405011574097</v>
      </c>
      <c r="N3543">
        <v>2014</v>
      </c>
      <c r="Q3543" s="262">
        <v>1200000</v>
      </c>
      <c r="R3543" s="262">
        <v>478000</v>
      </c>
      <c r="S3543" t="s">
        <v>114</v>
      </c>
      <c r="T3543" t="s">
        <v>114</v>
      </c>
      <c r="W3543">
        <v>4902</v>
      </c>
      <c r="X3543">
        <v>1</v>
      </c>
      <c r="Y3543">
        <v>0</v>
      </c>
      <c r="Z3543">
        <v>0</v>
      </c>
      <c r="AA3543">
        <v>0</v>
      </c>
      <c r="AB3543">
        <v>0</v>
      </c>
      <c r="AC3543">
        <v>4902</v>
      </c>
      <c r="AD3543">
        <v>0</v>
      </c>
      <c r="AE3543">
        <v>0</v>
      </c>
      <c r="AF3543">
        <v>0</v>
      </c>
      <c r="AG3543">
        <v>0</v>
      </c>
      <c r="AH3543">
        <v>0</v>
      </c>
      <c r="AI3543">
        <v>0</v>
      </c>
      <c r="AJ3543">
        <v>0</v>
      </c>
      <c r="AK3543">
        <v>0</v>
      </c>
      <c r="AL3543">
        <v>0</v>
      </c>
      <c r="AM3543">
        <v>0</v>
      </c>
      <c r="AN3543">
        <v>0</v>
      </c>
      <c r="AO3543">
        <v>1</v>
      </c>
      <c r="AP3543">
        <v>0</v>
      </c>
      <c r="AQ3543">
        <v>0</v>
      </c>
      <c r="AR3543">
        <v>0</v>
      </c>
      <c r="AS3543">
        <v>0</v>
      </c>
      <c r="AT3543">
        <v>0</v>
      </c>
      <c r="AU3543">
        <f t="shared" si="108"/>
        <v>1</v>
      </c>
      <c r="AV3543">
        <f t="shared" si="109"/>
        <v>0</v>
      </c>
    </row>
    <row r="3544" spans="1:48" x14ac:dyDescent="0.25">
      <c r="A3544" t="s">
        <v>11284</v>
      </c>
      <c r="C3544" t="s">
        <v>11285</v>
      </c>
      <c r="D3544" t="s">
        <v>11286</v>
      </c>
      <c r="E3544" t="s">
        <v>1663</v>
      </c>
      <c r="F3544">
        <v>5</v>
      </c>
      <c r="G3544">
        <v>5.2</v>
      </c>
      <c r="H3544" t="s">
        <v>2327</v>
      </c>
      <c r="I3544" s="21">
        <v>41337</v>
      </c>
      <c r="J3544">
        <v>2013</v>
      </c>
      <c r="K3544" s="21">
        <v>41360</v>
      </c>
      <c r="L3544">
        <v>2013</v>
      </c>
      <c r="M3544" s="21">
        <v>41691</v>
      </c>
      <c r="N3544">
        <v>2014</v>
      </c>
      <c r="Q3544" s="262">
        <v>800000</v>
      </c>
      <c r="S3544" t="s">
        <v>114</v>
      </c>
      <c r="T3544" t="s">
        <v>114</v>
      </c>
      <c r="W3544">
        <v>7535</v>
      </c>
      <c r="X3544">
        <v>12</v>
      </c>
      <c r="Y3544">
        <v>0</v>
      </c>
      <c r="Z3544">
        <v>0</v>
      </c>
      <c r="AA3544">
        <v>0</v>
      </c>
      <c r="AB3544">
        <v>0</v>
      </c>
      <c r="AC3544">
        <v>0</v>
      </c>
      <c r="AD3544">
        <v>0</v>
      </c>
      <c r="AE3544">
        <v>7535</v>
      </c>
      <c r="AF3544">
        <v>0</v>
      </c>
      <c r="AG3544">
        <v>0</v>
      </c>
      <c r="AH3544">
        <v>0</v>
      </c>
      <c r="AI3544">
        <v>0</v>
      </c>
      <c r="AJ3544">
        <v>0</v>
      </c>
      <c r="AK3544">
        <v>0</v>
      </c>
      <c r="AL3544">
        <v>0</v>
      </c>
      <c r="AM3544">
        <v>0</v>
      </c>
      <c r="AN3544">
        <v>0</v>
      </c>
      <c r="AO3544">
        <v>0</v>
      </c>
      <c r="AP3544">
        <v>0</v>
      </c>
      <c r="AQ3544">
        <v>12</v>
      </c>
      <c r="AR3544">
        <v>0</v>
      </c>
      <c r="AS3544">
        <v>0</v>
      </c>
      <c r="AT3544">
        <v>0</v>
      </c>
      <c r="AU3544">
        <f t="shared" si="108"/>
        <v>12</v>
      </c>
      <c r="AV3544">
        <f t="shared" si="109"/>
        <v>0</v>
      </c>
    </row>
    <row r="3545" spans="1:48" x14ac:dyDescent="0.25">
      <c r="A3545" t="s">
        <v>11287</v>
      </c>
      <c r="C3545" t="s">
        <v>11288</v>
      </c>
      <c r="D3545" t="s">
        <v>11289</v>
      </c>
      <c r="E3545" t="s">
        <v>1663</v>
      </c>
      <c r="F3545">
        <v>2</v>
      </c>
      <c r="G3545">
        <v>2.2999999999999998</v>
      </c>
      <c r="H3545" t="s">
        <v>2327</v>
      </c>
      <c r="I3545" s="21">
        <v>41340</v>
      </c>
      <c r="J3545">
        <v>2013</v>
      </c>
      <c r="K3545" s="21">
        <v>41394</v>
      </c>
      <c r="L3545">
        <v>2013</v>
      </c>
      <c r="M3545" s="21">
        <v>41577</v>
      </c>
      <c r="N3545">
        <v>2013</v>
      </c>
      <c r="Q3545" s="262">
        <v>1200000</v>
      </c>
      <c r="S3545" t="s">
        <v>114</v>
      </c>
      <c r="T3545" t="s">
        <v>114</v>
      </c>
      <c r="W3545">
        <v>26013</v>
      </c>
      <c r="X3545">
        <v>0</v>
      </c>
      <c r="Y3545">
        <v>0</v>
      </c>
      <c r="Z3545">
        <v>0</v>
      </c>
      <c r="AA3545">
        <v>0</v>
      </c>
      <c r="AB3545">
        <v>0</v>
      </c>
      <c r="AC3545">
        <v>0</v>
      </c>
      <c r="AD3545">
        <v>0</v>
      </c>
      <c r="AE3545">
        <v>0</v>
      </c>
      <c r="AF3545">
        <v>0</v>
      </c>
      <c r="AG3545">
        <v>0</v>
      </c>
      <c r="AH3545">
        <v>0</v>
      </c>
      <c r="AI3545">
        <v>26013</v>
      </c>
      <c r="AJ3545">
        <v>0</v>
      </c>
      <c r="AK3545">
        <v>0</v>
      </c>
      <c r="AL3545">
        <v>0</v>
      </c>
      <c r="AM3545">
        <v>0</v>
      </c>
      <c r="AN3545">
        <v>0</v>
      </c>
      <c r="AO3545">
        <v>0</v>
      </c>
      <c r="AP3545">
        <v>0</v>
      </c>
      <c r="AQ3545">
        <v>0</v>
      </c>
      <c r="AR3545">
        <v>0</v>
      </c>
      <c r="AS3545">
        <v>0</v>
      </c>
      <c r="AT3545">
        <v>0</v>
      </c>
      <c r="AU3545">
        <f t="shared" ref="AU3545:AU3608" si="110">SUM(AN3545:AQ3545,AS3545)</f>
        <v>0</v>
      </c>
      <c r="AV3545">
        <f t="shared" ref="AV3545:AV3608" si="111">SUM(Y3545:AB3545,AH3545:AM3545)</f>
        <v>26013</v>
      </c>
    </row>
    <row r="3546" spans="1:48" x14ac:dyDescent="0.25">
      <c r="A3546" t="s">
        <v>11290</v>
      </c>
      <c r="C3546" t="s">
        <v>11291</v>
      </c>
      <c r="D3546" t="s">
        <v>11292</v>
      </c>
      <c r="E3546" t="s">
        <v>2310</v>
      </c>
      <c r="F3546">
        <v>9</v>
      </c>
      <c r="G3546">
        <v>9.4</v>
      </c>
      <c r="H3546" t="s">
        <v>2323</v>
      </c>
      <c r="I3546" s="21">
        <v>41340.571412037003</v>
      </c>
      <c r="J3546">
        <v>2013</v>
      </c>
      <c r="K3546" s="21">
        <v>41374.475405092599</v>
      </c>
      <c r="L3546">
        <v>2013</v>
      </c>
      <c r="M3546" s="21">
        <v>41856.590659722198</v>
      </c>
      <c r="N3546">
        <v>2014</v>
      </c>
      <c r="Q3546" s="262">
        <v>150000</v>
      </c>
      <c r="R3546" s="262">
        <v>83000</v>
      </c>
      <c r="S3546" t="s">
        <v>114</v>
      </c>
      <c r="T3546" t="s">
        <v>114</v>
      </c>
      <c r="W3546">
        <v>1055</v>
      </c>
      <c r="X3546">
        <v>0</v>
      </c>
      <c r="Y3546">
        <v>0</v>
      </c>
      <c r="Z3546">
        <v>0</v>
      </c>
      <c r="AA3546">
        <v>0</v>
      </c>
      <c r="AB3546">
        <v>0</v>
      </c>
      <c r="AC3546">
        <v>1055</v>
      </c>
      <c r="AD3546">
        <v>0</v>
      </c>
      <c r="AE3546">
        <v>0</v>
      </c>
      <c r="AF3546">
        <v>0</v>
      </c>
      <c r="AG3546">
        <v>0</v>
      </c>
      <c r="AH3546">
        <v>0</v>
      </c>
      <c r="AI3546">
        <v>0</v>
      </c>
      <c r="AJ3546">
        <v>0</v>
      </c>
      <c r="AK3546">
        <v>0</v>
      </c>
      <c r="AL3546">
        <v>0</v>
      </c>
      <c r="AM3546">
        <v>0</v>
      </c>
      <c r="AN3546">
        <v>0</v>
      </c>
      <c r="AO3546">
        <v>0</v>
      </c>
      <c r="AP3546">
        <v>0</v>
      </c>
      <c r="AQ3546">
        <v>0</v>
      </c>
      <c r="AR3546">
        <v>0</v>
      </c>
      <c r="AS3546">
        <v>0</v>
      </c>
      <c r="AT3546">
        <v>0</v>
      </c>
      <c r="AU3546">
        <f t="shared" si="110"/>
        <v>0</v>
      </c>
      <c r="AV3546">
        <f t="shared" si="111"/>
        <v>0</v>
      </c>
    </row>
    <row r="3547" spans="1:48" x14ac:dyDescent="0.25">
      <c r="A3547" t="s">
        <v>11293</v>
      </c>
      <c r="C3547" t="s">
        <v>11294</v>
      </c>
      <c r="D3547" t="s">
        <v>11295</v>
      </c>
      <c r="E3547" t="s">
        <v>2310</v>
      </c>
      <c r="F3547">
        <v>9</v>
      </c>
      <c r="G3547">
        <v>9.1</v>
      </c>
      <c r="H3547" t="s">
        <v>2323</v>
      </c>
      <c r="I3547" s="21">
        <v>41340.7274189815</v>
      </c>
      <c r="J3547">
        <v>2013</v>
      </c>
      <c r="K3547" s="21">
        <v>41374.718217592599</v>
      </c>
      <c r="L3547">
        <v>2013</v>
      </c>
      <c r="M3547" s="21">
        <v>41807.6190740741</v>
      </c>
      <c r="N3547">
        <v>2014</v>
      </c>
      <c r="Q3547" s="262">
        <v>2000000</v>
      </c>
      <c r="R3547" s="262">
        <v>711000</v>
      </c>
      <c r="S3547" t="s">
        <v>114</v>
      </c>
      <c r="T3547" t="s">
        <v>114</v>
      </c>
      <c r="W3547">
        <v>7594</v>
      </c>
      <c r="X3547">
        <v>1</v>
      </c>
      <c r="Y3547">
        <v>0</v>
      </c>
      <c r="Z3547">
        <v>0</v>
      </c>
      <c r="AA3547">
        <v>0</v>
      </c>
      <c r="AB3547">
        <v>0</v>
      </c>
      <c r="AC3547">
        <v>7594</v>
      </c>
      <c r="AD3547">
        <v>0</v>
      </c>
      <c r="AE3547">
        <v>0</v>
      </c>
      <c r="AF3547">
        <v>0</v>
      </c>
      <c r="AG3547">
        <v>0</v>
      </c>
      <c r="AH3547">
        <v>0</v>
      </c>
      <c r="AI3547">
        <v>0</v>
      </c>
      <c r="AJ3547">
        <v>0</v>
      </c>
      <c r="AK3547">
        <v>0</v>
      </c>
      <c r="AL3547">
        <v>0</v>
      </c>
      <c r="AM3547">
        <v>0</v>
      </c>
      <c r="AN3547">
        <v>0</v>
      </c>
      <c r="AO3547">
        <v>1</v>
      </c>
      <c r="AP3547">
        <v>0</v>
      </c>
      <c r="AQ3547">
        <v>0</v>
      </c>
      <c r="AR3547">
        <v>0</v>
      </c>
      <c r="AS3547">
        <v>0</v>
      </c>
      <c r="AT3547">
        <v>0</v>
      </c>
      <c r="AU3547">
        <f t="shared" si="110"/>
        <v>1</v>
      </c>
      <c r="AV3547">
        <f t="shared" si="111"/>
        <v>0</v>
      </c>
    </row>
    <row r="3548" spans="1:48" x14ac:dyDescent="0.25">
      <c r="A3548" t="s">
        <v>11296</v>
      </c>
      <c r="C3548" t="s">
        <v>11297</v>
      </c>
      <c r="D3548" t="s">
        <v>6154</v>
      </c>
      <c r="E3548" t="s">
        <v>2310</v>
      </c>
      <c r="F3548">
        <v>9</v>
      </c>
      <c r="G3548">
        <v>9.4</v>
      </c>
      <c r="H3548" t="s">
        <v>2323</v>
      </c>
      <c r="I3548" s="21">
        <v>41344.645300925898</v>
      </c>
      <c r="J3548">
        <v>2013</v>
      </c>
      <c r="K3548" s="21">
        <v>41402.682546296302</v>
      </c>
      <c r="L3548">
        <v>2013</v>
      </c>
      <c r="M3548" s="21">
        <v>41597.432893518497</v>
      </c>
      <c r="N3548">
        <v>2013</v>
      </c>
      <c r="Q3548" s="262">
        <v>150000</v>
      </c>
      <c r="R3548" s="262">
        <v>19000</v>
      </c>
      <c r="S3548" t="s">
        <v>114</v>
      </c>
      <c r="T3548" t="s">
        <v>114</v>
      </c>
      <c r="W3548">
        <v>176</v>
      </c>
      <c r="X3548">
        <v>0</v>
      </c>
      <c r="Y3548">
        <v>0</v>
      </c>
      <c r="Z3548">
        <v>0</v>
      </c>
      <c r="AA3548">
        <v>0</v>
      </c>
      <c r="AB3548">
        <v>0</v>
      </c>
      <c r="AC3548">
        <v>176</v>
      </c>
      <c r="AD3548">
        <v>0</v>
      </c>
      <c r="AE3548">
        <v>0</v>
      </c>
      <c r="AF3548">
        <v>0</v>
      </c>
      <c r="AG3548">
        <v>0</v>
      </c>
      <c r="AH3548">
        <v>0</v>
      </c>
      <c r="AI3548">
        <v>0</v>
      </c>
      <c r="AJ3548">
        <v>0</v>
      </c>
      <c r="AK3548">
        <v>0</v>
      </c>
      <c r="AL3548">
        <v>0</v>
      </c>
      <c r="AM3548">
        <v>0</v>
      </c>
      <c r="AN3548">
        <v>0</v>
      </c>
      <c r="AO3548">
        <v>0</v>
      </c>
      <c r="AP3548">
        <v>0</v>
      </c>
      <c r="AQ3548">
        <v>0</v>
      </c>
      <c r="AR3548">
        <v>0</v>
      </c>
      <c r="AS3548">
        <v>0</v>
      </c>
      <c r="AT3548">
        <v>0</v>
      </c>
      <c r="AU3548">
        <f t="shared" si="110"/>
        <v>0</v>
      </c>
      <c r="AV3548">
        <f t="shared" si="111"/>
        <v>0</v>
      </c>
    </row>
    <row r="3549" spans="1:48" x14ac:dyDescent="0.25">
      <c r="A3549" t="s">
        <v>11298</v>
      </c>
      <c r="C3549" t="s">
        <v>11299</v>
      </c>
      <c r="D3549" t="s">
        <v>11300</v>
      </c>
      <c r="E3549" t="s">
        <v>2310</v>
      </c>
      <c r="F3549">
        <v>12</v>
      </c>
      <c r="G3549">
        <v>12.3</v>
      </c>
      <c r="H3549" t="s">
        <v>2017</v>
      </c>
      <c r="I3549" s="21">
        <v>41345.384988425903</v>
      </c>
      <c r="J3549">
        <v>2013</v>
      </c>
      <c r="K3549" s="21">
        <v>41374.428900462997</v>
      </c>
      <c r="L3549">
        <v>2013</v>
      </c>
      <c r="M3549" s="21">
        <v>41809.4384027778</v>
      </c>
      <c r="N3549">
        <v>2014</v>
      </c>
      <c r="Q3549" s="262">
        <v>250000</v>
      </c>
      <c r="R3549" s="262">
        <v>105000</v>
      </c>
      <c r="S3549" t="s">
        <v>114</v>
      </c>
      <c r="T3549" t="s">
        <v>114</v>
      </c>
      <c r="W3549">
        <v>1004</v>
      </c>
      <c r="X3549">
        <v>0</v>
      </c>
      <c r="Y3549">
        <v>0</v>
      </c>
      <c r="Z3549">
        <v>0</v>
      </c>
      <c r="AA3549">
        <v>0</v>
      </c>
      <c r="AB3549">
        <v>0</v>
      </c>
      <c r="AC3549">
        <v>1004</v>
      </c>
      <c r="AD3549">
        <v>0</v>
      </c>
      <c r="AE3549">
        <v>0</v>
      </c>
      <c r="AF3549">
        <v>0</v>
      </c>
      <c r="AG3549">
        <v>0</v>
      </c>
      <c r="AH3549">
        <v>0</v>
      </c>
      <c r="AI3549">
        <v>0</v>
      </c>
      <c r="AJ3549">
        <v>0</v>
      </c>
      <c r="AK3549">
        <v>0</v>
      </c>
      <c r="AL3549">
        <v>0</v>
      </c>
      <c r="AM3549">
        <v>0</v>
      </c>
      <c r="AN3549">
        <v>0</v>
      </c>
      <c r="AO3549">
        <v>0</v>
      </c>
      <c r="AP3549">
        <v>0</v>
      </c>
      <c r="AQ3549">
        <v>0</v>
      </c>
      <c r="AR3549">
        <v>0</v>
      </c>
      <c r="AS3549">
        <v>0</v>
      </c>
      <c r="AT3549">
        <v>0</v>
      </c>
      <c r="AU3549">
        <f t="shared" si="110"/>
        <v>0</v>
      </c>
      <c r="AV3549">
        <f t="shared" si="111"/>
        <v>0</v>
      </c>
    </row>
    <row r="3550" spans="1:48" x14ac:dyDescent="0.25">
      <c r="A3550" t="s">
        <v>11301</v>
      </c>
      <c r="C3550" t="s">
        <v>11302</v>
      </c>
      <c r="D3550" t="s">
        <v>11303</v>
      </c>
      <c r="E3550" t="s">
        <v>2310</v>
      </c>
      <c r="F3550">
        <v>11</v>
      </c>
      <c r="G3550">
        <v>11.3</v>
      </c>
      <c r="H3550" t="s">
        <v>2017</v>
      </c>
      <c r="I3550" s="21">
        <v>41345.668634259302</v>
      </c>
      <c r="J3550">
        <v>2013</v>
      </c>
      <c r="K3550" s="21">
        <v>41394.480740740699</v>
      </c>
      <c r="L3550">
        <v>2013</v>
      </c>
      <c r="M3550" s="21">
        <v>41967.420740740701</v>
      </c>
      <c r="N3550">
        <v>2014</v>
      </c>
      <c r="Q3550" s="262">
        <v>531000</v>
      </c>
      <c r="R3550" s="262">
        <v>353000</v>
      </c>
      <c r="S3550" t="s">
        <v>114</v>
      </c>
      <c r="T3550" t="s">
        <v>114</v>
      </c>
      <c r="W3550">
        <v>3900</v>
      </c>
      <c r="X3550">
        <v>1</v>
      </c>
      <c r="Y3550">
        <v>0</v>
      </c>
      <c r="Z3550">
        <v>0</v>
      </c>
      <c r="AA3550">
        <v>0</v>
      </c>
      <c r="AB3550">
        <v>0</v>
      </c>
      <c r="AC3550">
        <v>3900</v>
      </c>
      <c r="AD3550">
        <v>0</v>
      </c>
      <c r="AE3550">
        <v>0</v>
      </c>
      <c r="AF3550">
        <v>0</v>
      </c>
      <c r="AG3550">
        <v>0</v>
      </c>
      <c r="AH3550">
        <v>0</v>
      </c>
      <c r="AI3550">
        <v>0</v>
      </c>
      <c r="AJ3550">
        <v>0</v>
      </c>
      <c r="AK3550">
        <v>0</v>
      </c>
      <c r="AL3550">
        <v>0</v>
      </c>
      <c r="AM3550">
        <v>0</v>
      </c>
      <c r="AN3550">
        <v>0</v>
      </c>
      <c r="AO3550">
        <v>1</v>
      </c>
      <c r="AP3550">
        <v>0</v>
      </c>
      <c r="AQ3550">
        <v>0</v>
      </c>
      <c r="AR3550">
        <v>0</v>
      </c>
      <c r="AS3550">
        <v>0</v>
      </c>
      <c r="AT3550">
        <v>0</v>
      </c>
      <c r="AU3550">
        <f t="shared" si="110"/>
        <v>1</v>
      </c>
      <c r="AV3550">
        <f t="shared" si="111"/>
        <v>0</v>
      </c>
    </row>
    <row r="3551" spans="1:48" x14ac:dyDescent="0.25">
      <c r="A3551" t="s">
        <v>11304</v>
      </c>
      <c r="C3551" t="s">
        <v>11305</v>
      </c>
      <c r="D3551" t="s">
        <v>11306</v>
      </c>
      <c r="E3551" t="s">
        <v>2310</v>
      </c>
      <c r="F3551">
        <v>15</v>
      </c>
      <c r="G3551">
        <v>15.1</v>
      </c>
      <c r="H3551" t="s">
        <v>2022</v>
      </c>
      <c r="I3551" s="21">
        <v>41347.474548611099</v>
      </c>
      <c r="J3551">
        <v>2013</v>
      </c>
      <c r="K3551" s="21">
        <v>41438.563657407401</v>
      </c>
      <c r="L3551">
        <v>2013</v>
      </c>
      <c r="M3551" s="21">
        <v>42353.385092592602</v>
      </c>
      <c r="N3551">
        <v>2015</v>
      </c>
      <c r="Q3551" s="262">
        <v>3500000</v>
      </c>
      <c r="R3551" s="262">
        <v>357000</v>
      </c>
      <c r="S3551" t="s">
        <v>114</v>
      </c>
      <c r="T3551" t="s">
        <v>114</v>
      </c>
      <c r="W3551">
        <v>3499</v>
      </c>
      <c r="X3551">
        <v>1</v>
      </c>
      <c r="Y3551">
        <v>0</v>
      </c>
      <c r="Z3551">
        <v>0</v>
      </c>
      <c r="AA3551">
        <v>0</v>
      </c>
      <c r="AB3551">
        <v>0</v>
      </c>
      <c r="AC3551">
        <v>3499</v>
      </c>
      <c r="AD3551">
        <v>0</v>
      </c>
      <c r="AE3551">
        <v>0</v>
      </c>
      <c r="AF3551">
        <v>0</v>
      </c>
      <c r="AG3551">
        <v>0</v>
      </c>
      <c r="AH3551">
        <v>0</v>
      </c>
      <c r="AI3551">
        <v>0</v>
      </c>
      <c r="AJ3551">
        <v>0</v>
      </c>
      <c r="AK3551">
        <v>0</v>
      </c>
      <c r="AL3551">
        <v>0</v>
      </c>
      <c r="AM3551">
        <v>0</v>
      </c>
      <c r="AN3551">
        <v>0</v>
      </c>
      <c r="AO3551">
        <v>1</v>
      </c>
      <c r="AP3551">
        <v>0</v>
      </c>
      <c r="AQ3551">
        <v>0</v>
      </c>
      <c r="AR3551">
        <v>0</v>
      </c>
      <c r="AS3551">
        <v>0</v>
      </c>
      <c r="AT3551">
        <v>0</v>
      </c>
      <c r="AU3551">
        <f t="shared" si="110"/>
        <v>1</v>
      </c>
      <c r="AV3551">
        <f t="shared" si="111"/>
        <v>0</v>
      </c>
    </row>
    <row r="3552" spans="1:48" x14ac:dyDescent="0.25">
      <c r="A3552" t="s">
        <v>11307</v>
      </c>
      <c r="C3552" t="s">
        <v>10260</v>
      </c>
      <c r="D3552" t="s">
        <v>11306</v>
      </c>
      <c r="E3552" t="s">
        <v>2310</v>
      </c>
      <c r="F3552">
        <v>15</v>
      </c>
      <c r="G3552">
        <v>15.1</v>
      </c>
      <c r="H3552" t="s">
        <v>2022</v>
      </c>
      <c r="I3552" s="21">
        <v>41347.544525463003</v>
      </c>
      <c r="J3552">
        <v>2013</v>
      </c>
      <c r="K3552" s="21">
        <v>41436.451678240701</v>
      </c>
      <c r="L3552">
        <v>2013</v>
      </c>
      <c r="M3552" s="21">
        <v>42012.653240740699</v>
      </c>
      <c r="N3552">
        <v>2015</v>
      </c>
      <c r="Q3552" s="262">
        <v>1000000</v>
      </c>
      <c r="R3552" s="262">
        <v>73000</v>
      </c>
      <c r="S3552" t="s">
        <v>114</v>
      </c>
      <c r="T3552" t="s">
        <v>114</v>
      </c>
      <c r="W3552">
        <v>1816</v>
      </c>
      <c r="X3552">
        <v>1</v>
      </c>
      <c r="Y3552">
        <v>0</v>
      </c>
      <c r="Z3552">
        <v>0</v>
      </c>
      <c r="AA3552">
        <v>0</v>
      </c>
      <c r="AB3552">
        <v>0</v>
      </c>
      <c r="AC3552">
        <v>1132</v>
      </c>
      <c r="AD3552">
        <v>0</v>
      </c>
      <c r="AE3552">
        <v>0</v>
      </c>
      <c r="AF3552">
        <v>684</v>
      </c>
      <c r="AG3552">
        <v>0</v>
      </c>
      <c r="AH3552">
        <v>0</v>
      </c>
      <c r="AI3552">
        <v>0</v>
      </c>
      <c r="AJ3552">
        <v>0</v>
      </c>
      <c r="AK3552">
        <v>0</v>
      </c>
      <c r="AL3552">
        <v>0</v>
      </c>
      <c r="AM3552">
        <v>0</v>
      </c>
      <c r="AN3552">
        <v>0</v>
      </c>
      <c r="AO3552">
        <v>0</v>
      </c>
      <c r="AP3552">
        <v>0</v>
      </c>
      <c r="AQ3552">
        <v>0</v>
      </c>
      <c r="AR3552">
        <v>1</v>
      </c>
      <c r="AS3552">
        <v>0</v>
      </c>
      <c r="AT3552">
        <v>0</v>
      </c>
      <c r="AU3552">
        <f t="shared" si="110"/>
        <v>0</v>
      </c>
      <c r="AV3552">
        <f t="shared" si="111"/>
        <v>0</v>
      </c>
    </row>
    <row r="3553" spans="1:48" x14ac:dyDescent="0.25">
      <c r="A3553" t="s">
        <v>11308</v>
      </c>
      <c r="C3553" t="s">
        <v>11309</v>
      </c>
      <c r="D3553" t="s">
        <v>11310</v>
      </c>
      <c r="E3553" t="s">
        <v>2310</v>
      </c>
      <c r="F3553">
        <v>10</v>
      </c>
      <c r="G3553">
        <v>10.1</v>
      </c>
      <c r="H3553" t="s">
        <v>2323</v>
      </c>
      <c r="I3553" s="21">
        <v>41347.586574074099</v>
      </c>
      <c r="J3553">
        <v>2013</v>
      </c>
      <c r="K3553" s="21">
        <v>41389.4057060185</v>
      </c>
      <c r="L3553">
        <v>2013</v>
      </c>
      <c r="M3553" s="21">
        <v>41653.582060185203</v>
      </c>
      <c r="N3553">
        <v>2014</v>
      </c>
      <c r="Q3553" s="262">
        <v>680000</v>
      </c>
      <c r="R3553" s="262">
        <v>421000</v>
      </c>
      <c r="S3553" t="s">
        <v>114</v>
      </c>
      <c r="T3553" t="s">
        <v>114</v>
      </c>
      <c r="W3553">
        <v>4463</v>
      </c>
      <c r="X3553">
        <v>1</v>
      </c>
      <c r="Y3553">
        <v>0</v>
      </c>
      <c r="Z3553">
        <v>0</v>
      </c>
      <c r="AA3553">
        <v>0</v>
      </c>
      <c r="AB3553">
        <v>0</v>
      </c>
      <c r="AC3553">
        <v>4463</v>
      </c>
      <c r="AD3553">
        <v>0</v>
      </c>
      <c r="AE3553">
        <v>0</v>
      </c>
      <c r="AF3553">
        <v>0</v>
      </c>
      <c r="AG3553">
        <v>0</v>
      </c>
      <c r="AH3553">
        <v>0</v>
      </c>
      <c r="AI3553">
        <v>0</v>
      </c>
      <c r="AJ3553">
        <v>0</v>
      </c>
      <c r="AK3553">
        <v>0</v>
      </c>
      <c r="AL3553">
        <v>0</v>
      </c>
      <c r="AM3553">
        <v>0</v>
      </c>
      <c r="AN3553">
        <v>0</v>
      </c>
      <c r="AO3553">
        <v>1</v>
      </c>
      <c r="AP3553">
        <v>0</v>
      </c>
      <c r="AQ3553">
        <v>0</v>
      </c>
      <c r="AR3553">
        <v>0</v>
      </c>
      <c r="AS3553">
        <v>0</v>
      </c>
      <c r="AT3553">
        <v>0</v>
      </c>
      <c r="AU3553">
        <f t="shared" si="110"/>
        <v>1</v>
      </c>
      <c r="AV3553">
        <f t="shared" si="111"/>
        <v>0</v>
      </c>
    </row>
    <row r="3554" spans="1:48" x14ac:dyDescent="0.25">
      <c r="A3554" t="s">
        <v>11311</v>
      </c>
      <c r="C3554" t="s">
        <v>10859</v>
      </c>
      <c r="D3554" t="s">
        <v>11312</v>
      </c>
      <c r="E3554" t="s">
        <v>2310</v>
      </c>
      <c r="F3554">
        <v>9</v>
      </c>
      <c r="G3554">
        <v>9.3000000000000007</v>
      </c>
      <c r="H3554" t="s">
        <v>2323</v>
      </c>
      <c r="I3554" s="21">
        <v>41347.6699884259</v>
      </c>
      <c r="J3554">
        <v>2013</v>
      </c>
      <c r="K3554" s="21">
        <v>41395.4695601852</v>
      </c>
      <c r="L3554">
        <v>2013</v>
      </c>
      <c r="M3554" s="21">
        <v>41841.493819444397</v>
      </c>
      <c r="N3554">
        <v>2014</v>
      </c>
      <c r="Q3554" s="262">
        <v>1175000</v>
      </c>
      <c r="R3554" s="262">
        <v>422000</v>
      </c>
      <c r="S3554" t="s">
        <v>114</v>
      </c>
      <c r="T3554" t="s">
        <v>114</v>
      </c>
      <c r="W3554">
        <v>4332</v>
      </c>
      <c r="X3554">
        <v>1</v>
      </c>
      <c r="Y3554">
        <v>0</v>
      </c>
      <c r="Z3554">
        <v>0</v>
      </c>
      <c r="AA3554">
        <v>0</v>
      </c>
      <c r="AB3554">
        <v>0</v>
      </c>
      <c r="AC3554">
        <v>4332</v>
      </c>
      <c r="AD3554">
        <v>0</v>
      </c>
      <c r="AE3554">
        <v>0</v>
      </c>
      <c r="AF3554">
        <v>0</v>
      </c>
      <c r="AG3554">
        <v>0</v>
      </c>
      <c r="AH3554">
        <v>0</v>
      </c>
      <c r="AI3554">
        <v>0</v>
      </c>
      <c r="AJ3554">
        <v>0</v>
      </c>
      <c r="AK3554">
        <v>0</v>
      </c>
      <c r="AL3554">
        <v>0</v>
      </c>
      <c r="AM3554">
        <v>0</v>
      </c>
      <c r="AN3554">
        <v>0</v>
      </c>
      <c r="AO3554">
        <v>1</v>
      </c>
      <c r="AP3554">
        <v>0</v>
      </c>
      <c r="AQ3554">
        <v>0</v>
      </c>
      <c r="AR3554">
        <v>0</v>
      </c>
      <c r="AS3554">
        <v>0</v>
      </c>
      <c r="AT3554">
        <v>0</v>
      </c>
      <c r="AU3554">
        <f t="shared" si="110"/>
        <v>1</v>
      </c>
      <c r="AV3554">
        <f t="shared" si="111"/>
        <v>0</v>
      </c>
    </row>
    <row r="3555" spans="1:48" x14ac:dyDescent="0.25">
      <c r="A3555" t="s">
        <v>11313</v>
      </c>
      <c r="C3555" t="s">
        <v>11314</v>
      </c>
      <c r="D3555" t="s">
        <v>6706</v>
      </c>
      <c r="E3555" t="s">
        <v>2310</v>
      </c>
      <c r="F3555">
        <v>8</v>
      </c>
      <c r="G3555">
        <v>8.3000000000000007</v>
      </c>
      <c r="H3555" t="s">
        <v>2323</v>
      </c>
      <c r="I3555" s="21">
        <v>41348.433356481502</v>
      </c>
      <c r="J3555">
        <v>2013</v>
      </c>
      <c r="K3555" s="21">
        <v>41367.455462963</v>
      </c>
      <c r="L3555">
        <v>2013</v>
      </c>
      <c r="M3555" s="21">
        <v>41529.434421296297</v>
      </c>
      <c r="N3555">
        <v>2013</v>
      </c>
      <c r="Q3555" s="262">
        <v>400000</v>
      </c>
      <c r="R3555" s="262">
        <v>0</v>
      </c>
      <c r="S3555" t="s">
        <v>114</v>
      </c>
      <c r="T3555" t="s">
        <v>114</v>
      </c>
      <c r="W3555">
        <v>22818</v>
      </c>
      <c r="X3555">
        <v>0</v>
      </c>
      <c r="Y3555">
        <v>0</v>
      </c>
      <c r="Z3555">
        <v>0</v>
      </c>
      <c r="AA3555">
        <v>0</v>
      </c>
      <c r="AB3555">
        <v>22818</v>
      </c>
      <c r="AC3555">
        <v>0</v>
      </c>
      <c r="AD3555">
        <v>0</v>
      </c>
      <c r="AE3555">
        <v>0</v>
      </c>
      <c r="AF3555">
        <v>0</v>
      </c>
      <c r="AG3555">
        <v>0</v>
      </c>
      <c r="AH3555">
        <v>0</v>
      </c>
      <c r="AI3555">
        <v>0</v>
      </c>
      <c r="AJ3555">
        <v>0</v>
      </c>
      <c r="AK3555">
        <v>0</v>
      </c>
      <c r="AL3555">
        <v>0</v>
      </c>
      <c r="AM3555">
        <v>0</v>
      </c>
      <c r="AN3555">
        <v>0</v>
      </c>
      <c r="AO3555">
        <v>0</v>
      </c>
      <c r="AP3555">
        <v>0</v>
      </c>
      <c r="AQ3555">
        <v>0</v>
      </c>
      <c r="AR3555">
        <v>0</v>
      </c>
      <c r="AS3555">
        <v>0</v>
      </c>
      <c r="AT3555">
        <v>0</v>
      </c>
      <c r="AU3555">
        <f t="shared" si="110"/>
        <v>0</v>
      </c>
      <c r="AV3555">
        <f t="shared" si="111"/>
        <v>22818</v>
      </c>
    </row>
    <row r="3556" spans="1:48" x14ac:dyDescent="0.25">
      <c r="A3556" t="s">
        <v>11315</v>
      </c>
      <c r="C3556" t="s">
        <v>11316</v>
      </c>
      <c r="D3556" t="s">
        <v>11317</v>
      </c>
      <c r="E3556" t="s">
        <v>2310</v>
      </c>
      <c r="F3556">
        <v>12</v>
      </c>
      <c r="G3556">
        <v>12.3</v>
      </c>
      <c r="H3556" t="s">
        <v>2017</v>
      </c>
      <c r="I3556" s="21">
        <v>41348.533750000002</v>
      </c>
      <c r="J3556">
        <v>2013</v>
      </c>
      <c r="K3556" s="21">
        <v>41373.378379629597</v>
      </c>
      <c r="L3556">
        <v>2013</v>
      </c>
      <c r="M3556" s="21">
        <v>41689.538472222201</v>
      </c>
      <c r="N3556">
        <v>2014</v>
      </c>
      <c r="Q3556" s="262">
        <v>300000</v>
      </c>
      <c r="R3556" s="262">
        <v>40000</v>
      </c>
      <c r="S3556" t="s">
        <v>114</v>
      </c>
      <c r="T3556" t="s">
        <v>114</v>
      </c>
      <c r="V3556">
        <v>352</v>
      </c>
      <c r="W3556">
        <v>116</v>
      </c>
      <c r="X3556">
        <v>0</v>
      </c>
      <c r="Y3556">
        <v>0</v>
      </c>
      <c r="Z3556">
        <v>0</v>
      </c>
      <c r="AA3556">
        <v>0</v>
      </c>
      <c r="AB3556">
        <v>0</v>
      </c>
      <c r="AC3556">
        <v>116</v>
      </c>
      <c r="AD3556">
        <v>0</v>
      </c>
      <c r="AE3556">
        <v>0</v>
      </c>
      <c r="AF3556">
        <v>0</v>
      </c>
      <c r="AG3556">
        <v>0</v>
      </c>
      <c r="AH3556">
        <v>0</v>
      </c>
      <c r="AI3556">
        <v>0</v>
      </c>
      <c r="AJ3556">
        <v>0</v>
      </c>
      <c r="AK3556">
        <v>0</v>
      </c>
      <c r="AL3556">
        <v>0</v>
      </c>
      <c r="AM3556">
        <v>0</v>
      </c>
      <c r="AN3556">
        <v>0</v>
      </c>
      <c r="AO3556">
        <v>0</v>
      </c>
      <c r="AP3556">
        <v>0</v>
      </c>
      <c r="AQ3556">
        <v>0</v>
      </c>
      <c r="AR3556">
        <v>0</v>
      </c>
      <c r="AS3556">
        <v>0</v>
      </c>
      <c r="AT3556">
        <v>0</v>
      </c>
      <c r="AU3556">
        <f t="shared" si="110"/>
        <v>0</v>
      </c>
      <c r="AV3556">
        <f t="shared" si="111"/>
        <v>0</v>
      </c>
    </row>
    <row r="3557" spans="1:48" x14ac:dyDescent="0.25">
      <c r="A3557" t="s">
        <v>11318</v>
      </c>
      <c r="C3557" t="s">
        <v>11227</v>
      </c>
      <c r="D3557" t="s">
        <v>11319</v>
      </c>
      <c r="E3557" t="s">
        <v>2310</v>
      </c>
      <c r="F3557">
        <v>9</v>
      </c>
      <c r="G3557">
        <v>9.1999999999999993</v>
      </c>
      <c r="H3557" t="s">
        <v>2022</v>
      </c>
      <c r="I3557" s="21">
        <v>41348.689270833303</v>
      </c>
      <c r="J3557">
        <v>2013</v>
      </c>
      <c r="K3557" s="21">
        <v>41429.536643518499</v>
      </c>
      <c r="L3557">
        <v>2013</v>
      </c>
      <c r="O3557" s="21">
        <v>41684.386851851901</v>
      </c>
      <c r="Q3557" s="262">
        <v>2000000</v>
      </c>
      <c r="R3557" s="262">
        <v>334000</v>
      </c>
      <c r="S3557" t="s">
        <v>114</v>
      </c>
      <c r="T3557" t="s">
        <v>114</v>
      </c>
      <c r="W3557">
        <v>3953</v>
      </c>
      <c r="X3557">
        <v>1</v>
      </c>
      <c r="Y3557">
        <v>0</v>
      </c>
      <c r="Z3557">
        <v>0</v>
      </c>
      <c r="AA3557">
        <v>0</v>
      </c>
      <c r="AB3557">
        <v>0</v>
      </c>
      <c r="AC3557">
        <v>3953</v>
      </c>
      <c r="AD3557">
        <v>0</v>
      </c>
      <c r="AE3557">
        <v>0</v>
      </c>
      <c r="AF3557">
        <v>0</v>
      </c>
      <c r="AG3557">
        <v>0</v>
      </c>
      <c r="AH3557">
        <v>0</v>
      </c>
      <c r="AI3557">
        <v>0</v>
      </c>
      <c r="AJ3557">
        <v>0</v>
      </c>
      <c r="AK3557">
        <v>0</v>
      </c>
      <c r="AL3557">
        <v>0</v>
      </c>
      <c r="AM3557">
        <v>0</v>
      </c>
      <c r="AN3557">
        <v>0</v>
      </c>
      <c r="AO3557">
        <v>1</v>
      </c>
      <c r="AP3557">
        <v>0</v>
      </c>
      <c r="AQ3557">
        <v>0</v>
      </c>
      <c r="AR3557">
        <v>0</v>
      </c>
      <c r="AS3557">
        <v>0</v>
      </c>
      <c r="AT3557">
        <v>0</v>
      </c>
      <c r="AU3557">
        <f t="shared" si="110"/>
        <v>1</v>
      </c>
      <c r="AV3557">
        <f t="shared" si="111"/>
        <v>0</v>
      </c>
    </row>
    <row r="3558" spans="1:48" x14ac:dyDescent="0.25">
      <c r="A3558" t="s">
        <v>11320</v>
      </c>
      <c r="C3558" t="s">
        <v>11321</v>
      </c>
      <c r="D3558" t="s">
        <v>11322</v>
      </c>
      <c r="E3558" t="s">
        <v>2310</v>
      </c>
      <c r="F3558">
        <v>13</v>
      </c>
      <c r="G3558">
        <v>13.2</v>
      </c>
      <c r="H3558" t="s">
        <v>2327</v>
      </c>
      <c r="I3558" s="21">
        <v>41348.714525463001</v>
      </c>
      <c r="J3558">
        <v>2013</v>
      </c>
      <c r="K3558" s="21">
        <v>41389.740428240701</v>
      </c>
      <c r="L3558">
        <v>2013</v>
      </c>
      <c r="M3558" s="21">
        <v>42041.579166666699</v>
      </c>
      <c r="N3558">
        <v>2015</v>
      </c>
      <c r="Q3558" s="262">
        <v>3000000</v>
      </c>
      <c r="R3558" s="262">
        <v>880000</v>
      </c>
      <c r="S3558" t="s">
        <v>114</v>
      </c>
      <c r="T3558" t="s">
        <v>114</v>
      </c>
      <c r="W3558">
        <v>8962</v>
      </c>
      <c r="X3558">
        <v>1</v>
      </c>
      <c r="Y3558">
        <v>0</v>
      </c>
      <c r="Z3558">
        <v>0</v>
      </c>
      <c r="AA3558">
        <v>0</v>
      </c>
      <c r="AB3558">
        <v>0</v>
      </c>
      <c r="AC3558">
        <v>8962</v>
      </c>
      <c r="AD3558">
        <v>0</v>
      </c>
      <c r="AE3558">
        <v>0</v>
      </c>
      <c r="AF3558">
        <v>0</v>
      </c>
      <c r="AG3558">
        <v>0</v>
      </c>
      <c r="AH3558">
        <v>0</v>
      </c>
      <c r="AI3558">
        <v>0</v>
      </c>
      <c r="AJ3558">
        <v>0</v>
      </c>
      <c r="AK3558">
        <v>0</v>
      </c>
      <c r="AL3558">
        <v>0</v>
      </c>
      <c r="AM3558">
        <v>0</v>
      </c>
      <c r="AN3558">
        <v>0</v>
      </c>
      <c r="AO3558">
        <v>1</v>
      </c>
      <c r="AP3558">
        <v>0</v>
      </c>
      <c r="AQ3558">
        <v>0</v>
      </c>
      <c r="AR3558">
        <v>0</v>
      </c>
      <c r="AS3558">
        <v>0</v>
      </c>
      <c r="AT3558">
        <v>0</v>
      </c>
      <c r="AU3558">
        <f t="shared" si="110"/>
        <v>1</v>
      </c>
      <c r="AV3558">
        <f t="shared" si="111"/>
        <v>0</v>
      </c>
    </row>
    <row r="3559" spans="1:48" x14ac:dyDescent="0.25">
      <c r="A3559" t="s">
        <v>11323</v>
      </c>
      <c r="C3559" t="s">
        <v>11324</v>
      </c>
      <c r="D3559" t="s">
        <v>11325</v>
      </c>
      <c r="E3559" t="s">
        <v>1663</v>
      </c>
      <c r="F3559">
        <v>6</v>
      </c>
      <c r="G3559">
        <v>6.1</v>
      </c>
      <c r="H3559" t="s">
        <v>2017</v>
      </c>
      <c r="I3559" s="21">
        <v>41351</v>
      </c>
      <c r="J3559">
        <v>2013</v>
      </c>
      <c r="O3559" s="21">
        <v>41767</v>
      </c>
      <c r="Q3559" s="262">
        <v>65000</v>
      </c>
      <c r="S3559" t="s">
        <v>114</v>
      </c>
      <c r="T3559" t="s">
        <v>114</v>
      </c>
      <c r="W3559">
        <v>0</v>
      </c>
      <c r="X3559">
        <v>0</v>
      </c>
      <c r="Y3559">
        <v>0</v>
      </c>
      <c r="Z3559">
        <v>0</v>
      </c>
      <c r="AA3559">
        <v>0</v>
      </c>
      <c r="AB3559">
        <v>0</v>
      </c>
      <c r="AC3559">
        <v>0</v>
      </c>
      <c r="AD3559">
        <v>0</v>
      </c>
      <c r="AE3559">
        <v>0</v>
      </c>
      <c r="AF3559">
        <v>0</v>
      </c>
      <c r="AG3559">
        <v>0</v>
      </c>
      <c r="AH3559">
        <v>0</v>
      </c>
      <c r="AI3559">
        <v>0</v>
      </c>
      <c r="AJ3559">
        <v>0</v>
      </c>
      <c r="AK3559">
        <v>0</v>
      </c>
      <c r="AL3559">
        <v>0</v>
      </c>
      <c r="AM3559">
        <v>0</v>
      </c>
      <c r="AN3559">
        <v>0</v>
      </c>
      <c r="AO3559">
        <v>0</v>
      </c>
      <c r="AP3559">
        <v>0</v>
      </c>
      <c r="AQ3559">
        <v>0</v>
      </c>
      <c r="AR3559">
        <v>0</v>
      </c>
      <c r="AS3559">
        <v>0</v>
      </c>
      <c r="AT3559">
        <v>0</v>
      </c>
      <c r="AU3559">
        <f t="shared" si="110"/>
        <v>0</v>
      </c>
      <c r="AV3559">
        <f t="shared" si="111"/>
        <v>0</v>
      </c>
    </row>
    <row r="3560" spans="1:48" x14ac:dyDescent="0.25">
      <c r="A3560" t="s">
        <v>11326</v>
      </c>
      <c r="C3560" t="s">
        <v>11327</v>
      </c>
      <c r="D3560" t="s">
        <v>11328</v>
      </c>
      <c r="E3560" t="s">
        <v>1663</v>
      </c>
      <c r="F3560">
        <v>5</v>
      </c>
      <c r="G3560">
        <v>5.2</v>
      </c>
      <c r="H3560" t="s">
        <v>2327</v>
      </c>
      <c r="I3560" s="21">
        <v>41352</v>
      </c>
      <c r="J3560">
        <v>2013</v>
      </c>
      <c r="K3560" s="21">
        <v>41403</v>
      </c>
      <c r="L3560">
        <v>2013</v>
      </c>
      <c r="M3560" s="21">
        <v>41691</v>
      </c>
      <c r="N3560">
        <v>2014</v>
      </c>
      <c r="Q3560" s="262">
        <v>750000</v>
      </c>
      <c r="S3560" t="s">
        <v>114</v>
      </c>
      <c r="T3560" t="s">
        <v>114</v>
      </c>
      <c r="W3560">
        <v>48068</v>
      </c>
      <c r="X3560">
        <v>0</v>
      </c>
      <c r="Y3560">
        <v>0</v>
      </c>
      <c r="Z3560">
        <v>0</v>
      </c>
      <c r="AA3560">
        <v>0</v>
      </c>
      <c r="AB3560">
        <v>0</v>
      </c>
      <c r="AC3560">
        <v>0</v>
      </c>
      <c r="AD3560">
        <v>0</v>
      </c>
      <c r="AE3560">
        <v>0</v>
      </c>
      <c r="AF3560">
        <v>0</v>
      </c>
      <c r="AG3560">
        <v>0</v>
      </c>
      <c r="AH3560">
        <v>0</v>
      </c>
      <c r="AI3560">
        <v>0</v>
      </c>
      <c r="AJ3560">
        <v>0</v>
      </c>
      <c r="AK3560">
        <v>48068</v>
      </c>
      <c r="AL3560">
        <v>0</v>
      </c>
      <c r="AM3560">
        <v>0</v>
      </c>
      <c r="AN3560">
        <v>0</v>
      </c>
      <c r="AO3560">
        <v>0</v>
      </c>
      <c r="AP3560">
        <v>0</v>
      </c>
      <c r="AQ3560">
        <v>0</v>
      </c>
      <c r="AR3560">
        <v>0</v>
      </c>
      <c r="AS3560">
        <v>0</v>
      </c>
      <c r="AT3560">
        <v>0</v>
      </c>
      <c r="AU3560">
        <f t="shared" si="110"/>
        <v>0</v>
      </c>
      <c r="AV3560">
        <f t="shared" si="111"/>
        <v>48068</v>
      </c>
    </row>
    <row r="3561" spans="1:48" x14ac:dyDescent="0.25">
      <c r="A3561" t="s">
        <v>11329</v>
      </c>
      <c r="C3561" t="s">
        <v>11330</v>
      </c>
      <c r="D3561" t="s">
        <v>11331</v>
      </c>
      <c r="E3561" t="s">
        <v>1663</v>
      </c>
      <c r="F3561">
        <v>3</v>
      </c>
      <c r="G3561">
        <v>3.1</v>
      </c>
      <c r="H3561" t="s">
        <v>2017</v>
      </c>
      <c r="I3561" s="21">
        <v>41353</v>
      </c>
      <c r="J3561">
        <v>2013</v>
      </c>
      <c r="K3561" s="21">
        <v>41372</v>
      </c>
      <c r="L3561">
        <v>2013</v>
      </c>
      <c r="M3561" s="21">
        <v>41555</v>
      </c>
      <c r="N3561">
        <v>2013</v>
      </c>
      <c r="Q3561" s="262">
        <v>300000</v>
      </c>
      <c r="S3561" t="s">
        <v>114</v>
      </c>
      <c r="T3561" t="s">
        <v>114</v>
      </c>
      <c r="W3561">
        <v>2466</v>
      </c>
      <c r="X3561">
        <v>1</v>
      </c>
      <c r="Y3561">
        <v>0</v>
      </c>
      <c r="Z3561">
        <v>0</v>
      </c>
      <c r="AA3561">
        <v>0</v>
      </c>
      <c r="AB3561">
        <v>0</v>
      </c>
      <c r="AC3561">
        <v>2466</v>
      </c>
      <c r="AD3561">
        <v>0</v>
      </c>
      <c r="AE3561">
        <v>0</v>
      </c>
      <c r="AF3561">
        <v>0</v>
      </c>
      <c r="AG3561">
        <v>0</v>
      </c>
      <c r="AH3561">
        <v>0</v>
      </c>
      <c r="AI3561">
        <v>0</v>
      </c>
      <c r="AJ3561">
        <v>0</v>
      </c>
      <c r="AK3561">
        <v>0</v>
      </c>
      <c r="AL3561">
        <v>0</v>
      </c>
      <c r="AM3561">
        <v>0</v>
      </c>
      <c r="AN3561">
        <v>0</v>
      </c>
      <c r="AO3561">
        <v>1</v>
      </c>
      <c r="AP3561">
        <v>0</v>
      </c>
      <c r="AQ3561">
        <v>0</v>
      </c>
      <c r="AR3561">
        <v>0</v>
      </c>
      <c r="AS3561">
        <v>0</v>
      </c>
      <c r="AT3561">
        <v>0</v>
      </c>
      <c r="AU3561">
        <f t="shared" si="110"/>
        <v>1</v>
      </c>
      <c r="AV3561">
        <f t="shared" si="111"/>
        <v>0</v>
      </c>
    </row>
    <row r="3562" spans="1:48" x14ac:dyDescent="0.25">
      <c r="A3562" t="s">
        <v>11332</v>
      </c>
      <c r="C3562" t="s">
        <v>11333</v>
      </c>
      <c r="D3562" t="s">
        <v>11225</v>
      </c>
      <c r="E3562" t="s">
        <v>2310</v>
      </c>
      <c r="F3562">
        <v>15</v>
      </c>
      <c r="G3562">
        <v>15.1</v>
      </c>
      <c r="H3562" t="s">
        <v>2022</v>
      </c>
      <c r="I3562" s="21">
        <v>41353.6327199074</v>
      </c>
      <c r="J3562">
        <v>2013</v>
      </c>
      <c r="K3562" s="21">
        <v>41394.439652777801</v>
      </c>
      <c r="L3562">
        <v>2013</v>
      </c>
      <c r="M3562" s="21">
        <v>41682.5934837963</v>
      </c>
      <c r="N3562">
        <v>2014</v>
      </c>
      <c r="Q3562" s="262">
        <v>550000</v>
      </c>
      <c r="R3562" s="262">
        <v>159000</v>
      </c>
      <c r="S3562" t="s">
        <v>114</v>
      </c>
      <c r="T3562" t="s">
        <v>114</v>
      </c>
      <c r="W3562">
        <v>1312</v>
      </c>
      <c r="X3562">
        <v>0</v>
      </c>
      <c r="Y3562">
        <v>0</v>
      </c>
      <c r="Z3562">
        <v>0</v>
      </c>
      <c r="AA3562">
        <v>0</v>
      </c>
      <c r="AB3562">
        <v>0</v>
      </c>
      <c r="AC3562">
        <v>1312</v>
      </c>
      <c r="AD3562">
        <v>0</v>
      </c>
      <c r="AE3562">
        <v>0</v>
      </c>
      <c r="AF3562">
        <v>0</v>
      </c>
      <c r="AG3562">
        <v>0</v>
      </c>
      <c r="AH3562">
        <v>0</v>
      </c>
      <c r="AI3562">
        <v>0</v>
      </c>
      <c r="AJ3562">
        <v>0</v>
      </c>
      <c r="AK3562">
        <v>0</v>
      </c>
      <c r="AL3562">
        <v>0</v>
      </c>
      <c r="AM3562">
        <v>0</v>
      </c>
      <c r="AN3562">
        <v>0</v>
      </c>
      <c r="AO3562">
        <v>0</v>
      </c>
      <c r="AP3562">
        <v>0</v>
      </c>
      <c r="AQ3562">
        <v>0</v>
      </c>
      <c r="AR3562">
        <v>0</v>
      </c>
      <c r="AS3562">
        <v>0</v>
      </c>
      <c r="AT3562">
        <v>0</v>
      </c>
      <c r="AU3562">
        <f t="shared" si="110"/>
        <v>0</v>
      </c>
      <c r="AV3562">
        <f t="shared" si="111"/>
        <v>0</v>
      </c>
    </row>
    <row r="3563" spans="1:48" x14ac:dyDescent="0.25">
      <c r="A3563" t="s">
        <v>11334</v>
      </c>
      <c r="C3563" t="s">
        <v>11335</v>
      </c>
      <c r="D3563" t="s">
        <v>11336</v>
      </c>
      <c r="E3563" t="s">
        <v>2310</v>
      </c>
      <c r="F3563">
        <v>15</v>
      </c>
      <c r="G3563">
        <v>15.2</v>
      </c>
      <c r="H3563" t="s">
        <v>2323</v>
      </c>
      <c r="I3563" s="21">
        <v>41353.663761574098</v>
      </c>
      <c r="J3563">
        <v>2013</v>
      </c>
      <c r="K3563" s="21">
        <v>41401.448078703703</v>
      </c>
      <c r="L3563">
        <v>2013</v>
      </c>
      <c r="M3563" s="21">
        <v>41841.517372685201</v>
      </c>
      <c r="N3563">
        <v>2014</v>
      </c>
      <c r="Q3563" s="262">
        <v>1000000</v>
      </c>
      <c r="R3563" s="262">
        <v>478000</v>
      </c>
      <c r="S3563" t="s">
        <v>114</v>
      </c>
      <c r="T3563" t="s">
        <v>114</v>
      </c>
      <c r="W3563">
        <v>5132</v>
      </c>
      <c r="X3563">
        <v>1</v>
      </c>
      <c r="Y3563">
        <v>0</v>
      </c>
      <c r="Z3563">
        <v>0</v>
      </c>
      <c r="AA3563">
        <v>0</v>
      </c>
      <c r="AB3563">
        <v>0</v>
      </c>
      <c r="AC3563">
        <v>5132</v>
      </c>
      <c r="AD3563">
        <v>0</v>
      </c>
      <c r="AE3563">
        <v>0</v>
      </c>
      <c r="AF3563">
        <v>0</v>
      </c>
      <c r="AG3563">
        <v>0</v>
      </c>
      <c r="AH3563">
        <v>0</v>
      </c>
      <c r="AI3563">
        <v>0</v>
      </c>
      <c r="AJ3563">
        <v>0</v>
      </c>
      <c r="AK3563">
        <v>0</v>
      </c>
      <c r="AL3563">
        <v>0</v>
      </c>
      <c r="AM3563">
        <v>0</v>
      </c>
      <c r="AN3563">
        <v>0</v>
      </c>
      <c r="AO3563">
        <v>1</v>
      </c>
      <c r="AP3563">
        <v>0</v>
      </c>
      <c r="AQ3563">
        <v>0</v>
      </c>
      <c r="AR3563">
        <v>0</v>
      </c>
      <c r="AS3563">
        <v>0</v>
      </c>
      <c r="AT3563">
        <v>0</v>
      </c>
      <c r="AU3563">
        <f t="shared" si="110"/>
        <v>1</v>
      </c>
      <c r="AV3563">
        <f t="shared" si="111"/>
        <v>0</v>
      </c>
    </row>
    <row r="3564" spans="1:48" x14ac:dyDescent="0.25">
      <c r="A3564" t="s">
        <v>11337</v>
      </c>
      <c r="C3564" t="s">
        <v>11338</v>
      </c>
      <c r="D3564" t="s">
        <v>11339</v>
      </c>
      <c r="E3564" t="s">
        <v>2310</v>
      </c>
      <c r="F3564">
        <v>9</v>
      </c>
      <c r="G3564">
        <v>9.3000000000000007</v>
      </c>
      <c r="H3564" t="s">
        <v>2323</v>
      </c>
      <c r="I3564" s="21">
        <v>41353.717905092599</v>
      </c>
      <c r="J3564">
        <v>2013</v>
      </c>
      <c r="K3564" s="21">
        <v>41403.6879050926</v>
      </c>
      <c r="L3564">
        <v>2013</v>
      </c>
      <c r="M3564" s="21">
        <v>41907.661516203698</v>
      </c>
      <c r="N3564">
        <v>2014</v>
      </c>
      <c r="Q3564" s="262">
        <v>1500000</v>
      </c>
      <c r="R3564" s="262">
        <v>464000</v>
      </c>
      <c r="S3564" t="s">
        <v>114</v>
      </c>
      <c r="T3564" t="s">
        <v>114</v>
      </c>
      <c r="W3564">
        <v>4938</v>
      </c>
      <c r="X3564">
        <v>1</v>
      </c>
      <c r="Y3564">
        <v>0</v>
      </c>
      <c r="Z3564">
        <v>0</v>
      </c>
      <c r="AA3564">
        <v>0</v>
      </c>
      <c r="AB3564">
        <v>0</v>
      </c>
      <c r="AC3564">
        <v>4938</v>
      </c>
      <c r="AD3564">
        <v>0</v>
      </c>
      <c r="AE3564">
        <v>0</v>
      </c>
      <c r="AF3564">
        <v>0</v>
      </c>
      <c r="AG3564">
        <v>0</v>
      </c>
      <c r="AH3564">
        <v>0</v>
      </c>
      <c r="AI3564">
        <v>0</v>
      </c>
      <c r="AJ3564">
        <v>0</v>
      </c>
      <c r="AK3564">
        <v>0</v>
      </c>
      <c r="AL3564">
        <v>0</v>
      </c>
      <c r="AM3564">
        <v>0</v>
      </c>
      <c r="AN3564">
        <v>0</v>
      </c>
      <c r="AO3564">
        <v>1</v>
      </c>
      <c r="AP3564">
        <v>0</v>
      </c>
      <c r="AQ3564">
        <v>0</v>
      </c>
      <c r="AR3564">
        <v>0</v>
      </c>
      <c r="AS3564">
        <v>0</v>
      </c>
      <c r="AT3564">
        <v>0</v>
      </c>
      <c r="AU3564">
        <f t="shared" si="110"/>
        <v>1</v>
      </c>
      <c r="AV3564">
        <f t="shared" si="111"/>
        <v>0</v>
      </c>
    </row>
    <row r="3565" spans="1:48" x14ac:dyDescent="0.25">
      <c r="A3565" t="s">
        <v>11340</v>
      </c>
      <c r="C3565" t="s">
        <v>8185</v>
      </c>
      <c r="D3565" t="s">
        <v>11341</v>
      </c>
      <c r="E3565" t="s">
        <v>1663</v>
      </c>
      <c r="F3565">
        <v>2</v>
      </c>
      <c r="G3565">
        <v>2.2999999999999998</v>
      </c>
      <c r="H3565" t="s">
        <v>2327</v>
      </c>
      <c r="I3565" s="21">
        <v>41354</v>
      </c>
      <c r="J3565">
        <v>2013</v>
      </c>
      <c r="K3565" s="21">
        <v>41458</v>
      </c>
      <c r="L3565">
        <v>2013</v>
      </c>
      <c r="M3565" s="21">
        <v>41642</v>
      </c>
      <c r="N3565">
        <v>2014</v>
      </c>
      <c r="Q3565" s="262">
        <v>9600000</v>
      </c>
      <c r="S3565" t="s">
        <v>114</v>
      </c>
      <c r="T3565" t="s">
        <v>114</v>
      </c>
      <c r="W3565">
        <v>46187</v>
      </c>
      <c r="X3565">
        <v>57</v>
      </c>
      <c r="Y3565">
        <v>0</v>
      </c>
      <c r="Z3565">
        <v>0</v>
      </c>
      <c r="AA3565">
        <v>0</v>
      </c>
      <c r="AB3565">
        <v>0</v>
      </c>
      <c r="AC3565">
        <v>0</v>
      </c>
      <c r="AD3565">
        <v>0</v>
      </c>
      <c r="AE3565">
        <v>0</v>
      </c>
      <c r="AF3565">
        <v>0</v>
      </c>
      <c r="AG3565">
        <v>0</v>
      </c>
      <c r="AH3565">
        <v>0</v>
      </c>
      <c r="AI3565">
        <v>46187</v>
      </c>
      <c r="AJ3565">
        <v>0</v>
      </c>
      <c r="AK3565">
        <v>0</v>
      </c>
      <c r="AL3565">
        <v>0</v>
      </c>
      <c r="AM3565">
        <v>0</v>
      </c>
      <c r="AN3565">
        <v>0</v>
      </c>
      <c r="AO3565">
        <v>0</v>
      </c>
      <c r="AP3565">
        <v>0</v>
      </c>
      <c r="AQ3565">
        <v>0</v>
      </c>
      <c r="AR3565">
        <v>0</v>
      </c>
      <c r="AS3565">
        <v>0</v>
      </c>
      <c r="AT3565">
        <v>57</v>
      </c>
      <c r="AU3565">
        <f t="shared" si="110"/>
        <v>0</v>
      </c>
      <c r="AV3565">
        <f t="shared" si="111"/>
        <v>46187</v>
      </c>
    </row>
    <row r="3566" spans="1:48" x14ac:dyDescent="0.25">
      <c r="A3566" t="s">
        <v>11342</v>
      </c>
      <c r="C3566" t="s">
        <v>11343</v>
      </c>
      <c r="D3566" t="s">
        <v>11344</v>
      </c>
      <c r="E3566" t="s">
        <v>2310</v>
      </c>
      <c r="F3566">
        <v>9</v>
      </c>
      <c r="G3566">
        <v>9.3000000000000007</v>
      </c>
      <c r="H3566" t="s">
        <v>2323</v>
      </c>
      <c r="I3566" s="21">
        <v>41354.397048611099</v>
      </c>
      <c r="J3566">
        <v>2013</v>
      </c>
      <c r="K3566" s="21">
        <v>41396.671134259297</v>
      </c>
      <c r="L3566">
        <v>2013</v>
      </c>
      <c r="M3566" s="21">
        <v>41841.403263888897</v>
      </c>
      <c r="N3566">
        <v>2014</v>
      </c>
      <c r="Q3566" s="262">
        <v>1400000</v>
      </c>
      <c r="R3566" s="262">
        <v>477000</v>
      </c>
      <c r="S3566" t="s">
        <v>114</v>
      </c>
      <c r="T3566" t="s">
        <v>114</v>
      </c>
      <c r="W3566">
        <v>4962</v>
      </c>
      <c r="X3566">
        <v>1</v>
      </c>
      <c r="Y3566">
        <v>0</v>
      </c>
      <c r="Z3566">
        <v>0</v>
      </c>
      <c r="AA3566">
        <v>0</v>
      </c>
      <c r="AB3566">
        <v>0</v>
      </c>
      <c r="AC3566">
        <v>4962</v>
      </c>
      <c r="AD3566">
        <v>0</v>
      </c>
      <c r="AE3566">
        <v>0</v>
      </c>
      <c r="AF3566">
        <v>0</v>
      </c>
      <c r="AG3566">
        <v>0</v>
      </c>
      <c r="AH3566">
        <v>0</v>
      </c>
      <c r="AI3566">
        <v>0</v>
      </c>
      <c r="AJ3566">
        <v>0</v>
      </c>
      <c r="AK3566">
        <v>0</v>
      </c>
      <c r="AL3566">
        <v>0</v>
      </c>
      <c r="AM3566">
        <v>0</v>
      </c>
      <c r="AN3566">
        <v>0</v>
      </c>
      <c r="AO3566">
        <v>1</v>
      </c>
      <c r="AP3566">
        <v>0</v>
      </c>
      <c r="AQ3566">
        <v>0</v>
      </c>
      <c r="AR3566">
        <v>0</v>
      </c>
      <c r="AS3566">
        <v>0</v>
      </c>
      <c r="AT3566">
        <v>0</v>
      </c>
      <c r="AU3566">
        <f t="shared" si="110"/>
        <v>1</v>
      </c>
      <c r="AV3566">
        <f t="shared" si="111"/>
        <v>0</v>
      </c>
    </row>
    <row r="3567" spans="1:48" x14ac:dyDescent="0.25">
      <c r="A3567" t="s">
        <v>11345</v>
      </c>
      <c r="C3567" t="s">
        <v>11346</v>
      </c>
      <c r="D3567" t="s">
        <v>7843</v>
      </c>
      <c r="E3567" t="s">
        <v>2310</v>
      </c>
      <c r="F3567">
        <v>8</v>
      </c>
      <c r="G3567">
        <v>8.3000000000000007</v>
      </c>
      <c r="H3567" t="s">
        <v>2323</v>
      </c>
      <c r="I3567" s="21">
        <v>41354.616608796299</v>
      </c>
      <c r="J3567">
        <v>2013</v>
      </c>
      <c r="K3567" s="21">
        <v>41389.354421296302</v>
      </c>
      <c r="L3567">
        <v>2013</v>
      </c>
      <c r="M3567" s="21">
        <v>42304.337326388901</v>
      </c>
      <c r="N3567">
        <v>2015</v>
      </c>
      <c r="Q3567" s="262">
        <v>500000</v>
      </c>
      <c r="R3567" s="262">
        <v>137000</v>
      </c>
      <c r="S3567" t="s">
        <v>114</v>
      </c>
      <c r="T3567" t="s">
        <v>114</v>
      </c>
      <c r="V3567">
        <v>1567</v>
      </c>
      <c r="W3567">
        <v>44</v>
      </c>
      <c r="X3567">
        <v>0</v>
      </c>
      <c r="Y3567">
        <v>0</v>
      </c>
      <c r="Z3567">
        <v>0</v>
      </c>
      <c r="AA3567">
        <v>0</v>
      </c>
      <c r="AB3567">
        <v>0</v>
      </c>
      <c r="AC3567">
        <v>44</v>
      </c>
      <c r="AD3567">
        <v>0</v>
      </c>
      <c r="AE3567">
        <v>0</v>
      </c>
      <c r="AF3567">
        <v>0</v>
      </c>
      <c r="AG3567">
        <v>0</v>
      </c>
      <c r="AH3567">
        <v>0</v>
      </c>
      <c r="AI3567">
        <v>0</v>
      </c>
      <c r="AJ3567">
        <v>0</v>
      </c>
      <c r="AK3567">
        <v>0</v>
      </c>
      <c r="AL3567">
        <v>0</v>
      </c>
      <c r="AM3567">
        <v>0</v>
      </c>
      <c r="AN3567">
        <v>0</v>
      </c>
      <c r="AO3567">
        <v>0</v>
      </c>
      <c r="AP3567">
        <v>0</v>
      </c>
      <c r="AQ3567">
        <v>0</v>
      </c>
      <c r="AR3567">
        <v>0</v>
      </c>
      <c r="AS3567">
        <v>0</v>
      </c>
      <c r="AT3567">
        <v>0</v>
      </c>
      <c r="AU3567">
        <f t="shared" si="110"/>
        <v>0</v>
      </c>
      <c r="AV3567">
        <f t="shared" si="111"/>
        <v>0</v>
      </c>
    </row>
    <row r="3568" spans="1:48" x14ac:dyDescent="0.25">
      <c r="A3568" t="s">
        <v>11347</v>
      </c>
      <c r="C3568" t="s">
        <v>11348</v>
      </c>
      <c r="D3568" t="s">
        <v>11349</v>
      </c>
      <c r="E3568" t="s">
        <v>2310</v>
      </c>
      <c r="F3568">
        <v>8</v>
      </c>
      <c r="G3568">
        <v>8.1</v>
      </c>
      <c r="H3568" t="s">
        <v>2323</v>
      </c>
      <c r="I3568" s="21">
        <v>41354.6856134259</v>
      </c>
      <c r="J3568">
        <v>2013</v>
      </c>
      <c r="K3568" s="21">
        <v>41432.582662036999</v>
      </c>
      <c r="L3568">
        <v>2013</v>
      </c>
      <c r="M3568" s="21">
        <v>41928.494247685201</v>
      </c>
      <c r="N3568">
        <v>2014</v>
      </c>
      <c r="Q3568" s="262">
        <v>2100000</v>
      </c>
      <c r="R3568" s="262">
        <v>466000</v>
      </c>
      <c r="S3568" t="s">
        <v>114</v>
      </c>
      <c r="T3568" t="s">
        <v>114</v>
      </c>
      <c r="W3568">
        <v>4983</v>
      </c>
      <c r="X3568">
        <v>1</v>
      </c>
      <c r="Y3568">
        <v>0</v>
      </c>
      <c r="Z3568">
        <v>0</v>
      </c>
      <c r="AA3568">
        <v>0</v>
      </c>
      <c r="AB3568">
        <v>0</v>
      </c>
      <c r="AC3568">
        <v>4983</v>
      </c>
      <c r="AD3568">
        <v>0</v>
      </c>
      <c r="AE3568">
        <v>0</v>
      </c>
      <c r="AF3568">
        <v>0</v>
      </c>
      <c r="AG3568">
        <v>0</v>
      </c>
      <c r="AH3568">
        <v>0</v>
      </c>
      <c r="AI3568">
        <v>0</v>
      </c>
      <c r="AJ3568">
        <v>0</v>
      </c>
      <c r="AK3568">
        <v>0</v>
      </c>
      <c r="AL3568">
        <v>0</v>
      </c>
      <c r="AM3568">
        <v>0</v>
      </c>
      <c r="AN3568">
        <v>0</v>
      </c>
      <c r="AO3568">
        <v>1</v>
      </c>
      <c r="AP3568">
        <v>0</v>
      </c>
      <c r="AQ3568">
        <v>0</v>
      </c>
      <c r="AR3568">
        <v>0</v>
      </c>
      <c r="AS3568">
        <v>0</v>
      </c>
      <c r="AT3568">
        <v>0</v>
      </c>
      <c r="AU3568">
        <f t="shared" si="110"/>
        <v>1</v>
      </c>
      <c r="AV3568">
        <f t="shared" si="111"/>
        <v>0</v>
      </c>
    </row>
    <row r="3569" spans="1:48" x14ac:dyDescent="0.25">
      <c r="A3569" t="s">
        <v>11353</v>
      </c>
      <c r="C3569" t="s">
        <v>11246</v>
      </c>
      <c r="D3569" t="s">
        <v>11354</v>
      </c>
      <c r="E3569" t="s">
        <v>1663</v>
      </c>
      <c r="F3569">
        <v>6</v>
      </c>
      <c r="G3569">
        <v>6.1</v>
      </c>
      <c r="H3569" t="s">
        <v>2017</v>
      </c>
      <c r="I3569" s="21">
        <v>41355</v>
      </c>
      <c r="J3569">
        <v>2013</v>
      </c>
      <c r="K3569" s="21">
        <v>41415</v>
      </c>
      <c r="L3569">
        <v>2013</v>
      </c>
      <c r="M3569" s="21">
        <v>41599</v>
      </c>
      <c r="N3569">
        <v>2013</v>
      </c>
      <c r="Q3569" s="262">
        <v>600000</v>
      </c>
      <c r="S3569" t="s">
        <v>114</v>
      </c>
      <c r="T3569" t="s">
        <v>114</v>
      </c>
      <c r="W3569">
        <v>2463</v>
      </c>
      <c r="X3569">
        <v>1</v>
      </c>
      <c r="Y3569">
        <v>0</v>
      </c>
      <c r="Z3569">
        <v>0</v>
      </c>
      <c r="AA3569">
        <v>0</v>
      </c>
      <c r="AB3569">
        <v>0</v>
      </c>
      <c r="AC3569">
        <v>2463</v>
      </c>
      <c r="AD3569">
        <v>0</v>
      </c>
      <c r="AE3569">
        <v>0</v>
      </c>
      <c r="AF3569">
        <v>0</v>
      </c>
      <c r="AG3569">
        <v>0</v>
      </c>
      <c r="AH3569">
        <v>0</v>
      </c>
      <c r="AI3569">
        <v>0</v>
      </c>
      <c r="AJ3569">
        <v>0</v>
      </c>
      <c r="AK3569">
        <v>0</v>
      </c>
      <c r="AL3569">
        <v>0</v>
      </c>
      <c r="AM3569">
        <v>0</v>
      </c>
      <c r="AN3569">
        <v>0</v>
      </c>
      <c r="AO3569">
        <v>1</v>
      </c>
      <c r="AP3569">
        <v>0</v>
      </c>
      <c r="AQ3569">
        <v>0</v>
      </c>
      <c r="AR3569">
        <v>0</v>
      </c>
      <c r="AS3569">
        <v>0</v>
      </c>
      <c r="AT3569">
        <v>0</v>
      </c>
      <c r="AU3569">
        <f t="shared" si="110"/>
        <v>1</v>
      </c>
      <c r="AV3569">
        <f t="shared" si="111"/>
        <v>0</v>
      </c>
    </row>
    <row r="3570" spans="1:48" x14ac:dyDescent="0.25">
      <c r="A3570" t="s">
        <v>11350</v>
      </c>
      <c r="C3570" t="s">
        <v>11351</v>
      </c>
      <c r="D3570" t="s">
        <v>11352</v>
      </c>
      <c r="E3570" t="s">
        <v>1663</v>
      </c>
      <c r="F3570">
        <v>3</v>
      </c>
      <c r="G3570">
        <v>3.1</v>
      </c>
      <c r="H3570" t="s">
        <v>2017</v>
      </c>
      <c r="I3570" s="21">
        <v>41355</v>
      </c>
      <c r="J3570">
        <v>2013</v>
      </c>
      <c r="K3570" s="21">
        <v>41535</v>
      </c>
      <c r="L3570">
        <v>2013</v>
      </c>
      <c r="M3570" s="21">
        <v>41716</v>
      </c>
      <c r="N3570">
        <v>2014</v>
      </c>
      <c r="Q3570" s="262">
        <v>255000</v>
      </c>
      <c r="S3570" t="s">
        <v>114</v>
      </c>
      <c r="T3570" t="s">
        <v>114</v>
      </c>
      <c r="W3570">
        <v>1917</v>
      </c>
      <c r="X3570">
        <v>1</v>
      </c>
      <c r="Y3570">
        <v>0</v>
      </c>
      <c r="Z3570">
        <v>0</v>
      </c>
      <c r="AA3570">
        <v>0</v>
      </c>
      <c r="AB3570">
        <v>0</v>
      </c>
      <c r="AC3570">
        <v>1917</v>
      </c>
      <c r="AD3570">
        <v>0</v>
      </c>
      <c r="AE3570">
        <v>0</v>
      </c>
      <c r="AF3570">
        <v>0</v>
      </c>
      <c r="AG3570">
        <v>0</v>
      </c>
      <c r="AH3570">
        <v>0</v>
      </c>
      <c r="AI3570">
        <v>0</v>
      </c>
      <c r="AJ3570">
        <v>0</v>
      </c>
      <c r="AK3570">
        <v>0</v>
      </c>
      <c r="AL3570">
        <v>0</v>
      </c>
      <c r="AM3570">
        <v>0</v>
      </c>
      <c r="AN3570">
        <v>0</v>
      </c>
      <c r="AO3570">
        <v>1</v>
      </c>
      <c r="AP3570">
        <v>0</v>
      </c>
      <c r="AQ3570">
        <v>0</v>
      </c>
      <c r="AR3570">
        <v>0</v>
      </c>
      <c r="AS3570">
        <v>0</v>
      </c>
      <c r="AT3570">
        <v>0</v>
      </c>
      <c r="AU3570">
        <f t="shared" si="110"/>
        <v>1</v>
      </c>
      <c r="AV3570">
        <f t="shared" si="111"/>
        <v>0</v>
      </c>
    </row>
    <row r="3571" spans="1:48" x14ac:dyDescent="0.25">
      <c r="A3571" t="s">
        <v>11355</v>
      </c>
      <c r="C3571" t="s">
        <v>11356</v>
      </c>
      <c r="D3571" t="s">
        <v>3868</v>
      </c>
      <c r="E3571" t="s">
        <v>2310</v>
      </c>
      <c r="F3571">
        <v>10</v>
      </c>
      <c r="G3571">
        <v>10.1</v>
      </c>
      <c r="H3571" t="s">
        <v>2323</v>
      </c>
      <c r="I3571" s="21">
        <v>41358.603738425903</v>
      </c>
      <c r="J3571">
        <v>2013</v>
      </c>
      <c r="O3571" s="21">
        <v>41723.398587962998</v>
      </c>
      <c r="Q3571" s="262">
        <v>44000</v>
      </c>
      <c r="R3571" s="262">
        <v>44000</v>
      </c>
      <c r="S3571" t="s">
        <v>114</v>
      </c>
      <c r="T3571" t="s">
        <v>114</v>
      </c>
      <c r="W3571">
        <v>417</v>
      </c>
      <c r="X3571">
        <v>0</v>
      </c>
      <c r="Y3571">
        <v>0</v>
      </c>
      <c r="Z3571">
        <v>0</v>
      </c>
      <c r="AA3571">
        <v>0</v>
      </c>
      <c r="AB3571">
        <v>0</v>
      </c>
      <c r="AC3571">
        <v>417</v>
      </c>
      <c r="AD3571">
        <v>0</v>
      </c>
      <c r="AE3571">
        <v>0</v>
      </c>
      <c r="AF3571">
        <v>0</v>
      </c>
      <c r="AG3571">
        <v>0</v>
      </c>
      <c r="AH3571">
        <v>0</v>
      </c>
      <c r="AI3571">
        <v>0</v>
      </c>
      <c r="AJ3571">
        <v>0</v>
      </c>
      <c r="AK3571">
        <v>0</v>
      </c>
      <c r="AL3571">
        <v>0</v>
      </c>
      <c r="AM3571">
        <v>0</v>
      </c>
      <c r="AN3571">
        <v>0</v>
      </c>
      <c r="AO3571">
        <v>0</v>
      </c>
      <c r="AP3571">
        <v>0</v>
      </c>
      <c r="AQ3571">
        <v>0</v>
      </c>
      <c r="AR3571">
        <v>0</v>
      </c>
      <c r="AS3571">
        <v>0</v>
      </c>
      <c r="AT3571">
        <v>0</v>
      </c>
      <c r="AU3571">
        <f t="shared" si="110"/>
        <v>0</v>
      </c>
      <c r="AV3571">
        <f t="shared" si="111"/>
        <v>0</v>
      </c>
    </row>
    <row r="3572" spans="1:48" x14ac:dyDescent="0.25">
      <c r="A3572" t="s">
        <v>11357</v>
      </c>
      <c r="C3572" t="s">
        <v>11358</v>
      </c>
      <c r="D3572" t="s">
        <v>7612</v>
      </c>
      <c r="E3572" t="s">
        <v>2310</v>
      </c>
      <c r="F3572">
        <v>8</v>
      </c>
      <c r="G3572">
        <v>8.1999999999999993</v>
      </c>
      <c r="H3572" t="s">
        <v>2022</v>
      </c>
      <c r="I3572" s="21">
        <v>41359.394548611097</v>
      </c>
      <c r="J3572">
        <v>2013</v>
      </c>
      <c r="K3572" s="21">
        <v>41579.331793981502</v>
      </c>
      <c r="L3572">
        <v>2013</v>
      </c>
      <c r="M3572" s="21">
        <v>41928.476412037002</v>
      </c>
      <c r="N3572">
        <v>2014</v>
      </c>
      <c r="Q3572" s="262">
        <v>150000</v>
      </c>
      <c r="R3572" s="262">
        <v>121000</v>
      </c>
      <c r="S3572" t="s">
        <v>114</v>
      </c>
      <c r="T3572" t="s">
        <v>114</v>
      </c>
      <c r="V3572">
        <v>646</v>
      </c>
      <c r="W3572">
        <v>672</v>
      </c>
      <c r="X3572">
        <v>0</v>
      </c>
      <c r="Y3572">
        <v>0</v>
      </c>
      <c r="Z3572">
        <v>0</v>
      </c>
      <c r="AA3572">
        <v>0</v>
      </c>
      <c r="AB3572">
        <v>0</v>
      </c>
      <c r="AC3572">
        <v>672</v>
      </c>
      <c r="AD3572">
        <v>0</v>
      </c>
      <c r="AE3572">
        <v>0</v>
      </c>
      <c r="AF3572">
        <v>0</v>
      </c>
      <c r="AG3572">
        <v>0</v>
      </c>
      <c r="AH3572">
        <v>0</v>
      </c>
      <c r="AI3572">
        <v>0</v>
      </c>
      <c r="AJ3572">
        <v>0</v>
      </c>
      <c r="AK3572">
        <v>0</v>
      </c>
      <c r="AL3572">
        <v>0</v>
      </c>
      <c r="AM3572">
        <v>0</v>
      </c>
      <c r="AN3572">
        <v>0</v>
      </c>
      <c r="AO3572">
        <v>0</v>
      </c>
      <c r="AP3572">
        <v>0</v>
      </c>
      <c r="AQ3572">
        <v>0</v>
      </c>
      <c r="AR3572">
        <v>0</v>
      </c>
      <c r="AS3572">
        <v>0</v>
      </c>
      <c r="AT3572">
        <v>0</v>
      </c>
      <c r="AU3572">
        <f t="shared" si="110"/>
        <v>0</v>
      </c>
      <c r="AV3572">
        <f t="shared" si="111"/>
        <v>0</v>
      </c>
    </row>
    <row r="3573" spans="1:48" x14ac:dyDescent="0.25">
      <c r="A3573" t="s">
        <v>11359</v>
      </c>
      <c r="C3573" t="s">
        <v>11360</v>
      </c>
      <c r="D3573" t="s">
        <v>11361</v>
      </c>
      <c r="E3573" t="s">
        <v>2310</v>
      </c>
      <c r="F3573">
        <v>13</v>
      </c>
      <c r="G3573">
        <v>13.3</v>
      </c>
      <c r="H3573" t="s">
        <v>2017</v>
      </c>
      <c r="I3573" s="21">
        <v>41359.4933564815</v>
      </c>
      <c r="J3573">
        <v>2013</v>
      </c>
      <c r="K3573" s="21">
        <v>41403.552974537</v>
      </c>
      <c r="L3573">
        <v>2013</v>
      </c>
      <c r="M3573" s="21">
        <v>42059.390682870398</v>
      </c>
      <c r="N3573">
        <v>2015</v>
      </c>
      <c r="Q3573" s="262">
        <v>3000000</v>
      </c>
      <c r="R3573" s="262">
        <v>830000</v>
      </c>
      <c r="S3573" t="s">
        <v>114</v>
      </c>
      <c r="T3573" t="s">
        <v>114</v>
      </c>
      <c r="W3573">
        <v>8476</v>
      </c>
      <c r="X3573">
        <v>1</v>
      </c>
      <c r="Y3573">
        <v>0</v>
      </c>
      <c r="Z3573">
        <v>0</v>
      </c>
      <c r="AA3573">
        <v>0</v>
      </c>
      <c r="AB3573">
        <v>0</v>
      </c>
      <c r="AC3573">
        <v>8476</v>
      </c>
      <c r="AD3573">
        <v>0</v>
      </c>
      <c r="AE3573">
        <v>0</v>
      </c>
      <c r="AF3573">
        <v>0</v>
      </c>
      <c r="AG3573">
        <v>0</v>
      </c>
      <c r="AH3573">
        <v>0</v>
      </c>
      <c r="AI3573">
        <v>0</v>
      </c>
      <c r="AJ3573">
        <v>0</v>
      </c>
      <c r="AK3573">
        <v>0</v>
      </c>
      <c r="AL3573">
        <v>0</v>
      </c>
      <c r="AM3573">
        <v>0</v>
      </c>
      <c r="AN3573">
        <v>0</v>
      </c>
      <c r="AO3573">
        <v>1</v>
      </c>
      <c r="AP3573">
        <v>0</v>
      </c>
      <c r="AQ3573">
        <v>0</v>
      </c>
      <c r="AR3573">
        <v>0</v>
      </c>
      <c r="AS3573">
        <v>0</v>
      </c>
      <c r="AT3573">
        <v>0</v>
      </c>
      <c r="AU3573">
        <f t="shared" si="110"/>
        <v>1</v>
      </c>
      <c r="AV3573">
        <f t="shared" si="111"/>
        <v>0</v>
      </c>
    </row>
    <row r="3574" spans="1:48" x14ac:dyDescent="0.25">
      <c r="A3574" t="s">
        <v>11362</v>
      </c>
      <c r="C3574" t="s">
        <v>8396</v>
      </c>
      <c r="D3574" t="s">
        <v>2808</v>
      </c>
      <c r="E3574" t="s">
        <v>2310</v>
      </c>
      <c r="F3574">
        <v>8</v>
      </c>
      <c r="G3574">
        <v>8.1</v>
      </c>
      <c r="H3574" t="s">
        <v>2323</v>
      </c>
      <c r="I3574" s="21">
        <v>41359.624444444402</v>
      </c>
      <c r="J3574">
        <v>2013</v>
      </c>
      <c r="K3574" s="21">
        <v>41407.496168981503</v>
      </c>
      <c r="L3574">
        <v>2013</v>
      </c>
      <c r="M3574" s="21">
        <v>41550.492534722202</v>
      </c>
      <c r="N3574">
        <v>2013</v>
      </c>
      <c r="Q3574" s="262">
        <v>150000</v>
      </c>
      <c r="R3574" s="262">
        <v>57000</v>
      </c>
      <c r="S3574" t="s">
        <v>114</v>
      </c>
      <c r="T3574" t="s">
        <v>114</v>
      </c>
      <c r="W3574">
        <v>1008</v>
      </c>
      <c r="X3574">
        <v>0</v>
      </c>
      <c r="Y3574">
        <v>0</v>
      </c>
      <c r="Z3574">
        <v>0</v>
      </c>
      <c r="AA3574">
        <v>0</v>
      </c>
      <c r="AB3574">
        <v>0</v>
      </c>
      <c r="AC3574">
        <v>1008</v>
      </c>
      <c r="AD3574">
        <v>0</v>
      </c>
      <c r="AE3574">
        <v>0</v>
      </c>
      <c r="AF3574">
        <v>0</v>
      </c>
      <c r="AG3574">
        <v>0</v>
      </c>
      <c r="AH3574">
        <v>0</v>
      </c>
      <c r="AI3574">
        <v>0</v>
      </c>
      <c r="AJ3574">
        <v>0</v>
      </c>
      <c r="AK3574">
        <v>0</v>
      </c>
      <c r="AL3574">
        <v>0</v>
      </c>
      <c r="AM3574">
        <v>0</v>
      </c>
      <c r="AN3574">
        <v>0</v>
      </c>
      <c r="AO3574">
        <v>0</v>
      </c>
      <c r="AP3574">
        <v>0</v>
      </c>
      <c r="AQ3574">
        <v>0</v>
      </c>
      <c r="AR3574">
        <v>0</v>
      </c>
      <c r="AS3574">
        <v>0</v>
      </c>
      <c r="AT3574">
        <v>0</v>
      </c>
      <c r="AU3574">
        <f t="shared" si="110"/>
        <v>0</v>
      </c>
      <c r="AV3574">
        <f t="shared" si="111"/>
        <v>0</v>
      </c>
    </row>
    <row r="3575" spans="1:48" x14ac:dyDescent="0.25">
      <c r="A3575" t="s">
        <v>11363</v>
      </c>
      <c r="C3575" t="s">
        <v>10260</v>
      </c>
      <c r="D3575" t="s">
        <v>10274</v>
      </c>
      <c r="E3575" t="s">
        <v>2310</v>
      </c>
      <c r="F3575">
        <v>13</v>
      </c>
      <c r="G3575">
        <v>13.2</v>
      </c>
      <c r="H3575" t="s">
        <v>2327</v>
      </c>
      <c r="I3575" s="21">
        <v>41359.698449074102</v>
      </c>
      <c r="J3575">
        <v>2013</v>
      </c>
      <c r="K3575" s="21">
        <v>41402.415694444397</v>
      </c>
      <c r="L3575">
        <v>2013</v>
      </c>
      <c r="M3575" s="21">
        <v>41649.573634259301</v>
      </c>
      <c r="N3575">
        <v>2014</v>
      </c>
      <c r="Q3575" s="262">
        <v>243000</v>
      </c>
      <c r="R3575" s="262">
        <v>63000</v>
      </c>
      <c r="S3575" t="s">
        <v>114</v>
      </c>
      <c r="T3575" t="s">
        <v>114</v>
      </c>
      <c r="W3575">
        <v>556</v>
      </c>
      <c r="X3575">
        <v>1</v>
      </c>
      <c r="Y3575">
        <v>0</v>
      </c>
      <c r="Z3575">
        <v>0</v>
      </c>
      <c r="AA3575">
        <v>0</v>
      </c>
      <c r="AB3575">
        <v>0</v>
      </c>
      <c r="AC3575">
        <v>0</v>
      </c>
      <c r="AD3575">
        <v>0</v>
      </c>
      <c r="AE3575">
        <v>0</v>
      </c>
      <c r="AF3575">
        <v>556</v>
      </c>
      <c r="AG3575">
        <v>0</v>
      </c>
      <c r="AH3575">
        <v>0</v>
      </c>
      <c r="AI3575">
        <v>0</v>
      </c>
      <c r="AJ3575">
        <v>0</v>
      </c>
      <c r="AK3575">
        <v>0</v>
      </c>
      <c r="AL3575">
        <v>0</v>
      </c>
      <c r="AM3575">
        <v>0</v>
      </c>
      <c r="AN3575">
        <v>0</v>
      </c>
      <c r="AO3575">
        <v>0</v>
      </c>
      <c r="AP3575">
        <v>0</v>
      </c>
      <c r="AQ3575">
        <v>0</v>
      </c>
      <c r="AR3575">
        <v>1</v>
      </c>
      <c r="AS3575">
        <v>0</v>
      </c>
      <c r="AT3575">
        <v>0</v>
      </c>
      <c r="AU3575">
        <f t="shared" si="110"/>
        <v>0</v>
      </c>
      <c r="AV3575">
        <f t="shared" si="111"/>
        <v>0</v>
      </c>
    </row>
    <row r="3576" spans="1:48" x14ac:dyDescent="0.25">
      <c r="A3576" t="s">
        <v>11364</v>
      </c>
      <c r="C3576" t="s">
        <v>7880</v>
      </c>
      <c r="D3576" t="s">
        <v>10274</v>
      </c>
      <c r="E3576" t="s">
        <v>2310</v>
      </c>
      <c r="F3576">
        <v>13</v>
      </c>
      <c r="G3576">
        <v>13.2</v>
      </c>
      <c r="H3576" t="s">
        <v>2327</v>
      </c>
      <c r="I3576" s="21">
        <v>41359.724664351903</v>
      </c>
      <c r="J3576">
        <v>2013</v>
      </c>
      <c r="K3576" s="21">
        <v>41393.409259259301</v>
      </c>
      <c r="L3576">
        <v>2013</v>
      </c>
      <c r="M3576" s="21">
        <v>41649.567476851902</v>
      </c>
      <c r="N3576">
        <v>2014</v>
      </c>
      <c r="Q3576" s="262">
        <v>130000</v>
      </c>
      <c r="R3576" s="262">
        <v>25000</v>
      </c>
      <c r="S3576" t="s">
        <v>114</v>
      </c>
      <c r="T3576" t="s">
        <v>114</v>
      </c>
      <c r="W3576">
        <v>520</v>
      </c>
      <c r="X3576">
        <v>0</v>
      </c>
      <c r="Y3576">
        <v>0</v>
      </c>
      <c r="Z3576">
        <v>0</v>
      </c>
      <c r="AA3576">
        <v>0</v>
      </c>
      <c r="AB3576">
        <v>0</v>
      </c>
      <c r="AC3576">
        <v>520</v>
      </c>
      <c r="AD3576">
        <v>0</v>
      </c>
      <c r="AE3576">
        <v>0</v>
      </c>
      <c r="AF3576">
        <v>0</v>
      </c>
      <c r="AG3576">
        <v>0</v>
      </c>
      <c r="AH3576">
        <v>0</v>
      </c>
      <c r="AI3576">
        <v>0</v>
      </c>
      <c r="AJ3576">
        <v>0</v>
      </c>
      <c r="AK3576">
        <v>0</v>
      </c>
      <c r="AL3576">
        <v>0</v>
      </c>
      <c r="AM3576">
        <v>0</v>
      </c>
      <c r="AN3576">
        <v>0</v>
      </c>
      <c r="AO3576">
        <v>0</v>
      </c>
      <c r="AP3576">
        <v>0</v>
      </c>
      <c r="AQ3576">
        <v>0</v>
      </c>
      <c r="AR3576">
        <v>0</v>
      </c>
      <c r="AS3576">
        <v>0</v>
      </c>
      <c r="AT3576">
        <v>0</v>
      </c>
      <c r="AU3576">
        <f t="shared" si="110"/>
        <v>0</v>
      </c>
      <c r="AV3576">
        <f t="shared" si="111"/>
        <v>0</v>
      </c>
    </row>
    <row r="3577" spans="1:48" x14ac:dyDescent="0.25">
      <c r="A3577" t="s">
        <v>13412</v>
      </c>
      <c r="B3577" t="s">
        <v>114</v>
      </c>
      <c r="C3577" t="s">
        <v>13413</v>
      </c>
      <c r="D3577" t="s">
        <v>13414</v>
      </c>
      <c r="E3577" t="s">
        <v>1663</v>
      </c>
      <c r="F3577">
        <v>2</v>
      </c>
      <c r="G3577">
        <v>2.2999999999999998</v>
      </c>
      <c r="H3577" t="s">
        <v>2327</v>
      </c>
      <c r="I3577" s="21">
        <v>41360</v>
      </c>
      <c r="J3577">
        <v>2013</v>
      </c>
      <c r="K3577" s="21">
        <v>41389</v>
      </c>
      <c r="L3577">
        <v>2013</v>
      </c>
      <c r="M3577" s="21">
        <v>42751</v>
      </c>
      <c r="N3577">
        <v>2017</v>
      </c>
      <c r="Q3577" s="262">
        <v>100000</v>
      </c>
      <c r="S3577" t="s">
        <v>13253</v>
      </c>
      <c r="T3577">
        <v>12654</v>
      </c>
      <c r="W3577">
        <v>103</v>
      </c>
      <c r="X3577">
        <v>0</v>
      </c>
      <c r="Y3577">
        <v>0</v>
      </c>
      <c r="Z3577">
        <v>0</v>
      </c>
      <c r="AA3577">
        <v>0</v>
      </c>
      <c r="AB3577">
        <v>0</v>
      </c>
      <c r="AC3577">
        <v>0</v>
      </c>
      <c r="AD3577">
        <v>0</v>
      </c>
      <c r="AE3577">
        <v>0</v>
      </c>
      <c r="AF3577">
        <v>0</v>
      </c>
      <c r="AG3577">
        <v>0</v>
      </c>
      <c r="AH3577">
        <v>0</v>
      </c>
      <c r="AI3577">
        <v>0</v>
      </c>
      <c r="AJ3577">
        <v>0</v>
      </c>
      <c r="AK3577">
        <v>103</v>
      </c>
      <c r="AL3577">
        <v>0</v>
      </c>
      <c r="AM3577">
        <v>0</v>
      </c>
      <c r="AN3577">
        <v>0</v>
      </c>
      <c r="AO3577">
        <v>0</v>
      </c>
      <c r="AP3577">
        <v>0</v>
      </c>
      <c r="AQ3577">
        <v>0</v>
      </c>
      <c r="AR3577">
        <v>0</v>
      </c>
      <c r="AS3577">
        <v>0</v>
      </c>
      <c r="AT3577">
        <v>0</v>
      </c>
      <c r="AU3577">
        <f t="shared" si="110"/>
        <v>0</v>
      </c>
      <c r="AV3577">
        <f t="shared" si="111"/>
        <v>103</v>
      </c>
    </row>
    <row r="3578" spans="1:48" x14ac:dyDescent="0.25">
      <c r="A3578" t="s">
        <v>11365</v>
      </c>
      <c r="C3578" t="s">
        <v>11366</v>
      </c>
      <c r="D3578" t="s">
        <v>11367</v>
      </c>
      <c r="E3578" t="s">
        <v>2310</v>
      </c>
      <c r="F3578">
        <v>13</v>
      </c>
      <c r="G3578">
        <v>13.3</v>
      </c>
      <c r="H3578" t="s">
        <v>2017</v>
      </c>
      <c r="I3578" s="21">
        <v>41366.624340277798</v>
      </c>
      <c r="J3578">
        <v>2013</v>
      </c>
      <c r="K3578" s="21">
        <v>41430.446284722202</v>
      </c>
      <c r="L3578">
        <v>2013</v>
      </c>
      <c r="O3578" s="21">
        <v>41673.652210648099</v>
      </c>
      <c r="Q3578" s="262">
        <v>1800000</v>
      </c>
      <c r="R3578" s="262">
        <v>553000</v>
      </c>
      <c r="S3578" t="s">
        <v>114</v>
      </c>
      <c r="T3578" t="s">
        <v>114</v>
      </c>
      <c r="W3578">
        <v>6005</v>
      </c>
      <c r="X3578">
        <v>1</v>
      </c>
      <c r="Y3578">
        <v>0</v>
      </c>
      <c r="Z3578">
        <v>0</v>
      </c>
      <c r="AA3578">
        <v>0</v>
      </c>
      <c r="AB3578">
        <v>0</v>
      </c>
      <c r="AC3578">
        <v>6005</v>
      </c>
      <c r="AD3578">
        <v>0</v>
      </c>
      <c r="AE3578">
        <v>0</v>
      </c>
      <c r="AF3578">
        <v>0</v>
      </c>
      <c r="AG3578">
        <v>0</v>
      </c>
      <c r="AH3578">
        <v>0</v>
      </c>
      <c r="AI3578">
        <v>0</v>
      </c>
      <c r="AJ3578">
        <v>0</v>
      </c>
      <c r="AK3578">
        <v>0</v>
      </c>
      <c r="AL3578">
        <v>0</v>
      </c>
      <c r="AM3578">
        <v>0</v>
      </c>
      <c r="AN3578">
        <v>0</v>
      </c>
      <c r="AO3578">
        <v>1</v>
      </c>
      <c r="AP3578">
        <v>0</v>
      </c>
      <c r="AQ3578">
        <v>0</v>
      </c>
      <c r="AR3578">
        <v>0</v>
      </c>
      <c r="AS3578">
        <v>0</v>
      </c>
      <c r="AT3578">
        <v>0</v>
      </c>
      <c r="AU3578">
        <f t="shared" si="110"/>
        <v>1</v>
      </c>
      <c r="AV3578">
        <f t="shared" si="111"/>
        <v>0</v>
      </c>
    </row>
    <row r="3579" spans="1:48" x14ac:dyDescent="0.25">
      <c r="A3579" t="s">
        <v>11368</v>
      </c>
      <c r="C3579" t="s">
        <v>11369</v>
      </c>
      <c r="D3579" t="s">
        <v>11370</v>
      </c>
      <c r="E3579" t="s">
        <v>2310</v>
      </c>
      <c r="F3579">
        <v>9</v>
      </c>
      <c r="G3579">
        <v>9.1</v>
      </c>
      <c r="H3579" t="s">
        <v>2323</v>
      </c>
      <c r="I3579" s="21">
        <v>41367.360347222202</v>
      </c>
      <c r="J3579">
        <v>2013</v>
      </c>
      <c r="K3579" s="21">
        <v>41442.685624999998</v>
      </c>
      <c r="L3579">
        <v>2013</v>
      </c>
      <c r="M3579" s="21">
        <v>41893.612256944398</v>
      </c>
      <c r="N3579">
        <v>2014</v>
      </c>
      <c r="Q3579" s="262">
        <v>1800000</v>
      </c>
      <c r="R3579" s="262">
        <v>468000</v>
      </c>
      <c r="S3579" t="s">
        <v>114</v>
      </c>
      <c r="T3579" t="s">
        <v>114</v>
      </c>
      <c r="W3579">
        <v>4998</v>
      </c>
      <c r="X3579">
        <v>1</v>
      </c>
      <c r="Y3579">
        <v>0</v>
      </c>
      <c r="Z3579">
        <v>0</v>
      </c>
      <c r="AA3579">
        <v>0</v>
      </c>
      <c r="AB3579">
        <v>0</v>
      </c>
      <c r="AC3579">
        <v>4998</v>
      </c>
      <c r="AD3579">
        <v>0</v>
      </c>
      <c r="AE3579">
        <v>0</v>
      </c>
      <c r="AF3579">
        <v>0</v>
      </c>
      <c r="AG3579">
        <v>0</v>
      </c>
      <c r="AH3579">
        <v>0</v>
      </c>
      <c r="AI3579">
        <v>0</v>
      </c>
      <c r="AJ3579">
        <v>0</v>
      </c>
      <c r="AK3579">
        <v>0</v>
      </c>
      <c r="AL3579">
        <v>0</v>
      </c>
      <c r="AM3579">
        <v>0</v>
      </c>
      <c r="AN3579">
        <v>0</v>
      </c>
      <c r="AO3579">
        <v>1</v>
      </c>
      <c r="AP3579">
        <v>0</v>
      </c>
      <c r="AQ3579">
        <v>0</v>
      </c>
      <c r="AR3579">
        <v>0</v>
      </c>
      <c r="AS3579">
        <v>0</v>
      </c>
      <c r="AT3579">
        <v>0</v>
      </c>
      <c r="AU3579">
        <f t="shared" si="110"/>
        <v>1</v>
      </c>
      <c r="AV3579">
        <f t="shared" si="111"/>
        <v>0</v>
      </c>
    </row>
    <row r="3580" spans="1:48" x14ac:dyDescent="0.25">
      <c r="A3580" t="s">
        <v>11371</v>
      </c>
      <c r="C3580" t="s">
        <v>11372</v>
      </c>
      <c r="D3580" t="s">
        <v>11373</v>
      </c>
      <c r="E3580" t="s">
        <v>2310</v>
      </c>
      <c r="F3580">
        <v>8</v>
      </c>
      <c r="G3580">
        <v>8.3000000000000007</v>
      </c>
      <c r="H3580" t="s">
        <v>2323</v>
      </c>
      <c r="I3580" s="21">
        <v>41367.442222222198</v>
      </c>
      <c r="J3580">
        <v>2013</v>
      </c>
      <c r="K3580" s="21">
        <v>41582.454618055599</v>
      </c>
      <c r="L3580">
        <v>2013</v>
      </c>
      <c r="M3580" s="21">
        <v>41885.632881944402</v>
      </c>
      <c r="N3580">
        <v>2014</v>
      </c>
      <c r="Q3580" s="262">
        <v>410000</v>
      </c>
      <c r="R3580" s="262">
        <v>241000</v>
      </c>
      <c r="S3580" t="s">
        <v>114</v>
      </c>
      <c r="T3580" t="s">
        <v>114</v>
      </c>
      <c r="V3580">
        <v>1586</v>
      </c>
      <c r="W3580">
        <v>1508</v>
      </c>
      <c r="X3580">
        <v>0</v>
      </c>
      <c r="Y3580">
        <v>0</v>
      </c>
      <c r="Z3580">
        <v>0</v>
      </c>
      <c r="AA3580">
        <v>0</v>
      </c>
      <c r="AB3580">
        <v>0</v>
      </c>
      <c r="AC3580">
        <v>1508</v>
      </c>
      <c r="AD3580">
        <v>0</v>
      </c>
      <c r="AE3580">
        <v>0</v>
      </c>
      <c r="AF3580">
        <v>0</v>
      </c>
      <c r="AG3580">
        <v>0</v>
      </c>
      <c r="AH3580">
        <v>0</v>
      </c>
      <c r="AI3580">
        <v>0</v>
      </c>
      <c r="AJ3580">
        <v>0</v>
      </c>
      <c r="AK3580">
        <v>0</v>
      </c>
      <c r="AL3580">
        <v>0</v>
      </c>
      <c r="AM3580">
        <v>0</v>
      </c>
      <c r="AN3580">
        <v>0</v>
      </c>
      <c r="AO3580">
        <v>0</v>
      </c>
      <c r="AP3580">
        <v>0</v>
      </c>
      <c r="AQ3580">
        <v>0</v>
      </c>
      <c r="AR3580">
        <v>0</v>
      </c>
      <c r="AS3580">
        <v>0</v>
      </c>
      <c r="AT3580">
        <v>0</v>
      </c>
      <c r="AU3580">
        <f t="shared" si="110"/>
        <v>0</v>
      </c>
      <c r="AV3580">
        <f t="shared" si="111"/>
        <v>0</v>
      </c>
    </row>
    <row r="3581" spans="1:48" x14ac:dyDescent="0.25">
      <c r="A3581" t="s">
        <v>11374</v>
      </c>
      <c r="C3581" t="s">
        <v>11375</v>
      </c>
      <c r="D3581" t="s">
        <v>11373</v>
      </c>
      <c r="E3581" t="s">
        <v>2310</v>
      </c>
      <c r="F3581">
        <v>8</v>
      </c>
      <c r="G3581">
        <v>8.3000000000000007</v>
      </c>
      <c r="H3581" t="s">
        <v>2323</v>
      </c>
      <c r="I3581" s="21">
        <v>41367.449826388904</v>
      </c>
      <c r="J3581">
        <v>2013</v>
      </c>
      <c r="K3581" s="21">
        <v>41515.478611111103</v>
      </c>
      <c r="L3581">
        <v>2013</v>
      </c>
      <c r="M3581" s="21">
        <v>41885.649039351898</v>
      </c>
      <c r="N3581">
        <v>2014</v>
      </c>
      <c r="Q3581" s="262">
        <v>90000</v>
      </c>
      <c r="R3581" s="262">
        <v>84000</v>
      </c>
      <c r="S3581" t="s">
        <v>114</v>
      </c>
      <c r="T3581" t="s">
        <v>114</v>
      </c>
      <c r="W3581">
        <v>1848</v>
      </c>
      <c r="X3581">
        <v>0</v>
      </c>
      <c r="Y3581">
        <v>0</v>
      </c>
      <c r="Z3581">
        <v>0</v>
      </c>
      <c r="AA3581">
        <v>0</v>
      </c>
      <c r="AB3581">
        <v>0</v>
      </c>
      <c r="AC3581">
        <v>1848</v>
      </c>
      <c r="AD3581">
        <v>0</v>
      </c>
      <c r="AE3581">
        <v>0</v>
      </c>
      <c r="AF3581">
        <v>0</v>
      </c>
      <c r="AG3581">
        <v>0</v>
      </c>
      <c r="AH3581">
        <v>0</v>
      </c>
      <c r="AI3581">
        <v>0</v>
      </c>
      <c r="AJ3581">
        <v>0</v>
      </c>
      <c r="AK3581">
        <v>0</v>
      </c>
      <c r="AL3581">
        <v>0</v>
      </c>
      <c r="AM3581">
        <v>0</v>
      </c>
      <c r="AN3581">
        <v>0</v>
      </c>
      <c r="AO3581">
        <v>0</v>
      </c>
      <c r="AP3581">
        <v>0</v>
      </c>
      <c r="AQ3581">
        <v>0</v>
      </c>
      <c r="AR3581">
        <v>0</v>
      </c>
      <c r="AS3581">
        <v>0</v>
      </c>
      <c r="AT3581">
        <v>0</v>
      </c>
      <c r="AU3581">
        <f t="shared" si="110"/>
        <v>0</v>
      </c>
      <c r="AV3581">
        <f t="shared" si="111"/>
        <v>0</v>
      </c>
    </row>
    <row r="3582" spans="1:48" x14ac:dyDescent="0.25">
      <c r="A3582" t="s">
        <v>11376</v>
      </c>
      <c r="C3582" t="s">
        <v>11377</v>
      </c>
      <c r="D3582" t="s">
        <v>11378</v>
      </c>
      <c r="E3582" t="s">
        <v>2310</v>
      </c>
      <c r="F3582">
        <v>8</v>
      </c>
      <c r="G3582">
        <v>8.1</v>
      </c>
      <c r="H3582" t="s">
        <v>2323</v>
      </c>
      <c r="I3582" s="21">
        <v>41367.534027777801</v>
      </c>
      <c r="J3582">
        <v>2013</v>
      </c>
      <c r="K3582" s="21">
        <v>41445.636122685202</v>
      </c>
      <c r="L3582">
        <v>2013</v>
      </c>
      <c r="M3582" s="21">
        <v>42577.373148148101</v>
      </c>
      <c r="N3582">
        <v>2016</v>
      </c>
      <c r="Q3582" s="262">
        <v>4189000</v>
      </c>
      <c r="R3582" s="262">
        <v>902000</v>
      </c>
      <c r="S3582" t="s">
        <v>114</v>
      </c>
      <c r="T3582" t="s">
        <v>114</v>
      </c>
      <c r="W3582">
        <v>10427</v>
      </c>
      <c r="X3582">
        <v>1</v>
      </c>
      <c r="Y3582">
        <v>0</v>
      </c>
      <c r="Z3582">
        <v>0</v>
      </c>
      <c r="AA3582">
        <v>0</v>
      </c>
      <c r="AB3582">
        <v>0</v>
      </c>
      <c r="AC3582">
        <v>10427</v>
      </c>
      <c r="AD3582">
        <v>0</v>
      </c>
      <c r="AE3582">
        <v>0</v>
      </c>
      <c r="AF3582">
        <v>0</v>
      </c>
      <c r="AG3582">
        <v>0</v>
      </c>
      <c r="AH3582">
        <v>0</v>
      </c>
      <c r="AI3582">
        <v>0</v>
      </c>
      <c r="AJ3582">
        <v>0</v>
      </c>
      <c r="AK3582">
        <v>0</v>
      </c>
      <c r="AL3582">
        <v>0</v>
      </c>
      <c r="AM3582">
        <v>0</v>
      </c>
      <c r="AN3582">
        <v>0</v>
      </c>
      <c r="AO3582">
        <v>1</v>
      </c>
      <c r="AP3582">
        <v>0</v>
      </c>
      <c r="AQ3582">
        <v>0</v>
      </c>
      <c r="AR3582">
        <v>0</v>
      </c>
      <c r="AS3582">
        <v>0</v>
      </c>
      <c r="AT3582">
        <v>0</v>
      </c>
      <c r="AU3582">
        <f t="shared" si="110"/>
        <v>1</v>
      </c>
      <c r="AV3582">
        <f t="shared" si="111"/>
        <v>0</v>
      </c>
    </row>
    <row r="3583" spans="1:48" x14ac:dyDescent="0.25">
      <c r="A3583" t="s">
        <v>11379</v>
      </c>
      <c r="C3583" t="s">
        <v>11380</v>
      </c>
      <c r="D3583" t="s">
        <v>11378</v>
      </c>
      <c r="E3583" t="s">
        <v>2310</v>
      </c>
      <c r="F3583">
        <v>8</v>
      </c>
      <c r="G3583">
        <v>8.1</v>
      </c>
      <c r="H3583" t="s">
        <v>2323</v>
      </c>
      <c r="I3583" s="21">
        <v>41367.5397800926</v>
      </c>
      <c r="J3583">
        <v>2013</v>
      </c>
      <c r="K3583" s="21">
        <v>41444.616909722201</v>
      </c>
      <c r="L3583">
        <v>2013</v>
      </c>
      <c r="M3583" s="21">
        <v>42577.370196759301</v>
      </c>
      <c r="N3583">
        <v>2016</v>
      </c>
      <c r="Q3583" s="262">
        <v>822618</v>
      </c>
      <c r="R3583" s="262">
        <v>81000</v>
      </c>
      <c r="S3583" t="s">
        <v>114</v>
      </c>
      <c r="T3583" t="s">
        <v>114</v>
      </c>
      <c r="W3583">
        <v>1212</v>
      </c>
      <c r="X3583">
        <v>1</v>
      </c>
      <c r="Y3583">
        <v>0</v>
      </c>
      <c r="Z3583">
        <v>0</v>
      </c>
      <c r="AA3583">
        <v>0</v>
      </c>
      <c r="AB3583">
        <v>0</v>
      </c>
      <c r="AC3583">
        <v>704</v>
      </c>
      <c r="AD3583">
        <v>0</v>
      </c>
      <c r="AE3583">
        <v>0</v>
      </c>
      <c r="AF3583">
        <v>508</v>
      </c>
      <c r="AG3583">
        <v>0</v>
      </c>
      <c r="AH3583">
        <v>0</v>
      </c>
      <c r="AI3583">
        <v>0</v>
      </c>
      <c r="AJ3583">
        <v>0</v>
      </c>
      <c r="AK3583">
        <v>0</v>
      </c>
      <c r="AL3583">
        <v>0</v>
      </c>
      <c r="AM3583">
        <v>0</v>
      </c>
      <c r="AN3583">
        <v>0</v>
      </c>
      <c r="AO3583">
        <v>0</v>
      </c>
      <c r="AP3583">
        <v>0</v>
      </c>
      <c r="AQ3583">
        <v>0</v>
      </c>
      <c r="AR3583">
        <v>1</v>
      </c>
      <c r="AS3583">
        <v>0</v>
      </c>
      <c r="AT3583">
        <v>0</v>
      </c>
      <c r="AU3583">
        <f t="shared" si="110"/>
        <v>0</v>
      </c>
      <c r="AV3583">
        <f t="shared" si="111"/>
        <v>0</v>
      </c>
    </row>
    <row r="3584" spans="1:48" x14ac:dyDescent="0.25">
      <c r="A3584" t="s">
        <v>11381</v>
      </c>
      <c r="C3584" t="s">
        <v>11382</v>
      </c>
      <c r="D3584" t="s">
        <v>11383</v>
      </c>
      <c r="E3584" t="s">
        <v>2310</v>
      </c>
      <c r="F3584">
        <v>9</v>
      </c>
      <c r="G3584">
        <v>9.3000000000000007</v>
      </c>
      <c r="H3584" t="s">
        <v>2323</v>
      </c>
      <c r="I3584" s="21">
        <v>41367.708784722199</v>
      </c>
      <c r="J3584">
        <v>2013</v>
      </c>
      <c r="K3584" s="21">
        <v>41408.494224536997</v>
      </c>
      <c r="L3584">
        <v>2013</v>
      </c>
      <c r="M3584" s="21">
        <v>41768.603877314803</v>
      </c>
      <c r="N3584">
        <v>2014</v>
      </c>
      <c r="Q3584" s="262">
        <v>476000</v>
      </c>
      <c r="R3584" s="262">
        <v>193000</v>
      </c>
      <c r="S3584" t="s">
        <v>114</v>
      </c>
      <c r="T3584" t="s">
        <v>114</v>
      </c>
      <c r="W3584">
        <v>2380</v>
      </c>
      <c r="X3584">
        <v>0</v>
      </c>
      <c r="Y3584">
        <v>0</v>
      </c>
      <c r="Z3584">
        <v>0</v>
      </c>
      <c r="AA3584">
        <v>0</v>
      </c>
      <c r="AB3584">
        <v>0</v>
      </c>
      <c r="AC3584">
        <v>2380</v>
      </c>
      <c r="AD3584">
        <v>0</v>
      </c>
      <c r="AE3584">
        <v>0</v>
      </c>
      <c r="AF3584">
        <v>0</v>
      </c>
      <c r="AG3584">
        <v>0</v>
      </c>
      <c r="AH3584">
        <v>0</v>
      </c>
      <c r="AI3584">
        <v>0</v>
      </c>
      <c r="AJ3584">
        <v>0</v>
      </c>
      <c r="AK3584">
        <v>0</v>
      </c>
      <c r="AL3584">
        <v>0</v>
      </c>
      <c r="AM3584">
        <v>0</v>
      </c>
      <c r="AN3584">
        <v>0</v>
      </c>
      <c r="AO3584">
        <v>0</v>
      </c>
      <c r="AP3584">
        <v>0</v>
      </c>
      <c r="AQ3584">
        <v>0</v>
      </c>
      <c r="AR3584">
        <v>0</v>
      </c>
      <c r="AS3584">
        <v>0</v>
      </c>
      <c r="AT3584">
        <v>0</v>
      </c>
      <c r="AU3584">
        <f t="shared" si="110"/>
        <v>0</v>
      </c>
      <c r="AV3584">
        <f t="shared" si="111"/>
        <v>0</v>
      </c>
    </row>
    <row r="3585" spans="1:48" x14ac:dyDescent="0.25">
      <c r="A3585" t="s">
        <v>11384</v>
      </c>
      <c r="C3585" t="s">
        <v>11385</v>
      </c>
      <c r="D3585" t="s">
        <v>11386</v>
      </c>
      <c r="E3585" t="s">
        <v>2310</v>
      </c>
      <c r="F3585">
        <v>15</v>
      </c>
      <c r="G3585">
        <v>15.2</v>
      </c>
      <c r="H3585" t="s">
        <v>2323</v>
      </c>
      <c r="I3585" s="21">
        <v>41367.728981481501</v>
      </c>
      <c r="J3585">
        <v>2013</v>
      </c>
      <c r="K3585" s="21">
        <v>41814.681076388901</v>
      </c>
      <c r="L3585">
        <v>2014</v>
      </c>
      <c r="M3585" s="21">
        <v>42443.404814814799</v>
      </c>
      <c r="N3585">
        <v>2016</v>
      </c>
      <c r="Q3585" s="262">
        <v>2900000</v>
      </c>
      <c r="R3585" s="262">
        <v>931000</v>
      </c>
      <c r="S3585" t="s">
        <v>114</v>
      </c>
      <c r="T3585" t="s">
        <v>114</v>
      </c>
      <c r="W3585">
        <v>9559</v>
      </c>
      <c r="X3585">
        <v>1</v>
      </c>
      <c r="Y3585">
        <v>0</v>
      </c>
      <c r="Z3585">
        <v>0</v>
      </c>
      <c r="AA3585">
        <v>0</v>
      </c>
      <c r="AB3585">
        <v>0</v>
      </c>
      <c r="AC3585">
        <v>9559</v>
      </c>
      <c r="AD3585">
        <v>0</v>
      </c>
      <c r="AE3585">
        <v>0</v>
      </c>
      <c r="AF3585">
        <v>0</v>
      </c>
      <c r="AG3585">
        <v>0</v>
      </c>
      <c r="AH3585">
        <v>0</v>
      </c>
      <c r="AI3585">
        <v>0</v>
      </c>
      <c r="AJ3585">
        <v>0</v>
      </c>
      <c r="AK3585">
        <v>0</v>
      </c>
      <c r="AL3585">
        <v>0</v>
      </c>
      <c r="AM3585">
        <v>0</v>
      </c>
      <c r="AN3585">
        <v>0</v>
      </c>
      <c r="AO3585">
        <v>1</v>
      </c>
      <c r="AP3585">
        <v>0</v>
      </c>
      <c r="AQ3585">
        <v>0</v>
      </c>
      <c r="AR3585">
        <v>0</v>
      </c>
      <c r="AS3585">
        <v>0</v>
      </c>
      <c r="AT3585">
        <v>0</v>
      </c>
      <c r="AU3585">
        <f t="shared" si="110"/>
        <v>1</v>
      </c>
      <c r="AV3585">
        <f t="shared" si="111"/>
        <v>0</v>
      </c>
    </row>
    <row r="3586" spans="1:48" x14ac:dyDescent="0.25">
      <c r="A3586" t="s">
        <v>11387</v>
      </c>
      <c r="C3586" t="s">
        <v>11388</v>
      </c>
      <c r="D3586" t="s">
        <v>11389</v>
      </c>
      <c r="E3586" t="s">
        <v>2310</v>
      </c>
      <c r="F3586">
        <v>10</v>
      </c>
      <c r="G3586">
        <v>10.1</v>
      </c>
      <c r="H3586" t="s">
        <v>2323</v>
      </c>
      <c r="I3586" s="21">
        <v>41368.554409722201</v>
      </c>
      <c r="J3586">
        <v>2013</v>
      </c>
      <c r="K3586" s="21">
        <v>41401.605671296304</v>
      </c>
      <c r="L3586">
        <v>2013</v>
      </c>
      <c r="M3586" s="21">
        <v>41583.458657407398</v>
      </c>
      <c r="N3586">
        <v>2013</v>
      </c>
      <c r="Q3586" s="262">
        <v>15000</v>
      </c>
      <c r="R3586" s="262">
        <v>11000</v>
      </c>
      <c r="S3586" t="s">
        <v>114</v>
      </c>
      <c r="T3586" t="s">
        <v>114</v>
      </c>
      <c r="W3586">
        <v>260</v>
      </c>
      <c r="X3586">
        <v>0</v>
      </c>
      <c r="Y3586">
        <v>0</v>
      </c>
      <c r="Z3586">
        <v>0</v>
      </c>
      <c r="AA3586">
        <v>0</v>
      </c>
      <c r="AB3586">
        <v>0</v>
      </c>
      <c r="AC3586">
        <v>260</v>
      </c>
      <c r="AD3586">
        <v>0</v>
      </c>
      <c r="AE3586">
        <v>0</v>
      </c>
      <c r="AF3586">
        <v>0</v>
      </c>
      <c r="AG3586">
        <v>0</v>
      </c>
      <c r="AH3586">
        <v>0</v>
      </c>
      <c r="AI3586">
        <v>0</v>
      </c>
      <c r="AJ3586">
        <v>0</v>
      </c>
      <c r="AK3586">
        <v>0</v>
      </c>
      <c r="AL3586">
        <v>0</v>
      </c>
      <c r="AM3586">
        <v>0</v>
      </c>
      <c r="AN3586">
        <v>0</v>
      </c>
      <c r="AO3586">
        <v>0</v>
      </c>
      <c r="AP3586">
        <v>0</v>
      </c>
      <c r="AQ3586">
        <v>0</v>
      </c>
      <c r="AR3586">
        <v>0</v>
      </c>
      <c r="AS3586">
        <v>0</v>
      </c>
      <c r="AT3586">
        <v>0</v>
      </c>
      <c r="AU3586">
        <f t="shared" si="110"/>
        <v>0</v>
      </c>
      <c r="AV3586">
        <f t="shared" si="111"/>
        <v>0</v>
      </c>
    </row>
    <row r="3587" spans="1:48" x14ac:dyDescent="0.25">
      <c r="A3587" t="s">
        <v>11390</v>
      </c>
      <c r="C3587" t="s">
        <v>11391</v>
      </c>
      <c r="D3587" t="s">
        <v>8133</v>
      </c>
      <c r="E3587" t="s">
        <v>2310</v>
      </c>
      <c r="F3587">
        <v>9</v>
      </c>
      <c r="G3587">
        <v>9.3000000000000007</v>
      </c>
      <c r="H3587" t="s">
        <v>2323</v>
      </c>
      <c r="I3587" s="21">
        <v>41368.597048611096</v>
      </c>
      <c r="J3587">
        <v>2013</v>
      </c>
      <c r="K3587" s="21">
        <v>41411.379699074103</v>
      </c>
      <c r="L3587">
        <v>2013</v>
      </c>
      <c r="M3587" s="21">
        <v>41823.352175925902</v>
      </c>
      <c r="N3587">
        <v>2014</v>
      </c>
      <c r="Q3587" s="262">
        <v>1000000</v>
      </c>
      <c r="R3587" s="262">
        <v>458000</v>
      </c>
      <c r="S3587" t="s">
        <v>114</v>
      </c>
      <c r="T3587" t="s">
        <v>114</v>
      </c>
      <c r="W3587">
        <v>4808</v>
      </c>
      <c r="X3587">
        <v>1</v>
      </c>
      <c r="Y3587">
        <v>0</v>
      </c>
      <c r="Z3587">
        <v>0</v>
      </c>
      <c r="AA3587">
        <v>0</v>
      </c>
      <c r="AB3587">
        <v>0</v>
      </c>
      <c r="AC3587">
        <v>4808</v>
      </c>
      <c r="AD3587">
        <v>0</v>
      </c>
      <c r="AE3587">
        <v>0</v>
      </c>
      <c r="AF3587">
        <v>0</v>
      </c>
      <c r="AG3587">
        <v>0</v>
      </c>
      <c r="AH3587">
        <v>0</v>
      </c>
      <c r="AI3587">
        <v>0</v>
      </c>
      <c r="AJ3587">
        <v>0</v>
      </c>
      <c r="AK3587">
        <v>0</v>
      </c>
      <c r="AL3587">
        <v>0</v>
      </c>
      <c r="AM3587">
        <v>0</v>
      </c>
      <c r="AN3587">
        <v>0</v>
      </c>
      <c r="AO3587">
        <v>1</v>
      </c>
      <c r="AP3587">
        <v>0</v>
      </c>
      <c r="AQ3587">
        <v>0</v>
      </c>
      <c r="AR3587">
        <v>0</v>
      </c>
      <c r="AS3587">
        <v>0</v>
      </c>
      <c r="AT3587">
        <v>0</v>
      </c>
      <c r="AU3587">
        <f t="shared" si="110"/>
        <v>1</v>
      </c>
      <c r="AV3587">
        <f t="shared" si="111"/>
        <v>0</v>
      </c>
    </row>
    <row r="3588" spans="1:48" x14ac:dyDescent="0.25">
      <c r="A3588" t="s">
        <v>11392</v>
      </c>
      <c r="C3588" t="s">
        <v>10187</v>
      </c>
      <c r="D3588" t="s">
        <v>11117</v>
      </c>
      <c r="E3588" t="s">
        <v>2310</v>
      </c>
      <c r="F3588">
        <v>8</v>
      </c>
      <c r="G3588">
        <v>8.1</v>
      </c>
      <c r="H3588" t="s">
        <v>2323</v>
      </c>
      <c r="I3588" s="21">
        <v>41368.646736111099</v>
      </c>
      <c r="J3588">
        <v>2013</v>
      </c>
      <c r="K3588" s="21">
        <v>41411.399791666699</v>
      </c>
      <c r="L3588">
        <v>2013</v>
      </c>
      <c r="M3588" s="21">
        <v>41928.519895833299</v>
      </c>
      <c r="N3588">
        <v>2014</v>
      </c>
      <c r="Q3588" s="262">
        <v>450000</v>
      </c>
      <c r="R3588" s="262">
        <v>122000</v>
      </c>
      <c r="S3588" t="s">
        <v>114</v>
      </c>
      <c r="T3588" t="s">
        <v>114</v>
      </c>
      <c r="W3588">
        <v>1000</v>
      </c>
      <c r="X3588">
        <v>1</v>
      </c>
      <c r="Y3588">
        <v>0</v>
      </c>
      <c r="Z3588">
        <v>0</v>
      </c>
      <c r="AA3588">
        <v>0</v>
      </c>
      <c r="AB3588">
        <v>0</v>
      </c>
      <c r="AC3588">
        <v>0</v>
      </c>
      <c r="AD3588">
        <v>0</v>
      </c>
      <c r="AE3588">
        <v>0</v>
      </c>
      <c r="AF3588">
        <v>1000</v>
      </c>
      <c r="AG3588">
        <v>0</v>
      </c>
      <c r="AH3588">
        <v>0</v>
      </c>
      <c r="AI3588">
        <v>0</v>
      </c>
      <c r="AJ3588">
        <v>0</v>
      </c>
      <c r="AK3588">
        <v>0</v>
      </c>
      <c r="AL3588">
        <v>0</v>
      </c>
      <c r="AM3588">
        <v>0</v>
      </c>
      <c r="AN3588">
        <v>0</v>
      </c>
      <c r="AO3588">
        <v>0</v>
      </c>
      <c r="AP3588">
        <v>0</v>
      </c>
      <c r="AQ3588">
        <v>0</v>
      </c>
      <c r="AR3588">
        <v>1</v>
      </c>
      <c r="AS3588">
        <v>0</v>
      </c>
      <c r="AT3588">
        <v>0</v>
      </c>
      <c r="AU3588">
        <f t="shared" si="110"/>
        <v>0</v>
      </c>
      <c r="AV3588">
        <f t="shared" si="111"/>
        <v>0</v>
      </c>
    </row>
    <row r="3589" spans="1:48" x14ac:dyDescent="0.25">
      <c r="A3589" t="s">
        <v>11393</v>
      </c>
      <c r="C3589" t="s">
        <v>4934</v>
      </c>
      <c r="D3589" t="s">
        <v>3919</v>
      </c>
      <c r="E3589" t="s">
        <v>2310</v>
      </c>
      <c r="F3589">
        <v>10</v>
      </c>
      <c r="G3589">
        <v>10.1</v>
      </c>
      <c r="H3589" t="s">
        <v>2323</v>
      </c>
      <c r="I3589" s="21">
        <v>41369.439768518503</v>
      </c>
      <c r="J3589">
        <v>2013</v>
      </c>
      <c r="K3589" s="21">
        <v>41411.461550925902</v>
      </c>
      <c r="L3589">
        <v>2013</v>
      </c>
      <c r="M3589" s="21">
        <v>41907.620671296303</v>
      </c>
      <c r="N3589">
        <v>2014</v>
      </c>
      <c r="Q3589" s="262">
        <v>150000</v>
      </c>
      <c r="R3589" s="262">
        <v>87000</v>
      </c>
      <c r="S3589" t="s">
        <v>114</v>
      </c>
      <c r="T3589" t="s">
        <v>114</v>
      </c>
      <c r="W3589">
        <v>2016</v>
      </c>
      <c r="X3589">
        <v>0</v>
      </c>
      <c r="Y3589">
        <v>0</v>
      </c>
      <c r="Z3589">
        <v>0</v>
      </c>
      <c r="AA3589">
        <v>0</v>
      </c>
      <c r="AB3589">
        <v>0</v>
      </c>
      <c r="AC3589">
        <v>2016</v>
      </c>
      <c r="AD3589">
        <v>0</v>
      </c>
      <c r="AE3589">
        <v>0</v>
      </c>
      <c r="AF3589">
        <v>0</v>
      </c>
      <c r="AG3589">
        <v>0</v>
      </c>
      <c r="AH3589">
        <v>0</v>
      </c>
      <c r="AI3589">
        <v>0</v>
      </c>
      <c r="AJ3589">
        <v>0</v>
      </c>
      <c r="AK3589">
        <v>0</v>
      </c>
      <c r="AL3589">
        <v>0</v>
      </c>
      <c r="AM3589">
        <v>0</v>
      </c>
      <c r="AN3589">
        <v>0</v>
      </c>
      <c r="AO3589">
        <v>0</v>
      </c>
      <c r="AP3589">
        <v>0</v>
      </c>
      <c r="AQ3589">
        <v>0</v>
      </c>
      <c r="AR3589">
        <v>0</v>
      </c>
      <c r="AS3589">
        <v>0</v>
      </c>
      <c r="AT3589">
        <v>0</v>
      </c>
      <c r="AU3589">
        <f t="shared" si="110"/>
        <v>0</v>
      </c>
      <c r="AV3589">
        <f t="shared" si="111"/>
        <v>0</v>
      </c>
    </row>
    <row r="3590" spans="1:48" x14ac:dyDescent="0.25">
      <c r="A3590" t="s">
        <v>11394</v>
      </c>
      <c r="C3590" t="s">
        <v>10104</v>
      </c>
      <c r="D3590" t="s">
        <v>11395</v>
      </c>
      <c r="E3590" t="s">
        <v>2310</v>
      </c>
      <c r="F3590">
        <v>15</v>
      </c>
      <c r="G3590">
        <v>15.3</v>
      </c>
      <c r="H3590" t="s">
        <v>2022</v>
      </c>
      <c r="I3590" s="21">
        <v>41369.720474537004</v>
      </c>
      <c r="J3590">
        <v>2013</v>
      </c>
      <c r="K3590" s="21">
        <v>41411.703055555598</v>
      </c>
      <c r="L3590">
        <v>2013</v>
      </c>
      <c r="M3590" s="21">
        <v>41849.353622685201</v>
      </c>
      <c r="N3590">
        <v>2014</v>
      </c>
      <c r="Q3590" s="262">
        <v>618000</v>
      </c>
      <c r="R3590" s="262">
        <v>324000</v>
      </c>
      <c r="S3590" t="s">
        <v>114</v>
      </c>
      <c r="T3590" t="s">
        <v>114</v>
      </c>
      <c r="W3590">
        <v>3348</v>
      </c>
      <c r="X3590">
        <v>1</v>
      </c>
      <c r="Y3590">
        <v>0</v>
      </c>
      <c r="Z3590">
        <v>0</v>
      </c>
      <c r="AA3590">
        <v>0</v>
      </c>
      <c r="AB3590">
        <v>0</v>
      </c>
      <c r="AC3590">
        <v>3348</v>
      </c>
      <c r="AD3590">
        <v>0</v>
      </c>
      <c r="AE3590">
        <v>0</v>
      </c>
      <c r="AF3590">
        <v>0</v>
      </c>
      <c r="AG3590">
        <v>0</v>
      </c>
      <c r="AH3590">
        <v>0</v>
      </c>
      <c r="AI3590">
        <v>0</v>
      </c>
      <c r="AJ3590">
        <v>0</v>
      </c>
      <c r="AK3590">
        <v>0</v>
      </c>
      <c r="AL3590">
        <v>0</v>
      </c>
      <c r="AM3590">
        <v>0</v>
      </c>
      <c r="AN3590">
        <v>0</v>
      </c>
      <c r="AO3590">
        <v>1</v>
      </c>
      <c r="AP3590">
        <v>0</v>
      </c>
      <c r="AQ3590">
        <v>0</v>
      </c>
      <c r="AR3590">
        <v>0</v>
      </c>
      <c r="AS3590">
        <v>0</v>
      </c>
      <c r="AT3590">
        <v>0</v>
      </c>
      <c r="AU3590">
        <f t="shared" si="110"/>
        <v>1</v>
      </c>
      <c r="AV3590">
        <f t="shared" si="111"/>
        <v>0</v>
      </c>
    </row>
    <row r="3591" spans="1:48" x14ac:dyDescent="0.25">
      <c r="A3591" t="s">
        <v>11396</v>
      </c>
      <c r="C3591" t="s">
        <v>11397</v>
      </c>
      <c r="D3591" t="s">
        <v>6428</v>
      </c>
      <c r="E3591" t="s">
        <v>2310</v>
      </c>
      <c r="F3591">
        <v>9</v>
      </c>
      <c r="G3591">
        <v>9.1</v>
      </c>
      <c r="H3591" t="s">
        <v>2323</v>
      </c>
      <c r="I3591" s="21">
        <v>41369.735520833303</v>
      </c>
      <c r="J3591">
        <v>2013</v>
      </c>
      <c r="K3591" s="21">
        <v>41415.607881944401</v>
      </c>
      <c r="L3591">
        <v>2013</v>
      </c>
      <c r="M3591" s="21">
        <v>41733.463472222204</v>
      </c>
      <c r="N3591">
        <v>2014</v>
      </c>
      <c r="Q3591" s="262">
        <v>250000</v>
      </c>
      <c r="R3591" s="262">
        <v>145000</v>
      </c>
      <c r="S3591" t="s">
        <v>114</v>
      </c>
      <c r="T3591" t="s">
        <v>114</v>
      </c>
      <c r="V3591">
        <v>1591</v>
      </c>
      <c r="W3591">
        <v>103</v>
      </c>
      <c r="X3591">
        <v>0</v>
      </c>
      <c r="Y3591">
        <v>0</v>
      </c>
      <c r="Z3591">
        <v>0</v>
      </c>
      <c r="AA3591">
        <v>0</v>
      </c>
      <c r="AB3591">
        <v>0</v>
      </c>
      <c r="AC3591">
        <v>103</v>
      </c>
      <c r="AD3591">
        <v>0</v>
      </c>
      <c r="AE3591">
        <v>0</v>
      </c>
      <c r="AF3591">
        <v>0</v>
      </c>
      <c r="AG3591">
        <v>0</v>
      </c>
      <c r="AH3591">
        <v>0</v>
      </c>
      <c r="AI3591">
        <v>0</v>
      </c>
      <c r="AJ3591">
        <v>0</v>
      </c>
      <c r="AK3591">
        <v>0</v>
      </c>
      <c r="AL3591">
        <v>0</v>
      </c>
      <c r="AM3591">
        <v>0</v>
      </c>
      <c r="AN3591">
        <v>0</v>
      </c>
      <c r="AO3591">
        <v>0</v>
      </c>
      <c r="AP3591">
        <v>0</v>
      </c>
      <c r="AQ3591">
        <v>0</v>
      </c>
      <c r="AR3591">
        <v>0</v>
      </c>
      <c r="AS3591">
        <v>0</v>
      </c>
      <c r="AT3591">
        <v>0</v>
      </c>
      <c r="AU3591">
        <f t="shared" si="110"/>
        <v>0</v>
      </c>
      <c r="AV3591">
        <f t="shared" si="111"/>
        <v>0</v>
      </c>
    </row>
    <row r="3592" spans="1:48" x14ac:dyDescent="0.25">
      <c r="A3592" t="s">
        <v>11398</v>
      </c>
      <c r="C3592" t="s">
        <v>11399</v>
      </c>
      <c r="D3592" t="s">
        <v>11400</v>
      </c>
      <c r="E3592" t="s">
        <v>2310</v>
      </c>
      <c r="F3592">
        <v>9</v>
      </c>
      <c r="G3592">
        <v>9.4</v>
      </c>
      <c r="H3592" t="s">
        <v>2323</v>
      </c>
      <c r="I3592" s="21">
        <v>41373.455740740697</v>
      </c>
      <c r="J3592">
        <v>2013</v>
      </c>
      <c r="K3592" s="21">
        <v>41415.688819444404</v>
      </c>
      <c r="L3592">
        <v>2013</v>
      </c>
      <c r="M3592" s="21">
        <v>41856.6783796296</v>
      </c>
      <c r="N3592">
        <v>2014</v>
      </c>
      <c r="Q3592" s="262">
        <v>263000</v>
      </c>
      <c r="R3592" s="262">
        <v>152000</v>
      </c>
      <c r="S3592" t="s">
        <v>114</v>
      </c>
      <c r="T3592" t="s">
        <v>114</v>
      </c>
      <c r="W3592">
        <v>1884</v>
      </c>
      <c r="X3592">
        <v>1</v>
      </c>
      <c r="Y3592">
        <v>0</v>
      </c>
      <c r="Z3592">
        <v>0</v>
      </c>
      <c r="AA3592">
        <v>0</v>
      </c>
      <c r="AB3592">
        <v>0</v>
      </c>
      <c r="AC3592">
        <v>897</v>
      </c>
      <c r="AD3592">
        <v>0</v>
      </c>
      <c r="AE3592">
        <v>0</v>
      </c>
      <c r="AF3592">
        <v>987</v>
      </c>
      <c r="AG3592">
        <v>0</v>
      </c>
      <c r="AH3592">
        <v>0</v>
      </c>
      <c r="AI3592">
        <v>0</v>
      </c>
      <c r="AJ3592">
        <v>0</v>
      </c>
      <c r="AK3592">
        <v>0</v>
      </c>
      <c r="AL3592">
        <v>0</v>
      </c>
      <c r="AM3592">
        <v>0</v>
      </c>
      <c r="AN3592">
        <v>0</v>
      </c>
      <c r="AO3592">
        <v>0</v>
      </c>
      <c r="AP3592">
        <v>0</v>
      </c>
      <c r="AQ3592">
        <v>0</v>
      </c>
      <c r="AR3592">
        <v>1</v>
      </c>
      <c r="AS3592">
        <v>0</v>
      </c>
      <c r="AT3592">
        <v>0</v>
      </c>
      <c r="AU3592">
        <f t="shared" si="110"/>
        <v>0</v>
      </c>
      <c r="AV3592">
        <f t="shared" si="111"/>
        <v>0</v>
      </c>
    </row>
    <row r="3593" spans="1:48" x14ac:dyDescent="0.25">
      <c r="A3593" t="s">
        <v>11401</v>
      </c>
      <c r="C3593" t="s">
        <v>11402</v>
      </c>
      <c r="D3593" t="s">
        <v>8907</v>
      </c>
      <c r="E3593" t="s">
        <v>2310</v>
      </c>
      <c r="F3593">
        <v>8</v>
      </c>
      <c r="G3593">
        <v>8.1</v>
      </c>
      <c r="H3593" t="s">
        <v>2323</v>
      </c>
      <c r="I3593" s="21">
        <v>41373.516678240703</v>
      </c>
      <c r="J3593">
        <v>2013</v>
      </c>
      <c r="K3593" s="21">
        <v>41418.651759259301</v>
      </c>
      <c r="L3593">
        <v>2013</v>
      </c>
      <c r="M3593" s="21">
        <v>41774.468912037002</v>
      </c>
      <c r="N3593">
        <v>2014</v>
      </c>
      <c r="Q3593" s="262">
        <v>275000</v>
      </c>
      <c r="R3593" s="262">
        <v>88000</v>
      </c>
      <c r="S3593" t="s">
        <v>114</v>
      </c>
      <c r="T3593" t="s">
        <v>114</v>
      </c>
      <c r="W3593">
        <v>846</v>
      </c>
      <c r="X3593">
        <v>0</v>
      </c>
      <c r="Y3593">
        <v>0</v>
      </c>
      <c r="Z3593">
        <v>0</v>
      </c>
      <c r="AA3593">
        <v>0</v>
      </c>
      <c r="AB3593">
        <v>0</v>
      </c>
      <c r="AC3593">
        <v>846</v>
      </c>
      <c r="AD3593">
        <v>0</v>
      </c>
      <c r="AE3593">
        <v>0</v>
      </c>
      <c r="AF3593">
        <v>0</v>
      </c>
      <c r="AG3593">
        <v>0</v>
      </c>
      <c r="AH3593">
        <v>0</v>
      </c>
      <c r="AI3593">
        <v>0</v>
      </c>
      <c r="AJ3593">
        <v>0</v>
      </c>
      <c r="AK3593">
        <v>0</v>
      </c>
      <c r="AL3593">
        <v>0</v>
      </c>
      <c r="AM3593">
        <v>0</v>
      </c>
      <c r="AN3593">
        <v>0</v>
      </c>
      <c r="AO3593">
        <v>0</v>
      </c>
      <c r="AP3593">
        <v>0</v>
      </c>
      <c r="AQ3593">
        <v>0</v>
      </c>
      <c r="AR3593">
        <v>0</v>
      </c>
      <c r="AS3593">
        <v>0</v>
      </c>
      <c r="AT3593">
        <v>0</v>
      </c>
      <c r="AU3593">
        <f t="shared" si="110"/>
        <v>0</v>
      </c>
      <c r="AV3593">
        <f t="shared" si="111"/>
        <v>0</v>
      </c>
    </row>
    <row r="3594" spans="1:48" x14ac:dyDescent="0.25">
      <c r="A3594" t="s">
        <v>11403</v>
      </c>
      <c r="C3594" t="s">
        <v>11404</v>
      </c>
      <c r="D3594" t="s">
        <v>11405</v>
      </c>
      <c r="E3594" t="s">
        <v>2310</v>
      </c>
      <c r="F3594">
        <v>9</v>
      </c>
      <c r="G3594">
        <v>9.4</v>
      </c>
      <c r="H3594" t="s">
        <v>2323</v>
      </c>
      <c r="I3594" s="21">
        <v>41373.559710648202</v>
      </c>
      <c r="J3594">
        <v>2013</v>
      </c>
      <c r="K3594" s="21">
        <v>41415.690613425897</v>
      </c>
      <c r="L3594">
        <v>2013</v>
      </c>
      <c r="M3594" s="21">
        <v>41572.634062500001</v>
      </c>
      <c r="N3594">
        <v>2013</v>
      </c>
      <c r="Q3594" s="262">
        <v>80000</v>
      </c>
      <c r="R3594" s="262">
        <v>41000</v>
      </c>
      <c r="S3594" t="s">
        <v>114</v>
      </c>
      <c r="T3594" t="s">
        <v>114</v>
      </c>
      <c r="V3594">
        <v>190</v>
      </c>
      <c r="W3594">
        <v>243</v>
      </c>
      <c r="X3594">
        <v>0</v>
      </c>
      <c r="Y3594">
        <v>0</v>
      </c>
      <c r="Z3594">
        <v>0</v>
      </c>
      <c r="AA3594">
        <v>0</v>
      </c>
      <c r="AB3594">
        <v>0</v>
      </c>
      <c r="AC3594">
        <v>243</v>
      </c>
      <c r="AD3594">
        <v>0</v>
      </c>
      <c r="AE3594">
        <v>0</v>
      </c>
      <c r="AF3594">
        <v>0</v>
      </c>
      <c r="AG3594">
        <v>0</v>
      </c>
      <c r="AH3594">
        <v>0</v>
      </c>
      <c r="AI3594">
        <v>0</v>
      </c>
      <c r="AJ3594">
        <v>0</v>
      </c>
      <c r="AK3594">
        <v>0</v>
      </c>
      <c r="AL3594">
        <v>0</v>
      </c>
      <c r="AM3594">
        <v>0</v>
      </c>
      <c r="AN3594">
        <v>0</v>
      </c>
      <c r="AO3594">
        <v>0</v>
      </c>
      <c r="AP3594">
        <v>0</v>
      </c>
      <c r="AQ3594">
        <v>0</v>
      </c>
      <c r="AR3594">
        <v>0</v>
      </c>
      <c r="AS3594">
        <v>0</v>
      </c>
      <c r="AT3594">
        <v>0</v>
      </c>
      <c r="AU3594">
        <f t="shared" si="110"/>
        <v>0</v>
      </c>
      <c r="AV3594">
        <f t="shared" si="111"/>
        <v>0</v>
      </c>
    </row>
    <row r="3595" spans="1:48" x14ac:dyDescent="0.25">
      <c r="A3595" t="s">
        <v>11406</v>
      </c>
      <c r="C3595" t="s">
        <v>11246</v>
      </c>
      <c r="D3595" t="s">
        <v>11407</v>
      </c>
      <c r="E3595" t="s">
        <v>1663</v>
      </c>
      <c r="F3595">
        <v>6</v>
      </c>
      <c r="G3595">
        <v>6.1</v>
      </c>
      <c r="H3595" t="s">
        <v>2017</v>
      </c>
      <c r="I3595" s="21">
        <v>41374</v>
      </c>
      <c r="J3595">
        <v>2013</v>
      </c>
      <c r="K3595" s="21">
        <v>41395</v>
      </c>
      <c r="L3595">
        <v>2013</v>
      </c>
      <c r="M3595" s="21">
        <v>41600</v>
      </c>
      <c r="N3595">
        <v>2013</v>
      </c>
      <c r="Q3595" s="262">
        <v>450000</v>
      </c>
      <c r="S3595" t="s">
        <v>114</v>
      </c>
      <c r="T3595" t="s">
        <v>114</v>
      </c>
      <c r="W3595">
        <v>3135</v>
      </c>
      <c r="X3595">
        <v>1</v>
      </c>
      <c r="Y3595">
        <v>0</v>
      </c>
      <c r="Z3595">
        <v>0</v>
      </c>
      <c r="AA3595">
        <v>0</v>
      </c>
      <c r="AB3595">
        <v>0</v>
      </c>
      <c r="AC3595">
        <v>3135</v>
      </c>
      <c r="AD3595">
        <v>0</v>
      </c>
      <c r="AE3595">
        <v>0</v>
      </c>
      <c r="AF3595">
        <v>0</v>
      </c>
      <c r="AG3595">
        <v>0</v>
      </c>
      <c r="AH3595">
        <v>0</v>
      </c>
      <c r="AI3595">
        <v>0</v>
      </c>
      <c r="AJ3595">
        <v>0</v>
      </c>
      <c r="AK3595">
        <v>0</v>
      </c>
      <c r="AL3595">
        <v>0</v>
      </c>
      <c r="AM3595">
        <v>0</v>
      </c>
      <c r="AN3595">
        <v>0</v>
      </c>
      <c r="AO3595">
        <v>1</v>
      </c>
      <c r="AP3595">
        <v>0</v>
      </c>
      <c r="AQ3595">
        <v>0</v>
      </c>
      <c r="AR3595">
        <v>0</v>
      </c>
      <c r="AS3595">
        <v>0</v>
      </c>
      <c r="AT3595">
        <v>0</v>
      </c>
      <c r="AU3595">
        <f t="shared" si="110"/>
        <v>1</v>
      </c>
      <c r="AV3595">
        <f t="shared" si="111"/>
        <v>0</v>
      </c>
    </row>
    <row r="3596" spans="1:48" x14ac:dyDescent="0.25">
      <c r="A3596" t="s">
        <v>11408</v>
      </c>
      <c r="C3596" t="s">
        <v>11343</v>
      </c>
      <c r="D3596" t="s">
        <v>11409</v>
      </c>
      <c r="E3596" t="s">
        <v>2310</v>
      </c>
      <c r="F3596">
        <v>15</v>
      </c>
      <c r="G3596">
        <v>15.3</v>
      </c>
      <c r="H3596" t="s">
        <v>2022</v>
      </c>
      <c r="I3596" s="21">
        <v>41375.454872685201</v>
      </c>
      <c r="J3596">
        <v>2013</v>
      </c>
      <c r="K3596" s="21">
        <v>41432.472152777802</v>
      </c>
      <c r="L3596">
        <v>2013</v>
      </c>
      <c r="M3596" s="21">
        <v>42234.623090277797</v>
      </c>
      <c r="N3596">
        <v>2015</v>
      </c>
      <c r="Q3596" s="262">
        <v>2000000</v>
      </c>
      <c r="R3596" s="262">
        <v>450000</v>
      </c>
      <c r="S3596" t="s">
        <v>114</v>
      </c>
      <c r="T3596" t="s">
        <v>114</v>
      </c>
      <c r="W3596">
        <v>4723</v>
      </c>
      <c r="X3596">
        <v>1</v>
      </c>
      <c r="Y3596">
        <v>0</v>
      </c>
      <c r="Z3596">
        <v>0</v>
      </c>
      <c r="AA3596">
        <v>0</v>
      </c>
      <c r="AB3596">
        <v>0</v>
      </c>
      <c r="AC3596">
        <v>4723</v>
      </c>
      <c r="AD3596">
        <v>0</v>
      </c>
      <c r="AE3596">
        <v>0</v>
      </c>
      <c r="AF3596">
        <v>0</v>
      </c>
      <c r="AG3596">
        <v>0</v>
      </c>
      <c r="AH3596">
        <v>0</v>
      </c>
      <c r="AI3596">
        <v>0</v>
      </c>
      <c r="AJ3596">
        <v>0</v>
      </c>
      <c r="AK3596">
        <v>0</v>
      </c>
      <c r="AL3596">
        <v>0</v>
      </c>
      <c r="AM3596">
        <v>0</v>
      </c>
      <c r="AN3596">
        <v>0</v>
      </c>
      <c r="AO3596">
        <v>1</v>
      </c>
      <c r="AP3596">
        <v>0</v>
      </c>
      <c r="AQ3596">
        <v>0</v>
      </c>
      <c r="AR3596">
        <v>0</v>
      </c>
      <c r="AS3596">
        <v>0</v>
      </c>
      <c r="AT3596">
        <v>0</v>
      </c>
      <c r="AU3596">
        <f t="shared" si="110"/>
        <v>1</v>
      </c>
      <c r="AV3596">
        <f t="shared" si="111"/>
        <v>0</v>
      </c>
    </row>
    <row r="3597" spans="1:48" x14ac:dyDescent="0.25">
      <c r="A3597" t="s">
        <v>11410</v>
      </c>
      <c r="C3597" t="s">
        <v>11411</v>
      </c>
      <c r="D3597" t="s">
        <v>11412</v>
      </c>
      <c r="E3597" t="s">
        <v>1663</v>
      </c>
      <c r="F3597">
        <v>3</v>
      </c>
      <c r="G3597">
        <v>3.1</v>
      </c>
      <c r="H3597" t="s">
        <v>2017</v>
      </c>
      <c r="I3597" s="21">
        <v>41382</v>
      </c>
      <c r="J3597">
        <v>2013</v>
      </c>
      <c r="K3597" s="21">
        <v>41393</v>
      </c>
      <c r="L3597">
        <v>2013</v>
      </c>
      <c r="M3597" s="21">
        <v>42667</v>
      </c>
      <c r="N3597">
        <v>2016</v>
      </c>
      <c r="Q3597" s="262">
        <v>10000</v>
      </c>
      <c r="S3597" t="s">
        <v>114</v>
      </c>
      <c r="T3597" t="s">
        <v>114</v>
      </c>
      <c r="W3597">
        <v>500</v>
      </c>
      <c r="X3597">
        <v>0</v>
      </c>
      <c r="Y3597">
        <v>0</v>
      </c>
      <c r="Z3597">
        <v>0</v>
      </c>
      <c r="AA3597">
        <v>0</v>
      </c>
      <c r="AB3597">
        <v>0</v>
      </c>
      <c r="AC3597">
        <v>500</v>
      </c>
      <c r="AD3597">
        <v>0</v>
      </c>
      <c r="AE3597">
        <v>0</v>
      </c>
      <c r="AF3597">
        <v>0</v>
      </c>
      <c r="AG3597">
        <v>0</v>
      </c>
      <c r="AH3597">
        <v>0</v>
      </c>
      <c r="AI3597">
        <v>0</v>
      </c>
      <c r="AJ3597">
        <v>0</v>
      </c>
      <c r="AK3597">
        <v>0</v>
      </c>
      <c r="AL3597">
        <v>0</v>
      </c>
      <c r="AM3597">
        <v>0</v>
      </c>
      <c r="AN3597">
        <v>0</v>
      </c>
      <c r="AO3597">
        <v>0</v>
      </c>
      <c r="AP3597">
        <v>0</v>
      </c>
      <c r="AQ3597">
        <v>0</v>
      </c>
      <c r="AR3597">
        <v>0</v>
      </c>
      <c r="AS3597">
        <v>0</v>
      </c>
      <c r="AT3597">
        <v>0</v>
      </c>
      <c r="AU3597">
        <f t="shared" si="110"/>
        <v>0</v>
      </c>
      <c r="AV3597">
        <f t="shared" si="111"/>
        <v>0</v>
      </c>
    </row>
    <row r="3598" spans="1:48" x14ac:dyDescent="0.25">
      <c r="A3598" t="s">
        <v>11413</v>
      </c>
      <c r="C3598" t="s">
        <v>11338</v>
      </c>
      <c r="D3598" t="s">
        <v>11414</v>
      </c>
      <c r="E3598" t="s">
        <v>2310</v>
      </c>
      <c r="F3598">
        <v>9</v>
      </c>
      <c r="G3598">
        <v>9.1</v>
      </c>
      <c r="H3598" t="s">
        <v>2323</v>
      </c>
      <c r="I3598" s="21">
        <v>41383.627858796302</v>
      </c>
      <c r="J3598">
        <v>2013</v>
      </c>
      <c r="K3598" s="21">
        <v>41436.652280092603</v>
      </c>
      <c r="L3598">
        <v>2013</v>
      </c>
      <c r="M3598" s="21">
        <v>41983.674097222203</v>
      </c>
      <c r="N3598">
        <v>2014</v>
      </c>
      <c r="Q3598" s="262">
        <v>1800000</v>
      </c>
      <c r="R3598" s="262">
        <v>483000</v>
      </c>
      <c r="S3598" t="s">
        <v>114</v>
      </c>
      <c r="T3598" t="s">
        <v>114</v>
      </c>
      <c r="W3598">
        <v>4962</v>
      </c>
      <c r="X3598">
        <v>1</v>
      </c>
      <c r="Y3598">
        <v>0</v>
      </c>
      <c r="Z3598">
        <v>0</v>
      </c>
      <c r="AA3598">
        <v>0</v>
      </c>
      <c r="AB3598">
        <v>0</v>
      </c>
      <c r="AC3598">
        <v>4962</v>
      </c>
      <c r="AD3598">
        <v>0</v>
      </c>
      <c r="AE3598">
        <v>0</v>
      </c>
      <c r="AF3598">
        <v>0</v>
      </c>
      <c r="AG3598">
        <v>0</v>
      </c>
      <c r="AH3598">
        <v>0</v>
      </c>
      <c r="AI3598">
        <v>0</v>
      </c>
      <c r="AJ3598">
        <v>0</v>
      </c>
      <c r="AK3598">
        <v>0</v>
      </c>
      <c r="AL3598">
        <v>0</v>
      </c>
      <c r="AM3598">
        <v>0</v>
      </c>
      <c r="AN3598">
        <v>0</v>
      </c>
      <c r="AO3598">
        <v>1</v>
      </c>
      <c r="AP3598">
        <v>0</v>
      </c>
      <c r="AQ3598">
        <v>0</v>
      </c>
      <c r="AR3598">
        <v>0</v>
      </c>
      <c r="AS3598">
        <v>0</v>
      </c>
      <c r="AT3598">
        <v>0</v>
      </c>
      <c r="AU3598">
        <f t="shared" si="110"/>
        <v>1</v>
      </c>
      <c r="AV3598">
        <f t="shared" si="111"/>
        <v>0</v>
      </c>
    </row>
    <row r="3599" spans="1:48" x14ac:dyDescent="0.25">
      <c r="A3599" t="s">
        <v>11415</v>
      </c>
      <c r="C3599" t="s">
        <v>11416</v>
      </c>
      <c r="D3599" t="s">
        <v>11417</v>
      </c>
      <c r="E3599" t="s">
        <v>2310</v>
      </c>
      <c r="F3599">
        <v>9</v>
      </c>
      <c r="G3599">
        <v>9.4</v>
      </c>
      <c r="H3599" t="s">
        <v>2323</v>
      </c>
      <c r="I3599" s="21">
        <v>41383.687303240702</v>
      </c>
      <c r="J3599">
        <v>2013</v>
      </c>
      <c r="K3599" s="21">
        <v>41424.484606481499</v>
      </c>
      <c r="L3599">
        <v>2013</v>
      </c>
      <c r="M3599" s="21">
        <v>42591.370254629597</v>
      </c>
      <c r="N3599">
        <v>2016</v>
      </c>
      <c r="Q3599" s="262">
        <v>6000000</v>
      </c>
      <c r="R3599" s="262">
        <v>1068000</v>
      </c>
      <c r="S3599" t="s">
        <v>114</v>
      </c>
      <c r="T3599" t="s">
        <v>114</v>
      </c>
      <c r="W3599">
        <v>11078</v>
      </c>
      <c r="X3599">
        <v>1</v>
      </c>
      <c r="Y3599">
        <v>0</v>
      </c>
      <c r="Z3599">
        <v>0</v>
      </c>
      <c r="AA3599">
        <v>0</v>
      </c>
      <c r="AB3599">
        <v>0</v>
      </c>
      <c r="AC3599">
        <v>11078</v>
      </c>
      <c r="AD3599">
        <v>0</v>
      </c>
      <c r="AE3599">
        <v>0</v>
      </c>
      <c r="AF3599">
        <v>0</v>
      </c>
      <c r="AG3599">
        <v>0</v>
      </c>
      <c r="AH3599">
        <v>0</v>
      </c>
      <c r="AI3599">
        <v>0</v>
      </c>
      <c r="AJ3599">
        <v>0</v>
      </c>
      <c r="AK3599">
        <v>0</v>
      </c>
      <c r="AL3599">
        <v>0</v>
      </c>
      <c r="AM3599">
        <v>0</v>
      </c>
      <c r="AN3599">
        <v>0</v>
      </c>
      <c r="AO3599">
        <v>1</v>
      </c>
      <c r="AP3599">
        <v>0</v>
      </c>
      <c r="AQ3599">
        <v>0</v>
      </c>
      <c r="AR3599">
        <v>0</v>
      </c>
      <c r="AS3599">
        <v>0</v>
      </c>
      <c r="AT3599">
        <v>0</v>
      </c>
      <c r="AU3599">
        <f t="shared" si="110"/>
        <v>1</v>
      </c>
      <c r="AV3599">
        <f t="shared" si="111"/>
        <v>0</v>
      </c>
    </row>
    <row r="3600" spans="1:48" x14ac:dyDescent="0.25">
      <c r="A3600" t="s">
        <v>11418</v>
      </c>
      <c r="C3600" t="s">
        <v>11419</v>
      </c>
      <c r="D3600" t="s">
        <v>11417</v>
      </c>
      <c r="E3600" t="s">
        <v>2310</v>
      </c>
      <c r="F3600">
        <v>9</v>
      </c>
      <c r="G3600">
        <v>9.4</v>
      </c>
      <c r="H3600" t="s">
        <v>2323</v>
      </c>
      <c r="I3600" s="21">
        <v>41383.698541666701</v>
      </c>
      <c r="J3600">
        <v>2013</v>
      </c>
      <c r="K3600" s="21">
        <v>41424.486018518503</v>
      </c>
      <c r="L3600">
        <v>2013</v>
      </c>
      <c r="M3600" s="21">
        <v>42591.372083333299</v>
      </c>
      <c r="N3600">
        <v>2016</v>
      </c>
      <c r="Q3600" s="262">
        <v>500000</v>
      </c>
      <c r="R3600" s="262">
        <v>85000</v>
      </c>
      <c r="S3600" t="s">
        <v>114</v>
      </c>
      <c r="T3600" t="s">
        <v>114</v>
      </c>
      <c r="W3600">
        <v>817</v>
      </c>
      <c r="X3600">
        <v>1</v>
      </c>
      <c r="Y3600">
        <v>0</v>
      </c>
      <c r="Z3600">
        <v>0</v>
      </c>
      <c r="AA3600">
        <v>0</v>
      </c>
      <c r="AB3600">
        <v>0</v>
      </c>
      <c r="AC3600">
        <v>0</v>
      </c>
      <c r="AD3600">
        <v>0</v>
      </c>
      <c r="AE3600">
        <v>0</v>
      </c>
      <c r="AF3600">
        <v>817</v>
      </c>
      <c r="AG3600">
        <v>0</v>
      </c>
      <c r="AH3600">
        <v>0</v>
      </c>
      <c r="AI3600">
        <v>0</v>
      </c>
      <c r="AJ3600">
        <v>0</v>
      </c>
      <c r="AK3600">
        <v>0</v>
      </c>
      <c r="AL3600">
        <v>0</v>
      </c>
      <c r="AM3600">
        <v>0</v>
      </c>
      <c r="AN3600">
        <v>0</v>
      </c>
      <c r="AO3600">
        <v>0</v>
      </c>
      <c r="AP3600">
        <v>0</v>
      </c>
      <c r="AQ3600">
        <v>0</v>
      </c>
      <c r="AR3600">
        <v>1</v>
      </c>
      <c r="AS3600">
        <v>0</v>
      </c>
      <c r="AT3600">
        <v>0</v>
      </c>
      <c r="AU3600">
        <f t="shared" si="110"/>
        <v>0</v>
      </c>
      <c r="AV3600">
        <f t="shared" si="111"/>
        <v>0</v>
      </c>
    </row>
    <row r="3601" spans="1:48" x14ac:dyDescent="0.25">
      <c r="A3601" t="s">
        <v>11420</v>
      </c>
      <c r="C3601" t="s">
        <v>7880</v>
      </c>
      <c r="D3601" t="s">
        <v>11421</v>
      </c>
      <c r="E3601" t="s">
        <v>2310</v>
      </c>
      <c r="F3601">
        <v>15</v>
      </c>
      <c r="G3601">
        <v>15.2</v>
      </c>
      <c r="H3601" t="s">
        <v>2323</v>
      </c>
      <c r="I3601" s="21">
        <v>41387.621759259302</v>
      </c>
      <c r="J3601">
        <v>2013</v>
      </c>
      <c r="K3601" s="21">
        <v>41430.459467592598</v>
      </c>
      <c r="L3601">
        <v>2013</v>
      </c>
      <c r="M3601" s="21">
        <v>41599.403333333299</v>
      </c>
      <c r="N3601">
        <v>2013</v>
      </c>
      <c r="Q3601" s="262">
        <v>90000</v>
      </c>
      <c r="R3601" s="262">
        <v>20000</v>
      </c>
      <c r="S3601" t="s">
        <v>114</v>
      </c>
      <c r="T3601" t="s">
        <v>114</v>
      </c>
      <c r="W3601">
        <v>483</v>
      </c>
      <c r="X3601">
        <v>0</v>
      </c>
      <c r="Y3601">
        <v>0</v>
      </c>
      <c r="Z3601">
        <v>0</v>
      </c>
      <c r="AA3601">
        <v>0</v>
      </c>
      <c r="AB3601">
        <v>0</v>
      </c>
      <c r="AC3601">
        <v>483</v>
      </c>
      <c r="AD3601">
        <v>0</v>
      </c>
      <c r="AE3601">
        <v>0</v>
      </c>
      <c r="AF3601">
        <v>0</v>
      </c>
      <c r="AG3601">
        <v>0</v>
      </c>
      <c r="AH3601">
        <v>0</v>
      </c>
      <c r="AI3601">
        <v>0</v>
      </c>
      <c r="AJ3601">
        <v>0</v>
      </c>
      <c r="AK3601">
        <v>0</v>
      </c>
      <c r="AL3601">
        <v>0</v>
      </c>
      <c r="AM3601">
        <v>0</v>
      </c>
      <c r="AN3601">
        <v>0</v>
      </c>
      <c r="AO3601">
        <v>0</v>
      </c>
      <c r="AP3601">
        <v>0</v>
      </c>
      <c r="AQ3601">
        <v>0</v>
      </c>
      <c r="AR3601">
        <v>0</v>
      </c>
      <c r="AS3601">
        <v>0</v>
      </c>
      <c r="AT3601">
        <v>0</v>
      </c>
      <c r="AU3601">
        <f t="shared" si="110"/>
        <v>0</v>
      </c>
      <c r="AV3601">
        <f t="shared" si="111"/>
        <v>0</v>
      </c>
    </row>
    <row r="3602" spans="1:48" x14ac:dyDescent="0.25">
      <c r="A3602" t="s">
        <v>11422</v>
      </c>
      <c r="C3602" t="s">
        <v>11423</v>
      </c>
      <c r="D3602" t="s">
        <v>11424</v>
      </c>
      <c r="E3602" t="s">
        <v>2310</v>
      </c>
      <c r="F3602">
        <v>9</v>
      </c>
      <c r="G3602">
        <v>9.4</v>
      </c>
      <c r="H3602" t="s">
        <v>2323</v>
      </c>
      <c r="I3602" s="21">
        <v>41387.687314814801</v>
      </c>
      <c r="J3602">
        <v>2013</v>
      </c>
      <c r="K3602" s="21">
        <v>41457.548530092601</v>
      </c>
      <c r="L3602">
        <v>2013</v>
      </c>
      <c r="M3602" s="21">
        <v>42166.346435185202</v>
      </c>
      <c r="N3602">
        <v>2015</v>
      </c>
      <c r="Q3602" s="262">
        <v>3000000</v>
      </c>
      <c r="R3602" s="262">
        <v>640000</v>
      </c>
      <c r="S3602" t="s">
        <v>114</v>
      </c>
      <c r="T3602" t="s">
        <v>114</v>
      </c>
      <c r="W3602">
        <v>7378</v>
      </c>
      <c r="X3602">
        <v>1</v>
      </c>
      <c r="Y3602">
        <v>0</v>
      </c>
      <c r="Z3602">
        <v>0</v>
      </c>
      <c r="AA3602">
        <v>0</v>
      </c>
      <c r="AB3602">
        <v>0</v>
      </c>
      <c r="AC3602">
        <v>7378</v>
      </c>
      <c r="AD3602">
        <v>0</v>
      </c>
      <c r="AE3602">
        <v>0</v>
      </c>
      <c r="AF3602">
        <v>0</v>
      </c>
      <c r="AG3602">
        <v>0</v>
      </c>
      <c r="AH3602">
        <v>0</v>
      </c>
      <c r="AI3602">
        <v>0</v>
      </c>
      <c r="AJ3602">
        <v>0</v>
      </c>
      <c r="AK3602">
        <v>0</v>
      </c>
      <c r="AL3602">
        <v>0</v>
      </c>
      <c r="AM3602">
        <v>0</v>
      </c>
      <c r="AN3602">
        <v>0</v>
      </c>
      <c r="AO3602">
        <v>1</v>
      </c>
      <c r="AP3602">
        <v>0</v>
      </c>
      <c r="AQ3602">
        <v>0</v>
      </c>
      <c r="AR3602">
        <v>0</v>
      </c>
      <c r="AS3602">
        <v>0</v>
      </c>
      <c r="AT3602">
        <v>0</v>
      </c>
      <c r="AU3602">
        <f t="shared" si="110"/>
        <v>1</v>
      </c>
      <c r="AV3602">
        <f t="shared" si="111"/>
        <v>0</v>
      </c>
    </row>
    <row r="3603" spans="1:48" x14ac:dyDescent="0.25">
      <c r="A3603" t="s">
        <v>11425</v>
      </c>
      <c r="C3603" t="s">
        <v>11426</v>
      </c>
      <c r="D3603" t="s">
        <v>11427</v>
      </c>
      <c r="E3603" t="s">
        <v>2310</v>
      </c>
      <c r="F3603">
        <v>9</v>
      </c>
      <c r="G3603">
        <v>9.1999999999999993</v>
      </c>
      <c r="H3603" t="s">
        <v>2022</v>
      </c>
      <c r="I3603" s="21">
        <v>41387.715069444399</v>
      </c>
      <c r="J3603">
        <v>2013</v>
      </c>
      <c r="K3603" s="21">
        <v>41425.351851851898</v>
      </c>
      <c r="L3603">
        <v>2013</v>
      </c>
      <c r="M3603" s="21">
        <v>41649.604837963001</v>
      </c>
      <c r="N3603">
        <v>2014</v>
      </c>
      <c r="Q3603" s="262">
        <v>175000</v>
      </c>
      <c r="R3603" s="262">
        <v>23000</v>
      </c>
      <c r="S3603" t="s">
        <v>114</v>
      </c>
      <c r="T3603" t="s">
        <v>114</v>
      </c>
      <c r="W3603">
        <v>577</v>
      </c>
      <c r="X3603">
        <v>0</v>
      </c>
      <c r="Y3603">
        <v>0</v>
      </c>
      <c r="Z3603">
        <v>0</v>
      </c>
      <c r="AA3603">
        <v>0</v>
      </c>
      <c r="AB3603">
        <v>0</v>
      </c>
      <c r="AC3603">
        <v>577</v>
      </c>
      <c r="AD3603">
        <v>0</v>
      </c>
      <c r="AE3603">
        <v>0</v>
      </c>
      <c r="AF3603">
        <v>0</v>
      </c>
      <c r="AG3603">
        <v>0</v>
      </c>
      <c r="AH3603">
        <v>0</v>
      </c>
      <c r="AI3603">
        <v>0</v>
      </c>
      <c r="AJ3603">
        <v>0</v>
      </c>
      <c r="AK3603">
        <v>0</v>
      </c>
      <c r="AL3603">
        <v>0</v>
      </c>
      <c r="AM3603">
        <v>0</v>
      </c>
      <c r="AN3603">
        <v>0</v>
      </c>
      <c r="AO3603">
        <v>0</v>
      </c>
      <c r="AP3603">
        <v>0</v>
      </c>
      <c r="AQ3603">
        <v>0</v>
      </c>
      <c r="AR3603">
        <v>0</v>
      </c>
      <c r="AS3603">
        <v>0</v>
      </c>
      <c r="AT3603">
        <v>0</v>
      </c>
      <c r="AU3603">
        <f t="shared" si="110"/>
        <v>0</v>
      </c>
      <c r="AV3603">
        <f t="shared" si="111"/>
        <v>0</v>
      </c>
    </row>
    <row r="3604" spans="1:48" x14ac:dyDescent="0.25">
      <c r="A3604" t="s">
        <v>11428</v>
      </c>
      <c r="C3604" t="s">
        <v>10104</v>
      </c>
      <c r="D3604" t="s">
        <v>11429</v>
      </c>
      <c r="E3604" t="s">
        <v>2310</v>
      </c>
      <c r="F3604">
        <v>14</v>
      </c>
      <c r="G3604">
        <v>14.1</v>
      </c>
      <c r="H3604" t="s">
        <v>2022</v>
      </c>
      <c r="I3604" s="21">
        <v>41387.731145833299</v>
      </c>
      <c r="J3604">
        <v>2013</v>
      </c>
      <c r="K3604" s="21">
        <v>41437.355266203696</v>
      </c>
      <c r="L3604">
        <v>2013</v>
      </c>
      <c r="M3604" s="21">
        <v>41967.376365740703</v>
      </c>
      <c r="N3604">
        <v>2014</v>
      </c>
      <c r="Q3604" s="262">
        <v>1100000</v>
      </c>
      <c r="R3604" s="262">
        <v>425000</v>
      </c>
      <c r="S3604" t="s">
        <v>114</v>
      </c>
      <c r="T3604" t="s">
        <v>114</v>
      </c>
      <c r="W3604">
        <v>4453</v>
      </c>
      <c r="X3604">
        <v>1</v>
      </c>
      <c r="Y3604">
        <v>0</v>
      </c>
      <c r="Z3604">
        <v>0</v>
      </c>
      <c r="AA3604">
        <v>0</v>
      </c>
      <c r="AB3604">
        <v>0</v>
      </c>
      <c r="AC3604">
        <v>4453</v>
      </c>
      <c r="AD3604">
        <v>0</v>
      </c>
      <c r="AE3604">
        <v>0</v>
      </c>
      <c r="AF3604">
        <v>0</v>
      </c>
      <c r="AG3604">
        <v>0</v>
      </c>
      <c r="AH3604">
        <v>0</v>
      </c>
      <c r="AI3604">
        <v>0</v>
      </c>
      <c r="AJ3604">
        <v>0</v>
      </c>
      <c r="AK3604">
        <v>0</v>
      </c>
      <c r="AL3604">
        <v>0</v>
      </c>
      <c r="AM3604">
        <v>0</v>
      </c>
      <c r="AN3604">
        <v>0</v>
      </c>
      <c r="AO3604">
        <v>1</v>
      </c>
      <c r="AP3604">
        <v>0</v>
      </c>
      <c r="AQ3604">
        <v>0</v>
      </c>
      <c r="AR3604">
        <v>0</v>
      </c>
      <c r="AS3604">
        <v>0</v>
      </c>
      <c r="AT3604">
        <v>0</v>
      </c>
      <c r="AU3604">
        <f t="shared" si="110"/>
        <v>1</v>
      </c>
      <c r="AV3604">
        <f t="shared" si="111"/>
        <v>0</v>
      </c>
    </row>
    <row r="3605" spans="1:48" x14ac:dyDescent="0.25">
      <c r="A3605" t="s">
        <v>11430</v>
      </c>
      <c r="C3605" t="s">
        <v>11431</v>
      </c>
      <c r="D3605" t="s">
        <v>11432</v>
      </c>
      <c r="E3605" t="s">
        <v>1663</v>
      </c>
      <c r="F3605">
        <v>6</v>
      </c>
      <c r="G3605">
        <v>6.2</v>
      </c>
      <c r="H3605" t="s">
        <v>2017</v>
      </c>
      <c r="I3605" s="21">
        <v>41388</v>
      </c>
      <c r="J3605">
        <v>2013</v>
      </c>
      <c r="K3605" s="21">
        <v>41402</v>
      </c>
      <c r="L3605">
        <v>2013</v>
      </c>
      <c r="M3605" s="21">
        <v>41586</v>
      </c>
      <c r="N3605">
        <v>2013</v>
      </c>
      <c r="Q3605" s="262">
        <v>6000</v>
      </c>
      <c r="S3605" t="s">
        <v>114</v>
      </c>
      <c r="T3605" t="s">
        <v>114</v>
      </c>
      <c r="W3605">
        <v>0</v>
      </c>
      <c r="X3605">
        <v>0</v>
      </c>
      <c r="Y3605">
        <v>0</v>
      </c>
      <c r="Z3605">
        <v>0</v>
      </c>
      <c r="AA3605">
        <v>0</v>
      </c>
      <c r="AB3605">
        <v>0</v>
      </c>
      <c r="AC3605">
        <v>0</v>
      </c>
      <c r="AD3605">
        <v>0</v>
      </c>
      <c r="AE3605">
        <v>0</v>
      </c>
      <c r="AF3605">
        <v>0</v>
      </c>
      <c r="AG3605">
        <v>0</v>
      </c>
      <c r="AH3605">
        <v>0</v>
      </c>
      <c r="AI3605">
        <v>0</v>
      </c>
      <c r="AJ3605">
        <v>0</v>
      </c>
      <c r="AK3605">
        <v>0</v>
      </c>
      <c r="AL3605">
        <v>0</v>
      </c>
      <c r="AM3605">
        <v>0</v>
      </c>
      <c r="AN3605">
        <v>0</v>
      </c>
      <c r="AO3605">
        <v>0</v>
      </c>
      <c r="AP3605">
        <v>0</v>
      </c>
      <c r="AQ3605">
        <v>0</v>
      </c>
      <c r="AR3605">
        <v>0</v>
      </c>
      <c r="AS3605">
        <v>0</v>
      </c>
      <c r="AT3605">
        <v>0</v>
      </c>
      <c r="AU3605">
        <f t="shared" si="110"/>
        <v>0</v>
      </c>
      <c r="AV3605">
        <f t="shared" si="111"/>
        <v>0</v>
      </c>
    </row>
    <row r="3606" spans="1:48" x14ac:dyDescent="0.25">
      <c r="A3606" t="s">
        <v>11433</v>
      </c>
      <c r="C3606" t="s">
        <v>11434</v>
      </c>
      <c r="D3606" t="s">
        <v>11435</v>
      </c>
      <c r="E3606" t="s">
        <v>2310</v>
      </c>
      <c r="F3606">
        <v>8</v>
      </c>
      <c r="G3606">
        <v>8.1999999999999993</v>
      </c>
      <c r="H3606" t="s">
        <v>2022</v>
      </c>
      <c r="I3606" s="21">
        <v>41390.564675925903</v>
      </c>
      <c r="J3606">
        <v>2013</v>
      </c>
      <c r="K3606" s="21">
        <v>41877.419039351902</v>
      </c>
      <c r="L3606">
        <v>2014</v>
      </c>
      <c r="M3606" s="21">
        <v>42236.675717592603</v>
      </c>
      <c r="N3606">
        <v>2015</v>
      </c>
      <c r="Q3606" s="262">
        <v>230000</v>
      </c>
      <c r="R3606" s="262">
        <v>85000</v>
      </c>
      <c r="S3606" t="s">
        <v>114</v>
      </c>
      <c r="T3606" t="s">
        <v>114</v>
      </c>
      <c r="W3606">
        <v>1143</v>
      </c>
      <c r="X3606">
        <v>0</v>
      </c>
      <c r="Y3606">
        <v>0</v>
      </c>
      <c r="Z3606">
        <v>0</v>
      </c>
      <c r="AA3606">
        <v>0</v>
      </c>
      <c r="AB3606">
        <v>0</v>
      </c>
      <c r="AC3606">
        <v>1143</v>
      </c>
      <c r="AD3606">
        <v>0</v>
      </c>
      <c r="AE3606">
        <v>0</v>
      </c>
      <c r="AF3606">
        <v>0</v>
      </c>
      <c r="AG3606">
        <v>0</v>
      </c>
      <c r="AH3606">
        <v>0</v>
      </c>
      <c r="AI3606">
        <v>0</v>
      </c>
      <c r="AJ3606">
        <v>0</v>
      </c>
      <c r="AK3606">
        <v>0</v>
      </c>
      <c r="AL3606">
        <v>0</v>
      </c>
      <c r="AM3606">
        <v>0</v>
      </c>
      <c r="AN3606">
        <v>0</v>
      </c>
      <c r="AO3606">
        <v>0</v>
      </c>
      <c r="AP3606">
        <v>0</v>
      </c>
      <c r="AQ3606">
        <v>0</v>
      </c>
      <c r="AR3606">
        <v>0</v>
      </c>
      <c r="AS3606">
        <v>0</v>
      </c>
      <c r="AT3606">
        <v>0</v>
      </c>
      <c r="AU3606">
        <f t="shared" si="110"/>
        <v>0</v>
      </c>
      <c r="AV3606">
        <f t="shared" si="111"/>
        <v>0</v>
      </c>
    </row>
    <row r="3607" spans="1:48" x14ac:dyDescent="0.25">
      <c r="A3607" t="s">
        <v>11433</v>
      </c>
      <c r="B3607" t="s">
        <v>11436</v>
      </c>
      <c r="C3607" t="s">
        <v>11437</v>
      </c>
      <c r="D3607" t="s">
        <v>11435</v>
      </c>
      <c r="E3607" t="s">
        <v>2310</v>
      </c>
      <c r="F3607">
        <v>8</v>
      </c>
      <c r="G3607">
        <v>8.1999999999999993</v>
      </c>
      <c r="H3607" t="s">
        <v>2022</v>
      </c>
      <c r="I3607" s="21">
        <v>41390.564675925903</v>
      </c>
      <c r="J3607">
        <v>2013</v>
      </c>
      <c r="K3607" s="21">
        <v>41877.419039351902</v>
      </c>
      <c r="L3607">
        <v>2014</v>
      </c>
      <c r="M3607" s="21">
        <v>42236.675717592603</v>
      </c>
      <c r="N3607">
        <v>2015</v>
      </c>
      <c r="S3607" t="s">
        <v>114</v>
      </c>
      <c r="T3607" t="s">
        <v>114</v>
      </c>
      <c r="V3607">
        <v>0</v>
      </c>
      <c r="W3607">
        <v>-377</v>
      </c>
      <c r="X3607">
        <v>0</v>
      </c>
      <c r="Y3607">
        <v>0</v>
      </c>
      <c r="Z3607">
        <v>0</v>
      </c>
      <c r="AA3607">
        <v>0</v>
      </c>
      <c r="AB3607">
        <v>0</v>
      </c>
      <c r="AC3607">
        <v>-377</v>
      </c>
      <c r="AD3607">
        <v>0</v>
      </c>
      <c r="AE3607">
        <v>0</v>
      </c>
      <c r="AF3607">
        <v>0</v>
      </c>
      <c r="AG3607">
        <v>0</v>
      </c>
      <c r="AH3607">
        <v>0</v>
      </c>
      <c r="AI3607">
        <v>0</v>
      </c>
      <c r="AJ3607">
        <v>0</v>
      </c>
      <c r="AK3607">
        <v>0</v>
      </c>
      <c r="AL3607">
        <v>0</v>
      </c>
      <c r="AM3607">
        <v>0</v>
      </c>
      <c r="AN3607">
        <v>0</v>
      </c>
      <c r="AO3607">
        <v>0</v>
      </c>
      <c r="AP3607">
        <v>0</v>
      </c>
      <c r="AQ3607">
        <v>0</v>
      </c>
      <c r="AR3607">
        <v>0</v>
      </c>
      <c r="AS3607">
        <v>0</v>
      </c>
      <c r="AT3607">
        <v>0</v>
      </c>
      <c r="AU3607">
        <f t="shared" si="110"/>
        <v>0</v>
      </c>
      <c r="AV3607">
        <f t="shared" si="111"/>
        <v>0</v>
      </c>
    </row>
    <row r="3608" spans="1:48" x14ac:dyDescent="0.25">
      <c r="A3608" t="s">
        <v>11438</v>
      </c>
      <c r="C3608" t="s">
        <v>11439</v>
      </c>
      <c r="D3608" t="s">
        <v>4600</v>
      </c>
      <c r="E3608" t="s">
        <v>2310</v>
      </c>
      <c r="F3608">
        <v>9</v>
      </c>
      <c r="G3608">
        <v>9.4</v>
      </c>
      <c r="H3608" t="s">
        <v>2323</v>
      </c>
      <c r="I3608" s="21">
        <v>41396.469930555599</v>
      </c>
      <c r="J3608">
        <v>2013</v>
      </c>
      <c r="K3608" s="21">
        <v>41396.476851851898</v>
      </c>
      <c r="L3608">
        <v>2013</v>
      </c>
      <c r="M3608" s="21">
        <v>41949.624004629601</v>
      </c>
      <c r="N3608">
        <v>2014</v>
      </c>
      <c r="Q3608" s="262">
        <v>11000</v>
      </c>
      <c r="R3608" s="262">
        <v>0</v>
      </c>
      <c r="S3608" t="s">
        <v>114</v>
      </c>
      <c r="T3608" t="s">
        <v>114</v>
      </c>
      <c r="W3608">
        <v>55</v>
      </c>
      <c r="X3608">
        <v>0</v>
      </c>
      <c r="Y3608">
        <v>0</v>
      </c>
      <c r="Z3608">
        <v>0</v>
      </c>
      <c r="AA3608">
        <v>0</v>
      </c>
      <c r="AB3608">
        <v>0</v>
      </c>
      <c r="AC3608">
        <v>55</v>
      </c>
      <c r="AD3608">
        <v>0</v>
      </c>
      <c r="AE3608">
        <v>0</v>
      </c>
      <c r="AF3608">
        <v>0</v>
      </c>
      <c r="AG3608">
        <v>0</v>
      </c>
      <c r="AH3608">
        <v>0</v>
      </c>
      <c r="AI3608">
        <v>0</v>
      </c>
      <c r="AJ3608">
        <v>0</v>
      </c>
      <c r="AK3608">
        <v>0</v>
      </c>
      <c r="AL3608">
        <v>0</v>
      </c>
      <c r="AM3608">
        <v>0</v>
      </c>
      <c r="AN3608">
        <v>0</v>
      </c>
      <c r="AO3608">
        <v>0</v>
      </c>
      <c r="AP3608">
        <v>0</v>
      </c>
      <c r="AQ3608">
        <v>0</v>
      </c>
      <c r="AR3608">
        <v>0</v>
      </c>
      <c r="AS3608">
        <v>0</v>
      </c>
      <c r="AT3608">
        <v>0</v>
      </c>
      <c r="AU3608">
        <f t="shared" si="110"/>
        <v>0</v>
      </c>
      <c r="AV3608">
        <f t="shared" si="111"/>
        <v>0</v>
      </c>
    </row>
    <row r="3609" spans="1:48" x14ac:dyDescent="0.25">
      <c r="A3609" t="s">
        <v>11440</v>
      </c>
      <c r="C3609" t="s">
        <v>11441</v>
      </c>
      <c r="D3609" t="s">
        <v>11442</v>
      </c>
      <c r="E3609" t="s">
        <v>1663</v>
      </c>
      <c r="F3609">
        <v>2</v>
      </c>
      <c r="G3609">
        <v>2.1</v>
      </c>
      <c r="H3609" t="s">
        <v>2327</v>
      </c>
      <c r="I3609" s="21">
        <v>41401</v>
      </c>
      <c r="J3609">
        <v>2013</v>
      </c>
      <c r="K3609" s="21">
        <v>41415</v>
      </c>
      <c r="L3609">
        <v>2013</v>
      </c>
      <c r="M3609" s="21">
        <v>43480</v>
      </c>
      <c r="N3609">
        <v>2019</v>
      </c>
      <c r="Q3609" s="262">
        <v>20000</v>
      </c>
      <c r="S3609" t="s">
        <v>114</v>
      </c>
      <c r="T3609" t="s">
        <v>114</v>
      </c>
      <c r="W3609">
        <v>0</v>
      </c>
      <c r="X3609">
        <v>0</v>
      </c>
      <c r="Y3609">
        <v>0</v>
      </c>
      <c r="Z3609">
        <v>0</v>
      </c>
      <c r="AA3609">
        <v>0</v>
      </c>
      <c r="AB3609">
        <v>0</v>
      </c>
      <c r="AC3609">
        <v>0</v>
      </c>
      <c r="AD3609">
        <v>0</v>
      </c>
      <c r="AE3609">
        <v>0</v>
      </c>
      <c r="AF3609">
        <v>0</v>
      </c>
      <c r="AG3609">
        <v>0</v>
      </c>
      <c r="AH3609">
        <v>0</v>
      </c>
      <c r="AI3609">
        <v>0</v>
      </c>
      <c r="AJ3609">
        <v>0</v>
      </c>
      <c r="AK3609">
        <v>0</v>
      </c>
      <c r="AL3609">
        <v>0</v>
      </c>
      <c r="AM3609">
        <v>0</v>
      </c>
      <c r="AN3609">
        <v>0</v>
      </c>
      <c r="AO3609">
        <v>0</v>
      </c>
      <c r="AP3609">
        <v>0</v>
      </c>
      <c r="AQ3609">
        <v>0</v>
      </c>
      <c r="AR3609">
        <v>0</v>
      </c>
      <c r="AS3609">
        <v>0</v>
      </c>
      <c r="AT3609">
        <v>0</v>
      </c>
      <c r="AU3609">
        <f t="shared" ref="AU3609:AU3672" si="112">SUM(AN3609:AQ3609,AS3609)</f>
        <v>0</v>
      </c>
      <c r="AV3609">
        <f t="shared" ref="AV3609:AV3672" si="113">SUM(Y3609:AB3609,AH3609:AM3609)</f>
        <v>0</v>
      </c>
    </row>
    <row r="3610" spans="1:48" x14ac:dyDescent="0.25">
      <c r="A3610" t="s">
        <v>11443</v>
      </c>
      <c r="C3610" t="s">
        <v>7880</v>
      </c>
      <c r="D3610" t="s">
        <v>10057</v>
      </c>
      <c r="E3610" t="s">
        <v>2310</v>
      </c>
      <c r="F3610">
        <v>8</v>
      </c>
      <c r="G3610">
        <v>8.1</v>
      </c>
      <c r="H3610" t="s">
        <v>2323</v>
      </c>
      <c r="I3610" s="21">
        <v>41401.469733796301</v>
      </c>
      <c r="J3610">
        <v>2013</v>
      </c>
      <c r="K3610" s="21">
        <v>41429.471747685202</v>
      </c>
      <c r="L3610">
        <v>2013</v>
      </c>
      <c r="M3610" s="21">
        <v>41543.418761574103</v>
      </c>
      <c r="N3610">
        <v>2013</v>
      </c>
      <c r="Q3610" s="262">
        <v>120000</v>
      </c>
      <c r="R3610" s="262">
        <v>37000</v>
      </c>
      <c r="S3610" t="s">
        <v>114</v>
      </c>
      <c r="T3610" t="s">
        <v>114</v>
      </c>
      <c r="W3610">
        <v>936</v>
      </c>
      <c r="X3610">
        <v>0</v>
      </c>
      <c r="Y3610">
        <v>0</v>
      </c>
      <c r="Z3610">
        <v>0</v>
      </c>
      <c r="AA3610">
        <v>0</v>
      </c>
      <c r="AB3610">
        <v>0</v>
      </c>
      <c r="AC3610">
        <v>936</v>
      </c>
      <c r="AD3610">
        <v>0</v>
      </c>
      <c r="AE3610">
        <v>0</v>
      </c>
      <c r="AF3610">
        <v>0</v>
      </c>
      <c r="AG3610">
        <v>0</v>
      </c>
      <c r="AH3610">
        <v>0</v>
      </c>
      <c r="AI3610">
        <v>0</v>
      </c>
      <c r="AJ3610">
        <v>0</v>
      </c>
      <c r="AK3610">
        <v>0</v>
      </c>
      <c r="AL3610">
        <v>0</v>
      </c>
      <c r="AM3610">
        <v>0</v>
      </c>
      <c r="AN3610">
        <v>0</v>
      </c>
      <c r="AO3610">
        <v>0</v>
      </c>
      <c r="AP3610">
        <v>0</v>
      </c>
      <c r="AQ3610">
        <v>0</v>
      </c>
      <c r="AR3610">
        <v>0</v>
      </c>
      <c r="AS3610">
        <v>0</v>
      </c>
      <c r="AT3610">
        <v>0</v>
      </c>
      <c r="AU3610">
        <f t="shared" si="112"/>
        <v>0</v>
      </c>
      <c r="AV3610">
        <f t="shared" si="113"/>
        <v>0</v>
      </c>
    </row>
    <row r="3611" spans="1:48" x14ac:dyDescent="0.25">
      <c r="A3611" t="s">
        <v>11444</v>
      </c>
      <c r="C3611" t="s">
        <v>11095</v>
      </c>
      <c r="D3611" t="s">
        <v>11445</v>
      </c>
      <c r="E3611" t="s">
        <v>2310</v>
      </c>
      <c r="F3611">
        <v>9</v>
      </c>
      <c r="G3611">
        <v>9.4</v>
      </c>
      <c r="H3611" t="s">
        <v>2323</v>
      </c>
      <c r="I3611" s="21">
        <v>41401.569351851896</v>
      </c>
      <c r="J3611">
        <v>2013</v>
      </c>
      <c r="O3611" s="21">
        <v>41619.454004629602</v>
      </c>
      <c r="Q3611" s="262">
        <v>1400000</v>
      </c>
      <c r="R3611" s="262">
        <v>495000</v>
      </c>
      <c r="S3611" t="s">
        <v>114</v>
      </c>
      <c r="T3611" t="s">
        <v>114</v>
      </c>
      <c r="W3611">
        <v>5000</v>
      </c>
      <c r="X3611">
        <v>1</v>
      </c>
      <c r="Y3611">
        <v>0</v>
      </c>
      <c r="Z3611">
        <v>0</v>
      </c>
      <c r="AA3611">
        <v>0</v>
      </c>
      <c r="AB3611">
        <v>0</v>
      </c>
      <c r="AC3611">
        <v>5000</v>
      </c>
      <c r="AD3611">
        <v>0</v>
      </c>
      <c r="AE3611">
        <v>0</v>
      </c>
      <c r="AF3611">
        <v>0</v>
      </c>
      <c r="AG3611">
        <v>0</v>
      </c>
      <c r="AH3611">
        <v>0</v>
      </c>
      <c r="AI3611">
        <v>0</v>
      </c>
      <c r="AJ3611">
        <v>0</v>
      </c>
      <c r="AK3611">
        <v>0</v>
      </c>
      <c r="AL3611">
        <v>0</v>
      </c>
      <c r="AM3611">
        <v>0</v>
      </c>
      <c r="AN3611">
        <v>0</v>
      </c>
      <c r="AO3611">
        <v>1</v>
      </c>
      <c r="AP3611">
        <v>0</v>
      </c>
      <c r="AQ3611">
        <v>0</v>
      </c>
      <c r="AR3611">
        <v>0</v>
      </c>
      <c r="AS3611">
        <v>0</v>
      </c>
      <c r="AT3611">
        <v>0</v>
      </c>
      <c r="AU3611">
        <f t="shared" si="112"/>
        <v>1</v>
      </c>
      <c r="AV3611">
        <f t="shared" si="113"/>
        <v>0</v>
      </c>
    </row>
    <row r="3612" spans="1:48" x14ac:dyDescent="0.25">
      <c r="A3612" t="s">
        <v>11446</v>
      </c>
      <c r="C3612" t="s">
        <v>11447</v>
      </c>
      <c r="D3612" t="s">
        <v>11448</v>
      </c>
      <c r="E3612" t="s">
        <v>2310</v>
      </c>
      <c r="F3612">
        <v>9</v>
      </c>
      <c r="G3612">
        <v>9.3000000000000007</v>
      </c>
      <c r="H3612" t="s">
        <v>2323</v>
      </c>
      <c r="I3612" s="21">
        <v>41402.5864351852</v>
      </c>
      <c r="J3612">
        <v>2013</v>
      </c>
      <c r="K3612" s="21">
        <v>41437.339398148099</v>
      </c>
      <c r="L3612">
        <v>2013</v>
      </c>
      <c r="M3612" s="21">
        <v>42081.683206018497</v>
      </c>
      <c r="N3612">
        <v>2015</v>
      </c>
      <c r="Q3612" s="262">
        <v>200000</v>
      </c>
      <c r="R3612" s="262">
        <v>142000</v>
      </c>
      <c r="S3612" t="s">
        <v>114</v>
      </c>
      <c r="T3612" t="s">
        <v>114</v>
      </c>
      <c r="W3612">
        <v>1810</v>
      </c>
      <c r="X3612">
        <v>1</v>
      </c>
      <c r="Y3612">
        <v>0</v>
      </c>
      <c r="Z3612">
        <v>0</v>
      </c>
      <c r="AA3612">
        <v>0</v>
      </c>
      <c r="AB3612">
        <v>0</v>
      </c>
      <c r="AC3612">
        <v>820</v>
      </c>
      <c r="AD3612">
        <v>0</v>
      </c>
      <c r="AE3612">
        <v>0</v>
      </c>
      <c r="AF3612">
        <v>990</v>
      </c>
      <c r="AG3612">
        <v>0</v>
      </c>
      <c r="AH3612">
        <v>0</v>
      </c>
      <c r="AI3612">
        <v>0</v>
      </c>
      <c r="AJ3612">
        <v>0</v>
      </c>
      <c r="AK3612">
        <v>0</v>
      </c>
      <c r="AL3612">
        <v>0</v>
      </c>
      <c r="AM3612">
        <v>0</v>
      </c>
      <c r="AN3612">
        <v>0</v>
      </c>
      <c r="AO3612">
        <v>0</v>
      </c>
      <c r="AP3612">
        <v>0</v>
      </c>
      <c r="AQ3612">
        <v>0</v>
      </c>
      <c r="AR3612">
        <v>1</v>
      </c>
      <c r="AS3612">
        <v>0</v>
      </c>
      <c r="AT3612">
        <v>0</v>
      </c>
      <c r="AU3612">
        <f t="shared" si="112"/>
        <v>0</v>
      </c>
      <c r="AV3612">
        <f t="shared" si="113"/>
        <v>0</v>
      </c>
    </row>
    <row r="3613" spans="1:48" x14ac:dyDescent="0.25">
      <c r="A3613" t="s">
        <v>11449</v>
      </c>
      <c r="C3613" t="s">
        <v>11450</v>
      </c>
      <c r="D3613" t="s">
        <v>11448</v>
      </c>
      <c r="E3613" t="s">
        <v>2310</v>
      </c>
      <c r="F3613">
        <v>9</v>
      </c>
      <c r="G3613">
        <v>9.3000000000000007</v>
      </c>
      <c r="H3613" t="s">
        <v>2323</v>
      </c>
      <c r="I3613" s="21">
        <v>41402.612569444398</v>
      </c>
      <c r="J3613">
        <v>2013</v>
      </c>
      <c r="K3613" s="21">
        <v>41436.720833333296</v>
      </c>
      <c r="L3613">
        <v>2013</v>
      </c>
      <c r="M3613" s="21">
        <v>42081.686412037001</v>
      </c>
      <c r="N3613">
        <v>2015</v>
      </c>
      <c r="Q3613" s="262">
        <v>250000</v>
      </c>
      <c r="R3613" s="262">
        <v>179000</v>
      </c>
      <c r="S3613" t="s">
        <v>114</v>
      </c>
      <c r="T3613" t="s">
        <v>114</v>
      </c>
      <c r="V3613">
        <v>666</v>
      </c>
      <c r="W3613">
        <v>1152</v>
      </c>
      <c r="X3613">
        <v>0</v>
      </c>
      <c r="Y3613">
        <v>0</v>
      </c>
      <c r="Z3613">
        <v>0</v>
      </c>
      <c r="AA3613">
        <v>0</v>
      </c>
      <c r="AB3613">
        <v>0</v>
      </c>
      <c r="AC3613">
        <v>1152</v>
      </c>
      <c r="AD3613">
        <v>0</v>
      </c>
      <c r="AE3613">
        <v>0</v>
      </c>
      <c r="AF3613">
        <v>0</v>
      </c>
      <c r="AG3613">
        <v>0</v>
      </c>
      <c r="AH3613">
        <v>0</v>
      </c>
      <c r="AI3613">
        <v>0</v>
      </c>
      <c r="AJ3613">
        <v>0</v>
      </c>
      <c r="AK3613">
        <v>0</v>
      </c>
      <c r="AL3613">
        <v>0</v>
      </c>
      <c r="AM3613">
        <v>0</v>
      </c>
      <c r="AN3613">
        <v>0</v>
      </c>
      <c r="AO3613">
        <v>0</v>
      </c>
      <c r="AP3613">
        <v>0</v>
      </c>
      <c r="AQ3613">
        <v>0</v>
      </c>
      <c r="AR3613">
        <v>0</v>
      </c>
      <c r="AS3613">
        <v>0</v>
      </c>
      <c r="AT3613">
        <v>0</v>
      </c>
      <c r="AU3613">
        <f t="shared" si="112"/>
        <v>0</v>
      </c>
      <c r="AV3613">
        <f t="shared" si="113"/>
        <v>0</v>
      </c>
    </row>
    <row r="3614" spans="1:48" x14ac:dyDescent="0.25">
      <c r="A3614" t="s">
        <v>11451</v>
      </c>
      <c r="C3614" t="s">
        <v>10187</v>
      </c>
      <c r="D3614" t="s">
        <v>11452</v>
      </c>
      <c r="E3614" t="s">
        <v>2310</v>
      </c>
      <c r="F3614">
        <v>12</v>
      </c>
      <c r="G3614">
        <v>12.2</v>
      </c>
      <c r="H3614" t="s">
        <v>2017</v>
      </c>
      <c r="I3614" s="21">
        <v>41402.694293981498</v>
      </c>
      <c r="J3614">
        <v>2013</v>
      </c>
      <c r="K3614" s="21">
        <v>41494.598263888904</v>
      </c>
      <c r="L3614">
        <v>2013</v>
      </c>
      <c r="M3614" s="21">
        <v>42069.4977546296</v>
      </c>
      <c r="N3614">
        <v>2015</v>
      </c>
      <c r="Q3614" s="262">
        <v>200000</v>
      </c>
      <c r="R3614" s="262">
        <v>111000</v>
      </c>
      <c r="S3614" t="s">
        <v>114</v>
      </c>
      <c r="T3614" t="s">
        <v>114</v>
      </c>
      <c r="W3614">
        <v>992</v>
      </c>
      <c r="X3614">
        <v>1</v>
      </c>
      <c r="Y3614">
        <v>0</v>
      </c>
      <c r="Z3614">
        <v>0</v>
      </c>
      <c r="AA3614">
        <v>0</v>
      </c>
      <c r="AB3614">
        <v>0</v>
      </c>
      <c r="AC3614">
        <v>0</v>
      </c>
      <c r="AD3614">
        <v>0</v>
      </c>
      <c r="AE3614">
        <v>0</v>
      </c>
      <c r="AF3614">
        <v>992</v>
      </c>
      <c r="AG3614">
        <v>0</v>
      </c>
      <c r="AH3614">
        <v>0</v>
      </c>
      <c r="AI3614">
        <v>0</v>
      </c>
      <c r="AJ3614">
        <v>0</v>
      </c>
      <c r="AK3614">
        <v>0</v>
      </c>
      <c r="AL3614">
        <v>0</v>
      </c>
      <c r="AM3614">
        <v>0</v>
      </c>
      <c r="AN3614">
        <v>0</v>
      </c>
      <c r="AO3614">
        <v>0</v>
      </c>
      <c r="AP3614">
        <v>0</v>
      </c>
      <c r="AQ3614">
        <v>0</v>
      </c>
      <c r="AR3614">
        <v>1</v>
      </c>
      <c r="AS3614">
        <v>0</v>
      </c>
      <c r="AT3614">
        <v>0</v>
      </c>
      <c r="AU3614">
        <f t="shared" si="112"/>
        <v>0</v>
      </c>
      <c r="AV3614">
        <f t="shared" si="113"/>
        <v>0</v>
      </c>
    </row>
    <row r="3615" spans="1:48" x14ac:dyDescent="0.25">
      <c r="A3615" t="s">
        <v>11453</v>
      </c>
      <c r="C3615" t="s">
        <v>10175</v>
      </c>
      <c r="D3615" t="s">
        <v>11454</v>
      </c>
      <c r="E3615" t="s">
        <v>2310</v>
      </c>
      <c r="F3615">
        <v>9</v>
      </c>
      <c r="G3615">
        <v>9.4</v>
      </c>
      <c r="H3615" t="s">
        <v>2323</v>
      </c>
      <c r="I3615" s="21">
        <v>41403.352048611101</v>
      </c>
      <c r="J3615">
        <v>2013</v>
      </c>
      <c r="K3615" s="21">
        <v>41438.443287037</v>
      </c>
      <c r="L3615">
        <v>2013</v>
      </c>
      <c r="M3615" s="21">
        <v>41928.482025463003</v>
      </c>
      <c r="N3615">
        <v>2014</v>
      </c>
      <c r="Q3615" s="262">
        <v>1450000</v>
      </c>
      <c r="R3615" s="262">
        <v>451000</v>
      </c>
      <c r="S3615" t="s">
        <v>114</v>
      </c>
      <c r="T3615" t="s">
        <v>114</v>
      </c>
      <c r="W3615">
        <v>4380</v>
      </c>
      <c r="X3615">
        <v>1</v>
      </c>
      <c r="Y3615">
        <v>0</v>
      </c>
      <c r="Z3615">
        <v>0</v>
      </c>
      <c r="AA3615">
        <v>0</v>
      </c>
      <c r="AB3615">
        <v>0</v>
      </c>
      <c r="AC3615">
        <v>4380</v>
      </c>
      <c r="AD3615">
        <v>0</v>
      </c>
      <c r="AE3615">
        <v>0</v>
      </c>
      <c r="AF3615">
        <v>0</v>
      </c>
      <c r="AG3615">
        <v>0</v>
      </c>
      <c r="AH3615">
        <v>0</v>
      </c>
      <c r="AI3615">
        <v>0</v>
      </c>
      <c r="AJ3615">
        <v>0</v>
      </c>
      <c r="AK3615">
        <v>0</v>
      </c>
      <c r="AL3615">
        <v>0</v>
      </c>
      <c r="AM3615">
        <v>0</v>
      </c>
      <c r="AN3615">
        <v>0</v>
      </c>
      <c r="AO3615">
        <v>1</v>
      </c>
      <c r="AP3615">
        <v>0</v>
      </c>
      <c r="AQ3615">
        <v>0</v>
      </c>
      <c r="AR3615">
        <v>0</v>
      </c>
      <c r="AS3615">
        <v>0</v>
      </c>
      <c r="AT3615">
        <v>0</v>
      </c>
      <c r="AU3615">
        <f t="shared" si="112"/>
        <v>1</v>
      </c>
      <c r="AV3615">
        <f t="shared" si="113"/>
        <v>0</v>
      </c>
    </row>
    <row r="3616" spans="1:48" x14ac:dyDescent="0.25">
      <c r="A3616" t="s">
        <v>11455</v>
      </c>
      <c r="C3616" t="s">
        <v>11456</v>
      </c>
      <c r="D3616" t="s">
        <v>11457</v>
      </c>
      <c r="E3616" t="s">
        <v>2310</v>
      </c>
      <c r="F3616">
        <v>12</v>
      </c>
      <c r="G3616">
        <v>12.3</v>
      </c>
      <c r="H3616" t="s">
        <v>2017</v>
      </c>
      <c r="I3616" s="21">
        <v>41404.596087963</v>
      </c>
      <c r="J3616">
        <v>2013</v>
      </c>
      <c r="K3616" s="21">
        <v>41432.644085648099</v>
      </c>
      <c r="L3616">
        <v>2013</v>
      </c>
      <c r="O3616" s="21">
        <v>41673.698472222197</v>
      </c>
      <c r="Q3616" s="262">
        <v>80000</v>
      </c>
      <c r="R3616" s="262">
        <v>19000</v>
      </c>
      <c r="S3616" t="s">
        <v>114</v>
      </c>
      <c r="T3616" t="s">
        <v>114</v>
      </c>
      <c r="W3616">
        <v>234</v>
      </c>
      <c r="X3616">
        <v>0</v>
      </c>
      <c r="Y3616">
        <v>0</v>
      </c>
      <c r="Z3616">
        <v>0</v>
      </c>
      <c r="AA3616">
        <v>0</v>
      </c>
      <c r="AB3616">
        <v>0</v>
      </c>
      <c r="AC3616">
        <v>234</v>
      </c>
      <c r="AD3616">
        <v>0</v>
      </c>
      <c r="AE3616">
        <v>0</v>
      </c>
      <c r="AF3616">
        <v>0</v>
      </c>
      <c r="AG3616">
        <v>0</v>
      </c>
      <c r="AH3616">
        <v>0</v>
      </c>
      <c r="AI3616">
        <v>0</v>
      </c>
      <c r="AJ3616">
        <v>0</v>
      </c>
      <c r="AK3616">
        <v>0</v>
      </c>
      <c r="AL3616">
        <v>0</v>
      </c>
      <c r="AM3616">
        <v>0</v>
      </c>
      <c r="AN3616">
        <v>0</v>
      </c>
      <c r="AO3616">
        <v>0</v>
      </c>
      <c r="AP3616">
        <v>0</v>
      </c>
      <c r="AQ3616">
        <v>0</v>
      </c>
      <c r="AR3616">
        <v>0</v>
      </c>
      <c r="AS3616">
        <v>0</v>
      </c>
      <c r="AT3616">
        <v>0</v>
      </c>
      <c r="AU3616">
        <f t="shared" si="112"/>
        <v>0</v>
      </c>
      <c r="AV3616">
        <f t="shared" si="113"/>
        <v>0</v>
      </c>
    </row>
    <row r="3617" spans="1:48" x14ac:dyDescent="0.25">
      <c r="A3617" t="s">
        <v>11458</v>
      </c>
      <c r="C3617" t="s">
        <v>11459</v>
      </c>
      <c r="D3617" t="s">
        <v>11460</v>
      </c>
      <c r="E3617" t="s">
        <v>1663</v>
      </c>
      <c r="F3617">
        <v>5</v>
      </c>
      <c r="G3617">
        <v>5.3</v>
      </c>
      <c r="H3617" t="s">
        <v>2327</v>
      </c>
      <c r="I3617" s="21">
        <v>41408</v>
      </c>
      <c r="J3617">
        <v>2013</v>
      </c>
      <c r="K3617" s="21">
        <v>41506</v>
      </c>
      <c r="L3617">
        <v>2013</v>
      </c>
      <c r="M3617" s="21">
        <v>41690</v>
      </c>
      <c r="N3617">
        <v>2014</v>
      </c>
      <c r="Q3617" s="262">
        <v>140000</v>
      </c>
      <c r="S3617" t="s">
        <v>114</v>
      </c>
      <c r="T3617" t="s">
        <v>114</v>
      </c>
      <c r="W3617">
        <v>1460</v>
      </c>
      <c r="X3617">
        <v>2</v>
      </c>
      <c r="Y3617">
        <v>0</v>
      </c>
      <c r="Z3617">
        <v>0</v>
      </c>
      <c r="AA3617">
        <v>0</v>
      </c>
      <c r="AB3617">
        <v>0</v>
      </c>
      <c r="AC3617">
        <v>1460</v>
      </c>
      <c r="AD3617">
        <v>0</v>
      </c>
      <c r="AE3617">
        <v>0</v>
      </c>
      <c r="AF3617">
        <v>0</v>
      </c>
      <c r="AG3617">
        <v>0</v>
      </c>
      <c r="AH3617">
        <v>0</v>
      </c>
      <c r="AI3617">
        <v>0</v>
      </c>
      <c r="AJ3617">
        <v>0</v>
      </c>
      <c r="AK3617">
        <v>0</v>
      </c>
      <c r="AL3617">
        <v>0</v>
      </c>
      <c r="AM3617">
        <v>0</v>
      </c>
      <c r="AN3617">
        <v>0</v>
      </c>
      <c r="AO3617">
        <v>0</v>
      </c>
      <c r="AP3617">
        <v>0</v>
      </c>
      <c r="AQ3617">
        <v>2</v>
      </c>
      <c r="AR3617">
        <v>0</v>
      </c>
      <c r="AS3617">
        <v>0</v>
      </c>
      <c r="AT3617">
        <v>0</v>
      </c>
      <c r="AU3617">
        <f t="shared" si="112"/>
        <v>2</v>
      </c>
      <c r="AV3617">
        <f t="shared" si="113"/>
        <v>0</v>
      </c>
    </row>
    <row r="3618" spans="1:48" x14ac:dyDescent="0.25">
      <c r="A3618" t="s">
        <v>11461</v>
      </c>
      <c r="C3618" t="s">
        <v>11064</v>
      </c>
      <c r="D3618" t="s">
        <v>11462</v>
      </c>
      <c r="E3618" t="s">
        <v>2310</v>
      </c>
      <c r="F3618">
        <v>8</v>
      </c>
      <c r="G3618">
        <v>8.1</v>
      </c>
      <c r="H3618" t="s">
        <v>2323</v>
      </c>
      <c r="I3618" s="21">
        <v>41408.655231481498</v>
      </c>
      <c r="J3618">
        <v>2013</v>
      </c>
      <c r="K3618" s="21">
        <v>41479.747326388897</v>
      </c>
      <c r="L3618">
        <v>2013</v>
      </c>
      <c r="M3618" s="21">
        <v>42221.406145833302</v>
      </c>
      <c r="N3618">
        <v>2015</v>
      </c>
      <c r="Q3618" s="262">
        <v>1000000</v>
      </c>
      <c r="R3618" s="262">
        <v>403000</v>
      </c>
      <c r="S3618" t="s">
        <v>114</v>
      </c>
      <c r="T3618" t="s">
        <v>114</v>
      </c>
      <c r="W3618">
        <v>3999</v>
      </c>
      <c r="X3618">
        <v>1</v>
      </c>
      <c r="Y3618">
        <v>0</v>
      </c>
      <c r="Z3618">
        <v>0</v>
      </c>
      <c r="AA3618">
        <v>0</v>
      </c>
      <c r="AB3618">
        <v>0</v>
      </c>
      <c r="AC3618">
        <v>3999</v>
      </c>
      <c r="AD3618">
        <v>0</v>
      </c>
      <c r="AE3618">
        <v>0</v>
      </c>
      <c r="AF3618">
        <v>0</v>
      </c>
      <c r="AG3618">
        <v>0</v>
      </c>
      <c r="AH3618">
        <v>0</v>
      </c>
      <c r="AI3618">
        <v>0</v>
      </c>
      <c r="AJ3618">
        <v>0</v>
      </c>
      <c r="AK3618">
        <v>0</v>
      </c>
      <c r="AL3618">
        <v>0</v>
      </c>
      <c r="AM3618">
        <v>0</v>
      </c>
      <c r="AN3618">
        <v>0</v>
      </c>
      <c r="AO3618">
        <v>1</v>
      </c>
      <c r="AP3618">
        <v>0</v>
      </c>
      <c r="AQ3618">
        <v>0</v>
      </c>
      <c r="AR3618">
        <v>0</v>
      </c>
      <c r="AS3618">
        <v>0</v>
      </c>
      <c r="AT3618">
        <v>0</v>
      </c>
      <c r="AU3618">
        <f t="shared" si="112"/>
        <v>1</v>
      </c>
      <c r="AV3618">
        <f t="shared" si="113"/>
        <v>0</v>
      </c>
    </row>
    <row r="3619" spans="1:48" x14ac:dyDescent="0.25">
      <c r="A3619" t="s">
        <v>11461</v>
      </c>
      <c r="B3619" t="s">
        <v>11463</v>
      </c>
      <c r="C3619" t="s">
        <v>11464</v>
      </c>
      <c r="D3619" t="s">
        <v>11462</v>
      </c>
      <c r="E3619" t="s">
        <v>2310</v>
      </c>
      <c r="F3619">
        <v>8</v>
      </c>
      <c r="G3619">
        <v>8.1</v>
      </c>
      <c r="H3619" t="s">
        <v>2323</v>
      </c>
      <c r="I3619" s="21">
        <v>41408.655231481498</v>
      </c>
      <c r="J3619">
        <v>2013</v>
      </c>
      <c r="K3619" s="21">
        <v>41479.747326388897</v>
      </c>
      <c r="L3619">
        <v>2013</v>
      </c>
      <c r="M3619" s="21">
        <v>42221.406145833302</v>
      </c>
      <c r="N3619">
        <v>2015</v>
      </c>
      <c r="S3619" t="s">
        <v>114</v>
      </c>
      <c r="T3619" t="s">
        <v>114</v>
      </c>
      <c r="V3619">
        <v>0</v>
      </c>
      <c r="W3619">
        <v>-813</v>
      </c>
      <c r="X3619">
        <v>0</v>
      </c>
      <c r="Y3619">
        <v>0</v>
      </c>
      <c r="Z3619">
        <v>0</v>
      </c>
      <c r="AA3619">
        <v>0</v>
      </c>
      <c r="AB3619">
        <v>0</v>
      </c>
      <c r="AC3619">
        <v>-813</v>
      </c>
      <c r="AD3619">
        <v>0</v>
      </c>
      <c r="AE3619">
        <v>0</v>
      </c>
      <c r="AF3619">
        <v>0</v>
      </c>
      <c r="AG3619">
        <v>0</v>
      </c>
      <c r="AH3619">
        <v>0</v>
      </c>
      <c r="AI3619">
        <v>0</v>
      </c>
      <c r="AJ3619">
        <v>0</v>
      </c>
      <c r="AK3619">
        <v>0</v>
      </c>
      <c r="AL3619">
        <v>0</v>
      </c>
      <c r="AM3619">
        <v>0</v>
      </c>
      <c r="AN3619">
        <v>0</v>
      </c>
      <c r="AO3619">
        <v>0</v>
      </c>
      <c r="AP3619">
        <v>0</v>
      </c>
      <c r="AQ3619">
        <v>0</v>
      </c>
      <c r="AR3619">
        <v>0</v>
      </c>
      <c r="AS3619">
        <v>0</v>
      </c>
      <c r="AT3619">
        <v>0</v>
      </c>
      <c r="AU3619">
        <f t="shared" si="112"/>
        <v>0</v>
      </c>
      <c r="AV3619">
        <f t="shared" si="113"/>
        <v>0</v>
      </c>
    </row>
    <row r="3620" spans="1:48" x14ac:dyDescent="0.25">
      <c r="A3620" t="s">
        <v>11465</v>
      </c>
      <c r="C3620" t="s">
        <v>11305</v>
      </c>
      <c r="D3620" t="s">
        <v>11466</v>
      </c>
      <c r="E3620" t="s">
        <v>2310</v>
      </c>
      <c r="F3620">
        <v>13</v>
      </c>
      <c r="G3620">
        <v>13.2</v>
      </c>
      <c r="H3620" t="s">
        <v>2327</v>
      </c>
      <c r="I3620" s="21">
        <v>41409.650219907402</v>
      </c>
      <c r="J3620">
        <v>2013</v>
      </c>
      <c r="K3620" s="21">
        <v>41506.499444444402</v>
      </c>
      <c r="L3620">
        <v>2013</v>
      </c>
      <c r="M3620" s="21">
        <v>42152.475405092599</v>
      </c>
      <c r="N3620">
        <v>2015</v>
      </c>
      <c r="Q3620" s="262">
        <v>3360000</v>
      </c>
      <c r="R3620" s="262">
        <v>451000</v>
      </c>
      <c r="S3620" t="s">
        <v>114</v>
      </c>
      <c r="T3620" t="s">
        <v>114</v>
      </c>
      <c r="W3620">
        <v>4587</v>
      </c>
      <c r="X3620">
        <v>1</v>
      </c>
      <c r="Y3620">
        <v>0</v>
      </c>
      <c r="Z3620">
        <v>0</v>
      </c>
      <c r="AA3620">
        <v>0</v>
      </c>
      <c r="AB3620">
        <v>0</v>
      </c>
      <c r="AC3620">
        <v>4587</v>
      </c>
      <c r="AD3620">
        <v>0</v>
      </c>
      <c r="AE3620">
        <v>0</v>
      </c>
      <c r="AF3620">
        <v>0</v>
      </c>
      <c r="AG3620">
        <v>0</v>
      </c>
      <c r="AH3620">
        <v>0</v>
      </c>
      <c r="AI3620">
        <v>0</v>
      </c>
      <c r="AJ3620">
        <v>0</v>
      </c>
      <c r="AK3620">
        <v>0</v>
      </c>
      <c r="AL3620">
        <v>0</v>
      </c>
      <c r="AM3620">
        <v>0</v>
      </c>
      <c r="AN3620">
        <v>0</v>
      </c>
      <c r="AO3620">
        <v>1</v>
      </c>
      <c r="AP3620">
        <v>0</v>
      </c>
      <c r="AQ3620">
        <v>0</v>
      </c>
      <c r="AR3620">
        <v>0</v>
      </c>
      <c r="AS3620">
        <v>0</v>
      </c>
      <c r="AT3620">
        <v>0</v>
      </c>
      <c r="AU3620">
        <f t="shared" si="112"/>
        <v>1</v>
      </c>
      <c r="AV3620">
        <f t="shared" si="113"/>
        <v>0</v>
      </c>
    </row>
    <row r="3621" spans="1:48" x14ac:dyDescent="0.25">
      <c r="A3621" t="s">
        <v>11467</v>
      </c>
      <c r="C3621" t="s">
        <v>11468</v>
      </c>
      <c r="D3621" t="s">
        <v>11466</v>
      </c>
      <c r="E3621" t="s">
        <v>2310</v>
      </c>
      <c r="F3621">
        <v>13</v>
      </c>
      <c r="G3621">
        <v>13.2</v>
      </c>
      <c r="H3621" t="s">
        <v>2327</v>
      </c>
      <c r="I3621" s="21">
        <v>41409.670578703699</v>
      </c>
      <c r="J3621">
        <v>2013</v>
      </c>
      <c r="K3621" s="21">
        <v>41506.4988310185</v>
      </c>
      <c r="L3621">
        <v>2013</v>
      </c>
      <c r="M3621" s="21">
        <v>42136.411377314798</v>
      </c>
      <c r="N3621">
        <v>2015</v>
      </c>
      <c r="Q3621" s="262">
        <v>20000</v>
      </c>
      <c r="R3621" s="262">
        <v>12000</v>
      </c>
      <c r="S3621" t="s">
        <v>114</v>
      </c>
      <c r="T3621" t="s">
        <v>114</v>
      </c>
      <c r="W3621">
        <v>284</v>
      </c>
      <c r="X3621">
        <v>0</v>
      </c>
      <c r="Y3621">
        <v>0</v>
      </c>
      <c r="Z3621">
        <v>0</v>
      </c>
      <c r="AA3621">
        <v>0</v>
      </c>
      <c r="AB3621">
        <v>0</v>
      </c>
      <c r="AC3621">
        <v>284</v>
      </c>
      <c r="AD3621">
        <v>0</v>
      </c>
      <c r="AE3621">
        <v>0</v>
      </c>
      <c r="AF3621">
        <v>0</v>
      </c>
      <c r="AG3621">
        <v>0</v>
      </c>
      <c r="AH3621">
        <v>0</v>
      </c>
      <c r="AI3621">
        <v>0</v>
      </c>
      <c r="AJ3621">
        <v>0</v>
      </c>
      <c r="AK3621">
        <v>0</v>
      </c>
      <c r="AL3621">
        <v>0</v>
      </c>
      <c r="AM3621">
        <v>0</v>
      </c>
      <c r="AN3621">
        <v>0</v>
      </c>
      <c r="AO3621">
        <v>0</v>
      </c>
      <c r="AP3621">
        <v>0</v>
      </c>
      <c r="AQ3621">
        <v>0</v>
      </c>
      <c r="AR3621">
        <v>0</v>
      </c>
      <c r="AS3621">
        <v>0</v>
      </c>
      <c r="AT3621">
        <v>0</v>
      </c>
      <c r="AU3621">
        <f t="shared" si="112"/>
        <v>0</v>
      </c>
      <c r="AV3621">
        <f t="shared" si="113"/>
        <v>0</v>
      </c>
    </row>
    <row r="3622" spans="1:48" x14ac:dyDescent="0.25">
      <c r="A3622" t="s">
        <v>11469</v>
      </c>
      <c r="C3622" t="s">
        <v>10187</v>
      </c>
      <c r="D3622" t="s">
        <v>11466</v>
      </c>
      <c r="E3622" t="s">
        <v>2310</v>
      </c>
      <c r="F3622">
        <v>13</v>
      </c>
      <c r="G3622">
        <v>13.2</v>
      </c>
      <c r="H3622" t="s">
        <v>2327</v>
      </c>
      <c r="I3622" s="21">
        <v>41409.670624999999</v>
      </c>
      <c r="J3622">
        <v>2013</v>
      </c>
      <c r="K3622" s="21">
        <v>41506.496793981503</v>
      </c>
      <c r="L3622">
        <v>2013</v>
      </c>
      <c r="M3622" s="21">
        <v>42136.416840277801</v>
      </c>
      <c r="N3622">
        <v>2015</v>
      </c>
      <c r="Q3622" s="262">
        <v>170000</v>
      </c>
      <c r="R3622" s="262">
        <v>127000</v>
      </c>
      <c r="S3622" t="s">
        <v>114</v>
      </c>
      <c r="T3622" t="s">
        <v>114</v>
      </c>
      <c r="W3622">
        <v>1664</v>
      </c>
      <c r="X3622">
        <v>1</v>
      </c>
      <c r="Y3622">
        <v>0</v>
      </c>
      <c r="Z3622">
        <v>0</v>
      </c>
      <c r="AA3622">
        <v>0</v>
      </c>
      <c r="AB3622">
        <v>0</v>
      </c>
      <c r="AC3622">
        <v>716</v>
      </c>
      <c r="AD3622">
        <v>0</v>
      </c>
      <c r="AE3622">
        <v>0</v>
      </c>
      <c r="AF3622">
        <v>948</v>
      </c>
      <c r="AG3622">
        <v>0</v>
      </c>
      <c r="AH3622">
        <v>0</v>
      </c>
      <c r="AI3622">
        <v>0</v>
      </c>
      <c r="AJ3622">
        <v>0</v>
      </c>
      <c r="AK3622">
        <v>0</v>
      </c>
      <c r="AL3622">
        <v>0</v>
      </c>
      <c r="AM3622">
        <v>0</v>
      </c>
      <c r="AN3622">
        <v>0</v>
      </c>
      <c r="AO3622">
        <v>0</v>
      </c>
      <c r="AP3622">
        <v>0</v>
      </c>
      <c r="AQ3622">
        <v>0</v>
      </c>
      <c r="AR3622">
        <v>1</v>
      </c>
      <c r="AS3622">
        <v>0</v>
      </c>
      <c r="AT3622">
        <v>0</v>
      </c>
      <c r="AU3622">
        <f t="shared" si="112"/>
        <v>0</v>
      </c>
      <c r="AV3622">
        <f t="shared" si="113"/>
        <v>0</v>
      </c>
    </row>
    <row r="3623" spans="1:48" x14ac:dyDescent="0.25">
      <c r="A3623" t="s">
        <v>11470</v>
      </c>
      <c r="C3623" t="s">
        <v>11471</v>
      </c>
      <c r="D3623" t="s">
        <v>9700</v>
      </c>
      <c r="E3623" t="s">
        <v>2310</v>
      </c>
      <c r="F3623">
        <v>10</v>
      </c>
      <c r="G3623">
        <v>10.1</v>
      </c>
      <c r="H3623" t="s">
        <v>2323</v>
      </c>
      <c r="I3623" s="21">
        <v>41411.582291666702</v>
      </c>
      <c r="J3623">
        <v>2013</v>
      </c>
      <c r="K3623" s="21">
        <v>41474.7011921296</v>
      </c>
      <c r="L3623">
        <v>2013</v>
      </c>
      <c r="M3623" s="21">
        <v>41697.463171296302</v>
      </c>
      <c r="N3623">
        <v>2014</v>
      </c>
      <c r="Q3623" s="262">
        <v>350000</v>
      </c>
      <c r="R3623" s="262">
        <v>179000</v>
      </c>
      <c r="S3623" t="s">
        <v>114</v>
      </c>
      <c r="T3623" t="s">
        <v>114</v>
      </c>
      <c r="V3623">
        <v>984</v>
      </c>
      <c r="W3623">
        <v>1350</v>
      </c>
      <c r="X3623">
        <v>0</v>
      </c>
      <c r="Y3623">
        <v>0</v>
      </c>
      <c r="Z3623">
        <v>0</v>
      </c>
      <c r="AA3623">
        <v>0</v>
      </c>
      <c r="AB3623">
        <v>0</v>
      </c>
      <c r="AC3623">
        <v>1350</v>
      </c>
      <c r="AD3623">
        <v>0</v>
      </c>
      <c r="AE3623">
        <v>0</v>
      </c>
      <c r="AF3623">
        <v>0</v>
      </c>
      <c r="AG3623">
        <v>0</v>
      </c>
      <c r="AH3623">
        <v>0</v>
      </c>
      <c r="AI3623">
        <v>0</v>
      </c>
      <c r="AJ3623">
        <v>0</v>
      </c>
      <c r="AK3623">
        <v>0</v>
      </c>
      <c r="AL3623">
        <v>0</v>
      </c>
      <c r="AM3623">
        <v>0</v>
      </c>
      <c r="AN3623">
        <v>0</v>
      </c>
      <c r="AO3623">
        <v>0</v>
      </c>
      <c r="AP3623">
        <v>0</v>
      </c>
      <c r="AQ3623">
        <v>0</v>
      </c>
      <c r="AR3623">
        <v>0</v>
      </c>
      <c r="AS3623">
        <v>0</v>
      </c>
      <c r="AT3623">
        <v>0</v>
      </c>
      <c r="AU3623">
        <f t="shared" si="112"/>
        <v>0</v>
      </c>
      <c r="AV3623">
        <f t="shared" si="113"/>
        <v>0</v>
      </c>
    </row>
    <row r="3624" spans="1:48" x14ac:dyDescent="0.25">
      <c r="A3624" t="s">
        <v>11472</v>
      </c>
      <c r="C3624" t="s">
        <v>11473</v>
      </c>
      <c r="D3624" t="s">
        <v>11474</v>
      </c>
      <c r="E3624" t="s">
        <v>2310</v>
      </c>
      <c r="F3624">
        <v>15</v>
      </c>
      <c r="G3624">
        <v>15.2</v>
      </c>
      <c r="H3624" t="s">
        <v>2323</v>
      </c>
      <c r="I3624" s="21">
        <v>41411.652141203696</v>
      </c>
      <c r="J3624">
        <v>2013</v>
      </c>
      <c r="K3624" s="21">
        <v>41444.359189814801</v>
      </c>
      <c r="L3624">
        <v>2013</v>
      </c>
      <c r="M3624" s="21">
        <v>42089.562569444402</v>
      </c>
      <c r="N3624">
        <v>2015</v>
      </c>
      <c r="Q3624" s="262">
        <v>550000</v>
      </c>
      <c r="R3624" s="262">
        <v>192000</v>
      </c>
      <c r="S3624" t="s">
        <v>114</v>
      </c>
      <c r="T3624" t="s">
        <v>114</v>
      </c>
      <c r="W3624">
        <v>2091</v>
      </c>
      <c r="X3624">
        <v>1</v>
      </c>
      <c r="Y3624">
        <v>0</v>
      </c>
      <c r="Z3624">
        <v>0</v>
      </c>
      <c r="AA3624">
        <v>0</v>
      </c>
      <c r="AB3624">
        <v>0</v>
      </c>
      <c r="AC3624">
        <v>1100</v>
      </c>
      <c r="AD3624">
        <v>0</v>
      </c>
      <c r="AE3624">
        <v>0</v>
      </c>
      <c r="AF3624">
        <v>991</v>
      </c>
      <c r="AG3624">
        <v>0</v>
      </c>
      <c r="AH3624">
        <v>0</v>
      </c>
      <c r="AI3624">
        <v>0</v>
      </c>
      <c r="AJ3624">
        <v>0</v>
      </c>
      <c r="AK3624">
        <v>0</v>
      </c>
      <c r="AL3624">
        <v>0</v>
      </c>
      <c r="AM3624">
        <v>0</v>
      </c>
      <c r="AN3624">
        <v>0</v>
      </c>
      <c r="AO3624">
        <v>0</v>
      </c>
      <c r="AP3624">
        <v>0</v>
      </c>
      <c r="AQ3624">
        <v>0</v>
      </c>
      <c r="AR3624">
        <v>1</v>
      </c>
      <c r="AS3624">
        <v>0</v>
      </c>
      <c r="AT3624">
        <v>0</v>
      </c>
      <c r="AU3624">
        <f t="shared" si="112"/>
        <v>0</v>
      </c>
      <c r="AV3624">
        <f t="shared" si="113"/>
        <v>0</v>
      </c>
    </row>
    <row r="3625" spans="1:48" x14ac:dyDescent="0.25">
      <c r="A3625" t="s">
        <v>11475</v>
      </c>
      <c r="C3625" t="s">
        <v>11476</v>
      </c>
      <c r="D3625" t="s">
        <v>11306</v>
      </c>
      <c r="E3625" t="s">
        <v>2310</v>
      </c>
      <c r="F3625">
        <v>15</v>
      </c>
      <c r="G3625">
        <v>15.1</v>
      </c>
      <c r="H3625" t="s">
        <v>2022</v>
      </c>
      <c r="I3625" s="21">
        <v>41416.455300925903</v>
      </c>
      <c r="J3625">
        <v>2013</v>
      </c>
      <c r="K3625" s="21">
        <v>41452.451979166697</v>
      </c>
      <c r="L3625">
        <v>2013</v>
      </c>
      <c r="M3625" s="21">
        <v>42054.436539351896</v>
      </c>
      <c r="N3625">
        <v>2015</v>
      </c>
      <c r="Q3625" s="262">
        <v>800000</v>
      </c>
      <c r="R3625" s="262">
        <v>64000</v>
      </c>
      <c r="S3625" t="s">
        <v>114</v>
      </c>
      <c r="T3625" t="s">
        <v>114</v>
      </c>
      <c r="W3625">
        <v>607</v>
      </c>
      <c r="X3625">
        <v>0</v>
      </c>
      <c r="Y3625">
        <v>0</v>
      </c>
      <c r="Z3625">
        <v>0</v>
      </c>
      <c r="AA3625">
        <v>0</v>
      </c>
      <c r="AB3625">
        <v>0</v>
      </c>
      <c r="AC3625">
        <v>607</v>
      </c>
      <c r="AD3625">
        <v>0</v>
      </c>
      <c r="AE3625">
        <v>0</v>
      </c>
      <c r="AF3625">
        <v>0</v>
      </c>
      <c r="AG3625">
        <v>0</v>
      </c>
      <c r="AH3625">
        <v>0</v>
      </c>
      <c r="AI3625">
        <v>0</v>
      </c>
      <c r="AJ3625">
        <v>0</v>
      </c>
      <c r="AK3625">
        <v>0</v>
      </c>
      <c r="AL3625">
        <v>0</v>
      </c>
      <c r="AM3625">
        <v>0</v>
      </c>
      <c r="AN3625">
        <v>0</v>
      </c>
      <c r="AO3625">
        <v>0</v>
      </c>
      <c r="AP3625">
        <v>0</v>
      </c>
      <c r="AQ3625">
        <v>0</v>
      </c>
      <c r="AR3625">
        <v>0</v>
      </c>
      <c r="AS3625">
        <v>0</v>
      </c>
      <c r="AT3625">
        <v>0</v>
      </c>
      <c r="AU3625">
        <f t="shared" si="112"/>
        <v>0</v>
      </c>
      <c r="AV3625">
        <f t="shared" si="113"/>
        <v>0</v>
      </c>
    </row>
    <row r="3626" spans="1:48" x14ac:dyDescent="0.25">
      <c r="A3626" t="s">
        <v>11477</v>
      </c>
      <c r="C3626" t="s">
        <v>11478</v>
      </c>
      <c r="D3626" t="s">
        <v>11479</v>
      </c>
      <c r="E3626" t="s">
        <v>2310</v>
      </c>
      <c r="F3626">
        <v>13</v>
      </c>
      <c r="G3626">
        <v>13.3</v>
      </c>
      <c r="H3626" t="s">
        <v>2017</v>
      </c>
      <c r="I3626" s="21">
        <v>41416.5682407407</v>
      </c>
      <c r="J3626">
        <v>2013</v>
      </c>
      <c r="K3626" s="21">
        <v>41522.5519907407</v>
      </c>
      <c r="L3626">
        <v>2013</v>
      </c>
      <c r="M3626" s="21">
        <v>42374.394074074102</v>
      </c>
      <c r="N3626">
        <v>2016</v>
      </c>
      <c r="Q3626" s="262">
        <v>2500000</v>
      </c>
      <c r="R3626" s="262">
        <v>817000</v>
      </c>
      <c r="S3626" t="s">
        <v>114</v>
      </c>
      <c r="T3626" t="s">
        <v>114</v>
      </c>
      <c r="W3626">
        <v>8886</v>
      </c>
      <c r="X3626">
        <v>1</v>
      </c>
      <c r="Y3626">
        <v>0</v>
      </c>
      <c r="Z3626">
        <v>0</v>
      </c>
      <c r="AA3626">
        <v>0</v>
      </c>
      <c r="AB3626">
        <v>0</v>
      </c>
      <c r="AC3626">
        <v>8886</v>
      </c>
      <c r="AD3626">
        <v>0</v>
      </c>
      <c r="AE3626">
        <v>0</v>
      </c>
      <c r="AF3626">
        <v>0</v>
      </c>
      <c r="AG3626">
        <v>0</v>
      </c>
      <c r="AH3626">
        <v>0</v>
      </c>
      <c r="AI3626">
        <v>0</v>
      </c>
      <c r="AJ3626">
        <v>0</v>
      </c>
      <c r="AK3626">
        <v>0</v>
      </c>
      <c r="AL3626">
        <v>0</v>
      </c>
      <c r="AM3626">
        <v>0</v>
      </c>
      <c r="AN3626">
        <v>0</v>
      </c>
      <c r="AO3626">
        <v>1</v>
      </c>
      <c r="AP3626">
        <v>0</v>
      </c>
      <c r="AQ3626">
        <v>0</v>
      </c>
      <c r="AR3626">
        <v>0</v>
      </c>
      <c r="AS3626">
        <v>0</v>
      </c>
      <c r="AT3626">
        <v>0</v>
      </c>
      <c r="AU3626">
        <f t="shared" si="112"/>
        <v>1</v>
      </c>
      <c r="AV3626">
        <f t="shared" si="113"/>
        <v>0</v>
      </c>
    </row>
    <row r="3627" spans="1:48" x14ac:dyDescent="0.25">
      <c r="A3627" t="s">
        <v>11480</v>
      </c>
      <c r="C3627" t="s">
        <v>11246</v>
      </c>
      <c r="D3627" t="s">
        <v>11481</v>
      </c>
      <c r="E3627" t="s">
        <v>1663</v>
      </c>
      <c r="F3627">
        <v>3</v>
      </c>
      <c r="G3627">
        <v>3.1</v>
      </c>
      <c r="H3627" t="s">
        <v>2017</v>
      </c>
      <c r="I3627" s="21">
        <v>41418</v>
      </c>
      <c r="J3627">
        <v>2013</v>
      </c>
      <c r="K3627" s="21">
        <v>41523</v>
      </c>
      <c r="L3627">
        <v>2013</v>
      </c>
      <c r="M3627" s="21">
        <v>41704</v>
      </c>
      <c r="N3627">
        <v>2014</v>
      </c>
      <c r="Q3627" s="262">
        <v>400000</v>
      </c>
      <c r="S3627" t="s">
        <v>114</v>
      </c>
      <c r="T3627" t="s">
        <v>114</v>
      </c>
      <c r="W3627">
        <v>3346</v>
      </c>
      <c r="X3627">
        <v>0</v>
      </c>
      <c r="Y3627">
        <v>0</v>
      </c>
      <c r="Z3627">
        <v>0</v>
      </c>
      <c r="AA3627">
        <v>0</v>
      </c>
      <c r="AB3627">
        <v>0</v>
      </c>
      <c r="AC3627">
        <v>3346</v>
      </c>
      <c r="AD3627">
        <v>0</v>
      </c>
      <c r="AE3627">
        <v>0</v>
      </c>
      <c r="AF3627">
        <v>0</v>
      </c>
      <c r="AG3627">
        <v>0</v>
      </c>
      <c r="AH3627">
        <v>0</v>
      </c>
      <c r="AI3627">
        <v>0</v>
      </c>
      <c r="AJ3627">
        <v>0</v>
      </c>
      <c r="AK3627">
        <v>0</v>
      </c>
      <c r="AL3627">
        <v>0</v>
      </c>
      <c r="AM3627">
        <v>0</v>
      </c>
      <c r="AN3627">
        <v>0</v>
      </c>
      <c r="AO3627">
        <v>0</v>
      </c>
      <c r="AP3627">
        <v>0</v>
      </c>
      <c r="AQ3627">
        <v>0</v>
      </c>
      <c r="AR3627">
        <v>0</v>
      </c>
      <c r="AS3627">
        <v>0</v>
      </c>
      <c r="AT3627">
        <v>0</v>
      </c>
      <c r="AU3627">
        <f t="shared" si="112"/>
        <v>0</v>
      </c>
      <c r="AV3627">
        <f t="shared" si="113"/>
        <v>0</v>
      </c>
    </row>
    <row r="3628" spans="1:48" x14ac:dyDescent="0.25">
      <c r="A3628" t="s">
        <v>11482</v>
      </c>
      <c r="C3628" t="s">
        <v>11483</v>
      </c>
      <c r="D3628" t="s">
        <v>8220</v>
      </c>
      <c r="E3628" t="s">
        <v>1663</v>
      </c>
      <c r="F3628">
        <v>3</v>
      </c>
      <c r="G3628">
        <v>3.1</v>
      </c>
      <c r="H3628" t="s">
        <v>2017</v>
      </c>
      <c r="I3628" s="21">
        <v>41418</v>
      </c>
      <c r="J3628">
        <v>2013</v>
      </c>
      <c r="K3628" s="21">
        <v>41437</v>
      </c>
      <c r="L3628">
        <v>2013</v>
      </c>
      <c r="M3628" s="21">
        <v>41620</v>
      </c>
      <c r="N3628">
        <v>2013</v>
      </c>
      <c r="Q3628" s="262">
        <v>100000</v>
      </c>
      <c r="S3628" t="s">
        <v>114</v>
      </c>
      <c r="T3628" t="s">
        <v>114</v>
      </c>
      <c r="W3628">
        <v>167</v>
      </c>
      <c r="X3628">
        <v>0</v>
      </c>
      <c r="Y3628">
        <v>0</v>
      </c>
      <c r="Z3628">
        <v>0</v>
      </c>
      <c r="AA3628">
        <v>0</v>
      </c>
      <c r="AB3628">
        <v>0</v>
      </c>
      <c r="AC3628">
        <v>167</v>
      </c>
      <c r="AD3628">
        <v>0</v>
      </c>
      <c r="AE3628">
        <v>0</v>
      </c>
      <c r="AF3628">
        <v>0</v>
      </c>
      <c r="AG3628">
        <v>0</v>
      </c>
      <c r="AH3628">
        <v>0</v>
      </c>
      <c r="AI3628">
        <v>0</v>
      </c>
      <c r="AJ3628">
        <v>0</v>
      </c>
      <c r="AK3628">
        <v>0</v>
      </c>
      <c r="AL3628">
        <v>0</v>
      </c>
      <c r="AM3628">
        <v>0</v>
      </c>
      <c r="AN3628">
        <v>0</v>
      </c>
      <c r="AO3628">
        <v>0</v>
      </c>
      <c r="AP3628">
        <v>0</v>
      </c>
      <c r="AQ3628">
        <v>0</v>
      </c>
      <c r="AR3628">
        <v>0</v>
      </c>
      <c r="AS3628">
        <v>0</v>
      </c>
      <c r="AT3628">
        <v>0</v>
      </c>
      <c r="AU3628">
        <f t="shared" si="112"/>
        <v>0</v>
      </c>
      <c r="AV3628">
        <f t="shared" si="113"/>
        <v>0</v>
      </c>
    </row>
    <row r="3629" spans="1:48" x14ac:dyDescent="0.25">
      <c r="A3629" t="s">
        <v>11487</v>
      </c>
      <c r="C3629" t="s">
        <v>11488</v>
      </c>
      <c r="D3629" t="s">
        <v>11489</v>
      </c>
      <c r="E3629" t="s">
        <v>1663</v>
      </c>
      <c r="F3629">
        <v>6</v>
      </c>
      <c r="G3629">
        <v>6.1</v>
      </c>
      <c r="H3629" t="s">
        <v>2017</v>
      </c>
      <c r="I3629" s="21">
        <v>41424</v>
      </c>
      <c r="J3629">
        <v>2013</v>
      </c>
      <c r="K3629" s="21">
        <v>41473</v>
      </c>
      <c r="L3629">
        <v>2013</v>
      </c>
      <c r="M3629" s="21">
        <v>41657</v>
      </c>
      <c r="N3629">
        <v>2014</v>
      </c>
      <c r="Q3629" s="262">
        <v>125000</v>
      </c>
      <c r="S3629" t="s">
        <v>114</v>
      </c>
      <c r="T3629" t="s">
        <v>114</v>
      </c>
      <c r="W3629">
        <v>492</v>
      </c>
      <c r="X3629">
        <v>0</v>
      </c>
      <c r="Y3629">
        <v>0</v>
      </c>
      <c r="Z3629">
        <v>0</v>
      </c>
      <c r="AA3629">
        <v>0</v>
      </c>
      <c r="AB3629">
        <v>0</v>
      </c>
      <c r="AC3629">
        <v>492</v>
      </c>
      <c r="AD3629">
        <v>0</v>
      </c>
      <c r="AE3629">
        <v>0</v>
      </c>
      <c r="AF3629">
        <v>0</v>
      </c>
      <c r="AG3629">
        <v>0</v>
      </c>
      <c r="AH3629">
        <v>0</v>
      </c>
      <c r="AI3629">
        <v>0</v>
      </c>
      <c r="AJ3629">
        <v>0</v>
      </c>
      <c r="AK3629">
        <v>0</v>
      </c>
      <c r="AL3629">
        <v>0</v>
      </c>
      <c r="AM3629">
        <v>0</v>
      </c>
      <c r="AN3629">
        <v>0</v>
      </c>
      <c r="AO3629">
        <v>0</v>
      </c>
      <c r="AP3629">
        <v>0</v>
      </c>
      <c r="AQ3629">
        <v>0</v>
      </c>
      <c r="AR3629">
        <v>0</v>
      </c>
      <c r="AS3629">
        <v>0</v>
      </c>
      <c r="AT3629">
        <v>0</v>
      </c>
      <c r="AU3629">
        <f t="shared" si="112"/>
        <v>0</v>
      </c>
      <c r="AV3629">
        <f t="shared" si="113"/>
        <v>0</v>
      </c>
    </row>
    <row r="3630" spans="1:48" x14ac:dyDescent="0.25">
      <c r="A3630" t="s">
        <v>11484</v>
      </c>
      <c r="C3630" t="s">
        <v>11485</v>
      </c>
      <c r="D3630" t="s">
        <v>11486</v>
      </c>
      <c r="E3630" t="s">
        <v>1663</v>
      </c>
      <c r="F3630">
        <v>3</v>
      </c>
      <c r="G3630">
        <v>3.2</v>
      </c>
      <c r="H3630" t="s">
        <v>2327</v>
      </c>
      <c r="I3630" s="21">
        <v>41424</v>
      </c>
      <c r="J3630">
        <v>2013</v>
      </c>
      <c r="K3630" s="21">
        <v>41471</v>
      </c>
      <c r="L3630">
        <v>2013</v>
      </c>
      <c r="M3630" s="21">
        <v>41655</v>
      </c>
      <c r="N3630">
        <v>2014</v>
      </c>
      <c r="Q3630" s="262">
        <v>500000</v>
      </c>
      <c r="S3630" t="s">
        <v>114</v>
      </c>
      <c r="T3630" t="s">
        <v>114</v>
      </c>
      <c r="W3630">
        <v>2649</v>
      </c>
      <c r="X3630">
        <v>0</v>
      </c>
      <c r="Y3630">
        <v>0</v>
      </c>
      <c r="Z3630">
        <v>0</v>
      </c>
      <c r="AA3630">
        <v>0</v>
      </c>
      <c r="AB3630">
        <v>0</v>
      </c>
      <c r="AC3630">
        <v>2649</v>
      </c>
      <c r="AD3630">
        <v>0</v>
      </c>
      <c r="AE3630">
        <v>0</v>
      </c>
      <c r="AF3630">
        <v>0</v>
      </c>
      <c r="AG3630">
        <v>0</v>
      </c>
      <c r="AH3630">
        <v>0</v>
      </c>
      <c r="AI3630">
        <v>0</v>
      </c>
      <c r="AJ3630">
        <v>0</v>
      </c>
      <c r="AK3630">
        <v>0</v>
      </c>
      <c r="AL3630">
        <v>0</v>
      </c>
      <c r="AM3630">
        <v>0</v>
      </c>
      <c r="AN3630">
        <v>0</v>
      </c>
      <c r="AO3630">
        <v>0</v>
      </c>
      <c r="AP3630">
        <v>0</v>
      </c>
      <c r="AQ3630">
        <v>0</v>
      </c>
      <c r="AR3630">
        <v>0</v>
      </c>
      <c r="AS3630">
        <v>0</v>
      </c>
      <c r="AT3630">
        <v>0</v>
      </c>
      <c r="AU3630">
        <f t="shared" si="112"/>
        <v>0</v>
      </c>
      <c r="AV3630">
        <f t="shared" si="113"/>
        <v>0</v>
      </c>
    </row>
    <row r="3631" spans="1:48" x14ac:dyDescent="0.25">
      <c r="A3631" t="s">
        <v>11490</v>
      </c>
      <c r="C3631" t="s">
        <v>10175</v>
      </c>
      <c r="D3631" t="s">
        <v>11491</v>
      </c>
      <c r="E3631" t="s">
        <v>2310</v>
      </c>
      <c r="F3631">
        <v>9</v>
      </c>
      <c r="G3631">
        <v>9.1999999999999993</v>
      </c>
      <c r="H3631" t="s">
        <v>2022</v>
      </c>
      <c r="I3631" s="21">
        <v>41428.396712962996</v>
      </c>
      <c r="J3631">
        <v>2013</v>
      </c>
      <c r="K3631" s="21">
        <v>41492.617442129602</v>
      </c>
      <c r="L3631">
        <v>2013</v>
      </c>
      <c r="M3631" s="21">
        <v>41919.369745370401</v>
      </c>
      <c r="N3631">
        <v>2014</v>
      </c>
      <c r="Q3631" s="262">
        <v>1200000</v>
      </c>
      <c r="R3631" s="262">
        <v>558000</v>
      </c>
      <c r="S3631" t="s">
        <v>114</v>
      </c>
      <c r="T3631" t="s">
        <v>114</v>
      </c>
      <c r="W3631">
        <v>6332</v>
      </c>
      <c r="X3631">
        <v>1</v>
      </c>
      <c r="Y3631">
        <v>0</v>
      </c>
      <c r="Z3631">
        <v>0</v>
      </c>
      <c r="AA3631">
        <v>0</v>
      </c>
      <c r="AB3631">
        <v>0</v>
      </c>
      <c r="AC3631">
        <v>6332</v>
      </c>
      <c r="AD3631">
        <v>0</v>
      </c>
      <c r="AE3631">
        <v>0</v>
      </c>
      <c r="AF3631">
        <v>0</v>
      </c>
      <c r="AG3631">
        <v>0</v>
      </c>
      <c r="AH3631">
        <v>0</v>
      </c>
      <c r="AI3631">
        <v>0</v>
      </c>
      <c r="AJ3631">
        <v>0</v>
      </c>
      <c r="AK3631">
        <v>0</v>
      </c>
      <c r="AL3631">
        <v>0</v>
      </c>
      <c r="AM3631">
        <v>0</v>
      </c>
      <c r="AN3631">
        <v>0</v>
      </c>
      <c r="AO3631">
        <v>1</v>
      </c>
      <c r="AP3631">
        <v>0</v>
      </c>
      <c r="AQ3631">
        <v>0</v>
      </c>
      <c r="AR3631">
        <v>0</v>
      </c>
      <c r="AS3631">
        <v>0</v>
      </c>
      <c r="AT3631">
        <v>0</v>
      </c>
      <c r="AU3631">
        <f t="shared" si="112"/>
        <v>1</v>
      </c>
      <c r="AV3631">
        <f t="shared" si="113"/>
        <v>0</v>
      </c>
    </row>
    <row r="3632" spans="1:48" x14ac:dyDescent="0.25">
      <c r="A3632" t="s">
        <v>11492</v>
      </c>
      <c r="C3632" t="s">
        <v>4934</v>
      </c>
      <c r="D3632" t="s">
        <v>11491</v>
      </c>
      <c r="E3632" t="s">
        <v>2310</v>
      </c>
      <c r="F3632">
        <v>9</v>
      </c>
      <c r="G3632">
        <v>9.1999999999999993</v>
      </c>
      <c r="H3632" t="s">
        <v>2022</v>
      </c>
      <c r="I3632" s="21">
        <v>41428.418240740699</v>
      </c>
      <c r="J3632">
        <v>2013</v>
      </c>
      <c r="K3632" s="21">
        <v>41499.727592592601</v>
      </c>
      <c r="L3632">
        <v>2013</v>
      </c>
      <c r="M3632" s="21">
        <v>41919.471863425897</v>
      </c>
      <c r="N3632">
        <v>2014</v>
      </c>
      <c r="Q3632" s="262">
        <v>120000</v>
      </c>
      <c r="R3632" s="262">
        <v>106000</v>
      </c>
      <c r="S3632" t="s">
        <v>114</v>
      </c>
      <c r="T3632" t="s">
        <v>114</v>
      </c>
      <c r="W3632">
        <v>2235</v>
      </c>
      <c r="X3632">
        <v>0</v>
      </c>
      <c r="Y3632">
        <v>0</v>
      </c>
      <c r="Z3632">
        <v>0</v>
      </c>
      <c r="AA3632">
        <v>0</v>
      </c>
      <c r="AB3632">
        <v>0</v>
      </c>
      <c r="AC3632">
        <v>2235</v>
      </c>
      <c r="AD3632">
        <v>0</v>
      </c>
      <c r="AE3632">
        <v>0</v>
      </c>
      <c r="AF3632">
        <v>0</v>
      </c>
      <c r="AG3632">
        <v>0</v>
      </c>
      <c r="AH3632">
        <v>0</v>
      </c>
      <c r="AI3632">
        <v>0</v>
      </c>
      <c r="AJ3632">
        <v>0</v>
      </c>
      <c r="AK3632">
        <v>0</v>
      </c>
      <c r="AL3632">
        <v>0</v>
      </c>
      <c r="AM3632">
        <v>0</v>
      </c>
      <c r="AN3632">
        <v>0</v>
      </c>
      <c r="AO3632">
        <v>0</v>
      </c>
      <c r="AP3632">
        <v>0</v>
      </c>
      <c r="AQ3632">
        <v>0</v>
      </c>
      <c r="AR3632">
        <v>0</v>
      </c>
      <c r="AS3632">
        <v>0</v>
      </c>
      <c r="AT3632">
        <v>0</v>
      </c>
      <c r="AU3632">
        <f t="shared" si="112"/>
        <v>0</v>
      </c>
      <c r="AV3632">
        <f t="shared" si="113"/>
        <v>0</v>
      </c>
    </row>
    <row r="3633" spans="1:48" x14ac:dyDescent="0.25">
      <c r="A3633" t="s">
        <v>11493</v>
      </c>
      <c r="C3633" t="s">
        <v>11111</v>
      </c>
      <c r="D3633" t="s">
        <v>11494</v>
      </c>
      <c r="E3633" t="s">
        <v>2310</v>
      </c>
      <c r="F3633">
        <v>9</v>
      </c>
      <c r="G3633">
        <v>9.1</v>
      </c>
      <c r="H3633" t="s">
        <v>2323</v>
      </c>
      <c r="I3633" s="21">
        <v>41428.4827546296</v>
      </c>
      <c r="J3633">
        <v>2013</v>
      </c>
      <c r="K3633" s="21">
        <v>41467.516562500001</v>
      </c>
      <c r="L3633">
        <v>2013</v>
      </c>
      <c r="M3633" s="21">
        <v>41872.664861111101</v>
      </c>
      <c r="N3633">
        <v>2014</v>
      </c>
      <c r="Q3633" s="262">
        <v>825000</v>
      </c>
      <c r="R3633" s="262">
        <v>340000</v>
      </c>
      <c r="S3633" t="s">
        <v>114</v>
      </c>
      <c r="T3633" t="s">
        <v>114</v>
      </c>
      <c r="W3633">
        <v>3703</v>
      </c>
      <c r="X3633">
        <v>1</v>
      </c>
      <c r="Y3633">
        <v>0</v>
      </c>
      <c r="Z3633">
        <v>0</v>
      </c>
      <c r="AA3633">
        <v>0</v>
      </c>
      <c r="AB3633">
        <v>0</v>
      </c>
      <c r="AC3633">
        <v>3703</v>
      </c>
      <c r="AD3633">
        <v>0</v>
      </c>
      <c r="AE3633">
        <v>0</v>
      </c>
      <c r="AF3633">
        <v>0</v>
      </c>
      <c r="AG3633">
        <v>0</v>
      </c>
      <c r="AH3633">
        <v>0</v>
      </c>
      <c r="AI3633">
        <v>0</v>
      </c>
      <c r="AJ3633">
        <v>0</v>
      </c>
      <c r="AK3633">
        <v>0</v>
      </c>
      <c r="AL3633">
        <v>0</v>
      </c>
      <c r="AM3633">
        <v>0</v>
      </c>
      <c r="AN3633">
        <v>0</v>
      </c>
      <c r="AO3633">
        <v>1</v>
      </c>
      <c r="AP3633">
        <v>0</v>
      </c>
      <c r="AQ3633">
        <v>0</v>
      </c>
      <c r="AR3633">
        <v>0</v>
      </c>
      <c r="AS3633">
        <v>0</v>
      </c>
      <c r="AT3633">
        <v>0</v>
      </c>
      <c r="AU3633">
        <f t="shared" si="112"/>
        <v>1</v>
      </c>
      <c r="AV3633">
        <f t="shared" si="113"/>
        <v>0</v>
      </c>
    </row>
    <row r="3634" spans="1:48" x14ac:dyDescent="0.25">
      <c r="A3634" t="s">
        <v>11495</v>
      </c>
      <c r="C3634" t="s">
        <v>11496</v>
      </c>
      <c r="D3634" t="s">
        <v>11497</v>
      </c>
      <c r="E3634" t="s">
        <v>2310</v>
      </c>
      <c r="F3634">
        <v>9</v>
      </c>
      <c r="G3634">
        <v>9.4</v>
      </c>
      <c r="H3634" t="s">
        <v>2323</v>
      </c>
      <c r="I3634" s="21">
        <v>41428.600729166697</v>
      </c>
      <c r="J3634">
        <v>2013</v>
      </c>
      <c r="K3634" s="21">
        <v>41529.699027777802</v>
      </c>
      <c r="L3634">
        <v>2013</v>
      </c>
      <c r="M3634" s="21">
        <v>42494.636689814797</v>
      </c>
      <c r="N3634">
        <v>2016</v>
      </c>
      <c r="Q3634" s="262">
        <v>3000000</v>
      </c>
      <c r="R3634" s="262">
        <v>533000</v>
      </c>
      <c r="S3634" t="s">
        <v>114</v>
      </c>
      <c r="T3634" t="s">
        <v>114</v>
      </c>
      <c r="W3634">
        <v>6847</v>
      </c>
      <c r="X3634">
        <v>1</v>
      </c>
      <c r="Y3634">
        <v>0</v>
      </c>
      <c r="Z3634">
        <v>0</v>
      </c>
      <c r="AA3634">
        <v>0</v>
      </c>
      <c r="AB3634">
        <v>0</v>
      </c>
      <c r="AC3634">
        <v>6847</v>
      </c>
      <c r="AD3634">
        <v>0</v>
      </c>
      <c r="AE3634">
        <v>0</v>
      </c>
      <c r="AF3634">
        <v>0</v>
      </c>
      <c r="AG3634">
        <v>0</v>
      </c>
      <c r="AH3634">
        <v>0</v>
      </c>
      <c r="AI3634">
        <v>0</v>
      </c>
      <c r="AJ3634">
        <v>0</v>
      </c>
      <c r="AK3634">
        <v>0</v>
      </c>
      <c r="AL3634">
        <v>0</v>
      </c>
      <c r="AM3634">
        <v>0</v>
      </c>
      <c r="AN3634">
        <v>0</v>
      </c>
      <c r="AO3634">
        <v>1</v>
      </c>
      <c r="AP3634">
        <v>0</v>
      </c>
      <c r="AQ3634">
        <v>0</v>
      </c>
      <c r="AR3634">
        <v>0</v>
      </c>
      <c r="AS3634">
        <v>0</v>
      </c>
      <c r="AT3634">
        <v>0</v>
      </c>
      <c r="AU3634">
        <f t="shared" si="112"/>
        <v>1</v>
      </c>
      <c r="AV3634">
        <f t="shared" si="113"/>
        <v>0</v>
      </c>
    </row>
    <row r="3635" spans="1:48" x14ac:dyDescent="0.25">
      <c r="A3635" t="s">
        <v>11498</v>
      </c>
      <c r="C3635" t="s">
        <v>5048</v>
      </c>
      <c r="D3635" t="s">
        <v>11499</v>
      </c>
      <c r="E3635" t="s">
        <v>2310</v>
      </c>
      <c r="F3635">
        <v>10</v>
      </c>
      <c r="G3635">
        <v>10.1</v>
      </c>
      <c r="H3635" t="s">
        <v>2323</v>
      </c>
      <c r="I3635" s="21">
        <v>41429.356921296298</v>
      </c>
      <c r="J3635">
        <v>2013</v>
      </c>
      <c r="K3635" s="21">
        <v>41464.509467592601</v>
      </c>
      <c r="L3635">
        <v>2013</v>
      </c>
      <c r="M3635" s="21">
        <v>41642.562696759298</v>
      </c>
      <c r="N3635">
        <v>2014</v>
      </c>
      <c r="Q3635" s="262">
        <v>50000</v>
      </c>
      <c r="R3635" s="262">
        <v>128000</v>
      </c>
      <c r="S3635" t="s">
        <v>114</v>
      </c>
      <c r="T3635" t="s">
        <v>114</v>
      </c>
      <c r="W3635">
        <v>3242</v>
      </c>
      <c r="X3635">
        <v>0</v>
      </c>
      <c r="Y3635">
        <v>0</v>
      </c>
      <c r="Z3635">
        <v>0</v>
      </c>
      <c r="AA3635">
        <v>0</v>
      </c>
      <c r="AB3635">
        <v>0</v>
      </c>
      <c r="AC3635">
        <v>3242</v>
      </c>
      <c r="AD3635">
        <v>0</v>
      </c>
      <c r="AE3635">
        <v>0</v>
      </c>
      <c r="AF3635">
        <v>0</v>
      </c>
      <c r="AG3635">
        <v>0</v>
      </c>
      <c r="AH3635">
        <v>0</v>
      </c>
      <c r="AI3635">
        <v>0</v>
      </c>
      <c r="AJ3635">
        <v>0</v>
      </c>
      <c r="AK3635">
        <v>0</v>
      </c>
      <c r="AL3635">
        <v>0</v>
      </c>
      <c r="AM3635">
        <v>0</v>
      </c>
      <c r="AN3635">
        <v>0</v>
      </c>
      <c r="AO3635">
        <v>0</v>
      </c>
      <c r="AP3635">
        <v>0</v>
      </c>
      <c r="AQ3635">
        <v>0</v>
      </c>
      <c r="AR3635">
        <v>0</v>
      </c>
      <c r="AS3635">
        <v>0</v>
      </c>
      <c r="AT3635">
        <v>0</v>
      </c>
      <c r="AU3635">
        <f t="shared" si="112"/>
        <v>0</v>
      </c>
      <c r="AV3635">
        <f t="shared" si="113"/>
        <v>0</v>
      </c>
    </row>
    <row r="3636" spans="1:48" x14ac:dyDescent="0.25">
      <c r="A3636" t="s">
        <v>11500</v>
      </c>
      <c r="C3636" t="s">
        <v>11501</v>
      </c>
      <c r="D3636" t="s">
        <v>3593</v>
      </c>
      <c r="E3636" t="s">
        <v>2310</v>
      </c>
      <c r="F3636">
        <v>13</v>
      </c>
      <c r="G3636">
        <v>13.3</v>
      </c>
      <c r="H3636" t="s">
        <v>2017</v>
      </c>
      <c r="I3636" s="21">
        <v>41429.638773148101</v>
      </c>
      <c r="J3636">
        <v>2013</v>
      </c>
      <c r="K3636" s="21">
        <v>41478.703321759298</v>
      </c>
      <c r="L3636">
        <v>2013</v>
      </c>
      <c r="M3636" s="21">
        <v>41975.445092592599</v>
      </c>
      <c r="N3636">
        <v>2014</v>
      </c>
      <c r="Q3636" s="262">
        <v>1200000</v>
      </c>
      <c r="R3636" s="262">
        <v>222000</v>
      </c>
      <c r="S3636" t="s">
        <v>114</v>
      </c>
      <c r="T3636" t="s">
        <v>114</v>
      </c>
      <c r="W3636">
        <v>2215</v>
      </c>
      <c r="X3636">
        <v>0</v>
      </c>
      <c r="Y3636">
        <v>0</v>
      </c>
      <c r="Z3636">
        <v>0</v>
      </c>
      <c r="AA3636">
        <v>0</v>
      </c>
      <c r="AB3636">
        <v>0</v>
      </c>
      <c r="AC3636">
        <v>2215</v>
      </c>
      <c r="AD3636">
        <v>0</v>
      </c>
      <c r="AE3636">
        <v>0</v>
      </c>
      <c r="AF3636">
        <v>0</v>
      </c>
      <c r="AG3636">
        <v>0</v>
      </c>
      <c r="AH3636">
        <v>0</v>
      </c>
      <c r="AI3636">
        <v>0</v>
      </c>
      <c r="AJ3636">
        <v>0</v>
      </c>
      <c r="AK3636">
        <v>0</v>
      </c>
      <c r="AL3636">
        <v>0</v>
      </c>
      <c r="AM3636">
        <v>0</v>
      </c>
      <c r="AN3636">
        <v>0</v>
      </c>
      <c r="AO3636">
        <v>0</v>
      </c>
      <c r="AP3636">
        <v>0</v>
      </c>
      <c r="AQ3636">
        <v>0</v>
      </c>
      <c r="AR3636">
        <v>0</v>
      </c>
      <c r="AS3636">
        <v>0</v>
      </c>
      <c r="AT3636">
        <v>0</v>
      </c>
      <c r="AU3636">
        <f t="shared" si="112"/>
        <v>0</v>
      </c>
      <c r="AV3636">
        <f t="shared" si="113"/>
        <v>0</v>
      </c>
    </row>
    <row r="3637" spans="1:48" x14ac:dyDescent="0.25">
      <c r="A3637" t="s">
        <v>11502</v>
      </c>
      <c r="C3637" t="s">
        <v>10246</v>
      </c>
      <c r="D3637" t="s">
        <v>11503</v>
      </c>
      <c r="E3637" t="s">
        <v>2310</v>
      </c>
      <c r="F3637">
        <v>9</v>
      </c>
      <c r="G3637">
        <v>9.1</v>
      </c>
      <c r="H3637" t="s">
        <v>2323</v>
      </c>
      <c r="I3637" s="21">
        <v>41430.504710648202</v>
      </c>
      <c r="J3637">
        <v>2013</v>
      </c>
      <c r="K3637" s="21">
        <v>42502.596018518503</v>
      </c>
      <c r="L3637">
        <v>2016</v>
      </c>
      <c r="M3637" s="21">
        <v>42732.351898148103</v>
      </c>
      <c r="N3637">
        <v>2016</v>
      </c>
      <c r="Q3637" s="262">
        <v>1165000</v>
      </c>
      <c r="R3637" s="262">
        <v>523000</v>
      </c>
      <c r="S3637" t="s">
        <v>114</v>
      </c>
      <c r="T3637" t="s">
        <v>114</v>
      </c>
      <c r="W3637">
        <v>4967</v>
      </c>
      <c r="X3637">
        <v>1</v>
      </c>
      <c r="Y3637">
        <v>0</v>
      </c>
      <c r="Z3637">
        <v>0</v>
      </c>
      <c r="AA3637">
        <v>0</v>
      </c>
      <c r="AB3637">
        <v>0</v>
      </c>
      <c r="AC3637">
        <v>4967</v>
      </c>
      <c r="AD3637">
        <v>0</v>
      </c>
      <c r="AE3637">
        <v>0</v>
      </c>
      <c r="AF3637">
        <v>0</v>
      </c>
      <c r="AG3637">
        <v>0</v>
      </c>
      <c r="AH3637">
        <v>0</v>
      </c>
      <c r="AI3637">
        <v>0</v>
      </c>
      <c r="AJ3637">
        <v>0</v>
      </c>
      <c r="AK3637">
        <v>0</v>
      </c>
      <c r="AL3637">
        <v>0</v>
      </c>
      <c r="AM3637">
        <v>0</v>
      </c>
      <c r="AN3637">
        <v>0</v>
      </c>
      <c r="AO3637">
        <v>1</v>
      </c>
      <c r="AP3637">
        <v>0</v>
      </c>
      <c r="AQ3637">
        <v>0</v>
      </c>
      <c r="AR3637">
        <v>0</v>
      </c>
      <c r="AS3637">
        <v>0</v>
      </c>
      <c r="AT3637">
        <v>0</v>
      </c>
      <c r="AU3637">
        <f t="shared" si="112"/>
        <v>1</v>
      </c>
      <c r="AV3637">
        <f t="shared" si="113"/>
        <v>0</v>
      </c>
    </row>
    <row r="3638" spans="1:48" x14ac:dyDescent="0.25">
      <c r="A3638" t="s">
        <v>11502</v>
      </c>
      <c r="B3638" t="s">
        <v>11504</v>
      </c>
      <c r="C3638" t="s">
        <v>11505</v>
      </c>
      <c r="D3638" t="s">
        <v>11503</v>
      </c>
      <c r="E3638" t="s">
        <v>2310</v>
      </c>
      <c r="F3638">
        <v>9</v>
      </c>
      <c r="G3638">
        <v>9.1</v>
      </c>
      <c r="H3638" t="s">
        <v>2323</v>
      </c>
      <c r="I3638" s="21">
        <v>41430.504710648202</v>
      </c>
      <c r="J3638">
        <v>2013</v>
      </c>
      <c r="K3638" s="21">
        <v>42502.596018518503</v>
      </c>
      <c r="L3638">
        <v>2016</v>
      </c>
      <c r="M3638" s="21">
        <v>42732.351898148103</v>
      </c>
      <c r="N3638">
        <v>2016</v>
      </c>
      <c r="S3638" t="s">
        <v>114</v>
      </c>
      <c r="T3638" t="s">
        <v>114</v>
      </c>
      <c r="V3638">
        <v>0</v>
      </c>
      <c r="W3638">
        <v>28</v>
      </c>
      <c r="X3638">
        <v>0</v>
      </c>
      <c r="Y3638">
        <v>0</v>
      </c>
      <c r="Z3638">
        <v>0</v>
      </c>
      <c r="AA3638">
        <v>0</v>
      </c>
      <c r="AB3638">
        <v>0</v>
      </c>
      <c r="AC3638">
        <v>28</v>
      </c>
      <c r="AD3638">
        <v>0</v>
      </c>
      <c r="AE3638">
        <v>0</v>
      </c>
      <c r="AF3638">
        <v>0</v>
      </c>
      <c r="AG3638">
        <v>0</v>
      </c>
      <c r="AH3638">
        <v>0</v>
      </c>
      <c r="AI3638">
        <v>0</v>
      </c>
      <c r="AJ3638">
        <v>0</v>
      </c>
      <c r="AK3638">
        <v>0</v>
      </c>
      <c r="AL3638">
        <v>0</v>
      </c>
      <c r="AM3638">
        <v>0</v>
      </c>
      <c r="AN3638">
        <v>0</v>
      </c>
      <c r="AO3638">
        <v>0</v>
      </c>
      <c r="AP3638">
        <v>0</v>
      </c>
      <c r="AQ3638">
        <v>0</v>
      </c>
      <c r="AR3638">
        <v>0</v>
      </c>
      <c r="AS3638">
        <v>0</v>
      </c>
      <c r="AT3638">
        <v>0</v>
      </c>
      <c r="AU3638">
        <f t="shared" si="112"/>
        <v>0</v>
      </c>
      <c r="AV3638">
        <f t="shared" si="113"/>
        <v>0</v>
      </c>
    </row>
    <row r="3639" spans="1:48" x14ac:dyDescent="0.25">
      <c r="A3639" t="s">
        <v>11506</v>
      </c>
      <c r="C3639" t="s">
        <v>7880</v>
      </c>
      <c r="D3639" t="s">
        <v>11503</v>
      </c>
      <c r="E3639" t="s">
        <v>2310</v>
      </c>
      <c r="F3639">
        <v>9</v>
      </c>
      <c r="G3639">
        <v>9.1</v>
      </c>
      <c r="H3639" t="s">
        <v>2323</v>
      </c>
      <c r="I3639" s="21">
        <v>41430.549722222197</v>
      </c>
      <c r="J3639">
        <v>2013</v>
      </c>
      <c r="K3639" s="21">
        <v>43027.475405092599</v>
      </c>
      <c r="L3639">
        <v>2017</v>
      </c>
      <c r="Q3639" s="262">
        <v>35000</v>
      </c>
      <c r="R3639" s="262">
        <v>33000</v>
      </c>
      <c r="S3639" t="s">
        <v>114</v>
      </c>
      <c r="T3639" t="s">
        <v>114</v>
      </c>
      <c r="W3639">
        <v>818</v>
      </c>
      <c r="X3639">
        <v>0</v>
      </c>
      <c r="Y3639">
        <v>0</v>
      </c>
      <c r="Z3639">
        <v>0</v>
      </c>
      <c r="AA3639">
        <v>0</v>
      </c>
      <c r="AB3639">
        <v>0</v>
      </c>
      <c r="AC3639">
        <v>818</v>
      </c>
      <c r="AD3639">
        <v>0</v>
      </c>
      <c r="AE3639">
        <v>0</v>
      </c>
      <c r="AF3639">
        <v>0</v>
      </c>
      <c r="AG3639">
        <v>0</v>
      </c>
      <c r="AH3639">
        <v>0</v>
      </c>
      <c r="AI3639">
        <v>0</v>
      </c>
      <c r="AJ3639">
        <v>0</v>
      </c>
      <c r="AK3639">
        <v>0</v>
      </c>
      <c r="AL3639">
        <v>0</v>
      </c>
      <c r="AM3639">
        <v>0</v>
      </c>
      <c r="AN3639">
        <v>0</v>
      </c>
      <c r="AO3639">
        <v>0</v>
      </c>
      <c r="AP3639">
        <v>0</v>
      </c>
      <c r="AQ3639">
        <v>0</v>
      </c>
      <c r="AR3639">
        <v>0</v>
      </c>
      <c r="AS3639">
        <v>0</v>
      </c>
      <c r="AT3639">
        <v>0</v>
      </c>
      <c r="AU3639">
        <f t="shared" si="112"/>
        <v>0</v>
      </c>
      <c r="AV3639">
        <f t="shared" si="113"/>
        <v>0</v>
      </c>
    </row>
    <row r="3640" spans="1:48" x14ac:dyDescent="0.25">
      <c r="A3640" t="s">
        <v>11507</v>
      </c>
      <c r="C3640" t="s">
        <v>10094</v>
      </c>
      <c r="D3640" t="s">
        <v>11508</v>
      </c>
      <c r="E3640" t="s">
        <v>2310</v>
      </c>
      <c r="F3640">
        <v>15</v>
      </c>
      <c r="G3640">
        <v>15.2</v>
      </c>
      <c r="H3640" t="s">
        <v>2323</v>
      </c>
      <c r="I3640" s="21">
        <v>41432.674108796302</v>
      </c>
      <c r="J3640">
        <v>2013</v>
      </c>
      <c r="K3640" s="21">
        <v>41466.657858796301</v>
      </c>
      <c r="L3640">
        <v>2013</v>
      </c>
      <c r="M3640" s="21">
        <v>41830.393402777801</v>
      </c>
      <c r="N3640">
        <v>2014</v>
      </c>
      <c r="Q3640" s="262">
        <v>12000</v>
      </c>
      <c r="R3640" s="262">
        <v>50000</v>
      </c>
      <c r="S3640" t="s">
        <v>114</v>
      </c>
      <c r="T3640" t="s">
        <v>114</v>
      </c>
      <c r="W3640">
        <v>1248</v>
      </c>
      <c r="X3640">
        <v>0</v>
      </c>
      <c r="Y3640">
        <v>0</v>
      </c>
      <c r="Z3640">
        <v>0</v>
      </c>
      <c r="AA3640">
        <v>0</v>
      </c>
      <c r="AB3640">
        <v>0</v>
      </c>
      <c r="AC3640">
        <v>1248</v>
      </c>
      <c r="AD3640">
        <v>0</v>
      </c>
      <c r="AE3640">
        <v>0</v>
      </c>
      <c r="AF3640">
        <v>0</v>
      </c>
      <c r="AG3640">
        <v>0</v>
      </c>
      <c r="AH3640">
        <v>0</v>
      </c>
      <c r="AI3640">
        <v>0</v>
      </c>
      <c r="AJ3640">
        <v>0</v>
      </c>
      <c r="AK3640">
        <v>0</v>
      </c>
      <c r="AL3640">
        <v>0</v>
      </c>
      <c r="AM3640">
        <v>0</v>
      </c>
      <c r="AN3640">
        <v>0</v>
      </c>
      <c r="AO3640">
        <v>0</v>
      </c>
      <c r="AP3640">
        <v>0</v>
      </c>
      <c r="AQ3640">
        <v>0</v>
      </c>
      <c r="AR3640">
        <v>0</v>
      </c>
      <c r="AS3640">
        <v>0</v>
      </c>
      <c r="AT3640">
        <v>0</v>
      </c>
      <c r="AU3640">
        <f t="shared" si="112"/>
        <v>0</v>
      </c>
      <c r="AV3640">
        <f t="shared" si="113"/>
        <v>0</v>
      </c>
    </row>
    <row r="3641" spans="1:48" x14ac:dyDescent="0.25">
      <c r="A3641" t="s">
        <v>11509</v>
      </c>
      <c r="C3641" t="s">
        <v>11510</v>
      </c>
      <c r="D3641" t="s">
        <v>11511</v>
      </c>
      <c r="E3641" t="s">
        <v>2310</v>
      </c>
      <c r="F3641">
        <v>12</v>
      </c>
      <c r="G3641">
        <v>12.3</v>
      </c>
      <c r="H3641" t="s">
        <v>2017</v>
      </c>
      <c r="I3641" s="21">
        <v>41436.590729166703</v>
      </c>
      <c r="J3641">
        <v>2013</v>
      </c>
      <c r="K3641" s="21">
        <v>41467.646331018499</v>
      </c>
      <c r="L3641">
        <v>2013</v>
      </c>
      <c r="M3641" s="21">
        <v>41908.577893518501</v>
      </c>
      <c r="N3641">
        <v>2014</v>
      </c>
      <c r="Q3641" s="262">
        <v>50000</v>
      </c>
      <c r="R3641" s="262">
        <v>17000</v>
      </c>
      <c r="S3641" t="s">
        <v>114</v>
      </c>
      <c r="T3641" t="s">
        <v>114</v>
      </c>
      <c r="W3641">
        <v>158</v>
      </c>
      <c r="X3641">
        <v>0</v>
      </c>
      <c r="Y3641">
        <v>0</v>
      </c>
      <c r="Z3641">
        <v>0</v>
      </c>
      <c r="AA3641">
        <v>0</v>
      </c>
      <c r="AB3641">
        <v>0</v>
      </c>
      <c r="AC3641">
        <v>158</v>
      </c>
      <c r="AD3641">
        <v>0</v>
      </c>
      <c r="AE3641">
        <v>0</v>
      </c>
      <c r="AF3641">
        <v>0</v>
      </c>
      <c r="AG3641">
        <v>0</v>
      </c>
      <c r="AH3641">
        <v>0</v>
      </c>
      <c r="AI3641">
        <v>0</v>
      </c>
      <c r="AJ3641">
        <v>0</v>
      </c>
      <c r="AK3641">
        <v>0</v>
      </c>
      <c r="AL3641">
        <v>0</v>
      </c>
      <c r="AM3641">
        <v>0</v>
      </c>
      <c r="AN3641">
        <v>0</v>
      </c>
      <c r="AO3641">
        <v>0</v>
      </c>
      <c r="AP3641">
        <v>0</v>
      </c>
      <c r="AQ3641">
        <v>0</v>
      </c>
      <c r="AR3641">
        <v>0</v>
      </c>
      <c r="AS3641">
        <v>0</v>
      </c>
      <c r="AT3641">
        <v>0</v>
      </c>
      <c r="AU3641">
        <f t="shared" si="112"/>
        <v>0</v>
      </c>
      <c r="AV3641">
        <f t="shared" si="113"/>
        <v>0</v>
      </c>
    </row>
    <row r="3642" spans="1:48" x14ac:dyDescent="0.25">
      <c r="A3642" t="s">
        <v>11512</v>
      </c>
      <c r="C3642" t="s">
        <v>11513</v>
      </c>
      <c r="D3642" t="s">
        <v>9607</v>
      </c>
      <c r="E3642" t="s">
        <v>1663</v>
      </c>
      <c r="F3642">
        <v>6</v>
      </c>
      <c r="G3642">
        <v>6.1</v>
      </c>
      <c r="H3642" t="s">
        <v>2017</v>
      </c>
      <c r="I3642" s="21">
        <v>41437</v>
      </c>
      <c r="J3642">
        <v>2013</v>
      </c>
      <c r="K3642" s="21">
        <v>41509</v>
      </c>
      <c r="L3642">
        <v>2013</v>
      </c>
      <c r="M3642" s="21">
        <v>41693</v>
      </c>
      <c r="N3642">
        <v>2014</v>
      </c>
      <c r="Q3642" s="262">
        <v>225000</v>
      </c>
      <c r="S3642" t="s">
        <v>114</v>
      </c>
      <c r="T3642" t="s">
        <v>114</v>
      </c>
      <c r="W3642">
        <v>1540</v>
      </c>
      <c r="X3642">
        <v>1</v>
      </c>
      <c r="Y3642">
        <v>0</v>
      </c>
      <c r="Z3642">
        <v>0</v>
      </c>
      <c r="AA3642">
        <v>0</v>
      </c>
      <c r="AB3642">
        <v>0</v>
      </c>
      <c r="AC3642">
        <v>0</v>
      </c>
      <c r="AD3642">
        <v>1540</v>
      </c>
      <c r="AE3642">
        <v>0</v>
      </c>
      <c r="AF3642">
        <v>0</v>
      </c>
      <c r="AG3642">
        <v>0</v>
      </c>
      <c r="AH3642">
        <v>0</v>
      </c>
      <c r="AI3642">
        <v>0</v>
      </c>
      <c r="AJ3642">
        <v>0</v>
      </c>
      <c r="AK3642">
        <v>0</v>
      </c>
      <c r="AL3642">
        <v>0</v>
      </c>
      <c r="AM3642">
        <v>0</v>
      </c>
      <c r="AN3642">
        <v>0</v>
      </c>
      <c r="AO3642">
        <v>0</v>
      </c>
      <c r="AP3642">
        <v>1</v>
      </c>
      <c r="AQ3642">
        <v>0</v>
      </c>
      <c r="AR3642">
        <v>0</v>
      </c>
      <c r="AS3642">
        <v>0</v>
      </c>
      <c r="AT3642">
        <v>0</v>
      </c>
      <c r="AU3642">
        <f t="shared" si="112"/>
        <v>1</v>
      </c>
      <c r="AV3642">
        <f t="shared" si="113"/>
        <v>0</v>
      </c>
    </row>
    <row r="3643" spans="1:48" x14ac:dyDescent="0.25">
      <c r="A3643" t="s">
        <v>11514</v>
      </c>
      <c r="C3643" t="s">
        <v>11515</v>
      </c>
      <c r="D3643" t="s">
        <v>5635</v>
      </c>
      <c r="E3643" t="s">
        <v>2310</v>
      </c>
      <c r="F3643">
        <v>15</v>
      </c>
      <c r="G3643">
        <v>15.3</v>
      </c>
      <c r="H3643" t="s">
        <v>2022</v>
      </c>
      <c r="I3643" s="21">
        <v>41437.370925925898</v>
      </c>
      <c r="J3643">
        <v>2013</v>
      </c>
      <c r="K3643" s="21">
        <v>41480.423159722202</v>
      </c>
      <c r="L3643">
        <v>2013</v>
      </c>
      <c r="M3643" s="21">
        <v>41752.6535532407</v>
      </c>
      <c r="N3643">
        <v>2014</v>
      </c>
      <c r="Q3643" s="262">
        <v>692000</v>
      </c>
      <c r="R3643" s="262">
        <v>245000</v>
      </c>
      <c r="S3643" t="s">
        <v>114</v>
      </c>
      <c r="T3643" t="s">
        <v>114</v>
      </c>
      <c r="W3643">
        <v>3248</v>
      </c>
      <c r="X3643">
        <v>0</v>
      </c>
      <c r="Y3643">
        <v>0</v>
      </c>
      <c r="Z3643">
        <v>0</v>
      </c>
      <c r="AA3643">
        <v>0</v>
      </c>
      <c r="AB3643">
        <v>0</v>
      </c>
      <c r="AC3643">
        <v>3248</v>
      </c>
      <c r="AD3643">
        <v>0</v>
      </c>
      <c r="AE3643">
        <v>0</v>
      </c>
      <c r="AF3643">
        <v>0</v>
      </c>
      <c r="AG3643">
        <v>0</v>
      </c>
      <c r="AH3643">
        <v>0</v>
      </c>
      <c r="AI3643">
        <v>0</v>
      </c>
      <c r="AJ3643">
        <v>0</v>
      </c>
      <c r="AK3643">
        <v>0</v>
      </c>
      <c r="AL3643">
        <v>0</v>
      </c>
      <c r="AM3643">
        <v>0</v>
      </c>
      <c r="AN3643">
        <v>0</v>
      </c>
      <c r="AO3643">
        <v>0</v>
      </c>
      <c r="AP3643">
        <v>0</v>
      </c>
      <c r="AQ3643">
        <v>0</v>
      </c>
      <c r="AR3643">
        <v>0</v>
      </c>
      <c r="AS3643">
        <v>0</v>
      </c>
      <c r="AT3643">
        <v>0</v>
      </c>
      <c r="AU3643">
        <f t="shared" si="112"/>
        <v>0</v>
      </c>
      <c r="AV3643">
        <f t="shared" si="113"/>
        <v>0</v>
      </c>
    </row>
    <row r="3644" spans="1:48" x14ac:dyDescent="0.25">
      <c r="A3644" t="s">
        <v>11516</v>
      </c>
      <c r="C3644" t="s">
        <v>11517</v>
      </c>
      <c r="D3644" t="s">
        <v>3143</v>
      </c>
      <c r="E3644" t="s">
        <v>2310</v>
      </c>
      <c r="F3644">
        <v>8</v>
      </c>
      <c r="G3644">
        <v>8.3000000000000007</v>
      </c>
      <c r="H3644" t="s">
        <v>2323</v>
      </c>
      <c r="I3644" s="21">
        <v>41437.3902199074</v>
      </c>
      <c r="J3644">
        <v>2013</v>
      </c>
      <c r="K3644" s="21">
        <v>41472.637499999997</v>
      </c>
      <c r="L3644">
        <v>2013</v>
      </c>
      <c r="M3644" s="21">
        <v>41871.442731481497</v>
      </c>
      <c r="N3644">
        <v>2014</v>
      </c>
      <c r="Q3644" s="262">
        <v>48000</v>
      </c>
      <c r="R3644" s="262">
        <v>30000</v>
      </c>
      <c r="S3644" t="s">
        <v>114</v>
      </c>
      <c r="T3644" t="s">
        <v>114</v>
      </c>
      <c r="W3644">
        <v>431</v>
      </c>
      <c r="X3644">
        <v>0</v>
      </c>
      <c r="Y3644">
        <v>0</v>
      </c>
      <c r="Z3644">
        <v>0</v>
      </c>
      <c r="AA3644">
        <v>0</v>
      </c>
      <c r="AB3644">
        <v>0</v>
      </c>
      <c r="AC3644">
        <v>431</v>
      </c>
      <c r="AD3644">
        <v>0</v>
      </c>
      <c r="AE3644">
        <v>0</v>
      </c>
      <c r="AF3644">
        <v>0</v>
      </c>
      <c r="AG3644">
        <v>0</v>
      </c>
      <c r="AH3644">
        <v>0</v>
      </c>
      <c r="AI3644">
        <v>0</v>
      </c>
      <c r="AJ3644">
        <v>0</v>
      </c>
      <c r="AK3644">
        <v>0</v>
      </c>
      <c r="AL3644">
        <v>0</v>
      </c>
      <c r="AM3644">
        <v>0</v>
      </c>
      <c r="AN3644">
        <v>0</v>
      </c>
      <c r="AO3644">
        <v>0</v>
      </c>
      <c r="AP3644">
        <v>0</v>
      </c>
      <c r="AQ3644">
        <v>0</v>
      </c>
      <c r="AR3644">
        <v>0</v>
      </c>
      <c r="AS3644">
        <v>0</v>
      </c>
      <c r="AT3644">
        <v>0</v>
      </c>
      <c r="AU3644">
        <f t="shared" si="112"/>
        <v>0</v>
      </c>
      <c r="AV3644">
        <f t="shared" si="113"/>
        <v>0</v>
      </c>
    </row>
    <row r="3645" spans="1:48" x14ac:dyDescent="0.25">
      <c r="A3645" t="s">
        <v>11518</v>
      </c>
      <c r="C3645" t="s">
        <v>10171</v>
      </c>
      <c r="D3645" t="s">
        <v>11519</v>
      </c>
      <c r="E3645" t="s">
        <v>2310</v>
      </c>
      <c r="F3645">
        <v>9</v>
      </c>
      <c r="G3645">
        <v>9.1999999999999993</v>
      </c>
      <c r="H3645" t="s">
        <v>2022</v>
      </c>
      <c r="I3645" s="21">
        <v>41437.435648148101</v>
      </c>
      <c r="J3645">
        <v>2013</v>
      </c>
      <c r="K3645" s="21">
        <v>41473.695439814801</v>
      </c>
      <c r="L3645">
        <v>2013</v>
      </c>
      <c r="M3645" s="21">
        <v>41849.595833333296</v>
      </c>
      <c r="N3645">
        <v>2014</v>
      </c>
      <c r="Q3645" s="262">
        <v>1500000</v>
      </c>
      <c r="R3645" s="262">
        <v>246000</v>
      </c>
      <c r="S3645" t="s">
        <v>114</v>
      </c>
      <c r="T3645" t="s">
        <v>114</v>
      </c>
      <c r="W3645">
        <v>2185</v>
      </c>
      <c r="X3645">
        <v>1</v>
      </c>
      <c r="Y3645">
        <v>0</v>
      </c>
      <c r="Z3645">
        <v>0</v>
      </c>
      <c r="AA3645">
        <v>0</v>
      </c>
      <c r="AB3645">
        <v>0</v>
      </c>
      <c r="AC3645">
        <v>2185</v>
      </c>
      <c r="AD3645">
        <v>0</v>
      </c>
      <c r="AE3645">
        <v>0</v>
      </c>
      <c r="AF3645">
        <v>0</v>
      </c>
      <c r="AG3645">
        <v>0</v>
      </c>
      <c r="AH3645">
        <v>0</v>
      </c>
      <c r="AI3645">
        <v>0</v>
      </c>
      <c r="AJ3645">
        <v>0</v>
      </c>
      <c r="AK3645">
        <v>0</v>
      </c>
      <c r="AL3645">
        <v>0</v>
      </c>
      <c r="AM3645">
        <v>0</v>
      </c>
      <c r="AN3645">
        <v>0</v>
      </c>
      <c r="AO3645">
        <v>1</v>
      </c>
      <c r="AP3645">
        <v>0</v>
      </c>
      <c r="AQ3645">
        <v>0</v>
      </c>
      <c r="AR3645">
        <v>0</v>
      </c>
      <c r="AS3645">
        <v>0</v>
      </c>
      <c r="AT3645">
        <v>0</v>
      </c>
      <c r="AU3645">
        <f t="shared" si="112"/>
        <v>1</v>
      </c>
      <c r="AV3645">
        <f t="shared" si="113"/>
        <v>0</v>
      </c>
    </row>
    <row r="3646" spans="1:48" x14ac:dyDescent="0.25">
      <c r="A3646" t="s">
        <v>11520</v>
      </c>
      <c r="C3646" t="s">
        <v>7403</v>
      </c>
      <c r="D3646" t="s">
        <v>11519</v>
      </c>
      <c r="E3646" t="s">
        <v>2310</v>
      </c>
      <c r="F3646">
        <v>9</v>
      </c>
      <c r="G3646">
        <v>9.1999999999999993</v>
      </c>
      <c r="H3646" t="s">
        <v>2022</v>
      </c>
      <c r="I3646" s="21">
        <v>41437.445277777799</v>
      </c>
      <c r="J3646">
        <v>2013</v>
      </c>
      <c r="K3646" s="21">
        <v>41473.6959837963</v>
      </c>
      <c r="L3646">
        <v>2013</v>
      </c>
      <c r="M3646" s="21">
        <v>41907.651585648098</v>
      </c>
      <c r="N3646">
        <v>2014</v>
      </c>
      <c r="Q3646" s="262">
        <v>40000</v>
      </c>
      <c r="R3646" s="262">
        <v>26000</v>
      </c>
      <c r="S3646" t="s">
        <v>114</v>
      </c>
      <c r="T3646" t="s">
        <v>114</v>
      </c>
      <c r="W3646">
        <v>634</v>
      </c>
      <c r="X3646">
        <v>0</v>
      </c>
      <c r="Y3646">
        <v>0</v>
      </c>
      <c r="Z3646">
        <v>0</v>
      </c>
      <c r="AA3646">
        <v>0</v>
      </c>
      <c r="AB3646">
        <v>0</v>
      </c>
      <c r="AC3646">
        <v>634</v>
      </c>
      <c r="AD3646">
        <v>0</v>
      </c>
      <c r="AE3646">
        <v>0</v>
      </c>
      <c r="AF3646">
        <v>0</v>
      </c>
      <c r="AG3646">
        <v>0</v>
      </c>
      <c r="AH3646">
        <v>0</v>
      </c>
      <c r="AI3646">
        <v>0</v>
      </c>
      <c r="AJ3646">
        <v>0</v>
      </c>
      <c r="AK3646">
        <v>0</v>
      </c>
      <c r="AL3646">
        <v>0</v>
      </c>
      <c r="AM3646">
        <v>0</v>
      </c>
      <c r="AN3646">
        <v>0</v>
      </c>
      <c r="AO3646">
        <v>0</v>
      </c>
      <c r="AP3646">
        <v>0</v>
      </c>
      <c r="AQ3646">
        <v>0</v>
      </c>
      <c r="AR3646">
        <v>0</v>
      </c>
      <c r="AS3646">
        <v>0</v>
      </c>
      <c r="AT3646">
        <v>0</v>
      </c>
      <c r="AU3646">
        <f t="shared" si="112"/>
        <v>0</v>
      </c>
      <c r="AV3646">
        <f t="shared" si="113"/>
        <v>0</v>
      </c>
    </row>
    <row r="3647" spans="1:48" x14ac:dyDescent="0.25">
      <c r="A3647" t="s">
        <v>11521</v>
      </c>
      <c r="C3647" t="s">
        <v>11522</v>
      </c>
      <c r="D3647" t="s">
        <v>9607</v>
      </c>
      <c r="E3647" t="s">
        <v>1663</v>
      </c>
      <c r="F3647">
        <v>6</v>
      </c>
      <c r="G3647">
        <v>6.1</v>
      </c>
      <c r="H3647" t="s">
        <v>2017</v>
      </c>
      <c r="I3647" s="21">
        <v>41438</v>
      </c>
      <c r="J3647">
        <v>2013</v>
      </c>
      <c r="K3647" s="21">
        <v>41509</v>
      </c>
      <c r="L3647">
        <v>2013</v>
      </c>
      <c r="M3647" s="21">
        <v>41693</v>
      </c>
      <c r="N3647">
        <v>2014</v>
      </c>
      <c r="Q3647" s="262">
        <v>225000</v>
      </c>
      <c r="S3647" t="s">
        <v>114</v>
      </c>
      <c r="T3647" t="s">
        <v>114</v>
      </c>
      <c r="W3647">
        <v>1588</v>
      </c>
      <c r="X3647">
        <v>1</v>
      </c>
      <c r="Y3647">
        <v>0</v>
      </c>
      <c r="Z3647">
        <v>0</v>
      </c>
      <c r="AA3647">
        <v>0</v>
      </c>
      <c r="AB3647">
        <v>0</v>
      </c>
      <c r="AC3647">
        <v>0</v>
      </c>
      <c r="AD3647">
        <v>1588</v>
      </c>
      <c r="AE3647">
        <v>0</v>
      </c>
      <c r="AF3647">
        <v>0</v>
      </c>
      <c r="AG3647">
        <v>0</v>
      </c>
      <c r="AH3647">
        <v>0</v>
      </c>
      <c r="AI3647">
        <v>0</v>
      </c>
      <c r="AJ3647">
        <v>0</v>
      </c>
      <c r="AK3647">
        <v>0</v>
      </c>
      <c r="AL3647">
        <v>0</v>
      </c>
      <c r="AM3647">
        <v>0</v>
      </c>
      <c r="AN3647">
        <v>0</v>
      </c>
      <c r="AO3647">
        <v>0</v>
      </c>
      <c r="AP3647">
        <v>1</v>
      </c>
      <c r="AQ3647">
        <v>0</v>
      </c>
      <c r="AR3647">
        <v>0</v>
      </c>
      <c r="AS3647">
        <v>0</v>
      </c>
      <c r="AT3647">
        <v>0</v>
      </c>
      <c r="AU3647">
        <f t="shared" si="112"/>
        <v>1</v>
      </c>
      <c r="AV3647">
        <f t="shared" si="113"/>
        <v>0</v>
      </c>
    </row>
    <row r="3648" spans="1:48" x14ac:dyDescent="0.25">
      <c r="A3648" t="s">
        <v>11523</v>
      </c>
      <c r="C3648" t="s">
        <v>11513</v>
      </c>
      <c r="D3648" t="s">
        <v>9607</v>
      </c>
      <c r="E3648" t="s">
        <v>1663</v>
      </c>
      <c r="F3648">
        <v>6</v>
      </c>
      <c r="G3648">
        <v>6.1</v>
      </c>
      <c r="H3648" t="s">
        <v>2017</v>
      </c>
      <c r="I3648" s="21">
        <v>41438</v>
      </c>
      <c r="J3648">
        <v>2013</v>
      </c>
      <c r="K3648" s="21">
        <v>41509</v>
      </c>
      <c r="L3648">
        <v>2013</v>
      </c>
      <c r="M3648" s="21">
        <v>41693</v>
      </c>
      <c r="N3648">
        <v>2014</v>
      </c>
      <c r="Q3648" s="262">
        <v>225000</v>
      </c>
      <c r="S3648" t="s">
        <v>114</v>
      </c>
      <c r="T3648" t="s">
        <v>114</v>
      </c>
      <c r="W3648">
        <v>1588</v>
      </c>
      <c r="X3648">
        <v>1</v>
      </c>
      <c r="Y3648">
        <v>0</v>
      </c>
      <c r="Z3648">
        <v>0</v>
      </c>
      <c r="AA3648">
        <v>0</v>
      </c>
      <c r="AB3648">
        <v>0</v>
      </c>
      <c r="AC3648">
        <v>0</v>
      </c>
      <c r="AD3648">
        <v>1588</v>
      </c>
      <c r="AE3648">
        <v>0</v>
      </c>
      <c r="AF3648">
        <v>0</v>
      </c>
      <c r="AG3648">
        <v>0</v>
      </c>
      <c r="AH3648">
        <v>0</v>
      </c>
      <c r="AI3648">
        <v>0</v>
      </c>
      <c r="AJ3648">
        <v>0</v>
      </c>
      <c r="AK3648">
        <v>0</v>
      </c>
      <c r="AL3648">
        <v>0</v>
      </c>
      <c r="AM3648">
        <v>0</v>
      </c>
      <c r="AN3648">
        <v>0</v>
      </c>
      <c r="AO3648">
        <v>0</v>
      </c>
      <c r="AP3648">
        <v>1</v>
      </c>
      <c r="AQ3648">
        <v>0</v>
      </c>
      <c r="AR3648">
        <v>0</v>
      </c>
      <c r="AS3648">
        <v>0</v>
      </c>
      <c r="AT3648">
        <v>0</v>
      </c>
      <c r="AU3648">
        <f t="shared" si="112"/>
        <v>1</v>
      </c>
      <c r="AV3648">
        <f t="shared" si="113"/>
        <v>0</v>
      </c>
    </row>
    <row r="3649" spans="1:48" x14ac:dyDescent="0.25">
      <c r="A3649" t="s">
        <v>11524</v>
      </c>
      <c r="C3649" t="s">
        <v>11522</v>
      </c>
      <c r="D3649" t="s">
        <v>9607</v>
      </c>
      <c r="E3649" t="s">
        <v>1663</v>
      </c>
      <c r="F3649">
        <v>6</v>
      </c>
      <c r="G3649">
        <v>6.1</v>
      </c>
      <c r="H3649" t="s">
        <v>2017</v>
      </c>
      <c r="I3649" s="21">
        <v>41438</v>
      </c>
      <c r="J3649">
        <v>2013</v>
      </c>
      <c r="K3649" s="21">
        <v>41509</v>
      </c>
      <c r="L3649">
        <v>2013</v>
      </c>
      <c r="M3649" s="21">
        <v>41693</v>
      </c>
      <c r="N3649">
        <v>2014</v>
      </c>
      <c r="Q3649" s="262">
        <v>225000</v>
      </c>
      <c r="S3649" t="s">
        <v>114</v>
      </c>
      <c r="T3649" t="s">
        <v>114</v>
      </c>
      <c r="W3649">
        <v>1540</v>
      </c>
      <c r="X3649">
        <v>1</v>
      </c>
      <c r="Y3649">
        <v>0</v>
      </c>
      <c r="Z3649">
        <v>0</v>
      </c>
      <c r="AA3649">
        <v>0</v>
      </c>
      <c r="AB3649">
        <v>0</v>
      </c>
      <c r="AC3649">
        <v>0</v>
      </c>
      <c r="AD3649">
        <v>1540</v>
      </c>
      <c r="AE3649">
        <v>0</v>
      </c>
      <c r="AF3649">
        <v>0</v>
      </c>
      <c r="AG3649">
        <v>0</v>
      </c>
      <c r="AH3649">
        <v>0</v>
      </c>
      <c r="AI3649">
        <v>0</v>
      </c>
      <c r="AJ3649">
        <v>0</v>
      </c>
      <c r="AK3649">
        <v>0</v>
      </c>
      <c r="AL3649">
        <v>0</v>
      </c>
      <c r="AM3649">
        <v>0</v>
      </c>
      <c r="AN3649">
        <v>0</v>
      </c>
      <c r="AO3649">
        <v>0</v>
      </c>
      <c r="AP3649">
        <v>1</v>
      </c>
      <c r="AQ3649">
        <v>0</v>
      </c>
      <c r="AR3649">
        <v>0</v>
      </c>
      <c r="AS3649">
        <v>0</v>
      </c>
      <c r="AT3649">
        <v>0</v>
      </c>
      <c r="AU3649">
        <f t="shared" si="112"/>
        <v>1</v>
      </c>
      <c r="AV3649">
        <f t="shared" si="113"/>
        <v>0</v>
      </c>
    </row>
    <row r="3650" spans="1:48" x14ac:dyDescent="0.25">
      <c r="A3650" t="s">
        <v>11525</v>
      </c>
      <c r="C3650" t="s">
        <v>11513</v>
      </c>
      <c r="D3650" t="s">
        <v>9607</v>
      </c>
      <c r="E3650" t="s">
        <v>1663</v>
      </c>
      <c r="F3650">
        <v>6</v>
      </c>
      <c r="G3650">
        <v>6.1</v>
      </c>
      <c r="H3650" t="s">
        <v>2017</v>
      </c>
      <c r="I3650" s="21">
        <v>41438</v>
      </c>
      <c r="J3650">
        <v>2013</v>
      </c>
      <c r="K3650" s="21">
        <v>41509</v>
      </c>
      <c r="L3650">
        <v>2013</v>
      </c>
      <c r="M3650" s="21">
        <v>41693</v>
      </c>
      <c r="N3650">
        <v>2014</v>
      </c>
      <c r="Q3650" s="262">
        <v>225000</v>
      </c>
      <c r="S3650" t="s">
        <v>114</v>
      </c>
      <c r="T3650" t="s">
        <v>114</v>
      </c>
      <c r="W3650">
        <v>1588</v>
      </c>
      <c r="X3650">
        <v>1</v>
      </c>
      <c r="Y3650">
        <v>0</v>
      </c>
      <c r="Z3650">
        <v>0</v>
      </c>
      <c r="AA3650">
        <v>0</v>
      </c>
      <c r="AB3650">
        <v>0</v>
      </c>
      <c r="AC3650">
        <v>0</v>
      </c>
      <c r="AD3650">
        <v>1588</v>
      </c>
      <c r="AE3650">
        <v>0</v>
      </c>
      <c r="AF3650">
        <v>0</v>
      </c>
      <c r="AG3650">
        <v>0</v>
      </c>
      <c r="AH3650">
        <v>0</v>
      </c>
      <c r="AI3650">
        <v>0</v>
      </c>
      <c r="AJ3650">
        <v>0</v>
      </c>
      <c r="AK3650">
        <v>0</v>
      </c>
      <c r="AL3650">
        <v>0</v>
      </c>
      <c r="AM3650">
        <v>0</v>
      </c>
      <c r="AN3650">
        <v>0</v>
      </c>
      <c r="AO3650">
        <v>0</v>
      </c>
      <c r="AP3650">
        <v>1</v>
      </c>
      <c r="AQ3650">
        <v>0</v>
      </c>
      <c r="AR3650">
        <v>0</v>
      </c>
      <c r="AS3650">
        <v>0</v>
      </c>
      <c r="AT3650">
        <v>0</v>
      </c>
      <c r="AU3650">
        <f t="shared" si="112"/>
        <v>1</v>
      </c>
      <c r="AV3650">
        <f t="shared" si="113"/>
        <v>0</v>
      </c>
    </row>
    <row r="3651" spans="1:48" x14ac:dyDescent="0.25">
      <c r="A3651" t="s">
        <v>11526</v>
      </c>
      <c r="C3651" t="s">
        <v>11513</v>
      </c>
      <c r="D3651" t="s">
        <v>9607</v>
      </c>
      <c r="E3651" t="s">
        <v>1663</v>
      </c>
      <c r="F3651">
        <v>6</v>
      </c>
      <c r="G3651">
        <v>6.1</v>
      </c>
      <c r="H3651" t="s">
        <v>2017</v>
      </c>
      <c r="I3651" s="21">
        <v>41438</v>
      </c>
      <c r="J3651">
        <v>2013</v>
      </c>
      <c r="K3651" s="21">
        <v>41509</v>
      </c>
      <c r="L3651">
        <v>2013</v>
      </c>
      <c r="M3651" s="21">
        <v>41693</v>
      </c>
      <c r="N3651">
        <v>2014</v>
      </c>
      <c r="Q3651" s="262">
        <v>225000</v>
      </c>
      <c r="S3651" t="s">
        <v>114</v>
      </c>
      <c r="T3651" t="s">
        <v>114</v>
      </c>
      <c r="W3651">
        <v>1588</v>
      </c>
      <c r="X3651">
        <v>1</v>
      </c>
      <c r="Y3651">
        <v>0</v>
      </c>
      <c r="Z3651">
        <v>0</v>
      </c>
      <c r="AA3651">
        <v>0</v>
      </c>
      <c r="AB3651">
        <v>0</v>
      </c>
      <c r="AC3651">
        <v>0</v>
      </c>
      <c r="AD3651">
        <v>1588</v>
      </c>
      <c r="AE3651">
        <v>0</v>
      </c>
      <c r="AF3651">
        <v>0</v>
      </c>
      <c r="AG3651">
        <v>0</v>
      </c>
      <c r="AH3651">
        <v>0</v>
      </c>
      <c r="AI3651">
        <v>0</v>
      </c>
      <c r="AJ3651">
        <v>0</v>
      </c>
      <c r="AK3651">
        <v>0</v>
      </c>
      <c r="AL3651">
        <v>0</v>
      </c>
      <c r="AM3651">
        <v>0</v>
      </c>
      <c r="AN3651">
        <v>0</v>
      </c>
      <c r="AO3651">
        <v>0</v>
      </c>
      <c r="AP3651">
        <v>1</v>
      </c>
      <c r="AQ3651">
        <v>0</v>
      </c>
      <c r="AR3651">
        <v>0</v>
      </c>
      <c r="AS3651">
        <v>0</v>
      </c>
      <c r="AT3651">
        <v>0</v>
      </c>
      <c r="AU3651">
        <f t="shared" si="112"/>
        <v>1</v>
      </c>
      <c r="AV3651">
        <f t="shared" si="113"/>
        <v>0</v>
      </c>
    </row>
    <row r="3652" spans="1:48" x14ac:dyDescent="0.25">
      <c r="A3652" t="s">
        <v>11527</v>
      </c>
      <c r="C3652" t="s">
        <v>11513</v>
      </c>
      <c r="D3652" t="s">
        <v>9607</v>
      </c>
      <c r="E3652" t="s">
        <v>1663</v>
      </c>
      <c r="F3652">
        <v>6</v>
      </c>
      <c r="G3652">
        <v>6.1</v>
      </c>
      <c r="H3652" t="s">
        <v>2017</v>
      </c>
      <c r="I3652" s="21">
        <v>41438</v>
      </c>
      <c r="J3652">
        <v>2013</v>
      </c>
      <c r="K3652" s="21">
        <v>41509</v>
      </c>
      <c r="L3652">
        <v>2013</v>
      </c>
      <c r="M3652" s="21">
        <v>41693</v>
      </c>
      <c r="N3652">
        <v>2014</v>
      </c>
      <c r="Q3652" s="262">
        <v>225000</v>
      </c>
      <c r="S3652" t="s">
        <v>114</v>
      </c>
      <c r="T3652" t="s">
        <v>114</v>
      </c>
      <c r="W3652">
        <v>1540</v>
      </c>
      <c r="X3652">
        <v>1</v>
      </c>
      <c r="Y3652">
        <v>0</v>
      </c>
      <c r="Z3652">
        <v>0</v>
      </c>
      <c r="AA3652">
        <v>0</v>
      </c>
      <c r="AB3652">
        <v>0</v>
      </c>
      <c r="AC3652">
        <v>0</v>
      </c>
      <c r="AD3652">
        <v>1540</v>
      </c>
      <c r="AE3652">
        <v>0</v>
      </c>
      <c r="AF3652">
        <v>0</v>
      </c>
      <c r="AG3652">
        <v>0</v>
      </c>
      <c r="AH3652">
        <v>0</v>
      </c>
      <c r="AI3652">
        <v>0</v>
      </c>
      <c r="AJ3652">
        <v>0</v>
      </c>
      <c r="AK3652">
        <v>0</v>
      </c>
      <c r="AL3652">
        <v>0</v>
      </c>
      <c r="AM3652">
        <v>0</v>
      </c>
      <c r="AN3652">
        <v>0</v>
      </c>
      <c r="AO3652">
        <v>0</v>
      </c>
      <c r="AP3652">
        <v>1</v>
      </c>
      <c r="AQ3652">
        <v>0</v>
      </c>
      <c r="AR3652">
        <v>0</v>
      </c>
      <c r="AS3652">
        <v>0</v>
      </c>
      <c r="AT3652">
        <v>0</v>
      </c>
      <c r="AU3652">
        <f t="shared" si="112"/>
        <v>1</v>
      </c>
      <c r="AV3652">
        <f t="shared" si="113"/>
        <v>0</v>
      </c>
    </row>
    <row r="3653" spans="1:48" x14ac:dyDescent="0.25">
      <c r="A3653" t="s">
        <v>11528</v>
      </c>
      <c r="C3653" t="s">
        <v>11529</v>
      </c>
      <c r="D3653" t="s">
        <v>11530</v>
      </c>
      <c r="E3653" t="s">
        <v>2310</v>
      </c>
      <c r="F3653">
        <v>8</v>
      </c>
      <c r="G3653">
        <v>8.1</v>
      </c>
      <c r="H3653" t="s">
        <v>2323</v>
      </c>
      <c r="I3653" s="21">
        <v>41438.462453703702</v>
      </c>
      <c r="J3653">
        <v>2013</v>
      </c>
      <c r="K3653" s="21">
        <v>41492.468958333302</v>
      </c>
      <c r="L3653">
        <v>2013</v>
      </c>
      <c r="M3653" s="21">
        <v>42055.570729166699</v>
      </c>
      <c r="N3653">
        <v>2015</v>
      </c>
      <c r="Q3653" s="262">
        <v>1400000</v>
      </c>
      <c r="R3653" s="262">
        <v>463000</v>
      </c>
      <c r="S3653" t="s">
        <v>114</v>
      </c>
      <c r="T3653" t="s">
        <v>114</v>
      </c>
      <c r="V3653">
        <v>3000</v>
      </c>
      <c r="W3653">
        <v>2200</v>
      </c>
      <c r="X3653">
        <v>0</v>
      </c>
      <c r="Y3653">
        <v>0</v>
      </c>
      <c r="Z3653">
        <v>0</v>
      </c>
      <c r="AA3653">
        <v>0</v>
      </c>
      <c r="AB3653">
        <v>0</v>
      </c>
      <c r="AC3653">
        <v>2200</v>
      </c>
      <c r="AD3653">
        <v>0</v>
      </c>
      <c r="AE3653">
        <v>0</v>
      </c>
      <c r="AF3653">
        <v>0</v>
      </c>
      <c r="AG3653">
        <v>0</v>
      </c>
      <c r="AH3653">
        <v>0</v>
      </c>
      <c r="AI3653">
        <v>0</v>
      </c>
      <c r="AJ3653">
        <v>0</v>
      </c>
      <c r="AK3653">
        <v>0</v>
      </c>
      <c r="AL3653">
        <v>0</v>
      </c>
      <c r="AM3653">
        <v>0</v>
      </c>
      <c r="AN3653">
        <v>0</v>
      </c>
      <c r="AO3653">
        <v>0</v>
      </c>
      <c r="AP3653">
        <v>0</v>
      </c>
      <c r="AQ3653">
        <v>0</v>
      </c>
      <c r="AR3653">
        <v>0</v>
      </c>
      <c r="AS3653">
        <v>0</v>
      </c>
      <c r="AT3653">
        <v>0</v>
      </c>
      <c r="AU3653">
        <f t="shared" si="112"/>
        <v>0</v>
      </c>
      <c r="AV3653">
        <f t="shared" si="113"/>
        <v>0</v>
      </c>
    </row>
    <row r="3654" spans="1:48" x14ac:dyDescent="0.25">
      <c r="A3654" t="s">
        <v>11531</v>
      </c>
      <c r="C3654" t="s">
        <v>7880</v>
      </c>
      <c r="D3654" t="s">
        <v>11532</v>
      </c>
      <c r="E3654" t="s">
        <v>2310</v>
      </c>
      <c r="F3654">
        <v>9</v>
      </c>
      <c r="G3654">
        <v>9.1</v>
      </c>
      <c r="H3654" t="s">
        <v>2323</v>
      </c>
      <c r="I3654" s="21">
        <v>41438.504317129598</v>
      </c>
      <c r="J3654">
        <v>2013</v>
      </c>
      <c r="K3654" s="21">
        <v>41473.532673611102</v>
      </c>
      <c r="L3654">
        <v>2013</v>
      </c>
      <c r="M3654" s="21">
        <v>41582.663182870398</v>
      </c>
      <c r="N3654">
        <v>2013</v>
      </c>
      <c r="Q3654" s="262">
        <v>90000</v>
      </c>
      <c r="R3654" s="262">
        <v>37000</v>
      </c>
      <c r="S3654" t="s">
        <v>114</v>
      </c>
      <c r="T3654" t="s">
        <v>114</v>
      </c>
      <c r="W3654">
        <v>900</v>
      </c>
      <c r="X3654">
        <v>0</v>
      </c>
      <c r="Y3654">
        <v>0</v>
      </c>
      <c r="Z3654">
        <v>0</v>
      </c>
      <c r="AA3654">
        <v>0</v>
      </c>
      <c r="AB3654">
        <v>0</v>
      </c>
      <c r="AC3654">
        <v>900</v>
      </c>
      <c r="AD3654">
        <v>0</v>
      </c>
      <c r="AE3654">
        <v>0</v>
      </c>
      <c r="AF3654">
        <v>0</v>
      </c>
      <c r="AG3654">
        <v>0</v>
      </c>
      <c r="AH3654">
        <v>0</v>
      </c>
      <c r="AI3654">
        <v>0</v>
      </c>
      <c r="AJ3654">
        <v>0</v>
      </c>
      <c r="AK3654">
        <v>0</v>
      </c>
      <c r="AL3654">
        <v>0</v>
      </c>
      <c r="AM3654">
        <v>0</v>
      </c>
      <c r="AN3654">
        <v>0</v>
      </c>
      <c r="AO3654">
        <v>0</v>
      </c>
      <c r="AP3654">
        <v>0</v>
      </c>
      <c r="AQ3654">
        <v>0</v>
      </c>
      <c r="AR3654">
        <v>0</v>
      </c>
      <c r="AS3654">
        <v>0</v>
      </c>
      <c r="AT3654">
        <v>0</v>
      </c>
      <c r="AU3654">
        <f t="shared" si="112"/>
        <v>0</v>
      </c>
      <c r="AV3654">
        <f t="shared" si="113"/>
        <v>0</v>
      </c>
    </row>
    <row r="3655" spans="1:48" x14ac:dyDescent="0.25">
      <c r="A3655" t="s">
        <v>11533</v>
      </c>
      <c r="C3655" t="s">
        <v>11534</v>
      </c>
      <c r="D3655" t="s">
        <v>11535</v>
      </c>
      <c r="E3655" t="s">
        <v>2310</v>
      </c>
      <c r="F3655">
        <v>15</v>
      </c>
      <c r="G3655">
        <v>15.2</v>
      </c>
      <c r="H3655" t="s">
        <v>2323</v>
      </c>
      <c r="I3655" s="21">
        <v>41439.5343055556</v>
      </c>
      <c r="J3655">
        <v>2013</v>
      </c>
      <c r="K3655" s="21">
        <v>41492.467592592599</v>
      </c>
      <c r="L3655">
        <v>2013</v>
      </c>
      <c r="M3655" s="21">
        <v>41814.678229166697</v>
      </c>
      <c r="N3655">
        <v>2014</v>
      </c>
      <c r="Q3655" s="262">
        <v>35000</v>
      </c>
      <c r="R3655" s="262">
        <v>424000</v>
      </c>
      <c r="S3655" t="s">
        <v>114</v>
      </c>
      <c r="T3655" t="s">
        <v>114</v>
      </c>
      <c r="V3655">
        <v>311</v>
      </c>
      <c r="W3655">
        <v>940</v>
      </c>
      <c r="X3655">
        <v>0</v>
      </c>
      <c r="Y3655">
        <v>0</v>
      </c>
      <c r="Z3655">
        <v>0</v>
      </c>
      <c r="AA3655">
        <v>0</v>
      </c>
      <c r="AB3655">
        <v>0</v>
      </c>
      <c r="AC3655">
        <v>940</v>
      </c>
      <c r="AD3655">
        <v>0</v>
      </c>
      <c r="AE3655">
        <v>0</v>
      </c>
      <c r="AF3655">
        <v>0</v>
      </c>
      <c r="AG3655">
        <v>0</v>
      </c>
      <c r="AH3655">
        <v>0</v>
      </c>
      <c r="AI3655">
        <v>0</v>
      </c>
      <c r="AJ3655">
        <v>0</v>
      </c>
      <c r="AK3655">
        <v>0</v>
      </c>
      <c r="AL3655">
        <v>0</v>
      </c>
      <c r="AM3655">
        <v>0</v>
      </c>
      <c r="AN3655">
        <v>0</v>
      </c>
      <c r="AO3655">
        <v>0</v>
      </c>
      <c r="AP3655">
        <v>0</v>
      </c>
      <c r="AQ3655">
        <v>0</v>
      </c>
      <c r="AR3655">
        <v>0</v>
      </c>
      <c r="AS3655">
        <v>0</v>
      </c>
      <c r="AT3655">
        <v>0</v>
      </c>
      <c r="AU3655">
        <f t="shared" si="112"/>
        <v>0</v>
      </c>
      <c r="AV3655">
        <f t="shared" si="113"/>
        <v>0</v>
      </c>
    </row>
    <row r="3656" spans="1:48" x14ac:dyDescent="0.25">
      <c r="A3656" t="s">
        <v>11536</v>
      </c>
      <c r="C3656" t="s">
        <v>10104</v>
      </c>
      <c r="D3656" t="s">
        <v>11537</v>
      </c>
      <c r="E3656" t="s">
        <v>2310</v>
      </c>
      <c r="F3656">
        <v>10</v>
      </c>
      <c r="G3656">
        <v>10.1</v>
      </c>
      <c r="H3656" t="s">
        <v>2323</v>
      </c>
      <c r="I3656" s="21">
        <v>41439.611226851899</v>
      </c>
      <c r="J3656">
        <v>2013</v>
      </c>
      <c r="K3656" s="21">
        <v>41488.388923611099</v>
      </c>
      <c r="L3656">
        <v>2013</v>
      </c>
      <c r="M3656" s="21">
        <v>41768.614398148202</v>
      </c>
      <c r="N3656">
        <v>2014</v>
      </c>
      <c r="Q3656" s="262">
        <v>400000</v>
      </c>
      <c r="R3656" s="262">
        <v>305000</v>
      </c>
      <c r="S3656" t="s">
        <v>114</v>
      </c>
      <c r="T3656" t="s">
        <v>114</v>
      </c>
      <c r="W3656">
        <v>3084</v>
      </c>
      <c r="X3656">
        <v>1</v>
      </c>
      <c r="Y3656">
        <v>0</v>
      </c>
      <c r="Z3656">
        <v>0</v>
      </c>
      <c r="AA3656">
        <v>0</v>
      </c>
      <c r="AB3656">
        <v>0</v>
      </c>
      <c r="AC3656">
        <v>3084</v>
      </c>
      <c r="AD3656">
        <v>0</v>
      </c>
      <c r="AE3656">
        <v>0</v>
      </c>
      <c r="AF3656">
        <v>0</v>
      </c>
      <c r="AG3656">
        <v>0</v>
      </c>
      <c r="AH3656">
        <v>0</v>
      </c>
      <c r="AI3656">
        <v>0</v>
      </c>
      <c r="AJ3656">
        <v>0</v>
      </c>
      <c r="AK3656">
        <v>0</v>
      </c>
      <c r="AL3656">
        <v>0</v>
      </c>
      <c r="AM3656">
        <v>0</v>
      </c>
      <c r="AN3656">
        <v>0</v>
      </c>
      <c r="AO3656">
        <v>1</v>
      </c>
      <c r="AP3656">
        <v>0</v>
      </c>
      <c r="AQ3656">
        <v>0</v>
      </c>
      <c r="AR3656">
        <v>0</v>
      </c>
      <c r="AS3656">
        <v>0</v>
      </c>
      <c r="AT3656">
        <v>0</v>
      </c>
      <c r="AU3656">
        <f t="shared" si="112"/>
        <v>1</v>
      </c>
      <c r="AV3656">
        <f t="shared" si="113"/>
        <v>0</v>
      </c>
    </row>
    <row r="3657" spans="1:48" x14ac:dyDescent="0.25">
      <c r="A3657" t="s">
        <v>11538</v>
      </c>
      <c r="C3657" t="s">
        <v>11539</v>
      </c>
      <c r="D3657" t="s">
        <v>4677</v>
      </c>
      <c r="E3657" t="s">
        <v>2310</v>
      </c>
      <c r="F3657">
        <v>9</v>
      </c>
      <c r="G3657">
        <v>9.3000000000000007</v>
      </c>
      <c r="H3657" t="s">
        <v>2323</v>
      </c>
      <c r="I3657" s="21">
        <v>41444.617430555598</v>
      </c>
      <c r="J3657">
        <v>2013</v>
      </c>
      <c r="K3657" s="21">
        <v>41481.5135069444</v>
      </c>
      <c r="L3657">
        <v>2013</v>
      </c>
      <c r="M3657" s="21">
        <v>41646.486770833297</v>
      </c>
      <c r="N3657">
        <v>2014</v>
      </c>
      <c r="Q3657" s="262">
        <v>120000</v>
      </c>
      <c r="R3657" s="262">
        <v>128000</v>
      </c>
      <c r="S3657" t="s">
        <v>114</v>
      </c>
      <c r="T3657" t="s">
        <v>114</v>
      </c>
      <c r="W3657">
        <v>1351</v>
      </c>
      <c r="X3657">
        <v>1</v>
      </c>
      <c r="Y3657">
        <v>0</v>
      </c>
      <c r="Z3657">
        <v>0</v>
      </c>
      <c r="AA3657">
        <v>0</v>
      </c>
      <c r="AB3657">
        <v>0</v>
      </c>
      <c r="AC3657">
        <v>352</v>
      </c>
      <c r="AD3657">
        <v>0</v>
      </c>
      <c r="AE3657">
        <v>0</v>
      </c>
      <c r="AF3657">
        <v>999</v>
      </c>
      <c r="AG3657">
        <v>0</v>
      </c>
      <c r="AH3657">
        <v>0</v>
      </c>
      <c r="AI3657">
        <v>0</v>
      </c>
      <c r="AJ3657">
        <v>0</v>
      </c>
      <c r="AK3657">
        <v>0</v>
      </c>
      <c r="AL3657">
        <v>0</v>
      </c>
      <c r="AM3657">
        <v>0</v>
      </c>
      <c r="AN3657">
        <v>0</v>
      </c>
      <c r="AO3657">
        <v>0</v>
      </c>
      <c r="AP3657">
        <v>0</v>
      </c>
      <c r="AQ3657">
        <v>0</v>
      </c>
      <c r="AR3657">
        <v>1</v>
      </c>
      <c r="AS3657">
        <v>0</v>
      </c>
      <c r="AT3657">
        <v>0</v>
      </c>
      <c r="AU3657">
        <f t="shared" si="112"/>
        <v>0</v>
      </c>
      <c r="AV3657">
        <f t="shared" si="113"/>
        <v>0</v>
      </c>
    </row>
    <row r="3658" spans="1:48" x14ac:dyDescent="0.25">
      <c r="A3658" t="s">
        <v>11540</v>
      </c>
      <c r="C3658" t="s">
        <v>7880</v>
      </c>
      <c r="D3658" t="s">
        <v>5194</v>
      </c>
      <c r="E3658" t="s">
        <v>2310</v>
      </c>
      <c r="F3658">
        <v>15</v>
      </c>
      <c r="G3658">
        <v>15.3</v>
      </c>
      <c r="H3658" t="s">
        <v>2022</v>
      </c>
      <c r="I3658" s="21">
        <v>41446.634641203702</v>
      </c>
      <c r="J3658">
        <v>2013</v>
      </c>
      <c r="K3658" s="21">
        <v>41486.468287037002</v>
      </c>
      <c r="L3658">
        <v>2013</v>
      </c>
      <c r="M3658" s="21">
        <v>41935.466203703698</v>
      </c>
      <c r="N3658">
        <v>2014</v>
      </c>
      <c r="Q3658" s="262">
        <v>50000</v>
      </c>
      <c r="R3658" s="262">
        <v>28000</v>
      </c>
      <c r="S3658" t="s">
        <v>114</v>
      </c>
      <c r="T3658" t="s">
        <v>114</v>
      </c>
      <c r="W3658">
        <v>676</v>
      </c>
      <c r="X3658">
        <v>0</v>
      </c>
      <c r="Y3658">
        <v>0</v>
      </c>
      <c r="Z3658">
        <v>0</v>
      </c>
      <c r="AA3658">
        <v>0</v>
      </c>
      <c r="AB3658">
        <v>0</v>
      </c>
      <c r="AC3658">
        <v>676</v>
      </c>
      <c r="AD3658">
        <v>0</v>
      </c>
      <c r="AE3658">
        <v>0</v>
      </c>
      <c r="AF3658">
        <v>0</v>
      </c>
      <c r="AG3658">
        <v>0</v>
      </c>
      <c r="AH3658">
        <v>0</v>
      </c>
      <c r="AI3658">
        <v>0</v>
      </c>
      <c r="AJ3658">
        <v>0</v>
      </c>
      <c r="AK3658">
        <v>0</v>
      </c>
      <c r="AL3658">
        <v>0</v>
      </c>
      <c r="AM3658">
        <v>0</v>
      </c>
      <c r="AN3658">
        <v>0</v>
      </c>
      <c r="AO3658">
        <v>0</v>
      </c>
      <c r="AP3658">
        <v>0</v>
      </c>
      <c r="AQ3658">
        <v>0</v>
      </c>
      <c r="AR3658">
        <v>0</v>
      </c>
      <c r="AS3658">
        <v>0</v>
      </c>
      <c r="AT3658">
        <v>0</v>
      </c>
      <c r="AU3658">
        <f t="shared" si="112"/>
        <v>0</v>
      </c>
      <c r="AV3658">
        <f t="shared" si="113"/>
        <v>0</v>
      </c>
    </row>
    <row r="3659" spans="1:48" x14ac:dyDescent="0.25">
      <c r="A3659" t="s">
        <v>11541</v>
      </c>
      <c r="C3659" t="s">
        <v>11488</v>
      </c>
      <c r="D3659" t="s">
        <v>11542</v>
      </c>
      <c r="E3659" t="s">
        <v>1663</v>
      </c>
      <c r="F3659">
        <v>5</v>
      </c>
      <c r="G3659">
        <v>5.5</v>
      </c>
      <c r="H3659" t="s">
        <v>2017</v>
      </c>
      <c r="I3659" s="21">
        <v>41449</v>
      </c>
      <c r="J3659">
        <v>2013</v>
      </c>
      <c r="K3659" s="21">
        <v>41470</v>
      </c>
      <c r="L3659">
        <v>2013</v>
      </c>
      <c r="M3659" s="21">
        <v>41570</v>
      </c>
      <c r="N3659">
        <v>2013</v>
      </c>
      <c r="Q3659" s="262">
        <v>53000</v>
      </c>
      <c r="S3659" t="s">
        <v>114</v>
      </c>
      <c r="T3659" t="s">
        <v>114</v>
      </c>
      <c r="W3659">
        <v>287</v>
      </c>
      <c r="X3659">
        <v>0</v>
      </c>
      <c r="Y3659">
        <v>0</v>
      </c>
      <c r="Z3659">
        <v>0</v>
      </c>
      <c r="AA3659">
        <v>0</v>
      </c>
      <c r="AB3659">
        <v>0</v>
      </c>
      <c r="AC3659">
        <v>287</v>
      </c>
      <c r="AD3659">
        <v>0</v>
      </c>
      <c r="AE3659">
        <v>0</v>
      </c>
      <c r="AF3659">
        <v>0</v>
      </c>
      <c r="AG3659">
        <v>0</v>
      </c>
      <c r="AH3659">
        <v>0</v>
      </c>
      <c r="AI3659">
        <v>0</v>
      </c>
      <c r="AJ3659">
        <v>0</v>
      </c>
      <c r="AK3659">
        <v>0</v>
      </c>
      <c r="AL3659">
        <v>0</v>
      </c>
      <c r="AM3659">
        <v>0</v>
      </c>
      <c r="AN3659">
        <v>0</v>
      </c>
      <c r="AO3659">
        <v>0</v>
      </c>
      <c r="AP3659">
        <v>0</v>
      </c>
      <c r="AQ3659">
        <v>0</v>
      </c>
      <c r="AR3659">
        <v>0</v>
      </c>
      <c r="AS3659">
        <v>0</v>
      </c>
      <c r="AT3659">
        <v>0</v>
      </c>
      <c r="AU3659">
        <f t="shared" si="112"/>
        <v>0</v>
      </c>
      <c r="AV3659">
        <f t="shared" si="113"/>
        <v>0</v>
      </c>
    </row>
    <row r="3660" spans="1:48" x14ac:dyDescent="0.25">
      <c r="A3660" t="s">
        <v>11543</v>
      </c>
      <c r="C3660" t="s">
        <v>10187</v>
      </c>
      <c r="D3660" t="s">
        <v>11225</v>
      </c>
      <c r="E3660" t="s">
        <v>2310</v>
      </c>
      <c r="F3660">
        <v>15</v>
      </c>
      <c r="G3660">
        <v>15.1</v>
      </c>
      <c r="H3660" t="s">
        <v>2022</v>
      </c>
      <c r="I3660" s="21">
        <v>41451.402395833298</v>
      </c>
      <c r="J3660">
        <v>2013</v>
      </c>
      <c r="K3660" s="21">
        <v>41508.358587962997</v>
      </c>
      <c r="L3660">
        <v>2013</v>
      </c>
      <c r="M3660" s="21">
        <v>42289.386759259301</v>
      </c>
      <c r="N3660">
        <v>2015</v>
      </c>
      <c r="Q3660" s="262">
        <v>250000</v>
      </c>
      <c r="R3660" s="262">
        <v>118000</v>
      </c>
      <c r="S3660" t="s">
        <v>114</v>
      </c>
      <c r="T3660" t="s">
        <v>114</v>
      </c>
      <c r="W3660">
        <v>997</v>
      </c>
      <c r="X3660">
        <v>1</v>
      </c>
      <c r="Y3660">
        <v>0</v>
      </c>
      <c r="Z3660">
        <v>0</v>
      </c>
      <c r="AA3660">
        <v>0</v>
      </c>
      <c r="AB3660">
        <v>0</v>
      </c>
      <c r="AC3660">
        <v>0</v>
      </c>
      <c r="AD3660">
        <v>0</v>
      </c>
      <c r="AE3660">
        <v>0</v>
      </c>
      <c r="AF3660">
        <v>997</v>
      </c>
      <c r="AG3660">
        <v>0</v>
      </c>
      <c r="AH3660">
        <v>0</v>
      </c>
      <c r="AI3660">
        <v>0</v>
      </c>
      <c r="AJ3660">
        <v>0</v>
      </c>
      <c r="AK3660">
        <v>0</v>
      </c>
      <c r="AL3660">
        <v>0</v>
      </c>
      <c r="AM3660">
        <v>0</v>
      </c>
      <c r="AN3660">
        <v>0</v>
      </c>
      <c r="AO3660">
        <v>0</v>
      </c>
      <c r="AP3660">
        <v>0</v>
      </c>
      <c r="AQ3660">
        <v>0</v>
      </c>
      <c r="AR3660">
        <v>1</v>
      </c>
      <c r="AS3660">
        <v>0</v>
      </c>
      <c r="AT3660">
        <v>0</v>
      </c>
      <c r="AU3660">
        <f t="shared" si="112"/>
        <v>0</v>
      </c>
      <c r="AV3660">
        <f t="shared" si="113"/>
        <v>0</v>
      </c>
    </row>
    <row r="3661" spans="1:48" x14ac:dyDescent="0.25">
      <c r="A3661" t="s">
        <v>11544</v>
      </c>
      <c r="C3661" t="s">
        <v>11545</v>
      </c>
      <c r="D3661" t="s">
        <v>11546</v>
      </c>
      <c r="E3661" t="s">
        <v>2310</v>
      </c>
      <c r="F3661">
        <v>10</v>
      </c>
      <c r="G3661">
        <v>10.1</v>
      </c>
      <c r="H3661" t="s">
        <v>2323</v>
      </c>
      <c r="I3661" s="21">
        <v>41451.631030092598</v>
      </c>
      <c r="J3661">
        <v>2013</v>
      </c>
      <c r="K3661" s="21">
        <v>41530.709907407399</v>
      </c>
      <c r="L3661">
        <v>2013</v>
      </c>
      <c r="M3661" s="21">
        <v>42548.6340740741</v>
      </c>
      <c r="N3661">
        <v>2016</v>
      </c>
      <c r="Q3661" s="262">
        <v>300000</v>
      </c>
      <c r="R3661" s="262">
        <v>284000</v>
      </c>
      <c r="S3661" t="s">
        <v>114</v>
      </c>
      <c r="T3661" t="s">
        <v>114</v>
      </c>
      <c r="W3661">
        <v>2532</v>
      </c>
      <c r="X3661">
        <v>0</v>
      </c>
      <c r="Y3661">
        <v>0</v>
      </c>
      <c r="Z3661">
        <v>0</v>
      </c>
      <c r="AA3661">
        <v>0</v>
      </c>
      <c r="AB3661">
        <v>0</v>
      </c>
      <c r="AC3661">
        <v>2532</v>
      </c>
      <c r="AD3661">
        <v>0</v>
      </c>
      <c r="AE3661">
        <v>0</v>
      </c>
      <c r="AF3661">
        <v>0</v>
      </c>
      <c r="AG3661">
        <v>0</v>
      </c>
      <c r="AH3661">
        <v>0</v>
      </c>
      <c r="AI3661">
        <v>0</v>
      </c>
      <c r="AJ3661">
        <v>0</v>
      </c>
      <c r="AK3661">
        <v>0</v>
      </c>
      <c r="AL3661">
        <v>0</v>
      </c>
      <c r="AM3661">
        <v>0</v>
      </c>
      <c r="AN3661">
        <v>0</v>
      </c>
      <c r="AO3661">
        <v>0</v>
      </c>
      <c r="AP3661">
        <v>0</v>
      </c>
      <c r="AQ3661">
        <v>0</v>
      </c>
      <c r="AR3661">
        <v>0</v>
      </c>
      <c r="AS3661">
        <v>0</v>
      </c>
      <c r="AT3661">
        <v>0</v>
      </c>
      <c r="AU3661">
        <f t="shared" si="112"/>
        <v>0</v>
      </c>
      <c r="AV3661">
        <f t="shared" si="113"/>
        <v>0</v>
      </c>
    </row>
    <row r="3662" spans="1:48" x14ac:dyDescent="0.25">
      <c r="A3662" t="s">
        <v>11544</v>
      </c>
      <c r="B3662" t="s">
        <v>11547</v>
      </c>
      <c r="C3662" t="s">
        <v>11548</v>
      </c>
      <c r="D3662" t="s">
        <v>11546</v>
      </c>
      <c r="E3662" t="s">
        <v>2310</v>
      </c>
      <c r="F3662">
        <v>10</v>
      </c>
      <c r="G3662">
        <v>10.1</v>
      </c>
      <c r="H3662" t="s">
        <v>2323</v>
      </c>
      <c r="I3662" s="21">
        <v>41451.631030092598</v>
      </c>
      <c r="J3662">
        <v>2013</v>
      </c>
      <c r="K3662" s="21">
        <v>41530.709907407399</v>
      </c>
      <c r="L3662">
        <v>2013</v>
      </c>
      <c r="M3662" s="21">
        <v>42548.6340740741</v>
      </c>
      <c r="N3662">
        <v>2016</v>
      </c>
      <c r="S3662" t="s">
        <v>114</v>
      </c>
      <c r="T3662" t="s">
        <v>114</v>
      </c>
      <c r="V3662">
        <v>0</v>
      </c>
      <c r="W3662">
        <v>0</v>
      </c>
      <c r="X3662">
        <v>0</v>
      </c>
      <c r="Y3662">
        <v>0</v>
      </c>
      <c r="Z3662">
        <v>0</v>
      </c>
      <c r="AA3662">
        <v>0</v>
      </c>
      <c r="AB3662">
        <v>0</v>
      </c>
      <c r="AC3662">
        <v>0</v>
      </c>
      <c r="AD3662">
        <v>0</v>
      </c>
      <c r="AE3662">
        <v>0</v>
      </c>
      <c r="AF3662">
        <v>0</v>
      </c>
      <c r="AG3662">
        <v>0</v>
      </c>
      <c r="AH3662">
        <v>0</v>
      </c>
      <c r="AI3662">
        <v>0</v>
      </c>
      <c r="AJ3662">
        <v>0</v>
      </c>
      <c r="AK3662">
        <v>0</v>
      </c>
      <c r="AL3662">
        <v>0</v>
      </c>
      <c r="AM3662">
        <v>0</v>
      </c>
      <c r="AN3662">
        <v>0</v>
      </c>
      <c r="AO3662">
        <v>0</v>
      </c>
      <c r="AP3662">
        <v>0</v>
      </c>
      <c r="AQ3662">
        <v>0</v>
      </c>
      <c r="AR3662">
        <v>0</v>
      </c>
      <c r="AS3662">
        <v>0</v>
      </c>
      <c r="AT3662">
        <v>0</v>
      </c>
      <c r="AU3662">
        <f t="shared" si="112"/>
        <v>0</v>
      </c>
      <c r="AV3662">
        <f t="shared" si="113"/>
        <v>0</v>
      </c>
    </row>
    <row r="3663" spans="1:48" x14ac:dyDescent="0.25">
      <c r="A3663" t="s">
        <v>11549</v>
      </c>
      <c r="C3663" t="s">
        <v>11550</v>
      </c>
      <c r="D3663" t="s">
        <v>2676</v>
      </c>
      <c r="E3663" t="s">
        <v>2310</v>
      </c>
      <c r="F3663">
        <v>15</v>
      </c>
      <c r="G3663">
        <v>15.4</v>
      </c>
      <c r="H3663" t="s">
        <v>2323</v>
      </c>
      <c r="I3663" s="21">
        <v>41453.667569444398</v>
      </c>
      <c r="J3663">
        <v>2013</v>
      </c>
      <c r="K3663" s="21">
        <v>41501.626226851899</v>
      </c>
      <c r="L3663">
        <v>2013</v>
      </c>
      <c r="M3663" s="21">
        <v>41599.412118055603</v>
      </c>
      <c r="N3663">
        <v>2013</v>
      </c>
      <c r="Q3663" s="262">
        <v>55000</v>
      </c>
      <c r="R3663" s="262">
        <v>6000</v>
      </c>
      <c r="S3663" t="s">
        <v>114</v>
      </c>
      <c r="T3663" t="s">
        <v>114</v>
      </c>
      <c r="W3663">
        <v>132</v>
      </c>
      <c r="X3663">
        <v>0</v>
      </c>
      <c r="Y3663">
        <v>0</v>
      </c>
      <c r="Z3663">
        <v>0</v>
      </c>
      <c r="AA3663">
        <v>0</v>
      </c>
      <c r="AB3663">
        <v>0</v>
      </c>
      <c r="AC3663">
        <v>132</v>
      </c>
      <c r="AD3663">
        <v>0</v>
      </c>
      <c r="AE3663">
        <v>0</v>
      </c>
      <c r="AF3663">
        <v>0</v>
      </c>
      <c r="AG3663">
        <v>0</v>
      </c>
      <c r="AH3663">
        <v>0</v>
      </c>
      <c r="AI3663">
        <v>0</v>
      </c>
      <c r="AJ3663">
        <v>0</v>
      </c>
      <c r="AK3663">
        <v>0</v>
      </c>
      <c r="AL3663">
        <v>0</v>
      </c>
      <c r="AM3663">
        <v>0</v>
      </c>
      <c r="AN3663">
        <v>0</v>
      </c>
      <c r="AO3663">
        <v>0</v>
      </c>
      <c r="AP3663">
        <v>0</v>
      </c>
      <c r="AQ3663">
        <v>0</v>
      </c>
      <c r="AR3663">
        <v>0</v>
      </c>
      <c r="AS3663">
        <v>0</v>
      </c>
      <c r="AT3663">
        <v>0</v>
      </c>
      <c r="AU3663">
        <f t="shared" si="112"/>
        <v>0</v>
      </c>
      <c r="AV3663">
        <f t="shared" si="113"/>
        <v>0</v>
      </c>
    </row>
    <row r="3664" spans="1:48" x14ac:dyDescent="0.25">
      <c r="A3664" t="s">
        <v>11551</v>
      </c>
      <c r="C3664" t="s">
        <v>10589</v>
      </c>
      <c r="D3664" t="s">
        <v>11552</v>
      </c>
      <c r="E3664" t="s">
        <v>2310</v>
      </c>
      <c r="F3664">
        <v>8</v>
      </c>
      <c r="G3664">
        <v>8.3000000000000007</v>
      </c>
      <c r="H3664" t="s">
        <v>2323</v>
      </c>
      <c r="I3664" s="21">
        <v>41453.684224536999</v>
      </c>
      <c r="J3664">
        <v>2013</v>
      </c>
      <c r="K3664" s="21">
        <v>41488.478217592601</v>
      </c>
      <c r="L3664">
        <v>2013</v>
      </c>
      <c r="M3664" s="21">
        <v>42150.490486111099</v>
      </c>
      <c r="N3664">
        <v>2015</v>
      </c>
      <c r="Q3664" s="262">
        <v>45000</v>
      </c>
      <c r="R3664" s="262">
        <v>37000</v>
      </c>
      <c r="S3664" t="s">
        <v>114</v>
      </c>
      <c r="T3664" t="s">
        <v>114</v>
      </c>
      <c r="W3664">
        <v>900</v>
      </c>
      <c r="X3664">
        <v>0</v>
      </c>
      <c r="Y3664">
        <v>0</v>
      </c>
      <c r="Z3664">
        <v>0</v>
      </c>
      <c r="AA3664">
        <v>0</v>
      </c>
      <c r="AB3664">
        <v>0</v>
      </c>
      <c r="AC3664">
        <v>900</v>
      </c>
      <c r="AD3664">
        <v>0</v>
      </c>
      <c r="AE3664">
        <v>0</v>
      </c>
      <c r="AF3664">
        <v>0</v>
      </c>
      <c r="AG3664">
        <v>0</v>
      </c>
      <c r="AH3664">
        <v>0</v>
      </c>
      <c r="AI3664">
        <v>0</v>
      </c>
      <c r="AJ3664">
        <v>0</v>
      </c>
      <c r="AK3664">
        <v>0</v>
      </c>
      <c r="AL3664">
        <v>0</v>
      </c>
      <c r="AM3664">
        <v>0</v>
      </c>
      <c r="AN3664">
        <v>0</v>
      </c>
      <c r="AO3664">
        <v>0</v>
      </c>
      <c r="AP3664">
        <v>0</v>
      </c>
      <c r="AQ3664">
        <v>0</v>
      </c>
      <c r="AR3664">
        <v>0</v>
      </c>
      <c r="AS3664">
        <v>0</v>
      </c>
      <c r="AT3664">
        <v>0</v>
      </c>
      <c r="AU3664">
        <f t="shared" si="112"/>
        <v>0</v>
      </c>
      <c r="AV3664">
        <f t="shared" si="113"/>
        <v>0</v>
      </c>
    </row>
    <row r="3665" spans="1:48" x14ac:dyDescent="0.25">
      <c r="A3665" t="s">
        <v>11553</v>
      </c>
      <c r="C3665" t="s">
        <v>11554</v>
      </c>
      <c r="D3665" t="s">
        <v>11555</v>
      </c>
      <c r="E3665" t="s">
        <v>2310</v>
      </c>
      <c r="F3665">
        <v>9</v>
      </c>
      <c r="G3665">
        <v>9.3000000000000007</v>
      </c>
      <c r="H3665" t="s">
        <v>2323</v>
      </c>
      <c r="I3665" s="21">
        <v>41457.527060185203</v>
      </c>
      <c r="J3665">
        <v>2013</v>
      </c>
      <c r="K3665" s="21">
        <v>41493.379224536999</v>
      </c>
      <c r="L3665">
        <v>2013</v>
      </c>
      <c r="M3665" s="21">
        <v>41879.683425925898</v>
      </c>
      <c r="N3665">
        <v>2014</v>
      </c>
      <c r="Q3665" s="262">
        <v>800000</v>
      </c>
      <c r="R3665" s="262">
        <v>369000</v>
      </c>
      <c r="S3665" t="s">
        <v>114</v>
      </c>
      <c r="T3665" t="s">
        <v>114</v>
      </c>
      <c r="W3665">
        <v>3835</v>
      </c>
      <c r="X3665">
        <v>1</v>
      </c>
      <c r="Y3665">
        <v>0</v>
      </c>
      <c r="Z3665">
        <v>0</v>
      </c>
      <c r="AA3665">
        <v>0</v>
      </c>
      <c r="AB3665">
        <v>0</v>
      </c>
      <c r="AC3665">
        <v>3835</v>
      </c>
      <c r="AD3665">
        <v>0</v>
      </c>
      <c r="AE3665">
        <v>0</v>
      </c>
      <c r="AF3665">
        <v>0</v>
      </c>
      <c r="AG3665">
        <v>0</v>
      </c>
      <c r="AH3665">
        <v>0</v>
      </c>
      <c r="AI3665">
        <v>0</v>
      </c>
      <c r="AJ3665">
        <v>0</v>
      </c>
      <c r="AK3665">
        <v>0</v>
      </c>
      <c r="AL3665">
        <v>0</v>
      </c>
      <c r="AM3665">
        <v>0</v>
      </c>
      <c r="AN3665">
        <v>0</v>
      </c>
      <c r="AO3665">
        <v>1</v>
      </c>
      <c r="AP3665">
        <v>0</v>
      </c>
      <c r="AQ3665">
        <v>0</v>
      </c>
      <c r="AR3665">
        <v>0</v>
      </c>
      <c r="AS3665">
        <v>0</v>
      </c>
      <c r="AT3665">
        <v>0</v>
      </c>
      <c r="AU3665">
        <f t="shared" si="112"/>
        <v>1</v>
      </c>
      <c r="AV3665">
        <f t="shared" si="113"/>
        <v>0</v>
      </c>
    </row>
    <row r="3666" spans="1:48" x14ac:dyDescent="0.25">
      <c r="A3666" t="s">
        <v>11556</v>
      </c>
      <c r="C3666" t="s">
        <v>11557</v>
      </c>
      <c r="D3666" t="s">
        <v>10310</v>
      </c>
      <c r="E3666" t="s">
        <v>2310</v>
      </c>
      <c r="F3666">
        <v>15</v>
      </c>
      <c r="G3666">
        <v>15.1</v>
      </c>
      <c r="H3666" t="s">
        <v>2022</v>
      </c>
      <c r="I3666" s="21">
        <v>41457.684085648201</v>
      </c>
      <c r="J3666">
        <v>2013</v>
      </c>
      <c r="K3666" s="21">
        <v>41492.627361111103</v>
      </c>
      <c r="L3666">
        <v>2013</v>
      </c>
      <c r="M3666" s="21">
        <v>41922.530069444401</v>
      </c>
      <c r="N3666">
        <v>2014</v>
      </c>
      <c r="Q3666" s="262">
        <v>1100000</v>
      </c>
      <c r="R3666" s="262">
        <v>400000</v>
      </c>
      <c r="S3666" t="s">
        <v>114</v>
      </c>
      <c r="T3666" t="s">
        <v>114</v>
      </c>
      <c r="W3666">
        <v>4271</v>
      </c>
      <c r="X3666">
        <v>1</v>
      </c>
      <c r="Y3666">
        <v>0</v>
      </c>
      <c r="Z3666">
        <v>0</v>
      </c>
      <c r="AA3666">
        <v>0</v>
      </c>
      <c r="AB3666">
        <v>0</v>
      </c>
      <c r="AC3666">
        <v>4271</v>
      </c>
      <c r="AD3666">
        <v>0</v>
      </c>
      <c r="AE3666">
        <v>0</v>
      </c>
      <c r="AF3666">
        <v>0</v>
      </c>
      <c r="AG3666">
        <v>0</v>
      </c>
      <c r="AH3666">
        <v>0</v>
      </c>
      <c r="AI3666">
        <v>0</v>
      </c>
      <c r="AJ3666">
        <v>0</v>
      </c>
      <c r="AK3666">
        <v>0</v>
      </c>
      <c r="AL3666">
        <v>0</v>
      </c>
      <c r="AM3666">
        <v>0</v>
      </c>
      <c r="AN3666">
        <v>0</v>
      </c>
      <c r="AO3666">
        <v>1</v>
      </c>
      <c r="AP3666">
        <v>0</v>
      </c>
      <c r="AQ3666">
        <v>0</v>
      </c>
      <c r="AR3666">
        <v>0</v>
      </c>
      <c r="AS3666">
        <v>0</v>
      </c>
      <c r="AT3666">
        <v>0</v>
      </c>
      <c r="AU3666">
        <f t="shared" si="112"/>
        <v>1</v>
      </c>
      <c r="AV3666">
        <f t="shared" si="113"/>
        <v>0</v>
      </c>
    </row>
    <row r="3667" spans="1:48" x14ac:dyDescent="0.25">
      <c r="A3667" t="s">
        <v>11558</v>
      </c>
      <c r="C3667" t="s">
        <v>11559</v>
      </c>
      <c r="D3667" t="s">
        <v>11560</v>
      </c>
      <c r="E3667" t="s">
        <v>1663</v>
      </c>
      <c r="F3667">
        <v>3</v>
      </c>
      <c r="G3667">
        <v>3.2</v>
      </c>
      <c r="H3667" t="s">
        <v>2327</v>
      </c>
      <c r="I3667" s="21">
        <v>41458</v>
      </c>
      <c r="J3667">
        <v>2013</v>
      </c>
      <c r="K3667" s="21">
        <v>41493</v>
      </c>
      <c r="L3667">
        <v>2013</v>
      </c>
      <c r="M3667" s="21">
        <v>41677</v>
      </c>
      <c r="N3667">
        <v>2014</v>
      </c>
      <c r="Q3667" s="262">
        <v>300000</v>
      </c>
      <c r="S3667" t="s">
        <v>114</v>
      </c>
      <c r="T3667" t="s">
        <v>114</v>
      </c>
      <c r="W3667">
        <v>2079</v>
      </c>
      <c r="X3667">
        <v>1</v>
      </c>
      <c r="Y3667">
        <v>0</v>
      </c>
      <c r="Z3667">
        <v>0</v>
      </c>
      <c r="AA3667">
        <v>0</v>
      </c>
      <c r="AB3667">
        <v>0</v>
      </c>
      <c r="AC3667">
        <v>2079</v>
      </c>
      <c r="AD3667">
        <v>0</v>
      </c>
      <c r="AE3667">
        <v>0</v>
      </c>
      <c r="AF3667">
        <v>0</v>
      </c>
      <c r="AG3667">
        <v>0</v>
      </c>
      <c r="AH3667">
        <v>0</v>
      </c>
      <c r="AI3667">
        <v>0</v>
      </c>
      <c r="AJ3667">
        <v>0</v>
      </c>
      <c r="AK3667">
        <v>0</v>
      </c>
      <c r="AL3667">
        <v>0</v>
      </c>
      <c r="AM3667">
        <v>0</v>
      </c>
      <c r="AN3667">
        <v>0</v>
      </c>
      <c r="AO3667">
        <v>1</v>
      </c>
      <c r="AP3667">
        <v>0</v>
      </c>
      <c r="AQ3667">
        <v>0</v>
      </c>
      <c r="AR3667">
        <v>0</v>
      </c>
      <c r="AS3667">
        <v>0</v>
      </c>
      <c r="AT3667">
        <v>0</v>
      </c>
      <c r="AU3667">
        <f t="shared" si="112"/>
        <v>1</v>
      </c>
      <c r="AV3667">
        <f t="shared" si="113"/>
        <v>0</v>
      </c>
    </row>
    <row r="3668" spans="1:48" x14ac:dyDescent="0.25">
      <c r="A3668" t="s">
        <v>11561</v>
      </c>
      <c r="C3668" t="s">
        <v>11562</v>
      </c>
      <c r="D3668" t="s">
        <v>11151</v>
      </c>
      <c r="E3668" t="s">
        <v>2310</v>
      </c>
      <c r="F3668">
        <v>9</v>
      </c>
      <c r="G3668">
        <v>9.1999999999999993</v>
      </c>
      <c r="H3668" t="s">
        <v>2022</v>
      </c>
      <c r="I3668" s="21">
        <v>41458.643668981502</v>
      </c>
      <c r="J3668">
        <v>2013</v>
      </c>
      <c r="K3668" s="21">
        <v>41521.555925925903</v>
      </c>
      <c r="L3668">
        <v>2013</v>
      </c>
      <c r="M3668" s="21">
        <v>42003.432604166701</v>
      </c>
      <c r="N3668">
        <v>2014</v>
      </c>
      <c r="Q3668" s="262">
        <v>750000</v>
      </c>
      <c r="R3668" s="262">
        <v>281000</v>
      </c>
      <c r="S3668" t="s">
        <v>114</v>
      </c>
      <c r="T3668" t="s">
        <v>114</v>
      </c>
      <c r="W3668">
        <v>3026</v>
      </c>
      <c r="X3668">
        <v>1</v>
      </c>
      <c r="Y3668">
        <v>0</v>
      </c>
      <c r="Z3668">
        <v>0</v>
      </c>
      <c r="AA3668">
        <v>0</v>
      </c>
      <c r="AB3668">
        <v>0</v>
      </c>
      <c r="AC3668">
        <v>3026</v>
      </c>
      <c r="AD3668">
        <v>0</v>
      </c>
      <c r="AE3668">
        <v>0</v>
      </c>
      <c r="AF3668">
        <v>0</v>
      </c>
      <c r="AG3668">
        <v>0</v>
      </c>
      <c r="AH3668">
        <v>0</v>
      </c>
      <c r="AI3668">
        <v>0</v>
      </c>
      <c r="AJ3668">
        <v>0</v>
      </c>
      <c r="AK3668">
        <v>0</v>
      </c>
      <c r="AL3668">
        <v>0</v>
      </c>
      <c r="AM3668">
        <v>0</v>
      </c>
      <c r="AN3668">
        <v>0</v>
      </c>
      <c r="AO3668">
        <v>1</v>
      </c>
      <c r="AP3668">
        <v>0</v>
      </c>
      <c r="AQ3668">
        <v>0</v>
      </c>
      <c r="AR3668">
        <v>0</v>
      </c>
      <c r="AS3668">
        <v>0</v>
      </c>
      <c r="AT3668">
        <v>0</v>
      </c>
      <c r="AU3668">
        <f t="shared" si="112"/>
        <v>1</v>
      </c>
      <c r="AV3668">
        <f t="shared" si="113"/>
        <v>0</v>
      </c>
    </row>
    <row r="3669" spans="1:48" x14ac:dyDescent="0.25">
      <c r="A3669" t="s">
        <v>11563</v>
      </c>
      <c r="C3669" t="s">
        <v>11559</v>
      </c>
      <c r="D3669" t="s">
        <v>11564</v>
      </c>
      <c r="E3669" t="s">
        <v>1663</v>
      </c>
      <c r="F3669">
        <v>3</v>
      </c>
      <c r="G3669">
        <v>3.1</v>
      </c>
      <c r="H3669" t="s">
        <v>2017</v>
      </c>
      <c r="I3669" s="21">
        <v>41463</v>
      </c>
      <c r="J3669">
        <v>2013</v>
      </c>
      <c r="K3669" s="21">
        <v>41481</v>
      </c>
      <c r="L3669">
        <v>2013</v>
      </c>
      <c r="M3669" s="21">
        <v>41665</v>
      </c>
      <c r="N3669">
        <v>2014</v>
      </c>
      <c r="Q3669" s="262">
        <v>195000</v>
      </c>
      <c r="S3669" t="s">
        <v>114</v>
      </c>
      <c r="T3669" t="s">
        <v>114</v>
      </c>
      <c r="W3669">
        <v>1953</v>
      </c>
      <c r="X3669">
        <v>1</v>
      </c>
      <c r="Y3669">
        <v>0</v>
      </c>
      <c r="Z3669">
        <v>0</v>
      </c>
      <c r="AA3669">
        <v>0</v>
      </c>
      <c r="AB3669">
        <v>0</v>
      </c>
      <c r="AC3669">
        <v>1953</v>
      </c>
      <c r="AD3669">
        <v>0</v>
      </c>
      <c r="AE3669">
        <v>0</v>
      </c>
      <c r="AF3669">
        <v>0</v>
      </c>
      <c r="AG3669">
        <v>0</v>
      </c>
      <c r="AH3669">
        <v>0</v>
      </c>
      <c r="AI3669">
        <v>0</v>
      </c>
      <c r="AJ3669">
        <v>0</v>
      </c>
      <c r="AK3669">
        <v>0</v>
      </c>
      <c r="AL3669">
        <v>0</v>
      </c>
      <c r="AM3669">
        <v>0</v>
      </c>
      <c r="AN3669">
        <v>0</v>
      </c>
      <c r="AO3669">
        <v>1</v>
      </c>
      <c r="AP3669">
        <v>0</v>
      </c>
      <c r="AQ3669">
        <v>0</v>
      </c>
      <c r="AR3669">
        <v>0</v>
      </c>
      <c r="AS3669">
        <v>0</v>
      </c>
      <c r="AT3669">
        <v>0</v>
      </c>
      <c r="AU3669">
        <f t="shared" si="112"/>
        <v>1</v>
      </c>
      <c r="AV3669">
        <f t="shared" si="113"/>
        <v>0</v>
      </c>
    </row>
    <row r="3670" spans="1:48" x14ac:dyDescent="0.25">
      <c r="A3670" t="s">
        <v>11565</v>
      </c>
      <c r="C3670" t="s">
        <v>11566</v>
      </c>
      <c r="D3670" t="s">
        <v>11567</v>
      </c>
      <c r="E3670" t="s">
        <v>2310</v>
      </c>
      <c r="F3670">
        <v>8</v>
      </c>
      <c r="G3670">
        <v>8.3000000000000007</v>
      </c>
      <c r="H3670" t="s">
        <v>2323</v>
      </c>
      <c r="I3670" s="21">
        <v>41464.543749999997</v>
      </c>
      <c r="J3670">
        <v>2013</v>
      </c>
      <c r="K3670" s="21">
        <v>41464.565833333298</v>
      </c>
      <c r="L3670">
        <v>2013</v>
      </c>
      <c r="M3670" s="21">
        <v>41773.644259259301</v>
      </c>
      <c r="N3670">
        <v>2014</v>
      </c>
      <c r="Q3670" s="262">
        <v>1700000</v>
      </c>
      <c r="R3670" s="262">
        <v>0</v>
      </c>
      <c r="S3670" t="s">
        <v>114</v>
      </c>
      <c r="T3670" t="s">
        <v>114</v>
      </c>
      <c r="W3670">
        <v>3975</v>
      </c>
      <c r="X3670">
        <v>1</v>
      </c>
      <c r="Y3670">
        <v>0</v>
      </c>
      <c r="Z3670">
        <v>0</v>
      </c>
      <c r="AA3670">
        <v>0</v>
      </c>
      <c r="AB3670">
        <v>0</v>
      </c>
      <c r="AC3670">
        <v>3975</v>
      </c>
      <c r="AD3670">
        <v>0</v>
      </c>
      <c r="AE3670">
        <v>0</v>
      </c>
      <c r="AF3670">
        <v>0</v>
      </c>
      <c r="AG3670">
        <v>0</v>
      </c>
      <c r="AH3670">
        <v>0</v>
      </c>
      <c r="AI3670">
        <v>0</v>
      </c>
      <c r="AJ3670">
        <v>0</v>
      </c>
      <c r="AK3670">
        <v>0</v>
      </c>
      <c r="AL3670">
        <v>0</v>
      </c>
      <c r="AM3670">
        <v>0</v>
      </c>
      <c r="AN3670">
        <v>0</v>
      </c>
      <c r="AO3670">
        <v>1</v>
      </c>
      <c r="AP3670">
        <v>0</v>
      </c>
      <c r="AQ3670">
        <v>0</v>
      </c>
      <c r="AR3670">
        <v>0</v>
      </c>
      <c r="AS3670">
        <v>0</v>
      </c>
      <c r="AT3670">
        <v>0</v>
      </c>
      <c r="AU3670">
        <f t="shared" si="112"/>
        <v>1</v>
      </c>
      <c r="AV3670">
        <f t="shared" si="113"/>
        <v>0</v>
      </c>
    </row>
    <row r="3671" spans="1:48" x14ac:dyDescent="0.25">
      <c r="A3671" t="s">
        <v>11568</v>
      </c>
      <c r="C3671" t="s">
        <v>11569</v>
      </c>
      <c r="D3671" t="s">
        <v>11570</v>
      </c>
      <c r="E3671" t="s">
        <v>2310</v>
      </c>
      <c r="F3671">
        <v>8</v>
      </c>
      <c r="G3671">
        <v>8.3000000000000007</v>
      </c>
      <c r="H3671" t="s">
        <v>2323</v>
      </c>
      <c r="I3671" s="21">
        <v>41464.566655092603</v>
      </c>
      <c r="J3671">
        <v>2013</v>
      </c>
      <c r="K3671" s="21">
        <v>41464.569351851896</v>
      </c>
      <c r="L3671">
        <v>2013</v>
      </c>
      <c r="M3671" s="21">
        <v>41842.645277777803</v>
      </c>
      <c r="N3671">
        <v>2014</v>
      </c>
      <c r="Q3671" s="262">
        <v>1600000</v>
      </c>
      <c r="R3671" s="262">
        <v>0</v>
      </c>
      <c r="S3671" t="s">
        <v>114</v>
      </c>
      <c r="T3671" t="s">
        <v>114</v>
      </c>
      <c r="W3671">
        <v>3975</v>
      </c>
      <c r="X3671">
        <v>1</v>
      </c>
      <c r="Y3671">
        <v>0</v>
      </c>
      <c r="Z3671">
        <v>0</v>
      </c>
      <c r="AA3671">
        <v>0</v>
      </c>
      <c r="AB3671">
        <v>0</v>
      </c>
      <c r="AC3671">
        <v>3975</v>
      </c>
      <c r="AD3671">
        <v>0</v>
      </c>
      <c r="AE3671">
        <v>0</v>
      </c>
      <c r="AF3671">
        <v>0</v>
      </c>
      <c r="AG3671">
        <v>0</v>
      </c>
      <c r="AH3671">
        <v>0</v>
      </c>
      <c r="AI3671">
        <v>0</v>
      </c>
      <c r="AJ3671">
        <v>0</v>
      </c>
      <c r="AK3671">
        <v>0</v>
      </c>
      <c r="AL3671">
        <v>0</v>
      </c>
      <c r="AM3671">
        <v>0</v>
      </c>
      <c r="AN3671">
        <v>0</v>
      </c>
      <c r="AO3671">
        <v>1</v>
      </c>
      <c r="AP3671">
        <v>0</v>
      </c>
      <c r="AQ3671">
        <v>0</v>
      </c>
      <c r="AR3671">
        <v>0</v>
      </c>
      <c r="AS3671">
        <v>0</v>
      </c>
      <c r="AT3671">
        <v>0</v>
      </c>
      <c r="AU3671">
        <f t="shared" si="112"/>
        <v>1</v>
      </c>
      <c r="AV3671">
        <f t="shared" si="113"/>
        <v>0</v>
      </c>
    </row>
    <row r="3672" spans="1:48" x14ac:dyDescent="0.25">
      <c r="A3672" t="s">
        <v>11571</v>
      </c>
      <c r="C3672" t="s">
        <v>11572</v>
      </c>
      <c r="D3672" t="s">
        <v>11573</v>
      </c>
      <c r="E3672" t="s">
        <v>2310</v>
      </c>
      <c r="F3672">
        <v>8</v>
      </c>
      <c r="G3672">
        <v>8.3000000000000007</v>
      </c>
      <c r="H3672" t="s">
        <v>2323</v>
      </c>
      <c r="I3672" s="21">
        <v>41464.571423611102</v>
      </c>
      <c r="J3672">
        <v>2013</v>
      </c>
      <c r="K3672" s="21">
        <v>41464.5733680556</v>
      </c>
      <c r="L3672">
        <v>2013</v>
      </c>
      <c r="M3672" s="21">
        <v>41866.434594907398</v>
      </c>
      <c r="N3672">
        <v>2014</v>
      </c>
      <c r="Q3672" s="262">
        <v>1600000</v>
      </c>
      <c r="R3672" s="262">
        <v>0</v>
      </c>
      <c r="S3672" t="s">
        <v>114</v>
      </c>
      <c r="T3672" t="s">
        <v>114</v>
      </c>
      <c r="W3672">
        <v>3975</v>
      </c>
      <c r="X3672">
        <v>1</v>
      </c>
      <c r="Y3672">
        <v>0</v>
      </c>
      <c r="Z3672">
        <v>0</v>
      </c>
      <c r="AA3672">
        <v>0</v>
      </c>
      <c r="AB3672">
        <v>0</v>
      </c>
      <c r="AC3672">
        <v>3975</v>
      </c>
      <c r="AD3672">
        <v>0</v>
      </c>
      <c r="AE3672">
        <v>0</v>
      </c>
      <c r="AF3672">
        <v>0</v>
      </c>
      <c r="AG3672">
        <v>0</v>
      </c>
      <c r="AH3672">
        <v>0</v>
      </c>
      <c r="AI3672">
        <v>0</v>
      </c>
      <c r="AJ3672">
        <v>0</v>
      </c>
      <c r="AK3672">
        <v>0</v>
      </c>
      <c r="AL3672">
        <v>0</v>
      </c>
      <c r="AM3672">
        <v>0</v>
      </c>
      <c r="AN3672">
        <v>0</v>
      </c>
      <c r="AO3672">
        <v>1</v>
      </c>
      <c r="AP3672">
        <v>0</v>
      </c>
      <c r="AQ3672">
        <v>0</v>
      </c>
      <c r="AR3672">
        <v>0</v>
      </c>
      <c r="AS3672">
        <v>0</v>
      </c>
      <c r="AT3672">
        <v>0</v>
      </c>
      <c r="AU3672">
        <f t="shared" si="112"/>
        <v>1</v>
      </c>
      <c r="AV3672">
        <f t="shared" si="113"/>
        <v>0</v>
      </c>
    </row>
    <row r="3673" spans="1:48" x14ac:dyDescent="0.25">
      <c r="A3673" t="s">
        <v>11574</v>
      </c>
      <c r="C3673" t="s">
        <v>11575</v>
      </c>
      <c r="D3673" t="s">
        <v>11567</v>
      </c>
      <c r="E3673" t="s">
        <v>2310</v>
      </c>
      <c r="F3673">
        <v>8</v>
      </c>
      <c r="G3673">
        <v>8.3000000000000007</v>
      </c>
      <c r="H3673" t="s">
        <v>2323</v>
      </c>
      <c r="I3673" s="21">
        <v>41464.575624999998</v>
      </c>
      <c r="J3673">
        <v>2013</v>
      </c>
      <c r="K3673" s="21">
        <v>41464.577384259297</v>
      </c>
      <c r="L3673">
        <v>2013</v>
      </c>
      <c r="M3673" s="21">
        <v>41773.640960648103</v>
      </c>
      <c r="N3673">
        <v>2014</v>
      </c>
      <c r="Q3673" s="262">
        <v>120000</v>
      </c>
      <c r="R3673" s="262">
        <v>0</v>
      </c>
      <c r="S3673" t="s">
        <v>114</v>
      </c>
      <c r="T3673" t="s">
        <v>114</v>
      </c>
      <c r="W3673">
        <v>694</v>
      </c>
      <c r="X3673">
        <v>0</v>
      </c>
      <c r="Y3673">
        <v>0</v>
      </c>
      <c r="Z3673">
        <v>0</v>
      </c>
      <c r="AA3673">
        <v>0</v>
      </c>
      <c r="AB3673">
        <v>0</v>
      </c>
      <c r="AC3673">
        <v>694</v>
      </c>
      <c r="AD3673">
        <v>0</v>
      </c>
      <c r="AE3673">
        <v>0</v>
      </c>
      <c r="AF3673">
        <v>0</v>
      </c>
      <c r="AG3673">
        <v>0</v>
      </c>
      <c r="AH3673">
        <v>0</v>
      </c>
      <c r="AI3673">
        <v>0</v>
      </c>
      <c r="AJ3673">
        <v>0</v>
      </c>
      <c r="AK3673">
        <v>0</v>
      </c>
      <c r="AL3673">
        <v>0</v>
      </c>
      <c r="AM3673">
        <v>0</v>
      </c>
      <c r="AN3673">
        <v>0</v>
      </c>
      <c r="AO3673">
        <v>0</v>
      </c>
      <c r="AP3673">
        <v>0</v>
      </c>
      <c r="AQ3673">
        <v>0</v>
      </c>
      <c r="AR3673">
        <v>0</v>
      </c>
      <c r="AS3673">
        <v>0</v>
      </c>
      <c r="AT3673">
        <v>0</v>
      </c>
      <c r="AU3673">
        <f t="shared" ref="AU3673:AU3736" si="114">SUM(AN3673:AQ3673,AS3673)</f>
        <v>0</v>
      </c>
      <c r="AV3673">
        <f t="shared" ref="AV3673:AV3736" si="115">SUM(Y3673:AB3673,AH3673:AM3673)</f>
        <v>0</v>
      </c>
    </row>
    <row r="3674" spans="1:48" x14ac:dyDescent="0.25">
      <c r="A3674" t="s">
        <v>11576</v>
      </c>
      <c r="C3674" t="s">
        <v>11577</v>
      </c>
      <c r="D3674" t="s">
        <v>11570</v>
      </c>
      <c r="E3674" t="s">
        <v>2310</v>
      </c>
      <c r="F3674">
        <v>8</v>
      </c>
      <c r="G3674">
        <v>8.3000000000000007</v>
      </c>
      <c r="H3674" t="s">
        <v>2323</v>
      </c>
      <c r="I3674" s="21">
        <v>41464.578773148103</v>
      </c>
      <c r="J3674">
        <v>2013</v>
      </c>
      <c r="K3674" s="21">
        <v>41464.578773148103</v>
      </c>
      <c r="L3674">
        <v>2013</v>
      </c>
      <c r="M3674" s="21">
        <v>41809.636527777802</v>
      </c>
      <c r="N3674">
        <v>2014</v>
      </c>
      <c r="Q3674" s="262">
        <v>120000</v>
      </c>
      <c r="R3674" s="262">
        <v>0</v>
      </c>
      <c r="S3674" t="s">
        <v>114</v>
      </c>
      <c r="T3674" t="s">
        <v>114</v>
      </c>
      <c r="W3674">
        <v>680</v>
      </c>
      <c r="X3674">
        <v>0</v>
      </c>
      <c r="Y3674">
        <v>0</v>
      </c>
      <c r="Z3674">
        <v>0</v>
      </c>
      <c r="AA3674">
        <v>0</v>
      </c>
      <c r="AB3674">
        <v>0</v>
      </c>
      <c r="AC3674">
        <v>680</v>
      </c>
      <c r="AD3674">
        <v>0</v>
      </c>
      <c r="AE3674">
        <v>0</v>
      </c>
      <c r="AF3674">
        <v>0</v>
      </c>
      <c r="AG3674">
        <v>0</v>
      </c>
      <c r="AH3674">
        <v>0</v>
      </c>
      <c r="AI3674">
        <v>0</v>
      </c>
      <c r="AJ3674">
        <v>0</v>
      </c>
      <c r="AK3674">
        <v>0</v>
      </c>
      <c r="AL3674">
        <v>0</v>
      </c>
      <c r="AM3674">
        <v>0</v>
      </c>
      <c r="AN3674">
        <v>0</v>
      </c>
      <c r="AO3674">
        <v>0</v>
      </c>
      <c r="AP3674">
        <v>0</v>
      </c>
      <c r="AQ3674">
        <v>0</v>
      </c>
      <c r="AR3674">
        <v>0</v>
      </c>
      <c r="AS3674">
        <v>0</v>
      </c>
      <c r="AT3674">
        <v>0</v>
      </c>
      <c r="AU3674">
        <f t="shared" si="114"/>
        <v>0</v>
      </c>
      <c r="AV3674">
        <f t="shared" si="115"/>
        <v>0</v>
      </c>
    </row>
    <row r="3675" spans="1:48" x14ac:dyDescent="0.25">
      <c r="A3675" t="s">
        <v>11578</v>
      </c>
      <c r="C3675" t="s">
        <v>11579</v>
      </c>
      <c r="D3675" t="s">
        <v>11573</v>
      </c>
      <c r="E3675" t="s">
        <v>2310</v>
      </c>
      <c r="F3675">
        <v>8</v>
      </c>
      <c r="G3675">
        <v>8.3000000000000007</v>
      </c>
      <c r="H3675" t="s">
        <v>2323</v>
      </c>
      <c r="I3675" s="21">
        <v>41464.578807870399</v>
      </c>
      <c r="J3675">
        <v>2013</v>
      </c>
      <c r="K3675" s="21">
        <v>41464.578807870399</v>
      </c>
      <c r="L3675">
        <v>2013</v>
      </c>
      <c r="M3675" s="21">
        <v>41873.542812500003</v>
      </c>
      <c r="N3675">
        <v>2014</v>
      </c>
      <c r="Q3675" s="262">
        <v>120000</v>
      </c>
      <c r="R3675" s="262">
        <v>0</v>
      </c>
      <c r="S3675" t="s">
        <v>114</v>
      </c>
      <c r="T3675" t="s">
        <v>114</v>
      </c>
      <c r="W3675">
        <v>602</v>
      </c>
      <c r="X3675">
        <v>0</v>
      </c>
      <c r="Y3675">
        <v>0</v>
      </c>
      <c r="Z3675">
        <v>0</v>
      </c>
      <c r="AA3675">
        <v>0</v>
      </c>
      <c r="AB3675">
        <v>0</v>
      </c>
      <c r="AC3675">
        <v>602</v>
      </c>
      <c r="AD3675">
        <v>0</v>
      </c>
      <c r="AE3675">
        <v>0</v>
      </c>
      <c r="AF3675">
        <v>0</v>
      </c>
      <c r="AG3675">
        <v>0</v>
      </c>
      <c r="AH3675">
        <v>0</v>
      </c>
      <c r="AI3675">
        <v>0</v>
      </c>
      <c r="AJ3675">
        <v>0</v>
      </c>
      <c r="AK3675">
        <v>0</v>
      </c>
      <c r="AL3675">
        <v>0</v>
      </c>
      <c r="AM3675">
        <v>0</v>
      </c>
      <c r="AN3675">
        <v>0</v>
      </c>
      <c r="AO3675">
        <v>0</v>
      </c>
      <c r="AP3675">
        <v>0</v>
      </c>
      <c r="AQ3675">
        <v>0</v>
      </c>
      <c r="AR3675">
        <v>0</v>
      </c>
      <c r="AS3675">
        <v>0</v>
      </c>
      <c r="AT3675">
        <v>0</v>
      </c>
      <c r="AU3675">
        <f t="shared" si="114"/>
        <v>0</v>
      </c>
      <c r="AV3675">
        <f t="shared" si="115"/>
        <v>0</v>
      </c>
    </row>
    <row r="3676" spans="1:48" x14ac:dyDescent="0.25">
      <c r="A3676" t="s">
        <v>11580</v>
      </c>
      <c r="C3676" t="s">
        <v>11581</v>
      </c>
      <c r="D3676" t="s">
        <v>4365</v>
      </c>
      <c r="E3676" t="s">
        <v>2310</v>
      </c>
      <c r="F3676">
        <v>9</v>
      </c>
      <c r="G3676">
        <v>9.1</v>
      </c>
      <c r="H3676" t="s">
        <v>2323</v>
      </c>
      <c r="I3676" s="21">
        <v>41465.624085648102</v>
      </c>
      <c r="J3676">
        <v>2013</v>
      </c>
      <c r="K3676" s="21">
        <v>41605.621782407397</v>
      </c>
      <c r="L3676">
        <v>2013</v>
      </c>
      <c r="M3676" s="21">
        <v>41989.575509259303</v>
      </c>
      <c r="N3676">
        <v>2014</v>
      </c>
      <c r="Q3676" s="262">
        <v>1600000</v>
      </c>
      <c r="R3676" s="262">
        <v>121000</v>
      </c>
      <c r="S3676" t="s">
        <v>114</v>
      </c>
      <c r="T3676" t="s">
        <v>114</v>
      </c>
      <c r="W3676">
        <v>1889</v>
      </c>
      <c r="X3676">
        <v>0</v>
      </c>
      <c r="Y3676">
        <v>0</v>
      </c>
      <c r="Z3676">
        <v>0</v>
      </c>
      <c r="AA3676">
        <v>0</v>
      </c>
      <c r="AB3676">
        <v>0</v>
      </c>
      <c r="AC3676">
        <v>0</v>
      </c>
      <c r="AD3676">
        <v>0</v>
      </c>
      <c r="AE3676">
        <v>0</v>
      </c>
      <c r="AF3676">
        <v>0</v>
      </c>
      <c r="AG3676">
        <v>0</v>
      </c>
      <c r="AH3676">
        <v>0</v>
      </c>
      <c r="AI3676">
        <v>0</v>
      </c>
      <c r="AJ3676">
        <v>0</v>
      </c>
      <c r="AK3676">
        <v>0</v>
      </c>
      <c r="AL3676">
        <v>0</v>
      </c>
      <c r="AM3676">
        <v>1889</v>
      </c>
      <c r="AN3676">
        <v>0</v>
      </c>
      <c r="AO3676">
        <v>0</v>
      </c>
      <c r="AP3676">
        <v>0</v>
      </c>
      <c r="AQ3676">
        <v>0</v>
      </c>
      <c r="AR3676">
        <v>0</v>
      </c>
      <c r="AS3676">
        <v>0</v>
      </c>
      <c r="AT3676">
        <v>0</v>
      </c>
      <c r="AU3676">
        <f t="shared" si="114"/>
        <v>0</v>
      </c>
      <c r="AV3676">
        <f t="shared" si="115"/>
        <v>1889</v>
      </c>
    </row>
    <row r="3677" spans="1:48" x14ac:dyDescent="0.25">
      <c r="A3677" t="s">
        <v>11582</v>
      </c>
      <c r="C3677" t="s">
        <v>10260</v>
      </c>
      <c r="D3677" t="s">
        <v>11583</v>
      </c>
      <c r="E3677" t="s">
        <v>2310</v>
      </c>
      <c r="F3677">
        <v>9</v>
      </c>
      <c r="G3677">
        <v>9.1999999999999993</v>
      </c>
      <c r="H3677" t="s">
        <v>2022</v>
      </c>
      <c r="I3677" s="21">
        <v>41466.416898148098</v>
      </c>
      <c r="J3677">
        <v>2013</v>
      </c>
      <c r="K3677" s="21">
        <v>41507.393043981501</v>
      </c>
      <c r="L3677">
        <v>2013</v>
      </c>
      <c r="M3677" s="21">
        <v>41859.376296296301</v>
      </c>
      <c r="N3677">
        <v>2014</v>
      </c>
      <c r="Q3677" s="262">
        <v>200000</v>
      </c>
      <c r="R3677" s="262">
        <v>98000</v>
      </c>
      <c r="S3677" t="s">
        <v>114</v>
      </c>
      <c r="T3677" t="s">
        <v>114</v>
      </c>
      <c r="W3677">
        <v>909</v>
      </c>
      <c r="X3677">
        <v>1</v>
      </c>
      <c r="Y3677">
        <v>0</v>
      </c>
      <c r="Z3677">
        <v>0</v>
      </c>
      <c r="AA3677">
        <v>0</v>
      </c>
      <c r="AB3677">
        <v>0</v>
      </c>
      <c r="AC3677">
        <v>0</v>
      </c>
      <c r="AD3677">
        <v>0</v>
      </c>
      <c r="AE3677">
        <v>0</v>
      </c>
      <c r="AF3677">
        <v>909</v>
      </c>
      <c r="AG3677">
        <v>0</v>
      </c>
      <c r="AH3677">
        <v>0</v>
      </c>
      <c r="AI3677">
        <v>0</v>
      </c>
      <c r="AJ3677">
        <v>0</v>
      </c>
      <c r="AK3677">
        <v>0</v>
      </c>
      <c r="AL3677">
        <v>0</v>
      </c>
      <c r="AM3677">
        <v>0</v>
      </c>
      <c r="AN3677">
        <v>0</v>
      </c>
      <c r="AO3677">
        <v>0</v>
      </c>
      <c r="AP3677">
        <v>0</v>
      </c>
      <c r="AQ3677">
        <v>0</v>
      </c>
      <c r="AR3677">
        <v>1</v>
      </c>
      <c r="AS3677">
        <v>0</v>
      </c>
      <c r="AT3677">
        <v>0</v>
      </c>
      <c r="AU3677">
        <f t="shared" si="114"/>
        <v>0</v>
      </c>
      <c r="AV3677">
        <f t="shared" si="115"/>
        <v>0</v>
      </c>
    </row>
    <row r="3678" spans="1:48" x14ac:dyDescent="0.25">
      <c r="A3678" t="s">
        <v>11584</v>
      </c>
      <c r="C3678" t="s">
        <v>10260</v>
      </c>
      <c r="D3678" t="s">
        <v>11585</v>
      </c>
      <c r="E3678" t="s">
        <v>2310</v>
      </c>
      <c r="F3678">
        <v>15</v>
      </c>
      <c r="G3678">
        <v>15.1</v>
      </c>
      <c r="H3678" t="s">
        <v>2022</v>
      </c>
      <c r="I3678" s="21">
        <v>41466.539027777799</v>
      </c>
      <c r="J3678">
        <v>2013</v>
      </c>
      <c r="K3678" s="21">
        <v>41507.384166666699</v>
      </c>
      <c r="L3678">
        <v>2013</v>
      </c>
      <c r="M3678" s="21">
        <v>41830.399953703702</v>
      </c>
      <c r="N3678">
        <v>2014</v>
      </c>
      <c r="Q3678" s="262">
        <v>210000</v>
      </c>
      <c r="R3678" s="262">
        <v>86000</v>
      </c>
      <c r="S3678" t="s">
        <v>114</v>
      </c>
      <c r="T3678" t="s">
        <v>114</v>
      </c>
      <c r="W3678">
        <v>0</v>
      </c>
      <c r="X3678">
        <v>1</v>
      </c>
      <c r="Y3678">
        <v>0</v>
      </c>
      <c r="Z3678">
        <v>0</v>
      </c>
      <c r="AA3678">
        <v>0</v>
      </c>
      <c r="AB3678">
        <v>0</v>
      </c>
      <c r="AC3678">
        <v>0</v>
      </c>
      <c r="AD3678">
        <v>0</v>
      </c>
      <c r="AE3678">
        <v>0</v>
      </c>
      <c r="AF3678">
        <v>0</v>
      </c>
      <c r="AG3678">
        <v>0</v>
      </c>
      <c r="AH3678">
        <v>0</v>
      </c>
      <c r="AI3678">
        <v>0</v>
      </c>
      <c r="AJ3678">
        <v>0</v>
      </c>
      <c r="AK3678">
        <v>0</v>
      </c>
      <c r="AL3678">
        <v>0</v>
      </c>
      <c r="AM3678">
        <v>0</v>
      </c>
      <c r="AN3678">
        <v>0</v>
      </c>
      <c r="AO3678">
        <v>0</v>
      </c>
      <c r="AP3678">
        <v>0</v>
      </c>
      <c r="AQ3678">
        <v>0</v>
      </c>
      <c r="AR3678">
        <v>1</v>
      </c>
      <c r="AS3678">
        <v>0</v>
      </c>
      <c r="AT3678">
        <v>0</v>
      </c>
      <c r="AU3678">
        <f t="shared" si="114"/>
        <v>0</v>
      </c>
      <c r="AV3678">
        <f t="shared" si="115"/>
        <v>0</v>
      </c>
    </row>
    <row r="3679" spans="1:48" x14ac:dyDescent="0.25">
      <c r="A3679" t="s">
        <v>11586</v>
      </c>
      <c r="C3679" t="s">
        <v>11587</v>
      </c>
      <c r="D3679" t="s">
        <v>4090</v>
      </c>
      <c r="E3679" t="s">
        <v>2310</v>
      </c>
      <c r="F3679">
        <v>8</v>
      </c>
      <c r="G3679">
        <v>8.3000000000000007</v>
      </c>
      <c r="H3679" t="s">
        <v>2323</v>
      </c>
      <c r="I3679" s="21">
        <v>41466.614733796298</v>
      </c>
      <c r="J3679">
        <v>2013</v>
      </c>
      <c r="K3679" s="21">
        <v>41493.492488425902</v>
      </c>
      <c r="L3679">
        <v>2013</v>
      </c>
      <c r="M3679" s="21">
        <v>41828.678402777798</v>
      </c>
      <c r="N3679">
        <v>2014</v>
      </c>
      <c r="Q3679" s="262">
        <v>100000</v>
      </c>
      <c r="R3679" s="262">
        <v>89000</v>
      </c>
      <c r="S3679" t="s">
        <v>114</v>
      </c>
      <c r="T3679" t="s">
        <v>114</v>
      </c>
      <c r="W3679">
        <v>1200</v>
      </c>
      <c r="X3679">
        <v>0</v>
      </c>
      <c r="Y3679">
        <v>0</v>
      </c>
      <c r="Z3679">
        <v>0</v>
      </c>
      <c r="AA3679">
        <v>0</v>
      </c>
      <c r="AB3679">
        <v>0</v>
      </c>
      <c r="AC3679">
        <v>1200</v>
      </c>
      <c r="AD3679">
        <v>0</v>
      </c>
      <c r="AE3679">
        <v>0</v>
      </c>
      <c r="AF3679">
        <v>0</v>
      </c>
      <c r="AG3679">
        <v>0</v>
      </c>
      <c r="AH3679">
        <v>0</v>
      </c>
      <c r="AI3679">
        <v>0</v>
      </c>
      <c r="AJ3679">
        <v>0</v>
      </c>
      <c r="AK3679">
        <v>0</v>
      </c>
      <c r="AL3679">
        <v>0</v>
      </c>
      <c r="AM3679">
        <v>0</v>
      </c>
      <c r="AN3679">
        <v>0</v>
      </c>
      <c r="AO3679">
        <v>0</v>
      </c>
      <c r="AP3679">
        <v>0</v>
      </c>
      <c r="AQ3679">
        <v>0</v>
      </c>
      <c r="AR3679">
        <v>0</v>
      </c>
      <c r="AS3679">
        <v>0</v>
      </c>
      <c r="AT3679">
        <v>0</v>
      </c>
      <c r="AU3679">
        <f t="shared" si="114"/>
        <v>0</v>
      </c>
      <c r="AV3679">
        <f t="shared" si="115"/>
        <v>0</v>
      </c>
    </row>
    <row r="3680" spans="1:48" x14ac:dyDescent="0.25">
      <c r="A3680" t="s">
        <v>11588</v>
      </c>
      <c r="C3680" t="s">
        <v>11589</v>
      </c>
      <c r="D3680" t="s">
        <v>2805</v>
      </c>
      <c r="E3680" t="s">
        <v>2310</v>
      </c>
      <c r="F3680">
        <v>8</v>
      </c>
      <c r="G3680">
        <v>8.3000000000000007</v>
      </c>
      <c r="H3680" t="s">
        <v>2323</v>
      </c>
      <c r="I3680" s="21">
        <v>41467.366712962998</v>
      </c>
      <c r="J3680">
        <v>2013</v>
      </c>
      <c r="P3680" s="21">
        <v>42166.649930555599</v>
      </c>
      <c r="Q3680" s="262">
        <v>125000</v>
      </c>
      <c r="R3680" s="262">
        <v>108000</v>
      </c>
      <c r="S3680" t="s">
        <v>114</v>
      </c>
      <c r="T3680" t="s">
        <v>114</v>
      </c>
      <c r="W3680">
        <v>918</v>
      </c>
      <c r="X3680">
        <v>0</v>
      </c>
      <c r="Y3680">
        <v>0</v>
      </c>
      <c r="Z3680">
        <v>0</v>
      </c>
      <c r="AA3680">
        <v>0</v>
      </c>
      <c r="AB3680">
        <v>0</v>
      </c>
      <c r="AC3680">
        <v>918</v>
      </c>
      <c r="AD3680">
        <v>0</v>
      </c>
      <c r="AE3680">
        <v>0</v>
      </c>
      <c r="AF3680">
        <v>0</v>
      </c>
      <c r="AG3680">
        <v>0</v>
      </c>
      <c r="AH3680">
        <v>0</v>
      </c>
      <c r="AI3680">
        <v>0</v>
      </c>
      <c r="AJ3680">
        <v>0</v>
      </c>
      <c r="AK3680">
        <v>0</v>
      </c>
      <c r="AL3680">
        <v>0</v>
      </c>
      <c r="AM3680">
        <v>0</v>
      </c>
      <c r="AN3680">
        <v>0</v>
      </c>
      <c r="AO3680">
        <v>0</v>
      </c>
      <c r="AP3680">
        <v>0</v>
      </c>
      <c r="AQ3680">
        <v>0</v>
      </c>
      <c r="AR3680">
        <v>0</v>
      </c>
      <c r="AS3680">
        <v>0</v>
      </c>
      <c r="AT3680">
        <v>0</v>
      </c>
      <c r="AU3680">
        <f t="shared" si="114"/>
        <v>0</v>
      </c>
      <c r="AV3680">
        <f t="shared" si="115"/>
        <v>0</v>
      </c>
    </row>
    <row r="3681" spans="1:48" x14ac:dyDescent="0.25">
      <c r="A3681" t="s">
        <v>11590</v>
      </c>
      <c r="C3681" t="s">
        <v>11591</v>
      </c>
      <c r="D3681" t="s">
        <v>11592</v>
      </c>
      <c r="E3681" t="s">
        <v>2310</v>
      </c>
      <c r="F3681">
        <v>11</v>
      </c>
      <c r="G3681">
        <v>11.2</v>
      </c>
      <c r="H3681" t="s">
        <v>2017</v>
      </c>
      <c r="I3681" s="21">
        <v>41467.405868055597</v>
      </c>
      <c r="J3681">
        <v>2013</v>
      </c>
      <c r="K3681" s="21">
        <v>41509.667314814797</v>
      </c>
      <c r="L3681">
        <v>2013</v>
      </c>
      <c r="M3681" s="21">
        <v>41928.512037036999</v>
      </c>
      <c r="N3681">
        <v>2014</v>
      </c>
      <c r="Q3681" s="262">
        <v>150000</v>
      </c>
      <c r="R3681" s="262">
        <v>124000</v>
      </c>
      <c r="S3681" t="s">
        <v>114</v>
      </c>
      <c r="T3681" t="s">
        <v>114</v>
      </c>
      <c r="W3681">
        <v>1500</v>
      </c>
      <c r="X3681">
        <v>0</v>
      </c>
      <c r="Y3681">
        <v>0</v>
      </c>
      <c r="Z3681">
        <v>0</v>
      </c>
      <c r="AA3681">
        <v>0</v>
      </c>
      <c r="AB3681">
        <v>0</v>
      </c>
      <c r="AC3681">
        <v>1500</v>
      </c>
      <c r="AD3681">
        <v>0</v>
      </c>
      <c r="AE3681">
        <v>0</v>
      </c>
      <c r="AF3681">
        <v>0</v>
      </c>
      <c r="AG3681">
        <v>0</v>
      </c>
      <c r="AH3681">
        <v>0</v>
      </c>
      <c r="AI3681">
        <v>0</v>
      </c>
      <c r="AJ3681">
        <v>0</v>
      </c>
      <c r="AK3681">
        <v>0</v>
      </c>
      <c r="AL3681">
        <v>0</v>
      </c>
      <c r="AM3681">
        <v>0</v>
      </c>
      <c r="AN3681">
        <v>0</v>
      </c>
      <c r="AO3681">
        <v>0</v>
      </c>
      <c r="AP3681">
        <v>0</v>
      </c>
      <c r="AQ3681">
        <v>0</v>
      </c>
      <c r="AR3681">
        <v>0</v>
      </c>
      <c r="AS3681">
        <v>0</v>
      </c>
      <c r="AT3681">
        <v>0</v>
      </c>
      <c r="AU3681">
        <f t="shared" si="114"/>
        <v>0</v>
      </c>
      <c r="AV3681">
        <f t="shared" si="115"/>
        <v>0</v>
      </c>
    </row>
    <row r="3682" spans="1:48" x14ac:dyDescent="0.25">
      <c r="A3682" t="s">
        <v>11593</v>
      </c>
      <c r="C3682" t="s">
        <v>11559</v>
      </c>
      <c r="D3682" t="s">
        <v>11594</v>
      </c>
      <c r="E3682" t="s">
        <v>1663</v>
      </c>
      <c r="F3682">
        <v>3</v>
      </c>
      <c r="G3682">
        <v>3.1</v>
      </c>
      <c r="H3682" t="s">
        <v>2017</v>
      </c>
      <c r="I3682" s="21">
        <v>41471</v>
      </c>
      <c r="J3682">
        <v>2013</v>
      </c>
      <c r="K3682" s="21">
        <v>41480</v>
      </c>
      <c r="L3682">
        <v>2013</v>
      </c>
      <c r="M3682" s="21">
        <v>41664</v>
      </c>
      <c r="N3682">
        <v>2014</v>
      </c>
      <c r="Q3682" s="262">
        <v>480000</v>
      </c>
      <c r="S3682" t="s">
        <v>114</v>
      </c>
      <c r="T3682" t="s">
        <v>114</v>
      </c>
      <c r="W3682">
        <v>1925</v>
      </c>
      <c r="X3682">
        <v>1</v>
      </c>
      <c r="Y3682">
        <v>0</v>
      </c>
      <c r="Z3682">
        <v>0</v>
      </c>
      <c r="AA3682">
        <v>0</v>
      </c>
      <c r="AB3682">
        <v>0</v>
      </c>
      <c r="AC3682">
        <v>1925</v>
      </c>
      <c r="AD3682">
        <v>0</v>
      </c>
      <c r="AE3682">
        <v>0</v>
      </c>
      <c r="AF3682">
        <v>0</v>
      </c>
      <c r="AG3682">
        <v>0</v>
      </c>
      <c r="AH3682">
        <v>0</v>
      </c>
      <c r="AI3682">
        <v>0</v>
      </c>
      <c r="AJ3682">
        <v>0</v>
      </c>
      <c r="AK3682">
        <v>0</v>
      </c>
      <c r="AL3682">
        <v>0</v>
      </c>
      <c r="AM3682">
        <v>0</v>
      </c>
      <c r="AN3682">
        <v>0</v>
      </c>
      <c r="AO3682">
        <v>1</v>
      </c>
      <c r="AP3682">
        <v>0</v>
      </c>
      <c r="AQ3682">
        <v>0</v>
      </c>
      <c r="AR3682">
        <v>0</v>
      </c>
      <c r="AS3682">
        <v>0</v>
      </c>
      <c r="AT3682">
        <v>0</v>
      </c>
      <c r="AU3682">
        <f t="shared" si="114"/>
        <v>1</v>
      </c>
      <c r="AV3682">
        <f t="shared" si="115"/>
        <v>0</v>
      </c>
    </row>
    <row r="3683" spans="1:48" x14ac:dyDescent="0.25">
      <c r="A3683" t="s">
        <v>11595</v>
      </c>
      <c r="C3683" t="s">
        <v>11596</v>
      </c>
      <c r="D3683" t="s">
        <v>6002</v>
      </c>
      <c r="E3683" t="s">
        <v>2310</v>
      </c>
      <c r="F3683">
        <v>8</v>
      </c>
      <c r="G3683">
        <v>8.1999999999999993</v>
      </c>
      <c r="H3683" t="s">
        <v>2022</v>
      </c>
      <c r="I3683" s="21">
        <v>41471.6195717593</v>
      </c>
      <c r="J3683">
        <v>2013</v>
      </c>
      <c r="K3683" s="21">
        <v>41523.691805555602</v>
      </c>
      <c r="L3683">
        <v>2013</v>
      </c>
      <c r="M3683" s="21">
        <v>41928.507743055598</v>
      </c>
      <c r="N3683">
        <v>2014</v>
      </c>
      <c r="Q3683" s="262">
        <v>375000</v>
      </c>
      <c r="R3683" s="262">
        <v>86000</v>
      </c>
      <c r="S3683" t="s">
        <v>114</v>
      </c>
      <c r="T3683" t="s">
        <v>114</v>
      </c>
      <c r="W3683">
        <v>1433</v>
      </c>
      <c r="X3683">
        <v>0</v>
      </c>
      <c r="Y3683">
        <v>0</v>
      </c>
      <c r="Z3683">
        <v>0</v>
      </c>
      <c r="AA3683">
        <v>0</v>
      </c>
      <c r="AB3683">
        <v>0</v>
      </c>
      <c r="AC3683">
        <v>1433</v>
      </c>
      <c r="AD3683">
        <v>0</v>
      </c>
      <c r="AE3683">
        <v>0</v>
      </c>
      <c r="AF3683">
        <v>0</v>
      </c>
      <c r="AG3683">
        <v>0</v>
      </c>
      <c r="AH3683">
        <v>0</v>
      </c>
      <c r="AI3683">
        <v>0</v>
      </c>
      <c r="AJ3683">
        <v>0</v>
      </c>
      <c r="AK3683">
        <v>0</v>
      </c>
      <c r="AL3683">
        <v>0</v>
      </c>
      <c r="AM3683">
        <v>0</v>
      </c>
      <c r="AN3683">
        <v>0</v>
      </c>
      <c r="AO3683">
        <v>0</v>
      </c>
      <c r="AP3683">
        <v>0</v>
      </c>
      <c r="AQ3683">
        <v>0</v>
      </c>
      <c r="AR3683">
        <v>0</v>
      </c>
      <c r="AS3683">
        <v>0</v>
      </c>
      <c r="AT3683">
        <v>0</v>
      </c>
      <c r="AU3683">
        <f t="shared" si="114"/>
        <v>0</v>
      </c>
      <c r="AV3683">
        <f t="shared" si="115"/>
        <v>0</v>
      </c>
    </row>
    <row r="3684" spans="1:48" x14ac:dyDescent="0.25">
      <c r="A3684" t="s">
        <v>11597</v>
      </c>
      <c r="C3684" t="s">
        <v>11598</v>
      </c>
      <c r="D3684" t="s">
        <v>11599</v>
      </c>
      <c r="E3684" t="s">
        <v>2310</v>
      </c>
      <c r="F3684">
        <v>13</v>
      </c>
      <c r="G3684">
        <v>13.2</v>
      </c>
      <c r="H3684" t="s">
        <v>2327</v>
      </c>
      <c r="I3684" s="21">
        <v>41472.354467592602</v>
      </c>
      <c r="J3684">
        <v>2013</v>
      </c>
      <c r="K3684" s="21">
        <v>41528.704375000001</v>
      </c>
      <c r="L3684">
        <v>2013</v>
      </c>
      <c r="M3684" s="21">
        <v>42194.305879629603</v>
      </c>
      <c r="N3684">
        <v>2015</v>
      </c>
      <c r="Q3684" s="262">
        <v>3000000</v>
      </c>
      <c r="R3684" s="262">
        <v>620000</v>
      </c>
      <c r="S3684" t="s">
        <v>114</v>
      </c>
      <c r="T3684" t="s">
        <v>114</v>
      </c>
      <c r="W3684">
        <v>6290</v>
      </c>
      <c r="X3684">
        <v>1</v>
      </c>
      <c r="Y3684">
        <v>0</v>
      </c>
      <c r="Z3684">
        <v>0</v>
      </c>
      <c r="AA3684">
        <v>0</v>
      </c>
      <c r="AB3684">
        <v>0</v>
      </c>
      <c r="AC3684">
        <v>6290</v>
      </c>
      <c r="AD3684">
        <v>0</v>
      </c>
      <c r="AE3684">
        <v>0</v>
      </c>
      <c r="AF3684">
        <v>0</v>
      </c>
      <c r="AG3684">
        <v>0</v>
      </c>
      <c r="AH3684">
        <v>0</v>
      </c>
      <c r="AI3684">
        <v>0</v>
      </c>
      <c r="AJ3684">
        <v>0</v>
      </c>
      <c r="AK3684">
        <v>0</v>
      </c>
      <c r="AL3684">
        <v>0</v>
      </c>
      <c r="AM3684">
        <v>0</v>
      </c>
      <c r="AN3684">
        <v>0</v>
      </c>
      <c r="AO3684">
        <v>1</v>
      </c>
      <c r="AP3684">
        <v>0</v>
      </c>
      <c r="AQ3684">
        <v>0</v>
      </c>
      <c r="AR3684">
        <v>0</v>
      </c>
      <c r="AS3684">
        <v>0</v>
      </c>
      <c r="AT3684">
        <v>0</v>
      </c>
      <c r="AU3684">
        <f t="shared" si="114"/>
        <v>1</v>
      </c>
      <c r="AV3684">
        <f t="shared" si="115"/>
        <v>0</v>
      </c>
    </row>
    <row r="3685" spans="1:48" x14ac:dyDescent="0.25">
      <c r="A3685" t="s">
        <v>11600</v>
      </c>
      <c r="C3685" t="s">
        <v>11601</v>
      </c>
      <c r="D3685" t="s">
        <v>11602</v>
      </c>
      <c r="E3685" t="s">
        <v>2310</v>
      </c>
      <c r="F3685">
        <v>9</v>
      </c>
      <c r="G3685">
        <v>9.1999999999999993</v>
      </c>
      <c r="H3685" t="s">
        <v>2022</v>
      </c>
      <c r="I3685" s="21">
        <v>41472.406689814801</v>
      </c>
      <c r="J3685">
        <v>2013</v>
      </c>
      <c r="K3685" s="21">
        <v>41506.502604166701</v>
      </c>
      <c r="L3685">
        <v>2013</v>
      </c>
      <c r="M3685" s="21">
        <v>42031.691631944399</v>
      </c>
      <c r="N3685">
        <v>2015</v>
      </c>
      <c r="Q3685" s="262">
        <v>40000</v>
      </c>
      <c r="R3685" s="262">
        <v>16000</v>
      </c>
      <c r="S3685" t="s">
        <v>114</v>
      </c>
      <c r="T3685" t="s">
        <v>114</v>
      </c>
      <c r="W3685">
        <v>384</v>
      </c>
      <c r="X3685">
        <v>0</v>
      </c>
      <c r="Y3685">
        <v>0</v>
      </c>
      <c r="Z3685">
        <v>0</v>
      </c>
      <c r="AA3685">
        <v>0</v>
      </c>
      <c r="AB3685">
        <v>0</v>
      </c>
      <c r="AC3685">
        <v>384</v>
      </c>
      <c r="AD3685">
        <v>0</v>
      </c>
      <c r="AE3685">
        <v>0</v>
      </c>
      <c r="AF3685">
        <v>0</v>
      </c>
      <c r="AG3685">
        <v>0</v>
      </c>
      <c r="AH3685">
        <v>0</v>
      </c>
      <c r="AI3685">
        <v>0</v>
      </c>
      <c r="AJ3685">
        <v>0</v>
      </c>
      <c r="AK3685">
        <v>0</v>
      </c>
      <c r="AL3685">
        <v>0</v>
      </c>
      <c r="AM3685">
        <v>0</v>
      </c>
      <c r="AN3685">
        <v>0</v>
      </c>
      <c r="AO3685">
        <v>0</v>
      </c>
      <c r="AP3685">
        <v>0</v>
      </c>
      <c r="AQ3685">
        <v>0</v>
      </c>
      <c r="AR3685">
        <v>0</v>
      </c>
      <c r="AS3685">
        <v>0</v>
      </c>
      <c r="AT3685">
        <v>0</v>
      </c>
      <c r="AU3685">
        <f t="shared" si="114"/>
        <v>0</v>
      </c>
      <c r="AV3685">
        <f t="shared" si="115"/>
        <v>0</v>
      </c>
    </row>
    <row r="3686" spans="1:48" x14ac:dyDescent="0.25">
      <c r="A3686" t="s">
        <v>11603</v>
      </c>
      <c r="C3686" t="s">
        <v>11604</v>
      </c>
      <c r="D3686" t="s">
        <v>11605</v>
      </c>
      <c r="E3686" t="s">
        <v>2310</v>
      </c>
      <c r="F3686">
        <v>12</v>
      </c>
      <c r="G3686">
        <v>12.3</v>
      </c>
      <c r="H3686" t="s">
        <v>2017</v>
      </c>
      <c r="I3686" s="21">
        <v>41472.440763888902</v>
      </c>
      <c r="J3686">
        <v>2013</v>
      </c>
      <c r="K3686" s="21">
        <v>41547.500185185199</v>
      </c>
      <c r="L3686">
        <v>2013</v>
      </c>
      <c r="M3686" s="21">
        <v>42359.427581018499</v>
      </c>
      <c r="N3686">
        <v>2015</v>
      </c>
      <c r="Q3686" s="262">
        <v>1300000</v>
      </c>
      <c r="R3686" s="262">
        <v>510000</v>
      </c>
      <c r="S3686" t="s">
        <v>114</v>
      </c>
      <c r="T3686" t="s">
        <v>114</v>
      </c>
      <c r="W3686">
        <v>4827</v>
      </c>
      <c r="X3686">
        <v>1</v>
      </c>
      <c r="Y3686">
        <v>0</v>
      </c>
      <c r="Z3686">
        <v>0</v>
      </c>
      <c r="AA3686">
        <v>0</v>
      </c>
      <c r="AB3686">
        <v>0</v>
      </c>
      <c r="AC3686">
        <v>4827</v>
      </c>
      <c r="AD3686">
        <v>0</v>
      </c>
      <c r="AE3686">
        <v>0</v>
      </c>
      <c r="AF3686">
        <v>0</v>
      </c>
      <c r="AG3686">
        <v>0</v>
      </c>
      <c r="AH3686">
        <v>0</v>
      </c>
      <c r="AI3686">
        <v>0</v>
      </c>
      <c r="AJ3686">
        <v>0</v>
      </c>
      <c r="AK3686">
        <v>0</v>
      </c>
      <c r="AL3686">
        <v>0</v>
      </c>
      <c r="AM3686">
        <v>0</v>
      </c>
      <c r="AN3686">
        <v>0</v>
      </c>
      <c r="AO3686">
        <v>1</v>
      </c>
      <c r="AP3686">
        <v>0</v>
      </c>
      <c r="AQ3686">
        <v>0</v>
      </c>
      <c r="AR3686">
        <v>0</v>
      </c>
      <c r="AS3686">
        <v>0</v>
      </c>
      <c r="AT3686">
        <v>0</v>
      </c>
      <c r="AU3686">
        <f t="shared" si="114"/>
        <v>1</v>
      </c>
      <c r="AV3686">
        <f t="shared" si="115"/>
        <v>0</v>
      </c>
    </row>
    <row r="3687" spans="1:48" x14ac:dyDescent="0.25">
      <c r="A3687" t="s">
        <v>11606</v>
      </c>
      <c r="C3687" t="s">
        <v>11496</v>
      </c>
      <c r="D3687" t="s">
        <v>10148</v>
      </c>
      <c r="E3687" t="s">
        <v>2310</v>
      </c>
      <c r="F3687">
        <v>8</v>
      </c>
      <c r="G3687">
        <v>8.1999999999999993</v>
      </c>
      <c r="H3687" t="s">
        <v>2022</v>
      </c>
      <c r="I3687" s="21">
        <v>41472.563564814802</v>
      </c>
      <c r="J3687">
        <v>2013</v>
      </c>
      <c r="K3687" s="21">
        <v>41782.423344907402</v>
      </c>
      <c r="L3687">
        <v>2014</v>
      </c>
      <c r="M3687" s="21">
        <v>42716.398125</v>
      </c>
      <c r="N3687">
        <v>2016</v>
      </c>
      <c r="Q3687" s="262">
        <v>2200000</v>
      </c>
      <c r="R3687" s="262">
        <v>775000</v>
      </c>
      <c r="S3687" t="s">
        <v>114</v>
      </c>
      <c r="T3687" t="s">
        <v>114</v>
      </c>
      <c r="W3687">
        <v>7929</v>
      </c>
      <c r="X3687">
        <v>1</v>
      </c>
      <c r="Y3687">
        <v>0</v>
      </c>
      <c r="Z3687">
        <v>0</v>
      </c>
      <c r="AA3687">
        <v>0</v>
      </c>
      <c r="AB3687">
        <v>0</v>
      </c>
      <c r="AC3687">
        <v>7929</v>
      </c>
      <c r="AD3687">
        <v>0</v>
      </c>
      <c r="AE3687">
        <v>0</v>
      </c>
      <c r="AF3687">
        <v>0</v>
      </c>
      <c r="AG3687">
        <v>0</v>
      </c>
      <c r="AH3687">
        <v>0</v>
      </c>
      <c r="AI3687">
        <v>0</v>
      </c>
      <c r="AJ3687">
        <v>0</v>
      </c>
      <c r="AK3687">
        <v>0</v>
      </c>
      <c r="AL3687">
        <v>0</v>
      </c>
      <c r="AM3687">
        <v>0</v>
      </c>
      <c r="AN3687">
        <v>0</v>
      </c>
      <c r="AO3687">
        <v>1</v>
      </c>
      <c r="AP3687">
        <v>0</v>
      </c>
      <c r="AQ3687">
        <v>0</v>
      </c>
      <c r="AR3687">
        <v>0</v>
      </c>
      <c r="AS3687">
        <v>0</v>
      </c>
      <c r="AT3687">
        <v>0</v>
      </c>
      <c r="AU3687">
        <f t="shared" si="114"/>
        <v>1</v>
      </c>
      <c r="AV3687">
        <f t="shared" si="115"/>
        <v>0</v>
      </c>
    </row>
    <row r="3688" spans="1:48" x14ac:dyDescent="0.25">
      <c r="A3688" t="s">
        <v>11607</v>
      </c>
      <c r="C3688" t="s">
        <v>11608</v>
      </c>
      <c r="D3688" t="s">
        <v>8714</v>
      </c>
      <c r="E3688" t="s">
        <v>2310</v>
      </c>
      <c r="F3688">
        <v>9</v>
      </c>
      <c r="G3688">
        <v>9.1</v>
      </c>
      <c r="H3688" t="s">
        <v>2323</v>
      </c>
      <c r="I3688" s="21">
        <v>41472.672557870399</v>
      </c>
      <c r="J3688">
        <v>2013</v>
      </c>
      <c r="K3688" s="21">
        <v>41529.697893518503</v>
      </c>
      <c r="L3688">
        <v>2013</v>
      </c>
      <c r="M3688" s="21">
        <v>41648.669108796297</v>
      </c>
      <c r="N3688">
        <v>2014</v>
      </c>
      <c r="Q3688" s="262">
        <v>200000</v>
      </c>
      <c r="R3688" s="262">
        <v>18000</v>
      </c>
      <c r="S3688" t="s">
        <v>114</v>
      </c>
      <c r="T3688" t="s">
        <v>114</v>
      </c>
      <c r="W3688">
        <v>0</v>
      </c>
      <c r="X3688">
        <v>0</v>
      </c>
      <c r="Y3688">
        <v>0</v>
      </c>
      <c r="Z3688">
        <v>0</v>
      </c>
      <c r="AA3688">
        <v>0</v>
      </c>
      <c r="AB3688">
        <v>0</v>
      </c>
      <c r="AC3688">
        <v>0</v>
      </c>
      <c r="AD3688">
        <v>0</v>
      </c>
      <c r="AE3688">
        <v>0</v>
      </c>
      <c r="AF3688">
        <v>0</v>
      </c>
      <c r="AG3688">
        <v>0</v>
      </c>
      <c r="AH3688">
        <v>0</v>
      </c>
      <c r="AI3688">
        <v>0</v>
      </c>
      <c r="AJ3688">
        <v>0</v>
      </c>
      <c r="AK3688">
        <v>0</v>
      </c>
      <c r="AL3688">
        <v>0</v>
      </c>
      <c r="AM3688">
        <v>0</v>
      </c>
      <c r="AN3688">
        <v>0</v>
      </c>
      <c r="AO3688">
        <v>0</v>
      </c>
      <c r="AP3688">
        <v>0</v>
      </c>
      <c r="AQ3688">
        <v>0</v>
      </c>
      <c r="AR3688">
        <v>0</v>
      </c>
      <c r="AS3688">
        <v>0</v>
      </c>
      <c r="AT3688">
        <v>0</v>
      </c>
      <c r="AU3688">
        <f t="shared" si="114"/>
        <v>0</v>
      </c>
      <c r="AV3688">
        <f t="shared" si="115"/>
        <v>0</v>
      </c>
    </row>
    <row r="3689" spans="1:48" x14ac:dyDescent="0.25">
      <c r="A3689" t="s">
        <v>11609</v>
      </c>
      <c r="C3689" t="s">
        <v>11246</v>
      </c>
      <c r="D3689" t="s">
        <v>11610</v>
      </c>
      <c r="E3689" t="s">
        <v>1663</v>
      </c>
      <c r="F3689">
        <v>2</v>
      </c>
      <c r="G3689">
        <v>2.6</v>
      </c>
      <c r="H3689" t="s">
        <v>2327</v>
      </c>
      <c r="I3689" s="21">
        <v>41474</v>
      </c>
      <c r="J3689">
        <v>2013</v>
      </c>
      <c r="K3689" s="21">
        <v>41486</v>
      </c>
      <c r="L3689">
        <v>2013</v>
      </c>
      <c r="M3689" s="21">
        <v>41703</v>
      </c>
      <c r="N3689">
        <v>2014</v>
      </c>
      <c r="Q3689" s="262">
        <v>350000</v>
      </c>
      <c r="S3689" t="s">
        <v>114</v>
      </c>
      <c r="T3689" t="s">
        <v>114</v>
      </c>
      <c r="W3689">
        <v>4606</v>
      </c>
      <c r="X3689">
        <v>0</v>
      </c>
      <c r="Y3689">
        <v>0</v>
      </c>
      <c r="Z3689">
        <v>0</v>
      </c>
      <c r="AA3689">
        <v>0</v>
      </c>
      <c r="AB3689">
        <v>0</v>
      </c>
      <c r="AC3689">
        <v>4606</v>
      </c>
      <c r="AD3689">
        <v>0</v>
      </c>
      <c r="AE3689">
        <v>0</v>
      </c>
      <c r="AF3689">
        <v>0</v>
      </c>
      <c r="AG3689">
        <v>0</v>
      </c>
      <c r="AH3689">
        <v>0</v>
      </c>
      <c r="AI3689">
        <v>0</v>
      </c>
      <c r="AJ3689">
        <v>0</v>
      </c>
      <c r="AK3689">
        <v>0</v>
      </c>
      <c r="AL3689">
        <v>0</v>
      </c>
      <c r="AM3689">
        <v>0</v>
      </c>
      <c r="AN3689">
        <v>0</v>
      </c>
      <c r="AO3689">
        <v>0</v>
      </c>
      <c r="AP3689">
        <v>0</v>
      </c>
      <c r="AQ3689">
        <v>0</v>
      </c>
      <c r="AR3689">
        <v>0</v>
      </c>
      <c r="AS3689">
        <v>0</v>
      </c>
      <c r="AT3689">
        <v>0</v>
      </c>
      <c r="AU3689">
        <f t="shared" si="114"/>
        <v>0</v>
      </c>
      <c r="AV3689">
        <f t="shared" si="115"/>
        <v>0</v>
      </c>
    </row>
    <row r="3690" spans="1:48" x14ac:dyDescent="0.25">
      <c r="A3690" t="s">
        <v>11611</v>
      </c>
      <c r="C3690" t="s">
        <v>11182</v>
      </c>
      <c r="D3690" t="s">
        <v>11612</v>
      </c>
      <c r="E3690" t="s">
        <v>2310</v>
      </c>
      <c r="F3690">
        <v>9</v>
      </c>
      <c r="G3690">
        <v>9.3000000000000007</v>
      </c>
      <c r="H3690" t="s">
        <v>2323</v>
      </c>
      <c r="I3690" s="21">
        <v>41474.466249999998</v>
      </c>
      <c r="J3690">
        <v>2013</v>
      </c>
      <c r="K3690" s="21">
        <v>41802.602893518502</v>
      </c>
      <c r="L3690">
        <v>2014</v>
      </c>
      <c r="M3690" s="21">
        <v>42257.697418981501</v>
      </c>
      <c r="N3690">
        <v>2015</v>
      </c>
      <c r="Q3690" s="262">
        <v>5190000</v>
      </c>
      <c r="R3690" s="262">
        <v>1007000</v>
      </c>
      <c r="S3690" t="s">
        <v>114</v>
      </c>
      <c r="T3690" t="s">
        <v>114</v>
      </c>
      <c r="W3690">
        <v>13144</v>
      </c>
      <c r="X3690">
        <v>1</v>
      </c>
      <c r="Y3690">
        <v>0</v>
      </c>
      <c r="Z3690">
        <v>0</v>
      </c>
      <c r="AA3690">
        <v>0</v>
      </c>
      <c r="AB3690">
        <v>0</v>
      </c>
      <c r="AC3690">
        <v>13144</v>
      </c>
      <c r="AD3690">
        <v>0</v>
      </c>
      <c r="AE3690">
        <v>0</v>
      </c>
      <c r="AF3690">
        <v>0</v>
      </c>
      <c r="AG3690">
        <v>0</v>
      </c>
      <c r="AH3690">
        <v>0</v>
      </c>
      <c r="AI3690">
        <v>0</v>
      </c>
      <c r="AJ3690">
        <v>0</v>
      </c>
      <c r="AK3690">
        <v>0</v>
      </c>
      <c r="AL3690">
        <v>0</v>
      </c>
      <c r="AM3690">
        <v>0</v>
      </c>
      <c r="AN3690">
        <v>0</v>
      </c>
      <c r="AO3690">
        <v>1</v>
      </c>
      <c r="AP3690">
        <v>0</v>
      </c>
      <c r="AQ3690">
        <v>0</v>
      </c>
      <c r="AR3690">
        <v>0</v>
      </c>
      <c r="AS3690">
        <v>0</v>
      </c>
      <c r="AT3690">
        <v>0</v>
      </c>
      <c r="AU3690">
        <f t="shared" si="114"/>
        <v>1</v>
      </c>
      <c r="AV3690">
        <f t="shared" si="115"/>
        <v>0</v>
      </c>
    </row>
    <row r="3691" spans="1:48" x14ac:dyDescent="0.25">
      <c r="A3691" t="s">
        <v>11611</v>
      </c>
      <c r="B3691" t="s">
        <v>11613</v>
      </c>
      <c r="C3691" t="s">
        <v>11614</v>
      </c>
      <c r="D3691" t="s">
        <v>11612</v>
      </c>
      <c r="E3691" t="s">
        <v>2310</v>
      </c>
      <c r="F3691">
        <v>9</v>
      </c>
      <c r="G3691">
        <v>9.3000000000000007</v>
      </c>
      <c r="H3691" t="s">
        <v>2323</v>
      </c>
      <c r="I3691" s="21">
        <v>41474.466249999998</v>
      </c>
      <c r="J3691">
        <v>2013</v>
      </c>
      <c r="K3691" s="21">
        <v>41802.602893518502</v>
      </c>
      <c r="L3691">
        <v>2014</v>
      </c>
      <c r="M3691" s="21">
        <v>42257.697418981501</v>
      </c>
      <c r="N3691">
        <v>2015</v>
      </c>
      <c r="S3691" t="s">
        <v>114</v>
      </c>
      <c r="T3691" t="s">
        <v>114</v>
      </c>
      <c r="V3691">
        <v>0</v>
      </c>
      <c r="W3691">
        <v>814</v>
      </c>
      <c r="X3691">
        <v>0</v>
      </c>
      <c r="Y3691">
        <v>0</v>
      </c>
      <c r="Z3691">
        <v>0</v>
      </c>
      <c r="AA3691">
        <v>0</v>
      </c>
      <c r="AB3691">
        <v>0</v>
      </c>
      <c r="AC3691">
        <v>814</v>
      </c>
      <c r="AD3691">
        <v>0</v>
      </c>
      <c r="AE3691">
        <v>0</v>
      </c>
      <c r="AF3691">
        <v>0</v>
      </c>
      <c r="AG3691">
        <v>0</v>
      </c>
      <c r="AH3691">
        <v>0</v>
      </c>
      <c r="AI3691">
        <v>0</v>
      </c>
      <c r="AJ3691">
        <v>0</v>
      </c>
      <c r="AK3691">
        <v>0</v>
      </c>
      <c r="AL3691">
        <v>0</v>
      </c>
      <c r="AM3691">
        <v>0</v>
      </c>
      <c r="AN3691">
        <v>0</v>
      </c>
      <c r="AO3691">
        <v>0</v>
      </c>
      <c r="AP3691">
        <v>0</v>
      </c>
      <c r="AQ3691">
        <v>0</v>
      </c>
      <c r="AR3691">
        <v>0</v>
      </c>
      <c r="AS3691">
        <v>0</v>
      </c>
      <c r="AT3691">
        <v>0</v>
      </c>
      <c r="AU3691">
        <f t="shared" si="114"/>
        <v>0</v>
      </c>
      <c r="AV3691">
        <f t="shared" si="115"/>
        <v>0</v>
      </c>
    </row>
    <row r="3692" spans="1:48" x14ac:dyDescent="0.25">
      <c r="A3692" t="s">
        <v>11617</v>
      </c>
      <c r="C3692" t="s">
        <v>11618</v>
      </c>
      <c r="D3692" t="s">
        <v>11619</v>
      </c>
      <c r="E3692" t="s">
        <v>1663</v>
      </c>
      <c r="F3692">
        <v>6</v>
      </c>
      <c r="G3692">
        <v>6.1</v>
      </c>
      <c r="H3692" t="s">
        <v>2017</v>
      </c>
      <c r="I3692" s="21">
        <v>41477</v>
      </c>
      <c r="J3692">
        <v>2013</v>
      </c>
      <c r="K3692" s="21">
        <v>41487</v>
      </c>
      <c r="L3692">
        <v>2013</v>
      </c>
      <c r="M3692" s="21">
        <v>41671</v>
      </c>
      <c r="N3692">
        <v>2014</v>
      </c>
      <c r="Q3692" s="262">
        <v>22000</v>
      </c>
      <c r="S3692" t="s">
        <v>114</v>
      </c>
      <c r="T3692" t="s">
        <v>114</v>
      </c>
      <c r="W3692">
        <v>168</v>
      </c>
      <c r="X3692">
        <v>0</v>
      </c>
      <c r="Y3692">
        <v>0</v>
      </c>
      <c r="Z3692">
        <v>0</v>
      </c>
      <c r="AA3692">
        <v>0</v>
      </c>
      <c r="AB3692">
        <v>0</v>
      </c>
      <c r="AC3692">
        <v>168</v>
      </c>
      <c r="AD3692">
        <v>0</v>
      </c>
      <c r="AE3692">
        <v>0</v>
      </c>
      <c r="AF3692">
        <v>0</v>
      </c>
      <c r="AG3692">
        <v>0</v>
      </c>
      <c r="AH3692">
        <v>0</v>
      </c>
      <c r="AI3692">
        <v>0</v>
      </c>
      <c r="AJ3692">
        <v>0</v>
      </c>
      <c r="AK3692">
        <v>0</v>
      </c>
      <c r="AL3692">
        <v>0</v>
      </c>
      <c r="AM3692">
        <v>0</v>
      </c>
      <c r="AN3692">
        <v>0</v>
      </c>
      <c r="AO3692">
        <v>0</v>
      </c>
      <c r="AP3692">
        <v>0</v>
      </c>
      <c r="AQ3692">
        <v>0</v>
      </c>
      <c r="AR3692">
        <v>0</v>
      </c>
      <c r="AS3692">
        <v>0</v>
      </c>
      <c r="AT3692">
        <v>0</v>
      </c>
      <c r="AU3692">
        <f t="shared" si="114"/>
        <v>0</v>
      </c>
      <c r="AV3692">
        <f t="shared" si="115"/>
        <v>0</v>
      </c>
    </row>
    <row r="3693" spans="1:48" x14ac:dyDescent="0.25">
      <c r="A3693" t="s">
        <v>11615</v>
      </c>
      <c r="C3693" t="s">
        <v>11411</v>
      </c>
      <c r="D3693" t="s">
        <v>11616</v>
      </c>
      <c r="E3693" t="s">
        <v>1663</v>
      </c>
      <c r="F3693">
        <v>2</v>
      </c>
      <c r="G3693">
        <v>2.6</v>
      </c>
      <c r="H3693" t="s">
        <v>2327</v>
      </c>
      <c r="I3693" s="21">
        <v>41477</v>
      </c>
      <c r="J3693">
        <v>2013</v>
      </c>
      <c r="K3693" s="21">
        <v>41480</v>
      </c>
      <c r="L3693">
        <v>2013</v>
      </c>
      <c r="M3693" s="21">
        <v>41647</v>
      </c>
      <c r="N3693">
        <v>2014</v>
      </c>
      <c r="Q3693" s="262">
        <v>15000</v>
      </c>
      <c r="S3693" t="s">
        <v>114</v>
      </c>
      <c r="T3693" t="s">
        <v>114</v>
      </c>
      <c r="W3693">
        <v>765</v>
      </c>
      <c r="X3693">
        <v>0</v>
      </c>
      <c r="Y3693">
        <v>0</v>
      </c>
      <c r="Z3693">
        <v>0</v>
      </c>
      <c r="AA3693">
        <v>0</v>
      </c>
      <c r="AB3693">
        <v>0</v>
      </c>
      <c r="AC3693">
        <v>765</v>
      </c>
      <c r="AD3693">
        <v>0</v>
      </c>
      <c r="AE3693">
        <v>0</v>
      </c>
      <c r="AF3693">
        <v>0</v>
      </c>
      <c r="AG3693">
        <v>0</v>
      </c>
      <c r="AH3693">
        <v>0</v>
      </c>
      <c r="AI3693">
        <v>0</v>
      </c>
      <c r="AJ3693">
        <v>0</v>
      </c>
      <c r="AK3693">
        <v>0</v>
      </c>
      <c r="AL3693">
        <v>0</v>
      </c>
      <c r="AM3693">
        <v>0</v>
      </c>
      <c r="AN3693">
        <v>0</v>
      </c>
      <c r="AO3693">
        <v>0</v>
      </c>
      <c r="AP3693">
        <v>0</v>
      </c>
      <c r="AQ3693">
        <v>0</v>
      </c>
      <c r="AR3693">
        <v>0</v>
      </c>
      <c r="AS3693">
        <v>0</v>
      </c>
      <c r="AT3693">
        <v>0</v>
      </c>
      <c r="AU3693">
        <f t="shared" si="114"/>
        <v>0</v>
      </c>
      <c r="AV3693">
        <f t="shared" si="115"/>
        <v>0</v>
      </c>
    </row>
    <row r="3694" spans="1:48" x14ac:dyDescent="0.25">
      <c r="A3694" t="s">
        <v>11620</v>
      </c>
      <c r="C3694" t="s">
        <v>11343</v>
      </c>
      <c r="D3694" t="s">
        <v>11621</v>
      </c>
      <c r="E3694" t="s">
        <v>2310</v>
      </c>
      <c r="F3694">
        <v>9</v>
      </c>
      <c r="G3694">
        <v>9.1</v>
      </c>
      <c r="H3694" t="s">
        <v>2323</v>
      </c>
      <c r="I3694" s="21">
        <v>41478.410648148201</v>
      </c>
      <c r="J3694">
        <v>2013</v>
      </c>
      <c r="K3694" s="21">
        <v>41563.401875000003</v>
      </c>
      <c r="L3694">
        <v>2013</v>
      </c>
      <c r="M3694" s="21">
        <v>42283.371111111097</v>
      </c>
      <c r="N3694">
        <v>2015</v>
      </c>
      <c r="Q3694" s="262">
        <v>1300000</v>
      </c>
      <c r="R3694" s="262">
        <v>586000</v>
      </c>
      <c r="S3694" t="s">
        <v>114</v>
      </c>
      <c r="T3694" t="s">
        <v>114</v>
      </c>
      <c r="W3694">
        <v>5974</v>
      </c>
      <c r="X3694">
        <v>1</v>
      </c>
      <c r="Y3694">
        <v>0</v>
      </c>
      <c r="Z3694">
        <v>0</v>
      </c>
      <c r="AA3694">
        <v>0</v>
      </c>
      <c r="AB3694">
        <v>0</v>
      </c>
      <c r="AC3694">
        <v>5974</v>
      </c>
      <c r="AD3694">
        <v>0</v>
      </c>
      <c r="AE3694">
        <v>0</v>
      </c>
      <c r="AF3694">
        <v>0</v>
      </c>
      <c r="AG3694">
        <v>0</v>
      </c>
      <c r="AH3694">
        <v>0</v>
      </c>
      <c r="AI3694">
        <v>0</v>
      </c>
      <c r="AJ3694">
        <v>0</v>
      </c>
      <c r="AK3694">
        <v>0</v>
      </c>
      <c r="AL3694">
        <v>0</v>
      </c>
      <c r="AM3694">
        <v>0</v>
      </c>
      <c r="AN3694">
        <v>0</v>
      </c>
      <c r="AO3694">
        <v>1</v>
      </c>
      <c r="AP3694">
        <v>0</v>
      </c>
      <c r="AQ3694">
        <v>0</v>
      </c>
      <c r="AR3694">
        <v>0</v>
      </c>
      <c r="AS3694">
        <v>0</v>
      </c>
      <c r="AT3694">
        <v>0</v>
      </c>
      <c r="AU3694">
        <f t="shared" si="114"/>
        <v>1</v>
      </c>
      <c r="AV3694">
        <f t="shared" si="115"/>
        <v>0</v>
      </c>
    </row>
    <row r="3695" spans="1:48" x14ac:dyDescent="0.25">
      <c r="A3695" t="s">
        <v>11622</v>
      </c>
      <c r="C3695" t="s">
        <v>10187</v>
      </c>
      <c r="D3695" t="s">
        <v>11623</v>
      </c>
      <c r="E3695" t="s">
        <v>2310</v>
      </c>
      <c r="F3695">
        <v>15</v>
      </c>
      <c r="G3695">
        <v>15.4</v>
      </c>
      <c r="H3695" t="s">
        <v>2323</v>
      </c>
      <c r="I3695" s="21">
        <v>41479.360347222202</v>
      </c>
      <c r="J3695">
        <v>2013</v>
      </c>
      <c r="K3695" s="21">
        <v>41520.6808101852</v>
      </c>
      <c r="L3695">
        <v>2013</v>
      </c>
      <c r="Q3695" s="262">
        <v>350000</v>
      </c>
      <c r="R3695" s="262">
        <v>161000</v>
      </c>
      <c r="S3695" t="s">
        <v>114</v>
      </c>
      <c r="T3695" t="s">
        <v>114</v>
      </c>
      <c r="W3695">
        <v>988</v>
      </c>
      <c r="X3695">
        <v>1</v>
      </c>
      <c r="Y3695">
        <v>0</v>
      </c>
      <c r="Z3695">
        <v>0</v>
      </c>
      <c r="AA3695">
        <v>0</v>
      </c>
      <c r="AB3695">
        <v>0</v>
      </c>
      <c r="AC3695">
        <v>988</v>
      </c>
      <c r="AD3695">
        <v>0</v>
      </c>
      <c r="AE3695">
        <v>0</v>
      </c>
      <c r="AF3695">
        <v>0</v>
      </c>
      <c r="AG3695">
        <v>0</v>
      </c>
      <c r="AH3695">
        <v>0</v>
      </c>
      <c r="AI3695">
        <v>0</v>
      </c>
      <c r="AJ3695">
        <v>0</v>
      </c>
      <c r="AK3695">
        <v>0</v>
      </c>
      <c r="AL3695">
        <v>0</v>
      </c>
      <c r="AM3695">
        <v>0</v>
      </c>
      <c r="AN3695">
        <v>0</v>
      </c>
      <c r="AO3695">
        <v>0</v>
      </c>
      <c r="AP3695">
        <v>0</v>
      </c>
      <c r="AQ3695">
        <v>0</v>
      </c>
      <c r="AR3695">
        <v>1</v>
      </c>
      <c r="AS3695">
        <v>0</v>
      </c>
      <c r="AT3695">
        <v>0</v>
      </c>
      <c r="AU3695">
        <f t="shared" si="114"/>
        <v>0</v>
      </c>
      <c r="AV3695">
        <f t="shared" si="115"/>
        <v>0</v>
      </c>
    </row>
    <row r="3696" spans="1:48" x14ac:dyDescent="0.25">
      <c r="A3696" t="s">
        <v>11624</v>
      </c>
      <c r="C3696" t="s">
        <v>11625</v>
      </c>
      <c r="D3696" t="s">
        <v>11626</v>
      </c>
      <c r="E3696" t="s">
        <v>2310</v>
      </c>
      <c r="F3696">
        <v>9</v>
      </c>
      <c r="G3696">
        <v>9.1</v>
      </c>
      <c r="H3696" t="s">
        <v>2323</v>
      </c>
      <c r="I3696" s="21">
        <v>41479.5610185185</v>
      </c>
      <c r="J3696">
        <v>2013</v>
      </c>
      <c r="K3696" s="21">
        <v>41509.6716087963</v>
      </c>
      <c r="L3696">
        <v>2013</v>
      </c>
      <c r="M3696" s="21">
        <v>41705.500486111101</v>
      </c>
      <c r="N3696">
        <v>2014</v>
      </c>
      <c r="Q3696" s="262">
        <v>55000</v>
      </c>
      <c r="R3696" s="262">
        <v>55000</v>
      </c>
      <c r="S3696" t="s">
        <v>114</v>
      </c>
      <c r="T3696" t="s">
        <v>114</v>
      </c>
      <c r="V3696">
        <v>704</v>
      </c>
      <c r="W3696">
        <v>0</v>
      </c>
      <c r="X3696">
        <v>1</v>
      </c>
      <c r="Y3696">
        <v>0</v>
      </c>
      <c r="Z3696">
        <v>0</v>
      </c>
      <c r="AA3696">
        <v>0</v>
      </c>
      <c r="AB3696">
        <v>0</v>
      </c>
      <c r="AC3696">
        <v>-704</v>
      </c>
      <c r="AD3696">
        <v>0</v>
      </c>
      <c r="AE3696">
        <v>0</v>
      </c>
      <c r="AF3696">
        <v>704</v>
      </c>
      <c r="AG3696">
        <v>0</v>
      </c>
      <c r="AH3696">
        <v>0</v>
      </c>
      <c r="AI3696">
        <v>0</v>
      </c>
      <c r="AJ3696">
        <v>0</v>
      </c>
      <c r="AK3696">
        <v>0</v>
      </c>
      <c r="AL3696">
        <v>0</v>
      </c>
      <c r="AM3696">
        <v>0</v>
      </c>
      <c r="AN3696">
        <v>0</v>
      </c>
      <c r="AO3696">
        <v>0</v>
      </c>
      <c r="AP3696">
        <v>0</v>
      </c>
      <c r="AQ3696">
        <v>0</v>
      </c>
      <c r="AR3696">
        <v>1</v>
      </c>
      <c r="AS3696">
        <v>0</v>
      </c>
      <c r="AT3696">
        <v>0</v>
      </c>
      <c r="AU3696">
        <f t="shared" si="114"/>
        <v>0</v>
      </c>
      <c r="AV3696">
        <f t="shared" si="115"/>
        <v>0</v>
      </c>
    </row>
    <row r="3697" spans="1:48" x14ac:dyDescent="0.25">
      <c r="A3697" t="s">
        <v>11627</v>
      </c>
      <c r="C3697" t="s">
        <v>11628</v>
      </c>
      <c r="D3697" t="s">
        <v>11626</v>
      </c>
      <c r="E3697" t="s">
        <v>2310</v>
      </c>
      <c r="F3697">
        <v>9</v>
      </c>
      <c r="G3697">
        <v>9.1</v>
      </c>
      <c r="H3697" t="s">
        <v>2323</v>
      </c>
      <c r="I3697" s="21">
        <v>41479.621643518498</v>
      </c>
      <c r="J3697">
        <v>2013</v>
      </c>
      <c r="K3697" s="21">
        <v>41509.671979166698</v>
      </c>
      <c r="L3697">
        <v>2013</v>
      </c>
      <c r="M3697" s="21">
        <v>41705.495555555601</v>
      </c>
      <c r="N3697">
        <v>2014</v>
      </c>
      <c r="Q3697" s="262">
        <v>235000</v>
      </c>
      <c r="R3697" s="262">
        <v>234000</v>
      </c>
      <c r="S3697" t="s">
        <v>114</v>
      </c>
      <c r="T3697" t="s">
        <v>114</v>
      </c>
      <c r="V3697">
        <v>2325</v>
      </c>
      <c r="W3697">
        <v>390</v>
      </c>
      <c r="X3697">
        <v>0</v>
      </c>
      <c r="Y3697">
        <v>0</v>
      </c>
      <c r="Z3697">
        <v>0</v>
      </c>
      <c r="AA3697">
        <v>0</v>
      </c>
      <c r="AB3697">
        <v>0</v>
      </c>
      <c r="AC3697">
        <v>390</v>
      </c>
      <c r="AD3697">
        <v>0</v>
      </c>
      <c r="AE3697">
        <v>0</v>
      </c>
      <c r="AF3697">
        <v>0</v>
      </c>
      <c r="AG3697">
        <v>0</v>
      </c>
      <c r="AH3697">
        <v>0</v>
      </c>
      <c r="AI3697">
        <v>0</v>
      </c>
      <c r="AJ3697">
        <v>0</v>
      </c>
      <c r="AK3697">
        <v>0</v>
      </c>
      <c r="AL3697">
        <v>0</v>
      </c>
      <c r="AM3697">
        <v>0</v>
      </c>
      <c r="AN3697">
        <v>0</v>
      </c>
      <c r="AO3697">
        <v>0</v>
      </c>
      <c r="AP3697">
        <v>0</v>
      </c>
      <c r="AQ3697">
        <v>0</v>
      </c>
      <c r="AR3697">
        <v>0</v>
      </c>
      <c r="AS3697">
        <v>0</v>
      </c>
      <c r="AT3697">
        <v>0</v>
      </c>
      <c r="AU3697">
        <f t="shared" si="114"/>
        <v>0</v>
      </c>
      <c r="AV3697">
        <f t="shared" si="115"/>
        <v>0</v>
      </c>
    </row>
    <row r="3698" spans="1:48" x14ac:dyDescent="0.25">
      <c r="A3698" t="s">
        <v>11629</v>
      </c>
      <c r="C3698" t="s">
        <v>11630</v>
      </c>
      <c r="D3698" t="s">
        <v>11631</v>
      </c>
      <c r="E3698" t="s">
        <v>2310</v>
      </c>
      <c r="F3698">
        <v>9</v>
      </c>
      <c r="G3698">
        <v>9.4</v>
      </c>
      <c r="H3698" t="s">
        <v>2323</v>
      </c>
      <c r="I3698" s="21">
        <v>41479.6632986111</v>
      </c>
      <c r="J3698">
        <v>2013</v>
      </c>
      <c r="K3698" s="21">
        <v>43035.464062500003</v>
      </c>
      <c r="L3698">
        <v>2017</v>
      </c>
      <c r="Q3698" s="262">
        <v>1700000</v>
      </c>
      <c r="R3698" s="262">
        <v>630000</v>
      </c>
      <c r="S3698" t="s">
        <v>114</v>
      </c>
      <c r="T3698" t="s">
        <v>114</v>
      </c>
      <c r="W3698">
        <v>6316</v>
      </c>
      <c r="X3698">
        <v>1</v>
      </c>
      <c r="Y3698">
        <v>0</v>
      </c>
      <c r="Z3698">
        <v>0</v>
      </c>
      <c r="AA3698">
        <v>0</v>
      </c>
      <c r="AB3698">
        <v>0</v>
      </c>
      <c r="AC3698">
        <v>6316</v>
      </c>
      <c r="AD3698">
        <v>0</v>
      </c>
      <c r="AE3698">
        <v>0</v>
      </c>
      <c r="AF3698">
        <v>0</v>
      </c>
      <c r="AG3698">
        <v>0</v>
      </c>
      <c r="AH3698">
        <v>0</v>
      </c>
      <c r="AI3698">
        <v>0</v>
      </c>
      <c r="AJ3698">
        <v>0</v>
      </c>
      <c r="AK3698">
        <v>0</v>
      </c>
      <c r="AL3698">
        <v>0</v>
      </c>
      <c r="AM3698">
        <v>0</v>
      </c>
      <c r="AN3698">
        <v>0</v>
      </c>
      <c r="AO3698">
        <v>1</v>
      </c>
      <c r="AP3698">
        <v>0</v>
      </c>
      <c r="AQ3698">
        <v>0</v>
      </c>
      <c r="AR3698">
        <v>0</v>
      </c>
      <c r="AS3698">
        <v>0</v>
      </c>
      <c r="AT3698">
        <v>0</v>
      </c>
      <c r="AU3698">
        <f t="shared" si="114"/>
        <v>1</v>
      </c>
      <c r="AV3698">
        <f t="shared" si="115"/>
        <v>0</v>
      </c>
    </row>
    <row r="3699" spans="1:48" x14ac:dyDescent="0.25">
      <c r="A3699" t="s">
        <v>11629</v>
      </c>
      <c r="B3699" t="s">
        <v>11632</v>
      </c>
      <c r="C3699" t="s">
        <v>11633</v>
      </c>
      <c r="D3699" t="s">
        <v>11631</v>
      </c>
      <c r="E3699" t="s">
        <v>2310</v>
      </c>
      <c r="F3699">
        <v>9</v>
      </c>
      <c r="G3699">
        <v>9.4</v>
      </c>
      <c r="H3699" t="s">
        <v>2323</v>
      </c>
      <c r="I3699" s="21">
        <v>41479.6632986111</v>
      </c>
      <c r="J3699">
        <v>2013</v>
      </c>
      <c r="K3699" s="21">
        <v>43035.464062500003</v>
      </c>
      <c r="L3699">
        <v>2017</v>
      </c>
      <c r="S3699" t="s">
        <v>114</v>
      </c>
      <c r="T3699" t="s">
        <v>114</v>
      </c>
      <c r="V3699">
        <v>0</v>
      </c>
      <c r="W3699">
        <v>-90</v>
      </c>
      <c r="X3699">
        <v>0</v>
      </c>
      <c r="Y3699">
        <v>0</v>
      </c>
      <c r="Z3699">
        <v>0</v>
      </c>
      <c r="AA3699">
        <v>0</v>
      </c>
      <c r="AB3699">
        <v>0</v>
      </c>
      <c r="AC3699">
        <v>-90</v>
      </c>
      <c r="AD3699">
        <v>0</v>
      </c>
      <c r="AE3699">
        <v>0</v>
      </c>
      <c r="AF3699">
        <v>0</v>
      </c>
      <c r="AG3699">
        <v>0</v>
      </c>
      <c r="AH3699">
        <v>0</v>
      </c>
      <c r="AI3699">
        <v>0</v>
      </c>
      <c r="AJ3699">
        <v>0</v>
      </c>
      <c r="AK3699">
        <v>0</v>
      </c>
      <c r="AL3699">
        <v>0</v>
      </c>
      <c r="AM3699">
        <v>0</v>
      </c>
      <c r="AN3699">
        <v>0</v>
      </c>
      <c r="AO3699">
        <v>0</v>
      </c>
      <c r="AP3699">
        <v>0</v>
      </c>
      <c r="AQ3699">
        <v>0</v>
      </c>
      <c r="AR3699">
        <v>0</v>
      </c>
      <c r="AS3699">
        <v>0</v>
      </c>
      <c r="AT3699">
        <v>0</v>
      </c>
      <c r="AU3699">
        <f t="shared" si="114"/>
        <v>0</v>
      </c>
      <c r="AV3699">
        <f t="shared" si="115"/>
        <v>0</v>
      </c>
    </row>
    <row r="3700" spans="1:48" x14ac:dyDescent="0.25">
      <c r="A3700" t="s">
        <v>11634</v>
      </c>
      <c r="C3700" t="s">
        <v>11635</v>
      </c>
      <c r="D3700" t="s">
        <v>11636</v>
      </c>
      <c r="E3700" t="s">
        <v>2310</v>
      </c>
      <c r="F3700">
        <v>15</v>
      </c>
      <c r="G3700">
        <v>15.2</v>
      </c>
      <c r="H3700" t="s">
        <v>2323</v>
      </c>
      <c r="I3700" s="21">
        <v>41479.701608796298</v>
      </c>
      <c r="J3700">
        <v>2013</v>
      </c>
      <c r="K3700" s="21">
        <v>41736.398368055598</v>
      </c>
      <c r="L3700">
        <v>2014</v>
      </c>
      <c r="M3700" s="21">
        <v>42221.400081018503</v>
      </c>
      <c r="N3700">
        <v>2015</v>
      </c>
      <c r="Q3700" s="262">
        <v>500000</v>
      </c>
      <c r="R3700" s="262">
        <v>432000</v>
      </c>
      <c r="S3700" t="s">
        <v>114</v>
      </c>
      <c r="T3700" t="s">
        <v>114</v>
      </c>
      <c r="V3700">
        <v>1638</v>
      </c>
      <c r="W3700">
        <v>2582</v>
      </c>
      <c r="X3700">
        <v>0</v>
      </c>
      <c r="Y3700">
        <v>0</v>
      </c>
      <c r="Z3700">
        <v>0</v>
      </c>
      <c r="AA3700">
        <v>0</v>
      </c>
      <c r="AB3700">
        <v>0</v>
      </c>
      <c r="AC3700">
        <v>2582</v>
      </c>
      <c r="AD3700">
        <v>0</v>
      </c>
      <c r="AE3700">
        <v>0</v>
      </c>
      <c r="AF3700">
        <v>0</v>
      </c>
      <c r="AG3700">
        <v>0</v>
      </c>
      <c r="AH3700">
        <v>0</v>
      </c>
      <c r="AI3700">
        <v>0</v>
      </c>
      <c r="AJ3700">
        <v>0</v>
      </c>
      <c r="AK3700">
        <v>0</v>
      </c>
      <c r="AL3700">
        <v>0</v>
      </c>
      <c r="AM3700">
        <v>0</v>
      </c>
      <c r="AN3700">
        <v>0</v>
      </c>
      <c r="AO3700">
        <v>0</v>
      </c>
      <c r="AP3700">
        <v>0</v>
      </c>
      <c r="AQ3700">
        <v>0</v>
      </c>
      <c r="AR3700">
        <v>0</v>
      </c>
      <c r="AS3700">
        <v>0</v>
      </c>
      <c r="AT3700">
        <v>0</v>
      </c>
      <c r="AU3700">
        <f t="shared" si="114"/>
        <v>0</v>
      </c>
      <c r="AV3700">
        <f t="shared" si="115"/>
        <v>0</v>
      </c>
    </row>
    <row r="3701" spans="1:48" x14ac:dyDescent="0.25">
      <c r="A3701" t="s">
        <v>11634</v>
      </c>
      <c r="B3701" t="s">
        <v>11637</v>
      </c>
      <c r="C3701" t="s">
        <v>11638</v>
      </c>
      <c r="D3701" t="s">
        <v>11636</v>
      </c>
      <c r="E3701" t="s">
        <v>2310</v>
      </c>
      <c r="F3701">
        <v>15</v>
      </c>
      <c r="G3701">
        <v>15.2</v>
      </c>
      <c r="H3701" t="s">
        <v>2323</v>
      </c>
      <c r="I3701" s="21">
        <v>41479.701608796298</v>
      </c>
      <c r="J3701">
        <v>2013</v>
      </c>
      <c r="K3701" s="21">
        <v>41736.398368055598</v>
      </c>
      <c r="L3701">
        <v>2014</v>
      </c>
      <c r="M3701" s="21">
        <v>42221.400081018503</v>
      </c>
      <c r="N3701">
        <v>2015</v>
      </c>
      <c r="S3701" t="s">
        <v>114</v>
      </c>
      <c r="T3701" t="s">
        <v>114</v>
      </c>
      <c r="V3701">
        <v>0</v>
      </c>
      <c r="W3701">
        <v>207</v>
      </c>
      <c r="X3701">
        <v>0</v>
      </c>
      <c r="Y3701">
        <v>0</v>
      </c>
      <c r="Z3701">
        <v>0</v>
      </c>
      <c r="AA3701">
        <v>0</v>
      </c>
      <c r="AB3701">
        <v>0</v>
      </c>
      <c r="AC3701">
        <v>207</v>
      </c>
      <c r="AD3701">
        <v>0</v>
      </c>
      <c r="AE3701">
        <v>0</v>
      </c>
      <c r="AF3701">
        <v>0</v>
      </c>
      <c r="AG3701">
        <v>0</v>
      </c>
      <c r="AH3701">
        <v>0</v>
      </c>
      <c r="AI3701">
        <v>0</v>
      </c>
      <c r="AJ3701">
        <v>0</v>
      </c>
      <c r="AK3701">
        <v>0</v>
      </c>
      <c r="AL3701">
        <v>0</v>
      </c>
      <c r="AM3701">
        <v>0</v>
      </c>
      <c r="AN3701">
        <v>0</v>
      </c>
      <c r="AO3701">
        <v>0</v>
      </c>
      <c r="AP3701">
        <v>0</v>
      </c>
      <c r="AQ3701">
        <v>0</v>
      </c>
      <c r="AR3701">
        <v>0</v>
      </c>
      <c r="AS3701">
        <v>0</v>
      </c>
      <c r="AT3701">
        <v>0</v>
      </c>
      <c r="AU3701">
        <f t="shared" si="114"/>
        <v>0</v>
      </c>
      <c r="AV3701">
        <f t="shared" si="115"/>
        <v>0</v>
      </c>
    </row>
    <row r="3702" spans="1:48" x14ac:dyDescent="0.25">
      <c r="A3702" t="s">
        <v>11639</v>
      </c>
      <c r="C3702" t="s">
        <v>11240</v>
      </c>
      <c r="D3702" t="s">
        <v>3370</v>
      </c>
      <c r="E3702" t="s">
        <v>1663</v>
      </c>
      <c r="F3702">
        <v>6</v>
      </c>
      <c r="G3702">
        <v>6.1</v>
      </c>
      <c r="H3702" t="s">
        <v>2017</v>
      </c>
      <c r="I3702" s="21">
        <v>41481</v>
      </c>
      <c r="J3702">
        <v>2013</v>
      </c>
      <c r="K3702" s="21">
        <v>41492</v>
      </c>
      <c r="L3702">
        <v>2013</v>
      </c>
      <c r="M3702" s="21">
        <v>41676</v>
      </c>
      <c r="N3702">
        <v>2014</v>
      </c>
      <c r="Q3702" s="262">
        <v>900151</v>
      </c>
      <c r="S3702" t="s">
        <v>114</v>
      </c>
      <c r="T3702" t="s">
        <v>114</v>
      </c>
      <c r="W3702">
        <v>2336</v>
      </c>
      <c r="X3702">
        <v>1</v>
      </c>
      <c r="Y3702">
        <v>0</v>
      </c>
      <c r="Z3702">
        <v>0</v>
      </c>
      <c r="AA3702">
        <v>0</v>
      </c>
      <c r="AB3702">
        <v>0</v>
      </c>
      <c r="AC3702">
        <v>2336</v>
      </c>
      <c r="AD3702">
        <v>0</v>
      </c>
      <c r="AE3702">
        <v>0</v>
      </c>
      <c r="AF3702">
        <v>0</v>
      </c>
      <c r="AG3702">
        <v>0</v>
      </c>
      <c r="AH3702">
        <v>0</v>
      </c>
      <c r="AI3702">
        <v>0</v>
      </c>
      <c r="AJ3702">
        <v>0</v>
      </c>
      <c r="AK3702">
        <v>0</v>
      </c>
      <c r="AL3702">
        <v>0</v>
      </c>
      <c r="AM3702">
        <v>0</v>
      </c>
      <c r="AN3702">
        <v>0</v>
      </c>
      <c r="AO3702">
        <v>1</v>
      </c>
      <c r="AP3702">
        <v>0</v>
      </c>
      <c r="AQ3702">
        <v>0</v>
      </c>
      <c r="AR3702">
        <v>0</v>
      </c>
      <c r="AS3702">
        <v>0</v>
      </c>
      <c r="AT3702">
        <v>0</v>
      </c>
      <c r="AU3702">
        <f t="shared" si="114"/>
        <v>1</v>
      </c>
      <c r="AV3702">
        <f t="shared" si="115"/>
        <v>0</v>
      </c>
    </row>
    <row r="3703" spans="1:48" x14ac:dyDescent="0.25">
      <c r="A3703" t="s">
        <v>11640</v>
      </c>
      <c r="C3703" t="s">
        <v>11246</v>
      </c>
      <c r="D3703" t="s">
        <v>11641</v>
      </c>
      <c r="E3703" t="s">
        <v>1663</v>
      </c>
      <c r="F3703">
        <v>6</v>
      </c>
      <c r="G3703">
        <v>6.1</v>
      </c>
      <c r="H3703" t="s">
        <v>2017</v>
      </c>
      <c r="I3703" s="21">
        <v>41484</v>
      </c>
      <c r="J3703">
        <v>2013</v>
      </c>
      <c r="K3703" s="21">
        <v>41493</v>
      </c>
      <c r="L3703">
        <v>2013</v>
      </c>
      <c r="M3703" s="21">
        <v>41677</v>
      </c>
      <c r="N3703">
        <v>2014</v>
      </c>
      <c r="Q3703" s="262">
        <v>650000</v>
      </c>
      <c r="S3703" t="s">
        <v>114</v>
      </c>
      <c r="T3703" t="s">
        <v>114</v>
      </c>
      <c r="W3703">
        <v>4817</v>
      </c>
      <c r="X3703">
        <v>0</v>
      </c>
      <c r="Y3703">
        <v>0</v>
      </c>
      <c r="Z3703">
        <v>0</v>
      </c>
      <c r="AA3703">
        <v>0</v>
      </c>
      <c r="AB3703">
        <v>0</v>
      </c>
      <c r="AC3703">
        <v>4817</v>
      </c>
      <c r="AD3703">
        <v>0</v>
      </c>
      <c r="AE3703">
        <v>0</v>
      </c>
      <c r="AF3703">
        <v>0</v>
      </c>
      <c r="AG3703">
        <v>0</v>
      </c>
      <c r="AH3703">
        <v>0</v>
      </c>
      <c r="AI3703">
        <v>0</v>
      </c>
      <c r="AJ3703">
        <v>0</v>
      </c>
      <c r="AK3703">
        <v>0</v>
      </c>
      <c r="AL3703">
        <v>0</v>
      </c>
      <c r="AM3703">
        <v>0</v>
      </c>
      <c r="AN3703">
        <v>0</v>
      </c>
      <c r="AO3703">
        <v>0</v>
      </c>
      <c r="AP3703">
        <v>0</v>
      </c>
      <c r="AQ3703">
        <v>0</v>
      </c>
      <c r="AR3703">
        <v>0</v>
      </c>
      <c r="AS3703">
        <v>0</v>
      </c>
      <c r="AT3703">
        <v>0</v>
      </c>
      <c r="AU3703">
        <f t="shared" si="114"/>
        <v>0</v>
      </c>
      <c r="AV3703">
        <f t="shared" si="115"/>
        <v>0</v>
      </c>
    </row>
    <row r="3704" spans="1:48" x14ac:dyDescent="0.25">
      <c r="A3704" t="s">
        <v>11642</v>
      </c>
      <c r="C3704" t="s">
        <v>11643</v>
      </c>
      <c r="D3704" t="s">
        <v>11644</v>
      </c>
      <c r="E3704" t="s">
        <v>1663</v>
      </c>
      <c r="F3704">
        <v>4</v>
      </c>
      <c r="G3704">
        <v>4.3</v>
      </c>
      <c r="H3704" t="s">
        <v>2327</v>
      </c>
      <c r="I3704" s="21">
        <v>41484</v>
      </c>
      <c r="J3704">
        <v>2013</v>
      </c>
      <c r="K3704" s="21">
        <v>41549</v>
      </c>
      <c r="L3704">
        <v>2013</v>
      </c>
      <c r="M3704" s="21">
        <v>41731</v>
      </c>
      <c r="N3704">
        <v>2014</v>
      </c>
      <c r="Q3704" s="262">
        <v>9000000</v>
      </c>
      <c r="S3704" t="s">
        <v>114</v>
      </c>
      <c r="T3704" t="s">
        <v>114</v>
      </c>
      <c r="W3704">
        <v>42160</v>
      </c>
      <c r="X3704">
        <v>0</v>
      </c>
      <c r="Y3704">
        <v>0</v>
      </c>
      <c r="Z3704">
        <v>0</v>
      </c>
      <c r="AA3704">
        <v>0</v>
      </c>
      <c r="AB3704">
        <v>0</v>
      </c>
      <c r="AC3704">
        <v>0</v>
      </c>
      <c r="AD3704">
        <v>0</v>
      </c>
      <c r="AE3704">
        <v>0</v>
      </c>
      <c r="AF3704">
        <v>0</v>
      </c>
      <c r="AG3704">
        <v>0</v>
      </c>
      <c r="AH3704">
        <v>0</v>
      </c>
      <c r="AI3704">
        <v>0</v>
      </c>
      <c r="AJ3704">
        <v>0</v>
      </c>
      <c r="AK3704">
        <v>0</v>
      </c>
      <c r="AL3704">
        <v>42160</v>
      </c>
      <c r="AM3704">
        <v>0</v>
      </c>
      <c r="AN3704">
        <v>0</v>
      </c>
      <c r="AO3704">
        <v>0</v>
      </c>
      <c r="AP3704">
        <v>0</v>
      </c>
      <c r="AQ3704">
        <v>0</v>
      </c>
      <c r="AR3704">
        <v>0</v>
      </c>
      <c r="AS3704">
        <v>0</v>
      </c>
      <c r="AT3704">
        <v>0</v>
      </c>
      <c r="AU3704">
        <f t="shared" si="114"/>
        <v>0</v>
      </c>
      <c r="AV3704">
        <f t="shared" si="115"/>
        <v>42160</v>
      </c>
    </row>
    <row r="3705" spans="1:48" x14ac:dyDescent="0.25">
      <c r="A3705" t="s">
        <v>11645</v>
      </c>
      <c r="C3705" t="s">
        <v>11646</v>
      </c>
      <c r="D3705" t="s">
        <v>11647</v>
      </c>
      <c r="E3705" t="s">
        <v>1663</v>
      </c>
      <c r="F3705">
        <v>5</v>
      </c>
      <c r="G3705">
        <v>5.5</v>
      </c>
      <c r="H3705" t="s">
        <v>2017</v>
      </c>
      <c r="I3705" s="21">
        <v>41485</v>
      </c>
      <c r="J3705">
        <v>2013</v>
      </c>
      <c r="K3705" s="21">
        <v>41498</v>
      </c>
      <c r="L3705">
        <v>2013</v>
      </c>
      <c r="M3705" s="21">
        <v>41614</v>
      </c>
      <c r="N3705">
        <v>2013</v>
      </c>
      <c r="Q3705" s="262">
        <v>10000</v>
      </c>
      <c r="S3705" t="s">
        <v>114</v>
      </c>
      <c r="T3705" t="s">
        <v>114</v>
      </c>
      <c r="W3705">
        <v>0</v>
      </c>
      <c r="X3705">
        <v>0</v>
      </c>
      <c r="Y3705">
        <v>0</v>
      </c>
      <c r="Z3705">
        <v>0</v>
      </c>
      <c r="AA3705">
        <v>0</v>
      </c>
      <c r="AB3705">
        <v>0</v>
      </c>
      <c r="AC3705">
        <v>0</v>
      </c>
      <c r="AD3705">
        <v>0</v>
      </c>
      <c r="AE3705">
        <v>0</v>
      </c>
      <c r="AF3705">
        <v>0</v>
      </c>
      <c r="AG3705">
        <v>0</v>
      </c>
      <c r="AH3705">
        <v>0</v>
      </c>
      <c r="AI3705">
        <v>0</v>
      </c>
      <c r="AJ3705">
        <v>0</v>
      </c>
      <c r="AK3705">
        <v>0</v>
      </c>
      <c r="AL3705">
        <v>0</v>
      </c>
      <c r="AM3705">
        <v>0</v>
      </c>
      <c r="AN3705">
        <v>0</v>
      </c>
      <c r="AO3705">
        <v>0</v>
      </c>
      <c r="AP3705">
        <v>0</v>
      </c>
      <c r="AQ3705">
        <v>0</v>
      </c>
      <c r="AR3705">
        <v>0</v>
      </c>
      <c r="AS3705">
        <v>0</v>
      </c>
      <c r="AT3705">
        <v>0</v>
      </c>
      <c r="AU3705">
        <f t="shared" si="114"/>
        <v>0</v>
      </c>
      <c r="AV3705">
        <f t="shared" si="115"/>
        <v>0</v>
      </c>
    </row>
    <row r="3706" spans="1:48" x14ac:dyDescent="0.25">
      <c r="A3706" t="s">
        <v>11648</v>
      </c>
      <c r="C3706" t="s">
        <v>11649</v>
      </c>
      <c r="D3706" t="s">
        <v>11650</v>
      </c>
      <c r="E3706" t="s">
        <v>2310</v>
      </c>
      <c r="F3706">
        <v>12</v>
      </c>
      <c r="G3706">
        <v>12.3</v>
      </c>
      <c r="H3706" t="s">
        <v>2017</v>
      </c>
      <c r="I3706" s="21">
        <v>41486.371770833299</v>
      </c>
      <c r="J3706">
        <v>2013</v>
      </c>
      <c r="K3706" s="21">
        <v>41522.527256944399</v>
      </c>
      <c r="L3706">
        <v>2013</v>
      </c>
      <c r="M3706" s="21">
        <v>41668.419097222199</v>
      </c>
      <c r="N3706">
        <v>2014</v>
      </c>
      <c r="Q3706" s="262">
        <v>175000</v>
      </c>
      <c r="R3706" s="262">
        <v>158000</v>
      </c>
      <c r="S3706" t="s">
        <v>114</v>
      </c>
      <c r="T3706" t="s">
        <v>114</v>
      </c>
      <c r="V3706">
        <v>1252</v>
      </c>
      <c r="W3706">
        <v>489</v>
      </c>
      <c r="X3706">
        <v>0</v>
      </c>
      <c r="Y3706">
        <v>0</v>
      </c>
      <c r="Z3706">
        <v>0</v>
      </c>
      <c r="AA3706">
        <v>0</v>
      </c>
      <c r="AB3706">
        <v>0</v>
      </c>
      <c r="AC3706">
        <v>489</v>
      </c>
      <c r="AD3706">
        <v>0</v>
      </c>
      <c r="AE3706">
        <v>0</v>
      </c>
      <c r="AF3706">
        <v>0</v>
      </c>
      <c r="AG3706">
        <v>0</v>
      </c>
      <c r="AH3706">
        <v>0</v>
      </c>
      <c r="AI3706">
        <v>0</v>
      </c>
      <c r="AJ3706">
        <v>0</v>
      </c>
      <c r="AK3706">
        <v>0</v>
      </c>
      <c r="AL3706">
        <v>0</v>
      </c>
      <c r="AM3706">
        <v>0</v>
      </c>
      <c r="AN3706">
        <v>0</v>
      </c>
      <c r="AO3706">
        <v>0</v>
      </c>
      <c r="AP3706">
        <v>0</v>
      </c>
      <c r="AQ3706">
        <v>0</v>
      </c>
      <c r="AR3706">
        <v>0</v>
      </c>
      <c r="AS3706">
        <v>0</v>
      </c>
      <c r="AT3706">
        <v>0</v>
      </c>
      <c r="AU3706">
        <f t="shared" si="114"/>
        <v>0</v>
      </c>
      <c r="AV3706">
        <f t="shared" si="115"/>
        <v>0</v>
      </c>
    </row>
    <row r="3707" spans="1:48" x14ac:dyDescent="0.25">
      <c r="A3707" t="s">
        <v>11651</v>
      </c>
      <c r="C3707" t="s">
        <v>11652</v>
      </c>
      <c r="D3707" t="s">
        <v>2939</v>
      </c>
      <c r="E3707" t="s">
        <v>2310</v>
      </c>
      <c r="F3707">
        <v>9</v>
      </c>
      <c r="G3707">
        <v>9.3000000000000007</v>
      </c>
      <c r="H3707" t="s">
        <v>2323</v>
      </c>
      <c r="I3707" s="21">
        <v>41492.645127314798</v>
      </c>
      <c r="J3707">
        <v>2013</v>
      </c>
      <c r="K3707" s="21">
        <v>41750.489456018498</v>
      </c>
      <c r="L3707">
        <v>2014</v>
      </c>
      <c r="M3707" s="21">
        <v>42613.681388888901</v>
      </c>
      <c r="N3707">
        <v>2016</v>
      </c>
      <c r="Q3707" s="262">
        <v>6000000</v>
      </c>
      <c r="R3707" s="262">
        <v>1931000</v>
      </c>
      <c r="S3707" t="s">
        <v>114</v>
      </c>
      <c r="T3707" t="s">
        <v>114</v>
      </c>
      <c r="W3707">
        <v>17820</v>
      </c>
      <c r="X3707">
        <v>1</v>
      </c>
      <c r="Y3707">
        <v>0</v>
      </c>
      <c r="Z3707">
        <v>0</v>
      </c>
      <c r="AA3707">
        <v>0</v>
      </c>
      <c r="AB3707">
        <v>0</v>
      </c>
      <c r="AC3707">
        <v>17820</v>
      </c>
      <c r="AD3707">
        <v>0</v>
      </c>
      <c r="AE3707">
        <v>0</v>
      </c>
      <c r="AF3707">
        <v>0</v>
      </c>
      <c r="AG3707">
        <v>0</v>
      </c>
      <c r="AH3707">
        <v>0</v>
      </c>
      <c r="AI3707">
        <v>0</v>
      </c>
      <c r="AJ3707">
        <v>0</v>
      </c>
      <c r="AK3707">
        <v>0</v>
      </c>
      <c r="AL3707">
        <v>0</v>
      </c>
      <c r="AM3707">
        <v>0</v>
      </c>
      <c r="AN3707">
        <v>0</v>
      </c>
      <c r="AO3707">
        <v>1</v>
      </c>
      <c r="AP3707">
        <v>0</v>
      </c>
      <c r="AQ3707">
        <v>0</v>
      </c>
      <c r="AR3707">
        <v>0</v>
      </c>
      <c r="AS3707">
        <v>0</v>
      </c>
      <c r="AT3707">
        <v>0</v>
      </c>
      <c r="AU3707">
        <f t="shared" si="114"/>
        <v>1</v>
      </c>
      <c r="AV3707">
        <f t="shared" si="115"/>
        <v>0</v>
      </c>
    </row>
    <row r="3708" spans="1:48" x14ac:dyDescent="0.25">
      <c r="A3708" t="s">
        <v>11651</v>
      </c>
      <c r="B3708" t="s">
        <v>11653</v>
      </c>
      <c r="C3708" t="s">
        <v>11654</v>
      </c>
      <c r="D3708" t="s">
        <v>2939</v>
      </c>
      <c r="E3708" t="s">
        <v>2310</v>
      </c>
      <c r="F3708">
        <v>9</v>
      </c>
      <c r="G3708">
        <v>9.3000000000000007</v>
      </c>
      <c r="H3708" t="s">
        <v>2323</v>
      </c>
      <c r="I3708" s="21">
        <v>41492.645127314798</v>
      </c>
      <c r="J3708">
        <v>2013</v>
      </c>
      <c r="K3708" s="21">
        <v>41750.489456018498</v>
      </c>
      <c r="L3708">
        <v>2014</v>
      </c>
      <c r="M3708" s="21">
        <v>42613.681388888901</v>
      </c>
      <c r="N3708">
        <v>2016</v>
      </c>
      <c r="S3708" t="s">
        <v>114</v>
      </c>
      <c r="T3708" t="s">
        <v>114</v>
      </c>
      <c r="V3708">
        <v>0</v>
      </c>
      <c r="W3708">
        <v>-1067</v>
      </c>
      <c r="X3708">
        <v>0</v>
      </c>
      <c r="Y3708">
        <v>0</v>
      </c>
      <c r="Z3708">
        <v>0</v>
      </c>
      <c r="AA3708">
        <v>0</v>
      </c>
      <c r="AB3708">
        <v>0</v>
      </c>
      <c r="AC3708">
        <v>-1067</v>
      </c>
      <c r="AD3708">
        <v>0</v>
      </c>
      <c r="AE3708">
        <v>0</v>
      </c>
      <c r="AF3708">
        <v>0</v>
      </c>
      <c r="AG3708">
        <v>0</v>
      </c>
      <c r="AH3708">
        <v>0</v>
      </c>
      <c r="AI3708">
        <v>0</v>
      </c>
      <c r="AJ3708">
        <v>0</v>
      </c>
      <c r="AK3708">
        <v>0</v>
      </c>
      <c r="AL3708">
        <v>0</v>
      </c>
      <c r="AM3708">
        <v>0</v>
      </c>
      <c r="AN3708">
        <v>0</v>
      </c>
      <c r="AO3708">
        <v>0</v>
      </c>
      <c r="AP3708">
        <v>0</v>
      </c>
      <c r="AQ3708">
        <v>0</v>
      </c>
      <c r="AR3708">
        <v>0</v>
      </c>
      <c r="AS3708">
        <v>0</v>
      </c>
      <c r="AT3708">
        <v>0</v>
      </c>
      <c r="AU3708">
        <f t="shared" si="114"/>
        <v>0</v>
      </c>
      <c r="AV3708">
        <f t="shared" si="115"/>
        <v>0</v>
      </c>
    </row>
    <row r="3709" spans="1:48" x14ac:dyDescent="0.25">
      <c r="A3709" t="s">
        <v>11651</v>
      </c>
      <c r="B3709" t="s">
        <v>11655</v>
      </c>
      <c r="C3709" t="s">
        <v>11656</v>
      </c>
      <c r="D3709" t="s">
        <v>2939</v>
      </c>
      <c r="E3709" t="s">
        <v>2310</v>
      </c>
      <c r="F3709">
        <v>9</v>
      </c>
      <c r="G3709">
        <v>9.3000000000000007</v>
      </c>
      <c r="H3709" t="s">
        <v>2323</v>
      </c>
      <c r="I3709" s="21">
        <v>41492.645127314798</v>
      </c>
      <c r="J3709">
        <v>2013</v>
      </c>
      <c r="K3709" s="21">
        <v>41750.489456018498</v>
      </c>
      <c r="L3709">
        <v>2014</v>
      </c>
      <c r="M3709" s="21">
        <v>42613.681388888901</v>
      </c>
      <c r="N3709">
        <v>2016</v>
      </c>
      <c r="S3709" t="s">
        <v>114</v>
      </c>
      <c r="T3709" t="s">
        <v>114</v>
      </c>
      <c r="V3709">
        <v>4772</v>
      </c>
      <c r="W3709">
        <v>0</v>
      </c>
      <c r="X3709">
        <v>0</v>
      </c>
      <c r="Y3709">
        <v>0</v>
      </c>
      <c r="Z3709">
        <v>0</v>
      </c>
      <c r="AA3709">
        <v>0</v>
      </c>
      <c r="AB3709">
        <v>0</v>
      </c>
      <c r="AC3709">
        <v>0</v>
      </c>
      <c r="AD3709">
        <v>0</v>
      </c>
      <c r="AE3709">
        <v>0</v>
      </c>
      <c r="AF3709">
        <v>0</v>
      </c>
      <c r="AG3709">
        <v>0</v>
      </c>
      <c r="AH3709">
        <v>0</v>
      </c>
      <c r="AI3709">
        <v>0</v>
      </c>
      <c r="AJ3709">
        <v>0</v>
      </c>
      <c r="AK3709">
        <v>0</v>
      </c>
      <c r="AL3709">
        <v>0</v>
      </c>
      <c r="AM3709">
        <v>0</v>
      </c>
      <c r="AN3709">
        <v>0</v>
      </c>
      <c r="AO3709">
        <v>0</v>
      </c>
      <c r="AP3709">
        <v>0</v>
      </c>
      <c r="AQ3709">
        <v>0</v>
      </c>
      <c r="AR3709">
        <v>0</v>
      </c>
      <c r="AS3709">
        <v>0</v>
      </c>
      <c r="AT3709">
        <v>0</v>
      </c>
      <c r="AU3709">
        <f t="shared" si="114"/>
        <v>0</v>
      </c>
      <c r="AV3709">
        <f t="shared" si="115"/>
        <v>0</v>
      </c>
    </row>
    <row r="3710" spans="1:48" x14ac:dyDescent="0.25">
      <c r="A3710" t="s">
        <v>11657</v>
      </c>
      <c r="C3710" t="s">
        <v>11658</v>
      </c>
      <c r="D3710" t="s">
        <v>11659</v>
      </c>
      <c r="E3710" t="s">
        <v>1663</v>
      </c>
      <c r="F3710">
        <v>3</v>
      </c>
      <c r="G3710">
        <v>3.2</v>
      </c>
      <c r="H3710" t="s">
        <v>2327</v>
      </c>
      <c r="I3710" s="21">
        <v>41494</v>
      </c>
      <c r="J3710">
        <v>2013</v>
      </c>
      <c r="K3710" s="21">
        <v>41549</v>
      </c>
      <c r="L3710">
        <v>2013</v>
      </c>
      <c r="M3710" s="21">
        <v>42709</v>
      </c>
      <c r="N3710">
        <v>2016</v>
      </c>
      <c r="Q3710" s="262">
        <v>305000</v>
      </c>
      <c r="S3710" t="s">
        <v>114</v>
      </c>
      <c r="T3710" t="s">
        <v>114</v>
      </c>
      <c r="W3710">
        <v>2891</v>
      </c>
      <c r="X3710">
        <v>0</v>
      </c>
      <c r="Y3710">
        <v>0</v>
      </c>
      <c r="Z3710">
        <v>0</v>
      </c>
      <c r="AA3710">
        <v>0</v>
      </c>
      <c r="AB3710">
        <v>0</v>
      </c>
      <c r="AC3710">
        <v>0</v>
      </c>
      <c r="AD3710">
        <v>0</v>
      </c>
      <c r="AE3710">
        <v>0</v>
      </c>
      <c r="AF3710">
        <v>2891</v>
      </c>
      <c r="AG3710">
        <v>0</v>
      </c>
      <c r="AH3710">
        <v>0</v>
      </c>
      <c r="AI3710">
        <v>0</v>
      </c>
      <c r="AJ3710">
        <v>0</v>
      </c>
      <c r="AK3710">
        <v>0</v>
      </c>
      <c r="AL3710">
        <v>0</v>
      </c>
      <c r="AM3710">
        <v>0</v>
      </c>
      <c r="AN3710">
        <v>0</v>
      </c>
      <c r="AO3710">
        <v>0</v>
      </c>
      <c r="AP3710">
        <v>0</v>
      </c>
      <c r="AQ3710">
        <v>0</v>
      </c>
      <c r="AR3710">
        <v>0</v>
      </c>
      <c r="AS3710">
        <v>0</v>
      </c>
      <c r="AT3710">
        <v>0</v>
      </c>
      <c r="AU3710">
        <f t="shared" si="114"/>
        <v>0</v>
      </c>
      <c r="AV3710">
        <f t="shared" si="115"/>
        <v>0</v>
      </c>
    </row>
    <row r="3711" spans="1:48" x14ac:dyDescent="0.25">
      <c r="A3711" t="s">
        <v>11660</v>
      </c>
      <c r="C3711" t="s">
        <v>11661</v>
      </c>
      <c r="D3711" t="s">
        <v>11662</v>
      </c>
      <c r="E3711" t="s">
        <v>2310</v>
      </c>
      <c r="F3711">
        <v>9</v>
      </c>
      <c r="G3711">
        <v>9.1999999999999993</v>
      </c>
      <c r="H3711" t="s">
        <v>2022</v>
      </c>
      <c r="I3711" s="21">
        <v>41494.458807870396</v>
      </c>
      <c r="J3711">
        <v>2013</v>
      </c>
      <c r="K3711" s="21">
        <v>41543.676134259302</v>
      </c>
      <c r="L3711">
        <v>2013</v>
      </c>
      <c r="M3711" s="21">
        <v>42570.694166666697</v>
      </c>
      <c r="N3711">
        <v>2016</v>
      </c>
      <c r="Q3711" s="262">
        <v>2800000</v>
      </c>
      <c r="R3711" s="262">
        <v>810000</v>
      </c>
      <c r="S3711" t="s">
        <v>114</v>
      </c>
      <c r="T3711" t="s">
        <v>114</v>
      </c>
      <c r="W3711">
        <v>8364</v>
      </c>
      <c r="X3711">
        <v>1</v>
      </c>
      <c r="Y3711">
        <v>0</v>
      </c>
      <c r="Z3711">
        <v>0</v>
      </c>
      <c r="AA3711">
        <v>0</v>
      </c>
      <c r="AB3711">
        <v>0</v>
      </c>
      <c r="AC3711">
        <v>8364</v>
      </c>
      <c r="AD3711">
        <v>0</v>
      </c>
      <c r="AE3711">
        <v>0</v>
      </c>
      <c r="AF3711">
        <v>0</v>
      </c>
      <c r="AG3711">
        <v>0</v>
      </c>
      <c r="AH3711">
        <v>0</v>
      </c>
      <c r="AI3711">
        <v>0</v>
      </c>
      <c r="AJ3711">
        <v>0</v>
      </c>
      <c r="AK3711">
        <v>0</v>
      </c>
      <c r="AL3711">
        <v>0</v>
      </c>
      <c r="AM3711">
        <v>0</v>
      </c>
      <c r="AN3711">
        <v>0</v>
      </c>
      <c r="AO3711">
        <v>1</v>
      </c>
      <c r="AP3711">
        <v>0</v>
      </c>
      <c r="AQ3711">
        <v>0</v>
      </c>
      <c r="AR3711">
        <v>0</v>
      </c>
      <c r="AS3711">
        <v>0</v>
      </c>
      <c r="AT3711">
        <v>0</v>
      </c>
      <c r="AU3711">
        <f t="shared" si="114"/>
        <v>1</v>
      </c>
      <c r="AV3711">
        <f t="shared" si="115"/>
        <v>0</v>
      </c>
    </row>
    <row r="3712" spans="1:48" x14ac:dyDescent="0.25">
      <c r="A3712" t="s">
        <v>11663</v>
      </c>
      <c r="C3712" t="s">
        <v>11664</v>
      </c>
      <c r="D3712" t="s">
        <v>11665</v>
      </c>
      <c r="E3712" t="s">
        <v>2310</v>
      </c>
      <c r="F3712">
        <v>9</v>
      </c>
      <c r="G3712">
        <v>9.1999999999999993</v>
      </c>
      <c r="H3712" t="s">
        <v>2022</v>
      </c>
      <c r="I3712" s="21">
        <v>41495.617511574099</v>
      </c>
      <c r="J3712">
        <v>2013</v>
      </c>
      <c r="K3712" s="21">
        <v>41521.381377314799</v>
      </c>
      <c r="L3712">
        <v>2013</v>
      </c>
      <c r="M3712" s="21">
        <v>42012.666122685201</v>
      </c>
      <c r="N3712">
        <v>2015</v>
      </c>
      <c r="Q3712" s="262">
        <v>22000</v>
      </c>
      <c r="R3712" s="262">
        <v>13000</v>
      </c>
      <c r="S3712" t="s">
        <v>114</v>
      </c>
      <c r="T3712" t="s">
        <v>114</v>
      </c>
      <c r="W3712">
        <v>300</v>
      </c>
      <c r="X3712">
        <v>0</v>
      </c>
      <c r="Y3712">
        <v>0</v>
      </c>
      <c r="Z3712">
        <v>0</v>
      </c>
      <c r="AA3712">
        <v>0</v>
      </c>
      <c r="AB3712">
        <v>0</v>
      </c>
      <c r="AC3712">
        <v>300</v>
      </c>
      <c r="AD3712">
        <v>0</v>
      </c>
      <c r="AE3712">
        <v>0</v>
      </c>
      <c r="AF3712">
        <v>0</v>
      </c>
      <c r="AG3712">
        <v>0</v>
      </c>
      <c r="AH3712">
        <v>0</v>
      </c>
      <c r="AI3712">
        <v>0</v>
      </c>
      <c r="AJ3712">
        <v>0</v>
      </c>
      <c r="AK3712">
        <v>0</v>
      </c>
      <c r="AL3712">
        <v>0</v>
      </c>
      <c r="AM3712">
        <v>0</v>
      </c>
      <c r="AN3712">
        <v>0</v>
      </c>
      <c r="AO3712">
        <v>0</v>
      </c>
      <c r="AP3712">
        <v>0</v>
      </c>
      <c r="AQ3712">
        <v>0</v>
      </c>
      <c r="AR3712">
        <v>0</v>
      </c>
      <c r="AS3712">
        <v>0</v>
      </c>
      <c r="AT3712">
        <v>0</v>
      </c>
      <c r="AU3712">
        <f t="shared" si="114"/>
        <v>0</v>
      </c>
      <c r="AV3712">
        <f t="shared" si="115"/>
        <v>0</v>
      </c>
    </row>
    <row r="3713" spans="1:48" x14ac:dyDescent="0.25">
      <c r="A3713" t="s">
        <v>11666</v>
      </c>
      <c r="C3713" t="s">
        <v>11667</v>
      </c>
      <c r="D3713" t="s">
        <v>9729</v>
      </c>
      <c r="E3713" t="s">
        <v>2310</v>
      </c>
      <c r="F3713">
        <v>15</v>
      </c>
      <c r="G3713">
        <v>15.3</v>
      </c>
      <c r="H3713" t="s">
        <v>2022</v>
      </c>
      <c r="I3713" s="21">
        <v>41495.689525463</v>
      </c>
      <c r="J3713">
        <v>2013</v>
      </c>
      <c r="K3713" s="21">
        <v>41529.572060185201</v>
      </c>
      <c r="L3713">
        <v>2013</v>
      </c>
      <c r="M3713" s="21">
        <v>41817.371481481503</v>
      </c>
      <c r="N3713">
        <v>2014</v>
      </c>
      <c r="Q3713" s="262">
        <v>10000</v>
      </c>
      <c r="R3713" s="262">
        <v>8000</v>
      </c>
      <c r="S3713" t="s">
        <v>114</v>
      </c>
      <c r="T3713" t="s">
        <v>114</v>
      </c>
      <c r="W3713">
        <v>63</v>
      </c>
      <c r="X3713">
        <v>0</v>
      </c>
      <c r="Y3713">
        <v>0</v>
      </c>
      <c r="Z3713">
        <v>0</v>
      </c>
      <c r="AA3713">
        <v>0</v>
      </c>
      <c r="AB3713">
        <v>0</v>
      </c>
      <c r="AC3713">
        <v>63</v>
      </c>
      <c r="AD3713">
        <v>0</v>
      </c>
      <c r="AE3713">
        <v>0</v>
      </c>
      <c r="AF3713">
        <v>0</v>
      </c>
      <c r="AG3713">
        <v>0</v>
      </c>
      <c r="AH3713">
        <v>0</v>
      </c>
      <c r="AI3713">
        <v>0</v>
      </c>
      <c r="AJ3713">
        <v>0</v>
      </c>
      <c r="AK3713">
        <v>0</v>
      </c>
      <c r="AL3713">
        <v>0</v>
      </c>
      <c r="AM3713">
        <v>0</v>
      </c>
      <c r="AN3713">
        <v>0</v>
      </c>
      <c r="AO3713">
        <v>0</v>
      </c>
      <c r="AP3713">
        <v>0</v>
      </c>
      <c r="AQ3713">
        <v>0</v>
      </c>
      <c r="AR3713">
        <v>0</v>
      </c>
      <c r="AS3713">
        <v>0</v>
      </c>
      <c r="AT3713">
        <v>0</v>
      </c>
      <c r="AU3713">
        <f t="shared" si="114"/>
        <v>0</v>
      </c>
      <c r="AV3713">
        <f t="shared" si="115"/>
        <v>0</v>
      </c>
    </row>
    <row r="3714" spans="1:48" x14ac:dyDescent="0.25">
      <c r="A3714" t="s">
        <v>11668</v>
      </c>
      <c r="C3714" t="s">
        <v>7880</v>
      </c>
      <c r="D3714" t="s">
        <v>9729</v>
      </c>
      <c r="E3714" t="s">
        <v>2310</v>
      </c>
      <c r="F3714">
        <v>15</v>
      </c>
      <c r="G3714">
        <v>15.3</v>
      </c>
      <c r="H3714" t="s">
        <v>2022</v>
      </c>
      <c r="I3714" s="21">
        <v>41495.693680555603</v>
      </c>
      <c r="J3714">
        <v>2013</v>
      </c>
      <c r="K3714" s="21">
        <v>41529.573738425897</v>
      </c>
      <c r="L3714">
        <v>2013</v>
      </c>
      <c r="M3714" s="21">
        <v>41817.372847222199</v>
      </c>
      <c r="N3714">
        <v>2014</v>
      </c>
      <c r="Q3714" s="262">
        <v>40000</v>
      </c>
      <c r="R3714" s="262">
        <v>22000</v>
      </c>
      <c r="S3714" t="s">
        <v>114</v>
      </c>
      <c r="T3714" t="s">
        <v>114</v>
      </c>
      <c r="W3714">
        <v>468</v>
      </c>
      <c r="X3714">
        <v>0</v>
      </c>
      <c r="Y3714">
        <v>0</v>
      </c>
      <c r="Z3714">
        <v>0</v>
      </c>
      <c r="AA3714">
        <v>0</v>
      </c>
      <c r="AB3714">
        <v>0</v>
      </c>
      <c r="AC3714">
        <v>468</v>
      </c>
      <c r="AD3714">
        <v>0</v>
      </c>
      <c r="AE3714">
        <v>0</v>
      </c>
      <c r="AF3714">
        <v>0</v>
      </c>
      <c r="AG3714">
        <v>0</v>
      </c>
      <c r="AH3714">
        <v>0</v>
      </c>
      <c r="AI3714">
        <v>0</v>
      </c>
      <c r="AJ3714">
        <v>0</v>
      </c>
      <c r="AK3714">
        <v>0</v>
      </c>
      <c r="AL3714">
        <v>0</v>
      </c>
      <c r="AM3714">
        <v>0</v>
      </c>
      <c r="AN3714">
        <v>0</v>
      </c>
      <c r="AO3714">
        <v>0</v>
      </c>
      <c r="AP3714">
        <v>0</v>
      </c>
      <c r="AQ3714">
        <v>0</v>
      </c>
      <c r="AR3714">
        <v>0</v>
      </c>
      <c r="AS3714">
        <v>0</v>
      </c>
      <c r="AT3714">
        <v>0</v>
      </c>
      <c r="AU3714">
        <f t="shared" si="114"/>
        <v>0</v>
      </c>
      <c r="AV3714">
        <f t="shared" si="115"/>
        <v>0</v>
      </c>
    </row>
    <row r="3715" spans="1:48" x14ac:dyDescent="0.25">
      <c r="A3715" t="s">
        <v>11669</v>
      </c>
      <c r="C3715" t="s">
        <v>11670</v>
      </c>
      <c r="D3715" t="s">
        <v>11671</v>
      </c>
      <c r="E3715" t="s">
        <v>1663</v>
      </c>
      <c r="F3715">
        <v>2</v>
      </c>
      <c r="G3715">
        <v>2.2999999999999998</v>
      </c>
      <c r="H3715" t="s">
        <v>2327</v>
      </c>
      <c r="I3715" s="21">
        <v>41499</v>
      </c>
      <c r="J3715">
        <v>2013</v>
      </c>
      <c r="K3715" s="21">
        <v>41557</v>
      </c>
      <c r="L3715">
        <v>2013</v>
      </c>
      <c r="M3715" s="21">
        <v>41739</v>
      </c>
      <c r="N3715">
        <v>2014</v>
      </c>
      <c r="Q3715" s="262">
        <v>3200000</v>
      </c>
      <c r="S3715" t="s">
        <v>114</v>
      </c>
      <c r="T3715" t="s">
        <v>114</v>
      </c>
      <c r="W3715">
        <v>9265</v>
      </c>
      <c r="X3715">
        <v>0</v>
      </c>
      <c r="Y3715">
        <v>0</v>
      </c>
      <c r="Z3715">
        <v>0</v>
      </c>
      <c r="AA3715">
        <v>0</v>
      </c>
      <c r="AB3715">
        <v>0</v>
      </c>
      <c r="AC3715">
        <v>0</v>
      </c>
      <c r="AD3715">
        <v>0</v>
      </c>
      <c r="AE3715">
        <v>0</v>
      </c>
      <c r="AF3715">
        <v>0</v>
      </c>
      <c r="AG3715">
        <v>0</v>
      </c>
      <c r="AH3715">
        <v>0</v>
      </c>
      <c r="AI3715">
        <v>9265</v>
      </c>
      <c r="AJ3715">
        <v>0</v>
      </c>
      <c r="AK3715">
        <v>0</v>
      </c>
      <c r="AL3715">
        <v>0</v>
      </c>
      <c r="AM3715">
        <v>0</v>
      </c>
      <c r="AN3715">
        <v>0</v>
      </c>
      <c r="AO3715">
        <v>0</v>
      </c>
      <c r="AP3715">
        <v>0</v>
      </c>
      <c r="AQ3715">
        <v>0</v>
      </c>
      <c r="AR3715">
        <v>0</v>
      </c>
      <c r="AS3715">
        <v>0</v>
      </c>
      <c r="AT3715">
        <v>0</v>
      </c>
      <c r="AU3715">
        <f t="shared" si="114"/>
        <v>0</v>
      </c>
      <c r="AV3715">
        <f t="shared" si="115"/>
        <v>9265</v>
      </c>
    </row>
    <row r="3716" spans="1:48" x14ac:dyDescent="0.25">
      <c r="A3716" t="s">
        <v>11672</v>
      </c>
      <c r="C3716" t="s">
        <v>11673</v>
      </c>
      <c r="D3716" t="s">
        <v>11674</v>
      </c>
      <c r="E3716" t="s">
        <v>1663</v>
      </c>
      <c r="F3716">
        <v>4</v>
      </c>
      <c r="G3716">
        <v>4.3</v>
      </c>
      <c r="H3716" t="s">
        <v>2327</v>
      </c>
      <c r="I3716" s="21">
        <v>41500</v>
      </c>
      <c r="J3716">
        <v>2013</v>
      </c>
      <c r="K3716" s="21">
        <v>41584</v>
      </c>
      <c r="L3716">
        <v>2013</v>
      </c>
      <c r="M3716" s="21">
        <v>41765</v>
      </c>
      <c r="N3716">
        <v>2014</v>
      </c>
      <c r="Q3716" s="262">
        <v>1833333</v>
      </c>
      <c r="S3716" t="s">
        <v>114</v>
      </c>
      <c r="T3716" t="s">
        <v>114</v>
      </c>
      <c r="W3716">
        <v>10463</v>
      </c>
      <c r="X3716">
        <v>8</v>
      </c>
      <c r="Y3716">
        <v>0</v>
      </c>
      <c r="Z3716">
        <v>0</v>
      </c>
      <c r="AA3716">
        <v>0</v>
      </c>
      <c r="AB3716">
        <v>0</v>
      </c>
      <c r="AC3716">
        <v>0</v>
      </c>
      <c r="AD3716">
        <v>0</v>
      </c>
      <c r="AE3716">
        <v>10463</v>
      </c>
      <c r="AF3716">
        <v>0</v>
      </c>
      <c r="AG3716">
        <v>0</v>
      </c>
      <c r="AH3716">
        <v>0</v>
      </c>
      <c r="AI3716">
        <v>0</v>
      </c>
      <c r="AJ3716">
        <v>0</v>
      </c>
      <c r="AK3716">
        <v>0</v>
      </c>
      <c r="AL3716">
        <v>0</v>
      </c>
      <c r="AM3716">
        <v>0</v>
      </c>
      <c r="AN3716">
        <v>0</v>
      </c>
      <c r="AO3716">
        <v>0</v>
      </c>
      <c r="AP3716">
        <v>0</v>
      </c>
      <c r="AQ3716">
        <v>8</v>
      </c>
      <c r="AR3716">
        <v>0</v>
      </c>
      <c r="AS3716">
        <v>0</v>
      </c>
      <c r="AT3716">
        <v>0</v>
      </c>
      <c r="AU3716">
        <f t="shared" si="114"/>
        <v>8</v>
      </c>
      <c r="AV3716">
        <f t="shared" si="115"/>
        <v>0</v>
      </c>
    </row>
    <row r="3717" spans="1:48" x14ac:dyDescent="0.25">
      <c r="A3717" t="s">
        <v>11675</v>
      </c>
      <c r="C3717" t="s">
        <v>11676</v>
      </c>
      <c r="D3717" t="s">
        <v>11674</v>
      </c>
      <c r="E3717" t="s">
        <v>1663</v>
      </c>
      <c r="F3717">
        <v>4</v>
      </c>
      <c r="G3717">
        <v>4.3</v>
      </c>
      <c r="H3717" t="s">
        <v>2327</v>
      </c>
      <c r="I3717" s="21">
        <v>41500</v>
      </c>
      <c r="J3717">
        <v>2013</v>
      </c>
      <c r="K3717" s="21">
        <v>41774</v>
      </c>
      <c r="L3717">
        <v>2014</v>
      </c>
      <c r="M3717" s="21">
        <v>42432</v>
      </c>
      <c r="N3717">
        <v>2016</v>
      </c>
      <c r="Q3717" s="262">
        <v>1833333</v>
      </c>
      <c r="S3717" t="s">
        <v>114</v>
      </c>
      <c r="T3717" t="s">
        <v>114</v>
      </c>
      <c r="W3717">
        <v>10463</v>
      </c>
      <c r="X3717">
        <v>8</v>
      </c>
      <c r="Y3717">
        <v>0</v>
      </c>
      <c r="Z3717">
        <v>0</v>
      </c>
      <c r="AA3717">
        <v>0</v>
      </c>
      <c r="AB3717">
        <v>0</v>
      </c>
      <c r="AC3717">
        <v>0</v>
      </c>
      <c r="AD3717">
        <v>0</v>
      </c>
      <c r="AE3717">
        <v>10463</v>
      </c>
      <c r="AF3717">
        <v>0</v>
      </c>
      <c r="AG3717">
        <v>0</v>
      </c>
      <c r="AH3717">
        <v>0</v>
      </c>
      <c r="AI3717">
        <v>0</v>
      </c>
      <c r="AJ3717">
        <v>0</v>
      </c>
      <c r="AK3717">
        <v>0</v>
      </c>
      <c r="AL3717">
        <v>0</v>
      </c>
      <c r="AM3717">
        <v>0</v>
      </c>
      <c r="AN3717">
        <v>0</v>
      </c>
      <c r="AO3717">
        <v>0</v>
      </c>
      <c r="AP3717">
        <v>0</v>
      </c>
      <c r="AQ3717">
        <v>8</v>
      </c>
      <c r="AR3717">
        <v>0</v>
      </c>
      <c r="AS3717">
        <v>0</v>
      </c>
      <c r="AT3717">
        <v>0</v>
      </c>
      <c r="AU3717">
        <f t="shared" si="114"/>
        <v>8</v>
      </c>
      <c r="AV3717">
        <f t="shared" si="115"/>
        <v>0</v>
      </c>
    </row>
    <row r="3718" spans="1:48" x14ac:dyDescent="0.25">
      <c r="A3718" t="s">
        <v>11677</v>
      </c>
      <c r="C3718" t="s">
        <v>11678</v>
      </c>
      <c r="D3718" t="s">
        <v>11674</v>
      </c>
      <c r="E3718" t="s">
        <v>1663</v>
      </c>
      <c r="F3718">
        <v>4</v>
      </c>
      <c r="G3718">
        <v>4.3</v>
      </c>
      <c r="H3718" t="s">
        <v>2327</v>
      </c>
      <c r="I3718" s="21">
        <v>41500</v>
      </c>
      <c r="J3718">
        <v>2013</v>
      </c>
      <c r="K3718" s="21">
        <v>41584</v>
      </c>
      <c r="L3718">
        <v>2013</v>
      </c>
      <c r="M3718" s="21">
        <v>41765</v>
      </c>
      <c r="N3718">
        <v>2014</v>
      </c>
      <c r="Q3718" s="262">
        <v>1833333</v>
      </c>
      <c r="S3718" t="s">
        <v>114</v>
      </c>
      <c r="T3718" t="s">
        <v>114</v>
      </c>
      <c r="W3718">
        <v>10463</v>
      </c>
      <c r="X3718">
        <v>8</v>
      </c>
      <c r="Y3718">
        <v>0</v>
      </c>
      <c r="Z3718">
        <v>0</v>
      </c>
      <c r="AA3718">
        <v>0</v>
      </c>
      <c r="AB3718">
        <v>0</v>
      </c>
      <c r="AC3718">
        <v>0</v>
      </c>
      <c r="AD3718">
        <v>0</v>
      </c>
      <c r="AE3718">
        <v>10463</v>
      </c>
      <c r="AF3718">
        <v>0</v>
      </c>
      <c r="AG3718">
        <v>0</v>
      </c>
      <c r="AH3718">
        <v>0</v>
      </c>
      <c r="AI3718">
        <v>0</v>
      </c>
      <c r="AJ3718">
        <v>0</v>
      </c>
      <c r="AK3718">
        <v>0</v>
      </c>
      <c r="AL3718">
        <v>0</v>
      </c>
      <c r="AM3718">
        <v>0</v>
      </c>
      <c r="AN3718">
        <v>0</v>
      </c>
      <c r="AO3718">
        <v>0</v>
      </c>
      <c r="AP3718">
        <v>0</v>
      </c>
      <c r="AQ3718">
        <v>8</v>
      </c>
      <c r="AR3718">
        <v>0</v>
      </c>
      <c r="AS3718">
        <v>0</v>
      </c>
      <c r="AT3718">
        <v>0</v>
      </c>
      <c r="AU3718">
        <f t="shared" si="114"/>
        <v>8</v>
      </c>
      <c r="AV3718">
        <f t="shared" si="115"/>
        <v>0</v>
      </c>
    </row>
    <row r="3719" spans="1:48" x14ac:dyDescent="0.25">
      <c r="A3719" t="s">
        <v>11679</v>
      </c>
      <c r="C3719" t="s">
        <v>11680</v>
      </c>
      <c r="D3719" t="s">
        <v>11681</v>
      </c>
      <c r="E3719" t="s">
        <v>1663</v>
      </c>
      <c r="F3719">
        <v>3</v>
      </c>
      <c r="G3719">
        <v>3.1</v>
      </c>
      <c r="H3719" t="s">
        <v>2017</v>
      </c>
      <c r="I3719" s="21">
        <v>41506</v>
      </c>
      <c r="J3719">
        <v>2013</v>
      </c>
      <c r="K3719" s="21">
        <v>41550</v>
      </c>
      <c r="L3719">
        <v>2013</v>
      </c>
      <c r="M3719" s="21">
        <v>41732</v>
      </c>
      <c r="N3719">
        <v>2014</v>
      </c>
      <c r="Q3719" s="262">
        <v>50000</v>
      </c>
      <c r="S3719" t="s">
        <v>114</v>
      </c>
      <c r="T3719" t="s">
        <v>114</v>
      </c>
      <c r="W3719">
        <v>747</v>
      </c>
      <c r="X3719">
        <v>1</v>
      </c>
      <c r="Y3719">
        <v>0</v>
      </c>
      <c r="Z3719">
        <v>0</v>
      </c>
      <c r="AA3719">
        <v>0</v>
      </c>
      <c r="AB3719">
        <v>0</v>
      </c>
      <c r="AC3719">
        <v>747</v>
      </c>
      <c r="AD3719">
        <v>0</v>
      </c>
      <c r="AE3719">
        <v>0</v>
      </c>
      <c r="AF3719">
        <v>0</v>
      </c>
      <c r="AG3719">
        <v>0</v>
      </c>
      <c r="AH3719">
        <v>0</v>
      </c>
      <c r="AI3719">
        <v>0</v>
      </c>
      <c r="AJ3719">
        <v>0</v>
      </c>
      <c r="AK3719">
        <v>0</v>
      </c>
      <c r="AL3719">
        <v>0</v>
      </c>
      <c r="AM3719">
        <v>0</v>
      </c>
      <c r="AN3719">
        <v>0</v>
      </c>
      <c r="AO3719">
        <v>1</v>
      </c>
      <c r="AP3719">
        <v>0</v>
      </c>
      <c r="AQ3719">
        <v>0</v>
      </c>
      <c r="AR3719">
        <v>0</v>
      </c>
      <c r="AS3719">
        <v>0</v>
      </c>
      <c r="AT3719">
        <v>0</v>
      </c>
      <c r="AU3719">
        <f t="shared" si="114"/>
        <v>1</v>
      </c>
      <c r="AV3719">
        <f t="shared" si="115"/>
        <v>0</v>
      </c>
    </row>
    <row r="3720" spans="1:48" x14ac:dyDescent="0.25">
      <c r="A3720" t="s">
        <v>11682</v>
      </c>
      <c r="C3720" t="s">
        <v>11683</v>
      </c>
      <c r="D3720" t="s">
        <v>11684</v>
      </c>
      <c r="E3720" t="s">
        <v>2310</v>
      </c>
      <c r="F3720">
        <v>15</v>
      </c>
      <c r="G3720">
        <v>15.2</v>
      </c>
      <c r="H3720" t="s">
        <v>2323</v>
      </c>
      <c r="I3720" s="21">
        <v>41506.527465277803</v>
      </c>
      <c r="J3720">
        <v>2013</v>
      </c>
      <c r="K3720" s="21">
        <v>41808.658414351798</v>
      </c>
      <c r="L3720">
        <v>2014</v>
      </c>
      <c r="M3720" s="21">
        <v>42541.4071527778</v>
      </c>
      <c r="N3720">
        <v>2016</v>
      </c>
      <c r="Q3720" s="262">
        <v>7000000</v>
      </c>
      <c r="R3720" s="262">
        <v>987000</v>
      </c>
      <c r="S3720" t="s">
        <v>114</v>
      </c>
      <c r="T3720" t="s">
        <v>114</v>
      </c>
      <c r="W3720">
        <v>9088</v>
      </c>
      <c r="X3720">
        <v>1</v>
      </c>
      <c r="Y3720">
        <v>0</v>
      </c>
      <c r="Z3720">
        <v>0</v>
      </c>
      <c r="AA3720">
        <v>0</v>
      </c>
      <c r="AB3720">
        <v>0</v>
      </c>
      <c r="AC3720">
        <v>9088</v>
      </c>
      <c r="AD3720">
        <v>0</v>
      </c>
      <c r="AE3720">
        <v>0</v>
      </c>
      <c r="AF3720">
        <v>0</v>
      </c>
      <c r="AG3720">
        <v>0</v>
      </c>
      <c r="AH3720">
        <v>0</v>
      </c>
      <c r="AI3720">
        <v>0</v>
      </c>
      <c r="AJ3720">
        <v>0</v>
      </c>
      <c r="AK3720">
        <v>0</v>
      </c>
      <c r="AL3720">
        <v>0</v>
      </c>
      <c r="AM3720">
        <v>0</v>
      </c>
      <c r="AN3720">
        <v>0</v>
      </c>
      <c r="AO3720">
        <v>1</v>
      </c>
      <c r="AP3720">
        <v>0</v>
      </c>
      <c r="AQ3720">
        <v>0</v>
      </c>
      <c r="AR3720">
        <v>0</v>
      </c>
      <c r="AS3720">
        <v>0</v>
      </c>
      <c r="AT3720">
        <v>0</v>
      </c>
      <c r="AU3720">
        <f t="shared" si="114"/>
        <v>1</v>
      </c>
      <c r="AV3720">
        <f t="shared" si="115"/>
        <v>0</v>
      </c>
    </row>
    <row r="3721" spans="1:48" x14ac:dyDescent="0.25">
      <c r="A3721" t="s">
        <v>11682</v>
      </c>
      <c r="B3721" t="s">
        <v>11685</v>
      </c>
      <c r="C3721" t="s">
        <v>11686</v>
      </c>
      <c r="D3721" t="s">
        <v>11684</v>
      </c>
      <c r="E3721" t="s">
        <v>2310</v>
      </c>
      <c r="F3721">
        <v>15</v>
      </c>
      <c r="G3721">
        <v>15.2</v>
      </c>
      <c r="H3721" t="s">
        <v>2323</v>
      </c>
      <c r="I3721" s="21">
        <v>41506.527465277803</v>
      </c>
      <c r="J3721">
        <v>2013</v>
      </c>
      <c r="K3721" s="21">
        <v>41808.658414351798</v>
      </c>
      <c r="L3721">
        <v>2014</v>
      </c>
      <c r="M3721" s="21">
        <v>42541.4071527778</v>
      </c>
      <c r="N3721">
        <v>2016</v>
      </c>
      <c r="S3721" t="s">
        <v>114</v>
      </c>
      <c r="T3721" t="s">
        <v>114</v>
      </c>
      <c r="V3721">
        <v>0</v>
      </c>
      <c r="W3721">
        <v>64</v>
      </c>
      <c r="X3721">
        <v>0</v>
      </c>
      <c r="Y3721">
        <v>0</v>
      </c>
      <c r="Z3721">
        <v>0</v>
      </c>
      <c r="AA3721">
        <v>0</v>
      </c>
      <c r="AB3721">
        <v>0</v>
      </c>
      <c r="AC3721">
        <v>64</v>
      </c>
      <c r="AD3721">
        <v>0</v>
      </c>
      <c r="AE3721">
        <v>0</v>
      </c>
      <c r="AF3721">
        <v>0</v>
      </c>
      <c r="AG3721">
        <v>0</v>
      </c>
      <c r="AH3721">
        <v>0</v>
      </c>
      <c r="AI3721">
        <v>0</v>
      </c>
      <c r="AJ3721">
        <v>0</v>
      </c>
      <c r="AK3721">
        <v>0</v>
      </c>
      <c r="AL3721">
        <v>0</v>
      </c>
      <c r="AM3721">
        <v>0</v>
      </c>
      <c r="AN3721">
        <v>0</v>
      </c>
      <c r="AO3721">
        <v>0</v>
      </c>
      <c r="AP3721">
        <v>0</v>
      </c>
      <c r="AQ3721">
        <v>0</v>
      </c>
      <c r="AR3721">
        <v>0</v>
      </c>
      <c r="AS3721">
        <v>0</v>
      </c>
      <c r="AT3721">
        <v>0</v>
      </c>
      <c r="AU3721">
        <f t="shared" si="114"/>
        <v>0</v>
      </c>
      <c r="AV3721">
        <f t="shared" si="115"/>
        <v>0</v>
      </c>
    </row>
    <row r="3722" spans="1:48" x14ac:dyDescent="0.25">
      <c r="A3722" t="s">
        <v>11687</v>
      </c>
      <c r="C3722" t="s">
        <v>7880</v>
      </c>
      <c r="D3722" t="s">
        <v>9050</v>
      </c>
      <c r="E3722" t="s">
        <v>2310</v>
      </c>
      <c r="F3722">
        <v>15</v>
      </c>
      <c r="G3722">
        <v>15.3</v>
      </c>
      <c r="H3722" t="s">
        <v>2022</v>
      </c>
      <c r="I3722" s="21">
        <v>41506.699942129599</v>
      </c>
      <c r="J3722">
        <v>2013</v>
      </c>
      <c r="K3722" s="21">
        <v>41536.494039351899</v>
      </c>
      <c r="L3722">
        <v>2013</v>
      </c>
      <c r="M3722" s="21">
        <v>42131.442673611098</v>
      </c>
      <c r="N3722">
        <v>2015</v>
      </c>
      <c r="Q3722" s="262">
        <v>50000</v>
      </c>
      <c r="R3722" s="262">
        <v>44000</v>
      </c>
      <c r="S3722" t="s">
        <v>114</v>
      </c>
      <c r="T3722" t="s">
        <v>114</v>
      </c>
      <c r="W3722">
        <v>900</v>
      </c>
      <c r="X3722">
        <v>0</v>
      </c>
      <c r="Y3722">
        <v>0</v>
      </c>
      <c r="Z3722">
        <v>0</v>
      </c>
      <c r="AA3722">
        <v>0</v>
      </c>
      <c r="AB3722">
        <v>0</v>
      </c>
      <c r="AC3722">
        <v>900</v>
      </c>
      <c r="AD3722">
        <v>0</v>
      </c>
      <c r="AE3722">
        <v>0</v>
      </c>
      <c r="AF3722">
        <v>0</v>
      </c>
      <c r="AG3722">
        <v>0</v>
      </c>
      <c r="AH3722">
        <v>0</v>
      </c>
      <c r="AI3722">
        <v>0</v>
      </c>
      <c r="AJ3722">
        <v>0</v>
      </c>
      <c r="AK3722">
        <v>0</v>
      </c>
      <c r="AL3722">
        <v>0</v>
      </c>
      <c r="AM3722">
        <v>0</v>
      </c>
      <c r="AN3722">
        <v>0</v>
      </c>
      <c r="AO3722">
        <v>0</v>
      </c>
      <c r="AP3722">
        <v>0</v>
      </c>
      <c r="AQ3722">
        <v>0</v>
      </c>
      <c r="AR3722">
        <v>0</v>
      </c>
      <c r="AS3722">
        <v>0</v>
      </c>
      <c r="AT3722">
        <v>0</v>
      </c>
      <c r="AU3722">
        <f t="shared" si="114"/>
        <v>0</v>
      </c>
      <c r="AV3722">
        <f t="shared" si="115"/>
        <v>0</v>
      </c>
    </row>
    <row r="3723" spans="1:48" x14ac:dyDescent="0.25">
      <c r="A3723" t="s">
        <v>11688</v>
      </c>
      <c r="C3723" t="s">
        <v>11689</v>
      </c>
      <c r="D3723" t="s">
        <v>11690</v>
      </c>
      <c r="E3723" t="s">
        <v>2310</v>
      </c>
      <c r="F3723">
        <v>12</v>
      </c>
      <c r="G3723">
        <v>12.3</v>
      </c>
      <c r="H3723" t="s">
        <v>2017</v>
      </c>
      <c r="I3723" s="21">
        <v>41507.4735069444</v>
      </c>
      <c r="J3723">
        <v>2013</v>
      </c>
      <c r="K3723" s="21">
        <v>41547.518194444398</v>
      </c>
      <c r="L3723">
        <v>2013</v>
      </c>
      <c r="M3723" s="21">
        <v>42046.512071759302</v>
      </c>
      <c r="N3723">
        <v>2015</v>
      </c>
      <c r="Q3723" s="262">
        <v>187000</v>
      </c>
      <c r="R3723" s="262">
        <v>115000</v>
      </c>
      <c r="S3723" t="s">
        <v>114</v>
      </c>
      <c r="T3723" t="s">
        <v>114</v>
      </c>
      <c r="V3723">
        <v>328</v>
      </c>
      <c r="W3723">
        <v>747</v>
      </c>
      <c r="X3723">
        <v>0</v>
      </c>
      <c r="Y3723">
        <v>0</v>
      </c>
      <c r="Z3723">
        <v>0</v>
      </c>
      <c r="AA3723">
        <v>0</v>
      </c>
      <c r="AB3723">
        <v>0</v>
      </c>
      <c r="AC3723">
        <v>747</v>
      </c>
      <c r="AD3723">
        <v>0</v>
      </c>
      <c r="AE3723">
        <v>0</v>
      </c>
      <c r="AF3723">
        <v>0</v>
      </c>
      <c r="AG3723">
        <v>0</v>
      </c>
      <c r="AH3723">
        <v>0</v>
      </c>
      <c r="AI3723">
        <v>0</v>
      </c>
      <c r="AJ3723">
        <v>0</v>
      </c>
      <c r="AK3723">
        <v>0</v>
      </c>
      <c r="AL3723">
        <v>0</v>
      </c>
      <c r="AM3723">
        <v>0</v>
      </c>
      <c r="AN3723">
        <v>0</v>
      </c>
      <c r="AO3723">
        <v>0</v>
      </c>
      <c r="AP3723">
        <v>0</v>
      </c>
      <c r="AQ3723">
        <v>0</v>
      </c>
      <c r="AR3723">
        <v>0</v>
      </c>
      <c r="AS3723">
        <v>0</v>
      </c>
      <c r="AT3723">
        <v>0</v>
      </c>
      <c r="AU3723">
        <f t="shared" si="114"/>
        <v>0</v>
      </c>
      <c r="AV3723">
        <f t="shared" si="115"/>
        <v>0</v>
      </c>
    </row>
    <row r="3724" spans="1:48" x14ac:dyDescent="0.25">
      <c r="A3724" t="s">
        <v>11691</v>
      </c>
      <c r="C3724" t="s">
        <v>11692</v>
      </c>
      <c r="D3724" t="s">
        <v>11693</v>
      </c>
      <c r="E3724" t="s">
        <v>2310</v>
      </c>
      <c r="F3724">
        <v>10</v>
      </c>
      <c r="G3724">
        <v>10.1</v>
      </c>
      <c r="H3724" t="s">
        <v>2323</v>
      </c>
      <c r="I3724" s="21">
        <v>41507.567384259302</v>
      </c>
      <c r="J3724">
        <v>2013</v>
      </c>
      <c r="K3724" s="21">
        <v>41547.500787037003</v>
      </c>
      <c r="L3724">
        <v>2013</v>
      </c>
      <c r="M3724" s="21">
        <v>41907.655069444401</v>
      </c>
      <c r="N3724">
        <v>2014</v>
      </c>
      <c r="Q3724" s="262">
        <v>100000</v>
      </c>
      <c r="R3724" s="262">
        <v>93000</v>
      </c>
      <c r="S3724" t="s">
        <v>114</v>
      </c>
      <c r="T3724" t="s">
        <v>114</v>
      </c>
      <c r="V3724">
        <v>1000</v>
      </c>
      <c r="W3724">
        <v>0</v>
      </c>
      <c r="X3724">
        <v>0</v>
      </c>
      <c r="Y3724">
        <v>0</v>
      </c>
      <c r="Z3724">
        <v>0</v>
      </c>
      <c r="AA3724">
        <v>0</v>
      </c>
      <c r="AB3724">
        <v>0</v>
      </c>
      <c r="AC3724">
        <v>0</v>
      </c>
      <c r="AD3724">
        <v>0</v>
      </c>
      <c r="AE3724">
        <v>0</v>
      </c>
      <c r="AF3724">
        <v>0</v>
      </c>
      <c r="AG3724">
        <v>0</v>
      </c>
      <c r="AH3724">
        <v>0</v>
      </c>
      <c r="AI3724">
        <v>0</v>
      </c>
      <c r="AJ3724">
        <v>0</v>
      </c>
      <c r="AK3724">
        <v>0</v>
      </c>
      <c r="AL3724">
        <v>0</v>
      </c>
      <c r="AM3724">
        <v>0</v>
      </c>
      <c r="AN3724">
        <v>0</v>
      </c>
      <c r="AO3724">
        <v>0</v>
      </c>
      <c r="AP3724">
        <v>0</v>
      </c>
      <c r="AQ3724">
        <v>0</v>
      </c>
      <c r="AR3724">
        <v>0</v>
      </c>
      <c r="AS3724">
        <v>0</v>
      </c>
      <c r="AT3724">
        <v>0</v>
      </c>
      <c r="AU3724">
        <f t="shared" si="114"/>
        <v>0</v>
      </c>
      <c r="AV3724">
        <f t="shared" si="115"/>
        <v>0</v>
      </c>
    </row>
    <row r="3725" spans="1:48" x14ac:dyDescent="0.25">
      <c r="A3725" t="s">
        <v>11694</v>
      </c>
      <c r="C3725" t="s">
        <v>11695</v>
      </c>
      <c r="D3725" t="s">
        <v>11696</v>
      </c>
      <c r="E3725" t="s">
        <v>2310</v>
      </c>
      <c r="F3725">
        <v>10</v>
      </c>
      <c r="G3725">
        <v>10.1</v>
      </c>
      <c r="H3725" t="s">
        <v>2323</v>
      </c>
      <c r="I3725" s="21">
        <v>41508.599803240701</v>
      </c>
      <c r="J3725">
        <v>2013</v>
      </c>
      <c r="O3725" s="21">
        <v>41717.522604166697</v>
      </c>
      <c r="Q3725" s="262">
        <v>30000</v>
      </c>
      <c r="R3725" s="262">
        <v>26000</v>
      </c>
      <c r="S3725" t="s">
        <v>114</v>
      </c>
      <c r="T3725" t="s">
        <v>114</v>
      </c>
      <c r="W3725">
        <v>0</v>
      </c>
      <c r="X3725">
        <v>0</v>
      </c>
      <c r="Y3725">
        <v>0</v>
      </c>
      <c r="Z3725">
        <v>0</v>
      </c>
      <c r="AA3725">
        <v>0</v>
      </c>
      <c r="AB3725">
        <v>0</v>
      </c>
      <c r="AC3725">
        <v>0</v>
      </c>
      <c r="AD3725">
        <v>0</v>
      </c>
      <c r="AE3725">
        <v>0</v>
      </c>
      <c r="AF3725">
        <v>0</v>
      </c>
      <c r="AG3725">
        <v>0</v>
      </c>
      <c r="AH3725">
        <v>0</v>
      </c>
      <c r="AI3725">
        <v>0</v>
      </c>
      <c r="AJ3725">
        <v>0</v>
      </c>
      <c r="AK3725">
        <v>0</v>
      </c>
      <c r="AL3725">
        <v>0</v>
      </c>
      <c r="AM3725">
        <v>0</v>
      </c>
      <c r="AN3725">
        <v>0</v>
      </c>
      <c r="AO3725">
        <v>0</v>
      </c>
      <c r="AP3725">
        <v>0</v>
      </c>
      <c r="AQ3725">
        <v>0</v>
      </c>
      <c r="AR3725">
        <v>0</v>
      </c>
      <c r="AS3725">
        <v>0</v>
      </c>
      <c r="AT3725">
        <v>0</v>
      </c>
      <c r="AU3725">
        <f t="shared" si="114"/>
        <v>0</v>
      </c>
      <c r="AV3725">
        <f t="shared" si="115"/>
        <v>0</v>
      </c>
    </row>
    <row r="3726" spans="1:48" x14ac:dyDescent="0.25">
      <c r="A3726" t="s">
        <v>11697</v>
      </c>
      <c r="C3726" t="s">
        <v>11698</v>
      </c>
      <c r="D3726" t="s">
        <v>7383</v>
      </c>
      <c r="E3726" t="s">
        <v>2310</v>
      </c>
      <c r="F3726">
        <v>9</v>
      </c>
      <c r="G3726">
        <v>9.1999999999999993</v>
      </c>
      <c r="H3726" t="s">
        <v>2022</v>
      </c>
      <c r="I3726" s="21">
        <v>41508.662106481497</v>
      </c>
      <c r="J3726">
        <v>2013</v>
      </c>
      <c r="K3726" s="21">
        <v>41550.488969907397</v>
      </c>
      <c r="L3726">
        <v>2013</v>
      </c>
      <c r="P3726" s="21">
        <v>42677.651122685202</v>
      </c>
      <c r="Q3726" s="262">
        <v>500000</v>
      </c>
      <c r="R3726" s="262">
        <v>6000</v>
      </c>
      <c r="S3726" t="s">
        <v>114</v>
      </c>
      <c r="T3726" t="s">
        <v>114</v>
      </c>
      <c r="W3726">
        <v>52</v>
      </c>
      <c r="X3726">
        <v>0</v>
      </c>
      <c r="Y3726">
        <v>0</v>
      </c>
      <c r="Z3726">
        <v>0</v>
      </c>
      <c r="AA3726">
        <v>0</v>
      </c>
      <c r="AB3726">
        <v>0</v>
      </c>
      <c r="AC3726">
        <v>52</v>
      </c>
      <c r="AD3726">
        <v>0</v>
      </c>
      <c r="AE3726">
        <v>0</v>
      </c>
      <c r="AF3726">
        <v>0</v>
      </c>
      <c r="AG3726">
        <v>0</v>
      </c>
      <c r="AH3726">
        <v>0</v>
      </c>
      <c r="AI3726">
        <v>0</v>
      </c>
      <c r="AJ3726">
        <v>0</v>
      </c>
      <c r="AK3726">
        <v>0</v>
      </c>
      <c r="AL3726">
        <v>0</v>
      </c>
      <c r="AM3726">
        <v>0</v>
      </c>
      <c r="AN3726">
        <v>0</v>
      </c>
      <c r="AO3726">
        <v>0</v>
      </c>
      <c r="AP3726">
        <v>0</v>
      </c>
      <c r="AQ3726">
        <v>0</v>
      </c>
      <c r="AR3726">
        <v>0</v>
      </c>
      <c r="AS3726">
        <v>0</v>
      </c>
      <c r="AT3726">
        <v>0</v>
      </c>
      <c r="AU3726">
        <f t="shared" si="114"/>
        <v>0</v>
      </c>
      <c r="AV3726">
        <f t="shared" si="115"/>
        <v>0</v>
      </c>
    </row>
    <row r="3727" spans="1:48" x14ac:dyDescent="0.25">
      <c r="A3727" t="s">
        <v>11699</v>
      </c>
      <c r="C3727" t="s">
        <v>11700</v>
      </c>
      <c r="D3727" t="s">
        <v>11701</v>
      </c>
      <c r="E3727" t="s">
        <v>2310</v>
      </c>
      <c r="F3727">
        <v>14</v>
      </c>
      <c r="G3727">
        <v>14.1</v>
      </c>
      <c r="H3727" t="s">
        <v>2022</v>
      </c>
      <c r="I3727" s="21">
        <v>41509.522604166697</v>
      </c>
      <c r="J3727">
        <v>2013</v>
      </c>
      <c r="K3727" s="21">
        <v>41565.668518518498</v>
      </c>
      <c r="L3727">
        <v>2013</v>
      </c>
      <c r="M3727" s="21">
        <v>42032.498587962997</v>
      </c>
      <c r="N3727">
        <v>2015</v>
      </c>
      <c r="Q3727" s="262">
        <v>200000</v>
      </c>
      <c r="R3727" s="262">
        <v>199000</v>
      </c>
      <c r="S3727" t="s">
        <v>114</v>
      </c>
      <c r="T3727" t="s">
        <v>114</v>
      </c>
      <c r="W3727">
        <v>3242</v>
      </c>
      <c r="X3727">
        <v>1</v>
      </c>
      <c r="Y3727">
        <v>0</v>
      </c>
      <c r="Z3727">
        <v>0</v>
      </c>
      <c r="AA3727">
        <v>0</v>
      </c>
      <c r="AB3727">
        <v>0</v>
      </c>
      <c r="AC3727">
        <v>3242</v>
      </c>
      <c r="AD3727">
        <v>0</v>
      </c>
      <c r="AE3727">
        <v>0</v>
      </c>
      <c r="AF3727">
        <v>0</v>
      </c>
      <c r="AG3727">
        <v>0</v>
      </c>
      <c r="AH3727">
        <v>0</v>
      </c>
      <c r="AI3727">
        <v>0</v>
      </c>
      <c r="AJ3727">
        <v>0</v>
      </c>
      <c r="AK3727">
        <v>0</v>
      </c>
      <c r="AL3727">
        <v>0</v>
      </c>
      <c r="AM3727">
        <v>0</v>
      </c>
      <c r="AN3727">
        <v>0</v>
      </c>
      <c r="AO3727">
        <v>1</v>
      </c>
      <c r="AP3727">
        <v>0</v>
      </c>
      <c r="AQ3727">
        <v>0</v>
      </c>
      <c r="AR3727">
        <v>0</v>
      </c>
      <c r="AS3727">
        <v>0</v>
      </c>
      <c r="AT3727">
        <v>0</v>
      </c>
      <c r="AU3727">
        <f t="shared" si="114"/>
        <v>1</v>
      </c>
      <c r="AV3727">
        <f t="shared" si="115"/>
        <v>0</v>
      </c>
    </row>
    <row r="3728" spans="1:48" x14ac:dyDescent="0.25">
      <c r="A3728" t="s">
        <v>11702</v>
      </c>
      <c r="C3728" t="s">
        <v>11703</v>
      </c>
      <c r="D3728" t="s">
        <v>11704</v>
      </c>
      <c r="E3728" t="s">
        <v>2310</v>
      </c>
      <c r="F3728">
        <v>10</v>
      </c>
      <c r="G3728">
        <v>10.1</v>
      </c>
      <c r="H3728" t="s">
        <v>2323</v>
      </c>
      <c r="I3728" s="21">
        <v>41513.521493055603</v>
      </c>
      <c r="J3728">
        <v>2013</v>
      </c>
      <c r="K3728" s="21">
        <v>41555.555104166699</v>
      </c>
      <c r="L3728">
        <v>2013</v>
      </c>
      <c r="M3728" s="21">
        <v>41928.566574074102</v>
      </c>
      <c r="N3728">
        <v>2014</v>
      </c>
      <c r="Q3728" s="262">
        <v>350000</v>
      </c>
      <c r="R3728" s="262">
        <v>227000</v>
      </c>
      <c r="S3728" t="s">
        <v>114</v>
      </c>
      <c r="T3728" t="s">
        <v>114</v>
      </c>
      <c r="W3728">
        <v>2397</v>
      </c>
      <c r="X3728">
        <v>1</v>
      </c>
      <c r="Y3728">
        <v>0</v>
      </c>
      <c r="Z3728">
        <v>0</v>
      </c>
      <c r="AA3728">
        <v>0</v>
      </c>
      <c r="AB3728">
        <v>0</v>
      </c>
      <c r="AC3728">
        <v>2397</v>
      </c>
      <c r="AD3728">
        <v>0</v>
      </c>
      <c r="AE3728">
        <v>0</v>
      </c>
      <c r="AF3728">
        <v>0</v>
      </c>
      <c r="AG3728">
        <v>0</v>
      </c>
      <c r="AH3728">
        <v>0</v>
      </c>
      <c r="AI3728">
        <v>0</v>
      </c>
      <c r="AJ3728">
        <v>0</v>
      </c>
      <c r="AK3728">
        <v>0</v>
      </c>
      <c r="AL3728">
        <v>0</v>
      </c>
      <c r="AM3728">
        <v>0</v>
      </c>
      <c r="AN3728">
        <v>0</v>
      </c>
      <c r="AO3728">
        <v>1</v>
      </c>
      <c r="AP3728">
        <v>0</v>
      </c>
      <c r="AQ3728">
        <v>0</v>
      </c>
      <c r="AR3728">
        <v>0</v>
      </c>
      <c r="AS3728">
        <v>0</v>
      </c>
      <c r="AT3728">
        <v>0</v>
      </c>
      <c r="AU3728">
        <f t="shared" si="114"/>
        <v>1</v>
      </c>
      <c r="AV3728">
        <f t="shared" si="115"/>
        <v>0</v>
      </c>
    </row>
    <row r="3729" spans="1:48" x14ac:dyDescent="0.25">
      <c r="A3729" t="s">
        <v>11705</v>
      </c>
      <c r="C3729" t="s">
        <v>11706</v>
      </c>
      <c r="D3729" t="s">
        <v>11707</v>
      </c>
      <c r="E3729" t="s">
        <v>1663</v>
      </c>
      <c r="F3729">
        <v>5</v>
      </c>
      <c r="G3729">
        <v>5.5</v>
      </c>
      <c r="H3729" t="s">
        <v>2017</v>
      </c>
      <c r="I3729" s="21">
        <v>41514</v>
      </c>
      <c r="J3729">
        <v>2013</v>
      </c>
      <c r="K3729" s="21">
        <v>41570</v>
      </c>
      <c r="L3729">
        <v>2013</v>
      </c>
      <c r="M3729" s="21">
        <v>41752</v>
      </c>
      <c r="N3729">
        <v>2014</v>
      </c>
      <c r="Q3729" s="262">
        <v>116363</v>
      </c>
      <c r="S3729" t="s">
        <v>114</v>
      </c>
      <c r="T3729" t="s">
        <v>114</v>
      </c>
      <c r="W3729">
        <v>961</v>
      </c>
      <c r="X3729">
        <v>1</v>
      </c>
      <c r="Y3729">
        <v>0</v>
      </c>
      <c r="Z3729">
        <v>0</v>
      </c>
      <c r="AA3729">
        <v>0</v>
      </c>
      <c r="AB3729">
        <v>0</v>
      </c>
      <c r="AC3729">
        <v>0</v>
      </c>
      <c r="AD3729">
        <v>961</v>
      </c>
      <c r="AE3729">
        <v>0</v>
      </c>
      <c r="AF3729">
        <v>0</v>
      </c>
      <c r="AG3729">
        <v>0</v>
      </c>
      <c r="AH3729">
        <v>0</v>
      </c>
      <c r="AI3729">
        <v>0</v>
      </c>
      <c r="AJ3729">
        <v>0</v>
      </c>
      <c r="AK3729">
        <v>0</v>
      </c>
      <c r="AL3729">
        <v>0</v>
      </c>
      <c r="AM3729">
        <v>0</v>
      </c>
      <c r="AN3729">
        <v>0</v>
      </c>
      <c r="AO3729">
        <v>0</v>
      </c>
      <c r="AP3729">
        <v>1</v>
      </c>
      <c r="AQ3729">
        <v>0</v>
      </c>
      <c r="AR3729">
        <v>0</v>
      </c>
      <c r="AS3729">
        <v>0</v>
      </c>
      <c r="AT3729">
        <v>0</v>
      </c>
      <c r="AU3729">
        <f t="shared" si="114"/>
        <v>1</v>
      </c>
      <c r="AV3729">
        <f t="shared" si="115"/>
        <v>0</v>
      </c>
    </row>
    <row r="3730" spans="1:48" x14ac:dyDescent="0.25">
      <c r="A3730" t="s">
        <v>11708</v>
      </c>
      <c r="C3730" t="s">
        <v>11709</v>
      </c>
      <c r="D3730" t="s">
        <v>11710</v>
      </c>
      <c r="E3730" t="s">
        <v>1663</v>
      </c>
      <c r="F3730">
        <v>5</v>
      </c>
      <c r="G3730">
        <v>5.5</v>
      </c>
      <c r="H3730" t="s">
        <v>2017</v>
      </c>
      <c r="I3730" s="21">
        <v>41514</v>
      </c>
      <c r="J3730">
        <v>2013</v>
      </c>
      <c r="K3730" s="21">
        <v>41570</v>
      </c>
      <c r="L3730">
        <v>2013</v>
      </c>
      <c r="M3730" s="21">
        <v>41752</v>
      </c>
      <c r="N3730">
        <v>2014</v>
      </c>
      <c r="Q3730" s="262">
        <v>116363</v>
      </c>
      <c r="S3730" t="s">
        <v>114</v>
      </c>
      <c r="T3730" t="s">
        <v>114</v>
      </c>
      <c r="W3730">
        <v>961</v>
      </c>
      <c r="X3730">
        <v>1</v>
      </c>
      <c r="Y3730">
        <v>0</v>
      </c>
      <c r="Z3730">
        <v>0</v>
      </c>
      <c r="AA3730">
        <v>0</v>
      </c>
      <c r="AB3730">
        <v>0</v>
      </c>
      <c r="AC3730">
        <v>0</v>
      </c>
      <c r="AD3730">
        <v>961</v>
      </c>
      <c r="AE3730">
        <v>0</v>
      </c>
      <c r="AF3730">
        <v>0</v>
      </c>
      <c r="AG3730">
        <v>0</v>
      </c>
      <c r="AH3730">
        <v>0</v>
      </c>
      <c r="AI3730">
        <v>0</v>
      </c>
      <c r="AJ3730">
        <v>0</v>
      </c>
      <c r="AK3730">
        <v>0</v>
      </c>
      <c r="AL3730">
        <v>0</v>
      </c>
      <c r="AM3730">
        <v>0</v>
      </c>
      <c r="AN3730">
        <v>0</v>
      </c>
      <c r="AO3730">
        <v>0</v>
      </c>
      <c r="AP3730">
        <v>1</v>
      </c>
      <c r="AQ3730">
        <v>0</v>
      </c>
      <c r="AR3730">
        <v>0</v>
      </c>
      <c r="AS3730">
        <v>0</v>
      </c>
      <c r="AT3730">
        <v>0</v>
      </c>
      <c r="AU3730">
        <f t="shared" si="114"/>
        <v>1</v>
      </c>
      <c r="AV3730">
        <f t="shared" si="115"/>
        <v>0</v>
      </c>
    </row>
    <row r="3731" spans="1:48" x14ac:dyDescent="0.25">
      <c r="A3731" t="s">
        <v>11711</v>
      </c>
      <c r="C3731" t="s">
        <v>11709</v>
      </c>
      <c r="D3731" t="s">
        <v>11712</v>
      </c>
      <c r="E3731" t="s">
        <v>1663</v>
      </c>
      <c r="F3731">
        <v>5</v>
      </c>
      <c r="G3731">
        <v>5.5</v>
      </c>
      <c r="H3731" t="s">
        <v>2017</v>
      </c>
      <c r="I3731" s="21">
        <v>41514</v>
      </c>
      <c r="J3731">
        <v>2013</v>
      </c>
      <c r="K3731" s="21">
        <v>41569</v>
      </c>
      <c r="L3731">
        <v>2013</v>
      </c>
      <c r="M3731" s="21">
        <v>41751</v>
      </c>
      <c r="N3731">
        <v>2014</v>
      </c>
      <c r="Q3731" s="262">
        <v>116363</v>
      </c>
      <c r="S3731" t="s">
        <v>114</v>
      </c>
      <c r="T3731" t="s">
        <v>114</v>
      </c>
      <c r="W3731">
        <v>1104</v>
      </c>
      <c r="X3731">
        <v>1</v>
      </c>
      <c r="Y3731">
        <v>0</v>
      </c>
      <c r="Z3731">
        <v>0</v>
      </c>
      <c r="AA3731">
        <v>0</v>
      </c>
      <c r="AB3731">
        <v>0</v>
      </c>
      <c r="AC3731">
        <v>0</v>
      </c>
      <c r="AD3731">
        <v>1104</v>
      </c>
      <c r="AE3731">
        <v>0</v>
      </c>
      <c r="AF3731">
        <v>0</v>
      </c>
      <c r="AG3731">
        <v>0</v>
      </c>
      <c r="AH3731">
        <v>0</v>
      </c>
      <c r="AI3731">
        <v>0</v>
      </c>
      <c r="AJ3731">
        <v>0</v>
      </c>
      <c r="AK3731">
        <v>0</v>
      </c>
      <c r="AL3731">
        <v>0</v>
      </c>
      <c r="AM3731">
        <v>0</v>
      </c>
      <c r="AN3731">
        <v>0</v>
      </c>
      <c r="AO3731">
        <v>0</v>
      </c>
      <c r="AP3731">
        <v>1</v>
      </c>
      <c r="AQ3731">
        <v>0</v>
      </c>
      <c r="AR3731">
        <v>0</v>
      </c>
      <c r="AS3731">
        <v>0</v>
      </c>
      <c r="AT3731">
        <v>0</v>
      </c>
      <c r="AU3731">
        <f t="shared" si="114"/>
        <v>1</v>
      </c>
      <c r="AV3731">
        <f t="shared" si="115"/>
        <v>0</v>
      </c>
    </row>
    <row r="3732" spans="1:48" x14ac:dyDescent="0.25">
      <c r="A3732" t="s">
        <v>17611</v>
      </c>
      <c r="B3732" t="s">
        <v>114</v>
      </c>
      <c r="C3732" t="s">
        <v>17612</v>
      </c>
      <c r="D3732" t="s">
        <v>11552</v>
      </c>
      <c r="E3732" t="s">
        <v>2310</v>
      </c>
      <c r="F3732">
        <v>8</v>
      </c>
      <c r="G3732">
        <v>8.3000000000000007</v>
      </c>
      <c r="H3732" t="s">
        <v>2323</v>
      </c>
      <c r="I3732" s="21">
        <v>41514.356805555559</v>
      </c>
      <c r="J3732">
        <v>2013</v>
      </c>
      <c r="K3732" s="21">
        <v>41537.658831018518</v>
      </c>
      <c r="L3732">
        <v>2013</v>
      </c>
      <c r="M3732" s="21">
        <v>43672.618093483798</v>
      </c>
      <c r="N3732">
        <v>2019</v>
      </c>
      <c r="Q3732" s="262">
        <v>86400</v>
      </c>
      <c r="R3732" s="262">
        <v>78000</v>
      </c>
      <c r="S3732" t="s">
        <v>13253</v>
      </c>
      <c r="T3732">
        <v>752</v>
      </c>
      <c r="W3732">
        <v>1920</v>
      </c>
      <c r="X3732">
        <v>0</v>
      </c>
      <c r="Y3732">
        <v>0</v>
      </c>
      <c r="Z3732">
        <v>0</v>
      </c>
      <c r="AA3732">
        <v>0</v>
      </c>
      <c r="AB3732">
        <v>0</v>
      </c>
      <c r="AC3732">
        <v>1920</v>
      </c>
      <c r="AD3732">
        <v>0</v>
      </c>
      <c r="AE3732">
        <v>0</v>
      </c>
      <c r="AF3732">
        <v>0</v>
      </c>
      <c r="AG3732">
        <v>0</v>
      </c>
      <c r="AH3732">
        <v>0</v>
      </c>
      <c r="AI3732">
        <v>0</v>
      </c>
      <c r="AJ3732">
        <v>0</v>
      </c>
      <c r="AK3732">
        <v>0</v>
      </c>
      <c r="AL3732">
        <v>0</v>
      </c>
      <c r="AM3732">
        <v>0</v>
      </c>
      <c r="AN3732">
        <v>0</v>
      </c>
      <c r="AO3732">
        <v>0</v>
      </c>
      <c r="AP3732">
        <v>0</v>
      </c>
      <c r="AQ3732">
        <v>0</v>
      </c>
      <c r="AR3732">
        <v>0</v>
      </c>
      <c r="AS3732">
        <v>0</v>
      </c>
      <c r="AT3732">
        <v>0</v>
      </c>
      <c r="AU3732">
        <f t="shared" si="114"/>
        <v>0</v>
      </c>
      <c r="AV3732">
        <f t="shared" si="115"/>
        <v>0</v>
      </c>
    </row>
    <row r="3733" spans="1:48" x14ac:dyDescent="0.25">
      <c r="A3733" t="s">
        <v>11713</v>
      </c>
      <c r="C3733" t="s">
        <v>11132</v>
      </c>
      <c r="D3733" t="s">
        <v>11714</v>
      </c>
      <c r="E3733" t="s">
        <v>2310</v>
      </c>
      <c r="F3733">
        <v>9</v>
      </c>
      <c r="G3733">
        <v>9.3000000000000007</v>
      </c>
      <c r="H3733" t="s">
        <v>2323</v>
      </c>
      <c r="I3733" s="21">
        <v>41514.676041666702</v>
      </c>
      <c r="J3733">
        <v>2013</v>
      </c>
      <c r="K3733" s="21">
        <v>41554.392002314802</v>
      </c>
      <c r="L3733">
        <v>2013</v>
      </c>
      <c r="M3733" s="21">
        <v>42229.3335069444</v>
      </c>
      <c r="N3733">
        <v>2015</v>
      </c>
      <c r="Q3733" s="262">
        <v>3000000</v>
      </c>
      <c r="R3733" s="262">
        <v>817000</v>
      </c>
      <c r="S3733" t="s">
        <v>114</v>
      </c>
      <c r="T3733" t="s">
        <v>114</v>
      </c>
      <c r="W3733">
        <v>10204</v>
      </c>
      <c r="X3733">
        <v>1</v>
      </c>
      <c r="Y3733">
        <v>0</v>
      </c>
      <c r="Z3733">
        <v>0</v>
      </c>
      <c r="AA3733">
        <v>0</v>
      </c>
      <c r="AB3733">
        <v>0</v>
      </c>
      <c r="AC3733">
        <v>10204</v>
      </c>
      <c r="AD3733">
        <v>0</v>
      </c>
      <c r="AE3733">
        <v>0</v>
      </c>
      <c r="AF3733">
        <v>0</v>
      </c>
      <c r="AG3733">
        <v>0</v>
      </c>
      <c r="AH3733">
        <v>0</v>
      </c>
      <c r="AI3733">
        <v>0</v>
      </c>
      <c r="AJ3733">
        <v>0</v>
      </c>
      <c r="AK3733">
        <v>0</v>
      </c>
      <c r="AL3733">
        <v>0</v>
      </c>
      <c r="AM3733">
        <v>0</v>
      </c>
      <c r="AN3733">
        <v>0</v>
      </c>
      <c r="AO3733">
        <v>1</v>
      </c>
      <c r="AP3733">
        <v>0</v>
      </c>
      <c r="AQ3733">
        <v>0</v>
      </c>
      <c r="AR3733">
        <v>0</v>
      </c>
      <c r="AS3733">
        <v>0</v>
      </c>
      <c r="AT3733">
        <v>0</v>
      </c>
      <c r="AU3733">
        <f t="shared" si="114"/>
        <v>1</v>
      </c>
      <c r="AV3733">
        <f t="shared" si="115"/>
        <v>0</v>
      </c>
    </row>
    <row r="3734" spans="1:48" x14ac:dyDescent="0.25">
      <c r="A3734" t="s">
        <v>11715</v>
      </c>
      <c r="C3734" t="s">
        <v>11716</v>
      </c>
      <c r="D3734" t="s">
        <v>11717</v>
      </c>
      <c r="E3734" t="s">
        <v>2310</v>
      </c>
      <c r="F3734">
        <v>8</v>
      </c>
      <c r="G3734">
        <v>8.1999999999999993</v>
      </c>
      <c r="H3734" t="s">
        <v>2022</v>
      </c>
      <c r="I3734" s="21">
        <v>41515.682662036997</v>
      </c>
      <c r="J3734">
        <v>2013</v>
      </c>
      <c r="K3734" s="21">
        <v>41570.605694444399</v>
      </c>
      <c r="L3734">
        <v>2013</v>
      </c>
      <c r="P3734" s="21">
        <v>41864.617164351897</v>
      </c>
      <c r="Q3734" s="262">
        <v>65000</v>
      </c>
      <c r="R3734" s="262">
        <v>28000</v>
      </c>
      <c r="S3734" t="s">
        <v>114</v>
      </c>
      <c r="T3734" t="s">
        <v>114</v>
      </c>
      <c r="W3734">
        <v>257</v>
      </c>
      <c r="X3734">
        <v>0</v>
      </c>
      <c r="Y3734">
        <v>0</v>
      </c>
      <c r="Z3734">
        <v>0</v>
      </c>
      <c r="AA3734">
        <v>0</v>
      </c>
      <c r="AB3734">
        <v>0</v>
      </c>
      <c r="AC3734">
        <v>257</v>
      </c>
      <c r="AD3734">
        <v>0</v>
      </c>
      <c r="AE3734">
        <v>0</v>
      </c>
      <c r="AF3734">
        <v>0</v>
      </c>
      <c r="AG3734">
        <v>0</v>
      </c>
      <c r="AH3734">
        <v>0</v>
      </c>
      <c r="AI3734">
        <v>0</v>
      </c>
      <c r="AJ3734">
        <v>0</v>
      </c>
      <c r="AK3734">
        <v>0</v>
      </c>
      <c r="AL3734">
        <v>0</v>
      </c>
      <c r="AM3734">
        <v>0</v>
      </c>
      <c r="AN3734">
        <v>0</v>
      </c>
      <c r="AO3734">
        <v>0</v>
      </c>
      <c r="AP3734">
        <v>0</v>
      </c>
      <c r="AQ3734">
        <v>0</v>
      </c>
      <c r="AR3734">
        <v>0</v>
      </c>
      <c r="AS3734">
        <v>0</v>
      </c>
      <c r="AT3734">
        <v>0</v>
      </c>
      <c r="AU3734">
        <f t="shared" si="114"/>
        <v>0</v>
      </c>
      <c r="AV3734">
        <f t="shared" si="115"/>
        <v>0</v>
      </c>
    </row>
    <row r="3735" spans="1:48" x14ac:dyDescent="0.25">
      <c r="A3735" t="s">
        <v>11718</v>
      </c>
      <c r="C3735" t="s">
        <v>11719</v>
      </c>
      <c r="D3735" t="s">
        <v>11720</v>
      </c>
      <c r="E3735" t="s">
        <v>1663</v>
      </c>
      <c r="F3735">
        <v>1</v>
      </c>
      <c r="G3735">
        <v>1.2</v>
      </c>
      <c r="H3735" t="s">
        <v>2017</v>
      </c>
      <c r="I3735" s="21">
        <v>41522</v>
      </c>
      <c r="J3735">
        <v>2013</v>
      </c>
      <c r="K3735" s="21">
        <v>41579</v>
      </c>
      <c r="L3735">
        <v>2013</v>
      </c>
      <c r="M3735" s="21">
        <v>41750</v>
      </c>
      <c r="N3735">
        <v>2014</v>
      </c>
      <c r="Q3735" s="262">
        <v>200000</v>
      </c>
      <c r="S3735" t="s">
        <v>114</v>
      </c>
      <c r="T3735" t="s">
        <v>114</v>
      </c>
      <c r="W3735">
        <v>20</v>
      </c>
      <c r="X3735">
        <v>1</v>
      </c>
      <c r="Y3735">
        <v>0</v>
      </c>
      <c r="Z3735">
        <v>0</v>
      </c>
      <c r="AA3735">
        <v>0</v>
      </c>
      <c r="AB3735">
        <v>0</v>
      </c>
      <c r="AC3735">
        <v>0</v>
      </c>
      <c r="AD3735">
        <v>0</v>
      </c>
      <c r="AE3735">
        <v>695</v>
      </c>
      <c r="AF3735">
        <v>0</v>
      </c>
      <c r="AG3735">
        <v>0</v>
      </c>
      <c r="AH3735">
        <v>2800</v>
      </c>
      <c r="AI3735">
        <v>0</v>
      </c>
      <c r="AJ3735">
        <v>0</v>
      </c>
      <c r="AK3735">
        <v>-3475</v>
      </c>
      <c r="AL3735">
        <v>0</v>
      </c>
      <c r="AM3735">
        <v>0</v>
      </c>
      <c r="AN3735">
        <v>0</v>
      </c>
      <c r="AO3735">
        <v>0</v>
      </c>
      <c r="AP3735">
        <v>0</v>
      </c>
      <c r="AQ3735">
        <v>1</v>
      </c>
      <c r="AR3735">
        <v>0</v>
      </c>
      <c r="AS3735">
        <v>0</v>
      </c>
      <c r="AT3735">
        <v>0</v>
      </c>
      <c r="AU3735">
        <f t="shared" si="114"/>
        <v>1</v>
      </c>
      <c r="AV3735">
        <f t="shared" si="115"/>
        <v>-675</v>
      </c>
    </row>
    <row r="3736" spans="1:48" x14ac:dyDescent="0.25">
      <c r="A3736" t="s">
        <v>11721</v>
      </c>
      <c r="C3736" t="s">
        <v>11722</v>
      </c>
      <c r="D3736" t="s">
        <v>11723</v>
      </c>
      <c r="E3736" t="s">
        <v>2310</v>
      </c>
      <c r="F3736">
        <v>15</v>
      </c>
      <c r="G3736">
        <v>15.4</v>
      </c>
      <c r="H3736" t="s">
        <v>2323</v>
      </c>
      <c r="I3736" s="21">
        <v>41522.615104166704</v>
      </c>
      <c r="J3736">
        <v>2013</v>
      </c>
      <c r="K3736" s="21">
        <v>41563.455277777801</v>
      </c>
      <c r="L3736">
        <v>2013</v>
      </c>
      <c r="M3736" s="21">
        <v>42243.647048611099</v>
      </c>
      <c r="N3736">
        <v>2015</v>
      </c>
      <c r="Q3736" s="262">
        <v>450000</v>
      </c>
      <c r="R3736" s="262">
        <v>288000</v>
      </c>
      <c r="S3736" t="s">
        <v>114</v>
      </c>
      <c r="T3736" t="s">
        <v>114</v>
      </c>
      <c r="W3736">
        <v>2799</v>
      </c>
      <c r="X3736">
        <v>1</v>
      </c>
      <c r="Y3736">
        <v>0</v>
      </c>
      <c r="Z3736">
        <v>0</v>
      </c>
      <c r="AA3736">
        <v>0</v>
      </c>
      <c r="AB3736">
        <v>0</v>
      </c>
      <c r="AC3736">
        <v>2799</v>
      </c>
      <c r="AD3736">
        <v>0</v>
      </c>
      <c r="AE3736">
        <v>0</v>
      </c>
      <c r="AF3736">
        <v>0</v>
      </c>
      <c r="AG3736">
        <v>0</v>
      </c>
      <c r="AH3736">
        <v>0</v>
      </c>
      <c r="AI3736">
        <v>0</v>
      </c>
      <c r="AJ3736">
        <v>0</v>
      </c>
      <c r="AK3736">
        <v>0</v>
      </c>
      <c r="AL3736">
        <v>0</v>
      </c>
      <c r="AM3736">
        <v>0</v>
      </c>
      <c r="AN3736">
        <v>0</v>
      </c>
      <c r="AO3736">
        <v>1</v>
      </c>
      <c r="AP3736">
        <v>0</v>
      </c>
      <c r="AQ3736">
        <v>0</v>
      </c>
      <c r="AR3736">
        <v>0</v>
      </c>
      <c r="AS3736">
        <v>0</v>
      </c>
      <c r="AT3736">
        <v>0</v>
      </c>
      <c r="AU3736">
        <f t="shared" si="114"/>
        <v>1</v>
      </c>
      <c r="AV3736">
        <f t="shared" si="115"/>
        <v>0</v>
      </c>
    </row>
    <row r="3737" spans="1:48" x14ac:dyDescent="0.25">
      <c r="A3737" t="s">
        <v>11724</v>
      </c>
      <c r="C3737" t="s">
        <v>11725</v>
      </c>
      <c r="D3737" t="s">
        <v>11726</v>
      </c>
      <c r="E3737" t="s">
        <v>1663</v>
      </c>
      <c r="F3737">
        <v>5</v>
      </c>
      <c r="G3737">
        <v>5.2</v>
      </c>
      <c r="H3737" t="s">
        <v>2327</v>
      </c>
      <c r="I3737" s="21">
        <v>41523</v>
      </c>
      <c r="J3737">
        <v>2013</v>
      </c>
      <c r="K3737" s="21">
        <v>41565</v>
      </c>
      <c r="L3737">
        <v>2013</v>
      </c>
      <c r="M3737" s="21">
        <v>41576</v>
      </c>
      <c r="N3737">
        <v>2013</v>
      </c>
      <c r="Q3737" s="262">
        <v>15000</v>
      </c>
      <c r="S3737" t="s">
        <v>114</v>
      </c>
      <c r="T3737" t="s">
        <v>114</v>
      </c>
      <c r="W3737">
        <v>0</v>
      </c>
      <c r="X3737">
        <v>0</v>
      </c>
      <c r="Y3737">
        <v>0</v>
      </c>
      <c r="Z3737">
        <v>0</v>
      </c>
      <c r="AA3737">
        <v>0</v>
      </c>
      <c r="AB3737">
        <v>0</v>
      </c>
      <c r="AC3737">
        <v>0</v>
      </c>
      <c r="AD3737">
        <v>0</v>
      </c>
      <c r="AE3737">
        <v>0</v>
      </c>
      <c r="AF3737">
        <v>0</v>
      </c>
      <c r="AG3737">
        <v>0</v>
      </c>
      <c r="AH3737">
        <v>0</v>
      </c>
      <c r="AI3737">
        <v>0</v>
      </c>
      <c r="AJ3737">
        <v>0</v>
      </c>
      <c r="AK3737">
        <v>0</v>
      </c>
      <c r="AL3737">
        <v>-1932</v>
      </c>
      <c r="AM3737">
        <v>1932</v>
      </c>
      <c r="AN3737">
        <v>0</v>
      </c>
      <c r="AO3737">
        <v>0</v>
      </c>
      <c r="AP3737">
        <v>0</v>
      </c>
      <c r="AQ3737">
        <v>0</v>
      </c>
      <c r="AR3737">
        <v>0</v>
      </c>
      <c r="AS3737">
        <v>0</v>
      </c>
      <c r="AT3737">
        <v>0</v>
      </c>
      <c r="AU3737">
        <f t="shared" ref="AU3737:AU3800" si="116">SUM(AN3737:AQ3737,AS3737)</f>
        <v>0</v>
      </c>
      <c r="AV3737">
        <f t="shared" ref="AV3737:AV3800" si="117">SUM(Y3737:AB3737,AH3737:AM3737)</f>
        <v>0</v>
      </c>
    </row>
    <row r="3738" spans="1:48" x14ac:dyDescent="0.25">
      <c r="A3738" t="s">
        <v>11727</v>
      </c>
      <c r="C3738" t="s">
        <v>11240</v>
      </c>
      <c r="D3738" t="s">
        <v>11728</v>
      </c>
      <c r="E3738" t="s">
        <v>1663</v>
      </c>
      <c r="F3738">
        <v>3</v>
      </c>
      <c r="G3738">
        <v>3.1</v>
      </c>
      <c r="H3738" t="s">
        <v>2017</v>
      </c>
      <c r="I3738" s="21">
        <v>41528</v>
      </c>
      <c r="J3738">
        <v>2013</v>
      </c>
      <c r="K3738" s="21">
        <v>41540</v>
      </c>
      <c r="L3738">
        <v>2013</v>
      </c>
      <c r="M3738" s="21">
        <v>41721</v>
      </c>
      <c r="N3738">
        <v>2014</v>
      </c>
      <c r="Q3738" s="262">
        <v>420000</v>
      </c>
      <c r="S3738" t="s">
        <v>114</v>
      </c>
      <c r="T3738" t="s">
        <v>114</v>
      </c>
      <c r="W3738">
        <v>2355</v>
      </c>
      <c r="X3738">
        <v>0</v>
      </c>
      <c r="Y3738">
        <v>0</v>
      </c>
      <c r="Z3738">
        <v>0</v>
      </c>
      <c r="AA3738">
        <v>0</v>
      </c>
      <c r="AB3738">
        <v>0</v>
      </c>
      <c r="AC3738">
        <v>2355</v>
      </c>
      <c r="AD3738">
        <v>0</v>
      </c>
      <c r="AE3738">
        <v>0</v>
      </c>
      <c r="AF3738">
        <v>0</v>
      </c>
      <c r="AG3738">
        <v>0</v>
      </c>
      <c r="AH3738">
        <v>0</v>
      </c>
      <c r="AI3738">
        <v>0</v>
      </c>
      <c r="AJ3738">
        <v>0</v>
      </c>
      <c r="AK3738">
        <v>0</v>
      </c>
      <c r="AL3738">
        <v>0</v>
      </c>
      <c r="AM3738">
        <v>0</v>
      </c>
      <c r="AN3738">
        <v>0</v>
      </c>
      <c r="AO3738">
        <v>0</v>
      </c>
      <c r="AP3738">
        <v>0</v>
      </c>
      <c r="AQ3738">
        <v>0</v>
      </c>
      <c r="AR3738">
        <v>0</v>
      </c>
      <c r="AS3738">
        <v>0</v>
      </c>
      <c r="AT3738">
        <v>0</v>
      </c>
      <c r="AU3738">
        <f t="shared" si="116"/>
        <v>0</v>
      </c>
      <c r="AV3738">
        <f t="shared" si="117"/>
        <v>0</v>
      </c>
    </row>
    <row r="3739" spans="1:48" x14ac:dyDescent="0.25">
      <c r="A3739" t="s">
        <v>11729</v>
      </c>
      <c r="C3739" t="s">
        <v>11111</v>
      </c>
      <c r="D3739" t="s">
        <v>11730</v>
      </c>
      <c r="E3739" t="s">
        <v>2310</v>
      </c>
      <c r="F3739">
        <v>10</v>
      </c>
      <c r="G3739">
        <v>10.1</v>
      </c>
      <c r="H3739" t="s">
        <v>2323</v>
      </c>
      <c r="I3739" s="21">
        <v>41529.336273148103</v>
      </c>
      <c r="J3739">
        <v>2013</v>
      </c>
      <c r="K3739" s="21">
        <v>41583.623796296299</v>
      </c>
      <c r="L3739">
        <v>2013</v>
      </c>
      <c r="M3739" s="21">
        <v>42046.643877314797</v>
      </c>
      <c r="N3739">
        <v>2015</v>
      </c>
      <c r="Q3739" s="262">
        <v>350000</v>
      </c>
      <c r="R3739" s="262">
        <v>257000</v>
      </c>
      <c r="S3739" t="s">
        <v>114</v>
      </c>
      <c r="T3739" t="s">
        <v>114</v>
      </c>
      <c r="W3739">
        <v>2663</v>
      </c>
      <c r="X3739">
        <v>1</v>
      </c>
      <c r="Y3739">
        <v>0</v>
      </c>
      <c r="Z3739">
        <v>0</v>
      </c>
      <c r="AA3739">
        <v>0</v>
      </c>
      <c r="AB3739">
        <v>0</v>
      </c>
      <c r="AC3739">
        <v>2663</v>
      </c>
      <c r="AD3739">
        <v>0</v>
      </c>
      <c r="AE3739">
        <v>0</v>
      </c>
      <c r="AF3739">
        <v>0</v>
      </c>
      <c r="AG3739">
        <v>0</v>
      </c>
      <c r="AH3739">
        <v>0</v>
      </c>
      <c r="AI3739">
        <v>0</v>
      </c>
      <c r="AJ3739">
        <v>0</v>
      </c>
      <c r="AK3739">
        <v>0</v>
      </c>
      <c r="AL3739">
        <v>0</v>
      </c>
      <c r="AM3739">
        <v>0</v>
      </c>
      <c r="AN3739">
        <v>0</v>
      </c>
      <c r="AO3739">
        <v>1</v>
      </c>
      <c r="AP3739">
        <v>0</v>
      </c>
      <c r="AQ3739">
        <v>0</v>
      </c>
      <c r="AR3739">
        <v>0</v>
      </c>
      <c r="AS3739">
        <v>0</v>
      </c>
      <c r="AT3739">
        <v>0</v>
      </c>
      <c r="AU3739">
        <f t="shared" si="116"/>
        <v>1</v>
      </c>
      <c r="AV3739">
        <f t="shared" si="117"/>
        <v>0</v>
      </c>
    </row>
    <row r="3740" spans="1:48" x14ac:dyDescent="0.25">
      <c r="A3740" t="s">
        <v>11731</v>
      </c>
      <c r="C3740" t="s">
        <v>11240</v>
      </c>
      <c r="D3740" t="s">
        <v>11732</v>
      </c>
      <c r="E3740" t="s">
        <v>1663</v>
      </c>
      <c r="F3740">
        <v>3</v>
      </c>
      <c r="G3740">
        <v>3.1</v>
      </c>
      <c r="H3740" t="s">
        <v>2017</v>
      </c>
      <c r="I3740" s="21">
        <v>41530</v>
      </c>
      <c r="J3740">
        <v>2013</v>
      </c>
      <c r="K3740" s="21">
        <v>41561</v>
      </c>
      <c r="L3740">
        <v>2013</v>
      </c>
      <c r="M3740" s="21">
        <v>41743</v>
      </c>
      <c r="N3740">
        <v>2014</v>
      </c>
      <c r="Q3740" s="262">
        <v>700000</v>
      </c>
      <c r="S3740" t="s">
        <v>114</v>
      </c>
      <c r="T3740" t="s">
        <v>114</v>
      </c>
      <c r="W3740">
        <v>3968</v>
      </c>
      <c r="X3740">
        <v>0</v>
      </c>
      <c r="Y3740">
        <v>0</v>
      </c>
      <c r="Z3740">
        <v>0</v>
      </c>
      <c r="AA3740">
        <v>0</v>
      </c>
      <c r="AB3740">
        <v>0</v>
      </c>
      <c r="AC3740">
        <v>3968</v>
      </c>
      <c r="AD3740">
        <v>0</v>
      </c>
      <c r="AE3740">
        <v>0</v>
      </c>
      <c r="AF3740">
        <v>0</v>
      </c>
      <c r="AG3740">
        <v>0</v>
      </c>
      <c r="AH3740">
        <v>0</v>
      </c>
      <c r="AI3740">
        <v>0</v>
      </c>
      <c r="AJ3740">
        <v>0</v>
      </c>
      <c r="AK3740">
        <v>0</v>
      </c>
      <c r="AL3740">
        <v>0</v>
      </c>
      <c r="AM3740">
        <v>0</v>
      </c>
      <c r="AN3740">
        <v>0</v>
      </c>
      <c r="AO3740">
        <v>0</v>
      </c>
      <c r="AP3740">
        <v>0</v>
      </c>
      <c r="AQ3740">
        <v>0</v>
      </c>
      <c r="AR3740">
        <v>0</v>
      </c>
      <c r="AS3740">
        <v>0</v>
      </c>
      <c r="AT3740">
        <v>0</v>
      </c>
      <c r="AU3740">
        <f t="shared" si="116"/>
        <v>0</v>
      </c>
      <c r="AV3740">
        <f t="shared" si="117"/>
        <v>0</v>
      </c>
    </row>
    <row r="3741" spans="1:48" x14ac:dyDescent="0.25">
      <c r="A3741" t="s">
        <v>11733</v>
      </c>
      <c r="C3741" t="s">
        <v>11734</v>
      </c>
      <c r="D3741" t="s">
        <v>9805</v>
      </c>
      <c r="E3741" t="s">
        <v>2310</v>
      </c>
      <c r="F3741">
        <v>9</v>
      </c>
      <c r="G3741">
        <v>9.1999999999999993</v>
      </c>
      <c r="H3741" t="s">
        <v>2022</v>
      </c>
      <c r="I3741" s="21">
        <v>41530.512372685203</v>
      </c>
      <c r="J3741">
        <v>2013</v>
      </c>
      <c r="K3741" s="21">
        <v>41740.4680324074</v>
      </c>
      <c r="L3741">
        <v>2014</v>
      </c>
      <c r="M3741" s="21">
        <v>42125.425196759301</v>
      </c>
      <c r="N3741">
        <v>2015</v>
      </c>
      <c r="Q3741" s="262">
        <v>350000</v>
      </c>
      <c r="R3741" s="262">
        <v>178000</v>
      </c>
      <c r="S3741" t="s">
        <v>114</v>
      </c>
      <c r="T3741" t="s">
        <v>114</v>
      </c>
      <c r="W3741">
        <v>1625</v>
      </c>
      <c r="X3741">
        <v>0</v>
      </c>
      <c r="Y3741">
        <v>0</v>
      </c>
      <c r="Z3741">
        <v>0</v>
      </c>
      <c r="AA3741">
        <v>0</v>
      </c>
      <c r="AB3741">
        <v>0</v>
      </c>
      <c r="AC3741">
        <v>1625</v>
      </c>
      <c r="AD3741">
        <v>0</v>
      </c>
      <c r="AE3741">
        <v>0</v>
      </c>
      <c r="AF3741">
        <v>0</v>
      </c>
      <c r="AG3741">
        <v>0</v>
      </c>
      <c r="AH3741">
        <v>0</v>
      </c>
      <c r="AI3741">
        <v>0</v>
      </c>
      <c r="AJ3741">
        <v>0</v>
      </c>
      <c r="AK3741">
        <v>0</v>
      </c>
      <c r="AL3741">
        <v>0</v>
      </c>
      <c r="AM3741">
        <v>0</v>
      </c>
      <c r="AN3741">
        <v>0</v>
      </c>
      <c r="AO3741">
        <v>0</v>
      </c>
      <c r="AP3741">
        <v>0</v>
      </c>
      <c r="AQ3741">
        <v>0</v>
      </c>
      <c r="AR3741">
        <v>0</v>
      </c>
      <c r="AS3741">
        <v>0</v>
      </c>
      <c r="AT3741">
        <v>0</v>
      </c>
      <c r="AU3741">
        <f t="shared" si="116"/>
        <v>0</v>
      </c>
      <c r="AV3741">
        <f t="shared" si="117"/>
        <v>0</v>
      </c>
    </row>
    <row r="3742" spans="1:48" x14ac:dyDescent="0.25">
      <c r="A3742" t="s">
        <v>11735</v>
      </c>
      <c r="C3742" t="s">
        <v>11736</v>
      </c>
      <c r="D3742" t="s">
        <v>11737</v>
      </c>
      <c r="E3742" t="s">
        <v>2310</v>
      </c>
      <c r="F3742">
        <v>13</v>
      </c>
      <c r="G3742">
        <v>13.2</v>
      </c>
      <c r="H3742" t="s">
        <v>2327</v>
      </c>
      <c r="I3742" s="21">
        <v>41530.617268518501</v>
      </c>
      <c r="J3742">
        <v>2013</v>
      </c>
      <c r="K3742" s="21">
        <v>41585.662199074097</v>
      </c>
      <c r="L3742">
        <v>2013</v>
      </c>
      <c r="M3742" s="21">
        <v>42572.348287036999</v>
      </c>
      <c r="N3742">
        <v>2016</v>
      </c>
      <c r="Q3742" s="262">
        <v>1700000</v>
      </c>
      <c r="R3742" s="262">
        <v>943000</v>
      </c>
      <c r="S3742" t="s">
        <v>114</v>
      </c>
      <c r="T3742" t="s">
        <v>114</v>
      </c>
      <c r="W3742">
        <v>9100</v>
      </c>
      <c r="X3742">
        <v>1</v>
      </c>
      <c r="Y3742">
        <v>0</v>
      </c>
      <c r="Z3742">
        <v>0</v>
      </c>
      <c r="AA3742">
        <v>0</v>
      </c>
      <c r="AB3742">
        <v>0</v>
      </c>
      <c r="AC3742">
        <v>9100</v>
      </c>
      <c r="AD3742">
        <v>0</v>
      </c>
      <c r="AE3742">
        <v>0</v>
      </c>
      <c r="AF3742">
        <v>0</v>
      </c>
      <c r="AG3742">
        <v>0</v>
      </c>
      <c r="AH3742">
        <v>0</v>
      </c>
      <c r="AI3742">
        <v>0</v>
      </c>
      <c r="AJ3742">
        <v>0</v>
      </c>
      <c r="AK3742">
        <v>0</v>
      </c>
      <c r="AL3742">
        <v>0</v>
      </c>
      <c r="AM3742">
        <v>0</v>
      </c>
      <c r="AN3742">
        <v>0</v>
      </c>
      <c r="AO3742">
        <v>1</v>
      </c>
      <c r="AP3742">
        <v>0</v>
      </c>
      <c r="AQ3742">
        <v>0</v>
      </c>
      <c r="AR3742">
        <v>0</v>
      </c>
      <c r="AS3742">
        <v>0</v>
      </c>
      <c r="AT3742">
        <v>0</v>
      </c>
      <c r="AU3742">
        <f t="shared" si="116"/>
        <v>1</v>
      </c>
      <c r="AV3742">
        <f t="shared" si="117"/>
        <v>0</v>
      </c>
    </row>
    <row r="3743" spans="1:48" x14ac:dyDescent="0.25">
      <c r="A3743" t="s">
        <v>11738</v>
      </c>
      <c r="C3743" t="s">
        <v>10435</v>
      </c>
      <c r="D3743" t="s">
        <v>9678</v>
      </c>
      <c r="E3743" t="s">
        <v>2310</v>
      </c>
      <c r="F3743">
        <v>9</v>
      </c>
      <c r="G3743">
        <v>9.1999999999999993</v>
      </c>
      <c r="H3743" t="s">
        <v>2022</v>
      </c>
      <c r="I3743" s="21">
        <v>41530.6703009259</v>
      </c>
      <c r="J3743">
        <v>2013</v>
      </c>
      <c r="K3743" s="21">
        <v>41571.3522800926</v>
      </c>
      <c r="L3743">
        <v>2013</v>
      </c>
      <c r="M3743" s="21">
        <v>41920.596087963</v>
      </c>
      <c r="N3743">
        <v>2014</v>
      </c>
      <c r="Q3743" s="262">
        <v>100000</v>
      </c>
      <c r="R3743" s="262">
        <v>99000</v>
      </c>
      <c r="S3743" t="s">
        <v>114</v>
      </c>
      <c r="T3743" t="s">
        <v>114</v>
      </c>
      <c r="W3743">
        <v>2400</v>
      </c>
      <c r="X3743">
        <v>1</v>
      </c>
      <c r="Y3743">
        <v>2400</v>
      </c>
      <c r="Z3743">
        <v>0</v>
      </c>
      <c r="AA3743">
        <v>0</v>
      </c>
      <c r="AB3743">
        <v>0</v>
      </c>
      <c r="AC3743">
        <v>0</v>
      </c>
      <c r="AD3743">
        <v>0</v>
      </c>
      <c r="AE3743">
        <v>0</v>
      </c>
      <c r="AF3743">
        <v>0</v>
      </c>
      <c r="AG3743">
        <v>0</v>
      </c>
      <c r="AH3743">
        <v>0</v>
      </c>
      <c r="AI3743">
        <v>0</v>
      </c>
      <c r="AJ3743">
        <v>0</v>
      </c>
      <c r="AK3743">
        <v>0</v>
      </c>
      <c r="AL3743">
        <v>0</v>
      </c>
      <c r="AM3743">
        <v>0</v>
      </c>
      <c r="AN3743">
        <v>1</v>
      </c>
      <c r="AO3743">
        <v>0</v>
      </c>
      <c r="AP3743">
        <v>0</v>
      </c>
      <c r="AQ3743">
        <v>0</v>
      </c>
      <c r="AR3743">
        <v>0</v>
      </c>
      <c r="AS3743">
        <v>0</v>
      </c>
      <c r="AT3743">
        <v>0</v>
      </c>
      <c r="AU3743">
        <f t="shared" si="116"/>
        <v>1</v>
      </c>
      <c r="AV3743">
        <f t="shared" si="117"/>
        <v>2400</v>
      </c>
    </row>
    <row r="3744" spans="1:48" x14ac:dyDescent="0.25">
      <c r="A3744" t="s">
        <v>11739</v>
      </c>
      <c r="C3744" t="s">
        <v>11740</v>
      </c>
      <c r="D3744" t="s">
        <v>11741</v>
      </c>
      <c r="E3744" t="s">
        <v>2310</v>
      </c>
      <c r="F3744">
        <v>14</v>
      </c>
      <c r="G3744">
        <v>14.1</v>
      </c>
      <c r="H3744" t="s">
        <v>2022</v>
      </c>
      <c r="I3744" s="21">
        <v>41535.400231481501</v>
      </c>
      <c r="J3744">
        <v>2013</v>
      </c>
      <c r="K3744" s="21">
        <v>41563.347500000003</v>
      </c>
      <c r="L3744">
        <v>2013</v>
      </c>
      <c r="M3744" s="21">
        <v>41983.469745370399</v>
      </c>
      <c r="N3744">
        <v>2014</v>
      </c>
      <c r="Q3744" s="262">
        <v>800000</v>
      </c>
      <c r="R3744" s="262">
        <v>416000</v>
      </c>
      <c r="S3744" t="s">
        <v>114</v>
      </c>
      <c r="T3744" t="s">
        <v>114</v>
      </c>
      <c r="W3744">
        <v>4315</v>
      </c>
      <c r="X3744">
        <v>1</v>
      </c>
      <c r="Y3744">
        <v>0</v>
      </c>
      <c r="Z3744">
        <v>0</v>
      </c>
      <c r="AA3744">
        <v>0</v>
      </c>
      <c r="AB3744">
        <v>0</v>
      </c>
      <c r="AC3744">
        <v>4315</v>
      </c>
      <c r="AD3744">
        <v>0</v>
      </c>
      <c r="AE3744">
        <v>0</v>
      </c>
      <c r="AF3744">
        <v>0</v>
      </c>
      <c r="AG3744">
        <v>0</v>
      </c>
      <c r="AH3744">
        <v>0</v>
      </c>
      <c r="AI3744">
        <v>0</v>
      </c>
      <c r="AJ3744">
        <v>0</v>
      </c>
      <c r="AK3744">
        <v>0</v>
      </c>
      <c r="AL3744">
        <v>0</v>
      </c>
      <c r="AM3744">
        <v>0</v>
      </c>
      <c r="AN3744">
        <v>0</v>
      </c>
      <c r="AO3744">
        <v>1</v>
      </c>
      <c r="AP3744">
        <v>0</v>
      </c>
      <c r="AQ3744">
        <v>0</v>
      </c>
      <c r="AR3744">
        <v>0</v>
      </c>
      <c r="AS3744">
        <v>0</v>
      </c>
      <c r="AT3744">
        <v>0</v>
      </c>
      <c r="AU3744">
        <f t="shared" si="116"/>
        <v>1</v>
      </c>
      <c r="AV3744">
        <f t="shared" si="117"/>
        <v>0</v>
      </c>
    </row>
    <row r="3745" spans="1:48" x14ac:dyDescent="0.25">
      <c r="A3745" t="s">
        <v>11742</v>
      </c>
      <c r="C3745" t="s">
        <v>11743</v>
      </c>
      <c r="D3745" t="s">
        <v>11744</v>
      </c>
      <c r="E3745" t="s">
        <v>2310</v>
      </c>
      <c r="F3745">
        <v>8</v>
      </c>
      <c r="G3745">
        <v>8.3000000000000007</v>
      </c>
      <c r="H3745" t="s">
        <v>2323</v>
      </c>
      <c r="I3745" s="21">
        <v>41537.607743055603</v>
      </c>
      <c r="J3745">
        <v>2013</v>
      </c>
      <c r="K3745" s="21">
        <v>41582.478402777801</v>
      </c>
      <c r="L3745">
        <v>2013</v>
      </c>
      <c r="M3745" s="21">
        <v>41866.429259259297</v>
      </c>
      <c r="N3745">
        <v>2014</v>
      </c>
      <c r="Q3745" s="262">
        <v>25000</v>
      </c>
      <c r="R3745" s="262">
        <v>33000</v>
      </c>
      <c r="S3745" t="s">
        <v>114</v>
      </c>
      <c r="T3745" t="s">
        <v>114</v>
      </c>
      <c r="W3745">
        <v>384</v>
      </c>
      <c r="X3745">
        <v>0</v>
      </c>
      <c r="Y3745">
        <v>0</v>
      </c>
      <c r="Z3745">
        <v>0</v>
      </c>
      <c r="AA3745">
        <v>384</v>
      </c>
      <c r="AB3745">
        <v>0</v>
      </c>
      <c r="AC3745">
        <v>0</v>
      </c>
      <c r="AD3745">
        <v>0</v>
      </c>
      <c r="AE3745">
        <v>0</v>
      </c>
      <c r="AF3745">
        <v>0</v>
      </c>
      <c r="AG3745">
        <v>0</v>
      </c>
      <c r="AH3745">
        <v>0</v>
      </c>
      <c r="AI3745">
        <v>0</v>
      </c>
      <c r="AJ3745">
        <v>0</v>
      </c>
      <c r="AK3745">
        <v>0</v>
      </c>
      <c r="AL3745">
        <v>0</v>
      </c>
      <c r="AM3745">
        <v>0</v>
      </c>
      <c r="AN3745">
        <v>0</v>
      </c>
      <c r="AO3745">
        <v>0</v>
      </c>
      <c r="AP3745">
        <v>0</v>
      </c>
      <c r="AQ3745">
        <v>0</v>
      </c>
      <c r="AR3745">
        <v>0</v>
      </c>
      <c r="AS3745">
        <v>0</v>
      </c>
      <c r="AT3745">
        <v>0</v>
      </c>
      <c r="AU3745">
        <f t="shared" si="116"/>
        <v>0</v>
      </c>
      <c r="AV3745">
        <f t="shared" si="117"/>
        <v>384</v>
      </c>
    </row>
    <row r="3746" spans="1:48" x14ac:dyDescent="0.25">
      <c r="A3746" t="s">
        <v>11745</v>
      </c>
      <c r="C3746" t="s">
        <v>10265</v>
      </c>
      <c r="D3746" t="s">
        <v>11225</v>
      </c>
      <c r="E3746" t="s">
        <v>2310</v>
      </c>
      <c r="F3746">
        <v>15</v>
      </c>
      <c r="G3746">
        <v>15.1</v>
      </c>
      <c r="H3746" t="s">
        <v>2022</v>
      </c>
      <c r="I3746" s="21">
        <v>41537.659351851798</v>
      </c>
      <c r="J3746">
        <v>2013</v>
      </c>
      <c r="K3746" s="21">
        <v>41563.6167824074</v>
      </c>
      <c r="L3746">
        <v>2013</v>
      </c>
      <c r="M3746" s="21">
        <v>41892.648819444403</v>
      </c>
      <c r="N3746">
        <v>2014</v>
      </c>
      <c r="Q3746" s="262">
        <v>300000</v>
      </c>
      <c r="R3746" s="262">
        <v>137000</v>
      </c>
      <c r="S3746" t="s">
        <v>114</v>
      </c>
      <c r="T3746" t="s">
        <v>114</v>
      </c>
      <c r="W3746">
        <v>3360</v>
      </c>
      <c r="X3746">
        <v>0</v>
      </c>
      <c r="Y3746">
        <v>0</v>
      </c>
      <c r="Z3746">
        <v>0</v>
      </c>
      <c r="AA3746">
        <v>0</v>
      </c>
      <c r="AB3746">
        <v>0</v>
      </c>
      <c r="AC3746">
        <v>3360</v>
      </c>
      <c r="AD3746">
        <v>0</v>
      </c>
      <c r="AE3746">
        <v>0</v>
      </c>
      <c r="AF3746">
        <v>0</v>
      </c>
      <c r="AG3746">
        <v>0</v>
      </c>
      <c r="AH3746">
        <v>0</v>
      </c>
      <c r="AI3746">
        <v>0</v>
      </c>
      <c r="AJ3746">
        <v>0</v>
      </c>
      <c r="AK3746">
        <v>0</v>
      </c>
      <c r="AL3746">
        <v>0</v>
      </c>
      <c r="AM3746">
        <v>0</v>
      </c>
      <c r="AN3746">
        <v>0</v>
      </c>
      <c r="AO3746">
        <v>0</v>
      </c>
      <c r="AP3746">
        <v>0</v>
      </c>
      <c r="AQ3746">
        <v>0</v>
      </c>
      <c r="AR3746">
        <v>0</v>
      </c>
      <c r="AS3746">
        <v>0</v>
      </c>
      <c r="AT3746">
        <v>0</v>
      </c>
      <c r="AU3746">
        <f t="shared" si="116"/>
        <v>0</v>
      </c>
      <c r="AV3746">
        <f t="shared" si="117"/>
        <v>0</v>
      </c>
    </row>
    <row r="3747" spans="1:48" x14ac:dyDescent="0.25">
      <c r="A3747" t="s">
        <v>11746</v>
      </c>
      <c r="C3747" t="s">
        <v>11747</v>
      </c>
      <c r="D3747" t="s">
        <v>11748</v>
      </c>
      <c r="E3747" t="s">
        <v>1663</v>
      </c>
      <c r="F3747">
        <v>3</v>
      </c>
      <c r="G3747">
        <v>3.1</v>
      </c>
      <c r="H3747" t="s">
        <v>2017</v>
      </c>
      <c r="I3747" s="21">
        <v>41541</v>
      </c>
      <c r="J3747">
        <v>2013</v>
      </c>
      <c r="K3747" s="21">
        <v>41563</v>
      </c>
      <c r="L3747">
        <v>2013</v>
      </c>
      <c r="M3747" s="21">
        <v>41745</v>
      </c>
      <c r="N3747">
        <v>2014</v>
      </c>
      <c r="Q3747" s="262">
        <v>60000</v>
      </c>
      <c r="S3747" t="s">
        <v>114</v>
      </c>
      <c r="T3747" t="s">
        <v>114</v>
      </c>
      <c r="W3747">
        <v>1532</v>
      </c>
      <c r="X3747">
        <v>0</v>
      </c>
      <c r="Y3747">
        <v>0</v>
      </c>
      <c r="Z3747">
        <v>0</v>
      </c>
      <c r="AA3747">
        <v>0</v>
      </c>
      <c r="AB3747">
        <v>0</v>
      </c>
      <c r="AC3747">
        <v>1532</v>
      </c>
      <c r="AD3747">
        <v>0</v>
      </c>
      <c r="AE3747">
        <v>0</v>
      </c>
      <c r="AF3747">
        <v>0</v>
      </c>
      <c r="AG3747">
        <v>0</v>
      </c>
      <c r="AH3747">
        <v>0</v>
      </c>
      <c r="AI3747">
        <v>0</v>
      </c>
      <c r="AJ3747">
        <v>0</v>
      </c>
      <c r="AK3747">
        <v>0</v>
      </c>
      <c r="AL3747">
        <v>0</v>
      </c>
      <c r="AM3747">
        <v>0</v>
      </c>
      <c r="AN3747">
        <v>0</v>
      </c>
      <c r="AO3747">
        <v>0</v>
      </c>
      <c r="AP3747">
        <v>0</v>
      </c>
      <c r="AQ3747">
        <v>0</v>
      </c>
      <c r="AR3747">
        <v>0</v>
      </c>
      <c r="AS3747">
        <v>0</v>
      </c>
      <c r="AT3747">
        <v>0</v>
      </c>
      <c r="AU3747">
        <f t="shared" si="116"/>
        <v>0</v>
      </c>
      <c r="AV3747">
        <f t="shared" si="117"/>
        <v>0</v>
      </c>
    </row>
    <row r="3748" spans="1:48" x14ac:dyDescent="0.25">
      <c r="A3748" t="s">
        <v>11749</v>
      </c>
      <c r="C3748" t="s">
        <v>11750</v>
      </c>
      <c r="D3748" t="s">
        <v>10510</v>
      </c>
      <c r="E3748" t="s">
        <v>2310</v>
      </c>
      <c r="F3748">
        <v>9</v>
      </c>
      <c r="G3748">
        <v>9.1999999999999993</v>
      </c>
      <c r="H3748" t="s">
        <v>2022</v>
      </c>
      <c r="I3748" s="21">
        <v>41541.579050925902</v>
      </c>
      <c r="J3748">
        <v>2013</v>
      </c>
      <c r="K3748" s="21">
        <v>41743.5157175926</v>
      </c>
      <c r="L3748">
        <v>2014</v>
      </c>
      <c r="M3748" s="21">
        <v>42082.380717592598</v>
      </c>
      <c r="N3748">
        <v>2015</v>
      </c>
      <c r="Q3748" s="262">
        <v>50000</v>
      </c>
      <c r="R3748" s="262">
        <v>75000</v>
      </c>
      <c r="S3748" t="s">
        <v>114</v>
      </c>
      <c r="T3748" t="s">
        <v>114</v>
      </c>
      <c r="V3748">
        <v>812</v>
      </c>
      <c r="W3748">
        <v>0</v>
      </c>
      <c r="X3748">
        <v>1</v>
      </c>
      <c r="Y3748">
        <v>0</v>
      </c>
      <c r="Z3748">
        <v>0</v>
      </c>
      <c r="AA3748">
        <v>0</v>
      </c>
      <c r="AB3748">
        <v>0</v>
      </c>
      <c r="AC3748">
        <v>0</v>
      </c>
      <c r="AD3748">
        <v>0</v>
      </c>
      <c r="AE3748">
        <v>0</v>
      </c>
      <c r="AF3748">
        <v>0</v>
      </c>
      <c r="AG3748">
        <v>0</v>
      </c>
      <c r="AH3748">
        <v>0</v>
      </c>
      <c r="AI3748">
        <v>0</v>
      </c>
      <c r="AJ3748">
        <v>0</v>
      </c>
      <c r="AK3748">
        <v>0</v>
      </c>
      <c r="AL3748">
        <v>0</v>
      </c>
      <c r="AM3748">
        <v>0</v>
      </c>
      <c r="AN3748">
        <v>0</v>
      </c>
      <c r="AO3748">
        <v>0</v>
      </c>
      <c r="AP3748">
        <v>0</v>
      </c>
      <c r="AQ3748">
        <v>0</v>
      </c>
      <c r="AR3748">
        <v>1</v>
      </c>
      <c r="AS3748">
        <v>0</v>
      </c>
      <c r="AT3748">
        <v>0</v>
      </c>
      <c r="AU3748">
        <f t="shared" si="116"/>
        <v>0</v>
      </c>
      <c r="AV3748">
        <f t="shared" si="117"/>
        <v>0</v>
      </c>
    </row>
    <row r="3749" spans="1:48" x14ac:dyDescent="0.25">
      <c r="A3749" t="s">
        <v>11751</v>
      </c>
      <c r="C3749" t="s">
        <v>11752</v>
      </c>
      <c r="D3749" t="s">
        <v>11753</v>
      </c>
      <c r="E3749" t="s">
        <v>2310</v>
      </c>
      <c r="F3749">
        <v>9</v>
      </c>
      <c r="G3749">
        <v>9.1</v>
      </c>
      <c r="H3749" t="s">
        <v>2323</v>
      </c>
      <c r="I3749" s="21">
        <v>41542.661585648202</v>
      </c>
      <c r="J3749">
        <v>2013</v>
      </c>
      <c r="K3749" s="21">
        <v>41605.4544328704</v>
      </c>
      <c r="L3749">
        <v>2013</v>
      </c>
      <c r="M3749" s="21">
        <v>41856.613206018497</v>
      </c>
      <c r="N3749">
        <v>2014</v>
      </c>
      <c r="Q3749" s="262">
        <v>325000</v>
      </c>
      <c r="R3749" s="262">
        <v>112000</v>
      </c>
      <c r="S3749" t="s">
        <v>114</v>
      </c>
      <c r="T3749" t="s">
        <v>114</v>
      </c>
      <c r="W3749">
        <v>0</v>
      </c>
      <c r="X3749">
        <v>2</v>
      </c>
      <c r="Y3749">
        <v>0</v>
      </c>
      <c r="Z3749">
        <v>0</v>
      </c>
      <c r="AA3749">
        <v>0</v>
      </c>
      <c r="AB3749">
        <v>0</v>
      </c>
      <c r="AC3749">
        <v>0</v>
      </c>
      <c r="AD3749">
        <v>0</v>
      </c>
      <c r="AE3749">
        <v>0</v>
      </c>
      <c r="AF3749">
        <v>0</v>
      </c>
      <c r="AG3749">
        <v>0</v>
      </c>
      <c r="AH3749">
        <v>0</v>
      </c>
      <c r="AI3749">
        <v>0</v>
      </c>
      <c r="AJ3749">
        <v>0</v>
      </c>
      <c r="AK3749">
        <v>0</v>
      </c>
      <c r="AL3749">
        <v>0</v>
      </c>
      <c r="AM3749">
        <v>0</v>
      </c>
      <c r="AN3749">
        <v>0</v>
      </c>
      <c r="AO3749">
        <v>0</v>
      </c>
      <c r="AP3749">
        <v>0</v>
      </c>
      <c r="AQ3749">
        <v>1</v>
      </c>
      <c r="AR3749">
        <v>1</v>
      </c>
      <c r="AS3749">
        <v>0</v>
      </c>
      <c r="AT3749">
        <v>0</v>
      </c>
      <c r="AU3749">
        <f t="shared" si="116"/>
        <v>1</v>
      </c>
      <c r="AV3749">
        <f t="shared" si="117"/>
        <v>0</v>
      </c>
    </row>
    <row r="3750" spans="1:48" x14ac:dyDescent="0.25">
      <c r="A3750" t="s">
        <v>11754</v>
      </c>
      <c r="C3750" t="s">
        <v>11755</v>
      </c>
      <c r="D3750" t="s">
        <v>11756</v>
      </c>
      <c r="E3750" t="s">
        <v>1663</v>
      </c>
      <c r="F3750">
        <v>2</v>
      </c>
      <c r="G3750">
        <v>2.2999999999999998</v>
      </c>
      <c r="H3750" t="s">
        <v>2327</v>
      </c>
      <c r="I3750" s="21">
        <v>41547</v>
      </c>
      <c r="J3750">
        <v>2013</v>
      </c>
      <c r="K3750" s="21">
        <v>41571</v>
      </c>
      <c r="L3750">
        <v>2013</v>
      </c>
      <c r="M3750" s="21">
        <v>41753</v>
      </c>
      <c r="N3750">
        <v>2014</v>
      </c>
      <c r="Q3750" s="262">
        <v>850000</v>
      </c>
      <c r="S3750" t="s">
        <v>114</v>
      </c>
      <c r="T3750" t="s">
        <v>114</v>
      </c>
      <c r="W3750">
        <v>1241</v>
      </c>
      <c r="X3750">
        <v>0</v>
      </c>
      <c r="Y3750">
        <v>0</v>
      </c>
      <c r="Z3750">
        <v>0</v>
      </c>
      <c r="AA3750">
        <v>0</v>
      </c>
      <c r="AB3750">
        <v>1241</v>
      </c>
      <c r="AC3750">
        <v>0</v>
      </c>
      <c r="AD3750">
        <v>0</v>
      </c>
      <c r="AE3750">
        <v>0</v>
      </c>
      <c r="AF3750">
        <v>0</v>
      </c>
      <c r="AG3750">
        <v>0</v>
      </c>
      <c r="AH3750">
        <v>0</v>
      </c>
      <c r="AI3750">
        <v>0</v>
      </c>
      <c r="AJ3750">
        <v>0</v>
      </c>
      <c r="AK3750">
        <v>0</v>
      </c>
      <c r="AL3750">
        <v>0</v>
      </c>
      <c r="AM3750">
        <v>0</v>
      </c>
      <c r="AN3750">
        <v>0</v>
      </c>
      <c r="AO3750">
        <v>0</v>
      </c>
      <c r="AP3750">
        <v>0</v>
      </c>
      <c r="AQ3750">
        <v>0</v>
      </c>
      <c r="AR3750">
        <v>0</v>
      </c>
      <c r="AS3750">
        <v>0</v>
      </c>
      <c r="AT3750">
        <v>0</v>
      </c>
      <c r="AU3750">
        <f t="shared" si="116"/>
        <v>0</v>
      </c>
      <c r="AV3750">
        <f t="shared" si="117"/>
        <v>1241</v>
      </c>
    </row>
    <row r="3751" spans="1:48" x14ac:dyDescent="0.25">
      <c r="A3751" t="s">
        <v>11757</v>
      </c>
      <c r="C3751" t="s">
        <v>11758</v>
      </c>
      <c r="D3751" t="s">
        <v>7724</v>
      </c>
      <c r="E3751" t="s">
        <v>2310</v>
      </c>
      <c r="F3751">
        <v>9</v>
      </c>
      <c r="G3751">
        <v>9.1</v>
      </c>
      <c r="H3751" t="s">
        <v>2323</v>
      </c>
      <c r="I3751" s="21">
        <v>41548.675729166702</v>
      </c>
      <c r="J3751">
        <v>2013</v>
      </c>
      <c r="K3751" s="21">
        <v>41577.456944444399</v>
      </c>
      <c r="L3751">
        <v>2013</v>
      </c>
      <c r="M3751" s="21">
        <v>41823.582349536999</v>
      </c>
      <c r="N3751">
        <v>2014</v>
      </c>
      <c r="Q3751" s="262">
        <v>400000</v>
      </c>
      <c r="R3751" s="262">
        <v>115000</v>
      </c>
      <c r="S3751" t="s">
        <v>114</v>
      </c>
      <c r="T3751" t="s">
        <v>114</v>
      </c>
      <c r="V3751">
        <v>908</v>
      </c>
      <c r="W3751">
        <v>703</v>
      </c>
      <c r="X3751">
        <v>0</v>
      </c>
      <c r="Y3751">
        <v>0</v>
      </c>
      <c r="Z3751">
        <v>0</v>
      </c>
      <c r="AA3751">
        <v>0</v>
      </c>
      <c r="AB3751">
        <v>0</v>
      </c>
      <c r="AC3751">
        <v>703</v>
      </c>
      <c r="AD3751">
        <v>0</v>
      </c>
      <c r="AE3751">
        <v>0</v>
      </c>
      <c r="AF3751">
        <v>0</v>
      </c>
      <c r="AG3751">
        <v>0</v>
      </c>
      <c r="AH3751">
        <v>0</v>
      </c>
      <c r="AI3751">
        <v>0</v>
      </c>
      <c r="AJ3751">
        <v>0</v>
      </c>
      <c r="AK3751">
        <v>0</v>
      </c>
      <c r="AL3751">
        <v>0</v>
      </c>
      <c r="AM3751">
        <v>0</v>
      </c>
      <c r="AN3751">
        <v>0</v>
      </c>
      <c r="AO3751">
        <v>0</v>
      </c>
      <c r="AP3751">
        <v>0</v>
      </c>
      <c r="AQ3751">
        <v>0</v>
      </c>
      <c r="AR3751">
        <v>0</v>
      </c>
      <c r="AS3751">
        <v>0</v>
      </c>
      <c r="AT3751">
        <v>0</v>
      </c>
      <c r="AU3751">
        <f t="shared" si="116"/>
        <v>0</v>
      </c>
      <c r="AV3751">
        <f t="shared" si="117"/>
        <v>0</v>
      </c>
    </row>
    <row r="3752" spans="1:48" x14ac:dyDescent="0.25">
      <c r="A3752" t="s">
        <v>11759</v>
      </c>
      <c r="C3752" t="s">
        <v>11760</v>
      </c>
      <c r="D3752" t="s">
        <v>11761</v>
      </c>
      <c r="E3752" t="s">
        <v>2310</v>
      </c>
      <c r="F3752">
        <v>14</v>
      </c>
      <c r="G3752">
        <v>14.1</v>
      </c>
      <c r="H3752" t="s">
        <v>2022</v>
      </c>
      <c r="I3752" s="21">
        <v>41549.381770833301</v>
      </c>
      <c r="J3752">
        <v>2013</v>
      </c>
      <c r="K3752" s="21">
        <v>41577.6157060185</v>
      </c>
      <c r="L3752">
        <v>2013</v>
      </c>
      <c r="M3752" s="21">
        <v>42055.537037037</v>
      </c>
      <c r="N3752">
        <v>2015</v>
      </c>
      <c r="Q3752" s="262">
        <v>995000</v>
      </c>
      <c r="R3752" s="262">
        <v>530000</v>
      </c>
      <c r="S3752" t="s">
        <v>114</v>
      </c>
      <c r="T3752" t="s">
        <v>114</v>
      </c>
      <c r="W3752">
        <v>5339</v>
      </c>
      <c r="X3752">
        <v>1</v>
      </c>
      <c r="Y3752">
        <v>0</v>
      </c>
      <c r="Z3752">
        <v>0</v>
      </c>
      <c r="AA3752">
        <v>0</v>
      </c>
      <c r="AB3752">
        <v>0</v>
      </c>
      <c r="AC3752">
        <v>5339</v>
      </c>
      <c r="AD3752">
        <v>0</v>
      </c>
      <c r="AE3752">
        <v>0</v>
      </c>
      <c r="AF3752">
        <v>0</v>
      </c>
      <c r="AG3752">
        <v>0</v>
      </c>
      <c r="AH3752">
        <v>0</v>
      </c>
      <c r="AI3752">
        <v>0</v>
      </c>
      <c r="AJ3752">
        <v>0</v>
      </c>
      <c r="AK3752">
        <v>0</v>
      </c>
      <c r="AL3752">
        <v>0</v>
      </c>
      <c r="AM3752">
        <v>0</v>
      </c>
      <c r="AN3752">
        <v>0</v>
      </c>
      <c r="AO3752">
        <v>1</v>
      </c>
      <c r="AP3752">
        <v>0</v>
      </c>
      <c r="AQ3752">
        <v>0</v>
      </c>
      <c r="AR3752">
        <v>0</v>
      </c>
      <c r="AS3752">
        <v>0</v>
      </c>
      <c r="AT3752">
        <v>0</v>
      </c>
      <c r="AU3752">
        <f t="shared" si="116"/>
        <v>1</v>
      </c>
      <c r="AV3752">
        <f t="shared" si="117"/>
        <v>0</v>
      </c>
    </row>
    <row r="3753" spans="1:48" x14ac:dyDescent="0.25">
      <c r="A3753" t="s">
        <v>11762</v>
      </c>
      <c r="C3753" t="s">
        <v>11763</v>
      </c>
      <c r="D3753" t="s">
        <v>11764</v>
      </c>
      <c r="E3753" t="s">
        <v>2310</v>
      </c>
      <c r="F3753">
        <v>14</v>
      </c>
      <c r="G3753">
        <v>14.1</v>
      </c>
      <c r="H3753" t="s">
        <v>2022</v>
      </c>
      <c r="I3753" s="21">
        <v>41549.415000000001</v>
      </c>
      <c r="J3753">
        <v>2013</v>
      </c>
      <c r="K3753" s="21">
        <v>41584.404224537</v>
      </c>
      <c r="L3753">
        <v>2013</v>
      </c>
      <c r="M3753" s="21">
        <v>41884.422696759299</v>
      </c>
      <c r="N3753">
        <v>2014</v>
      </c>
      <c r="Q3753" s="262">
        <v>350000</v>
      </c>
      <c r="R3753" s="262">
        <v>177000</v>
      </c>
      <c r="S3753" t="s">
        <v>114</v>
      </c>
      <c r="T3753" t="s">
        <v>114</v>
      </c>
      <c r="W3753">
        <v>2431</v>
      </c>
      <c r="X3753">
        <v>1</v>
      </c>
      <c r="Y3753">
        <v>0</v>
      </c>
      <c r="Z3753">
        <v>0</v>
      </c>
      <c r="AA3753">
        <v>0</v>
      </c>
      <c r="AB3753">
        <v>0</v>
      </c>
      <c r="AC3753">
        <v>2431</v>
      </c>
      <c r="AD3753">
        <v>0</v>
      </c>
      <c r="AE3753">
        <v>0</v>
      </c>
      <c r="AF3753">
        <v>0</v>
      </c>
      <c r="AG3753">
        <v>0</v>
      </c>
      <c r="AH3753">
        <v>0</v>
      </c>
      <c r="AI3753">
        <v>0</v>
      </c>
      <c r="AJ3753">
        <v>0</v>
      </c>
      <c r="AK3753">
        <v>0</v>
      </c>
      <c r="AL3753">
        <v>0</v>
      </c>
      <c r="AM3753">
        <v>0</v>
      </c>
      <c r="AN3753">
        <v>0</v>
      </c>
      <c r="AO3753">
        <v>1</v>
      </c>
      <c r="AP3753">
        <v>0</v>
      </c>
      <c r="AQ3753">
        <v>0</v>
      </c>
      <c r="AR3753">
        <v>0</v>
      </c>
      <c r="AS3753">
        <v>0</v>
      </c>
      <c r="AT3753">
        <v>0</v>
      </c>
      <c r="AU3753">
        <f t="shared" si="116"/>
        <v>1</v>
      </c>
      <c r="AV3753">
        <f t="shared" si="117"/>
        <v>0</v>
      </c>
    </row>
    <row r="3754" spans="1:48" x14ac:dyDescent="0.25">
      <c r="A3754" t="s">
        <v>11765</v>
      </c>
      <c r="C3754" t="s">
        <v>11766</v>
      </c>
      <c r="D3754" t="s">
        <v>11767</v>
      </c>
      <c r="E3754" t="s">
        <v>2310</v>
      </c>
      <c r="F3754">
        <v>13</v>
      </c>
      <c r="G3754">
        <v>13.3</v>
      </c>
      <c r="H3754" t="s">
        <v>2017</v>
      </c>
      <c r="I3754" s="21">
        <v>41549.448692129597</v>
      </c>
      <c r="J3754">
        <v>2013</v>
      </c>
      <c r="K3754" s="21">
        <v>41565.665914351899</v>
      </c>
      <c r="L3754">
        <v>2013</v>
      </c>
      <c r="M3754" s="21">
        <v>41850.373229166697</v>
      </c>
      <c r="N3754">
        <v>2014</v>
      </c>
      <c r="Q3754" s="262">
        <v>100000</v>
      </c>
      <c r="R3754" s="262">
        <v>14000</v>
      </c>
      <c r="S3754" t="s">
        <v>114</v>
      </c>
      <c r="T3754" t="s">
        <v>114</v>
      </c>
      <c r="W3754">
        <v>50</v>
      </c>
      <c r="X3754">
        <v>0</v>
      </c>
      <c r="Y3754">
        <v>0</v>
      </c>
      <c r="Z3754">
        <v>0</v>
      </c>
      <c r="AA3754">
        <v>0</v>
      </c>
      <c r="AB3754">
        <v>0</v>
      </c>
      <c r="AC3754">
        <v>50</v>
      </c>
      <c r="AD3754">
        <v>0</v>
      </c>
      <c r="AE3754">
        <v>0</v>
      </c>
      <c r="AF3754">
        <v>0</v>
      </c>
      <c r="AG3754">
        <v>0</v>
      </c>
      <c r="AH3754">
        <v>0</v>
      </c>
      <c r="AI3754">
        <v>0</v>
      </c>
      <c r="AJ3754">
        <v>0</v>
      </c>
      <c r="AK3754">
        <v>0</v>
      </c>
      <c r="AL3754">
        <v>0</v>
      </c>
      <c r="AM3754">
        <v>0</v>
      </c>
      <c r="AN3754">
        <v>0</v>
      </c>
      <c r="AO3754">
        <v>0</v>
      </c>
      <c r="AP3754">
        <v>0</v>
      </c>
      <c r="AQ3754">
        <v>0</v>
      </c>
      <c r="AR3754">
        <v>0</v>
      </c>
      <c r="AS3754">
        <v>0</v>
      </c>
      <c r="AT3754">
        <v>0</v>
      </c>
      <c r="AU3754">
        <f t="shared" si="116"/>
        <v>0</v>
      </c>
      <c r="AV3754">
        <f t="shared" si="117"/>
        <v>0</v>
      </c>
    </row>
    <row r="3755" spans="1:48" x14ac:dyDescent="0.25">
      <c r="A3755" t="s">
        <v>11768</v>
      </c>
      <c r="C3755" t="s">
        <v>11769</v>
      </c>
      <c r="D3755" t="s">
        <v>3004</v>
      </c>
      <c r="E3755" t="s">
        <v>2310</v>
      </c>
      <c r="F3755">
        <v>9</v>
      </c>
      <c r="G3755">
        <v>9.1999999999999993</v>
      </c>
      <c r="H3755" t="s">
        <v>2022</v>
      </c>
      <c r="I3755" s="21">
        <v>41549.566180555601</v>
      </c>
      <c r="J3755">
        <v>2013</v>
      </c>
      <c r="K3755" s="21">
        <v>41565.390509259298</v>
      </c>
      <c r="L3755">
        <v>2013</v>
      </c>
      <c r="M3755" s="21">
        <v>42240.4313078704</v>
      </c>
      <c r="N3755">
        <v>2015</v>
      </c>
      <c r="Q3755" s="262">
        <v>29000</v>
      </c>
      <c r="R3755" s="262">
        <v>46000</v>
      </c>
      <c r="S3755" t="s">
        <v>114</v>
      </c>
      <c r="T3755" t="s">
        <v>114</v>
      </c>
      <c r="W3755">
        <v>1120</v>
      </c>
      <c r="X3755">
        <v>0</v>
      </c>
      <c r="Y3755">
        <v>0</v>
      </c>
      <c r="Z3755">
        <v>0</v>
      </c>
      <c r="AA3755">
        <v>0</v>
      </c>
      <c r="AB3755">
        <v>0</v>
      </c>
      <c r="AC3755">
        <v>1120</v>
      </c>
      <c r="AD3755">
        <v>0</v>
      </c>
      <c r="AE3755">
        <v>0</v>
      </c>
      <c r="AF3755">
        <v>0</v>
      </c>
      <c r="AG3755">
        <v>0</v>
      </c>
      <c r="AH3755">
        <v>0</v>
      </c>
      <c r="AI3755">
        <v>0</v>
      </c>
      <c r="AJ3755">
        <v>0</v>
      </c>
      <c r="AK3755">
        <v>0</v>
      </c>
      <c r="AL3755">
        <v>0</v>
      </c>
      <c r="AM3755">
        <v>0</v>
      </c>
      <c r="AN3755">
        <v>0</v>
      </c>
      <c r="AO3755">
        <v>0</v>
      </c>
      <c r="AP3755">
        <v>0</v>
      </c>
      <c r="AQ3755">
        <v>0</v>
      </c>
      <c r="AR3755">
        <v>0</v>
      </c>
      <c r="AS3755">
        <v>0</v>
      </c>
      <c r="AT3755">
        <v>0</v>
      </c>
      <c r="AU3755">
        <f t="shared" si="116"/>
        <v>0</v>
      </c>
      <c r="AV3755">
        <f t="shared" si="117"/>
        <v>0</v>
      </c>
    </row>
    <row r="3756" spans="1:48" x14ac:dyDescent="0.25">
      <c r="A3756" t="s">
        <v>11770</v>
      </c>
      <c r="C3756" t="s">
        <v>4934</v>
      </c>
      <c r="D3756" t="s">
        <v>11771</v>
      </c>
      <c r="E3756" t="s">
        <v>2310</v>
      </c>
      <c r="F3756">
        <v>8</v>
      </c>
      <c r="G3756">
        <v>8.3000000000000007</v>
      </c>
      <c r="H3756" t="s">
        <v>2323</v>
      </c>
      <c r="I3756" s="21">
        <v>41550.628530092603</v>
      </c>
      <c r="J3756">
        <v>2013</v>
      </c>
      <c r="K3756" s="21">
        <v>41733.691296296303</v>
      </c>
      <c r="L3756">
        <v>2014</v>
      </c>
      <c r="M3756" s="21">
        <v>41941.534710648099</v>
      </c>
      <c r="N3756">
        <v>2014</v>
      </c>
      <c r="Q3756" s="262">
        <v>76000</v>
      </c>
      <c r="R3756" s="262">
        <v>122000</v>
      </c>
      <c r="S3756" t="s">
        <v>114</v>
      </c>
      <c r="T3756" t="s">
        <v>114</v>
      </c>
      <c r="W3756">
        <v>3000</v>
      </c>
      <c r="X3756">
        <v>0</v>
      </c>
      <c r="Y3756">
        <v>0</v>
      </c>
      <c r="Z3756">
        <v>0</v>
      </c>
      <c r="AA3756">
        <v>0</v>
      </c>
      <c r="AB3756">
        <v>0</v>
      </c>
      <c r="AC3756">
        <v>3000</v>
      </c>
      <c r="AD3756">
        <v>0</v>
      </c>
      <c r="AE3756">
        <v>0</v>
      </c>
      <c r="AF3756">
        <v>0</v>
      </c>
      <c r="AG3756">
        <v>0</v>
      </c>
      <c r="AH3756">
        <v>0</v>
      </c>
      <c r="AI3756">
        <v>0</v>
      </c>
      <c r="AJ3756">
        <v>0</v>
      </c>
      <c r="AK3756">
        <v>0</v>
      </c>
      <c r="AL3756">
        <v>0</v>
      </c>
      <c r="AM3756">
        <v>0</v>
      </c>
      <c r="AN3756">
        <v>0</v>
      </c>
      <c r="AO3756">
        <v>0</v>
      </c>
      <c r="AP3756">
        <v>0</v>
      </c>
      <c r="AQ3756">
        <v>0</v>
      </c>
      <c r="AR3756">
        <v>0</v>
      </c>
      <c r="AS3756">
        <v>0</v>
      </c>
      <c r="AT3756">
        <v>0</v>
      </c>
      <c r="AU3756">
        <f t="shared" si="116"/>
        <v>0</v>
      </c>
      <c r="AV3756">
        <f t="shared" si="117"/>
        <v>0</v>
      </c>
    </row>
    <row r="3757" spans="1:48" x14ac:dyDescent="0.25">
      <c r="A3757" t="s">
        <v>11772</v>
      </c>
      <c r="C3757" t="s">
        <v>11773</v>
      </c>
      <c r="D3757" t="s">
        <v>11774</v>
      </c>
      <c r="E3757" t="s">
        <v>2310</v>
      </c>
      <c r="F3757">
        <v>8</v>
      </c>
      <c r="G3757">
        <v>8.4</v>
      </c>
      <c r="H3757" t="s">
        <v>2017</v>
      </c>
      <c r="I3757" s="21">
        <v>41551.528206018498</v>
      </c>
      <c r="J3757">
        <v>2013</v>
      </c>
      <c r="K3757" s="21">
        <v>41600.558912036999</v>
      </c>
      <c r="L3757">
        <v>2013</v>
      </c>
      <c r="M3757" s="21">
        <v>41996.456770833298</v>
      </c>
      <c r="N3757">
        <v>2014</v>
      </c>
      <c r="Q3757" s="262">
        <v>120000</v>
      </c>
      <c r="R3757" s="262">
        <v>144000</v>
      </c>
      <c r="S3757" t="s">
        <v>114</v>
      </c>
      <c r="T3757" t="s">
        <v>114</v>
      </c>
      <c r="W3757">
        <v>1900</v>
      </c>
      <c r="X3757">
        <v>0</v>
      </c>
      <c r="Y3757">
        <v>0</v>
      </c>
      <c r="Z3757">
        <v>0</v>
      </c>
      <c r="AA3757">
        <v>0</v>
      </c>
      <c r="AB3757">
        <v>0</v>
      </c>
      <c r="AC3757">
        <v>1900</v>
      </c>
      <c r="AD3757">
        <v>0</v>
      </c>
      <c r="AE3757">
        <v>0</v>
      </c>
      <c r="AF3757">
        <v>0</v>
      </c>
      <c r="AG3757">
        <v>0</v>
      </c>
      <c r="AH3757">
        <v>0</v>
      </c>
      <c r="AI3757">
        <v>0</v>
      </c>
      <c r="AJ3757">
        <v>0</v>
      </c>
      <c r="AK3757">
        <v>0</v>
      </c>
      <c r="AL3757">
        <v>0</v>
      </c>
      <c r="AM3757">
        <v>0</v>
      </c>
      <c r="AN3757">
        <v>0</v>
      </c>
      <c r="AO3757">
        <v>0</v>
      </c>
      <c r="AP3757">
        <v>0</v>
      </c>
      <c r="AQ3757">
        <v>0</v>
      </c>
      <c r="AR3757">
        <v>0</v>
      </c>
      <c r="AS3757">
        <v>0</v>
      </c>
      <c r="AT3757">
        <v>0</v>
      </c>
      <c r="AU3757">
        <f t="shared" si="116"/>
        <v>0</v>
      </c>
      <c r="AV3757">
        <f t="shared" si="117"/>
        <v>0</v>
      </c>
    </row>
    <row r="3758" spans="1:48" x14ac:dyDescent="0.25">
      <c r="A3758" t="s">
        <v>11775</v>
      </c>
      <c r="C3758" t="s">
        <v>11776</v>
      </c>
      <c r="D3758" t="s">
        <v>11777</v>
      </c>
      <c r="E3758" t="s">
        <v>2310</v>
      </c>
      <c r="F3758">
        <v>8</v>
      </c>
      <c r="G3758">
        <v>8.3000000000000007</v>
      </c>
      <c r="H3758" t="s">
        <v>2323</v>
      </c>
      <c r="I3758" s="21">
        <v>41558.3528240741</v>
      </c>
      <c r="J3758">
        <v>2013</v>
      </c>
      <c r="K3758" s="21">
        <v>41585.663958333302</v>
      </c>
      <c r="L3758">
        <v>2013</v>
      </c>
      <c r="M3758" s="21">
        <v>41841.402268518497</v>
      </c>
      <c r="N3758">
        <v>2014</v>
      </c>
      <c r="Q3758" s="262">
        <v>20000</v>
      </c>
      <c r="R3758" s="262">
        <v>9000</v>
      </c>
      <c r="S3758" t="s">
        <v>114</v>
      </c>
      <c r="T3758" t="s">
        <v>114</v>
      </c>
      <c r="W3758">
        <v>80</v>
      </c>
      <c r="X3758">
        <v>0</v>
      </c>
      <c r="Y3758">
        <v>0</v>
      </c>
      <c r="Z3758">
        <v>0</v>
      </c>
      <c r="AA3758">
        <v>0</v>
      </c>
      <c r="AB3758">
        <v>0</v>
      </c>
      <c r="AC3758">
        <v>0</v>
      </c>
      <c r="AD3758">
        <v>0</v>
      </c>
      <c r="AE3758">
        <v>0</v>
      </c>
      <c r="AF3758">
        <v>0</v>
      </c>
      <c r="AG3758">
        <v>80</v>
      </c>
      <c r="AH3758">
        <v>0</v>
      </c>
      <c r="AI3758">
        <v>0</v>
      </c>
      <c r="AJ3758">
        <v>0</v>
      </c>
      <c r="AK3758">
        <v>0</v>
      </c>
      <c r="AL3758">
        <v>0</v>
      </c>
      <c r="AM3758">
        <v>0</v>
      </c>
      <c r="AN3758">
        <v>0</v>
      </c>
      <c r="AO3758">
        <v>0</v>
      </c>
      <c r="AP3758">
        <v>0</v>
      </c>
      <c r="AQ3758">
        <v>0</v>
      </c>
      <c r="AR3758">
        <v>0</v>
      </c>
      <c r="AS3758">
        <v>0</v>
      </c>
      <c r="AT3758">
        <v>0</v>
      </c>
      <c r="AU3758">
        <f t="shared" si="116"/>
        <v>0</v>
      </c>
      <c r="AV3758">
        <f t="shared" si="117"/>
        <v>0</v>
      </c>
    </row>
    <row r="3759" spans="1:48" x14ac:dyDescent="0.25">
      <c r="A3759" t="s">
        <v>11778</v>
      </c>
      <c r="C3759" t="s">
        <v>11779</v>
      </c>
      <c r="D3759" t="s">
        <v>11780</v>
      </c>
      <c r="E3759" t="s">
        <v>1663</v>
      </c>
      <c r="F3759">
        <v>1</v>
      </c>
      <c r="G3759">
        <v>1.2</v>
      </c>
      <c r="H3759" t="s">
        <v>2017</v>
      </c>
      <c r="I3759" s="21">
        <v>41562</v>
      </c>
      <c r="J3759">
        <v>2013</v>
      </c>
      <c r="K3759" s="21">
        <v>41618</v>
      </c>
      <c r="L3759">
        <v>2013</v>
      </c>
      <c r="M3759" s="21">
        <v>41800</v>
      </c>
      <c r="N3759">
        <v>2014</v>
      </c>
      <c r="Q3759" s="262">
        <v>120000</v>
      </c>
      <c r="S3759" t="s">
        <v>114</v>
      </c>
      <c r="T3759" t="s">
        <v>114</v>
      </c>
      <c r="W3759">
        <v>0</v>
      </c>
      <c r="X3759">
        <v>0</v>
      </c>
      <c r="Y3759">
        <v>0</v>
      </c>
      <c r="Z3759">
        <v>0</v>
      </c>
      <c r="AA3759">
        <v>0</v>
      </c>
      <c r="AB3759">
        <v>0</v>
      </c>
      <c r="AC3759">
        <v>0</v>
      </c>
      <c r="AD3759">
        <v>0</v>
      </c>
      <c r="AE3759">
        <v>0</v>
      </c>
      <c r="AF3759">
        <v>0</v>
      </c>
      <c r="AG3759">
        <v>0</v>
      </c>
      <c r="AH3759">
        <v>0</v>
      </c>
      <c r="AI3759">
        <v>0</v>
      </c>
      <c r="AJ3759">
        <v>-524</v>
      </c>
      <c r="AK3759">
        <v>0</v>
      </c>
      <c r="AL3759">
        <v>524</v>
      </c>
      <c r="AM3759">
        <v>0</v>
      </c>
      <c r="AN3759">
        <v>0</v>
      </c>
      <c r="AO3759">
        <v>0</v>
      </c>
      <c r="AP3759">
        <v>0</v>
      </c>
      <c r="AQ3759">
        <v>0</v>
      </c>
      <c r="AR3759">
        <v>0</v>
      </c>
      <c r="AS3759">
        <v>0</v>
      </c>
      <c r="AT3759">
        <v>0</v>
      </c>
      <c r="AU3759">
        <f t="shared" si="116"/>
        <v>0</v>
      </c>
      <c r="AV3759">
        <f t="shared" si="117"/>
        <v>0</v>
      </c>
    </row>
    <row r="3760" spans="1:48" x14ac:dyDescent="0.25">
      <c r="A3760" t="s">
        <v>11781</v>
      </c>
      <c r="C3760" t="s">
        <v>11782</v>
      </c>
      <c r="D3760" t="s">
        <v>11783</v>
      </c>
      <c r="E3760" t="s">
        <v>2310</v>
      </c>
      <c r="F3760">
        <v>9</v>
      </c>
      <c r="G3760">
        <v>9.1</v>
      </c>
      <c r="H3760" t="s">
        <v>2323</v>
      </c>
      <c r="I3760" s="21">
        <v>41563.6616319444</v>
      </c>
      <c r="J3760">
        <v>2013</v>
      </c>
      <c r="P3760" s="21">
        <v>42244.675254629597</v>
      </c>
      <c r="Q3760" s="262">
        <v>1800000</v>
      </c>
      <c r="R3760" s="262">
        <v>810000</v>
      </c>
      <c r="S3760" t="s">
        <v>114</v>
      </c>
      <c r="T3760" t="s">
        <v>114</v>
      </c>
      <c r="W3760">
        <v>7658</v>
      </c>
      <c r="X3760">
        <v>1</v>
      </c>
      <c r="Y3760">
        <v>0</v>
      </c>
      <c r="Z3760">
        <v>0</v>
      </c>
      <c r="AA3760">
        <v>0</v>
      </c>
      <c r="AB3760">
        <v>0</v>
      </c>
      <c r="AC3760">
        <v>7658</v>
      </c>
      <c r="AD3760">
        <v>0</v>
      </c>
      <c r="AE3760">
        <v>0</v>
      </c>
      <c r="AF3760">
        <v>0</v>
      </c>
      <c r="AG3760">
        <v>0</v>
      </c>
      <c r="AH3760">
        <v>0</v>
      </c>
      <c r="AI3760">
        <v>0</v>
      </c>
      <c r="AJ3760">
        <v>0</v>
      </c>
      <c r="AK3760">
        <v>0</v>
      </c>
      <c r="AL3760">
        <v>0</v>
      </c>
      <c r="AM3760">
        <v>0</v>
      </c>
      <c r="AN3760">
        <v>0</v>
      </c>
      <c r="AO3760">
        <v>1</v>
      </c>
      <c r="AP3760">
        <v>0</v>
      </c>
      <c r="AQ3760">
        <v>0</v>
      </c>
      <c r="AR3760">
        <v>0</v>
      </c>
      <c r="AS3760">
        <v>0</v>
      </c>
      <c r="AT3760">
        <v>0</v>
      </c>
      <c r="AU3760">
        <f t="shared" si="116"/>
        <v>1</v>
      </c>
      <c r="AV3760">
        <f t="shared" si="117"/>
        <v>0</v>
      </c>
    </row>
    <row r="3761" spans="1:48" x14ac:dyDescent="0.25">
      <c r="A3761" t="s">
        <v>11784</v>
      </c>
      <c r="C3761" t="s">
        <v>11785</v>
      </c>
      <c r="D3761" t="s">
        <v>11783</v>
      </c>
      <c r="E3761" t="s">
        <v>2310</v>
      </c>
      <c r="F3761">
        <v>9</v>
      </c>
      <c r="G3761">
        <v>9.1</v>
      </c>
      <c r="H3761" t="s">
        <v>2323</v>
      </c>
      <c r="I3761" s="21">
        <v>41563.688090277799</v>
      </c>
      <c r="J3761">
        <v>2013</v>
      </c>
      <c r="P3761" s="21">
        <v>42244.675995370402</v>
      </c>
      <c r="Q3761" s="262">
        <v>200000</v>
      </c>
      <c r="R3761" s="262">
        <v>146000</v>
      </c>
      <c r="S3761" t="s">
        <v>114</v>
      </c>
      <c r="T3761" t="s">
        <v>114</v>
      </c>
      <c r="W3761">
        <v>0</v>
      </c>
      <c r="X3761">
        <v>1</v>
      </c>
      <c r="Y3761">
        <v>0</v>
      </c>
      <c r="Z3761">
        <v>0</v>
      </c>
      <c r="AA3761">
        <v>0</v>
      </c>
      <c r="AB3761">
        <v>0</v>
      </c>
      <c r="AC3761">
        <v>0</v>
      </c>
      <c r="AD3761">
        <v>0</v>
      </c>
      <c r="AE3761">
        <v>0</v>
      </c>
      <c r="AF3761">
        <v>0</v>
      </c>
      <c r="AG3761">
        <v>0</v>
      </c>
      <c r="AH3761">
        <v>0</v>
      </c>
      <c r="AI3761">
        <v>0</v>
      </c>
      <c r="AJ3761">
        <v>0</v>
      </c>
      <c r="AK3761">
        <v>0</v>
      </c>
      <c r="AL3761">
        <v>0</v>
      </c>
      <c r="AM3761">
        <v>0</v>
      </c>
      <c r="AN3761">
        <v>0</v>
      </c>
      <c r="AO3761">
        <v>0</v>
      </c>
      <c r="AP3761">
        <v>0</v>
      </c>
      <c r="AQ3761">
        <v>0</v>
      </c>
      <c r="AR3761">
        <v>1</v>
      </c>
      <c r="AS3761">
        <v>0</v>
      </c>
      <c r="AT3761">
        <v>0</v>
      </c>
      <c r="AU3761">
        <f t="shared" si="116"/>
        <v>0</v>
      </c>
      <c r="AV3761">
        <f t="shared" si="117"/>
        <v>0</v>
      </c>
    </row>
    <row r="3762" spans="1:48" x14ac:dyDescent="0.25">
      <c r="A3762" t="s">
        <v>11786</v>
      </c>
      <c r="C3762" t="s">
        <v>11116</v>
      </c>
      <c r="D3762" t="s">
        <v>11787</v>
      </c>
      <c r="E3762" t="s">
        <v>2310</v>
      </c>
      <c r="F3762">
        <v>9</v>
      </c>
      <c r="G3762">
        <v>9.3000000000000007</v>
      </c>
      <c r="H3762" t="s">
        <v>2323</v>
      </c>
      <c r="I3762" s="21">
        <v>41564.445914351898</v>
      </c>
      <c r="J3762">
        <v>2013</v>
      </c>
      <c r="K3762" s="21">
        <v>41747.650092592601</v>
      </c>
      <c r="L3762">
        <v>2014</v>
      </c>
      <c r="M3762" s="21">
        <v>42256.344814814802</v>
      </c>
      <c r="N3762">
        <v>2015</v>
      </c>
      <c r="Q3762" s="262">
        <v>1500000</v>
      </c>
      <c r="R3762" s="262">
        <v>485000</v>
      </c>
      <c r="S3762" t="s">
        <v>114</v>
      </c>
      <c r="T3762" t="s">
        <v>114</v>
      </c>
      <c r="W3762">
        <v>4947</v>
      </c>
      <c r="X3762">
        <v>1</v>
      </c>
      <c r="Y3762">
        <v>0</v>
      </c>
      <c r="Z3762">
        <v>0</v>
      </c>
      <c r="AA3762">
        <v>0</v>
      </c>
      <c r="AB3762">
        <v>0</v>
      </c>
      <c r="AC3762">
        <v>4947</v>
      </c>
      <c r="AD3762">
        <v>0</v>
      </c>
      <c r="AE3762">
        <v>0</v>
      </c>
      <c r="AF3762">
        <v>0</v>
      </c>
      <c r="AG3762">
        <v>0</v>
      </c>
      <c r="AH3762">
        <v>0</v>
      </c>
      <c r="AI3762">
        <v>0</v>
      </c>
      <c r="AJ3762">
        <v>0</v>
      </c>
      <c r="AK3762">
        <v>0</v>
      </c>
      <c r="AL3762">
        <v>0</v>
      </c>
      <c r="AM3762">
        <v>0</v>
      </c>
      <c r="AN3762">
        <v>0</v>
      </c>
      <c r="AO3762">
        <v>1</v>
      </c>
      <c r="AP3762">
        <v>0</v>
      </c>
      <c r="AQ3762">
        <v>0</v>
      </c>
      <c r="AR3762">
        <v>0</v>
      </c>
      <c r="AS3762">
        <v>0</v>
      </c>
      <c r="AT3762">
        <v>0</v>
      </c>
      <c r="AU3762">
        <f t="shared" si="116"/>
        <v>1</v>
      </c>
      <c r="AV3762">
        <f t="shared" si="117"/>
        <v>0</v>
      </c>
    </row>
    <row r="3763" spans="1:48" x14ac:dyDescent="0.25">
      <c r="A3763" t="s">
        <v>11788</v>
      </c>
      <c r="C3763" t="s">
        <v>11789</v>
      </c>
      <c r="D3763" t="s">
        <v>11790</v>
      </c>
      <c r="E3763" t="s">
        <v>2310</v>
      </c>
      <c r="F3763">
        <v>8</v>
      </c>
      <c r="G3763">
        <v>8.3000000000000007</v>
      </c>
      <c r="H3763" t="s">
        <v>2323</v>
      </c>
      <c r="I3763" s="21">
        <v>41564.490138888897</v>
      </c>
      <c r="J3763">
        <v>2013</v>
      </c>
      <c r="K3763" s="21">
        <v>41585.657881944397</v>
      </c>
      <c r="L3763">
        <v>2013</v>
      </c>
      <c r="M3763" s="21">
        <v>42408.348773148202</v>
      </c>
      <c r="N3763">
        <v>2016</v>
      </c>
      <c r="Q3763" s="262">
        <v>4000000</v>
      </c>
      <c r="R3763" s="262">
        <v>0</v>
      </c>
      <c r="S3763" t="s">
        <v>114</v>
      </c>
      <c r="T3763" t="s">
        <v>114</v>
      </c>
      <c r="W3763">
        <v>7885</v>
      </c>
      <c r="X3763">
        <v>1</v>
      </c>
      <c r="Y3763">
        <v>0</v>
      </c>
      <c r="Z3763">
        <v>0</v>
      </c>
      <c r="AA3763">
        <v>0</v>
      </c>
      <c r="AB3763">
        <v>0</v>
      </c>
      <c r="AC3763">
        <v>7885</v>
      </c>
      <c r="AD3763">
        <v>0</v>
      </c>
      <c r="AE3763">
        <v>0</v>
      </c>
      <c r="AF3763">
        <v>0</v>
      </c>
      <c r="AG3763">
        <v>0</v>
      </c>
      <c r="AH3763">
        <v>0</v>
      </c>
      <c r="AI3763">
        <v>0</v>
      </c>
      <c r="AJ3763">
        <v>0</v>
      </c>
      <c r="AK3763">
        <v>0</v>
      </c>
      <c r="AL3763">
        <v>0</v>
      </c>
      <c r="AM3763">
        <v>0</v>
      </c>
      <c r="AN3763">
        <v>0</v>
      </c>
      <c r="AO3763">
        <v>1</v>
      </c>
      <c r="AP3763">
        <v>0</v>
      </c>
      <c r="AQ3763">
        <v>0</v>
      </c>
      <c r="AR3763">
        <v>0</v>
      </c>
      <c r="AS3763">
        <v>0</v>
      </c>
      <c r="AT3763">
        <v>0</v>
      </c>
      <c r="AU3763">
        <f t="shared" si="116"/>
        <v>1</v>
      </c>
      <c r="AV3763">
        <f t="shared" si="117"/>
        <v>0</v>
      </c>
    </row>
    <row r="3764" spans="1:48" x14ac:dyDescent="0.25">
      <c r="A3764" t="s">
        <v>11788</v>
      </c>
      <c r="B3764" t="s">
        <v>11791</v>
      </c>
      <c r="C3764" t="s">
        <v>11792</v>
      </c>
      <c r="D3764" t="s">
        <v>11790</v>
      </c>
      <c r="E3764" t="s">
        <v>2310</v>
      </c>
      <c r="F3764">
        <v>8</v>
      </c>
      <c r="G3764">
        <v>8.3000000000000007</v>
      </c>
      <c r="H3764" t="s">
        <v>2323</v>
      </c>
      <c r="I3764" s="21">
        <v>41564.490138888897</v>
      </c>
      <c r="J3764">
        <v>2013</v>
      </c>
      <c r="K3764" s="21">
        <v>41585.657881944397</v>
      </c>
      <c r="L3764">
        <v>2013</v>
      </c>
      <c r="M3764" s="21">
        <v>42408.348773148202</v>
      </c>
      <c r="N3764">
        <v>2016</v>
      </c>
      <c r="S3764" t="s">
        <v>114</v>
      </c>
      <c r="T3764" t="s">
        <v>114</v>
      </c>
      <c r="V3764">
        <v>0</v>
      </c>
      <c r="W3764">
        <v>0</v>
      </c>
      <c r="X3764">
        <v>0</v>
      </c>
      <c r="Y3764">
        <v>0</v>
      </c>
      <c r="Z3764">
        <v>0</v>
      </c>
      <c r="AA3764">
        <v>0</v>
      </c>
      <c r="AB3764">
        <v>0</v>
      </c>
      <c r="AC3764">
        <v>0</v>
      </c>
      <c r="AD3764">
        <v>0</v>
      </c>
      <c r="AE3764">
        <v>0</v>
      </c>
      <c r="AF3764">
        <v>0</v>
      </c>
      <c r="AG3764">
        <v>0</v>
      </c>
      <c r="AH3764">
        <v>0</v>
      </c>
      <c r="AI3764">
        <v>0</v>
      </c>
      <c r="AJ3764">
        <v>0</v>
      </c>
      <c r="AK3764">
        <v>0</v>
      </c>
      <c r="AL3764">
        <v>0</v>
      </c>
      <c r="AM3764">
        <v>0</v>
      </c>
      <c r="AN3764">
        <v>0</v>
      </c>
      <c r="AO3764">
        <v>0</v>
      </c>
      <c r="AP3764">
        <v>0</v>
      </c>
      <c r="AQ3764">
        <v>0</v>
      </c>
      <c r="AR3764">
        <v>0</v>
      </c>
      <c r="AS3764">
        <v>0</v>
      </c>
      <c r="AT3764">
        <v>0</v>
      </c>
      <c r="AU3764">
        <f t="shared" si="116"/>
        <v>0</v>
      </c>
      <c r="AV3764">
        <f t="shared" si="117"/>
        <v>0</v>
      </c>
    </row>
    <row r="3765" spans="1:48" x14ac:dyDescent="0.25">
      <c r="A3765" t="s">
        <v>11793</v>
      </c>
      <c r="C3765" t="s">
        <v>11794</v>
      </c>
      <c r="D3765" t="s">
        <v>11795</v>
      </c>
      <c r="E3765" t="s">
        <v>2310</v>
      </c>
      <c r="F3765">
        <v>13</v>
      </c>
      <c r="G3765">
        <v>13.1</v>
      </c>
      <c r="H3765" t="s">
        <v>2327</v>
      </c>
      <c r="I3765" s="21">
        <v>41564.650185185201</v>
      </c>
      <c r="J3765">
        <v>2013</v>
      </c>
      <c r="K3765" s="21">
        <v>41591.368229166699</v>
      </c>
      <c r="L3765">
        <v>2013</v>
      </c>
      <c r="M3765" s="21">
        <v>41731.452523148102</v>
      </c>
      <c r="N3765">
        <v>2014</v>
      </c>
      <c r="Q3765" s="262">
        <v>40000</v>
      </c>
      <c r="R3765" s="262">
        <v>30000</v>
      </c>
      <c r="S3765" t="s">
        <v>114</v>
      </c>
      <c r="T3765" t="s">
        <v>114</v>
      </c>
      <c r="V3765">
        <v>250</v>
      </c>
      <c r="W3765">
        <v>0</v>
      </c>
      <c r="X3765">
        <v>0</v>
      </c>
      <c r="Y3765">
        <v>0</v>
      </c>
      <c r="Z3765">
        <v>0</v>
      </c>
      <c r="AA3765">
        <v>0</v>
      </c>
      <c r="AB3765">
        <v>0</v>
      </c>
      <c r="AC3765">
        <v>0</v>
      </c>
      <c r="AD3765">
        <v>0</v>
      </c>
      <c r="AE3765">
        <v>0</v>
      </c>
      <c r="AF3765">
        <v>0</v>
      </c>
      <c r="AG3765">
        <v>0</v>
      </c>
      <c r="AH3765">
        <v>0</v>
      </c>
      <c r="AI3765">
        <v>0</v>
      </c>
      <c r="AJ3765">
        <v>0</v>
      </c>
      <c r="AK3765">
        <v>0</v>
      </c>
      <c r="AL3765">
        <v>0</v>
      </c>
      <c r="AM3765">
        <v>0</v>
      </c>
      <c r="AN3765">
        <v>0</v>
      </c>
      <c r="AO3765">
        <v>0</v>
      </c>
      <c r="AP3765">
        <v>0</v>
      </c>
      <c r="AQ3765">
        <v>0</v>
      </c>
      <c r="AR3765">
        <v>0</v>
      </c>
      <c r="AS3765">
        <v>0</v>
      </c>
      <c r="AT3765">
        <v>0</v>
      </c>
      <c r="AU3765">
        <f t="shared" si="116"/>
        <v>0</v>
      </c>
      <c r="AV3765">
        <f t="shared" si="117"/>
        <v>0</v>
      </c>
    </row>
    <row r="3766" spans="1:48" x14ac:dyDescent="0.25">
      <c r="A3766" t="s">
        <v>11796</v>
      </c>
      <c r="C3766" t="s">
        <v>11797</v>
      </c>
      <c r="D3766" t="s">
        <v>11798</v>
      </c>
      <c r="E3766" t="s">
        <v>2310</v>
      </c>
      <c r="F3766">
        <v>15</v>
      </c>
      <c r="G3766">
        <v>15.2</v>
      </c>
      <c r="H3766" t="s">
        <v>2323</v>
      </c>
      <c r="I3766" s="21">
        <v>41569.588483796302</v>
      </c>
      <c r="J3766">
        <v>2013</v>
      </c>
      <c r="K3766" s="21">
        <v>41578.620601851799</v>
      </c>
      <c r="L3766">
        <v>2013</v>
      </c>
      <c r="P3766" s="21">
        <v>42677.65</v>
      </c>
      <c r="Q3766" s="262">
        <v>40000</v>
      </c>
      <c r="R3766" s="262">
        <v>27000</v>
      </c>
      <c r="S3766" t="s">
        <v>114</v>
      </c>
      <c r="T3766" t="s">
        <v>114</v>
      </c>
      <c r="W3766">
        <v>660</v>
      </c>
      <c r="X3766">
        <v>0</v>
      </c>
      <c r="Y3766">
        <v>0</v>
      </c>
      <c r="Z3766">
        <v>0</v>
      </c>
      <c r="AA3766">
        <v>0</v>
      </c>
      <c r="AB3766">
        <v>0</v>
      </c>
      <c r="AC3766">
        <v>660</v>
      </c>
      <c r="AD3766">
        <v>0</v>
      </c>
      <c r="AE3766">
        <v>0</v>
      </c>
      <c r="AF3766">
        <v>0</v>
      </c>
      <c r="AG3766">
        <v>0</v>
      </c>
      <c r="AH3766">
        <v>0</v>
      </c>
      <c r="AI3766">
        <v>0</v>
      </c>
      <c r="AJ3766">
        <v>0</v>
      </c>
      <c r="AK3766">
        <v>0</v>
      </c>
      <c r="AL3766">
        <v>0</v>
      </c>
      <c r="AM3766">
        <v>0</v>
      </c>
      <c r="AN3766">
        <v>0</v>
      </c>
      <c r="AO3766">
        <v>0</v>
      </c>
      <c r="AP3766">
        <v>0</v>
      </c>
      <c r="AQ3766">
        <v>0</v>
      </c>
      <c r="AR3766">
        <v>0</v>
      </c>
      <c r="AS3766">
        <v>0</v>
      </c>
      <c r="AT3766">
        <v>0</v>
      </c>
      <c r="AU3766">
        <f t="shared" si="116"/>
        <v>0</v>
      </c>
      <c r="AV3766">
        <f t="shared" si="117"/>
        <v>0</v>
      </c>
    </row>
    <row r="3767" spans="1:48" x14ac:dyDescent="0.25">
      <c r="A3767" t="s">
        <v>11799</v>
      </c>
      <c r="C3767" t="s">
        <v>11800</v>
      </c>
      <c r="D3767" t="s">
        <v>10839</v>
      </c>
      <c r="E3767" t="s">
        <v>2310</v>
      </c>
      <c r="F3767">
        <v>13</v>
      </c>
      <c r="G3767">
        <v>13.1</v>
      </c>
      <c r="H3767" t="s">
        <v>2327</v>
      </c>
      <c r="I3767" s="21">
        <v>41570.669849537</v>
      </c>
      <c r="J3767">
        <v>2013</v>
      </c>
      <c r="K3767" s="21">
        <v>41575.477916666699</v>
      </c>
      <c r="L3767">
        <v>2013</v>
      </c>
      <c r="M3767" s="21">
        <v>42349.433449074102</v>
      </c>
      <c r="N3767">
        <v>2015</v>
      </c>
      <c r="Q3767" s="262">
        <v>10000</v>
      </c>
      <c r="R3767" s="262">
        <v>18000</v>
      </c>
      <c r="S3767" t="s">
        <v>114</v>
      </c>
      <c r="T3767" t="s">
        <v>114</v>
      </c>
      <c r="W3767">
        <v>200</v>
      </c>
      <c r="X3767">
        <v>0</v>
      </c>
      <c r="Y3767">
        <v>0</v>
      </c>
      <c r="Z3767">
        <v>0</v>
      </c>
      <c r="AA3767">
        <v>0</v>
      </c>
      <c r="AB3767">
        <v>0</v>
      </c>
      <c r="AC3767">
        <v>0</v>
      </c>
      <c r="AD3767">
        <v>0</v>
      </c>
      <c r="AE3767">
        <v>0</v>
      </c>
      <c r="AF3767">
        <v>0</v>
      </c>
      <c r="AG3767">
        <v>0</v>
      </c>
      <c r="AH3767">
        <v>0</v>
      </c>
      <c r="AI3767">
        <v>0</v>
      </c>
      <c r="AJ3767">
        <v>200</v>
      </c>
      <c r="AK3767">
        <v>0</v>
      </c>
      <c r="AL3767">
        <v>0</v>
      </c>
      <c r="AM3767">
        <v>0</v>
      </c>
      <c r="AN3767">
        <v>0</v>
      </c>
      <c r="AO3767">
        <v>0</v>
      </c>
      <c r="AP3767">
        <v>0</v>
      </c>
      <c r="AQ3767">
        <v>0</v>
      </c>
      <c r="AR3767">
        <v>0</v>
      </c>
      <c r="AS3767">
        <v>0</v>
      </c>
      <c r="AT3767">
        <v>0</v>
      </c>
      <c r="AU3767">
        <f t="shared" si="116"/>
        <v>0</v>
      </c>
      <c r="AV3767">
        <f t="shared" si="117"/>
        <v>200</v>
      </c>
    </row>
    <row r="3768" spans="1:48" x14ac:dyDescent="0.25">
      <c r="A3768" t="s">
        <v>11801</v>
      </c>
      <c r="C3768" t="s">
        <v>11802</v>
      </c>
      <c r="D3768" t="s">
        <v>11803</v>
      </c>
      <c r="E3768" t="s">
        <v>2310</v>
      </c>
      <c r="F3768">
        <v>15</v>
      </c>
      <c r="G3768">
        <v>15.2</v>
      </c>
      <c r="H3768" t="s">
        <v>2323</v>
      </c>
      <c r="I3768" s="21">
        <v>41572.415300925903</v>
      </c>
      <c r="J3768">
        <v>2013</v>
      </c>
      <c r="K3768" s="21">
        <v>41617.703877314802</v>
      </c>
      <c r="L3768">
        <v>2013</v>
      </c>
      <c r="M3768" s="21">
        <v>42576.416527777801</v>
      </c>
      <c r="N3768">
        <v>2016</v>
      </c>
      <c r="Q3768" s="262">
        <v>2100000</v>
      </c>
      <c r="R3768" s="262">
        <v>740000</v>
      </c>
      <c r="S3768" t="s">
        <v>114</v>
      </c>
      <c r="T3768" t="s">
        <v>114</v>
      </c>
      <c r="W3768">
        <v>7513</v>
      </c>
      <c r="X3768">
        <v>1</v>
      </c>
      <c r="Y3768">
        <v>0</v>
      </c>
      <c r="Z3768">
        <v>0</v>
      </c>
      <c r="AA3768">
        <v>0</v>
      </c>
      <c r="AB3768">
        <v>0</v>
      </c>
      <c r="AC3768">
        <v>7513</v>
      </c>
      <c r="AD3768">
        <v>0</v>
      </c>
      <c r="AE3768">
        <v>0</v>
      </c>
      <c r="AF3768">
        <v>0</v>
      </c>
      <c r="AG3768">
        <v>0</v>
      </c>
      <c r="AH3768">
        <v>0</v>
      </c>
      <c r="AI3768">
        <v>0</v>
      </c>
      <c r="AJ3768">
        <v>0</v>
      </c>
      <c r="AK3768">
        <v>0</v>
      </c>
      <c r="AL3768">
        <v>0</v>
      </c>
      <c r="AM3768">
        <v>0</v>
      </c>
      <c r="AN3768">
        <v>0</v>
      </c>
      <c r="AO3768">
        <v>1</v>
      </c>
      <c r="AP3768">
        <v>0</v>
      </c>
      <c r="AQ3768">
        <v>0</v>
      </c>
      <c r="AR3768">
        <v>0</v>
      </c>
      <c r="AS3768">
        <v>0</v>
      </c>
      <c r="AT3768">
        <v>0</v>
      </c>
      <c r="AU3768">
        <f t="shared" si="116"/>
        <v>1</v>
      </c>
      <c r="AV3768">
        <f t="shared" si="117"/>
        <v>0</v>
      </c>
    </row>
    <row r="3769" spans="1:48" x14ac:dyDescent="0.25">
      <c r="A3769" t="s">
        <v>11804</v>
      </c>
      <c r="C3769" t="s">
        <v>11805</v>
      </c>
      <c r="D3769" t="s">
        <v>11806</v>
      </c>
      <c r="E3769" t="s">
        <v>2310</v>
      </c>
      <c r="F3769">
        <v>15</v>
      </c>
      <c r="G3769">
        <v>15.1</v>
      </c>
      <c r="H3769" t="s">
        <v>2022</v>
      </c>
      <c r="I3769" s="21">
        <v>41572.595775463</v>
      </c>
      <c r="J3769">
        <v>2013</v>
      </c>
      <c r="K3769" s="21">
        <v>42940.691435185203</v>
      </c>
      <c r="L3769">
        <v>2017</v>
      </c>
      <c r="Q3769" s="262">
        <v>2900000</v>
      </c>
      <c r="R3769" s="262">
        <v>735000</v>
      </c>
      <c r="S3769" t="s">
        <v>114</v>
      </c>
      <c r="T3769" t="s">
        <v>114</v>
      </c>
      <c r="W3769">
        <v>8068</v>
      </c>
      <c r="X3769">
        <v>1</v>
      </c>
      <c r="Y3769">
        <v>0</v>
      </c>
      <c r="Z3769">
        <v>0</v>
      </c>
      <c r="AA3769">
        <v>0</v>
      </c>
      <c r="AB3769">
        <v>0</v>
      </c>
      <c r="AC3769">
        <v>8068</v>
      </c>
      <c r="AD3769">
        <v>0</v>
      </c>
      <c r="AE3769">
        <v>0</v>
      </c>
      <c r="AF3769">
        <v>0</v>
      </c>
      <c r="AG3769">
        <v>0</v>
      </c>
      <c r="AH3769">
        <v>0</v>
      </c>
      <c r="AI3769">
        <v>0</v>
      </c>
      <c r="AJ3769">
        <v>0</v>
      </c>
      <c r="AK3769">
        <v>0</v>
      </c>
      <c r="AL3769">
        <v>0</v>
      </c>
      <c r="AM3769">
        <v>0</v>
      </c>
      <c r="AN3769">
        <v>0</v>
      </c>
      <c r="AO3769">
        <v>1</v>
      </c>
      <c r="AP3769">
        <v>0</v>
      </c>
      <c r="AQ3769">
        <v>0</v>
      </c>
      <c r="AR3769">
        <v>0</v>
      </c>
      <c r="AS3769">
        <v>0</v>
      </c>
      <c r="AT3769">
        <v>0</v>
      </c>
      <c r="AU3769">
        <f t="shared" si="116"/>
        <v>1</v>
      </c>
      <c r="AV3769">
        <f t="shared" si="117"/>
        <v>0</v>
      </c>
    </row>
    <row r="3770" spans="1:48" x14ac:dyDescent="0.25">
      <c r="A3770" t="s">
        <v>11807</v>
      </c>
      <c r="C3770" t="s">
        <v>11808</v>
      </c>
      <c r="D3770" t="s">
        <v>11809</v>
      </c>
      <c r="E3770" t="s">
        <v>2310</v>
      </c>
      <c r="F3770">
        <v>15</v>
      </c>
      <c r="G3770">
        <v>15.4</v>
      </c>
      <c r="H3770" t="s">
        <v>2323</v>
      </c>
      <c r="I3770" s="21">
        <v>41572.668067129598</v>
      </c>
      <c r="J3770">
        <v>2013</v>
      </c>
      <c r="K3770" s="21">
        <v>41618.473437499997</v>
      </c>
      <c r="L3770">
        <v>2013</v>
      </c>
      <c r="M3770" s="21">
        <v>42144.563437500001</v>
      </c>
      <c r="N3770">
        <v>2015</v>
      </c>
      <c r="Q3770" s="262">
        <v>800000</v>
      </c>
      <c r="R3770" s="262">
        <v>464000</v>
      </c>
      <c r="S3770" t="s">
        <v>114</v>
      </c>
      <c r="T3770" t="s">
        <v>114</v>
      </c>
      <c r="W3770">
        <v>4740</v>
      </c>
      <c r="X3770">
        <v>1</v>
      </c>
      <c r="Y3770">
        <v>0</v>
      </c>
      <c r="Z3770">
        <v>0</v>
      </c>
      <c r="AA3770">
        <v>0</v>
      </c>
      <c r="AB3770">
        <v>0</v>
      </c>
      <c r="AC3770">
        <v>4740</v>
      </c>
      <c r="AD3770">
        <v>0</v>
      </c>
      <c r="AE3770">
        <v>0</v>
      </c>
      <c r="AF3770">
        <v>0</v>
      </c>
      <c r="AG3770">
        <v>0</v>
      </c>
      <c r="AH3770">
        <v>0</v>
      </c>
      <c r="AI3770">
        <v>0</v>
      </c>
      <c r="AJ3770">
        <v>0</v>
      </c>
      <c r="AK3770">
        <v>0</v>
      </c>
      <c r="AL3770">
        <v>0</v>
      </c>
      <c r="AM3770">
        <v>0</v>
      </c>
      <c r="AN3770">
        <v>0</v>
      </c>
      <c r="AO3770">
        <v>1</v>
      </c>
      <c r="AP3770">
        <v>0</v>
      </c>
      <c r="AQ3770">
        <v>0</v>
      </c>
      <c r="AR3770">
        <v>0</v>
      </c>
      <c r="AS3770">
        <v>0</v>
      </c>
      <c r="AT3770">
        <v>0</v>
      </c>
      <c r="AU3770">
        <f t="shared" si="116"/>
        <v>1</v>
      </c>
      <c r="AV3770">
        <f t="shared" si="117"/>
        <v>0</v>
      </c>
    </row>
    <row r="3771" spans="1:48" x14ac:dyDescent="0.25">
      <c r="A3771" t="s">
        <v>11810</v>
      </c>
      <c r="C3771" t="s">
        <v>11559</v>
      </c>
      <c r="D3771" t="s">
        <v>11811</v>
      </c>
      <c r="E3771" t="s">
        <v>1663</v>
      </c>
      <c r="F3771">
        <v>6</v>
      </c>
      <c r="G3771">
        <v>6.1</v>
      </c>
      <c r="H3771" t="s">
        <v>2017</v>
      </c>
      <c r="I3771" s="21">
        <v>41578</v>
      </c>
      <c r="J3771">
        <v>2013</v>
      </c>
      <c r="K3771" s="21">
        <v>41600</v>
      </c>
      <c r="L3771">
        <v>2013</v>
      </c>
      <c r="M3771" s="21">
        <v>41781</v>
      </c>
      <c r="N3771">
        <v>2014</v>
      </c>
      <c r="Q3771" s="262">
        <v>525000</v>
      </c>
      <c r="S3771" t="s">
        <v>114</v>
      </c>
      <c r="T3771" t="s">
        <v>114</v>
      </c>
      <c r="W3771">
        <v>3149</v>
      </c>
      <c r="X3771">
        <v>1</v>
      </c>
      <c r="Y3771">
        <v>0</v>
      </c>
      <c r="Z3771">
        <v>0</v>
      </c>
      <c r="AA3771">
        <v>0</v>
      </c>
      <c r="AB3771">
        <v>0</v>
      </c>
      <c r="AC3771">
        <v>3149</v>
      </c>
      <c r="AD3771">
        <v>0</v>
      </c>
      <c r="AE3771">
        <v>0</v>
      </c>
      <c r="AF3771">
        <v>0</v>
      </c>
      <c r="AG3771">
        <v>0</v>
      </c>
      <c r="AH3771">
        <v>0</v>
      </c>
      <c r="AI3771">
        <v>0</v>
      </c>
      <c r="AJ3771">
        <v>0</v>
      </c>
      <c r="AK3771">
        <v>0</v>
      </c>
      <c r="AL3771">
        <v>0</v>
      </c>
      <c r="AM3771">
        <v>0</v>
      </c>
      <c r="AN3771">
        <v>0</v>
      </c>
      <c r="AO3771">
        <v>1</v>
      </c>
      <c r="AP3771">
        <v>0</v>
      </c>
      <c r="AQ3771">
        <v>0</v>
      </c>
      <c r="AR3771">
        <v>0</v>
      </c>
      <c r="AS3771">
        <v>0</v>
      </c>
      <c r="AT3771">
        <v>0</v>
      </c>
      <c r="AU3771">
        <f t="shared" si="116"/>
        <v>1</v>
      </c>
      <c r="AV3771">
        <f t="shared" si="117"/>
        <v>0</v>
      </c>
    </row>
    <row r="3772" spans="1:48" x14ac:dyDescent="0.25">
      <c r="A3772" t="s">
        <v>11812</v>
      </c>
      <c r="C3772" t="s">
        <v>11559</v>
      </c>
      <c r="D3772" t="s">
        <v>11813</v>
      </c>
      <c r="E3772" t="s">
        <v>1663</v>
      </c>
      <c r="F3772">
        <v>6</v>
      </c>
      <c r="G3772">
        <v>6.1</v>
      </c>
      <c r="H3772" t="s">
        <v>2017</v>
      </c>
      <c r="I3772" s="21">
        <v>41578</v>
      </c>
      <c r="J3772">
        <v>2013</v>
      </c>
      <c r="K3772" s="21">
        <v>41600</v>
      </c>
      <c r="L3772">
        <v>2013</v>
      </c>
      <c r="M3772" s="21">
        <v>41781</v>
      </c>
      <c r="N3772">
        <v>2014</v>
      </c>
      <c r="Q3772" s="262">
        <v>525000</v>
      </c>
      <c r="S3772" t="s">
        <v>114</v>
      </c>
      <c r="T3772" t="s">
        <v>114</v>
      </c>
      <c r="W3772">
        <v>3149</v>
      </c>
      <c r="X3772">
        <v>0</v>
      </c>
      <c r="Y3772">
        <v>0</v>
      </c>
      <c r="Z3772">
        <v>0</v>
      </c>
      <c r="AA3772">
        <v>0</v>
      </c>
      <c r="AB3772">
        <v>0</v>
      </c>
      <c r="AC3772">
        <v>3149</v>
      </c>
      <c r="AD3772">
        <v>0</v>
      </c>
      <c r="AE3772">
        <v>0</v>
      </c>
      <c r="AF3772">
        <v>0</v>
      </c>
      <c r="AG3772">
        <v>0</v>
      </c>
      <c r="AH3772">
        <v>0</v>
      </c>
      <c r="AI3772">
        <v>0</v>
      </c>
      <c r="AJ3772">
        <v>0</v>
      </c>
      <c r="AK3772">
        <v>0</v>
      </c>
      <c r="AL3772">
        <v>0</v>
      </c>
      <c r="AM3772">
        <v>0</v>
      </c>
      <c r="AN3772">
        <v>0</v>
      </c>
      <c r="AO3772">
        <v>0</v>
      </c>
      <c r="AP3772">
        <v>0</v>
      </c>
      <c r="AQ3772">
        <v>0</v>
      </c>
      <c r="AR3772">
        <v>0</v>
      </c>
      <c r="AS3772">
        <v>0</v>
      </c>
      <c r="AT3772">
        <v>0</v>
      </c>
      <c r="AU3772">
        <f t="shared" si="116"/>
        <v>0</v>
      </c>
      <c r="AV3772">
        <f t="shared" si="117"/>
        <v>0</v>
      </c>
    </row>
    <row r="3773" spans="1:48" x14ac:dyDescent="0.25">
      <c r="A3773" t="s">
        <v>11814</v>
      </c>
      <c r="C3773" t="s">
        <v>11815</v>
      </c>
      <c r="D3773" t="s">
        <v>7101</v>
      </c>
      <c r="E3773" t="s">
        <v>2310</v>
      </c>
      <c r="F3773">
        <v>9</v>
      </c>
      <c r="G3773">
        <v>9.3000000000000007</v>
      </c>
      <c r="H3773" t="s">
        <v>2323</v>
      </c>
      <c r="I3773" s="21">
        <v>41583.472893518498</v>
      </c>
      <c r="J3773">
        <v>2013</v>
      </c>
      <c r="K3773" s="21">
        <v>41815.602928240703</v>
      </c>
      <c r="L3773">
        <v>2014</v>
      </c>
      <c r="M3773" s="21">
        <v>42376.360219907401</v>
      </c>
      <c r="N3773">
        <v>2016</v>
      </c>
      <c r="Q3773" s="262">
        <v>175000</v>
      </c>
      <c r="R3773" s="262">
        <v>43000</v>
      </c>
      <c r="S3773" t="s">
        <v>114</v>
      </c>
      <c r="T3773" t="s">
        <v>114</v>
      </c>
      <c r="W3773">
        <v>1056</v>
      </c>
      <c r="X3773">
        <v>0</v>
      </c>
      <c r="Y3773">
        <v>0</v>
      </c>
      <c r="Z3773">
        <v>0</v>
      </c>
      <c r="AA3773">
        <v>0</v>
      </c>
      <c r="AB3773">
        <v>0</v>
      </c>
      <c r="AC3773">
        <v>1056</v>
      </c>
      <c r="AD3773">
        <v>0</v>
      </c>
      <c r="AE3773">
        <v>0</v>
      </c>
      <c r="AF3773">
        <v>0</v>
      </c>
      <c r="AG3773">
        <v>0</v>
      </c>
      <c r="AH3773">
        <v>0</v>
      </c>
      <c r="AI3773">
        <v>0</v>
      </c>
      <c r="AJ3773">
        <v>0</v>
      </c>
      <c r="AK3773">
        <v>0</v>
      </c>
      <c r="AL3773">
        <v>0</v>
      </c>
      <c r="AM3773">
        <v>0</v>
      </c>
      <c r="AN3773">
        <v>0</v>
      </c>
      <c r="AO3773">
        <v>0</v>
      </c>
      <c r="AP3773">
        <v>0</v>
      </c>
      <c r="AQ3773">
        <v>0</v>
      </c>
      <c r="AR3773">
        <v>0</v>
      </c>
      <c r="AS3773">
        <v>0</v>
      </c>
      <c r="AT3773">
        <v>0</v>
      </c>
      <c r="AU3773">
        <f t="shared" si="116"/>
        <v>0</v>
      </c>
      <c r="AV3773">
        <f t="shared" si="117"/>
        <v>0</v>
      </c>
    </row>
    <row r="3774" spans="1:48" x14ac:dyDescent="0.25">
      <c r="A3774" t="s">
        <v>11814</v>
      </c>
      <c r="B3774" t="s">
        <v>11816</v>
      </c>
      <c r="C3774" t="s">
        <v>11815</v>
      </c>
      <c r="D3774" t="s">
        <v>7101</v>
      </c>
      <c r="E3774" t="s">
        <v>2310</v>
      </c>
      <c r="F3774">
        <v>9</v>
      </c>
      <c r="G3774">
        <v>9.3000000000000007</v>
      </c>
      <c r="H3774" t="s">
        <v>2323</v>
      </c>
      <c r="I3774" s="21">
        <v>41583.472893518498</v>
      </c>
      <c r="J3774">
        <v>2013</v>
      </c>
      <c r="K3774" s="21">
        <v>41815.602928240703</v>
      </c>
      <c r="L3774">
        <v>2014</v>
      </c>
      <c r="M3774" s="21">
        <v>42376.360219907401</v>
      </c>
      <c r="N3774">
        <v>2016</v>
      </c>
      <c r="S3774" t="s">
        <v>114</v>
      </c>
      <c r="T3774" t="s">
        <v>114</v>
      </c>
      <c r="V3774">
        <v>0</v>
      </c>
      <c r="W3774">
        <v>0</v>
      </c>
      <c r="X3774">
        <v>0</v>
      </c>
      <c r="Y3774">
        <v>0</v>
      </c>
      <c r="Z3774">
        <v>0</v>
      </c>
      <c r="AA3774">
        <v>0</v>
      </c>
      <c r="AB3774">
        <v>0</v>
      </c>
      <c r="AC3774">
        <v>0</v>
      </c>
      <c r="AD3774">
        <v>0</v>
      </c>
      <c r="AE3774">
        <v>0</v>
      </c>
      <c r="AF3774">
        <v>0</v>
      </c>
      <c r="AG3774">
        <v>0</v>
      </c>
      <c r="AH3774">
        <v>0</v>
      </c>
      <c r="AI3774">
        <v>0</v>
      </c>
      <c r="AJ3774">
        <v>0</v>
      </c>
      <c r="AK3774">
        <v>0</v>
      </c>
      <c r="AL3774">
        <v>0</v>
      </c>
      <c r="AM3774">
        <v>0</v>
      </c>
      <c r="AN3774">
        <v>0</v>
      </c>
      <c r="AO3774">
        <v>0</v>
      </c>
      <c r="AP3774">
        <v>0</v>
      </c>
      <c r="AQ3774">
        <v>0</v>
      </c>
      <c r="AR3774">
        <v>0</v>
      </c>
      <c r="AS3774">
        <v>0</v>
      </c>
      <c r="AT3774">
        <v>0</v>
      </c>
      <c r="AU3774">
        <f t="shared" si="116"/>
        <v>0</v>
      </c>
      <c r="AV3774">
        <f t="shared" si="117"/>
        <v>0</v>
      </c>
    </row>
    <row r="3775" spans="1:48" x14ac:dyDescent="0.25">
      <c r="A3775" t="s">
        <v>11817</v>
      </c>
      <c r="C3775" t="s">
        <v>4934</v>
      </c>
      <c r="D3775" t="s">
        <v>11818</v>
      </c>
      <c r="E3775" t="s">
        <v>2310</v>
      </c>
      <c r="F3775">
        <v>10</v>
      </c>
      <c r="G3775">
        <v>10.1</v>
      </c>
      <c r="H3775" t="s">
        <v>2323</v>
      </c>
      <c r="I3775" s="21">
        <v>41583.574837963002</v>
      </c>
      <c r="J3775">
        <v>2013</v>
      </c>
      <c r="K3775" s="21">
        <v>41624.482858796298</v>
      </c>
      <c r="L3775">
        <v>2013</v>
      </c>
      <c r="M3775" s="21">
        <v>42263.452141203699</v>
      </c>
      <c r="N3775">
        <v>2015</v>
      </c>
      <c r="Q3775" s="262">
        <v>150000</v>
      </c>
      <c r="R3775" s="262">
        <v>179000</v>
      </c>
      <c r="S3775" t="s">
        <v>114</v>
      </c>
      <c r="T3775" t="s">
        <v>114</v>
      </c>
      <c r="W3775">
        <v>4075</v>
      </c>
      <c r="X3775">
        <v>0</v>
      </c>
      <c r="Y3775">
        <v>0</v>
      </c>
      <c r="Z3775">
        <v>0</v>
      </c>
      <c r="AA3775">
        <v>0</v>
      </c>
      <c r="AB3775">
        <v>0</v>
      </c>
      <c r="AC3775">
        <v>4075</v>
      </c>
      <c r="AD3775">
        <v>0</v>
      </c>
      <c r="AE3775">
        <v>0</v>
      </c>
      <c r="AF3775">
        <v>0</v>
      </c>
      <c r="AG3775">
        <v>0</v>
      </c>
      <c r="AH3775">
        <v>0</v>
      </c>
      <c r="AI3775">
        <v>0</v>
      </c>
      <c r="AJ3775">
        <v>0</v>
      </c>
      <c r="AK3775">
        <v>0</v>
      </c>
      <c r="AL3775">
        <v>0</v>
      </c>
      <c r="AM3775">
        <v>0</v>
      </c>
      <c r="AN3775">
        <v>0</v>
      </c>
      <c r="AO3775">
        <v>0</v>
      </c>
      <c r="AP3775">
        <v>0</v>
      </c>
      <c r="AQ3775">
        <v>0</v>
      </c>
      <c r="AR3775">
        <v>0</v>
      </c>
      <c r="AS3775">
        <v>0</v>
      </c>
      <c r="AT3775">
        <v>0</v>
      </c>
      <c r="AU3775">
        <f t="shared" si="116"/>
        <v>0</v>
      </c>
      <c r="AV3775">
        <f t="shared" si="117"/>
        <v>0</v>
      </c>
    </row>
    <row r="3776" spans="1:48" x14ac:dyDescent="0.25">
      <c r="A3776" t="s">
        <v>11819</v>
      </c>
      <c r="C3776" t="s">
        <v>11820</v>
      </c>
      <c r="D3776" t="s">
        <v>11821</v>
      </c>
      <c r="E3776" t="s">
        <v>2310</v>
      </c>
      <c r="F3776">
        <v>10</v>
      </c>
      <c r="G3776">
        <v>10.1</v>
      </c>
      <c r="H3776" t="s">
        <v>2323</v>
      </c>
      <c r="I3776" s="21">
        <v>41584.602210648103</v>
      </c>
      <c r="J3776">
        <v>2013</v>
      </c>
      <c r="K3776" s="21">
        <v>41619.661759259303</v>
      </c>
      <c r="L3776">
        <v>2013</v>
      </c>
      <c r="M3776" s="21">
        <v>41967.3673263889</v>
      </c>
      <c r="N3776">
        <v>2014</v>
      </c>
      <c r="Q3776" s="262">
        <v>450000</v>
      </c>
      <c r="R3776" s="262">
        <v>221000</v>
      </c>
      <c r="S3776" t="s">
        <v>114</v>
      </c>
      <c r="T3776" t="s">
        <v>114</v>
      </c>
      <c r="W3776">
        <v>2343</v>
      </c>
      <c r="X3776">
        <v>1</v>
      </c>
      <c r="Y3776">
        <v>0</v>
      </c>
      <c r="Z3776">
        <v>0</v>
      </c>
      <c r="AA3776">
        <v>0</v>
      </c>
      <c r="AB3776">
        <v>0</v>
      </c>
      <c r="AC3776">
        <v>2343</v>
      </c>
      <c r="AD3776">
        <v>0</v>
      </c>
      <c r="AE3776">
        <v>0</v>
      </c>
      <c r="AF3776">
        <v>0</v>
      </c>
      <c r="AG3776">
        <v>0</v>
      </c>
      <c r="AH3776">
        <v>0</v>
      </c>
      <c r="AI3776">
        <v>0</v>
      </c>
      <c r="AJ3776">
        <v>0</v>
      </c>
      <c r="AK3776">
        <v>0</v>
      </c>
      <c r="AL3776">
        <v>0</v>
      </c>
      <c r="AM3776">
        <v>0</v>
      </c>
      <c r="AN3776">
        <v>0</v>
      </c>
      <c r="AO3776">
        <v>1</v>
      </c>
      <c r="AP3776">
        <v>0</v>
      </c>
      <c r="AQ3776">
        <v>0</v>
      </c>
      <c r="AR3776">
        <v>0</v>
      </c>
      <c r="AS3776">
        <v>0</v>
      </c>
      <c r="AT3776">
        <v>0</v>
      </c>
      <c r="AU3776">
        <f t="shared" si="116"/>
        <v>1</v>
      </c>
      <c r="AV3776">
        <f t="shared" si="117"/>
        <v>0</v>
      </c>
    </row>
    <row r="3777" spans="1:48" x14ac:dyDescent="0.25">
      <c r="A3777" t="s">
        <v>11822</v>
      </c>
      <c r="C3777" t="s">
        <v>11823</v>
      </c>
      <c r="D3777" t="s">
        <v>11824</v>
      </c>
      <c r="E3777" t="s">
        <v>2310</v>
      </c>
      <c r="F3777">
        <v>8</v>
      </c>
      <c r="G3777">
        <v>8.3000000000000007</v>
      </c>
      <c r="H3777" t="s">
        <v>2323</v>
      </c>
      <c r="I3777" s="21">
        <v>41585.454074074099</v>
      </c>
      <c r="J3777">
        <v>2013</v>
      </c>
      <c r="K3777" s="21">
        <v>41614.653831018499</v>
      </c>
      <c r="L3777">
        <v>2013</v>
      </c>
      <c r="M3777" s="21">
        <v>41717.6269328704</v>
      </c>
      <c r="N3777">
        <v>2014</v>
      </c>
      <c r="Q3777" s="262">
        <v>75000</v>
      </c>
      <c r="R3777" s="262">
        <v>62000</v>
      </c>
      <c r="S3777" t="s">
        <v>114</v>
      </c>
      <c r="T3777" t="s">
        <v>114</v>
      </c>
      <c r="W3777">
        <v>1152</v>
      </c>
      <c r="X3777">
        <v>1</v>
      </c>
      <c r="Y3777">
        <v>1152</v>
      </c>
      <c r="Z3777">
        <v>0</v>
      </c>
      <c r="AA3777">
        <v>0</v>
      </c>
      <c r="AB3777">
        <v>0</v>
      </c>
      <c r="AC3777">
        <v>0</v>
      </c>
      <c r="AD3777">
        <v>0</v>
      </c>
      <c r="AE3777">
        <v>0</v>
      </c>
      <c r="AF3777">
        <v>0</v>
      </c>
      <c r="AG3777">
        <v>0</v>
      </c>
      <c r="AH3777">
        <v>0</v>
      </c>
      <c r="AI3777">
        <v>0</v>
      </c>
      <c r="AJ3777">
        <v>0</v>
      </c>
      <c r="AK3777">
        <v>0</v>
      </c>
      <c r="AL3777">
        <v>0</v>
      </c>
      <c r="AM3777">
        <v>0</v>
      </c>
      <c r="AN3777">
        <v>1</v>
      </c>
      <c r="AO3777">
        <v>0</v>
      </c>
      <c r="AP3777">
        <v>0</v>
      </c>
      <c r="AQ3777">
        <v>0</v>
      </c>
      <c r="AR3777">
        <v>0</v>
      </c>
      <c r="AS3777">
        <v>0</v>
      </c>
      <c r="AT3777">
        <v>0</v>
      </c>
      <c r="AU3777">
        <f t="shared" si="116"/>
        <v>1</v>
      </c>
      <c r="AV3777">
        <f t="shared" si="117"/>
        <v>1152</v>
      </c>
    </row>
    <row r="3778" spans="1:48" x14ac:dyDescent="0.25">
      <c r="A3778" t="s">
        <v>11825</v>
      </c>
      <c r="C3778" t="s">
        <v>11826</v>
      </c>
      <c r="D3778" t="s">
        <v>11827</v>
      </c>
      <c r="E3778" t="s">
        <v>2310</v>
      </c>
      <c r="F3778">
        <v>12</v>
      </c>
      <c r="G3778">
        <v>12.3</v>
      </c>
      <c r="H3778" t="s">
        <v>2017</v>
      </c>
      <c r="I3778" s="21">
        <v>41585.543599536999</v>
      </c>
      <c r="J3778">
        <v>2013</v>
      </c>
      <c r="K3778" s="21">
        <v>41624.482499999998</v>
      </c>
      <c r="L3778">
        <v>2013</v>
      </c>
      <c r="M3778" s="21">
        <v>41808.495844907397</v>
      </c>
      <c r="N3778">
        <v>2014</v>
      </c>
      <c r="Q3778" s="262">
        <v>300000</v>
      </c>
      <c r="R3778" s="262">
        <v>38000</v>
      </c>
      <c r="S3778" t="s">
        <v>114</v>
      </c>
      <c r="T3778" t="s">
        <v>114</v>
      </c>
      <c r="W3778">
        <v>330</v>
      </c>
      <c r="X3778">
        <v>0</v>
      </c>
      <c r="Y3778">
        <v>0</v>
      </c>
      <c r="Z3778">
        <v>0</v>
      </c>
      <c r="AA3778">
        <v>0</v>
      </c>
      <c r="AB3778">
        <v>0</v>
      </c>
      <c r="AC3778">
        <v>330</v>
      </c>
      <c r="AD3778">
        <v>0</v>
      </c>
      <c r="AE3778">
        <v>0</v>
      </c>
      <c r="AF3778">
        <v>0</v>
      </c>
      <c r="AG3778">
        <v>0</v>
      </c>
      <c r="AH3778">
        <v>0</v>
      </c>
      <c r="AI3778">
        <v>0</v>
      </c>
      <c r="AJ3778">
        <v>0</v>
      </c>
      <c r="AK3778">
        <v>0</v>
      </c>
      <c r="AL3778">
        <v>0</v>
      </c>
      <c r="AM3778">
        <v>0</v>
      </c>
      <c r="AN3778">
        <v>0</v>
      </c>
      <c r="AO3778">
        <v>0</v>
      </c>
      <c r="AP3778">
        <v>0</v>
      </c>
      <c r="AQ3778">
        <v>0</v>
      </c>
      <c r="AR3778">
        <v>0</v>
      </c>
      <c r="AS3778">
        <v>0</v>
      </c>
      <c r="AT3778">
        <v>0</v>
      </c>
      <c r="AU3778">
        <f t="shared" si="116"/>
        <v>0</v>
      </c>
      <c r="AV3778">
        <f t="shared" si="117"/>
        <v>0</v>
      </c>
    </row>
    <row r="3779" spans="1:48" x14ac:dyDescent="0.25">
      <c r="A3779" t="s">
        <v>13433</v>
      </c>
      <c r="C3779" t="s">
        <v>13434</v>
      </c>
      <c r="D3779" t="s">
        <v>2968</v>
      </c>
      <c r="E3779" t="s">
        <v>1663</v>
      </c>
      <c r="F3779">
        <v>6</v>
      </c>
      <c r="G3779">
        <v>6.1</v>
      </c>
      <c r="H3779" t="s">
        <v>2017</v>
      </c>
      <c r="I3779" s="21">
        <v>41591</v>
      </c>
      <c r="J3779">
        <v>2013</v>
      </c>
      <c r="K3779" s="21">
        <v>41611</v>
      </c>
      <c r="L3779">
        <v>2013</v>
      </c>
      <c r="M3779" s="21">
        <v>42752</v>
      </c>
      <c r="N3779">
        <v>2017</v>
      </c>
      <c r="Q3779" s="262">
        <v>90000</v>
      </c>
      <c r="S3779" t="s">
        <v>114</v>
      </c>
      <c r="T3779" t="s">
        <v>114</v>
      </c>
      <c r="W3779">
        <v>0</v>
      </c>
      <c r="X3779">
        <v>0</v>
      </c>
      <c r="Y3779">
        <v>0</v>
      </c>
      <c r="Z3779">
        <v>0</v>
      </c>
      <c r="AA3779">
        <v>0</v>
      </c>
      <c r="AB3779">
        <v>0</v>
      </c>
      <c r="AC3779">
        <v>0</v>
      </c>
      <c r="AD3779">
        <v>0</v>
      </c>
      <c r="AE3779">
        <v>0</v>
      </c>
      <c r="AF3779">
        <v>0</v>
      </c>
      <c r="AG3779">
        <v>0</v>
      </c>
      <c r="AH3779">
        <v>0</v>
      </c>
      <c r="AI3779">
        <v>0</v>
      </c>
      <c r="AJ3779">
        <v>0</v>
      </c>
      <c r="AK3779">
        <v>0</v>
      </c>
      <c r="AL3779">
        <v>0</v>
      </c>
      <c r="AM3779">
        <v>0</v>
      </c>
      <c r="AN3779">
        <v>0</v>
      </c>
      <c r="AO3779">
        <v>0</v>
      </c>
      <c r="AP3779">
        <v>0</v>
      </c>
      <c r="AQ3779">
        <v>0</v>
      </c>
      <c r="AR3779">
        <v>0</v>
      </c>
      <c r="AS3779">
        <v>0</v>
      </c>
      <c r="AT3779">
        <v>0</v>
      </c>
      <c r="AU3779">
        <f t="shared" si="116"/>
        <v>0</v>
      </c>
      <c r="AV3779">
        <f t="shared" si="117"/>
        <v>0</v>
      </c>
    </row>
    <row r="3780" spans="1:48" x14ac:dyDescent="0.25">
      <c r="A3780" t="s">
        <v>11828</v>
      </c>
      <c r="C3780" t="s">
        <v>11709</v>
      </c>
      <c r="D3780" t="s">
        <v>11829</v>
      </c>
      <c r="E3780" t="s">
        <v>1663</v>
      </c>
      <c r="F3780">
        <v>6</v>
      </c>
      <c r="G3780">
        <v>6.1</v>
      </c>
      <c r="H3780" t="s">
        <v>2017</v>
      </c>
      <c r="I3780" s="21">
        <v>41599</v>
      </c>
      <c r="J3780">
        <v>2013</v>
      </c>
      <c r="K3780" s="21">
        <v>41767</v>
      </c>
      <c r="L3780">
        <v>2014</v>
      </c>
      <c r="M3780" s="21">
        <v>42181</v>
      </c>
      <c r="N3780">
        <v>2015</v>
      </c>
      <c r="Q3780" s="262">
        <v>900000</v>
      </c>
      <c r="S3780" t="s">
        <v>114</v>
      </c>
      <c r="T3780" t="s">
        <v>114</v>
      </c>
      <c r="W3780">
        <v>2680</v>
      </c>
      <c r="X3780">
        <v>1</v>
      </c>
      <c r="Y3780">
        <v>0</v>
      </c>
      <c r="Z3780">
        <v>0</v>
      </c>
      <c r="AA3780">
        <v>0</v>
      </c>
      <c r="AB3780">
        <v>0</v>
      </c>
      <c r="AC3780">
        <v>0</v>
      </c>
      <c r="AD3780">
        <v>2680</v>
      </c>
      <c r="AE3780">
        <v>0</v>
      </c>
      <c r="AF3780">
        <v>0</v>
      </c>
      <c r="AG3780">
        <v>0</v>
      </c>
      <c r="AH3780">
        <v>0</v>
      </c>
      <c r="AI3780">
        <v>0</v>
      </c>
      <c r="AJ3780">
        <v>0</v>
      </c>
      <c r="AK3780">
        <v>0</v>
      </c>
      <c r="AL3780">
        <v>0</v>
      </c>
      <c r="AM3780">
        <v>0</v>
      </c>
      <c r="AN3780">
        <v>0</v>
      </c>
      <c r="AO3780">
        <v>0</v>
      </c>
      <c r="AP3780">
        <v>1</v>
      </c>
      <c r="AQ3780">
        <v>0</v>
      </c>
      <c r="AR3780">
        <v>0</v>
      </c>
      <c r="AS3780">
        <v>0</v>
      </c>
      <c r="AT3780">
        <v>0</v>
      </c>
      <c r="AU3780">
        <f t="shared" si="116"/>
        <v>1</v>
      </c>
      <c r="AV3780">
        <f t="shared" si="117"/>
        <v>0</v>
      </c>
    </row>
    <row r="3781" spans="1:48" x14ac:dyDescent="0.25">
      <c r="A3781" t="s">
        <v>11830</v>
      </c>
      <c r="C3781" t="s">
        <v>11706</v>
      </c>
      <c r="D3781" t="s">
        <v>11831</v>
      </c>
      <c r="E3781" t="s">
        <v>1663</v>
      </c>
      <c r="F3781">
        <v>6</v>
      </c>
      <c r="G3781">
        <v>6.1</v>
      </c>
      <c r="H3781" t="s">
        <v>2017</v>
      </c>
      <c r="I3781" s="21">
        <v>41599</v>
      </c>
      <c r="J3781">
        <v>2013</v>
      </c>
      <c r="K3781" s="21">
        <v>41767</v>
      </c>
      <c r="L3781">
        <v>2014</v>
      </c>
      <c r="M3781" s="21">
        <v>42223</v>
      </c>
      <c r="N3781">
        <v>2015</v>
      </c>
      <c r="Q3781" s="262">
        <v>900000</v>
      </c>
      <c r="S3781" t="s">
        <v>114</v>
      </c>
      <c r="T3781" t="s">
        <v>114</v>
      </c>
      <c r="W3781">
        <v>2813</v>
      </c>
      <c r="X3781">
        <v>1</v>
      </c>
      <c r="Y3781">
        <v>0</v>
      </c>
      <c r="Z3781">
        <v>0</v>
      </c>
      <c r="AA3781">
        <v>0</v>
      </c>
      <c r="AB3781">
        <v>0</v>
      </c>
      <c r="AC3781">
        <v>0</v>
      </c>
      <c r="AD3781">
        <v>2813</v>
      </c>
      <c r="AE3781">
        <v>0</v>
      </c>
      <c r="AF3781">
        <v>0</v>
      </c>
      <c r="AG3781">
        <v>0</v>
      </c>
      <c r="AH3781">
        <v>0</v>
      </c>
      <c r="AI3781">
        <v>0</v>
      </c>
      <c r="AJ3781">
        <v>0</v>
      </c>
      <c r="AK3781">
        <v>0</v>
      </c>
      <c r="AL3781">
        <v>0</v>
      </c>
      <c r="AM3781">
        <v>0</v>
      </c>
      <c r="AN3781">
        <v>0</v>
      </c>
      <c r="AO3781">
        <v>0</v>
      </c>
      <c r="AP3781">
        <v>1</v>
      </c>
      <c r="AQ3781">
        <v>0</v>
      </c>
      <c r="AR3781">
        <v>0</v>
      </c>
      <c r="AS3781">
        <v>0</v>
      </c>
      <c r="AT3781">
        <v>0</v>
      </c>
      <c r="AU3781">
        <f t="shared" si="116"/>
        <v>1</v>
      </c>
      <c r="AV3781">
        <f t="shared" si="117"/>
        <v>0</v>
      </c>
    </row>
    <row r="3782" spans="1:48" x14ac:dyDescent="0.25">
      <c r="A3782" t="s">
        <v>11832</v>
      </c>
      <c r="C3782" t="s">
        <v>11706</v>
      </c>
      <c r="D3782" t="s">
        <v>9482</v>
      </c>
      <c r="E3782" t="s">
        <v>1663</v>
      </c>
      <c r="F3782">
        <v>6</v>
      </c>
      <c r="G3782">
        <v>6.1</v>
      </c>
      <c r="H3782" t="s">
        <v>2017</v>
      </c>
      <c r="I3782" s="21">
        <v>41599</v>
      </c>
      <c r="J3782">
        <v>2013</v>
      </c>
      <c r="K3782" s="21">
        <v>41767</v>
      </c>
      <c r="L3782">
        <v>2014</v>
      </c>
      <c r="M3782" s="21">
        <v>42181</v>
      </c>
      <c r="N3782">
        <v>2015</v>
      </c>
      <c r="Q3782" s="262">
        <v>900000</v>
      </c>
      <c r="S3782" t="s">
        <v>114</v>
      </c>
      <c r="T3782" t="s">
        <v>114</v>
      </c>
      <c r="W3782">
        <v>2680</v>
      </c>
      <c r="X3782">
        <v>1</v>
      </c>
      <c r="Y3782">
        <v>0</v>
      </c>
      <c r="Z3782">
        <v>0</v>
      </c>
      <c r="AA3782">
        <v>0</v>
      </c>
      <c r="AB3782">
        <v>0</v>
      </c>
      <c r="AC3782">
        <v>0</v>
      </c>
      <c r="AD3782">
        <v>2680</v>
      </c>
      <c r="AE3782">
        <v>0</v>
      </c>
      <c r="AF3782">
        <v>0</v>
      </c>
      <c r="AG3782">
        <v>0</v>
      </c>
      <c r="AH3782">
        <v>0</v>
      </c>
      <c r="AI3782">
        <v>0</v>
      </c>
      <c r="AJ3782">
        <v>0</v>
      </c>
      <c r="AK3782">
        <v>0</v>
      </c>
      <c r="AL3782">
        <v>0</v>
      </c>
      <c r="AM3782">
        <v>0</v>
      </c>
      <c r="AN3782">
        <v>0</v>
      </c>
      <c r="AO3782">
        <v>0</v>
      </c>
      <c r="AP3782">
        <v>1</v>
      </c>
      <c r="AQ3782">
        <v>0</v>
      </c>
      <c r="AR3782">
        <v>0</v>
      </c>
      <c r="AS3782">
        <v>0</v>
      </c>
      <c r="AT3782">
        <v>0</v>
      </c>
      <c r="AU3782">
        <f t="shared" si="116"/>
        <v>1</v>
      </c>
      <c r="AV3782">
        <f t="shared" si="117"/>
        <v>0</v>
      </c>
    </row>
    <row r="3783" spans="1:48" x14ac:dyDescent="0.25">
      <c r="A3783" t="s">
        <v>11833</v>
      </c>
      <c r="C3783" t="s">
        <v>7880</v>
      </c>
      <c r="D3783" t="s">
        <v>11834</v>
      </c>
      <c r="E3783" t="s">
        <v>2310</v>
      </c>
      <c r="F3783">
        <v>9</v>
      </c>
      <c r="G3783">
        <v>9.1</v>
      </c>
      <c r="H3783" t="s">
        <v>2323</v>
      </c>
      <c r="I3783" s="21">
        <v>41599.479976851799</v>
      </c>
      <c r="J3783">
        <v>2013</v>
      </c>
      <c r="P3783" s="21">
        <v>41816.455358796302</v>
      </c>
      <c r="Q3783" s="262">
        <v>125000</v>
      </c>
      <c r="R3783" s="262">
        <v>39000</v>
      </c>
      <c r="S3783" t="s">
        <v>114</v>
      </c>
      <c r="T3783" t="s">
        <v>114</v>
      </c>
      <c r="W3783">
        <v>936</v>
      </c>
      <c r="X3783">
        <v>0</v>
      </c>
      <c r="Y3783">
        <v>0</v>
      </c>
      <c r="Z3783">
        <v>0</v>
      </c>
      <c r="AA3783">
        <v>0</v>
      </c>
      <c r="AB3783">
        <v>0</v>
      </c>
      <c r="AC3783">
        <v>936</v>
      </c>
      <c r="AD3783">
        <v>0</v>
      </c>
      <c r="AE3783">
        <v>0</v>
      </c>
      <c r="AF3783">
        <v>0</v>
      </c>
      <c r="AG3783">
        <v>0</v>
      </c>
      <c r="AH3783">
        <v>0</v>
      </c>
      <c r="AI3783">
        <v>0</v>
      </c>
      <c r="AJ3783">
        <v>0</v>
      </c>
      <c r="AK3783">
        <v>0</v>
      </c>
      <c r="AL3783">
        <v>0</v>
      </c>
      <c r="AM3783">
        <v>0</v>
      </c>
      <c r="AN3783">
        <v>0</v>
      </c>
      <c r="AO3783">
        <v>0</v>
      </c>
      <c r="AP3783">
        <v>0</v>
      </c>
      <c r="AQ3783">
        <v>0</v>
      </c>
      <c r="AR3783">
        <v>0</v>
      </c>
      <c r="AS3783">
        <v>0</v>
      </c>
      <c r="AT3783">
        <v>0</v>
      </c>
      <c r="AU3783">
        <f t="shared" si="116"/>
        <v>0</v>
      </c>
      <c r="AV3783">
        <f t="shared" si="117"/>
        <v>0</v>
      </c>
    </row>
    <row r="3784" spans="1:48" x14ac:dyDescent="0.25">
      <c r="A3784" t="s">
        <v>11835</v>
      </c>
      <c r="C3784" t="s">
        <v>11836</v>
      </c>
      <c r="D3784" t="s">
        <v>11837</v>
      </c>
      <c r="E3784" t="s">
        <v>2310</v>
      </c>
      <c r="F3784">
        <v>15</v>
      </c>
      <c r="G3784">
        <v>15.1</v>
      </c>
      <c r="H3784" t="s">
        <v>2022</v>
      </c>
      <c r="I3784" s="21">
        <v>41599.585277777798</v>
      </c>
      <c r="J3784">
        <v>2013</v>
      </c>
      <c r="K3784" s="21">
        <v>41753.429259259297</v>
      </c>
      <c r="L3784">
        <v>2014</v>
      </c>
      <c r="M3784" s="21">
        <v>42207.616273148102</v>
      </c>
      <c r="N3784">
        <v>2015</v>
      </c>
      <c r="Q3784" s="262">
        <v>55000</v>
      </c>
      <c r="R3784" s="262">
        <v>50000</v>
      </c>
      <c r="S3784" t="s">
        <v>114</v>
      </c>
      <c r="T3784" t="s">
        <v>114</v>
      </c>
      <c r="V3784">
        <v>396</v>
      </c>
      <c r="W3784">
        <v>0</v>
      </c>
      <c r="X3784">
        <v>0</v>
      </c>
      <c r="Y3784">
        <v>0</v>
      </c>
      <c r="Z3784">
        <v>0</v>
      </c>
      <c r="AA3784">
        <v>0</v>
      </c>
      <c r="AB3784">
        <v>0</v>
      </c>
      <c r="AC3784">
        <v>0</v>
      </c>
      <c r="AD3784">
        <v>0</v>
      </c>
      <c r="AE3784">
        <v>0</v>
      </c>
      <c r="AF3784">
        <v>0</v>
      </c>
      <c r="AG3784">
        <v>0</v>
      </c>
      <c r="AH3784">
        <v>0</v>
      </c>
      <c r="AI3784">
        <v>0</v>
      </c>
      <c r="AJ3784">
        <v>0</v>
      </c>
      <c r="AK3784">
        <v>0</v>
      </c>
      <c r="AL3784">
        <v>0</v>
      </c>
      <c r="AM3784">
        <v>0</v>
      </c>
      <c r="AN3784">
        <v>0</v>
      </c>
      <c r="AO3784">
        <v>-1</v>
      </c>
      <c r="AP3784">
        <v>0</v>
      </c>
      <c r="AQ3784">
        <v>0</v>
      </c>
      <c r="AR3784">
        <v>1</v>
      </c>
      <c r="AS3784">
        <v>0</v>
      </c>
      <c r="AT3784">
        <v>0</v>
      </c>
      <c r="AU3784">
        <f t="shared" si="116"/>
        <v>-1</v>
      </c>
      <c r="AV3784">
        <f t="shared" si="117"/>
        <v>0</v>
      </c>
    </row>
    <row r="3785" spans="1:48" x14ac:dyDescent="0.25">
      <c r="A3785" t="s">
        <v>11838</v>
      </c>
      <c r="C3785" t="s">
        <v>11839</v>
      </c>
      <c r="D3785" t="s">
        <v>4090</v>
      </c>
      <c r="E3785" t="s">
        <v>2310</v>
      </c>
      <c r="F3785">
        <v>8</v>
      </c>
      <c r="G3785">
        <v>8.3000000000000007</v>
      </c>
      <c r="H3785" t="s">
        <v>2323</v>
      </c>
      <c r="I3785" s="21">
        <v>41604.479606481502</v>
      </c>
      <c r="J3785">
        <v>2013</v>
      </c>
      <c r="K3785" s="21">
        <v>41683.6421527778</v>
      </c>
      <c r="L3785">
        <v>2014</v>
      </c>
      <c r="M3785" s="21">
        <v>41828.681608796302</v>
      </c>
      <c r="N3785">
        <v>2014</v>
      </c>
      <c r="Q3785" s="262">
        <v>6300</v>
      </c>
      <c r="R3785" s="262">
        <v>10000</v>
      </c>
      <c r="S3785" t="s">
        <v>114</v>
      </c>
      <c r="T3785" t="s">
        <v>114</v>
      </c>
      <c r="W3785">
        <v>240</v>
      </c>
      <c r="X3785">
        <v>0</v>
      </c>
      <c r="Y3785">
        <v>0</v>
      </c>
      <c r="Z3785">
        <v>0</v>
      </c>
      <c r="AA3785">
        <v>0</v>
      </c>
      <c r="AB3785">
        <v>0</v>
      </c>
      <c r="AC3785">
        <v>240</v>
      </c>
      <c r="AD3785">
        <v>0</v>
      </c>
      <c r="AE3785">
        <v>0</v>
      </c>
      <c r="AF3785">
        <v>0</v>
      </c>
      <c r="AG3785">
        <v>0</v>
      </c>
      <c r="AH3785">
        <v>0</v>
      </c>
      <c r="AI3785">
        <v>0</v>
      </c>
      <c r="AJ3785">
        <v>0</v>
      </c>
      <c r="AK3785">
        <v>0</v>
      </c>
      <c r="AL3785">
        <v>0</v>
      </c>
      <c r="AM3785">
        <v>0</v>
      </c>
      <c r="AN3785">
        <v>0</v>
      </c>
      <c r="AO3785">
        <v>0</v>
      </c>
      <c r="AP3785">
        <v>0</v>
      </c>
      <c r="AQ3785">
        <v>0</v>
      </c>
      <c r="AR3785">
        <v>0</v>
      </c>
      <c r="AS3785">
        <v>0</v>
      </c>
      <c r="AT3785">
        <v>0</v>
      </c>
      <c r="AU3785">
        <f t="shared" si="116"/>
        <v>0</v>
      </c>
      <c r="AV3785">
        <f t="shared" si="117"/>
        <v>0</v>
      </c>
    </row>
    <row r="3786" spans="1:48" x14ac:dyDescent="0.25">
      <c r="A3786" t="s">
        <v>11840</v>
      </c>
      <c r="C3786" t="s">
        <v>11841</v>
      </c>
      <c r="D3786" t="s">
        <v>11842</v>
      </c>
      <c r="E3786" t="s">
        <v>1663</v>
      </c>
      <c r="F3786">
        <v>5</v>
      </c>
      <c r="G3786">
        <v>5.5</v>
      </c>
      <c r="H3786" t="s">
        <v>2017</v>
      </c>
      <c r="I3786" s="21">
        <v>41611</v>
      </c>
      <c r="J3786">
        <v>2013</v>
      </c>
      <c r="K3786" s="21">
        <v>41737</v>
      </c>
      <c r="L3786">
        <v>2014</v>
      </c>
      <c r="M3786" s="21">
        <v>41920</v>
      </c>
      <c r="N3786">
        <v>2014</v>
      </c>
      <c r="Q3786" s="262">
        <v>116363</v>
      </c>
      <c r="S3786" t="s">
        <v>114</v>
      </c>
      <c r="T3786" t="s">
        <v>114</v>
      </c>
      <c r="W3786">
        <v>1595</v>
      </c>
      <c r="X3786">
        <v>1</v>
      </c>
      <c r="Y3786">
        <v>0</v>
      </c>
      <c r="Z3786">
        <v>0</v>
      </c>
      <c r="AA3786">
        <v>0</v>
      </c>
      <c r="AB3786">
        <v>0</v>
      </c>
      <c r="AC3786">
        <v>0</v>
      </c>
      <c r="AD3786">
        <v>1595</v>
      </c>
      <c r="AE3786">
        <v>0</v>
      </c>
      <c r="AF3786">
        <v>0</v>
      </c>
      <c r="AG3786">
        <v>0</v>
      </c>
      <c r="AH3786">
        <v>0</v>
      </c>
      <c r="AI3786">
        <v>0</v>
      </c>
      <c r="AJ3786">
        <v>0</v>
      </c>
      <c r="AK3786">
        <v>0</v>
      </c>
      <c r="AL3786">
        <v>0</v>
      </c>
      <c r="AM3786">
        <v>0</v>
      </c>
      <c r="AN3786">
        <v>0</v>
      </c>
      <c r="AO3786">
        <v>0</v>
      </c>
      <c r="AP3786">
        <v>1</v>
      </c>
      <c r="AQ3786">
        <v>0</v>
      </c>
      <c r="AR3786">
        <v>0</v>
      </c>
      <c r="AS3786">
        <v>0</v>
      </c>
      <c r="AT3786">
        <v>0</v>
      </c>
      <c r="AU3786">
        <f t="shared" si="116"/>
        <v>1</v>
      </c>
      <c r="AV3786">
        <f t="shared" si="117"/>
        <v>0</v>
      </c>
    </row>
    <row r="3787" spans="1:48" x14ac:dyDescent="0.25">
      <c r="A3787" t="s">
        <v>11843</v>
      </c>
      <c r="C3787" t="s">
        <v>11844</v>
      </c>
      <c r="D3787" t="s">
        <v>11845</v>
      </c>
      <c r="E3787" t="s">
        <v>1663</v>
      </c>
      <c r="F3787">
        <v>5</v>
      </c>
      <c r="G3787">
        <v>5.5</v>
      </c>
      <c r="H3787" t="s">
        <v>2017</v>
      </c>
      <c r="I3787" s="21">
        <v>41611</v>
      </c>
      <c r="J3787">
        <v>2013</v>
      </c>
      <c r="K3787" s="21">
        <v>41655</v>
      </c>
      <c r="L3787">
        <v>2014</v>
      </c>
      <c r="M3787" s="21">
        <v>41836</v>
      </c>
      <c r="N3787">
        <v>2014</v>
      </c>
      <c r="Q3787" s="262">
        <v>116363</v>
      </c>
      <c r="S3787" t="s">
        <v>114</v>
      </c>
      <c r="T3787" t="s">
        <v>114</v>
      </c>
      <c r="W3787">
        <v>1595</v>
      </c>
      <c r="X3787">
        <v>1</v>
      </c>
      <c r="Y3787">
        <v>0</v>
      </c>
      <c r="Z3787">
        <v>0</v>
      </c>
      <c r="AA3787">
        <v>0</v>
      </c>
      <c r="AB3787">
        <v>0</v>
      </c>
      <c r="AC3787">
        <v>0</v>
      </c>
      <c r="AD3787">
        <v>1595</v>
      </c>
      <c r="AE3787">
        <v>0</v>
      </c>
      <c r="AF3787">
        <v>0</v>
      </c>
      <c r="AG3787">
        <v>0</v>
      </c>
      <c r="AH3787">
        <v>0</v>
      </c>
      <c r="AI3787">
        <v>0</v>
      </c>
      <c r="AJ3787">
        <v>0</v>
      </c>
      <c r="AK3787">
        <v>0</v>
      </c>
      <c r="AL3787">
        <v>0</v>
      </c>
      <c r="AM3787">
        <v>0</v>
      </c>
      <c r="AN3787">
        <v>0</v>
      </c>
      <c r="AO3787">
        <v>0</v>
      </c>
      <c r="AP3787">
        <v>1</v>
      </c>
      <c r="AQ3787">
        <v>0</v>
      </c>
      <c r="AR3787">
        <v>0</v>
      </c>
      <c r="AS3787">
        <v>0</v>
      </c>
      <c r="AT3787">
        <v>0</v>
      </c>
      <c r="AU3787">
        <f t="shared" si="116"/>
        <v>1</v>
      </c>
      <c r="AV3787">
        <f t="shared" si="117"/>
        <v>0</v>
      </c>
    </row>
    <row r="3788" spans="1:48" x14ac:dyDescent="0.25">
      <c r="A3788" t="s">
        <v>11846</v>
      </c>
      <c r="C3788" t="s">
        <v>11847</v>
      </c>
      <c r="D3788" t="s">
        <v>11848</v>
      </c>
      <c r="E3788" t="s">
        <v>1663</v>
      </c>
      <c r="F3788">
        <v>5</v>
      </c>
      <c r="G3788">
        <v>5.5</v>
      </c>
      <c r="H3788" t="s">
        <v>2017</v>
      </c>
      <c r="I3788" s="21">
        <v>41611</v>
      </c>
      <c r="J3788">
        <v>2013</v>
      </c>
      <c r="K3788" s="21">
        <v>41655</v>
      </c>
      <c r="L3788">
        <v>2014</v>
      </c>
      <c r="M3788" s="21">
        <v>41836</v>
      </c>
      <c r="N3788">
        <v>2014</v>
      </c>
      <c r="Q3788" s="262">
        <v>116363</v>
      </c>
      <c r="S3788" t="s">
        <v>114</v>
      </c>
      <c r="T3788" t="s">
        <v>114</v>
      </c>
      <c r="W3788">
        <v>1595</v>
      </c>
      <c r="X3788">
        <v>1</v>
      </c>
      <c r="Y3788">
        <v>0</v>
      </c>
      <c r="Z3788">
        <v>0</v>
      </c>
      <c r="AA3788">
        <v>0</v>
      </c>
      <c r="AB3788">
        <v>0</v>
      </c>
      <c r="AC3788">
        <v>0</v>
      </c>
      <c r="AD3788">
        <v>1595</v>
      </c>
      <c r="AE3788">
        <v>0</v>
      </c>
      <c r="AF3788">
        <v>0</v>
      </c>
      <c r="AG3788">
        <v>0</v>
      </c>
      <c r="AH3788">
        <v>0</v>
      </c>
      <c r="AI3788">
        <v>0</v>
      </c>
      <c r="AJ3788">
        <v>0</v>
      </c>
      <c r="AK3788">
        <v>0</v>
      </c>
      <c r="AL3788">
        <v>0</v>
      </c>
      <c r="AM3788">
        <v>0</v>
      </c>
      <c r="AN3788">
        <v>0</v>
      </c>
      <c r="AO3788">
        <v>0</v>
      </c>
      <c r="AP3788">
        <v>1</v>
      </c>
      <c r="AQ3788">
        <v>0</v>
      </c>
      <c r="AR3788">
        <v>0</v>
      </c>
      <c r="AS3788">
        <v>0</v>
      </c>
      <c r="AT3788">
        <v>0</v>
      </c>
      <c r="AU3788">
        <f t="shared" si="116"/>
        <v>1</v>
      </c>
      <c r="AV3788">
        <f t="shared" si="117"/>
        <v>0</v>
      </c>
    </row>
    <row r="3789" spans="1:48" x14ac:dyDescent="0.25">
      <c r="A3789" t="s">
        <v>11849</v>
      </c>
      <c r="C3789" t="s">
        <v>11850</v>
      </c>
      <c r="D3789" t="s">
        <v>11851</v>
      </c>
      <c r="E3789" t="s">
        <v>1663</v>
      </c>
      <c r="F3789">
        <v>5</v>
      </c>
      <c r="G3789">
        <v>5.5</v>
      </c>
      <c r="H3789" t="s">
        <v>2017</v>
      </c>
      <c r="I3789" s="21">
        <v>41611</v>
      </c>
      <c r="J3789">
        <v>2013</v>
      </c>
      <c r="K3789" s="21">
        <v>41737</v>
      </c>
      <c r="L3789">
        <v>2014</v>
      </c>
      <c r="M3789" s="21">
        <v>41920</v>
      </c>
      <c r="N3789">
        <v>2014</v>
      </c>
      <c r="Q3789" s="262">
        <v>116363</v>
      </c>
      <c r="S3789" t="s">
        <v>114</v>
      </c>
      <c r="T3789" t="s">
        <v>114</v>
      </c>
      <c r="W3789">
        <v>1595</v>
      </c>
      <c r="X3789">
        <v>1</v>
      </c>
      <c r="Y3789">
        <v>0</v>
      </c>
      <c r="Z3789">
        <v>0</v>
      </c>
      <c r="AA3789">
        <v>0</v>
      </c>
      <c r="AB3789">
        <v>0</v>
      </c>
      <c r="AC3789">
        <v>0</v>
      </c>
      <c r="AD3789">
        <v>1595</v>
      </c>
      <c r="AE3789">
        <v>0</v>
      </c>
      <c r="AF3789">
        <v>0</v>
      </c>
      <c r="AG3789">
        <v>0</v>
      </c>
      <c r="AH3789">
        <v>0</v>
      </c>
      <c r="AI3789">
        <v>0</v>
      </c>
      <c r="AJ3789">
        <v>0</v>
      </c>
      <c r="AK3789">
        <v>0</v>
      </c>
      <c r="AL3789">
        <v>0</v>
      </c>
      <c r="AM3789">
        <v>0</v>
      </c>
      <c r="AN3789">
        <v>0</v>
      </c>
      <c r="AO3789">
        <v>0</v>
      </c>
      <c r="AP3789">
        <v>1</v>
      </c>
      <c r="AQ3789">
        <v>0</v>
      </c>
      <c r="AR3789">
        <v>0</v>
      </c>
      <c r="AS3789">
        <v>0</v>
      </c>
      <c r="AT3789">
        <v>0</v>
      </c>
      <c r="AU3789">
        <f t="shared" si="116"/>
        <v>1</v>
      </c>
      <c r="AV3789">
        <f t="shared" si="117"/>
        <v>0</v>
      </c>
    </row>
    <row r="3790" spans="1:48" x14ac:dyDescent="0.25">
      <c r="A3790" t="s">
        <v>11852</v>
      </c>
      <c r="C3790" t="s">
        <v>11853</v>
      </c>
      <c r="D3790" t="s">
        <v>10852</v>
      </c>
      <c r="E3790" t="s">
        <v>2310</v>
      </c>
      <c r="F3790">
        <v>9</v>
      </c>
      <c r="G3790">
        <v>9.3000000000000007</v>
      </c>
      <c r="H3790" t="s">
        <v>2323</v>
      </c>
      <c r="I3790" s="21">
        <v>41620.406435185199</v>
      </c>
      <c r="J3790">
        <v>2013</v>
      </c>
      <c r="K3790" s="21">
        <v>41698.657951388901</v>
      </c>
      <c r="L3790">
        <v>2014</v>
      </c>
      <c r="M3790" s="21">
        <v>42285.607962962997</v>
      </c>
      <c r="N3790">
        <v>2015</v>
      </c>
      <c r="Q3790" s="262">
        <v>128000</v>
      </c>
      <c r="R3790" s="262">
        <v>137000</v>
      </c>
      <c r="S3790" t="s">
        <v>114</v>
      </c>
      <c r="T3790" t="s">
        <v>114</v>
      </c>
      <c r="W3790">
        <v>1272</v>
      </c>
      <c r="X3790">
        <v>0</v>
      </c>
      <c r="Y3790">
        <v>0</v>
      </c>
      <c r="Z3790">
        <v>0</v>
      </c>
      <c r="AA3790">
        <v>0</v>
      </c>
      <c r="AB3790">
        <v>0</v>
      </c>
      <c r="AC3790">
        <v>1272</v>
      </c>
      <c r="AD3790">
        <v>0</v>
      </c>
      <c r="AE3790">
        <v>0</v>
      </c>
      <c r="AF3790">
        <v>0</v>
      </c>
      <c r="AG3790">
        <v>0</v>
      </c>
      <c r="AH3790">
        <v>0</v>
      </c>
      <c r="AI3790">
        <v>0</v>
      </c>
      <c r="AJ3790">
        <v>0</v>
      </c>
      <c r="AK3790">
        <v>0</v>
      </c>
      <c r="AL3790">
        <v>0</v>
      </c>
      <c r="AM3790">
        <v>0</v>
      </c>
      <c r="AN3790">
        <v>0</v>
      </c>
      <c r="AO3790">
        <v>0</v>
      </c>
      <c r="AP3790">
        <v>0</v>
      </c>
      <c r="AQ3790">
        <v>0</v>
      </c>
      <c r="AR3790">
        <v>0</v>
      </c>
      <c r="AS3790">
        <v>0</v>
      </c>
      <c r="AT3790">
        <v>0</v>
      </c>
      <c r="AU3790">
        <f t="shared" si="116"/>
        <v>0</v>
      </c>
      <c r="AV3790">
        <f t="shared" si="117"/>
        <v>0</v>
      </c>
    </row>
    <row r="3791" spans="1:48" x14ac:dyDescent="0.25">
      <c r="A3791" t="s">
        <v>11854</v>
      </c>
      <c r="C3791" t="s">
        <v>11855</v>
      </c>
      <c r="D3791" t="s">
        <v>11856</v>
      </c>
      <c r="E3791" t="s">
        <v>1663</v>
      </c>
      <c r="F3791">
        <v>3</v>
      </c>
      <c r="G3791">
        <v>3.1</v>
      </c>
      <c r="H3791" t="s">
        <v>2017</v>
      </c>
      <c r="I3791" s="21">
        <v>41626</v>
      </c>
      <c r="J3791">
        <v>2013</v>
      </c>
      <c r="K3791" s="21">
        <v>41646</v>
      </c>
      <c r="L3791">
        <v>2014</v>
      </c>
      <c r="M3791" s="21">
        <v>41827</v>
      </c>
      <c r="N3791">
        <v>2014</v>
      </c>
      <c r="Q3791" s="262">
        <v>65000</v>
      </c>
      <c r="S3791" t="s">
        <v>114</v>
      </c>
      <c r="T3791" t="s">
        <v>114</v>
      </c>
      <c r="W3791">
        <v>0</v>
      </c>
      <c r="X3791">
        <v>0</v>
      </c>
      <c r="Y3791">
        <v>0</v>
      </c>
      <c r="Z3791">
        <v>0</v>
      </c>
      <c r="AA3791">
        <v>0</v>
      </c>
      <c r="AB3791">
        <v>0</v>
      </c>
      <c r="AC3791">
        <v>0</v>
      </c>
      <c r="AD3791">
        <v>0</v>
      </c>
      <c r="AE3791">
        <v>0</v>
      </c>
      <c r="AF3791">
        <v>0</v>
      </c>
      <c r="AG3791">
        <v>0</v>
      </c>
      <c r="AH3791">
        <v>0</v>
      </c>
      <c r="AI3791">
        <v>0</v>
      </c>
      <c r="AJ3791">
        <v>0</v>
      </c>
      <c r="AK3791">
        <v>0</v>
      </c>
      <c r="AL3791">
        <v>0</v>
      </c>
      <c r="AM3791">
        <v>0</v>
      </c>
      <c r="AN3791">
        <v>0</v>
      </c>
      <c r="AO3791">
        <v>0</v>
      </c>
      <c r="AP3791">
        <v>0</v>
      </c>
      <c r="AQ3791">
        <v>0</v>
      </c>
      <c r="AR3791">
        <v>0</v>
      </c>
      <c r="AS3791">
        <v>0</v>
      </c>
      <c r="AT3791">
        <v>0</v>
      </c>
      <c r="AU3791">
        <f t="shared" si="116"/>
        <v>0</v>
      </c>
      <c r="AV3791">
        <f t="shared" si="117"/>
        <v>0</v>
      </c>
    </row>
    <row r="3792" spans="1:48" x14ac:dyDescent="0.25">
      <c r="A3792" t="s">
        <v>11857</v>
      </c>
      <c r="C3792" t="s">
        <v>11858</v>
      </c>
      <c r="D3792" t="s">
        <v>11859</v>
      </c>
      <c r="E3792" t="s">
        <v>2310</v>
      </c>
      <c r="F3792">
        <v>9</v>
      </c>
      <c r="G3792">
        <v>9.1999999999999993</v>
      </c>
      <c r="H3792" t="s">
        <v>2022</v>
      </c>
      <c r="I3792" s="21">
        <v>41628.346435185202</v>
      </c>
      <c r="J3792">
        <v>2013</v>
      </c>
      <c r="K3792" s="21">
        <v>41814.383090277799</v>
      </c>
      <c r="L3792">
        <v>2014</v>
      </c>
      <c r="M3792" s="21">
        <v>42668.406099537002</v>
      </c>
      <c r="N3792">
        <v>2016</v>
      </c>
      <c r="Q3792" s="262">
        <v>4850000</v>
      </c>
      <c r="R3792" s="262">
        <v>1330000</v>
      </c>
      <c r="S3792" t="s">
        <v>114</v>
      </c>
      <c r="T3792" t="s">
        <v>114</v>
      </c>
      <c r="W3792">
        <v>13323</v>
      </c>
      <c r="X3792">
        <v>1</v>
      </c>
      <c r="Y3792">
        <v>0</v>
      </c>
      <c r="Z3792">
        <v>0</v>
      </c>
      <c r="AA3792">
        <v>0</v>
      </c>
      <c r="AB3792">
        <v>0</v>
      </c>
      <c r="AC3792">
        <v>13323</v>
      </c>
      <c r="AD3792">
        <v>0</v>
      </c>
      <c r="AE3792">
        <v>0</v>
      </c>
      <c r="AF3792">
        <v>0</v>
      </c>
      <c r="AG3792">
        <v>0</v>
      </c>
      <c r="AH3792">
        <v>0</v>
      </c>
      <c r="AI3792">
        <v>0</v>
      </c>
      <c r="AJ3792">
        <v>0</v>
      </c>
      <c r="AK3792">
        <v>0</v>
      </c>
      <c r="AL3792">
        <v>0</v>
      </c>
      <c r="AM3792">
        <v>0</v>
      </c>
      <c r="AN3792">
        <v>0</v>
      </c>
      <c r="AO3792">
        <v>1</v>
      </c>
      <c r="AP3792">
        <v>0</v>
      </c>
      <c r="AQ3792">
        <v>0</v>
      </c>
      <c r="AR3792">
        <v>0</v>
      </c>
      <c r="AS3792">
        <v>0</v>
      </c>
      <c r="AT3792">
        <v>0</v>
      </c>
      <c r="AU3792">
        <f t="shared" si="116"/>
        <v>1</v>
      </c>
      <c r="AV3792">
        <f t="shared" si="117"/>
        <v>0</v>
      </c>
    </row>
    <row r="3793" spans="1:48" x14ac:dyDescent="0.25">
      <c r="A3793" t="s">
        <v>11860</v>
      </c>
      <c r="C3793" t="s">
        <v>11861</v>
      </c>
      <c r="D3793" t="s">
        <v>11862</v>
      </c>
      <c r="E3793" t="s">
        <v>2310</v>
      </c>
      <c r="F3793">
        <v>9</v>
      </c>
      <c r="G3793">
        <v>9.1999999999999993</v>
      </c>
      <c r="H3793" t="s">
        <v>2022</v>
      </c>
      <c r="I3793" s="21">
        <v>41628.433020833298</v>
      </c>
      <c r="J3793">
        <v>2013</v>
      </c>
      <c r="K3793" s="21">
        <v>41655.4203009259</v>
      </c>
      <c r="L3793">
        <v>2014</v>
      </c>
      <c r="M3793" s="21">
        <v>42584.397187499999</v>
      </c>
      <c r="N3793">
        <v>2016</v>
      </c>
      <c r="Q3793" s="262">
        <v>2000000</v>
      </c>
      <c r="R3793" s="262">
        <v>396000</v>
      </c>
      <c r="S3793" t="s">
        <v>114</v>
      </c>
      <c r="T3793" t="s">
        <v>114</v>
      </c>
      <c r="V3793">
        <v>1931</v>
      </c>
      <c r="W3793">
        <v>4113</v>
      </c>
      <c r="X3793">
        <v>0</v>
      </c>
      <c r="Y3793">
        <v>0</v>
      </c>
      <c r="Z3793">
        <v>0</v>
      </c>
      <c r="AA3793">
        <v>0</v>
      </c>
      <c r="AB3793">
        <v>0</v>
      </c>
      <c r="AC3793">
        <v>4113</v>
      </c>
      <c r="AD3793">
        <v>0</v>
      </c>
      <c r="AE3793">
        <v>0</v>
      </c>
      <c r="AF3793">
        <v>0</v>
      </c>
      <c r="AG3793">
        <v>0</v>
      </c>
      <c r="AH3793">
        <v>0</v>
      </c>
      <c r="AI3793">
        <v>0</v>
      </c>
      <c r="AJ3793">
        <v>0</v>
      </c>
      <c r="AK3793">
        <v>0</v>
      </c>
      <c r="AL3793">
        <v>0</v>
      </c>
      <c r="AM3793">
        <v>0</v>
      </c>
      <c r="AN3793">
        <v>0</v>
      </c>
      <c r="AO3793">
        <v>0</v>
      </c>
      <c r="AP3793">
        <v>0</v>
      </c>
      <c r="AQ3793">
        <v>0</v>
      </c>
      <c r="AR3793">
        <v>0</v>
      </c>
      <c r="AS3793">
        <v>0</v>
      </c>
      <c r="AT3793">
        <v>0</v>
      </c>
      <c r="AU3793">
        <f t="shared" si="116"/>
        <v>0</v>
      </c>
      <c r="AV3793">
        <f t="shared" si="117"/>
        <v>0</v>
      </c>
    </row>
    <row r="3794" spans="1:48" x14ac:dyDescent="0.25">
      <c r="A3794" t="s">
        <v>11863</v>
      </c>
      <c r="C3794" t="s">
        <v>11864</v>
      </c>
      <c r="D3794" t="s">
        <v>11865</v>
      </c>
      <c r="E3794" t="s">
        <v>2310</v>
      </c>
      <c r="F3794">
        <v>13</v>
      </c>
      <c r="G3794">
        <v>13.2</v>
      </c>
      <c r="H3794" t="s">
        <v>2327</v>
      </c>
      <c r="I3794" s="21">
        <v>41628.4741782407</v>
      </c>
      <c r="J3794">
        <v>2013</v>
      </c>
      <c r="K3794" s="21">
        <v>41780.335601851897</v>
      </c>
      <c r="L3794">
        <v>2014</v>
      </c>
      <c r="M3794" s="21">
        <v>42650.699328703697</v>
      </c>
      <c r="N3794">
        <v>2016</v>
      </c>
      <c r="Q3794" s="262">
        <v>5000000</v>
      </c>
      <c r="R3794" s="262">
        <v>1034000</v>
      </c>
      <c r="S3794" t="s">
        <v>114</v>
      </c>
      <c r="T3794" t="s">
        <v>114</v>
      </c>
      <c r="W3794">
        <v>9205</v>
      </c>
      <c r="X3794">
        <v>1</v>
      </c>
      <c r="Y3794">
        <v>0</v>
      </c>
      <c r="Z3794">
        <v>0</v>
      </c>
      <c r="AA3794">
        <v>0</v>
      </c>
      <c r="AB3794">
        <v>0</v>
      </c>
      <c r="AC3794">
        <v>9205</v>
      </c>
      <c r="AD3794">
        <v>0</v>
      </c>
      <c r="AE3794">
        <v>0</v>
      </c>
      <c r="AF3794">
        <v>0</v>
      </c>
      <c r="AG3794">
        <v>0</v>
      </c>
      <c r="AH3794">
        <v>0</v>
      </c>
      <c r="AI3794">
        <v>0</v>
      </c>
      <c r="AJ3794">
        <v>0</v>
      </c>
      <c r="AK3794">
        <v>0</v>
      </c>
      <c r="AL3794">
        <v>0</v>
      </c>
      <c r="AM3794">
        <v>0</v>
      </c>
      <c r="AN3794">
        <v>0</v>
      </c>
      <c r="AO3794">
        <v>1</v>
      </c>
      <c r="AP3794">
        <v>0</v>
      </c>
      <c r="AQ3794">
        <v>0</v>
      </c>
      <c r="AR3794">
        <v>0</v>
      </c>
      <c r="AS3794">
        <v>0</v>
      </c>
      <c r="AT3794">
        <v>0</v>
      </c>
      <c r="AU3794">
        <f t="shared" si="116"/>
        <v>1</v>
      </c>
      <c r="AV3794">
        <f t="shared" si="117"/>
        <v>0</v>
      </c>
    </row>
    <row r="3795" spans="1:48" x14ac:dyDescent="0.25">
      <c r="A3795" t="s">
        <v>11866</v>
      </c>
      <c r="C3795" t="s">
        <v>11867</v>
      </c>
      <c r="D3795" t="s">
        <v>11865</v>
      </c>
      <c r="E3795" t="s">
        <v>2310</v>
      </c>
      <c r="F3795">
        <v>13</v>
      </c>
      <c r="G3795">
        <v>13.2</v>
      </c>
      <c r="H3795" t="s">
        <v>2327</v>
      </c>
      <c r="I3795" s="21">
        <v>41628.484363425901</v>
      </c>
      <c r="J3795">
        <v>2013</v>
      </c>
      <c r="K3795" s="21">
        <v>41780.351412037002</v>
      </c>
      <c r="L3795">
        <v>2014</v>
      </c>
      <c r="M3795" s="21">
        <v>42692.4600810185</v>
      </c>
      <c r="N3795">
        <v>2016</v>
      </c>
      <c r="Q3795" s="262">
        <v>80000</v>
      </c>
      <c r="R3795" s="262">
        <v>33000</v>
      </c>
      <c r="S3795" t="s">
        <v>114</v>
      </c>
      <c r="T3795" t="s">
        <v>114</v>
      </c>
      <c r="W3795">
        <v>789</v>
      </c>
      <c r="X3795">
        <v>0</v>
      </c>
      <c r="Y3795">
        <v>0</v>
      </c>
      <c r="Z3795">
        <v>0</v>
      </c>
      <c r="AA3795">
        <v>0</v>
      </c>
      <c r="AB3795">
        <v>0</v>
      </c>
      <c r="AC3795">
        <v>789</v>
      </c>
      <c r="AD3795">
        <v>0</v>
      </c>
      <c r="AE3795">
        <v>0</v>
      </c>
      <c r="AF3795">
        <v>0</v>
      </c>
      <c r="AG3795">
        <v>0</v>
      </c>
      <c r="AH3795">
        <v>0</v>
      </c>
      <c r="AI3795">
        <v>0</v>
      </c>
      <c r="AJ3795">
        <v>0</v>
      </c>
      <c r="AK3795">
        <v>0</v>
      </c>
      <c r="AL3795">
        <v>0</v>
      </c>
      <c r="AM3795">
        <v>0</v>
      </c>
      <c r="AN3795">
        <v>0</v>
      </c>
      <c r="AO3795">
        <v>0</v>
      </c>
      <c r="AP3795">
        <v>0</v>
      </c>
      <c r="AQ3795">
        <v>0</v>
      </c>
      <c r="AR3795">
        <v>0</v>
      </c>
      <c r="AS3795">
        <v>0</v>
      </c>
      <c r="AT3795">
        <v>0</v>
      </c>
      <c r="AU3795">
        <f t="shared" si="116"/>
        <v>0</v>
      </c>
      <c r="AV3795">
        <f t="shared" si="117"/>
        <v>0</v>
      </c>
    </row>
    <row r="3796" spans="1:48" x14ac:dyDescent="0.25">
      <c r="A3796" t="s">
        <v>11868</v>
      </c>
      <c r="C3796" t="s">
        <v>10901</v>
      </c>
      <c r="D3796" t="s">
        <v>11869</v>
      </c>
      <c r="E3796" t="s">
        <v>2310</v>
      </c>
      <c r="F3796">
        <v>10</v>
      </c>
      <c r="G3796">
        <v>10.1</v>
      </c>
      <c r="H3796" t="s">
        <v>2323</v>
      </c>
      <c r="I3796" s="21">
        <v>41628.502002314803</v>
      </c>
      <c r="J3796">
        <v>2013</v>
      </c>
      <c r="K3796" s="21">
        <v>41726.687349537002</v>
      </c>
      <c r="L3796">
        <v>2014</v>
      </c>
      <c r="M3796" s="21">
        <v>42032.4773726852</v>
      </c>
      <c r="N3796">
        <v>2015</v>
      </c>
      <c r="Q3796" s="262">
        <v>350000</v>
      </c>
      <c r="R3796" s="262">
        <v>199000</v>
      </c>
      <c r="S3796" t="s">
        <v>114</v>
      </c>
      <c r="T3796" t="s">
        <v>114</v>
      </c>
      <c r="W3796">
        <v>2161</v>
      </c>
      <c r="X3796">
        <v>1</v>
      </c>
      <c r="Y3796">
        <v>0</v>
      </c>
      <c r="Z3796">
        <v>0</v>
      </c>
      <c r="AA3796">
        <v>0</v>
      </c>
      <c r="AB3796">
        <v>0</v>
      </c>
      <c r="AC3796">
        <v>2161</v>
      </c>
      <c r="AD3796">
        <v>0</v>
      </c>
      <c r="AE3796">
        <v>0</v>
      </c>
      <c r="AF3796">
        <v>0</v>
      </c>
      <c r="AG3796">
        <v>0</v>
      </c>
      <c r="AH3796">
        <v>0</v>
      </c>
      <c r="AI3796">
        <v>0</v>
      </c>
      <c r="AJ3796">
        <v>0</v>
      </c>
      <c r="AK3796">
        <v>0</v>
      </c>
      <c r="AL3796">
        <v>0</v>
      </c>
      <c r="AM3796">
        <v>0</v>
      </c>
      <c r="AN3796">
        <v>0</v>
      </c>
      <c r="AO3796">
        <v>1</v>
      </c>
      <c r="AP3796">
        <v>0</v>
      </c>
      <c r="AQ3796">
        <v>0</v>
      </c>
      <c r="AR3796">
        <v>0</v>
      </c>
      <c r="AS3796">
        <v>0</v>
      </c>
      <c r="AT3796">
        <v>0</v>
      </c>
      <c r="AU3796">
        <f t="shared" si="116"/>
        <v>1</v>
      </c>
      <c r="AV3796">
        <f t="shared" si="117"/>
        <v>0</v>
      </c>
    </row>
    <row r="3797" spans="1:48" x14ac:dyDescent="0.25">
      <c r="A3797" t="s">
        <v>11870</v>
      </c>
      <c r="C3797" t="s">
        <v>11871</v>
      </c>
      <c r="D3797" t="s">
        <v>11005</v>
      </c>
      <c r="E3797" t="s">
        <v>2310</v>
      </c>
      <c r="F3797">
        <v>8</v>
      </c>
      <c r="G3797">
        <v>8.1</v>
      </c>
      <c r="H3797" t="s">
        <v>2323</v>
      </c>
      <c r="I3797" s="21">
        <v>41635.486504629604</v>
      </c>
      <c r="J3797">
        <v>2013</v>
      </c>
      <c r="K3797" s="21">
        <v>41786.411388888897</v>
      </c>
      <c r="L3797">
        <v>2014</v>
      </c>
      <c r="M3797" s="21">
        <v>42692.594444444403</v>
      </c>
      <c r="N3797">
        <v>2016</v>
      </c>
      <c r="Q3797" s="262">
        <v>4800000</v>
      </c>
      <c r="R3797" s="262">
        <v>760000</v>
      </c>
      <c r="S3797" t="s">
        <v>114</v>
      </c>
      <c r="T3797" t="s">
        <v>114</v>
      </c>
      <c r="W3797">
        <v>7517</v>
      </c>
      <c r="X3797">
        <v>1</v>
      </c>
      <c r="Y3797">
        <v>0</v>
      </c>
      <c r="Z3797">
        <v>0</v>
      </c>
      <c r="AA3797">
        <v>0</v>
      </c>
      <c r="AB3797">
        <v>0</v>
      </c>
      <c r="AC3797">
        <v>7517</v>
      </c>
      <c r="AD3797">
        <v>0</v>
      </c>
      <c r="AE3797">
        <v>0</v>
      </c>
      <c r="AF3797">
        <v>0</v>
      </c>
      <c r="AG3797">
        <v>0</v>
      </c>
      <c r="AH3797">
        <v>0</v>
      </c>
      <c r="AI3797">
        <v>0</v>
      </c>
      <c r="AJ3797">
        <v>0</v>
      </c>
      <c r="AK3797">
        <v>0</v>
      </c>
      <c r="AL3797">
        <v>0</v>
      </c>
      <c r="AM3797">
        <v>0</v>
      </c>
      <c r="AN3797">
        <v>0</v>
      </c>
      <c r="AO3797">
        <v>1</v>
      </c>
      <c r="AP3797">
        <v>0</v>
      </c>
      <c r="AQ3797">
        <v>0</v>
      </c>
      <c r="AR3797">
        <v>0</v>
      </c>
      <c r="AS3797">
        <v>0</v>
      </c>
      <c r="AT3797">
        <v>0</v>
      </c>
      <c r="AU3797">
        <f t="shared" si="116"/>
        <v>1</v>
      </c>
      <c r="AV3797">
        <f t="shared" si="117"/>
        <v>0</v>
      </c>
    </row>
    <row r="3798" spans="1:48" x14ac:dyDescent="0.25">
      <c r="A3798" t="s">
        <v>11872</v>
      </c>
      <c r="B3798" t="s">
        <v>11872</v>
      </c>
      <c r="C3798" t="s">
        <v>11873</v>
      </c>
      <c r="D3798" t="s">
        <v>7505</v>
      </c>
      <c r="E3798" t="s">
        <v>2310</v>
      </c>
      <c r="F3798">
        <v>9</v>
      </c>
      <c r="G3798">
        <v>9.4</v>
      </c>
      <c r="H3798" t="s">
        <v>2323</v>
      </c>
      <c r="I3798" s="21">
        <v>41642.495208333297</v>
      </c>
      <c r="J3798">
        <v>2014</v>
      </c>
      <c r="K3798" s="21">
        <v>41680.630451388897</v>
      </c>
      <c r="L3798">
        <v>2014</v>
      </c>
      <c r="M3798" s="21">
        <v>42306.484004629601</v>
      </c>
      <c r="N3798">
        <v>2015</v>
      </c>
      <c r="Q3798" s="262">
        <v>500000</v>
      </c>
      <c r="R3798" s="262">
        <v>146000</v>
      </c>
      <c r="S3798" t="s">
        <v>114</v>
      </c>
      <c r="T3798" t="s">
        <v>114</v>
      </c>
      <c r="V3798">
        <v>0</v>
      </c>
      <c r="W3798">
        <v>1936</v>
      </c>
      <c r="X3798">
        <v>1</v>
      </c>
      <c r="Y3798">
        <v>0</v>
      </c>
      <c r="Z3798">
        <v>0</v>
      </c>
      <c r="AA3798">
        <v>0</v>
      </c>
      <c r="AB3798">
        <v>0</v>
      </c>
      <c r="AC3798">
        <v>1020</v>
      </c>
      <c r="AD3798">
        <v>0</v>
      </c>
      <c r="AE3798">
        <v>0</v>
      </c>
      <c r="AF3798">
        <v>916</v>
      </c>
      <c r="AG3798">
        <v>0</v>
      </c>
      <c r="AH3798">
        <v>0</v>
      </c>
      <c r="AI3798">
        <v>0</v>
      </c>
      <c r="AJ3798">
        <v>0</v>
      </c>
      <c r="AK3798">
        <v>0</v>
      </c>
      <c r="AL3798">
        <v>0</v>
      </c>
      <c r="AM3798">
        <v>0</v>
      </c>
      <c r="AN3798">
        <v>0</v>
      </c>
      <c r="AO3798">
        <v>0</v>
      </c>
      <c r="AP3798">
        <v>0</v>
      </c>
      <c r="AQ3798">
        <v>0</v>
      </c>
      <c r="AR3798">
        <v>1</v>
      </c>
      <c r="AS3798">
        <v>0</v>
      </c>
      <c r="AT3798">
        <v>0</v>
      </c>
      <c r="AU3798">
        <f t="shared" si="116"/>
        <v>0</v>
      </c>
      <c r="AV3798">
        <f t="shared" si="117"/>
        <v>0</v>
      </c>
    </row>
    <row r="3799" spans="1:48" x14ac:dyDescent="0.25">
      <c r="A3799" t="s">
        <v>11874</v>
      </c>
      <c r="C3799" t="s">
        <v>11875</v>
      </c>
      <c r="D3799" t="s">
        <v>11876</v>
      </c>
      <c r="E3799" t="s">
        <v>1663</v>
      </c>
      <c r="F3799">
        <v>2</v>
      </c>
      <c r="G3799">
        <v>2.2999999999999998</v>
      </c>
      <c r="H3799" t="s">
        <v>2327</v>
      </c>
      <c r="I3799" s="21">
        <v>41646</v>
      </c>
      <c r="J3799">
        <v>2014</v>
      </c>
      <c r="K3799" s="21">
        <v>41710</v>
      </c>
      <c r="L3799">
        <v>2014</v>
      </c>
      <c r="P3799" s="21">
        <v>41990</v>
      </c>
      <c r="Q3799" s="262">
        <v>100000</v>
      </c>
      <c r="S3799" t="s">
        <v>114</v>
      </c>
      <c r="T3799" t="s">
        <v>114</v>
      </c>
      <c r="V3799">
        <v>0</v>
      </c>
      <c r="W3799">
        <v>745</v>
      </c>
      <c r="X3799">
        <v>0</v>
      </c>
      <c r="Y3799">
        <v>0</v>
      </c>
      <c r="Z3799">
        <v>0</v>
      </c>
      <c r="AA3799">
        <v>0</v>
      </c>
      <c r="AB3799">
        <v>0</v>
      </c>
      <c r="AC3799">
        <v>0</v>
      </c>
      <c r="AD3799">
        <v>0</v>
      </c>
      <c r="AE3799">
        <v>0</v>
      </c>
      <c r="AF3799">
        <v>0</v>
      </c>
      <c r="AG3799">
        <v>0</v>
      </c>
      <c r="AH3799">
        <v>0</v>
      </c>
      <c r="AI3799">
        <v>0</v>
      </c>
      <c r="AJ3799">
        <v>745</v>
      </c>
      <c r="AK3799">
        <v>0</v>
      </c>
      <c r="AL3799">
        <v>0</v>
      </c>
      <c r="AM3799">
        <v>0</v>
      </c>
      <c r="AN3799">
        <v>0</v>
      </c>
      <c r="AO3799">
        <v>0</v>
      </c>
      <c r="AP3799">
        <v>0</v>
      </c>
      <c r="AQ3799">
        <v>0</v>
      </c>
      <c r="AR3799">
        <v>0</v>
      </c>
      <c r="AS3799">
        <v>0</v>
      </c>
      <c r="AT3799">
        <v>0</v>
      </c>
      <c r="AU3799">
        <f t="shared" si="116"/>
        <v>0</v>
      </c>
      <c r="AV3799">
        <f t="shared" si="117"/>
        <v>745</v>
      </c>
    </row>
    <row r="3800" spans="1:48" x14ac:dyDescent="0.25">
      <c r="A3800" t="s">
        <v>11877</v>
      </c>
      <c r="C3800" t="s">
        <v>10850</v>
      </c>
      <c r="D3800" t="s">
        <v>9865</v>
      </c>
      <c r="E3800" t="s">
        <v>1663</v>
      </c>
      <c r="F3800">
        <v>3</v>
      </c>
      <c r="G3800">
        <v>3.4</v>
      </c>
      <c r="H3800" t="s">
        <v>2017</v>
      </c>
      <c r="I3800" s="21">
        <v>41654</v>
      </c>
      <c r="J3800">
        <v>2014</v>
      </c>
      <c r="K3800" s="21">
        <v>41666</v>
      </c>
      <c r="L3800">
        <v>2014</v>
      </c>
      <c r="M3800" s="21">
        <v>42423</v>
      </c>
      <c r="N3800">
        <v>2016</v>
      </c>
      <c r="Q3800" s="262">
        <v>5000</v>
      </c>
      <c r="S3800" t="s">
        <v>114</v>
      </c>
      <c r="T3800" t="s">
        <v>114</v>
      </c>
      <c r="V3800">
        <v>260</v>
      </c>
      <c r="W3800">
        <v>0</v>
      </c>
      <c r="X3800">
        <v>0</v>
      </c>
      <c r="Y3800">
        <v>0</v>
      </c>
      <c r="Z3800">
        <v>0</v>
      </c>
      <c r="AA3800">
        <v>0</v>
      </c>
      <c r="AB3800">
        <v>0</v>
      </c>
      <c r="AC3800">
        <v>0</v>
      </c>
      <c r="AD3800">
        <v>0</v>
      </c>
      <c r="AE3800">
        <v>0</v>
      </c>
      <c r="AF3800">
        <v>0</v>
      </c>
      <c r="AG3800">
        <v>0</v>
      </c>
      <c r="AH3800">
        <v>0</v>
      </c>
      <c r="AI3800">
        <v>0</v>
      </c>
      <c r="AJ3800">
        <v>0</v>
      </c>
      <c r="AK3800">
        <v>0</v>
      </c>
      <c r="AL3800">
        <v>0</v>
      </c>
      <c r="AM3800">
        <v>0</v>
      </c>
      <c r="AN3800">
        <v>0</v>
      </c>
      <c r="AO3800">
        <v>0</v>
      </c>
      <c r="AP3800">
        <v>0</v>
      </c>
      <c r="AQ3800">
        <v>0</v>
      </c>
      <c r="AR3800">
        <v>0</v>
      </c>
      <c r="AS3800">
        <v>0</v>
      </c>
      <c r="AT3800">
        <v>0</v>
      </c>
      <c r="AU3800">
        <f t="shared" si="116"/>
        <v>0</v>
      </c>
      <c r="AV3800">
        <f t="shared" si="117"/>
        <v>0</v>
      </c>
    </row>
    <row r="3801" spans="1:48" x14ac:dyDescent="0.25">
      <c r="A3801" t="s">
        <v>11878</v>
      </c>
      <c r="C3801" t="s">
        <v>11879</v>
      </c>
      <c r="D3801" t="s">
        <v>8033</v>
      </c>
      <c r="E3801" t="s">
        <v>1663</v>
      </c>
      <c r="F3801">
        <v>2</v>
      </c>
      <c r="G3801">
        <v>2.2999999999999998</v>
      </c>
      <c r="H3801" t="s">
        <v>2327</v>
      </c>
      <c r="I3801" s="21">
        <v>41655</v>
      </c>
      <c r="J3801">
        <v>2014</v>
      </c>
      <c r="K3801" s="21">
        <v>41676</v>
      </c>
      <c r="L3801">
        <v>2014</v>
      </c>
      <c r="M3801" s="21">
        <v>41838</v>
      </c>
      <c r="N3801">
        <v>2014</v>
      </c>
      <c r="Q3801" s="262">
        <v>550000</v>
      </c>
      <c r="S3801" t="s">
        <v>114</v>
      </c>
      <c r="T3801" t="s">
        <v>114</v>
      </c>
      <c r="V3801">
        <v>950</v>
      </c>
      <c r="W3801">
        <v>10302</v>
      </c>
      <c r="X3801">
        <v>0</v>
      </c>
      <c r="Y3801">
        <v>0</v>
      </c>
      <c r="Z3801">
        <v>0</v>
      </c>
      <c r="AA3801">
        <v>0</v>
      </c>
      <c r="AB3801">
        <v>0</v>
      </c>
      <c r="AC3801">
        <v>10302</v>
      </c>
      <c r="AD3801">
        <v>0</v>
      </c>
      <c r="AE3801">
        <v>0</v>
      </c>
      <c r="AF3801">
        <v>0</v>
      </c>
      <c r="AG3801">
        <v>0</v>
      </c>
      <c r="AH3801">
        <v>0</v>
      </c>
      <c r="AI3801">
        <v>0</v>
      </c>
      <c r="AJ3801">
        <v>0</v>
      </c>
      <c r="AK3801">
        <v>0</v>
      </c>
      <c r="AL3801">
        <v>0</v>
      </c>
      <c r="AM3801">
        <v>0</v>
      </c>
      <c r="AN3801">
        <v>0</v>
      </c>
      <c r="AO3801">
        <v>0</v>
      </c>
      <c r="AP3801">
        <v>0</v>
      </c>
      <c r="AQ3801">
        <v>0</v>
      </c>
      <c r="AR3801">
        <v>0</v>
      </c>
      <c r="AS3801">
        <v>0</v>
      </c>
      <c r="AT3801">
        <v>0</v>
      </c>
      <c r="AU3801">
        <f t="shared" ref="AU3801:AU3864" si="118">SUM(AN3801:AQ3801,AS3801)</f>
        <v>0</v>
      </c>
      <c r="AV3801">
        <f t="shared" ref="AV3801:AV3864" si="119">SUM(Y3801:AB3801,AH3801:AM3801)</f>
        <v>0</v>
      </c>
    </row>
    <row r="3802" spans="1:48" x14ac:dyDescent="0.25">
      <c r="A3802" t="s">
        <v>11880</v>
      </c>
      <c r="C3802" t="s">
        <v>11246</v>
      </c>
      <c r="D3802" t="s">
        <v>11881</v>
      </c>
      <c r="E3802" t="s">
        <v>1663</v>
      </c>
      <c r="F3802">
        <v>6</v>
      </c>
      <c r="G3802">
        <v>6.1</v>
      </c>
      <c r="H3802" t="s">
        <v>2017</v>
      </c>
      <c r="I3802" s="21">
        <v>41656</v>
      </c>
      <c r="J3802">
        <v>2014</v>
      </c>
      <c r="K3802" s="21">
        <v>41738</v>
      </c>
      <c r="L3802">
        <v>2014</v>
      </c>
      <c r="M3802" s="21">
        <v>42244</v>
      </c>
      <c r="N3802">
        <v>2015</v>
      </c>
      <c r="Q3802" s="262">
        <v>650000</v>
      </c>
      <c r="S3802" t="s">
        <v>114</v>
      </c>
      <c r="T3802" t="s">
        <v>114</v>
      </c>
      <c r="V3802">
        <v>928</v>
      </c>
      <c r="W3802">
        <v>2420</v>
      </c>
      <c r="X3802">
        <v>1</v>
      </c>
      <c r="Y3802">
        <v>0</v>
      </c>
      <c r="Z3802">
        <v>0</v>
      </c>
      <c r="AA3802">
        <v>0</v>
      </c>
      <c r="AB3802">
        <v>0</v>
      </c>
      <c r="AC3802">
        <v>2420</v>
      </c>
      <c r="AD3802">
        <v>0</v>
      </c>
      <c r="AE3802">
        <v>0</v>
      </c>
      <c r="AF3802">
        <v>0</v>
      </c>
      <c r="AG3802">
        <v>0</v>
      </c>
      <c r="AH3802">
        <v>0</v>
      </c>
      <c r="AI3802">
        <v>0</v>
      </c>
      <c r="AJ3802">
        <v>0</v>
      </c>
      <c r="AK3802">
        <v>0</v>
      </c>
      <c r="AL3802">
        <v>0</v>
      </c>
      <c r="AM3802">
        <v>0</v>
      </c>
      <c r="AN3802">
        <v>0</v>
      </c>
      <c r="AO3802">
        <v>1</v>
      </c>
      <c r="AP3802">
        <v>0</v>
      </c>
      <c r="AQ3802">
        <v>0</v>
      </c>
      <c r="AR3802">
        <v>0</v>
      </c>
      <c r="AS3802">
        <v>0</v>
      </c>
      <c r="AT3802">
        <v>0</v>
      </c>
      <c r="AU3802">
        <f t="shared" si="118"/>
        <v>1</v>
      </c>
      <c r="AV3802">
        <f t="shared" si="119"/>
        <v>0</v>
      </c>
    </row>
    <row r="3803" spans="1:48" x14ac:dyDescent="0.25">
      <c r="A3803" t="s">
        <v>18532</v>
      </c>
      <c r="B3803" t="s">
        <v>18532</v>
      </c>
      <c r="C3803" t="s">
        <v>18533</v>
      </c>
      <c r="D3803" t="s">
        <v>18534</v>
      </c>
      <c r="E3803" t="s">
        <v>2310</v>
      </c>
      <c r="F3803">
        <v>9</v>
      </c>
      <c r="G3803">
        <v>9.1999999999999993</v>
      </c>
      <c r="H3803" t="s">
        <v>2022</v>
      </c>
      <c r="I3803" s="21">
        <v>41656.622037037036</v>
      </c>
      <c r="J3803">
        <v>2014</v>
      </c>
      <c r="K3803" s="21">
        <v>41715.648055555554</v>
      </c>
      <c r="L3803">
        <v>2014</v>
      </c>
      <c r="M3803" s="21">
        <v>43503.678018749997</v>
      </c>
      <c r="N3803">
        <v>2019</v>
      </c>
      <c r="Q3803" s="262">
        <v>50000</v>
      </c>
      <c r="R3803" s="262">
        <v>34000</v>
      </c>
      <c r="S3803" t="s">
        <v>13254</v>
      </c>
      <c r="V3803">
        <v>0</v>
      </c>
      <c r="W3803">
        <v>419</v>
      </c>
      <c r="X3803">
        <v>0</v>
      </c>
      <c r="Y3803">
        <v>0</v>
      </c>
      <c r="Z3803">
        <v>0</v>
      </c>
      <c r="AA3803">
        <v>0</v>
      </c>
      <c r="AB3803">
        <v>0</v>
      </c>
      <c r="AC3803">
        <v>419</v>
      </c>
      <c r="AD3803">
        <v>0</v>
      </c>
      <c r="AE3803">
        <v>0</v>
      </c>
      <c r="AF3803">
        <v>0</v>
      </c>
      <c r="AG3803">
        <v>0</v>
      </c>
      <c r="AH3803">
        <v>0</v>
      </c>
      <c r="AI3803">
        <v>0</v>
      </c>
      <c r="AJ3803">
        <v>0</v>
      </c>
      <c r="AK3803">
        <v>0</v>
      </c>
      <c r="AL3803">
        <v>0</v>
      </c>
      <c r="AM3803">
        <v>0</v>
      </c>
      <c r="AN3803">
        <v>0</v>
      </c>
      <c r="AO3803">
        <v>0</v>
      </c>
      <c r="AP3803">
        <v>0</v>
      </c>
      <c r="AQ3803">
        <v>0</v>
      </c>
      <c r="AR3803">
        <v>0</v>
      </c>
      <c r="AS3803">
        <v>0</v>
      </c>
      <c r="AT3803">
        <v>0</v>
      </c>
      <c r="AU3803">
        <f t="shared" si="118"/>
        <v>0</v>
      </c>
      <c r="AV3803">
        <f t="shared" si="119"/>
        <v>0</v>
      </c>
    </row>
    <row r="3804" spans="1:48" x14ac:dyDescent="0.25">
      <c r="A3804" t="s">
        <v>11882</v>
      </c>
      <c r="C3804" t="s">
        <v>11883</v>
      </c>
      <c r="D3804" t="s">
        <v>11884</v>
      </c>
      <c r="E3804" t="s">
        <v>1663</v>
      </c>
      <c r="F3804">
        <v>5</v>
      </c>
      <c r="G3804">
        <v>5.5</v>
      </c>
      <c r="H3804" t="s">
        <v>2017</v>
      </c>
      <c r="I3804" s="21">
        <v>41661</v>
      </c>
      <c r="J3804">
        <v>2014</v>
      </c>
      <c r="K3804" s="21">
        <v>41680</v>
      </c>
      <c r="L3804">
        <v>2014</v>
      </c>
      <c r="P3804" s="21">
        <v>42213</v>
      </c>
      <c r="Q3804" s="262">
        <v>20000</v>
      </c>
      <c r="S3804" t="s">
        <v>114</v>
      </c>
      <c r="T3804" t="s">
        <v>114</v>
      </c>
      <c r="V3804">
        <v>127</v>
      </c>
      <c r="W3804">
        <v>1860</v>
      </c>
      <c r="X3804">
        <v>0</v>
      </c>
      <c r="Y3804">
        <v>0</v>
      </c>
      <c r="Z3804">
        <v>0</v>
      </c>
      <c r="AA3804">
        <v>0</v>
      </c>
      <c r="AB3804">
        <v>0</v>
      </c>
      <c r="AC3804">
        <v>1860</v>
      </c>
      <c r="AD3804">
        <v>0</v>
      </c>
      <c r="AE3804">
        <v>0</v>
      </c>
      <c r="AF3804">
        <v>0</v>
      </c>
      <c r="AG3804">
        <v>0</v>
      </c>
      <c r="AH3804">
        <v>0</v>
      </c>
      <c r="AI3804">
        <v>0</v>
      </c>
      <c r="AJ3804">
        <v>0</v>
      </c>
      <c r="AK3804">
        <v>0</v>
      </c>
      <c r="AL3804">
        <v>0</v>
      </c>
      <c r="AM3804">
        <v>0</v>
      </c>
      <c r="AN3804">
        <v>0</v>
      </c>
      <c r="AO3804">
        <v>0</v>
      </c>
      <c r="AP3804">
        <v>0</v>
      </c>
      <c r="AQ3804">
        <v>0</v>
      </c>
      <c r="AR3804">
        <v>0</v>
      </c>
      <c r="AS3804">
        <v>0</v>
      </c>
      <c r="AT3804">
        <v>0</v>
      </c>
      <c r="AU3804">
        <f t="shared" si="118"/>
        <v>0</v>
      </c>
      <c r="AV3804">
        <f t="shared" si="119"/>
        <v>0</v>
      </c>
    </row>
    <row r="3805" spans="1:48" x14ac:dyDescent="0.25">
      <c r="A3805" t="s">
        <v>11885</v>
      </c>
      <c r="C3805" t="s">
        <v>11886</v>
      </c>
      <c r="D3805" t="s">
        <v>11887</v>
      </c>
      <c r="E3805" t="s">
        <v>1663</v>
      </c>
      <c r="F3805">
        <v>3</v>
      </c>
      <c r="G3805">
        <v>3.4</v>
      </c>
      <c r="H3805" t="s">
        <v>2017</v>
      </c>
      <c r="I3805" s="21">
        <v>41661</v>
      </c>
      <c r="J3805">
        <v>2014</v>
      </c>
      <c r="O3805" s="21">
        <v>41681</v>
      </c>
      <c r="Q3805" s="262">
        <v>0</v>
      </c>
      <c r="S3805" t="s">
        <v>114</v>
      </c>
      <c r="T3805" t="s">
        <v>114</v>
      </c>
      <c r="V3805">
        <v>0</v>
      </c>
      <c r="W3805">
        <v>0</v>
      </c>
      <c r="X3805">
        <v>0</v>
      </c>
      <c r="Y3805">
        <v>0</v>
      </c>
      <c r="Z3805">
        <v>0</v>
      </c>
      <c r="AA3805">
        <v>0</v>
      </c>
      <c r="AB3805">
        <v>0</v>
      </c>
      <c r="AC3805">
        <v>0</v>
      </c>
      <c r="AD3805">
        <v>0</v>
      </c>
      <c r="AE3805">
        <v>0</v>
      </c>
      <c r="AF3805">
        <v>0</v>
      </c>
      <c r="AG3805">
        <v>0</v>
      </c>
      <c r="AH3805">
        <v>0</v>
      </c>
      <c r="AI3805">
        <v>0</v>
      </c>
      <c r="AJ3805">
        <v>0</v>
      </c>
      <c r="AK3805">
        <v>0</v>
      </c>
      <c r="AL3805">
        <v>0</v>
      </c>
      <c r="AM3805">
        <v>0</v>
      </c>
      <c r="AN3805">
        <v>0</v>
      </c>
      <c r="AO3805">
        <v>0</v>
      </c>
      <c r="AP3805">
        <v>0</v>
      </c>
      <c r="AQ3805">
        <v>0</v>
      </c>
      <c r="AR3805">
        <v>0</v>
      </c>
      <c r="AS3805">
        <v>0</v>
      </c>
      <c r="AT3805">
        <v>0</v>
      </c>
      <c r="AU3805">
        <f t="shared" si="118"/>
        <v>0</v>
      </c>
      <c r="AV3805">
        <f t="shared" si="119"/>
        <v>0</v>
      </c>
    </row>
    <row r="3806" spans="1:48" x14ac:dyDescent="0.25">
      <c r="A3806" t="s">
        <v>13435</v>
      </c>
      <c r="C3806" t="s">
        <v>11237</v>
      </c>
      <c r="D3806" t="s">
        <v>13436</v>
      </c>
      <c r="E3806" t="s">
        <v>1663</v>
      </c>
      <c r="F3806">
        <v>3</v>
      </c>
      <c r="G3806">
        <v>3.2</v>
      </c>
      <c r="H3806" t="s">
        <v>2327</v>
      </c>
      <c r="I3806" s="21">
        <v>41661</v>
      </c>
      <c r="J3806">
        <v>2014</v>
      </c>
      <c r="K3806" s="21">
        <v>41673</v>
      </c>
      <c r="L3806">
        <v>2014</v>
      </c>
      <c r="M3806" s="21">
        <v>42754</v>
      </c>
      <c r="N3806">
        <v>2017</v>
      </c>
      <c r="Q3806" s="262">
        <v>35000</v>
      </c>
      <c r="S3806" t="s">
        <v>114</v>
      </c>
      <c r="T3806" t="s">
        <v>114</v>
      </c>
      <c r="V3806">
        <v>0</v>
      </c>
      <c r="W3806">
        <v>0</v>
      </c>
      <c r="X3806">
        <v>0</v>
      </c>
      <c r="Y3806">
        <v>0</v>
      </c>
      <c r="Z3806">
        <v>0</v>
      </c>
      <c r="AA3806">
        <v>0</v>
      </c>
      <c r="AB3806">
        <v>0</v>
      </c>
      <c r="AC3806">
        <v>0</v>
      </c>
      <c r="AD3806">
        <v>0</v>
      </c>
      <c r="AE3806">
        <v>0</v>
      </c>
      <c r="AF3806">
        <v>0</v>
      </c>
      <c r="AG3806">
        <v>0</v>
      </c>
      <c r="AH3806">
        <v>0</v>
      </c>
      <c r="AI3806">
        <v>0</v>
      </c>
      <c r="AJ3806">
        <v>0</v>
      </c>
      <c r="AK3806">
        <v>0</v>
      </c>
      <c r="AL3806">
        <v>0</v>
      </c>
      <c r="AM3806">
        <v>0</v>
      </c>
      <c r="AN3806">
        <v>0</v>
      </c>
      <c r="AO3806">
        <v>0</v>
      </c>
      <c r="AP3806">
        <v>0</v>
      </c>
      <c r="AQ3806">
        <v>0</v>
      </c>
      <c r="AR3806">
        <v>0</v>
      </c>
      <c r="AS3806">
        <v>0</v>
      </c>
      <c r="AT3806">
        <v>0</v>
      </c>
      <c r="AU3806">
        <f t="shared" si="118"/>
        <v>0</v>
      </c>
      <c r="AV3806">
        <f t="shared" si="119"/>
        <v>0</v>
      </c>
    </row>
    <row r="3807" spans="1:48" x14ac:dyDescent="0.25">
      <c r="A3807" t="s">
        <v>11888</v>
      </c>
      <c r="B3807" t="s">
        <v>11888</v>
      </c>
      <c r="C3807" t="s">
        <v>11889</v>
      </c>
      <c r="D3807" t="s">
        <v>11306</v>
      </c>
      <c r="E3807" t="s">
        <v>2310</v>
      </c>
      <c r="F3807">
        <v>15</v>
      </c>
      <c r="G3807">
        <v>15.1</v>
      </c>
      <c r="H3807" t="s">
        <v>2022</v>
      </c>
      <c r="I3807" s="21">
        <v>41666.473796296297</v>
      </c>
      <c r="J3807">
        <v>2014</v>
      </c>
      <c r="K3807" s="21">
        <v>41708.472430555601</v>
      </c>
      <c r="L3807">
        <v>2014</v>
      </c>
      <c r="M3807" s="21">
        <v>42355.626423611102</v>
      </c>
      <c r="N3807">
        <v>2015</v>
      </c>
      <c r="Q3807" s="262">
        <v>400000</v>
      </c>
      <c r="R3807" s="262">
        <v>56000</v>
      </c>
      <c r="S3807" t="s">
        <v>114</v>
      </c>
      <c r="T3807" t="s">
        <v>114</v>
      </c>
      <c r="V3807">
        <v>491</v>
      </c>
      <c r="W3807">
        <v>0</v>
      </c>
      <c r="X3807">
        <v>0</v>
      </c>
      <c r="Y3807">
        <v>0</v>
      </c>
      <c r="Z3807">
        <v>0</v>
      </c>
      <c r="AA3807">
        <v>0</v>
      </c>
      <c r="AB3807">
        <v>0</v>
      </c>
      <c r="AC3807">
        <v>0</v>
      </c>
      <c r="AD3807">
        <v>0</v>
      </c>
      <c r="AE3807">
        <v>0</v>
      </c>
      <c r="AF3807">
        <v>0</v>
      </c>
      <c r="AG3807">
        <v>0</v>
      </c>
      <c r="AH3807">
        <v>0</v>
      </c>
      <c r="AI3807">
        <v>0</v>
      </c>
      <c r="AJ3807">
        <v>0</v>
      </c>
      <c r="AK3807">
        <v>0</v>
      </c>
      <c r="AL3807">
        <v>0</v>
      </c>
      <c r="AM3807">
        <v>0</v>
      </c>
      <c r="AN3807">
        <v>0</v>
      </c>
      <c r="AO3807">
        <v>0</v>
      </c>
      <c r="AP3807">
        <v>0</v>
      </c>
      <c r="AQ3807">
        <v>0</v>
      </c>
      <c r="AR3807">
        <v>0</v>
      </c>
      <c r="AS3807">
        <v>0</v>
      </c>
      <c r="AT3807">
        <v>0</v>
      </c>
      <c r="AU3807">
        <f t="shared" si="118"/>
        <v>0</v>
      </c>
      <c r="AV3807">
        <f t="shared" si="119"/>
        <v>0</v>
      </c>
    </row>
    <row r="3808" spans="1:48" x14ac:dyDescent="0.25">
      <c r="A3808" t="s">
        <v>17546</v>
      </c>
      <c r="B3808" t="s">
        <v>17546</v>
      </c>
      <c r="C3808" t="s">
        <v>17547</v>
      </c>
      <c r="D3808" t="s">
        <v>17548</v>
      </c>
      <c r="E3808" t="s">
        <v>2310</v>
      </c>
      <c r="F3808">
        <v>9</v>
      </c>
      <c r="G3808">
        <v>9.3000000000000007</v>
      </c>
      <c r="H3808" t="s">
        <v>2323</v>
      </c>
      <c r="I3808" s="21">
        <v>41668.395752314813</v>
      </c>
      <c r="J3808">
        <v>2014</v>
      </c>
      <c r="K3808" s="21">
        <v>42795.687268518515</v>
      </c>
      <c r="L3808">
        <v>2017</v>
      </c>
      <c r="M3808" s="21">
        <v>42795.687268518515</v>
      </c>
      <c r="N3808">
        <v>2017</v>
      </c>
      <c r="Q3808" s="262">
        <v>3786000</v>
      </c>
      <c r="R3808" s="262">
        <v>1423000</v>
      </c>
      <c r="S3808" t="s">
        <v>13254</v>
      </c>
      <c r="V3808">
        <v>0</v>
      </c>
      <c r="W3808">
        <v>9653</v>
      </c>
      <c r="X3808">
        <v>1</v>
      </c>
      <c r="Y3808">
        <v>0</v>
      </c>
      <c r="Z3808">
        <v>0</v>
      </c>
      <c r="AA3808">
        <v>0</v>
      </c>
      <c r="AB3808">
        <v>0</v>
      </c>
      <c r="AC3808">
        <v>9653</v>
      </c>
      <c r="AD3808">
        <v>0</v>
      </c>
      <c r="AE3808">
        <v>0</v>
      </c>
      <c r="AF3808">
        <v>0</v>
      </c>
      <c r="AG3808">
        <v>0</v>
      </c>
      <c r="AH3808">
        <v>0</v>
      </c>
      <c r="AI3808">
        <v>0</v>
      </c>
      <c r="AJ3808">
        <v>0</v>
      </c>
      <c r="AK3808">
        <v>0</v>
      </c>
      <c r="AL3808">
        <v>0</v>
      </c>
      <c r="AM3808">
        <v>0</v>
      </c>
      <c r="AN3808">
        <v>0</v>
      </c>
      <c r="AO3808">
        <v>1</v>
      </c>
      <c r="AP3808">
        <v>0</v>
      </c>
      <c r="AQ3808">
        <v>0</v>
      </c>
      <c r="AR3808">
        <v>0</v>
      </c>
      <c r="AS3808">
        <v>0</v>
      </c>
      <c r="AT3808">
        <v>0</v>
      </c>
      <c r="AU3808">
        <f t="shared" si="118"/>
        <v>1</v>
      </c>
      <c r="AV3808">
        <f t="shared" si="119"/>
        <v>0</v>
      </c>
    </row>
    <row r="3809" spans="1:48" x14ac:dyDescent="0.25">
      <c r="A3809" t="s">
        <v>11890</v>
      </c>
      <c r="B3809" t="s">
        <v>11890</v>
      </c>
      <c r="C3809" t="s">
        <v>11891</v>
      </c>
      <c r="D3809" t="s">
        <v>4285</v>
      </c>
      <c r="E3809" t="s">
        <v>2310</v>
      </c>
      <c r="F3809">
        <v>12</v>
      </c>
      <c r="G3809">
        <v>12.3</v>
      </c>
      <c r="H3809" t="s">
        <v>2017</v>
      </c>
      <c r="I3809" s="21">
        <v>41675.676886574103</v>
      </c>
      <c r="J3809">
        <v>2014</v>
      </c>
      <c r="K3809" s="21">
        <v>41719.568495370397</v>
      </c>
      <c r="L3809">
        <v>2014</v>
      </c>
      <c r="M3809" s="21">
        <v>41996.382465277798</v>
      </c>
      <c r="N3809">
        <v>2014</v>
      </c>
      <c r="Q3809" s="262">
        <v>506795</v>
      </c>
      <c r="R3809" s="262">
        <v>85000</v>
      </c>
      <c r="S3809" t="s">
        <v>114</v>
      </c>
      <c r="T3809" t="s">
        <v>114</v>
      </c>
      <c r="V3809">
        <v>0</v>
      </c>
      <c r="W3809">
        <v>790</v>
      </c>
      <c r="X3809">
        <v>0</v>
      </c>
      <c r="Y3809">
        <v>0</v>
      </c>
      <c r="Z3809">
        <v>0</v>
      </c>
      <c r="AA3809">
        <v>0</v>
      </c>
      <c r="AB3809">
        <v>0</v>
      </c>
      <c r="AC3809">
        <v>790</v>
      </c>
      <c r="AD3809">
        <v>0</v>
      </c>
      <c r="AE3809">
        <v>0</v>
      </c>
      <c r="AF3809">
        <v>0</v>
      </c>
      <c r="AG3809">
        <v>0</v>
      </c>
      <c r="AH3809">
        <v>0</v>
      </c>
      <c r="AI3809">
        <v>0</v>
      </c>
      <c r="AJ3809">
        <v>0</v>
      </c>
      <c r="AK3809">
        <v>0</v>
      </c>
      <c r="AL3809">
        <v>0</v>
      </c>
      <c r="AM3809">
        <v>0</v>
      </c>
      <c r="AN3809">
        <v>0</v>
      </c>
      <c r="AO3809">
        <v>0</v>
      </c>
      <c r="AP3809">
        <v>0</v>
      </c>
      <c r="AQ3809">
        <v>0</v>
      </c>
      <c r="AR3809">
        <v>0</v>
      </c>
      <c r="AS3809">
        <v>0</v>
      </c>
      <c r="AT3809">
        <v>0</v>
      </c>
      <c r="AU3809">
        <f t="shared" si="118"/>
        <v>0</v>
      </c>
      <c r="AV3809">
        <f t="shared" si="119"/>
        <v>0</v>
      </c>
    </row>
    <row r="3810" spans="1:48" x14ac:dyDescent="0.25">
      <c r="A3810" t="s">
        <v>11892</v>
      </c>
      <c r="B3810" t="s">
        <v>11892</v>
      </c>
      <c r="C3810" t="s">
        <v>11893</v>
      </c>
      <c r="D3810" t="s">
        <v>11894</v>
      </c>
      <c r="E3810" t="s">
        <v>2310</v>
      </c>
      <c r="F3810">
        <v>8</v>
      </c>
      <c r="G3810">
        <v>8.1</v>
      </c>
      <c r="H3810" t="s">
        <v>2323</v>
      </c>
      <c r="I3810" s="21">
        <v>41677.458587963003</v>
      </c>
      <c r="J3810">
        <v>2014</v>
      </c>
      <c r="K3810" s="21">
        <v>43774.4006731134</v>
      </c>
      <c r="L3810">
        <v>2019</v>
      </c>
      <c r="P3810" s="21">
        <v>43805.647408483797</v>
      </c>
      <c r="Q3810" s="262">
        <v>2000000</v>
      </c>
      <c r="R3810" s="262">
        <v>598000</v>
      </c>
      <c r="S3810" t="s">
        <v>114</v>
      </c>
      <c r="T3810" t="s">
        <v>114</v>
      </c>
      <c r="V3810">
        <v>4269</v>
      </c>
      <c r="W3810">
        <v>2925</v>
      </c>
      <c r="X3810">
        <v>0</v>
      </c>
      <c r="Y3810">
        <v>0</v>
      </c>
      <c r="Z3810">
        <v>0</v>
      </c>
      <c r="AA3810">
        <v>0</v>
      </c>
      <c r="AB3810">
        <v>0</v>
      </c>
      <c r="AC3810">
        <v>2925</v>
      </c>
      <c r="AD3810">
        <v>0</v>
      </c>
      <c r="AE3810">
        <v>0</v>
      </c>
      <c r="AF3810">
        <v>0</v>
      </c>
      <c r="AG3810">
        <v>0</v>
      </c>
      <c r="AH3810">
        <v>0</v>
      </c>
      <c r="AI3810">
        <v>0</v>
      </c>
      <c r="AJ3810">
        <v>0</v>
      </c>
      <c r="AK3810">
        <v>0</v>
      </c>
      <c r="AL3810">
        <v>0</v>
      </c>
      <c r="AM3810">
        <v>0</v>
      </c>
      <c r="AN3810">
        <v>0</v>
      </c>
      <c r="AO3810">
        <v>0</v>
      </c>
      <c r="AP3810">
        <v>0</v>
      </c>
      <c r="AQ3810">
        <v>0</v>
      </c>
      <c r="AR3810">
        <v>0</v>
      </c>
      <c r="AS3810">
        <v>0</v>
      </c>
      <c r="AT3810">
        <v>0</v>
      </c>
      <c r="AU3810">
        <f t="shared" si="118"/>
        <v>0</v>
      </c>
      <c r="AV3810">
        <f t="shared" si="119"/>
        <v>0</v>
      </c>
    </row>
    <row r="3811" spans="1:48" x14ac:dyDescent="0.25">
      <c r="A3811" t="s">
        <v>11892</v>
      </c>
      <c r="B3811" t="s">
        <v>11895</v>
      </c>
      <c r="C3811" t="s">
        <v>11893</v>
      </c>
      <c r="D3811" t="s">
        <v>11894</v>
      </c>
      <c r="E3811" t="s">
        <v>2310</v>
      </c>
      <c r="F3811">
        <v>8</v>
      </c>
      <c r="G3811">
        <v>8.1</v>
      </c>
      <c r="H3811" t="s">
        <v>2323</v>
      </c>
      <c r="I3811" s="21">
        <v>41677.458587963003</v>
      </c>
      <c r="J3811">
        <v>2014</v>
      </c>
      <c r="K3811" s="21">
        <v>43774.4006731134</v>
      </c>
      <c r="L3811">
        <v>2019</v>
      </c>
      <c r="P3811" s="21">
        <v>43805.647408483797</v>
      </c>
      <c r="Q3811" s="262">
        <v>2000000</v>
      </c>
      <c r="R3811" s="262">
        <v>598000</v>
      </c>
      <c r="S3811" t="s">
        <v>114</v>
      </c>
      <c r="T3811" t="s">
        <v>114</v>
      </c>
      <c r="V3811">
        <v>0</v>
      </c>
      <c r="W3811">
        <v>142</v>
      </c>
      <c r="X3811">
        <v>0</v>
      </c>
      <c r="Y3811">
        <v>0</v>
      </c>
      <c r="Z3811">
        <v>0</v>
      </c>
      <c r="AA3811">
        <v>0</v>
      </c>
      <c r="AB3811">
        <v>0</v>
      </c>
      <c r="AC3811">
        <v>142</v>
      </c>
      <c r="AD3811">
        <v>0</v>
      </c>
      <c r="AE3811">
        <v>0</v>
      </c>
      <c r="AF3811">
        <v>0</v>
      </c>
      <c r="AG3811">
        <v>0</v>
      </c>
      <c r="AH3811">
        <v>0</v>
      </c>
      <c r="AI3811">
        <v>0</v>
      </c>
      <c r="AJ3811">
        <v>0</v>
      </c>
      <c r="AK3811">
        <v>0</v>
      </c>
      <c r="AL3811">
        <v>0</v>
      </c>
      <c r="AM3811">
        <v>0</v>
      </c>
      <c r="AN3811">
        <v>0</v>
      </c>
      <c r="AO3811">
        <v>0</v>
      </c>
      <c r="AP3811">
        <v>0</v>
      </c>
      <c r="AQ3811">
        <v>0</v>
      </c>
      <c r="AR3811">
        <v>0</v>
      </c>
      <c r="AS3811">
        <v>0</v>
      </c>
      <c r="AT3811">
        <v>0</v>
      </c>
      <c r="AU3811">
        <f t="shared" si="118"/>
        <v>0</v>
      </c>
      <c r="AV3811">
        <f t="shared" si="119"/>
        <v>0</v>
      </c>
    </row>
    <row r="3812" spans="1:48" x14ac:dyDescent="0.25">
      <c r="A3812" t="s">
        <v>11896</v>
      </c>
      <c r="B3812" t="s">
        <v>11896</v>
      </c>
      <c r="C3812" t="s">
        <v>11897</v>
      </c>
      <c r="D3812" t="s">
        <v>11898</v>
      </c>
      <c r="E3812" t="s">
        <v>2310</v>
      </c>
      <c r="F3812">
        <v>12</v>
      </c>
      <c r="G3812">
        <v>12.3</v>
      </c>
      <c r="H3812" t="s">
        <v>2017</v>
      </c>
      <c r="I3812" s="21">
        <v>41677.525439814803</v>
      </c>
      <c r="J3812">
        <v>2014</v>
      </c>
      <c r="K3812" s="21">
        <v>41732.661030092597</v>
      </c>
      <c r="L3812">
        <v>2014</v>
      </c>
      <c r="M3812" s="21">
        <v>42151.535104166702</v>
      </c>
      <c r="N3812">
        <v>2015</v>
      </c>
      <c r="Q3812" s="262">
        <v>80000</v>
      </c>
      <c r="R3812" s="262">
        <v>46000</v>
      </c>
      <c r="S3812" t="s">
        <v>114</v>
      </c>
      <c r="T3812" t="s">
        <v>114</v>
      </c>
      <c r="V3812">
        <v>282</v>
      </c>
      <c r="W3812">
        <v>0</v>
      </c>
      <c r="X3812">
        <v>0</v>
      </c>
      <c r="Y3812">
        <v>0</v>
      </c>
      <c r="Z3812">
        <v>0</v>
      </c>
      <c r="AA3812">
        <v>0</v>
      </c>
      <c r="AB3812">
        <v>0</v>
      </c>
      <c r="AC3812">
        <v>0</v>
      </c>
      <c r="AD3812">
        <v>0</v>
      </c>
      <c r="AE3812">
        <v>0</v>
      </c>
      <c r="AF3812">
        <v>0</v>
      </c>
      <c r="AG3812">
        <v>0</v>
      </c>
      <c r="AH3812">
        <v>0</v>
      </c>
      <c r="AI3812">
        <v>0</v>
      </c>
      <c r="AJ3812">
        <v>0</v>
      </c>
      <c r="AK3812">
        <v>0</v>
      </c>
      <c r="AL3812">
        <v>0</v>
      </c>
      <c r="AM3812">
        <v>0</v>
      </c>
      <c r="AN3812">
        <v>0</v>
      </c>
      <c r="AO3812">
        <v>0</v>
      </c>
      <c r="AP3812">
        <v>0</v>
      </c>
      <c r="AQ3812">
        <v>0</v>
      </c>
      <c r="AR3812">
        <v>0</v>
      </c>
      <c r="AS3812">
        <v>0</v>
      </c>
      <c r="AT3812">
        <v>0</v>
      </c>
      <c r="AU3812">
        <f t="shared" si="118"/>
        <v>0</v>
      </c>
      <c r="AV3812">
        <f t="shared" si="119"/>
        <v>0</v>
      </c>
    </row>
    <row r="3813" spans="1:48" x14ac:dyDescent="0.25">
      <c r="A3813" t="s">
        <v>11899</v>
      </c>
      <c r="B3813" t="s">
        <v>11899</v>
      </c>
      <c r="C3813" t="s">
        <v>11900</v>
      </c>
      <c r="D3813" t="s">
        <v>11901</v>
      </c>
      <c r="E3813" t="s">
        <v>2310</v>
      </c>
      <c r="F3813">
        <v>12</v>
      </c>
      <c r="G3813">
        <v>12.3</v>
      </c>
      <c r="H3813" t="s">
        <v>2017</v>
      </c>
      <c r="I3813" s="21">
        <v>41677.613703703697</v>
      </c>
      <c r="J3813">
        <v>2014</v>
      </c>
      <c r="K3813" s="21">
        <v>41698.362395833297</v>
      </c>
      <c r="L3813">
        <v>2014</v>
      </c>
      <c r="P3813" s="21">
        <v>42244.581296296303</v>
      </c>
      <c r="Q3813" s="262">
        <v>100000</v>
      </c>
      <c r="R3813" s="262">
        <v>52000</v>
      </c>
      <c r="S3813" t="s">
        <v>114</v>
      </c>
      <c r="T3813" t="s">
        <v>114</v>
      </c>
      <c r="V3813">
        <v>454</v>
      </c>
      <c r="W3813">
        <v>0</v>
      </c>
      <c r="X3813">
        <v>0</v>
      </c>
      <c r="Y3813">
        <v>0</v>
      </c>
      <c r="Z3813">
        <v>0</v>
      </c>
      <c r="AA3813">
        <v>0</v>
      </c>
      <c r="AB3813">
        <v>0</v>
      </c>
      <c r="AC3813">
        <v>0</v>
      </c>
      <c r="AD3813">
        <v>0</v>
      </c>
      <c r="AE3813">
        <v>0</v>
      </c>
      <c r="AF3813">
        <v>0</v>
      </c>
      <c r="AG3813">
        <v>0</v>
      </c>
      <c r="AH3813">
        <v>0</v>
      </c>
      <c r="AI3813">
        <v>0</v>
      </c>
      <c r="AJ3813">
        <v>0</v>
      </c>
      <c r="AK3813">
        <v>0</v>
      </c>
      <c r="AL3813">
        <v>0</v>
      </c>
      <c r="AM3813">
        <v>0</v>
      </c>
      <c r="AN3813">
        <v>0</v>
      </c>
      <c r="AO3813">
        <v>0</v>
      </c>
      <c r="AP3813">
        <v>0</v>
      </c>
      <c r="AQ3813">
        <v>0</v>
      </c>
      <c r="AR3813">
        <v>0</v>
      </c>
      <c r="AS3813">
        <v>0</v>
      </c>
      <c r="AT3813">
        <v>0</v>
      </c>
      <c r="AU3813">
        <f t="shared" si="118"/>
        <v>0</v>
      </c>
      <c r="AV3813">
        <f t="shared" si="119"/>
        <v>0</v>
      </c>
    </row>
    <row r="3814" spans="1:48" x14ac:dyDescent="0.25">
      <c r="A3814" t="s">
        <v>11902</v>
      </c>
      <c r="C3814" t="s">
        <v>11709</v>
      </c>
      <c r="D3814" t="s">
        <v>11903</v>
      </c>
      <c r="E3814" t="s">
        <v>1663</v>
      </c>
      <c r="F3814">
        <v>3</v>
      </c>
      <c r="G3814">
        <v>3.4</v>
      </c>
      <c r="H3814" t="s">
        <v>2017</v>
      </c>
      <c r="I3814" s="21">
        <v>41681</v>
      </c>
      <c r="J3814">
        <v>2014</v>
      </c>
      <c r="K3814" s="21">
        <v>41723</v>
      </c>
      <c r="L3814">
        <v>2014</v>
      </c>
      <c r="M3814" s="21">
        <v>42144</v>
      </c>
      <c r="N3814">
        <v>2015</v>
      </c>
      <c r="Q3814" s="262">
        <v>200000</v>
      </c>
      <c r="S3814" t="s">
        <v>114</v>
      </c>
      <c r="T3814" t="s">
        <v>114</v>
      </c>
      <c r="V3814">
        <v>0</v>
      </c>
      <c r="W3814">
        <v>1946</v>
      </c>
      <c r="X3814">
        <v>1</v>
      </c>
      <c r="Y3814">
        <v>0</v>
      </c>
      <c r="Z3814">
        <v>0</v>
      </c>
      <c r="AA3814">
        <v>0</v>
      </c>
      <c r="AB3814">
        <v>0</v>
      </c>
      <c r="AC3814">
        <v>0</v>
      </c>
      <c r="AD3814">
        <v>1946</v>
      </c>
      <c r="AE3814">
        <v>0</v>
      </c>
      <c r="AF3814">
        <v>0</v>
      </c>
      <c r="AG3814">
        <v>0</v>
      </c>
      <c r="AH3814">
        <v>0</v>
      </c>
      <c r="AI3814">
        <v>0</v>
      </c>
      <c r="AJ3814">
        <v>0</v>
      </c>
      <c r="AK3814">
        <v>0</v>
      </c>
      <c r="AL3814">
        <v>0</v>
      </c>
      <c r="AM3814">
        <v>0</v>
      </c>
      <c r="AN3814">
        <v>0</v>
      </c>
      <c r="AO3814">
        <v>0</v>
      </c>
      <c r="AP3814">
        <v>1</v>
      </c>
      <c r="AQ3814">
        <v>0</v>
      </c>
      <c r="AR3814">
        <v>0</v>
      </c>
      <c r="AS3814">
        <v>0</v>
      </c>
      <c r="AT3814">
        <v>0</v>
      </c>
      <c r="AU3814">
        <f t="shared" si="118"/>
        <v>1</v>
      </c>
      <c r="AV3814">
        <f t="shared" si="119"/>
        <v>0</v>
      </c>
    </row>
    <row r="3815" spans="1:48" x14ac:dyDescent="0.25">
      <c r="A3815" t="s">
        <v>11904</v>
      </c>
      <c r="C3815" t="s">
        <v>11905</v>
      </c>
      <c r="D3815" t="s">
        <v>11906</v>
      </c>
      <c r="E3815" t="s">
        <v>1663</v>
      </c>
      <c r="F3815">
        <v>3</v>
      </c>
      <c r="G3815">
        <v>3.4</v>
      </c>
      <c r="H3815" t="s">
        <v>2017</v>
      </c>
      <c r="I3815" s="21">
        <v>41681</v>
      </c>
      <c r="J3815">
        <v>2014</v>
      </c>
      <c r="K3815" s="21">
        <v>41723</v>
      </c>
      <c r="L3815">
        <v>2014</v>
      </c>
      <c r="M3815" s="21">
        <v>42144</v>
      </c>
      <c r="N3815">
        <v>2015</v>
      </c>
      <c r="Q3815" s="262">
        <v>200000</v>
      </c>
      <c r="S3815" t="s">
        <v>114</v>
      </c>
      <c r="T3815" t="s">
        <v>114</v>
      </c>
      <c r="V3815">
        <v>0</v>
      </c>
      <c r="W3815">
        <v>1946</v>
      </c>
      <c r="X3815">
        <v>1</v>
      </c>
      <c r="Y3815">
        <v>0</v>
      </c>
      <c r="Z3815">
        <v>0</v>
      </c>
      <c r="AA3815">
        <v>0</v>
      </c>
      <c r="AB3815">
        <v>0</v>
      </c>
      <c r="AC3815">
        <v>0</v>
      </c>
      <c r="AD3815">
        <v>1946</v>
      </c>
      <c r="AE3815">
        <v>0</v>
      </c>
      <c r="AF3815">
        <v>0</v>
      </c>
      <c r="AG3815">
        <v>0</v>
      </c>
      <c r="AH3815">
        <v>0</v>
      </c>
      <c r="AI3815">
        <v>0</v>
      </c>
      <c r="AJ3815">
        <v>0</v>
      </c>
      <c r="AK3815">
        <v>0</v>
      </c>
      <c r="AL3815">
        <v>0</v>
      </c>
      <c r="AM3815">
        <v>0</v>
      </c>
      <c r="AN3815">
        <v>0</v>
      </c>
      <c r="AO3815">
        <v>0</v>
      </c>
      <c r="AP3815">
        <v>1</v>
      </c>
      <c r="AQ3815">
        <v>0</v>
      </c>
      <c r="AR3815">
        <v>0</v>
      </c>
      <c r="AS3815">
        <v>0</v>
      </c>
      <c r="AT3815">
        <v>0</v>
      </c>
      <c r="AU3815">
        <f t="shared" si="118"/>
        <v>1</v>
      </c>
      <c r="AV3815">
        <f t="shared" si="119"/>
        <v>0</v>
      </c>
    </row>
    <row r="3816" spans="1:48" x14ac:dyDescent="0.25">
      <c r="A3816" t="s">
        <v>11907</v>
      </c>
      <c r="C3816" t="s">
        <v>11905</v>
      </c>
      <c r="D3816" t="s">
        <v>11908</v>
      </c>
      <c r="E3816" t="s">
        <v>1663</v>
      </c>
      <c r="F3816">
        <v>3</v>
      </c>
      <c r="G3816">
        <v>3.4</v>
      </c>
      <c r="H3816" t="s">
        <v>2017</v>
      </c>
      <c r="I3816" s="21">
        <v>41681</v>
      </c>
      <c r="J3816">
        <v>2014</v>
      </c>
      <c r="K3816" s="21">
        <v>41723</v>
      </c>
      <c r="L3816">
        <v>2014</v>
      </c>
      <c r="M3816" s="21">
        <v>42144</v>
      </c>
      <c r="N3816">
        <v>2015</v>
      </c>
      <c r="Q3816" s="262">
        <v>200000</v>
      </c>
      <c r="S3816" t="s">
        <v>114</v>
      </c>
      <c r="T3816" t="s">
        <v>114</v>
      </c>
      <c r="V3816">
        <v>0</v>
      </c>
      <c r="W3816">
        <v>0</v>
      </c>
      <c r="X3816">
        <v>0</v>
      </c>
      <c r="Y3816">
        <v>0</v>
      </c>
      <c r="Z3816">
        <v>0</v>
      </c>
      <c r="AA3816">
        <v>0</v>
      </c>
      <c r="AB3816">
        <v>0</v>
      </c>
      <c r="AC3816">
        <v>0</v>
      </c>
      <c r="AD3816">
        <v>0</v>
      </c>
      <c r="AE3816">
        <v>0</v>
      </c>
      <c r="AF3816">
        <v>0</v>
      </c>
      <c r="AG3816">
        <v>0</v>
      </c>
      <c r="AH3816">
        <v>0</v>
      </c>
      <c r="AI3816">
        <v>0</v>
      </c>
      <c r="AJ3816">
        <v>0</v>
      </c>
      <c r="AK3816">
        <v>0</v>
      </c>
      <c r="AL3816">
        <v>0</v>
      </c>
      <c r="AM3816">
        <v>0</v>
      </c>
      <c r="AN3816">
        <v>0</v>
      </c>
      <c r="AO3816">
        <v>0</v>
      </c>
      <c r="AP3816">
        <v>0</v>
      </c>
      <c r="AQ3816">
        <v>0</v>
      </c>
      <c r="AR3816">
        <v>0</v>
      </c>
      <c r="AS3816">
        <v>0</v>
      </c>
      <c r="AT3816">
        <v>0</v>
      </c>
      <c r="AU3816">
        <f t="shared" si="118"/>
        <v>0</v>
      </c>
      <c r="AV3816">
        <f t="shared" si="119"/>
        <v>0</v>
      </c>
    </row>
    <row r="3817" spans="1:48" x14ac:dyDescent="0.25">
      <c r="A3817" t="s">
        <v>11909</v>
      </c>
      <c r="C3817" t="s">
        <v>11905</v>
      </c>
      <c r="D3817" t="s">
        <v>11910</v>
      </c>
      <c r="E3817" t="s">
        <v>1663</v>
      </c>
      <c r="F3817">
        <v>3</v>
      </c>
      <c r="G3817">
        <v>3.4</v>
      </c>
      <c r="H3817" t="s">
        <v>2017</v>
      </c>
      <c r="I3817" s="21">
        <v>41681</v>
      </c>
      <c r="J3817">
        <v>2014</v>
      </c>
      <c r="K3817" s="21">
        <v>41723</v>
      </c>
      <c r="L3817">
        <v>2014</v>
      </c>
      <c r="M3817" s="21">
        <v>42144</v>
      </c>
      <c r="N3817">
        <v>2015</v>
      </c>
      <c r="Q3817" s="262">
        <v>200000</v>
      </c>
      <c r="S3817" t="s">
        <v>114</v>
      </c>
      <c r="T3817" t="s">
        <v>114</v>
      </c>
      <c r="V3817">
        <v>0</v>
      </c>
      <c r="W3817">
        <v>1946</v>
      </c>
      <c r="X3817">
        <v>1</v>
      </c>
      <c r="Y3817">
        <v>0</v>
      </c>
      <c r="Z3817">
        <v>0</v>
      </c>
      <c r="AA3817">
        <v>0</v>
      </c>
      <c r="AB3817">
        <v>0</v>
      </c>
      <c r="AC3817">
        <v>0</v>
      </c>
      <c r="AD3817">
        <v>1946</v>
      </c>
      <c r="AE3817">
        <v>0</v>
      </c>
      <c r="AF3817">
        <v>0</v>
      </c>
      <c r="AG3817">
        <v>0</v>
      </c>
      <c r="AH3817">
        <v>0</v>
      </c>
      <c r="AI3817">
        <v>0</v>
      </c>
      <c r="AJ3817">
        <v>0</v>
      </c>
      <c r="AK3817">
        <v>0</v>
      </c>
      <c r="AL3817">
        <v>0</v>
      </c>
      <c r="AM3817">
        <v>0</v>
      </c>
      <c r="AN3817">
        <v>0</v>
      </c>
      <c r="AO3817">
        <v>0</v>
      </c>
      <c r="AP3817">
        <v>1</v>
      </c>
      <c r="AQ3817">
        <v>0</v>
      </c>
      <c r="AR3817">
        <v>0</v>
      </c>
      <c r="AS3817">
        <v>0</v>
      </c>
      <c r="AT3817">
        <v>0</v>
      </c>
      <c r="AU3817">
        <f t="shared" si="118"/>
        <v>1</v>
      </c>
      <c r="AV3817">
        <f t="shared" si="119"/>
        <v>0</v>
      </c>
    </row>
    <row r="3818" spans="1:48" x14ac:dyDescent="0.25">
      <c r="A3818" t="s">
        <v>16967</v>
      </c>
      <c r="B3818" t="s">
        <v>16967</v>
      </c>
      <c r="C3818" t="s">
        <v>16968</v>
      </c>
      <c r="D3818" t="s">
        <v>2432</v>
      </c>
      <c r="E3818" t="s">
        <v>2310</v>
      </c>
      <c r="F3818">
        <v>13</v>
      </c>
      <c r="G3818">
        <v>13.1</v>
      </c>
      <c r="H3818" t="s">
        <v>2327</v>
      </c>
      <c r="I3818" s="21">
        <v>41681.538402777776</v>
      </c>
      <c r="J3818">
        <v>2014</v>
      </c>
      <c r="K3818" s="21">
        <v>43391.450248726855</v>
      </c>
      <c r="L3818">
        <v>2018</v>
      </c>
      <c r="M3818" s="21">
        <v>43391.449643900465</v>
      </c>
      <c r="N3818">
        <v>2018</v>
      </c>
      <c r="Q3818" s="262">
        <v>29000000</v>
      </c>
      <c r="R3818" s="262">
        <v>11277000</v>
      </c>
      <c r="S3818" t="s">
        <v>12464</v>
      </c>
      <c r="T3818">
        <v>7212</v>
      </c>
      <c r="V3818">
        <v>26230</v>
      </c>
      <c r="W3818">
        <v>57313</v>
      </c>
      <c r="X3818">
        <v>10</v>
      </c>
      <c r="Y3818">
        <v>0</v>
      </c>
      <c r="Z3818">
        <v>0</v>
      </c>
      <c r="AA3818">
        <v>0</v>
      </c>
      <c r="AB3818">
        <v>0</v>
      </c>
      <c r="AC3818">
        <v>0</v>
      </c>
      <c r="AD3818">
        <v>0</v>
      </c>
      <c r="AE3818">
        <v>1006</v>
      </c>
      <c r="AF3818">
        <v>0</v>
      </c>
      <c r="AG3818">
        <v>0</v>
      </c>
      <c r="AH3818">
        <v>6135</v>
      </c>
      <c r="AI3818">
        <v>42430</v>
      </c>
      <c r="AJ3818">
        <v>5660</v>
      </c>
      <c r="AK3818">
        <v>2082</v>
      </c>
      <c r="AL3818">
        <v>0</v>
      </c>
      <c r="AM3818">
        <v>0</v>
      </c>
      <c r="AN3818">
        <v>0</v>
      </c>
      <c r="AO3818">
        <v>0</v>
      </c>
      <c r="AP3818">
        <v>0</v>
      </c>
      <c r="AQ3818">
        <v>2</v>
      </c>
      <c r="AR3818">
        <v>0</v>
      </c>
      <c r="AS3818">
        <v>0</v>
      </c>
      <c r="AT3818">
        <v>8</v>
      </c>
      <c r="AU3818">
        <f t="shared" si="118"/>
        <v>2</v>
      </c>
      <c r="AV3818">
        <f t="shared" si="119"/>
        <v>56307</v>
      </c>
    </row>
    <row r="3819" spans="1:48" x14ac:dyDescent="0.25">
      <c r="A3819" t="s">
        <v>16967</v>
      </c>
      <c r="B3819" t="s">
        <v>16967</v>
      </c>
      <c r="C3819" t="s">
        <v>16968</v>
      </c>
      <c r="D3819" t="s">
        <v>2432</v>
      </c>
      <c r="E3819" t="s">
        <v>2310</v>
      </c>
      <c r="F3819">
        <v>13</v>
      </c>
      <c r="G3819">
        <v>13.1</v>
      </c>
      <c r="H3819" t="s">
        <v>2327</v>
      </c>
      <c r="I3819" s="21">
        <v>41681.538402777798</v>
      </c>
      <c r="J3819">
        <v>2014</v>
      </c>
      <c r="K3819" s="21">
        <v>43391.450248726898</v>
      </c>
      <c r="L3819">
        <v>2018</v>
      </c>
      <c r="M3819" s="21">
        <v>43391.449643900502</v>
      </c>
      <c r="N3819">
        <v>2018</v>
      </c>
      <c r="S3819" t="s">
        <v>9529</v>
      </c>
      <c r="T3819">
        <v>7212</v>
      </c>
      <c r="U3819">
        <v>18</v>
      </c>
      <c r="W3819">
        <v>-26230</v>
      </c>
      <c r="X3819">
        <v>-32</v>
      </c>
      <c r="Y3819">
        <v>0</v>
      </c>
      <c r="Z3819">
        <v>0</v>
      </c>
      <c r="AA3819">
        <v>0</v>
      </c>
      <c r="AB3819">
        <v>0</v>
      </c>
      <c r="AC3819">
        <v>0</v>
      </c>
      <c r="AD3819">
        <v>0</v>
      </c>
      <c r="AE3819">
        <v>0</v>
      </c>
      <c r="AF3819">
        <v>0</v>
      </c>
      <c r="AG3819">
        <v>0</v>
      </c>
      <c r="AH3819">
        <v>-4058</v>
      </c>
      <c r="AI3819">
        <v>-9998</v>
      </c>
      <c r="AJ3819">
        <v>-4058</v>
      </c>
      <c r="AK3819">
        <v>-8116</v>
      </c>
      <c r="AL3819">
        <v>0</v>
      </c>
      <c r="AM3819">
        <v>0</v>
      </c>
      <c r="AN3819">
        <v>0</v>
      </c>
      <c r="AO3819">
        <v>0</v>
      </c>
      <c r="AP3819">
        <v>0</v>
      </c>
      <c r="AQ3819">
        <v>0</v>
      </c>
      <c r="AR3819">
        <v>0</v>
      </c>
      <c r="AS3819">
        <v>0</v>
      </c>
      <c r="AT3819">
        <v>-32</v>
      </c>
      <c r="AU3819">
        <f t="shared" si="118"/>
        <v>0</v>
      </c>
      <c r="AV3819">
        <f t="shared" si="119"/>
        <v>-26230</v>
      </c>
    </row>
    <row r="3820" spans="1:48" x14ac:dyDescent="0.25">
      <c r="A3820" t="s">
        <v>18247</v>
      </c>
      <c r="B3820" t="s">
        <v>18247</v>
      </c>
      <c r="C3820" t="s">
        <v>18248</v>
      </c>
      <c r="D3820" t="s">
        <v>18249</v>
      </c>
      <c r="E3820" t="s">
        <v>2310</v>
      </c>
      <c r="F3820">
        <v>12</v>
      </c>
      <c r="G3820">
        <v>12.3</v>
      </c>
      <c r="H3820" t="s">
        <v>2017</v>
      </c>
      <c r="I3820" s="21">
        <v>41681.634120370371</v>
      </c>
      <c r="J3820">
        <v>2014</v>
      </c>
      <c r="K3820" s="21">
        <v>41715.63690972222</v>
      </c>
      <c r="L3820">
        <v>2014</v>
      </c>
      <c r="M3820" s="21">
        <v>44166.601620601854</v>
      </c>
      <c r="N3820">
        <v>2020</v>
      </c>
      <c r="Q3820" s="262">
        <v>600000</v>
      </c>
      <c r="R3820" s="262">
        <v>168000</v>
      </c>
      <c r="S3820" t="s">
        <v>13253</v>
      </c>
      <c r="T3820">
        <v>4203</v>
      </c>
      <c r="V3820">
        <v>580</v>
      </c>
      <c r="W3820">
        <v>944</v>
      </c>
      <c r="X3820">
        <v>0</v>
      </c>
      <c r="Y3820">
        <v>0</v>
      </c>
      <c r="Z3820">
        <v>0</v>
      </c>
      <c r="AA3820">
        <v>0</v>
      </c>
      <c r="AB3820">
        <v>0</v>
      </c>
      <c r="AC3820">
        <v>944</v>
      </c>
      <c r="AD3820">
        <v>0</v>
      </c>
      <c r="AE3820">
        <v>0</v>
      </c>
      <c r="AF3820">
        <v>0</v>
      </c>
      <c r="AG3820">
        <v>0</v>
      </c>
      <c r="AH3820">
        <v>0</v>
      </c>
      <c r="AI3820">
        <v>0</v>
      </c>
      <c r="AJ3820">
        <v>0</v>
      </c>
      <c r="AK3820">
        <v>0</v>
      </c>
      <c r="AL3820">
        <v>0</v>
      </c>
      <c r="AM3820">
        <v>0</v>
      </c>
      <c r="AN3820">
        <v>0</v>
      </c>
      <c r="AO3820">
        <v>0</v>
      </c>
      <c r="AP3820">
        <v>0</v>
      </c>
      <c r="AQ3820">
        <v>0</v>
      </c>
      <c r="AR3820">
        <v>0</v>
      </c>
      <c r="AS3820">
        <v>0</v>
      </c>
      <c r="AT3820">
        <v>0</v>
      </c>
      <c r="AU3820">
        <f t="shared" si="118"/>
        <v>0</v>
      </c>
      <c r="AV3820">
        <f t="shared" si="119"/>
        <v>0</v>
      </c>
    </row>
    <row r="3821" spans="1:48" x14ac:dyDescent="0.25">
      <c r="A3821" t="s">
        <v>11911</v>
      </c>
      <c r="B3821" t="s">
        <v>11911</v>
      </c>
      <c r="C3821" t="s">
        <v>11912</v>
      </c>
      <c r="D3821" t="s">
        <v>11913</v>
      </c>
      <c r="E3821" t="s">
        <v>2310</v>
      </c>
      <c r="F3821">
        <v>8</v>
      </c>
      <c r="G3821">
        <v>8.1</v>
      </c>
      <c r="H3821" t="s">
        <v>2323</v>
      </c>
      <c r="I3821" s="21">
        <v>41682.632106481498</v>
      </c>
      <c r="J3821">
        <v>2014</v>
      </c>
      <c r="K3821" s="21">
        <v>41703.662048611099</v>
      </c>
      <c r="L3821">
        <v>2014</v>
      </c>
      <c r="M3821" s="21">
        <v>42020.531724537002</v>
      </c>
      <c r="N3821">
        <v>2015</v>
      </c>
      <c r="Q3821" s="262">
        <v>750000</v>
      </c>
      <c r="R3821" s="262">
        <v>209000</v>
      </c>
      <c r="S3821" t="s">
        <v>114</v>
      </c>
      <c r="T3821" t="s">
        <v>114</v>
      </c>
      <c r="V3821">
        <v>596</v>
      </c>
      <c r="W3821">
        <v>2026</v>
      </c>
      <c r="X3821">
        <v>0</v>
      </c>
      <c r="Y3821">
        <v>0</v>
      </c>
      <c r="Z3821">
        <v>0</v>
      </c>
      <c r="AA3821">
        <v>0</v>
      </c>
      <c r="AB3821">
        <v>0</v>
      </c>
      <c r="AC3821">
        <v>2026</v>
      </c>
      <c r="AD3821">
        <v>0</v>
      </c>
      <c r="AE3821">
        <v>0</v>
      </c>
      <c r="AF3821">
        <v>0</v>
      </c>
      <c r="AG3821">
        <v>0</v>
      </c>
      <c r="AH3821">
        <v>0</v>
      </c>
      <c r="AI3821">
        <v>0</v>
      </c>
      <c r="AJ3821">
        <v>0</v>
      </c>
      <c r="AK3821">
        <v>0</v>
      </c>
      <c r="AL3821">
        <v>0</v>
      </c>
      <c r="AM3821">
        <v>0</v>
      </c>
      <c r="AN3821">
        <v>0</v>
      </c>
      <c r="AO3821">
        <v>0</v>
      </c>
      <c r="AP3821">
        <v>0</v>
      </c>
      <c r="AQ3821">
        <v>0</v>
      </c>
      <c r="AR3821">
        <v>0</v>
      </c>
      <c r="AS3821">
        <v>0</v>
      </c>
      <c r="AT3821">
        <v>0</v>
      </c>
      <c r="AU3821">
        <f t="shared" si="118"/>
        <v>0</v>
      </c>
      <c r="AV3821">
        <f t="shared" si="119"/>
        <v>0</v>
      </c>
    </row>
    <row r="3822" spans="1:48" x14ac:dyDescent="0.25">
      <c r="A3822" t="s">
        <v>11914</v>
      </c>
      <c r="B3822" t="s">
        <v>11914</v>
      </c>
      <c r="C3822" t="s">
        <v>11064</v>
      </c>
      <c r="D3822" t="s">
        <v>11915</v>
      </c>
      <c r="E3822" t="s">
        <v>2310</v>
      </c>
      <c r="F3822">
        <v>11</v>
      </c>
      <c r="G3822">
        <v>11.2</v>
      </c>
      <c r="H3822" t="s">
        <v>2017</v>
      </c>
      <c r="I3822" s="21">
        <v>41683.3844328704</v>
      </c>
      <c r="J3822">
        <v>2014</v>
      </c>
      <c r="K3822" s="21">
        <v>41705.667268518497</v>
      </c>
      <c r="L3822">
        <v>2014</v>
      </c>
      <c r="M3822" s="21">
        <v>41935.421689814801</v>
      </c>
      <c r="N3822">
        <v>2014</v>
      </c>
      <c r="Q3822" s="262">
        <v>300000</v>
      </c>
      <c r="R3822" s="262">
        <v>218000</v>
      </c>
      <c r="S3822" t="s">
        <v>114</v>
      </c>
      <c r="T3822" t="s">
        <v>114</v>
      </c>
      <c r="V3822">
        <v>0</v>
      </c>
      <c r="W3822">
        <v>2336</v>
      </c>
      <c r="X3822">
        <v>1</v>
      </c>
      <c r="Y3822">
        <v>0</v>
      </c>
      <c r="Z3822">
        <v>0</v>
      </c>
      <c r="AA3822">
        <v>0</v>
      </c>
      <c r="AB3822">
        <v>0</v>
      </c>
      <c r="AC3822">
        <v>2336</v>
      </c>
      <c r="AD3822">
        <v>0</v>
      </c>
      <c r="AE3822">
        <v>0</v>
      </c>
      <c r="AF3822">
        <v>0</v>
      </c>
      <c r="AG3822">
        <v>0</v>
      </c>
      <c r="AH3822">
        <v>0</v>
      </c>
      <c r="AI3822">
        <v>0</v>
      </c>
      <c r="AJ3822">
        <v>0</v>
      </c>
      <c r="AK3822">
        <v>0</v>
      </c>
      <c r="AL3822">
        <v>0</v>
      </c>
      <c r="AM3822">
        <v>0</v>
      </c>
      <c r="AN3822">
        <v>0</v>
      </c>
      <c r="AO3822">
        <v>1</v>
      </c>
      <c r="AP3822">
        <v>0</v>
      </c>
      <c r="AQ3822">
        <v>0</v>
      </c>
      <c r="AR3822">
        <v>0</v>
      </c>
      <c r="AS3822">
        <v>0</v>
      </c>
      <c r="AT3822">
        <v>0</v>
      </c>
      <c r="AU3822">
        <f t="shared" si="118"/>
        <v>1</v>
      </c>
      <c r="AV3822">
        <f t="shared" si="119"/>
        <v>0</v>
      </c>
    </row>
    <row r="3823" spans="1:48" x14ac:dyDescent="0.25">
      <c r="A3823" t="s">
        <v>11916</v>
      </c>
      <c r="C3823" t="s">
        <v>11917</v>
      </c>
      <c r="D3823" t="s">
        <v>11918</v>
      </c>
      <c r="E3823" t="s">
        <v>1663</v>
      </c>
      <c r="F3823">
        <v>2</v>
      </c>
      <c r="G3823">
        <v>2.4</v>
      </c>
      <c r="H3823" t="s">
        <v>2017</v>
      </c>
      <c r="I3823" s="21">
        <v>41684</v>
      </c>
      <c r="J3823">
        <v>2014</v>
      </c>
      <c r="K3823" s="21">
        <v>41703</v>
      </c>
      <c r="L3823">
        <v>2014</v>
      </c>
      <c r="M3823" s="21">
        <v>41761</v>
      </c>
      <c r="N3823">
        <v>2014</v>
      </c>
      <c r="Q3823" s="262">
        <v>50000</v>
      </c>
      <c r="S3823" t="s">
        <v>114</v>
      </c>
      <c r="T3823" t="s">
        <v>114</v>
      </c>
      <c r="V3823">
        <v>305</v>
      </c>
      <c r="W3823">
        <v>0</v>
      </c>
      <c r="X3823">
        <v>0</v>
      </c>
      <c r="Y3823">
        <v>0</v>
      </c>
      <c r="Z3823">
        <v>0</v>
      </c>
      <c r="AA3823">
        <v>0</v>
      </c>
      <c r="AB3823">
        <v>0</v>
      </c>
      <c r="AC3823">
        <v>0</v>
      </c>
      <c r="AD3823">
        <v>0</v>
      </c>
      <c r="AE3823">
        <v>0</v>
      </c>
      <c r="AF3823">
        <v>0</v>
      </c>
      <c r="AG3823">
        <v>0</v>
      </c>
      <c r="AH3823">
        <v>0</v>
      </c>
      <c r="AI3823">
        <v>0</v>
      </c>
      <c r="AJ3823">
        <v>0</v>
      </c>
      <c r="AK3823">
        <v>0</v>
      </c>
      <c r="AL3823">
        <v>0</v>
      </c>
      <c r="AM3823">
        <v>0</v>
      </c>
      <c r="AN3823">
        <v>0</v>
      </c>
      <c r="AO3823">
        <v>0</v>
      </c>
      <c r="AP3823">
        <v>0</v>
      </c>
      <c r="AQ3823">
        <v>0</v>
      </c>
      <c r="AR3823">
        <v>0</v>
      </c>
      <c r="AS3823">
        <v>0</v>
      </c>
      <c r="AT3823">
        <v>0</v>
      </c>
      <c r="AU3823">
        <f t="shared" si="118"/>
        <v>0</v>
      </c>
      <c r="AV3823">
        <f t="shared" si="119"/>
        <v>0</v>
      </c>
    </row>
    <row r="3824" spans="1:48" x14ac:dyDescent="0.25">
      <c r="A3824" t="s">
        <v>11919</v>
      </c>
      <c r="C3824" t="s">
        <v>11920</v>
      </c>
      <c r="D3824" t="s">
        <v>8033</v>
      </c>
      <c r="E3824" t="s">
        <v>1663</v>
      </c>
      <c r="F3824">
        <v>2</v>
      </c>
      <c r="G3824">
        <v>2.2999999999999998</v>
      </c>
      <c r="H3824" t="s">
        <v>2327</v>
      </c>
      <c r="I3824" s="21">
        <v>41684</v>
      </c>
      <c r="J3824">
        <v>2014</v>
      </c>
      <c r="K3824" s="21">
        <v>41705</v>
      </c>
      <c r="L3824">
        <v>2014</v>
      </c>
      <c r="M3824" s="21">
        <v>41838</v>
      </c>
      <c r="N3824">
        <v>2014</v>
      </c>
      <c r="Q3824" s="262">
        <v>200000</v>
      </c>
      <c r="S3824" t="s">
        <v>114</v>
      </c>
      <c r="T3824" t="s">
        <v>114</v>
      </c>
      <c r="V3824">
        <v>1275</v>
      </c>
      <c r="W3824">
        <v>0</v>
      </c>
      <c r="X3824">
        <v>0</v>
      </c>
      <c r="Y3824">
        <v>0</v>
      </c>
      <c r="Z3824">
        <v>0</v>
      </c>
      <c r="AA3824">
        <v>0</v>
      </c>
      <c r="AB3824">
        <v>0</v>
      </c>
      <c r="AC3824">
        <v>0</v>
      </c>
      <c r="AD3824">
        <v>0</v>
      </c>
      <c r="AE3824">
        <v>0</v>
      </c>
      <c r="AF3824">
        <v>0</v>
      </c>
      <c r="AG3824">
        <v>0</v>
      </c>
      <c r="AH3824">
        <v>0</v>
      </c>
      <c r="AI3824">
        <v>0</v>
      </c>
      <c r="AJ3824">
        <v>0</v>
      </c>
      <c r="AK3824">
        <v>0</v>
      </c>
      <c r="AL3824">
        <v>0</v>
      </c>
      <c r="AM3824">
        <v>0</v>
      </c>
      <c r="AN3824">
        <v>0</v>
      </c>
      <c r="AO3824">
        <v>0</v>
      </c>
      <c r="AP3824">
        <v>0</v>
      </c>
      <c r="AQ3824">
        <v>0</v>
      </c>
      <c r="AR3824">
        <v>0</v>
      </c>
      <c r="AS3824">
        <v>0</v>
      </c>
      <c r="AT3824">
        <v>0</v>
      </c>
      <c r="AU3824">
        <f t="shared" si="118"/>
        <v>0</v>
      </c>
      <c r="AV3824">
        <f t="shared" si="119"/>
        <v>0</v>
      </c>
    </row>
    <row r="3825" spans="1:48" x14ac:dyDescent="0.25">
      <c r="A3825" t="s">
        <v>11921</v>
      </c>
      <c r="B3825" t="s">
        <v>11921</v>
      </c>
      <c r="C3825" t="s">
        <v>11922</v>
      </c>
      <c r="D3825" t="s">
        <v>11923</v>
      </c>
      <c r="E3825" t="s">
        <v>2310</v>
      </c>
      <c r="F3825">
        <v>13</v>
      </c>
      <c r="G3825">
        <v>13.2</v>
      </c>
      <c r="H3825" t="s">
        <v>2327</v>
      </c>
      <c r="I3825" s="21">
        <v>41684.618750000001</v>
      </c>
      <c r="J3825">
        <v>2014</v>
      </c>
      <c r="K3825" s="21">
        <v>41751.635416666701</v>
      </c>
      <c r="L3825">
        <v>2014</v>
      </c>
      <c r="M3825" s="21">
        <v>42170.548912036997</v>
      </c>
      <c r="N3825">
        <v>2015</v>
      </c>
      <c r="Q3825" s="262">
        <v>1000000</v>
      </c>
      <c r="R3825" s="262">
        <v>406000</v>
      </c>
      <c r="S3825" t="s">
        <v>114</v>
      </c>
      <c r="T3825" t="s">
        <v>114</v>
      </c>
      <c r="V3825">
        <v>0</v>
      </c>
      <c r="W3825">
        <v>3745</v>
      </c>
      <c r="X3825">
        <v>1</v>
      </c>
      <c r="Y3825">
        <v>0</v>
      </c>
      <c r="Z3825">
        <v>0</v>
      </c>
      <c r="AA3825">
        <v>0</v>
      </c>
      <c r="AB3825">
        <v>0</v>
      </c>
      <c r="AC3825">
        <v>3745</v>
      </c>
      <c r="AD3825">
        <v>0</v>
      </c>
      <c r="AE3825">
        <v>0</v>
      </c>
      <c r="AF3825">
        <v>0</v>
      </c>
      <c r="AG3825">
        <v>0</v>
      </c>
      <c r="AH3825">
        <v>0</v>
      </c>
      <c r="AI3825">
        <v>0</v>
      </c>
      <c r="AJ3825">
        <v>0</v>
      </c>
      <c r="AK3825">
        <v>0</v>
      </c>
      <c r="AL3825">
        <v>0</v>
      </c>
      <c r="AM3825">
        <v>0</v>
      </c>
      <c r="AN3825">
        <v>0</v>
      </c>
      <c r="AO3825">
        <v>1</v>
      </c>
      <c r="AP3825">
        <v>0</v>
      </c>
      <c r="AQ3825">
        <v>0</v>
      </c>
      <c r="AR3825">
        <v>0</v>
      </c>
      <c r="AS3825">
        <v>0</v>
      </c>
      <c r="AT3825">
        <v>0</v>
      </c>
      <c r="AU3825">
        <f t="shared" si="118"/>
        <v>1</v>
      </c>
      <c r="AV3825">
        <f t="shared" si="119"/>
        <v>0</v>
      </c>
    </row>
    <row r="3826" spans="1:48" x14ac:dyDescent="0.25">
      <c r="A3826" t="s">
        <v>11924</v>
      </c>
      <c r="B3826" t="s">
        <v>11924</v>
      </c>
      <c r="C3826" t="s">
        <v>11925</v>
      </c>
      <c r="D3826" t="s">
        <v>11923</v>
      </c>
      <c r="E3826" t="s">
        <v>2310</v>
      </c>
      <c r="F3826">
        <v>13</v>
      </c>
      <c r="G3826">
        <v>13.2</v>
      </c>
      <c r="H3826" t="s">
        <v>2327</v>
      </c>
      <c r="I3826" s="21">
        <v>41684.625891203701</v>
      </c>
      <c r="J3826">
        <v>2014</v>
      </c>
      <c r="K3826" s="21">
        <v>41751.635659722197</v>
      </c>
      <c r="L3826">
        <v>2014</v>
      </c>
      <c r="M3826" s="21">
        <v>42194.311770833301</v>
      </c>
      <c r="N3826">
        <v>2015</v>
      </c>
      <c r="Q3826" s="262">
        <v>1000000</v>
      </c>
      <c r="R3826" s="262">
        <v>406000</v>
      </c>
      <c r="S3826" t="s">
        <v>114</v>
      </c>
      <c r="T3826" t="s">
        <v>114</v>
      </c>
      <c r="V3826">
        <v>0</v>
      </c>
      <c r="W3826">
        <v>3745</v>
      </c>
      <c r="X3826">
        <v>1</v>
      </c>
      <c r="Y3826">
        <v>0</v>
      </c>
      <c r="Z3826">
        <v>0</v>
      </c>
      <c r="AA3826">
        <v>0</v>
      </c>
      <c r="AB3826">
        <v>0</v>
      </c>
      <c r="AC3826">
        <v>3745</v>
      </c>
      <c r="AD3826">
        <v>0</v>
      </c>
      <c r="AE3826">
        <v>0</v>
      </c>
      <c r="AF3826">
        <v>0</v>
      </c>
      <c r="AG3826">
        <v>0</v>
      </c>
      <c r="AH3826">
        <v>0</v>
      </c>
      <c r="AI3826">
        <v>0</v>
      </c>
      <c r="AJ3826">
        <v>0</v>
      </c>
      <c r="AK3826">
        <v>0</v>
      </c>
      <c r="AL3826">
        <v>0</v>
      </c>
      <c r="AM3826">
        <v>0</v>
      </c>
      <c r="AN3826">
        <v>0</v>
      </c>
      <c r="AO3826">
        <v>1</v>
      </c>
      <c r="AP3826">
        <v>0</v>
      </c>
      <c r="AQ3826">
        <v>0</v>
      </c>
      <c r="AR3826">
        <v>0</v>
      </c>
      <c r="AS3826">
        <v>0</v>
      </c>
      <c r="AT3826">
        <v>0</v>
      </c>
      <c r="AU3826">
        <f t="shared" si="118"/>
        <v>1</v>
      </c>
      <c r="AV3826">
        <f t="shared" si="119"/>
        <v>0</v>
      </c>
    </row>
    <row r="3827" spans="1:48" x14ac:dyDescent="0.25">
      <c r="A3827" t="s">
        <v>11926</v>
      </c>
      <c r="B3827" t="s">
        <v>11926</v>
      </c>
      <c r="C3827" t="s">
        <v>11927</v>
      </c>
      <c r="D3827" t="s">
        <v>11923</v>
      </c>
      <c r="E3827" t="s">
        <v>2310</v>
      </c>
      <c r="F3827">
        <v>13</v>
      </c>
      <c r="G3827">
        <v>13.2</v>
      </c>
      <c r="H3827" t="s">
        <v>2327</v>
      </c>
      <c r="I3827" s="21">
        <v>41684.625914351898</v>
      </c>
      <c r="J3827">
        <v>2014</v>
      </c>
      <c r="K3827" s="21">
        <v>41751.635949074102</v>
      </c>
      <c r="L3827">
        <v>2014</v>
      </c>
      <c r="M3827" s="21">
        <v>42202.415497685201</v>
      </c>
      <c r="N3827">
        <v>2015</v>
      </c>
      <c r="Q3827" s="262">
        <v>1000000</v>
      </c>
      <c r="R3827" s="262">
        <v>406000</v>
      </c>
      <c r="S3827" t="s">
        <v>114</v>
      </c>
      <c r="T3827" t="s">
        <v>114</v>
      </c>
      <c r="V3827">
        <v>0</v>
      </c>
      <c r="W3827">
        <v>3745</v>
      </c>
      <c r="X3827">
        <v>1</v>
      </c>
      <c r="Y3827">
        <v>0</v>
      </c>
      <c r="Z3827">
        <v>0</v>
      </c>
      <c r="AA3827">
        <v>0</v>
      </c>
      <c r="AB3827">
        <v>0</v>
      </c>
      <c r="AC3827">
        <v>3745</v>
      </c>
      <c r="AD3827">
        <v>0</v>
      </c>
      <c r="AE3827">
        <v>0</v>
      </c>
      <c r="AF3827">
        <v>0</v>
      </c>
      <c r="AG3827">
        <v>0</v>
      </c>
      <c r="AH3827">
        <v>0</v>
      </c>
      <c r="AI3827">
        <v>0</v>
      </c>
      <c r="AJ3827">
        <v>0</v>
      </c>
      <c r="AK3827">
        <v>0</v>
      </c>
      <c r="AL3827">
        <v>0</v>
      </c>
      <c r="AM3827">
        <v>0</v>
      </c>
      <c r="AN3827">
        <v>0</v>
      </c>
      <c r="AO3827">
        <v>1</v>
      </c>
      <c r="AP3827">
        <v>0</v>
      </c>
      <c r="AQ3827">
        <v>0</v>
      </c>
      <c r="AR3827">
        <v>0</v>
      </c>
      <c r="AS3827">
        <v>0</v>
      </c>
      <c r="AT3827">
        <v>0</v>
      </c>
      <c r="AU3827">
        <f t="shared" si="118"/>
        <v>1</v>
      </c>
      <c r="AV3827">
        <f t="shared" si="119"/>
        <v>0</v>
      </c>
    </row>
    <row r="3828" spans="1:48" x14ac:dyDescent="0.25">
      <c r="A3828" t="s">
        <v>11928</v>
      </c>
      <c r="B3828" t="s">
        <v>11928</v>
      </c>
      <c r="C3828" t="s">
        <v>11929</v>
      </c>
      <c r="D3828" t="s">
        <v>11923</v>
      </c>
      <c r="E3828" t="s">
        <v>2310</v>
      </c>
      <c r="F3828">
        <v>13</v>
      </c>
      <c r="G3828">
        <v>13.2</v>
      </c>
      <c r="H3828" t="s">
        <v>2327</v>
      </c>
      <c r="I3828" s="21">
        <v>41684.625937500001</v>
      </c>
      <c r="J3828">
        <v>2014</v>
      </c>
      <c r="K3828" s="21">
        <v>41751.636134259301</v>
      </c>
      <c r="L3828">
        <v>2014</v>
      </c>
      <c r="M3828" s="21">
        <v>42243.389027777797</v>
      </c>
      <c r="N3828">
        <v>2015</v>
      </c>
      <c r="Q3828" s="262">
        <v>1000000</v>
      </c>
      <c r="R3828" s="262">
        <v>406000</v>
      </c>
      <c r="S3828" t="s">
        <v>114</v>
      </c>
      <c r="T3828" t="s">
        <v>114</v>
      </c>
      <c r="V3828">
        <v>0</v>
      </c>
      <c r="W3828">
        <v>3745</v>
      </c>
      <c r="X3828">
        <v>1</v>
      </c>
      <c r="Y3828">
        <v>0</v>
      </c>
      <c r="Z3828">
        <v>0</v>
      </c>
      <c r="AA3828">
        <v>0</v>
      </c>
      <c r="AB3828">
        <v>0</v>
      </c>
      <c r="AC3828">
        <v>3745</v>
      </c>
      <c r="AD3828">
        <v>0</v>
      </c>
      <c r="AE3828">
        <v>0</v>
      </c>
      <c r="AF3828">
        <v>0</v>
      </c>
      <c r="AG3828">
        <v>0</v>
      </c>
      <c r="AH3828">
        <v>0</v>
      </c>
      <c r="AI3828">
        <v>0</v>
      </c>
      <c r="AJ3828">
        <v>0</v>
      </c>
      <c r="AK3828">
        <v>0</v>
      </c>
      <c r="AL3828">
        <v>0</v>
      </c>
      <c r="AM3828">
        <v>0</v>
      </c>
      <c r="AN3828">
        <v>0</v>
      </c>
      <c r="AO3828">
        <v>1</v>
      </c>
      <c r="AP3828">
        <v>0</v>
      </c>
      <c r="AQ3828">
        <v>0</v>
      </c>
      <c r="AR3828">
        <v>0</v>
      </c>
      <c r="AS3828">
        <v>0</v>
      </c>
      <c r="AT3828">
        <v>0</v>
      </c>
      <c r="AU3828">
        <f t="shared" si="118"/>
        <v>1</v>
      </c>
      <c r="AV3828">
        <f t="shared" si="119"/>
        <v>0</v>
      </c>
    </row>
    <row r="3829" spans="1:48" x14ac:dyDescent="0.25">
      <c r="A3829" t="s">
        <v>11930</v>
      </c>
      <c r="B3829" t="s">
        <v>11930</v>
      </c>
      <c r="C3829" t="s">
        <v>11931</v>
      </c>
      <c r="D3829" t="s">
        <v>11923</v>
      </c>
      <c r="E3829" t="s">
        <v>2310</v>
      </c>
      <c r="F3829">
        <v>13</v>
      </c>
      <c r="G3829">
        <v>13.2</v>
      </c>
      <c r="H3829" t="s">
        <v>2327</v>
      </c>
      <c r="I3829" s="21">
        <v>41684.625960648104</v>
      </c>
      <c r="J3829">
        <v>2014</v>
      </c>
      <c r="K3829" s="21">
        <v>41751.636307870402</v>
      </c>
      <c r="L3829">
        <v>2014</v>
      </c>
      <c r="M3829" s="21">
        <v>42264.342557870397</v>
      </c>
      <c r="N3829">
        <v>2015</v>
      </c>
      <c r="R3829" s="262">
        <v>406000</v>
      </c>
      <c r="S3829" t="s">
        <v>114</v>
      </c>
      <c r="T3829" t="s">
        <v>114</v>
      </c>
      <c r="V3829">
        <v>0</v>
      </c>
      <c r="W3829">
        <v>3745</v>
      </c>
      <c r="X3829">
        <v>1</v>
      </c>
      <c r="Y3829">
        <v>0</v>
      </c>
      <c r="Z3829">
        <v>0</v>
      </c>
      <c r="AA3829">
        <v>0</v>
      </c>
      <c r="AB3829">
        <v>0</v>
      </c>
      <c r="AC3829">
        <v>3745</v>
      </c>
      <c r="AD3829">
        <v>0</v>
      </c>
      <c r="AE3829">
        <v>0</v>
      </c>
      <c r="AF3829">
        <v>0</v>
      </c>
      <c r="AG3829">
        <v>0</v>
      </c>
      <c r="AH3829">
        <v>0</v>
      </c>
      <c r="AI3829">
        <v>0</v>
      </c>
      <c r="AJ3829">
        <v>0</v>
      </c>
      <c r="AK3829">
        <v>0</v>
      </c>
      <c r="AL3829">
        <v>0</v>
      </c>
      <c r="AM3829">
        <v>0</v>
      </c>
      <c r="AN3829">
        <v>0</v>
      </c>
      <c r="AO3829">
        <v>1</v>
      </c>
      <c r="AP3829">
        <v>0</v>
      </c>
      <c r="AQ3829">
        <v>0</v>
      </c>
      <c r="AR3829">
        <v>0</v>
      </c>
      <c r="AS3829">
        <v>0</v>
      </c>
      <c r="AT3829">
        <v>0</v>
      </c>
      <c r="AU3829">
        <f t="shared" si="118"/>
        <v>1</v>
      </c>
      <c r="AV3829">
        <f t="shared" si="119"/>
        <v>0</v>
      </c>
    </row>
    <row r="3830" spans="1:48" x14ac:dyDescent="0.25">
      <c r="A3830" t="s">
        <v>11932</v>
      </c>
      <c r="B3830" t="s">
        <v>11932</v>
      </c>
      <c r="C3830" t="s">
        <v>11933</v>
      </c>
      <c r="D3830" t="s">
        <v>11923</v>
      </c>
      <c r="E3830" t="s">
        <v>2310</v>
      </c>
      <c r="F3830">
        <v>13</v>
      </c>
      <c r="G3830">
        <v>13.2</v>
      </c>
      <c r="H3830" t="s">
        <v>2327</v>
      </c>
      <c r="I3830" s="21">
        <v>41684.625995370399</v>
      </c>
      <c r="J3830">
        <v>2014</v>
      </c>
      <c r="K3830" s="21">
        <v>41751.636504629598</v>
      </c>
      <c r="L3830">
        <v>2014</v>
      </c>
      <c r="M3830" s="21">
        <v>42307.463842592602</v>
      </c>
      <c r="N3830">
        <v>2015</v>
      </c>
      <c r="Q3830" s="262">
        <v>1000000</v>
      </c>
      <c r="R3830" s="262">
        <v>406000</v>
      </c>
      <c r="S3830" t="s">
        <v>114</v>
      </c>
      <c r="T3830" t="s">
        <v>114</v>
      </c>
      <c r="V3830">
        <v>0</v>
      </c>
      <c r="W3830">
        <v>3745</v>
      </c>
      <c r="X3830">
        <v>1</v>
      </c>
      <c r="Y3830">
        <v>0</v>
      </c>
      <c r="Z3830">
        <v>0</v>
      </c>
      <c r="AA3830">
        <v>0</v>
      </c>
      <c r="AB3830">
        <v>0</v>
      </c>
      <c r="AC3830">
        <v>3745</v>
      </c>
      <c r="AD3830">
        <v>0</v>
      </c>
      <c r="AE3830">
        <v>0</v>
      </c>
      <c r="AF3830">
        <v>0</v>
      </c>
      <c r="AG3830">
        <v>0</v>
      </c>
      <c r="AH3830">
        <v>0</v>
      </c>
      <c r="AI3830">
        <v>0</v>
      </c>
      <c r="AJ3830">
        <v>0</v>
      </c>
      <c r="AK3830">
        <v>0</v>
      </c>
      <c r="AL3830">
        <v>0</v>
      </c>
      <c r="AM3830">
        <v>0</v>
      </c>
      <c r="AN3830">
        <v>0</v>
      </c>
      <c r="AO3830">
        <v>1</v>
      </c>
      <c r="AP3830">
        <v>0</v>
      </c>
      <c r="AQ3830">
        <v>0</v>
      </c>
      <c r="AR3830">
        <v>0</v>
      </c>
      <c r="AS3830">
        <v>0</v>
      </c>
      <c r="AT3830">
        <v>0</v>
      </c>
      <c r="AU3830">
        <f t="shared" si="118"/>
        <v>1</v>
      </c>
      <c r="AV3830">
        <f t="shared" si="119"/>
        <v>0</v>
      </c>
    </row>
    <row r="3831" spans="1:48" x14ac:dyDescent="0.25">
      <c r="A3831" t="s">
        <v>11934</v>
      </c>
      <c r="B3831" t="s">
        <v>11934</v>
      </c>
      <c r="C3831" t="s">
        <v>11935</v>
      </c>
      <c r="D3831" t="s">
        <v>11923</v>
      </c>
      <c r="E3831" t="s">
        <v>2310</v>
      </c>
      <c r="F3831">
        <v>13</v>
      </c>
      <c r="G3831">
        <v>13.2</v>
      </c>
      <c r="H3831" t="s">
        <v>2327</v>
      </c>
      <c r="I3831" s="21">
        <v>41684.626018518502</v>
      </c>
      <c r="J3831">
        <v>2014</v>
      </c>
      <c r="K3831" s="21">
        <v>41751.636712963002</v>
      </c>
      <c r="L3831">
        <v>2014</v>
      </c>
      <c r="M3831" s="21">
        <v>42339.398263888899</v>
      </c>
      <c r="N3831">
        <v>2015</v>
      </c>
      <c r="Q3831" s="262">
        <v>1000000</v>
      </c>
      <c r="R3831" s="262">
        <v>406000</v>
      </c>
      <c r="S3831" t="s">
        <v>114</v>
      </c>
      <c r="T3831" t="s">
        <v>114</v>
      </c>
      <c r="V3831">
        <v>0</v>
      </c>
      <c r="W3831">
        <v>3745</v>
      </c>
      <c r="X3831">
        <v>1</v>
      </c>
      <c r="Y3831">
        <v>0</v>
      </c>
      <c r="Z3831">
        <v>0</v>
      </c>
      <c r="AA3831">
        <v>0</v>
      </c>
      <c r="AB3831">
        <v>0</v>
      </c>
      <c r="AC3831">
        <v>3745</v>
      </c>
      <c r="AD3831">
        <v>0</v>
      </c>
      <c r="AE3831">
        <v>0</v>
      </c>
      <c r="AF3831">
        <v>0</v>
      </c>
      <c r="AG3831">
        <v>0</v>
      </c>
      <c r="AH3831">
        <v>0</v>
      </c>
      <c r="AI3831">
        <v>0</v>
      </c>
      <c r="AJ3831">
        <v>0</v>
      </c>
      <c r="AK3831">
        <v>0</v>
      </c>
      <c r="AL3831">
        <v>0</v>
      </c>
      <c r="AM3831">
        <v>0</v>
      </c>
      <c r="AN3831">
        <v>0</v>
      </c>
      <c r="AO3831">
        <v>1</v>
      </c>
      <c r="AP3831">
        <v>0</v>
      </c>
      <c r="AQ3831">
        <v>0</v>
      </c>
      <c r="AR3831">
        <v>0</v>
      </c>
      <c r="AS3831">
        <v>0</v>
      </c>
      <c r="AT3831">
        <v>0</v>
      </c>
      <c r="AU3831">
        <f t="shared" si="118"/>
        <v>1</v>
      </c>
      <c r="AV3831">
        <f t="shared" si="119"/>
        <v>0</v>
      </c>
    </row>
    <row r="3832" spans="1:48" x14ac:dyDescent="0.25">
      <c r="A3832" t="s">
        <v>11936</v>
      </c>
      <c r="B3832" t="s">
        <v>11936</v>
      </c>
      <c r="C3832" t="s">
        <v>11937</v>
      </c>
      <c r="D3832" t="s">
        <v>11923</v>
      </c>
      <c r="E3832" t="s">
        <v>2310</v>
      </c>
      <c r="F3832">
        <v>13</v>
      </c>
      <c r="G3832">
        <v>13.2</v>
      </c>
      <c r="H3832" t="s">
        <v>2327</v>
      </c>
      <c r="I3832" s="21">
        <v>41684.626041666699</v>
      </c>
      <c r="J3832">
        <v>2014</v>
      </c>
      <c r="K3832" s="21">
        <v>41751.636944444399</v>
      </c>
      <c r="L3832">
        <v>2014</v>
      </c>
      <c r="M3832" s="21">
        <v>42194.308194444398</v>
      </c>
      <c r="N3832">
        <v>2015</v>
      </c>
      <c r="Q3832" s="262">
        <v>1000000</v>
      </c>
      <c r="R3832" s="262">
        <v>411000</v>
      </c>
      <c r="S3832" t="s">
        <v>114</v>
      </c>
      <c r="T3832" t="s">
        <v>114</v>
      </c>
      <c r="V3832">
        <v>0</v>
      </c>
      <c r="W3832">
        <v>3745</v>
      </c>
      <c r="X3832">
        <v>1</v>
      </c>
      <c r="Y3832">
        <v>0</v>
      </c>
      <c r="Z3832">
        <v>0</v>
      </c>
      <c r="AA3832">
        <v>0</v>
      </c>
      <c r="AB3832">
        <v>0</v>
      </c>
      <c r="AC3832">
        <v>3745</v>
      </c>
      <c r="AD3832">
        <v>0</v>
      </c>
      <c r="AE3832">
        <v>0</v>
      </c>
      <c r="AF3832">
        <v>0</v>
      </c>
      <c r="AG3832">
        <v>0</v>
      </c>
      <c r="AH3832">
        <v>0</v>
      </c>
      <c r="AI3832">
        <v>0</v>
      </c>
      <c r="AJ3832">
        <v>0</v>
      </c>
      <c r="AK3832">
        <v>0</v>
      </c>
      <c r="AL3832">
        <v>0</v>
      </c>
      <c r="AM3832">
        <v>0</v>
      </c>
      <c r="AN3832">
        <v>0</v>
      </c>
      <c r="AO3832">
        <v>1</v>
      </c>
      <c r="AP3832">
        <v>0</v>
      </c>
      <c r="AQ3832">
        <v>0</v>
      </c>
      <c r="AR3832">
        <v>0</v>
      </c>
      <c r="AS3832">
        <v>0</v>
      </c>
      <c r="AT3832">
        <v>0</v>
      </c>
      <c r="AU3832">
        <f t="shared" si="118"/>
        <v>1</v>
      </c>
      <c r="AV3832">
        <f t="shared" si="119"/>
        <v>0</v>
      </c>
    </row>
    <row r="3833" spans="1:48" x14ac:dyDescent="0.25">
      <c r="A3833" t="s">
        <v>11938</v>
      </c>
      <c r="B3833" t="s">
        <v>11938</v>
      </c>
      <c r="C3833" t="s">
        <v>11939</v>
      </c>
      <c r="D3833" t="s">
        <v>11923</v>
      </c>
      <c r="E3833" t="s">
        <v>2310</v>
      </c>
      <c r="F3833">
        <v>13</v>
      </c>
      <c r="G3833">
        <v>13.2</v>
      </c>
      <c r="H3833" t="s">
        <v>2327</v>
      </c>
      <c r="I3833" s="21">
        <v>41684.626064814802</v>
      </c>
      <c r="J3833">
        <v>2014</v>
      </c>
      <c r="K3833" s="21">
        <v>41751.637175925898</v>
      </c>
      <c r="L3833">
        <v>2014</v>
      </c>
      <c r="M3833" s="21">
        <v>42221.456782407397</v>
      </c>
      <c r="N3833">
        <v>2015</v>
      </c>
      <c r="Q3833" s="262">
        <v>1000000</v>
      </c>
      <c r="R3833" s="262">
        <v>411000</v>
      </c>
      <c r="S3833" t="s">
        <v>114</v>
      </c>
      <c r="T3833" t="s">
        <v>114</v>
      </c>
      <c r="V3833">
        <v>0</v>
      </c>
      <c r="W3833">
        <v>3745</v>
      </c>
      <c r="X3833">
        <v>1</v>
      </c>
      <c r="Y3833">
        <v>0</v>
      </c>
      <c r="Z3833">
        <v>0</v>
      </c>
      <c r="AA3833">
        <v>0</v>
      </c>
      <c r="AB3833">
        <v>0</v>
      </c>
      <c r="AC3833">
        <v>3745</v>
      </c>
      <c r="AD3833">
        <v>0</v>
      </c>
      <c r="AE3833">
        <v>0</v>
      </c>
      <c r="AF3833">
        <v>0</v>
      </c>
      <c r="AG3833">
        <v>0</v>
      </c>
      <c r="AH3833">
        <v>0</v>
      </c>
      <c r="AI3833">
        <v>0</v>
      </c>
      <c r="AJ3833">
        <v>0</v>
      </c>
      <c r="AK3833">
        <v>0</v>
      </c>
      <c r="AL3833">
        <v>0</v>
      </c>
      <c r="AM3833">
        <v>0</v>
      </c>
      <c r="AN3833">
        <v>0</v>
      </c>
      <c r="AO3833">
        <v>1</v>
      </c>
      <c r="AP3833">
        <v>0</v>
      </c>
      <c r="AQ3833">
        <v>0</v>
      </c>
      <c r="AR3833">
        <v>0</v>
      </c>
      <c r="AS3833">
        <v>0</v>
      </c>
      <c r="AT3833">
        <v>0</v>
      </c>
      <c r="AU3833">
        <f t="shared" si="118"/>
        <v>1</v>
      </c>
      <c r="AV3833">
        <f t="shared" si="119"/>
        <v>0</v>
      </c>
    </row>
    <row r="3834" spans="1:48" x14ac:dyDescent="0.25">
      <c r="A3834" t="s">
        <v>11940</v>
      </c>
      <c r="B3834" t="s">
        <v>11940</v>
      </c>
      <c r="C3834" t="s">
        <v>11941</v>
      </c>
      <c r="D3834" t="s">
        <v>11923</v>
      </c>
      <c r="E3834" t="s">
        <v>2310</v>
      </c>
      <c r="F3834">
        <v>13</v>
      </c>
      <c r="G3834">
        <v>13.2</v>
      </c>
      <c r="H3834" t="s">
        <v>2327</v>
      </c>
      <c r="I3834" s="21">
        <v>41684.626099537003</v>
      </c>
      <c r="J3834">
        <v>2014</v>
      </c>
      <c r="K3834" s="21">
        <v>41751.637395833299</v>
      </c>
      <c r="L3834">
        <v>2014</v>
      </c>
      <c r="M3834" s="21">
        <v>42307.464224536998</v>
      </c>
      <c r="N3834">
        <v>2015</v>
      </c>
      <c r="Q3834" s="262">
        <v>1000000</v>
      </c>
      <c r="R3834" s="262">
        <v>411000</v>
      </c>
      <c r="S3834" t="s">
        <v>114</v>
      </c>
      <c r="T3834" t="s">
        <v>114</v>
      </c>
      <c r="V3834">
        <v>0</v>
      </c>
      <c r="W3834">
        <v>3745</v>
      </c>
      <c r="X3834">
        <v>1</v>
      </c>
      <c r="Y3834">
        <v>0</v>
      </c>
      <c r="Z3834">
        <v>0</v>
      </c>
      <c r="AA3834">
        <v>0</v>
      </c>
      <c r="AB3834">
        <v>0</v>
      </c>
      <c r="AC3834">
        <v>3745</v>
      </c>
      <c r="AD3834">
        <v>0</v>
      </c>
      <c r="AE3834">
        <v>0</v>
      </c>
      <c r="AF3834">
        <v>0</v>
      </c>
      <c r="AG3834">
        <v>0</v>
      </c>
      <c r="AH3834">
        <v>0</v>
      </c>
      <c r="AI3834">
        <v>0</v>
      </c>
      <c r="AJ3834">
        <v>0</v>
      </c>
      <c r="AK3834">
        <v>0</v>
      </c>
      <c r="AL3834">
        <v>0</v>
      </c>
      <c r="AM3834">
        <v>0</v>
      </c>
      <c r="AN3834">
        <v>0</v>
      </c>
      <c r="AO3834">
        <v>1</v>
      </c>
      <c r="AP3834">
        <v>0</v>
      </c>
      <c r="AQ3834">
        <v>0</v>
      </c>
      <c r="AR3834">
        <v>0</v>
      </c>
      <c r="AS3834">
        <v>0</v>
      </c>
      <c r="AT3834">
        <v>0</v>
      </c>
      <c r="AU3834">
        <f t="shared" si="118"/>
        <v>1</v>
      </c>
      <c r="AV3834">
        <f t="shared" si="119"/>
        <v>0</v>
      </c>
    </row>
    <row r="3835" spans="1:48" x14ac:dyDescent="0.25">
      <c r="A3835" t="s">
        <v>11942</v>
      </c>
      <c r="B3835" t="s">
        <v>11942</v>
      </c>
      <c r="C3835" t="s">
        <v>11943</v>
      </c>
      <c r="D3835" t="s">
        <v>11923</v>
      </c>
      <c r="E3835" t="s">
        <v>2310</v>
      </c>
      <c r="F3835">
        <v>13</v>
      </c>
      <c r="G3835">
        <v>13.2</v>
      </c>
      <c r="H3835" t="s">
        <v>2327</v>
      </c>
      <c r="I3835" s="21">
        <v>41684.6261226852</v>
      </c>
      <c r="J3835">
        <v>2014</v>
      </c>
      <c r="K3835" s="21">
        <v>41751.637662036999</v>
      </c>
      <c r="L3835">
        <v>2014</v>
      </c>
      <c r="M3835" s="21">
        <v>42327.431747685201</v>
      </c>
      <c r="N3835">
        <v>2015</v>
      </c>
      <c r="Q3835" s="262">
        <v>1000000</v>
      </c>
      <c r="R3835" s="262">
        <v>411000</v>
      </c>
      <c r="S3835" t="s">
        <v>114</v>
      </c>
      <c r="T3835" t="s">
        <v>114</v>
      </c>
      <c r="V3835">
        <v>0</v>
      </c>
      <c r="W3835">
        <v>3745</v>
      </c>
      <c r="X3835">
        <v>1</v>
      </c>
      <c r="Y3835">
        <v>0</v>
      </c>
      <c r="Z3835">
        <v>0</v>
      </c>
      <c r="AA3835">
        <v>0</v>
      </c>
      <c r="AB3835">
        <v>0</v>
      </c>
      <c r="AC3835">
        <v>3745</v>
      </c>
      <c r="AD3835">
        <v>0</v>
      </c>
      <c r="AE3835">
        <v>0</v>
      </c>
      <c r="AF3835">
        <v>0</v>
      </c>
      <c r="AG3835">
        <v>0</v>
      </c>
      <c r="AH3835">
        <v>0</v>
      </c>
      <c r="AI3835">
        <v>0</v>
      </c>
      <c r="AJ3835">
        <v>0</v>
      </c>
      <c r="AK3835">
        <v>0</v>
      </c>
      <c r="AL3835">
        <v>0</v>
      </c>
      <c r="AM3835">
        <v>0</v>
      </c>
      <c r="AN3835">
        <v>0</v>
      </c>
      <c r="AO3835">
        <v>1</v>
      </c>
      <c r="AP3835">
        <v>0</v>
      </c>
      <c r="AQ3835">
        <v>0</v>
      </c>
      <c r="AR3835">
        <v>0</v>
      </c>
      <c r="AS3835">
        <v>0</v>
      </c>
      <c r="AT3835">
        <v>0</v>
      </c>
      <c r="AU3835">
        <f t="shared" si="118"/>
        <v>1</v>
      </c>
      <c r="AV3835">
        <f t="shared" si="119"/>
        <v>0</v>
      </c>
    </row>
    <row r="3836" spans="1:48" x14ac:dyDescent="0.25">
      <c r="A3836" t="s">
        <v>11944</v>
      </c>
      <c r="B3836" t="s">
        <v>11944</v>
      </c>
      <c r="C3836" t="s">
        <v>11945</v>
      </c>
      <c r="D3836" t="s">
        <v>11923</v>
      </c>
      <c r="E3836" t="s">
        <v>2310</v>
      </c>
      <c r="F3836">
        <v>13</v>
      </c>
      <c r="G3836">
        <v>13.2</v>
      </c>
      <c r="H3836" t="s">
        <v>2327</v>
      </c>
      <c r="I3836" s="21">
        <v>41684.626145833303</v>
      </c>
      <c r="J3836">
        <v>2014</v>
      </c>
      <c r="K3836" s="21">
        <v>41751.637893518498</v>
      </c>
      <c r="L3836">
        <v>2014</v>
      </c>
      <c r="M3836" s="21">
        <v>42118.604803240698</v>
      </c>
      <c r="N3836">
        <v>2015</v>
      </c>
      <c r="Q3836" s="262">
        <v>1000000</v>
      </c>
      <c r="R3836" s="262">
        <v>411000</v>
      </c>
      <c r="S3836" t="s">
        <v>114</v>
      </c>
      <c r="T3836" t="s">
        <v>114</v>
      </c>
      <c r="V3836">
        <v>0</v>
      </c>
      <c r="W3836">
        <v>3745</v>
      </c>
      <c r="X3836">
        <v>1</v>
      </c>
      <c r="Y3836">
        <v>0</v>
      </c>
      <c r="Z3836">
        <v>0</v>
      </c>
      <c r="AA3836">
        <v>0</v>
      </c>
      <c r="AB3836">
        <v>0</v>
      </c>
      <c r="AC3836">
        <v>3745</v>
      </c>
      <c r="AD3836">
        <v>0</v>
      </c>
      <c r="AE3836">
        <v>0</v>
      </c>
      <c r="AF3836">
        <v>0</v>
      </c>
      <c r="AG3836">
        <v>0</v>
      </c>
      <c r="AH3836">
        <v>0</v>
      </c>
      <c r="AI3836">
        <v>0</v>
      </c>
      <c r="AJ3836">
        <v>0</v>
      </c>
      <c r="AK3836">
        <v>0</v>
      </c>
      <c r="AL3836">
        <v>0</v>
      </c>
      <c r="AM3836">
        <v>0</v>
      </c>
      <c r="AN3836">
        <v>0</v>
      </c>
      <c r="AO3836">
        <v>1</v>
      </c>
      <c r="AP3836">
        <v>0</v>
      </c>
      <c r="AQ3836">
        <v>0</v>
      </c>
      <c r="AR3836">
        <v>0</v>
      </c>
      <c r="AS3836">
        <v>0</v>
      </c>
      <c r="AT3836">
        <v>0</v>
      </c>
      <c r="AU3836">
        <f t="shared" si="118"/>
        <v>1</v>
      </c>
      <c r="AV3836">
        <f t="shared" si="119"/>
        <v>0</v>
      </c>
    </row>
    <row r="3837" spans="1:48" x14ac:dyDescent="0.25">
      <c r="A3837" t="s">
        <v>11946</v>
      </c>
      <c r="B3837" t="s">
        <v>11946</v>
      </c>
      <c r="C3837" t="s">
        <v>11947</v>
      </c>
      <c r="D3837" t="s">
        <v>11948</v>
      </c>
      <c r="E3837" t="s">
        <v>2310</v>
      </c>
      <c r="F3837">
        <v>15</v>
      </c>
      <c r="G3837">
        <v>15.2</v>
      </c>
      <c r="H3837" t="s">
        <v>2323</v>
      </c>
      <c r="I3837" s="21">
        <v>41684.626180555599</v>
      </c>
      <c r="J3837">
        <v>2014</v>
      </c>
      <c r="K3837" s="21">
        <v>41757.500254629602</v>
      </c>
      <c r="L3837">
        <v>2014</v>
      </c>
      <c r="M3837" s="21">
        <v>42395.651342592602</v>
      </c>
      <c r="N3837">
        <v>2016</v>
      </c>
      <c r="Q3837" s="262">
        <v>2400000</v>
      </c>
      <c r="R3837" s="262">
        <v>885000</v>
      </c>
      <c r="S3837" t="s">
        <v>114</v>
      </c>
      <c r="T3837" t="s">
        <v>114</v>
      </c>
      <c r="V3837">
        <v>0</v>
      </c>
      <c r="W3837">
        <v>6712</v>
      </c>
      <c r="X3837">
        <v>1</v>
      </c>
      <c r="Y3837">
        <v>0</v>
      </c>
      <c r="Z3837">
        <v>0</v>
      </c>
      <c r="AA3837">
        <v>0</v>
      </c>
      <c r="AB3837">
        <v>0</v>
      </c>
      <c r="AC3837">
        <v>6712</v>
      </c>
      <c r="AD3837">
        <v>0</v>
      </c>
      <c r="AE3837">
        <v>0</v>
      </c>
      <c r="AF3837">
        <v>0</v>
      </c>
      <c r="AG3837">
        <v>0</v>
      </c>
      <c r="AH3837">
        <v>0</v>
      </c>
      <c r="AI3837">
        <v>0</v>
      </c>
      <c r="AJ3837">
        <v>0</v>
      </c>
      <c r="AK3837">
        <v>0</v>
      </c>
      <c r="AL3837">
        <v>0</v>
      </c>
      <c r="AM3837">
        <v>0</v>
      </c>
      <c r="AN3837">
        <v>0</v>
      </c>
      <c r="AO3837">
        <v>1</v>
      </c>
      <c r="AP3837">
        <v>0</v>
      </c>
      <c r="AQ3837">
        <v>0</v>
      </c>
      <c r="AR3837">
        <v>0</v>
      </c>
      <c r="AS3837">
        <v>0</v>
      </c>
      <c r="AT3837">
        <v>0</v>
      </c>
      <c r="AU3837">
        <f t="shared" si="118"/>
        <v>1</v>
      </c>
      <c r="AV3837">
        <f t="shared" si="119"/>
        <v>0</v>
      </c>
    </row>
    <row r="3838" spans="1:48" x14ac:dyDescent="0.25">
      <c r="A3838" t="s">
        <v>11949</v>
      </c>
      <c r="B3838" t="s">
        <v>11949</v>
      </c>
      <c r="C3838" t="s">
        <v>11950</v>
      </c>
      <c r="D3838" t="s">
        <v>11948</v>
      </c>
      <c r="E3838" t="s">
        <v>2310</v>
      </c>
      <c r="F3838">
        <v>15</v>
      </c>
      <c r="G3838">
        <v>15.2</v>
      </c>
      <c r="H3838" t="s">
        <v>2323</v>
      </c>
      <c r="I3838" s="21">
        <v>41688.387812499997</v>
      </c>
      <c r="J3838">
        <v>2014</v>
      </c>
      <c r="O3838" s="21">
        <v>41758.386979166702</v>
      </c>
      <c r="Q3838" s="262">
        <v>100000</v>
      </c>
      <c r="R3838" s="262">
        <v>34000</v>
      </c>
      <c r="S3838" t="s">
        <v>114</v>
      </c>
      <c r="T3838" t="s">
        <v>114</v>
      </c>
      <c r="V3838">
        <v>0</v>
      </c>
      <c r="W3838">
        <v>832</v>
      </c>
      <c r="X3838">
        <v>0</v>
      </c>
      <c r="Y3838">
        <v>0</v>
      </c>
      <c r="Z3838">
        <v>0</v>
      </c>
      <c r="AA3838">
        <v>0</v>
      </c>
      <c r="AB3838">
        <v>0</v>
      </c>
      <c r="AC3838">
        <v>832</v>
      </c>
      <c r="AD3838">
        <v>0</v>
      </c>
      <c r="AE3838">
        <v>0</v>
      </c>
      <c r="AF3838">
        <v>0</v>
      </c>
      <c r="AG3838">
        <v>0</v>
      </c>
      <c r="AH3838">
        <v>0</v>
      </c>
      <c r="AI3838">
        <v>0</v>
      </c>
      <c r="AJ3838">
        <v>0</v>
      </c>
      <c r="AK3838">
        <v>0</v>
      </c>
      <c r="AL3838">
        <v>0</v>
      </c>
      <c r="AM3838">
        <v>0</v>
      </c>
      <c r="AN3838">
        <v>0</v>
      </c>
      <c r="AO3838">
        <v>0</v>
      </c>
      <c r="AP3838">
        <v>0</v>
      </c>
      <c r="AQ3838">
        <v>0</v>
      </c>
      <c r="AR3838">
        <v>0</v>
      </c>
      <c r="AS3838">
        <v>0</v>
      </c>
      <c r="AT3838">
        <v>0</v>
      </c>
      <c r="AU3838">
        <f t="shared" si="118"/>
        <v>0</v>
      </c>
      <c r="AV3838">
        <f t="shared" si="119"/>
        <v>0</v>
      </c>
    </row>
    <row r="3839" spans="1:48" x14ac:dyDescent="0.25">
      <c r="A3839" t="s">
        <v>11951</v>
      </c>
      <c r="B3839" t="s">
        <v>11951</v>
      </c>
      <c r="C3839" t="s">
        <v>10758</v>
      </c>
      <c r="D3839" t="s">
        <v>11952</v>
      </c>
      <c r="E3839" t="s">
        <v>2310</v>
      </c>
      <c r="F3839">
        <v>13</v>
      </c>
      <c r="G3839">
        <v>13.3</v>
      </c>
      <c r="H3839" t="s">
        <v>2017</v>
      </c>
      <c r="I3839" s="21">
        <v>41689.433101851799</v>
      </c>
      <c r="J3839">
        <v>2014</v>
      </c>
      <c r="K3839" s="21">
        <v>41786.616840277798</v>
      </c>
      <c r="L3839">
        <v>2014</v>
      </c>
      <c r="M3839" s="21">
        <v>42341.449351851901</v>
      </c>
      <c r="N3839">
        <v>2015</v>
      </c>
      <c r="Q3839" s="262">
        <v>2100000</v>
      </c>
      <c r="R3839" s="262">
        <v>724000</v>
      </c>
      <c r="S3839" t="s">
        <v>114</v>
      </c>
      <c r="T3839" t="s">
        <v>114</v>
      </c>
      <c r="V3839">
        <v>0</v>
      </c>
      <c r="W3839">
        <v>6154</v>
      </c>
      <c r="X3839">
        <v>1</v>
      </c>
      <c r="Y3839">
        <v>0</v>
      </c>
      <c r="Z3839">
        <v>0</v>
      </c>
      <c r="AA3839">
        <v>0</v>
      </c>
      <c r="AB3839">
        <v>0</v>
      </c>
      <c r="AC3839">
        <v>6154</v>
      </c>
      <c r="AD3839">
        <v>0</v>
      </c>
      <c r="AE3839">
        <v>0</v>
      </c>
      <c r="AF3839">
        <v>0</v>
      </c>
      <c r="AG3839">
        <v>0</v>
      </c>
      <c r="AH3839">
        <v>0</v>
      </c>
      <c r="AI3839">
        <v>0</v>
      </c>
      <c r="AJ3839">
        <v>0</v>
      </c>
      <c r="AK3839">
        <v>0</v>
      </c>
      <c r="AL3839">
        <v>0</v>
      </c>
      <c r="AM3839">
        <v>0</v>
      </c>
      <c r="AN3839">
        <v>0</v>
      </c>
      <c r="AO3839">
        <v>1</v>
      </c>
      <c r="AP3839">
        <v>0</v>
      </c>
      <c r="AQ3839">
        <v>0</v>
      </c>
      <c r="AR3839">
        <v>0</v>
      </c>
      <c r="AS3839">
        <v>0</v>
      </c>
      <c r="AT3839">
        <v>0</v>
      </c>
      <c r="AU3839">
        <f t="shared" si="118"/>
        <v>1</v>
      </c>
      <c r="AV3839">
        <f t="shared" si="119"/>
        <v>0</v>
      </c>
    </row>
    <row r="3840" spans="1:48" x14ac:dyDescent="0.25">
      <c r="A3840" t="s">
        <v>11956</v>
      </c>
      <c r="C3840" t="s">
        <v>11879</v>
      </c>
      <c r="D3840" t="s">
        <v>11957</v>
      </c>
      <c r="E3840" t="s">
        <v>1663</v>
      </c>
      <c r="F3840">
        <v>6</v>
      </c>
      <c r="G3840">
        <v>6.1</v>
      </c>
      <c r="H3840" t="s">
        <v>2017</v>
      </c>
      <c r="I3840" s="21">
        <v>41690</v>
      </c>
      <c r="J3840">
        <v>2014</v>
      </c>
      <c r="K3840" s="21">
        <v>41716</v>
      </c>
      <c r="L3840">
        <v>2014</v>
      </c>
      <c r="M3840" s="21">
        <v>41817</v>
      </c>
      <c r="N3840">
        <v>2014</v>
      </c>
      <c r="Q3840" s="262">
        <v>32000</v>
      </c>
      <c r="S3840" t="s">
        <v>114</v>
      </c>
      <c r="T3840" t="s">
        <v>114</v>
      </c>
      <c r="V3840">
        <v>332</v>
      </c>
      <c r="W3840">
        <v>0</v>
      </c>
      <c r="X3840">
        <v>0</v>
      </c>
      <c r="Y3840">
        <v>0</v>
      </c>
      <c r="Z3840">
        <v>0</v>
      </c>
      <c r="AA3840">
        <v>0</v>
      </c>
      <c r="AB3840">
        <v>0</v>
      </c>
      <c r="AC3840">
        <v>0</v>
      </c>
      <c r="AD3840">
        <v>0</v>
      </c>
      <c r="AE3840">
        <v>0</v>
      </c>
      <c r="AF3840">
        <v>0</v>
      </c>
      <c r="AG3840">
        <v>0</v>
      </c>
      <c r="AH3840">
        <v>0</v>
      </c>
      <c r="AI3840">
        <v>0</v>
      </c>
      <c r="AJ3840">
        <v>0</v>
      </c>
      <c r="AK3840">
        <v>0</v>
      </c>
      <c r="AL3840">
        <v>0</v>
      </c>
      <c r="AM3840">
        <v>0</v>
      </c>
      <c r="AN3840">
        <v>0</v>
      </c>
      <c r="AO3840">
        <v>0</v>
      </c>
      <c r="AP3840">
        <v>0</v>
      </c>
      <c r="AQ3840">
        <v>0</v>
      </c>
      <c r="AR3840">
        <v>0</v>
      </c>
      <c r="AS3840">
        <v>0</v>
      </c>
      <c r="AT3840">
        <v>0</v>
      </c>
      <c r="AU3840">
        <f t="shared" si="118"/>
        <v>0</v>
      </c>
      <c r="AV3840">
        <f t="shared" si="119"/>
        <v>0</v>
      </c>
    </row>
    <row r="3841" spans="1:48" x14ac:dyDescent="0.25">
      <c r="A3841" t="s">
        <v>11953</v>
      </c>
      <c r="C3841" t="s">
        <v>11954</v>
      </c>
      <c r="D3841" t="s">
        <v>11955</v>
      </c>
      <c r="E3841" t="s">
        <v>1663</v>
      </c>
      <c r="F3841">
        <v>3</v>
      </c>
      <c r="G3841">
        <v>3.2</v>
      </c>
      <c r="H3841" t="s">
        <v>2327</v>
      </c>
      <c r="I3841" s="21">
        <v>41690</v>
      </c>
      <c r="J3841">
        <v>2014</v>
      </c>
      <c r="K3841" s="21">
        <v>41873</v>
      </c>
      <c r="L3841">
        <v>2014</v>
      </c>
      <c r="M3841" s="21">
        <v>42426</v>
      </c>
      <c r="N3841">
        <v>2016</v>
      </c>
      <c r="Q3841" s="262">
        <v>35000</v>
      </c>
      <c r="S3841" t="s">
        <v>114</v>
      </c>
      <c r="T3841" t="s">
        <v>114</v>
      </c>
      <c r="V3841">
        <v>56</v>
      </c>
      <c r="W3841">
        <v>0</v>
      </c>
      <c r="X3841">
        <v>0</v>
      </c>
      <c r="Y3841">
        <v>0</v>
      </c>
      <c r="Z3841">
        <v>0</v>
      </c>
      <c r="AA3841">
        <v>0</v>
      </c>
      <c r="AB3841">
        <v>0</v>
      </c>
      <c r="AC3841">
        <v>0</v>
      </c>
      <c r="AD3841">
        <v>0</v>
      </c>
      <c r="AE3841">
        <v>0</v>
      </c>
      <c r="AF3841">
        <v>0</v>
      </c>
      <c r="AG3841">
        <v>0</v>
      </c>
      <c r="AH3841">
        <v>0</v>
      </c>
      <c r="AI3841">
        <v>0</v>
      </c>
      <c r="AJ3841">
        <v>0</v>
      </c>
      <c r="AK3841">
        <v>0</v>
      </c>
      <c r="AL3841">
        <v>0</v>
      </c>
      <c r="AM3841">
        <v>0</v>
      </c>
      <c r="AN3841">
        <v>0</v>
      </c>
      <c r="AO3841">
        <v>0</v>
      </c>
      <c r="AP3841">
        <v>0</v>
      </c>
      <c r="AQ3841">
        <v>0</v>
      </c>
      <c r="AR3841">
        <v>0</v>
      </c>
      <c r="AS3841">
        <v>0</v>
      </c>
      <c r="AT3841">
        <v>0</v>
      </c>
      <c r="AU3841">
        <f t="shared" si="118"/>
        <v>0</v>
      </c>
      <c r="AV3841">
        <f t="shared" si="119"/>
        <v>0</v>
      </c>
    </row>
    <row r="3842" spans="1:48" x14ac:dyDescent="0.25">
      <c r="A3842" t="s">
        <v>11958</v>
      </c>
      <c r="B3842" t="s">
        <v>11958</v>
      </c>
      <c r="C3842" t="s">
        <v>11111</v>
      </c>
      <c r="D3842" t="s">
        <v>11959</v>
      </c>
      <c r="E3842" t="s">
        <v>2310</v>
      </c>
      <c r="F3842">
        <v>15</v>
      </c>
      <c r="G3842">
        <v>15.1</v>
      </c>
      <c r="H3842" t="s">
        <v>2022</v>
      </c>
      <c r="I3842" s="21">
        <v>41697.655219907399</v>
      </c>
      <c r="J3842">
        <v>2014</v>
      </c>
      <c r="K3842" s="21">
        <v>41717.6645601852</v>
      </c>
      <c r="L3842">
        <v>2014</v>
      </c>
      <c r="M3842" s="21">
        <v>42158.344432870399</v>
      </c>
      <c r="N3842">
        <v>2015</v>
      </c>
      <c r="Q3842" s="262">
        <v>322000</v>
      </c>
      <c r="R3842" s="262">
        <v>454000</v>
      </c>
      <c r="S3842" t="s">
        <v>114</v>
      </c>
      <c r="T3842" t="s">
        <v>114</v>
      </c>
      <c r="V3842">
        <v>0</v>
      </c>
      <c r="W3842">
        <v>4655</v>
      </c>
      <c r="X3842">
        <v>1</v>
      </c>
      <c r="Y3842">
        <v>0</v>
      </c>
      <c r="Z3842">
        <v>0</v>
      </c>
      <c r="AA3842">
        <v>0</v>
      </c>
      <c r="AB3842">
        <v>0</v>
      </c>
      <c r="AC3842">
        <v>4655</v>
      </c>
      <c r="AD3842">
        <v>0</v>
      </c>
      <c r="AE3842">
        <v>0</v>
      </c>
      <c r="AF3842">
        <v>0</v>
      </c>
      <c r="AG3842">
        <v>0</v>
      </c>
      <c r="AH3842">
        <v>0</v>
      </c>
      <c r="AI3842">
        <v>0</v>
      </c>
      <c r="AJ3842">
        <v>0</v>
      </c>
      <c r="AK3842">
        <v>0</v>
      </c>
      <c r="AL3842">
        <v>0</v>
      </c>
      <c r="AM3842">
        <v>0</v>
      </c>
      <c r="AN3842">
        <v>0</v>
      </c>
      <c r="AO3842">
        <v>1</v>
      </c>
      <c r="AP3842">
        <v>0</v>
      </c>
      <c r="AQ3842">
        <v>0</v>
      </c>
      <c r="AR3842">
        <v>0</v>
      </c>
      <c r="AS3842">
        <v>0</v>
      </c>
      <c r="AT3842">
        <v>0</v>
      </c>
      <c r="AU3842">
        <f t="shared" si="118"/>
        <v>1</v>
      </c>
      <c r="AV3842">
        <f t="shared" si="119"/>
        <v>0</v>
      </c>
    </row>
    <row r="3843" spans="1:48" x14ac:dyDescent="0.25">
      <c r="A3843" t="s">
        <v>11960</v>
      </c>
      <c r="B3843" t="s">
        <v>11960</v>
      </c>
      <c r="C3843" t="s">
        <v>11961</v>
      </c>
      <c r="D3843" t="s">
        <v>11962</v>
      </c>
      <c r="E3843" t="s">
        <v>2310</v>
      </c>
      <c r="F3843">
        <v>9</v>
      </c>
      <c r="G3843">
        <v>9.1</v>
      </c>
      <c r="H3843" t="s">
        <v>2323</v>
      </c>
      <c r="I3843" s="21">
        <v>41698.609097222201</v>
      </c>
      <c r="J3843">
        <v>2014</v>
      </c>
      <c r="K3843" s="21">
        <v>41731.507488425901</v>
      </c>
      <c r="L3843">
        <v>2014</v>
      </c>
      <c r="M3843" s="21">
        <v>42234.409502314797</v>
      </c>
      <c r="N3843">
        <v>2015</v>
      </c>
      <c r="Q3843" s="262">
        <v>1000000</v>
      </c>
      <c r="R3843" s="262">
        <v>683000</v>
      </c>
      <c r="S3843" t="s">
        <v>114</v>
      </c>
      <c r="T3843" t="s">
        <v>114</v>
      </c>
      <c r="V3843">
        <v>0</v>
      </c>
      <c r="W3843">
        <v>5399</v>
      </c>
      <c r="X3843">
        <v>1</v>
      </c>
      <c r="Y3843">
        <v>0</v>
      </c>
      <c r="Z3843">
        <v>0</v>
      </c>
      <c r="AA3843">
        <v>0</v>
      </c>
      <c r="AB3843">
        <v>0</v>
      </c>
      <c r="AC3843">
        <v>5399</v>
      </c>
      <c r="AD3843">
        <v>0</v>
      </c>
      <c r="AE3843">
        <v>0</v>
      </c>
      <c r="AF3843">
        <v>0</v>
      </c>
      <c r="AG3843">
        <v>0</v>
      </c>
      <c r="AH3843">
        <v>0</v>
      </c>
      <c r="AI3843">
        <v>0</v>
      </c>
      <c r="AJ3843">
        <v>0</v>
      </c>
      <c r="AK3843">
        <v>0</v>
      </c>
      <c r="AL3843">
        <v>0</v>
      </c>
      <c r="AM3843">
        <v>0</v>
      </c>
      <c r="AN3843">
        <v>0</v>
      </c>
      <c r="AO3843">
        <v>1</v>
      </c>
      <c r="AP3843">
        <v>0</v>
      </c>
      <c r="AQ3843">
        <v>0</v>
      </c>
      <c r="AR3843">
        <v>0</v>
      </c>
      <c r="AS3843">
        <v>0</v>
      </c>
      <c r="AT3843">
        <v>0</v>
      </c>
      <c r="AU3843">
        <f t="shared" si="118"/>
        <v>1</v>
      </c>
      <c r="AV3843">
        <f t="shared" si="119"/>
        <v>0</v>
      </c>
    </row>
    <row r="3844" spans="1:48" x14ac:dyDescent="0.25">
      <c r="A3844" t="s">
        <v>11966</v>
      </c>
      <c r="C3844" t="s">
        <v>11967</v>
      </c>
      <c r="D3844" t="s">
        <v>11968</v>
      </c>
      <c r="E3844" t="s">
        <v>1663</v>
      </c>
      <c r="F3844">
        <v>9</v>
      </c>
      <c r="G3844">
        <v>9.4</v>
      </c>
      <c r="H3844" t="s">
        <v>2323</v>
      </c>
      <c r="I3844" s="21">
        <v>41701</v>
      </c>
      <c r="J3844">
        <v>2014</v>
      </c>
      <c r="K3844" s="21">
        <v>41822</v>
      </c>
      <c r="L3844">
        <v>2014</v>
      </c>
      <c r="M3844" s="21">
        <v>42430</v>
      </c>
      <c r="N3844">
        <v>2016</v>
      </c>
      <c r="Q3844" s="262">
        <v>1500000</v>
      </c>
      <c r="S3844" t="s">
        <v>114</v>
      </c>
      <c r="T3844" t="s">
        <v>114</v>
      </c>
      <c r="V3844">
        <v>574</v>
      </c>
      <c r="W3844">
        <v>753</v>
      </c>
      <c r="X3844">
        <v>0</v>
      </c>
      <c r="Y3844">
        <v>0</v>
      </c>
      <c r="Z3844">
        <v>0</v>
      </c>
      <c r="AA3844">
        <v>0</v>
      </c>
      <c r="AB3844">
        <v>0</v>
      </c>
      <c r="AC3844">
        <v>753</v>
      </c>
      <c r="AD3844">
        <v>0</v>
      </c>
      <c r="AE3844">
        <v>0</v>
      </c>
      <c r="AF3844">
        <v>0</v>
      </c>
      <c r="AG3844">
        <v>0</v>
      </c>
      <c r="AH3844">
        <v>0</v>
      </c>
      <c r="AI3844">
        <v>0</v>
      </c>
      <c r="AJ3844">
        <v>0</v>
      </c>
      <c r="AK3844">
        <v>0</v>
      </c>
      <c r="AL3844">
        <v>0</v>
      </c>
      <c r="AM3844">
        <v>0</v>
      </c>
      <c r="AN3844">
        <v>0</v>
      </c>
      <c r="AO3844">
        <v>0</v>
      </c>
      <c r="AP3844">
        <v>0</v>
      </c>
      <c r="AQ3844">
        <v>0</v>
      </c>
      <c r="AR3844">
        <v>0</v>
      </c>
      <c r="AS3844">
        <v>0</v>
      </c>
      <c r="AT3844">
        <v>0</v>
      </c>
      <c r="AU3844">
        <f t="shared" si="118"/>
        <v>0</v>
      </c>
      <c r="AV3844">
        <f t="shared" si="119"/>
        <v>0</v>
      </c>
    </row>
    <row r="3845" spans="1:48" x14ac:dyDescent="0.25">
      <c r="A3845" t="s">
        <v>11969</v>
      </c>
      <c r="C3845" t="s">
        <v>11970</v>
      </c>
      <c r="D3845" t="s">
        <v>11968</v>
      </c>
      <c r="E3845" t="s">
        <v>1663</v>
      </c>
      <c r="F3845">
        <v>9</v>
      </c>
      <c r="G3845">
        <v>9.4</v>
      </c>
      <c r="H3845" t="s">
        <v>2323</v>
      </c>
      <c r="I3845" s="21">
        <v>41701</v>
      </c>
      <c r="J3845">
        <v>2014</v>
      </c>
      <c r="K3845" s="21">
        <v>41822</v>
      </c>
      <c r="L3845">
        <v>2014</v>
      </c>
      <c r="M3845" s="21">
        <v>42430</v>
      </c>
      <c r="N3845">
        <v>2016</v>
      </c>
      <c r="Q3845" s="262">
        <v>1500000</v>
      </c>
      <c r="S3845" t="s">
        <v>114</v>
      </c>
      <c r="T3845" t="s">
        <v>114</v>
      </c>
      <c r="V3845">
        <v>1677</v>
      </c>
      <c r="W3845">
        <v>996</v>
      </c>
      <c r="X3845">
        <v>0</v>
      </c>
      <c r="Y3845">
        <v>0</v>
      </c>
      <c r="Z3845">
        <v>0</v>
      </c>
      <c r="AA3845">
        <v>0</v>
      </c>
      <c r="AB3845">
        <v>0</v>
      </c>
      <c r="AC3845">
        <v>996</v>
      </c>
      <c r="AD3845">
        <v>0</v>
      </c>
      <c r="AE3845">
        <v>0</v>
      </c>
      <c r="AF3845">
        <v>0</v>
      </c>
      <c r="AG3845">
        <v>0</v>
      </c>
      <c r="AH3845">
        <v>0</v>
      </c>
      <c r="AI3845">
        <v>0</v>
      </c>
      <c r="AJ3845">
        <v>0</v>
      </c>
      <c r="AK3845">
        <v>0</v>
      </c>
      <c r="AL3845">
        <v>0</v>
      </c>
      <c r="AM3845">
        <v>0</v>
      </c>
      <c r="AN3845">
        <v>0</v>
      </c>
      <c r="AO3845">
        <v>0</v>
      </c>
      <c r="AP3845">
        <v>0</v>
      </c>
      <c r="AQ3845">
        <v>0</v>
      </c>
      <c r="AR3845">
        <v>0</v>
      </c>
      <c r="AS3845">
        <v>0</v>
      </c>
      <c r="AT3845">
        <v>0</v>
      </c>
      <c r="AU3845">
        <f t="shared" si="118"/>
        <v>0</v>
      </c>
      <c r="AV3845">
        <f t="shared" si="119"/>
        <v>0</v>
      </c>
    </row>
    <row r="3846" spans="1:48" x14ac:dyDescent="0.25">
      <c r="A3846" t="s">
        <v>13437</v>
      </c>
      <c r="C3846" t="s">
        <v>13438</v>
      </c>
      <c r="D3846" t="s">
        <v>13439</v>
      </c>
      <c r="E3846" t="s">
        <v>1663</v>
      </c>
      <c r="F3846">
        <v>4</v>
      </c>
      <c r="G3846">
        <v>4.3</v>
      </c>
      <c r="H3846" t="s">
        <v>2327</v>
      </c>
      <c r="I3846" s="21">
        <v>41701</v>
      </c>
      <c r="J3846">
        <v>2014</v>
      </c>
      <c r="K3846" s="21">
        <v>41719</v>
      </c>
      <c r="L3846">
        <v>2014</v>
      </c>
      <c r="M3846" s="21">
        <v>42751</v>
      </c>
      <c r="N3846">
        <v>2017</v>
      </c>
      <c r="Q3846" s="262">
        <v>50000</v>
      </c>
      <c r="S3846" t="s">
        <v>114</v>
      </c>
      <c r="T3846" t="s">
        <v>114</v>
      </c>
      <c r="V3846">
        <v>0</v>
      </c>
      <c r="W3846">
        <v>0</v>
      </c>
      <c r="X3846">
        <v>0</v>
      </c>
      <c r="Y3846">
        <v>0</v>
      </c>
      <c r="Z3846">
        <v>0</v>
      </c>
      <c r="AA3846">
        <v>0</v>
      </c>
      <c r="AB3846">
        <v>0</v>
      </c>
      <c r="AC3846">
        <v>0</v>
      </c>
      <c r="AD3846">
        <v>0</v>
      </c>
      <c r="AE3846">
        <v>0</v>
      </c>
      <c r="AF3846">
        <v>0</v>
      </c>
      <c r="AG3846">
        <v>0</v>
      </c>
      <c r="AH3846">
        <v>0</v>
      </c>
      <c r="AI3846">
        <v>0</v>
      </c>
      <c r="AJ3846">
        <v>0</v>
      </c>
      <c r="AK3846">
        <v>0</v>
      </c>
      <c r="AL3846">
        <v>0</v>
      </c>
      <c r="AM3846">
        <v>0</v>
      </c>
      <c r="AN3846">
        <v>0</v>
      </c>
      <c r="AO3846">
        <v>0</v>
      </c>
      <c r="AP3846">
        <v>0</v>
      </c>
      <c r="AQ3846">
        <v>0</v>
      </c>
      <c r="AR3846">
        <v>0</v>
      </c>
      <c r="AS3846">
        <v>0</v>
      </c>
      <c r="AT3846">
        <v>0</v>
      </c>
      <c r="AU3846">
        <f t="shared" si="118"/>
        <v>0</v>
      </c>
      <c r="AV3846">
        <f t="shared" si="119"/>
        <v>0</v>
      </c>
    </row>
    <row r="3847" spans="1:48" x14ac:dyDescent="0.25">
      <c r="A3847" t="s">
        <v>11963</v>
      </c>
      <c r="C3847" t="s">
        <v>11964</v>
      </c>
      <c r="D3847" t="s">
        <v>11965</v>
      </c>
      <c r="E3847" t="s">
        <v>1663</v>
      </c>
      <c r="F3847">
        <v>3</v>
      </c>
      <c r="G3847">
        <v>3.4</v>
      </c>
      <c r="H3847" t="s">
        <v>2017</v>
      </c>
      <c r="I3847" s="21">
        <v>41701</v>
      </c>
      <c r="J3847">
        <v>2014</v>
      </c>
      <c r="K3847" s="21">
        <v>41775</v>
      </c>
      <c r="L3847">
        <v>2014</v>
      </c>
      <c r="M3847" s="21">
        <v>42009</v>
      </c>
      <c r="N3847">
        <v>2015</v>
      </c>
      <c r="Q3847" s="262">
        <v>845000</v>
      </c>
      <c r="S3847" t="s">
        <v>114</v>
      </c>
      <c r="T3847" t="s">
        <v>114</v>
      </c>
      <c r="W3847">
        <v>0</v>
      </c>
      <c r="X3847">
        <v>0</v>
      </c>
      <c r="Y3847">
        <v>0</v>
      </c>
      <c r="Z3847">
        <v>0</v>
      </c>
      <c r="AA3847">
        <v>0</v>
      </c>
      <c r="AB3847">
        <v>0</v>
      </c>
      <c r="AC3847">
        <v>0</v>
      </c>
      <c r="AD3847">
        <v>0</v>
      </c>
      <c r="AE3847">
        <v>0</v>
      </c>
      <c r="AF3847">
        <v>0</v>
      </c>
      <c r="AG3847">
        <v>0</v>
      </c>
      <c r="AH3847">
        <v>0</v>
      </c>
      <c r="AI3847">
        <v>0</v>
      </c>
      <c r="AJ3847">
        <v>0</v>
      </c>
      <c r="AK3847">
        <v>0</v>
      </c>
      <c r="AL3847">
        <v>0</v>
      </c>
      <c r="AM3847">
        <v>0</v>
      </c>
      <c r="AN3847">
        <v>0</v>
      </c>
      <c r="AO3847">
        <v>0</v>
      </c>
      <c r="AP3847">
        <v>0</v>
      </c>
      <c r="AQ3847">
        <v>0</v>
      </c>
      <c r="AR3847">
        <v>0</v>
      </c>
      <c r="AS3847">
        <v>0</v>
      </c>
      <c r="AT3847">
        <v>0</v>
      </c>
      <c r="AU3847">
        <f t="shared" si="118"/>
        <v>0</v>
      </c>
      <c r="AV3847">
        <f t="shared" si="119"/>
        <v>0</v>
      </c>
    </row>
    <row r="3848" spans="1:48" x14ac:dyDescent="0.25">
      <c r="A3848" t="s">
        <v>11971</v>
      </c>
      <c r="C3848" t="s">
        <v>11972</v>
      </c>
      <c r="D3848" t="s">
        <v>11973</v>
      </c>
      <c r="E3848" t="s">
        <v>1663</v>
      </c>
      <c r="F3848">
        <v>4</v>
      </c>
      <c r="G3848">
        <v>4.0999999999999996</v>
      </c>
      <c r="H3848" t="s">
        <v>2327</v>
      </c>
      <c r="I3848" s="21">
        <v>41705</v>
      </c>
      <c r="J3848">
        <v>2014</v>
      </c>
      <c r="K3848" s="21">
        <v>41740</v>
      </c>
      <c r="L3848">
        <v>2014</v>
      </c>
      <c r="P3848" s="21">
        <v>41972</v>
      </c>
      <c r="Q3848" s="262">
        <v>30000</v>
      </c>
      <c r="S3848" t="s">
        <v>114</v>
      </c>
      <c r="T3848" t="s">
        <v>114</v>
      </c>
      <c r="V3848">
        <v>0</v>
      </c>
      <c r="W3848">
        <v>0</v>
      </c>
      <c r="X3848">
        <v>0</v>
      </c>
      <c r="Y3848">
        <v>0</v>
      </c>
      <c r="Z3848">
        <v>0</v>
      </c>
      <c r="AA3848">
        <v>0</v>
      </c>
      <c r="AB3848">
        <v>0</v>
      </c>
      <c r="AC3848">
        <v>0</v>
      </c>
      <c r="AD3848">
        <v>0</v>
      </c>
      <c r="AE3848">
        <v>0</v>
      </c>
      <c r="AF3848">
        <v>0</v>
      </c>
      <c r="AG3848">
        <v>0</v>
      </c>
      <c r="AH3848">
        <v>0</v>
      </c>
      <c r="AI3848">
        <v>0</v>
      </c>
      <c r="AJ3848">
        <v>0</v>
      </c>
      <c r="AK3848">
        <v>0</v>
      </c>
      <c r="AL3848">
        <v>0</v>
      </c>
      <c r="AM3848">
        <v>0</v>
      </c>
      <c r="AN3848">
        <v>0</v>
      </c>
      <c r="AO3848">
        <v>0</v>
      </c>
      <c r="AP3848">
        <v>0</v>
      </c>
      <c r="AQ3848">
        <v>0</v>
      </c>
      <c r="AR3848">
        <v>0</v>
      </c>
      <c r="AS3848">
        <v>0</v>
      </c>
      <c r="AT3848">
        <v>0</v>
      </c>
      <c r="AU3848">
        <f t="shared" si="118"/>
        <v>0</v>
      </c>
      <c r="AV3848">
        <f t="shared" si="119"/>
        <v>0</v>
      </c>
    </row>
    <row r="3849" spans="1:48" x14ac:dyDescent="0.25">
      <c r="A3849" t="s">
        <v>11974</v>
      </c>
      <c r="B3849" t="s">
        <v>11974</v>
      </c>
      <c r="C3849" t="s">
        <v>11975</v>
      </c>
      <c r="D3849" t="s">
        <v>11976</v>
      </c>
      <c r="E3849" t="s">
        <v>2310</v>
      </c>
      <c r="F3849">
        <v>9</v>
      </c>
      <c r="G3849">
        <v>9.1</v>
      </c>
      <c r="H3849" t="s">
        <v>2323</v>
      </c>
      <c r="I3849" s="21">
        <v>41705.621412036999</v>
      </c>
      <c r="J3849">
        <v>2014</v>
      </c>
      <c r="K3849" s="21">
        <v>41760.69</v>
      </c>
      <c r="L3849">
        <v>2014</v>
      </c>
      <c r="M3849" s="21">
        <v>42255.450092592597</v>
      </c>
      <c r="N3849">
        <v>2015</v>
      </c>
      <c r="Q3849" s="262">
        <v>1600000</v>
      </c>
      <c r="R3849" s="262">
        <v>622000</v>
      </c>
      <c r="S3849" t="s">
        <v>114</v>
      </c>
      <c r="T3849" t="s">
        <v>114</v>
      </c>
      <c r="V3849">
        <v>0</v>
      </c>
      <c r="W3849">
        <v>4987</v>
      </c>
      <c r="X3849">
        <v>1</v>
      </c>
      <c r="Y3849">
        <v>0</v>
      </c>
      <c r="Z3849">
        <v>0</v>
      </c>
      <c r="AA3849">
        <v>0</v>
      </c>
      <c r="AB3849">
        <v>0</v>
      </c>
      <c r="AC3849">
        <v>4987</v>
      </c>
      <c r="AD3849">
        <v>0</v>
      </c>
      <c r="AE3849">
        <v>0</v>
      </c>
      <c r="AF3849">
        <v>0</v>
      </c>
      <c r="AG3849">
        <v>0</v>
      </c>
      <c r="AH3849">
        <v>0</v>
      </c>
      <c r="AI3849">
        <v>0</v>
      </c>
      <c r="AJ3849">
        <v>0</v>
      </c>
      <c r="AK3849">
        <v>0</v>
      </c>
      <c r="AL3849">
        <v>0</v>
      </c>
      <c r="AM3849">
        <v>0</v>
      </c>
      <c r="AN3849">
        <v>0</v>
      </c>
      <c r="AO3849">
        <v>1</v>
      </c>
      <c r="AP3849">
        <v>0</v>
      </c>
      <c r="AQ3849">
        <v>0</v>
      </c>
      <c r="AR3849">
        <v>0</v>
      </c>
      <c r="AS3849">
        <v>0</v>
      </c>
      <c r="AT3849">
        <v>0</v>
      </c>
      <c r="AU3849">
        <f t="shared" si="118"/>
        <v>1</v>
      </c>
      <c r="AV3849">
        <f t="shared" si="119"/>
        <v>0</v>
      </c>
    </row>
    <row r="3850" spans="1:48" x14ac:dyDescent="0.25">
      <c r="A3850" t="s">
        <v>11977</v>
      </c>
      <c r="B3850" t="s">
        <v>11977</v>
      </c>
      <c r="C3850" t="s">
        <v>10237</v>
      </c>
      <c r="D3850" t="s">
        <v>11771</v>
      </c>
      <c r="E3850" t="s">
        <v>2310</v>
      </c>
      <c r="F3850">
        <v>8</v>
      </c>
      <c r="G3850">
        <v>8.3000000000000007</v>
      </c>
      <c r="H3850" t="s">
        <v>2323</v>
      </c>
      <c r="I3850" s="21">
        <v>41709.435462963003</v>
      </c>
      <c r="J3850">
        <v>2014</v>
      </c>
      <c r="K3850" s="21">
        <v>41733.691597222198</v>
      </c>
      <c r="L3850">
        <v>2014</v>
      </c>
      <c r="M3850" s="21">
        <v>41983.436608796299</v>
      </c>
      <c r="N3850">
        <v>2014</v>
      </c>
      <c r="Q3850" s="262">
        <v>145000</v>
      </c>
      <c r="R3850" s="262">
        <v>207000</v>
      </c>
      <c r="S3850" t="s">
        <v>114</v>
      </c>
      <c r="T3850" t="s">
        <v>114</v>
      </c>
      <c r="V3850">
        <v>0</v>
      </c>
      <c r="W3850">
        <v>2950</v>
      </c>
      <c r="X3850">
        <v>1</v>
      </c>
      <c r="Y3850">
        <v>0</v>
      </c>
      <c r="Z3850">
        <v>0</v>
      </c>
      <c r="AA3850">
        <v>0</v>
      </c>
      <c r="AB3850">
        <v>0</v>
      </c>
      <c r="AC3850">
        <v>2950</v>
      </c>
      <c r="AD3850">
        <v>0</v>
      </c>
      <c r="AE3850">
        <v>0</v>
      </c>
      <c r="AF3850">
        <v>0</v>
      </c>
      <c r="AG3850">
        <v>0</v>
      </c>
      <c r="AH3850">
        <v>0</v>
      </c>
      <c r="AI3850">
        <v>0</v>
      </c>
      <c r="AJ3850">
        <v>0</v>
      </c>
      <c r="AK3850">
        <v>0</v>
      </c>
      <c r="AL3850">
        <v>0</v>
      </c>
      <c r="AM3850">
        <v>0</v>
      </c>
      <c r="AN3850">
        <v>0</v>
      </c>
      <c r="AO3850">
        <v>1</v>
      </c>
      <c r="AP3850">
        <v>0</v>
      </c>
      <c r="AQ3850">
        <v>0</v>
      </c>
      <c r="AR3850">
        <v>0</v>
      </c>
      <c r="AS3850">
        <v>0</v>
      </c>
      <c r="AT3850">
        <v>0</v>
      </c>
      <c r="AU3850">
        <f t="shared" si="118"/>
        <v>1</v>
      </c>
      <c r="AV3850">
        <f t="shared" si="119"/>
        <v>0</v>
      </c>
    </row>
    <row r="3851" spans="1:48" x14ac:dyDescent="0.25">
      <c r="A3851" t="s">
        <v>11978</v>
      </c>
      <c r="B3851" t="s">
        <v>11978</v>
      </c>
      <c r="C3851" t="s">
        <v>11979</v>
      </c>
      <c r="D3851" t="s">
        <v>11980</v>
      </c>
      <c r="E3851" t="s">
        <v>2310</v>
      </c>
      <c r="F3851">
        <v>15</v>
      </c>
      <c r="G3851">
        <v>15.1</v>
      </c>
      <c r="H3851" t="s">
        <v>2022</v>
      </c>
      <c r="I3851" s="21">
        <v>41710.3523726852</v>
      </c>
      <c r="J3851">
        <v>2014</v>
      </c>
      <c r="K3851" s="21">
        <v>41764.520578703698</v>
      </c>
      <c r="L3851">
        <v>2014</v>
      </c>
      <c r="M3851" s="21">
        <v>42138.438460648104</v>
      </c>
      <c r="N3851">
        <v>2015</v>
      </c>
      <c r="Q3851" s="262">
        <v>400000</v>
      </c>
      <c r="R3851" s="262">
        <v>562000</v>
      </c>
      <c r="S3851" t="s">
        <v>114</v>
      </c>
      <c r="T3851" t="s">
        <v>114</v>
      </c>
      <c r="V3851">
        <v>0</v>
      </c>
      <c r="W3851">
        <v>3327</v>
      </c>
      <c r="X3851">
        <v>1</v>
      </c>
      <c r="Y3851">
        <v>0</v>
      </c>
      <c r="Z3851">
        <v>0</v>
      </c>
      <c r="AA3851">
        <v>0</v>
      </c>
      <c r="AB3851">
        <v>0</v>
      </c>
      <c r="AC3851">
        <v>3327</v>
      </c>
      <c r="AD3851">
        <v>0</v>
      </c>
      <c r="AE3851">
        <v>0</v>
      </c>
      <c r="AF3851">
        <v>0</v>
      </c>
      <c r="AG3851">
        <v>0</v>
      </c>
      <c r="AH3851">
        <v>0</v>
      </c>
      <c r="AI3851">
        <v>0</v>
      </c>
      <c r="AJ3851">
        <v>0</v>
      </c>
      <c r="AK3851">
        <v>0</v>
      </c>
      <c r="AL3851">
        <v>0</v>
      </c>
      <c r="AM3851">
        <v>0</v>
      </c>
      <c r="AN3851">
        <v>0</v>
      </c>
      <c r="AO3851">
        <v>1</v>
      </c>
      <c r="AP3851">
        <v>0</v>
      </c>
      <c r="AQ3851">
        <v>0</v>
      </c>
      <c r="AR3851">
        <v>0</v>
      </c>
      <c r="AS3851">
        <v>0</v>
      </c>
      <c r="AT3851">
        <v>0</v>
      </c>
      <c r="AU3851">
        <f t="shared" si="118"/>
        <v>1</v>
      </c>
      <c r="AV3851">
        <f t="shared" si="119"/>
        <v>0</v>
      </c>
    </row>
    <row r="3852" spans="1:48" x14ac:dyDescent="0.25">
      <c r="A3852" t="s">
        <v>11981</v>
      </c>
      <c r="B3852" t="s">
        <v>11981</v>
      </c>
      <c r="C3852" t="s">
        <v>10104</v>
      </c>
      <c r="D3852" t="s">
        <v>11982</v>
      </c>
      <c r="E3852" t="s">
        <v>2310</v>
      </c>
      <c r="F3852">
        <v>10</v>
      </c>
      <c r="G3852">
        <v>10.1</v>
      </c>
      <c r="H3852" t="s">
        <v>2323</v>
      </c>
      <c r="I3852" s="21">
        <v>41710.667418981502</v>
      </c>
      <c r="J3852">
        <v>2014</v>
      </c>
      <c r="K3852" s="21">
        <v>41745.624317129601</v>
      </c>
      <c r="L3852">
        <v>2014</v>
      </c>
      <c r="M3852" s="21">
        <v>42173.511967592603</v>
      </c>
      <c r="N3852">
        <v>2015</v>
      </c>
      <c r="Q3852" s="262">
        <v>350000</v>
      </c>
      <c r="R3852" s="262">
        <v>224000</v>
      </c>
      <c r="S3852" t="s">
        <v>114</v>
      </c>
      <c r="T3852" t="s">
        <v>114</v>
      </c>
      <c r="V3852">
        <v>0</v>
      </c>
      <c r="W3852">
        <v>2430</v>
      </c>
      <c r="X3852">
        <v>1</v>
      </c>
      <c r="Y3852">
        <v>0</v>
      </c>
      <c r="Z3852">
        <v>0</v>
      </c>
      <c r="AA3852">
        <v>0</v>
      </c>
      <c r="AB3852">
        <v>0</v>
      </c>
      <c r="AC3852">
        <v>2430</v>
      </c>
      <c r="AD3852">
        <v>0</v>
      </c>
      <c r="AE3852">
        <v>0</v>
      </c>
      <c r="AF3852">
        <v>0</v>
      </c>
      <c r="AG3852">
        <v>0</v>
      </c>
      <c r="AH3852">
        <v>0</v>
      </c>
      <c r="AI3852">
        <v>0</v>
      </c>
      <c r="AJ3852">
        <v>0</v>
      </c>
      <c r="AK3852">
        <v>0</v>
      </c>
      <c r="AL3852">
        <v>0</v>
      </c>
      <c r="AM3852">
        <v>0</v>
      </c>
      <c r="AN3852">
        <v>0</v>
      </c>
      <c r="AO3852">
        <v>1</v>
      </c>
      <c r="AP3852">
        <v>0</v>
      </c>
      <c r="AQ3852">
        <v>0</v>
      </c>
      <c r="AR3852">
        <v>0</v>
      </c>
      <c r="AS3852">
        <v>0</v>
      </c>
      <c r="AT3852">
        <v>0</v>
      </c>
      <c r="AU3852">
        <f t="shared" si="118"/>
        <v>1</v>
      </c>
      <c r="AV3852">
        <f t="shared" si="119"/>
        <v>0</v>
      </c>
    </row>
    <row r="3853" spans="1:48" x14ac:dyDescent="0.25">
      <c r="A3853" t="s">
        <v>13249</v>
      </c>
      <c r="B3853" t="s">
        <v>13250</v>
      </c>
      <c r="C3853" t="s">
        <v>13251</v>
      </c>
      <c r="D3853" t="s">
        <v>13252</v>
      </c>
      <c r="E3853" t="s">
        <v>2310</v>
      </c>
      <c r="F3853">
        <v>13</v>
      </c>
      <c r="G3853">
        <v>13.3</v>
      </c>
      <c r="H3853" t="s">
        <v>2017</v>
      </c>
      <c r="I3853" s="21">
        <v>41711.675162037034</v>
      </c>
      <c r="J3853">
        <v>2014</v>
      </c>
      <c r="K3853" s="21">
        <v>42921.497361111113</v>
      </c>
      <c r="L3853">
        <v>2017</v>
      </c>
      <c r="M3853" s="21">
        <v>42921.497361111113</v>
      </c>
      <c r="N3853">
        <v>2017</v>
      </c>
      <c r="Q3853" s="262">
        <v>6000000</v>
      </c>
      <c r="R3853" s="262">
        <v>2408000</v>
      </c>
      <c r="S3853" t="s">
        <v>13253</v>
      </c>
      <c r="T3853">
        <v>15146</v>
      </c>
      <c r="V3853">
        <v>0</v>
      </c>
      <c r="W3853">
        <v>62</v>
      </c>
      <c r="X3853">
        <v>0</v>
      </c>
      <c r="Y3853">
        <v>0</v>
      </c>
      <c r="Z3853">
        <v>0</v>
      </c>
      <c r="AA3853">
        <v>0</v>
      </c>
      <c r="AB3853">
        <v>0</v>
      </c>
      <c r="AC3853">
        <v>62</v>
      </c>
      <c r="AD3853">
        <v>0</v>
      </c>
      <c r="AE3853">
        <v>0</v>
      </c>
      <c r="AF3853">
        <v>0</v>
      </c>
      <c r="AG3853">
        <v>0</v>
      </c>
      <c r="AH3853">
        <v>0</v>
      </c>
      <c r="AI3853">
        <v>0</v>
      </c>
      <c r="AJ3853">
        <v>0</v>
      </c>
      <c r="AK3853">
        <v>0</v>
      </c>
      <c r="AL3853">
        <v>0</v>
      </c>
      <c r="AM3853">
        <v>0</v>
      </c>
      <c r="AN3853">
        <v>0</v>
      </c>
      <c r="AO3853">
        <v>0</v>
      </c>
      <c r="AP3853">
        <v>0</v>
      </c>
      <c r="AQ3853">
        <v>0</v>
      </c>
      <c r="AR3853">
        <v>0</v>
      </c>
      <c r="AS3853">
        <v>0</v>
      </c>
      <c r="AT3853">
        <v>0</v>
      </c>
      <c r="AU3853">
        <f t="shared" si="118"/>
        <v>0</v>
      </c>
      <c r="AV3853">
        <f t="shared" si="119"/>
        <v>0</v>
      </c>
    </row>
    <row r="3854" spans="1:48" x14ac:dyDescent="0.25">
      <c r="A3854" t="s">
        <v>13249</v>
      </c>
      <c r="B3854" t="s">
        <v>13249</v>
      </c>
      <c r="C3854" t="s">
        <v>13251</v>
      </c>
      <c r="D3854" t="s">
        <v>13252</v>
      </c>
      <c r="E3854" t="s">
        <v>2310</v>
      </c>
      <c r="F3854">
        <v>13</v>
      </c>
      <c r="G3854">
        <v>13.3</v>
      </c>
      <c r="H3854" t="s">
        <v>2017</v>
      </c>
      <c r="I3854" s="21">
        <v>41711.675162037034</v>
      </c>
      <c r="J3854">
        <v>2014</v>
      </c>
      <c r="K3854" s="21">
        <v>42921.497361111113</v>
      </c>
      <c r="L3854">
        <v>2017</v>
      </c>
      <c r="M3854" s="21">
        <v>42921.497361111113</v>
      </c>
      <c r="N3854">
        <v>2017</v>
      </c>
      <c r="Q3854" s="262">
        <v>6000000</v>
      </c>
      <c r="R3854" s="262">
        <v>2408000</v>
      </c>
      <c r="S3854" t="s">
        <v>13254</v>
      </c>
      <c r="V3854">
        <v>0</v>
      </c>
      <c r="W3854">
        <v>14526</v>
      </c>
      <c r="X3854">
        <v>1</v>
      </c>
      <c r="Y3854">
        <v>0</v>
      </c>
      <c r="Z3854">
        <v>0</v>
      </c>
      <c r="AA3854">
        <v>0</v>
      </c>
      <c r="AB3854">
        <v>0</v>
      </c>
      <c r="AC3854">
        <v>14526</v>
      </c>
      <c r="AD3854">
        <v>0</v>
      </c>
      <c r="AE3854">
        <v>0</v>
      </c>
      <c r="AF3854">
        <v>0</v>
      </c>
      <c r="AG3854">
        <v>0</v>
      </c>
      <c r="AH3854">
        <v>0</v>
      </c>
      <c r="AI3854">
        <v>0</v>
      </c>
      <c r="AJ3854">
        <v>0</v>
      </c>
      <c r="AK3854">
        <v>0</v>
      </c>
      <c r="AL3854">
        <v>0</v>
      </c>
      <c r="AM3854">
        <v>0</v>
      </c>
      <c r="AN3854">
        <v>0</v>
      </c>
      <c r="AO3854">
        <v>1</v>
      </c>
      <c r="AP3854">
        <v>0</v>
      </c>
      <c r="AQ3854">
        <v>0</v>
      </c>
      <c r="AR3854">
        <v>0</v>
      </c>
      <c r="AS3854">
        <v>0</v>
      </c>
      <c r="AT3854">
        <v>0</v>
      </c>
      <c r="AU3854">
        <f t="shared" si="118"/>
        <v>1</v>
      </c>
      <c r="AV3854">
        <f t="shared" si="119"/>
        <v>0</v>
      </c>
    </row>
    <row r="3855" spans="1:48" x14ac:dyDescent="0.25">
      <c r="A3855" t="s">
        <v>17549</v>
      </c>
      <c r="B3855" t="s">
        <v>17549</v>
      </c>
      <c r="C3855" t="s">
        <v>12324</v>
      </c>
      <c r="D3855" t="s">
        <v>17550</v>
      </c>
      <c r="E3855" t="s">
        <v>2310</v>
      </c>
      <c r="F3855">
        <v>9</v>
      </c>
      <c r="G3855">
        <v>9.1999999999999993</v>
      </c>
      <c r="H3855" t="s">
        <v>2022</v>
      </c>
      <c r="I3855" s="21">
        <v>41712.429837962962</v>
      </c>
      <c r="J3855">
        <v>2014</v>
      </c>
      <c r="K3855" s="21">
        <v>42828.344768518517</v>
      </c>
      <c r="L3855">
        <v>2017</v>
      </c>
      <c r="M3855" s="21">
        <v>42828.344768518517</v>
      </c>
      <c r="N3855">
        <v>2017</v>
      </c>
      <c r="Q3855" s="262">
        <v>300000</v>
      </c>
      <c r="R3855" s="262">
        <v>124000</v>
      </c>
      <c r="S3855" t="s">
        <v>13254</v>
      </c>
      <c r="V3855">
        <v>0</v>
      </c>
      <c r="W3855">
        <v>990</v>
      </c>
      <c r="X3855">
        <v>1</v>
      </c>
      <c r="Y3855">
        <v>0</v>
      </c>
      <c r="Z3855">
        <v>0</v>
      </c>
      <c r="AA3855">
        <v>0</v>
      </c>
      <c r="AB3855">
        <v>0</v>
      </c>
      <c r="AC3855">
        <v>0</v>
      </c>
      <c r="AD3855">
        <v>0</v>
      </c>
      <c r="AE3855">
        <v>0</v>
      </c>
      <c r="AF3855">
        <v>990</v>
      </c>
      <c r="AG3855">
        <v>0</v>
      </c>
      <c r="AH3855">
        <v>0</v>
      </c>
      <c r="AI3855">
        <v>0</v>
      </c>
      <c r="AJ3855">
        <v>0</v>
      </c>
      <c r="AK3855">
        <v>0</v>
      </c>
      <c r="AL3855">
        <v>0</v>
      </c>
      <c r="AM3855">
        <v>0</v>
      </c>
      <c r="AN3855">
        <v>0</v>
      </c>
      <c r="AO3855">
        <v>0</v>
      </c>
      <c r="AP3855">
        <v>0</v>
      </c>
      <c r="AQ3855">
        <v>0</v>
      </c>
      <c r="AR3855">
        <v>1</v>
      </c>
      <c r="AS3855">
        <v>0</v>
      </c>
      <c r="AT3855">
        <v>0</v>
      </c>
      <c r="AU3855">
        <f t="shared" si="118"/>
        <v>0</v>
      </c>
      <c r="AV3855">
        <f t="shared" si="119"/>
        <v>0</v>
      </c>
    </row>
    <row r="3856" spans="1:48" x14ac:dyDescent="0.25">
      <c r="A3856" t="s">
        <v>11983</v>
      </c>
      <c r="C3856" t="s">
        <v>11984</v>
      </c>
      <c r="D3856" t="s">
        <v>2892</v>
      </c>
      <c r="E3856" t="s">
        <v>1663</v>
      </c>
      <c r="F3856">
        <v>5</v>
      </c>
      <c r="G3856">
        <v>5.5</v>
      </c>
      <c r="H3856" t="s">
        <v>2017</v>
      </c>
      <c r="I3856" s="21">
        <v>41715</v>
      </c>
      <c r="J3856">
        <v>2014</v>
      </c>
      <c r="K3856" s="21">
        <v>41746</v>
      </c>
      <c r="L3856">
        <v>2014</v>
      </c>
      <c r="M3856" s="21">
        <v>41865</v>
      </c>
      <c r="N3856">
        <v>2014</v>
      </c>
      <c r="Q3856" s="262">
        <v>1565600</v>
      </c>
      <c r="S3856" t="s">
        <v>114</v>
      </c>
      <c r="T3856" t="s">
        <v>114</v>
      </c>
      <c r="V3856">
        <v>11194</v>
      </c>
      <c r="W3856">
        <v>0</v>
      </c>
      <c r="X3856">
        <v>0</v>
      </c>
      <c r="Y3856">
        <v>0</v>
      </c>
      <c r="Z3856">
        <v>0</v>
      </c>
      <c r="AA3856">
        <v>0</v>
      </c>
      <c r="AB3856">
        <v>0</v>
      </c>
      <c r="AC3856">
        <v>0</v>
      </c>
      <c r="AD3856">
        <v>0</v>
      </c>
      <c r="AE3856">
        <v>0</v>
      </c>
      <c r="AF3856">
        <v>0</v>
      </c>
      <c r="AG3856">
        <v>0</v>
      </c>
      <c r="AH3856">
        <v>0</v>
      </c>
      <c r="AI3856">
        <v>0</v>
      </c>
      <c r="AJ3856">
        <v>0</v>
      </c>
      <c r="AK3856">
        <v>0</v>
      </c>
      <c r="AL3856">
        <v>0</v>
      </c>
      <c r="AM3856">
        <v>0</v>
      </c>
      <c r="AN3856">
        <v>0</v>
      </c>
      <c r="AO3856">
        <v>0</v>
      </c>
      <c r="AP3856">
        <v>0</v>
      </c>
      <c r="AQ3856">
        <v>0</v>
      </c>
      <c r="AR3856">
        <v>0</v>
      </c>
      <c r="AS3856">
        <v>0</v>
      </c>
      <c r="AT3856">
        <v>0</v>
      </c>
      <c r="AU3856">
        <f t="shared" si="118"/>
        <v>0</v>
      </c>
      <c r="AV3856">
        <f t="shared" si="119"/>
        <v>0</v>
      </c>
    </row>
    <row r="3857" spans="1:48" x14ac:dyDescent="0.25">
      <c r="A3857" t="s">
        <v>11985</v>
      </c>
      <c r="B3857" t="s">
        <v>11985</v>
      </c>
      <c r="C3857" t="s">
        <v>11986</v>
      </c>
      <c r="D3857" t="s">
        <v>4646</v>
      </c>
      <c r="E3857" t="s">
        <v>2310</v>
      </c>
      <c r="F3857">
        <v>9</v>
      </c>
      <c r="G3857">
        <v>9.3000000000000007</v>
      </c>
      <c r="H3857" t="s">
        <v>2323</v>
      </c>
      <c r="I3857" s="21">
        <v>41718.441550925898</v>
      </c>
      <c r="J3857">
        <v>2014</v>
      </c>
      <c r="K3857" s="21">
        <v>41732.431122685201</v>
      </c>
      <c r="L3857">
        <v>2014</v>
      </c>
      <c r="M3857" s="21">
        <v>41996.399826388901</v>
      </c>
      <c r="N3857">
        <v>2014</v>
      </c>
      <c r="Q3857" s="262">
        <v>167000</v>
      </c>
      <c r="R3857" s="262">
        <v>173000</v>
      </c>
      <c r="S3857" t="s">
        <v>114</v>
      </c>
      <c r="T3857" t="s">
        <v>114</v>
      </c>
      <c r="V3857">
        <v>0</v>
      </c>
      <c r="W3857">
        <v>4250</v>
      </c>
      <c r="X3857">
        <v>0</v>
      </c>
      <c r="Y3857">
        <v>0</v>
      </c>
      <c r="Z3857">
        <v>0</v>
      </c>
      <c r="AA3857">
        <v>0</v>
      </c>
      <c r="AB3857">
        <v>0</v>
      </c>
      <c r="AC3857">
        <v>4250</v>
      </c>
      <c r="AD3857">
        <v>0</v>
      </c>
      <c r="AE3857">
        <v>0</v>
      </c>
      <c r="AF3857">
        <v>0</v>
      </c>
      <c r="AG3857">
        <v>0</v>
      </c>
      <c r="AH3857">
        <v>0</v>
      </c>
      <c r="AI3857">
        <v>0</v>
      </c>
      <c r="AJ3857">
        <v>0</v>
      </c>
      <c r="AK3857">
        <v>0</v>
      </c>
      <c r="AL3857">
        <v>0</v>
      </c>
      <c r="AM3857">
        <v>0</v>
      </c>
      <c r="AN3857">
        <v>0</v>
      </c>
      <c r="AO3857">
        <v>0</v>
      </c>
      <c r="AP3857">
        <v>0</v>
      </c>
      <c r="AQ3857">
        <v>0</v>
      </c>
      <c r="AR3857">
        <v>0</v>
      </c>
      <c r="AS3857">
        <v>0</v>
      </c>
      <c r="AT3857">
        <v>0</v>
      </c>
      <c r="AU3857">
        <f t="shared" si="118"/>
        <v>0</v>
      </c>
      <c r="AV3857">
        <f t="shared" si="119"/>
        <v>0</v>
      </c>
    </row>
    <row r="3858" spans="1:48" x14ac:dyDescent="0.25">
      <c r="A3858" t="s">
        <v>11987</v>
      </c>
      <c r="B3858" t="s">
        <v>11987</v>
      </c>
      <c r="C3858" t="s">
        <v>11988</v>
      </c>
      <c r="D3858" t="s">
        <v>11989</v>
      </c>
      <c r="E3858" t="s">
        <v>2310</v>
      </c>
      <c r="F3858">
        <v>9</v>
      </c>
      <c r="G3858">
        <v>9.1999999999999993</v>
      </c>
      <c r="H3858" t="s">
        <v>2022</v>
      </c>
      <c r="I3858" s="21">
        <v>41718.566840277803</v>
      </c>
      <c r="J3858">
        <v>2014</v>
      </c>
      <c r="K3858" s="21">
        <v>41760.433252314797</v>
      </c>
      <c r="L3858">
        <v>2014</v>
      </c>
      <c r="M3858" s="21">
        <v>42236.681342592601</v>
      </c>
      <c r="N3858">
        <v>2015</v>
      </c>
      <c r="Q3858" s="262">
        <v>200000</v>
      </c>
      <c r="R3858" s="262">
        <v>141000</v>
      </c>
      <c r="S3858" t="s">
        <v>114</v>
      </c>
      <c r="T3858" t="s">
        <v>114</v>
      </c>
      <c r="V3858">
        <v>0</v>
      </c>
      <c r="W3858">
        <v>1602</v>
      </c>
      <c r="X3858">
        <v>1</v>
      </c>
      <c r="Y3858">
        <v>0</v>
      </c>
      <c r="Z3858">
        <v>0</v>
      </c>
      <c r="AA3858">
        <v>0</v>
      </c>
      <c r="AB3858">
        <v>0</v>
      </c>
      <c r="AC3858">
        <v>1602</v>
      </c>
      <c r="AD3858">
        <v>0</v>
      </c>
      <c r="AE3858">
        <v>0</v>
      </c>
      <c r="AF3858">
        <v>0</v>
      </c>
      <c r="AG3858">
        <v>0</v>
      </c>
      <c r="AH3858">
        <v>0</v>
      </c>
      <c r="AI3858">
        <v>0</v>
      </c>
      <c r="AJ3858">
        <v>0</v>
      </c>
      <c r="AK3858">
        <v>0</v>
      </c>
      <c r="AL3858">
        <v>0</v>
      </c>
      <c r="AM3858">
        <v>0</v>
      </c>
      <c r="AN3858">
        <v>0</v>
      </c>
      <c r="AO3858">
        <v>1</v>
      </c>
      <c r="AP3858">
        <v>0</v>
      </c>
      <c r="AQ3858">
        <v>0</v>
      </c>
      <c r="AR3858">
        <v>0</v>
      </c>
      <c r="AS3858">
        <v>0</v>
      </c>
      <c r="AT3858">
        <v>0</v>
      </c>
      <c r="AU3858">
        <f t="shared" si="118"/>
        <v>1</v>
      </c>
      <c r="AV3858">
        <f t="shared" si="119"/>
        <v>0</v>
      </c>
    </row>
    <row r="3859" spans="1:48" x14ac:dyDescent="0.25">
      <c r="A3859" t="s">
        <v>11990</v>
      </c>
      <c r="B3859" t="s">
        <v>11990</v>
      </c>
      <c r="C3859" t="s">
        <v>11348</v>
      </c>
      <c r="D3859" t="s">
        <v>11991</v>
      </c>
      <c r="E3859" t="s">
        <v>2310</v>
      </c>
      <c r="F3859">
        <v>9</v>
      </c>
      <c r="G3859">
        <v>9.1</v>
      </c>
      <c r="H3859" t="s">
        <v>2323</v>
      </c>
      <c r="I3859" s="21">
        <v>41718.6170486111</v>
      </c>
      <c r="J3859">
        <v>2014</v>
      </c>
      <c r="K3859" s="21">
        <v>41821.537199074097</v>
      </c>
      <c r="L3859">
        <v>2014</v>
      </c>
      <c r="M3859" s="21">
        <v>42166.584664351903</v>
      </c>
      <c r="N3859">
        <v>2015</v>
      </c>
      <c r="Q3859" s="262">
        <v>1100000</v>
      </c>
      <c r="R3859" s="262">
        <v>432000</v>
      </c>
      <c r="S3859" t="s">
        <v>114</v>
      </c>
      <c r="T3859" t="s">
        <v>114</v>
      </c>
      <c r="V3859">
        <v>0</v>
      </c>
      <c r="W3859">
        <v>3875</v>
      </c>
      <c r="X3859">
        <v>1</v>
      </c>
      <c r="Y3859">
        <v>0</v>
      </c>
      <c r="Z3859">
        <v>0</v>
      </c>
      <c r="AA3859">
        <v>0</v>
      </c>
      <c r="AB3859">
        <v>0</v>
      </c>
      <c r="AC3859">
        <v>3875</v>
      </c>
      <c r="AD3859">
        <v>0</v>
      </c>
      <c r="AE3859">
        <v>0</v>
      </c>
      <c r="AF3859">
        <v>0</v>
      </c>
      <c r="AG3859">
        <v>0</v>
      </c>
      <c r="AH3859">
        <v>0</v>
      </c>
      <c r="AI3859">
        <v>0</v>
      </c>
      <c r="AJ3859">
        <v>0</v>
      </c>
      <c r="AK3859">
        <v>0</v>
      </c>
      <c r="AL3859">
        <v>0</v>
      </c>
      <c r="AM3859">
        <v>0</v>
      </c>
      <c r="AN3859">
        <v>0</v>
      </c>
      <c r="AO3859">
        <v>1</v>
      </c>
      <c r="AP3859">
        <v>0</v>
      </c>
      <c r="AQ3859">
        <v>0</v>
      </c>
      <c r="AR3859">
        <v>0</v>
      </c>
      <c r="AS3859">
        <v>0</v>
      </c>
      <c r="AT3859">
        <v>0</v>
      </c>
      <c r="AU3859">
        <f t="shared" si="118"/>
        <v>1</v>
      </c>
      <c r="AV3859">
        <f t="shared" si="119"/>
        <v>0</v>
      </c>
    </row>
    <row r="3860" spans="1:48" x14ac:dyDescent="0.25">
      <c r="A3860" t="s">
        <v>11990</v>
      </c>
      <c r="B3860" t="s">
        <v>11992</v>
      </c>
      <c r="C3860" t="s">
        <v>11348</v>
      </c>
      <c r="D3860" t="s">
        <v>11991</v>
      </c>
      <c r="E3860" t="s">
        <v>2310</v>
      </c>
      <c r="F3860">
        <v>9</v>
      </c>
      <c r="G3860">
        <v>9.1</v>
      </c>
      <c r="H3860" t="s">
        <v>2323</v>
      </c>
      <c r="I3860" s="21">
        <v>41718.6170486111</v>
      </c>
      <c r="J3860">
        <v>2014</v>
      </c>
      <c r="K3860" s="21">
        <v>41821.537199074097</v>
      </c>
      <c r="L3860">
        <v>2014</v>
      </c>
      <c r="M3860" s="21">
        <v>42166.584664351903</v>
      </c>
      <c r="N3860">
        <v>2015</v>
      </c>
      <c r="Q3860" s="262">
        <v>1100000</v>
      </c>
      <c r="R3860" s="262">
        <v>432000</v>
      </c>
      <c r="S3860" t="s">
        <v>114</v>
      </c>
      <c r="T3860" t="s">
        <v>114</v>
      </c>
      <c r="V3860">
        <v>0</v>
      </c>
      <c r="W3860">
        <v>602</v>
      </c>
      <c r="X3860">
        <v>0</v>
      </c>
      <c r="Y3860">
        <v>0</v>
      </c>
      <c r="Z3860">
        <v>0</v>
      </c>
      <c r="AA3860">
        <v>0</v>
      </c>
      <c r="AB3860">
        <v>0</v>
      </c>
      <c r="AC3860">
        <v>602</v>
      </c>
      <c r="AD3860">
        <v>0</v>
      </c>
      <c r="AE3860">
        <v>0</v>
      </c>
      <c r="AF3860">
        <v>0</v>
      </c>
      <c r="AG3860">
        <v>0</v>
      </c>
      <c r="AH3860">
        <v>0</v>
      </c>
      <c r="AI3860">
        <v>0</v>
      </c>
      <c r="AJ3860">
        <v>0</v>
      </c>
      <c r="AK3860">
        <v>0</v>
      </c>
      <c r="AL3860">
        <v>0</v>
      </c>
      <c r="AM3860">
        <v>0</v>
      </c>
      <c r="AN3860">
        <v>0</v>
      </c>
      <c r="AO3860">
        <v>0</v>
      </c>
      <c r="AP3860">
        <v>0</v>
      </c>
      <c r="AQ3860">
        <v>0</v>
      </c>
      <c r="AR3860">
        <v>0</v>
      </c>
      <c r="AS3860">
        <v>0</v>
      </c>
      <c r="AT3860">
        <v>0</v>
      </c>
      <c r="AU3860">
        <f t="shared" si="118"/>
        <v>0</v>
      </c>
      <c r="AV3860">
        <f t="shared" si="119"/>
        <v>0</v>
      </c>
    </row>
    <row r="3861" spans="1:48" x14ac:dyDescent="0.25">
      <c r="A3861" t="s">
        <v>11993</v>
      </c>
      <c r="C3861" t="s">
        <v>11994</v>
      </c>
      <c r="D3861" t="s">
        <v>11995</v>
      </c>
      <c r="E3861" t="s">
        <v>1663</v>
      </c>
      <c r="F3861">
        <v>4</v>
      </c>
      <c r="G3861">
        <v>4.3</v>
      </c>
      <c r="H3861" t="s">
        <v>2327</v>
      </c>
      <c r="I3861" s="21">
        <v>41719</v>
      </c>
      <c r="J3861">
        <v>2014</v>
      </c>
      <c r="K3861" s="21">
        <v>41808</v>
      </c>
      <c r="L3861">
        <v>2014</v>
      </c>
      <c r="M3861" s="21">
        <v>42228</v>
      </c>
      <c r="N3861">
        <v>2015</v>
      </c>
      <c r="Q3861" s="262">
        <v>7753000</v>
      </c>
      <c r="S3861" t="s">
        <v>114</v>
      </c>
      <c r="T3861" t="s">
        <v>114</v>
      </c>
      <c r="V3861">
        <v>0</v>
      </c>
      <c r="W3861">
        <v>27108</v>
      </c>
      <c r="X3861">
        <v>20</v>
      </c>
      <c r="Y3861">
        <v>0</v>
      </c>
      <c r="Z3861">
        <v>0</v>
      </c>
      <c r="AA3861">
        <v>0</v>
      </c>
      <c r="AB3861">
        <v>0</v>
      </c>
      <c r="AC3861">
        <v>0</v>
      </c>
      <c r="AD3861">
        <v>0</v>
      </c>
      <c r="AE3861">
        <v>21216</v>
      </c>
      <c r="AF3861">
        <v>0</v>
      </c>
      <c r="AG3861">
        <v>0</v>
      </c>
      <c r="AH3861">
        <v>0</v>
      </c>
      <c r="AI3861">
        <v>0</v>
      </c>
      <c r="AJ3861">
        <v>0</v>
      </c>
      <c r="AK3861">
        <v>5892</v>
      </c>
      <c r="AL3861">
        <v>0</v>
      </c>
      <c r="AM3861">
        <v>0</v>
      </c>
      <c r="AN3861">
        <v>0</v>
      </c>
      <c r="AO3861">
        <v>0</v>
      </c>
      <c r="AP3861">
        <v>0</v>
      </c>
      <c r="AQ3861">
        <v>20</v>
      </c>
      <c r="AR3861">
        <v>0</v>
      </c>
      <c r="AS3861">
        <v>0</v>
      </c>
      <c r="AT3861">
        <v>0</v>
      </c>
      <c r="AU3861">
        <f t="shared" si="118"/>
        <v>20</v>
      </c>
      <c r="AV3861">
        <f t="shared" si="119"/>
        <v>5892</v>
      </c>
    </row>
    <row r="3862" spans="1:48" x14ac:dyDescent="0.25">
      <c r="A3862" t="s">
        <v>11996</v>
      </c>
      <c r="C3862" t="s">
        <v>11997</v>
      </c>
      <c r="D3862" t="s">
        <v>11998</v>
      </c>
      <c r="E3862" t="s">
        <v>1663</v>
      </c>
      <c r="F3862">
        <v>3</v>
      </c>
      <c r="G3862">
        <v>3.2</v>
      </c>
      <c r="H3862" t="s">
        <v>2327</v>
      </c>
      <c r="I3862" s="21">
        <v>41722</v>
      </c>
      <c r="J3862">
        <v>2014</v>
      </c>
      <c r="K3862" s="21">
        <v>41806</v>
      </c>
      <c r="L3862">
        <v>2014</v>
      </c>
      <c r="P3862" s="21">
        <v>42171</v>
      </c>
      <c r="Q3862" s="262">
        <v>500000</v>
      </c>
      <c r="S3862" t="s">
        <v>114</v>
      </c>
      <c r="T3862" t="s">
        <v>114</v>
      </c>
      <c r="V3862">
        <v>2508</v>
      </c>
      <c r="W3862">
        <v>0</v>
      </c>
      <c r="X3862">
        <v>1</v>
      </c>
      <c r="Y3862">
        <v>0</v>
      </c>
      <c r="Z3862">
        <v>0</v>
      </c>
      <c r="AA3862">
        <v>0</v>
      </c>
      <c r="AB3862">
        <v>0</v>
      </c>
      <c r="AC3862">
        <v>0</v>
      </c>
      <c r="AD3862">
        <v>0</v>
      </c>
      <c r="AE3862">
        <v>0</v>
      </c>
      <c r="AF3862">
        <v>0</v>
      </c>
      <c r="AG3862">
        <v>0</v>
      </c>
      <c r="AH3862">
        <v>0</v>
      </c>
      <c r="AI3862">
        <v>0</v>
      </c>
      <c r="AJ3862">
        <v>0</v>
      </c>
      <c r="AK3862">
        <v>0</v>
      </c>
      <c r="AL3862">
        <v>0</v>
      </c>
      <c r="AM3862">
        <v>0</v>
      </c>
      <c r="AN3862">
        <v>0</v>
      </c>
      <c r="AO3862">
        <v>1</v>
      </c>
      <c r="AP3862">
        <v>0</v>
      </c>
      <c r="AQ3862">
        <v>0</v>
      </c>
      <c r="AR3862">
        <v>0</v>
      </c>
      <c r="AS3862">
        <v>0</v>
      </c>
      <c r="AT3862">
        <v>0</v>
      </c>
      <c r="AU3862">
        <f t="shared" si="118"/>
        <v>1</v>
      </c>
      <c r="AV3862">
        <f t="shared" si="119"/>
        <v>0</v>
      </c>
    </row>
    <row r="3863" spans="1:48" x14ac:dyDescent="0.25">
      <c r="A3863" t="s">
        <v>11999</v>
      </c>
      <c r="C3863" t="s">
        <v>12000</v>
      </c>
      <c r="D3863" t="s">
        <v>12001</v>
      </c>
      <c r="E3863" t="s">
        <v>1663</v>
      </c>
      <c r="F3863">
        <v>1</v>
      </c>
      <c r="G3863">
        <v>1.2</v>
      </c>
      <c r="H3863" t="s">
        <v>2017</v>
      </c>
      <c r="I3863" s="21">
        <v>41722</v>
      </c>
      <c r="J3863">
        <v>2014</v>
      </c>
      <c r="K3863" s="21">
        <v>41829</v>
      </c>
      <c r="L3863">
        <v>2014</v>
      </c>
      <c r="P3863" s="21">
        <v>42172</v>
      </c>
      <c r="Q3863" s="262">
        <v>300000</v>
      </c>
      <c r="S3863" t="s">
        <v>114</v>
      </c>
      <c r="T3863" t="s">
        <v>114</v>
      </c>
      <c r="V3863">
        <v>0</v>
      </c>
      <c r="W3863">
        <v>0</v>
      </c>
      <c r="X3863">
        <v>0</v>
      </c>
      <c r="Y3863">
        <v>0</v>
      </c>
      <c r="Z3863">
        <v>0</v>
      </c>
      <c r="AA3863">
        <v>0</v>
      </c>
      <c r="AB3863">
        <v>0</v>
      </c>
      <c r="AC3863">
        <v>0</v>
      </c>
      <c r="AD3863">
        <v>0</v>
      </c>
      <c r="AE3863">
        <v>0</v>
      </c>
      <c r="AF3863">
        <v>0</v>
      </c>
      <c r="AG3863">
        <v>0</v>
      </c>
      <c r="AH3863">
        <v>0</v>
      </c>
      <c r="AI3863">
        <v>0</v>
      </c>
      <c r="AJ3863">
        <v>0</v>
      </c>
      <c r="AK3863">
        <v>0</v>
      </c>
      <c r="AL3863">
        <v>0</v>
      </c>
      <c r="AM3863">
        <v>0</v>
      </c>
      <c r="AN3863">
        <v>0</v>
      </c>
      <c r="AO3863">
        <v>0</v>
      </c>
      <c r="AP3863">
        <v>0</v>
      </c>
      <c r="AQ3863">
        <v>0</v>
      </c>
      <c r="AR3863">
        <v>0</v>
      </c>
      <c r="AS3863">
        <v>0</v>
      </c>
      <c r="AT3863">
        <v>0</v>
      </c>
      <c r="AU3863">
        <f t="shared" si="118"/>
        <v>0</v>
      </c>
      <c r="AV3863">
        <f t="shared" si="119"/>
        <v>0</v>
      </c>
    </row>
    <row r="3864" spans="1:48" x14ac:dyDescent="0.25">
      <c r="A3864" t="s">
        <v>12002</v>
      </c>
      <c r="B3864" t="s">
        <v>12002</v>
      </c>
      <c r="C3864" t="s">
        <v>12003</v>
      </c>
      <c r="D3864" t="s">
        <v>12004</v>
      </c>
      <c r="E3864" t="s">
        <v>2310</v>
      </c>
      <c r="F3864">
        <v>8</v>
      </c>
      <c r="G3864">
        <v>8.1999999999999993</v>
      </c>
      <c r="H3864" t="s">
        <v>2022</v>
      </c>
      <c r="I3864" s="21">
        <v>41723.475520833301</v>
      </c>
      <c r="J3864">
        <v>2014</v>
      </c>
      <c r="K3864" s="21">
        <v>42877.620023148098</v>
      </c>
      <c r="L3864">
        <v>2017</v>
      </c>
      <c r="O3864" s="21">
        <v>42877.620023148098</v>
      </c>
      <c r="Q3864" s="262">
        <v>120000</v>
      </c>
      <c r="R3864" s="262">
        <v>127000</v>
      </c>
      <c r="S3864" t="s">
        <v>114</v>
      </c>
      <c r="T3864" t="s">
        <v>114</v>
      </c>
      <c r="V3864">
        <v>0</v>
      </c>
      <c r="W3864">
        <v>1456</v>
      </c>
      <c r="X3864">
        <v>0</v>
      </c>
      <c r="Y3864">
        <v>0</v>
      </c>
      <c r="Z3864">
        <v>0</v>
      </c>
      <c r="AA3864">
        <v>0</v>
      </c>
      <c r="AB3864">
        <v>0</v>
      </c>
      <c r="AC3864">
        <v>1456</v>
      </c>
      <c r="AD3864">
        <v>0</v>
      </c>
      <c r="AE3864">
        <v>0</v>
      </c>
      <c r="AF3864">
        <v>0</v>
      </c>
      <c r="AG3864">
        <v>0</v>
      </c>
      <c r="AH3864">
        <v>0</v>
      </c>
      <c r="AI3864">
        <v>0</v>
      </c>
      <c r="AJ3864">
        <v>0</v>
      </c>
      <c r="AK3864">
        <v>0</v>
      </c>
      <c r="AL3864">
        <v>0</v>
      </c>
      <c r="AM3864">
        <v>0</v>
      </c>
      <c r="AN3864">
        <v>0</v>
      </c>
      <c r="AO3864">
        <v>0</v>
      </c>
      <c r="AP3864">
        <v>0</v>
      </c>
      <c r="AQ3864">
        <v>0</v>
      </c>
      <c r="AR3864">
        <v>0</v>
      </c>
      <c r="AS3864">
        <v>0</v>
      </c>
      <c r="AT3864">
        <v>0</v>
      </c>
      <c r="AU3864">
        <f t="shared" si="118"/>
        <v>0</v>
      </c>
      <c r="AV3864">
        <f t="shared" si="119"/>
        <v>0</v>
      </c>
    </row>
    <row r="3865" spans="1:48" x14ac:dyDescent="0.25">
      <c r="A3865" t="s">
        <v>12005</v>
      </c>
      <c r="B3865" t="s">
        <v>12005</v>
      </c>
      <c r="C3865" t="s">
        <v>12006</v>
      </c>
      <c r="D3865" t="s">
        <v>12007</v>
      </c>
      <c r="E3865" t="s">
        <v>2310</v>
      </c>
      <c r="F3865">
        <v>10</v>
      </c>
      <c r="G3865">
        <v>10.1</v>
      </c>
      <c r="H3865" t="s">
        <v>2323</v>
      </c>
      <c r="I3865" s="21">
        <v>41723.544189814798</v>
      </c>
      <c r="J3865">
        <v>2014</v>
      </c>
      <c r="K3865" s="21">
        <v>41746.5788888889</v>
      </c>
      <c r="L3865">
        <v>2014</v>
      </c>
      <c r="M3865" s="21">
        <v>42716.4313078704</v>
      </c>
      <c r="N3865">
        <v>2016</v>
      </c>
      <c r="Q3865" s="262">
        <v>150000</v>
      </c>
      <c r="R3865" s="262">
        <v>112000</v>
      </c>
      <c r="S3865" t="s">
        <v>114</v>
      </c>
      <c r="T3865" t="s">
        <v>114</v>
      </c>
      <c r="V3865">
        <v>1020</v>
      </c>
      <c r="W3865">
        <v>273</v>
      </c>
      <c r="X3865">
        <v>0</v>
      </c>
      <c r="Y3865">
        <v>0</v>
      </c>
      <c r="Z3865">
        <v>0</v>
      </c>
      <c r="AA3865">
        <v>0</v>
      </c>
      <c r="AB3865">
        <v>0</v>
      </c>
      <c r="AC3865">
        <v>273</v>
      </c>
      <c r="AD3865">
        <v>0</v>
      </c>
      <c r="AE3865">
        <v>0</v>
      </c>
      <c r="AF3865">
        <v>0</v>
      </c>
      <c r="AG3865">
        <v>0</v>
      </c>
      <c r="AH3865">
        <v>0</v>
      </c>
      <c r="AI3865">
        <v>0</v>
      </c>
      <c r="AJ3865">
        <v>0</v>
      </c>
      <c r="AK3865">
        <v>0</v>
      </c>
      <c r="AL3865">
        <v>0</v>
      </c>
      <c r="AM3865">
        <v>0</v>
      </c>
      <c r="AN3865">
        <v>0</v>
      </c>
      <c r="AO3865">
        <v>0</v>
      </c>
      <c r="AP3865">
        <v>0</v>
      </c>
      <c r="AQ3865">
        <v>0</v>
      </c>
      <c r="AR3865">
        <v>0</v>
      </c>
      <c r="AS3865">
        <v>0</v>
      </c>
      <c r="AT3865">
        <v>0</v>
      </c>
      <c r="AU3865">
        <f t="shared" ref="AU3865:AU3928" si="120">SUM(AN3865:AQ3865,AS3865)</f>
        <v>0</v>
      </c>
      <c r="AV3865">
        <f t="shared" ref="AV3865:AV3928" si="121">SUM(Y3865:AB3865,AH3865:AM3865)</f>
        <v>0</v>
      </c>
    </row>
    <row r="3866" spans="1:48" x14ac:dyDescent="0.25">
      <c r="A3866" t="s">
        <v>12008</v>
      </c>
      <c r="B3866" t="s">
        <v>12008</v>
      </c>
      <c r="C3866" t="s">
        <v>12009</v>
      </c>
      <c r="D3866" t="s">
        <v>12010</v>
      </c>
      <c r="E3866" t="s">
        <v>2310</v>
      </c>
      <c r="F3866">
        <v>15</v>
      </c>
      <c r="G3866">
        <v>15.3</v>
      </c>
      <c r="H3866" t="s">
        <v>2022</v>
      </c>
      <c r="I3866" s="21">
        <v>41723.630486111098</v>
      </c>
      <c r="J3866">
        <v>2014</v>
      </c>
      <c r="K3866" s="21">
        <v>41731.689976851798</v>
      </c>
      <c r="L3866">
        <v>2014</v>
      </c>
      <c r="M3866" s="21">
        <v>41866.4149652778</v>
      </c>
      <c r="N3866">
        <v>2014</v>
      </c>
      <c r="Q3866" s="262">
        <v>200000</v>
      </c>
      <c r="R3866" s="262">
        <v>200000</v>
      </c>
      <c r="S3866" t="s">
        <v>114</v>
      </c>
      <c r="T3866" t="s">
        <v>114</v>
      </c>
      <c r="V3866">
        <v>0</v>
      </c>
      <c r="W3866">
        <v>0</v>
      </c>
      <c r="X3866">
        <v>0</v>
      </c>
      <c r="Y3866">
        <v>0</v>
      </c>
      <c r="Z3866">
        <v>0</v>
      </c>
      <c r="AA3866">
        <v>0</v>
      </c>
      <c r="AB3866">
        <v>0</v>
      </c>
      <c r="AC3866">
        <v>0</v>
      </c>
      <c r="AD3866">
        <v>0</v>
      </c>
      <c r="AE3866">
        <v>0</v>
      </c>
      <c r="AF3866">
        <v>0</v>
      </c>
      <c r="AG3866">
        <v>0</v>
      </c>
      <c r="AH3866">
        <v>0</v>
      </c>
      <c r="AI3866">
        <v>0</v>
      </c>
      <c r="AJ3866">
        <v>0</v>
      </c>
      <c r="AK3866">
        <v>0</v>
      </c>
      <c r="AL3866">
        <v>0</v>
      </c>
      <c r="AM3866">
        <v>0</v>
      </c>
      <c r="AN3866">
        <v>0</v>
      </c>
      <c r="AO3866">
        <v>0</v>
      </c>
      <c r="AP3866">
        <v>0</v>
      </c>
      <c r="AQ3866">
        <v>0</v>
      </c>
      <c r="AR3866">
        <v>0</v>
      </c>
      <c r="AS3866">
        <v>0</v>
      </c>
      <c r="AT3866">
        <v>0</v>
      </c>
      <c r="AU3866">
        <f t="shared" si="120"/>
        <v>0</v>
      </c>
      <c r="AV3866">
        <f t="shared" si="121"/>
        <v>0</v>
      </c>
    </row>
    <row r="3867" spans="1:48" x14ac:dyDescent="0.25">
      <c r="A3867" t="s">
        <v>12011</v>
      </c>
      <c r="B3867" t="s">
        <v>12011</v>
      </c>
      <c r="C3867" t="s">
        <v>12012</v>
      </c>
      <c r="D3867" t="s">
        <v>4144</v>
      </c>
      <c r="E3867" t="s">
        <v>2310</v>
      </c>
      <c r="F3867">
        <v>9</v>
      </c>
      <c r="G3867">
        <v>9.3000000000000007</v>
      </c>
      <c r="H3867" t="s">
        <v>2323</v>
      </c>
      <c r="I3867" s="21">
        <v>41723.685034722199</v>
      </c>
      <c r="J3867">
        <v>2014</v>
      </c>
      <c r="K3867" s="21">
        <v>41747.379282407397</v>
      </c>
      <c r="L3867">
        <v>2014</v>
      </c>
      <c r="M3867" s="21">
        <v>41887.580636574101</v>
      </c>
      <c r="N3867">
        <v>2014</v>
      </c>
      <c r="Q3867" s="262">
        <v>55000</v>
      </c>
      <c r="R3867" s="262">
        <v>20000</v>
      </c>
      <c r="S3867" t="s">
        <v>114</v>
      </c>
      <c r="T3867" t="s">
        <v>114</v>
      </c>
      <c r="V3867">
        <v>0</v>
      </c>
      <c r="W3867">
        <v>180</v>
      </c>
      <c r="X3867">
        <v>0</v>
      </c>
      <c r="Y3867">
        <v>0</v>
      </c>
      <c r="Z3867">
        <v>0</v>
      </c>
      <c r="AA3867">
        <v>0</v>
      </c>
      <c r="AB3867">
        <v>0</v>
      </c>
      <c r="AC3867">
        <v>180</v>
      </c>
      <c r="AD3867">
        <v>0</v>
      </c>
      <c r="AE3867">
        <v>0</v>
      </c>
      <c r="AF3867">
        <v>0</v>
      </c>
      <c r="AG3867">
        <v>0</v>
      </c>
      <c r="AH3867">
        <v>0</v>
      </c>
      <c r="AI3867">
        <v>0</v>
      </c>
      <c r="AJ3867">
        <v>0</v>
      </c>
      <c r="AK3867">
        <v>0</v>
      </c>
      <c r="AL3867">
        <v>0</v>
      </c>
      <c r="AM3867">
        <v>0</v>
      </c>
      <c r="AN3867">
        <v>0</v>
      </c>
      <c r="AO3867">
        <v>0</v>
      </c>
      <c r="AP3867">
        <v>0</v>
      </c>
      <c r="AQ3867">
        <v>0</v>
      </c>
      <c r="AR3867">
        <v>0</v>
      </c>
      <c r="AS3867">
        <v>0</v>
      </c>
      <c r="AT3867">
        <v>0</v>
      </c>
      <c r="AU3867">
        <f t="shared" si="120"/>
        <v>0</v>
      </c>
      <c r="AV3867">
        <f t="shared" si="121"/>
        <v>0</v>
      </c>
    </row>
    <row r="3868" spans="1:48" x14ac:dyDescent="0.25">
      <c r="A3868" t="s">
        <v>17553</v>
      </c>
      <c r="B3868" t="s">
        <v>17553</v>
      </c>
      <c r="C3868" t="s">
        <v>17554</v>
      </c>
      <c r="D3868" t="s">
        <v>12015</v>
      </c>
      <c r="E3868" t="s">
        <v>2310</v>
      </c>
      <c r="F3868">
        <v>15</v>
      </c>
      <c r="G3868">
        <v>15.2</v>
      </c>
      <c r="H3868" t="s">
        <v>2323</v>
      </c>
      <c r="I3868" s="21">
        <v>41723.708854166667</v>
      </c>
      <c r="J3868">
        <v>2014</v>
      </c>
      <c r="K3868" s="21">
        <v>43003.616956018515</v>
      </c>
      <c r="L3868">
        <v>2017</v>
      </c>
      <c r="M3868" s="21">
        <v>43003.616956018515</v>
      </c>
      <c r="N3868">
        <v>2017</v>
      </c>
      <c r="Q3868" s="262">
        <v>281520</v>
      </c>
      <c r="R3868" s="262">
        <v>100000</v>
      </c>
      <c r="S3868" t="s">
        <v>13254</v>
      </c>
      <c r="V3868">
        <v>0</v>
      </c>
      <c r="W3868">
        <v>2448</v>
      </c>
      <c r="X3868">
        <v>0</v>
      </c>
      <c r="Y3868">
        <v>0</v>
      </c>
      <c r="Z3868">
        <v>0</v>
      </c>
      <c r="AA3868">
        <v>0</v>
      </c>
      <c r="AB3868">
        <v>0</v>
      </c>
      <c r="AC3868">
        <v>2448</v>
      </c>
      <c r="AD3868">
        <v>0</v>
      </c>
      <c r="AE3868">
        <v>0</v>
      </c>
      <c r="AF3868">
        <v>0</v>
      </c>
      <c r="AG3868">
        <v>0</v>
      </c>
      <c r="AH3868">
        <v>0</v>
      </c>
      <c r="AI3868">
        <v>0</v>
      </c>
      <c r="AJ3868">
        <v>0</v>
      </c>
      <c r="AK3868">
        <v>0</v>
      </c>
      <c r="AL3868">
        <v>0</v>
      </c>
      <c r="AM3868">
        <v>0</v>
      </c>
      <c r="AN3868">
        <v>0</v>
      </c>
      <c r="AO3868">
        <v>0</v>
      </c>
      <c r="AP3868">
        <v>0</v>
      </c>
      <c r="AQ3868">
        <v>0</v>
      </c>
      <c r="AR3868">
        <v>0</v>
      </c>
      <c r="AS3868">
        <v>0</v>
      </c>
      <c r="AT3868">
        <v>0</v>
      </c>
      <c r="AU3868">
        <f t="shared" si="120"/>
        <v>0</v>
      </c>
      <c r="AV3868">
        <f t="shared" si="121"/>
        <v>0</v>
      </c>
    </row>
    <row r="3869" spans="1:48" x14ac:dyDescent="0.25">
      <c r="A3869" t="s">
        <v>12013</v>
      </c>
      <c r="B3869" t="s">
        <v>12013</v>
      </c>
      <c r="C3869" t="s">
        <v>12014</v>
      </c>
      <c r="D3869" t="s">
        <v>12015</v>
      </c>
      <c r="E3869" t="s">
        <v>2310</v>
      </c>
      <c r="F3869">
        <v>15</v>
      </c>
      <c r="G3869">
        <v>15.2</v>
      </c>
      <c r="H3869" t="s">
        <v>2323</v>
      </c>
      <c r="I3869" s="21">
        <v>41723.7191087963</v>
      </c>
      <c r="J3869">
        <v>2014</v>
      </c>
      <c r="K3869" s="21">
        <v>41782.419143518498</v>
      </c>
      <c r="L3869">
        <v>2014</v>
      </c>
      <c r="M3869" s="21">
        <v>42716.439375000002</v>
      </c>
      <c r="N3869">
        <v>2016</v>
      </c>
      <c r="Q3869" s="262">
        <v>194400</v>
      </c>
      <c r="R3869" s="262">
        <v>94000</v>
      </c>
      <c r="S3869" t="s">
        <v>114</v>
      </c>
      <c r="T3869" t="s">
        <v>114</v>
      </c>
      <c r="V3869">
        <v>616</v>
      </c>
      <c r="W3869">
        <v>1682</v>
      </c>
      <c r="X3869">
        <v>0</v>
      </c>
      <c r="Y3869">
        <v>0</v>
      </c>
      <c r="Z3869">
        <v>0</v>
      </c>
      <c r="AA3869">
        <v>0</v>
      </c>
      <c r="AB3869">
        <v>0</v>
      </c>
      <c r="AC3869">
        <v>1682</v>
      </c>
      <c r="AD3869">
        <v>0</v>
      </c>
      <c r="AE3869">
        <v>0</v>
      </c>
      <c r="AF3869">
        <v>0</v>
      </c>
      <c r="AG3869">
        <v>0</v>
      </c>
      <c r="AH3869">
        <v>0</v>
      </c>
      <c r="AI3869">
        <v>0</v>
      </c>
      <c r="AJ3869">
        <v>0</v>
      </c>
      <c r="AK3869">
        <v>0</v>
      </c>
      <c r="AL3869">
        <v>0</v>
      </c>
      <c r="AM3869">
        <v>0</v>
      </c>
      <c r="AN3869">
        <v>0</v>
      </c>
      <c r="AO3869">
        <v>0</v>
      </c>
      <c r="AP3869">
        <v>0</v>
      </c>
      <c r="AQ3869">
        <v>0</v>
      </c>
      <c r="AR3869">
        <v>0</v>
      </c>
      <c r="AS3869">
        <v>0</v>
      </c>
      <c r="AT3869">
        <v>0</v>
      </c>
      <c r="AU3869">
        <f t="shared" si="120"/>
        <v>0</v>
      </c>
      <c r="AV3869">
        <f t="shared" si="121"/>
        <v>0</v>
      </c>
    </row>
    <row r="3870" spans="1:48" x14ac:dyDescent="0.25">
      <c r="A3870" t="s">
        <v>12016</v>
      </c>
      <c r="B3870" t="s">
        <v>12016</v>
      </c>
      <c r="C3870" t="s">
        <v>12017</v>
      </c>
      <c r="D3870" t="s">
        <v>12018</v>
      </c>
      <c r="E3870" t="s">
        <v>2310</v>
      </c>
      <c r="F3870">
        <v>8</v>
      </c>
      <c r="G3870">
        <v>8.1</v>
      </c>
      <c r="H3870" t="s">
        <v>2323</v>
      </c>
      <c r="I3870" s="21">
        <v>41723.739768518499</v>
      </c>
      <c r="J3870">
        <v>2014</v>
      </c>
      <c r="K3870" s="21">
        <v>41768.688425925902</v>
      </c>
      <c r="L3870">
        <v>2014</v>
      </c>
      <c r="O3870" s="21">
        <v>41976.654108796298</v>
      </c>
      <c r="Q3870" s="262">
        <v>1300000</v>
      </c>
      <c r="R3870" s="262">
        <v>283000</v>
      </c>
      <c r="S3870" t="s">
        <v>114</v>
      </c>
      <c r="T3870" t="s">
        <v>114</v>
      </c>
      <c r="V3870">
        <v>0</v>
      </c>
      <c r="W3870">
        <v>0</v>
      </c>
      <c r="X3870">
        <v>0</v>
      </c>
      <c r="Y3870">
        <v>0</v>
      </c>
      <c r="Z3870">
        <v>0</v>
      </c>
      <c r="AA3870">
        <v>0</v>
      </c>
      <c r="AB3870">
        <v>0</v>
      </c>
      <c r="AC3870">
        <v>0</v>
      </c>
      <c r="AD3870">
        <v>0</v>
      </c>
      <c r="AE3870">
        <v>0</v>
      </c>
      <c r="AF3870">
        <v>0</v>
      </c>
      <c r="AG3870">
        <v>0</v>
      </c>
      <c r="AH3870">
        <v>0</v>
      </c>
      <c r="AI3870">
        <v>0</v>
      </c>
      <c r="AJ3870">
        <v>0</v>
      </c>
      <c r="AK3870">
        <v>0</v>
      </c>
      <c r="AL3870">
        <v>0</v>
      </c>
      <c r="AM3870">
        <v>0</v>
      </c>
      <c r="AN3870">
        <v>0</v>
      </c>
      <c r="AO3870">
        <v>0</v>
      </c>
      <c r="AP3870">
        <v>0</v>
      </c>
      <c r="AQ3870">
        <v>0</v>
      </c>
      <c r="AR3870">
        <v>0</v>
      </c>
      <c r="AS3870">
        <v>0</v>
      </c>
      <c r="AT3870">
        <v>0</v>
      </c>
      <c r="AU3870">
        <f t="shared" si="120"/>
        <v>0</v>
      </c>
      <c r="AV3870">
        <f t="shared" si="121"/>
        <v>0</v>
      </c>
    </row>
    <row r="3871" spans="1:48" x14ac:dyDescent="0.25">
      <c r="A3871" t="s">
        <v>12019</v>
      </c>
      <c r="B3871" t="s">
        <v>12019</v>
      </c>
      <c r="C3871" t="s">
        <v>12020</v>
      </c>
      <c r="D3871" t="s">
        <v>7190</v>
      </c>
      <c r="E3871" t="s">
        <v>2310</v>
      </c>
      <c r="F3871">
        <v>9</v>
      </c>
      <c r="G3871">
        <v>9.1</v>
      </c>
      <c r="H3871" t="s">
        <v>2323</v>
      </c>
      <c r="I3871" s="21">
        <v>41723.7597453704</v>
      </c>
      <c r="J3871">
        <v>2014</v>
      </c>
      <c r="K3871" s="21">
        <v>41781.480648148201</v>
      </c>
      <c r="L3871">
        <v>2014</v>
      </c>
      <c r="M3871" s="21">
        <v>42180.3574884259</v>
      </c>
      <c r="N3871">
        <v>2015</v>
      </c>
      <c r="Q3871" s="262">
        <v>207000</v>
      </c>
      <c r="R3871" s="262">
        <v>207000</v>
      </c>
      <c r="S3871" t="s">
        <v>114</v>
      </c>
      <c r="T3871" t="s">
        <v>114</v>
      </c>
      <c r="V3871">
        <v>0</v>
      </c>
      <c r="W3871">
        <v>1929</v>
      </c>
      <c r="X3871">
        <v>1</v>
      </c>
      <c r="Y3871">
        <v>0</v>
      </c>
      <c r="Z3871">
        <v>0</v>
      </c>
      <c r="AA3871">
        <v>0</v>
      </c>
      <c r="AB3871">
        <v>0</v>
      </c>
      <c r="AC3871">
        <v>931</v>
      </c>
      <c r="AD3871">
        <v>0</v>
      </c>
      <c r="AE3871">
        <v>0</v>
      </c>
      <c r="AF3871">
        <v>998</v>
      </c>
      <c r="AG3871">
        <v>0</v>
      </c>
      <c r="AH3871">
        <v>0</v>
      </c>
      <c r="AI3871">
        <v>0</v>
      </c>
      <c r="AJ3871">
        <v>0</v>
      </c>
      <c r="AK3871">
        <v>0</v>
      </c>
      <c r="AL3871">
        <v>0</v>
      </c>
      <c r="AM3871">
        <v>0</v>
      </c>
      <c r="AN3871">
        <v>0</v>
      </c>
      <c r="AO3871">
        <v>0</v>
      </c>
      <c r="AP3871">
        <v>0</v>
      </c>
      <c r="AQ3871">
        <v>0</v>
      </c>
      <c r="AR3871">
        <v>1</v>
      </c>
      <c r="AS3871">
        <v>0</v>
      </c>
      <c r="AT3871">
        <v>0</v>
      </c>
      <c r="AU3871">
        <f t="shared" si="120"/>
        <v>0</v>
      </c>
      <c r="AV3871">
        <f t="shared" si="121"/>
        <v>0</v>
      </c>
    </row>
    <row r="3872" spans="1:48" x14ac:dyDescent="0.25">
      <c r="A3872" t="s">
        <v>12021</v>
      </c>
      <c r="B3872" t="s">
        <v>12021</v>
      </c>
      <c r="C3872" t="s">
        <v>12022</v>
      </c>
      <c r="D3872" t="s">
        <v>12023</v>
      </c>
      <c r="E3872" t="s">
        <v>2310</v>
      </c>
      <c r="F3872">
        <v>9</v>
      </c>
      <c r="G3872">
        <v>9.4</v>
      </c>
      <c r="H3872" t="s">
        <v>2323</v>
      </c>
      <c r="I3872" s="21">
        <v>41724.434629629599</v>
      </c>
      <c r="J3872">
        <v>2014</v>
      </c>
      <c r="K3872" s="21">
        <v>41870.603067129603</v>
      </c>
      <c r="L3872">
        <v>2014</v>
      </c>
      <c r="M3872" s="21">
        <v>42452.675879629598</v>
      </c>
      <c r="N3872">
        <v>2016</v>
      </c>
      <c r="Q3872" s="262">
        <v>750000</v>
      </c>
      <c r="R3872" s="262">
        <v>180000</v>
      </c>
      <c r="S3872" t="s">
        <v>114</v>
      </c>
      <c r="T3872" t="s">
        <v>114</v>
      </c>
      <c r="V3872">
        <v>0</v>
      </c>
      <c r="W3872">
        <v>1677</v>
      </c>
      <c r="X3872">
        <v>0</v>
      </c>
      <c r="Y3872">
        <v>0</v>
      </c>
      <c r="Z3872">
        <v>0</v>
      </c>
      <c r="AA3872">
        <v>0</v>
      </c>
      <c r="AB3872">
        <v>0</v>
      </c>
      <c r="AC3872">
        <v>1677</v>
      </c>
      <c r="AD3872">
        <v>0</v>
      </c>
      <c r="AE3872">
        <v>0</v>
      </c>
      <c r="AF3872">
        <v>0</v>
      </c>
      <c r="AG3872">
        <v>0</v>
      </c>
      <c r="AH3872">
        <v>0</v>
      </c>
      <c r="AI3872">
        <v>0</v>
      </c>
      <c r="AJ3872">
        <v>0</v>
      </c>
      <c r="AK3872">
        <v>0</v>
      </c>
      <c r="AL3872">
        <v>0</v>
      </c>
      <c r="AM3872">
        <v>0</v>
      </c>
      <c r="AN3872">
        <v>0</v>
      </c>
      <c r="AO3872">
        <v>0</v>
      </c>
      <c r="AP3872">
        <v>0</v>
      </c>
      <c r="AQ3872">
        <v>0</v>
      </c>
      <c r="AR3872">
        <v>0</v>
      </c>
      <c r="AS3872">
        <v>0</v>
      </c>
      <c r="AT3872">
        <v>0</v>
      </c>
      <c r="AU3872">
        <f t="shared" si="120"/>
        <v>0</v>
      </c>
      <c r="AV3872">
        <f t="shared" si="121"/>
        <v>0</v>
      </c>
    </row>
    <row r="3873" spans="1:48" x14ac:dyDescent="0.25">
      <c r="A3873" t="s">
        <v>18229</v>
      </c>
      <c r="B3873" t="s">
        <v>18229</v>
      </c>
      <c r="C3873" t="s">
        <v>18230</v>
      </c>
      <c r="D3873" t="s">
        <v>18231</v>
      </c>
      <c r="E3873" t="s">
        <v>2310</v>
      </c>
      <c r="F3873">
        <v>8</v>
      </c>
      <c r="G3873">
        <v>8.1</v>
      </c>
      <c r="H3873" t="s">
        <v>2323</v>
      </c>
      <c r="I3873" s="21">
        <v>41724.626006944447</v>
      </c>
      <c r="J3873">
        <v>2014</v>
      </c>
      <c r="K3873" s="21">
        <v>41761.535069444442</v>
      </c>
      <c r="L3873">
        <v>2014</v>
      </c>
      <c r="M3873" s="21">
        <v>43676.494528854164</v>
      </c>
      <c r="N3873">
        <v>2019</v>
      </c>
      <c r="Q3873" s="262">
        <v>400000</v>
      </c>
      <c r="R3873" s="262">
        <v>64000</v>
      </c>
      <c r="S3873" t="s">
        <v>13253</v>
      </c>
      <c r="T3873">
        <v>4128</v>
      </c>
      <c r="V3873">
        <v>0</v>
      </c>
      <c r="W3873">
        <v>591</v>
      </c>
      <c r="X3873">
        <v>0</v>
      </c>
      <c r="Y3873">
        <v>0</v>
      </c>
      <c r="Z3873">
        <v>0</v>
      </c>
      <c r="AA3873">
        <v>0</v>
      </c>
      <c r="AB3873">
        <v>0</v>
      </c>
      <c r="AC3873">
        <v>591</v>
      </c>
      <c r="AD3873">
        <v>0</v>
      </c>
      <c r="AE3873">
        <v>0</v>
      </c>
      <c r="AF3873">
        <v>0</v>
      </c>
      <c r="AG3873">
        <v>0</v>
      </c>
      <c r="AH3873">
        <v>0</v>
      </c>
      <c r="AI3873">
        <v>0</v>
      </c>
      <c r="AJ3873">
        <v>0</v>
      </c>
      <c r="AK3873">
        <v>0</v>
      </c>
      <c r="AL3873">
        <v>0</v>
      </c>
      <c r="AM3873">
        <v>0</v>
      </c>
      <c r="AN3873">
        <v>0</v>
      </c>
      <c r="AO3873">
        <v>0</v>
      </c>
      <c r="AP3873">
        <v>0</v>
      </c>
      <c r="AQ3873">
        <v>0</v>
      </c>
      <c r="AR3873">
        <v>0</v>
      </c>
      <c r="AS3873">
        <v>0</v>
      </c>
      <c r="AT3873">
        <v>0</v>
      </c>
      <c r="AU3873">
        <f t="shared" si="120"/>
        <v>0</v>
      </c>
      <c r="AV3873">
        <f t="shared" si="121"/>
        <v>0</v>
      </c>
    </row>
    <row r="3874" spans="1:48" x14ac:dyDescent="0.25">
      <c r="A3874" t="s">
        <v>12024</v>
      </c>
      <c r="B3874" t="s">
        <v>12024</v>
      </c>
      <c r="C3874" t="s">
        <v>12025</v>
      </c>
      <c r="D3874" t="s">
        <v>12026</v>
      </c>
      <c r="E3874" t="s">
        <v>2310</v>
      </c>
      <c r="F3874">
        <v>9</v>
      </c>
      <c r="G3874">
        <v>9.3000000000000007</v>
      </c>
      <c r="H3874" t="s">
        <v>2323</v>
      </c>
      <c r="I3874" s="21">
        <v>41725.379178240699</v>
      </c>
      <c r="J3874">
        <v>2014</v>
      </c>
      <c r="K3874" s="21">
        <v>41761.443495370397</v>
      </c>
      <c r="L3874">
        <v>2014</v>
      </c>
      <c r="M3874" s="21">
        <v>43376.405245254602</v>
      </c>
      <c r="N3874">
        <v>2018</v>
      </c>
      <c r="Q3874" s="262">
        <v>1500000</v>
      </c>
      <c r="R3874" s="262">
        <v>499000</v>
      </c>
      <c r="S3874" t="s">
        <v>114</v>
      </c>
      <c r="T3874" t="s">
        <v>114</v>
      </c>
      <c r="V3874">
        <v>0</v>
      </c>
      <c r="W3874">
        <v>4450</v>
      </c>
      <c r="X3874">
        <v>1</v>
      </c>
      <c r="Y3874">
        <v>0</v>
      </c>
      <c r="Z3874">
        <v>0</v>
      </c>
      <c r="AA3874">
        <v>0</v>
      </c>
      <c r="AB3874">
        <v>0</v>
      </c>
      <c r="AC3874">
        <v>4450</v>
      </c>
      <c r="AD3874">
        <v>0</v>
      </c>
      <c r="AE3874">
        <v>0</v>
      </c>
      <c r="AF3874">
        <v>0</v>
      </c>
      <c r="AG3874">
        <v>0</v>
      </c>
      <c r="AH3874">
        <v>0</v>
      </c>
      <c r="AI3874">
        <v>0</v>
      </c>
      <c r="AJ3874">
        <v>0</v>
      </c>
      <c r="AK3874">
        <v>0</v>
      </c>
      <c r="AL3874">
        <v>0</v>
      </c>
      <c r="AM3874">
        <v>0</v>
      </c>
      <c r="AN3874">
        <v>0</v>
      </c>
      <c r="AO3874">
        <v>1</v>
      </c>
      <c r="AP3874">
        <v>0</v>
      </c>
      <c r="AQ3874">
        <v>0</v>
      </c>
      <c r="AR3874">
        <v>0</v>
      </c>
      <c r="AS3874">
        <v>0</v>
      </c>
      <c r="AT3874">
        <v>0</v>
      </c>
      <c r="AU3874">
        <f t="shared" si="120"/>
        <v>1</v>
      </c>
      <c r="AV3874">
        <f t="shared" si="121"/>
        <v>0</v>
      </c>
    </row>
    <row r="3875" spans="1:48" x14ac:dyDescent="0.25">
      <c r="A3875" t="s">
        <v>12027</v>
      </c>
      <c r="B3875" t="s">
        <v>12027</v>
      </c>
      <c r="C3875" t="s">
        <v>12028</v>
      </c>
      <c r="D3875" t="s">
        <v>12029</v>
      </c>
      <c r="E3875" t="s">
        <v>2310</v>
      </c>
      <c r="F3875">
        <v>10</v>
      </c>
      <c r="G3875">
        <v>10.1</v>
      </c>
      <c r="H3875" t="s">
        <v>2323</v>
      </c>
      <c r="I3875" s="21">
        <v>41725.425775463002</v>
      </c>
      <c r="J3875">
        <v>2014</v>
      </c>
      <c r="K3875" s="21">
        <v>41767.698541666701</v>
      </c>
      <c r="L3875">
        <v>2014</v>
      </c>
      <c r="M3875" s="21">
        <v>42012.535300925898</v>
      </c>
      <c r="N3875">
        <v>2015</v>
      </c>
      <c r="Q3875" s="262">
        <v>450000</v>
      </c>
      <c r="R3875" s="262">
        <v>314000</v>
      </c>
      <c r="S3875" t="s">
        <v>114</v>
      </c>
      <c r="T3875" t="s">
        <v>114</v>
      </c>
      <c r="V3875">
        <v>0</v>
      </c>
      <c r="W3875">
        <v>3502</v>
      </c>
      <c r="X3875">
        <v>1</v>
      </c>
      <c r="Y3875">
        <v>0</v>
      </c>
      <c r="Z3875">
        <v>0</v>
      </c>
      <c r="AA3875">
        <v>0</v>
      </c>
      <c r="AB3875">
        <v>0</v>
      </c>
      <c r="AC3875">
        <v>3502</v>
      </c>
      <c r="AD3875">
        <v>0</v>
      </c>
      <c r="AE3875">
        <v>0</v>
      </c>
      <c r="AF3875">
        <v>0</v>
      </c>
      <c r="AG3875">
        <v>0</v>
      </c>
      <c r="AH3875">
        <v>0</v>
      </c>
      <c r="AI3875">
        <v>0</v>
      </c>
      <c r="AJ3875">
        <v>0</v>
      </c>
      <c r="AK3875">
        <v>0</v>
      </c>
      <c r="AL3875">
        <v>0</v>
      </c>
      <c r="AM3875">
        <v>0</v>
      </c>
      <c r="AN3875">
        <v>0</v>
      </c>
      <c r="AO3875">
        <v>1</v>
      </c>
      <c r="AP3875">
        <v>0</v>
      </c>
      <c r="AQ3875">
        <v>0</v>
      </c>
      <c r="AR3875">
        <v>0</v>
      </c>
      <c r="AS3875">
        <v>0</v>
      </c>
      <c r="AT3875">
        <v>0</v>
      </c>
      <c r="AU3875">
        <f t="shared" si="120"/>
        <v>1</v>
      </c>
      <c r="AV3875">
        <f t="shared" si="121"/>
        <v>0</v>
      </c>
    </row>
    <row r="3876" spans="1:48" x14ac:dyDescent="0.25">
      <c r="A3876" t="s">
        <v>12030</v>
      </c>
      <c r="B3876" t="s">
        <v>12030</v>
      </c>
      <c r="C3876" t="s">
        <v>11703</v>
      </c>
      <c r="D3876" t="s">
        <v>12031</v>
      </c>
      <c r="E3876" t="s">
        <v>2310</v>
      </c>
      <c r="F3876">
        <v>14</v>
      </c>
      <c r="G3876">
        <v>14.1</v>
      </c>
      <c r="H3876" t="s">
        <v>2022</v>
      </c>
      <c r="I3876" s="21">
        <v>41725.480844907397</v>
      </c>
      <c r="J3876">
        <v>2014</v>
      </c>
      <c r="K3876" s="21">
        <v>41773.6355555556</v>
      </c>
      <c r="L3876">
        <v>2014</v>
      </c>
      <c r="M3876" s="21">
        <v>42205.583182870403</v>
      </c>
      <c r="N3876">
        <v>2015</v>
      </c>
      <c r="Q3876" s="262">
        <v>720000</v>
      </c>
      <c r="R3876" s="262">
        <v>508000</v>
      </c>
      <c r="S3876" t="s">
        <v>114</v>
      </c>
      <c r="T3876" t="s">
        <v>114</v>
      </c>
      <c r="V3876">
        <v>0</v>
      </c>
      <c r="W3876">
        <v>4320</v>
      </c>
      <c r="X3876">
        <v>1</v>
      </c>
      <c r="Y3876">
        <v>0</v>
      </c>
      <c r="Z3876">
        <v>0</v>
      </c>
      <c r="AA3876">
        <v>0</v>
      </c>
      <c r="AB3876">
        <v>0</v>
      </c>
      <c r="AC3876">
        <v>4320</v>
      </c>
      <c r="AD3876">
        <v>0</v>
      </c>
      <c r="AE3876">
        <v>0</v>
      </c>
      <c r="AF3876">
        <v>0</v>
      </c>
      <c r="AG3876">
        <v>0</v>
      </c>
      <c r="AH3876">
        <v>0</v>
      </c>
      <c r="AI3876">
        <v>0</v>
      </c>
      <c r="AJ3876">
        <v>0</v>
      </c>
      <c r="AK3876">
        <v>0</v>
      </c>
      <c r="AL3876">
        <v>0</v>
      </c>
      <c r="AM3876">
        <v>0</v>
      </c>
      <c r="AN3876">
        <v>0</v>
      </c>
      <c r="AO3876">
        <v>1</v>
      </c>
      <c r="AP3876">
        <v>0</v>
      </c>
      <c r="AQ3876">
        <v>0</v>
      </c>
      <c r="AR3876">
        <v>0</v>
      </c>
      <c r="AS3876">
        <v>0</v>
      </c>
      <c r="AT3876">
        <v>0</v>
      </c>
      <c r="AU3876">
        <f t="shared" si="120"/>
        <v>1</v>
      </c>
      <c r="AV3876">
        <f t="shared" si="121"/>
        <v>0</v>
      </c>
    </row>
    <row r="3877" spans="1:48" x14ac:dyDescent="0.25">
      <c r="A3877" t="s">
        <v>12032</v>
      </c>
      <c r="B3877" t="s">
        <v>12032</v>
      </c>
      <c r="C3877" t="s">
        <v>12033</v>
      </c>
      <c r="D3877" t="s">
        <v>5729</v>
      </c>
      <c r="E3877" t="s">
        <v>2310</v>
      </c>
      <c r="F3877">
        <v>13</v>
      </c>
      <c r="G3877">
        <v>13.3</v>
      </c>
      <c r="H3877" t="s">
        <v>2017</v>
      </c>
      <c r="I3877" s="21">
        <v>41725.508055555598</v>
      </c>
      <c r="J3877">
        <v>2014</v>
      </c>
      <c r="K3877" s="21">
        <v>41789.6237384259</v>
      </c>
      <c r="L3877">
        <v>2014</v>
      </c>
      <c r="M3877" s="21">
        <v>41872.456423611096</v>
      </c>
      <c r="N3877">
        <v>2014</v>
      </c>
      <c r="Q3877" s="262">
        <v>50000</v>
      </c>
      <c r="R3877" s="262">
        <v>23000</v>
      </c>
      <c r="S3877" t="s">
        <v>114</v>
      </c>
      <c r="T3877" t="s">
        <v>114</v>
      </c>
      <c r="V3877">
        <v>0</v>
      </c>
      <c r="W3877">
        <v>213</v>
      </c>
      <c r="X3877">
        <v>0</v>
      </c>
      <c r="Y3877">
        <v>0</v>
      </c>
      <c r="Z3877">
        <v>0</v>
      </c>
      <c r="AA3877">
        <v>0</v>
      </c>
      <c r="AB3877">
        <v>0</v>
      </c>
      <c r="AC3877">
        <v>213</v>
      </c>
      <c r="AD3877">
        <v>0</v>
      </c>
      <c r="AE3877">
        <v>0</v>
      </c>
      <c r="AF3877">
        <v>0</v>
      </c>
      <c r="AG3877">
        <v>0</v>
      </c>
      <c r="AH3877">
        <v>0</v>
      </c>
      <c r="AI3877">
        <v>0</v>
      </c>
      <c r="AJ3877">
        <v>0</v>
      </c>
      <c r="AK3877">
        <v>0</v>
      </c>
      <c r="AL3877">
        <v>0</v>
      </c>
      <c r="AM3877">
        <v>0</v>
      </c>
      <c r="AN3877">
        <v>0</v>
      </c>
      <c r="AO3877">
        <v>0</v>
      </c>
      <c r="AP3877">
        <v>0</v>
      </c>
      <c r="AQ3877">
        <v>0</v>
      </c>
      <c r="AR3877">
        <v>0</v>
      </c>
      <c r="AS3877">
        <v>0</v>
      </c>
      <c r="AT3877">
        <v>0</v>
      </c>
      <c r="AU3877">
        <f t="shared" si="120"/>
        <v>0</v>
      </c>
      <c r="AV3877">
        <f t="shared" si="121"/>
        <v>0</v>
      </c>
    </row>
    <row r="3878" spans="1:48" x14ac:dyDescent="0.25">
      <c r="A3878" t="s">
        <v>12034</v>
      </c>
      <c r="B3878" t="s">
        <v>12034</v>
      </c>
      <c r="C3878" t="s">
        <v>11132</v>
      </c>
      <c r="D3878" t="s">
        <v>12035</v>
      </c>
      <c r="E3878" t="s">
        <v>2310</v>
      </c>
      <c r="F3878">
        <v>9</v>
      </c>
      <c r="G3878">
        <v>9.4</v>
      </c>
      <c r="H3878" t="s">
        <v>2323</v>
      </c>
      <c r="I3878" s="21">
        <v>41725.662627314799</v>
      </c>
      <c r="J3878">
        <v>2014</v>
      </c>
      <c r="K3878" s="21">
        <v>41795.373576388898</v>
      </c>
      <c r="L3878">
        <v>2014</v>
      </c>
      <c r="M3878" s="21">
        <v>42424.489328703698</v>
      </c>
      <c r="N3878">
        <v>2016</v>
      </c>
      <c r="Q3878" s="262">
        <v>3000000</v>
      </c>
      <c r="R3878" s="262">
        <v>1023000</v>
      </c>
      <c r="S3878" t="s">
        <v>114</v>
      </c>
      <c r="T3878" t="s">
        <v>114</v>
      </c>
      <c r="V3878">
        <v>0</v>
      </c>
      <c r="W3878">
        <v>7759</v>
      </c>
      <c r="X3878">
        <v>1</v>
      </c>
      <c r="Y3878">
        <v>0</v>
      </c>
      <c r="Z3878">
        <v>0</v>
      </c>
      <c r="AA3878">
        <v>0</v>
      </c>
      <c r="AB3878">
        <v>0</v>
      </c>
      <c r="AC3878">
        <v>7759</v>
      </c>
      <c r="AD3878">
        <v>0</v>
      </c>
      <c r="AE3878">
        <v>0</v>
      </c>
      <c r="AF3878">
        <v>0</v>
      </c>
      <c r="AG3878">
        <v>0</v>
      </c>
      <c r="AH3878">
        <v>0</v>
      </c>
      <c r="AI3878">
        <v>0</v>
      </c>
      <c r="AJ3878">
        <v>0</v>
      </c>
      <c r="AK3878">
        <v>0</v>
      </c>
      <c r="AL3878">
        <v>0</v>
      </c>
      <c r="AM3878">
        <v>0</v>
      </c>
      <c r="AN3878">
        <v>0</v>
      </c>
      <c r="AO3878">
        <v>1</v>
      </c>
      <c r="AP3878">
        <v>0</v>
      </c>
      <c r="AQ3878">
        <v>0</v>
      </c>
      <c r="AR3878">
        <v>0</v>
      </c>
      <c r="AS3878">
        <v>0</v>
      </c>
      <c r="AT3878">
        <v>0</v>
      </c>
      <c r="AU3878">
        <f t="shared" si="120"/>
        <v>1</v>
      </c>
      <c r="AV3878">
        <f t="shared" si="121"/>
        <v>0</v>
      </c>
    </row>
    <row r="3879" spans="1:48" x14ac:dyDescent="0.25">
      <c r="A3879" t="s">
        <v>12036</v>
      </c>
      <c r="B3879" t="s">
        <v>12036</v>
      </c>
      <c r="C3879" t="s">
        <v>12037</v>
      </c>
      <c r="D3879" t="s">
        <v>12038</v>
      </c>
      <c r="E3879" t="s">
        <v>2310</v>
      </c>
      <c r="F3879">
        <v>14</v>
      </c>
      <c r="G3879">
        <v>14.2</v>
      </c>
      <c r="H3879" t="s">
        <v>2017</v>
      </c>
      <c r="I3879" s="21">
        <v>41730.347094907404</v>
      </c>
      <c r="J3879">
        <v>2014</v>
      </c>
      <c r="K3879" s="21">
        <v>41781.4848726852</v>
      </c>
      <c r="L3879">
        <v>2014</v>
      </c>
      <c r="M3879" s="21">
        <v>42622.369050925903</v>
      </c>
      <c r="N3879">
        <v>2016</v>
      </c>
      <c r="Q3879" s="262">
        <v>100000</v>
      </c>
      <c r="R3879" s="262">
        <v>166000</v>
      </c>
      <c r="S3879" t="s">
        <v>114</v>
      </c>
      <c r="T3879" t="s">
        <v>114</v>
      </c>
      <c r="V3879">
        <v>0</v>
      </c>
      <c r="W3879">
        <v>1965</v>
      </c>
      <c r="X3879">
        <v>1</v>
      </c>
      <c r="Y3879">
        <v>0</v>
      </c>
      <c r="Z3879">
        <v>0</v>
      </c>
      <c r="AA3879">
        <v>0</v>
      </c>
      <c r="AB3879">
        <v>0</v>
      </c>
      <c r="AC3879">
        <v>968</v>
      </c>
      <c r="AD3879">
        <v>0</v>
      </c>
      <c r="AE3879">
        <v>0</v>
      </c>
      <c r="AF3879">
        <v>997</v>
      </c>
      <c r="AG3879">
        <v>0</v>
      </c>
      <c r="AH3879">
        <v>0</v>
      </c>
      <c r="AI3879">
        <v>0</v>
      </c>
      <c r="AJ3879">
        <v>0</v>
      </c>
      <c r="AK3879">
        <v>0</v>
      </c>
      <c r="AL3879">
        <v>0</v>
      </c>
      <c r="AM3879">
        <v>0</v>
      </c>
      <c r="AN3879">
        <v>0</v>
      </c>
      <c r="AO3879">
        <v>0</v>
      </c>
      <c r="AP3879">
        <v>0</v>
      </c>
      <c r="AQ3879">
        <v>0</v>
      </c>
      <c r="AR3879">
        <v>1</v>
      </c>
      <c r="AS3879">
        <v>0</v>
      </c>
      <c r="AT3879">
        <v>0</v>
      </c>
      <c r="AU3879">
        <f t="shared" si="120"/>
        <v>0</v>
      </c>
      <c r="AV3879">
        <f t="shared" si="121"/>
        <v>0</v>
      </c>
    </row>
    <row r="3880" spans="1:48" x14ac:dyDescent="0.25">
      <c r="A3880" t="s">
        <v>12039</v>
      </c>
      <c r="B3880" t="s">
        <v>12039</v>
      </c>
      <c r="C3880" t="s">
        <v>12040</v>
      </c>
      <c r="D3880" t="s">
        <v>8822</v>
      </c>
      <c r="E3880" t="s">
        <v>2310</v>
      </c>
      <c r="F3880">
        <v>10</v>
      </c>
      <c r="G3880">
        <v>10.1</v>
      </c>
      <c r="H3880" t="s">
        <v>2323</v>
      </c>
      <c r="I3880" s="21">
        <v>41730.590821759302</v>
      </c>
      <c r="J3880">
        <v>2014</v>
      </c>
      <c r="K3880" s="21">
        <v>41761.693773148101</v>
      </c>
      <c r="L3880">
        <v>2014</v>
      </c>
      <c r="M3880" s="21">
        <v>42352.562962962998</v>
      </c>
      <c r="N3880">
        <v>2015</v>
      </c>
      <c r="Q3880" s="262">
        <v>131000</v>
      </c>
      <c r="R3880" s="262">
        <v>73000</v>
      </c>
      <c r="S3880" t="s">
        <v>114</v>
      </c>
      <c r="T3880" t="s">
        <v>114</v>
      </c>
      <c r="V3880">
        <v>0</v>
      </c>
      <c r="W3880">
        <v>600</v>
      </c>
      <c r="X3880">
        <v>0</v>
      </c>
      <c r="Y3880">
        <v>0</v>
      </c>
      <c r="Z3880">
        <v>0</v>
      </c>
      <c r="AA3880">
        <v>0</v>
      </c>
      <c r="AB3880">
        <v>0</v>
      </c>
      <c r="AC3880">
        <v>600</v>
      </c>
      <c r="AD3880">
        <v>0</v>
      </c>
      <c r="AE3880">
        <v>0</v>
      </c>
      <c r="AF3880">
        <v>0</v>
      </c>
      <c r="AG3880">
        <v>0</v>
      </c>
      <c r="AH3880">
        <v>0</v>
      </c>
      <c r="AI3880">
        <v>0</v>
      </c>
      <c r="AJ3880">
        <v>0</v>
      </c>
      <c r="AK3880">
        <v>0</v>
      </c>
      <c r="AL3880">
        <v>0</v>
      </c>
      <c r="AM3880">
        <v>0</v>
      </c>
      <c r="AN3880">
        <v>0</v>
      </c>
      <c r="AO3880">
        <v>0</v>
      </c>
      <c r="AP3880">
        <v>0</v>
      </c>
      <c r="AQ3880">
        <v>0</v>
      </c>
      <c r="AR3880">
        <v>0</v>
      </c>
      <c r="AS3880">
        <v>0</v>
      </c>
      <c r="AT3880">
        <v>0</v>
      </c>
      <c r="AU3880">
        <f t="shared" si="120"/>
        <v>0</v>
      </c>
      <c r="AV3880">
        <f t="shared" si="121"/>
        <v>0</v>
      </c>
    </row>
    <row r="3881" spans="1:48" x14ac:dyDescent="0.25">
      <c r="A3881" t="s">
        <v>12041</v>
      </c>
      <c r="B3881" t="s">
        <v>12041</v>
      </c>
      <c r="C3881" t="s">
        <v>12042</v>
      </c>
      <c r="D3881" t="s">
        <v>9490</v>
      </c>
      <c r="E3881" t="s">
        <v>2310</v>
      </c>
      <c r="F3881">
        <v>8</v>
      </c>
      <c r="G3881">
        <v>8.1</v>
      </c>
      <c r="H3881" t="s">
        <v>2323</v>
      </c>
      <c r="I3881" s="21">
        <v>41730.6175462963</v>
      </c>
      <c r="J3881">
        <v>2014</v>
      </c>
      <c r="K3881" s="21">
        <v>41829.515659722201</v>
      </c>
      <c r="L3881">
        <v>2014</v>
      </c>
      <c r="M3881" s="21">
        <v>42279.339236111096</v>
      </c>
      <c r="N3881">
        <v>2015</v>
      </c>
      <c r="Q3881" s="262">
        <v>300000</v>
      </c>
      <c r="R3881" s="262">
        <v>145000</v>
      </c>
      <c r="S3881" t="s">
        <v>114</v>
      </c>
      <c r="T3881" t="s">
        <v>114</v>
      </c>
      <c r="V3881">
        <v>0</v>
      </c>
      <c r="W3881">
        <v>998</v>
      </c>
      <c r="X3881">
        <v>1</v>
      </c>
      <c r="Y3881">
        <v>0</v>
      </c>
      <c r="Z3881">
        <v>0</v>
      </c>
      <c r="AA3881">
        <v>0</v>
      </c>
      <c r="AB3881">
        <v>0</v>
      </c>
      <c r="AC3881">
        <v>0</v>
      </c>
      <c r="AD3881">
        <v>0</v>
      </c>
      <c r="AE3881">
        <v>0</v>
      </c>
      <c r="AF3881">
        <v>998</v>
      </c>
      <c r="AG3881">
        <v>0</v>
      </c>
      <c r="AH3881">
        <v>0</v>
      </c>
      <c r="AI3881">
        <v>0</v>
      </c>
      <c r="AJ3881">
        <v>0</v>
      </c>
      <c r="AK3881">
        <v>0</v>
      </c>
      <c r="AL3881">
        <v>0</v>
      </c>
      <c r="AM3881">
        <v>0</v>
      </c>
      <c r="AN3881">
        <v>0</v>
      </c>
      <c r="AO3881">
        <v>0</v>
      </c>
      <c r="AP3881">
        <v>0</v>
      </c>
      <c r="AQ3881">
        <v>0</v>
      </c>
      <c r="AR3881">
        <v>1</v>
      </c>
      <c r="AS3881">
        <v>0</v>
      </c>
      <c r="AT3881">
        <v>0</v>
      </c>
      <c r="AU3881">
        <f t="shared" si="120"/>
        <v>0</v>
      </c>
      <c r="AV3881">
        <f t="shared" si="121"/>
        <v>0</v>
      </c>
    </row>
    <row r="3882" spans="1:48" x14ac:dyDescent="0.25">
      <c r="A3882" t="s">
        <v>12043</v>
      </c>
      <c r="B3882" t="s">
        <v>12043</v>
      </c>
      <c r="C3882" t="s">
        <v>12044</v>
      </c>
      <c r="D3882" t="s">
        <v>12045</v>
      </c>
      <c r="E3882" t="s">
        <v>2310</v>
      </c>
      <c r="F3882">
        <v>15</v>
      </c>
      <c r="G3882">
        <v>15.3</v>
      </c>
      <c r="H3882" t="s">
        <v>2022</v>
      </c>
      <c r="I3882" s="21">
        <v>41730.674849536997</v>
      </c>
      <c r="J3882">
        <v>2014</v>
      </c>
      <c r="K3882" s="21">
        <v>41778.645081018498</v>
      </c>
      <c r="L3882">
        <v>2014</v>
      </c>
      <c r="M3882" s="21">
        <v>42613.4746296296</v>
      </c>
      <c r="N3882">
        <v>2016</v>
      </c>
      <c r="Q3882" s="262">
        <v>300000</v>
      </c>
      <c r="R3882" s="262">
        <v>226000</v>
      </c>
      <c r="S3882" t="s">
        <v>114</v>
      </c>
      <c r="T3882" t="s">
        <v>114</v>
      </c>
      <c r="V3882">
        <v>0</v>
      </c>
      <c r="W3882">
        <v>1947</v>
      </c>
      <c r="X3882">
        <v>0</v>
      </c>
      <c r="Y3882">
        <v>0</v>
      </c>
      <c r="Z3882">
        <v>0</v>
      </c>
      <c r="AA3882">
        <v>0</v>
      </c>
      <c r="AB3882">
        <v>0</v>
      </c>
      <c r="AC3882">
        <v>1947</v>
      </c>
      <c r="AD3882">
        <v>0</v>
      </c>
      <c r="AE3882">
        <v>0</v>
      </c>
      <c r="AF3882">
        <v>0</v>
      </c>
      <c r="AG3882">
        <v>0</v>
      </c>
      <c r="AH3882">
        <v>0</v>
      </c>
      <c r="AI3882">
        <v>0</v>
      </c>
      <c r="AJ3882">
        <v>0</v>
      </c>
      <c r="AK3882">
        <v>0</v>
      </c>
      <c r="AL3882">
        <v>0</v>
      </c>
      <c r="AM3882">
        <v>0</v>
      </c>
      <c r="AN3882">
        <v>0</v>
      </c>
      <c r="AO3882">
        <v>0</v>
      </c>
      <c r="AP3882">
        <v>0</v>
      </c>
      <c r="AQ3882">
        <v>0</v>
      </c>
      <c r="AR3882">
        <v>0</v>
      </c>
      <c r="AS3882">
        <v>0</v>
      </c>
      <c r="AT3882">
        <v>0</v>
      </c>
      <c r="AU3882">
        <f t="shared" si="120"/>
        <v>0</v>
      </c>
      <c r="AV3882">
        <f t="shared" si="121"/>
        <v>0</v>
      </c>
    </row>
    <row r="3883" spans="1:48" x14ac:dyDescent="0.25">
      <c r="A3883" t="s">
        <v>12048</v>
      </c>
      <c r="C3883" t="s">
        <v>12049</v>
      </c>
      <c r="D3883" t="s">
        <v>12050</v>
      </c>
      <c r="E3883" t="s">
        <v>1663</v>
      </c>
      <c r="F3883">
        <v>6</v>
      </c>
      <c r="G3883">
        <v>6.1</v>
      </c>
      <c r="H3883" t="s">
        <v>2017</v>
      </c>
      <c r="I3883" s="21">
        <v>41737</v>
      </c>
      <c r="J3883">
        <v>2014</v>
      </c>
      <c r="K3883" s="21">
        <v>41800</v>
      </c>
      <c r="L3883">
        <v>2014</v>
      </c>
      <c r="M3883" s="21">
        <v>42166</v>
      </c>
      <c r="N3883">
        <v>2015</v>
      </c>
      <c r="Q3883" s="262">
        <v>375000</v>
      </c>
      <c r="S3883" t="s">
        <v>114</v>
      </c>
      <c r="T3883" t="s">
        <v>114</v>
      </c>
      <c r="V3883">
        <v>0</v>
      </c>
      <c r="W3883">
        <v>2407</v>
      </c>
      <c r="X3883">
        <v>1</v>
      </c>
      <c r="Y3883">
        <v>0</v>
      </c>
      <c r="Z3883">
        <v>0</v>
      </c>
      <c r="AA3883">
        <v>0</v>
      </c>
      <c r="AB3883">
        <v>0</v>
      </c>
      <c r="AC3883">
        <v>2407</v>
      </c>
      <c r="AD3883">
        <v>0</v>
      </c>
      <c r="AE3883">
        <v>0</v>
      </c>
      <c r="AF3883">
        <v>0</v>
      </c>
      <c r="AG3883">
        <v>0</v>
      </c>
      <c r="AH3883">
        <v>0</v>
      </c>
      <c r="AI3883">
        <v>0</v>
      </c>
      <c r="AJ3883">
        <v>0</v>
      </c>
      <c r="AK3883">
        <v>0</v>
      </c>
      <c r="AL3883">
        <v>0</v>
      </c>
      <c r="AM3883">
        <v>0</v>
      </c>
      <c r="AN3883">
        <v>0</v>
      </c>
      <c r="AO3883">
        <v>1</v>
      </c>
      <c r="AP3883">
        <v>0</v>
      </c>
      <c r="AQ3883">
        <v>0</v>
      </c>
      <c r="AR3883">
        <v>0</v>
      </c>
      <c r="AS3883">
        <v>0</v>
      </c>
      <c r="AT3883">
        <v>0</v>
      </c>
      <c r="AU3883">
        <f t="shared" si="120"/>
        <v>1</v>
      </c>
      <c r="AV3883">
        <f t="shared" si="121"/>
        <v>0</v>
      </c>
    </row>
    <row r="3884" spans="1:48" x14ac:dyDescent="0.25">
      <c r="A3884" t="s">
        <v>12051</v>
      </c>
      <c r="C3884" t="s">
        <v>12052</v>
      </c>
      <c r="D3884" t="s">
        <v>12053</v>
      </c>
      <c r="E3884" t="s">
        <v>1663</v>
      </c>
      <c r="F3884">
        <v>4</v>
      </c>
      <c r="G3884">
        <v>4.3</v>
      </c>
      <c r="H3884" t="s">
        <v>2327</v>
      </c>
      <c r="I3884" s="21">
        <v>41737</v>
      </c>
      <c r="J3884">
        <v>2014</v>
      </c>
      <c r="K3884" s="21">
        <v>41758</v>
      </c>
      <c r="L3884">
        <v>2014</v>
      </c>
      <c r="P3884" s="21">
        <v>42129</v>
      </c>
      <c r="Q3884" s="262">
        <v>130000</v>
      </c>
      <c r="S3884" t="s">
        <v>114</v>
      </c>
      <c r="T3884" t="s">
        <v>114</v>
      </c>
      <c r="V3884">
        <v>0</v>
      </c>
      <c r="W3884">
        <v>0</v>
      </c>
      <c r="X3884">
        <v>0</v>
      </c>
      <c r="Y3884">
        <v>0</v>
      </c>
      <c r="Z3884">
        <v>0</v>
      </c>
      <c r="AA3884">
        <v>0</v>
      </c>
      <c r="AB3884">
        <v>0</v>
      </c>
      <c r="AC3884">
        <v>0</v>
      </c>
      <c r="AD3884">
        <v>0</v>
      </c>
      <c r="AE3884">
        <v>0</v>
      </c>
      <c r="AF3884">
        <v>0</v>
      </c>
      <c r="AG3884">
        <v>0</v>
      </c>
      <c r="AH3884">
        <v>0</v>
      </c>
      <c r="AI3884">
        <v>0</v>
      </c>
      <c r="AJ3884">
        <v>0</v>
      </c>
      <c r="AK3884">
        <v>0</v>
      </c>
      <c r="AL3884">
        <v>0</v>
      </c>
      <c r="AM3884">
        <v>0</v>
      </c>
      <c r="AN3884">
        <v>0</v>
      </c>
      <c r="AO3884">
        <v>0</v>
      </c>
      <c r="AP3884">
        <v>0</v>
      </c>
      <c r="AQ3884">
        <v>0</v>
      </c>
      <c r="AR3884">
        <v>0</v>
      </c>
      <c r="AS3884">
        <v>0</v>
      </c>
      <c r="AT3884">
        <v>0</v>
      </c>
      <c r="AU3884">
        <f t="shared" si="120"/>
        <v>0</v>
      </c>
      <c r="AV3884">
        <f t="shared" si="121"/>
        <v>0</v>
      </c>
    </row>
    <row r="3885" spans="1:48" x14ac:dyDescent="0.25">
      <c r="A3885" t="s">
        <v>12046</v>
      </c>
      <c r="C3885" t="s">
        <v>11246</v>
      </c>
      <c r="D3885" t="s">
        <v>12047</v>
      </c>
      <c r="E3885" t="s">
        <v>1663</v>
      </c>
      <c r="F3885">
        <v>3</v>
      </c>
      <c r="G3885">
        <v>3.1</v>
      </c>
      <c r="H3885" t="s">
        <v>2017</v>
      </c>
      <c r="I3885" s="21">
        <v>41737</v>
      </c>
      <c r="J3885">
        <v>2014</v>
      </c>
      <c r="K3885" s="21">
        <v>41779</v>
      </c>
      <c r="L3885">
        <v>2014</v>
      </c>
      <c r="M3885" s="21">
        <v>42124</v>
      </c>
      <c r="N3885">
        <v>2015</v>
      </c>
      <c r="Q3885" s="262">
        <v>600000</v>
      </c>
      <c r="S3885" t="s">
        <v>114</v>
      </c>
      <c r="T3885" t="s">
        <v>114</v>
      </c>
      <c r="V3885">
        <v>0</v>
      </c>
      <c r="W3885">
        <v>2811</v>
      </c>
      <c r="X3885">
        <v>1</v>
      </c>
      <c r="Y3885">
        <v>0</v>
      </c>
      <c r="Z3885">
        <v>0</v>
      </c>
      <c r="AA3885">
        <v>0</v>
      </c>
      <c r="AB3885">
        <v>0</v>
      </c>
      <c r="AC3885">
        <v>2811</v>
      </c>
      <c r="AD3885">
        <v>0</v>
      </c>
      <c r="AE3885">
        <v>0</v>
      </c>
      <c r="AF3885">
        <v>0</v>
      </c>
      <c r="AG3885">
        <v>0</v>
      </c>
      <c r="AH3885">
        <v>0</v>
      </c>
      <c r="AI3885">
        <v>0</v>
      </c>
      <c r="AJ3885">
        <v>0</v>
      </c>
      <c r="AK3885">
        <v>0</v>
      </c>
      <c r="AL3885">
        <v>0</v>
      </c>
      <c r="AM3885">
        <v>0</v>
      </c>
      <c r="AN3885">
        <v>0</v>
      </c>
      <c r="AO3885">
        <v>1</v>
      </c>
      <c r="AP3885">
        <v>0</v>
      </c>
      <c r="AQ3885">
        <v>0</v>
      </c>
      <c r="AR3885">
        <v>0</v>
      </c>
      <c r="AS3885">
        <v>0</v>
      </c>
      <c r="AT3885">
        <v>0</v>
      </c>
      <c r="AU3885">
        <f t="shared" si="120"/>
        <v>1</v>
      </c>
      <c r="AV3885">
        <f t="shared" si="121"/>
        <v>0</v>
      </c>
    </row>
    <row r="3886" spans="1:48" x14ac:dyDescent="0.25">
      <c r="A3886" t="s">
        <v>12054</v>
      </c>
      <c r="C3886" t="s">
        <v>11246</v>
      </c>
      <c r="D3886" t="s">
        <v>12055</v>
      </c>
      <c r="E3886" t="s">
        <v>1663</v>
      </c>
      <c r="F3886">
        <v>3</v>
      </c>
      <c r="G3886">
        <v>3.1</v>
      </c>
      <c r="H3886" t="s">
        <v>2017</v>
      </c>
      <c r="I3886" s="21">
        <v>41738</v>
      </c>
      <c r="J3886">
        <v>2014</v>
      </c>
      <c r="K3886" s="21">
        <v>41764</v>
      </c>
      <c r="L3886">
        <v>2014</v>
      </c>
      <c r="M3886" s="21">
        <v>41978</v>
      </c>
      <c r="N3886">
        <v>2014</v>
      </c>
      <c r="Q3886" s="262">
        <v>600000</v>
      </c>
      <c r="S3886" t="s">
        <v>114</v>
      </c>
      <c r="T3886" t="s">
        <v>114</v>
      </c>
      <c r="V3886">
        <v>0</v>
      </c>
      <c r="W3886">
        <v>2975</v>
      </c>
      <c r="X3886">
        <v>1</v>
      </c>
      <c r="Y3886">
        <v>0</v>
      </c>
      <c r="Z3886">
        <v>0</v>
      </c>
      <c r="AA3886">
        <v>0</v>
      </c>
      <c r="AB3886">
        <v>0</v>
      </c>
      <c r="AC3886">
        <v>2975</v>
      </c>
      <c r="AD3886">
        <v>0</v>
      </c>
      <c r="AE3886">
        <v>0</v>
      </c>
      <c r="AF3886">
        <v>0</v>
      </c>
      <c r="AG3886">
        <v>0</v>
      </c>
      <c r="AH3886">
        <v>0</v>
      </c>
      <c r="AI3886">
        <v>0</v>
      </c>
      <c r="AJ3886">
        <v>0</v>
      </c>
      <c r="AK3886">
        <v>0</v>
      </c>
      <c r="AL3886">
        <v>0</v>
      </c>
      <c r="AM3886">
        <v>0</v>
      </c>
      <c r="AN3886">
        <v>0</v>
      </c>
      <c r="AO3886">
        <v>1</v>
      </c>
      <c r="AP3886">
        <v>0</v>
      </c>
      <c r="AQ3886">
        <v>0</v>
      </c>
      <c r="AR3886">
        <v>0</v>
      </c>
      <c r="AS3886">
        <v>0</v>
      </c>
      <c r="AT3886">
        <v>0</v>
      </c>
      <c r="AU3886">
        <f t="shared" si="120"/>
        <v>1</v>
      </c>
      <c r="AV3886">
        <f t="shared" si="121"/>
        <v>0</v>
      </c>
    </row>
    <row r="3887" spans="1:48" x14ac:dyDescent="0.25">
      <c r="A3887" t="s">
        <v>12056</v>
      </c>
      <c r="C3887" t="s">
        <v>12057</v>
      </c>
      <c r="D3887" t="s">
        <v>12058</v>
      </c>
      <c r="E3887" t="s">
        <v>1663</v>
      </c>
      <c r="F3887">
        <v>1</v>
      </c>
      <c r="G3887">
        <v>1.1000000000000001</v>
      </c>
      <c r="H3887" t="s">
        <v>2017</v>
      </c>
      <c r="I3887" s="21">
        <v>41738</v>
      </c>
      <c r="J3887">
        <v>2014</v>
      </c>
      <c r="O3887" s="21">
        <v>42430</v>
      </c>
      <c r="Q3887" s="262">
        <v>4000</v>
      </c>
      <c r="S3887" t="s">
        <v>114</v>
      </c>
      <c r="T3887" t="s">
        <v>114</v>
      </c>
      <c r="V3887">
        <v>0</v>
      </c>
      <c r="W3887">
        <v>0</v>
      </c>
      <c r="X3887">
        <v>0</v>
      </c>
      <c r="Y3887">
        <v>0</v>
      </c>
      <c r="Z3887">
        <v>0</v>
      </c>
      <c r="AA3887">
        <v>0</v>
      </c>
      <c r="AB3887">
        <v>0</v>
      </c>
      <c r="AC3887">
        <v>0</v>
      </c>
      <c r="AD3887">
        <v>0</v>
      </c>
      <c r="AE3887">
        <v>0</v>
      </c>
      <c r="AF3887">
        <v>0</v>
      </c>
      <c r="AG3887">
        <v>0</v>
      </c>
      <c r="AH3887">
        <v>0</v>
      </c>
      <c r="AI3887">
        <v>0</v>
      </c>
      <c r="AJ3887">
        <v>0</v>
      </c>
      <c r="AK3887">
        <v>0</v>
      </c>
      <c r="AL3887">
        <v>0</v>
      </c>
      <c r="AM3887">
        <v>0</v>
      </c>
      <c r="AN3887">
        <v>0</v>
      </c>
      <c r="AO3887">
        <v>0</v>
      </c>
      <c r="AP3887">
        <v>0</v>
      </c>
      <c r="AQ3887">
        <v>0</v>
      </c>
      <c r="AR3887">
        <v>0</v>
      </c>
      <c r="AS3887">
        <v>0</v>
      </c>
      <c r="AT3887">
        <v>0</v>
      </c>
      <c r="AU3887">
        <f t="shared" si="120"/>
        <v>0</v>
      </c>
      <c r="AV3887">
        <f t="shared" si="121"/>
        <v>0</v>
      </c>
    </row>
    <row r="3888" spans="1:48" x14ac:dyDescent="0.25">
      <c r="A3888" t="s">
        <v>12059</v>
      </c>
      <c r="C3888" t="s">
        <v>11237</v>
      </c>
      <c r="D3888" t="s">
        <v>12060</v>
      </c>
      <c r="E3888" t="s">
        <v>1663</v>
      </c>
      <c r="F3888">
        <v>5</v>
      </c>
      <c r="G3888">
        <v>5.2</v>
      </c>
      <c r="H3888" t="s">
        <v>2327</v>
      </c>
      <c r="I3888" s="21">
        <v>41739</v>
      </c>
      <c r="J3888">
        <v>2014</v>
      </c>
      <c r="K3888" s="21">
        <v>41773</v>
      </c>
      <c r="L3888">
        <v>2014</v>
      </c>
      <c r="M3888" s="21">
        <v>41817</v>
      </c>
      <c r="N3888">
        <v>2014</v>
      </c>
      <c r="Q3888" s="262">
        <v>200000</v>
      </c>
      <c r="S3888" t="s">
        <v>114</v>
      </c>
      <c r="T3888" t="s">
        <v>114</v>
      </c>
      <c r="V3888">
        <v>0</v>
      </c>
      <c r="W3888">
        <v>0</v>
      </c>
      <c r="X3888">
        <v>0</v>
      </c>
      <c r="Y3888">
        <v>0</v>
      </c>
      <c r="Z3888">
        <v>0</v>
      </c>
      <c r="AA3888">
        <v>0</v>
      </c>
      <c r="AB3888">
        <v>0</v>
      </c>
      <c r="AC3888">
        <v>0</v>
      </c>
      <c r="AD3888">
        <v>0</v>
      </c>
      <c r="AE3888">
        <v>0</v>
      </c>
      <c r="AF3888">
        <v>0</v>
      </c>
      <c r="AG3888">
        <v>0</v>
      </c>
      <c r="AH3888">
        <v>0</v>
      </c>
      <c r="AI3888">
        <v>0</v>
      </c>
      <c r="AJ3888">
        <v>0</v>
      </c>
      <c r="AK3888">
        <v>0</v>
      </c>
      <c r="AL3888">
        <v>0</v>
      </c>
      <c r="AM3888">
        <v>0</v>
      </c>
      <c r="AN3888">
        <v>0</v>
      </c>
      <c r="AO3888">
        <v>0</v>
      </c>
      <c r="AP3888">
        <v>0</v>
      </c>
      <c r="AQ3888">
        <v>0</v>
      </c>
      <c r="AR3888">
        <v>0</v>
      </c>
      <c r="AS3888">
        <v>0</v>
      </c>
      <c r="AT3888">
        <v>0</v>
      </c>
      <c r="AU3888">
        <f t="shared" si="120"/>
        <v>0</v>
      </c>
      <c r="AV3888">
        <f t="shared" si="121"/>
        <v>0</v>
      </c>
    </row>
    <row r="3889" spans="1:48" x14ac:dyDescent="0.25">
      <c r="A3889" t="s">
        <v>12064</v>
      </c>
      <c r="C3889" t="s">
        <v>11240</v>
      </c>
      <c r="D3889" t="s">
        <v>12065</v>
      </c>
      <c r="E3889" t="s">
        <v>1663</v>
      </c>
      <c r="F3889">
        <v>6</v>
      </c>
      <c r="G3889">
        <v>6.1</v>
      </c>
      <c r="H3889" t="s">
        <v>2017</v>
      </c>
      <c r="I3889" s="21">
        <v>41743</v>
      </c>
      <c r="J3889">
        <v>2014</v>
      </c>
      <c r="K3889" s="21">
        <v>41768</v>
      </c>
      <c r="L3889">
        <v>2014</v>
      </c>
      <c r="M3889" s="21">
        <v>42263</v>
      </c>
      <c r="N3889">
        <v>2015</v>
      </c>
      <c r="Q3889" s="262">
        <v>1200000</v>
      </c>
      <c r="S3889" t="s">
        <v>114</v>
      </c>
      <c r="T3889" t="s">
        <v>114</v>
      </c>
      <c r="V3889">
        <v>0</v>
      </c>
      <c r="W3889">
        <v>3915</v>
      </c>
      <c r="X3889">
        <v>1</v>
      </c>
      <c r="Y3889">
        <v>0</v>
      </c>
      <c r="Z3889">
        <v>0</v>
      </c>
      <c r="AA3889">
        <v>0</v>
      </c>
      <c r="AB3889">
        <v>0</v>
      </c>
      <c r="AC3889">
        <v>3915</v>
      </c>
      <c r="AD3889">
        <v>0</v>
      </c>
      <c r="AE3889">
        <v>0</v>
      </c>
      <c r="AF3889">
        <v>0</v>
      </c>
      <c r="AG3889">
        <v>0</v>
      </c>
      <c r="AH3889">
        <v>0</v>
      </c>
      <c r="AI3889">
        <v>0</v>
      </c>
      <c r="AJ3889">
        <v>0</v>
      </c>
      <c r="AK3889">
        <v>0</v>
      </c>
      <c r="AL3889">
        <v>0</v>
      </c>
      <c r="AM3889">
        <v>0</v>
      </c>
      <c r="AN3889">
        <v>0</v>
      </c>
      <c r="AO3889">
        <v>1</v>
      </c>
      <c r="AP3889">
        <v>0</v>
      </c>
      <c r="AQ3889">
        <v>0</v>
      </c>
      <c r="AR3889">
        <v>0</v>
      </c>
      <c r="AS3889">
        <v>0</v>
      </c>
      <c r="AT3889">
        <v>0</v>
      </c>
      <c r="AU3889">
        <f t="shared" si="120"/>
        <v>1</v>
      </c>
      <c r="AV3889">
        <f t="shared" si="121"/>
        <v>0</v>
      </c>
    </row>
    <row r="3890" spans="1:48" x14ac:dyDescent="0.25">
      <c r="A3890" t="s">
        <v>12061</v>
      </c>
      <c r="C3890" t="s">
        <v>12062</v>
      </c>
      <c r="D3890" t="s">
        <v>12063</v>
      </c>
      <c r="E3890" t="s">
        <v>1663</v>
      </c>
      <c r="F3890">
        <v>3</v>
      </c>
      <c r="G3890">
        <v>3.1</v>
      </c>
      <c r="H3890" t="s">
        <v>2017</v>
      </c>
      <c r="I3890" s="21">
        <v>41743</v>
      </c>
      <c r="J3890">
        <v>2014</v>
      </c>
      <c r="K3890" s="21">
        <v>41766</v>
      </c>
      <c r="L3890">
        <v>2014</v>
      </c>
      <c r="P3890" s="21">
        <v>42092</v>
      </c>
      <c r="Q3890" s="262">
        <v>100000</v>
      </c>
      <c r="S3890" t="s">
        <v>114</v>
      </c>
      <c r="T3890" t="s">
        <v>114</v>
      </c>
      <c r="V3890">
        <v>0</v>
      </c>
      <c r="W3890">
        <v>1515</v>
      </c>
      <c r="X3890">
        <v>1</v>
      </c>
      <c r="Y3890">
        <v>0</v>
      </c>
      <c r="Z3890">
        <v>0</v>
      </c>
      <c r="AA3890">
        <v>0</v>
      </c>
      <c r="AB3890">
        <v>0</v>
      </c>
      <c r="AC3890">
        <v>0</v>
      </c>
      <c r="AD3890">
        <v>0</v>
      </c>
      <c r="AE3890">
        <v>0</v>
      </c>
      <c r="AF3890">
        <v>1515</v>
      </c>
      <c r="AG3890">
        <v>0</v>
      </c>
      <c r="AH3890">
        <v>0</v>
      </c>
      <c r="AI3890">
        <v>0</v>
      </c>
      <c r="AJ3890">
        <v>0</v>
      </c>
      <c r="AK3890">
        <v>0</v>
      </c>
      <c r="AL3890">
        <v>0</v>
      </c>
      <c r="AM3890">
        <v>0</v>
      </c>
      <c r="AN3890">
        <v>0</v>
      </c>
      <c r="AO3890">
        <v>0</v>
      </c>
      <c r="AP3890">
        <v>1</v>
      </c>
      <c r="AQ3890">
        <v>0</v>
      </c>
      <c r="AR3890">
        <v>0</v>
      </c>
      <c r="AS3890">
        <v>0</v>
      </c>
      <c r="AT3890">
        <v>0</v>
      </c>
      <c r="AU3890">
        <f t="shared" si="120"/>
        <v>1</v>
      </c>
      <c r="AV3890">
        <f t="shared" si="121"/>
        <v>0</v>
      </c>
    </row>
    <row r="3891" spans="1:48" x14ac:dyDescent="0.25">
      <c r="A3891" t="s">
        <v>12066</v>
      </c>
      <c r="C3891" t="s">
        <v>12067</v>
      </c>
      <c r="D3891" t="s">
        <v>12068</v>
      </c>
      <c r="E3891" t="s">
        <v>1663</v>
      </c>
      <c r="F3891">
        <v>3</v>
      </c>
      <c r="G3891">
        <v>3.1</v>
      </c>
      <c r="H3891" t="s">
        <v>2017</v>
      </c>
      <c r="I3891" s="21">
        <v>41745</v>
      </c>
      <c r="J3891">
        <v>2014</v>
      </c>
      <c r="K3891" s="21">
        <v>41751</v>
      </c>
      <c r="L3891">
        <v>2014</v>
      </c>
      <c r="P3891" s="21">
        <v>41993</v>
      </c>
      <c r="Q3891" s="262">
        <v>60000</v>
      </c>
      <c r="S3891" t="s">
        <v>114</v>
      </c>
      <c r="T3891" t="s">
        <v>114</v>
      </c>
      <c r="V3891">
        <v>0</v>
      </c>
      <c r="W3891">
        <v>0</v>
      </c>
      <c r="X3891">
        <v>0</v>
      </c>
      <c r="Y3891">
        <v>0</v>
      </c>
      <c r="Z3891">
        <v>0</v>
      </c>
      <c r="AA3891">
        <v>0</v>
      </c>
      <c r="AB3891">
        <v>0</v>
      </c>
      <c r="AC3891">
        <v>0</v>
      </c>
      <c r="AD3891">
        <v>0</v>
      </c>
      <c r="AE3891">
        <v>0</v>
      </c>
      <c r="AF3891">
        <v>0</v>
      </c>
      <c r="AG3891">
        <v>0</v>
      </c>
      <c r="AH3891">
        <v>0</v>
      </c>
      <c r="AI3891">
        <v>0</v>
      </c>
      <c r="AJ3891">
        <v>0</v>
      </c>
      <c r="AK3891">
        <v>0</v>
      </c>
      <c r="AL3891">
        <v>0</v>
      </c>
      <c r="AM3891">
        <v>0</v>
      </c>
      <c r="AN3891">
        <v>0</v>
      </c>
      <c r="AO3891">
        <v>0</v>
      </c>
      <c r="AP3891">
        <v>0</v>
      </c>
      <c r="AQ3891">
        <v>0</v>
      </c>
      <c r="AR3891">
        <v>0</v>
      </c>
      <c r="AS3891">
        <v>0</v>
      </c>
      <c r="AT3891">
        <v>0</v>
      </c>
      <c r="AU3891">
        <f t="shared" si="120"/>
        <v>0</v>
      </c>
      <c r="AV3891">
        <f t="shared" si="121"/>
        <v>0</v>
      </c>
    </row>
    <row r="3892" spans="1:48" x14ac:dyDescent="0.25">
      <c r="A3892" t="s">
        <v>12069</v>
      </c>
      <c r="B3892" t="s">
        <v>12069</v>
      </c>
      <c r="C3892" t="s">
        <v>7880</v>
      </c>
      <c r="D3892" t="s">
        <v>12070</v>
      </c>
      <c r="E3892" t="s">
        <v>2310</v>
      </c>
      <c r="F3892">
        <v>9</v>
      </c>
      <c r="G3892">
        <v>9.1</v>
      </c>
      <c r="H3892" t="s">
        <v>2323</v>
      </c>
      <c r="I3892" s="21">
        <v>41745.410729166702</v>
      </c>
      <c r="J3892">
        <v>2014</v>
      </c>
      <c r="K3892" s="21">
        <v>41768.475902777798</v>
      </c>
      <c r="L3892">
        <v>2014</v>
      </c>
      <c r="M3892" s="21">
        <v>42375.638541666704</v>
      </c>
      <c r="N3892">
        <v>2016</v>
      </c>
      <c r="Q3892" s="262">
        <v>50000</v>
      </c>
      <c r="R3892" s="262">
        <v>42000</v>
      </c>
      <c r="S3892" t="s">
        <v>114</v>
      </c>
      <c r="T3892" t="s">
        <v>114</v>
      </c>
      <c r="V3892">
        <v>0</v>
      </c>
      <c r="W3892">
        <v>981</v>
      </c>
      <c r="X3892">
        <v>0</v>
      </c>
      <c r="Y3892">
        <v>0</v>
      </c>
      <c r="Z3892">
        <v>0</v>
      </c>
      <c r="AA3892">
        <v>0</v>
      </c>
      <c r="AB3892">
        <v>0</v>
      </c>
      <c r="AC3892">
        <v>981</v>
      </c>
      <c r="AD3892">
        <v>0</v>
      </c>
      <c r="AE3892">
        <v>0</v>
      </c>
      <c r="AF3892">
        <v>0</v>
      </c>
      <c r="AG3892">
        <v>0</v>
      </c>
      <c r="AH3892">
        <v>0</v>
      </c>
      <c r="AI3892">
        <v>0</v>
      </c>
      <c r="AJ3892">
        <v>0</v>
      </c>
      <c r="AK3892">
        <v>0</v>
      </c>
      <c r="AL3892">
        <v>0</v>
      </c>
      <c r="AM3892">
        <v>0</v>
      </c>
      <c r="AN3892">
        <v>0</v>
      </c>
      <c r="AO3892">
        <v>0</v>
      </c>
      <c r="AP3892">
        <v>0</v>
      </c>
      <c r="AQ3892">
        <v>0</v>
      </c>
      <c r="AR3892">
        <v>0</v>
      </c>
      <c r="AS3892">
        <v>0</v>
      </c>
      <c r="AT3892">
        <v>0</v>
      </c>
      <c r="AU3892">
        <f t="shared" si="120"/>
        <v>0</v>
      </c>
      <c r="AV3892">
        <f t="shared" si="121"/>
        <v>0</v>
      </c>
    </row>
    <row r="3893" spans="1:48" x14ac:dyDescent="0.25">
      <c r="A3893" t="s">
        <v>12071</v>
      </c>
      <c r="B3893" t="s">
        <v>12071</v>
      </c>
      <c r="C3893" t="s">
        <v>12072</v>
      </c>
      <c r="D3893" t="s">
        <v>5921</v>
      </c>
      <c r="E3893" t="s">
        <v>2310</v>
      </c>
      <c r="F3893">
        <v>9</v>
      </c>
      <c r="G3893">
        <v>9.4</v>
      </c>
      <c r="H3893" t="s">
        <v>2323</v>
      </c>
      <c r="I3893" s="21">
        <v>41745.508333333302</v>
      </c>
      <c r="J3893">
        <v>2014</v>
      </c>
      <c r="K3893" s="21">
        <v>41815.4832060185</v>
      </c>
      <c r="L3893">
        <v>2014</v>
      </c>
      <c r="M3893" s="21">
        <v>42221.4120833333</v>
      </c>
      <c r="N3893">
        <v>2015</v>
      </c>
      <c r="Q3893" s="262">
        <v>50000</v>
      </c>
      <c r="R3893" s="262">
        <v>17000</v>
      </c>
      <c r="S3893" t="s">
        <v>114</v>
      </c>
      <c r="T3893" t="s">
        <v>114</v>
      </c>
      <c r="V3893">
        <v>0</v>
      </c>
      <c r="W3893">
        <v>390</v>
      </c>
      <c r="X3893">
        <v>0</v>
      </c>
      <c r="Y3893">
        <v>0</v>
      </c>
      <c r="Z3893">
        <v>0</v>
      </c>
      <c r="AA3893">
        <v>0</v>
      </c>
      <c r="AB3893">
        <v>0</v>
      </c>
      <c r="AC3893">
        <v>0</v>
      </c>
      <c r="AD3893">
        <v>0</v>
      </c>
      <c r="AE3893">
        <v>0</v>
      </c>
      <c r="AF3893">
        <v>0</v>
      </c>
      <c r="AG3893">
        <v>0</v>
      </c>
      <c r="AH3893">
        <v>0</v>
      </c>
      <c r="AI3893">
        <v>0</v>
      </c>
      <c r="AJ3893">
        <v>0</v>
      </c>
      <c r="AK3893">
        <v>0</v>
      </c>
      <c r="AL3893">
        <v>0</v>
      </c>
      <c r="AM3893">
        <v>390</v>
      </c>
      <c r="AN3893">
        <v>0</v>
      </c>
      <c r="AO3893">
        <v>0</v>
      </c>
      <c r="AP3893">
        <v>0</v>
      </c>
      <c r="AQ3893">
        <v>0</v>
      </c>
      <c r="AR3893">
        <v>0</v>
      </c>
      <c r="AS3893">
        <v>0</v>
      </c>
      <c r="AT3893">
        <v>0</v>
      </c>
      <c r="AU3893">
        <f t="shared" si="120"/>
        <v>0</v>
      </c>
      <c r="AV3893">
        <f t="shared" si="121"/>
        <v>390</v>
      </c>
    </row>
    <row r="3894" spans="1:48" x14ac:dyDescent="0.25">
      <c r="A3894" t="s">
        <v>12073</v>
      </c>
      <c r="B3894" t="s">
        <v>12073</v>
      </c>
      <c r="C3894" t="s">
        <v>12074</v>
      </c>
      <c r="D3894" t="s">
        <v>4886</v>
      </c>
      <c r="E3894" t="s">
        <v>2310</v>
      </c>
      <c r="F3894">
        <v>9</v>
      </c>
      <c r="G3894">
        <v>9.1</v>
      </c>
      <c r="H3894" t="s">
        <v>2323</v>
      </c>
      <c r="I3894" s="21">
        <v>41745.555266203701</v>
      </c>
      <c r="J3894">
        <v>2014</v>
      </c>
      <c r="K3894" s="21">
        <v>41863.351122685199</v>
      </c>
      <c r="L3894">
        <v>2014</v>
      </c>
      <c r="M3894" s="21">
        <v>41983.625636574099</v>
      </c>
      <c r="N3894">
        <v>2014</v>
      </c>
      <c r="Q3894" s="262">
        <v>50000</v>
      </c>
      <c r="R3894" s="262">
        <v>7000</v>
      </c>
      <c r="S3894" t="s">
        <v>114</v>
      </c>
      <c r="T3894" t="s">
        <v>114</v>
      </c>
      <c r="V3894">
        <v>0</v>
      </c>
      <c r="W3894">
        <v>145</v>
      </c>
      <c r="X3894">
        <v>0</v>
      </c>
      <c r="Y3894">
        <v>0</v>
      </c>
      <c r="Z3894">
        <v>0</v>
      </c>
      <c r="AA3894">
        <v>0</v>
      </c>
      <c r="AB3894">
        <v>0</v>
      </c>
      <c r="AC3894">
        <v>0</v>
      </c>
      <c r="AD3894">
        <v>0</v>
      </c>
      <c r="AE3894">
        <v>0</v>
      </c>
      <c r="AF3894">
        <v>0</v>
      </c>
      <c r="AG3894">
        <v>0</v>
      </c>
      <c r="AH3894">
        <v>0</v>
      </c>
      <c r="AI3894">
        <v>0</v>
      </c>
      <c r="AJ3894">
        <v>0</v>
      </c>
      <c r="AK3894">
        <v>0</v>
      </c>
      <c r="AL3894">
        <v>0</v>
      </c>
      <c r="AM3894">
        <v>145</v>
      </c>
      <c r="AN3894">
        <v>0</v>
      </c>
      <c r="AO3894">
        <v>0</v>
      </c>
      <c r="AP3894">
        <v>0</v>
      </c>
      <c r="AQ3894">
        <v>0</v>
      </c>
      <c r="AR3894">
        <v>0</v>
      </c>
      <c r="AS3894">
        <v>0</v>
      </c>
      <c r="AT3894">
        <v>0</v>
      </c>
      <c r="AU3894">
        <f t="shared" si="120"/>
        <v>0</v>
      </c>
      <c r="AV3894">
        <f t="shared" si="121"/>
        <v>145</v>
      </c>
    </row>
    <row r="3895" spans="1:48" x14ac:dyDescent="0.25">
      <c r="A3895" t="s">
        <v>12080</v>
      </c>
      <c r="C3895" t="s">
        <v>11879</v>
      </c>
      <c r="D3895" t="s">
        <v>12081</v>
      </c>
      <c r="E3895" t="s">
        <v>1663</v>
      </c>
      <c r="F3895">
        <v>4</v>
      </c>
      <c r="G3895">
        <v>4.2</v>
      </c>
      <c r="H3895" t="s">
        <v>2327</v>
      </c>
      <c r="I3895" s="21">
        <v>41746</v>
      </c>
      <c r="J3895">
        <v>2014</v>
      </c>
      <c r="K3895" s="21">
        <v>41831</v>
      </c>
      <c r="L3895">
        <v>2014</v>
      </c>
      <c r="M3895" s="21">
        <v>42431</v>
      </c>
      <c r="N3895">
        <v>2016</v>
      </c>
      <c r="Q3895" s="262">
        <v>75000</v>
      </c>
      <c r="S3895" t="s">
        <v>114</v>
      </c>
      <c r="T3895" t="s">
        <v>114</v>
      </c>
      <c r="V3895">
        <v>0</v>
      </c>
      <c r="W3895">
        <v>0</v>
      </c>
      <c r="X3895">
        <v>0</v>
      </c>
      <c r="Y3895">
        <v>0</v>
      </c>
      <c r="Z3895">
        <v>0</v>
      </c>
      <c r="AA3895">
        <v>0</v>
      </c>
      <c r="AB3895">
        <v>0</v>
      </c>
      <c r="AC3895">
        <v>0</v>
      </c>
      <c r="AD3895">
        <v>0</v>
      </c>
      <c r="AE3895">
        <v>0</v>
      </c>
      <c r="AF3895">
        <v>0</v>
      </c>
      <c r="AG3895">
        <v>0</v>
      </c>
      <c r="AH3895">
        <v>0</v>
      </c>
      <c r="AI3895">
        <v>0</v>
      </c>
      <c r="AJ3895">
        <v>0</v>
      </c>
      <c r="AK3895">
        <v>0</v>
      </c>
      <c r="AL3895">
        <v>0</v>
      </c>
      <c r="AM3895">
        <v>0</v>
      </c>
      <c r="AN3895">
        <v>0</v>
      </c>
      <c r="AO3895">
        <v>0</v>
      </c>
      <c r="AP3895">
        <v>0</v>
      </c>
      <c r="AQ3895">
        <v>0</v>
      </c>
      <c r="AR3895">
        <v>0</v>
      </c>
      <c r="AS3895">
        <v>0</v>
      </c>
      <c r="AT3895">
        <v>0</v>
      </c>
      <c r="AU3895">
        <f t="shared" si="120"/>
        <v>0</v>
      </c>
      <c r="AV3895">
        <f t="shared" si="121"/>
        <v>0</v>
      </c>
    </row>
    <row r="3896" spans="1:48" x14ac:dyDescent="0.25">
      <c r="A3896" t="s">
        <v>12078</v>
      </c>
      <c r="C3896" t="s">
        <v>12079</v>
      </c>
      <c r="D3896" t="s">
        <v>6255</v>
      </c>
      <c r="E3896" t="s">
        <v>1663</v>
      </c>
      <c r="F3896">
        <v>3</v>
      </c>
      <c r="G3896">
        <v>3.3</v>
      </c>
      <c r="H3896" t="s">
        <v>2017</v>
      </c>
      <c r="I3896" s="21">
        <v>41746</v>
      </c>
      <c r="J3896">
        <v>2014</v>
      </c>
      <c r="K3896" s="21">
        <v>41857</v>
      </c>
      <c r="L3896">
        <v>2014</v>
      </c>
      <c r="M3896" s="21">
        <v>42670</v>
      </c>
      <c r="N3896">
        <v>2016</v>
      </c>
      <c r="Q3896" s="262">
        <v>50000</v>
      </c>
      <c r="S3896" t="s">
        <v>114</v>
      </c>
      <c r="T3896" t="s">
        <v>114</v>
      </c>
      <c r="V3896">
        <v>0</v>
      </c>
      <c r="W3896">
        <v>0</v>
      </c>
      <c r="X3896">
        <v>0</v>
      </c>
      <c r="Y3896">
        <v>0</v>
      </c>
      <c r="Z3896">
        <v>0</v>
      </c>
      <c r="AA3896">
        <v>0</v>
      </c>
      <c r="AB3896">
        <v>0</v>
      </c>
      <c r="AC3896">
        <v>0</v>
      </c>
      <c r="AD3896">
        <v>0</v>
      </c>
      <c r="AE3896">
        <v>0</v>
      </c>
      <c r="AF3896">
        <v>0</v>
      </c>
      <c r="AG3896">
        <v>0</v>
      </c>
      <c r="AH3896">
        <v>0</v>
      </c>
      <c r="AI3896">
        <v>0</v>
      </c>
      <c r="AJ3896">
        <v>0</v>
      </c>
      <c r="AK3896">
        <v>0</v>
      </c>
      <c r="AL3896">
        <v>0</v>
      </c>
      <c r="AM3896">
        <v>0</v>
      </c>
      <c r="AN3896">
        <v>0</v>
      </c>
      <c r="AO3896">
        <v>0</v>
      </c>
      <c r="AP3896">
        <v>0</v>
      </c>
      <c r="AQ3896">
        <v>0</v>
      </c>
      <c r="AR3896">
        <v>0</v>
      </c>
      <c r="AS3896">
        <v>0</v>
      </c>
      <c r="AT3896">
        <v>0</v>
      </c>
      <c r="AU3896">
        <f t="shared" si="120"/>
        <v>0</v>
      </c>
      <c r="AV3896">
        <f t="shared" si="121"/>
        <v>0</v>
      </c>
    </row>
    <row r="3897" spans="1:48" x14ac:dyDescent="0.25">
      <c r="A3897" t="s">
        <v>12075</v>
      </c>
      <c r="C3897" t="s">
        <v>12076</v>
      </c>
      <c r="D3897" t="s">
        <v>12077</v>
      </c>
      <c r="E3897" t="s">
        <v>1663</v>
      </c>
      <c r="F3897">
        <v>3</v>
      </c>
      <c r="G3897">
        <v>3.1</v>
      </c>
      <c r="H3897" t="s">
        <v>2017</v>
      </c>
      <c r="I3897" s="21">
        <v>41746</v>
      </c>
      <c r="J3897">
        <v>2014</v>
      </c>
      <c r="K3897" s="21">
        <v>41746</v>
      </c>
      <c r="L3897">
        <v>2014</v>
      </c>
      <c r="P3897" s="21">
        <v>41926</v>
      </c>
      <c r="Q3897" s="262">
        <v>0</v>
      </c>
      <c r="S3897" t="s">
        <v>114</v>
      </c>
      <c r="T3897" t="s">
        <v>114</v>
      </c>
      <c r="V3897">
        <v>500</v>
      </c>
      <c r="W3897">
        <v>852</v>
      </c>
      <c r="X3897">
        <v>0</v>
      </c>
      <c r="Y3897">
        <v>0</v>
      </c>
      <c r="Z3897">
        <v>0</v>
      </c>
      <c r="AA3897">
        <v>0</v>
      </c>
      <c r="AB3897">
        <v>0</v>
      </c>
      <c r="AC3897">
        <v>0</v>
      </c>
      <c r="AD3897">
        <v>0</v>
      </c>
      <c r="AE3897">
        <v>0</v>
      </c>
      <c r="AF3897">
        <v>0</v>
      </c>
      <c r="AG3897">
        <v>852</v>
      </c>
      <c r="AH3897">
        <v>0</v>
      </c>
      <c r="AI3897">
        <v>0</v>
      </c>
      <c r="AJ3897">
        <v>0</v>
      </c>
      <c r="AK3897">
        <v>0</v>
      </c>
      <c r="AL3897">
        <v>0</v>
      </c>
      <c r="AM3897">
        <v>0</v>
      </c>
      <c r="AN3897">
        <v>0</v>
      </c>
      <c r="AO3897">
        <v>0</v>
      </c>
      <c r="AP3897">
        <v>0</v>
      </c>
      <c r="AQ3897">
        <v>0</v>
      </c>
      <c r="AR3897">
        <v>0</v>
      </c>
      <c r="AS3897">
        <v>0</v>
      </c>
      <c r="AT3897">
        <v>0</v>
      </c>
      <c r="AU3897">
        <f t="shared" si="120"/>
        <v>0</v>
      </c>
      <c r="AV3897">
        <f t="shared" si="121"/>
        <v>0</v>
      </c>
    </row>
    <row r="3898" spans="1:48" x14ac:dyDescent="0.25">
      <c r="A3898" t="s">
        <v>12082</v>
      </c>
      <c r="B3898" t="s">
        <v>12082</v>
      </c>
      <c r="C3898" t="s">
        <v>12083</v>
      </c>
      <c r="D3898" t="s">
        <v>12084</v>
      </c>
      <c r="E3898" t="s">
        <v>2310</v>
      </c>
      <c r="F3898">
        <v>9</v>
      </c>
      <c r="G3898">
        <v>9.1</v>
      </c>
      <c r="H3898" t="s">
        <v>2323</v>
      </c>
      <c r="I3898" s="21">
        <v>41752.508101851898</v>
      </c>
      <c r="J3898">
        <v>2014</v>
      </c>
      <c r="K3898" s="21">
        <v>41913.614178240699</v>
      </c>
      <c r="L3898">
        <v>2014</v>
      </c>
      <c r="M3898" s="21">
        <v>42558.576157407399</v>
      </c>
      <c r="N3898">
        <v>2016</v>
      </c>
      <c r="Q3898" s="262">
        <v>750000</v>
      </c>
      <c r="R3898" s="262">
        <v>625000</v>
      </c>
      <c r="S3898" t="s">
        <v>114</v>
      </c>
      <c r="T3898" t="s">
        <v>114</v>
      </c>
      <c r="V3898">
        <v>0</v>
      </c>
      <c r="W3898">
        <v>4995</v>
      </c>
      <c r="X3898">
        <v>1</v>
      </c>
      <c r="Y3898">
        <v>0</v>
      </c>
      <c r="Z3898">
        <v>0</v>
      </c>
      <c r="AA3898">
        <v>0</v>
      </c>
      <c r="AB3898">
        <v>0</v>
      </c>
      <c r="AC3898">
        <v>4995</v>
      </c>
      <c r="AD3898">
        <v>0</v>
      </c>
      <c r="AE3898">
        <v>0</v>
      </c>
      <c r="AF3898">
        <v>0</v>
      </c>
      <c r="AG3898">
        <v>0</v>
      </c>
      <c r="AH3898">
        <v>0</v>
      </c>
      <c r="AI3898">
        <v>0</v>
      </c>
      <c r="AJ3898">
        <v>0</v>
      </c>
      <c r="AK3898">
        <v>0</v>
      </c>
      <c r="AL3898">
        <v>0</v>
      </c>
      <c r="AM3898">
        <v>0</v>
      </c>
      <c r="AN3898">
        <v>0</v>
      </c>
      <c r="AO3898">
        <v>1</v>
      </c>
      <c r="AP3898">
        <v>0</v>
      </c>
      <c r="AQ3898">
        <v>0</v>
      </c>
      <c r="AR3898">
        <v>0</v>
      </c>
      <c r="AS3898">
        <v>0</v>
      </c>
      <c r="AT3898">
        <v>0</v>
      </c>
      <c r="AU3898">
        <f t="shared" si="120"/>
        <v>1</v>
      </c>
      <c r="AV3898">
        <f t="shared" si="121"/>
        <v>0</v>
      </c>
    </row>
    <row r="3899" spans="1:48" x14ac:dyDescent="0.25">
      <c r="A3899" t="s">
        <v>12082</v>
      </c>
      <c r="B3899" t="s">
        <v>12085</v>
      </c>
      <c r="C3899" t="s">
        <v>12083</v>
      </c>
      <c r="D3899" t="s">
        <v>12084</v>
      </c>
      <c r="E3899" t="s">
        <v>2310</v>
      </c>
      <c r="F3899">
        <v>9</v>
      </c>
      <c r="G3899">
        <v>9.1</v>
      </c>
      <c r="H3899" t="s">
        <v>2323</v>
      </c>
      <c r="I3899" s="21">
        <v>41752.508101851898</v>
      </c>
      <c r="J3899">
        <v>2014</v>
      </c>
      <c r="K3899" s="21">
        <v>41913.614178240699</v>
      </c>
      <c r="L3899">
        <v>2014</v>
      </c>
      <c r="M3899" s="21">
        <v>42558.576157407399</v>
      </c>
      <c r="N3899">
        <v>2016</v>
      </c>
      <c r="Q3899" s="262">
        <v>750000</v>
      </c>
      <c r="R3899" s="262">
        <v>625000</v>
      </c>
      <c r="S3899" t="s">
        <v>114</v>
      </c>
      <c r="T3899" t="s">
        <v>114</v>
      </c>
      <c r="V3899">
        <v>0</v>
      </c>
      <c r="W3899">
        <v>-685</v>
      </c>
      <c r="X3899">
        <v>0</v>
      </c>
      <c r="Y3899">
        <v>0</v>
      </c>
      <c r="Z3899">
        <v>0</v>
      </c>
      <c r="AA3899">
        <v>0</v>
      </c>
      <c r="AB3899">
        <v>0</v>
      </c>
      <c r="AC3899">
        <v>-320</v>
      </c>
      <c r="AD3899">
        <v>0</v>
      </c>
      <c r="AE3899">
        <v>0</v>
      </c>
      <c r="AF3899">
        <v>-365</v>
      </c>
      <c r="AG3899">
        <v>0</v>
      </c>
      <c r="AH3899">
        <v>0</v>
      </c>
      <c r="AI3899">
        <v>0</v>
      </c>
      <c r="AJ3899">
        <v>0</v>
      </c>
      <c r="AK3899">
        <v>0</v>
      </c>
      <c r="AL3899">
        <v>0</v>
      </c>
      <c r="AM3899">
        <v>0</v>
      </c>
      <c r="AN3899">
        <v>0</v>
      </c>
      <c r="AO3899">
        <v>0</v>
      </c>
      <c r="AP3899">
        <v>0</v>
      </c>
      <c r="AQ3899">
        <v>0</v>
      </c>
      <c r="AR3899">
        <v>0</v>
      </c>
      <c r="AS3899">
        <v>0</v>
      </c>
      <c r="AT3899">
        <v>0</v>
      </c>
      <c r="AU3899">
        <f t="shared" si="120"/>
        <v>0</v>
      </c>
      <c r="AV3899">
        <f t="shared" si="121"/>
        <v>0</v>
      </c>
    </row>
    <row r="3900" spans="1:48" x14ac:dyDescent="0.25">
      <c r="A3900" t="s">
        <v>12086</v>
      </c>
      <c r="B3900" t="s">
        <v>12086</v>
      </c>
      <c r="C3900" t="s">
        <v>12087</v>
      </c>
      <c r="D3900" t="s">
        <v>12084</v>
      </c>
      <c r="E3900" t="s">
        <v>2310</v>
      </c>
      <c r="F3900">
        <v>9</v>
      </c>
      <c r="G3900">
        <v>9.1</v>
      </c>
      <c r="H3900" t="s">
        <v>2323</v>
      </c>
      <c r="I3900" s="21">
        <v>41752.604780092603</v>
      </c>
      <c r="J3900">
        <v>2014</v>
      </c>
      <c r="K3900" s="21">
        <v>41913.584571759297</v>
      </c>
      <c r="L3900">
        <v>2014</v>
      </c>
      <c r="M3900" s="21">
        <v>42558.698645833298</v>
      </c>
      <c r="N3900">
        <v>2016</v>
      </c>
      <c r="Q3900" s="262">
        <v>250000</v>
      </c>
      <c r="R3900" s="262">
        <v>98000</v>
      </c>
      <c r="S3900" t="s">
        <v>114</v>
      </c>
      <c r="T3900" t="s">
        <v>114</v>
      </c>
      <c r="V3900">
        <v>0</v>
      </c>
      <c r="W3900">
        <v>1175</v>
      </c>
      <c r="X3900">
        <v>1</v>
      </c>
      <c r="Y3900">
        <v>0</v>
      </c>
      <c r="Z3900">
        <v>0</v>
      </c>
      <c r="AA3900">
        <v>0</v>
      </c>
      <c r="AB3900">
        <v>0</v>
      </c>
      <c r="AC3900">
        <v>480</v>
      </c>
      <c r="AD3900">
        <v>0</v>
      </c>
      <c r="AE3900">
        <v>0</v>
      </c>
      <c r="AF3900">
        <v>695</v>
      </c>
      <c r="AG3900">
        <v>0</v>
      </c>
      <c r="AH3900">
        <v>0</v>
      </c>
      <c r="AI3900">
        <v>0</v>
      </c>
      <c r="AJ3900">
        <v>0</v>
      </c>
      <c r="AK3900">
        <v>0</v>
      </c>
      <c r="AL3900">
        <v>0</v>
      </c>
      <c r="AM3900">
        <v>0</v>
      </c>
      <c r="AN3900">
        <v>0</v>
      </c>
      <c r="AO3900">
        <v>0</v>
      </c>
      <c r="AP3900">
        <v>0</v>
      </c>
      <c r="AQ3900">
        <v>0</v>
      </c>
      <c r="AR3900">
        <v>1</v>
      </c>
      <c r="AS3900">
        <v>0</v>
      </c>
      <c r="AT3900">
        <v>0</v>
      </c>
      <c r="AU3900">
        <f t="shared" si="120"/>
        <v>0</v>
      </c>
      <c r="AV3900">
        <f t="shared" si="121"/>
        <v>0</v>
      </c>
    </row>
    <row r="3901" spans="1:48" x14ac:dyDescent="0.25">
      <c r="A3901" t="s">
        <v>12086</v>
      </c>
      <c r="B3901" t="s">
        <v>12088</v>
      </c>
      <c r="C3901" t="s">
        <v>12087</v>
      </c>
      <c r="D3901" t="s">
        <v>12084</v>
      </c>
      <c r="E3901" t="s">
        <v>2310</v>
      </c>
      <c r="F3901">
        <v>9</v>
      </c>
      <c r="G3901">
        <v>9.1</v>
      </c>
      <c r="H3901" t="s">
        <v>2323</v>
      </c>
      <c r="I3901" s="21">
        <v>41752.604780092603</v>
      </c>
      <c r="J3901">
        <v>2014</v>
      </c>
      <c r="K3901" s="21">
        <v>41913.584571759297</v>
      </c>
      <c r="L3901">
        <v>2014</v>
      </c>
      <c r="M3901" s="21">
        <v>42558.698645833298</v>
      </c>
      <c r="N3901">
        <v>2016</v>
      </c>
      <c r="Q3901" s="262">
        <v>250000</v>
      </c>
      <c r="R3901" s="262">
        <v>98000</v>
      </c>
      <c r="S3901" t="s">
        <v>114</v>
      </c>
      <c r="T3901" t="s">
        <v>114</v>
      </c>
      <c r="V3901">
        <v>0</v>
      </c>
      <c r="W3901">
        <v>0</v>
      </c>
      <c r="X3901">
        <v>0</v>
      </c>
      <c r="Y3901">
        <v>0</v>
      </c>
      <c r="Z3901">
        <v>0</v>
      </c>
      <c r="AA3901">
        <v>0</v>
      </c>
      <c r="AB3901">
        <v>0</v>
      </c>
      <c r="AC3901">
        <v>0</v>
      </c>
      <c r="AD3901">
        <v>0</v>
      </c>
      <c r="AE3901">
        <v>0</v>
      </c>
      <c r="AF3901">
        <v>0</v>
      </c>
      <c r="AG3901">
        <v>0</v>
      </c>
      <c r="AH3901">
        <v>0</v>
      </c>
      <c r="AI3901">
        <v>0</v>
      </c>
      <c r="AJ3901">
        <v>0</v>
      </c>
      <c r="AK3901">
        <v>0</v>
      </c>
      <c r="AL3901">
        <v>0</v>
      </c>
      <c r="AM3901">
        <v>0</v>
      </c>
      <c r="AN3901">
        <v>0</v>
      </c>
      <c r="AO3901">
        <v>0</v>
      </c>
      <c r="AP3901">
        <v>0</v>
      </c>
      <c r="AQ3901">
        <v>0</v>
      </c>
      <c r="AR3901">
        <v>0</v>
      </c>
      <c r="AS3901">
        <v>0</v>
      </c>
      <c r="AT3901">
        <v>0</v>
      </c>
      <c r="AU3901">
        <f t="shared" si="120"/>
        <v>0</v>
      </c>
      <c r="AV3901">
        <f t="shared" si="121"/>
        <v>0</v>
      </c>
    </row>
    <row r="3902" spans="1:48" x14ac:dyDescent="0.25">
      <c r="A3902" t="s">
        <v>12089</v>
      </c>
      <c r="C3902" t="s">
        <v>11246</v>
      </c>
      <c r="D3902" t="s">
        <v>12090</v>
      </c>
      <c r="E3902" t="s">
        <v>1663</v>
      </c>
      <c r="F3902">
        <v>6</v>
      </c>
      <c r="G3902">
        <v>6.1</v>
      </c>
      <c r="H3902" t="s">
        <v>2017</v>
      </c>
      <c r="I3902" s="21">
        <v>41753</v>
      </c>
      <c r="J3902">
        <v>2014</v>
      </c>
      <c r="K3902" s="21">
        <v>41780</v>
      </c>
      <c r="L3902">
        <v>2014</v>
      </c>
      <c r="M3902" s="21">
        <v>42199</v>
      </c>
      <c r="N3902">
        <v>2015</v>
      </c>
      <c r="Q3902" s="262">
        <v>1001000</v>
      </c>
      <c r="S3902" t="s">
        <v>114</v>
      </c>
      <c r="T3902" t="s">
        <v>114</v>
      </c>
      <c r="V3902">
        <v>0</v>
      </c>
      <c r="W3902">
        <v>4850</v>
      </c>
      <c r="X3902">
        <v>1</v>
      </c>
      <c r="Y3902">
        <v>0</v>
      </c>
      <c r="Z3902">
        <v>0</v>
      </c>
      <c r="AA3902">
        <v>0</v>
      </c>
      <c r="AB3902">
        <v>0</v>
      </c>
      <c r="AC3902">
        <v>4850</v>
      </c>
      <c r="AD3902">
        <v>0</v>
      </c>
      <c r="AE3902">
        <v>0</v>
      </c>
      <c r="AF3902">
        <v>0</v>
      </c>
      <c r="AG3902">
        <v>0</v>
      </c>
      <c r="AH3902">
        <v>0</v>
      </c>
      <c r="AI3902">
        <v>0</v>
      </c>
      <c r="AJ3902">
        <v>0</v>
      </c>
      <c r="AK3902">
        <v>0</v>
      </c>
      <c r="AL3902">
        <v>0</v>
      </c>
      <c r="AM3902">
        <v>0</v>
      </c>
      <c r="AN3902">
        <v>0</v>
      </c>
      <c r="AO3902">
        <v>1</v>
      </c>
      <c r="AP3902">
        <v>0</v>
      </c>
      <c r="AQ3902">
        <v>0</v>
      </c>
      <c r="AR3902">
        <v>0</v>
      </c>
      <c r="AS3902">
        <v>0</v>
      </c>
      <c r="AT3902">
        <v>0</v>
      </c>
      <c r="AU3902">
        <f t="shared" si="120"/>
        <v>1</v>
      </c>
      <c r="AV3902">
        <f t="shared" si="121"/>
        <v>0</v>
      </c>
    </row>
    <row r="3903" spans="1:48" x14ac:dyDescent="0.25">
      <c r="A3903" t="s">
        <v>12093</v>
      </c>
      <c r="C3903" t="s">
        <v>12094</v>
      </c>
      <c r="D3903" t="s">
        <v>12095</v>
      </c>
      <c r="E3903" t="s">
        <v>1663</v>
      </c>
      <c r="F3903">
        <v>5</v>
      </c>
      <c r="G3903">
        <v>5.2</v>
      </c>
      <c r="H3903" t="s">
        <v>2327</v>
      </c>
      <c r="I3903" s="21">
        <v>41754</v>
      </c>
      <c r="J3903">
        <v>2014</v>
      </c>
      <c r="K3903" s="21">
        <v>41767</v>
      </c>
      <c r="L3903">
        <v>2014</v>
      </c>
      <c r="M3903" s="21">
        <v>41794</v>
      </c>
      <c r="N3903">
        <v>2014</v>
      </c>
      <c r="Q3903" s="262">
        <v>10000</v>
      </c>
      <c r="S3903" t="s">
        <v>114</v>
      </c>
      <c r="T3903" t="s">
        <v>114</v>
      </c>
      <c r="V3903">
        <v>0</v>
      </c>
      <c r="W3903">
        <v>0</v>
      </c>
      <c r="X3903">
        <v>0</v>
      </c>
      <c r="Y3903">
        <v>0</v>
      </c>
      <c r="Z3903">
        <v>0</v>
      </c>
      <c r="AA3903">
        <v>0</v>
      </c>
      <c r="AB3903">
        <v>0</v>
      </c>
      <c r="AC3903">
        <v>0</v>
      </c>
      <c r="AD3903">
        <v>0</v>
      </c>
      <c r="AE3903">
        <v>0</v>
      </c>
      <c r="AF3903">
        <v>0</v>
      </c>
      <c r="AG3903">
        <v>0</v>
      </c>
      <c r="AH3903">
        <v>0</v>
      </c>
      <c r="AI3903">
        <v>0</v>
      </c>
      <c r="AJ3903">
        <v>0</v>
      </c>
      <c r="AK3903">
        <v>0</v>
      </c>
      <c r="AL3903">
        <v>0</v>
      </c>
      <c r="AM3903">
        <v>0</v>
      </c>
      <c r="AN3903">
        <v>0</v>
      </c>
      <c r="AO3903">
        <v>0</v>
      </c>
      <c r="AP3903">
        <v>0</v>
      </c>
      <c r="AQ3903">
        <v>0</v>
      </c>
      <c r="AR3903">
        <v>0</v>
      </c>
      <c r="AS3903">
        <v>0</v>
      </c>
      <c r="AT3903">
        <v>0</v>
      </c>
      <c r="AU3903">
        <f t="shared" si="120"/>
        <v>0</v>
      </c>
      <c r="AV3903">
        <f t="shared" si="121"/>
        <v>0</v>
      </c>
    </row>
    <row r="3904" spans="1:48" x14ac:dyDescent="0.25">
      <c r="A3904" t="s">
        <v>12091</v>
      </c>
      <c r="C3904" t="s">
        <v>11879</v>
      </c>
      <c r="D3904" t="s">
        <v>12092</v>
      </c>
      <c r="E3904" t="s">
        <v>1663</v>
      </c>
      <c r="F3904">
        <v>5</v>
      </c>
      <c r="G3904">
        <v>5.0999999999999996</v>
      </c>
      <c r="H3904" t="s">
        <v>2327</v>
      </c>
      <c r="I3904" s="21">
        <v>41754</v>
      </c>
      <c r="J3904">
        <v>2014</v>
      </c>
      <c r="K3904" s="21">
        <v>41782</v>
      </c>
      <c r="L3904">
        <v>2014</v>
      </c>
      <c r="M3904" s="21">
        <v>41806</v>
      </c>
      <c r="N3904">
        <v>2014</v>
      </c>
      <c r="Q3904" s="262">
        <v>30000</v>
      </c>
      <c r="S3904" t="s">
        <v>114</v>
      </c>
      <c r="T3904" t="s">
        <v>114</v>
      </c>
      <c r="V3904">
        <v>0</v>
      </c>
      <c r="W3904">
        <v>0</v>
      </c>
      <c r="X3904">
        <v>0</v>
      </c>
      <c r="Y3904">
        <v>0</v>
      </c>
      <c r="Z3904">
        <v>0</v>
      </c>
      <c r="AA3904">
        <v>0</v>
      </c>
      <c r="AB3904">
        <v>0</v>
      </c>
      <c r="AC3904">
        <v>0</v>
      </c>
      <c r="AD3904">
        <v>0</v>
      </c>
      <c r="AE3904">
        <v>0</v>
      </c>
      <c r="AF3904">
        <v>0</v>
      </c>
      <c r="AG3904">
        <v>0</v>
      </c>
      <c r="AH3904">
        <v>0</v>
      </c>
      <c r="AI3904">
        <v>0</v>
      </c>
      <c r="AJ3904">
        <v>0</v>
      </c>
      <c r="AK3904">
        <v>0</v>
      </c>
      <c r="AL3904">
        <v>0</v>
      </c>
      <c r="AM3904">
        <v>0</v>
      </c>
      <c r="AN3904">
        <v>0</v>
      </c>
      <c r="AO3904">
        <v>0</v>
      </c>
      <c r="AP3904">
        <v>0</v>
      </c>
      <c r="AQ3904">
        <v>0</v>
      </c>
      <c r="AR3904">
        <v>0</v>
      </c>
      <c r="AS3904">
        <v>0</v>
      </c>
      <c r="AT3904">
        <v>0</v>
      </c>
      <c r="AU3904">
        <f t="shared" si="120"/>
        <v>0</v>
      </c>
      <c r="AV3904">
        <f t="shared" si="121"/>
        <v>0</v>
      </c>
    </row>
    <row r="3905" spans="1:48" x14ac:dyDescent="0.25">
      <c r="A3905" t="s">
        <v>12096</v>
      </c>
      <c r="B3905" t="s">
        <v>12096</v>
      </c>
      <c r="C3905" t="s">
        <v>12097</v>
      </c>
      <c r="D3905" t="s">
        <v>12098</v>
      </c>
      <c r="E3905" t="s">
        <v>2310</v>
      </c>
      <c r="F3905">
        <v>15</v>
      </c>
      <c r="G3905">
        <v>15.1</v>
      </c>
      <c r="H3905" t="s">
        <v>2022</v>
      </c>
      <c r="I3905" s="21">
        <v>41754.471203703702</v>
      </c>
      <c r="J3905">
        <v>2014</v>
      </c>
      <c r="K3905" s="21">
        <v>41897.456597222197</v>
      </c>
      <c r="L3905">
        <v>2014</v>
      </c>
      <c r="M3905" s="21">
        <v>42578.694513888899</v>
      </c>
      <c r="N3905">
        <v>2016</v>
      </c>
      <c r="Q3905" s="262">
        <v>150000</v>
      </c>
      <c r="R3905" s="262">
        <v>78000</v>
      </c>
      <c r="S3905" t="s">
        <v>114</v>
      </c>
      <c r="T3905" t="s">
        <v>114</v>
      </c>
      <c r="V3905">
        <v>0</v>
      </c>
      <c r="W3905">
        <v>1512</v>
      </c>
      <c r="X3905">
        <v>0</v>
      </c>
      <c r="Y3905">
        <v>0</v>
      </c>
      <c r="Z3905">
        <v>0</v>
      </c>
      <c r="AA3905">
        <v>0</v>
      </c>
      <c r="AB3905">
        <v>0</v>
      </c>
      <c r="AC3905">
        <v>1512</v>
      </c>
      <c r="AD3905">
        <v>0</v>
      </c>
      <c r="AE3905">
        <v>0</v>
      </c>
      <c r="AF3905">
        <v>0</v>
      </c>
      <c r="AG3905">
        <v>0</v>
      </c>
      <c r="AH3905">
        <v>0</v>
      </c>
      <c r="AI3905">
        <v>0</v>
      </c>
      <c r="AJ3905">
        <v>0</v>
      </c>
      <c r="AK3905">
        <v>0</v>
      </c>
      <c r="AL3905">
        <v>0</v>
      </c>
      <c r="AM3905">
        <v>0</v>
      </c>
      <c r="AN3905">
        <v>0</v>
      </c>
      <c r="AO3905">
        <v>0</v>
      </c>
      <c r="AP3905">
        <v>0</v>
      </c>
      <c r="AQ3905">
        <v>0</v>
      </c>
      <c r="AR3905">
        <v>0</v>
      </c>
      <c r="AS3905">
        <v>0</v>
      </c>
      <c r="AT3905">
        <v>0</v>
      </c>
      <c r="AU3905">
        <f t="shared" si="120"/>
        <v>0</v>
      </c>
      <c r="AV3905">
        <f t="shared" si="121"/>
        <v>0</v>
      </c>
    </row>
    <row r="3906" spans="1:48" x14ac:dyDescent="0.25">
      <c r="A3906" t="s">
        <v>12096</v>
      </c>
      <c r="B3906" t="s">
        <v>12099</v>
      </c>
      <c r="C3906" t="s">
        <v>12097</v>
      </c>
      <c r="D3906" t="s">
        <v>12098</v>
      </c>
      <c r="E3906" t="s">
        <v>2310</v>
      </c>
      <c r="F3906">
        <v>15</v>
      </c>
      <c r="G3906">
        <v>15.1</v>
      </c>
      <c r="H3906" t="s">
        <v>2022</v>
      </c>
      <c r="I3906" s="21">
        <v>41754.471203703702</v>
      </c>
      <c r="J3906">
        <v>2014</v>
      </c>
      <c r="K3906" s="21">
        <v>41897.456597222197</v>
      </c>
      <c r="L3906">
        <v>2014</v>
      </c>
      <c r="M3906" s="21">
        <v>42578.694513888899</v>
      </c>
      <c r="N3906">
        <v>2016</v>
      </c>
      <c r="Q3906" s="262">
        <v>150000</v>
      </c>
      <c r="R3906" s="262">
        <v>78000</v>
      </c>
      <c r="S3906" t="s">
        <v>114</v>
      </c>
      <c r="T3906" t="s">
        <v>114</v>
      </c>
      <c r="V3906">
        <v>0</v>
      </c>
      <c r="W3906">
        <v>0</v>
      </c>
      <c r="X3906">
        <v>0</v>
      </c>
      <c r="Y3906">
        <v>0</v>
      </c>
      <c r="Z3906">
        <v>0</v>
      </c>
      <c r="AA3906">
        <v>0</v>
      </c>
      <c r="AB3906">
        <v>0</v>
      </c>
      <c r="AC3906">
        <v>0</v>
      </c>
      <c r="AD3906">
        <v>0</v>
      </c>
      <c r="AE3906">
        <v>0</v>
      </c>
      <c r="AF3906">
        <v>0</v>
      </c>
      <c r="AG3906">
        <v>0</v>
      </c>
      <c r="AH3906">
        <v>0</v>
      </c>
      <c r="AI3906">
        <v>0</v>
      </c>
      <c r="AJ3906">
        <v>0</v>
      </c>
      <c r="AK3906">
        <v>0</v>
      </c>
      <c r="AL3906">
        <v>0</v>
      </c>
      <c r="AM3906">
        <v>0</v>
      </c>
      <c r="AN3906">
        <v>0</v>
      </c>
      <c r="AO3906">
        <v>0</v>
      </c>
      <c r="AP3906">
        <v>0</v>
      </c>
      <c r="AQ3906">
        <v>0</v>
      </c>
      <c r="AR3906">
        <v>0</v>
      </c>
      <c r="AS3906">
        <v>0</v>
      </c>
      <c r="AT3906">
        <v>0</v>
      </c>
      <c r="AU3906">
        <f t="shared" si="120"/>
        <v>0</v>
      </c>
      <c r="AV3906">
        <f t="shared" si="121"/>
        <v>0</v>
      </c>
    </row>
    <row r="3907" spans="1:48" x14ac:dyDescent="0.25">
      <c r="A3907" t="s">
        <v>12100</v>
      </c>
      <c r="B3907" t="s">
        <v>12100</v>
      </c>
      <c r="C3907" t="s">
        <v>12101</v>
      </c>
      <c r="D3907" t="s">
        <v>12102</v>
      </c>
      <c r="E3907" t="s">
        <v>2310</v>
      </c>
      <c r="F3907">
        <v>7</v>
      </c>
      <c r="G3907">
        <v>7.1</v>
      </c>
      <c r="H3907" t="s">
        <v>2017</v>
      </c>
      <c r="I3907" s="21">
        <v>41754.583518518499</v>
      </c>
      <c r="J3907">
        <v>2014</v>
      </c>
      <c r="O3907" s="21">
        <v>41928.654525462996</v>
      </c>
      <c r="Q3907" s="262">
        <v>1200000</v>
      </c>
      <c r="R3907" s="262">
        <v>718000</v>
      </c>
      <c r="S3907" t="s">
        <v>114</v>
      </c>
      <c r="T3907" t="s">
        <v>114</v>
      </c>
      <c r="V3907">
        <v>0</v>
      </c>
      <c r="W3907">
        <v>0</v>
      </c>
      <c r="X3907">
        <v>0</v>
      </c>
      <c r="Y3907">
        <v>0</v>
      </c>
      <c r="Z3907">
        <v>0</v>
      </c>
      <c r="AA3907">
        <v>0</v>
      </c>
      <c r="AB3907">
        <v>0</v>
      </c>
      <c r="AC3907">
        <v>0</v>
      </c>
      <c r="AD3907">
        <v>0</v>
      </c>
      <c r="AE3907">
        <v>0</v>
      </c>
      <c r="AF3907">
        <v>0</v>
      </c>
      <c r="AG3907">
        <v>0</v>
      </c>
      <c r="AH3907">
        <v>0</v>
      </c>
      <c r="AI3907">
        <v>0</v>
      </c>
      <c r="AJ3907">
        <v>0</v>
      </c>
      <c r="AK3907">
        <v>0</v>
      </c>
      <c r="AL3907">
        <v>0</v>
      </c>
      <c r="AM3907">
        <v>0</v>
      </c>
      <c r="AN3907">
        <v>0</v>
      </c>
      <c r="AO3907">
        <v>0</v>
      </c>
      <c r="AP3907">
        <v>0</v>
      </c>
      <c r="AQ3907">
        <v>0</v>
      </c>
      <c r="AR3907">
        <v>0</v>
      </c>
      <c r="AS3907">
        <v>0</v>
      </c>
      <c r="AT3907">
        <v>0</v>
      </c>
      <c r="AU3907">
        <f t="shared" si="120"/>
        <v>0</v>
      </c>
      <c r="AV3907">
        <f t="shared" si="121"/>
        <v>0</v>
      </c>
    </row>
    <row r="3908" spans="1:48" x14ac:dyDescent="0.25">
      <c r="A3908" t="s">
        <v>17555</v>
      </c>
      <c r="B3908" t="s">
        <v>17555</v>
      </c>
      <c r="C3908" t="s">
        <v>17556</v>
      </c>
      <c r="D3908" t="s">
        <v>17557</v>
      </c>
      <c r="E3908" t="s">
        <v>2310</v>
      </c>
      <c r="F3908">
        <v>12</v>
      </c>
      <c r="G3908">
        <v>12.3</v>
      </c>
      <c r="H3908" t="s">
        <v>2017</v>
      </c>
      <c r="I3908" s="21">
        <v>41754.671076388891</v>
      </c>
      <c r="J3908">
        <v>2014</v>
      </c>
      <c r="K3908" s="21">
        <v>42986.620729166665</v>
      </c>
      <c r="L3908">
        <v>2017</v>
      </c>
      <c r="M3908" s="21">
        <v>42986.620729166665</v>
      </c>
      <c r="N3908">
        <v>2017</v>
      </c>
      <c r="Q3908" s="262">
        <v>1800000</v>
      </c>
      <c r="R3908" s="262">
        <v>893000</v>
      </c>
      <c r="S3908" t="s">
        <v>13254</v>
      </c>
      <c r="V3908">
        <v>0</v>
      </c>
      <c r="W3908">
        <v>6712</v>
      </c>
      <c r="X3908">
        <v>1</v>
      </c>
      <c r="Y3908">
        <v>0</v>
      </c>
      <c r="Z3908">
        <v>0</v>
      </c>
      <c r="AA3908">
        <v>0</v>
      </c>
      <c r="AB3908">
        <v>0</v>
      </c>
      <c r="AC3908">
        <v>6712</v>
      </c>
      <c r="AD3908">
        <v>0</v>
      </c>
      <c r="AE3908">
        <v>0</v>
      </c>
      <c r="AF3908">
        <v>0</v>
      </c>
      <c r="AG3908">
        <v>0</v>
      </c>
      <c r="AH3908">
        <v>0</v>
      </c>
      <c r="AI3908">
        <v>0</v>
      </c>
      <c r="AJ3908">
        <v>0</v>
      </c>
      <c r="AK3908">
        <v>0</v>
      </c>
      <c r="AL3908">
        <v>0</v>
      </c>
      <c r="AM3908">
        <v>0</v>
      </c>
      <c r="AN3908">
        <v>0</v>
      </c>
      <c r="AO3908">
        <v>1</v>
      </c>
      <c r="AP3908">
        <v>0</v>
      </c>
      <c r="AQ3908">
        <v>0</v>
      </c>
      <c r="AR3908">
        <v>0</v>
      </c>
      <c r="AS3908">
        <v>0</v>
      </c>
      <c r="AT3908">
        <v>0</v>
      </c>
      <c r="AU3908">
        <f t="shared" si="120"/>
        <v>1</v>
      </c>
      <c r="AV3908">
        <f t="shared" si="121"/>
        <v>0</v>
      </c>
    </row>
    <row r="3909" spans="1:48" x14ac:dyDescent="0.25">
      <c r="A3909" t="s">
        <v>12103</v>
      </c>
      <c r="B3909" t="s">
        <v>12103</v>
      </c>
      <c r="C3909" t="s">
        <v>12104</v>
      </c>
      <c r="D3909" t="s">
        <v>12105</v>
      </c>
      <c r="E3909" t="s">
        <v>2310</v>
      </c>
      <c r="F3909">
        <v>13</v>
      </c>
      <c r="G3909">
        <v>13.3</v>
      </c>
      <c r="H3909" t="s">
        <v>2017</v>
      </c>
      <c r="I3909" s="21">
        <v>41758.411504629599</v>
      </c>
      <c r="J3909">
        <v>2014</v>
      </c>
      <c r="K3909" s="21">
        <v>41865.675625000003</v>
      </c>
      <c r="L3909">
        <v>2014</v>
      </c>
      <c r="P3909" s="21">
        <v>42298.544236111098</v>
      </c>
      <c r="Q3909" s="262">
        <v>1300000</v>
      </c>
      <c r="R3909" s="262">
        <v>1885000</v>
      </c>
      <c r="S3909" t="s">
        <v>114</v>
      </c>
      <c r="T3909" t="s">
        <v>114</v>
      </c>
      <c r="V3909">
        <v>4457</v>
      </c>
      <c r="W3909">
        <v>7100</v>
      </c>
      <c r="X3909">
        <v>0</v>
      </c>
      <c r="Y3909">
        <v>0</v>
      </c>
      <c r="Z3909">
        <v>0</v>
      </c>
      <c r="AA3909">
        <v>0</v>
      </c>
      <c r="AB3909">
        <v>0</v>
      </c>
      <c r="AC3909">
        <v>7100</v>
      </c>
      <c r="AD3909">
        <v>0</v>
      </c>
      <c r="AE3909">
        <v>0</v>
      </c>
      <c r="AF3909">
        <v>0</v>
      </c>
      <c r="AG3909">
        <v>0</v>
      </c>
      <c r="AH3909">
        <v>0</v>
      </c>
      <c r="AI3909">
        <v>0</v>
      </c>
      <c r="AJ3909">
        <v>0</v>
      </c>
      <c r="AK3909">
        <v>0</v>
      </c>
      <c r="AL3909">
        <v>0</v>
      </c>
      <c r="AM3909">
        <v>0</v>
      </c>
      <c r="AN3909">
        <v>0</v>
      </c>
      <c r="AO3909">
        <v>0</v>
      </c>
      <c r="AP3909">
        <v>0</v>
      </c>
      <c r="AQ3909">
        <v>0</v>
      </c>
      <c r="AR3909">
        <v>0</v>
      </c>
      <c r="AS3909">
        <v>0</v>
      </c>
      <c r="AT3909">
        <v>0</v>
      </c>
      <c r="AU3909">
        <f t="shared" si="120"/>
        <v>0</v>
      </c>
      <c r="AV3909">
        <f t="shared" si="121"/>
        <v>0</v>
      </c>
    </row>
    <row r="3910" spans="1:48" x14ac:dyDescent="0.25">
      <c r="A3910" t="s">
        <v>12106</v>
      </c>
      <c r="B3910" t="s">
        <v>12106</v>
      </c>
      <c r="C3910" t="s">
        <v>12107</v>
      </c>
      <c r="D3910" t="s">
        <v>12108</v>
      </c>
      <c r="E3910" t="s">
        <v>2310</v>
      </c>
      <c r="F3910">
        <v>9</v>
      </c>
      <c r="G3910">
        <v>9.3000000000000007</v>
      </c>
      <c r="H3910" t="s">
        <v>2323</v>
      </c>
      <c r="I3910" s="21">
        <v>41758.661354166703</v>
      </c>
      <c r="J3910">
        <v>2014</v>
      </c>
      <c r="K3910" s="21">
        <v>41817.368368055599</v>
      </c>
      <c r="L3910">
        <v>2014</v>
      </c>
      <c r="M3910" s="21">
        <v>42328.511747685203</v>
      </c>
      <c r="N3910">
        <v>2015</v>
      </c>
      <c r="Q3910" s="262">
        <v>210000</v>
      </c>
      <c r="R3910" s="262">
        <v>205000</v>
      </c>
      <c r="S3910" t="s">
        <v>114</v>
      </c>
      <c r="T3910" t="s">
        <v>114</v>
      </c>
      <c r="V3910">
        <v>0</v>
      </c>
      <c r="W3910">
        <v>1800</v>
      </c>
      <c r="X3910">
        <v>1</v>
      </c>
      <c r="Y3910">
        <v>0</v>
      </c>
      <c r="Z3910">
        <v>0</v>
      </c>
      <c r="AA3910">
        <v>0</v>
      </c>
      <c r="AB3910">
        <v>0</v>
      </c>
      <c r="AC3910">
        <v>1800</v>
      </c>
      <c r="AD3910">
        <v>0</v>
      </c>
      <c r="AE3910">
        <v>0</v>
      </c>
      <c r="AF3910">
        <v>0</v>
      </c>
      <c r="AG3910">
        <v>0</v>
      </c>
      <c r="AH3910">
        <v>0</v>
      </c>
      <c r="AI3910">
        <v>0</v>
      </c>
      <c r="AJ3910">
        <v>0</v>
      </c>
      <c r="AK3910">
        <v>0</v>
      </c>
      <c r="AL3910">
        <v>0</v>
      </c>
      <c r="AM3910">
        <v>0</v>
      </c>
      <c r="AN3910">
        <v>0</v>
      </c>
      <c r="AO3910">
        <v>1</v>
      </c>
      <c r="AP3910">
        <v>0</v>
      </c>
      <c r="AQ3910">
        <v>0</v>
      </c>
      <c r="AR3910">
        <v>0</v>
      </c>
      <c r="AS3910">
        <v>0</v>
      </c>
      <c r="AT3910">
        <v>0</v>
      </c>
      <c r="AU3910">
        <f t="shared" si="120"/>
        <v>1</v>
      </c>
      <c r="AV3910">
        <f t="shared" si="121"/>
        <v>0</v>
      </c>
    </row>
    <row r="3911" spans="1:48" x14ac:dyDescent="0.25">
      <c r="A3911" t="s">
        <v>12109</v>
      </c>
      <c r="C3911" t="s">
        <v>12110</v>
      </c>
      <c r="D3911" t="s">
        <v>12111</v>
      </c>
      <c r="E3911" t="s">
        <v>1663</v>
      </c>
      <c r="F3911">
        <v>2</v>
      </c>
      <c r="G3911">
        <v>2.6</v>
      </c>
      <c r="H3911" t="s">
        <v>2327</v>
      </c>
      <c r="I3911" s="21">
        <v>41759</v>
      </c>
      <c r="J3911">
        <v>2014</v>
      </c>
      <c r="K3911" s="21">
        <v>42194</v>
      </c>
      <c r="L3911">
        <v>2015</v>
      </c>
      <c r="M3911" s="21">
        <v>42451</v>
      </c>
      <c r="N3911">
        <v>2016</v>
      </c>
      <c r="Q3911" s="262">
        <v>100000</v>
      </c>
      <c r="S3911" t="s">
        <v>114</v>
      </c>
      <c r="T3911" t="s">
        <v>114</v>
      </c>
      <c r="V3911">
        <v>0</v>
      </c>
      <c r="W3911">
        <v>0</v>
      </c>
      <c r="X3911">
        <v>0</v>
      </c>
      <c r="Y3911">
        <v>0</v>
      </c>
      <c r="Z3911">
        <v>0</v>
      </c>
      <c r="AA3911">
        <v>0</v>
      </c>
      <c r="AB3911">
        <v>0</v>
      </c>
      <c r="AC3911">
        <v>0</v>
      </c>
      <c r="AD3911">
        <v>0</v>
      </c>
      <c r="AE3911">
        <v>0</v>
      </c>
      <c r="AF3911">
        <v>0</v>
      </c>
      <c r="AG3911">
        <v>0</v>
      </c>
      <c r="AH3911">
        <v>0</v>
      </c>
      <c r="AI3911">
        <v>0</v>
      </c>
      <c r="AJ3911">
        <v>0</v>
      </c>
      <c r="AK3911">
        <v>0</v>
      </c>
      <c r="AL3911">
        <v>0</v>
      </c>
      <c r="AM3911">
        <v>0</v>
      </c>
      <c r="AN3911">
        <v>0</v>
      </c>
      <c r="AO3911">
        <v>0</v>
      </c>
      <c r="AP3911">
        <v>0</v>
      </c>
      <c r="AQ3911">
        <v>0</v>
      </c>
      <c r="AR3911">
        <v>0</v>
      </c>
      <c r="AS3911">
        <v>0</v>
      </c>
      <c r="AT3911">
        <v>0</v>
      </c>
      <c r="AU3911">
        <f t="shared" si="120"/>
        <v>0</v>
      </c>
      <c r="AV3911">
        <f t="shared" si="121"/>
        <v>0</v>
      </c>
    </row>
    <row r="3912" spans="1:48" x14ac:dyDescent="0.25">
      <c r="A3912" t="s">
        <v>12112</v>
      </c>
      <c r="B3912" t="s">
        <v>12112</v>
      </c>
      <c r="C3912" t="s">
        <v>12113</v>
      </c>
      <c r="D3912" t="s">
        <v>12114</v>
      </c>
      <c r="E3912" t="s">
        <v>2310</v>
      </c>
      <c r="F3912">
        <v>9</v>
      </c>
      <c r="G3912">
        <v>9.1999999999999993</v>
      </c>
      <c r="H3912" t="s">
        <v>2022</v>
      </c>
      <c r="I3912" s="21">
        <v>41759.593784722201</v>
      </c>
      <c r="J3912">
        <v>2014</v>
      </c>
      <c r="K3912" s="21">
        <v>42349.411076388897</v>
      </c>
      <c r="L3912">
        <v>2015</v>
      </c>
      <c r="P3912" s="21">
        <v>42349.647199074097</v>
      </c>
      <c r="Q3912" s="262">
        <v>75000</v>
      </c>
      <c r="R3912" s="262">
        <v>10000</v>
      </c>
      <c r="S3912" t="s">
        <v>114</v>
      </c>
      <c r="T3912" t="s">
        <v>114</v>
      </c>
      <c r="V3912">
        <v>0</v>
      </c>
      <c r="W3912">
        <v>230</v>
      </c>
      <c r="X3912">
        <v>0</v>
      </c>
      <c r="Y3912">
        <v>0</v>
      </c>
      <c r="Z3912">
        <v>0</v>
      </c>
      <c r="AA3912">
        <v>0</v>
      </c>
      <c r="AB3912">
        <v>0</v>
      </c>
      <c r="AC3912">
        <v>0</v>
      </c>
      <c r="AD3912">
        <v>0</v>
      </c>
      <c r="AE3912">
        <v>0</v>
      </c>
      <c r="AF3912">
        <v>0</v>
      </c>
      <c r="AG3912">
        <v>0</v>
      </c>
      <c r="AH3912">
        <v>0</v>
      </c>
      <c r="AI3912">
        <v>0</v>
      </c>
      <c r="AJ3912">
        <v>0</v>
      </c>
      <c r="AK3912">
        <v>0</v>
      </c>
      <c r="AL3912">
        <v>0</v>
      </c>
      <c r="AM3912">
        <v>230</v>
      </c>
      <c r="AN3912">
        <v>0</v>
      </c>
      <c r="AO3912">
        <v>0</v>
      </c>
      <c r="AP3912">
        <v>0</v>
      </c>
      <c r="AQ3912">
        <v>0</v>
      </c>
      <c r="AR3912">
        <v>0</v>
      </c>
      <c r="AS3912">
        <v>0</v>
      </c>
      <c r="AT3912">
        <v>0</v>
      </c>
      <c r="AU3912">
        <f t="shared" si="120"/>
        <v>0</v>
      </c>
      <c r="AV3912">
        <f t="shared" si="121"/>
        <v>230</v>
      </c>
    </row>
    <row r="3913" spans="1:48" x14ac:dyDescent="0.25">
      <c r="A3913" t="s">
        <v>12117</v>
      </c>
      <c r="C3913" t="s">
        <v>12118</v>
      </c>
      <c r="D3913" t="s">
        <v>12119</v>
      </c>
      <c r="E3913" t="s">
        <v>1663</v>
      </c>
      <c r="F3913">
        <v>6</v>
      </c>
      <c r="G3913">
        <v>6.2</v>
      </c>
      <c r="H3913" t="s">
        <v>2017</v>
      </c>
      <c r="I3913" s="21">
        <v>41760</v>
      </c>
      <c r="J3913">
        <v>2014</v>
      </c>
      <c r="K3913" s="21">
        <v>41828</v>
      </c>
      <c r="L3913">
        <v>2014</v>
      </c>
      <c r="M3913" s="21">
        <v>42205</v>
      </c>
      <c r="N3913">
        <v>2015</v>
      </c>
      <c r="Q3913" s="262">
        <v>10000</v>
      </c>
      <c r="S3913" t="s">
        <v>114</v>
      </c>
      <c r="T3913" t="s">
        <v>114</v>
      </c>
      <c r="V3913">
        <v>0</v>
      </c>
      <c r="W3913">
        <v>0</v>
      </c>
      <c r="X3913">
        <v>0</v>
      </c>
      <c r="Y3913">
        <v>0</v>
      </c>
      <c r="Z3913">
        <v>0</v>
      </c>
      <c r="AA3913">
        <v>0</v>
      </c>
      <c r="AB3913">
        <v>0</v>
      </c>
      <c r="AC3913">
        <v>0</v>
      </c>
      <c r="AD3913">
        <v>0</v>
      </c>
      <c r="AE3913">
        <v>0</v>
      </c>
      <c r="AF3913">
        <v>0</v>
      </c>
      <c r="AG3913">
        <v>0</v>
      </c>
      <c r="AH3913">
        <v>0</v>
      </c>
      <c r="AI3913">
        <v>0</v>
      </c>
      <c r="AJ3913">
        <v>0</v>
      </c>
      <c r="AK3913">
        <v>0</v>
      </c>
      <c r="AL3913">
        <v>0</v>
      </c>
      <c r="AM3913">
        <v>0</v>
      </c>
      <c r="AN3913">
        <v>0</v>
      </c>
      <c r="AO3913">
        <v>0</v>
      </c>
      <c r="AP3913">
        <v>0</v>
      </c>
      <c r="AQ3913">
        <v>0</v>
      </c>
      <c r="AR3913">
        <v>0</v>
      </c>
      <c r="AS3913">
        <v>0</v>
      </c>
      <c r="AT3913">
        <v>0</v>
      </c>
      <c r="AU3913">
        <f t="shared" si="120"/>
        <v>0</v>
      </c>
      <c r="AV3913">
        <f t="shared" si="121"/>
        <v>0</v>
      </c>
    </row>
    <row r="3914" spans="1:48" x14ac:dyDescent="0.25">
      <c r="A3914" t="s">
        <v>13443</v>
      </c>
      <c r="C3914" t="s">
        <v>13444</v>
      </c>
      <c r="D3914" t="s">
        <v>13445</v>
      </c>
      <c r="E3914" t="s">
        <v>1663</v>
      </c>
      <c r="F3914">
        <v>3</v>
      </c>
      <c r="G3914">
        <v>3.2</v>
      </c>
      <c r="H3914" t="s">
        <v>2327</v>
      </c>
      <c r="I3914" s="21">
        <v>41760</v>
      </c>
      <c r="J3914">
        <v>2014</v>
      </c>
      <c r="K3914" s="21">
        <v>41772</v>
      </c>
      <c r="L3914">
        <v>2014</v>
      </c>
      <c r="M3914" s="21">
        <v>42754</v>
      </c>
      <c r="N3914">
        <v>2017</v>
      </c>
      <c r="Q3914" s="262">
        <v>7500</v>
      </c>
      <c r="S3914" t="s">
        <v>114</v>
      </c>
      <c r="T3914" t="s">
        <v>114</v>
      </c>
      <c r="V3914">
        <v>0</v>
      </c>
      <c r="W3914">
        <v>0</v>
      </c>
      <c r="X3914">
        <v>0</v>
      </c>
      <c r="Y3914">
        <v>0</v>
      </c>
      <c r="Z3914">
        <v>0</v>
      </c>
      <c r="AA3914">
        <v>0</v>
      </c>
      <c r="AB3914">
        <v>0</v>
      </c>
      <c r="AC3914">
        <v>0</v>
      </c>
      <c r="AD3914">
        <v>0</v>
      </c>
      <c r="AE3914">
        <v>0</v>
      </c>
      <c r="AF3914">
        <v>0</v>
      </c>
      <c r="AG3914">
        <v>0</v>
      </c>
      <c r="AH3914">
        <v>0</v>
      </c>
      <c r="AI3914">
        <v>0</v>
      </c>
      <c r="AJ3914">
        <v>0</v>
      </c>
      <c r="AK3914">
        <v>0</v>
      </c>
      <c r="AL3914">
        <v>0</v>
      </c>
      <c r="AM3914">
        <v>0</v>
      </c>
      <c r="AN3914">
        <v>0</v>
      </c>
      <c r="AO3914">
        <v>0</v>
      </c>
      <c r="AP3914">
        <v>0</v>
      </c>
      <c r="AQ3914">
        <v>0</v>
      </c>
      <c r="AR3914">
        <v>0</v>
      </c>
      <c r="AS3914">
        <v>0</v>
      </c>
      <c r="AT3914">
        <v>0</v>
      </c>
      <c r="AU3914">
        <f t="shared" si="120"/>
        <v>0</v>
      </c>
      <c r="AV3914">
        <f t="shared" si="121"/>
        <v>0</v>
      </c>
    </row>
    <row r="3915" spans="1:48" x14ac:dyDescent="0.25">
      <c r="A3915" t="s">
        <v>12115</v>
      </c>
      <c r="C3915" t="s">
        <v>11559</v>
      </c>
      <c r="D3915" t="s">
        <v>12116</v>
      </c>
      <c r="E3915" t="s">
        <v>1663</v>
      </c>
      <c r="F3915">
        <v>3</v>
      </c>
      <c r="G3915">
        <v>3.1</v>
      </c>
      <c r="H3915" t="s">
        <v>2017</v>
      </c>
      <c r="I3915" s="21">
        <v>41760</v>
      </c>
      <c r="J3915">
        <v>2014</v>
      </c>
      <c r="K3915" s="21">
        <v>41787</v>
      </c>
      <c r="L3915">
        <v>2014</v>
      </c>
      <c r="M3915" s="21">
        <v>42039</v>
      </c>
      <c r="N3915">
        <v>2015</v>
      </c>
      <c r="Q3915" s="262">
        <v>540000</v>
      </c>
      <c r="S3915" t="s">
        <v>114</v>
      </c>
      <c r="T3915" t="s">
        <v>114</v>
      </c>
      <c r="V3915">
        <v>0</v>
      </c>
      <c r="W3915">
        <v>2747</v>
      </c>
      <c r="X3915">
        <v>1</v>
      </c>
      <c r="Y3915">
        <v>0</v>
      </c>
      <c r="Z3915">
        <v>0</v>
      </c>
      <c r="AA3915">
        <v>0</v>
      </c>
      <c r="AB3915">
        <v>0</v>
      </c>
      <c r="AC3915">
        <v>2747</v>
      </c>
      <c r="AD3915">
        <v>0</v>
      </c>
      <c r="AE3915">
        <v>0</v>
      </c>
      <c r="AF3915">
        <v>0</v>
      </c>
      <c r="AG3915">
        <v>0</v>
      </c>
      <c r="AH3915">
        <v>0</v>
      </c>
      <c r="AI3915">
        <v>0</v>
      </c>
      <c r="AJ3915">
        <v>0</v>
      </c>
      <c r="AK3915">
        <v>0</v>
      </c>
      <c r="AL3915">
        <v>0</v>
      </c>
      <c r="AM3915">
        <v>0</v>
      </c>
      <c r="AN3915">
        <v>0</v>
      </c>
      <c r="AO3915">
        <v>1</v>
      </c>
      <c r="AP3915">
        <v>0</v>
      </c>
      <c r="AQ3915">
        <v>0</v>
      </c>
      <c r="AR3915">
        <v>0</v>
      </c>
      <c r="AS3915">
        <v>0</v>
      </c>
      <c r="AT3915">
        <v>0</v>
      </c>
      <c r="AU3915">
        <f t="shared" si="120"/>
        <v>1</v>
      </c>
      <c r="AV3915">
        <f t="shared" si="121"/>
        <v>0</v>
      </c>
    </row>
    <row r="3916" spans="1:48" x14ac:dyDescent="0.25">
      <c r="A3916" t="s">
        <v>12120</v>
      </c>
      <c r="B3916" t="s">
        <v>12120</v>
      </c>
      <c r="C3916" t="s">
        <v>12121</v>
      </c>
      <c r="D3916" t="s">
        <v>4365</v>
      </c>
      <c r="E3916" t="s">
        <v>2310</v>
      </c>
      <c r="F3916">
        <v>9</v>
      </c>
      <c r="G3916">
        <v>9.1</v>
      </c>
      <c r="H3916" t="s">
        <v>2323</v>
      </c>
      <c r="I3916" s="21">
        <v>41760.402013888903</v>
      </c>
      <c r="J3916">
        <v>2014</v>
      </c>
      <c r="K3916" s="21">
        <v>42037.495590277802</v>
      </c>
      <c r="L3916">
        <v>2015</v>
      </c>
      <c r="M3916" s="21">
        <v>42247.348009259302</v>
      </c>
      <c r="N3916">
        <v>2015</v>
      </c>
      <c r="Q3916" s="262">
        <v>50000</v>
      </c>
      <c r="R3916" s="262">
        <v>10000</v>
      </c>
      <c r="S3916" t="s">
        <v>114</v>
      </c>
      <c r="T3916" t="s">
        <v>114</v>
      </c>
      <c r="V3916">
        <v>0</v>
      </c>
      <c r="W3916">
        <v>230</v>
      </c>
      <c r="X3916">
        <v>0</v>
      </c>
      <c r="Y3916">
        <v>0</v>
      </c>
      <c r="Z3916">
        <v>0</v>
      </c>
      <c r="AA3916">
        <v>0</v>
      </c>
      <c r="AB3916">
        <v>0</v>
      </c>
      <c r="AC3916">
        <v>0</v>
      </c>
      <c r="AD3916">
        <v>0</v>
      </c>
      <c r="AE3916">
        <v>0</v>
      </c>
      <c r="AF3916">
        <v>0</v>
      </c>
      <c r="AG3916">
        <v>0</v>
      </c>
      <c r="AH3916">
        <v>0</v>
      </c>
      <c r="AI3916">
        <v>0</v>
      </c>
      <c r="AJ3916">
        <v>0</v>
      </c>
      <c r="AK3916">
        <v>0</v>
      </c>
      <c r="AL3916">
        <v>0</v>
      </c>
      <c r="AM3916">
        <v>230</v>
      </c>
      <c r="AN3916">
        <v>0</v>
      </c>
      <c r="AO3916">
        <v>0</v>
      </c>
      <c r="AP3916">
        <v>0</v>
      </c>
      <c r="AQ3916">
        <v>0</v>
      </c>
      <c r="AR3916">
        <v>0</v>
      </c>
      <c r="AS3916">
        <v>0</v>
      </c>
      <c r="AT3916">
        <v>0</v>
      </c>
      <c r="AU3916">
        <f t="shared" si="120"/>
        <v>0</v>
      </c>
      <c r="AV3916">
        <f t="shared" si="121"/>
        <v>230</v>
      </c>
    </row>
    <row r="3917" spans="1:48" x14ac:dyDescent="0.25">
      <c r="A3917" t="s">
        <v>12122</v>
      </c>
      <c r="C3917" t="s">
        <v>12123</v>
      </c>
      <c r="D3917" t="s">
        <v>12124</v>
      </c>
      <c r="E3917" t="s">
        <v>1663</v>
      </c>
      <c r="F3917">
        <v>2</v>
      </c>
      <c r="G3917">
        <v>2.2999999999999998</v>
      </c>
      <c r="H3917" t="s">
        <v>2327</v>
      </c>
      <c r="I3917" s="21">
        <v>41761</v>
      </c>
      <c r="J3917">
        <v>2014</v>
      </c>
      <c r="K3917" s="21">
        <v>41794</v>
      </c>
      <c r="L3917">
        <v>2014</v>
      </c>
      <c r="M3917" s="21">
        <v>41852</v>
      </c>
      <c r="N3917">
        <v>2014</v>
      </c>
      <c r="Q3917" s="262">
        <v>10000</v>
      </c>
      <c r="S3917" t="s">
        <v>114</v>
      </c>
      <c r="T3917" t="s">
        <v>114</v>
      </c>
      <c r="V3917">
        <v>0</v>
      </c>
      <c r="W3917">
        <v>0</v>
      </c>
      <c r="X3917">
        <v>0</v>
      </c>
      <c r="Y3917">
        <v>0</v>
      </c>
      <c r="Z3917">
        <v>0</v>
      </c>
      <c r="AA3917">
        <v>0</v>
      </c>
      <c r="AB3917">
        <v>0</v>
      </c>
      <c r="AC3917">
        <v>0</v>
      </c>
      <c r="AD3917">
        <v>0</v>
      </c>
      <c r="AE3917">
        <v>0</v>
      </c>
      <c r="AF3917">
        <v>0</v>
      </c>
      <c r="AG3917">
        <v>0</v>
      </c>
      <c r="AH3917">
        <v>0</v>
      </c>
      <c r="AI3917">
        <v>0</v>
      </c>
      <c r="AJ3917">
        <v>0</v>
      </c>
      <c r="AK3917">
        <v>0</v>
      </c>
      <c r="AL3917">
        <v>0</v>
      </c>
      <c r="AM3917">
        <v>0</v>
      </c>
      <c r="AN3917">
        <v>0</v>
      </c>
      <c r="AO3917">
        <v>0</v>
      </c>
      <c r="AP3917">
        <v>0</v>
      </c>
      <c r="AQ3917">
        <v>0</v>
      </c>
      <c r="AR3917">
        <v>0</v>
      </c>
      <c r="AS3917">
        <v>0</v>
      </c>
      <c r="AT3917">
        <v>0</v>
      </c>
      <c r="AU3917">
        <f t="shared" si="120"/>
        <v>0</v>
      </c>
      <c r="AV3917">
        <f t="shared" si="121"/>
        <v>0</v>
      </c>
    </row>
    <row r="3918" spans="1:48" x14ac:dyDescent="0.25">
      <c r="A3918" t="s">
        <v>12125</v>
      </c>
      <c r="B3918" t="s">
        <v>12125</v>
      </c>
      <c r="C3918" t="s">
        <v>12126</v>
      </c>
      <c r="D3918" t="s">
        <v>12127</v>
      </c>
      <c r="E3918" t="s">
        <v>2310</v>
      </c>
      <c r="F3918">
        <v>15</v>
      </c>
      <c r="G3918">
        <v>15.1</v>
      </c>
      <c r="H3918" t="s">
        <v>2022</v>
      </c>
      <c r="I3918" s="21">
        <v>41761.573958333298</v>
      </c>
      <c r="J3918">
        <v>2014</v>
      </c>
      <c r="K3918" s="21">
        <v>41800.684687499997</v>
      </c>
      <c r="L3918">
        <v>2014</v>
      </c>
      <c r="O3918" s="21">
        <v>43116.5944212963</v>
      </c>
      <c r="Q3918" s="262">
        <v>150000</v>
      </c>
      <c r="R3918" s="262">
        <v>108000</v>
      </c>
      <c r="S3918" t="s">
        <v>114</v>
      </c>
      <c r="T3918" t="s">
        <v>114</v>
      </c>
      <c r="V3918">
        <v>463</v>
      </c>
      <c r="W3918">
        <v>198</v>
      </c>
      <c r="X3918">
        <v>0</v>
      </c>
      <c r="Y3918">
        <v>0</v>
      </c>
      <c r="Z3918">
        <v>0</v>
      </c>
      <c r="AA3918">
        <v>0</v>
      </c>
      <c r="AB3918">
        <v>0</v>
      </c>
      <c r="AC3918">
        <v>198</v>
      </c>
      <c r="AD3918">
        <v>0</v>
      </c>
      <c r="AE3918">
        <v>0</v>
      </c>
      <c r="AF3918">
        <v>0</v>
      </c>
      <c r="AG3918">
        <v>0</v>
      </c>
      <c r="AH3918">
        <v>0</v>
      </c>
      <c r="AI3918">
        <v>0</v>
      </c>
      <c r="AJ3918">
        <v>0</v>
      </c>
      <c r="AK3918">
        <v>0</v>
      </c>
      <c r="AL3918">
        <v>0</v>
      </c>
      <c r="AM3918">
        <v>0</v>
      </c>
      <c r="AN3918">
        <v>0</v>
      </c>
      <c r="AO3918">
        <v>0</v>
      </c>
      <c r="AP3918">
        <v>0</v>
      </c>
      <c r="AQ3918">
        <v>0</v>
      </c>
      <c r="AR3918">
        <v>0</v>
      </c>
      <c r="AS3918">
        <v>0</v>
      </c>
      <c r="AT3918">
        <v>0</v>
      </c>
      <c r="AU3918">
        <f t="shared" si="120"/>
        <v>0</v>
      </c>
      <c r="AV3918">
        <f t="shared" si="121"/>
        <v>0</v>
      </c>
    </row>
    <row r="3919" spans="1:48" x14ac:dyDescent="0.25">
      <c r="A3919" t="s">
        <v>12128</v>
      </c>
      <c r="B3919" t="s">
        <v>12128</v>
      </c>
      <c r="C3919" t="s">
        <v>12129</v>
      </c>
      <c r="D3919" t="s">
        <v>12130</v>
      </c>
      <c r="E3919" t="s">
        <v>2310</v>
      </c>
      <c r="F3919">
        <v>15</v>
      </c>
      <c r="G3919">
        <v>15.4</v>
      </c>
      <c r="H3919" t="s">
        <v>2323</v>
      </c>
      <c r="I3919" s="21">
        <v>41761.640543981499</v>
      </c>
      <c r="J3919">
        <v>2014</v>
      </c>
      <c r="K3919" s="21">
        <v>41795.339212963001</v>
      </c>
      <c r="L3919">
        <v>2014</v>
      </c>
      <c r="M3919" s="21">
        <v>42055.550300925897</v>
      </c>
      <c r="N3919">
        <v>2015</v>
      </c>
      <c r="Q3919" s="262">
        <v>200000</v>
      </c>
      <c r="R3919" s="262">
        <v>167000</v>
      </c>
      <c r="S3919" t="s">
        <v>114</v>
      </c>
      <c r="T3919" t="s">
        <v>114</v>
      </c>
      <c r="V3919">
        <v>0</v>
      </c>
      <c r="W3919">
        <v>1974</v>
      </c>
      <c r="X3919">
        <v>1</v>
      </c>
      <c r="Y3919">
        <v>0</v>
      </c>
      <c r="Z3919">
        <v>0</v>
      </c>
      <c r="AA3919">
        <v>0</v>
      </c>
      <c r="AB3919">
        <v>0</v>
      </c>
      <c r="AC3919">
        <v>1048</v>
      </c>
      <c r="AD3919">
        <v>0</v>
      </c>
      <c r="AE3919">
        <v>0</v>
      </c>
      <c r="AF3919">
        <v>926</v>
      </c>
      <c r="AG3919">
        <v>0</v>
      </c>
      <c r="AH3919">
        <v>0</v>
      </c>
      <c r="AI3919">
        <v>0</v>
      </c>
      <c r="AJ3919">
        <v>0</v>
      </c>
      <c r="AK3919">
        <v>0</v>
      </c>
      <c r="AL3919">
        <v>0</v>
      </c>
      <c r="AM3919">
        <v>0</v>
      </c>
      <c r="AN3919">
        <v>0</v>
      </c>
      <c r="AO3919">
        <v>0</v>
      </c>
      <c r="AP3919">
        <v>0</v>
      </c>
      <c r="AQ3919">
        <v>0</v>
      </c>
      <c r="AR3919">
        <v>1</v>
      </c>
      <c r="AS3919">
        <v>0</v>
      </c>
      <c r="AT3919">
        <v>0</v>
      </c>
      <c r="AU3919">
        <f t="shared" si="120"/>
        <v>0</v>
      </c>
      <c r="AV3919">
        <f t="shared" si="121"/>
        <v>0</v>
      </c>
    </row>
    <row r="3920" spans="1:48" x14ac:dyDescent="0.25">
      <c r="A3920" t="s">
        <v>12131</v>
      </c>
      <c r="C3920" t="s">
        <v>12132</v>
      </c>
      <c r="D3920" t="s">
        <v>3318</v>
      </c>
      <c r="E3920" t="s">
        <v>1663</v>
      </c>
      <c r="F3920">
        <v>5</v>
      </c>
      <c r="G3920">
        <v>5.5</v>
      </c>
      <c r="H3920" t="s">
        <v>2017</v>
      </c>
      <c r="I3920" s="21">
        <v>41766</v>
      </c>
      <c r="J3920">
        <v>2014</v>
      </c>
      <c r="K3920" s="21">
        <v>41800</v>
      </c>
      <c r="L3920">
        <v>2014</v>
      </c>
      <c r="M3920" s="21">
        <v>42173</v>
      </c>
      <c r="N3920">
        <v>2015</v>
      </c>
      <c r="Q3920" s="262">
        <v>130000</v>
      </c>
      <c r="S3920" t="s">
        <v>114</v>
      </c>
      <c r="T3920" t="s">
        <v>114</v>
      </c>
      <c r="W3920">
        <v>0</v>
      </c>
      <c r="X3920">
        <v>0</v>
      </c>
      <c r="Y3920">
        <v>0</v>
      </c>
      <c r="Z3920">
        <v>0</v>
      </c>
      <c r="AA3920">
        <v>0</v>
      </c>
      <c r="AB3920">
        <v>0</v>
      </c>
      <c r="AC3920">
        <v>0</v>
      </c>
      <c r="AD3920">
        <v>0</v>
      </c>
      <c r="AE3920">
        <v>0</v>
      </c>
      <c r="AF3920">
        <v>0</v>
      </c>
      <c r="AG3920">
        <v>0</v>
      </c>
      <c r="AH3920">
        <v>0</v>
      </c>
      <c r="AI3920">
        <v>0</v>
      </c>
      <c r="AJ3920">
        <v>0</v>
      </c>
      <c r="AK3920">
        <v>0</v>
      </c>
      <c r="AL3920">
        <v>0</v>
      </c>
      <c r="AM3920">
        <v>0</v>
      </c>
      <c r="AN3920">
        <v>0</v>
      </c>
      <c r="AO3920">
        <v>0</v>
      </c>
      <c r="AP3920">
        <v>0</v>
      </c>
      <c r="AQ3920">
        <v>0</v>
      </c>
      <c r="AR3920">
        <v>0</v>
      </c>
      <c r="AS3920">
        <v>0</v>
      </c>
      <c r="AT3920">
        <v>0</v>
      </c>
      <c r="AU3920">
        <f t="shared" si="120"/>
        <v>0</v>
      </c>
      <c r="AV3920">
        <f t="shared" si="121"/>
        <v>0</v>
      </c>
    </row>
    <row r="3921" spans="1:48" x14ac:dyDescent="0.25">
      <c r="A3921" t="s">
        <v>12133</v>
      </c>
      <c r="B3921" t="s">
        <v>12133</v>
      </c>
      <c r="C3921" t="s">
        <v>12134</v>
      </c>
      <c r="D3921" t="s">
        <v>12135</v>
      </c>
      <c r="E3921" t="s">
        <v>2310</v>
      </c>
      <c r="F3921">
        <v>9</v>
      </c>
      <c r="G3921">
        <v>9.3000000000000007</v>
      </c>
      <c r="H3921" t="s">
        <v>2323</v>
      </c>
      <c r="I3921" s="21">
        <v>41767.632418981499</v>
      </c>
      <c r="J3921">
        <v>2014</v>
      </c>
      <c r="K3921" s="21">
        <v>41781.425960648201</v>
      </c>
      <c r="L3921">
        <v>2014</v>
      </c>
      <c r="M3921" s="21">
        <v>42041.534525463001</v>
      </c>
      <c r="N3921">
        <v>2015</v>
      </c>
      <c r="Q3921" s="262">
        <v>245000</v>
      </c>
      <c r="R3921" s="262">
        <v>146000</v>
      </c>
      <c r="S3921" t="s">
        <v>114</v>
      </c>
      <c r="T3921" t="s">
        <v>114</v>
      </c>
      <c r="V3921">
        <v>0</v>
      </c>
      <c r="W3921">
        <v>1681</v>
      </c>
      <c r="X3921">
        <v>1</v>
      </c>
      <c r="Y3921">
        <v>0</v>
      </c>
      <c r="Z3921">
        <v>0</v>
      </c>
      <c r="AA3921">
        <v>0</v>
      </c>
      <c r="AB3921">
        <v>0</v>
      </c>
      <c r="AC3921">
        <v>683</v>
      </c>
      <c r="AD3921">
        <v>0</v>
      </c>
      <c r="AE3921">
        <v>0</v>
      </c>
      <c r="AF3921">
        <v>998</v>
      </c>
      <c r="AG3921">
        <v>0</v>
      </c>
      <c r="AH3921">
        <v>0</v>
      </c>
      <c r="AI3921">
        <v>0</v>
      </c>
      <c r="AJ3921">
        <v>0</v>
      </c>
      <c r="AK3921">
        <v>0</v>
      </c>
      <c r="AL3921">
        <v>0</v>
      </c>
      <c r="AM3921">
        <v>0</v>
      </c>
      <c r="AN3921">
        <v>0</v>
      </c>
      <c r="AO3921">
        <v>0</v>
      </c>
      <c r="AP3921">
        <v>0</v>
      </c>
      <c r="AQ3921">
        <v>0</v>
      </c>
      <c r="AR3921">
        <v>1</v>
      </c>
      <c r="AS3921">
        <v>0</v>
      </c>
      <c r="AT3921">
        <v>0</v>
      </c>
      <c r="AU3921">
        <f t="shared" si="120"/>
        <v>0</v>
      </c>
      <c r="AV3921">
        <f t="shared" si="121"/>
        <v>0</v>
      </c>
    </row>
    <row r="3922" spans="1:48" x14ac:dyDescent="0.25">
      <c r="A3922" t="s">
        <v>12136</v>
      </c>
      <c r="B3922" t="s">
        <v>12136</v>
      </c>
      <c r="C3922" t="s">
        <v>12137</v>
      </c>
      <c r="D3922" t="s">
        <v>9977</v>
      </c>
      <c r="E3922" t="s">
        <v>2310</v>
      </c>
      <c r="F3922">
        <v>10</v>
      </c>
      <c r="G3922">
        <v>10.1</v>
      </c>
      <c r="H3922" t="s">
        <v>2323</v>
      </c>
      <c r="I3922" s="21">
        <v>41768.545358796298</v>
      </c>
      <c r="J3922">
        <v>2014</v>
      </c>
      <c r="K3922" s="21">
        <v>41792.515196759297</v>
      </c>
      <c r="L3922">
        <v>2014</v>
      </c>
      <c r="M3922" s="21">
        <v>42003.438877314802</v>
      </c>
      <c r="N3922">
        <v>2014</v>
      </c>
      <c r="Q3922" s="262">
        <v>120000</v>
      </c>
      <c r="R3922" s="262">
        <v>105000</v>
      </c>
      <c r="S3922" t="s">
        <v>114</v>
      </c>
      <c r="T3922" t="s">
        <v>114</v>
      </c>
      <c r="V3922">
        <v>0</v>
      </c>
      <c r="W3922">
        <v>946</v>
      </c>
      <c r="X3922">
        <v>0</v>
      </c>
      <c r="Y3922">
        <v>0</v>
      </c>
      <c r="Z3922">
        <v>0</v>
      </c>
      <c r="AA3922">
        <v>0</v>
      </c>
      <c r="AB3922">
        <v>0</v>
      </c>
      <c r="AC3922">
        <v>946</v>
      </c>
      <c r="AD3922">
        <v>0</v>
      </c>
      <c r="AE3922">
        <v>0</v>
      </c>
      <c r="AF3922">
        <v>0</v>
      </c>
      <c r="AG3922">
        <v>0</v>
      </c>
      <c r="AH3922">
        <v>0</v>
      </c>
      <c r="AI3922">
        <v>0</v>
      </c>
      <c r="AJ3922">
        <v>0</v>
      </c>
      <c r="AK3922">
        <v>0</v>
      </c>
      <c r="AL3922">
        <v>0</v>
      </c>
      <c r="AM3922">
        <v>0</v>
      </c>
      <c r="AN3922">
        <v>0</v>
      </c>
      <c r="AO3922">
        <v>0</v>
      </c>
      <c r="AP3922">
        <v>0</v>
      </c>
      <c r="AQ3922">
        <v>0</v>
      </c>
      <c r="AR3922">
        <v>0</v>
      </c>
      <c r="AS3922">
        <v>0</v>
      </c>
      <c r="AT3922">
        <v>0</v>
      </c>
      <c r="AU3922">
        <f t="shared" si="120"/>
        <v>0</v>
      </c>
      <c r="AV3922">
        <f t="shared" si="121"/>
        <v>0</v>
      </c>
    </row>
    <row r="3923" spans="1:48" x14ac:dyDescent="0.25">
      <c r="A3923" t="s">
        <v>12138</v>
      </c>
      <c r="B3923" t="s">
        <v>12138</v>
      </c>
      <c r="C3923" t="s">
        <v>12139</v>
      </c>
      <c r="D3923" t="s">
        <v>8894</v>
      </c>
      <c r="E3923" t="s">
        <v>2310</v>
      </c>
      <c r="F3923">
        <v>7</v>
      </c>
      <c r="G3923">
        <v>7.1</v>
      </c>
      <c r="H3923" t="s">
        <v>2017</v>
      </c>
      <c r="I3923" s="21">
        <v>41768.564085648097</v>
      </c>
      <c r="J3923">
        <v>2014</v>
      </c>
      <c r="K3923" s="21">
        <v>41793.660543981503</v>
      </c>
      <c r="L3923">
        <v>2014</v>
      </c>
      <c r="M3923" s="21">
        <v>41943.6182638889</v>
      </c>
      <c r="N3923">
        <v>2014</v>
      </c>
      <c r="Q3923" s="262">
        <v>45000</v>
      </c>
      <c r="R3923" s="262">
        <v>2000</v>
      </c>
      <c r="S3923" t="s">
        <v>114</v>
      </c>
      <c r="T3923" t="s">
        <v>114</v>
      </c>
      <c r="V3923">
        <v>0</v>
      </c>
      <c r="W3923">
        <v>25</v>
      </c>
      <c r="X3923">
        <v>0</v>
      </c>
      <c r="Y3923">
        <v>0</v>
      </c>
      <c r="Z3923">
        <v>0</v>
      </c>
      <c r="AA3923">
        <v>0</v>
      </c>
      <c r="AB3923">
        <v>0</v>
      </c>
      <c r="AC3923">
        <v>0</v>
      </c>
      <c r="AD3923">
        <v>0</v>
      </c>
      <c r="AE3923">
        <v>0</v>
      </c>
      <c r="AF3923">
        <v>0</v>
      </c>
      <c r="AG3923">
        <v>0</v>
      </c>
      <c r="AH3923">
        <v>0</v>
      </c>
      <c r="AI3923">
        <v>0</v>
      </c>
      <c r="AJ3923">
        <v>0</v>
      </c>
      <c r="AK3923">
        <v>0</v>
      </c>
      <c r="AL3923">
        <v>25</v>
      </c>
      <c r="AM3923">
        <v>0</v>
      </c>
      <c r="AN3923">
        <v>0</v>
      </c>
      <c r="AO3923">
        <v>0</v>
      </c>
      <c r="AP3923">
        <v>0</v>
      </c>
      <c r="AQ3923">
        <v>0</v>
      </c>
      <c r="AR3923">
        <v>0</v>
      </c>
      <c r="AS3923">
        <v>0</v>
      </c>
      <c r="AT3923">
        <v>0</v>
      </c>
      <c r="AU3923">
        <f t="shared" si="120"/>
        <v>0</v>
      </c>
      <c r="AV3923">
        <f t="shared" si="121"/>
        <v>25</v>
      </c>
    </row>
    <row r="3924" spans="1:48" x14ac:dyDescent="0.25">
      <c r="A3924" t="s">
        <v>12140</v>
      </c>
      <c r="C3924" t="s">
        <v>12141</v>
      </c>
      <c r="D3924" t="s">
        <v>12142</v>
      </c>
      <c r="E3924" t="s">
        <v>1663</v>
      </c>
      <c r="F3924">
        <v>6</v>
      </c>
      <c r="G3924">
        <v>6.1</v>
      </c>
      <c r="H3924" t="s">
        <v>2017</v>
      </c>
      <c r="I3924" s="21">
        <v>41771</v>
      </c>
      <c r="J3924">
        <v>2014</v>
      </c>
      <c r="K3924" s="21">
        <v>41782</v>
      </c>
      <c r="L3924">
        <v>2014</v>
      </c>
      <c r="M3924" s="21">
        <v>41893</v>
      </c>
      <c r="N3924">
        <v>2014</v>
      </c>
      <c r="Q3924" s="262">
        <v>60000</v>
      </c>
      <c r="S3924" t="s">
        <v>114</v>
      </c>
      <c r="T3924" t="s">
        <v>114</v>
      </c>
      <c r="V3924">
        <v>0</v>
      </c>
      <c r="W3924">
        <v>0</v>
      </c>
      <c r="X3924">
        <v>0</v>
      </c>
      <c r="Y3924">
        <v>0</v>
      </c>
      <c r="Z3924">
        <v>0</v>
      </c>
      <c r="AA3924">
        <v>0</v>
      </c>
      <c r="AB3924">
        <v>0</v>
      </c>
      <c r="AC3924">
        <v>0</v>
      </c>
      <c r="AD3924">
        <v>0</v>
      </c>
      <c r="AE3924">
        <v>0</v>
      </c>
      <c r="AF3924">
        <v>0</v>
      </c>
      <c r="AG3924">
        <v>0</v>
      </c>
      <c r="AH3924">
        <v>0</v>
      </c>
      <c r="AI3924">
        <v>0</v>
      </c>
      <c r="AJ3924">
        <v>0</v>
      </c>
      <c r="AK3924">
        <v>0</v>
      </c>
      <c r="AL3924">
        <v>0</v>
      </c>
      <c r="AM3924">
        <v>0</v>
      </c>
      <c r="AN3924">
        <v>0</v>
      </c>
      <c r="AO3924">
        <v>0</v>
      </c>
      <c r="AP3924">
        <v>0</v>
      </c>
      <c r="AQ3924">
        <v>0</v>
      </c>
      <c r="AR3924">
        <v>0</v>
      </c>
      <c r="AS3924">
        <v>0</v>
      </c>
      <c r="AT3924">
        <v>0</v>
      </c>
      <c r="AU3924">
        <f t="shared" si="120"/>
        <v>0</v>
      </c>
      <c r="AV3924">
        <f t="shared" si="121"/>
        <v>0</v>
      </c>
    </row>
    <row r="3925" spans="1:48" x14ac:dyDescent="0.25">
      <c r="A3925" t="s">
        <v>12143</v>
      </c>
      <c r="B3925" t="s">
        <v>12143</v>
      </c>
      <c r="C3925" t="s">
        <v>12144</v>
      </c>
      <c r="D3925" t="s">
        <v>12145</v>
      </c>
      <c r="E3925" t="s">
        <v>2310</v>
      </c>
      <c r="F3925">
        <v>7</v>
      </c>
      <c r="G3925">
        <v>7.1</v>
      </c>
      <c r="H3925" t="s">
        <v>2017</v>
      </c>
      <c r="I3925" s="21">
        <v>41772.533750000002</v>
      </c>
      <c r="J3925">
        <v>2014</v>
      </c>
      <c r="K3925" s="21">
        <v>41835.4703703704</v>
      </c>
      <c r="L3925">
        <v>2014</v>
      </c>
      <c r="P3925" s="21">
        <v>42439.643090277801</v>
      </c>
      <c r="Q3925" s="262">
        <v>184000</v>
      </c>
      <c r="R3925" s="262">
        <v>125000</v>
      </c>
      <c r="S3925" t="s">
        <v>114</v>
      </c>
      <c r="T3925" t="s">
        <v>114</v>
      </c>
      <c r="V3925">
        <v>0</v>
      </c>
      <c r="W3925">
        <v>0</v>
      </c>
      <c r="X3925">
        <v>0</v>
      </c>
      <c r="Y3925">
        <v>0</v>
      </c>
      <c r="Z3925">
        <v>0</v>
      </c>
      <c r="AA3925">
        <v>0</v>
      </c>
      <c r="AB3925">
        <v>0</v>
      </c>
      <c r="AC3925">
        <v>0</v>
      </c>
      <c r="AD3925">
        <v>0</v>
      </c>
      <c r="AE3925">
        <v>0</v>
      </c>
      <c r="AF3925">
        <v>0</v>
      </c>
      <c r="AG3925">
        <v>0</v>
      </c>
      <c r="AH3925">
        <v>0</v>
      </c>
      <c r="AI3925">
        <v>0</v>
      </c>
      <c r="AJ3925">
        <v>0</v>
      </c>
      <c r="AK3925">
        <v>0</v>
      </c>
      <c r="AL3925">
        <v>0</v>
      </c>
      <c r="AM3925">
        <v>0</v>
      </c>
      <c r="AN3925">
        <v>0</v>
      </c>
      <c r="AO3925">
        <v>0</v>
      </c>
      <c r="AP3925">
        <v>0</v>
      </c>
      <c r="AQ3925">
        <v>0</v>
      </c>
      <c r="AR3925">
        <v>0</v>
      </c>
      <c r="AS3925">
        <v>0</v>
      </c>
      <c r="AT3925">
        <v>0</v>
      </c>
      <c r="AU3925">
        <f t="shared" si="120"/>
        <v>0</v>
      </c>
      <c r="AV3925">
        <f t="shared" si="121"/>
        <v>0</v>
      </c>
    </row>
    <row r="3926" spans="1:48" x14ac:dyDescent="0.25">
      <c r="A3926" t="s">
        <v>12146</v>
      </c>
      <c r="C3926" t="s">
        <v>12147</v>
      </c>
      <c r="D3926" t="s">
        <v>12148</v>
      </c>
      <c r="E3926" t="s">
        <v>1663</v>
      </c>
      <c r="F3926">
        <v>3</v>
      </c>
      <c r="G3926">
        <v>3.2</v>
      </c>
      <c r="H3926" t="s">
        <v>2327</v>
      </c>
      <c r="I3926" s="21">
        <v>41774</v>
      </c>
      <c r="J3926">
        <v>2014</v>
      </c>
      <c r="K3926" s="21">
        <v>41794</v>
      </c>
      <c r="L3926">
        <v>2014</v>
      </c>
      <c r="P3926" s="21">
        <v>41876</v>
      </c>
      <c r="Q3926" s="262">
        <v>5000</v>
      </c>
      <c r="S3926" t="s">
        <v>114</v>
      </c>
      <c r="T3926" t="s">
        <v>114</v>
      </c>
      <c r="V3926">
        <v>0</v>
      </c>
      <c r="W3926">
        <v>0</v>
      </c>
      <c r="X3926">
        <v>0</v>
      </c>
      <c r="Y3926">
        <v>0</v>
      </c>
      <c r="Z3926">
        <v>0</v>
      </c>
      <c r="AA3926">
        <v>0</v>
      </c>
      <c r="AB3926">
        <v>0</v>
      </c>
      <c r="AC3926">
        <v>0</v>
      </c>
      <c r="AD3926">
        <v>0</v>
      </c>
      <c r="AE3926">
        <v>0</v>
      </c>
      <c r="AF3926">
        <v>0</v>
      </c>
      <c r="AG3926">
        <v>0</v>
      </c>
      <c r="AH3926">
        <v>0</v>
      </c>
      <c r="AI3926">
        <v>0</v>
      </c>
      <c r="AJ3926">
        <v>0</v>
      </c>
      <c r="AK3926">
        <v>0</v>
      </c>
      <c r="AL3926">
        <v>0</v>
      </c>
      <c r="AM3926">
        <v>0</v>
      </c>
      <c r="AN3926">
        <v>0</v>
      </c>
      <c r="AO3926">
        <v>0</v>
      </c>
      <c r="AP3926">
        <v>0</v>
      </c>
      <c r="AQ3926">
        <v>0</v>
      </c>
      <c r="AR3926">
        <v>0</v>
      </c>
      <c r="AS3926">
        <v>0</v>
      </c>
      <c r="AT3926">
        <v>0</v>
      </c>
      <c r="AU3926">
        <f t="shared" si="120"/>
        <v>0</v>
      </c>
      <c r="AV3926">
        <f t="shared" si="121"/>
        <v>0</v>
      </c>
    </row>
    <row r="3927" spans="1:48" x14ac:dyDescent="0.25">
      <c r="A3927" t="s">
        <v>12149</v>
      </c>
      <c r="B3927" t="s">
        <v>12149</v>
      </c>
      <c r="C3927" t="s">
        <v>12150</v>
      </c>
      <c r="D3927" t="s">
        <v>2435</v>
      </c>
      <c r="E3927" t="s">
        <v>2310</v>
      </c>
      <c r="F3927">
        <v>8</v>
      </c>
      <c r="G3927">
        <v>8.1999999999999993</v>
      </c>
      <c r="H3927" t="s">
        <v>2022</v>
      </c>
      <c r="I3927" s="21">
        <v>41774.6813078704</v>
      </c>
      <c r="J3927">
        <v>2014</v>
      </c>
      <c r="K3927" s="21">
        <v>41816.353020833303</v>
      </c>
      <c r="L3927">
        <v>2014</v>
      </c>
      <c r="M3927" s="21">
        <v>42159.472453703696</v>
      </c>
      <c r="N3927">
        <v>2015</v>
      </c>
      <c r="Q3927" s="262">
        <v>500000</v>
      </c>
      <c r="R3927" s="262">
        <v>447000</v>
      </c>
      <c r="S3927" t="s">
        <v>114</v>
      </c>
      <c r="T3927" t="s">
        <v>114</v>
      </c>
      <c r="V3927">
        <v>0</v>
      </c>
      <c r="W3927">
        <v>5184</v>
      </c>
      <c r="X3927">
        <v>1</v>
      </c>
      <c r="Y3927">
        <v>0</v>
      </c>
      <c r="Z3927">
        <v>0</v>
      </c>
      <c r="AA3927">
        <v>0</v>
      </c>
      <c r="AB3927">
        <v>0</v>
      </c>
      <c r="AC3927">
        <v>5184</v>
      </c>
      <c r="AD3927">
        <v>0</v>
      </c>
      <c r="AE3927">
        <v>0</v>
      </c>
      <c r="AF3927">
        <v>0</v>
      </c>
      <c r="AG3927">
        <v>0</v>
      </c>
      <c r="AH3927">
        <v>0</v>
      </c>
      <c r="AI3927">
        <v>0</v>
      </c>
      <c r="AJ3927">
        <v>0</v>
      </c>
      <c r="AK3927">
        <v>0</v>
      </c>
      <c r="AL3927">
        <v>0</v>
      </c>
      <c r="AM3927">
        <v>0</v>
      </c>
      <c r="AN3927">
        <v>0</v>
      </c>
      <c r="AO3927">
        <v>1</v>
      </c>
      <c r="AP3927">
        <v>0</v>
      </c>
      <c r="AQ3927">
        <v>0</v>
      </c>
      <c r="AR3927">
        <v>0</v>
      </c>
      <c r="AS3927">
        <v>0</v>
      </c>
      <c r="AT3927">
        <v>0</v>
      </c>
      <c r="AU3927">
        <f t="shared" si="120"/>
        <v>1</v>
      </c>
      <c r="AV3927">
        <f t="shared" si="121"/>
        <v>0</v>
      </c>
    </row>
    <row r="3928" spans="1:48" x14ac:dyDescent="0.25">
      <c r="A3928" t="s">
        <v>12151</v>
      </c>
      <c r="B3928" t="s">
        <v>12151</v>
      </c>
      <c r="C3928" t="s">
        <v>7880</v>
      </c>
      <c r="D3928" t="s">
        <v>2435</v>
      </c>
      <c r="E3928" t="s">
        <v>2310</v>
      </c>
      <c r="F3928">
        <v>8</v>
      </c>
      <c r="G3928">
        <v>8.1999999999999993</v>
      </c>
      <c r="H3928" t="s">
        <v>2022</v>
      </c>
      <c r="I3928" s="21">
        <v>41774.697210648097</v>
      </c>
      <c r="J3928">
        <v>2014</v>
      </c>
      <c r="K3928" s="21">
        <v>41828.672650462999</v>
      </c>
      <c r="L3928">
        <v>2014</v>
      </c>
      <c r="M3928" s="21">
        <v>42236.686087962997</v>
      </c>
      <c r="N3928">
        <v>2015</v>
      </c>
      <c r="Q3928" s="262">
        <v>100000</v>
      </c>
      <c r="R3928" s="262">
        <v>74000</v>
      </c>
      <c r="S3928" t="s">
        <v>114</v>
      </c>
      <c r="T3928" t="s">
        <v>114</v>
      </c>
      <c r="V3928">
        <v>0</v>
      </c>
      <c r="W3928">
        <v>1728</v>
      </c>
      <c r="X3928">
        <v>0</v>
      </c>
      <c r="Y3928">
        <v>0</v>
      </c>
      <c r="Z3928">
        <v>0</v>
      </c>
      <c r="AA3928">
        <v>0</v>
      </c>
      <c r="AB3928">
        <v>0</v>
      </c>
      <c r="AC3928">
        <v>1728</v>
      </c>
      <c r="AD3928">
        <v>0</v>
      </c>
      <c r="AE3928">
        <v>0</v>
      </c>
      <c r="AF3928">
        <v>0</v>
      </c>
      <c r="AG3928">
        <v>0</v>
      </c>
      <c r="AH3928">
        <v>0</v>
      </c>
      <c r="AI3928">
        <v>0</v>
      </c>
      <c r="AJ3928">
        <v>0</v>
      </c>
      <c r="AK3928">
        <v>0</v>
      </c>
      <c r="AL3928">
        <v>0</v>
      </c>
      <c r="AM3928">
        <v>0</v>
      </c>
      <c r="AN3928">
        <v>0</v>
      </c>
      <c r="AO3928">
        <v>0</v>
      </c>
      <c r="AP3928">
        <v>0</v>
      </c>
      <c r="AQ3928">
        <v>0</v>
      </c>
      <c r="AR3928">
        <v>0</v>
      </c>
      <c r="AS3928">
        <v>0</v>
      </c>
      <c r="AT3928">
        <v>0</v>
      </c>
      <c r="AU3928">
        <f t="shared" si="120"/>
        <v>0</v>
      </c>
      <c r="AV3928">
        <f t="shared" si="121"/>
        <v>0</v>
      </c>
    </row>
    <row r="3929" spans="1:48" x14ac:dyDescent="0.25">
      <c r="A3929" t="s">
        <v>12152</v>
      </c>
      <c r="B3929" t="s">
        <v>12152</v>
      </c>
      <c r="C3929" t="s">
        <v>10128</v>
      </c>
      <c r="D3929" t="s">
        <v>12153</v>
      </c>
      <c r="E3929" t="s">
        <v>2310</v>
      </c>
      <c r="F3929">
        <v>10</v>
      </c>
      <c r="G3929">
        <v>10.1</v>
      </c>
      <c r="H3929" t="s">
        <v>2323</v>
      </c>
      <c r="I3929" s="21">
        <v>41775.572083333303</v>
      </c>
      <c r="J3929">
        <v>2014</v>
      </c>
      <c r="K3929" s="21">
        <v>41808.494421296302</v>
      </c>
      <c r="L3929">
        <v>2014</v>
      </c>
      <c r="M3929" s="21">
        <v>42212.361643518503</v>
      </c>
      <c r="N3929">
        <v>2015</v>
      </c>
      <c r="Q3929" s="262">
        <v>469000</v>
      </c>
      <c r="R3929" s="262">
        <v>465000</v>
      </c>
      <c r="S3929" t="s">
        <v>114</v>
      </c>
      <c r="T3929" t="s">
        <v>114</v>
      </c>
      <c r="V3929">
        <v>0</v>
      </c>
      <c r="W3929">
        <v>4550</v>
      </c>
      <c r="X3929">
        <v>1</v>
      </c>
      <c r="Y3929">
        <v>0</v>
      </c>
      <c r="Z3929">
        <v>0</v>
      </c>
      <c r="AA3929">
        <v>0</v>
      </c>
      <c r="AB3929">
        <v>0</v>
      </c>
      <c r="AC3929">
        <v>4550</v>
      </c>
      <c r="AD3929">
        <v>0</v>
      </c>
      <c r="AE3929">
        <v>0</v>
      </c>
      <c r="AF3929">
        <v>0</v>
      </c>
      <c r="AG3929">
        <v>0</v>
      </c>
      <c r="AH3929">
        <v>0</v>
      </c>
      <c r="AI3929">
        <v>0</v>
      </c>
      <c r="AJ3929">
        <v>0</v>
      </c>
      <c r="AK3929">
        <v>0</v>
      </c>
      <c r="AL3929">
        <v>0</v>
      </c>
      <c r="AM3929">
        <v>0</v>
      </c>
      <c r="AN3929">
        <v>0</v>
      </c>
      <c r="AO3929">
        <v>1</v>
      </c>
      <c r="AP3929">
        <v>0</v>
      </c>
      <c r="AQ3929">
        <v>0</v>
      </c>
      <c r="AR3929">
        <v>0</v>
      </c>
      <c r="AS3929">
        <v>0</v>
      </c>
      <c r="AT3929">
        <v>0</v>
      </c>
      <c r="AU3929">
        <f t="shared" ref="AU3929:AU3992" si="122">SUM(AN3929:AQ3929,AS3929)</f>
        <v>1</v>
      </c>
      <c r="AV3929">
        <f t="shared" ref="AV3929:AV3992" si="123">SUM(Y3929:AB3929,AH3929:AM3929)</f>
        <v>0</v>
      </c>
    </row>
    <row r="3930" spans="1:48" x14ac:dyDescent="0.25">
      <c r="A3930" t="s">
        <v>12154</v>
      </c>
      <c r="B3930" t="s">
        <v>12154</v>
      </c>
      <c r="C3930" t="s">
        <v>12155</v>
      </c>
      <c r="D3930" t="s">
        <v>4294</v>
      </c>
      <c r="E3930" t="s">
        <v>2310</v>
      </c>
      <c r="F3930">
        <v>8</v>
      </c>
      <c r="G3930">
        <v>8.1</v>
      </c>
      <c r="H3930" t="s">
        <v>2323</v>
      </c>
      <c r="I3930" s="21">
        <v>41775.643414351798</v>
      </c>
      <c r="J3930">
        <v>2014</v>
      </c>
      <c r="K3930" s="21">
        <v>41821.3691666667</v>
      </c>
      <c r="L3930">
        <v>2014</v>
      </c>
      <c r="M3930" s="21">
        <v>42081.621226851901</v>
      </c>
      <c r="N3930">
        <v>2015</v>
      </c>
      <c r="Q3930" s="262">
        <v>400000</v>
      </c>
      <c r="R3930" s="262">
        <v>160000</v>
      </c>
      <c r="S3930" t="s">
        <v>114</v>
      </c>
      <c r="T3930" t="s">
        <v>114</v>
      </c>
      <c r="V3930">
        <v>0</v>
      </c>
      <c r="W3930">
        <v>1863</v>
      </c>
      <c r="X3930">
        <v>1</v>
      </c>
      <c r="Y3930">
        <v>0</v>
      </c>
      <c r="Z3930">
        <v>0</v>
      </c>
      <c r="AA3930">
        <v>0</v>
      </c>
      <c r="AB3930">
        <v>0</v>
      </c>
      <c r="AC3930">
        <v>863</v>
      </c>
      <c r="AD3930">
        <v>0</v>
      </c>
      <c r="AE3930">
        <v>0</v>
      </c>
      <c r="AF3930">
        <v>1000</v>
      </c>
      <c r="AG3930">
        <v>0</v>
      </c>
      <c r="AH3930">
        <v>0</v>
      </c>
      <c r="AI3930">
        <v>0</v>
      </c>
      <c r="AJ3930">
        <v>0</v>
      </c>
      <c r="AK3930">
        <v>0</v>
      </c>
      <c r="AL3930">
        <v>0</v>
      </c>
      <c r="AM3930">
        <v>0</v>
      </c>
      <c r="AN3930">
        <v>0</v>
      </c>
      <c r="AO3930">
        <v>0</v>
      </c>
      <c r="AP3930">
        <v>0</v>
      </c>
      <c r="AQ3930">
        <v>0</v>
      </c>
      <c r="AR3930">
        <v>1</v>
      </c>
      <c r="AS3930">
        <v>0</v>
      </c>
      <c r="AT3930">
        <v>0</v>
      </c>
      <c r="AU3930">
        <f t="shared" si="122"/>
        <v>0</v>
      </c>
      <c r="AV3930">
        <f t="shared" si="123"/>
        <v>0</v>
      </c>
    </row>
    <row r="3931" spans="1:48" x14ac:dyDescent="0.25">
      <c r="A3931" t="s">
        <v>12156</v>
      </c>
      <c r="B3931" t="s">
        <v>12156</v>
      </c>
      <c r="C3931" t="s">
        <v>11557</v>
      </c>
      <c r="D3931" t="s">
        <v>12157</v>
      </c>
      <c r="E3931" t="s">
        <v>2310</v>
      </c>
      <c r="F3931">
        <v>10</v>
      </c>
      <c r="G3931">
        <v>10.1</v>
      </c>
      <c r="H3931" t="s">
        <v>2323</v>
      </c>
      <c r="I3931" s="21">
        <v>41779.547557870399</v>
      </c>
      <c r="J3931">
        <v>2014</v>
      </c>
      <c r="K3931" s="21">
        <v>41806.5994907407</v>
      </c>
      <c r="L3931">
        <v>2014</v>
      </c>
      <c r="M3931" s="21">
        <v>42054.392800925903</v>
      </c>
      <c r="N3931">
        <v>2015</v>
      </c>
      <c r="Q3931" s="262">
        <v>345000</v>
      </c>
      <c r="R3931" s="262">
        <v>150000</v>
      </c>
      <c r="S3931" t="s">
        <v>114</v>
      </c>
      <c r="T3931" t="s">
        <v>114</v>
      </c>
      <c r="V3931">
        <v>0</v>
      </c>
      <c r="W3931">
        <v>1548</v>
      </c>
      <c r="X3931">
        <v>1</v>
      </c>
      <c r="Y3931">
        <v>0</v>
      </c>
      <c r="Z3931">
        <v>0</v>
      </c>
      <c r="AA3931">
        <v>0</v>
      </c>
      <c r="AB3931">
        <v>0</v>
      </c>
      <c r="AC3931">
        <v>1548</v>
      </c>
      <c r="AD3931">
        <v>0</v>
      </c>
      <c r="AE3931">
        <v>0</v>
      </c>
      <c r="AF3931">
        <v>0</v>
      </c>
      <c r="AG3931">
        <v>0</v>
      </c>
      <c r="AH3931">
        <v>0</v>
      </c>
      <c r="AI3931">
        <v>0</v>
      </c>
      <c r="AJ3931">
        <v>0</v>
      </c>
      <c r="AK3931">
        <v>0</v>
      </c>
      <c r="AL3931">
        <v>0</v>
      </c>
      <c r="AM3931">
        <v>0</v>
      </c>
      <c r="AN3931">
        <v>0</v>
      </c>
      <c r="AO3931">
        <v>1</v>
      </c>
      <c r="AP3931">
        <v>0</v>
      </c>
      <c r="AQ3931">
        <v>0</v>
      </c>
      <c r="AR3931">
        <v>0</v>
      </c>
      <c r="AS3931">
        <v>0</v>
      </c>
      <c r="AT3931">
        <v>0</v>
      </c>
      <c r="AU3931">
        <f t="shared" si="122"/>
        <v>1</v>
      </c>
      <c r="AV3931">
        <f t="shared" si="123"/>
        <v>0</v>
      </c>
    </row>
    <row r="3932" spans="1:48" x14ac:dyDescent="0.25">
      <c r="A3932" t="s">
        <v>12158</v>
      </c>
      <c r="B3932" t="s">
        <v>12158</v>
      </c>
      <c r="C3932" t="s">
        <v>12159</v>
      </c>
      <c r="D3932" t="s">
        <v>12160</v>
      </c>
      <c r="E3932" t="s">
        <v>2310</v>
      </c>
      <c r="F3932">
        <v>15</v>
      </c>
      <c r="G3932">
        <v>15.1</v>
      </c>
      <c r="H3932" t="s">
        <v>2022</v>
      </c>
      <c r="I3932" s="21">
        <v>41779.679085648102</v>
      </c>
      <c r="J3932">
        <v>2014</v>
      </c>
      <c r="K3932" s="21">
        <v>41848.590138888903</v>
      </c>
      <c r="L3932">
        <v>2014</v>
      </c>
      <c r="M3932" s="21">
        <v>41991.641631944403</v>
      </c>
      <c r="N3932">
        <v>2014</v>
      </c>
      <c r="Q3932" s="262">
        <v>180000</v>
      </c>
      <c r="R3932" s="262">
        <v>179000</v>
      </c>
      <c r="S3932" t="s">
        <v>114</v>
      </c>
      <c r="T3932" t="s">
        <v>114</v>
      </c>
      <c r="V3932">
        <v>0</v>
      </c>
      <c r="W3932">
        <v>3180</v>
      </c>
      <c r="X3932">
        <v>0</v>
      </c>
      <c r="Y3932">
        <v>0</v>
      </c>
      <c r="Z3932">
        <v>0</v>
      </c>
      <c r="AA3932">
        <v>3180</v>
      </c>
      <c r="AB3932">
        <v>0</v>
      </c>
      <c r="AC3932">
        <v>0</v>
      </c>
      <c r="AD3932">
        <v>0</v>
      </c>
      <c r="AE3932">
        <v>0</v>
      </c>
      <c r="AF3932">
        <v>0</v>
      </c>
      <c r="AG3932">
        <v>0</v>
      </c>
      <c r="AH3932">
        <v>0</v>
      </c>
      <c r="AI3932">
        <v>0</v>
      </c>
      <c r="AJ3932">
        <v>0</v>
      </c>
      <c r="AK3932">
        <v>0</v>
      </c>
      <c r="AL3932">
        <v>0</v>
      </c>
      <c r="AM3932">
        <v>0</v>
      </c>
      <c r="AN3932">
        <v>0</v>
      </c>
      <c r="AO3932">
        <v>0</v>
      </c>
      <c r="AP3932">
        <v>0</v>
      </c>
      <c r="AQ3932">
        <v>0</v>
      </c>
      <c r="AR3932">
        <v>0</v>
      </c>
      <c r="AS3932">
        <v>0</v>
      </c>
      <c r="AT3932">
        <v>0</v>
      </c>
      <c r="AU3932">
        <f t="shared" si="122"/>
        <v>0</v>
      </c>
      <c r="AV3932">
        <f t="shared" si="123"/>
        <v>3180</v>
      </c>
    </row>
    <row r="3933" spans="1:48" x14ac:dyDescent="0.25">
      <c r="A3933" t="s">
        <v>12161</v>
      </c>
      <c r="C3933" t="s">
        <v>11559</v>
      </c>
      <c r="D3933" t="s">
        <v>12162</v>
      </c>
      <c r="E3933" t="s">
        <v>1663</v>
      </c>
      <c r="F3933">
        <v>6</v>
      </c>
      <c r="G3933">
        <v>6.1</v>
      </c>
      <c r="H3933" t="s">
        <v>2017</v>
      </c>
      <c r="I3933" s="21">
        <v>41780</v>
      </c>
      <c r="J3933">
        <v>2014</v>
      </c>
      <c r="K3933" s="21">
        <v>41802</v>
      </c>
      <c r="L3933">
        <v>2014</v>
      </c>
      <c r="M3933" s="21">
        <v>42193</v>
      </c>
      <c r="N3933">
        <v>2015</v>
      </c>
      <c r="Q3933" s="262">
        <v>900000</v>
      </c>
      <c r="S3933" t="s">
        <v>114</v>
      </c>
      <c r="T3933" t="s">
        <v>114</v>
      </c>
      <c r="V3933">
        <v>0</v>
      </c>
      <c r="W3933">
        <v>6112</v>
      </c>
      <c r="X3933">
        <v>1</v>
      </c>
      <c r="Y3933">
        <v>0</v>
      </c>
      <c r="Z3933">
        <v>0</v>
      </c>
      <c r="AA3933">
        <v>0</v>
      </c>
      <c r="AB3933">
        <v>0</v>
      </c>
      <c r="AC3933">
        <v>6112</v>
      </c>
      <c r="AD3933">
        <v>0</v>
      </c>
      <c r="AE3933">
        <v>0</v>
      </c>
      <c r="AF3933">
        <v>0</v>
      </c>
      <c r="AG3933">
        <v>0</v>
      </c>
      <c r="AH3933">
        <v>0</v>
      </c>
      <c r="AI3933">
        <v>0</v>
      </c>
      <c r="AJ3933">
        <v>0</v>
      </c>
      <c r="AK3933">
        <v>0</v>
      </c>
      <c r="AL3933">
        <v>0</v>
      </c>
      <c r="AM3933">
        <v>0</v>
      </c>
      <c r="AN3933">
        <v>0</v>
      </c>
      <c r="AO3933">
        <v>1</v>
      </c>
      <c r="AP3933">
        <v>0</v>
      </c>
      <c r="AQ3933">
        <v>0</v>
      </c>
      <c r="AR3933">
        <v>0</v>
      </c>
      <c r="AS3933">
        <v>0</v>
      </c>
      <c r="AT3933">
        <v>0</v>
      </c>
      <c r="AU3933">
        <f t="shared" si="122"/>
        <v>1</v>
      </c>
      <c r="AV3933">
        <f t="shared" si="123"/>
        <v>0</v>
      </c>
    </row>
    <row r="3934" spans="1:48" x14ac:dyDescent="0.25">
      <c r="A3934" t="s">
        <v>12163</v>
      </c>
      <c r="C3934" t="s">
        <v>12164</v>
      </c>
      <c r="D3934" t="s">
        <v>12165</v>
      </c>
      <c r="E3934" t="s">
        <v>1663</v>
      </c>
      <c r="F3934">
        <v>3</v>
      </c>
      <c r="G3934">
        <v>3.2</v>
      </c>
      <c r="H3934" t="s">
        <v>2327</v>
      </c>
      <c r="I3934" s="21">
        <v>41780</v>
      </c>
      <c r="J3934">
        <v>2014</v>
      </c>
      <c r="K3934" s="21">
        <v>41787</v>
      </c>
      <c r="L3934">
        <v>2014</v>
      </c>
      <c r="P3934" s="21">
        <v>42023</v>
      </c>
      <c r="Q3934" s="262">
        <v>30000</v>
      </c>
      <c r="S3934" t="s">
        <v>114</v>
      </c>
      <c r="T3934" t="s">
        <v>114</v>
      </c>
      <c r="V3934">
        <v>0</v>
      </c>
      <c r="W3934">
        <v>0</v>
      </c>
      <c r="X3934">
        <v>0</v>
      </c>
      <c r="Y3934">
        <v>0</v>
      </c>
      <c r="Z3934">
        <v>0</v>
      </c>
      <c r="AA3934">
        <v>0</v>
      </c>
      <c r="AB3934">
        <v>0</v>
      </c>
      <c r="AC3934">
        <v>0</v>
      </c>
      <c r="AD3934">
        <v>0</v>
      </c>
      <c r="AE3934">
        <v>0</v>
      </c>
      <c r="AF3934">
        <v>0</v>
      </c>
      <c r="AG3934">
        <v>0</v>
      </c>
      <c r="AH3934">
        <v>0</v>
      </c>
      <c r="AI3934">
        <v>0</v>
      </c>
      <c r="AJ3934">
        <v>0</v>
      </c>
      <c r="AK3934">
        <v>0</v>
      </c>
      <c r="AL3934">
        <v>0</v>
      </c>
      <c r="AM3934">
        <v>0</v>
      </c>
      <c r="AN3934">
        <v>0</v>
      </c>
      <c r="AO3934">
        <v>0</v>
      </c>
      <c r="AP3934">
        <v>0</v>
      </c>
      <c r="AQ3934">
        <v>0</v>
      </c>
      <c r="AR3934">
        <v>0</v>
      </c>
      <c r="AS3934">
        <v>0</v>
      </c>
      <c r="AT3934">
        <v>0</v>
      </c>
      <c r="AU3934">
        <f t="shared" si="122"/>
        <v>0</v>
      </c>
      <c r="AV3934">
        <f t="shared" si="123"/>
        <v>0</v>
      </c>
    </row>
    <row r="3935" spans="1:48" x14ac:dyDescent="0.25">
      <c r="A3935" t="s">
        <v>12166</v>
      </c>
      <c r="C3935" t="s">
        <v>12147</v>
      </c>
      <c r="D3935" t="s">
        <v>12148</v>
      </c>
      <c r="E3935" t="s">
        <v>1663</v>
      </c>
      <c r="F3935">
        <v>3</v>
      </c>
      <c r="G3935">
        <v>3.2</v>
      </c>
      <c r="H3935" t="s">
        <v>2327</v>
      </c>
      <c r="I3935" s="21">
        <v>41780</v>
      </c>
      <c r="J3935">
        <v>2014</v>
      </c>
      <c r="Q3935" s="262">
        <v>5000</v>
      </c>
      <c r="S3935" t="s">
        <v>114</v>
      </c>
      <c r="T3935" t="s">
        <v>114</v>
      </c>
      <c r="V3935">
        <v>0</v>
      </c>
      <c r="W3935">
        <v>0</v>
      </c>
      <c r="X3935">
        <v>0</v>
      </c>
      <c r="Y3935">
        <v>0</v>
      </c>
      <c r="Z3935">
        <v>0</v>
      </c>
      <c r="AA3935">
        <v>0</v>
      </c>
      <c r="AB3935">
        <v>0</v>
      </c>
      <c r="AC3935">
        <v>0</v>
      </c>
      <c r="AD3935">
        <v>0</v>
      </c>
      <c r="AE3935">
        <v>0</v>
      </c>
      <c r="AF3935">
        <v>0</v>
      </c>
      <c r="AG3935">
        <v>0</v>
      </c>
      <c r="AH3935">
        <v>0</v>
      </c>
      <c r="AI3935">
        <v>0</v>
      </c>
      <c r="AJ3935">
        <v>0</v>
      </c>
      <c r="AK3935">
        <v>0</v>
      </c>
      <c r="AL3935">
        <v>0</v>
      </c>
      <c r="AM3935">
        <v>0</v>
      </c>
      <c r="AN3935">
        <v>0</v>
      </c>
      <c r="AO3935">
        <v>0</v>
      </c>
      <c r="AP3935">
        <v>0</v>
      </c>
      <c r="AQ3935">
        <v>0</v>
      </c>
      <c r="AR3935">
        <v>0</v>
      </c>
      <c r="AS3935">
        <v>0</v>
      </c>
      <c r="AT3935">
        <v>0</v>
      </c>
      <c r="AU3935">
        <f t="shared" si="122"/>
        <v>0</v>
      </c>
      <c r="AV3935">
        <f t="shared" si="123"/>
        <v>0</v>
      </c>
    </row>
    <row r="3936" spans="1:48" x14ac:dyDescent="0.25">
      <c r="A3936" t="s">
        <v>12167</v>
      </c>
      <c r="C3936" t="s">
        <v>11246</v>
      </c>
      <c r="D3936" t="s">
        <v>12168</v>
      </c>
      <c r="E3936" t="s">
        <v>1663</v>
      </c>
      <c r="F3936">
        <v>3</v>
      </c>
      <c r="G3936">
        <v>3.1</v>
      </c>
      <c r="H3936" t="s">
        <v>2017</v>
      </c>
      <c r="I3936" s="21">
        <v>41780</v>
      </c>
      <c r="J3936">
        <v>2014</v>
      </c>
      <c r="K3936" s="21">
        <v>41822</v>
      </c>
      <c r="L3936">
        <v>2014</v>
      </c>
      <c r="M3936" s="21">
        <v>42118</v>
      </c>
      <c r="N3936">
        <v>2015</v>
      </c>
      <c r="Q3936" s="262">
        <v>300000</v>
      </c>
      <c r="S3936" t="s">
        <v>114</v>
      </c>
      <c r="T3936" t="s">
        <v>114</v>
      </c>
      <c r="V3936">
        <v>0</v>
      </c>
      <c r="W3936">
        <v>2954</v>
      </c>
      <c r="X3936">
        <v>1</v>
      </c>
      <c r="Y3936">
        <v>0</v>
      </c>
      <c r="Z3936">
        <v>0</v>
      </c>
      <c r="AA3936">
        <v>0</v>
      </c>
      <c r="AB3936">
        <v>0</v>
      </c>
      <c r="AC3936">
        <v>2954</v>
      </c>
      <c r="AD3936">
        <v>0</v>
      </c>
      <c r="AE3936">
        <v>0</v>
      </c>
      <c r="AF3936">
        <v>0</v>
      </c>
      <c r="AG3936">
        <v>0</v>
      </c>
      <c r="AH3936">
        <v>0</v>
      </c>
      <c r="AI3936">
        <v>0</v>
      </c>
      <c r="AJ3936">
        <v>0</v>
      </c>
      <c r="AK3936">
        <v>0</v>
      </c>
      <c r="AL3936">
        <v>0</v>
      </c>
      <c r="AM3936">
        <v>0</v>
      </c>
      <c r="AN3936">
        <v>0</v>
      </c>
      <c r="AO3936">
        <v>1</v>
      </c>
      <c r="AP3936">
        <v>0</v>
      </c>
      <c r="AQ3936">
        <v>0</v>
      </c>
      <c r="AR3936">
        <v>0</v>
      </c>
      <c r="AS3936">
        <v>0</v>
      </c>
      <c r="AT3936">
        <v>0</v>
      </c>
      <c r="AU3936">
        <f t="shared" si="122"/>
        <v>1</v>
      </c>
      <c r="AV3936">
        <f t="shared" si="123"/>
        <v>0</v>
      </c>
    </row>
    <row r="3937" spans="1:48" x14ac:dyDescent="0.25">
      <c r="A3937" t="s">
        <v>18862</v>
      </c>
      <c r="B3937" t="s">
        <v>18862</v>
      </c>
      <c r="C3937" t="s">
        <v>11095</v>
      </c>
      <c r="D3937" t="s">
        <v>18863</v>
      </c>
      <c r="E3937" t="s">
        <v>2310</v>
      </c>
      <c r="F3937">
        <v>9</v>
      </c>
      <c r="G3937">
        <v>9.4</v>
      </c>
      <c r="H3937" t="s">
        <v>2323</v>
      </c>
      <c r="I3937" s="21">
        <v>41780.639374999999</v>
      </c>
      <c r="J3937">
        <v>2014</v>
      </c>
      <c r="K3937" s="21">
        <v>43328.484629363425</v>
      </c>
      <c r="L3937">
        <v>2018</v>
      </c>
      <c r="M3937" s="21">
        <v>43647.403954861111</v>
      </c>
      <c r="N3937">
        <v>2019</v>
      </c>
      <c r="Q3937" s="262">
        <v>4000000</v>
      </c>
      <c r="R3937" s="262">
        <v>1192000</v>
      </c>
      <c r="S3937" t="s">
        <v>13254</v>
      </c>
      <c r="V3937">
        <v>0</v>
      </c>
      <c r="W3937">
        <v>8158</v>
      </c>
      <c r="X3937">
        <v>1</v>
      </c>
      <c r="Y3937">
        <v>0</v>
      </c>
      <c r="Z3937">
        <v>0</v>
      </c>
      <c r="AA3937">
        <v>0</v>
      </c>
      <c r="AB3937">
        <v>0</v>
      </c>
      <c r="AC3937">
        <v>8158</v>
      </c>
      <c r="AD3937">
        <v>0</v>
      </c>
      <c r="AE3937">
        <v>0</v>
      </c>
      <c r="AF3937">
        <v>0</v>
      </c>
      <c r="AG3937">
        <v>0</v>
      </c>
      <c r="AH3937">
        <v>0</v>
      </c>
      <c r="AI3937">
        <v>0</v>
      </c>
      <c r="AJ3937">
        <v>0</v>
      </c>
      <c r="AK3937">
        <v>0</v>
      </c>
      <c r="AL3937">
        <v>0</v>
      </c>
      <c r="AM3937">
        <v>0</v>
      </c>
      <c r="AN3937">
        <v>0</v>
      </c>
      <c r="AO3937">
        <v>1</v>
      </c>
      <c r="AP3937">
        <v>0</v>
      </c>
      <c r="AQ3937">
        <v>0</v>
      </c>
      <c r="AR3937">
        <v>0</v>
      </c>
      <c r="AS3937">
        <v>0</v>
      </c>
      <c r="AT3937">
        <v>0</v>
      </c>
      <c r="AU3937">
        <f t="shared" si="122"/>
        <v>1</v>
      </c>
      <c r="AV3937">
        <f t="shared" si="123"/>
        <v>0</v>
      </c>
    </row>
    <row r="3938" spans="1:48" x14ac:dyDescent="0.25">
      <c r="A3938" t="s">
        <v>13446</v>
      </c>
      <c r="C3938" t="s">
        <v>13447</v>
      </c>
      <c r="D3938" t="s">
        <v>9076</v>
      </c>
      <c r="E3938" t="s">
        <v>1663</v>
      </c>
      <c r="F3938">
        <v>5</v>
      </c>
      <c r="G3938">
        <v>5.5</v>
      </c>
      <c r="H3938" t="s">
        <v>2017</v>
      </c>
      <c r="I3938" s="21">
        <v>41781</v>
      </c>
      <c r="J3938">
        <v>2014</v>
      </c>
      <c r="K3938" s="21">
        <v>41807</v>
      </c>
      <c r="L3938">
        <v>2014</v>
      </c>
      <c r="M3938" s="21">
        <v>42752</v>
      </c>
      <c r="N3938">
        <v>2017</v>
      </c>
      <c r="Q3938" s="262">
        <v>20000</v>
      </c>
      <c r="S3938" t="s">
        <v>114</v>
      </c>
      <c r="T3938" t="s">
        <v>114</v>
      </c>
      <c r="V3938">
        <v>310</v>
      </c>
      <c r="W3938">
        <v>0</v>
      </c>
      <c r="X3938">
        <v>0</v>
      </c>
      <c r="Y3938">
        <v>0</v>
      </c>
      <c r="Z3938">
        <v>0</v>
      </c>
      <c r="AA3938">
        <v>0</v>
      </c>
      <c r="AB3938">
        <v>0</v>
      </c>
      <c r="AC3938">
        <v>0</v>
      </c>
      <c r="AD3938">
        <v>0</v>
      </c>
      <c r="AE3938">
        <v>0</v>
      </c>
      <c r="AF3938">
        <v>0</v>
      </c>
      <c r="AG3938">
        <v>0</v>
      </c>
      <c r="AH3938">
        <v>0</v>
      </c>
      <c r="AI3938">
        <v>0</v>
      </c>
      <c r="AJ3938">
        <v>0</v>
      </c>
      <c r="AK3938">
        <v>0</v>
      </c>
      <c r="AL3938">
        <v>0</v>
      </c>
      <c r="AM3938">
        <v>0</v>
      </c>
      <c r="AN3938">
        <v>0</v>
      </c>
      <c r="AO3938">
        <v>0</v>
      </c>
      <c r="AP3938">
        <v>0</v>
      </c>
      <c r="AQ3938">
        <v>0</v>
      </c>
      <c r="AR3938">
        <v>0</v>
      </c>
      <c r="AS3938">
        <v>0</v>
      </c>
      <c r="AT3938">
        <v>0</v>
      </c>
      <c r="AU3938">
        <f t="shared" si="122"/>
        <v>0</v>
      </c>
      <c r="AV3938">
        <f t="shared" si="123"/>
        <v>0</v>
      </c>
    </row>
    <row r="3939" spans="1:48" x14ac:dyDescent="0.25">
      <c r="A3939" t="s">
        <v>12169</v>
      </c>
      <c r="B3939" t="s">
        <v>12169</v>
      </c>
      <c r="C3939" t="s">
        <v>12170</v>
      </c>
      <c r="D3939" t="s">
        <v>12171</v>
      </c>
      <c r="E3939" t="s">
        <v>2310</v>
      </c>
      <c r="F3939">
        <v>13</v>
      </c>
      <c r="G3939">
        <v>13.3</v>
      </c>
      <c r="H3939" t="s">
        <v>2017</v>
      </c>
      <c r="I3939" s="21">
        <v>41781.530243055597</v>
      </c>
      <c r="J3939">
        <v>2014</v>
      </c>
      <c r="K3939" s="21">
        <v>41855.400358796302</v>
      </c>
      <c r="L3939">
        <v>2014</v>
      </c>
      <c r="M3939" s="21">
        <v>42108.493541666699</v>
      </c>
      <c r="N3939">
        <v>2015</v>
      </c>
      <c r="Q3939" s="262">
        <v>350000</v>
      </c>
      <c r="R3939" s="262">
        <v>49000</v>
      </c>
      <c r="S3939" t="s">
        <v>114</v>
      </c>
      <c r="T3939" t="s">
        <v>114</v>
      </c>
      <c r="V3939">
        <v>0</v>
      </c>
      <c r="W3939">
        <v>962</v>
      </c>
      <c r="X3939">
        <v>0</v>
      </c>
      <c r="Y3939">
        <v>0</v>
      </c>
      <c r="Z3939">
        <v>0</v>
      </c>
      <c r="AA3939">
        <v>0</v>
      </c>
      <c r="AB3939">
        <v>0</v>
      </c>
      <c r="AC3939">
        <v>962</v>
      </c>
      <c r="AD3939">
        <v>0</v>
      </c>
      <c r="AE3939">
        <v>0</v>
      </c>
      <c r="AF3939">
        <v>0</v>
      </c>
      <c r="AG3939">
        <v>0</v>
      </c>
      <c r="AH3939">
        <v>0</v>
      </c>
      <c r="AI3939">
        <v>0</v>
      </c>
      <c r="AJ3939">
        <v>0</v>
      </c>
      <c r="AK3939">
        <v>0</v>
      </c>
      <c r="AL3939">
        <v>0</v>
      </c>
      <c r="AM3939">
        <v>0</v>
      </c>
      <c r="AN3939">
        <v>0</v>
      </c>
      <c r="AO3939">
        <v>0</v>
      </c>
      <c r="AP3939">
        <v>0</v>
      </c>
      <c r="AQ3939">
        <v>0</v>
      </c>
      <c r="AR3939">
        <v>0</v>
      </c>
      <c r="AS3939">
        <v>0</v>
      </c>
      <c r="AT3939">
        <v>0</v>
      </c>
      <c r="AU3939">
        <f t="shared" si="122"/>
        <v>0</v>
      </c>
      <c r="AV3939">
        <f t="shared" si="123"/>
        <v>0</v>
      </c>
    </row>
    <row r="3940" spans="1:48" x14ac:dyDescent="0.25">
      <c r="A3940" t="s">
        <v>12172</v>
      </c>
      <c r="B3940" t="s">
        <v>12172</v>
      </c>
      <c r="C3940" t="s">
        <v>12173</v>
      </c>
      <c r="D3940" t="s">
        <v>12174</v>
      </c>
      <c r="E3940" t="s">
        <v>2310</v>
      </c>
      <c r="F3940">
        <v>8</v>
      </c>
      <c r="G3940">
        <v>8.1</v>
      </c>
      <c r="H3940" t="s">
        <v>2323</v>
      </c>
      <c r="I3940" s="21">
        <v>41781.686469907399</v>
      </c>
      <c r="J3940">
        <v>2014</v>
      </c>
      <c r="K3940" s="21">
        <v>41890.3663773148</v>
      </c>
      <c r="L3940">
        <v>2014</v>
      </c>
      <c r="M3940" s="21">
        <v>42401.455034722203</v>
      </c>
      <c r="N3940">
        <v>2016</v>
      </c>
      <c r="Q3940" s="262">
        <v>1000000</v>
      </c>
      <c r="R3940" s="262">
        <v>171000</v>
      </c>
      <c r="S3940" t="s">
        <v>114</v>
      </c>
      <c r="T3940" t="s">
        <v>114</v>
      </c>
      <c r="V3940">
        <v>0</v>
      </c>
      <c r="W3940">
        <v>2416</v>
      </c>
      <c r="X3940">
        <v>1</v>
      </c>
      <c r="Y3940">
        <v>0</v>
      </c>
      <c r="Z3940">
        <v>0</v>
      </c>
      <c r="AA3940">
        <v>0</v>
      </c>
      <c r="AB3940">
        <v>0</v>
      </c>
      <c r="AC3940">
        <v>1458</v>
      </c>
      <c r="AD3940">
        <v>0</v>
      </c>
      <c r="AE3940">
        <v>0</v>
      </c>
      <c r="AF3940">
        <v>958</v>
      </c>
      <c r="AG3940">
        <v>0</v>
      </c>
      <c r="AH3940">
        <v>0</v>
      </c>
      <c r="AI3940">
        <v>0</v>
      </c>
      <c r="AJ3940">
        <v>0</v>
      </c>
      <c r="AK3940">
        <v>0</v>
      </c>
      <c r="AL3940">
        <v>0</v>
      </c>
      <c r="AM3940">
        <v>0</v>
      </c>
      <c r="AN3940">
        <v>0</v>
      </c>
      <c r="AO3940">
        <v>0</v>
      </c>
      <c r="AP3940">
        <v>0</v>
      </c>
      <c r="AQ3940">
        <v>0</v>
      </c>
      <c r="AR3940">
        <v>1</v>
      </c>
      <c r="AS3940">
        <v>0</v>
      </c>
      <c r="AT3940">
        <v>0</v>
      </c>
      <c r="AU3940">
        <f t="shared" si="122"/>
        <v>0</v>
      </c>
      <c r="AV3940">
        <f t="shared" si="123"/>
        <v>0</v>
      </c>
    </row>
    <row r="3941" spans="1:48" x14ac:dyDescent="0.25">
      <c r="A3941" t="s">
        <v>12172</v>
      </c>
      <c r="B3941" t="s">
        <v>12175</v>
      </c>
      <c r="C3941" t="s">
        <v>12173</v>
      </c>
      <c r="D3941" t="s">
        <v>12174</v>
      </c>
      <c r="E3941" t="s">
        <v>2310</v>
      </c>
      <c r="F3941">
        <v>8</v>
      </c>
      <c r="G3941">
        <v>8.1</v>
      </c>
      <c r="H3941" t="s">
        <v>2323</v>
      </c>
      <c r="I3941" s="21">
        <v>41781.686469907399</v>
      </c>
      <c r="J3941">
        <v>2014</v>
      </c>
      <c r="K3941" s="21">
        <v>41890.3663773148</v>
      </c>
      <c r="L3941">
        <v>2014</v>
      </c>
      <c r="M3941" s="21">
        <v>42401.455034722203</v>
      </c>
      <c r="N3941">
        <v>2016</v>
      </c>
      <c r="Q3941" s="262">
        <v>1000000</v>
      </c>
      <c r="R3941" s="262">
        <v>171000</v>
      </c>
      <c r="S3941" t="s">
        <v>114</v>
      </c>
      <c r="T3941" t="s">
        <v>114</v>
      </c>
      <c r="V3941">
        <v>0</v>
      </c>
      <c r="W3941">
        <v>0</v>
      </c>
      <c r="X3941">
        <v>0</v>
      </c>
      <c r="Y3941">
        <v>0</v>
      </c>
      <c r="Z3941">
        <v>0</v>
      </c>
      <c r="AA3941">
        <v>0</v>
      </c>
      <c r="AB3941">
        <v>0</v>
      </c>
      <c r="AC3941">
        <v>0</v>
      </c>
      <c r="AD3941">
        <v>0</v>
      </c>
      <c r="AE3941">
        <v>0</v>
      </c>
      <c r="AF3941">
        <v>0</v>
      </c>
      <c r="AG3941">
        <v>0</v>
      </c>
      <c r="AH3941">
        <v>0</v>
      </c>
      <c r="AI3941">
        <v>0</v>
      </c>
      <c r="AJ3941">
        <v>0</v>
      </c>
      <c r="AK3941">
        <v>0</v>
      </c>
      <c r="AL3941">
        <v>0</v>
      </c>
      <c r="AM3941">
        <v>0</v>
      </c>
      <c r="AN3941">
        <v>0</v>
      </c>
      <c r="AO3941">
        <v>0</v>
      </c>
      <c r="AP3941">
        <v>0</v>
      </c>
      <c r="AQ3941">
        <v>0</v>
      </c>
      <c r="AR3941">
        <v>0</v>
      </c>
      <c r="AS3941">
        <v>0</v>
      </c>
      <c r="AT3941">
        <v>0</v>
      </c>
      <c r="AU3941">
        <f t="shared" si="122"/>
        <v>0</v>
      </c>
      <c r="AV3941">
        <f t="shared" si="123"/>
        <v>0</v>
      </c>
    </row>
    <row r="3942" spans="1:48" x14ac:dyDescent="0.25">
      <c r="A3942" t="s">
        <v>12177</v>
      </c>
      <c r="C3942" t="s">
        <v>12178</v>
      </c>
      <c r="D3942" t="s">
        <v>12179</v>
      </c>
      <c r="E3942" t="s">
        <v>1663</v>
      </c>
      <c r="F3942">
        <v>6</v>
      </c>
      <c r="G3942">
        <v>6.2</v>
      </c>
      <c r="H3942" t="s">
        <v>2017</v>
      </c>
      <c r="I3942" s="21">
        <v>41782</v>
      </c>
      <c r="J3942">
        <v>2014</v>
      </c>
      <c r="K3942" s="21">
        <v>41800</v>
      </c>
      <c r="L3942">
        <v>2014</v>
      </c>
      <c r="M3942" s="21">
        <v>41919</v>
      </c>
      <c r="N3942">
        <v>2014</v>
      </c>
      <c r="Q3942" s="262">
        <v>5000</v>
      </c>
      <c r="S3942" t="s">
        <v>114</v>
      </c>
      <c r="T3942" t="s">
        <v>114</v>
      </c>
      <c r="V3942">
        <v>0</v>
      </c>
      <c r="W3942">
        <v>0</v>
      </c>
      <c r="X3942">
        <v>0</v>
      </c>
      <c r="Y3942">
        <v>0</v>
      </c>
      <c r="Z3942">
        <v>0</v>
      </c>
      <c r="AA3942">
        <v>0</v>
      </c>
      <c r="AB3942">
        <v>0</v>
      </c>
      <c r="AC3942">
        <v>0</v>
      </c>
      <c r="AD3942">
        <v>0</v>
      </c>
      <c r="AE3942">
        <v>0</v>
      </c>
      <c r="AF3942">
        <v>0</v>
      </c>
      <c r="AG3942">
        <v>0</v>
      </c>
      <c r="AH3942">
        <v>0</v>
      </c>
      <c r="AI3942">
        <v>0</v>
      </c>
      <c r="AJ3942">
        <v>0</v>
      </c>
      <c r="AK3942">
        <v>0</v>
      </c>
      <c r="AL3942">
        <v>0</v>
      </c>
      <c r="AM3942">
        <v>0</v>
      </c>
      <c r="AN3942">
        <v>0</v>
      </c>
      <c r="AO3942">
        <v>0</v>
      </c>
      <c r="AP3942">
        <v>0</v>
      </c>
      <c r="AQ3942">
        <v>0</v>
      </c>
      <c r="AR3942">
        <v>0</v>
      </c>
      <c r="AS3942">
        <v>0</v>
      </c>
      <c r="AT3942">
        <v>0</v>
      </c>
      <c r="AU3942">
        <f t="shared" si="122"/>
        <v>0</v>
      </c>
      <c r="AV3942">
        <f t="shared" si="123"/>
        <v>0</v>
      </c>
    </row>
    <row r="3943" spans="1:48" x14ac:dyDescent="0.25">
      <c r="A3943" t="s">
        <v>13448</v>
      </c>
      <c r="C3943" t="s">
        <v>13449</v>
      </c>
      <c r="D3943" t="s">
        <v>12001</v>
      </c>
      <c r="E3943" t="s">
        <v>1663</v>
      </c>
      <c r="F3943">
        <v>1</v>
      </c>
      <c r="G3943">
        <v>1.2</v>
      </c>
      <c r="H3943" t="s">
        <v>2017</v>
      </c>
      <c r="I3943" s="21">
        <v>41782</v>
      </c>
      <c r="J3943">
        <v>2014</v>
      </c>
      <c r="K3943" s="21">
        <v>41815</v>
      </c>
      <c r="L3943">
        <v>2014</v>
      </c>
      <c r="M3943" s="21">
        <v>42761</v>
      </c>
      <c r="N3943">
        <v>2017</v>
      </c>
      <c r="Q3943" s="262">
        <v>5000</v>
      </c>
      <c r="S3943" t="s">
        <v>114</v>
      </c>
      <c r="T3943" t="s">
        <v>114</v>
      </c>
      <c r="V3943">
        <v>0</v>
      </c>
      <c r="W3943">
        <v>0</v>
      </c>
      <c r="X3943">
        <v>0</v>
      </c>
      <c r="Y3943">
        <v>0</v>
      </c>
      <c r="Z3943">
        <v>0</v>
      </c>
      <c r="AA3943">
        <v>0</v>
      </c>
      <c r="AB3943">
        <v>0</v>
      </c>
      <c r="AC3943">
        <v>0</v>
      </c>
      <c r="AD3943">
        <v>0</v>
      </c>
      <c r="AE3943">
        <v>0</v>
      </c>
      <c r="AF3943">
        <v>0</v>
      </c>
      <c r="AG3943">
        <v>0</v>
      </c>
      <c r="AH3943">
        <v>0</v>
      </c>
      <c r="AI3943">
        <v>0</v>
      </c>
      <c r="AJ3943">
        <v>0</v>
      </c>
      <c r="AK3943">
        <v>0</v>
      </c>
      <c r="AL3943">
        <v>0</v>
      </c>
      <c r="AM3943">
        <v>0</v>
      </c>
      <c r="AN3943">
        <v>0</v>
      </c>
      <c r="AO3943">
        <v>0</v>
      </c>
      <c r="AP3943">
        <v>0</v>
      </c>
      <c r="AQ3943">
        <v>0</v>
      </c>
      <c r="AR3943">
        <v>0</v>
      </c>
      <c r="AS3943">
        <v>0</v>
      </c>
      <c r="AT3943">
        <v>0</v>
      </c>
      <c r="AU3943">
        <f t="shared" si="122"/>
        <v>0</v>
      </c>
      <c r="AV3943">
        <f t="shared" si="123"/>
        <v>0</v>
      </c>
    </row>
    <row r="3944" spans="1:48" x14ac:dyDescent="0.25">
      <c r="A3944" t="s">
        <v>12180</v>
      </c>
      <c r="B3944" t="s">
        <v>12180</v>
      </c>
      <c r="C3944" t="s">
        <v>11338</v>
      </c>
      <c r="D3944" t="s">
        <v>12181</v>
      </c>
      <c r="E3944" t="s">
        <v>2310</v>
      </c>
      <c r="F3944">
        <v>8</v>
      </c>
      <c r="G3944">
        <v>8.3000000000000007</v>
      </c>
      <c r="H3944" t="s">
        <v>2323</v>
      </c>
      <c r="I3944" s="21">
        <v>41782.604826388902</v>
      </c>
      <c r="J3944">
        <v>2014</v>
      </c>
      <c r="P3944" s="21">
        <v>41977.549942129597</v>
      </c>
      <c r="Q3944" s="262">
        <v>1200000</v>
      </c>
      <c r="R3944" s="262">
        <v>369000</v>
      </c>
      <c r="S3944" t="s">
        <v>114</v>
      </c>
      <c r="T3944" t="s">
        <v>114</v>
      </c>
      <c r="V3944">
        <v>0</v>
      </c>
      <c r="W3944">
        <v>2939</v>
      </c>
      <c r="X3944">
        <v>1</v>
      </c>
      <c r="Y3944">
        <v>0</v>
      </c>
      <c r="Z3944">
        <v>0</v>
      </c>
      <c r="AA3944">
        <v>0</v>
      </c>
      <c r="AB3944">
        <v>0</v>
      </c>
      <c r="AC3944">
        <v>2939</v>
      </c>
      <c r="AD3944">
        <v>0</v>
      </c>
      <c r="AE3944">
        <v>0</v>
      </c>
      <c r="AF3944">
        <v>0</v>
      </c>
      <c r="AG3944">
        <v>0</v>
      </c>
      <c r="AH3944">
        <v>0</v>
      </c>
      <c r="AI3944">
        <v>0</v>
      </c>
      <c r="AJ3944">
        <v>0</v>
      </c>
      <c r="AK3944">
        <v>0</v>
      </c>
      <c r="AL3944">
        <v>0</v>
      </c>
      <c r="AM3944">
        <v>0</v>
      </c>
      <c r="AN3944">
        <v>0</v>
      </c>
      <c r="AO3944">
        <v>1</v>
      </c>
      <c r="AP3944">
        <v>0</v>
      </c>
      <c r="AQ3944">
        <v>0</v>
      </c>
      <c r="AR3944">
        <v>0</v>
      </c>
      <c r="AS3944">
        <v>0</v>
      </c>
      <c r="AT3944">
        <v>0</v>
      </c>
      <c r="AU3944">
        <f t="shared" si="122"/>
        <v>1</v>
      </c>
      <c r="AV3944">
        <f t="shared" si="123"/>
        <v>0</v>
      </c>
    </row>
    <row r="3945" spans="1:48" x14ac:dyDescent="0.25">
      <c r="A3945" t="s">
        <v>12182</v>
      </c>
      <c r="B3945" t="s">
        <v>12182</v>
      </c>
      <c r="C3945" t="s">
        <v>12183</v>
      </c>
      <c r="D3945" t="s">
        <v>12181</v>
      </c>
      <c r="E3945" t="s">
        <v>2310</v>
      </c>
      <c r="F3945">
        <v>8</v>
      </c>
      <c r="G3945">
        <v>8.3000000000000007</v>
      </c>
      <c r="H3945" t="s">
        <v>2323</v>
      </c>
      <c r="I3945" s="21">
        <v>41782.607002314799</v>
      </c>
      <c r="J3945">
        <v>2014</v>
      </c>
      <c r="P3945" s="21">
        <v>41977.550324074102</v>
      </c>
      <c r="Q3945" s="262">
        <v>200000</v>
      </c>
      <c r="R3945" s="262">
        <v>30000</v>
      </c>
      <c r="S3945" t="s">
        <v>114</v>
      </c>
      <c r="T3945" t="s">
        <v>114</v>
      </c>
      <c r="V3945">
        <v>0</v>
      </c>
      <c r="W3945">
        <v>695</v>
      </c>
      <c r="X3945">
        <v>0</v>
      </c>
      <c r="Y3945">
        <v>0</v>
      </c>
      <c r="Z3945">
        <v>0</v>
      </c>
      <c r="AA3945">
        <v>0</v>
      </c>
      <c r="AB3945">
        <v>0</v>
      </c>
      <c r="AC3945">
        <v>695</v>
      </c>
      <c r="AD3945">
        <v>0</v>
      </c>
      <c r="AE3945">
        <v>0</v>
      </c>
      <c r="AF3945">
        <v>0</v>
      </c>
      <c r="AG3945">
        <v>0</v>
      </c>
      <c r="AH3945">
        <v>0</v>
      </c>
      <c r="AI3945">
        <v>0</v>
      </c>
      <c r="AJ3945">
        <v>0</v>
      </c>
      <c r="AK3945">
        <v>0</v>
      </c>
      <c r="AL3945">
        <v>0</v>
      </c>
      <c r="AM3945">
        <v>0</v>
      </c>
      <c r="AN3945">
        <v>0</v>
      </c>
      <c r="AO3945">
        <v>0</v>
      </c>
      <c r="AP3945">
        <v>0</v>
      </c>
      <c r="AQ3945">
        <v>0</v>
      </c>
      <c r="AR3945">
        <v>0</v>
      </c>
      <c r="AS3945">
        <v>0</v>
      </c>
      <c r="AT3945">
        <v>0</v>
      </c>
      <c r="AU3945">
        <f t="shared" si="122"/>
        <v>0</v>
      </c>
      <c r="AV3945">
        <f t="shared" si="123"/>
        <v>0</v>
      </c>
    </row>
    <row r="3946" spans="1:48" x14ac:dyDescent="0.25">
      <c r="A3946" t="s">
        <v>12184</v>
      </c>
      <c r="B3946" t="s">
        <v>12184</v>
      </c>
      <c r="C3946" t="s">
        <v>12185</v>
      </c>
      <c r="D3946" t="s">
        <v>12186</v>
      </c>
      <c r="E3946" t="s">
        <v>2310</v>
      </c>
      <c r="F3946">
        <v>9</v>
      </c>
      <c r="G3946">
        <v>9.3000000000000007</v>
      </c>
      <c r="H3946" t="s">
        <v>2323</v>
      </c>
      <c r="I3946" s="21">
        <v>41782.628101851798</v>
      </c>
      <c r="J3946">
        <v>2014</v>
      </c>
      <c r="K3946" s="21">
        <v>41828.384016203701</v>
      </c>
      <c r="L3946">
        <v>2014</v>
      </c>
      <c r="M3946" s="21">
        <v>42243.346006944397</v>
      </c>
      <c r="N3946">
        <v>2015</v>
      </c>
      <c r="Q3946" s="262">
        <v>900000</v>
      </c>
      <c r="R3946" s="262">
        <v>524000</v>
      </c>
      <c r="S3946" t="s">
        <v>114</v>
      </c>
      <c r="T3946" t="s">
        <v>114</v>
      </c>
      <c r="V3946">
        <v>0</v>
      </c>
      <c r="W3946">
        <v>4508</v>
      </c>
      <c r="X3946">
        <v>1</v>
      </c>
      <c r="Y3946">
        <v>0</v>
      </c>
      <c r="Z3946">
        <v>0</v>
      </c>
      <c r="AA3946">
        <v>0</v>
      </c>
      <c r="AB3946">
        <v>0</v>
      </c>
      <c r="AC3946">
        <v>4508</v>
      </c>
      <c r="AD3946">
        <v>0</v>
      </c>
      <c r="AE3946">
        <v>0</v>
      </c>
      <c r="AF3946">
        <v>0</v>
      </c>
      <c r="AG3946">
        <v>0</v>
      </c>
      <c r="AH3946">
        <v>0</v>
      </c>
      <c r="AI3946">
        <v>0</v>
      </c>
      <c r="AJ3946">
        <v>0</v>
      </c>
      <c r="AK3946">
        <v>0</v>
      </c>
      <c r="AL3946">
        <v>0</v>
      </c>
      <c r="AM3946">
        <v>0</v>
      </c>
      <c r="AN3946">
        <v>0</v>
      </c>
      <c r="AO3946">
        <v>1</v>
      </c>
      <c r="AP3946">
        <v>0</v>
      </c>
      <c r="AQ3946">
        <v>0</v>
      </c>
      <c r="AR3946">
        <v>0</v>
      </c>
      <c r="AS3946">
        <v>0</v>
      </c>
      <c r="AT3946">
        <v>0</v>
      </c>
      <c r="AU3946">
        <f t="shared" si="122"/>
        <v>1</v>
      </c>
      <c r="AV3946">
        <f t="shared" si="123"/>
        <v>0</v>
      </c>
    </row>
    <row r="3947" spans="1:48" x14ac:dyDescent="0.25">
      <c r="A3947" t="s">
        <v>12187</v>
      </c>
      <c r="C3947" t="s">
        <v>12188</v>
      </c>
      <c r="D3947" t="s">
        <v>11644</v>
      </c>
      <c r="E3947" t="s">
        <v>1663</v>
      </c>
      <c r="F3947">
        <v>4</v>
      </c>
      <c r="G3947">
        <v>4.3</v>
      </c>
      <c r="H3947" t="s">
        <v>2327</v>
      </c>
      <c r="I3947" s="21">
        <v>41787</v>
      </c>
      <c r="J3947">
        <v>2014</v>
      </c>
      <c r="O3947" s="21">
        <v>41831</v>
      </c>
      <c r="Q3947" s="262">
        <v>500000</v>
      </c>
      <c r="S3947" t="s">
        <v>114</v>
      </c>
      <c r="T3947" t="s">
        <v>114</v>
      </c>
      <c r="V3947">
        <v>0</v>
      </c>
      <c r="W3947">
        <v>0</v>
      </c>
      <c r="X3947">
        <v>0</v>
      </c>
      <c r="Y3947">
        <v>0</v>
      </c>
      <c r="Z3947">
        <v>0</v>
      </c>
      <c r="AA3947">
        <v>0</v>
      </c>
      <c r="AB3947">
        <v>0</v>
      </c>
      <c r="AC3947">
        <v>0</v>
      </c>
      <c r="AD3947">
        <v>0</v>
      </c>
      <c r="AE3947">
        <v>0</v>
      </c>
      <c r="AF3947">
        <v>0</v>
      </c>
      <c r="AG3947">
        <v>0</v>
      </c>
      <c r="AH3947">
        <v>0</v>
      </c>
      <c r="AI3947">
        <v>0</v>
      </c>
      <c r="AJ3947">
        <v>0</v>
      </c>
      <c r="AK3947">
        <v>0</v>
      </c>
      <c r="AL3947">
        <v>0</v>
      </c>
      <c r="AM3947">
        <v>0</v>
      </c>
      <c r="AN3947">
        <v>0</v>
      </c>
      <c r="AO3947">
        <v>0</v>
      </c>
      <c r="AP3947">
        <v>0</v>
      </c>
      <c r="AQ3947">
        <v>0</v>
      </c>
      <c r="AR3947">
        <v>0</v>
      </c>
      <c r="AS3947">
        <v>0</v>
      </c>
      <c r="AT3947">
        <v>0</v>
      </c>
      <c r="AU3947">
        <f t="shared" si="122"/>
        <v>0</v>
      </c>
      <c r="AV3947">
        <f t="shared" si="123"/>
        <v>0</v>
      </c>
    </row>
    <row r="3948" spans="1:48" x14ac:dyDescent="0.25">
      <c r="A3948" t="s">
        <v>12189</v>
      </c>
      <c r="C3948" t="s">
        <v>11240</v>
      </c>
      <c r="D3948" t="s">
        <v>11681</v>
      </c>
      <c r="E3948" t="s">
        <v>1663</v>
      </c>
      <c r="F3948">
        <v>3</v>
      </c>
      <c r="G3948">
        <v>3.1</v>
      </c>
      <c r="H3948" t="s">
        <v>2017</v>
      </c>
      <c r="I3948" s="21">
        <v>41792</v>
      </c>
      <c r="J3948">
        <v>2014</v>
      </c>
      <c r="K3948" s="21">
        <v>41838</v>
      </c>
      <c r="L3948">
        <v>2014</v>
      </c>
      <c r="M3948" s="21">
        <v>42131</v>
      </c>
      <c r="N3948">
        <v>2015</v>
      </c>
      <c r="Q3948" s="262">
        <v>220000</v>
      </c>
      <c r="S3948" t="s">
        <v>114</v>
      </c>
      <c r="T3948" t="s">
        <v>114</v>
      </c>
      <c r="V3948">
        <v>0</v>
      </c>
      <c r="W3948">
        <v>1757</v>
      </c>
      <c r="X3948">
        <v>1</v>
      </c>
      <c r="Y3948">
        <v>0</v>
      </c>
      <c r="Z3948">
        <v>0</v>
      </c>
      <c r="AA3948">
        <v>0</v>
      </c>
      <c r="AB3948">
        <v>0</v>
      </c>
      <c r="AC3948">
        <v>1757</v>
      </c>
      <c r="AD3948">
        <v>0</v>
      </c>
      <c r="AE3948">
        <v>0</v>
      </c>
      <c r="AF3948">
        <v>0</v>
      </c>
      <c r="AG3948">
        <v>0</v>
      </c>
      <c r="AH3948">
        <v>0</v>
      </c>
      <c r="AI3948">
        <v>0</v>
      </c>
      <c r="AJ3948">
        <v>0</v>
      </c>
      <c r="AK3948">
        <v>0</v>
      </c>
      <c r="AL3948">
        <v>0</v>
      </c>
      <c r="AM3948">
        <v>0</v>
      </c>
      <c r="AN3948">
        <v>0</v>
      </c>
      <c r="AO3948">
        <v>1</v>
      </c>
      <c r="AP3948">
        <v>0</v>
      </c>
      <c r="AQ3948">
        <v>0</v>
      </c>
      <c r="AR3948">
        <v>0</v>
      </c>
      <c r="AS3948">
        <v>0</v>
      </c>
      <c r="AT3948">
        <v>0</v>
      </c>
      <c r="AU3948">
        <f t="shared" si="122"/>
        <v>1</v>
      </c>
      <c r="AV3948">
        <f t="shared" si="123"/>
        <v>0</v>
      </c>
    </row>
    <row r="3949" spans="1:48" x14ac:dyDescent="0.25">
      <c r="A3949" t="s">
        <v>18950</v>
      </c>
      <c r="B3949" t="s">
        <v>18950</v>
      </c>
      <c r="C3949" t="s">
        <v>18951</v>
      </c>
      <c r="D3949" t="s">
        <v>18952</v>
      </c>
      <c r="E3949" t="s">
        <v>2310</v>
      </c>
      <c r="F3949">
        <v>15</v>
      </c>
      <c r="G3949">
        <v>15.1</v>
      </c>
      <c r="H3949" t="s">
        <v>2022</v>
      </c>
      <c r="I3949" s="21">
        <v>41793.412974537037</v>
      </c>
      <c r="J3949">
        <v>2014</v>
      </c>
      <c r="K3949" s="21">
        <v>41901.672013888892</v>
      </c>
      <c r="L3949">
        <v>2014</v>
      </c>
      <c r="M3949" s="21">
        <v>43682.405382442128</v>
      </c>
      <c r="N3949">
        <v>2019</v>
      </c>
      <c r="Q3949" s="262">
        <v>264000</v>
      </c>
      <c r="R3949" s="262">
        <v>291000</v>
      </c>
      <c r="S3949" t="s">
        <v>13254</v>
      </c>
      <c r="V3949">
        <v>0</v>
      </c>
      <c r="W3949">
        <v>4160</v>
      </c>
      <c r="X3949">
        <v>1</v>
      </c>
      <c r="Y3949">
        <v>0</v>
      </c>
      <c r="Z3949">
        <v>0</v>
      </c>
      <c r="AA3949">
        <v>0</v>
      </c>
      <c r="AB3949">
        <v>0</v>
      </c>
      <c r="AC3949">
        <v>4160</v>
      </c>
      <c r="AD3949">
        <v>0</v>
      </c>
      <c r="AE3949">
        <v>0</v>
      </c>
      <c r="AF3949">
        <v>0</v>
      </c>
      <c r="AG3949">
        <v>0</v>
      </c>
      <c r="AH3949">
        <v>0</v>
      </c>
      <c r="AI3949">
        <v>0</v>
      </c>
      <c r="AJ3949">
        <v>0</v>
      </c>
      <c r="AK3949">
        <v>0</v>
      </c>
      <c r="AL3949">
        <v>0</v>
      </c>
      <c r="AM3949">
        <v>0</v>
      </c>
      <c r="AN3949">
        <v>0</v>
      </c>
      <c r="AO3949">
        <v>1</v>
      </c>
      <c r="AP3949">
        <v>0</v>
      </c>
      <c r="AQ3949">
        <v>0</v>
      </c>
      <c r="AR3949">
        <v>0</v>
      </c>
      <c r="AS3949">
        <v>0</v>
      </c>
      <c r="AT3949">
        <v>0</v>
      </c>
      <c r="AU3949">
        <f t="shared" si="122"/>
        <v>1</v>
      </c>
      <c r="AV3949">
        <f t="shared" si="123"/>
        <v>0</v>
      </c>
    </row>
    <row r="3950" spans="1:48" x14ac:dyDescent="0.25">
      <c r="A3950" t="s">
        <v>12190</v>
      </c>
      <c r="B3950" t="s">
        <v>12190</v>
      </c>
      <c r="C3950" t="s">
        <v>12191</v>
      </c>
      <c r="D3950" t="s">
        <v>9476</v>
      </c>
      <c r="E3950" t="s">
        <v>2310</v>
      </c>
      <c r="F3950">
        <v>7</v>
      </c>
      <c r="G3950">
        <v>7.1</v>
      </c>
      <c r="H3950" t="s">
        <v>2017</v>
      </c>
      <c r="I3950" s="21">
        <v>41793.465752314798</v>
      </c>
      <c r="J3950">
        <v>2014</v>
      </c>
      <c r="K3950" s="21">
        <v>41834.559374999997</v>
      </c>
      <c r="L3950">
        <v>2014</v>
      </c>
      <c r="M3950" s="21">
        <v>42292.359525462998</v>
      </c>
      <c r="N3950">
        <v>2015</v>
      </c>
      <c r="Q3950" s="262">
        <v>100000</v>
      </c>
      <c r="R3950" s="262">
        <v>77000</v>
      </c>
      <c r="S3950" t="s">
        <v>114</v>
      </c>
      <c r="T3950" t="s">
        <v>114</v>
      </c>
      <c r="V3950">
        <v>0</v>
      </c>
      <c r="W3950">
        <v>0</v>
      </c>
      <c r="X3950">
        <v>0</v>
      </c>
      <c r="Y3950">
        <v>0</v>
      </c>
      <c r="Z3950">
        <v>0</v>
      </c>
      <c r="AA3950">
        <v>0</v>
      </c>
      <c r="AB3950">
        <v>0</v>
      </c>
      <c r="AC3950">
        <v>0</v>
      </c>
      <c r="AD3950">
        <v>0</v>
      </c>
      <c r="AE3950">
        <v>0</v>
      </c>
      <c r="AF3950">
        <v>0</v>
      </c>
      <c r="AG3950">
        <v>0</v>
      </c>
      <c r="AH3950">
        <v>0</v>
      </c>
      <c r="AI3950">
        <v>0</v>
      </c>
      <c r="AJ3950">
        <v>0</v>
      </c>
      <c r="AK3950">
        <v>0</v>
      </c>
      <c r="AL3950">
        <v>0</v>
      </c>
      <c r="AM3950">
        <v>0</v>
      </c>
      <c r="AN3950">
        <v>0</v>
      </c>
      <c r="AO3950">
        <v>0</v>
      </c>
      <c r="AP3950">
        <v>0</v>
      </c>
      <c r="AQ3950">
        <v>0</v>
      </c>
      <c r="AR3950">
        <v>0</v>
      </c>
      <c r="AS3950">
        <v>0</v>
      </c>
      <c r="AT3950">
        <v>0</v>
      </c>
      <c r="AU3950">
        <f t="shared" si="122"/>
        <v>0</v>
      </c>
      <c r="AV3950">
        <f t="shared" si="123"/>
        <v>0</v>
      </c>
    </row>
    <row r="3951" spans="1:48" x14ac:dyDescent="0.25">
      <c r="A3951" t="s">
        <v>12195</v>
      </c>
      <c r="C3951" t="s">
        <v>12196</v>
      </c>
      <c r="D3951" t="s">
        <v>12197</v>
      </c>
      <c r="E3951" t="s">
        <v>1663</v>
      </c>
      <c r="F3951">
        <v>5</v>
      </c>
      <c r="G3951">
        <v>5.5</v>
      </c>
      <c r="H3951" t="s">
        <v>2017</v>
      </c>
      <c r="I3951" s="21">
        <v>41794</v>
      </c>
      <c r="J3951">
        <v>2014</v>
      </c>
      <c r="K3951" s="21">
        <v>41813</v>
      </c>
      <c r="L3951">
        <v>2014</v>
      </c>
      <c r="P3951" s="21">
        <v>42009</v>
      </c>
      <c r="Q3951" s="262">
        <v>7000</v>
      </c>
      <c r="S3951" t="s">
        <v>114</v>
      </c>
      <c r="T3951" t="s">
        <v>114</v>
      </c>
      <c r="V3951">
        <v>0</v>
      </c>
      <c r="W3951">
        <v>0</v>
      </c>
      <c r="X3951">
        <v>0</v>
      </c>
      <c r="Y3951">
        <v>0</v>
      </c>
      <c r="Z3951">
        <v>0</v>
      </c>
      <c r="AA3951">
        <v>0</v>
      </c>
      <c r="AB3951">
        <v>0</v>
      </c>
      <c r="AC3951">
        <v>0</v>
      </c>
      <c r="AD3951">
        <v>0</v>
      </c>
      <c r="AE3951">
        <v>0</v>
      </c>
      <c r="AF3951">
        <v>0</v>
      </c>
      <c r="AG3951">
        <v>0</v>
      </c>
      <c r="AH3951">
        <v>0</v>
      </c>
      <c r="AI3951">
        <v>0</v>
      </c>
      <c r="AJ3951">
        <v>0</v>
      </c>
      <c r="AK3951">
        <v>0</v>
      </c>
      <c r="AL3951">
        <v>0</v>
      </c>
      <c r="AM3951">
        <v>0</v>
      </c>
      <c r="AN3951">
        <v>0</v>
      </c>
      <c r="AO3951">
        <v>0</v>
      </c>
      <c r="AP3951">
        <v>0</v>
      </c>
      <c r="AQ3951">
        <v>0</v>
      </c>
      <c r="AR3951">
        <v>0</v>
      </c>
      <c r="AS3951">
        <v>0</v>
      </c>
      <c r="AT3951">
        <v>0</v>
      </c>
      <c r="AU3951">
        <f t="shared" si="122"/>
        <v>0</v>
      </c>
      <c r="AV3951">
        <f t="shared" si="123"/>
        <v>0</v>
      </c>
    </row>
    <row r="3952" spans="1:48" x14ac:dyDescent="0.25">
      <c r="A3952" t="s">
        <v>12192</v>
      </c>
      <c r="C3952" t="s">
        <v>11240</v>
      </c>
      <c r="D3952" t="s">
        <v>12193</v>
      </c>
      <c r="E3952" t="s">
        <v>1663</v>
      </c>
      <c r="F3952">
        <v>3</v>
      </c>
      <c r="G3952">
        <v>3.1</v>
      </c>
      <c r="H3952" t="s">
        <v>2017</v>
      </c>
      <c r="I3952" s="21">
        <v>41794</v>
      </c>
      <c r="J3952">
        <v>2014</v>
      </c>
      <c r="K3952" s="21">
        <v>41842</v>
      </c>
      <c r="L3952">
        <v>2014</v>
      </c>
      <c r="P3952" s="21">
        <v>42162</v>
      </c>
      <c r="Q3952" s="262">
        <v>47500</v>
      </c>
      <c r="S3952" t="s">
        <v>114</v>
      </c>
      <c r="T3952" t="s">
        <v>114</v>
      </c>
      <c r="V3952">
        <v>960</v>
      </c>
      <c r="W3952">
        <v>0</v>
      </c>
      <c r="X3952">
        <v>2</v>
      </c>
      <c r="Y3952">
        <v>0</v>
      </c>
      <c r="Z3952">
        <v>0</v>
      </c>
      <c r="AA3952">
        <v>0</v>
      </c>
      <c r="AB3952">
        <v>0</v>
      </c>
      <c r="AC3952">
        <v>0</v>
      </c>
      <c r="AD3952">
        <v>0</v>
      </c>
      <c r="AE3952">
        <v>0</v>
      </c>
      <c r="AF3952">
        <v>0</v>
      </c>
      <c r="AG3952">
        <v>0</v>
      </c>
      <c r="AH3952">
        <v>0</v>
      </c>
      <c r="AI3952">
        <v>0</v>
      </c>
      <c r="AJ3952">
        <v>0</v>
      </c>
      <c r="AK3952">
        <v>0</v>
      </c>
      <c r="AL3952">
        <v>0</v>
      </c>
      <c r="AM3952">
        <v>0</v>
      </c>
      <c r="AN3952">
        <v>0</v>
      </c>
      <c r="AO3952">
        <v>1</v>
      </c>
      <c r="AP3952">
        <v>1</v>
      </c>
      <c r="AQ3952">
        <v>0</v>
      </c>
      <c r="AR3952">
        <v>0</v>
      </c>
      <c r="AS3952">
        <v>0</v>
      </c>
      <c r="AT3952">
        <v>0</v>
      </c>
      <c r="AU3952">
        <f t="shared" si="122"/>
        <v>2</v>
      </c>
      <c r="AV3952">
        <f t="shared" si="123"/>
        <v>0</v>
      </c>
    </row>
    <row r="3953" spans="1:48" x14ac:dyDescent="0.25">
      <c r="A3953" t="s">
        <v>12194</v>
      </c>
      <c r="C3953" t="s">
        <v>11246</v>
      </c>
      <c r="D3953" t="s">
        <v>12193</v>
      </c>
      <c r="E3953" t="s">
        <v>1663</v>
      </c>
      <c r="F3953">
        <v>3</v>
      </c>
      <c r="G3953">
        <v>3.1</v>
      </c>
      <c r="H3953" t="s">
        <v>2017</v>
      </c>
      <c r="I3953" s="21">
        <v>41794</v>
      </c>
      <c r="J3953">
        <v>2014</v>
      </c>
      <c r="K3953" s="21">
        <v>41842</v>
      </c>
      <c r="L3953">
        <v>2014</v>
      </c>
      <c r="P3953" s="21">
        <v>42162</v>
      </c>
      <c r="Q3953" s="262">
        <v>47500</v>
      </c>
      <c r="S3953" t="s">
        <v>114</v>
      </c>
      <c r="T3953" t="s">
        <v>114</v>
      </c>
      <c r="V3953">
        <v>2500</v>
      </c>
      <c r="W3953">
        <v>0</v>
      </c>
      <c r="X3953">
        <v>1</v>
      </c>
      <c r="Y3953">
        <v>0</v>
      </c>
      <c r="Z3953">
        <v>0</v>
      </c>
      <c r="AA3953">
        <v>0</v>
      </c>
      <c r="AB3953">
        <v>0</v>
      </c>
      <c r="AC3953">
        <v>0</v>
      </c>
      <c r="AD3953">
        <v>0</v>
      </c>
      <c r="AE3953">
        <v>0</v>
      </c>
      <c r="AF3953">
        <v>0</v>
      </c>
      <c r="AG3953">
        <v>0</v>
      </c>
      <c r="AH3953">
        <v>0</v>
      </c>
      <c r="AI3953">
        <v>0</v>
      </c>
      <c r="AJ3953">
        <v>0</v>
      </c>
      <c r="AK3953">
        <v>0</v>
      </c>
      <c r="AL3953">
        <v>0</v>
      </c>
      <c r="AM3953">
        <v>0</v>
      </c>
      <c r="AN3953">
        <v>0</v>
      </c>
      <c r="AO3953">
        <v>0</v>
      </c>
      <c r="AP3953">
        <v>1</v>
      </c>
      <c r="AQ3953">
        <v>0</v>
      </c>
      <c r="AR3953">
        <v>0</v>
      </c>
      <c r="AS3953">
        <v>0</v>
      </c>
      <c r="AT3953">
        <v>0</v>
      </c>
      <c r="AU3953">
        <f t="shared" si="122"/>
        <v>1</v>
      </c>
      <c r="AV3953">
        <f t="shared" si="123"/>
        <v>0</v>
      </c>
    </row>
    <row r="3954" spans="1:48" x14ac:dyDescent="0.25">
      <c r="A3954" t="s">
        <v>12198</v>
      </c>
      <c r="B3954" t="s">
        <v>12198</v>
      </c>
      <c r="C3954" t="s">
        <v>12199</v>
      </c>
      <c r="D3954" t="s">
        <v>12200</v>
      </c>
      <c r="E3954" t="s">
        <v>2310</v>
      </c>
      <c r="F3954">
        <v>9</v>
      </c>
      <c r="G3954">
        <v>9.1</v>
      </c>
      <c r="H3954" t="s">
        <v>2323</v>
      </c>
      <c r="I3954" s="21">
        <v>41794.367476851898</v>
      </c>
      <c r="J3954">
        <v>2014</v>
      </c>
      <c r="K3954" s="21">
        <v>41859.589074074102</v>
      </c>
      <c r="L3954">
        <v>2014</v>
      </c>
      <c r="M3954" s="21">
        <v>42452.3835763889</v>
      </c>
      <c r="N3954">
        <v>2016</v>
      </c>
      <c r="Q3954" s="262">
        <v>1800000</v>
      </c>
      <c r="R3954" s="262">
        <v>1051000</v>
      </c>
      <c r="S3954" t="s">
        <v>114</v>
      </c>
      <c r="T3954" t="s">
        <v>114</v>
      </c>
      <c r="V3954">
        <v>0</v>
      </c>
      <c r="W3954">
        <v>7191</v>
      </c>
      <c r="X3954">
        <v>1</v>
      </c>
      <c r="Y3954">
        <v>0</v>
      </c>
      <c r="Z3954">
        <v>0</v>
      </c>
      <c r="AA3954">
        <v>0</v>
      </c>
      <c r="AB3954">
        <v>0</v>
      </c>
      <c r="AC3954">
        <v>7191</v>
      </c>
      <c r="AD3954">
        <v>0</v>
      </c>
      <c r="AE3954">
        <v>0</v>
      </c>
      <c r="AF3954">
        <v>0</v>
      </c>
      <c r="AG3954">
        <v>0</v>
      </c>
      <c r="AH3954">
        <v>0</v>
      </c>
      <c r="AI3954">
        <v>0</v>
      </c>
      <c r="AJ3954">
        <v>0</v>
      </c>
      <c r="AK3954">
        <v>0</v>
      </c>
      <c r="AL3954">
        <v>0</v>
      </c>
      <c r="AM3954">
        <v>0</v>
      </c>
      <c r="AN3954">
        <v>0</v>
      </c>
      <c r="AO3954">
        <v>1</v>
      </c>
      <c r="AP3954">
        <v>0</v>
      </c>
      <c r="AQ3954">
        <v>0</v>
      </c>
      <c r="AR3954">
        <v>0</v>
      </c>
      <c r="AS3954">
        <v>0</v>
      </c>
      <c r="AT3954">
        <v>0</v>
      </c>
      <c r="AU3954">
        <f t="shared" si="122"/>
        <v>1</v>
      </c>
      <c r="AV3954">
        <f t="shared" si="123"/>
        <v>0</v>
      </c>
    </row>
    <row r="3955" spans="1:48" x14ac:dyDescent="0.25">
      <c r="A3955" t="s">
        <v>12201</v>
      </c>
      <c r="B3955" t="s">
        <v>12201</v>
      </c>
      <c r="C3955" t="s">
        <v>12202</v>
      </c>
      <c r="D3955" t="s">
        <v>12203</v>
      </c>
      <c r="E3955" t="s">
        <v>2310</v>
      </c>
      <c r="F3955">
        <v>15</v>
      </c>
      <c r="G3955">
        <v>15.1</v>
      </c>
      <c r="H3955" t="s">
        <v>2022</v>
      </c>
      <c r="I3955" s="21">
        <v>41794.630671296298</v>
      </c>
      <c r="J3955">
        <v>2014</v>
      </c>
      <c r="K3955" s="21">
        <v>41836.482534722199</v>
      </c>
      <c r="L3955">
        <v>2014</v>
      </c>
      <c r="M3955" s="21">
        <v>42430.347407407397</v>
      </c>
      <c r="N3955">
        <v>2016</v>
      </c>
      <c r="Q3955" s="262">
        <v>50000</v>
      </c>
      <c r="R3955" s="262">
        <v>42000</v>
      </c>
      <c r="S3955" t="s">
        <v>114</v>
      </c>
      <c r="T3955" t="s">
        <v>114</v>
      </c>
      <c r="V3955">
        <v>995</v>
      </c>
      <c r="W3955">
        <v>-227</v>
      </c>
      <c r="X3955">
        <v>0</v>
      </c>
      <c r="Y3955">
        <v>0</v>
      </c>
      <c r="Z3955">
        <v>0</v>
      </c>
      <c r="AA3955">
        <v>0</v>
      </c>
      <c r="AB3955">
        <v>0</v>
      </c>
      <c r="AC3955">
        <v>-227</v>
      </c>
      <c r="AD3955">
        <v>0</v>
      </c>
      <c r="AE3955">
        <v>0</v>
      </c>
      <c r="AF3955">
        <v>0</v>
      </c>
      <c r="AG3955">
        <v>0</v>
      </c>
      <c r="AH3955">
        <v>0</v>
      </c>
      <c r="AI3955">
        <v>0</v>
      </c>
      <c r="AJ3955">
        <v>0</v>
      </c>
      <c r="AK3955">
        <v>0</v>
      </c>
      <c r="AL3955">
        <v>0</v>
      </c>
      <c r="AM3955">
        <v>0</v>
      </c>
      <c r="AN3955">
        <v>0</v>
      </c>
      <c r="AO3955">
        <v>0</v>
      </c>
      <c r="AP3955">
        <v>0</v>
      </c>
      <c r="AQ3955">
        <v>0</v>
      </c>
      <c r="AR3955">
        <v>0</v>
      </c>
      <c r="AS3955">
        <v>0</v>
      </c>
      <c r="AT3955">
        <v>0</v>
      </c>
      <c r="AU3955">
        <f t="shared" si="122"/>
        <v>0</v>
      </c>
      <c r="AV3955">
        <f t="shared" si="123"/>
        <v>0</v>
      </c>
    </row>
    <row r="3956" spans="1:48" x14ac:dyDescent="0.25">
      <c r="A3956" t="s">
        <v>12204</v>
      </c>
      <c r="B3956" t="s">
        <v>12204</v>
      </c>
      <c r="C3956" t="s">
        <v>12205</v>
      </c>
      <c r="D3956" t="s">
        <v>11798</v>
      </c>
      <c r="E3956" t="s">
        <v>2310</v>
      </c>
      <c r="F3956">
        <v>15</v>
      </c>
      <c r="G3956">
        <v>15.2</v>
      </c>
      <c r="H3956" t="s">
        <v>2323</v>
      </c>
      <c r="I3956" s="21">
        <v>41794.664212962998</v>
      </c>
      <c r="J3956">
        <v>2014</v>
      </c>
      <c r="K3956" s="21">
        <v>41810.668634259302</v>
      </c>
      <c r="L3956">
        <v>2014</v>
      </c>
      <c r="P3956" s="21">
        <v>42678.494050925903</v>
      </c>
      <c r="Q3956" s="262">
        <v>25000</v>
      </c>
      <c r="R3956" s="262">
        <v>16000</v>
      </c>
      <c r="S3956" t="s">
        <v>114</v>
      </c>
      <c r="T3956" t="s">
        <v>114</v>
      </c>
      <c r="V3956">
        <v>0</v>
      </c>
      <c r="W3956">
        <v>144</v>
      </c>
      <c r="X3956">
        <v>0</v>
      </c>
      <c r="Y3956">
        <v>0</v>
      </c>
      <c r="Z3956">
        <v>0</v>
      </c>
      <c r="AA3956">
        <v>0</v>
      </c>
      <c r="AB3956">
        <v>0</v>
      </c>
      <c r="AC3956">
        <v>144</v>
      </c>
      <c r="AD3956">
        <v>0</v>
      </c>
      <c r="AE3956">
        <v>0</v>
      </c>
      <c r="AF3956">
        <v>0</v>
      </c>
      <c r="AG3956">
        <v>0</v>
      </c>
      <c r="AH3956">
        <v>0</v>
      </c>
      <c r="AI3956">
        <v>0</v>
      </c>
      <c r="AJ3956">
        <v>0</v>
      </c>
      <c r="AK3956">
        <v>0</v>
      </c>
      <c r="AL3956">
        <v>0</v>
      </c>
      <c r="AM3956">
        <v>0</v>
      </c>
      <c r="AN3956">
        <v>0</v>
      </c>
      <c r="AO3956">
        <v>0</v>
      </c>
      <c r="AP3956">
        <v>0</v>
      </c>
      <c r="AQ3956">
        <v>0</v>
      </c>
      <c r="AR3956">
        <v>0</v>
      </c>
      <c r="AS3956">
        <v>0</v>
      </c>
      <c r="AT3956">
        <v>0</v>
      </c>
      <c r="AU3956">
        <f t="shared" si="122"/>
        <v>0</v>
      </c>
      <c r="AV3956">
        <f t="shared" si="123"/>
        <v>0</v>
      </c>
    </row>
    <row r="3957" spans="1:48" x14ac:dyDescent="0.25">
      <c r="A3957" t="s">
        <v>17560</v>
      </c>
      <c r="B3957" t="s">
        <v>17560</v>
      </c>
      <c r="C3957" t="s">
        <v>17561</v>
      </c>
      <c r="D3957" t="s">
        <v>12127</v>
      </c>
      <c r="E3957" t="s">
        <v>2310</v>
      </c>
      <c r="F3957">
        <v>15</v>
      </c>
      <c r="G3957">
        <v>15.1</v>
      </c>
      <c r="H3957" t="s">
        <v>2022</v>
      </c>
      <c r="I3957" s="21">
        <v>41795.617754629631</v>
      </c>
      <c r="J3957">
        <v>2014</v>
      </c>
      <c r="K3957" s="21">
        <v>42940.675254629627</v>
      </c>
      <c r="L3957">
        <v>2017</v>
      </c>
      <c r="M3957" s="21">
        <v>42940.675254629627</v>
      </c>
      <c r="N3957">
        <v>2017</v>
      </c>
      <c r="Q3957" s="262">
        <v>650000</v>
      </c>
      <c r="R3957" s="262">
        <v>203000</v>
      </c>
      <c r="S3957" t="s">
        <v>13254</v>
      </c>
      <c r="V3957">
        <v>0</v>
      </c>
      <c r="W3957">
        <v>2212</v>
      </c>
      <c r="X3957">
        <v>1</v>
      </c>
      <c r="Y3957">
        <v>0</v>
      </c>
      <c r="Z3957">
        <v>0</v>
      </c>
      <c r="AA3957">
        <v>0</v>
      </c>
      <c r="AB3957">
        <v>0</v>
      </c>
      <c r="AC3957">
        <v>2212</v>
      </c>
      <c r="AD3957">
        <v>0</v>
      </c>
      <c r="AE3957">
        <v>0</v>
      </c>
      <c r="AF3957">
        <v>0</v>
      </c>
      <c r="AG3957">
        <v>0</v>
      </c>
      <c r="AH3957">
        <v>0</v>
      </c>
      <c r="AI3957">
        <v>0</v>
      </c>
      <c r="AJ3957">
        <v>0</v>
      </c>
      <c r="AK3957">
        <v>0</v>
      </c>
      <c r="AL3957">
        <v>0</v>
      </c>
      <c r="AM3957">
        <v>0</v>
      </c>
      <c r="AN3957">
        <v>0</v>
      </c>
      <c r="AO3957">
        <v>1</v>
      </c>
      <c r="AP3957">
        <v>0</v>
      </c>
      <c r="AQ3957">
        <v>0</v>
      </c>
      <c r="AR3957">
        <v>0</v>
      </c>
      <c r="AS3957">
        <v>0</v>
      </c>
      <c r="AT3957">
        <v>0</v>
      </c>
      <c r="AU3957">
        <f t="shared" si="122"/>
        <v>1</v>
      </c>
      <c r="AV3957">
        <f t="shared" si="123"/>
        <v>0</v>
      </c>
    </row>
    <row r="3958" spans="1:48" x14ac:dyDescent="0.25">
      <c r="A3958" t="s">
        <v>12206</v>
      </c>
      <c r="B3958" t="s">
        <v>12206</v>
      </c>
      <c r="C3958" t="s">
        <v>12207</v>
      </c>
      <c r="D3958" t="s">
        <v>12208</v>
      </c>
      <c r="E3958" t="s">
        <v>2310</v>
      </c>
      <c r="F3958">
        <v>11</v>
      </c>
      <c r="G3958">
        <v>11.2</v>
      </c>
      <c r="H3958" t="s">
        <v>2017</v>
      </c>
      <c r="I3958" s="21">
        <v>41796.360613425903</v>
      </c>
      <c r="J3958">
        <v>2014</v>
      </c>
      <c r="K3958" s="21">
        <v>41858.650381944397</v>
      </c>
      <c r="L3958">
        <v>2014</v>
      </c>
      <c r="M3958" s="21">
        <v>42061.5938425926</v>
      </c>
      <c r="N3958">
        <v>2015</v>
      </c>
      <c r="Q3958" s="262">
        <v>347000</v>
      </c>
      <c r="R3958" s="262">
        <v>203000</v>
      </c>
      <c r="S3958" t="s">
        <v>114</v>
      </c>
      <c r="T3958" t="s">
        <v>114</v>
      </c>
      <c r="V3958">
        <v>0</v>
      </c>
      <c r="W3958">
        <v>2372</v>
      </c>
      <c r="X3958">
        <v>1</v>
      </c>
      <c r="Y3958">
        <v>0</v>
      </c>
      <c r="Z3958">
        <v>0</v>
      </c>
      <c r="AA3958">
        <v>0</v>
      </c>
      <c r="AB3958">
        <v>0</v>
      </c>
      <c r="AC3958">
        <v>2372</v>
      </c>
      <c r="AD3958">
        <v>0</v>
      </c>
      <c r="AE3958">
        <v>0</v>
      </c>
      <c r="AF3958">
        <v>0</v>
      </c>
      <c r="AG3958">
        <v>0</v>
      </c>
      <c r="AH3958">
        <v>0</v>
      </c>
      <c r="AI3958">
        <v>0</v>
      </c>
      <c r="AJ3958">
        <v>0</v>
      </c>
      <c r="AK3958">
        <v>0</v>
      </c>
      <c r="AL3958">
        <v>0</v>
      </c>
      <c r="AM3958">
        <v>0</v>
      </c>
      <c r="AN3958">
        <v>0</v>
      </c>
      <c r="AO3958">
        <v>1</v>
      </c>
      <c r="AP3958">
        <v>0</v>
      </c>
      <c r="AQ3958">
        <v>0</v>
      </c>
      <c r="AR3958">
        <v>0</v>
      </c>
      <c r="AS3958">
        <v>0</v>
      </c>
      <c r="AT3958">
        <v>0</v>
      </c>
      <c r="AU3958">
        <f t="shared" si="122"/>
        <v>1</v>
      </c>
      <c r="AV3958">
        <f t="shared" si="123"/>
        <v>0</v>
      </c>
    </row>
    <row r="3959" spans="1:48" x14ac:dyDescent="0.25">
      <c r="A3959" t="s">
        <v>12209</v>
      </c>
      <c r="B3959" t="s">
        <v>12209</v>
      </c>
      <c r="C3959" t="s">
        <v>12207</v>
      </c>
      <c r="D3959" t="s">
        <v>12208</v>
      </c>
      <c r="E3959" t="s">
        <v>2310</v>
      </c>
      <c r="F3959">
        <v>11</v>
      </c>
      <c r="G3959">
        <v>11.2</v>
      </c>
      <c r="H3959" t="s">
        <v>2017</v>
      </c>
      <c r="I3959" s="21">
        <v>41796.370578703703</v>
      </c>
      <c r="J3959">
        <v>2014</v>
      </c>
      <c r="K3959" s="21">
        <v>41858.650775463</v>
      </c>
      <c r="L3959">
        <v>2014</v>
      </c>
      <c r="M3959" s="21">
        <v>42061.614050925898</v>
      </c>
      <c r="N3959">
        <v>2015</v>
      </c>
      <c r="Q3959" s="262">
        <v>347000</v>
      </c>
      <c r="R3959" s="262">
        <v>203000</v>
      </c>
      <c r="S3959" t="s">
        <v>114</v>
      </c>
      <c r="T3959" t="s">
        <v>114</v>
      </c>
      <c r="V3959">
        <v>0</v>
      </c>
      <c r="W3959">
        <v>2372</v>
      </c>
      <c r="X3959">
        <v>1</v>
      </c>
      <c r="Y3959">
        <v>0</v>
      </c>
      <c r="Z3959">
        <v>0</v>
      </c>
      <c r="AA3959">
        <v>0</v>
      </c>
      <c r="AB3959">
        <v>0</v>
      </c>
      <c r="AC3959">
        <v>2372</v>
      </c>
      <c r="AD3959">
        <v>0</v>
      </c>
      <c r="AE3959">
        <v>0</v>
      </c>
      <c r="AF3959">
        <v>0</v>
      </c>
      <c r="AG3959">
        <v>0</v>
      </c>
      <c r="AH3959">
        <v>0</v>
      </c>
      <c r="AI3959">
        <v>0</v>
      </c>
      <c r="AJ3959">
        <v>0</v>
      </c>
      <c r="AK3959">
        <v>0</v>
      </c>
      <c r="AL3959">
        <v>0</v>
      </c>
      <c r="AM3959">
        <v>0</v>
      </c>
      <c r="AN3959">
        <v>0</v>
      </c>
      <c r="AO3959">
        <v>1</v>
      </c>
      <c r="AP3959">
        <v>0</v>
      </c>
      <c r="AQ3959">
        <v>0</v>
      </c>
      <c r="AR3959">
        <v>0</v>
      </c>
      <c r="AS3959">
        <v>0</v>
      </c>
      <c r="AT3959">
        <v>0</v>
      </c>
      <c r="AU3959">
        <f t="shared" si="122"/>
        <v>1</v>
      </c>
      <c r="AV3959">
        <f t="shared" si="123"/>
        <v>0</v>
      </c>
    </row>
    <row r="3960" spans="1:48" x14ac:dyDescent="0.25">
      <c r="A3960" t="s">
        <v>12210</v>
      </c>
      <c r="B3960" t="s">
        <v>12210</v>
      </c>
      <c r="C3960" t="s">
        <v>12207</v>
      </c>
      <c r="D3960" t="s">
        <v>12208</v>
      </c>
      <c r="E3960" t="s">
        <v>2310</v>
      </c>
      <c r="F3960">
        <v>11</v>
      </c>
      <c r="G3960">
        <v>11.2</v>
      </c>
      <c r="H3960" t="s">
        <v>2017</v>
      </c>
      <c r="I3960" s="21">
        <v>41796.370601851799</v>
      </c>
      <c r="J3960">
        <v>2014</v>
      </c>
      <c r="K3960" s="21">
        <v>41858.651435185202</v>
      </c>
      <c r="L3960">
        <v>2014</v>
      </c>
      <c r="M3960" s="21">
        <v>42061.615682870397</v>
      </c>
      <c r="N3960">
        <v>2015</v>
      </c>
      <c r="Q3960" s="262">
        <v>347000</v>
      </c>
      <c r="R3960" s="262">
        <v>203000</v>
      </c>
      <c r="S3960" t="s">
        <v>114</v>
      </c>
      <c r="T3960" t="s">
        <v>114</v>
      </c>
      <c r="V3960">
        <v>0</v>
      </c>
      <c r="W3960">
        <v>2372</v>
      </c>
      <c r="X3960">
        <v>1</v>
      </c>
      <c r="Y3960">
        <v>0</v>
      </c>
      <c r="Z3960">
        <v>0</v>
      </c>
      <c r="AA3960">
        <v>0</v>
      </c>
      <c r="AB3960">
        <v>0</v>
      </c>
      <c r="AC3960">
        <v>2372</v>
      </c>
      <c r="AD3960">
        <v>0</v>
      </c>
      <c r="AE3960">
        <v>0</v>
      </c>
      <c r="AF3960">
        <v>0</v>
      </c>
      <c r="AG3960">
        <v>0</v>
      </c>
      <c r="AH3960">
        <v>0</v>
      </c>
      <c r="AI3960">
        <v>0</v>
      </c>
      <c r="AJ3960">
        <v>0</v>
      </c>
      <c r="AK3960">
        <v>0</v>
      </c>
      <c r="AL3960">
        <v>0</v>
      </c>
      <c r="AM3960">
        <v>0</v>
      </c>
      <c r="AN3960">
        <v>0</v>
      </c>
      <c r="AO3960">
        <v>1</v>
      </c>
      <c r="AP3960">
        <v>0</v>
      </c>
      <c r="AQ3960">
        <v>0</v>
      </c>
      <c r="AR3960">
        <v>0</v>
      </c>
      <c r="AS3960">
        <v>0</v>
      </c>
      <c r="AT3960">
        <v>0</v>
      </c>
      <c r="AU3960">
        <f t="shared" si="122"/>
        <v>1</v>
      </c>
      <c r="AV3960">
        <f t="shared" si="123"/>
        <v>0</v>
      </c>
    </row>
    <row r="3961" spans="1:48" x14ac:dyDescent="0.25">
      <c r="A3961" t="s">
        <v>12211</v>
      </c>
      <c r="B3961" t="s">
        <v>12211</v>
      </c>
      <c r="C3961" t="s">
        <v>12207</v>
      </c>
      <c r="D3961" t="s">
        <v>12208</v>
      </c>
      <c r="E3961" t="s">
        <v>2310</v>
      </c>
      <c r="F3961">
        <v>11</v>
      </c>
      <c r="G3961">
        <v>11.2</v>
      </c>
      <c r="H3961" t="s">
        <v>2017</v>
      </c>
      <c r="I3961" s="21">
        <v>41796.370636574102</v>
      </c>
      <c r="J3961">
        <v>2014</v>
      </c>
      <c r="K3961" s="21">
        <v>41858.651898148099</v>
      </c>
      <c r="L3961">
        <v>2014</v>
      </c>
      <c r="M3961" s="21">
        <v>42061.616886574098</v>
      </c>
      <c r="N3961">
        <v>2015</v>
      </c>
      <c r="Q3961" s="262">
        <v>347000</v>
      </c>
      <c r="R3961" s="262">
        <v>203000</v>
      </c>
      <c r="S3961" t="s">
        <v>114</v>
      </c>
      <c r="T3961" t="s">
        <v>114</v>
      </c>
      <c r="V3961">
        <v>0</v>
      </c>
      <c r="W3961">
        <v>2372</v>
      </c>
      <c r="X3961">
        <v>1</v>
      </c>
      <c r="Y3961">
        <v>0</v>
      </c>
      <c r="Z3961">
        <v>0</v>
      </c>
      <c r="AA3961">
        <v>0</v>
      </c>
      <c r="AB3961">
        <v>0</v>
      </c>
      <c r="AC3961">
        <v>2372</v>
      </c>
      <c r="AD3961">
        <v>0</v>
      </c>
      <c r="AE3961">
        <v>0</v>
      </c>
      <c r="AF3961">
        <v>0</v>
      </c>
      <c r="AG3961">
        <v>0</v>
      </c>
      <c r="AH3961">
        <v>0</v>
      </c>
      <c r="AI3961">
        <v>0</v>
      </c>
      <c r="AJ3961">
        <v>0</v>
      </c>
      <c r="AK3961">
        <v>0</v>
      </c>
      <c r="AL3961">
        <v>0</v>
      </c>
      <c r="AM3961">
        <v>0</v>
      </c>
      <c r="AN3961">
        <v>0</v>
      </c>
      <c r="AO3961">
        <v>1</v>
      </c>
      <c r="AP3961">
        <v>0</v>
      </c>
      <c r="AQ3961">
        <v>0</v>
      </c>
      <c r="AR3961">
        <v>0</v>
      </c>
      <c r="AS3961">
        <v>0</v>
      </c>
      <c r="AT3961">
        <v>0</v>
      </c>
      <c r="AU3961">
        <f t="shared" si="122"/>
        <v>1</v>
      </c>
      <c r="AV3961">
        <f t="shared" si="123"/>
        <v>0</v>
      </c>
    </row>
    <row r="3962" spans="1:48" x14ac:dyDescent="0.25">
      <c r="A3962" t="s">
        <v>12212</v>
      </c>
      <c r="B3962" t="s">
        <v>12212</v>
      </c>
      <c r="C3962" t="s">
        <v>12207</v>
      </c>
      <c r="D3962" t="s">
        <v>12208</v>
      </c>
      <c r="E3962" t="s">
        <v>2310</v>
      </c>
      <c r="F3962">
        <v>11</v>
      </c>
      <c r="G3962">
        <v>11.2</v>
      </c>
      <c r="H3962" t="s">
        <v>2017</v>
      </c>
      <c r="I3962" s="21">
        <v>41796.370671296303</v>
      </c>
      <c r="J3962">
        <v>2014</v>
      </c>
      <c r="K3962" s="21">
        <v>41858.652337963002</v>
      </c>
      <c r="L3962">
        <v>2014</v>
      </c>
      <c r="M3962" s="21">
        <v>42081.453136574099</v>
      </c>
      <c r="N3962">
        <v>2015</v>
      </c>
      <c r="Q3962" s="262">
        <v>347000</v>
      </c>
      <c r="R3962" s="262">
        <v>203000</v>
      </c>
      <c r="S3962" t="s">
        <v>114</v>
      </c>
      <c r="T3962" t="s">
        <v>114</v>
      </c>
      <c r="V3962">
        <v>0</v>
      </c>
      <c r="W3962">
        <v>2372</v>
      </c>
      <c r="X3962">
        <v>1</v>
      </c>
      <c r="Y3962">
        <v>0</v>
      </c>
      <c r="Z3962">
        <v>0</v>
      </c>
      <c r="AA3962">
        <v>0</v>
      </c>
      <c r="AB3962">
        <v>0</v>
      </c>
      <c r="AC3962">
        <v>2372</v>
      </c>
      <c r="AD3962">
        <v>0</v>
      </c>
      <c r="AE3962">
        <v>0</v>
      </c>
      <c r="AF3962">
        <v>0</v>
      </c>
      <c r="AG3962">
        <v>0</v>
      </c>
      <c r="AH3962">
        <v>0</v>
      </c>
      <c r="AI3962">
        <v>0</v>
      </c>
      <c r="AJ3962">
        <v>0</v>
      </c>
      <c r="AK3962">
        <v>0</v>
      </c>
      <c r="AL3962">
        <v>0</v>
      </c>
      <c r="AM3962">
        <v>0</v>
      </c>
      <c r="AN3962">
        <v>0</v>
      </c>
      <c r="AO3962">
        <v>1</v>
      </c>
      <c r="AP3962">
        <v>0</v>
      </c>
      <c r="AQ3962">
        <v>0</v>
      </c>
      <c r="AR3962">
        <v>0</v>
      </c>
      <c r="AS3962">
        <v>0</v>
      </c>
      <c r="AT3962">
        <v>0</v>
      </c>
      <c r="AU3962">
        <f t="shared" si="122"/>
        <v>1</v>
      </c>
      <c r="AV3962">
        <f t="shared" si="123"/>
        <v>0</v>
      </c>
    </row>
    <row r="3963" spans="1:48" x14ac:dyDescent="0.25">
      <c r="A3963" t="s">
        <v>12213</v>
      </c>
      <c r="B3963" t="s">
        <v>12213</v>
      </c>
      <c r="C3963" t="s">
        <v>12207</v>
      </c>
      <c r="D3963" t="s">
        <v>12208</v>
      </c>
      <c r="E3963" t="s">
        <v>2310</v>
      </c>
      <c r="F3963">
        <v>11</v>
      </c>
      <c r="G3963">
        <v>11.2</v>
      </c>
      <c r="H3963" t="s">
        <v>2017</v>
      </c>
      <c r="I3963" s="21">
        <v>41796.370706018497</v>
      </c>
      <c r="J3963">
        <v>2014</v>
      </c>
      <c r="K3963" s="21">
        <v>41858.652743055602</v>
      </c>
      <c r="L3963">
        <v>2014</v>
      </c>
      <c r="M3963" s="21">
        <v>42081.472581018497</v>
      </c>
      <c r="N3963">
        <v>2015</v>
      </c>
      <c r="Q3963" s="262">
        <v>347000</v>
      </c>
      <c r="R3963" s="262">
        <v>203000</v>
      </c>
      <c r="S3963" t="s">
        <v>114</v>
      </c>
      <c r="T3963" t="s">
        <v>114</v>
      </c>
      <c r="V3963">
        <v>0</v>
      </c>
      <c r="W3963">
        <v>2372</v>
      </c>
      <c r="X3963">
        <v>1</v>
      </c>
      <c r="Y3963">
        <v>0</v>
      </c>
      <c r="Z3963">
        <v>0</v>
      </c>
      <c r="AA3963">
        <v>0</v>
      </c>
      <c r="AB3963">
        <v>0</v>
      </c>
      <c r="AC3963">
        <v>2372</v>
      </c>
      <c r="AD3963">
        <v>0</v>
      </c>
      <c r="AE3963">
        <v>0</v>
      </c>
      <c r="AF3963">
        <v>0</v>
      </c>
      <c r="AG3963">
        <v>0</v>
      </c>
      <c r="AH3963">
        <v>0</v>
      </c>
      <c r="AI3963">
        <v>0</v>
      </c>
      <c r="AJ3963">
        <v>0</v>
      </c>
      <c r="AK3963">
        <v>0</v>
      </c>
      <c r="AL3963">
        <v>0</v>
      </c>
      <c r="AM3963">
        <v>0</v>
      </c>
      <c r="AN3963">
        <v>0</v>
      </c>
      <c r="AO3963">
        <v>1</v>
      </c>
      <c r="AP3963">
        <v>0</v>
      </c>
      <c r="AQ3963">
        <v>0</v>
      </c>
      <c r="AR3963">
        <v>0</v>
      </c>
      <c r="AS3963">
        <v>0</v>
      </c>
      <c r="AT3963">
        <v>0</v>
      </c>
      <c r="AU3963">
        <f t="shared" si="122"/>
        <v>1</v>
      </c>
      <c r="AV3963">
        <f t="shared" si="123"/>
        <v>0</v>
      </c>
    </row>
    <row r="3964" spans="1:48" x14ac:dyDescent="0.25">
      <c r="A3964" t="s">
        <v>12214</v>
      </c>
      <c r="B3964" t="s">
        <v>12214</v>
      </c>
      <c r="C3964" t="s">
        <v>12207</v>
      </c>
      <c r="D3964" t="s">
        <v>12208</v>
      </c>
      <c r="E3964" t="s">
        <v>2310</v>
      </c>
      <c r="F3964">
        <v>11</v>
      </c>
      <c r="G3964">
        <v>11.2</v>
      </c>
      <c r="H3964" t="s">
        <v>2017</v>
      </c>
      <c r="I3964" s="21">
        <v>41796.370740740698</v>
      </c>
      <c r="J3964">
        <v>2014</v>
      </c>
      <c r="K3964" s="21">
        <v>41858.653182870403</v>
      </c>
      <c r="L3964">
        <v>2014</v>
      </c>
      <c r="M3964" s="21">
        <v>42080.590740740699</v>
      </c>
      <c r="N3964">
        <v>2015</v>
      </c>
      <c r="Q3964" s="262">
        <v>347000</v>
      </c>
      <c r="R3964" s="262">
        <v>203000</v>
      </c>
      <c r="S3964" t="s">
        <v>114</v>
      </c>
      <c r="T3964" t="s">
        <v>114</v>
      </c>
      <c r="V3964">
        <v>0</v>
      </c>
      <c r="W3964">
        <v>2372</v>
      </c>
      <c r="X3964">
        <v>1</v>
      </c>
      <c r="Y3964">
        <v>0</v>
      </c>
      <c r="Z3964">
        <v>0</v>
      </c>
      <c r="AA3964">
        <v>0</v>
      </c>
      <c r="AB3964">
        <v>0</v>
      </c>
      <c r="AC3964">
        <v>2372</v>
      </c>
      <c r="AD3964">
        <v>0</v>
      </c>
      <c r="AE3964">
        <v>0</v>
      </c>
      <c r="AF3964">
        <v>0</v>
      </c>
      <c r="AG3964">
        <v>0</v>
      </c>
      <c r="AH3964">
        <v>0</v>
      </c>
      <c r="AI3964">
        <v>0</v>
      </c>
      <c r="AJ3964">
        <v>0</v>
      </c>
      <c r="AK3964">
        <v>0</v>
      </c>
      <c r="AL3964">
        <v>0</v>
      </c>
      <c r="AM3964">
        <v>0</v>
      </c>
      <c r="AN3964">
        <v>0</v>
      </c>
      <c r="AO3964">
        <v>1</v>
      </c>
      <c r="AP3964">
        <v>0</v>
      </c>
      <c r="AQ3964">
        <v>0</v>
      </c>
      <c r="AR3964">
        <v>0</v>
      </c>
      <c r="AS3964">
        <v>0</v>
      </c>
      <c r="AT3964">
        <v>0</v>
      </c>
      <c r="AU3964">
        <f t="shared" si="122"/>
        <v>1</v>
      </c>
      <c r="AV3964">
        <f t="shared" si="123"/>
        <v>0</v>
      </c>
    </row>
    <row r="3965" spans="1:48" x14ac:dyDescent="0.25">
      <c r="A3965" t="s">
        <v>12215</v>
      </c>
      <c r="B3965" t="s">
        <v>12215</v>
      </c>
      <c r="C3965" t="s">
        <v>12207</v>
      </c>
      <c r="D3965" t="s">
        <v>12208</v>
      </c>
      <c r="E3965" t="s">
        <v>2310</v>
      </c>
      <c r="F3965">
        <v>11</v>
      </c>
      <c r="G3965">
        <v>11.2</v>
      </c>
      <c r="H3965" t="s">
        <v>2017</v>
      </c>
      <c r="I3965" s="21">
        <v>41796.370775463001</v>
      </c>
      <c r="J3965">
        <v>2014</v>
      </c>
      <c r="K3965" s="21">
        <v>41858.653587963003</v>
      </c>
      <c r="L3965">
        <v>2014</v>
      </c>
      <c r="M3965" s="21">
        <v>42080.594004629602</v>
      </c>
      <c r="N3965">
        <v>2015</v>
      </c>
      <c r="Q3965" s="262">
        <v>347000</v>
      </c>
      <c r="R3965" s="262">
        <v>203000</v>
      </c>
      <c r="S3965" t="s">
        <v>114</v>
      </c>
      <c r="T3965" t="s">
        <v>114</v>
      </c>
      <c r="V3965">
        <v>0</v>
      </c>
      <c r="W3965">
        <v>2372</v>
      </c>
      <c r="X3965">
        <v>1</v>
      </c>
      <c r="Y3965">
        <v>0</v>
      </c>
      <c r="Z3965">
        <v>0</v>
      </c>
      <c r="AA3965">
        <v>0</v>
      </c>
      <c r="AB3965">
        <v>0</v>
      </c>
      <c r="AC3965">
        <v>2372</v>
      </c>
      <c r="AD3965">
        <v>0</v>
      </c>
      <c r="AE3965">
        <v>0</v>
      </c>
      <c r="AF3965">
        <v>0</v>
      </c>
      <c r="AG3965">
        <v>0</v>
      </c>
      <c r="AH3965">
        <v>0</v>
      </c>
      <c r="AI3965">
        <v>0</v>
      </c>
      <c r="AJ3965">
        <v>0</v>
      </c>
      <c r="AK3965">
        <v>0</v>
      </c>
      <c r="AL3965">
        <v>0</v>
      </c>
      <c r="AM3965">
        <v>0</v>
      </c>
      <c r="AN3965">
        <v>0</v>
      </c>
      <c r="AO3965">
        <v>1</v>
      </c>
      <c r="AP3965">
        <v>0</v>
      </c>
      <c r="AQ3965">
        <v>0</v>
      </c>
      <c r="AR3965">
        <v>0</v>
      </c>
      <c r="AS3965">
        <v>0</v>
      </c>
      <c r="AT3965">
        <v>0</v>
      </c>
      <c r="AU3965">
        <f t="shared" si="122"/>
        <v>1</v>
      </c>
      <c r="AV3965">
        <f t="shared" si="123"/>
        <v>0</v>
      </c>
    </row>
    <row r="3966" spans="1:48" x14ac:dyDescent="0.25">
      <c r="A3966" t="s">
        <v>12216</v>
      </c>
      <c r="B3966" t="s">
        <v>12216</v>
      </c>
      <c r="C3966" t="s">
        <v>12207</v>
      </c>
      <c r="D3966" t="s">
        <v>12208</v>
      </c>
      <c r="E3966" t="s">
        <v>2310</v>
      </c>
      <c r="F3966">
        <v>11</v>
      </c>
      <c r="G3966">
        <v>11.2</v>
      </c>
      <c r="H3966" t="s">
        <v>2017</v>
      </c>
      <c r="I3966" s="21">
        <v>41796.370810185203</v>
      </c>
      <c r="J3966">
        <v>2014</v>
      </c>
      <c r="K3966" s="21">
        <v>41858.653969907398</v>
      </c>
      <c r="L3966">
        <v>2014</v>
      </c>
      <c r="M3966" s="21">
        <v>42104.6570138889</v>
      </c>
      <c r="N3966">
        <v>2015</v>
      </c>
      <c r="Q3966" s="262">
        <v>347000</v>
      </c>
      <c r="R3966" s="262">
        <v>203000</v>
      </c>
      <c r="S3966" t="s">
        <v>114</v>
      </c>
      <c r="T3966" t="s">
        <v>114</v>
      </c>
      <c r="V3966">
        <v>0</v>
      </c>
      <c r="W3966">
        <v>2372</v>
      </c>
      <c r="X3966">
        <v>1</v>
      </c>
      <c r="Y3966">
        <v>0</v>
      </c>
      <c r="Z3966">
        <v>0</v>
      </c>
      <c r="AA3966">
        <v>0</v>
      </c>
      <c r="AB3966">
        <v>0</v>
      </c>
      <c r="AC3966">
        <v>2372</v>
      </c>
      <c r="AD3966">
        <v>0</v>
      </c>
      <c r="AE3966">
        <v>0</v>
      </c>
      <c r="AF3966">
        <v>0</v>
      </c>
      <c r="AG3966">
        <v>0</v>
      </c>
      <c r="AH3966">
        <v>0</v>
      </c>
      <c r="AI3966">
        <v>0</v>
      </c>
      <c r="AJ3966">
        <v>0</v>
      </c>
      <c r="AK3966">
        <v>0</v>
      </c>
      <c r="AL3966">
        <v>0</v>
      </c>
      <c r="AM3966">
        <v>0</v>
      </c>
      <c r="AN3966">
        <v>0</v>
      </c>
      <c r="AO3966">
        <v>1</v>
      </c>
      <c r="AP3966">
        <v>0</v>
      </c>
      <c r="AQ3966">
        <v>0</v>
      </c>
      <c r="AR3966">
        <v>0</v>
      </c>
      <c r="AS3966">
        <v>0</v>
      </c>
      <c r="AT3966">
        <v>0</v>
      </c>
      <c r="AU3966">
        <f t="shared" si="122"/>
        <v>1</v>
      </c>
      <c r="AV3966">
        <f t="shared" si="123"/>
        <v>0</v>
      </c>
    </row>
    <row r="3967" spans="1:48" x14ac:dyDescent="0.25">
      <c r="A3967" t="s">
        <v>12217</v>
      </c>
      <c r="B3967" t="s">
        <v>12217</v>
      </c>
      <c r="C3967" t="s">
        <v>12207</v>
      </c>
      <c r="D3967" t="s">
        <v>12208</v>
      </c>
      <c r="E3967" t="s">
        <v>2310</v>
      </c>
      <c r="F3967">
        <v>11</v>
      </c>
      <c r="G3967">
        <v>11.2</v>
      </c>
      <c r="H3967" t="s">
        <v>2017</v>
      </c>
      <c r="I3967" s="21">
        <v>41796.370833333298</v>
      </c>
      <c r="J3967">
        <v>2014</v>
      </c>
      <c r="K3967" s="21">
        <v>41858.654479166697</v>
      </c>
      <c r="L3967">
        <v>2014</v>
      </c>
      <c r="M3967" s="21">
        <v>42104.658067129603</v>
      </c>
      <c r="N3967">
        <v>2015</v>
      </c>
      <c r="Q3967" s="262">
        <v>347000</v>
      </c>
      <c r="R3967" s="262">
        <v>203000</v>
      </c>
      <c r="S3967" t="s">
        <v>114</v>
      </c>
      <c r="T3967" t="s">
        <v>114</v>
      </c>
      <c r="V3967">
        <v>0</v>
      </c>
      <c r="W3967">
        <v>2372</v>
      </c>
      <c r="X3967">
        <v>1</v>
      </c>
      <c r="Y3967">
        <v>0</v>
      </c>
      <c r="Z3967">
        <v>0</v>
      </c>
      <c r="AA3967">
        <v>0</v>
      </c>
      <c r="AB3967">
        <v>0</v>
      </c>
      <c r="AC3967">
        <v>2372</v>
      </c>
      <c r="AD3967">
        <v>0</v>
      </c>
      <c r="AE3967">
        <v>0</v>
      </c>
      <c r="AF3967">
        <v>0</v>
      </c>
      <c r="AG3967">
        <v>0</v>
      </c>
      <c r="AH3967">
        <v>0</v>
      </c>
      <c r="AI3967">
        <v>0</v>
      </c>
      <c r="AJ3967">
        <v>0</v>
      </c>
      <c r="AK3967">
        <v>0</v>
      </c>
      <c r="AL3967">
        <v>0</v>
      </c>
      <c r="AM3967">
        <v>0</v>
      </c>
      <c r="AN3967">
        <v>0</v>
      </c>
      <c r="AO3967">
        <v>1</v>
      </c>
      <c r="AP3967">
        <v>0</v>
      </c>
      <c r="AQ3967">
        <v>0</v>
      </c>
      <c r="AR3967">
        <v>0</v>
      </c>
      <c r="AS3967">
        <v>0</v>
      </c>
      <c r="AT3967">
        <v>0</v>
      </c>
      <c r="AU3967">
        <f t="shared" si="122"/>
        <v>1</v>
      </c>
      <c r="AV3967">
        <f t="shared" si="123"/>
        <v>0</v>
      </c>
    </row>
    <row r="3968" spans="1:48" x14ac:dyDescent="0.25">
      <c r="A3968" t="s">
        <v>12218</v>
      </c>
      <c r="B3968" t="s">
        <v>12218</v>
      </c>
      <c r="C3968" t="s">
        <v>12207</v>
      </c>
      <c r="D3968" t="s">
        <v>12208</v>
      </c>
      <c r="E3968" t="s">
        <v>2310</v>
      </c>
      <c r="F3968">
        <v>11</v>
      </c>
      <c r="G3968">
        <v>11.2</v>
      </c>
      <c r="H3968" t="s">
        <v>2017</v>
      </c>
      <c r="I3968" s="21">
        <v>41796.370868055601</v>
      </c>
      <c r="J3968">
        <v>2014</v>
      </c>
      <c r="K3968" s="21">
        <v>41858.655011574097</v>
      </c>
      <c r="L3968">
        <v>2014</v>
      </c>
      <c r="M3968" s="21">
        <v>42104.6589930556</v>
      </c>
      <c r="N3968">
        <v>2015</v>
      </c>
      <c r="Q3968" s="262">
        <v>347000</v>
      </c>
      <c r="R3968" s="262">
        <v>203000</v>
      </c>
      <c r="S3968" t="s">
        <v>114</v>
      </c>
      <c r="T3968" t="s">
        <v>114</v>
      </c>
      <c r="V3968">
        <v>0</v>
      </c>
      <c r="W3968">
        <v>2372</v>
      </c>
      <c r="X3968">
        <v>1</v>
      </c>
      <c r="Y3968">
        <v>0</v>
      </c>
      <c r="Z3968">
        <v>0</v>
      </c>
      <c r="AA3968">
        <v>0</v>
      </c>
      <c r="AB3968">
        <v>0</v>
      </c>
      <c r="AC3968">
        <v>2372</v>
      </c>
      <c r="AD3968">
        <v>0</v>
      </c>
      <c r="AE3968">
        <v>0</v>
      </c>
      <c r="AF3968">
        <v>0</v>
      </c>
      <c r="AG3968">
        <v>0</v>
      </c>
      <c r="AH3968">
        <v>0</v>
      </c>
      <c r="AI3968">
        <v>0</v>
      </c>
      <c r="AJ3968">
        <v>0</v>
      </c>
      <c r="AK3968">
        <v>0</v>
      </c>
      <c r="AL3968">
        <v>0</v>
      </c>
      <c r="AM3968">
        <v>0</v>
      </c>
      <c r="AN3968">
        <v>0</v>
      </c>
      <c r="AO3968">
        <v>1</v>
      </c>
      <c r="AP3968">
        <v>0</v>
      </c>
      <c r="AQ3968">
        <v>0</v>
      </c>
      <c r="AR3968">
        <v>0</v>
      </c>
      <c r="AS3968">
        <v>0</v>
      </c>
      <c r="AT3968">
        <v>0</v>
      </c>
      <c r="AU3968">
        <f t="shared" si="122"/>
        <v>1</v>
      </c>
      <c r="AV3968">
        <f t="shared" si="123"/>
        <v>0</v>
      </c>
    </row>
    <row r="3969" spans="1:48" x14ac:dyDescent="0.25">
      <c r="A3969" t="s">
        <v>12218</v>
      </c>
      <c r="B3969" t="s">
        <v>12218</v>
      </c>
      <c r="C3969" t="s">
        <v>12207</v>
      </c>
      <c r="D3969" t="s">
        <v>12208</v>
      </c>
      <c r="E3969" t="s">
        <v>2310</v>
      </c>
      <c r="F3969">
        <v>11</v>
      </c>
      <c r="G3969">
        <v>11.2</v>
      </c>
      <c r="H3969" t="s">
        <v>2017</v>
      </c>
      <c r="I3969" s="21">
        <v>41796.370868055601</v>
      </c>
      <c r="J3969">
        <v>2014</v>
      </c>
      <c r="K3969" s="21">
        <v>41858.655011574097</v>
      </c>
      <c r="L3969">
        <v>2014</v>
      </c>
      <c r="M3969" s="21">
        <v>42104.6589930556</v>
      </c>
      <c r="N3969">
        <v>2015</v>
      </c>
      <c r="Q3969" s="262">
        <v>347000</v>
      </c>
      <c r="R3969" s="262">
        <v>203000</v>
      </c>
      <c r="S3969" t="s">
        <v>114</v>
      </c>
      <c r="T3969" t="s">
        <v>114</v>
      </c>
      <c r="V3969">
        <v>0</v>
      </c>
      <c r="W3969">
        <v>2372</v>
      </c>
      <c r="X3969">
        <v>1</v>
      </c>
      <c r="Y3969">
        <v>0</v>
      </c>
      <c r="Z3969">
        <v>0</v>
      </c>
      <c r="AA3969">
        <v>0</v>
      </c>
      <c r="AB3969">
        <v>0</v>
      </c>
      <c r="AC3969">
        <v>2372</v>
      </c>
      <c r="AD3969">
        <v>0</v>
      </c>
      <c r="AE3969">
        <v>0</v>
      </c>
      <c r="AF3969">
        <v>0</v>
      </c>
      <c r="AG3969">
        <v>0</v>
      </c>
      <c r="AH3969">
        <v>0</v>
      </c>
      <c r="AI3969">
        <v>0</v>
      </c>
      <c r="AJ3969">
        <v>0</v>
      </c>
      <c r="AK3969">
        <v>0</v>
      </c>
      <c r="AL3969">
        <v>0</v>
      </c>
      <c r="AM3969">
        <v>0</v>
      </c>
      <c r="AN3969">
        <v>0</v>
      </c>
      <c r="AO3969">
        <v>1</v>
      </c>
      <c r="AP3969">
        <v>0</v>
      </c>
      <c r="AQ3969">
        <v>0</v>
      </c>
      <c r="AR3969">
        <v>0</v>
      </c>
      <c r="AS3969">
        <v>0</v>
      </c>
      <c r="AT3969">
        <v>0</v>
      </c>
      <c r="AU3969">
        <f t="shared" si="122"/>
        <v>1</v>
      </c>
      <c r="AV3969">
        <f t="shared" si="123"/>
        <v>0</v>
      </c>
    </row>
    <row r="3970" spans="1:48" x14ac:dyDescent="0.25">
      <c r="A3970" t="s">
        <v>12219</v>
      </c>
      <c r="B3970" t="s">
        <v>12219</v>
      </c>
      <c r="C3970" t="s">
        <v>12220</v>
      </c>
      <c r="D3970" t="s">
        <v>12221</v>
      </c>
      <c r="E3970" t="s">
        <v>2310</v>
      </c>
      <c r="F3970">
        <v>10</v>
      </c>
      <c r="G3970">
        <v>10.1</v>
      </c>
      <c r="H3970" t="s">
        <v>2323</v>
      </c>
      <c r="I3970" s="21">
        <v>41796.569652777798</v>
      </c>
      <c r="J3970">
        <v>2014</v>
      </c>
      <c r="K3970" s="21">
        <v>41822.4089930556</v>
      </c>
      <c r="L3970">
        <v>2014</v>
      </c>
      <c r="M3970" s="21">
        <v>42194.310914351903</v>
      </c>
      <c r="N3970">
        <v>2015</v>
      </c>
      <c r="Q3970" s="262">
        <v>976000</v>
      </c>
      <c r="R3970" s="262">
        <v>987000</v>
      </c>
      <c r="S3970" t="s">
        <v>114</v>
      </c>
      <c r="T3970" t="s">
        <v>114</v>
      </c>
      <c r="V3970">
        <v>0</v>
      </c>
      <c r="W3970">
        <v>7416</v>
      </c>
      <c r="X3970">
        <v>1</v>
      </c>
      <c r="Y3970">
        <v>0</v>
      </c>
      <c r="Z3970">
        <v>0</v>
      </c>
      <c r="AA3970">
        <v>0</v>
      </c>
      <c r="AB3970">
        <v>0</v>
      </c>
      <c r="AC3970">
        <v>7416</v>
      </c>
      <c r="AD3970">
        <v>0</v>
      </c>
      <c r="AE3970">
        <v>0</v>
      </c>
      <c r="AF3970">
        <v>0</v>
      </c>
      <c r="AG3970">
        <v>0</v>
      </c>
      <c r="AH3970">
        <v>0</v>
      </c>
      <c r="AI3970">
        <v>0</v>
      </c>
      <c r="AJ3970">
        <v>0</v>
      </c>
      <c r="AK3970">
        <v>0</v>
      </c>
      <c r="AL3970">
        <v>0</v>
      </c>
      <c r="AM3970">
        <v>0</v>
      </c>
      <c r="AN3970">
        <v>0</v>
      </c>
      <c r="AO3970">
        <v>1</v>
      </c>
      <c r="AP3970">
        <v>0</v>
      </c>
      <c r="AQ3970">
        <v>0</v>
      </c>
      <c r="AR3970">
        <v>0</v>
      </c>
      <c r="AS3970">
        <v>0</v>
      </c>
      <c r="AT3970">
        <v>0</v>
      </c>
      <c r="AU3970">
        <f t="shared" si="122"/>
        <v>1</v>
      </c>
      <c r="AV3970">
        <f t="shared" si="123"/>
        <v>0</v>
      </c>
    </row>
    <row r="3971" spans="1:48" x14ac:dyDescent="0.25">
      <c r="A3971" t="s">
        <v>12222</v>
      </c>
      <c r="B3971" t="s">
        <v>12222</v>
      </c>
      <c r="C3971" t="s">
        <v>12223</v>
      </c>
      <c r="D3971" t="s">
        <v>9476</v>
      </c>
      <c r="E3971" t="s">
        <v>2310</v>
      </c>
      <c r="F3971">
        <v>7</v>
      </c>
      <c r="G3971">
        <v>7.1</v>
      </c>
      <c r="H3971" t="s">
        <v>2017</v>
      </c>
      <c r="I3971" s="21">
        <v>41796.684212963002</v>
      </c>
      <c r="J3971">
        <v>2014</v>
      </c>
      <c r="K3971" s="21">
        <v>41803.332233796304</v>
      </c>
      <c r="L3971">
        <v>2014</v>
      </c>
      <c r="M3971" s="21">
        <v>42681.452928240702</v>
      </c>
      <c r="N3971">
        <v>2016</v>
      </c>
      <c r="Q3971" s="262">
        <v>2800</v>
      </c>
      <c r="R3971" s="262">
        <v>1000</v>
      </c>
      <c r="S3971" t="s">
        <v>114</v>
      </c>
      <c r="T3971" t="s">
        <v>114</v>
      </c>
      <c r="V3971">
        <v>0</v>
      </c>
      <c r="W3971">
        <v>0</v>
      </c>
      <c r="X3971">
        <v>0</v>
      </c>
      <c r="Y3971">
        <v>0</v>
      </c>
      <c r="Z3971">
        <v>0</v>
      </c>
      <c r="AA3971">
        <v>0</v>
      </c>
      <c r="AB3971">
        <v>0</v>
      </c>
      <c r="AC3971">
        <v>0</v>
      </c>
      <c r="AD3971">
        <v>0</v>
      </c>
      <c r="AE3971">
        <v>0</v>
      </c>
      <c r="AF3971">
        <v>0</v>
      </c>
      <c r="AG3971">
        <v>0</v>
      </c>
      <c r="AH3971">
        <v>0</v>
      </c>
      <c r="AI3971">
        <v>0</v>
      </c>
      <c r="AJ3971">
        <v>0</v>
      </c>
      <c r="AK3971">
        <v>0</v>
      </c>
      <c r="AL3971">
        <v>0</v>
      </c>
      <c r="AM3971">
        <v>0</v>
      </c>
      <c r="AN3971">
        <v>0</v>
      </c>
      <c r="AO3971">
        <v>0</v>
      </c>
      <c r="AP3971">
        <v>0</v>
      </c>
      <c r="AQ3971">
        <v>0</v>
      </c>
      <c r="AR3971">
        <v>0</v>
      </c>
      <c r="AS3971">
        <v>0</v>
      </c>
      <c r="AT3971">
        <v>0</v>
      </c>
      <c r="AU3971">
        <f t="shared" si="122"/>
        <v>0</v>
      </c>
      <c r="AV3971">
        <f t="shared" si="123"/>
        <v>0</v>
      </c>
    </row>
    <row r="3972" spans="1:48" x14ac:dyDescent="0.25">
      <c r="A3972" t="s">
        <v>12224</v>
      </c>
      <c r="C3972" t="s">
        <v>12225</v>
      </c>
      <c r="D3972" t="s">
        <v>12226</v>
      </c>
      <c r="E3972" t="s">
        <v>1663</v>
      </c>
      <c r="F3972">
        <v>6</v>
      </c>
      <c r="G3972">
        <v>6.1</v>
      </c>
      <c r="H3972" t="s">
        <v>2017</v>
      </c>
      <c r="I3972" s="21">
        <v>41802</v>
      </c>
      <c r="J3972">
        <v>2014</v>
      </c>
      <c r="K3972" s="21">
        <v>41816</v>
      </c>
      <c r="L3972">
        <v>2014</v>
      </c>
      <c r="M3972" s="21">
        <v>41960</v>
      </c>
      <c r="N3972">
        <v>2014</v>
      </c>
      <c r="Q3972" s="262">
        <v>75000</v>
      </c>
      <c r="S3972" t="s">
        <v>114</v>
      </c>
      <c r="T3972" t="s">
        <v>114</v>
      </c>
      <c r="V3972">
        <v>0</v>
      </c>
      <c r="W3972">
        <v>0</v>
      </c>
      <c r="X3972">
        <v>0</v>
      </c>
      <c r="Y3972">
        <v>0</v>
      </c>
      <c r="Z3972">
        <v>0</v>
      </c>
      <c r="AA3972">
        <v>0</v>
      </c>
      <c r="AB3972">
        <v>0</v>
      </c>
      <c r="AC3972">
        <v>0</v>
      </c>
      <c r="AD3972">
        <v>0</v>
      </c>
      <c r="AE3972">
        <v>0</v>
      </c>
      <c r="AF3972">
        <v>0</v>
      </c>
      <c r="AG3972">
        <v>0</v>
      </c>
      <c r="AH3972">
        <v>0</v>
      </c>
      <c r="AI3972">
        <v>0</v>
      </c>
      <c r="AJ3972">
        <v>0</v>
      </c>
      <c r="AK3972">
        <v>0</v>
      </c>
      <c r="AL3972">
        <v>0</v>
      </c>
      <c r="AM3972">
        <v>0</v>
      </c>
      <c r="AN3972">
        <v>0</v>
      </c>
      <c r="AO3972">
        <v>0</v>
      </c>
      <c r="AP3972">
        <v>0</v>
      </c>
      <c r="AQ3972">
        <v>0</v>
      </c>
      <c r="AR3972">
        <v>0</v>
      </c>
      <c r="AS3972">
        <v>0</v>
      </c>
      <c r="AT3972">
        <v>0</v>
      </c>
      <c r="AU3972">
        <f t="shared" si="122"/>
        <v>0</v>
      </c>
      <c r="AV3972">
        <f t="shared" si="123"/>
        <v>0</v>
      </c>
    </row>
    <row r="3973" spans="1:48" x14ac:dyDescent="0.25">
      <c r="A3973" t="s">
        <v>12227</v>
      </c>
      <c r="B3973" t="s">
        <v>12227</v>
      </c>
      <c r="C3973" t="s">
        <v>12228</v>
      </c>
      <c r="D3973" t="s">
        <v>12229</v>
      </c>
      <c r="E3973" t="s">
        <v>2310</v>
      </c>
      <c r="F3973">
        <v>8</v>
      </c>
      <c r="G3973">
        <v>8.1999999999999993</v>
      </c>
      <c r="H3973" t="s">
        <v>2022</v>
      </c>
      <c r="I3973" s="21">
        <v>41802.4532638889</v>
      </c>
      <c r="J3973">
        <v>2014</v>
      </c>
      <c r="K3973" s="21">
        <v>41932.437210648102</v>
      </c>
      <c r="L3973">
        <v>2014</v>
      </c>
      <c r="M3973" s="21">
        <v>42576.678703703699</v>
      </c>
      <c r="N3973">
        <v>2016</v>
      </c>
      <c r="Q3973" s="262">
        <v>100000</v>
      </c>
      <c r="R3973" s="262">
        <v>240000</v>
      </c>
      <c r="S3973" t="s">
        <v>114</v>
      </c>
      <c r="T3973" t="s">
        <v>114</v>
      </c>
      <c r="V3973">
        <v>0</v>
      </c>
      <c r="W3973">
        <v>2400</v>
      </c>
      <c r="X3973">
        <v>0</v>
      </c>
      <c r="Y3973">
        <v>0</v>
      </c>
      <c r="Z3973">
        <v>0</v>
      </c>
      <c r="AA3973">
        <v>0</v>
      </c>
      <c r="AB3973">
        <v>0</v>
      </c>
      <c r="AC3973">
        <v>2400</v>
      </c>
      <c r="AD3973">
        <v>0</v>
      </c>
      <c r="AE3973">
        <v>0</v>
      </c>
      <c r="AF3973">
        <v>0</v>
      </c>
      <c r="AG3973">
        <v>0</v>
      </c>
      <c r="AH3973">
        <v>0</v>
      </c>
      <c r="AI3973">
        <v>0</v>
      </c>
      <c r="AJ3973">
        <v>0</v>
      </c>
      <c r="AK3973">
        <v>0</v>
      </c>
      <c r="AL3973">
        <v>0</v>
      </c>
      <c r="AM3973">
        <v>0</v>
      </c>
      <c r="AN3973">
        <v>0</v>
      </c>
      <c r="AO3973">
        <v>0</v>
      </c>
      <c r="AP3973">
        <v>0</v>
      </c>
      <c r="AQ3973">
        <v>0</v>
      </c>
      <c r="AR3973">
        <v>0</v>
      </c>
      <c r="AS3973">
        <v>0</v>
      </c>
      <c r="AT3973">
        <v>0</v>
      </c>
      <c r="AU3973">
        <f t="shared" si="122"/>
        <v>0</v>
      </c>
      <c r="AV3973">
        <f t="shared" si="123"/>
        <v>0</v>
      </c>
    </row>
    <row r="3974" spans="1:48" x14ac:dyDescent="0.25">
      <c r="A3974" t="s">
        <v>12227</v>
      </c>
      <c r="B3974" t="s">
        <v>12230</v>
      </c>
      <c r="C3974" t="s">
        <v>12228</v>
      </c>
      <c r="D3974" t="s">
        <v>12229</v>
      </c>
      <c r="E3974" t="s">
        <v>2310</v>
      </c>
      <c r="F3974">
        <v>8</v>
      </c>
      <c r="G3974">
        <v>8.1999999999999993</v>
      </c>
      <c r="H3974" t="s">
        <v>2022</v>
      </c>
      <c r="I3974" s="21">
        <v>41802.4532638889</v>
      </c>
      <c r="J3974">
        <v>2014</v>
      </c>
      <c r="K3974" s="21">
        <v>41932.437210648102</v>
      </c>
      <c r="L3974">
        <v>2014</v>
      </c>
      <c r="M3974" s="21">
        <v>42576.678703703699</v>
      </c>
      <c r="N3974">
        <v>2016</v>
      </c>
      <c r="Q3974" s="262">
        <v>100000</v>
      </c>
      <c r="R3974" s="262">
        <v>240000</v>
      </c>
      <c r="S3974" t="s">
        <v>114</v>
      </c>
      <c r="T3974" t="s">
        <v>114</v>
      </c>
      <c r="V3974">
        <v>0</v>
      </c>
      <c r="W3974">
        <v>1460</v>
      </c>
      <c r="X3974">
        <v>0</v>
      </c>
      <c r="Y3974">
        <v>0</v>
      </c>
      <c r="Z3974">
        <v>0</v>
      </c>
      <c r="AA3974">
        <v>0</v>
      </c>
      <c r="AB3974">
        <v>0</v>
      </c>
      <c r="AC3974">
        <v>1460</v>
      </c>
      <c r="AD3974">
        <v>0</v>
      </c>
      <c r="AE3974">
        <v>0</v>
      </c>
      <c r="AF3974">
        <v>0</v>
      </c>
      <c r="AG3974">
        <v>0</v>
      </c>
      <c r="AH3974">
        <v>0</v>
      </c>
      <c r="AI3974">
        <v>0</v>
      </c>
      <c r="AJ3974">
        <v>0</v>
      </c>
      <c r="AK3974">
        <v>0</v>
      </c>
      <c r="AL3974">
        <v>0</v>
      </c>
      <c r="AM3974">
        <v>0</v>
      </c>
      <c r="AN3974">
        <v>0</v>
      </c>
      <c r="AO3974">
        <v>0</v>
      </c>
      <c r="AP3974">
        <v>0</v>
      </c>
      <c r="AQ3974">
        <v>0</v>
      </c>
      <c r="AR3974">
        <v>0</v>
      </c>
      <c r="AS3974">
        <v>0</v>
      </c>
      <c r="AT3974">
        <v>0</v>
      </c>
      <c r="AU3974">
        <f t="shared" si="122"/>
        <v>0</v>
      </c>
      <c r="AV3974">
        <f t="shared" si="123"/>
        <v>0</v>
      </c>
    </row>
    <row r="3975" spans="1:48" x14ac:dyDescent="0.25">
      <c r="A3975" t="s">
        <v>15286</v>
      </c>
      <c r="B3975" t="s">
        <v>15286</v>
      </c>
      <c r="C3975" t="s">
        <v>15287</v>
      </c>
      <c r="D3975" t="s">
        <v>15288</v>
      </c>
      <c r="E3975" t="s">
        <v>2310</v>
      </c>
      <c r="F3975">
        <v>15</v>
      </c>
      <c r="G3975">
        <v>15.1</v>
      </c>
      <c r="H3975" t="s">
        <v>2022</v>
      </c>
      <c r="I3975" s="21">
        <v>41802.5445833333</v>
      </c>
      <c r="J3975">
        <v>2014</v>
      </c>
      <c r="K3975" s="21">
        <v>41928.474803240701</v>
      </c>
      <c r="L3975">
        <v>2014</v>
      </c>
      <c r="M3975" s="21">
        <v>44914</v>
      </c>
      <c r="N3975">
        <v>2022</v>
      </c>
      <c r="P3975" s="21">
        <v>43053.437800925902</v>
      </c>
      <c r="Q3975" s="262">
        <v>200000</v>
      </c>
      <c r="R3975" s="262">
        <v>188000</v>
      </c>
      <c r="S3975" t="s">
        <v>13254</v>
      </c>
      <c r="T3975">
        <v>0</v>
      </c>
      <c r="V3975">
        <v>0</v>
      </c>
      <c r="W3975">
        <v>1652</v>
      </c>
      <c r="X3975">
        <v>1</v>
      </c>
      <c r="Y3975">
        <v>0</v>
      </c>
      <c r="Z3975">
        <v>0</v>
      </c>
      <c r="AA3975">
        <v>0</v>
      </c>
      <c r="AB3975">
        <v>0</v>
      </c>
      <c r="AC3975">
        <v>1652</v>
      </c>
      <c r="AD3975">
        <v>0</v>
      </c>
      <c r="AE3975">
        <v>0</v>
      </c>
      <c r="AF3975">
        <v>0</v>
      </c>
      <c r="AG3975">
        <v>0</v>
      </c>
      <c r="AH3975">
        <v>0</v>
      </c>
      <c r="AI3975">
        <v>0</v>
      </c>
      <c r="AJ3975">
        <v>0</v>
      </c>
      <c r="AK3975">
        <v>0</v>
      </c>
      <c r="AL3975">
        <v>0</v>
      </c>
      <c r="AM3975">
        <v>0</v>
      </c>
      <c r="AN3975">
        <v>0</v>
      </c>
      <c r="AO3975">
        <v>1</v>
      </c>
      <c r="AP3975">
        <v>0</v>
      </c>
      <c r="AQ3975">
        <v>0</v>
      </c>
      <c r="AR3975">
        <v>0</v>
      </c>
      <c r="AS3975">
        <v>0</v>
      </c>
      <c r="AT3975">
        <v>0</v>
      </c>
      <c r="AU3975">
        <f t="shared" si="122"/>
        <v>1</v>
      </c>
      <c r="AV3975">
        <f t="shared" si="123"/>
        <v>0</v>
      </c>
    </row>
    <row r="3976" spans="1:48" x14ac:dyDescent="0.25">
      <c r="A3976" t="s">
        <v>12233</v>
      </c>
      <c r="B3976" t="s">
        <v>12234</v>
      </c>
      <c r="C3976" t="s">
        <v>12235</v>
      </c>
      <c r="D3976" t="s">
        <v>4802</v>
      </c>
      <c r="E3976" t="s">
        <v>2310</v>
      </c>
      <c r="F3976">
        <v>11</v>
      </c>
      <c r="G3976">
        <v>11.3</v>
      </c>
      <c r="H3976" t="s">
        <v>2017</v>
      </c>
      <c r="I3976" s="21">
        <v>41803.484849537002</v>
      </c>
      <c r="J3976">
        <v>2014</v>
      </c>
      <c r="K3976" s="21">
        <v>41995.647789351897</v>
      </c>
      <c r="L3976">
        <v>2014</v>
      </c>
      <c r="M3976" s="21">
        <v>42194.395034722198</v>
      </c>
      <c r="N3976">
        <v>2015</v>
      </c>
      <c r="Q3976" s="262">
        <v>807000</v>
      </c>
      <c r="R3976" s="262">
        <v>303000</v>
      </c>
      <c r="S3976" t="s">
        <v>114</v>
      </c>
      <c r="T3976" t="s">
        <v>114</v>
      </c>
      <c r="V3976">
        <v>0</v>
      </c>
      <c r="W3976">
        <v>1746</v>
      </c>
      <c r="X3976">
        <v>0</v>
      </c>
      <c r="Y3976">
        <v>0</v>
      </c>
      <c r="Z3976">
        <v>0</v>
      </c>
      <c r="AA3976">
        <v>0</v>
      </c>
      <c r="AB3976">
        <v>0</v>
      </c>
      <c r="AC3976">
        <v>1746</v>
      </c>
      <c r="AD3976">
        <v>0</v>
      </c>
      <c r="AE3976">
        <v>0</v>
      </c>
      <c r="AF3976">
        <v>0</v>
      </c>
      <c r="AG3976">
        <v>0</v>
      </c>
      <c r="AH3976">
        <v>0</v>
      </c>
      <c r="AI3976">
        <v>0</v>
      </c>
      <c r="AJ3976">
        <v>0</v>
      </c>
      <c r="AK3976">
        <v>0</v>
      </c>
      <c r="AL3976">
        <v>0</v>
      </c>
      <c r="AM3976">
        <v>0</v>
      </c>
      <c r="AN3976">
        <v>0</v>
      </c>
      <c r="AO3976">
        <v>0</v>
      </c>
      <c r="AP3976">
        <v>0</v>
      </c>
      <c r="AQ3976">
        <v>0</v>
      </c>
      <c r="AR3976">
        <v>0</v>
      </c>
      <c r="AS3976">
        <v>0</v>
      </c>
      <c r="AT3976">
        <v>0</v>
      </c>
      <c r="AU3976">
        <f t="shared" si="122"/>
        <v>0</v>
      </c>
      <c r="AV3976">
        <f t="shared" si="123"/>
        <v>0</v>
      </c>
    </row>
    <row r="3977" spans="1:48" x14ac:dyDescent="0.25">
      <c r="A3977" t="s">
        <v>12236</v>
      </c>
      <c r="B3977" t="s">
        <v>12236</v>
      </c>
      <c r="C3977" t="s">
        <v>7880</v>
      </c>
      <c r="D3977" t="s">
        <v>12237</v>
      </c>
      <c r="E3977" t="s">
        <v>2310</v>
      </c>
      <c r="F3977">
        <v>14</v>
      </c>
      <c r="G3977">
        <v>14.1</v>
      </c>
      <c r="H3977" t="s">
        <v>2022</v>
      </c>
      <c r="I3977" s="21">
        <v>41803.535763888904</v>
      </c>
      <c r="J3977">
        <v>2014</v>
      </c>
      <c r="K3977" s="21">
        <v>41836.446898148097</v>
      </c>
      <c r="L3977">
        <v>2014</v>
      </c>
      <c r="O3977" s="21">
        <v>42439.669224537</v>
      </c>
      <c r="Q3977" s="262">
        <v>70000</v>
      </c>
      <c r="R3977" s="262">
        <v>57943</v>
      </c>
      <c r="S3977" t="s">
        <v>114</v>
      </c>
      <c r="T3977" t="s">
        <v>114</v>
      </c>
      <c r="V3977">
        <v>0</v>
      </c>
      <c r="W3977">
        <v>1364</v>
      </c>
      <c r="X3977">
        <v>0</v>
      </c>
      <c r="Y3977">
        <v>0</v>
      </c>
      <c r="Z3977">
        <v>0</v>
      </c>
      <c r="AA3977">
        <v>0</v>
      </c>
      <c r="AB3977">
        <v>0</v>
      </c>
      <c r="AC3977">
        <v>1364</v>
      </c>
      <c r="AD3977">
        <v>0</v>
      </c>
      <c r="AE3977">
        <v>0</v>
      </c>
      <c r="AF3977">
        <v>0</v>
      </c>
      <c r="AG3977">
        <v>0</v>
      </c>
      <c r="AH3977">
        <v>0</v>
      </c>
      <c r="AI3977">
        <v>0</v>
      </c>
      <c r="AJ3977">
        <v>0</v>
      </c>
      <c r="AK3977">
        <v>0</v>
      </c>
      <c r="AL3977">
        <v>0</v>
      </c>
      <c r="AM3977">
        <v>0</v>
      </c>
      <c r="AN3977">
        <v>0</v>
      </c>
      <c r="AO3977">
        <v>0</v>
      </c>
      <c r="AP3977">
        <v>0</v>
      </c>
      <c r="AQ3977">
        <v>0</v>
      </c>
      <c r="AR3977">
        <v>0</v>
      </c>
      <c r="AS3977">
        <v>0</v>
      </c>
      <c r="AT3977">
        <v>0</v>
      </c>
      <c r="AU3977">
        <f t="shared" si="122"/>
        <v>0</v>
      </c>
      <c r="AV3977">
        <f t="shared" si="123"/>
        <v>0</v>
      </c>
    </row>
    <row r="3978" spans="1:48" x14ac:dyDescent="0.25">
      <c r="A3978" t="s">
        <v>12238</v>
      </c>
      <c r="B3978" t="s">
        <v>12238</v>
      </c>
      <c r="C3978" t="s">
        <v>12239</v>
      </c>
      <c r="D3978" t="s">
        <v>12240</v>
      </c>
      <c r="E3978" t="s">
        <v>2310</v>
      </c>
      <c r="F3978">
        <v>9</v>
      </c>
      <c r="G3978">
        <v>9.1999999999999993</v>
      </c>
      <c r="H3978" t="s">
        <v>2022</v>
      </c>
      <c r="I3978" s="21">
        <v>41803.585370370398</v>
      </c>
      <c r="J3978">
        <v>2014</v>
      </c>
      <c r="K3978" s="21">
        <v>41983.539502314801</v>
      </c>
      <c r="L3978">
        <v>2014</v>
      </c>
      <c r="M3978" s="21">
        <v>42496.399618055599</v>
      </c>
      <c r="N3978">
        <v>2016</v>
      </c>
      <c r="Q3978" s="262">
        <v>100000</v>
      </c>
      <c r="R3978" s="262">
        <v>51000</v>
      </c>
      <c r="S3978" t="s">
        <v>114</v>
      </c>
      <c r="T3978" t="s">
        <v>114</v>
      </c>
      <c r="V3978">
        <v>0</v>
      </c>
      <c r="W3978">
        <v>718</v>
      </c>
      <c r="X3978">
        <v>0</v>
      </c>
      <c r="Y3978">
        <v>0</v>
      </c>
      <c r="Z3978">
        <v>0</v>
      </c>
      <c r="AA3978">
        <v>0</v>
      </c>
      <c r="AB3978">
        <v>0</v>
      </c>
      <c r="AC3978">
        <v>718</v>
      </c>
      <c r="AD3978">
        <v>0</v>
      </c>
      <c r="AE3978">
        <v>0</v>
      </c>
      <c r="AF3978">
        <v>0</v>
      </c>
      <c r="AG3978">
        <v>0</v>
      </c>
      <c r="AH3978">
        <v>0</v>
      </c>
      <c r="AI3978">
        <v>0</v>
      </c>
      <c r="AJ3978">
        <v>0</v>
      </c>
      <c r="AK3978">
        <v>0</v>
      </c>
      <c r="AL3978">
        <v>0</v>
      </c>
      <c r="AM3978">
        <v>0</v>
      </c>
      <c r="AN3978">
        <v>0</v>
      </c>
      <c r="AO3978">
        <v>0</v>
      </c>
      <c r="AP3978">
        <v>0</v>
      </c>
      <c r="AQ3978">
        <v>0</v>
      </c>
      <c r="AR3978">
        <v>0</v>
      </c>
      <c r="AS3978">
        <v>0</v>
      </c>
      <c r="AT3978">
        <v>0</v>
      </c>
      <c r="AU3978">
        <f t="shared" si="122"/>
        <v>0</v>
      </c>
      <c r="AV3978">
        <f t="shared" si="123"/>
        <v>0</v>
      </c>
    </row>
    <row r="3979" spans="1:48" x14ac:dyDescent="0.25">
      <c r="A3979" t="s">
        <v>12238</v>
      </c>
      <c r="B3979" t="s">
        <v>12241</v>
      </c>
      <c r="C3979" t="s">
        <v>12239</v>
      </c>
      <c r="D3979" t="s">
        <v>12240</v>
      </c>
      <c r="E3979" t="s">
        <v>2310</v>
      </c>
      <c r="F3979">
        <v>9</v>
      </c>
      <c r="G3979">
        <v>9.1999999999999993</v>
      </c>
      <c r="H3979" t="s">
        <v>2022</v>
      </c>
      <c r="I3979" s="21">
        <v>41803.585370370398</v>
      </c>
      <c r="J3979">
        <v>2014</v>
      </c>
      <c r="K3979" s="21">
        <v>41983.539502314801</v>
      </c>
      <c r="L3979">
        <v>2014</v>
      </c>
      <c r="M3979" s="21">
        <v>42496.399618055599</v>
      </c>
      <c r="N3979">
        <v>2016</v>
      </c>
      <c r="Q3979" s="262">
        <v>100000</v>
      </c>
      <c r="R3979" s="262">
        <v>51000</v>
      </c>
      <c r="S3979" t="s">
        <v>114</v>
      </c>
      <c r="T3979" t="s">
        <v>114</v>
      </c>
      <c r="V3979">
        <v>0</v>
      </c>
      <c r="W3979">
        <v>0</v>
      </c>
      <c r="X3979">
        <v>0</v>
      </c>
      <c r="Y3979">
        <v>0</v>
      </c>
      <c r="Z3979">
        <v>0</v>
      </c>
      <c r="AA3979">
        <v>0</v>
      </c>
      <c r="AB3979">
        <v>0</v>
      </c>
      <c r="AC3979">
        <v>0</v>
      </c>
      <c r="AD3979">
        <v>0</v>
      </c>
      <c r="AE3979">
        <v>0</v>
      </c>
      <c r="AF3979">
        <v>0</v>
      </c>
      <c r="AG3979">
        <v>0</v>
      </c>
      <c r="AH3979">
        <v>0</v>
      </c>
      <c r="AI3979">
        <v>0</v>
      </c>
      <c r="AJ3979">
        <v>0</v>
      </c>
      <c r="AK3979">
        <v>0</v>
      </c>
      <c r="AL3979">
        <v>0</v>
      </c>
      <c r="AM3979">
        <v>0</v>
      </c>
      <c r="AN3979">
        <v>0</v>
      </c>
      <c r="AO3979">
        <v>0</v>
      </c>
      <c r="AP3979">
        <v>0</v>
      </c>
      <c r="AQ3979">
        <v>0</v>
      </c>
      <c r="AR3979">
        <v>0</v>
      </c>
      <c r="AS3979">
        <v>0</v>
      </c>
      <c r="AT3979">
        <v>0</v>
      </c>
      <c r="AU3979">
        <f t="shared" si="122"/>
        <v>0</v>
      </c>
      <c r="AV3979">
        <f t="shared" si="123"/>
        <v>0</v>
      </c>
    </row>
    <row r="3980" spans="1:48" x14ac:dyDescent="0.25">
      <c r="A3980" t="s">
        <v>12242</v>
      </c>
      <c r="B3980" t="s">
        <v>12242</v>
      </c>
      <c r="C3980" t="s">
        <v>11348</v>
      </c>
      <c r="D3980" t="s">
        <v>12243</v>
      </c>
      <c r="E3980" t="s">
        <v>2310</v>
      </c>
      <c r="F3980">
        <v>10</v>
      </c>
      <c r="G3980">
        <v>10.1</v>
      </c>
      <c r="H3980" t="s">
        <v>2323</v>
      </c>
      <c r="I3980" s="21">
        <v>41803.634282407402</v>
      </c>
      <c r="J3980">
        <v>2014</v>
      </c>
      <c r="K3980" s="21">
        <v>41843.648310185199</v>
      </c>
      <c r="L3980">
        <v>2014</v>
      </c>
      <c r="M3980" s="21">
        <v>42398.5057407407</v>
      </c>
      <c r="N3980">
        <v>2016</v>
      </c>
      <c r="Q3980" s="262">
        <v>850000</v>
      </c>
      <c r="R3980" s="262">
        <v>416000</v>
      </c>
      <c r="S3980" t="s">
        <v>114</v>
      </c>
      <c r="T3980" t="s">
        <v>114</v>
      </c>
      <c r="V3980">
        <v>0</v>
      </c>
      <c r="W3980">
        <v>3694</v>
      </c>
      <c r="X3980">
        <v>1</v>
      </c>
      <c r="Y3980">
        <v>0</v>
      </c>
      <c r="Z3980">
        <v>0</v>
      </c>
      <c r="AA3980">
        <v>0</v>
      </c>
      <c r="AB3980">
        <v>0</v>
      </c>
      <c r="AC3980">
        <v>3694</v>
      </c>
      <c r="AD3980">
        <v>0</v>
      </c>
      <c r="AE3980">
        <v>0</v>
      </c>
      <c r="AF3980">
        <v>0</v>
      </c>
      <c r="AG3980">
        <v>0</v>
      </c>
      <c r="AH3980">
        <v>0</v>
      </c>
      <c r="AI3980">
        <v>0</v>
      </c>
      <c r="AJ3980">
        <v>0</v>
      </c>
      <c r="AK3980">
        <v>0</v>
      </c>
      <c r="AL3980">
        <v>0</v>
      </c>
      <c r="AM3980">
        <v>0</v>
      </c>
      <c r="AN3980">
        <v>0</v>
      </c>
      <c r="AO3980">
        <v>1</v>
      </c>
      <c r="AP3980">
        <v>0</v>
      </c>
      <c r="AQ3980">
        <v>0</v>
      </c>
      <c r="AR3980">
        <v>0</v>
      </c>
      <c r="AS3980">
        <v>0</v>
      </c>
      <c r="AT3980">
        <v>0</v>
      </c>
      <c r="AU3980">
        <f t="shared" si="122"/>
        <v>1</v>
      </c>
      <c r="AV3980">
        <f t="shared" si="123"/>
        <v>0</v>
      </c>
    </row>
    <row r="3981" spans="1:48" x14ac:dyDescent="0.25">
      <c r="A3981" t="s">
        <v>12245</v>
      </c>
      <c r="C3981" t="s">
        <v>12246</v>
      </c>
      <c r="D3981" t="s">
        <v>12247</v>
      </c>
      <c r="E3981" t="s">
        <v>1663</v>
      </c>
      <c r="F3981">
        <v>3</v>
      </c>
      <c r="G3981">
        <v>3.2</v>
      </c>
      <c r="H3981" t="s">
        <v>2327</v>
      </c>
      <c r="I3981" s="21">
        <v>41806</v>
      </c>
      <c r="J3981">
        <v>2014</v>
      </c>
      <c r="K3981" s="21">
        <v>42080</v>
      </c>
      <c r="L3981">
        <v>2015</v>
      </c>
      <c r="M3981" s="21">
        <v>42374</v>
      </c>
      <c r="N3981">
        <v>2016</v>
      </c>
      <c r="Q3981" s="262">
        <v>350000</v>
      </c>
      <c r="S3981" t="s">
        <v>114</v>
      </c>
      <c r="T3981" t="s">
        <v>114</v>
      </c>
      <c r="W3981">
        <v>0</v>
      </c>
      <c r="X3981">
        <v>0</v>
      </c>
      <c r="Y3981">
        <v>0</v>
      </c>
      <c r="Z3981">
        <v>0</v>
      </c>
      <c r="AA3981">
        <v>0</v>
      </c>
      <c r="AB3981">
        <v>0</v>
      </c>
      <c r="AC3981">
        <v>0</v>
      </c>
      <c r="AD3981">
        <v>0</v>
      </c>
      <c r="AE3981">
        <v>0</v>
      </c>
      <c r="AF3981">
        <v>0</v>
      </c>
      <c r="AG3981">
        <v>0</v>
      </c>
      <c r="AH3981">
        <v>0</v>
      </c>
      <c r="AI3981">
        <v>0</v>
      </c>
      <c r="AJ3981">
        <v>0</v>
      </c>
      <c r="AK3981">
        <v>0</v>
      </c>
      <c r="AL3981">
        <v>0</v>
      </c>
      <c r="AM3981">
        <v>0</v>
      </c>
      <c r="AN3981">
        <v>0</v>
      </c>
      <c r="AO3981">
        <v>0</v>
      </c>
      <c r="AP3981">
        <v>0</v>
      </c>
      <c r="AQ3981">
        <v>0</v>
      </c>
      <c r="AR3981">
        <v>0</v>
      </c>
      <c r="AS3981">
        <v>0</v>
      </c>
      <c r="AT3981">
        <v>0</v>
      </c>
      <c r="AU3981">
        <f t="shared" si="122"/>
        <v>0</v>
      </c>
      <c r="AV3981">
        <f t="shared" si="123"/>
        <v>0</v>
      </c>
    </row>
    <row r="3982" spans="1:48" x14ac:dyDescent="0.25">
      <c r="A3982" t="s">
        <v>12248</v>
      </c>
      <c r="C3982" t="s">
        <v>12249</v>
      </c>
      <c r="D3982" t="s">
        <v>12247</v>
      </c>
      <c r="E3982" t="s">
        <v>1663</v>
      </c>
      <c r="F3982">
        <v>3</v>
      </c>
      <c r="G3982">
        <v>3.2</v>
      </c>
      <c r="H3982" t="s">
        <v>2327</v>
      </c>
      <c r="I3982" s="21">
        <v>41806</v>
      </c>
      <c r="J3982">
        <v>2014</v>
      </c>
      <c r="K3982" s="21">
        <v>42080</v>
      </c>
      <c r="L3982">
        <v>2015</v>
      </c>
      <c r="M3982" s="21">
        <v>42374</v>
      </c>
      <c r="N3982">
        <v>2016</v>
      </c>
      <c r="Q3982" s="262">
        <v>0</v>
      </c>
      <c r="S3982" t="s">
        <v>114</v>
      </c>
      <c r="T3982" t="s">
        <v>114</v>
      </c>
      <c r="W3982">
        <v>0</v>
      </c>
      <c r="X3982">
        <v>0</v>
      </c>
      <c r="Y3982">
        <v>0</v>
      </c>
      <c r="Z3982">
        <v>0</v>
      </c>
      <c r="AA3982">
        <v>0</v>
      </c>
      <c r="AB3982">
        <v>0</v>
      </c>
      <c r="AC3982">
        <v>0</v>
      </c>
      <c r="AD3982">
        <v>0</v>
      </c>
      <c r="AE3982">
        <v>0</v>
      </c>
      <c r="AF3982">
        <v>0</v>
      </c>
      <c r="AG3982">
        <v>0</v>
      </c>
      <c r="AH3982">
        <v>0</v>
      </c>
      <c r="AI3982">
        <v>0</v>
      </c>
      <c r="AJ3982">
        <v>0</v>
      </c>
      <c r="AK3982">
        <v>0</v>
      </c>
      <c r="AL3982">
        <v>0</v>
      </c>
      <c r="AM3982">
        <v>0</v>
      </c>
      <c r="AN3982">
        <v>0</v>
      </c>
      <c r="AO3982">
        <v>0</v>
      </c>
      <c r="AP3982">
        <v>0</v>
      </c>
      <c r="AQ3982">
        <v>0</v>
      </c>
      <c r="AR3982">
        <v>0</v>
      </c>
      <c r="AS3982">
        <v>0</v>
      </c>
      <c r="AT3982">
        <v>0</v>
      </c>
      <c r="AU3982">
        <f t="shared" si="122"/>
        <v>0</v>
      </c>
      <c r="AV3982">
        <f t="shared" si="123"/>
        <v>0</v>
      </c>
    </row>
    <row r="3983" spans="1:48" x14ac:dyDescent="0.25">
      <c r="A3983" t="s">
        <v>13450</v>
      </c>
      <c r="C3983" t="s">
        <v>11964</v>
      </c>
      <c r="D3983" t="s">
        <v>12956</v>
      </c>
      <c r="E3983" t="s">
        <v>1663</v>
      </c>
      <c r="F3983">
        <v>3</v>
      </c>
      <c r="G3983">
        <v>3.2</v>
      </c>
      <c r="H3983" t="s">
        <v>2327</v>
      </c>
      <c r="I3983" s="21">
        <v>41806</v>
      </c>
      <c r="J3983">
        <v>2014</v>
      </c>
      <c r="K3983" s="21">
        <v>41836</v>
      </c>
      <c r="L3983">
        <v>2014</v>
      </c>
      <c r="M3983" s="21">
        <v>43021</v>
      </c>
      <c r="N3983">
        <v>2017</v>
      </c>
      <c r="Q3983" s="262">
        <v>30000</v>
      </c>
      <c r="S3983" t="s">
        <v>114</v>
      </c>
      <c r="T3983" t="s">
        <v>114</v>
      </c>
      <c r="V3983">
        <v>0</v>
      </c>
      <c r="W3983">
        <v>0</v>
      </c>
      <c r="X3983">
        <v>0</v>
      </c>
      <c r="Y3983">
        <v>0</v>
      </c>
      <c r="Z3983">
        <v>0</v>
      </c>
      <c r="AA3983">
        <v>0</v>
      </c>
      <c r="AB3983">
        <v>0</v>
      </c>
      <c r="AC3983">
        <v>0</v>
      </c>
      <c r="AD3983">
        <v>0</v>
      </c>
      <c r="AE3983">
        <v>0</v>
      </c>
      <c r="AF3983">
        <v>0</v>
      </c>
      <c r="AG3983">
        <v>0</v>
      </c>
      <c r="AH3983">
        <v>0</v>
      </c>
      <c r="AI3983">
        <v>0</v>
      </c>
      <c r="AJ3983">
        <v>0</v>
      </c>
      <c r="AK3983">
        <v>0</v>
      </c>
      <c r="AL3983">
        <v>0</v>
      </c>
      <c r="AM3983">
        <v>0</v>
      </c>
      <c r="AN3983">
        <v>0</v>
      </c>
      <c r="AO3983">
        <v>0</v>
      </c>
      <c r="AP3983">
        <v>0</v>
      </c>
      <c r="AQ3983">
        <v>0</v>
      </c>
      <c r="AR3983">
        <v>0</v>
      </c>
      <c r="AS3983">
        <v>0</v>
      </c>
      <c r="AT3983">
        <v>0</v>
      </c>
      <c r="AU3983">
        <f t="shared" si="122"/>
        <v>0</v>
      </c>
      <c r="AV3983">
        <f t="shared" si="123"/>
        <v>0</v>
      </c>
    </row>
    <row r="3984" spans="1:48" x14ac:dyDescent="0.25">
      <c r="A3984" t="s">
        <v>12250</v>
      </c>
      <c r="B3984" t="s">
        <v>12250</v>
      </c>
      <c r="C3984" t="s">
        <v>11064</v>
      </c>
      <c r="D3984" t="s">
        <v>12251</v>
      </c>
      <c r="E3984" t="s">
        <v>2310</v>
      </c>
      <c r="F3984">
        <v>10</v>
      </c>
      <c r="G3984">
        <v>10.1</v>
      </c>
      <c r="H3984" t="s">
        <v>2323</v>
      </c>
      <c r="I3984" s="21">
        <v>41807.482060185197</v>
      </c>
      <c r="J3984">
        <v>2014</v>
      </c>
      <c r="K3984" s="21">
        <v>41843.686388888898</v>
      </c>
      <c r="L3984">
        <v>2014</v>
      </c>
      <c r="M3984" s="21">
        <v>42067.420312499999</v>
      </c>
      <c r="N3984">
        <v>2015</v>
      </c>
      <c r="Q3984" s="262">
        <v>450000</v>
      </c>
      <c r="R3984" s="262">
        <v>294000</v>
      </c>
      <c r="S3984" t="s">
        <v>114</v>
      </c>
      <c r="T3984" t="s">
        <v>114</v>
      </c>
      <c r="V3984">
        <v>0</v>
      </c>
      <c r="W3984">
        <v>2790</v>
      </c>
      <c r="X3984">
        <v>1</v>
      </c>
      <c r="Y3984">
        <v>0</v>
      </c>
      <c r="Z3984">
        <v>0</v>
      </c>
      <c r="AA3984">
        <v>0</v>
      </c>
      <c r="AB3984">
        <v>0</v>
      </c>
      <c r="AC3984">
        <v>2790</v>
      </c>
      <c r="AD3984">
        <v>0</v>
      </c>
      <c r="AE3984">
        <v>0</v>
      </c>
      <c r="AF3984">
        <v>0</v>
      </c>
      <c r="AG3984">
        <v>0</v>
      </c>
      <c r="AH3984">
        <v>0</v>
      </c>
      <c r="AI3984">
        <v>0</v>
      </c>
      <c r="AJ3984">
        <v>0</v>
      </c>
      <c r="AK3984">
        <v>0</v>
      </c>
      <c r="AL3984">
        <v>0</v>
      </c>
      <c r="AM3984">
        <v>0</v>
      </c>
      <c r="AN3984">
        <v>0</v>
      </c>
      <c r="AO3984">
        <v>1</v>
      </c>
      <c r="AP3984">
        <v>0</v>
      </c>
      <c r="AQ3984">
        <v>0</v>
      </c>
      <c r="AR3984">
        <v>0</v>
      </c>
      <c r="AS3984">
        <v>0</v>
      </c>
      <c r="AT3984">
        <v>0</v>
      </c>
      <c r="AU3984">
        <f t="shared" si="122"/>
        <v>1</v>
      </c>
      <c r="AV3984">
        <f t="shared" si="123"/>
        <v>0</v>
      </c>
    </row>
    <row r="3985" spans="1:48" x14ac:dyDescent="0.25">
      <c r="A3985" t="s">
        <v>18914</v>
      </c>
      <c r="B3985" t="s">
        <v>18914</v>
      </c>
      <c r="C3985" t="s">
        <v>18915</v>
      </c>
      <c r="D3985" t="s">
        <v>13638</v>
      </c>
      <c r="E3985" t="s">
        <v>2310</v>
      </c>
      <c r="F3985">
        <v>9</v>
      </c>
      <c r="G3985">
        <v>9.1</v>
      </c>
      <c r="H3985" t="s">
        <v>2323</v>
      </c>
      <c r="I3985" s="21">
        <v>41807.537615740737</v>
      </c>
      <c r="J3985">
        <v>2014</v>
      </c>
      <c r="K3985" s="21">
        <v>41836.491168981483</v>
      </c>
      <c r="L3985">
        <v>2014</v>
      </c>
      <c r="M3985" s="21">
        <v>43671.373255057872</v>
      </c>
      <c r="N3985">
        <v>2019</v>
      </c>
      <c r="Q3985" s="262">
        <v>10000</v>
      </c>
      <c r="R3985" s="262">
        <v>3000</v>
      </c>
      <c r="S3985" t="s">
        <v>13254</v>
      </c>
      <c r="V3985">
        <v>0</v>
      </c>
      <c r="W3985">
        <v>0</v>
      </c>
      <c r="X3985">
        <v>0</v>
      </c>
      <c r="Y3985">
        <v>0</v>
      </c>
      <c r="Z3985">
        <v>0</v>
      </c>
      <c r="AA3985">
        <v>0</v>
      </c>
      <c r="AB3985">
        <v>0</v>
      </c>
      <c r="AC3985">
        <v>0</v>
      </c>
      <c r="AD3985">
        <v>0</v>
      </c>
      <c r="AE3985">
        <v>0</v>
      </c>
      <c r="AF3985">
        <v>0</v>
      </c>
      <c r="AG3985">
        <v>0</v>
      </c>
      <c r="AH3985">
        <v>0</v>
      </c>
      <c r="AI3985">
        <v>0</v>
      </c>
      <c r="AJ3985">
        <v>0</v>
      </c>
      <c r="AK3985">
        <v>0</v>
      </c>
      <c r="AL3985">
        <v>0</v>
      </c>
      <c r="AM3985">
        <v>0</v>
      </c>
      <c r="AN3985">
        <v>0</v>
      </c>
      <c r="AO3985">
        <v>0</v>
      </c>
      <c r="AP3985">
        <v>0</v>
      </c>
      <c r="AQ3985">
        <v>0</v>
      </c>
      <c r="AR3985">
        <v>0</v>
      </c>
      <c r="AS3985">
        <v>0</v>
      </c>
      <c r="AT3985">
        <v>0</v>
      </c>
      <c r="AU3985">
        <f t="shared" si="122"/>
        <v>0</v>
      </c>
      <c r="AV3985">
        <f t="shared" si="123"/>
        <v>0</v>
      </c>
    </row>
    <row r="3986" spans="1:48" x14ac:dyDescent="0.25">
      <c r="A3986" t="s">
        <v>12252</v>
      </c>
      <c r="B3986" t="s">
        <v>12252</v>
      </c>
      <c r="C3986" t="s">
        <v>12253</v>
      </c>
      <c r="D3986" t="s">
        <v>11767</v>
      </c>
      <c r="E3986" t="s">
        <v>2310</v>
      </c>
      <c r="F3986">
        <v>13</v>
      </c>
      <c r="G3986">
        <v>13.3</v>
      </c>
      <c r="H3986" t="s">
        <v>2017</v>
      </c>
      <c r="I3986" s="21">
        <v>41807.652731481503</v>
      </c>
      <c r="J3986">
        <v>2014</v>
      </c>
      <c r="K3986" s="21">
        <v>41837.617743055598</v>
      </c>
      <c r="L3986">
        <v>2014</v>
      </c>
      <c r="M3986" s="21">
        <v>42061.636250000003</v>
      </c>
      <c r="N3986">
        <v>2015</v>
      </c>
      <c r="Q3986" s="262">
        <v>150000</v>
      </c>
      <c r="R3986" s="262">
        <v>92000</v>
      </c>
      <c r="S3986" t="s">
        <v>114</v>
      </c>
      <c r="T3986" t="s">
        <v>114</v>
      </c>
      <c r="V3986">
        <v>0</v>
      </c>
      <c r="W3986">
        <v>691</v>
      </c>
      <c r="X3986">
        <v>0</v>
      </c>
      <c r="Y3986">
        <v>0</v>
      </c>
      <c r="Z3986">
        <v>0</v>
      </c>
      <c r="AA3986">
        <v>0</v>
      </c>
      <c r="AB3986">
        <v>0</v>
      </c>
      <c r="AC3986">
        <v>691</v>
      </c>
      <c r="AD3986">
        <v>0</v>
      </c>
      <c r="AE3986">
        <v>0</v>
      </c>
      <c r="AF3986">
        <v>0</v>
      </c>
      <c r="AG3986">
        <v>0</v>
      </c>
      <c r="AH3986">
        <v>0</v>
      </c>
      <c r="AI3986">
        <v>0</v>
      </c>
      <c r="AJ3986">
        <v>0</v>
      </c>
      <c r="AK3986">
        <v>0</v>
      </c>
      <c r="AL3986">
        <v>0</v>
      </c>
      <c r="AM3986">
        <v>0</v>
      </c>
      <c r="AN3986">
        <v>0</v>
      </c>
      <c r="AO3986">
        <v>0</v>
      </c>
      <c r="AP3986">
        <v>0</v>
      </c>
      <c r="AQ3986">
        <v>0</v>
      </c>
      <c r="AR3986">
        <v>0</v>
      </c>
      <c r="AS3986">
        <v>0</v>
      </c>
      <c r="AT3986">
        <v>0</v>
      </c>
      <c r="AU3986">
        <f t="shared" si="122"/>
        <v>0</v>
      </c>
      <c r="AV3986">
        <f t="shared" si="123"/>
        <v>0</v>
      </c>
    </row>
    <row r="3987" spans="1:48" x14ac:dyDescent="0.25">
      <c r="A3987" t="s">
        <v>12254</v>
      </c>
      <c r="B3987" t="s">
        <v>12254</v>
      </c>
      <c r="C3987" t="s">
        <v>10901</v>
      </c>
      <c r="D3987" t="s">
        <v>12255</v>
      </c>
      <c r="E3987" t="s">
        <v>2310</v>
      </c>
      <c r="F3987">
        <v>10</v>
      </c>
      <c r="G3987">
        <v>10.1</v>
      </c>
      <c r="H3987" t="s">
        <v>2323</v>
      </c>
      <c r="I3987" s="21">
        <v>41808.468067129601</v>
      </c>
      <c r="J3987">
        <v>2014</v>
      </c>
      <c r="K3987" s="21">
        <v>41849.492407407401</v>
      </c>
      <c r="L3987">
        <v>2014</v>
      </c>
      <c r="M3987" s="21">
        <v>42170.3260069444</v>
      </c>
      <c r="N3987">
        <v>2015</v>
      </c>
      <c r="Q3987" s="262">
        <v>375000</v>
      </c>
      <c r="R3987" s="262">
        <v>232000</v>
      </c>
      <c r="S3987" t="s">
        <v>114</v>
      </c>
      <c r="T3987" t="s">
        <v>114</v>
      </c>
      <c r="V3987">
        <v>0</v>
      </c>
      <c r="W3987">
        <v>2399</v>
      </c>
      <c r="X3987">
        <v>1</v>
      </c>
      <c r="Y3987">
        <v>0</v>
      </c>
      <c r="Z3987">
        <v>0</v>
      </c>
      <c r="AA3987">
        <v>0</v>
      </c>
      <c r="AB3987">
        <v>0</v>
      </c>
      <c r="AC3987">
        <v>2399</v>
      </c>
      <c r="AD3987">
        <v>0</v>
      </c>
      <c r="AE3987">
        <v>0</v>
      </c>
      <c r="AF3987">
        <v>0</v>
      </c>
      <c r="AG3987">
        <v>0</v>
      </c>
      <c r="AH3987">
        <v>0</v>
      </c>
      <c r="AI3987">
        <v>0</v>
      </c>
      <c r="AJ3987">
        <v>0</v>
      </c>
      <c r="AK3987">
        <v>0</v>
      </c>
      <c r="AL3987">
        <v>0</v>
      </c>
      <c r="AM3987">
        <v>0</v>
      </c>
      <c r="AN3987">
        <v>0</v>
      </c>
      <c r="AO3987">
        <v>1</v>
      </c>
      <c r="AP3987">
        <v>0</v>
      </c>
      <c r="AQ3987">
        <v>0</v>
      </c>
      <c r="AR3987">
        <v>0</v>
      </c>
      <c r="AS3987">
        <v>0</v>
      </c>
      <c r="AT3987">
        <v>0</v>
      </c>
      <c r="AU3987">
        <f t="shared" si="122"/>
        <v>1</v>
      </c>
      <c r="AV3987">
        <f t="shared" si="123"/>
        <v>0</v>
      </c>
    </row>
    <row r="3988" spans="1:48" x14ac:dyDescent="0.25">
      <c r="A3988" t="s">
        <v>12256</v>
      </c>
      <c r="B3988" t="s">
        <v>12256</v>
      </c>
      <c r="C3988" t="s">
        <v>7880</v>
      </c>
      <c r="D3988" t="s">
        <v>12257</v>
      </c>
      <c r="E3988" t="s">
        <v>2310</v>
      </c>
      <c r="F3988">
        <v>8</v>
      </c>
      <c r="G3988">
        <v>8.3000000000000007</v>
      </c>
      <c r="H3988" t="s">
        <v>2323</v>
      </c>
      <c r="I3988" s="21">
        <v>41808.5317476852</v>
      </c>
      <c r="J3988">
        <v>2014</v>
      </c>
      <c r="K3988" s="21">
        <v>41842.682511574101</v>
      </c>
      <c r="L3988">
        <v>2014</v>
      </c>
      <c r="M3988" s="21">
        <v>42377.4624189815</v>
      </c>
      <c r="N3988">
        <v>2016</v>
      </c>
      <c r="Q3988" s="262">
        <v>130000</v>
      </c>
      <c r="R3988" s="262">
        <v>29000</v>
      </c>
      <c r="S3988" t="s">
        <v>114</v>
      </c>
      <c r="T3988" t="s">
        <v>114</v>
      </c>
      <c r="V3988">
        <v>0</v>
      </c>
      <c r="W3988">
        <v>675</v>
      </c>
      <c r="X3988">
        <v>0</v>
      </c>
      <c r="Y3988">
        <v>0</v>
      </c>
      <c r="Z3988">
        <v>0</v>
      </c>
      <c r="AA3988">
        <v>0</v>
      </c>
      <c r="AB3988">
        <v>0</v>
      </c>
      <c r="AC3988">
        <v>675</v>
      </c>
      <c r="AD3988">
        <v>0</v>
      </c>
      <c r="AE3988">
        <v>0</v>
      </c>
      <c r="AF3988">
        <v>0</v>
      </c>
      <c r="AG3988">
        <v>0</v>
      </c>
      <c r="AH3988">
        <v>0</v>
      </c>
      <c r="AI3988">
        <v>0</v>
      </c>
      <c r="AJ3988">
        <v>0</v>
      </c>
      <c r="AK3988">
        <v>0</v>
      </c>
      <c r="AL3988">
        <v>0</v>
      </c>
      <c r="AM3988">
        <v>0</v>
      </c>
      <c r="AN3988">
        <v>0</v>
      </c>
      <c r="AO3988">
        <v>0</v>
      </c>
      <c r="AP3988">
        <v>0</v>
      </c>
      <c r="AQ3988">
        <v>0</v>
      </c>
      <c r="AR3988">
        <v>0</v>
      </c>
      <c r="AS3988">
        <v>0</v>
      </c>
      <c r="AT3988">
        <v>0</v>
      </c>
      <c r="AU3988">
        <f t="shared" si="122"/>
        <v>0</v>
      </c>
      <c r="AV3988">
        <f t="shared" si="123"/>
        <v>0</v>
      </c>
    </row>
    <row r="3989" spans="1:48" x14ac:dyDescent="0.25">
      <c r="A3989" t="s">
        <v>12258</v>
      </c>
      <c r="B3989" t="s">
        <v>12258</v>
      </c>
      <c r="C3989" t="s">
        <v>12259</v>
      </c>
      <c r="D3989" t="s">
        <v>10528</v>
      </c>
      <c r="E3989" t="s">
        <v>2310</v>
      </c>
      <c r="F3989">
        <v>11</v>
      </c>
      <c r="G3989">
        <v>11.3</v>
      </c>
      <c r="H3989" t="s">
        <v>2017</v>
      </c>
      <c r="I3989" s="21">
        <v>41808.671793981499</v>
      </c>
      <c r="J3989">
        <v>2014</v>
      </c>
      <c r="K3989" s="21">
        <v>42040.531122685199</v>
      </c>
      <c r="L3989">
        <v>2015</v>
      </c>
      <c r="O3989" s="21">
        <v>42228.649259259299</v>
      </c>
      <c r="Q3989" s="262">
        <v>50000</v>
      </c>
      <c r="R3989" s="262">
        <v>25000</v>
      </c>
      <c r="S3989" t="s">
        <v>114</v>
      </c>
      <c r="T3989" t="s">
        <v>114</v>
      </c>
      <c r="V3989">
        <v>0</v>
      </c>
      <c r="W3989">
        <v>226</v>
      </c>
      <c r="X3989">
        <v>0</v>
      </c>
      <c r="Y3989">
        <v>0</v>
      </c>
      <c r="Z3989">
        <v>0</v>
      </c>
      <c r="AA3989">
        <v>0</v>
      </c>
      <c r="AB3989">
        <v>0</v>
      </c>
      <c r="AC3989">
        <v>226</v>
      </c>
      <c r="AD3989">
        <v>0</v>
      </c>
      <c r="AE3989">
        <v>0</v>
      </c>
      <c r="AF3989">
        <v>0</v>
      </c>
      <c r="AG3989">
        <v>0</v>
      </c>
      <c r="AH3989">
        <v>0</v>
      </c>
      <c r="AI3989">
        <v>0</v>
      </c>
      <c r="AJ3989">
        <v>0</v>
      </c>
      <c r="AK3989">
        <v>0</v>
      </c>
      <c r="AL3989">
        <v>0</v>
      </c>
      <c r="AM3989">
        <v>0</v>
      </c>
      <c r="AN3989">
        <v>0</v>
      </c>
      <c r="AO3989">
        <v>0</v>
      </c>
      <c r="AP3989">
        <v>0</v>
      </c>
      <c r="AQ3989">
        <v>0</v>
      </c>
      <c r="AR3989">
        <v>0</v>
      </c>
      <c r="AS3989">
        <v>0</v>
      </c>
      <c r="AT3989">
        <v>0</v>
      </c>
      <c r="AU3989">
        <f t="shared" si="122"/>
        <v>0</v>
      </c>
      <c r="AV3989">
        <f t="shared" si="123"/>
        <v>0</v>
      </c>
    </row>
    <row r="3990" spans="1:48" x14ac:dyDescent="0.25">
      <c r="A3990" t="s">
        <v>12260</v>
      </c>
      <c r="B3990" t="s">
        <v>12260</v>
      </c>
      <c r="C3990" t="s">
        <v>12261</v>
      </c>
      <c r="D3990" t="s">
        <v>1832</v>
      </c>
      <c r="E3990" t="s">
        <v>2310</v>
      </c>
      <c r="F3990">
        <v>9</v>
      </c>
      <c r="G3990">
        <v>9.3000000000000007</v>
      </c>
      <c r="H3990" t="s">
        <v>2323</v>
      </c>
      <c r="I3990" s="21">
        <v>41809.640196759297</v>
      </c>
      <c r="J3990">
        <v>2014</v>
      </c>
      <c r="K3990" s="21">
        <v>41837.566284722197</v>
      </c>
      <c r="L3990">
        <v>2014</v>
      </c>
      <c r="M3990" s="21">
        <v>41907.658113425903</v>
      </c>
      <c r="N3990">
        <v>2014</v>
      </c>
      <c r="Q3990" s="262">
        <v>80000</v>
      </c>
      <c r="R3990" s="262">
        <v>43000</v>
      </c>
      <c r="S3990" t="s">
        <v>114</v>
      </c>
      <c r="T3990" t="s">
        <v>114</v>
      </c>
      <c r="V3990">
        <v>0</v>
      </c>
      <c r="W3990">
        <v>1000</v>
      </c>
      <c r="X3990">
        <v>0</v>
      </c>
      <c r="Y3990">
        <v>0</v>
      </c>
      <c r="Z3990">
        <v>0</v>
      </c>
      <c r="AA3990">
        <v>0</v>
      </c>
      <c r="AB3990">
        <v>0</v>
      </c>
      <c r="AC3990">
        <v>0</v>
      </c>
      <c r="AD3990">
        <v>0</v>
      </c>
      <c r="AE3990">
        <v>0</v>
      </c>
      <c r="AF3990">
        <v>0</v>
      </c>
      <c r="AG3990">
        <v>0</v>
      </c>
      <c r="AH3990">
        <v>0</v>
      </c>
      <c r="AI3990">
        <v>0</v>
      </c>
      <c r="AJ3990">
        <v>0</v>
      </c>
      <c r="AK3990">
        <v>0</v>
      </c>
      <c r="AL3990">
        <v>0</v>
      </c>
      <c r="AM3990">
        <v>1000</v>
      </c>
      <c r="AN3990">
        <v>0</v>
      </c>
      <c r="AO3990">
        <v>0</v>
      </c>
      <c r="AP3990">
        <v>0</v>
      </c>
      <c r="AQ3990">
        <v>0</v>
      </c>
      <c r="AR3990">
        <v>0</v>
      </c>
      <c r="AS3990">
        <v>0</v>
      </c>
      <c r="AT3990">
        <v>0</v>
      </c>
      <c r="AU3990">
        <f t="shared" si="122"/>
        <v>0</v>
      </c>
      <c r="AV3990">
        <f t="shared" si="123"/>
        <v>1000</v>
      </c>
    </row>
    <row r="3991" spans="1:48" x14ac:dyDescent="0.25">
      <c r="A3991" t="s">
        <v>17564</v>
      </c>
      <c r="B3991" t="s">
        <v>17564</v>
      </c>
      <c r="C3991" t="s">
        <v>11736</v>
      </c>
      <c r="D3991" t="s">
        <v>11701</v>
      </c>
      <c r="E3991" t="s">
        <v>2310</v>
      </c>
      <c r="F3991">
        <v>14</v>
      </c>
      <c r="G3991">
        <v>14.1</v>
      </c>
      <c r="H3991" t="s">
        <v>2022</v>
      </c>
      <c r="I3991" s="21">
        <v>41809.684629629628</v>
      </c>
      <c r="J3991">
        <v>2014</v>
      </c>
      <c r="K3991" s="21">
        <v>43033.681747685187</v>
      </c>
      <c r="L3991">
        <v>2017</v>
      </c>
      <c r="M3991" s="21">
        <v>42993.644942129627</v>
      </c>
      <c r="N3991">
        <v>2017</v>
      </c>
      <c r="Q3991" s="262">
        <v>2000000</v>
      </c>
      <c r="R3991" s="262">
        <v>1441000</v>
      </c>
      <c r="S3991" t="s">
        <v>13254</v>
      </c>
      <c r="V3991">
        <v>0</v>
      </c>
      <c r="W3991">
        <v>9643</v>
      </c>
      <c r="X3991">
        <v>1</v>
      </c>
      <c r="Y3991">
        <v>0</v>
      </c>
      <c r="Z3991">
        <v>0</v>
      </c>
      <c r="AA3991">
        <v>0</v>
      </c>
      <c r="AB3991">
        <v>0</v>
      </c>
      <c r="AC3991">
        <v>9643</v>
      </c>
      <c r="AD3991">
        <v>0</v>
      </c>
      <c r="AE3991">
        <v>0</v>
      </c>
      <c r="AF3991">
        <v>0</v>
      </c>
      <c r="AG3991">
        <v>0</v>
      </c>
      <c r="AH3991">
        <v>0</v>
      </c>
      <c r="AI3991">
        <v>0</v>
      </c>
      <c r="AJ3991">
        <v>0</v>
      </c>
      <c r="AK3991">
        <v>0</v>
      </c>
      <c r="AL3991">
        <v>0</v>
      </c>
      <c r="AM3991">
        <v>0</v>
      </c>
      <c r="AN3991">
        <v>0</v>
      </c>
      <c r="AO3991">
        <v>1</v>
      </c>
      <c r="AP3991">
        <v>0</v>
      </c>
      <c r="AQ3991">
        <v>0</v>
      </c>
      <c r="AR3991">
        <v>0</v>
      </c>
      <c r="AS3991">
        <v>0</v>
      </c>
      <c r="AT3991">
        <v>0</v>
      </c>
      <c r="AU3991">
        <f t="shared" si="122"/>
        <v>1</v>
      </c>
      <c r="AV3991">
        <f t="shared" si="123"/>
        <v>0</v>
      </c>
    </row>
    <row r="3992" spans="1:48" x14ac:dyDescent="0.25">
      <c r="A3992" t="s">
        <v>12262</v>
      </c>
      <c r="C3992" t="s">
        <v>12263</v>
      </c>
      <c r="D3992" t="s">
        <v>12264</v>
      </c>
      <c r="E3992" t="s">
        <v>1663</v>
      </c>
      <c r="F3992">
        <v>6</v>
      </c>
      <c r="G3992">
        <v>6.1</v>
      </c>
      <c r="H3992" t="s">
        <v>2017</v>
      </c>
      <c r="I3992" s="21">
        <v>41813</v>
      </c>
      <c r="J3992">
        <v>2014</v>
      </c>
      <c r="Q3992" s="262">
        <v>1500000</v>
      </c>
      <c r="S3992" t="s">
        <v>114</v>
      </c>
      <c r="T3992" t="s">
        <v>114</v>
      </c>
      <c r="V3992">
        <v>0</v>
      </c>
      <c r="W3992">
        <v>0</v>
      </c>
      <c r="X3992">
        <v>0</v>
      </c>
      <c r="Y3992">
        <v>0</v>
      </c>
      <c r="Z3992">
        <v>0</v>
      </c>
      <c r="AA3992">
        <v>0</v>
      </c>
      <c r="AB3992">
        <v>0</v>
      </c>
      <c r="AC3992">
        <v>0</v>
      </c>
      <c r="AD3992">
        <v>0</v>
      </c>
      <c r="AE3992">
        <v>0</v>
      </c>
      <c r="AF3992">
        <v>0</v>
      </c>
      <c r="AG3992">
        <v>0</v>
      </c>
      <c r="AH3992">
        <v>0</v>
      </c>
      <c r="AI3992">
        <v>0</v>
      </c>
      <c r="AJ3992">
        <v>0</v>
      </c>
      <c r="AK3992">
        <v>0</v>
      </c>
      <c r="AL3992">
        <v>0</v>
      </c>
      <c r="AM3992">
        <v>0</v>
      </c>
      <c r="AN3992">
        <v>0</v>
      </c>
      <c r="AO3992">
        <v>0</v>
      </c>
      <c r="AP3992">
        <v>0</v>
      </c>
      <c r="AQ3992">
        <v>0</v>
      </c>
      <c r="AR3992">
        <v>0</v>
      </c>
      <c r="AS3992">
        <v>0</v>
      </c>
      <c r="AT3992">
        <v>0</v>
      </c>
      <c r="AU3992">
        <f t="shared" si="122"/>
        <v>0</v>
      </c>
      <c r="AV3992">
        <f t="shared" si="123"/>
        <v>0</v>
      </c>
    </row>
    <row r="3993" spans="1:48" x14ac:dyDescent="0.25">
      <c r="A3993" t="s">
        <v>12265</v>
      </c>
      <c r="B3993" t="s">
        <v>12265</v>
      </c>
      <c r="C3993" t="s">
        <v>11095</v>
      </c>
      <c r="D3993" t="s">
        <v>12266</v>
      </c>
      <c r="E3993" t="s">
        <v>2310</v>
      </c>
      <c r="F3993">
        <v>9</v>
      </c>
      <c r="G3993">
        <v>9.1</v>
      </c>
      <c r="H3993" t="s">
        <v>2323</v>
      </c>
      <c r="I3993" s="21">
        <v>41814.639537037001</v>
      </c>
      <c r="J3993">
        <v>2014</v>
      </c>
      <c r="K3993" s="21">
        <v>41851.566620370402</v>
      </c>
      <c r="L3993">
        <v>2014</v>
      </c>
      <c r="M3993" s="21">
        <v>42314.369212963</v>
      </c>
      <c r="N3993">
        <v>2015</v>
      </c>
      <c r="Q3993" s="262">
        <v>2000000</v>
      </c>
      <c r="R3993" s="262">
        <v>741000</v>
      </c>
      <c r="S3993" t="s">
        <v>114</v>
      </c>
      <c r="T3993" t="s">
        <v>114</v>
      </c>
      <c r="V3993">
        <v>0</v>
      </c>
      <c r="W3993">
        <v>6271</v>
      </c>
      <c r="X3993">
        <v>1</v>
      </c>
      <c r="Y3993">
        <v>0</v>
      </c>
      <c r="Z3993">
        <v>0</v>
      </c>
      <c r="AA3993">
        <v>0</v>
      </c>
      <c r="AB3993">
        <v>0</v>
      </c>
      <c r="AC3993">
        <v>6271</v>
      </c>
      <c r="AD3993">
        <v>0</v>
      </c>
      <c r="AE3993">
        <v>0</v>
      </c>
      <c r="AF3993">
        <v>0</v>
      </c>
      <c r="AG3993">
        <v>0</v>
      </c>
      <c r="AH3993">
        <v>0</v>
      </c>
      <c r="AI3993">
        <v>0</v>
      </c>
      <c r="AJ3993">
        <v>0</v>
      </c>
      <c r="AK3993">
        <v>0</v>
      </c>
      <c r="AL3993">
        <v>0</v>
      </c>
      <c r="AM3993">
        <v>0</v>
      </c>
      <c r="AN3993">
        <v>0</v>
      </c>
      <c r="AO3993">
        <v>1</v>
      </c>
      <c r="AP3993">
        <v>0</v>
      </c>
      <c r="AQ3993">
        <v>0</v>
      </c>
      <c r="AR3993">
        <v>0</v>
      </c>
      <c r="AS3993">
        <v>0</v>
      </c>
      <c r="AT3993">
        <v>0</v>
      </c>
      <c r="AU3993">
        <f t="shared" ref="AU3993:AU4056" si="124">SUM(AN3993:AQ3993,AS3993)</f>
        <v>1</v>
      </c>
      <c r="AV3993">
        <f t="shared" ref="AV3993:AV4056" si="125">SUM(Y3993:AB3993,AH3993:AM3993)</f>
        <v>0</v>
      </c>
    </row>
    <row r="3994" spans="1:48" x14ac:dyDescent="0.25">
      <c r="A3994" t="s">
        <v>12267</v>
      </c>
      <c r="C3994" t="s">
        <v>12268</v>
      </c>
      <c r="D3994" t="s">
        <v>12269</v>
      </c>
      <c r="E3994" t="s">
        <v>1663</v>
      </c>
      <c r="F3994">
        <v>2</v>
      </c>
      <c r="G3994">
        <v>2.6</v>
      </c>
      <c r="H3994" t="s">
        <v>2327</v>
      </c>
      <c r="I3994" s="21">
        <v>41815</v>
      </c>
      <c r="J3994">
        <v>2014</v>
      </c>
      <c r="K3994" s="21">
        <v>42069</v>
      </c>
      <c r="L3994">
        <v>2015</v>
      </c>
      <c r="M3994" s="21">
        <v>42341</v>
      </c>
      <c r="N3994">
        <v>2015</v>
      </c>
      <c r="Q3994" s="262">
        <v>250000</v>
      </c>
      <c r="S3994" t="s">
        <v>114</v>
      </c>
      <c r="T3994" t="s">
        <v>114</v>
      </c>
      <c r="V3994">
        <v>0</v>
      </c>
      <c r="W3994">
        <v>0</v>
      </c>
      <c r="X3994">
        <v>0</v>
      </c>
      <c r="Y3994">
        <v>0</v>
      </c>
      <c r="Z3994">
        <v>0</v>
      </c>
      <c r="AA3994">
        <v>0</v>
      </c>
      <c r="AB3994">
        <v>0</v>
      </c>
      <c r="AC3994">
        <v>0</v>
      </c>
      <c r="AD3994">
        <v>0</v>
      </c>
      <c r="AE3994">
        <v>0</v>
      </c>
      <c r="AF3994">
        <v>0</v>
      </c>
      <c r="AG3994">
        <v>0</v>
      </c>
      <c r="AH3994">
        <v>0</v>
      </c>
      <c r="AI3994">
        <v>0</v>
      </c>
      <c r="AJ3994">
        <v>0</v>
      </c>
      <c r="AK3994">
        <v>0</v>
      </c>
      <c r="AL3994">
        <v>0</v>
      </c>
      <c r="AM3994">
        <v>0</v>
      </c>
      <c r="AN3994">
        <v>0</v>
      </c>
      <c r="AO3994">
        <v>0</v>
      </c>
      <c r="AP3994">
        <v>0</v>
      </c>
      <c r="AQ3994">
        <v>0</v>
      </c>
      <c r="AR3994">
        <v>0</v>
      </c>
      <c r="AS3994">
        <v>0</v>
      </c>
      <c r="AT3994">
        <v>0</v>
      </c>
      <c r="AU3994">
        <f t="shared" si="124"/>
        <v>0</v>
      </c>
      <c r="AV3994">
        <f t="shared" si="125"/>
        <v>0</v>
      </c>
    </row>
    <row r="3995" spans="1:48" x14ac:dyDescent="0.25">
      <c r="A3995" t="s">
        <v>12270</v>
      </c>
      <c r="B3995" t="s">
        <v>12270</v>
      </c>
      <c r="C3995" t="s">
        <v>10901</v>
      </c>
      <c r="D3995" t="s">
        <v>12271</v>
      </c>
      <c r="E3995" t="s">
        <v>2310</v>
      </c>
      <c r="F3995">
        <v>10</v>
      </c>
      <c r="G3995">
        <v>10.1</v>
      </c>
      <c r="H3995" t="s">
        <v>2323</v>
      </c>
      <c r="I3995" s="21">
        <v>41815.6804513889</v>
      </c>
      <c r="J3995">
        <v>2014</v>
      </c>
      <c r="K3995" s="21">
        <v>41864.489583333299</v>
      </c>
      <c r="L3995">
        <v>2014</v>
      </c>
      <c r="M3995" s="21">
        <v>42173.507118055597</v>
      </c>
      <c r="N3995">
        <v>2015</v>
      </c>
      <c r="Q3995" s="262">
        <v>350000</v>
      </c>
      <c r="R3995" s="262">
        <v>244000</v>
      </c>
      <c r="S3995" t="s">
        <v>114</v>
      </c>
      <c r="T3995" t="s">
        <v>114</v>
      </c>
      <c r="V3995">
        <v>0</v>
      </c>
      <c r="W3995">
        <v>2704</v>
      </c>
      <c r="X3995">
        <v>1</v>
      </c>
      <c r="Y3995">
        <v>0</v>
      </c>
      <c r="Z3995">
        <v>0</v>
      </c>
      <c r="AA3995">
        <v>0</v>
      </c>
      <c r="AB3995">
        <v>0</v>
      </c>
      <c r="AC3995">
        <v>2704</v>
      </c>
      <c r="AD3995">
        <v>0</v>
      </c>
      <c r="AE3995">
        <v>0</v>
      </c>
      <c r="AF3995">
        <v>0</v>
      </c>
      <c r="AG3995">
        <v>0</v>
      </c>
      <c r="AH3995">
        <v>0</v>
      </c>
      <c r="AI3995">
        <v>0</v>
      </c>
      <c r="AJ3995">
        <v>0</v>
      </c>
      <c r="AK3995">
        <v>0</v>
      </c>
      <c r="AL3995">
        <v>0</v>
      </c>
      <c r="AM3995">
        <v>0</v>
      </c>
      <c r="AN3995">
        <v>0</v>
      </c>
      <c r="AO3995">
        <v>1</v>
      </c>
      <c r="AP3995">
        <v>0</v>
      </c>
      <c r="AQ3995">
        <v>0</v>
      </c>
      <c r="AR3995">
        <v>0</v>
      </c>
      <c r="AS3995">
        <v>0</v>
      </c>
      <c r="AT3995">
        <v>0</v>
      </c>
      <c r="AU3995">
        <f t="shared" si="124"/>
        <v>1</v>
      </c>
      <c r="AV3995">
        <f t="shared" si="125"/>
        <v>0</v>
      </c>
    </row>
    <row r="3996" spans="1:48" x14ac:dyDescent="0.25">
      <c r="A3996" t="s">
        <v>18746</v>
      </c>
      <c r="B3996" t="s">
        <v>18746</v>
      </c>
      <c r="C3996" t="s">
        <v>18747</v>
      </c>
      <c r="D3996" t="s">
        <v>10534</v>
      </c>
      <c r="E3996" t="s">
        <v>2310</v>
      </c>
      <c r="F3996">
        <v>11</v>
      </c>
      <c r="G3996">
        <v>11.2</v>
      </c>
      <c r="H3996" t="s">
        <v>2017</v>
      </c>
      <c r="I3996" s="21">
        <v>41816.57571759259</v>
      </c>
      <c r="J3996">
        <v>2014</v>
      </c>
      <c r="K3996" s="21">
        <v>41851.63553240741</v>
      </c>
      <c r="L3996">
        <v>2014</v>
      </c>
      <c r="M3996" s="21">
        <v>43675.494518634259</v>
      </c>
      <c r="N3996">
        <v>2019</v>
      </c>
      <c r="Q3996" s="262">
        <v>100000</v>
      </c>
      <c r="R3996" s="262">
        <v>30000</v>
      </c>
      <c r="S3996" t="s">
        <v>13253</v>
      </c>
      <c r="T3996">
        <v>8497</v>
      </c>
      <c r="V3996">
        <v>0</v>
      </c>
      <c r="W3996">
        <v>888</v>
      </c>
      <c r="X3996">
        <v>0</v>
      </c>
      <c r="Y3996">
        <v>0</v>
      </c>
      <c r="Z3996">
        <v>0</v>
      </c>
      <c r="AA3996">
        <v>0</v>
      </c>
      <c r="AB3996">
        <v>0</v>
      </c>
      <c r="AC3996">
        <v>888</v>
      </c>
      <c r="AD3996">
        <v>0</v>
      </c>
      <c r="AE3996">
        <v>0</v>
      </c>
      <c r="AF3996">
        <v>0</v>
      </c>
      <c r="AG3996">
        <v>0</v>
      </c>
      <c r="AH3996">
        <v>0</v>
      </c>
      <c r="AI3996">
        <v>0</v>
      </c>
      <c r="AJ3996">
        <v>0</v>
      </c>
      <c r="AK3996">
        <v>0</v>
      </c>
      <c r="AL3996">
        <v>0</v>
      </c>
      <c r="AM3996">
        <v>0</v>
      </c>
      <c r="AN3996">
        <v>0</v>
      </c>
      <c r="AO3996">
        <v>0</v>
      </c>
      <c r="AP3996">
        <v>0</v>
      </c>
      <c r="AQ3996">
        <v>0</v>
      </c>
      <c r="AR3996">
        <v>0</v>
      </c>
      <c r="AS3996">
        <v>0</v>
      </c>
      <c r="AT3996">
        <v>0</v>
      </c>
      <c r="AU3996">
        <f t="shared" si="124"/>
        <v>0</v>
      </c>
      <c r="AV3996">
        <f t="shared" si="125"/>
        <v>0</v>
      </c>
    </row>
    <row r="3997" spans="1:48" x14ac:dyDescent="0.25">
      <c r="A3997" t="s">
        <v>12272</v>
      </c>
      <c r="B3997" t="s">
        <v>12272</v>
      </c>
      <c r="C3997" t="s">
        <v>11562</v>
      </c>
      <c r="D3997" t="s">
        <v>12273</v>
      </c>
      <c r="E3997" t="s">
        <v>2310</v>
      </c>
      <c r="F3997">
        <v>10</v>
      </c>
      <c r="G3997">
        <v>10.1</v>
      </c>
      <c r="H3997" t="s">
        <v>2323</v>
      </c>
      <c r="I3997" s="21">
        <v>41821.445</v>
      </c>
      <c r="J3997">
        <v>2014</v>
      </c>
      <c r="K3997" s="21">
        <v>41864.657638888901</v>
      </c>
      <c r="L3997">
        <v>2014</v>
      </c>
      <c r="M3997" s="21">
        <v>42032.553888888899</v>
      </c>
      <c r="N3997">
        <v>2015</v>
      </c>
      <c r="Q3997" s="262">
        <v>300000</v>
      </c>
      <c r="R3997" s="262">
        <v>170000</v>
      </c>
      <c r="S3997" t="s">
        <v>114</v>
      </c>
      <c r="T3997" t="s">
        <v>114</v>
      </c>
      <c r="V3997">
        <v>0</v>
      </c>
      <c r="W3997">
        <v>1891</v>
      </c>
      <c r="X3997">
        <v>1</v>
      </c>
      <c r="Y3997">
        <v>0</v>
      </c>
      <c r="Z3997">
        <v>0</v>
      </c>
      <c r="AA3997">
        <v>0</v>
      </c>
      <c r="AB3997">
        <v>0</v>
      </c>
      <c r="AC3997">
        <v>1891</v>
      </c>
      <c r="AD3997">
        <v>0</v>
      </c>
      <c r="AE3997">
        <v>0</v>
      </c>
      <c r="AF3997">
        <v>0</v>
      </c>
      <c r="AG3997">
        <v>0</v>
      </c>
      <c r="AH3997">
        <v>0</v>
      </c>
      <c r="AI3997">
        <v>0</v>
      </c>
      <c r="AJ3997">
        <v>0</v>
      </c>
      <c r="AK3997">
        <v>0</v>
      </c>
      <c r="AL3997">
        <v>0</v>
      </c>
      <c r="AM3997">
        <v>0</v>
      </c>
      <c r="AN3997">
        <v>0</v>
      </c>
      <c r="AO3997">
        <v>1</v>
      </c>
      <c r="AP3997">
        <v>0</v>
      </c>
      <c r="AQ3997">
        <v>0</v>
      </c>
      <c r="AR3997">
        <v>0</v>
      </c>
      <c r="AS3997">
        <v>0</v>
      </c>
      <c r="AT3997">
        <v>0</v>
      </c>
      <c r="AU3997">
        <f t="shared" si="124"/>
        <v>1</v>
      </c>
      <c r="AV3997">
        <f t="shared" si="125"/>
        <v>0</v>
      </c>
    </row>
    <row r="3998" spans="1:48" x14ac:dyDescent="0.25">
      <c r="A3998" t="s">
        <v>17569</v>
      </c>
      <c r="B3998" t="s">
        <v>17569</v>
      </c>
      <c r="C3998" t="s">
        <v>17570</v>
      </c>
      <c r="D3998" t="s">
        <v>5302</v>
      </c>
      <c r="E3998" t="s">
        <v>2310</v>
      </c>
      <c r="F3998">
        <v>9</v>
      </c>
      <c r="G3998">
        <v>9.1999999999999993</v>
      </c>
      <c r="H3998" t="s">
        <v>2022</v>
      </c>
      <c r="I3998" s="21">
        <v>41821.643252314818</v>
      </c>
      <c r="J3998">
        <v>2014</v>
      </c>
      <c r="K3998" s="21">
        <v>42949.682615740741</v>
      </c>
      <c r="L3998">
        <v>2017</v>
      </c>
      <c r="M3998" s="21">
        <v>42949.682615740741</v>
      </c>
      <c r="N3998">
        <v>2017</v>
      </c>
      <c r="Q3998" s="262">
        <v>3000000</v>
      </c>
      <c r="R3998" s="262">
        <v>707000</v>
      </c>
      <c r="S3998" t="s">
        <v>13253</v>
      </c>
      <c r="T3998">
        <v>4992</v>
      </c>
      <c r="V3998">
        <v>2460</v>
      </c>
      <c r="W3998">
        <v>2545</v>
      </c>
      <c r="X3998">
        <v>0</v>
      </c>
      <c r="Y3998">
        <v>0</v>
      </c>
      <c r="Z3998">
        <v>0</v>
      </c>
      <c r="AA3998">
        <v>0</v>
      </c>
      <c r="AB3998">
        <v>0</v>
      </c>
      <c r="AC3998">
        <v>2545</v>
      </c>
      <c r="AD3998">
        <v>0</v>
      </c>
      <c r="AE3998">
        <v>0</v>
      </c>
      <c r="AF3998">
        <v>0</v>
      </c>
      <c r="AG3998">
        <v>0</v>
      </c>
      <c r="AH3998">
        <v>0</v>
      </c>
      <c r="AI3998">
        <v>0</v>
      </c>
      <c r="AJ3998">
        <v>0</v>
      </c>
      <c r="AK3998">
        <v>0</v>
      </c>
      <c r="AL3998">
        <v>0</v>
      </c>
      <c r="AM3998">
        <v>0</v>
      </c>
      <c r="AN3998">
        <v>0</v>
      </c>
      <c r="AO3998">
        <v>0</v>
      </c>
      <c r="AP3998">
        <v>0</v>
      </c>
      <c r="AQ3998">
        <v>0</v>
      </c>
      <c r="AR3998">
        <v>0</v>
      </c>
      <c r="AS3998">
        <v>0</v>
      </c>
      <c r="AT3998">
        <v>0</v>
      </c>
      <c r="AU3998">
        <f t="shared" si="124"/>
        <v>0</v>
      </c>
      <c r="AV3998">
        <f t="shared" si="125"/>
        <v>0</v>
      </c>
    </row>
    <row r="3999" spans="1:48" x14ac:dyDescent="0.25">
      <c r="A3999" t="s">
        <v>12274</v>
      </c>
      <c r="B3999" t="s">
        <v>12274</v>
      </c>
      <c r="C3999" t="s">
        <v>12275</v>
      </c>
      <c r="D3999" t="s">
        <v>12276</v>
      </c>
      <c r="E3999" t="s">
        <v>2310</v>
      </c>
      <c r="F3999">
        <v>8</v>
      </c>
      <c r="G3999">
        <v>8.1</v>
      </c>
      <c r="H3999" t="s">
        <v>2323</v>
      </c>
      <c r="I3999" s="21">
        <v>41822.574305555601</v>
      </c>
      <c r="J3999">
        <v>2014</v>
      </c>
      <c r="K3999" s="21">
        <v>41879.6157060185</v>
      </c>
      <c r="L3999">
        <v>2014</v>
      </c>
      <c r="M3999" s="21">
        <v>42573.685300925899</v>
      </c>
      <c r="N3999">
        <v>2016</v>
      </c>
      <c r="Q3999" s="262">
        <v>175000</v>
      </c>
      <c r="R3999" s="262">
        <v>113000</v>
      </c>
      <c r="S3999" t="s">
        <v>114</v>
      </c>
      <c r="T3999" t="s">
        <v>114</v>
      </c>
      <c r="V3999">
        <v>0</v>
      </c>
      <c r="W3999">
        <v>1050</v>
      </c>
      <c r="X3999">
        <v>1</v>
      </c>
      <c r="Y3999">
        <v>0</v>
      </c>
      <c r="Z3999">
        <v>0</v>
      </c>
      <c r="AA3999">
        <v>0</v>
      </c>
      <c r="AB3999">
        <v>0</v>
      </c>
      <c r="AC3999">
        <v>1050</v>
      </c>
      <c r="AD3999">
        <v>0</v>
      </c>
      <c r="AE3999">
        <v>0</v>
      </c>
      <c r="AF3999">
        <v>0</v>
      </c>
      <c r="AG3999">
        <v>0</v>
      </c>
      <c r="AH3999">
        <v>0</v>
      </c>
      <c r="AI3999">
        <v>0</v>
      </c>
      <c r="AJ3999">
        <v>0</v>
      </c>
      <c r="AK3999">
        <v>0</v>
      </c>
      <c r="AL3999">
        <v>0</v>
      </c>
      <c r="AM3999">
        <v>0</v>
      </c>
      <c r="AN3999">
        <v>0</v>
      </c>
      <c r="AO3999">
        <v>1</v>
      </c>
      <c r="AP3999">
        <v>0</v>
      </c>
      <c r="AQ3999">
        <v>0</v>
      </c>
      <c r="AR3999">
        <v>0</v>
      </c>
      <c r="AS3999">
        <v>0</v>
      </c>
      <c r="AT3999">
        <v>0</v>
      </c>
      <c r="AU3999">
        <f t="shared" si="124"/>
        <v>1</v>
      </c>
      <c r="AV3999">
        <f t="shared" si="125"/>
        <v>0</v>
      </c>
    </row>
    <row r="4000" spans="1:48" x14ac:dyDescent="0.25">
      <c r="A4000" t="s">
        <v>12277</v>
      </c>
      <c r="B4000" t="s">
        <v>12277</v>
      </c>
      <c r="C4000" t="s">
        <v>12278</v>
      </c>
      <c r="D4000" t="s">
        <v>12279</v>
      </c>
      <c r="E4000" t="s">
        <v>2310</v>
      </c>
      <c r="F4000">
        <v>10</v>
      </c>
      <c r="G4000">
        <v>10.1</v>
      </c>
      <c r="H4000" t="s">
        <v>2323</v>
      </c>
      <c r="I4000" s="21">
        <v>41822.635370370401</v>
      </c>
      <c r="J4000">
        <v>2014</v>
      </c>
      <c r="K4000" s="21">
        <v>41869.575370370403</v>
      </c>
      <c r="L4000">
        <v>2014</v>
      </c>
      <c r="M4000" s="21">
        <v>42496.385381944398</v>
      </c>
      <c r="N4000">
        <v>2016</v>
      </c>
      <c r="Q4000" s="262">
        <v>185000</v>
      </c>
      <c r="R4000" s="262">
        <v>170000</v>
      </c>
      <c r="S4000" t="s">
        <v>114</v>
      </c>
      <c r="T4000" t="s">
        <v>114</v>
      </c>
      <c r="V4000">
        <v>0</v>
      </c>
      <c r="W4000">
        <v>1534</v>
      </c>
      <c r="X4000">
        <v>0</v>
      </c>
      <c r="Y4000">
        <v>0</v>
      </c>
      <c r="Z4000">
        <v>0</v>
      </c>
      <c r="AA4000">
        <v>0</v>
      </c>
      <c r="AB4000">
        <v>0</v>
      </c>
      <c r="AC4000">
        <v>1534</v>
      </c>
      <c r="AD4000">
        <v>0</v>
      </c>
      <c r="AE4000">
        <v>0</v>
      </c>
      <c r="AF4000">
        <v>0</v>
      </c>
      <c r="AG4000">
        <v>0</v>
      </c>
      <c r="AH4000">
        <v>0</v>
      </c>
      <c r="AI4000">
        <v>0</v>
      </c>
      <c r="AJ4000">
        <v>0</v>
      </c>
      <c r="AK4000">
        <v>0</v>
      </c>
      <c r="AL4000">
        <v>0</v>
      </c>
      <c r="AM4000">
        <v>0</v>
      </c>
      <c r="AN4000">
        <v>0</v>
      </c>
      <c r="AO4000">
        <v>0</v>
      </c>
      <c r="AP4000">
        <v>0</v>
      </c>
      <c r="AQ4000">
        <v>0</v>
      </c>
      <c r="AR4000">
        <v>0</v>
      </c>
      <c r="AS4000">
        <v>0</v>
      </c>
      <c r="AT4000">
        <v>0</v>
      </c>
      <c r="AU4000">
        <f t="shared" si="124"/>
        <v>0</v>
      </c>
      <c r="AV4000">
        <f t="shared" si="125"/>
        <v>0</v>
      </c>
    </row>
    <row r="4001" spans="1:48" x14ac:dyDescent="0.25">
      <c r="A4001" t="s">
        <v>12280</v>
      </c>
      <c r="B4001" t="s">
        <v>12280</v>
      </c>
      <c r="C4001" t="s">
        <v>12281</v>
      </c>
      <c r="D4001" t="s">
        <v>11777</v>
      </c>
      <c r="E4001" t="s">
        <v>2310</v>
      </c>
      <c r="F4001">
        <v>8</v>
      </c>
      <c r="G4001">
        <v>8.3000000000000007</v>
      </c>
      <c r="H4001" t="s">
        <v>2323</v>
      </c>
      <c r="I4001" s="21">
        <v>41823.473113425898</v>
      </c>
      <c r="J4001">
        <v>2014</v>
      </c>
      <c r="K4001" s="21">
        <v>41834.391655092601</v>
      </c>
      <c r="L4001">
        <v>2014</v>
      </c>
      <c r="M4001" s="21">
        <v>42433.694363425901</v>
      </c>
      <c r="N4001">
        <v>2016</v>
      </c>
      <c r="Q4001" s="262">
        <v>15600</v>
      </c>
      <c r="R4001" s="262">
        <v>7000</v>
      </c>
      <c r="S4001" t="s">
        <v>114</v>
      </c>
      <c r="T4001" t="s">
        <v>114</v>
      </c>
      <c r="V4001">
        <v>0</v>
      </c>
      <c r="W4001">
        <v>156</v>
      </c>
      <c r="X4001">
        <v>0</v>
      </c>
      <c r="Y4001">
        <v>0</v>
      </c>
      <c r="Z4001">
        <v>0</v>
      </c>
      <c r="AA4001">
        <v>0</v>
      </c>
      <c r="AB4001">
        <v>0</v>
      </c>
      <c r="AC4001">
        <v>0</v>
      </c>
      <c r="AD4001">
        <v>0</v>
      </c>
      <c r="AE4001">
        <v>0</v>
      </c>
      <c r="AF4001">
        <v>0</v>
      </c>
      <c r="AG4001">
        <v>0</v>
      </c>
      <c r="AH4001">
        <v>0</v>
      </c>
      <c r="AI4001">
        <v>0</v>
      </c>
      <c r="AJ4001">
        <v>0</v>
      </c>
      <c r="AK4001">
        <v>0</v>
      </c>
      <c r="AL4001">
        <v>0</v>
      </c>
      <c r="AM4001">
        <v>156</v>
      </c>
      <c r="AN4001">
        <v>0</v>
      </c>
      <c r="AO4001">
        <v>0</v>
      </c>
      <c r="AP4001">
        <v>0</v>
      </c>
      <c r="AQ4001">
        <v>0</v>
      </c>
      <c r="AR4001">
        <v>0</v>
      </c>
      <c r="AS4001">
        <v>0</v>
      </c>
      <c r="AT4001">
        <v>0</v>
      </c>
      <c r="AU4001">
        <f t="shared" si="124"/>
        <v>0</v>
      </c>
      <c r="AV4001">
        <f t="shared" si="125"/>
        <v>156</v>
      </c>
    </row>
    <row r="4002" spans="1:48" x14ac:dyDescent="0.25">
      <c r="A4002" t="s">
        <v>12282</v>
      </c>
      <c r="C4002" t="s">
        <v>12283</v>
      </c>
      <c r="D4002" t="s">
        <v>12284</v>
      </c>
      <c r="E4002" t="s">
        <v>1663</v>
      </c>
      <c r="F4002">
        <v>4</v>
      </c>
      <c r="G4002">
        <v>4.4000000000000004</v>
      </c>
      <c r="H4002" t="s">
        <v>2017</v>
      </c>
      <c r="I4002" s="21">
        <v>41829</v>
      </c>
      <c r="J4002">
        <v>2014</v>
      </c>
      <c r="K4002" s="21">
        <v>41870</v>
      </c>
      <c r="L4002">
        <v>2014</v>
      </c>
      <c r="M4002" s="21">
        <v>42286</v>
      </c>
      <c r="N4002">
        <v>2015</v>
      </c>
      <c r="Q4002" s="262">
        <v>1300000</v>
      </c>
      <c r="S4002" t="s">
        <v>114</v>
      </c>
      <c r="T4002" t="s">
        <v>114</v>
      </c>
      <c r="V4002">
        <v>0</v>
      </c>
      <c r="W4002">
        <v>0</v>
      </c>
      <c r="X4002">
        <v>0</v>
      </c>
      <c r="Y4002">
        <v>0</v>
      </c>
      <c r="Z4002">
        <v>0</v>
      </c>
      <c r="AA4002">
        <v>0</v>
      </c>
      <c r="AB4002">
        <v>0</v>
      </c>
      <c r="AC4002">
        <v>0</v>
      </c>
      <c r="AD4002">
        <v>0</v>
      </c>
      <c r="AE4002">
        <v>0</v>
      </c>
      <c r="AF4002">
        <v>0</v>
      </c>
      <c r="AG4002">
        <v>0</v>
      </c>
      <c r="AH4002">
        <v>0</v>
      </c>
      <c r="AI4002">
        <v>0</v>
      </c>
      <c r="AJ4002">
        <v>0</v>
      </c>
      <c r="AK4002">
        <v>0</v>
      </c>
      <c r="AL4002">
        <v>0</v>
      </c>
      <c r="AM4002">
        <v>0</v>
      </c>
      <c r="AN4002">
        <v>0</v>
      </c>
      <c r="AO4002">
        <v>0</v>
      </c>
      <c r="AP4002">
        <v>0</v>
      </c>
      <c r="AQ4002">
        <v>0</v>
      </c>
      <c r="AR4002">
        <v>0</v>
      </c>
      <c r="AS4002">
        <v>0</v>
      </c>
      <c r="AT4002">
        <v>0</v>
      </c>
      <c r="AU4002">
        <f t="shared" si="124"/>
        <v>0</v>
      </c>
      <c r="AV4002">
        <f t="shared" si="125"/>
        <v>0</v>
      </c>
    </row>
    <row r="4003" spans="1:48" x14ac:dyDescent="0.25">
      <c r="A4003" t="s">
        <v>12285</v>
      </c>
      <c r="B4003" t="s">
        <v>12285</v>
      </c>
      <c r="C4003" t="s">
        <v>12286</v>
      </c>
      <c r="D4003" t="s">
        <v>12287</v>
      </c>
      <c r="E4003" t="s">
        <v>2310</v>
      </c>
      <c r="F4003">
        <v>8</v>
      </c>
      <c r="G4003">
        <v>8.1999999999999993</v>
      </c>
      <c r="H4003" t="s">
        <v>2022</v>
      </c>
      <c r="I4003" s="21">
        <v>41829.563726851899</v>
      </c>
      <c r="J4003">
        <v>2014</v>
      </c>
      <c r="K4003" s="21">
        <v>41961.598796296297</v>
      </c>
      <c r="L4003">
        <v>2014</v>
      </c>
      <c r="M4003" s="21">
        <v>42537.407615740703</v>
      </c>
      <c r="N4003">
        <v>2016</v>
      </c>
      <c r="Q4003" s="262">
        <v>3700000</v>
      </c>
      <c r="R4003" s="262">
        <v>616000</v>
      </c>
      <c r="S4003" t="s">
        <v>114</v>
      </c>
      <c r="T4003" t="s">
        <v>114</v>
      </c>
      <c r="V4003">
        <v>4101</v>
      </c>
      <c r="W4003">
        <v>2068</v>
      </c>
      <c r="X4003">
        <v>0</v>
      </c>
      <c r="Y4003">
        <v>0</v>
      </c>
      <c r="Z4003">
        <v>0</v>
      </c>
      <c r="AA4003">
        <v>0</v>
      </c>
      <c r="AB4003">
        <v>0</v>
      </c>
      <c r="AC4003">
        <v>2068</v>
      </c>
      <c r="AD4003">
        <v>0</v>
      </c>
      <c r="AE4003">
        <v>0</v>
      </c>
      <c r="AF4003">
        <v>0</v>
      </c>
      <c r="AG4003">
        <v>0</v>
      </c>
      <c r="AH4003">
        <v>0</v>
      </c>
      <c r="AI4003">
        <v>0</v>
      </c>
      <c r="AJ4003">
        <v>0</v>
      </c>
      <c r="AK4003">
        <v>0</v>
      </c>
      <c r="AL4003">
        <v>0</v>
      </c>
      <c r="AM4003">
        <v>0</v>
      </c>
      <c r="AN4003">
        <v>0</v>
      </c>
      <c r="AO4003">
        <v>0</v>
      </c>
      <c r="AP4003">
        <v>0</v>
      </c>
      <c r="AQ4003">
        <v>0</v>
      </c>
      <c r="AR4003">
        <v>0</v>
      </c>
      <c r="AS4003">
        <v>0</v>
      </c>
      <c r="AT4003">
        <v>0</v>
      </c>
      <c r="AU4003">
        <f t="shared" si="124"/>
        <v>0</v>
      </c>
      <c r="AV4003">
        <f t="shared" si="125"/>
        <v>0</v>
      </c>
    </row>
    <row r="4004" spans="1:48" x14ac:dyDescent="0.25">
      <c r="A4004" t="s">
        <v>12285</v>
      </c>
      <c r="B4004" t="s">
        <v>12288</v>
      </c>
      <c r="C4004" t="s">
        <v>12286</v>
      </c>
      <c r="D4004" t="s">
        <v>12287</v>
      </c>
      <c r="E4004" t="s">
        <v>2310</v>
      </c>
      <c r="F4004">
        <v>8</v>
      </c>
      <c r="G4004">
        <v>8.1999999999999993</v>
      </c>
      <c r="H4004" t="s">
        <v>2022</v>
      </c>
      <c r="I4004" s="21">
        <v>41829.563726851899</v>
      </c>
      <c r="J4004">
        <v>2014</v>
      </c>
      <c r="K4004" s="21">
        <v>41961.598796296297</v>
      </c>
      <c r="L4004">
        <v>2014</v>
      </c>
      <c r="M4004" s="21">
        <v>42537.407615740703</v>
      </c>
      <c r="N4004">
        <v>2016</v>
      </c>
      <c r="Q4004" s="262">
        <v>3700000</v>
      </c>
      <c r="R4004" s="262">
        <v>616000</v>
      </c>
      <c r="S4004" t="s">
        <v>114</v>
      </c>
      <c r="T4004" t="s">
        <v>114</v>
      </c>
      <c r="V4004">
        <v>0</v>
      </c>
      <c r="W4004">
        <v>0</v>
      </c>
      <c r="X4004">
        <v>0</v>
      </c>
      <c r="Y4004">
        <v>0</v>
      </c>
      <c r="Z4004">
        <v>0</v>
      </c>
      <c r="AA4004">
        <v>0</v>
      </c>
      <c r="AB4004">
        <v>0</v>
      </c>
      <c r="AC4004">
        <v>0</v>
      </c>
      <c r="AD4004">
        <v>0</v>
      </c>
      <c r="AE4004">
        <v>0</v>
      </c>
      <c r="AF4004">
        <v>0</v>
      </c>
      <c r="AG4004">
        <v>0</v>
      </c>
      <c r="AH4004">
        <v>0</v>
      </c>
      <c r="AI4004">
        <v>0</v>
      </c>
      <c r="AJ4004">
        <v>0</v>
      </c>
      <c r="AK4004">
        <v>0</v>
      </c>
      <c r="AL4004">
        <v>0</v>
      </c>
      <c r="AM4004">
        <v>0</v>
      </c>
      <c r="AN4004">
        <v>0</v>
      </c>
      <c r="AO4004">
        <v>0</v>
      </c>
      <c r="AP4004">
        <v>0</v>
      </c>
      <c r="AQ4004">
        <v>0</v>
      </c>
      <c r="AR4004">
        <v>0</v>
      </c>
      <c r="AS4004">
        <v>0</v>
      </c>
      <c r="AT4004">
        <v>0</v>
      </c>
      <c r="AU4004">
        <f t="shared" si="124"/>
        <v>0</v>
      </c>
      <c r="AV4004">
        <f t="shared" si="125"/>
        <v>0</v>
      </c>
    </row>
    <row r="4005" spans="1:48" x14ac:dyDescent="0.25">
      <c r="A4005" t="s">
        <v>17574</v>
      </c>
      <c r="B4005" t="s">
        <v>17574</v>
      </c>
      <c r="C4005" t="s">
        <v>17575</v>
      </c>
      <c r="D4005" t="s">
        <v>17576</v>
      </c>
      <c r="E4005" t="s">
        <v>2310</v>
      </c>
      <c r="F4005">
        <v>9</v>
      </c>
      <c r="G4005">
        <v>9.3000000000000007</v>
      </c>
      <c r="H4005" t="s">
        <v>2323</v>
      </c>
      <c r="I4005" s="21">
        <v>41829.691643518519</v>
      </c>
      <c r="J4005">
        <v>2014</v>
      </c>
      <c r="K4005" s="21">
        <v>42949.401238425926</v>
      </c>
      <c r="L4005">
        <v>2017</v>
      </c>
      <c r="M4005" s="21">
        <v>42949.401238425926</v>
      </c>
      <c r="N4005">
        <v>2017</v>
      </c>
      <c r="Q4005" s="262">
        <v>500000</v>
      </c>
      <c r="R4005" s="262">
        <v>510000</v>
      </c>
      <c r="S4005" t="s">
        <v>13254</v>
      </c>
      <c r="V4005">
        <v>0</v>
      </c>
      <c r="W4005">
        <v>4864</v>
      </c>
      <c r="X4005">
        <v>1</v>
      </c>
      <c r="Y4005">
        <v>0</v>
      </c>
      <c r="Z4005">
        <v>0</v>
      </c>
      <c r="AA4005">
        <v>0</v>
      </c>
      <c r="AB4005">
        <v>0</v>
      </c>
      <c r="AC4005">
        <v>4864</v>
      </c>
      <c r="AD4005">
        <v>0</v>
      </c>
      <c r="AE4005">
        <v>0</v>
      </c>
      <c r="AF4005">
        <v>0</v>
      </c>
      <c r="AG4005">
        <v>0</v>
      </c>
      <c r="AH4005">
        <v>0</v>
      </c>
      <c r="AI4005">
        <v>0</v>
      </c>
      <c r="AJ4005">
        <v>0</v>
      </c>
      <c r="AK4005">
        <v>0</v>
      </c>
      <c r="AL4005">
        <v>0</v>
      </c>
      <c r="AM4005">
        <v>0</v>
      </c>
      <c r="AN4005">
        <v>0</v>
      </c>
      <c r="AO4005">
        <v>1</v>
      </c>
      <c r="AP4005">
        <v>0</v>
      </c>
      <c r="AQ4005">
        <v>0</v>
      </c>
      <c r="AR4005">
        <v>0</v>
      </c>
      <c r="AS4005">
        <v>0</v>
      </c>
      <c r="AT4005">
        <v>0</v>
      </c>
      <c r="AU4005">
        <f t="shared" si="124"/>
        <v>1</v>
      </c>
      <c r="AV4005">
        <f t="shared" si="125"/>
        <v>0</v>
      </c>
    </row>
    <row r="4006" spans="1:48" x14ac:dyDescent="0.25">
      <c r="A4006" t="s">
        <v>12289</v>
      </c>
      <c r="B4006" t="s">
        <v>12289</v>
      </c>
      <c r="C4006" t="s">
        <v>12290</v>
      </c>
      <c r="D4006" t="s">
        <v>8255</v>
      </c>
      <c r="E4006" t="s">
        <v>2310</v>
      </c>
      <c r="F4006">
        <v>14</v>
      </c>
      <c r="G4006">
        <v>14.2</v>
      </c>
      <c r="H4006" t="s">
        <v>2017</v>
      </c>
      <c r="I4006" s="21">
        <v>41830.652013888903</v>
      </c>
      <c r="J4006">
        <v>2014</v>
      </c>
      <c r="K4006" s="21">
        <v>41898.535439814797</v>
      </c>
      <c r="L4006">
        <v>2014</v>
      </c>
      <c r="M4006" s="21">
        <v>42108.477337962999</v>
      </c>
      <c r="N4006">
        <v>2015</v>
      </c>
      <c r="Q4006" s="262">
        <v>325000</v>
      </c>
      <c r="R4006" s="262">
        <v>387000</v>
      </c>
      <c r="S4006" t="s">
        <v>114</v>
      </c>
      <c r="T4006" t="s">
        <v>114</v>
      </c>
      <c r="V4006">
        <v>0</v>
      </c>
      <c r="W4006">
        <v>3969</v>
      </c>
      <c r="X4006">
        <v>1</v>
      </c>
      <c r="Y4006">
        <v>0</v>
      </c>
      <c r="Z4006">
        <v>0</v>
      </c>
      <c r="AA4006">
        <v>0</v>
      </c>
      <c r="AB4006">
        <v>0</v>
      </c>
      <c r="AC4006">
        <v>3969</v>
      </c>
      <c r="AD4006">
        <v>0</v>
      </c>
      <c r="AE4006">
        <v>0</v>
      </c>
      <c r="AF4006">
        <v>0</v>
      </c>
      <c r="AG4006">
        <v>0</v>
      </c>
      <c r="AH4006">
        <v>0</v>
      </c>
      <c r="AI4006">
        <v>0</v>
      </c>
      <c r="AJ4006">
        <v>0</v>
      </c>
      <c r="AK4006">
        <v>0</v>
      </c>
      <c r="AL4006">
        <v>0</v>
      </c>
      <c r="AM4006">
        <v>0</v>
      </c>
      <c r="AN4006">
        <v>0</v>
      </c>
      <c r="AO4006">
        <v>1</v>
      </c>
      <c r="AP4006">
        <v>0</v>
      </c>
      <c r="AQ4006">
        <v>0</v>
      </c>
      <c r="AR4006">
        <v>0</v>
      </c>
      <c r="AS4006">
        <v>0</v>
      </c>
      <c r="AT4006">
        <v>0</v>
      </c>
      <c r="AU4006">
        <f t="shared" si="124"/>
        <v>1</v>
      </c>
      <c r="AV4006">
        <f t="shared" si="125"/>
        <v>0</v>
      </c>
    </row>
    <row r="4007" spans="1:48" x14ac:dyDescent="0.25">
      <c r="A4007" t="s">
        <v>12291</v>
      </c>
      <c r="B4007" t="s">
        <v>12291</v>
      </c>
      <c r="C4007" t="s">
        <v>12292</v>
      </c>
      <c r="D4007" t="s">
        <v>12293</v>
      </c>
      <c r="E4007" t="s">
        <v>2310</v>
      </c>
      <c r="F4007">
        <v>8</v>
      </c>
      <c r="G4007">
        <v>8.1</v>
      </c>
      <c r="H4007" t="s">
        <v>2323</v>
      </c>
      <c r="I4007" s="21">
        <v>41830.682974536998</v>
      </c>
      <c r="J4007">
        <v>2014</v>
      </c>
      <c r="K4007" s="21">
        <v>41933.639212962997</v>
      </c>
      <c r="L4007">
        <v>2014</v>
      </c>
      <c r="M4007" s="21">
        <v>42207.619085648097</v>
      </c>
      <c r="N4007">
        <v>2015</v>
      </c>
      <c r="Q4007" s="262">
        <v>500000</v>
      </c>
      <c r="R4007" s="262">
        <v>123000</v>
      </c>
      <c r="S4007" t="s">
        <v>114</v>
      </c>
      <c r="T4007" t="s">
        <v>114</v>
      </c>
      <c r="V4007">
        <v>0</v>
      </c>
      <c r="W4007">
        <v>1107</v>
      </c>
      <c r="X4007">
        <v>0</v>
      </c>
      <c r="Y4007">
        <v>0</v>
      </c>
      <c r="Z4007">
        <v>0</v>
      </c>
      <c r="AA4007">
        <v>0</v>
      </c>
      <c r="AB4007">
        <v>0</v>
      </c>
      <c r="AC4007">
        <v>1107</v>
      </c>
      <c r="AD4007">
        <v>0</v>
      </c>
      <c r="AE4007">
        <v>0</v>
      </c>
      <c r="AF4007">
        <v>0</v>
      </c>
      <c r="AG4007">
        <v>0</v>
      </c>
      <c r="AH4007">
        <v>0</v>
      </c>
      <c r="AI4007">
        <v>0</v>
      </c>
      <c r="AJ4007">
        <v>0</v>
      </c>
      <c r="AK4007">
        <v>0</v>
      </c>
      <c r="AL4007">
        <v>0</v>
      </c>
      <c r="AM4007">
        <v>0</v>
      </c>
      <c r="AN4007">
        <v>0</v>
      </c>
      <c r="AO4007">
        <v>0</v>
      </c>
      <c r="AP4007">
        <v>0</v>
      </c>
      <c r="AQ4007">
        <v>0</v>
      </c>
      <c r="AR4007">
        <v>0</v>
      </c>
      <c r="AS4007">
        <v>0</v>
      </c>
      <c r="AT4007">
        <v>0</v>
      </c>
      <c r="AU4007">
        <f t="shared" si="124"/>
        <v>0</v>
      </c>
      <c r="AV4007">
        <f t="shared" si="125"/>
        <v>0</v>
      </c>
    </row>
    <row r="4008" spans="1:48" x14ac:dyDescent="0.25">
      <c r="A4008" t="s">
        <v>12294</v>
      </c>
      <c r="C4008" t="s">
        <v>11879</v>
      </c>
      <c r="D4008" t="s">
        <v>12295</v>
      </c>
      <c r="E4008" t="s">
        <v>1663</v>
      </c>
      <c r="F4008">
        <v>5</v>
      </c>
      <c r="G4008">
        <v>5.2</v>
      </c>
      <c r="H4008" t="s">
        <v>2327</v>
      </c>
      <c r="I4008" s="21">
        <v>41831</v>
      </c>
      <c r="J4008">
        <v>2014</v>
      </c>
      <c r="K4008" s="21">
        <v>41968</v>
      </c>
      <c r="L4008">
        <v>2014</v>
      </c>
      <c r="P4008" s="21">
        <v>42198</v>
      </c>
      <c r="Q4008" s="262">
        <v>12977</v>
      </c>
      <c r="S4008" t="s">
        <v>114</v>
      </c>
      <c r="T4008" t="s">
        <v>114</v>
      </c>
      <c r="V4008">
        <v>0</v>
      </c>
      <c r="W4008">
        <v>0</v>
      </c>
      <c r="X4008">
        <v>0</v>
      </c>
      <c r="Y4008">
        <v>0</v>
      </c>
      <c r="Z4008">
        <v>0</v>
      </c>
      <c r="AA4008">
        <v>0</v>
      </c>
      <c r="AB4008">
        <v>0</v>
      </c>
      <c r="AC4008">
        <v>0</v>
      </c>
      <c r="AD4008">
        <v>0</v>
      </c>
      <c r="AE4008">
        <v>0</v>
      </c>
      <c r="AF4008">
        <v>0</v>
      </c>
      <c r="AG4008">
        <v>0</v>
      </c>
      <c r="AH4008">
        <v>0</v>
      </c>
      <c r="AI4008">
        <v>0</v>
      </c>
      <c r="AJ4008">
        <v>0</v>
      </c>
      <c r="AK4008">
        <v>0</v>
      </c>
      <c r="AL4008">
        <v>0</v>
      </c>
      <c r="AM4008">
        <v>0</v>
      </c>
      <c r="AN4008">
        <v>0</v>
      </c>
      <c r="AO4008">
        <v>0</v>
      </c>
      <c r="AP4008">
        <v>0</v>
      </c>
      <c r="AQ4008">
        <v>0</v>
      </c>
      <c r="AR4008">
        <v>0</v>
      </c>
      <c r="AS4008">
        <v>0</v>
      </c>
      <c r="AT4008">
        <v>0</v>
      </c>
      <c r="AU4008">
        <f t="shared" si="124"/>
        <v>0</v>
      </c>
      <c r="AV4008">
        <f t="shared" si="125"/>
        <v>0</v>
      </c>
    </row>
    <row r="4009" spans="1:48" x14ac:dyDescent="0.25">
      <c r="A4009" t="s">
        <v>12296</v>
      </c>
      <c r="B4009" t="s">
        <v>12296</v>
      </c>
      <c r="C4009" t="s">
        <v>12297</v>
      </c>
      <c r="D4009" t="s">
        <v>11136</v>
      </c>
      <c r="E4009" t="s">
        <v>2310</v>
      </c>
      <c r="F4009">
        <v>9</v>
      </c>
      <c r="G4009">
        <v>9.1</v>
      </c>
      <c r="H4009" t="s">
        <v>2323</v>
      </c>
      <c r="I4009" s="21">
        <v>41835.5386574074</v>
      </c>
      <c r="J4009">
        <v>2014</v>
      </c>
      <c r="K4009" s="21">
        <v>41877.561180555596</v>
      </c>
      <c r="L4009">
        <v>2014</v>
      </c>
      <c r="M4009" s="21">
        <v>42375.661504629599</v>
      </c>
      <c r="N4009">
        <v>2016</v>
      </c>
      <c r="Q4009" s="262">
        <v>50000</v>
      </c>
      <c r="R4009" s="262">
        <v>22000</v>
      </c>
      <c r="S4009" t="s">
        <v>114</v>
      </c>
      <c r="T4009" t="s">
        <v>114</v>
      </c>
      <c r="V4009">
        <v>0</v>
      </c>
      <c r="W4009">
        <v>504</v>
      </c>
      <c r="X4009">
        <v>0</v>
      </c>
      <c r="Y4009">
        <v>0</v>
      </c>
      <c r="Z4009">
        <v>0</v>
      </c>
      <c r="AA4009">
        <v>0</v>
      </c>
      <c r="AB4009">
        <v>0</v>
      </c>
      <c r="AC4009">
        <v>504</v>
      </c>
      <c r="AD4009">
        <v>0</v>
      </c>
      <c r="AE4009">
        <v>0</v>
      </c>
      <c r="AF4009">
        <v>0</v>
      </c>
      <c r="AG4009">
        <v>0</v>
      </c>
      <c r="AH4009">
        <v>0</v>
      </c>
      <c r="AI4009">
        <v>0</v>
      </c>
      <c r="AJ4009">
        <v>0</v>
      </c>
      <c r="AK4009">
        <v>0</v>
      </c>
      <c r="AL4009">
        <v>0</v>
      </c>
      <c r="AM4009">
        <v>0</v>
      </c>
      <c r="AN4009">
        <v>0</v>
      </c>
      <c r="AO4009">
        <v>0</v>
      </c>
      <c r="AP4009">
        <v>0</v>
      </c>
      <c r="AQ4009">
        <v>0</v>
      </c>
      <c r="AR4009">
        <v>0</v>
      </c>
      <c r="AS4009">
        <v>0</v>
      </c>
      <c r="AT4009">
        <v>0</v>
      </c>
      <c r="AU4009">
        <f t="shared" si="124"/>
        <v>0</v>
      </c>
      <c r="AV4009">
        <f t="shared" si="125"/>
        <v>0</v>
      </c>
    </row>
    <row r="4010" spans="1:48" x14ac:dyDescent="0.25">
      <c r="A4010" t="s">
        <v>12298</v>
      </c>
      <c r="C4010" t="s">
        <v>12299</v>
      </c>
      <c r="D4010" t="s">
        <v>12300</v>
      </c>
      <c r="E4010" t="s">
        <v>1663</v>
      </c>
      <c r="F4010">
        <v>6</v>
      </c>
      <c r="G4010">
        <v>6.1</v>
      </c>
      <c r="H4010" t="s">
        <v>2017</v>
      </c>
      <c r="I4010" s="21">
        <v>41836</v>
      </c>
      <c r="J4010">
        <v>2014</v>
      </c>
      <c r="K4010" s="21">
        <v>42074</v>
      </c>
      <c r="L4010">
        <v>2015</v>
      </c>
      <c r="P4010" s="21">
        <v>42437</v>
      </c>
      <c r="Q4010" s="262">
        <v>700000</v>
      </c>
      <c r="S4010" t="s">
        <v>114</v>
      </c>
      <c r="T4010" t="s">
        <v>114</v>
      </c>
      <c r="V4010">
        <v>0</v>
      </c>
      <c r="W4010">
        <v>0</v>
      </c>
      <c r="X4010">
        <v>0</v>
      </c>
      <c r="Y4010">
        <v>0</v>
      </c>
      <c r="Z4010">
        <v>0</v>
      </c>
      <c r="AA4010">
        <v>0</v>
      </c>
      <c r="AB4010">
        <v>0</v>
      </c>
      <c r="AC4010">
        <v>0</v>
      </c>
      <c r="AD4010">
        <v>0</v>
      </c>
      <c r="AE4010">
        <v>0</v>
      </c>
      <c r="AF4010">
        <v>0</v>
      </c>
      <c r="AG4010">
        <v>0</v>
      </c>
      <c r="AH4010">
        <v>0</v>
      </c>
      <c r="AI4010">
        <v>0</v>
      </c>
      <c r="AJ4010">
        <v>0</v>
      </c>
      <c r="AK4010">
        <v>0</v>
      </c>
      <c r="AL4010">
        <v>0</v>
      </c>
      <c r="AM4010">
        <v>0</v>
      </c>
      <c r="AN4010">
        <v>0</v>
      </c>
      <c r="AO4010">
        <v>0</v>
      </c>
      <c r="AP4010">
        <v>0</v>
      </c>
      <c r="AQ4010">
        <v>0</v>
      </c>
      <c r="AR4010">
        <v>0</v>
      </c>
      <c r="AS4010">
        <v>0</v>
      </c>
      <c r="AT4010">
        <v>0</v>
      </c>
      <c r="AU4010">
        <f t="shared" si="124"/>
        <v>0</v>
      </c>
      <c r="AV4010">
        <f t="shared" si="125"/>
        <v>0</v>
      </c>
    </row>
    <row r="4011" spans="1:48" x14ac:dyDescent="0.25">
      <c r="A4011" t="s">
        <v>12301</v>
      </c>
      <c r="C4011" t="s">
        <v>12302</v>
      </c>
      <c r="D4011" t="s">
        <v>12303</v>
      </c>
      <c r="E4011" t="s">
        <v>1663</v>
      </c>
      <c r="F4011">
        <v>2</v>
      </c>
      <c r="G4011">
        <v>2.6</v>
      </c>
      <c r="H4011" t="s">
        <v>2327</v>
      </c>
      <c r="I4011" s="21">
        <v>41836</v>
      </c>
      <c r="J4011">
        <v>2014</v>
      </c>
      <c r="K4011" s="21">
        <v>41870</v>
      </c>
      <c r="L4011">
        <v>2014</v>
      </c>
      <c r="M4011" s="21">
        <v>42166</v>
      </c>
      <c r="N4011">
        <v>2015</v>
      </c>
      <c r="Q4011" s="262">
        <v>568000</v>
      </c>
      <c r="S4011" t="s">
        <v>114</v>
      </c>
      <c r="T4011" t="s">
        <v>114</v>
      </c>
      <c r="V4011">
        <v>0</v>
      </c>
      <c r="W4011">
        <v>3738</v>
      </c>
      <c r="X4011">
        <v>0</v>
      </c>
      <c r="Y4011">
        <v>0</v>
      </c>
      <c r="Z4011">
        <v>0</v>
      </c>
      <c r="AA4011">
        <v>0</v>
      </c>
      <c r="AB4011">
        <v>0</v>
      </c>
      <c r="AC4011">
        <v>0</v>
      </c>
      <c r="AD4011">
        <v>0</v>
      </c>
      <c r="AE4011">
        <v>0</v>
      </c>
      <c r="AF4011">
        <v>0</v>
      </c>
      <c r="AG4011">
        <v>0</v>
      </c>
      <c r="AH4011">
        <v>0</v>
      </c>
      <c r="AI4011">
        <v>0</v>
      </c>
      <c r="AJ4011">
        <v>3738</v>
      </c>
      <c r="AK4011">
        <v>0</v>
      </c>
      <c r="AL4011">
        <v>0</v>
      </c>
      <c r="AM4011">
        <v>0</v>
      </c>
      <c r="AN4011">
        <v>0</v>
      </c>
      <c r="AO4011">
        <v>0</v>
      </c>
      <c r="AP4011">
        <v>0</v>
      </c>
      <c r="AQ4011">
        <v>0</v>
      </c>
      <c r="AR4011">
        <v>0</v>
      </c>
      <c r="AS4011">
        <v>0</v>
      </c>
      <c r="AT4011">
        <v>0</v>
      </c>
      <c r="AU4011">
        <f t="shared" si="124"/>
        <v>0</v>
      </c>
      <c r="AV4011">
        <f t="shared" si="125"/>
        <v>3738</v>
      </c>
    </row>
    <row r="4012" spans="1:48" x14ac:dyDescent="0.25">
      <c r="A4012" t="s">
        <v>12304</v>
      </c>
      <c r="B4012" t="s">
        <v>12304</v>
      </c>
      <c r="C4012" t="s">
        <v>10385</v>
      </c>
      <c r="D4012" t="s">
        <v>12305</v>
      </c>
      <c r="E4012" t="s">
        <v>2310</v>
      </c>
      <c r="F4012">
        <v>12</v>
      </c>
      <c r="G4012">
        <v>12.3</v>
      </c>
      <c r="H4012" t="s">
        <v>2017</v>
      </c>
      <c r="I4012" s="21">
        <v>41836.450023148202</v>
      </c>
      <c r="J4012">
        <v>2014</v>
      </c>
      <c r="K4012" s="21">
        <v>41872.6319097222</v>
      </c>
      <c r="L4012">
        <v>2014</v>
      </c>
      <c r="M4012" s="21">
        <v>42397.399629629603</v>
      </c>
      <c r="N4012">
        <v>2016</v>
      </c>
      <c r="Q4012" s="262">
        <v>2000000</v>
      </c>
      <c r="R4012" s="262">
        <v>1093000</v>
      </c>
      <c r="S4012" t="s">
        <v>114</v>
      </c>
      <c r="T4012" t="s">
        <v>114</v>
      </c>
      <c r="V4012">
        <v>0</v>
      </c>
      <c r="W4012">
        <v>7701</v>
      </c>
      <c r="X4012">
        <v>1</v>
      </c>
      <c r="Y4012">
        <v>0</v>
      </c>
      <c r="Z4012">
        <v>0</v>
      </c>
      <c r="AA4012">
        <v>0</v>
      </c>
      <c r="AB4012">
        <v>0</v>
      </c>
      <c r="AC4012">
        <v>7701</v>
      </c>
      <c r="AD4012">
        <v>0</v>
      </c>
      <c r="AE4012">
        <v>0</v>
      </c>
      <c r="AF4012">
        <v>0</v>
      </c>
      <c r="AG4012">
        <v>0</v>
      </c>
      <c r="AH4012">
        <v>0</v>
      </c>
      <c r="AI4012">
        <v>0</v>
      </c>
      <c r="AJ4012">
        <v>0</v>
      </c>
      <c r="AK4012">
        <v>0</v>
      </c>
      <c r="AL4012">
        <v>0</v>
      </c>
      <c r="AM4012">
        <v>0</v>
      </c>
      <c r="AN4012">
        <v>0</v>
      </c>
      <c r="AO4012">
        <v>1</v>
      </c>
      <c r="AP4012">
        <v>0</v>
      </c>
      <c r="AQ4012">
        <v>0</v>
      </c>
      <c r="AR4012">
        <v>0</v>
      </c>
      <c r="AS4012">
        <v>0</v>
      </c>
      <c r="AT4012">
        <v>0</v>
      </c>
      <c r="AU4012">
        <f t="shared" si="124"/>
        <v>1</v>
      </c>
      <c r="AV4012">
        <f t="shared" si="125"/>
        <v>0</v>
      </c>
    </row>
    <row r="4013" spans="1:48" x14ac:dyDescent="0.25">
      <c r="A4013" t="s">
        <v>12306</v>
      </c>
      <c r="B4013" t="s">
        <v>12306</v>
      </c>
      <c r="C4013" t="s">
        <v>12307</v>
      </c>
      <c r="D4013" t="s">
        <v>12308</v>
      </c>
      <c r="E4013" t="s">
        <v>2310</v>
      </c>
      <c r="F4013">
        <v>8</v>
      </c>
      <c r="G4013">
        <v>8.1</v>
      </c>
      <c r="H4013" t="s">
        <v>2323</v>
      </c>
      <c r="I4013" s="21">
        <v>41836.663888888899</v>
      </c>
      <c r="J4013">
        <v>2014</v>
      </c>
      <c r="K4013" s="21">
        <v>41864.621435185203</v>
      </c>
      <c r="L4013">
        <v>2014</v>
      </c>
      <c r="M4013" s="21">
        <v>42654.366574074098</v>
      </c>
      <c r="N4013">
        <v>2016</v>
      </c>
      <c r="Q4013" s="262">
        <v>200000</v>
      </c>
      <c r="R4013" s="262">
        <v>162000</v>
      </c>
      <c r="S4013" t="s">
        <v>114</v>
      </c>
      <c r="T4013" t="s">
        <v>114</v>
      </c>
      <c r="V4013">
        <v>0</v>
      </c>
      <c r="W4013">
        <v>2105</v>
      </c>
      <c r="X4013">
        <v>1</v>
      </c>
      <c r="Y4013">
        <v>0</v>
      </c>
      <c r="Z4013">
        <v>0</v>
      </c>
      <c r="AA4013">
        <v>0</v>
      </c>
      <c r="AB4013">
        <v>0</v>
      </c>
      <c r="AC4013">
        <v>1105</v>
      </c>
      <c r="AD4013">
        <v>0</v>
      </c>
      <c r="AE4013">
        <v>0</v>
      </c>
      <c r="AF4013">
        <v>1000</v>
      </c>
      <c r="AG4013">
        <v>0</v>
      </c>
      <c r="AH4013">
        <v>0</v>
      </c>
      <c r="AI4013">
        <v>0</v>
      </c>
      <c r="AJ4013">
        <v>0</v>
      </c>
      <c r="AK4013">
        <v>0</v>
      </c>
      <c r="AL4013">
        <v>0</v>
      </c>
      <c r="AM4013">
        <v>0</v>
      </c>
      <c r="AN4013">
        <v>0</v>
      </c>
      <c r="AO4013">
        <v>0</v>
      </c>
      <c r="AP4013">
        <v>0</v>
      </c>
      <c r="AQ4013">
        <v>0</v>
      </c>
      <c r="AR4013">
        <v>1</v>
      </c>
      <c r="AS4013">
        <v>0</v>
      </c>
      <c r="AT4013">
        <v>0</v>
      </c>
      <c r="AU4013">
        <f t="shared" si="124"/>
        <v>0</v>
      </c>
      <c r="AV4013">
        <f t="shared" si="125"/>
        <v>0</v>
      </c>
    </row>
    <row r="4014" spans="1:48" x14ac:dyDescent="0.25">
      <c r="A4014" t="s">
        <v>12310</v>
      </c>
      <c r="C4014" t="s">
        <v>11240</v>
      </c>
      <c r="D4014" t="s">
        <v>12311</v>
      </c>
      <c r="E4014" t="s">
        <v>1663</v>
      </c>
      <c r="F4014">
        <v>3</v>
      </c>
      <c r="G4014">
        <v>3.1</v>
      </c>
      <c r="H4014" t="s">
        <v>2017</v>
      </c>
      <c r="I4014" s="21">
        <v>41837</v>
      </c>
      <c r="J4014">
        <v>2014</v>
      </c>
      <c r="K4014" s="21">
        <v>41884</v>
      </c>
      <c r="L4014">
        <v>2014</v>
      </c>
      <c r="M4014" s="21">
        <v>42248</v>
      </c>
      <c r="N4014">
        <v>2015</v>
      </c>
      <c r="Q4014" s="262">
        <v>800000</v>
      </c>
      <c r="S4014" t="s">
        <v>114</v>
      </c>
      <c r="T4014" t="s">
        <v>114</v>
      </c>
      <c r="V4014">
        <v>0</v>
      </c>
      <c r="W4014">
        <v>4344</v>
      </c>
      <c r="X4014">
        <v>1</v>
      </c>
      <c r="Y4014">
        <v>0</v>
      </c>
      <c r="Z4014">
        <v>0</v>
      </c>
      <c r="AA4014">
        <v>0</v>
      </c>
      <c r="AB4014">
        <v>0</v>
      </c>
      <c r="AC4014">
        <v>4344</v>
      </c>
      <c r="AD4014">
        <v>0</v>
      </c>
      <c r="AE4014">
        <v>0</v>
      </c>
      <c r="AF4014">
        <v>0</v>
      </c>
      <c r="AG4014">
        <v>0</v>
      </c>
      <c r="AH4014">
        <v>0</v>
      </c>
      <c r="AI4014">
        <v>0</v>
      </c>
      <c r="AJ4014">
        <v>0</v>
      </c>
      <c r="AK4014">
        <v>0</v>
      </c>
      <c r="AL4014">
        <v>0</v>
      </c>
      <c r="AM4014">
        <v>0</v>
      </c>
      <c r="AN4014">
        <v>0</v>
      </c>
      <c r="AO4014">
        <v>1</v>
      </c>
      <c r="AP4014">
        <v>0</v>
      </c>
      <c r="AQ4014">
        <v>0</v>
      </c>
      <c r="AR4014">
        <v>0</v>
      </c>
      <c r="AS4014">
        <v>0</v>
      </c>
      <c r="AT4014">
        <v>0</v>
      </c>
      <c r="AU4014">
        <f t="shared" si="124"/>
        <v>1</v>
      </c>
      <c r="AV4014">
        <f t="shared" si="125"/>
        <v>0</v>
      </c>
    </row>
    <row r="4015" spans="1:48" x14ac:dyDescent="0.25">
      <c r="A4015" t="s">
        <v>12309</v>
      </c>
      <c r="C4015" t="s">
        <v>11237</v>
      </c>
      <c r="D4015" t="s">
        <v>11610</v>
      </c>
      <c r="E4015" t="s">
        <v>1663</v>
      </c>
      <c r="F4015">
        <v>2</v>
      </c>
      <c r="G4015">
        <v>2.6</v>
      </c>
      <c r="H4015" t="s">
        <v>2327</v>
      </c>
      <c r="I4015" s="21">
        <v>41837</v>
      </c>
      <c r="J4015">
        <v>2014</v>
      </c>
      <c r="K4015" s="21">
        <v>41844</v>
      </c>
      <c r="L4015">
        <v>2014</v>
      </c>
      <c r="M4015" s="21">
        <v>42311</v>
      </c>
      <c r="N4015">
        <v>2015</v>
      </c>
      <c r="Q4015" s="262">
        <v>65000</v>
      </c>
      <c r="S4015" t="s">
        <v>114</v>
      </c>
      <c r="T4015" t="s">
        <v>114</v>
      </c>
      <c r="V4015">
        <v>0</v>
      </c>
      <c r="W4015">
        <v>0</v>
      </c>
      <c r="X4015">
        <v>0</v>
      </c>
      <c r="Y4015">
        <v>0</v>
      </c>
      <c r="Z4015">
        <v>0</v>
      </c>
      <c r="AA4015">
        <v>0</v>
      </c>
      <c r="AB4015">
        <v>0</v>
      </c>
      <c r="AC4015">
        <v>0</v>
      </c>
      <c r="AD4015">
        <v>0</v>
      </c>
      <c r="AE4015">
        <v>0</v>
      </c>
      <c r="AF4015">
        <v>0</v>
      </c>
      <c r="AG4015">
        <v>0</v>
      </c>
      <c r="AH4015">
        <v>0</v>
      </c>
      <c r="AI4015">
        <v>0</v>
      </c>
      <c r="AJ4015">
        <v>0</v>
      </c>
      <c r="AK4015">
        <v>0</v>
      </c>
      <c r="AL4015">
        <v>0</v>
      </c>
      <c r="AM4015">
        <v>0</v>
      </c>
      <c r="AN4015">
        <v>0</v>
      </c>
      <c r="AO4015">
        <v>0</v>
      </c>
      <c r="AP4015">
        <v>0</v>
      </c>
      <c r="AQ4015">
        <v>0</v>
      </c>
      <c r="AR4015">
        <v>0</v>
      </c>
      <c r="AS4015">
        <v>0</v>
      </c>
      <c r="AT4015">
        <v>0</v>
      </c>
      <c r="AU4015">
        <f t="shared" si="124"/>
        <v>0</v>
      </c>
      <c r="AV4015">
        <f t="shared" si="125"/>
        <v>0</v>
      </c>
    </row>
    <row r="4016" spans="1:48" x14ac:dyDescent="0.25">
      <c r="A4016" t="s">
        <v>17577</v>
      </c>
      <c r="B4016" t="s">
        <v>17577</v>
      </c>
      <c r="C4016" t="s">
        <v>17578</v>
      </c>
      <c r="D4016" t="s">
        <v>17579</v>
      </c>
      <c r="E4016" t="s">
        <v>2310</v>
      </c>
      <c r="F4016">
        <v>8</v>
      </c>
      <c r="G4016">
        <v>8.1999999999999993</v>
      </c>
      <c r="H4016" t="s">
        <v>2022</v>
      </c>
      <c r="I4016" s="21">
        <v>41838.646122685182</v>
      </c>
      <c r="J4016">
        <v>2014</v>
      </c>
      <c r="K4016" s="21">
        <v>42741.357314814813</v>
      </c>
      <c r="L4016">
        <v>2017</v>
      </c>
      <c r="M4016" s="21">
        <v>42741.357314814813</v>
      </c>
      <c r="N4016">
        <v>2017</v>
      </c>
      <c r="Q4016" s="262">
        <v>8000000</v>
      </c>
      <c r="R4016" s="262">
        <v>1312000</v>
      </c>
      <c r="S4016" t="s">
        <v>13254</v>
      </c>
      <c r="V4016">
        <v>0</v>
      </c>
      <c r="W4016">
        <v>8702</v>
      </c>
      <c r="X4016">
        <v>1</v>
      </c>
      <c r="Y4016">
        <v>0</v>
      </c>
      <c r="Z4016">
        <v>0</v>
      </c>
      <c r="AA4016">
        <v>0</v>
      </c>
      <c r="AB4016">
        <v>0</v>
      </c>
      <c r="AC4016">
        <v>8702</v>
      </c>
      <c r="AD4016">
        <v>0</v>
      </c>
      <c r="AE4016">
        <v>0</v>
      </c>
      <c r="AF4016">
        <v>0</v>
      </c>
      <c r="AG4016">
        <v>0</v>
      </c>
      <c r="AH4016">
        <v>0</v>
      </c>
      <c r="AI4016">
        <v>0</v>
      </c>
      <c r="AJ4016">
        <v>0</v>
      </c>
      <c r="AK4016">
        <v>0</v>
      </c>
      <c r="AL4016">
        <v>0</v>
      </c>
      <c r="AM4016">
        <v>0</v>
      </c>
      <c r="AN4016">
        <v>0</v>
      </c>
      <c r="AO4016">
        <v>1</v>
      </c>
      <c r="AP4016">
        <v>0</v>
      </c>
      <c r="AQ4016">
        <v>0</v>
      </c>
      <c r="AR4016">
        <v>0</v>
      </c>
      <c r="AS4016">
        <v>0</v>
      </c>
      <c r="AT4016">
        <v>0</v>
      </c>
      <c r="AU4016">
        <f t="shared" si="124"/>
        <v>1</v>
      </c>
      <c r="AV4016">
        <f t="shared" si="125"/>
        <v>0</v>
      </c>
    </row>
    <row r="4017" spans="1:48" x14ac:dyDescent="0.25">
      <c r="A4017" t="s">
        <v>12312</v>
      </c>
      <c r="C4017" t="s">
        <v>12313</v>
      </c>
      <c r="D4017" t="s">
        <v>12314</v>
      </c>
      <c r="E4017" t="s">
        <v>1663</v>
      </c>
      <c r="F4017">
        <v>2</v>
      </c>
      <c r="G4017">
        <v>2.6</v>
      </c>
      <c r="H4017" t="s">
        <v>2327</v>
      </c>
      <c r="I4017" s="21">
        <v>41841</v>
      </c>
      <c r="J4017">
        <v>2014</v>
      </c>
      <c r="K4017" s="21">
        <v>41922</v>
      </c>
      <c r="L4017">
        <v>2014</v>
      </c>
      <c r="M4017" s="21">
        <v>42317</v>
      </c>
      <c r="N4017">
        <v>2015</v>
      </c>
      <c r="Q4017" s="262">
        <v>750000</v>
      </c>
      <c r="S4017" t="s">
        <v>114</v>
      </c>
      <c r="T4017" t="s">
        <v>114</v>
      </c>
      <c r="V4017">
        <v>0</v>
      </c>
      <c r="W4017">
        <v>4501</v>
      </c>
      <c r="X4017">
        <v>2</v>
      </c>
      <c r="Y4017">
        <v>0</v>
      </c>
      <c r="Z4017">
        <v>0</v>
      </c>
      <c r="AA4017">
        <v>0</v>
      </c>
      <c r="AB4017">
        <v>0</v>
      </c>
      <c r="AC4017">
        <v>0</v>
      </c>
      <c r="AD4017">
        <v>0</v>
      </c>
      <c r="AE4017">
        <v>1979</v>
      </c>
      <c r="AF4017">
        <v>0</v>
      </c>
      <c r="AG4017">
        <v>0</v>
      </c>
      <c r="AH4017">
        <v>0</v>
      </c>
      <c r="AI4017">
        <v>0</v>
      </c>
      <c r="AJ4017">
        <v>2522</v>
      </c>
      <c r="AK4017">
        <v>0</v>
      </c>
      <c r="AL4017">
        <v>0</v>
      </c>
      <c r="AM4017">
        <v>0</v>
      </c>
      <c r="AN4017">
        <v>0</v>
      </c>
      <c r="AO4017">
        <v>0</v>
      </c>
      <c r="AP4017">
        <v>0</v>
      </c>
      <c r="AQ4017">
        <v>2</v>
      </c>
      <c r="AR4017">
        <v>0</v>
      </c>
      <c r="AS4017">
        <v>0</v>
      </c>
      <c r="AT4017">
        <v>0</v>
      </c>
      <c r="AU4017">
        <f t="shared" si="124"/>
        <v>2</v>
      </c>
      <c r="AV4017">
        <f t="shared" si="125"/>
        <v>2522</v>
      </c>
    </row>
    <row r="4018" spans="1:48" x14ac:dyDescent="0.25">
      <c r="A4018" t="s">
        <v>12315</v>
      </c>
      <c r="B4018" t="s">
        <v>12315</v>
      </c>
      <c r="C4018" t="s">
        <v>11348</v>
      </c>
      <c r="D4018" t="s">
        <v>12316</v>
      </c>
      <c r="E4018" t="s">
        <v>2310</v>
      </c>
      <c r="F4018">
        <v>10</v>
      </c>
      <c r="G4018">
        <v>10.1</v>
      </c>
      <c r="H4018" t="s">
        <v>2323</v>
      </c>
      <c r="I4018" s="21">
        <v>41842.612557870401</v>
      </c>
      <c r="J4018">
        <v>2014</v>
      </c>
      <c r="K4018" s="21">
        <v>41956.664039351897</v>
      </c>
      <c r="L4018">
        <v>2014</v>
      </c>
      <c r="M4018" s="21">
        <v>42513.362106481502</v>
      </c>
      <c r="N4018">
        <v>2016</v>
      </c>
      <c r="Q4018" s="262">
        <v>660000</v>
      </c>
      <c r="R4018" s="262">
        <v>356000</v>
      </c>
      <c r="S4018" t="s">
        <v>114</v>
      </c>
      <c r="T4018" t="s">
        <v>114</v>
      </c>
      <c r="V4018">
        <v>0</v>
      </c>
      <c r="W4018">
        <v>3392</v>
      </c>
      <c r="X4018">
        <v>1</v>
      </c>
      <c r="Y4018">
        <v>0</v>
      </c>
      <c r="Z4018">
        <v>0</v>
      </c>
      <c r="AA4018">
        <v>0</v>
      </c>
      <c r="AB4018">
        <v>0</v>
      </c>
      <c r="AC4018">
        <v>3392</v>
      </c>
      <c r="AD4018">
        <v>0</v>
      </c>
      <c r="AE4018">
        <v>0</v>
      </c>
      <c r="AF4018">
        <v>0</v>
      </c>
      <c r="AG4018">
        <v>0</v>
      </c>
      <c r="AH4018">
        <v>0</v>
      </c>
      <c r="AI4018">
        <v>0</v>
      </c>
      <c r="AJ4018">
        <v>0</v>
      </c>
      <c r="AK4018">
        <v>0</v>
      </c>
      <c r="AL4018">
        <v>0</v>
      </c>
      <c r="AM4018">
        <v>0</v>
      </c>
      <c r="AN4018">
        <v>0</v>
      </c>
      <c r="AO4018">
        <v>1</v>
      </c>
      <c r="AP4018">
        <v>0</v>
      </c>
      <c r="AQ4018">
        <v>0</v>
      </c>
      <c r="AR4018">
        <v>0</v>
      </c>
      <c r="AS4018">
        <v>0</v>
      </c>
      <c r="AT4018">
        <v>0</v>
      </c>
      <c r="AU4018">
        <f t="shared" si="124"/>
        <v>1</v>
      </c>
      <c r="AV4018">
        <f t="shared" si="125"/>
        <v>0</v>
      </c>
    </row>
    <row r="4019" spans="1:48" x14ac:dyDescent="0.25">
      <c r="A4019" t="s">
        <v>12315</v>
      </c>
      <c r="B4019" t="s">
        <v>12317</v>
      </c>
      <c r="C4019" t="s">
        <v>11348</v>
      </c>
      <c r="D4019" t="s">
        <v>12316</v>
      </c>
      <c r="E4019" t="s">
        <v>2310</v>
      </c>
      <c r="F4019">
        <v>10</v>
      </c>
      <c r="G4019">
        <v>10.1</v>
      </c>
      <c r="H4019" t="s">
        <v>2323</v>
      </c>
      <c r="I4019" s="21">
        <v>41842.612557870401</v>
      </c>
      <c r="J4019">
        <v>2014</v>
      </c>
      <c r="K4019" s="21">
        <v>41956.664039351897</v>
      </c>
      <c r="L4019">
        <v>2014</v>
      </c>
      <c r="M4019" s="21">
        <v>42513.362106481502</v>
      </c>
      <c r="N4019">
        <v>2016</v>
      </c>
      <c r="Q4019" s="262">
        <v>660000</v>
      </c>
      <c r="R4019" s="262">
        <v>356000</v>
      </c>
      <c r="S4019" t="s">
        <v>114</v>
      </c>
      <c r="T4019" t="s">
        <v>114</v>
      </c>
      <c r="V4019">
        <v>0</v>
      </c>
      <c r="W4019">
        <v>43</v>
      </c>
      <c r="X4019">
        <v>0</v>
      </c>
      <c r="Y4019">
        <v>0</v>
      </c>
      <c r="Z4019">
        <v>0</v>
      </c>
      <c r="AA4019">
        <v>0</v>
      </c>
      <c r="AB4019">
        <v>0</v>
      </c>
      <c r="AC4019">
        <v>43</v>
      </c>
      <c r="AD4019">
        <v>0</v>
      </c>
      <c r="AE4019">
        <v>0</v>
      </c>
      <c r="AF4019">
        <v>0</v>
      </c>
      <c r="AG4019">
        <v>0</v>
      </c>
      <c r="AH4019">
        <v>0</v>
      </c>
      <c r="AI4019">
        <v>0</v>
      </c>
      <c r="AJ4019">
        <v>0</v>
      </c>
      <c r="AK4019">
        <v>0</v>
      </c>
      <c r="AL4019">
        <v>0</v>
      </c>
      <c r="AM4019">
        <v>0</v>
      </c>
      <c r="AN4019">
        <v>0</v>
      </c>
      <c r="AO4019">
        <v>0</v>
      </c>
      <c r="AP4019">
        <v>0</v>
      </c>
      <c r="AQ4019">
        <v>0</v>
      </c>
      <c r="AR4019">
        <v>0</v>
      </c>
      <c r="AS4019">
        <v>0</v>
      </c>
      <c r="AT4019">
        <v>0</v>
      </c>
      <c r="AU4019">
        <f t="shared" si="124"/>
        <v>0</v>
      </c>
      <c r="AV4019">
        <f t="shared" si="125"/>
        <v>0</v>
      </c>
    </row>
    <row r="4020" spans="1:48" x14ac:dyDescent="0.25">
      <c r="A4020" t="s">
        <v>12318</v>
      </c>
      <c r="C4020" t="s">
        <v>11488</v>
      </c>
      <c r="D4020" t="s">
        <v>12319</v>
      </c>
      <c r="E4020" t="s">
        <v>1663</v>
      </c>
      <c r="F4020">
        <v>6</v>
      </c>
      <c r="G4020">
        <v>6.1</v>
      </c>
      <c r="H4020" t="s">
        <v>2017</v>
      </c>
      <c r="I4020" s="21">
        <v>41843</v>
      </c>
      <c r="J4020">
        <v>2014</v>
      </c>
      <c r="K4020" s="21">
        <v>41911</v>
      </c>
      <c r="L4020">
        <v>2014</v>
      </c>
      <c r="M4020" s="21">
        <v>42200</v>
      </c>
      <c r="N4020">
        <v>2015</v>
      </c>
      <c r="Q4020" s="262">
        <v>280000</v>
      </c>
      <c r="S4020" t="s">
        <v>114</v>
      </c>
      <c r="T4020" t="s">
        <v>114</v>
      </c>
      <c r="V4020">
        <v>0</v>
      </c>
      <c r="W4020">
        <v>677</v>
      </c>
      <c r="X4020">
        <v>0</v>
      </c>
      <c r="Y4020">
        <v>0</v>
      </c>
      <c r="Z4020">
        <v>0</v>
      </c>
      <c r="AA4020">
        <v>0</v>
      </c>
      <c r="AB4020">
        <v>0</v>
      </c>
      <c r="AC4020">
        <v>677</v>
      </c>
      <c r="AD4020">
        <v>0</v>
      </c>
      <c r="AE4020">
        <v>0</v>
      </c>
      <c r="AF4020">
        <v>0</v>
      </c>
      <c r="AG4020">
        <v>0</v>
      </c>
      <c r="AH4020">
        <v>0</v>
      </c>
      <c r="AI4020">
        <v>0</v>
      </c>
      <c r="AJ4020">
        <v>0</v>
      </c>
      <c r="AK4020">
        <v>0</v>
      </c>
      <c r="AL4020">
        <v>0</v>
      </c>
      <c r="AM4020">
        <v>0</v>
      </c>
      <c r="AN4020">
        <v>0</v>
      </c>
      <c r="AO4020">
        <v>0</v>
      </c>
      <c r="AP4020">
        <v>0</v>
      </c>
      <c r="AQ4020">
        <v>0</v>
      </c>
      <c r="AR4020">
        <v>0</v>
      </c>
      <c r="AS4020">
        <v>0</v>
      </c>
      <c r="AT4020">
        <v>0</v>
      </c>
      <c r="AU4020">
        <f t="shared" si="124"/>
        <v>0</v>
      </c>
      <c r="AV4020">
        <f t="shared" si="125"/>
        <v>0</v>
      </c>
    </row>
    <row r="4021" spans="1:48" x14ac:dyDescent="0.25">
      <c r="A4021" t="s">
        <v>12320</v>
      </c>
      <c r="C4021" t="s">
        <v>12321</v>
      </c>
      <c r="D4021" t="s">
        <v>12322</v>
      </c>
      <c r="E4021" t="s">
        <v>1663</v>
      </c>
      <c r="F4021">
        <v>2</v>
      </c>
      <c r="G4021">
        <v>2.2999999999999998</v>
      </c>
      <c r="H4021" t="s">
        <v>2327</v>
      </c>
      <c r="I4021" s="21">
        <v>41849</v>
      </c>
      <c r="J4021">
        <v>2014</v>
      </c>
      <c r="K4021" s="21">
        <v>41871</v>
      </c>
      <c r="L4021">
        <v>2014</v>
      </c>
      <c r="M4021" s="21">
        <v>41911</v>
      </c>
      <c r="N4021">
        <v>2014</v>
      </c>
      <c r="Q4021" s="262">
        <v>5000</v>
      </c>
      <c r="S4021" t="s">
        <v>114</v>
      </c>
      <c r="T4021" t="s">
        <v>114</v>
      </c>
      <c r="V4021">
        <v>0</v>
      </c>
      <c r="W4021">
        <v>0</v>
      </c>
      <c r="X4021">
        <v>0</v>
      </c>
      <c r="Y4021">
        <v>0</v>
      </c>
      <c r="Z4021">
        <v>0</v>
      </c>
      <c r="AA4021">
        <v>0</v>
      </c>
      <c r="AB4021">
        <v>0</v>
      </c>
      <c r="AC4021">
        <v>0</v>
      </c>
      <c r="AD4021">
        <v>0</v>
      </c>
      <c r="AE4021">
        <v>0</v>
      </c>
      <c r="AF4021">
        <v>0</v>
      </c>
      <c r="AG4021">
        <v>0</v>
      </c>
      <c r="AH4021">
        <v>0</v>
      </c>
      <c r="AI4021">
        <v>0</v>
      </c>
      <c r="AJ4021">
        <v>0</v>
      </c>
      <c r="AK4021">
        <v>0</v>
      </c>
      <c r="AL4021">
        <v>0</v>
      </c>
      <c r="AM4021">
        <v>0</v>
      </c>
      <c r="AN4021">
        <v>0</v>
      </c>
      <c r="AO4021">
        <v>0</v>
      </c>
      <c r="AP4021">
        <v>0</v>
      </c>
      <c r="AQ4021">
        <v>0</v>
      </c>
      <c r="AR4021">
        <v>0</v>
      </c>
      <c r="AS4021">
        <v>0</v>
      </c>
      <c r="AT4021">
        <v>0</v>
      </c>
      <c r="AU4021">
        <f t="shared" si="124"/>
        <v>0</v>
      </c>
      <c r="AV4021">
        <f t="shared" si="125"/>
        <v>0</v>
      </c>
    </row>
    <row r="4022" spans="1:48" x14ac:dyDescent="0.25">
      <c r="A4022" t="s">
        <v>12323</v>
      </c>
      <c r="B4022" t="s">
        <v>12323</v>
      </c>
      <c r="C4022" t="s">
        <v>12324</v>
      </c>
      <c r="D4022" t="s">
        <v>2529</v>
      </c>
      <c r="E4022" t="s">
        <v>2310</v>
      </c>
      <c r="F4022">
        <v>8</v>
      </c>
      <c r="G4022">
        <v>8.1999999999999993</v>
      </c>
      <c r="H4022" t="s">
        <v>2022</v>
      </c>
      <c r="I4022" s="21">
        <v>41849.610335648104</v>
      </c>
      <c r="J4022">
        <v>2014</v>
      </c>
      <c r="K4022" s="21">
        <v>41935.406932870399</v>
      </c>
      <c r="L4022">
        <v>2014</v>
      </c>
      <c r="M4022" s="21">
        <v>42229.328877314802</v>
      </c>
      <c r="N4022">
        <v>2015</v>
      </c>
      <c r="Q4022" s="262">
        <v>300000</v>
      </c>
      <c r="R4022" s="262">
        <v>161000</v>
      </c>
      <c r="S4022" t="s">
        <v>114</v>
      </c>
      <c r="T4022" t="s">
        <v>114</v>
      </c>
      <c r="V4022">
        <v>0</v>
      </c>
      <c r="W4022">
        <v>1523</v>
      </c>
      <c r="X4022">
        <v>1</v>
      </c>
      <c r="Y4022">
        <v>0</v>
      </c>
      <c r="Z4022">
        <v>0</v>
      </c>
      <c r="AA4022">
        <v>0</v>
      </c>
      <c r="AB4022">
        <v>0</v>
      </c>
      <c r="AC4022">
        <v>528</v>
      </c>
      <c r="AD4022">
        <v>0</v>
      </c>
      <c r="AE4022">
        <v>0</v>
      </c>
      <c r="AF4022">
        <v>995</v>
      </c>
      <c r="AG4022">
        <v>0</v>
      </c>
      <c r="AH4022">
        <v>0</v>
      </c>
      <c r="AI4022">
        <v>0</v>
      </c>
      <c r="AJ4022">
        <v>0</v>
      </c>
      <c r="AK4022">
        <v>0</v>
      </c>
      <c r="AL4022">
        <v>0</v>
      </c>
      <c r="AM4022">
        <v>0</v>
      </c>
      <c r="AN4022">
        <v>0</v>
      </c>
      <c r="AO4022">
        <v>0</v>
      </c>
      <c r="AP4022">
        <v>0</v>
      </c>
      <c r="AQ4022">
        <v>0</v>
      </c>
      <c r="AR4022">
        <v>1</v>
      </c>
      <c r="AS4022">
        <v>0</v>
      </c>
      <c r="AT4022">
        <v>0</v>
      </c>
      <c r="AU4022">
        <f t="shared" si="124"/>
        <v>0</v>
      </c>
      <c r="AV4022">
        <f t="shared" si="125"/>
        <v>0</v>
      </c>
    </row>
    <row r="4023" spans="1:48" x14ac:dyDescent="0.25">
      <c r="A4023" t="s">
        <v>12325</v>
      </c>
      <c r="B4023" t="s">
        <v>12325</v>
      </c>
      <c r="C4023" t="s">
        <v>12326</v>
      </c>
      <c r="D4023" t="s">
        <v>6647</v>
      </c>
      <c r="E4023" t="s">
        <v>2310</v>
      </c>
      <c r="F4023">
        <v>7</v>
      </c>
      <c r="G4023">
        <v>7.1</v>
      </c>
      <c r="H4023" t="s">
        <v>2017</v>
      </c>
      <c r="I4023" s="21">
        <v>41851.362696759301</v>
      </c>
      <c r="J4023">
        <v>2014</v>
      </c>
      <c r="K4023" s="21">
        <v>41878.451539351903</v>
      </c>
      <c r="L4023">
        <v>2014</v>
      </c>
      <c r="M4023" s="21">
        <v>42055.5680671296</v>
      </c>
      <c r="N4023">
        <v>2015</v>
      </c>
      <c r="Q4023" s="262">
        <v>150000</v>
      </c>
      <c r="R4023" s="262">
        <v>85000</v>
      </c>
      <c r="S4023" t="s">
        <v>114</v>
      </c>
      <c r="T4023" t="s">
        <v>114</v>
      </c>
      <c r="V4023">
        <v>685</v>
      </c>
      <c r="W4023">
        <v>180</v>
      </c>
      <c r="X4023">
        <v>0</v>
      </c>
      <c r="Y4023">
        <v>0</v>
      </c>
      <c r="Z4023">
        <v>0</v>
      </c>
      <c r="AA4023">
        <v>0</v>
      </c>
      <c r="AB4023">
        <v>0</v>
      </c>
      <c r="AC4023">
        <v>0</v>
      </c>
      <c r="AD4023">
        <v>0</v>
      </c>
      <c r="AE4023">
        <v>0</v>
      </c>
      <c r="AF4023">
        <v>0</v>
      </c>
      <c r="AG4023">
        <v>0</v>
      </c>
      <c r="AH4023">
        <v>0</v>
      </c>
      <c r="AI4023">
        <v>0</v>
      </c>
      <c r="AJ4023">
        <v>0</v>
      </c>
      <c r="AK4023">
        <v>0</v>
      </c>
      <c r="AL4023">
        <v>0</v>
      </c>
      <c r="AM4023">
        <v>180</v>
      </c>
      <c r="AN4023">
        <v>0</v>
      </c>
      <c r="AO4023">
        <v>0</v>
      </c>
      <c r="AP4023">
        <v>0</v>
      </c>
      <c r="AQ4023">
        <v>0</v>
      </c>
      <c r="AR4023">
        <v>0</v>
      </c>
      <c r="AS4023">
        <v>0</v>
      </c>
      <c r="AT4023">
        <v>0</v>
      </c>
      <c r="AU4023">
        <f t="shared" si="124"/>
        <v>0</v>
      </c>
      <c r="AV4023">
        <f t="shared" si="125"/>
        <v>180</v>
      </c>
    </row>
    <row r="4024" spans="1:48" x14ac:dyDescent="0.25">
      <c r="A4024" t="s">
        <v>12327</v>
      </c>
      <c r="B4024" t="s">
        <v>12327</v>
      </c>
      <c r="C4024" t="s">
        <v>12328</v>
      </c>
      <c r="D4024" t="s">
        <v>11156</v>
      </c>
      <c r="E4024" t="s">
        <v>2310</v>
      </c>
      <c r="F4024">
        <v>9</v>
      </c>
      <c r="G4024">
        <v>9.1999999999999993</v>
      </c>
      <c r="H4024" t="s">
        <v>2022</v>
      </c>
      <c r="I4024" s="21">
        <v>41851.502812500003</v>
      </c>
      <c r="J4024">
        <v>2014</v>
      </c>
      <c r="K4024" s="21">
        <v>41878.439513888901</v>
      </c>
      <c r="L4024">
        <v>2014</v>
      </c>
      <c r="M4024" s="21">
        <v>42194.307476851798</v>
      </c>
      <c r="N4024">
        <v>2015</v>
      </c>
      <c r="Q4024" s="262">
        <v>75000</v>
      </c>
      <c r="R4024" s="262">
        <v>53000</v>
      </c>
      <c r="S4024" t="s">
        <v>114</v>
      </c>
      <c r="T4024" t="s">
        <v>114</v>
      </c>
      <c r="V4024">
        <v>0</v>
      </c>
      <c r="W4024">
        <v>282</v>
      </c>
      <c r="X4024">
        <v>0</v>
      </c>
      <c r="Y4024">
        <v>0</v>
      </c>
      <c r="Z4024">
        <v>0</v>
      </c>
      <c r="AA4024">
        <v>0</v>
      </c>
      <c r="AB4024">
        <v>0</v>
      </c>
      <c r="AC4024">
        <v>282</v>
      </c>
      <c r="AD4024">
        <v>0</v>
      </c>
      <c r="AE4024">
        <v>0</v>
      </c>
      <c r="AF4024">
        <v>0</v>
      </c>
      <c r="AG4024">
        <v>0</v>
      </c>
      <c r="AH4024">
        <v>0</v>
      </c>
      <c r="AI4024">
        <v>0</v>
      </c>
      <c r="AJ4024">
        <v>0</v>
      </c>
      <c r="AK4024">
        <v>0</v>
      </c>
      <c r="AL4024">
        <v>0</v>
      </c>
      <c r="AM4024">
        <v>0</v>
      </c>
      <c r="AN4024">
        <v>0</v>
      </c>
      <c r="AO4024">
        <v>0</v>
      </c>
      <c r="AP4024">
        <v>0</v>
      </c>
      <c r="AQ4024">
        <v>0</v>
      </c>
      <c r="AR4024">
        <v>0</v>
      </c>
      <c r="AS4024">
        <v>0</v>
      </c>
      <c r="AT4024">
        <v>0</v>
      </c>
      <c r="AU4024">
        <f t="shared" si="124"/>
        <v>0</v>
      </c>
      <c r="AV4024">
        <f t="shared" si="125"/>
        <v>0</v>
      </c>
    </row>
    <row r="4025" spans="1:48" x14ac:dyDescent="0.25">
      <c r="A4025" t="s">
        <v>12329</v>
      </c>
      <c r="B4025" t="s">
        <v>12329</v>
      </c>
      <c r="C4025" t="s">
        <v>10104</v>
      </c>
      <c r="D4025" t="s">
        <v>12330</v>
      </c>
      <c r="E4025" t="s">
        <v>2310</v>
      </c>
      <c r="F4025">
        <v>10</v>
      </c>
      <c r="G4025">
        <v>10.1</v>
      </c>
      <c r="H4025" t="s">
        <v>2323</v>
      </c>
      <c r="I4025" s="21">
        <v>41851.656319444402</v>
      </c>
      <c r="J4025">
        <v>2014</v>
      </c>
      <c r="K4025" s="21">
        <v>41901.488726851901</v>
      </c>
      <c r="L4025">
        <v>2014</v>
      </c>
      <c r="M4025" s="21">
        <v>42328.656712962998</v>
      </c>
      <c r="N4025">
        <v>2015</v>
      </c>
      <c r="Q4025" s="262">
        <v>350000</v>
      </c>
      <c r="R4025" s="262">
        <v>218000</v>
      </c>
      <c r="S4025" t="s">
        <v>114</v>
      </c>
      <c r="T4025" t="s">
        <v>114</v>
      </c>
      <c r="V4025">
        <v>0</v>
      </c>
      <c r="W4025">
        <v>2297</v>
      </c>
      <c r="X4025">
        <v>1</v>
      </c>
      <c r="Y4025">
        <v>0</v>
      </c>
      <c r="Z4025">
        <v>0</v>
      </c>
      <c r="AA4025">
        <v>0</v>
      </c>
      <c r="AB4025">
        <v>0</v>
      </c>
      <c r="AC4025">
        <v>2297</v>
      </c>
      <c r="AD4025">
        <v>0</v>
      </c>
      <c r="AE4025">
        <v>0</v>
      </c>
      <c r="AF4025">
        <v>0</v>
      </c>
      <c r="AG4025">
        <v>0</v>
      </c>
      <c r="AH4025">
        <v>0</v>
      </c>
      <c r="AI4025">
        <v>0</v>
      </c>
      <c r="AJ4025">
        <v>0</v>
      </c>
      <c r="AK4025">
        <v>0</v>
      </c>
      <c r="AL4025">
        <v>0</v>
      </c>
      <c r="AM4025">
        <v>0</v>
      </c>
      <c r="AN4025">
        <v>0</v>
      </c>
      <c r="AO4025">
        <v>1</v>
      </c>
      <c r="AP4025">
        <v>0</v>
      </c>
      <c r="AQ4025">
        <v>0</v>
      </c>
      <c r="AR4025">
        <v>0</v>
      </c>
      <c r="AS4025">
        <v>0</v>
      </c>
      <c r="AT4025">
        <v>0</v>
      </c>
      <c r="AU4025">
        <f t="shared" si="124"/>
        <v>1</v>
      </c>
      <c r="AV4025">
        <f t="shared" si="125"/>
        <v>0</v>
      </c>
    </row>
    <row r="4026" spans="1:48" x14ac:dyDescent="0.25">
      <c r="A4026" t="s">
        <v>12331</v>
      </c>
      <c r="B4026" t="s">
        <v>12331</v>
      </c>
      <c r="C4026" t="s">
        <v>12332</v>
      </c>
      <c r="D4026" t="s">
        <v>12333</v>
      </c>
      <c r="E4026" t="s">
        <v>2310</v>
      </c>
      <c r="F4026">
        <v>9</v>
      </c>
      <c r="G4026">
        <v>9.3000000000000007</v>
      </c>
      <c r="H4026" t="s">
        <v>2323</v>
      </c>
      <c r="I4026" s="21">
        <v>41852.400520833296</v>
      </c>
      <c r="J4026">
        <v>2014</v>
      </c>
      <c r="K4026" s="21">
        <v>41880.665254629603</v>
      </c>
      <c r="L4026">
        <v>2014</v>
      </c>
      <c r="M4026" s="21">
        <v>42289.672210648103</v>
      </c>
      <c r="N4026">
        <v>2015</v>
      </c>
      <c r="Q4026" s="262">
        <v>1300000</v>
      </c>
      <c r="R4026" s="262">
        <v>285000</v>
      </c>
      <c r="S4026" t="s">
        <v>114</v>
      </c>
      <c r="T4026" t="s">
        <v>114</v>
      </c>
      <c r="V4026">
        <v>2116</v>
      </c>
      <c r="W4026">
        <v>994</v>
      </c>
      <c r="X4026">
        <v>0</v>
      </c>
      <c r="Y4026">
        <v>0</v>
      </c>
      <c r="Z4026">
        <v>0</v>
      </c>
      <c r="AA4026">
        <v>0</v>
      </c>
      <c r="AB4026">
        <v>0</v>
      </c>
      <c r="AC4026">
        <v>994</v>
      </c>
      <c r="AD4026">
        <v>0</v>
      </c>
      <c r="AE4026">
        <v>0</v>
      </c>
      <c r="AF4026">
        <v>0</v>
      </c>
      <c r="AG4026">
        <v>0</v>
      </c>
      <c r="AH4026">
        <v>0</v>
      </c>
      <c r="AI4026">
        <v>0</v>
      </c>
      <c r="AJ4026">
        <v>0</v>
      </c>
      <c r="AK4026">
        <v>0</v>
      </c>
      <c r="AL4026">
        <v>0</v>
      </c>
      <c r="AM4026">
        <v>0</v>
      </c>
      <c r="AN4026">
        <v>0</v>
      </c>
      <c r="AO4026">
        <v>0</v>
      </c>
      <c r="AP4026">
        <v>0</v>
      </c>
      <c r="AQ4026">
        <v>0</v>
      </c>
      <c r="AR4026">
        <v>0</v>
      </c>
      <c r="AS4026">
        <v>0</v>
      </c>
      <c r="AT4026">
        <v>0</v>
      </c>
      <c r="AU4026">
        <f t="shared" si="124"/>
        <v>0</v>
      </c>
      <c r="AV4026">
        <f t="shared" si="125"/>
        <v>0</v>
      </c>
    </row>
    <row r="4027" spans="1:48" x14ac:dyDescent="0.25">
      <c r="A4027" t="s">
        <v>12337</v>
      </c>
      <c r="C4027" t="s">
        <v>12338</v>
      </c>
      <c r="D4027" t="s">
        <v>12339</v>
      </c>
      <c r="E4027" t="s">
        <v>1663</v>
      </c>
      <c r="F4027">
        <v>5</v>
      </c>
      <c r="G4027">
        <v>5.0999999999999996</v>
      </c>
      <c r="H4027" t="s">
        <v>2327</v>
      </c>
      <c r="I4027" s="21">
        <v>41858</v>
      </c>
      <c r="J4027">
        <v>2014</v>
      </c>
      <c r="K4027" s="21">
        <v>41988</v>
      </c>
      <c r="L4027">
        <v>2014</v>
      </c>
      <c r="P4027" s="21">
        <v>42168</v>
      </c>
      <c r="Q4027" s="262">
        <v>225000</v>
      </c>
      <c r="S4027" t="s">
        <v>114</v>
      </c>
      <c r="T4027" t="s">
        <v>114</v>
      </c>
      <c r="V4027">
        <v>0</v>
      </c>
      <c r="W4027">
        <v>1540</v>
      </c>
      <c r="X4027">
        <v>0</v>
      </c>
      <c r="Y4027">
        <v>0</v>
      </c>
      <c r="Z4027">
        <v>0</v>
      </c>
      <c r="AA4027">
        <v>0</v>
      </c>
      <c r="AB4027">
        <v>0</v>
      </c>
      <c r="AC4027">
        <v>0</v>
      </c>
      <c r="AD4027">
        <v>0</v>
      </c>
      <c r="AE4027">
        <v>0</v>
      </c>
      <c r="AF4027">
        <v>0</v>
      </c>
      <c r="AG4027">
        <v>0</v>
      </c>
      <c r="AH4027">
        <v>0</v>
      </c>
      <c r="AI4027">
        <v>0</v>
      </c>
      <c r="AJ4027">
        <v>0</v>
      </c>
      <c r="AK4027">
        <v>1540</v>
      </c>
      <c r="AL4027">
        <v>0</v>
      </c>
      <c r="AM4027">
        <v>0</v>
      </c>
      <c r="AN4027">
        <v>0</v>
      </c>
      <c r="AO4027">
        <v>0</v>
      </c>
      <c r="AP4027">
        <v>0</v>
      </c>
      <c r="AQ4027">
        <v>0</v>
      </c>
      <c r="AR4027">
        <v>0</v>
      </c>
      <c r="AS4027">
        <v>0</v>
      </c>
      <c r="AT4027">
        <v>0</v>
      </c>
      <c r="AU4027">
        <f t="shared" si="124"/>
        <v>0</v>
      </c>
      <c r="AV4027">
        <f t="shared" si="125"/>
        <v>1540</v>
      </c>
    </row>
    <row r="4028" spans="1:48" x14ac:dyDescent="0.25">
      <c r="A4028" t="s">
        <v>12334</v>
      </c>
      <c r="C4028" t="s">
        <v>12335</v>
      </c>
      <c r="D4028" t="s">
        <v>12336</v>
      </c>
      <c r="E4028" t="s">
        <v>1663</v>
      </c>
      <c r="F4028">
        <v>2</v>
      </c>
      <c r="G4028">
        <v>2.2999999999999998</v>
      </c>
      <c r="H4028" t="s">
        <v>2327</v>
      </c>
      <c r="I4028" s="21">
        <v>41858</v>
      </c>
      <c r="J4028">
        <v>2014</v>
      </c>
      <c r="K4028" s="21">
        <v>41942</v>
      </c>
      <c r="L4028">
        <v>2014</v>
      </c>
      <c r="P4028" s="21">
        <v>42122</v>
      </c>
      <c r="Q4028" s="262">
        <v>25000</v>
      </c>
      <c r="S4028" t="s">
        <v>114</v>
      </c>
      <c r="T4028" t="s">
        <v>114</v>
      </c>
      <c r="V4028">
        <v>0</v>
      </c>
      <c r="W4028">
        <v>0</v>
      </c>
      <c r="X4028">
        <v>0</v>
      </c>
      <c r="Y4028">
        <v>0</v>
      </c>
      <c r="Z4028">
        <v>0</v>
      </c>
      <c r="AA4028">
        <v>0</v>
      </c>
      <c r="AB4028">
        <v>0</v>
      </c>
      <c r="AC4028">
        <v>0</v>
      </c>
      <c r="AD4028">
        <v>0</v>
      </c>
      <c r="AE4028">
        <v>0</v>
      </c>
      <c r="AF4028">
        <v>0</v>
      </c>
      <c r="AG4028">
        <v>0</v>
      </c>
      <c r="AH4028">
        <v>0</v>
      </c>
      <c r="AI4028">
        <v>0</v>
      </c>
      <c r="AJ4028">
        <v>0</v>
      </c>
      <c r="AK4028">
        <v>0</v>
      </c>
      <c r="AL4028">
        <v>0</v>
      </c>
      <c r="AM4028">
        <v>0</v>
      </c>
      <c r="AN4028">
        <v>0</v>
      </c>
      <c r="AO4028">
        <v>0</v>
      </c>
      <c r="AP4028">
        <v>0</v>
      </c>
      <c r="AQ4028">
        <v>0</v>
      </c>
      <c r="AR4028">
        <v>0</v>
      </c>
      <c r="AS4028">
        <v>0</v>
      </c>
      <c r="AT4028">
        <v>0</v>
      </c>
      <c r="AU4028">
        <f t="shared" si="124"/>
        <v>0</v>
      </c>
      <c r="AV4028">
        <f t="shared" si="125"/>
        <v>0</v>
      </c>
    </row>
    <row r="4029" spans="1:48" x14ac:dyDescent="0.25">
      <c r="A4029" t="s">
        <v>12340</v>
      </c>
      <c r="B4029" t="s">
        <v>12340</v>
      </c>
      <c r="C4029" t="s">
        <v>12341</v>
      </c>
      <c r="D4029" t="s">
        <v>12342</v>
      </c>
      <c r="E4029" t="s">
        <v>2310</v>
      </c>
      <c r="F4029">
        <v>15</v>
      </c>
      <c r="G4029">
        <v>15.1</v>
      </c>
      <c r="H4029" t="s">
        <v>2022</v>
      </c>
      <c r="I4029" s="21">
        <v>41858.470520833303</v>
      </c>
      <c r="J4029">
        <v>2014</v>
      </c>
      <c r="P4029" s="21">
        <v>42240.450648148202</v>
      </c>
      <c r="Q4029" s="262">
        <v>75000</v>
      </c>
      <c r="R4029" s="262">
        <v>10000</v>
      </c>
      <c r="S4029" t="s">
        <v>114</v>
      </c>
      <c r="T4029" t="s">
        <v>114</v>
      </c>
      <c r="V4029">
        <v>0</v>
      </c>
      <c r="W4029">
        <v>230</v>
      </c>
      <c r="X4029">
        <v>0</v>
      </c>
      <c r="Y4029">
        <v>0</v>
      </c>
      <c r="Z4029">
        <v>0</v>
      </c>
      <c r="AA4029">
        <v>0</v>
      </c>
      <c r="AB4029">
        <v>0</v>
      </c>
      <c r="AC4029">
        <v>0</v>
      </c>
      <c r="AD4029">
        <v>0</v>
      </c>
      <c r="AE4029">
        <v>0</v>
      </c>
      <c r="AF4029">
        <v>0</v>
      </c>
      <c r="AG4029">
        <v>0</v>
      </c>
      <c r="AH4029">
        <v>0</v>
      </c>
      <c r="AI4029">
        <v>0</v>
      </c>
      <c r="AJ4029">
        <v>0</v>
      </c>
      <c r="AK4029">
        <v>0</v>
      </c>
      <c r="AL4029">
        <v>0</v>
      </c>
      <c r="AM4029">
        <v>230</v>
      </c>
      <c r="AN4029">
        <v>0</v>
      </c>
      <c r="AO4029">
        <v>0</v>
      </c>
      <c r="AP4029">
        <v>0</v>
      </c>
      <c r="AQ4029">
        <v>0</v>
      </c>
      <c r="AR4029">
        <v>0</v>
      </c>
      <c r="AS4029">
        <v>0</v>
      </c>
      <c r="AT4029">
        <v>0</v>
      </c>
      <c r="AU4029">
        <f t="shared" si="124"/>
        <v>0</v>
      </c>
      <c r="AV4029">
        <f t="shared" si="125"/>
        <v>230</v>
      </c>
    </row>
    <row r="4030" spans="1:48" x14ac:dyDescent="0.25">
      <c r="A4030" t="s">
        <v>12343</v>
      </c>
      <c r="B4030" t="s">
        <v>12343</v>
      </c>
      <c r="C4030" t="s">
        <v>12344</v>
      </c>
      <c r="D4030" t="s">
        <v>11010</v>
      </c>
      <c r="E4030" t="s">
        <v>2310</v>
      </c>
      <c r="F4030">
        <v>9</v>
      </c>
      <c r="G4030">
        <v>9.3000000000000007</v>
      </c>
      <c r="H4030" t="s">
        <v>2323</v>
      </c>
      <c r="I4030" s="21">
        <v>41859.5872453704</v>
      </c>
      <c r="J4030">
        <v>2014</v>
      </c>
      <c r="K4030" s="21">
        <v>41893.415752314802</v>
      </c>
      <c r="L4030">
        <v>2014</v>
      </c>
      <c r="P4030" s="21">
        <v>42580.386365740698</v>
      </c>
      <c r="Q4030" s="262">
        <v>150000</v>
      </c>
      <c r="R4030" s="262">
        <v>32000</v>
      </c>
      <c r="S4030" t="s">
        <v>114</v>
      </c>
      <c r="T4030" t="s">
        <v>114</v>
      </c>
      <c r="V4030">
        <v>0</v>
      </c>
      <c r="W4030">
        <v>600</v>
      </c>
      <c r="X4030">
        <v>0</v>
      </c>
      <c r="Y4030">
        <v>0</v>
      </c>
      <c r="Z4030">
        <v>0</v>
      </c>
      <c r="AA4030">
        <v>0</v>
      </c>
      <c r="AB4030">
        <v>0</v>
      </c>
      <c r="AC4030">
        <v>600</v>
      </c>
      <c r="AD4030">
        <v>0</v>
      </c>
      <c r="AE4030">
        <v>0</v>
      </c>
      <c r="AF4030">
        <v>0</v>
      </c>
      <c r="AG4030">
        <v>0</v>
      </c>
      <c r="AH4030">
        <v>0</v>
      </c>
      <c r="AI4030">
        <v>0</v>
      </c>
      <c r="AJ4030">
        <v>0</v>
      </c>
      <c r="AK4030">
        <v>0</v>
      </c>
      <c r="AL4030">
        <v>0</v>
      </c>
      <c r="AM4030">
        <v>0</v>
      </c>
      <c r="AN4030">
        <v>0</v>
      </c>
      <c r="AO4030">
        <v>0</v>
      </c>
      <c r="AP4030">
        <v>0</v>
      </c>
      <c r="AQ4030">
        <v>0</v>
      </c>
      <c r="AR4030">
        <v>0</v>
      </c>
      <c r="AS4030">
        <v>0</v>
      </c>
      <c r="AT4030">
        <v>0</v>
      </c>
      <c r="AU4030">
        <f t="shared" si="124"/>
        <v>0</v>
      </c>
      <c r="AV4030">
        <f t="shared" si="125"/>
        <v>0</v>
      </c>
    </row>
    <row r="4031" spans="1:48" x14ac:dyDescent="0.25">
      <c r="A4031" t="s">
        <v>12345</v>
      </c>
      <c r="B4031" t="s">
        <v>12345</v>
      </c>
      <c r="C4031" t="s">
        <v>12346</v>
      </c>
      <c r="D4031" t="s">
        <v>12347</v>
      </c>
      <c r="E4031" t="s">
        <v>2310</v>
      </c>
      <c r="F4031">
        <v>12</v>
      </c>
      <c r="G4031">
        <v>12.3</v>
      </c>
      <c r="H4031" t="s">
        <v>2017</v>
      </c>
      <c r="I4031" s="21">
        <v>41859.672986111102</v>
      </c>
      <c r="J4031">
        <v>2014</v>
      </c>
      <c r="K4031" s="21">
        <v>41879.498634259297</v>
      </c>
      <c r="L4031">
        <v>2014</v>
      </c>
      <c r="M4031" s="21">
        <v>42131.539664351898</v>
      </c>
      <c r="N4031">
        <v>2015</v>
      </c>
      <c r="Q4031" s="262">
        <v>250000</v>
      </c>
      <c r="R4031" s="262">
        <v>129000</v>
      </c>
      <c r="S4031" t="s">
        <v>114</v>
      </c>
      <c r="T4031" t="s">
        <v>114</v>
      </c>
      <c r="V4031">
        <v>1494</v>
      </c>
      <c r="W4031">
        <v>48</v>
      </c>
      <c r="X4031">
        <v>0</v>
      </c>
      <c r="Y4031">
        <v>0</v>
      </c>
      <c r="Z4031">
        <v>0</v>
      </c>
      <c r="AA4031">
        <v>0</v>
      </c>
      <c r="AB4031">
        <v>0</v>
      </c>
      <c r="AC4031">
        <v>48</v>
      </c>
      <c r="AD4031">
        <v>0</v>
      </c>
      <c r="AE4031">
        <v>0</v>
      </c>
      <c r="AF4031">
        <v>0</v>
      </c>
      <c r="AG4031">
        <v>0</v>
      </c>
      <c r="AH4031">
        <v>0</v>
      </c>
      <c r="AI4031">
        <v>0</v>
      </c>
      <c r="AJ4031">
        <v>0</v>
      </c>
      <c r="AK4031">
        <v>0</v>
      </c>
      <c r="AL4031">
        <v>0</v>
      </c>
      <c r="AM4031">
        <v>0</v>
      </c>
      <c r="AN4031">
        <v>0</v>
      </c>
      <c r="AO4031">
        <v>0</v>
      </c>
      <c r="AP4031">
        <v>0</v>
      </c>
      <c r="AQ4031">
        <v>0</v>
      </c>
      <c r="AR4031">
        <v>0</v>
      </c>
      <c r="AS4031">
        <v>0</v>
      </c>
      <c r="AT4031">
        <v>0</v>
      </c>
      <c r="AU4031">
        <f t="shared" si="124"/>
        <v>0</v>
      </c>
      <c r="AV4031">
        <f t="shared" si="125"/>
        <v>0</v>
      </c>
    </row>
    <row r="4032" spans="1:48" x14ac:dyDescent="0.25">
      <c r="A4032" t="s">
        <v>12348</v>
      </c>
      <c r="B4032" t="s">
        <v>12348</v>
      </c>
      <c r="C4032" t="s">
        <v>12349</v>
      </c>
      <c r="D4032" t="s">
        <v>2964</v>
      </c>
      <c r="E4032" t="s">
        <v>2310</v>
      </c>
      <c r="F4032">
        <v>8</v>
      </c>
      <c r="G4032">
        <v>8.4</v>
      </c>
      <c r="H4032" t="s">
        <v>2017</v>
      </c>
      <c r="I4032" s="21">
        <v>41863.667372685202</v>
      </c>
      <c r="J4032">
        <v>2014</v>
      </c>
      <c r="K4032" s="21">
        <v>41912.334918981498</v>
      </c>
      <c r="L4032">
        <v>2014</v>
      </c>
      <c r="M4032" s="21">
        <v>42082.369502314803</v>
      </c>
      <c r="N4032">
        <v>2015</v>
      </c>
      <c r="Q4032" s="262">
        <v>70000</v>
      </c>
      <c r="R4032" s="262">
        <v>10000</v>
      </c>
      <c r="S4032" t="s">
        <v>114</v>
      </c>
      <c r="T4032" t="s">
        <v>114</v>
      </c>
      <c r="V4032">
        <v>0</v>
      </c>
      <c r="W4032">
        <v>216</v>
      </c>
      <c r="X4032">
        <v>0</v>
      </c>
      <c r="Y4032">
        <v>0</v>
      </c>
      <c r="Z4032">
        <v>0</v>
      </c>
      <c r="AA4032">
        <v>0</v>
      </c>
      <c r="AB4032">
        <v>0</v>
      </c>
      <c r="AC4032">
        <v>0</v>
      </c>
      <c r="AD4032">
        <v>0</v>
      </c>
      <c r="AE4032">
        <v>0</v>
      </c>
      <c r="AF4032">
        <v>0</v>
      </c>
      <c r="AG4032">
        <v>0</v>
      </c>
      <c r="AH4032">
        <v>0</v>
      </c>
      <c r="AI4032">
        <v>0</v>
      </c>
      <c r="AJ4032">
        <v>0</v>
      </c>
      <c r="AK4032">
        <v>0</v>
      </c>
      <c r="AL4032">
        <v>0</v>
      </c>
      <c r="AM4032">
        <v>216</v>
      </c>
      <c r="AN4032">
        <v>0</v>
      </c>
      <c r="AO4032">
        <v>0</v>
      </c>
      <c r="AP4032">
        <v>0</v>
      </c>
      <c r="AQ4032">
        <v>0</v>
      </c>
      <c r="AR4032">
        <v>0</v>
      </c>
      <c r="AS4032">
        <v>0</v>
      </c>
      <c r="AT4032">
        <v>0</v>
      </c>
      <c r="AU4032">
        <f t="shared" si="124"/>
        <v>0</v>
      </c>
      <c r="AV4032">
        <f t="shared" si="125"/>
        <v>216</v>
      </c>
    </row>
    <row r="4033" spans="1:48" x14ac:dyDescent="0.25">
      <c r="A4033" t="s">
        <v>12350</v>
      </c>
      <c r="B4033" t="s">
        <v>12350</v>
      </c>
      <c r="C4033" t="s">
        <v>11064</v>
      </c>
      <c r="D4033" t="s">
        <v>12351</v>
      </c>
      <c r="E4033" t="s">
        <v>2310</v>
      </c>
      <c r="F4033">
        <v>10</v>
      </c>
      <c r="G4033">
        <v>10.1</v>
      </c>
      <c r="H4033" t="s">
        <v>2323</v>
      </c>
      <c r="I4033" s="21">
        <v>41865.527129629598</v>
      </c>
      <c r="J4033">
        <v>2014</v>
      </c>
      <c r="K4033" s="21">
        <v>41918.506134259304</v>
      </c>
      <c r="L4033">
        <v>2014</v>
      </c>
      <c r="M4033" s="21">
        <v>42340.569259259297</v>
      </c>
      <c r="N4033">
        <v>2015</v>
      </c>
      <c r="Q4033" s="262">
        <v>279000</v>
      </c>
      <c r="R4033" s="262">
        <v>225000</v>
      </c>
      <c r="S4033" t="s">
        <v>114</v>
      </c>
      <c r="T4033" t="s">
        <v>114</v>
      </c>
      <c r="V4033">
        <v>0</v>
      </c>
      <c r="W4033">
        <v>2306</v>
      </c>
      <c r="X4033">
        <v>1</v>
      </c>
      <c r="Y4033">
        <v>0</v>
      </c>
      <c r="Z4033">
        <v>0</v>
      </c>
      <c r="AA4033">
        <v>0</v>
      </c>
      <c r="AB4033">
        <v>0</v>
      </c>
      <c r="AC4033">
        <v>2306</v>
      </c>
      <c r="AD4033">
        <v>0</v>
      </c>
      <c r="AE4033">
        <v>0</v>
      </c>
      <c r="AF4033">
        <v>0</v>
      </c>
      <c r="AG4033">
        <v>0</v>
      </c>
      <c r="AH4033">
        <v>0</v>
      </c>
      <c r="AI4033">
        <v>0</v>
      </c>
      <c r="AJ4033">
        <v>0</v>
      </c>
      <c r="AK4033">
        <v>0</v>
      </c>
      <c r="AL4033">
        <v>0</v>
      </c>
      <c r="AM4033">
        <v>0</v>
      </c>
      <c r="AN4033">
        <v>0</v>
      </c>
      <c r="AO4033">
        <v>1</v>
      </c>
      <c r="AP4033">
        <v>0</v>
      </c>
      <c r="AQ4033">
        <v>0</v>
      </c>
      <c r="AR4033">
        <v>0</v>
      </c>
      <c r="AS4033">
        <v>0</v>
      </c>
      <c r="AT4033">
        <v>0</v>
      </c>
      <c r="AU4033">
        <f t="shared" si="124"/>
        <v>1</v>
      </c>
      <c r="AV4033">
        <f t="shared" si="125"/>
        <v>0</v>
      </c>
    </row>
    <row r="4034" spans="1:48" x14ac:dyDescent="0.25">
      <c r="A4034" t="s">
        <v>17580</v>
      </c>
      <c r="B4034" t="s">
        <v>17580</v>
      </c>
      <c r="C4034" t="s">
        <v>17581</v>
      </c>
      <c r="D4034" t="s">
        <v>17582</v>
      </c>
      <c r="E4034" t="s">
        <v>2310</v>
      </c>
      <c r="F4034">
        <v>8</v>
      </c>
      <c r="G4034">
        <v>8.3000000000000007</v>
      </c>
      <c r="H4034" t="s">
        <v>2323</v>
      </c>
      <c r="I4034" s="21">
        <v>41865.646956018521</v>
      </c>
      <c r="J4034">
        <v>2014</v>
      </c>
      <c r="K4034" s="21">
        <v>42955.66920138889</v>
      </c>
      <c r="L4034">
        <v>2017</v>
      </c>
      <c r="M4034" s="21">
        <v>42989.655081018522</v>
      </c>
      <c r="N4034">
        <v>2017</v>
      </c>
      <c r="Q4034" s="262">
        <v>150000</v>
      </c>
      <c r="R4034" s="262">
        <v>205000</v>
      </c>
      <c r="S4034" t="s">
        <v>13254</v>
      </c>
      <c r="V4034">
        <v>0</v>
      </c>
      <c r="W4034">
        <v>3061</v>
      </c>
      <c r="X4034">
        <v>1</v>
      </c>
      <c r="Y4034">
        <v>0</v>
      </c>
      <c r="Z4034">
        <v>0</v>
      </c>
      <c r="AA4034">
        <v>0</v>
      </c>
      <c r="AB4034">
        <v>0</v>
      </c>
      <c r="AC4034">
        <v>2062</v>
      </c>
      <c r="AD4034">
        <v>0</v>
      </c>
      <c r="AE4034">
        <v>0</v>
      </c>
      <c r="AF4034">
        <v>999</v>
      </c>
      <c r="AG4034">
        <v>0</v>
      </c>
      <c r="AH4034">
        <v>0</v>
      </c>
      <c r="AI4034">
        <v>0</v>
      </c>
      <c r="AJ4034">
        <v>0</v>
      </c>
      <c r="AK4034">
        <v>0</v>
      </c>
      <c r="AL4034">
        <v>0</v>
      </c>
      <c r="AM4034">
        <v>0</v>
      </c>
      <c r="AN4034">
        <v>0</v>
      </c>
      <c r="AO4034">
        <v>0</v>
      </c>
      <c r="AP4034">
        <v>0</v>
      </c>
      <c r="AQ4034">
        <v>0</v>
      </c>
      <c r="AR4034">
        <v>1</v>
      </c>
      <c r="AS4034">
        <v>0</v>
      </c>
      <c r="AT4034">
        <v>0</v>
      </c>
      <c r="AU4034">
        <f t="shared" si="124"/>
        <v>0</v>
      </c>
      <c r="AV4034">
        <f t="shared" si="125"/>
        <v>0</v>
      </c>
    </row>
    <row r="4035" spans="1:48" x14ac:dyDescent="0.25">
      <c r="A4035" t="s">
        <v>12352</v>
      </c>
      <c r="C4035" t="s">
        <v>11879</v>
      </c>
      <c r="D4035" t="s">
        <v>12353</v>
      </c>
      <c r="E4035" t="s">
        <v>1663</v>
      </c>
      <c r="F4035">
        <v>4</v>
      </c>
      <c r="G4035">
        <v>4.3</v>
      </c>
      <c r="H4035" t="s">
        <v>2327</v>
      </c>
      <c r="I4035" s="21">
        <v>41866</v>
      </c>
      <c r="J4035">
        <v>2014</v>
      </c>
      <c r="K4035" s="21">
        <v>41893</v>
      </c>
      <c r="L4035">
        <v>2014</v>
      </c>
      <c r="P4035" s="21">
        <v>42091</v>
      </c>
      <c r="Q4035" s="262">
        <v>12000</v>
      </c>
      <c r="S4035" t="s">
        <v>114</v>
      </c>
      <c r="T4035" t="s">
        <v>114</v>
      </c>
      <c r="V4035">
        <v>0</v>
      </c>
      <c r="W4035">
        <v>0</v>
      </c>
      <c r="X4035">
        <v>1</v>
      </c>
      <c r="Y4035">
        <v>0</v>
      </c>
      <c r="Z4035">
        <v>0</v>
      </c>
      <c r="AA4035">
        <v>0</v>
      </c>
      <c r="AB4035">
        <v>0</v>
      </c>
      <c r="AC4035">
        <v>0</v>
      </c>
      <c r="AD4035">
        <v>0</v>
      </c>
      <c r="AE4035">
        <v>0</v>
      </c>
      <c r="AF4035">
        <v>0</v>
      </c>
      <c r="AG4035">
        <v>0</v>
      </c>
      <c r="AH4035">
        <v>0</v>
      </c>
      <c r="AI4035">
        <v>0</v>
      </c>
      <c r="AJ4035">
        <v>0</v>
      </c>
      <c r="AK4035">
        <v>0</v>
      </c>
      <c r="AL4035">
        <v>0</v>
      </c>
      <c r="AM4035">
        <v>0</v>
      </c>
      <c r="AN4035">
        <v>0</v>
      </c>
      <c r="AO4035">
        <v>0</v>
      </c>
      <c r="AP4035">
        <v>1</v>
      </c>
      <c r="AQ4035">
        <v>0</v>
      </c>
      <c r="AR4035">
        <v>0</v>
      </c>
      <c r="AS4035">
        <v>0</v>
      </c>
      <c r="AT4035">
        <v>0</v>
      </c>
      <c r="AU4035">
        <f t="shared" si="124"/>
        <v>1</v>
      </c>
      <c r="AV4035">
        <f t="shared" si="125"/>
        <v>0</v>
      </c>
    </row>
    <row r="4036" spans="1:48" x14ac:dyDescent="0.25">
      <c r="A4036" t="s">
        <v>12354</v>
      </c>
      <c r="C4036" t="s">
        <v>12355</v>
      </c>
      <c r="D4036" t="s">
        <v>12356</v>
      </c>
      <c r="E4036" t="s">
        <v>1663</v>
      </c>
      <c r="F4036">
        <v>3</v>
      </c>
      <c r="G4036">
        <v>3.4</v>
      </c>
      <c r="H4036" t="s">
        <v>2017</v>
      </c>
      <c r="I4036" s="21">
        <v>41866</v>
      </c>
      <c r="J4036">
        <v>2014</v>
      </c>
      <c r="K4036" s="21">
        <v>41887</v>
      </c>
      <c r="L4036">
        <v>2014</v>
      </c>
      <c r="M4036" s="21">
        <v>41962</v>
      </c>
      <c r="N4036">
        <v>2014</v>
      </c>
      <c r="Q4036" s="262">
        <v>20000</v>
      </c>
      <c r="S4036" t="s">
        <v>114</v>
      </c>
      <c r="T4036" t="s">
        <v>114</v>
      </c>
      <c r="V4036">
        <v>0</v>
      </c>
      <c r="W4036">
        <v>0</v>
      </c>
      <c r="X4036">
        <v>0</v>
      </c>
      <c r="Y4036">
        <v>0</v>
      </c>
      <c r="Z4036">
        <v>0</v>
      </c>
      <c r="AA4036">
        <v>0</v>
      </c>
      <c r="AB4036">
        <v>0</v>
      </c>
      <c r="AC4036">
        <v>0</v>
      </c>
      <c r="AD4036">
        <v>0</v>
      </c>
      <c r="AE4036">
        <v>0</v>
      </c>
      <c r="AF4036">
        <v>0</v>
      </c>
      <c r="AG4036">
        <v>0</v>
      </c>
      <c r="AH4036">
        <v>0</v>
      </c>
      <c r="AI4036">
        <v>0</v>
      </c>
      <c r="AJ4036">
        <v>0</v>
      </c>
      <c r="AK4036">
        <v>0</v>
      </c>
      <c r="AL4036">
        <v>0</v>
      </c>
      <c r="AM4036">
        <v>0</v>
      </c>
      <c r="AN4036">
        <v>0</v>
      </c>
      <c r="AO4036">
        <v>0</v>
      </c>
      <c r="AP4036">
        <v>0</v>
      </c>
      <c r="AQ4036">
        <v>0</v>
      </c>
      <c r="AR4036">
        <v>0</v>
      </c>
      <c r="AS4036">
        <v>0</v>
      </c>
      <c r="AT4036">
        <v>0</v>
      </c>
      <c r="AU4036">
        <f t="shared" si="124"/>
        <v>0</v>
      </c>
      <c r="AV4036">
        <f t="shared" si="125"/>
        <v>0</v>
      </c>
    </row>
    <row r="4037" spans="1:48" x14ac:dyDescent="0.25">
      <c r="A4037" t="s">
        <v>12357</v>
      </c>
      <c r="B4037" t="s">
        <v>12357</v>
      </c>
      <c r="C4037" t="s">
        <v>11343</v>
      </c>
      <c r="D4037" t="s">
        <v>12358</v>
      </c>
      <c r="E4037" t="s">
        <v>2310</v>
      </c>
      <c r="F4037">
        <v>9</v>
      </c>
      <c r="G4037">
        <v>9.3000000000000007</v>
      </c>
      <c r="H4037" t="s">
        <v>2323</v>
      </c>
      <c r="I4037" s="21">
        <v>41866.490150463003</v>
      </c>
      <c r="J4037">
        <v>2014</v>
      </c>
      <c r="K4037" s="21">
        <v>41911.606863425899</v>
      </c>
      <c r="L4037">
        <v>2014</v>
      </c>
      <c r="M4037" s="21">
        <v>42513.390798611101</v>
      </c>
      <c r="N4037">
        <v>2016</v>
      </c>
      <c r="Q4037" s="262">
        <v>2250000</v>
      </c>
      <c r="R4037" s="262">
        <v>955000</v>
      </c>
      <c r="S4037" t="s">
        <v>114</v>
      </c>
      <c r="T4037" t="s">
        <v>114</v>
      </c>
      <c r="V4037">
        <v>0</v>
      </c>
      <c r="W4037">
        <v>6869</v>
      </c>
      <c r="X4037">
        <v>1</v>
      </c>
      <c r="Y4037">
        <v>0</v>
      </c>
      <c r="Z4037">
        <v>0</v>
      </c>
      <c r="AA4037">
        <v>0</v>
      </c>
      <c r="AB4037">
        <v>0</v>
      </c>
      <c r="AC4037">
        <v>6869</v>
      </c>
      <c r="AD4037">
        <v>0</v>
      </c>
      <c r="AE4037">
        <v>0</v>
      </c>
      <c r="AF4037">
        <v>0</v>
      </c>
      <c r="AG4037">
        <v>0</v>
      </c>
      <c r="AH4037">
        <v>0</v>
      </c>
      <c r="AI4037">
        <v>0</v>
      </c>
      <c r="AJ4037">
        <v>0</v>
      </c>
      <c r="AK4037">
        <v>0</v>
      </c>
      <c r="AL4037">
        <v>0</v>
      </c>
      <c r="AM4037">
        <v>0</v>
      </c>
      <c r="AN4037">
        <v>0</v>
      </c>
      <c r="AO4037">
        <v>1</v>
      </c>
      <c r="AP4037">
        <v>0</v>
      </c>
      <c r="AQ4037">
        <v>0</v>
      </c>
      <c r="AR4037">
        <v>0</v>
      </c>
      <c r="AS4037">
        <v>0</v>
      </c>
      <c r="AT4037">
        <v>0</v>
      </c>
      <c r="AU4037">
        <f t="shared" si="124"/>
        <v>1</v>
      </c>
      <c r="AV4037">
        <f t="shared" si="125"/>
        <v>0</v>
      </c>
    </row>
    <row r="4038" spans="1:48" x14ac:dyDescent="0.25">
      <c r="A4038" t="s">
        <v>12359</v>
      </c>
      <c r="B4038" t="s">
        <v>12359</v>
      </c>
      <c r="C4038" t="s">
        <v>12360</v>
      </c>
      <c r="D4038" t="s">
        <v>12361</v>
      </c>
      <c r="E4038" t="s">
        <v>2310</v>
      </c>
      <c r="F4038">
        <v>9</v>
      </c>
      <c r="G4038">
        <v>9.1999999999999993</v>
      </c>
      <c r="H4038" t="s">
        <v>2022</v>
      </c>
      <c r="I4038" s="21">
        <v>41870.5805555556</v>
      </c>
      <c r="J4038">
        <v>2014</v>
      </c>
      <c r="K4038" s="21">
        <v>41921.405659722201</v>
      </c>
      <c r="L4038">
        <v>2014</v>
      </c>
      <c r="M4038" s="21">
        <v>42544.420497685198</v>
      </c>
      <c r="N4038">
        <v>2016</v>
      </c>
      <c r="Q4038" s="262">
        <v>750000</v>
      </c>
      <c r="R4038" s="262">
        <v>589000</v>
      </c>
      <c r="S4038" t="s">
        <v>114</v>
      </c>
      <c r="T4038" t="s">
        <v>114</v>
      </c>
      <c r="V4038">
        <v>5428</v>
      </c>
      <c r="W4038">
        <v>1527</v>
      </c>
      <c r="X4038">
        <v>0</v>
      </c>
      <c r="Y4038">
        <v>0</v>
      </c>
      <c r="Z4038">
        <v>0</v>
      </c>
      <c r="AA4038">
        <v>0</v>
      </c>
      <c r="AB4038">
        <v>0</v>
      </c>
      <c r="AC4038">
        <v>1527</v>
      </c>
      <c r="AD4038">
        <v>0</v>
      </c>
      <c r="AE4038">
        <v>0</v>
      </c>
      <c r="AF4038">
        <v>0</v>
      </c>
      <c r="AG4038">
        <v>0</v>
      </c>
      <c r="AH4038">
        <v>0</v>
      </c>
      <c r="AI4038">
        <v>0</v>
      </c>
      <c r="AJ4038">
        <v>0</v>
      </c>
      <c r="AK4038">
        <v>0</v>
      </c>
      <c r="AL4038">
        <v>0</v>
      </c>
      <c r="AM4038">
        <v>0</v>
      </c>
      <c r="AN4038">
        <v>0</v>
      </c>
      <c r="AO4038">
        <v>0</v>
      </c>
      <c r="AP4038">
        <v>0</v>
      </c>
      <c r="AQ4038">
        <v>0</v>
      </c>
      <c r="AR4038">
        <v>0</v>
      </c>
      <c r="AS4038">
        <v>0</v>
      </c>
      <c r="AT4038">
        <v>0</v>
      </c>
      <c r="AU4038">
        <f t="shared" si="124"/>
        <v>0</v>
      </c>
      <c r="AV4038">
        <f t="shared" si="125"/>
        <v>0</v>
      </c>
    </row>
    <row r="4039" spans="1:48" x14ac:dyDescent="0.25">
      <c r="A4039" t="s">
        <v>12364</v>
      </c>
      <c r="C4039" t="s">
        <v>12365</v>
      </c>
      <c r="D4039" t="s">
        <v>12366</v>
      </c>
      <c r="E4039" t="s">
        <v>1663</v>
      </c>
      <c r="F4039">
        <v>5</v>
      </c>
      <c r="G4039">
        <v>5.2</v>
      </c>
      <c r="H4039" t="s">
        <v>2327</v>
      </c>
      <c r="I4039" s="21">
        <v>41871</v>
      </c>
      <c r="J4039">
        <v>2014</v>
      </c>
      <c r="K4039" s="21">
        <v>41887</v>
      </c>
      <c r="L4039">
        <v>2014</v>
      </c>
      <c r="M4039" s="21">
        <v>41939</v>
      </c>
      <c r="N4039">
        <v>2014</v>
      </c>
      <c r="Q4039" s="262">
        <v>8000</v>
      </c>
      <c r="S4039" t="s">
        <v>114</v>
      </c>
      <c r="T4039" t="s">
        <v>114</v>
      </c>
      <c r="V4039">
        <v>0</v>
      </c>
      <c r="W4039">
        <v>0</v>
      </c>
      <c r="X4039">
        <v>0</v>
      </c>
      <c r="Y4039">
        <v>0</v>
      </c>
      <c r="Z4039">
        <v>0</v>
      </c>
      <c r="AA4039">
        <v>0</v>
      </c>
      <c r="AB4039">
        <v>0</v>
      </c>
      <c r="AC4039">
        <v>0</v>
      </c>
      <c r="AD4039">
        <v>0</v>
      </c>
      <c r="AE4039">
        <v>0</v>
      </c>
      <c r="AF4039">
        <v>0</v>
      </c>
      <c r="AG4039">
        <v>0</v>
      </c>
      <c r="AH4039">
        <v>0</v>
      </c>
      <c r="AI4039">
        <v>0</v>
      </c>
      <c r="AJ4039">
        <v>0</v>
      </c>
      <c r="AK4039">
        <v>0</v>
      </c>
      <c r="AL4039">
        <v>0</v>
      </c>
      <c r="AM4039">
        <v>0</v>
      </c>
      <c r="AN4039">
        <v>0</v>
      </c>
      <c r="AO4039">
        <v>0</v>
      </c>
      <c r="AP4039">
        <v>0</v>
      </c>
      <c r="AQ4039">
        <v>0</v>
      </c>
      <c r="AR4039">
        <v>0</v>
      </c>
      <c r="AS4039">
        <v>0</v>
      </c>
      <c r="AT4039">
        <v>0</v>
      </c>
      <c r="AU4039">
        <f t="shared" si="124"/>
        <v>0</v>
      </c>
      <c r="AV4039">
        <f t="shared" si="125"/>
        <v>0</v>
      </c>
    </row>
    <row r="4040" spans="1:48" x14ac:dyDescent="0.25">
      <c r="A4040" t="s">
        <v>12362</v>
      </c>
      <c r="C4040" t="s">
        <v>11240</v>
      </c>
      <c r="D4040" t="s">
        <v>12363</v>
      </c>
      <c r="E4040" t="s">
        <v>1663</v>
      </c>
      <c r="F4040">
        <v>3</v>
      </c>
      <c r="G4040">
        <v>3.1</v>
      </c>
      <c r="H4040" t="s">
        <v>2017</v>
      </c>
      <c r="I4040" s="21">
        <v>41871</v>
      </c>
      <c r="J4040">
        <v>2014</v>
      </c>
      <c r="K4040" s="21">
        <v>42100</v>
      </c>
      <c r="L4040">
        <v>2015</v>
      </c>
      <c r="M4040" s="21">
        <v>42415</v>
      </c>
      <c r="N4040">
        <v>2016</v>
      </c>
      <c r="Q4040" s="262">
        <v>1000000</v>
      </c>
      <c r="S4040" t="s">
        <v>114</v>
      </c>
      <c r="T4040" t="s">
        <v>114</v>
      </c>
      <c r="W4040">
        <v>4290</v>
      </c>
      <c r="X4040">
        <v>1</v>
      </c>
      <c r="Y4040">
        <v>0</v>
      </c>
      <c r="Z4040">
        <v>0</v>
      </c>
      <c r="AA4040">
        <v>0</v>
      </c>
      <c r="AB4040">
        <v>0</v>
      </c>
      <c r="AC4040">
        <v>4290</v>
      </c>
      <c r="AD4040">
        <v>0</v>
      </c>
      <c r="AE4040">
        <v>0</v>
      </c>
      <c r="AF4040">
        <v>0</v>
      </c>
      <c r="AG4040">
        <v>0</v>
      </c>
      <c r="AH4040">
        <v>0</v>
      </c>
      <c r="AI4040">
        <v>0</v>
      </c>
      <c r="AJ4040">
        <v>0</v>
      </c>
      <c r="AK4040">
        <v>0</v>
      </c>
      <c r="AL4040">
        <v>0</v>
      </c>
      <c r="AM4040">
        <v>0</v>
      </c>
      <c r="AN4040">
        <v>0</v>
      </c>
      <c r="AO4040">
        <v>1</v>
      </c>
      <c r="AP4040">
        <v>0</v>
      </c>
      <c r="AQ4040">
        <v>0</v>
      </c>
      <c r="AR4040">
        <v>0</v>
      </c>
      <c r="AS4040">
        <v>0</v>
      </c>
      <c r="AT4040">
        <v>0</v>
      </c>
      <c r="AU4040">
        <f t="shared" si="124"/>
        <v>1</v>
      </c>
      <c r="AV4040">
        <f t="shared" si="125"/>
        <v>0</v>
      </c>
    </row>
    <row r="4041" spans="1:48" x14ac:dyDescent="0.25">
      <c r="A4041" t="s">
        <v>12367</v>
      </c>
      <c r="B4041" t="s">
        <v>12367</v>
      </c>
      <c r="C4041" t="s">
        <v>10265</v>
      </c>
      <c r="D4041" t="s">
        <v>11717</v>
      </c>
      <c r="E4041" t="s">
        <v>2310</v>
      </c>
      <c r="F4041">
        <v>8</v>
      </c>
      <c r="G4041">
        <v>8.1999999999999993</v>
      </c>
      <c r="H4041" t="s">
        <v>2022</v>
      </c>
      <c r="I4041" s="21">
        <v>41871.485960648097</v>
      </c>
      <c r="J4041">
        <v>2014</v>
      </c>
      <c r="K4041" s="21">
        <v>41906.586643518502</v>
      </c>
      <c r="L4041">
        <v>2014</v>
      </c>
      <c r="M4041" s="21">
        <v>42657.6769907407</v>
      </c>
      <c r="N4041">
        <v>2016</v>
      </c>
      <c r="Q4041" s="262">
        <v>250000</v>
      </c>
      <c r="R4041" s="262">
        <v>86000</v>
      </c>
      <c r="S4041" t="s">
        <v>114</v>
      </c>
      <c r="T4041" t="s">
        <v>114</v>
      </c>
      <c r="V4041">
        <v>0</v>
      </c>
      <c r="W4041">
        <v>2003</v>
      </c>
      <c r="X4041">
        <v>0</v>
      </c>
      <c r="Y4041">
        <v>0</v>
      </c>
      <c r="Z4041">
        <v>0</v>
      </c>
      <c r="AA4041">
        <v>0</v>
      </c>
      <c r="AB4041">
        <v>0</v>
      </c>
      <c r="AC4041">
        <v>2003</v>
      </c>
      <c r="AD4041">
        <v>0</v>
      </c>
      <c r="AE4041">
        <v>0</v>
      </c>
      <c r="AF4041">
        <v>0</v>
      </c>
      <c r="AG4041">
        <v>0</v>
      </c>
      <c r="AH4041">
        <v>0</v>
      </c>
      <c r="AI4041">
        <v>0</v>
      </c>
      <c r="AJ4041">
        <v>0</v>
      </c>
      <c r="AK4041">
        <v>0</v>
      </c>
      <c r="AL4041">
        <v>0</v>
      </c>
      <c r="AM4041">
        <v>0</v>
      </c>
      <c r="AN4041">
        <v>0</v>
      </c>
      <c r="AO4041">
        <v>0</v>
      </c>
      <c r="AP4041">
        <v>0</v>
      </c>
      <c r="AQ4041">
        <v>0</v>
      </c>
      <c r="AR4041">
        <v>0</v>
      </c>
      <c r="AS4041">
        <v>0</v>
      </c>
      <c r="AT4041">
        <v>0</v>
      </c>
      <c r="AU4041">
        <f t="shared" si="124"/>
        <v>0</v>
      </c>
      <c r="AV4041">
        <f t="shared" si="125"/>
        <v>0</v>
      </c>
    </row>
    <row r="4042" spans="1:48" x14ac:dyDescent="0.25">
      <c r="A4042" t="s">
        <v>12368</v>
      </c>
      <c r="B4042" t="s">
        <v>12368</v>
      </c>
      <c r="C4042" t="s">
        <v>12369</v>
      </c>
      <c r="D4042" t="s">
        <v>11452</v>
      </c>
      <c r="E4042" t="s">
        <v>2310</v>
      </c>
      <c r="F4042">
        <v>12</v>
      </c>
      <c r="G4042">
        <v>12.2</v>
      </c>
      <c r="H4042" t="s">
        <v>2017</v>
      </c>
      <c r="I4042" s="21">
        <v>41872.396516203698</v>
      </c>
      <c r="J4042">
        <v>2014</v>
      </c>
      <c r="K4042" s="21">
        <v>41911.412141203698</v>
      </c>
      <c r="L4042">
        <v>2014</v>
      </c>
      <c r="M4042" s="21">
        <v>42341.463240740697</v>
      </c>
      <c r="N4042">
        <v>2015</v>
      </c>
      <c r="Q4042" s="262">
        <v>50000</v>
      </c>
      <c r="R4042" s="262">
        <v>24000</v>
      </c>
      <c r="S4042" t="s">
        <v>114</v>
      </c>
      <c r="T4042" t="s">
        <v>114</v>
      </c>
      <c r="V4042">
        <v>0</v>
      </c>
      <c r="W4042">
        <v>208</v>
      </c>
      <c r="X4042">
        <v>0</v>
      </c>
      <c r="Y4042">
        <v>0</v>
      </c>
      <c r="Z4042">
        <v>0</v>
      </c>
      <c r="AA4042">
        <v>0</v>
      </c>
      <c r="AB4042">
        <v>0</v>
      </c>
      <c r="AC4042">
        <v>208</v>
      </c>
      <c r="AD4042">
        <v>0</v>
      </c>
      <c r="AE4042">
        <v>0</v>
      </c>
      <c r="AF4042">
        <v>0</v>
      </c>
      <c r="AG4042">
        <v>0</v>
      </c>
      <c r="AH4042">
        <v>0</v>
      </c>
      <c r="AI4042">
        <v>0</v>
      </c>
      <c r="AJ4042">
        <v>0</v>
      </c>
      <c r="AK4042">
        <v>0</v>
      </c>
      <c r="AL4042">
        <v>0</v>
      </c>
      <c r="AM4042">
        <v>0</v>
      </c>
      <c r="AN4042">
        <v>0</v>
      </c>
      <c r="AO4042">
        <v>0</v>
      </c>
      <c r="AP4042">
        <v>0</v>
      </c>
      <c r="AQ4042">
        <v>0</v>
      </c>
      <c r="AR4042">
        <v>0</v>
      </c>
      <c r="AS4042">
        <v>0</v>
      </c>
      <c r="AT4042">
        <v>0</v>
      </c>
      <c r="AU4042">
        <f t="shared" si="124"/>
        <v>0</v>
      </c>
      <c r="AV4042">
        <f t="shared" si="125"/>
        <v>0</v>
      </c>
    </row>
    <row r="4043" spans="1:48" x14ac:dyDescent="0.25">
      <c r="A4043" t="s">
        <v>12370</v>
      </c>
      <c r="C4043" t="s">
        <v>11246</v>
      </c>
      <c r="D4043" t="s">
        <v>12371</v>
      </c>
      <c r="E4043" t="s">
        <v>1663</v>
      </c>
      <c r="F4043">
        <v>6</v>
      </c>
      <c r="G4043">
        <v>6.1</v>
      </c>
      <c r="H4043" t="s">
        <v>2017</v>
      </c>
      <c r="I4043" s="21">
        <v>41877</v>
      </c>
      <c r="J4043">
        <v>2014</v>
      </c>
      <c r="K4043" s="21">
        <v>41906</v>
      </c>
      <c r="L4043">
        <v>2014</v>
      </c>
      <c r="M4043" s="21">
        <v>42310</v>
      </c>
      <c r="N4043">
        <v>2015</v>
      </c>
      <c r="Q4043" s="262">
        <v>1300000</v>
      </c>
      <c r="S4043" t="s">
        <v>114</v>
      </c>
      <c r="T4043" t="s">
        <v>114</v>
      </c>
      <c r="V4043">
        <v>0</v>
      </c>
      <c r="W4043">
        <v>4602</v>
      </c>
      <c r="X4043">
        <v>1</v>
      </c>
      <c r="Y4043">
        <v>0</v>
      </c>
      <c r="Z4043">
        <v>0</v>
      </c>
      <c r="AA4043">
        <v>0</v>
      </c>
      <c r="AB4043">
        <v>0</v>
      </c>
      <c r="AC4043">
        <v>4602</v>
      </c>
      <c r="AD4043">
        <v>0</v>
      </c>
      <c r="AE4043">
        <v>0</v>
      </c>
      <c r="AF4043">
        <v>0</v>
      </c>
      <c r="AG4043">
        <v>0</v>
      </c>
      <c r="AH4043">
        <v>0</v>
      </c>
      <c r="AI4043">
        <v>0</v>
      </c>
      <c r="AJ4043">
        <v>0</v>
      </c>
      <c r="AK4043">
        <v>0</v>
      </c>
      <c r="AL4043">
        <v>0</v>
      </c>
      <c r="AM4043">
        <v>0</v>
      </c>
      <c r="AN4043">
        <v>0</v>
      </c>
      <c r="AO4043">
        <v>1</v>
      </c>
      <c r="AP4043">
        <v>0</v>
      </c>
      <c r="AQ4043">
        <v>0</v>
      </c>
      <c r="AR4043">
        <v>0</v>
      </c>
      <c r="AS4043">
        <v>0</v>
      </c>
      <c r="AT4043">
        <v>0</v>
      </c>
      <c r="AU4043">
        <f t="shared" si="124"/>
        <v>1</v>
      </c>
      <c r="AV4043">
        <f t="shared" si="125"/>
        <v>0</v>
      </c>
    </row>
    <row r="4044" spans="1:48" x14ac:dyDescent="0.25">
      <c r="A4044" t="s">
        <v>12372</v>
      </c>
      <c r="B4044" t="s">
        <v>12372</v>
      </c>
      <c r="C4044" t="s">
        <v>12373</v>
      </c>
      <c r="D4044" t="s">
        <v>7089</v>
      </c>
      <c r="E4044" t="s">
        <v>2310</v>
      </c>
      <c r="F4044">
        <v>7</v>
      </c>
      <c r="G4044">
        <v>7.1</v>
      </c>
      <c r="H4044" t="s">
        <v>2017</v>
      </c>
      <c r="I4044" s="21">
        <v>41877.690891203703</v>
      </c>
      <c r="J4044">
        <v>2014</v>
      </c>
      <c r="O4044" s="21">
        <v>41962.500821759299</v>
      </c>
      <c r="Q4044" s="262">
        <v>150000</v>
      </c>
      <c r="R4044" s="262">
        <v>141000</v>
      </c>
      <c r="S4044" t="s">
        <v>114</v>
      </c>
      <c r="T4044" t="s">
        <v>114</v>
      </c>
      <c r="V4044">
        <v>0</v>
      </c>
      <c r="W4044">
        <v>0</v>
      </c>
      <c r="X4044">
        <v>0</v>
      </c>
      <c r="Y4044">
        <v>0</v>
      </c>
      <c r="Z4044">
        <v>0</v>
      </c>
      <c r="AA4044">
        <v>0</v>
      </c>
      <c r="AB4044">
        <v>0</v>
      </c>
      <c r="AC4044">
        <v>0</v>
      </c>
      <c r="AD4044">
        <v>0</v>
      </c>
      <c r="AE4044">
        <v>0</v>
      </c>
      <c r="AF4044">
        <v>0</v>
      </c>
      <c r="AG4044">
        <v>0</v>
      </c>
      <c r="AH4044">
        <v>0</v>
      </c>
      <c r="AI4044">
        <v>0</v>
      </c>
      <c r="AJ4044">
        <v>0</v>
      </c>
      <c r="AK4044">
        <v>0</v>
      </c>
      <c r="AL4044">
        <v>0</v>
      </c>
      <c r="AM4044">
        <v>0</v>
      </c>
      <c r="AN4044">
        <v>0</v>
      </c>
      <c r="AO4044">
        <v>0</v>
      </c>
      <c r="AP4044">
        <v>0</v>
      </c>
      <c r="AQ4044">
        <v>0</v>
      </c>
      <c r="AR4044">
        <v>0</v>
      </c>
      <c r="AS4044">
        <v>0</v>
      </c>
      <c r="AT4044">
        <v>0</v>
      </c>
      <c r="AU4044">
        <f t="shared" si="124"/>
        <v>0</v>
      </c>
      <c r="AV4044">
        <f t="shared" si="125"/>
        <v>0</v>
      </c>
    </row>
    <row r="4045" spans="1:48" x14ac:dyDescent="0.25">
      <c r="A4045" t="s">
        <v>12374</v>
      </c>
      <c r="C4045" t="s">
        <v>12375</v>
      </c>
      <c r="D4045" t="s">
        <v>12376</v>
      </c>
      <c r="E4045" t="s">
        <v>1663</v>
      </c>
      <c r="F4045">
        <v>6</v>
      </c>
      <c r="G4045">
        <v>6.1</v>
      </c>
      <c r="H4045" t="s">
        <v>2017</v>
      </c>
      <c r="I4045" s="21">
        <v>41878</v>
      </c>
      <c r="J4045">
        <v>2014</v>
      </c>
      <c r="K4045" s="21">
        <v>41885</v>
      </c>
      <c r="L4045">
        <v>2014</v>
      </c>
      <c r="P4045" s="21">
        <v>42144</v>
      </c>
      <c r="Q4045" s="262">
        <v>6000</v>
      </c>
      <c r="S4045" t="s">
        <v>114</v>
      </c>
      <c r="T4045" t="s">
        <v>114</v>
      </c>
      <c r="V4045">
        <v>0</v>
      </c>
      <c r="W4045">
        <v>0</v>
      </c>
      <c r="X4045">
        <v>0</v>
      </c>
      <c r="Y4045">
        <v>0</v>
      </c>
      <c r="Z4045">
        <v>0</v>
      </c>
      <c r="AA4045">
        <v>0</v>
      </c>
      <c r="AB4045">
        <v>0</v>
      </c>
      <c r="AC4045">
        <v>0</v>
      </c>
      <c r="AD4045">
        <v>0</v>
      </c>
      <c r="AE4045">
        <v>0</v>
      </c>
      <c r="AF4045">
        <v>0</v>
      </c>
      <c r="AG4045">
        <v>0</v>
      </c>
      <c r="AH4045">
        <v>0</v>
      </c>
      <c r="AI4045">
        <v>0</v>
      </c>
      <c r="AJ4045">
        <v>0</v>
      </c>
      <c r="AK4045">
        <v>0</v>
      </c>
      <c r="AL4045">
        <v>0</v>
      </c>
      <c r="AM4045">
        <v>0</v>
      </c>
      <c r="AN4045">
        <v>0</v>
      </c>
      <c r="AO4045">
        <v>0</v>
      </c>
      <c r="AP4045">
        <v>0</v>
      </c>
      <c r="AQ4045">
        <v>0</v>
      </c>
      <c r="AR4045">
        <v>0</v>
      </c>
      <c r="AS4045">
        <v>0</v>
      </c>
      <c r="AT4045">
        <v>0</v>
      </c>
      <c r="AU4045">
        <f t="shared" si="124"/>
        <v>0</v>
      </c>
      <c r="AV4045">
        <f t="shared" si="125"/>
        <v>0</v>
      </c>
    </row>
    <row r="4046" spans="1:48" x14ac:dyDescent="0.25">
      <c r="A4046" t="s">
        <v>13458</v>
      </c>
      <c r="B4046" t="s">
        <v>114</v>
      </c>
      <c r="C4046" t="s">
        <v>13459</v>
      </c>
      <c r="D4046" t="s">
        <v>11407</v>
      </c>
      <c r="E4046" t="s">
        <v>1663</v>
      </c>
      <c r="F4046">
        <v>6</v>
      </c>
      <c r="G4046">
        <v>6.1</v>
      </c>
      <c r="H4046" t="s">
        <v>2017</v>
      </c>
      <c r="I4046" s="21">
        <v>41878</v>
      </c>
      <c r="J4046">
        <v>2014</v>
      </c>
      <c r="K4046" s="21">
        <v>41906</v>
      </c>
      <c r="L4046">
        <v>2014</v>
      </c>
      <c r="M4046" s="21">
        <v>42752</v>
      </c>
      <c r="N4046">
        <v>2017</v>
      </c>
      <c r="Q4046" s="262">
        <v>290000</v>
      </c>
      <c r="S4046" t="s">
        <v>13254</v>
      </c>
      <c r="V4046">
        <v>0</v>
      </c>
      <c r="W4046">
        <v>1728</v>
      </c>
      <c r="X4046">
        <v>0</v>
      </c>
      <c r="Y4046">
        <v>0</v>
      </c>
      <c r="Z4046">
        <v>0</v>
      </c>
      <c r="AA4046">
        <v>0</v>
      </c>
      <c r="AB4046">
        <v>0</v>
      </c>
      <c r="AC4046">
        <v>1728</v>
      </c>
      <c r="AD4046">
        <v>0</v>
      </c>
      <c r="AE4046">
        <v>0</v>
      </c>
      <c r="AF4046">
        <v>0</v>
      </c>
      <c r="AG4046">
        <v>0</v>
      </c>
      <c r="AH4046">
        <v>0</v>
      </c>
      <c r="AI4046">
        <v>0</v>
      </c>
      <c r="AJ4046">
        <v>0</v>
      </c>
      <c r="AK4046">
        <v>0</v>
      </c>
      <c r="AL4046">
        <v>0</v>
      </c>
      <c r="AM4046">
        <v>0</v>
      </c>
      <c r="AN4046">
        <v>0</v>
      </c>
      <c r="AO4046">
        <v>0</v>
      </c>
      <c r="AP4046">
        <v>0</v>
      </c>
      <c r="AQ4046">
        <v>0</v>
      </c>
      <c r="AR4046">
        <v>0</v>
      </c>
      <c r="AS4046">
        <v>0</v>
      </c>
      <c r="AT4046">
        <v>0</v>
      </c>
      <c r="AU4046">
        <f t="shared" si="124"/>
        <v>0</v>
      </c>
      <c r="AV4046">
        <f t="shared" si="125"/>
        <v>0</v>
      </c>
    </row>
    <row r="4047" spans="1:48" x14ac:dyDescent="0.25">
      <c r="A4047" t="s">
        <v>12377</v>
      </c>
      <c r="C4047" t="s">
        <v>12378</v>
      </c>
      <c r="D4047" t="s">
        <v>12379</v>
      </c>
      <c r="E4047" t="s">
        <v>1663</v>
      </c>
      <c r="F4047">
        <v>5</v>
      </c>
      <c r="G4047">
        <v>5.2</v>
      </c>
      <c r="H4047" t="s">
        <v>2327</v>
      </c>
      <c r="I4047" s="21">
        <v>41878</v>
      </c>
      <c r="J4047">
        <v>2014</v>
      </c>
      <c r="K4047" s="21">
        <v>41940</v>
      </c>
      <c r="L4047">
        <v>2014</v>
      </c>
      <c r="M4047" s="21">
        <v>42247</v>
      </c>
      <c r="N4047">
        <v>2015</v>
      </c>
      <c r="Q4047" s="262">
        <v>50000</v>
      </c>
      <c r="S4047" t="s">
        <v>114</v>
      </c>
      <c r="T4047" t="s">
        <v>114</v>
      </c>
      <c r="V4047">
        <v>0</v>
      </c>
      <c r="W4047">
        <v>0</v>
      </c>
      <c r="X4047">
        <v>0</v>
      </c>
      <c r="Y4047">
        <v>0</v>
      </c>
      <c r="Z4047">
        <v>0</v>
      </c>
      <c r="AA4047">
        <v>0</v>
      </c>
      <c r="AB4047">
        <v>0</v>
      </c>
      <c r="AC4047">
        <v>0</v>
      </c>
      <c r="AD4047">
        <v>0</v>
      </c>
      <c r="AE4047">
        <v>0</v>
      </c>
      <c r="AF4047">
        <v>0</v>
      </c>
      <c r="AG4047">
        <v>0</v>
      </c>
      <c r="AH4047">
        <v>0</v>
      </c>
      <c r="AI4047">
        <v>0</v>
      </c>
      <c r="AJ4047">
        <v>0</v>
      </c>
      <c r="AK4047">
        <v>0</v>
      </c>
      <c r="AL4047">
        <v>0</v>
      </c>
      <c r="AM4047">
        <v>0</v>
      </c>
      <c r="AN4047">
        <v>0</v>
      </c>
      <c r="AO4047">
        <v>0</v>
      </c>
      <c r="AP4047">
        <v>0</v>
      </c>
      <c r="AQ4047">
        <v>0</v>
      </c>
      <c r="AR4047">
        <v>0</v>
      </c>
      <c r="AS4047">
        <v>0</v>
      </c>
      <c r="AT4047">
        <v>0</v>
      </c>
      <c r="AU4047">
        <f t="shared" si="124"/>
        <v>0</v>
      </c>
      <c r="AV4047">
        <f t="shared" si="125"/>
        <v>0</v>
      </c>
    </row>
    <row r="4048" spans="1:48" x14ac:dyDescent="0.25">
      <c r="A4048" t="s">
        <v>12380</v>
      </c>
      <c r="B4048" t="s">
        <v>12380</v>
      </c>
      <c r="C4048" t="s">
        <v>12381</v>
      </c>
      <c r="D4048" t="s">
        <v>12382</v>
      </c>
      <c r="E4048" t="s">
        <v>2310</v>
      </c>
      <c r="F4048">
        <v>14</v>
      </c>
      <c r="G4048">
        <v>14.2</v>
      </c>
      <c r="H4048" t="s">
        <v>2017</v>
      </c>
      <c r="I4048" s="21">
        <v>41879.580451388902</v>
      </c>
      <c r="J4048">
        <v>2014</v>
      </c>
      <c r="K4048" s="21">
        <v>41922.426909722199</v>
      </c>
      <c r="L4048">
        <v>2014</v>
      </c>
      <c r="M4048" s="21">
        <v>42082.363263888903</v>
      </c>
      <c r="N4048">
        <v>2015</v>
      </c>
      <c r="Q4048" s="262">
        <v>50000</v>
      </c>
      <c r="R4048" s="262">
        <v>102000</v>
      </c>
      <c r="S4048" t="s">
        <v>114</v>
      </c>
      <c r="T4048" t="s">
        <v>114</v>
      </c>
      <c r="V4048">
        <v>1189</v>
      </c>
      <c r="W4048">
        <v>0</v>
      </c>
      <c r="X4048">
        <v>0</v>
      </c>
      <c r="Y4048">
        <v>0</v>
      </c>
      <c r="Z4048">
        <v>0</v>
      </c>
      <c r="AA4048">
        <v>0</v>
      </c>
      <c r="AB4048">
        <v>0</v>
      </c>
      <c r="AC4048">
        <v>0</v>
      </c>
      <c r="AD4048">
        <v>0</v>
      </c>
      <c r="AE4048">
        <v>0</v>
      </c>
      <c r="AF4048">
        <v>0</v>
      </c>
      <c r="AG4048">
        <v>0</v>
      </c>
      <c r="AH4048">
        <v>0</v>
      </c>
      <c r="AI4048">
        <v>0</v>
      </c>
      <c r="AJ4048">
        <v>0</v>
      </c>
      <c r="AK4048">
        <v>0</v>
      </c>
      <c r="AL4048">
        <v>0</v>
      </c>
      <c r="AM4048">
        <v>0</v>
      </c>
      <c r="AN4048">
        <v>0</v>
      </c>
      <c r="AO4048">
        <v>0</v>
      </c>
      <c r="AP4048">
        <v>0</v>
      </c>
      <c r="AQ4048">
        <v>0</v>
      </c>
      <c r="AR4048">
        <v>0</v>
      </c>
      <c r="AS4048">
        <v>0</v>
      </c>
      <c r="AT4048">
        <v>0</v>
      </c>
      <c r="AU4048">
        <f t="shared" si="124"/>
        <v>0</v>
      </c>
      <c r="AV4048">
        <f t="shared" si="125"/>
        <v>0</v>
      </c>
    </row>
    <row r="4049" spans="1:48" x14ac:dyDescent="0.25">
      <c r="A4049" t="s">
        <v>12383</v>
      </c>
      <c r="C4049" t="s">
        <v>12384</v>
      </c>
      <c r="D4049" t="s">
        <v>7954</v>
      </c>
      <c r="E4049" t="s">
        <v>1663</v>
      </c>
      <c r="F4049">
        <v>2</v>
      </c>
      <c r="G4049">
        <v>2.2999999999999998</v>
      </c>
      <c r="H4049" t="s">
        <v>2327</v>
      </c>
      <c r="I4049" s="21">
        <v>41884</v>
      </c>
      <c r="J4049">
        <v>2014</v>
      </c>
      <c r="K4049" s="21">
        <v>41984</v>
      </c>
      <c r="L4049">
        <v>2014</v>
      </c>
      <c r="M4049" s="21">
        <v>42438</v>
      </c>
      <c r="N4049">
        <v>2016</v>
      </c>
      <c r="Q4049" s="262">
        <v>2300000</v>
      </c>
      <c r="S4049" t="s">
        <v>114</v>
      </c>
      <c r="T4049" t="s">
        <v>114</v>
      </c>
      <c r="V4049">
        <v>0</v>
      </c>
      <c r="W4049">
        <v>13030</v>
      </c>
      <c r="X4049">
        <v>0</v>
      </c>
      <c r="Y4049">
        <v>0</v>
      </c>
      <c r="Z4049">
        <v>0</v>
      </c>
      <c r="AA4049">
        <v>0</v>
      </c>
      <c r="AB4049">
        <v>0</v>
      </c>
      <c r="AC4049">
        <v>0</v>
      </c>
      <c r="AD4049">
        <v>0</v>
      </c>
      <c r="AE4049">
        <v>0</v>
      </c>
      <c r="AF4049">
        <v>0</v>
      </c>
      <c r="AG4049">
        <v>0</v>
      </c>
      <c r="AH4049">
        <v>0</v>
      </c>
      <c r="AI4049">
        <v>0</v>
      </c>
      <c r="AJ4049">
        <v>0</v>
      </c>
      <c r="AK4049">
        <v>300</v>
      </c>
      <c r="AL4049">
        <v>12730</v>
      </c>
      <c r="AM4049">
        <v>0</v>
      </c>
      <c r="AN4049">
        <v>0</v>
      </c>
      <c r="AO4049">
        <v>0</v>
      </c>
      <c r="AP4049">
        <v>0</v>
      </c>
      <c r="AQ4049">
        <v>0</v>
      </c>
      <c r="AR4049">
        <v>0</v>
      </c>
      <c r="AS4049">
        <v>0</v>
      </c>
      <c r="AT4049">
        <v>0</v>
      </c>
      <c r="AU4049">
        <f t="shared" si="124"/>
        <v>0</v>
      </c>
      <c r="AV4049">
        <f t="shared" si="125"/>
        <v>13030</v>
      </c>
    </row>
    <row r="4050" spans="1:48" x14ac:dyDescent="0.25">
      <c r="A4050" t="s">
        <v>12385</v>
      </c>
      <c r="B4050" t="s">
        <v>12385</v>
      </c>
      <c r="C4050" t="s">
        <v>12386</v>
      </c>
      <c r="D4050" t="s">
        <v>10897</v>
      </c>
      <c r="E4050" t="s">
        <v>2310</v>
      </c>
      <c r="F4050">
        <v>13</v>
      </c>
      <c r="G4050">
        <v>13.3</v>
      </c>
      <c r="H4050" t="s">
        <v>2017</v>
      </c>
      <c r="I4050" s="21">
        <v>41884.579155092601</v>
      </c>
      <c r="J4050">
        <v>2014</v>
      </c>
      <c r="K4050" s="21">
        <v>41905.535937499997</v>
      </c>
      <c r="L4050">
        <v>2014</v>
      </c>
      <c r="M4050" s="21">
        <v>42032.347465277802</v>
      </c>
      <c r="N4050">
        <v>2015</v>
      </c>
      <c r="Q4050" s="262">
        <v>145000</v>
      </c>
      <c r="R4050" s="262">
        <v>12000</v>
      </c>
      <c r="S4050" t="s">
        <v>114</v>
      </c>
      <c r="T4050" t="s">
        <v>114</v>
      </c>
      <c r="V4050">
        <v>0</v>
      </c>
      <c r="W4050">
        <v>101</v>
      </c>
      <c r="X4050">
        <v>0</v>
      </c>
      <c r="Y4050">
        <v>0</v>
      </c>
      <c r="Z4050">
        <v>0</v>
      </c>
      <c r="AA4050">
        <v>0</v>
      </c>
      <c r="AB4050">
        <v>0</v>
      </c>
      <c r="AC4050">
        <v>101</v>
      </c>
      <c r="AD4050">
        <v>0</v>
      </c>
      <c r="AE4050">
        <v>0</v>
      </c>
      <c r="AF4050">
        <v>0</v>
      </c>
      <c r="AG4050">
        <v>0</v>
      </c>
      <c r="AH4050">
        <v>0</v>
      </c>
      <c r="AI4050">
        <v>0</v>
      </c>
      <c r="AJ4050">
        <v>0</v>
      </c>
      <c r="AK4050">
        <v>0</v>
      </c>
      <c r="AL4050">
        <v>0</v>
      </c>
      <c r="AM4050">
        <v>0</v>
      </c>
      <c r="AN4050">
        <v>0</v>
      </c>
      <c r="AO4050">
        <v>0</v>
      </c>
      <c r="AP4050">
        <v>0</v>
      </c>
      <c r="AQ4050">
        <v>0</v>
      </c>
      <c r="AR4050">
        <v>0</v>
      </c>
      <c r="AS4050">
        <v>0</v>
      </c>
      <c r="AT4050">
        <v>0</v>
      </c>
      <c r="AU4050">
        <f t="shared" si="124"/>
        <v>0</v>
      </c>
      <c r="AV4050">
        <f t="shared" si="125"/>
        <v>0</v>
      </c>
    </row>
    <row r="4051" spans="1:48" x14ac:dyDescent="0.25">
      <c r="A4051" t="s">
        <v>12387</v>
      </c>
      <c r="B4051" t="s">
        <v>12387</v>
      </c>
      <c r="C4051" t="s">
        <v>12388</v>
      </c>
      <c r="D4051" t="s">
        <v>12389</v>
      </c>
      <c r="E4051" t="s">
        <v>2310</v>
      </c>
      <c r="F4051">
        <v>9</v>
      </c>
      <c r="G4051">
        <v>9.1999999999999993</v>
      </c>
      <c r="H4051" t="s">
        <v>2022</v>
      </c>
      <c r="I4051" s="21">
        <v>41884.595555555599</v>
      </c>
      <c r="J4051">
        <v>2014</v>
      </c>
      <c r="K4051" s="21">
        <v>41886.570243055598</v>
      </c>
      <c r="L4051">
        <v>2014</v>
      </c>
      <c r="M4051" s="21">
        <v>42166.482592592598</v>
      </c>
      <c r="N4051">
        <v>2015</v>
      </c>
      <c r="Q4051" s="262">
        <v>10000</v>
      </c>
      <c r="R4051" s="262">
        <v>3000</v>
      </c>
      <c r="S4051" t="s">
        <v>114</v>
      </c>
      <c r="T4051" t="s">
        <v>114</v>
      </c>
      <c r="V4051">
        <v>0</v>
      </c>
      <c r="W4051">
        <v>48</v>
      </c>
      <c r="X4051">
        <v>0</v>
      </c>
      <c r="Y4051">
        <v>0</v>
      </c>
      <c r="Z4051">
        <v>0</v>
      </c>
      <c r="AA4051">
        <v>0</v>
      </c>
      <c r="AB4051">
        <v>0</v>
      </c>
      <c r="AC4051">
        <v>0</v>
      </c>
      <c r="AD4051">
        <v>0</v>
      </c>
      <c r="AE4051">
        <v>0</v>
      </c>
      <c r="AF4051">
        <v>0</v>
      </c>
      <c r="AG4051">
        <v>0</v>
      </c>
      <c r="AH4051">
        <v>0</v>
      </c>
      <c r="AI4051">
        <v>0</v>
      </c>
      <c r="AJ4051">
        <v>0</v>
      </c>
      <c r="AK4051">
        <v>0</v>
      </c>
      <c r="AL4051">
        <v>0</v>
      </c>
      <c r="AM4051">
        <v>48</v>
      </c>
      <c r="AN4051">
        <v>0</v>
      </c>
      <c r="AO4051">
        <v>0</v>
      </c>
      <c r="AP4051">
        <v>0</v>
      </c>
      <c r="AQ4051">
        <v>0</v>
      </c>
      <c r="AR4051">
        <v>0</v>
      </c>
      <c r="AS4051">
        <v>0</v>
      </c>
      <c r="AT4051">
        <v>0</v>
      </c>
      <c r="AU4051">
        <f t="shared" si="124"/>
        <v>0</v>
      </c>
      <c r="AV4051">
        <f t="shared" si="125"/>
        <v>48</v>
      </c>
    </row>
    <row r="4052" spans="1:48" x14ac:dyDescent="0.25">
      <c r="A4052" t="s">
        <v>12390</v>
      </c>
      <c r="C4052" t="s">
        <v>11964</v>
      </c>
      <c r="D4052" t="s">
        <v>12391</v>
      </c>
      <c r="E4052" t="s">
        <v>1663</v>
      </c>
      <c r="F4052">
        <v>5</v>
      </c>
      <c r="G4052">
        <v>5.5</v>
      </c>
      <c r="H4052" t="s">
        <v>2017</v>
      </c>
      <c r="I4052" s="21">
        <v>41885</v>
      </c>
      <c r="J4052">
        <v>2014</v>
      </c>
      <c r="K4052" s="21">
        <v>42003</v>
      </c>
      <c r="L4052">
        <v>2014</v>
      </c>
      <c r="M4052" s="21">
        <v>42205</v>
      </c>
      <c r="N4052">
        <v>2015</v>
      </c>
      <c r="Q4052" s="262">
        <v>959000</v>
      </c>
      <c r="S4052" t="s">
        <v>114</v>
      </c>
      <c r="T4052" t="s">
        <v>114</v>
      </c>
      <c r="V4052">
        <v>0</v>
      </c>
      <c r="W4052">
        <v>0</v>
      </c>
      <c r="X4052">
        <v>0</v>
      </c>
      <c r="Y4052">
        <v>0</v>
      </c>
      <c r="Z4052">
        <v>0</v>
      </c>
      <c r="AA4052">
        <v>0</v>
      </c>
      <c r="AB4052">
        <v>0</v>
      </c>
      <c r="AC4052">
        <v>0</v>
      </c>
      <c r="AD4052">
        <v>0</v>
      </c>
      <c r="AE4052">
        <v>0</v>
      </c>
      <c r="AF4052">
        <v>0</v>
      </c>
      <c r="AG4052">
        <v>0</v>
      </c>
      <c r="AH4052">
        <v>0</v>
      </c>
      <c r="AI4052">
        <v>0</v>
      </c>
      <c r="AJ4052">
        <v>0</v>
      </c>
      <c r="AK4052">
        <v>0</v>
      </c>
      <c r="AL4052">
        <v>0</v>
      </c>
      <c r="AM4052">
        <v>0</v>
      </c>
      <c r="AN4052">
        <v>0</v>
      </c>
      <c r="AO4052">
        <v>0</v>
      </c>
      <c r="AP4052">
        <v>0</v>
      </c>
      <c r="AQ4052">
        <v>0</v>
      </c>
      <c r="AR4052">
        <v>0</v>
      </c>
      <c r="AS4052">
        <v>0</v>
      </c>
      <c r="AT4052">
        <v>0</v>
      </c>
      <c r="AU4052">
        <f t="shared" si="124"/>
        <v>0</v>
      </c>
      <c r="AV4052">
        <f t="shared" si="125"/>
        <v>0</v>
      </c>
    </row>
    <row r="4053" spans="1:48" x14ac:dyDescent="0.25">
      <c r="A4053" t="s">
        <v>12392</v>
      </c>
      <c r="B4053" t="s">
        <v>12392</v>
      </c>
      <c r="C4053" t="s">
        <v>11116</v>
      </c>
      <c r="D4053" t="s">
        <v>12393</v>
      </c>
      <c r="E4053" t="s">
        <v>2310</v>
      </c>
      <c r="F4053">
        <v>9</v>
      </c>
      <c r="G4053">
        <v>9.3000000000000007</v>
      </c>
      <c r="H4053" t="s">
        <v>2323</v>
      </c>
      <c r="I4053" s="21">
        <v>41887.499872685199</v>
      </c>
      <c r="J4053">
        <v>2014</v>
      </c>
      <c r="K4053" s="21">
        <v>41919.703993055598</v>
      </c>
      <c r="L4053">
        <v>2014</v>
      </c>
      <c r="M4053" s="21">
        <v>42646.453506944403</v>
      </c>
      <c r="N4053">
        <v>2016</v>
      </c>
      <c r="Q4053" s="262">
        <v>5500000</v>
      </c>
      <c r="R4053" s="262">
        <v>947000</v>
      </c>
      <c r="S4053" t="s">
        <v>114</v>
      </c>
      <c r="T4053" t="s">
        <v>114</v>
      </c>
      <c r="V4053">
        <v>0</v>
      </c>
      <c r="W4053">
        <v>6744</v>
      </c>
      <c r="X4053">
        <v>1</v>
      </c>
      <c r="Y4053">
        <v>0</v>
      </c>
      <c r="Z4053">
        <v>0</v>
      </c>
      <c r="AA4053">
        <v>0</v>
      </c>
      <c r="AB4053">
        <v>0</v>
      </c>
      <c r="AC4053">
        <v>6744</v>
      </c>
      <c r="AD4053">
        <v>0</v>
      </c>
      <c r="AE4053">
        <v>0</v>
      </c>
      <c r="AF4053">
        <v>0</v>
      </c>
      <c r="AG4053">
        <v>0</v>
      </c>
      <c r="AH4053">
        <v>0</v>
      </c>
      <c r="AI4053">
        <v>0</v>
      </c>
      <c r="AJ4053">
        <v>0</v>
      </c>
      <c r="AK4053">
        <v>0</v>
      </c>
      <c r="AL4053">
        <v>0</v>
      </c>
      <c r="AM4053">
        <v>0</v>
      </c>
      <c r="AN4053">
        <v>0</v>
      </c>
      <c r="AO4053">
        <v>1</v>
      </c>
      <c r="AP4053">
        <v>0</v>
      </c>
      <c r="AQ4053">
        <v>0</v>
      </c>
      <c r="AR4053">
        <v>0</v>
      </c>
      <c r="AS4053">
        <v>0</v>
      </c>
      <c r="AT4053">
        <v>0</v>
      </c>
      <c r="AU4053">
        <f t="shared" si="124"/>
        <v>1</v>
      </c>
      <c r="AV4053">
        <f t="shared" si="125"/>
        <v>0</v>
      </c>
    </row>
    <row r="4054" spans="1:48" x14ac:dyDescent="0.25">
      <c r="A4054" t="s">
        <v>12394</v>
      </c>
      <c r="B4054" t="s">
        <v>12394</v>
      </c>
      <c r="C4054" t="s">
        <v>12395</v>
      </c>
      <c r="D4054" t="s">
        <v>3687</v>
      </c>
      <c r="E4054" t="s">
        <v>2310</v>
      </c>
      <c r="F4054">
        <v>10</v>
      </c>
      <c r="G4054">
        <v>10.1</v>
      </c>
      <c r="H4054" t="s">
        <v>2323</v>
      </c>
      <c r="I4054" s="21">
        <v>41891.498622685198</v>
      </c>
      <c r="J4054">
        <v>2014</v>
      </c>
      <c r="K4054" s="21">
        <v>42124.662013888897</v>
      </c>
      <c r="L4054">
        <v>2015</v>
      </c>
      <c r="M4054" s="21">
        <v>42353.356793981497</v>
      </c>
      <c r="N4054">
        <v>2015</v>
      </c>
      <c r="Q4054" s="262">
        <v>250000</v>
      </c>
      <c r="R4054" s="262">
        <v>107000</v>
      </c>
      <c r="S4054" t="s">
        <v>114</v>
      </c>
      <c r="T4054" t="s">
        <v>114</v>
      </c>
      <c r="V4054">
        <v>0</v>
      </c>
      <c r="W4054">
        <v>1072</v>
      </c>
      <c r="X4054">
        <v>0</v>
      </c>
      <c r="Y4054">
        <v>0</v>
      </c>
      <c r="Z4054">
        <v>0</v>
      </c>
      <c r="AA4054">
        <v>0</v>
      </c>
      <c r="AB4054">
        <v>0</v>
      </c>
      <c r="AC4054">
        <v>1072</v>
      </c>
      <c r="AD4054">
        <v>0</v>
      </c>
      <c r="AE4054">
        <v>0</v>
      </c>
      <c r="AF4054">
        <v>0</v>
      </c>
      <c r="AG4054">
        <v>0</v>
      </c>
      <c r="AH4054">
        <v>0</v>
      </c>
      <c r="AI4054">
        <v>0</v>
      </c>
      <c r="AJ4054">
        <v>0</v>
      </c>
      <c r="AK4054">
        <v>0</v>
      </c>
      <c r="AL4054">
        <v>0</v>
      </c>
      <c r="AM4054">
        <v>0</v>
      </c>
      <c r="AN4054">
        <v>0</v>
      </c>
      <c r="AO4054">
        <v>0</v>
      </c>
      <c r="AP4054">
        <v>0</v>
      </c>
      <c r="AQ4054">
        <v>0</v>
      </c>
      <c r="AR4054">
        <v>0</v>
      </c>
      <c r="AS4054">
        <v>0</v>
      </c>
      <c r="AT4054">
        <v>0</v>
      </c>
      <c r="AU4054">
        <f t="shared" si="124"/>
        <v>0</v>
      </c>
      <c r="AV4054">
        <f t="shared" si="125"/>
        <v>0</v>
      </c>
    </row>
    <row r="4055" spans="1:48" x14ac:dyDescent="0.25">
      <c r="A4055" t="s">
        <v>12396</v>
      </c>
      <c r="B4055" t="s">
        <v>12396</v>
      </c>
      <c r="C4055" t="s">
        <v>12397</v>
      </c>
      <c r="D4055" t="s">
        <v>12398</v>
      </c>
      <c r="E4055" t="s">
        <v>2310</v>
      </c>
      <c r="F4055">
        <v>15</v>
      </c>
      <c r="G4055">
        <v>15.1</v>
      </c>
      <c r="H4055" t="s">
        <v>2022</v>
      </c>
      <c r="I4055" s="21">
        <v>41891.574780092596</v>
      </c>
      <c r="J4055">
        <v>2014</v>
      </c>
      <c r="K4055" s="21">
        <v>41932.629745370403</v>
      </c>
      <c r="L4055">
        <v>2014</v>
      </c>
      <c r="M4055" s="21">
        <v>42340.497789351903</v>
      </c>
      <c r="N4055">
        <v>2015</v>
      </c>
      <c r="Q4055" s="262">
        <v>500000</v>
      </c>
      <c r="R4055" s="262">
        <v>86000</v>
      </c>
      <c r="S4055" t="s">
        <v>114</v>
      </c>
      <c r="T4055" t="s">
        <v>114</v>
      </c>
      <c r="V4055">
        <v>0</v>
      </c>
      <c r="W4055">
        <v>2024</v>
      </c>
      <c r="X4055">
        <v>0</v>
      </c>
      <c r="Y4055">
        <v>0</v>
      </c>
      <c r="Z4055">
        <v>0</v>
      </c>
      <c r="AA4055">
        <v>0</v>
      </c>
      <c r="AB4055">
        <v>0</v>
      </c>
      <c r="AC4055">
        <v>0</v>
      </c>
      <c r="AD4055">
        <v>0</v>
      </c>
      <c r="AE4055">
        <v>0</v>
      </c>
      <c r="AF4055">
        <v>0</v>
      </c>
      <c r="AG4055">
        <v>0</v>
      </c>
      <c r="AH4055">
        <v>0</v>
      </c>
      <c r="AI4055">
        <v>0</v>
      </c>
      <c r="AJ4055">
        <v>0</v>
      </c>
      <c r="AK4055">
        <v>0</v>
      </c>
      <c r="AL4055">
        <v>0</v>
      </c>
      <c r="AM4055">
        <v>2024</v>
      </c>
      <c r="AN4055">
        <v>0</v>
      </c>
      <c r="AO4055">
        <v>0</v>
      </c>
      <c r="AP4055">
        <v>0</v>
      </c>
      <c r="AQ4055">
        <v>0</v>
      </c>
      <c r="AR4055">
        <v>0</v>
      </c>
      <c r="AS4055">
        <v>0</v>
      </c>
      <c r="AT4055">
        <v>0</v>
      </c>
      <c r="AU4055">
        <f t="shared" si="124"/>
        <v>0</v>
      </c>
      <c r="AV4055">
        <f t="shared" si="125"/>
        <v>2024</v>
      </c>
    </row>
    <row r="4056" spans="1:48" x14ac:dyDescent="0.25">
      <c r="A4056" t="s">
        <v>12403</v>
      </c>
      <c r="C4056" t="s">
        <v>11330</v>
      </c>
      <c r="D4056" t="s">
        <v>12404</v>
      </c>
      <c r="E4056" t="s">
        <v>1663</v>
      </c>
      <c r="F4056">
        <v>6</v>
      </c>
      <c r="G4056">
        <v>6.1</v>
      </c>
      <c r="H4056" t="s">
        <v>2017</v>
      </c>
      <c r="I4056" s="21">
        <v>41892</v>
      </c>
      <c r="J4056">
        <v>2014</v>
      </c>
      <c r="K4056" s="21">
        <v>41919</v>
      </c>
      <c r="L4056">
        <v>2014</v>
      </c>
      <c r="M4056" s="21">
        <v>42195</v>
      </c>
      <c r="N4056">
        <v>2015</v>
      </c>
      <c r="Q4056" s="262">
        <v>350000</v>
      </c>
      <c r="S4056" t="s">
        <v>114</v>
      </c>
      <c r="T4056" t="s">
        <v>114</v>
      </c>
      <c r="V4056">
        <v>0</v>
      </c>
      <c r="W4056">
        <v>2527</v>
      </c>
      <c r="X4056">
        <v>1</v>
      </c>
      <c r="Y4056">
        <v>0</v>
      </c>
      <c r="Z4056">
        <v>0</v>
      </c>
      <c r="AA4056">
        <v>0</v>
      </c>
      <c r="AB4056">
        <v>0</v>
      </c>
      <c r="AC4056">
        <v>2527</v>
      </c>
      <c r="AD4056">
        <v>0</v>
      </c>
      <c r="AE4056">
        <v>0</v>
      </c>
      <c r="AF4056">
        <v>0</v>
      </c>
      <c r="AG4056">
        <v>0</v>
      </c>
      <c r="AH4056">
        <v>0</v>
      </c>
      <c r="AI4056">
        <v>0</v>
      </c>
      <c r="AJ4056">
        <v>0</v>
      </c>
      <c r="AK4056">
        <v>0</v>
      </c>
      <c r="AL4056">
        <v>0</v>
      </c>
      <c r="AM4056">
        <v>0</v>
      </c>
      <c r="AN4056">
        <v>0</v>
      </c>
      <c r="AO4056">
        <v>1</v>
      </c>
      <c r="AP4056">
        <v>0</v>
      </c>
      <c r="AQ4056">
        <v>0</v>
      </c>
      <c r="AR4056">
        <v>0</v>
      </c>
      <c r="AS4056">
        <v>0</v>
      </c>
      <c r="AT4056">
        <v>0</v>
      </c>
      <c r="AU4056">
        <f t="shared" si="124"/>
        <v>1</v>
      </c>
      <c r="AV4056">
        <f t="shared" si="125"/>
        <v>0</v>
      </c>
    </row>
    <row r="4057" spans="1:48" x14ac:dyDescent="0.25">
      <c r="A4057" t="s">
        <v>12405</v>
      </c>
      <c r="C4057" t="s">
        <v>12406</v>
      </c>
      <c r="D4057" t="s">
        <v>12407</v>
      </c>
      <c r="E4057" t="s">
        <v>1663</v>
      </c>
      <c r="F4057">
        <v>6</v>
      </c>
      <c r="G4057">
        <v>6.1</v>
      </c>
      <c r="H4057" t="s">
        <v>2017</v>
      </c>
      <c r="I4057" s="21">
        <v>41892</v>
      </c>
      <c r="J4057">
        <v>2014</v>
      </c>
      <c r="K4057" s="21">
        <v>41905</v>
      </c>
      <c r="L4057">
        <v>2014</v>
      </c>
      <c r="M4057" s="21">
        <v>42139</v>
      </c>
      <c r="N4057">
        <v>2015</v>
      </c>
      <c r="Q4057" s="262">
        <v>25000</v>
      </c>
      <c r="S4057" t="s">
        <v>114</v>
      </c>
      <c r="T4057" t="s">
        <v>114</v>
      </c>
      <c r="V4057">
        <v>0</v>
      </c>
      <c r="W4057">
        <v>304</v>
      </c>
      <c r="X4057">
        <v>0</v>
      </c>
      <c r="Y4057">
        <v>0</v>
      </c>
      <c r="Z4057">
        <v>0</v>
      </c>
      <c r="AA4057">
        <v>0</v>
      </c>
      <c r="AB4057">
        <v>0</v>
      </c>
      <c r="AC4057">
        <v>304</v>
      </c>
      <c r="AD4057">
        <v>0</v>
      </c>
      <c r="AE4057">
        <v>0</v>
      </c>
      <c r="AF4057">
        <v>0</v>
      </c>
      <c r="AG4057">
        <v>0</v>
      </c>
      <c r="AH4057">
        <v>0</v>
      </c>
      <c r="AI4057">
        <v>0</v>
      </c>
      <c r="AJ4057">
        <v>0</v>
      </c>
      <c r="AK4057">
        <v>0</v>
      </c>
      <c r="AL4057">
        <v>0</v>
      </c>
      <c r="AM4057">
        <v>0</v>
      </c>
      <c r="AN4057">
        <v>0</v>
      </c>
      <c r="AO4057">
        <v>0</v>
      </c>
      <c r="AP4057">
        <v>0</v>
      </c>
      <c r="AQ4057">
        <v>0</v>
      </c>
      <c r="AR4057">
        <v>0</v>
      </c>
      <c r="AS4057">
        <v>0</v>
      </c>
      <c r="AT4057">
        <v>0</v>
      </c>
      <c r="AU4057">
        <f t="shared" ref="AU4057:AU4120" si="126">SUM(AN4057:AQ4057,AS4057)</f>
        <v>0</v>
      </c>
      <c r="AV4057">
        <f t="shared" ref="AV4057:AV4120" si="127">SUM(Y4057:AB4057,AH4057:AM4057)</f>
        <v>0</v>
      </c>
    </row>
    <row r="4058" spans="1:48" x14ac:dyDescent="0.25">
      <c r="A4058" t="s">
        <v>12408</v>
      </c>
      <c r="C4058" t="s">
        <v>12409</v>
      </c>
      <c r="D4058" t="s">
        <v>6255</v>
      </c>
      <c r="E4058" t="s">
        <v>1663</v>
      </c>
      <c r="F4058">
        <v>3</v>
      </c>
      <c r="G4058">
        <v>3.3</v>
      </c>
      <c r="H4058" t="s">
        <v>2017</v>
      </c>
      <c r="I4058" s="21">
        <v>41892</v>
      </c>
      <c r="J4058">
        <v>2014</v>
      </c>
      <c r="K4058" s="21">
        <v>41967</v>
      </c>
      <c r="L4058">
        <v>2014</v>
      </c>
      <c r="P4058" s="21">
        <v>42219</v>
      </c>
      <c r="Q4058" s="262">
        <v>152000</v>
      </c>
      <c r="S4058" t="s">
        <v>114</v>
      </c>
      <c r="T4058" t="s">
        <v>114</v>
      </c>
      <c r="V4058">
        <v>0</v>
      </c>
      <c r="W4058">
        <v>1586</v>
      </c>
      <c r="X4058">
        <v>0</v>
      </c>
      <c r="Y4058">
        <v>0</v>
      </c>
      <c r="Z4058">
        <v>0</v>
      </c>
      <c r="AA4058">
        <v>0</v>
      </c>
      <c r="AB4058">
        <v>0</v>
      </c>
      <c r="AC4058">
        <v>0</v>
      </c>
      <c r="AD4058">
        <v>0</v>
      </c>
      <c r="AE4058">
        <v>0</v>
      </c>
      <c r="AF4058">
        <v>0</v>
      </c>
      <c r="AG4058">
        <v>0</v>
      </c>
      <c r="AH4058">
        <v>0</v>
      </c>
      <c r="AI4058">
        <v>0</v>
      </c>
      <c r="AJ4058">
        <v>1586</v>
      </c>
      <c r="AK4058">
        <v>0</v>
      </c>
      <c r="AL4058">
        <v>0</v>
      </c>
      <c r="AM4058">
        <v>0</v>
      </c>
      <c r="AN4058">
        <v>0</v>
      </c>
      <c r="AO4058">
        <v>0</v>
      </c>
      <c r="AP4058">
        <v>0</v>
      </c>
      <c r="AQ4058">
        <v>0</v>
      </c>
      <c r="AR4058">
        <v>0</v>
      </c>
      <c r="AS4058">
        <v>0</v>
      </c>
      <c r="AT4058">
        <v>0</v>
      </c>
      <c r="AU4058">
        <f t="shared" si="126"/>
        <v>0</v>
      </c>
      <c r="AV4058">
        <f t="shared" si="127"/>
        <v>1586</v>
      </c>
    </row>
    <row r="4059" spans="1:48" x14ac:dyDescent="0.25">
      <c r="A4059" t="s">
        <v>12399</v>
      </c>
      <c r="C4059" t="s">
        <v>10850</v>
      </c>
      <c r="D4059" t="s">
        <v>10467</v>
      </c>
      <c r="E4059" t="s">
        <v>1663</v>
      </c>
      <c r="F4059">
        <v>3</v>
      </c>
      <c r="G4059">
        <v>3.1</v>
      </c>
      <c r="H4059" t="s">
        <v>2017</v>
      </c>
      <c r="I4059" s="21">
        <v>41892</v>
      </c>
      <c r="J4059">
        <v>2014</v>
      </c>
      <c r="K4059" s="21">
        <v>41908</v>
      </c>
      <c r="L4059">
        <v>2014</v>
      </c>
      <c r="M4059" s="21">
        <v>42291</v>
      </c>
      <c r="N4059">
        <v>2015</v>
      </c>
      <c r="Q4059" s="262">
        <v>15000</v>
      </c>
      <c r="S4059" t="s">
        <v>114</v>
      </c>
      <c r="T4059" t="s">
        <v>114</v>
      </c>
      <c r="W4059">
        <v>0</v>
      </c>
      <c r="X4059">
        <v>0</v>
      </c>
      <c r="Y4059">
        <v>0</v>
      </c>
      <c r="Z4059">
        <v>0</v>
      </c>
      <c r="AA4059">
        <v>0</v>
      </c>
      <c r="AB4059">
        <v>0</v>
      </c>
      <c r="AC4059">
        <v>0</v>
      </c>
      <c r="AD4059">
        <v>0</v>
      </c>
      <c r="AE4059">
        <v>0</v>
      </c>
      <c r="AF4059">
        <v>0</v>
      </c>
      <c r="AG4059">
        <v>0</v>
      </c>
      <c r="AH4059">
        <v>0</v>
      </c>
      <c r="AI4059">
        <v>0</v>
      </c>
      <c r="AJ4059">
        <v>0</v>
      </c>
      <c r="AK4059">
        <v>0</v>
      </c>
      <c r="AL4059">
        <v>0</v>
      </c>
      <c r="AM4059">
        <v>0</v>
      </c>
      <c r="AN4059">
        <v>0</v>
      </c>
      <c r="AO4059">
        <v>0</v>
      </c>
      <c r="AP4059">
        <v>0</v>
      </c>
      <c r="AQ4059">
        <v>0</v>
      </c>
      <c r="AR4059">
        <v>0</v>
      </c>
      <c r="AS4059">
        <v>0</v>
      </c>
      <c r="AT4059">
        <v>0</v>
      </c>
      <c r="AU4059">
        <f t="shared" si="126"/>
        <v>0</v>
      </c>
      <c r="AV4059">
        <f t="shared" si="127"/>
        <v>0</v>
      </c>
    </row>
    <row r="4060" spans="1:48" x14ac:dyDescent="0.25">
      <c r="A4060" t="s">
        <v>12400</v>
      </c>
      <c r="C4060" t="s">
        <v>12401</v>
      </c>
      <c r="D4060" t="s">
        <v>12402</v>
      </c>
      <c r="E4060" t="s">
        <v>1663</v>
      </c>
      <c r="F4060">
        <v>2</v>
      </c>
      <c r="G4060">
        <v>2.2999999999999998</v>
      </c>
      <c r="H4060" t="s">
        <v>2327</v>
      </c>
      <c r="I4060" s="21">
        <v>41892</v>
      </c>
      <c r="J4060">
        <v>2014</v>
      </c>
      <c r="K4060" s="21">
        <v>41984</v>
      </c>
      <c r="L4060">
        <v>2014</v>
      </c>
      <c r="M4060" s="21">
        <v>42102</v>
      </c>
      <c r="N4060">
        <v>2015</v>
      </c>
      <c r="Q4060" s="262">
        <v>100000</v>
      </c>
      <c r="S4060" t="s">
        <v>114</v>
      </c>
      <c r="T4060" t="s">
        <v>114</v>
      </c>
      <c r="V4060">
        <v>0</v>
      </c>
      <c r="W4060">
        <v>0</v>
      </c>
      <c r="X4060">
        <v>0</v>
      </c>
      <c r="Y4060">
        <v>0</v>
      </c>
      <c r="Z4060">
        <v>0</v>
      </c>
      <c r="AA4060">
        <v>0</v>
      </c>
      <c r="AB4060">
        <v>0</v>
      </c>
      <c r="AC4060">
        <v>0</v>
      </c>
      <c r="AD4060">
        <v>0</v>
      </c>
      <c r="AE4060">
        <v>0</v>
      </c>
      <c r="AF4060">
        <v>0</v>
      </c>
      <c r="AG4060">
        <v>0</v>
      </c>
      <c r="AH4060">
        <v>0</v>
      </c>
      <c r="AI4060">
        <v>0</v>
      </c>
      <c r="AJ4060">
        <v>0</v>
      </c>
      <c r="AK4060">
        <v>0</v>
      </c>
      <c r="AL4060">
        <v>0</v>
      </c>
      <c r="AM4060">
        <v>0</v>
      </c>
      <c r="AN4060">
        <v>0</v>
      </c>
      <c r="AO4060">
        <v>0</v>
      </c>
      <c r="AP4060">
        <v>0</v>
      </c>
      <c r="AQ4060">
        <v>0</v>
      </c>
      <c r="AR4060">
        <v>0</v>
      </c>
      <c r="AS4060">
        <v>0</v>
      </c>
      <c r="AT4060">
        <v>0</v>
      </c>
      <c r="AU4060">
        <f t="shared" si="126"/>
        <v>0</v>
      </c>
      <c r="AV4060">
        <f t="shared" si="127"/>
        <v>0</v>
      </c>
    </row>
    <row r="4061" spans="1:48" x14ac:dyDescent="0.25">
      <c r="A4061" t="s">
        <v>12410</v>
      </c>
      <c r="B4061" t="s">
        <v>12410</v>
      </c>
      <c r="C4061" t="s">
        <v>12411</v>
      </c>
      <c r="D4061" t="s">
        <v>12018</v>
      </c>
      <c r="E4061" t="s">
        <v>2310</v>
      </c>
      <c r="F4061">
        <v>8</v>
      </c>
      <c r="G4061">
        <v>8.1</v>
      </c>
      <c r="H4061" t="s">
        <v>2323</v>
      </c>
      <c r="I4061" s="21">
        <v>41892.485381944403</v>
      </c>
      <c r="J4061">
        <v>2014</v>
      </c>
      <c r="K4061" s="21">
        <v>42156.5914583333</v>
      </c>
      <c r="L4061">
        <v>2015</v>
      </c>
      <c r="M4061" s="21">
        <v>42544.423194444404</v>
      </c>
      <c r="N4061">
        <v>2016</v>
      </c>
      <c r="Q4061" s="262">
        <v>1600000</v>
      </c>
      <c r="R4061" s="262">
        <v>538000</v>
      </c>
      <c r="S4061" t="s">
        <v>114</v>
      </c>
      <c r="T4061" t="s">
        <v>114</v>
      </c>
      <c r="V4061">
        <v>0</v>
      </c>
      <c r="W4061">
        <v>4842</v>
      </c>
      <c r="X4061">
        <v>0</v>
      </c>
      <c r="Y4061">
        <v>0</v>
      </c>
      <c r="Z4061">
        <v>0</v>
      </c>
      <c r="AA4061">
        <v>0</v>
      </c>
      <c r="AB4061">
        <v>0</v>
      </c>
      <c r="AC4061">
        <v>4842</v>
      </c>
      <c r="AD4061">
        <v>0</v>
      </c>
      <c r="AE4061">
        <v>0</v>
      </c>
      <c r="AF4061">
        <v>0</v>
      </c>
      <c r="AG4061">
        <v>0</v>
      </c>
      <c r="AH4061">
        <v>0</v>
      </c>
      <c r="AI4061">
        <v>0</v>
      </c>
      <c r="AJ4061">
        <v>0</v>
      </c>
      <c r="AK4061">
        <v>0</v>
      </c>
      <c r="AL4061">
        <v>0</v>
      </c>
      <c r="AM4061">
        <v>0</v>
      </c>
      <c r="AN4061">
        <v>0</v>
      </c>
      <c r="AO4061">
        <v>0</v>
      </c>
      <c r="AP4061">
        <v>0</v>
      </c>
      <c r="AQ4061">
        <v>0</v>
      </c>
      <c r="AR4061">
        <v>0</v>
      </c>
      <c r="AS4061">
        <v>0</v>
      </c>
      <c r="AT4061">
        <v>0</v>
      </c>
      <c r="AU4061">
        <f t="shared" si="126"/>
        <v>0</v>
      </c>
      <c r="AV4061">
        <f t="shared" si="127"/>
        <v>0</v>
      </c>
    </row>
    <row r="4062" spans="1:48" x14ac:dyDescent="0.25">
      <c r="A4062" t="s">
        <v>12410</v>
      </c>
      <c r="B4062" t="s">
        <v>12412</v>
      </c>
      <c r="C4062" t="s">
        <v>12411</v>
      </c>
      <c r="D4062" t="s">
        <v>12018</v>
      </c>
      <c r="E4062" t="s">
        <v>2310</v>
      </c>
      <c r="F4062">
        <v>8</v>
      </c>
      <c r="G4062">
        <v>8.1</v>
      </c>
      <c r="H4062" t="s">
        <v>2323</v>
      </c>
      <c r="I4062" s="21">
        <v>41892.485381944403</v>
      </c>
      <c r="J4062">
        <v>2014</v>
      </c>
      <c r="K4062" s="21">
        <v>42156.5914583333</v>
      </c>
      <c r="L4062">
        <v>2015</v>
      </c>
      <c r="M4062" s="21">
        <v>42544.423194444404</v>
      </c>
      <c r="N4062">
        <v>2016</v>
      </c>
      <c r="S4062" t="s">
        <v>114</v>
      </c>
      <c r="T4062" t="s">
        <v>114</v>
      </c>
      <c r="W4062">
        <v>4</v>
      </c>
      <c r="X4062">
        <v>0</v>
      </c>
      <c r="Y4062">
        <v>0</v>
      </c>
      <c r="Z4062">
        <v>0</v>
      </c>
      <c r="AA4062">
        <v>0</v>
      </c>
      <c r="AB4062">
        <v>0</v>
      </c>
      <c r="AC4062">
        <v>4</v>
      </c>
      <c r="AD4062">
        <v>0</v>
      </c>
      <c r="AE4062">
        <v>0</v>
      </c>
      <c r="AF4062">
        <v>0</v>
      </c>
      <c r="AG4062">
        <v>0</v>
      </c>
      <c r="AH4062">
        <v>0</v>
      </c>
      <c r="AI4062">
        <v>0</v>
      </c>
      <c r="AJ4062">
        <v>0</v>
      </c>
      <c r="AK4062">
        <v>0</v>
      </c>
      <c r="AL4062">
        <v>0</v>
      </c>
      <c r="AM4062">
        <v>0</v>
      </c>
      <c r="AN4062">
        <v>0</v>
      </c>
      <c r="AO4062">
        <v>0</v>
      </c>
      <c r="AP4062">
        <v>0</v>
      </c>
      <c r="AQ4062">
        <v>0</v>
      </c>
      <c r="AR4062">
        <v>0</v>
      </c>
      <c r="AS4062">
        <v>0</v>
      </c>
      <c r="AT4062">
        <v>0</v>
      </c>
      <c r="AU4062">
        <f t="shared" si="126"/>
        <v>0</v>
      </c>
      <c r="AV4062">
        <f t="shared" si="127"/>
        <v>0</v>
      </c>
    </row>
    <row r="4063" spans="1:48" x14ac:dyDescent="0.25">
      <c r="A4063" t="s">
        <v>12413</v>
      </c>
      <c r="B4063" t="s">
        <v>12413</v>
      </c>
      <c r="C4063" t="s">
        <v>12414</v>
      </c>
      <c r="D4063" t="s">
        <v>10864</v>
      </c>
      <c r="E4063" t="s">
        <v>2310</v>
      </c>
      <c r="F4063">
        <v>9</v>
      </c>
      <c r="G4063">
        <v>9.1</v>
      </c>
      <c r="H4063" t="s">
        <v>2323</v>
      </c>
      <c r="I4063" s="21">
        <v>41892.585254629601</v>
      </c>
      <c r="J4063">
        <v>2014</v>
      </c>
      <c r="K4063" s="21">
        <v>41922.7085069444</v>
      </c>
      <c r="L4063">
        <v>2014</v>
      </c>
      <c r="M4063" s="21">
        <v>42047.386527777802</v>
      </c>
      <c r="N4063">
        <v>2015</v>
      </c>
      <c r="Q4063" s="262">
        <v>75000</v>
      </c>
      <c r="R4063" s="262">
        <v>13000</v>
      </c>
      <c r="S4063" t="s">
        <v>114</v>
      </c>
      <c r="T4063" t="s">
        <v>114</v>
      </c>
      <c r="V4063">
        <v>0</v>
      </c>
      <c r="W4063">
        <v>300</v>
      </c>
      <c r="X4063">
        <v>0</v>
      </c>
      <c r="Y4063">
        <v>0</v>
      </c>
      <c r="Z4063">
        <v>0</v>
      </c>
      <c r="AA4063">
        <v>0</v>
      </c>
      <c r="AB4063">
        <v>0</v>
      </c>
      <c r="AC4063">
        <v>300</v>
      </c>
      <c r="AD4063">
        <v>0</v>
      </c>
      <c r="AE4063">
        <v>0</v>
      </c>
      <c r="AF4063">
        <v>0</v>
      </c>
      <c r="AG4063">
        <v>0</v>
      </c>
      <c r="AH4063">
        <v>0</v>
      </c>
      <c r="AI4063">
        <v>0</v>
      </c>
      <c r="AJ4063">
        <v>0</v>
      </c>
      <c r="AK4063">
        <v>0</v>
      </c>
      <c r="AL4063">
        <v>0</v>
      </c>
      <c r="AM4063">
        <v>0</v>
      </c>
      <c r="AN4063">
        <v>0</v>
      </c>
      <c r="AO4063">
        <v>0</v>
      </c>
      <c r="AP4063">
        <v>0</v>
      </c>
      <c r="AQ4063">
        <v>0</v>
      </c>
      <c r="AR4063">
        <v>0</v>
      </c>
      <c r="AS4063">
        <v>0</v>
      </c>
      <c r="AT4063">
        <v>0</v>
      </c>
      <c r="AU4063">
        <f t="shared" si="126"/>
        <v>0</v>
      </c>
      <c r="AV4063">
        <f t="shared" si="127"/>
        <v>0</v>
      </c>
    </row>
    <row r="4064" spans="1:48" x14ac:dyDescent="0.25">
      <c r="A4064" t="s">
        <v>12415</v>
      </c>
      <c r="C4064" t="s">
        <v>12416</v>
      </c>
      <c r="D4064" t="s">
        <v>12417</v>
      </c>
      <c r="E4064" t="s">
        <v>1663</v>
      </c>
      <c r="F4064">
        <v>2</v>
      </c>
      <c r="G4064">
        <v>2.2999999999999998</v>
      </c>
      <c r="H4064" t="s">
        <v>2327</v>
      </c>
      <c r="I4064" s="21">
        <v>41893</v>
      </c>
      <c r="J4064">
        <v>2014</v>
      </c>
      <c r="K4064" s="21">
        <v>41942</v>
      </c>
      <c r="L4064">
        <v>2014</v>
      </c>
      <c r="M4064" s="21">
        <v>42417</v>
      </c>
      <c r="N4064">
        <v>2016</v>
      </c>
      <c r="Q4064" s="262">
        <v>90000</v>
      </c>
      <c r="S4064" t="s">
        <v>114</v>
      </c>
      <c r="T4064" t="s">
        <v>114</v>
      </c>
      <c r="V4064">
        <v>0</v>
      </c>
      <c r="W4064">
        <v>934</v>
      </c>
      <c r="X4064">
        <v>1</v>
      </c>
      <c r="Y4064">
        <v>0</v>
      </c>
      <c r="Z4064">
        <v>0</v>
      </c>
      <c r="AA4064">
        <v>0</v>
      </c>
      <c r="AB4064">
        <v>0</v>
      </c>
      <c r="AC4064">
        <v>0</v>
      </c>
      <c r="AD4064">
        <v>934</v>
      </c>
      <c r="AE4064">
        <v>0</v>
      </c>
      <c r="AF4064">
        <v>0</v>
      </c>
      <c r="AG4064">
        <v>0</v>
      </c>
      <c r="AH4064">
        <v>0</v>
      </c>
      <c r="AI4064">
        <v>0</v>
      </c>
      <c r="AJ4064">
        <v>0</v>
      </c>
      <c r="AK4064">
        <v>0</v>
      </c>
      <c r="AL4064">
        <v>0</v>
      </c>
      <c r="AM4064">
        <v>0</v>
      </c>
      <c r="AN4064">
        <v>0</v>
      </c>
      <c r="AO4064">
        <v>0</v>
      </c>
      <c r="AP4064">
        <v>1</v>
      </c>
      <c r="AQ4064">
        <v>0</v>
      </c>
      <c r="AR4064">
        <v>0</v>
      </c>
      <c r="AS4064">
        <v>0</v>
      </c>
      <c r="AT4064">
        <v>0</v>
      </c>
      <c r="AU4064">
        <f t="shared" si="126"/>
        <v>1</v>
      </c>
      <c r="AV4064">
        <f t="shared" si="127"/>
        <v>0</v>
      </c>
    </row>
    <row r="4065" spans="1:48" x14ac:dyDescent="0.25">
      <c r="A4065" t="s">
        <v>13468</v>
      </c>
      <c r="C4065" t="s">
        <v>13469</v>
      </c>
      <c r="D4065" t="s">
        <v>11780</v>
      </c>
      <c r="E4065" t="s">
        <v>1663</v>
      </c>
      <c r="F4065">
        <v>1</v>
      </c>
      <c r="G4065">
        <v>1.2</v>
      </c>
      <c r="H4065" t="s">
        <v>2017</v>
      </c>
      <c r="I4065" s="21">
        <v>41893</v>
      </c>
      <c r="J4065">
        <v>2014</v>
      </c>
      <c r="K4065" s="21">
        <v>41927</v>
      </c>
      <c r="L4065">
        <v>2014</v>
      </c>
      <c r="M4065" s="21">
        <v>42751</v>
      </c>
      <c r="N4065">
        <v>2017</v>
      </c>
      <c r="Q4065" s="262">
        <v>30000</v>
      </c>
      <c r="S4065" t="s">
        <v>114</v>
      </c>
      <c r="T4065" t="s">
        <v>114</v>
      </c>
      <c r="V4065">
        <v>0</v>
      </c>
      <c r="W4065">
        <v>0</v>
      </c>
      <c r="X4065">
        <v>0</v>
      </c>
      <c r="Y4065">
        <v>0</v>
      </c>
      <c r="Z4065">
        <v>0</v>
      </c>
      <c r="AA4065">
        <v>0</v>
      </c>
      <c r="AB4065">
        <v>0</v>
      </c>
      <c r="AC4065">
        <v>0</v>
      </c>
      <c r="AD4065">
        <v>0</v>
      </c>
      <c r="AE4065">
        <v>0</v>
      </c>
      <c r="AF4065">
        <v>0</v>
      </c>
      <c r="AG4065">
        <v>0</v>
      </c>
      <c r="AH4065">
        <v>0</v>
      </c>
      <c r="AI4065">
        <v>0</v>
      </c>
      <c r="AJ4065">
        <v>0</v>
      </c>
      <c r="AK4065">
        <v>0</v>
      </c>
      <c r="AL4065">
        <v>0</v>
      </c>
      <c r="AM4065">
        <v>0</v>
      </c>
      <c r="AN4065">
        <v>0</v>
      </c>
      <c r="AO4065">
        <v>0</v>
      </c>
      <c r="AP4065">
        <v>0</v>
      </c>
      <c r="AQ4065">
        <v>0</v>
      </c>
      <c r="AR4065">
        <v>0</v>
      </c>
      <c r="AS4065">
        <v>0</v>
      </c>
      <c r="AT4065">
        <v>0</v>
      </c>
      <c r="AU4065">
        <f t="shared" si="126"/>
        <v>0</v>
      </c>
      <c r="AV4065">
        <f t="shared" si="127"/>
        <v>0</v>
      </c>
    </row>
    <row r="4066" spans="1:48" x14ac:dyDescent="0.25">
      <c r="A4066" t="s">
        <v>12418</v>
      </c>
      <c r="C4066" t="s">
        <v>12118</v>
      </c>
      <c r="D4066" t="s">
        <v>12419</v>
      </c>
      <c r="E4066" t="s">
        <v>1663</v>
      </c>
      <c r="F4066">
        <v>3</v>
      </c>
      <c r="G4066">
        <v>3.1</v>
      </c>
      <c r="H4066" t="s">
        <v>2017</v>
      </c>
      <c r="I4066" s="21">
        <v>41899</v>
      </c>
      <c r="J4066">
        <v>2014</v>
      </c>
      <c r="K4066" s="21">
        <v>41905</v>
      </c>
      <c r="L4066">
        <v>2014</v>
      </c>
      <c r="M4066" s="21">
        <v>41963</v>
      </c>
      <c r="N4066">
        <v>2014</v>
      </c>
      <c r="Q4066" s="262">
        <v>7500</v>
      </c>
      <c r="S4066" t="s">
        <v>114</v>
      </c>
      <c r="T4066" t="s">
        <v>114</v>
      </c>
      <c r="V4066">
        <v>0</v>
      </c>
      <c r="W4066">
        <v>0</v>
      </c>
      <c r="X4066">
        <v>0</v>
      </c>
      <c r="Y4066">
        <v>0</v>
      </c>
      <c r="Z4066">
        <v>0</v>
      </c>
      <c r="AA4066">
        <v>0</v>
      </c>
      <c r="AB4066">
        <v>0</v>
      </c>
      <c r="AC4066">
        <v>0</v>
      </c>
      <c r="AD4066">
        <v>0</v>
      </c>
      <c r="AE4066">
        <v>0</v>
      </c>
      <c r="AF4066">
        <v>0</v>
      </c>
      <c r="AG4066">
        <v>0</v>
      </c>
      <c r="AH4066">
        <v>0</v>
      </c>
      <c r="AI4066">
        <v>0</v>
      </c>
      <c r="AJ4066">
        <v>0</v>
      </c>
      <c r="AK4066">
        <v>0</v>
      </c>
      <c r="AL4066">
        <v>0</v>
      </c>
      <c r="AM4066">
        <v>0</v>
      </c>
      <c r="AN4066">
        <v>0</v>
      </c>
      <c r="AO4066">
        <v>0</v>
      </c>
      <c r="AP4066">
        <v>0</v>
      </c>
      <c r="AQ4066">
        <v>0</v>
      </c>
      <c r="AR4066">
        <v>0</v>
      </c>
      <c r="AS4066">
        <v>0</v>
      </c>
      <c r="AT4066">
        <v>0</v>
      </c>
      <c r="AU4066">
        <f t="shared" si="126"/>
        <v>0</v>
      </c>
      <c r="AV4066">
        <f t="shared" si="127"/>
        <v>0</v>
      </c>
    </row>
    <row r="4067" spans="1:48" x14ac:dyDescent="0.25">
      <c r="A4067" t="s">
        <v>12420</v>
      </c>
      <c r="B4067" t="s">
        <v>12420</v>
      </c>
      <c r="C4067" t="s">
        <v>12421</v>
      </c>
      <c r="D4067" t="s">
        <v>3335</v>
      </c>
      <c r="E4067" t="s">
        <v>2310</v>
      </c>
      <c r="F4067">
        <v>14</v>
      </c>
      <c r="G4067">
        <v>14.2</v>
      </c>
      <c r="H4067" t="s">
        <v>2017</v>
      </c>
      <c r="I4067" s="21">
        <v>41900.4691550926</v>
      </c>
      <c r="J4067">
        <v>2014</v>
      </c>
      <c r="K4067" s="21">
        <v>41953.361377314803</v>
      </c>
      <c r="L4067">
        <v>2014</v>
      </c>
      <c r="M4067" s="21">
        <v>41975.357118055603</v>
      </c>
      <c r="N4067">
        <v>2014</v>
      </c>
      <c r="Q4067" s="262">
        <v>1950</v>
      </c>
      <c r="R4067" s="262">
        <v>5000</v>
      </c>
      <c r="S4067" t="s">
        <v>114</v>
      </c>
      <c r="T4067" t="s">
        <v>114</v>
      </c>
      <c r="V4067">
        <v>0</v>
      </c>
      <c r="W4067">
        <v>0</v>
      </c>
      <c r="X4067">
        <v>0</v>
      </c>
      <c r="Y4067">
        <v>0</v>
      </c>
      <c r="Z4067">
        <v>0</v>
      </c>
      <c r="AA4067">
        <v>0</v>
      </c>
      <c r="AB4067">
        <v>0</v>
      </c>
      <c r="AC4067">
        <v>0</v>
      </c>
      <c r="AD4067">
        <v>0</v>
      </c>
      <c r="AE4067">
        <v>0</v>
      </c>
      <c r="AF4067">
        <v>0</v>
      </c>
      <c r="AG4067">
        <v>0</v>
      </c>
      <c r="AH4067">
        <v>0</v>
      </c>
      <c r="AI4067">
        <v>0</v>
      </c>
      <c r="AJ4067">
        <v>0</v>
      </c>
      <c r="AK4067">
        <v>0</v>
      </c>
      <c r="AL4067">
        <v>0</v>
      </c>
      <c r="AM4067">
        <v>0</v>
      </c>
      <c r="AN4067">
        <v>0</v>
      </c>
      <c r="AO4067">
        <v>0</v>
      </c>
      <c r="AP4067">
        <v>0</v>
      </c>
      <c r="AQ4067">
        <v>0</v>
      </c>
      <c r="AR4067">
        <v>0</v>
      </c>
      <c r="AS4067">
        <v>0</v>
      </c>
      <c r="AT4067">
        <v>0</v>
      </c>
      <c r="AU4067">
        <f t="shared" si="126"/>
        <v>0</v>
      </c>
      <c r="AV4067">
        <f t="shared" si="127"/>
        <v>0</v>
      </c>
    </row>
    <row r="4068" spans="1:48" x14ac:dyDescent="0.25">
      <c r="A4068" t="s">
        <v>12422</v>
      </c>
      <c r="C4068" t="s">
        <v>12423</v>
      </c>
      <c r="D4068" t="s">
        <v>12424</v>
      </c>
      <c r="E4068" t="s">
        <v>1663</v>
      </c>
      <c r="F4068">
        <v>5</v>
      </c>
      <c r="G4068">
        <v>5.5</v>
      </c>
      <c r="H4068" t="s">
        <v>2017</v>
      </c>
      <c r="I4068" s="21">
        <v>41901</v>
      </c>
      <c r="J4068">
        <v>2014</v>
      </c>
      <c r="K4068" s="21">
        <v>41913</v>
      </c>
      <c r="L4068">
        <v>2014</v>
      </c>
      <c r="M4068" s="21">
        <v>42186</v>
      </c>
      <c r="N4068">
        <v>2015</v>
      </c>
      <c r="Q4068" s="262">
        <v>116363</v>
      </c>
      <c r="S4068" t="s">
        <v>114</v>
      </c>
      <c r="T4068" t="s">
        <v>114</v>
      </c>
      <c r="V4068">
        <v>0</v>
      </c>
      <c r="W4068">
        <v>1356</v>
      </c>
      <c r="X4068">
        <v>1</v>
      </c>
      <c r="Y4068">
        <v>0</v>
      </c>
      <c r="Z4068">
        <v>0</v>
      </c>
      <c r="AA4068">
        <v>0</v>
      </c>
      <c r="AB4068">
        <v>0</v>
      </c>
      <c r="AC4068">
        <v>0</v>
      </c>
      <c r="AD4068">
        <v>1356</v>
      </c>
      <c r="AE4068">
        <v>0</v>
      </c>
      <c r="AF4068">
        <v>0</v>
      </c>
      <c r="AG4068">
        <v>0</v>
      </c>
      <c r="AH4068">
        <v>0</v>
      </c>
      <c r="AI4068">
        <v>0</v>
      </c>
      <c r="AJ4068">
        <v>0</v>
      </c>
      <c r="AK4068">
        <v>0</v>
      </c>
      <c r="AL4068">
        <v>0</v>
      </c>
      <c r="AM4068">
        <v>0</v>
      </c>
      <c r="AN4068">
        <v>0</v>
      </c>
      <c r="AO4068">
        <v>0</v>
      </c>
      <c r="AP4068">
        <v>1</v>
      </c>
      <c r="AQ4068">
        <v>0</v>
      </c>
      <c r="AR4068">
        <v>0</v>
      </c>
      <c r="AS4068">
        <v>0</v>
      </c>
      <c r="AT4068">
        <v>0</v>
      </c>
      <c r="AU4068">
        <f t="shared" si="126"/>
        <v>1</v>
      </c>
      <c r="AV4068">
        <f t="shared" si="127"/>
        <v>0</v>
      </c>
    </row>
    <row r="4069" spans="1:48" x14ac:dyDescent="0.25">
      <c r="A4069" t="s">
        <v>12425</v>
      </c>
      <c r="C4069" t="s">
        <v>12426</v>
      </c>
      <c r="D4069" t="s">
        <v>12427</v>
      </c>
      <c r="E4069" t="s">
        <v>1663</v>
      </c>
      <c r="F4069">
        <v>5</v>
      </c>
      <c r="G4069">
        <v>5.5</v>
      </c>
      <c r="H4069" t="s">
        <v>2017</v>
      </c>
      <c r="I4069" s="21">
        <v>41901</v>
      </c>
      <c r="J4069">
        <v>2014</v>
      </c>
      <c r="K4069" s="21">
        <v>41913</v>
      </c>
      <c r="L4069">
        <v>2014</v>
      </c>
      <c r="M4069" s="21">
        <v>42186</v>
      </c>
      <c r="N4069">
        <v>2015</v>
      </c>
      <c r="Q4069" s="262">
        <v>116363</v>
      </c>
      <c r="S4069" t="s">
        <v>114</v>
      </c>
      <c r="T4069" t="s">
        <v>114</v>
      </c>
      <c r="V4069">
        <v>0</v>
      </c>
      <c r="W4069">
        <v>1356</v>
      </c>
      <c r="X4069">
        <v>1</v>
      </c>
      <c r="Y4069">
        <v>0</v>
      </c>
      <c r="Z4069">
        <v>0</v>
      </c>
      <c r="AA4069">
        <v>0</v>
      </c>
      <c r="AB4069">
        <v>0</v>
      </c>
      <c r="AC4069">
        <v>0</v>
      </c>
      <c r="AD4069">
        <v>1356</v>
      </c>
      <c r="AE4069">
        <v>0</v>
      </c>
      <c r="AF4069">
        <v>0</v>
      </c>
      <c r="AG4069">
        <v>0</v>
      </c>
      <c r="AH4069">
        <v>0</v>
      </c>
      <c r="AI4069">
        <v>0</v>
      </c>
      <c r="AJ4069">
        <v>0</v>
      </c>
      <c r="AK4069">
        <v>0</v>
      </c>
      <c r="AL4069">
        <v>0</v>
      </c>
      <c r="AM4069">
        <v>0</v>
      </c>
      <c r="AN4069">
        <v>0</v>
      </c>
      <c r="AO4069">
        <v>0</v>
      </c>
      <c r="AP4069">
        <v>1</v>
      </c>
      <c r="AQ4069">
        <v>0</v>
      </c>
      <c r="AR4069">
        <v>0</v>
      </c>
      <c r="AS4069">
        <v>0</v>
      </c>
      <c r="AT4069">
        <v>0</v>
      </c>
      <c r="AU4069">
        <f t="shared" si="126"/>
        <v>1</v>
      </c>
      <c r="AV4069">
        <f t="shared" si="127"/>
        <v>0</v>
      </c>
    </row>
    <row r="4070" spans="1:48" x14ac:dyDescent="0.25">
      <c r="A4070" t="s">
        <v>12428</v>
      </c>
      <c r="C4070" t="s">
        <v>12429</v>
      </c>
      <c r="D4070" t="s">
        <v>12430</v>
      </c>
      <c r="E4070" t="s">
        <v>1663</v>
      </c>
      <c r="F4070">
        <v>5</v>
      </c>
      <c r="G4070">
        <v>5.5</v>
      </c>
      <c r="H4070" t="s">
        <v>2017</v>
      </c>
      <c r="I4070" s="21">
        <v>41901</v>
      </c>
      <c r="J4070">
        <v>2014</v>
      </c>
      <c r="K4070" s="21">
        <v>41913</v>
      </c>
      <c r="L4070">
        <v>2014</v>
      </c>
      <c r="M4070" s="21">
        <v>42186</v>
      </c>
      <c r="N4070">
        <v>2015</v>
      </c>
      <c r="Q4070" s="262">
        <v>116363</v>
      </c>
      <c r="S4070" t="s">
        <v>114</v>
      </c>
      <c r="T4070" t="s">
        <v>114</v>
      </c>
      <c r="V4070">
        <v>0</v>
      </c>
      <c r="W4070">
        <v>1356</v>
      </c>
      <c r="X4070">
        <v>1</v>
      </c>
      <c r="Y4070">
        <v>0</v>
      </c>
      <c r="Z4070">
        <v>0</v>
      </c>
      <c r="AA4070">
        <v>0</v>
      </c>
      <c r="AB4070">
        <v>0</v>
      </c>
      <c r="AC4070">
        <v>0</v>
      </c>
      <c r="AD4070">
        <v>1356</v>
      </c>
      <c r="AE4070">
        <v>0</v>
      </c>
      <c r="AF4070">
        <v>0</v>
      </c>
      <c r="AG4070">
        <v>0</v>
      </c>
      <c r="AH4070">
        <v>0</v>
      </c>
      <c r="AI4070">
        <v>0</v>
      </c>
      <c r="AJ4070">
        <v>0</v>
      </c>
      <c r="AK4070">
        <v>0</v>
      </c>
      <c r="AL4070">
        <v>0</v>
      </c>
      <c r="AM4070">
        <v>0</v>
      </c>
      <c r="AN4070">
        <v>0</v>
      </c>
      <c r="AO4070">
        <v>0</v>
      </c>
      <c r="AP4070">
        <v>1</v>
      </c>
      <c r="AQ4070">
        <v>0</v>
      </c>
      <c r="AR4070">
        <v>0</v>
      </c>
      <c r="AS4070">
        <v>0</v>
      </c>
      <c r="AT4070">
        <v>0</v>
      </c>
      <c r="AU4070">
        <f t="shared" si="126"/>
        <v>1</v>
      </c>
      <c r="AV4070">
        <f t="shared" si="127"/>
        <v>0</v>
      </c>
    </row>
    <row r="4071" spans="1:48" x14ac:dyDescent="0.25">
      <c r="A4071" t="s">
        <v>12431</v>
      </c>
      <c r="B4071" t="s">
        <v>12431</v>
      </c>
      <c r="C4071" t="s">
        <v>12432</v>
      </c>
      <c r="D4071" t="s">
        <v>12433</v>
      </c>
      <c r="E4071" t="s">
        <v>2310</v>
      </c>
      <c r="F4071">
        <v>8</v>
      </c>
      <c r="G4071">
        <v>8.3000000000000007</v>
      </c>
      <c r="H4071" t="s">
        <v>2323</v>
      </c>
      <c r="I4071" s="21">
        <v>41901.358321759297</v>
      </c>
      <c r="J4071">
        <v>2014</v>
      </c>
      <c r="K4071" s="21">
        <v>41922.611747685201</v>
      </c>
      <c r="L4071">
        <v>2014</v>
      </c>
      <c r="P4071" s="21">
        <v>42678.378668981502</v>
      </c>
      <c r="Q4071" s="262">
        <v>45000</v>
      </c>
      <c r="R4071" s="262">
        <v>41000</v>
      </c>
      <c r="S4071" t="s">
        <v>114</v>
      </c>
      <c r="T4071" t="s">
        <v>114</v>
      </c>
      <c r="V4071">
        <v>0</v>
      </c>
      <c r="W4071">
        <v>960</v>
      </c>
      <c r="X4071">
        <v>0</v>
      </c>
      <c r="Y4071">
        <v>0</v>
      </c>
      <c r="Z4071">
        <v>0</v>
      </c>
      <c r="AA4071">
        <v>0</v>
      </c>
      <c r="AB4071">
        <v>0</v>
      </c>
      <c r="AC4071">
        <v>960</v>
      </c>
      <c r="AD4071">
        <v>0</v>
      </c>
      <c r="AE4071">
        <v>0</v>
      </c>
      <c r="AF4071">
        <v>0</v>
      </c>
      <c r="AG4071">
        <v>0</v>
      </c>
      <c r="AH4071">
        <v>0</v>
      </c>
      <c r="AI4071">
        <v>0</v>
      </c>
      <c r="AJ4071">
        <v>0</v>
      </c>
      <c r="AK4071">
        <v>0</v>
      </c>
      <c r="AL4071">
        <v>0</v>
      </c>
      <c r="AM4071">
        <v>0</v>
      </c>
      <c r="AN4071">
        <v>0</v>
      </c>
      <c r="AO4071">
        <v>0</v>
      </c>
      <c r="AP4071">
        <v>0</v>
      </c>
      <c r="AQ4071">
        <v>0</v>
      </c>
      <c r="AR4071">
        <v>0</v>
      </c>
      <c r="AS4071">
        <v>0</v>
      </c>
      <c r="AT4071">
        <v>0</v>
      </c>
      <c r="AU4071">
        <f t="shared" si="126"/>
        <v>0</v>
      </c>
      <c r="AV4071">
        <f t="shared" si="127"/>
        <v>0</v>
      </c>
    </row>
    <row r="4072" spans="1:48" x14ac:dyDescent="0.25">
      <c r="A4072" t="s">
        <v>12434</v>
      </c>
      <c r="B4072" t="s">
        <v>12434</v>
      </c>
      <c r="C4072" t="s">
        <v>12435</v>
      </c>
      <c r="D4072" t="s">
        <v>12436</v>
      </c>
      <c r="E4072" t="s">
        <v>2310</v>
      </c>
      <c r="F4072">
        <v>13</v>
      </c>
      <c r="G4072">
        <v>13.2</v>
      </c>
      <c r="H4072" t="s">
        <v>2327</v>
      </c>
      <c r="I4072" s="21">
        <v>41901.411921296298</v>
      </c>
      <c r="J4072">
        <v>2014</v>
      </c>
      <c r="K4072" s="21">
        <v>41956.640625</v>
      </c>
      <c r="L4072">
        <v>2014</v>
      </c>
      <c r="M4072" s="21">
        <v>42570.488969907397</v>
      </c>
      <c r="N4072">
        <v>2016</v>
      </c>
      <c r="Q4072" s="262">
        <v>3000000</v>
      </c>
      <c r="R4072" s="262">
        <v>760000</v>
      </c>
      <c r="S4072" t="s">
        <v>114</v>
      </c>
      <c r="T4072" t="s">
        <v>114</v>
      </c>
      <c r="V4072">
        <v>0</v>
      </c>
      <c r="W4072">
        <v>5894</v>
      </c>
      <c r="X4072">
        <v>1</v>
      </c>
      <c r="Y4072">
        <v>0</v>
      </c>
      <c r="Z4072">
        <v>0</v>
      </c>
      <c r="AA4072">
        <v>0</v>
      </c>
      <c r="AB4072">
        <v>0</v>
      </c>
      <c r="AC4072">
        <v>5894</v>
      </c>
      <c r="AD4072">
        <v>0</v>
      </c>
      <c r="AE4072">
        <v>0</v>
      </c>
      <c r="AF4072">
        <v>0</v>
      </c>
      <c r="AG4072">
        <v>0</v>
      </c>
      <c r="AH4072">
        <v>0</v>
      </c>
      <c r="AI4072">
        <v>0</v>
      </c>
      <c r="AJ4072">
        <v>0</v>
      </c>
      <c r="AK4072">
        <v>0</v>
      </c>
      <c r="AL4072">
        <v>0</v>
      </c>
      <c r="AM4072">
        <v>0</v>
      </c>
      <c r="AN4072">
        <v>0</v>
      </c>
      <c r="AO4072">
        <v>1</v>
      </c>
      <c r="AP4072">
        <v>0</v>
      </c>
      <c r="AQ4072">
        <v>0</v>
      </c>
      <c r="AR4072">
        <v>0</v>
      </c>
      <c r="AS4072">
        <v>0</v>
      </c>
      <c r="AT4072">
        <v>0</v>
      </c>
      <c r="AU4072">
        <f t="shared" si="126"/>
        <v>1</v>
      </c>
      <c r="AV4072">
        <f t="shared" si="127"/>
        <v>0</v>
      </c>
    </row>
    <row r="4073" spans="1:48" x14ac:dyDescent="0.25">
      <c r="A4073" t="s">
        <v>12437</v>
      </c>
      <c r="B4073" t="s">
        <v>12437</v>
      </c>
      <c r="C4073" t="s">
        <v>12438</v>
      </c>
      <c r="D4073" t="s">
        <v>12439</v>
      </c>
      <c r="E4073" t="s">
        <v>2310</v>
      </c>
      <c r="F4073">
        <v>9</v>
      </c>
      <c r="G4073">
        <v>9.1999999999999993</v>
      </c>
      <c r="H4073" t="s">
        <v>2022</v>
      </c>
      <c r="I4073" s="21">
        <v>41901.542152777802</v>
      </c>
      <c r="J4073">
        <v>2014</v>
      </c>
      <c r="K4073" s="21">
        <v>41935.694363425901</v>
      </c>
      <c r="L4073">
        <v>2014</v>
      </c>
      <c r="M4073" s="21">
        <v>42359.355775463002</v>
      </c>
      <c r="N4073">
        <v>2015</v>
      </c>
      <c r="Q4073" s="262">
        <v>75000</v>
      </c>
      <c r="R4073" s="262">
        <v>12000</v>
      </c>
      <c r="S4073" t="s">
        <v>114</v>
      </c>
      <c r="T4073" t="s">
        <v>114</v>
      </c>
      <c r="V4073">
        <v>0</v>
      </c>
      <c r="W4073">
        <v>106</v>
      </c>
      <c r="X4073">
        <v>0</v>
      </c>
      <c r="Y4073">
        <v>0</v>
      </c>
      <c r="Z4073">
        <v>0</v>
      </c>
      <c r="AA4073">
        <v>0</v>
      </c>
      <c r="AB4073">
        <v>0</v>
      </c>
      <c r="AC4073">
        <v>106</v>
      </c>
      <c r="AD4073">
        <v>0</v>
      </c>
      <c r="AE4073">
        <v>0</v>
      </c>
      <c r="AF4073">
        <v>0</v>
      </c>
      <c r="AG4073">
        <v>0</v>
      </c>
      <c r="AH4073">
        <v>0</v>
      </c>
      <c r="AI4073">
        <v>0</v>
      </c>
      <c r="AJ4073">
        <v>0</v>
      </c>
      <c r="AK4073">
        <v>0</v>
      </c>
      <c r="AL4073">
        <v>0</v>
      </c>
      <c r="AM4073">
        <v>0</v>
      </c>
      <c r="AN4073">
        <v>0</v>
      </c>
      <c r="AO4073">
        <v>0</v>
      </c>
      <c r="AP4073">
        <v>0</v>
      </c>
      <c r="AQ4073">
        <v>0</v>
      </c>
      <c r="AR4073">
        <v>0</v>
      </c>
      <c r="AS4073">
        <v>0</v>
      </c>
      <c r="AT4073">
        <v>0</v>
      </c>
      <c r="AU4073">
        <f t="shared" si="126"/>
        <v>0</v>
      </c>
      <c r="AV4073">
        <f t="shared" si="127"/>
        <v>0</v>
      </c>
    </row>
    <row r="4074" spans="1:48" x14ac:dyDescent="0.25">
      <c r="A4074" t="s">
        <v>12440</v>
      </c>
      <c r="B4074" t="s">
        <v>12440</v>
      </c>
      <c r="C4074" t="s">
        <v>12441</v>
      </c>
      <c r="D4074" t="s">
        <v>12442</v>
      </c>
      <c r="E4074" t="s">
        <v>2310</v>
      </c>
      <c r="F4074">
        <v>9</v>
      </c>
      <c r="G4074">
        <v>9.1</v>
      </c>
      <c r="H4074" t="s">
        <v>2323</v>
      </c>
      <c r="I4074" s="21">
        <v>41901.645185185203</v>
      </c>
      <c r="J4074">
        <v>2014</v>
      </c>
      <c r="K4074" s="21">
        <v>41919.706770833298</v>
      </c>
      <c r="L4074">
        <v>2014</v>
      </c>
      <c r="M4074" s="21">
        <v>42450.670150462996</v>
      </c>
      <c r="N4074">
        <v>2016</v>
      </c>
      <c r="Q4074" s="262">
        <v>280000</v>
      </c>
      <c r="R4074" s="262">
        <v>76000</v>
      </c>
      <c r="S4074" t="s">
        <v>114</v>
      </c>
      <c r="T4074" t="s">
        <v>114</v>
      </c>
      <c r="V4074">
        <v>451</v>
      </c>
      <c r="W4074">
        <v>296</v>
      </c>
      <c r="X4074">
        <v>0</v>
      </c>
      <c r="Y4074">
        <v>0</v>
      </c>
      <c r="Z4074">
        <v>0</v>
      </c>
      <c r="AA4074">
        <v>0</v>
      </c>
      <c r="AB4074">
        <v>0</v>
      </c>
      <c r="AC4074">
        <v>296</v>
      </c>
      <c r="AD4074">
        <v>0</v>
      </c>
      <c r="AE4074">
        <v>0</v>
      </c>
      <c r="AF4074">
        <v>0</v>
      </c>
      <c r="AG4074">
        <v>0</v>
      </c>
      <c r="AH4074">
        <v>0</v>
      </c>
      <c r="AI4074">
        <v>0</v>
      </c>
      <c r="AJ4074">
        <v>0</v>
      </c>
      <c r="AK4074">
        <v>0</v>
      </c>
      <c r="AL4074">
        <v>0</v>
      </c>
      <c r="AM4074">
        <v>0</v>
      </c>
      <c r="AN4074">
        <v>0</v>
      </c>
      <c r="AO4074">
        <v>0</v>
      </c>
      <c r="AP4074">
        <v>0</v>
      </c>
      <c r="AQ4074">
        <v>0</v>
      </c>
      <c r="AR4074">
        <v>0</v>
      </c>
      <c r="AS4074">
        <v>0</v>
      </c>
      <c r="AT4074">
        <v>0</v>
      </c>
      <c r="AU4074">
        <f t="shared" si="126"/>
        <v>0</v>
      </c>
      <c r="AV4074">
        <f t="shared" si="127"/>
        <v>0</v>
      </c>
    </row>
    <row r="4075" spans="1:48" x14ac:dyDescent="0.25">
      <c r="A4075" t="s">
        <v>17648</v>
      </c>
      <c r="B4075" t="s">
        <v>17648</v>
      </c>
      <c r="C4075" t="s">
        <v>17649</v>
      </c>
      <c r="D4075" t="s">
        <v>8435</v>
      </c>
      <c r="E4075" t="s">
        <v>2310</v>
      </c>
      <c r="F4075">
        <v>7</v>
      </c>
      <c r="G4075">
        <v>7.1</v>
      </c>
      <c r="H4075" t="s">
        <v>2017</v>
      </c>
      <c r="I4075" s="21">
        <v>41905.709965277776</v>
      </c>
      <c r="J4075">
        <v>2014</v>
      </c>
      <c r="K4075" s="21">
        <v>41905.722175925926</v>
      </c>
      <c r="L4075">
        <v>2014</v>
      </c>
      <c r="M4075" s="21">
        <v>42446.580601851849</v>
      </c>
      <c r="N4075">
        <v>2016</v>
      </c>
      <c r="Q4075" s="262">
        <v>35000</v>
      </c>
      <c r="R4075" s="262">
        <v>91000</v>
      </c>
      <c r="S4075" t="s">
        <v>13253</v>
      </c>
      <c r="T4075">
        <v>1183</v>
      </c>
      <c r="V4075">
        <v>4000</v>
      </c>
      <c r="W4075">
        <v>0</v>
      </c>
      <c r="X4075">
        <v>0</v>
      </c>
      <c r="Y4075">
        <v>0</v>
      </c>
      <c r="Z4075">
        <v>0</v>
      </c>
      <c r="AA4075">
        <v>0</v>
      </c>
      <c r="AB4075">
        <v>0</v>
      </c>
      <c r="AC4075">
        <v>0</v>
      </c>
      <c r="AD4075">
        <v>0</v>
      </c>
      <c r="AE4075">
        <v>0</v>
      </c>
      <c r="AF4075">
        <v>0</v>
      </c>
      <c r="AG4075">
        <v>0</v>
      </c>
      <c r="AH4075">
        <v>0</v>
      </c>
      <c r="AI4075">
        <v>0</v>
      </c>
      <c r="AJ4075">
        <v>0</v>
      </c>
      <c r="AK4075">
        <v>4000</v>
      </c>
      <c r="AL4075">
        <v>-4000</v>
      </c>
      <c r="AM4075">
        <v>0</v>
      </c>
      <c r="AN4075">
        <v>0</v>
      </c>
      <c r="AO4075">
        <v>0</v>
      </c>
      <c r="AP4075">
        <v>0</v>
      </c>
      <c r="AQ4075">
        <v>0</v>
      </c>
      <c r="AR4075">
        <v>0</v>
      </c>
      <c r="AS4075">
        <v>0</v>
      </c>
      <c r="AT4075">
        <v>0</v>
      </c>
      <c r="AU4075">
        <f t="shared" si="126"/>
        <v>0</v>
      </c>
      <c r="AV4075">
        <f t="shared" si="127"/>
        <v>0</v>
      </c>
    </row>
    <row r="4076" spans="1:48" x14ac:dyDescent="0.25">
      <c r="A4076" t="s">
        <v>17497</v>
      </c>
      <c r="B4076" t="s">
        <v>17498</v>
      </c>
      <c r="C4076" t="s">
        <v>17499</v>
      </c>
      <c r="D4076" t="s">
        <v>6715</v>
      </c>
      <c r="E4076" t="s">
        <v>2310</v>
      </c>
      <c r="F4076">
        <v>8</v>
      </c>
      <c r="G4076">
        <v>8.3000000000000007</v>
      </c>
      <c r="H4076" t="s">
        <v>2323</v>
      </c>
      <c r="I4076" s="21">
        <v>41906.449097222219</v>
      </c>
      <c r="J4076">
        <v>2014</v>
      </c>
      <c r="K4076" s="21">
        <v>42877.345138888886</v>
      </c>
      <c r="L4076">
        <v>2017</v>
      </c>
      <c r="M4076" s="21">
        <v>42877.345138888886</v>
      </c>
      <c r="N4076">
        <v>2017</v>
      </c>
      <c r="S4076" t="s">
        <v>13254</v>
      </c>
      <c r="W4076">
        <v>320</v>
      </c>
      <c r="X4076">
        <v>0</v>
      </c>
      <c r="Y4076">
        <v>0</v>
      </c>
      <c r="Z4076">
        <v>0</v>
      </c>
      <c r="AA4076">
        <v>0</v>
      </c>
      <c r="AB4076">
        <v>0</v>
      </c>
      <c r="AC4076">
        <v>0</v>
      </c>
      <c r="AD4076">
        <v>0</v>
      </c>
      <c r="AE4076">
        <v>0</v>
      </c>
      <c r="AF4076">
        <v>0</v>
      </c>
      <c r="AG4076">
        <v>0</v>
      </c>
      <c r="AH4076">
        <v>0</v>
      </c>
      <c r="AI4076">
        <v>320</v>
      </c>
      <c r="AJ4076">
        <v>0</v>
      </c>
      <c r="AK4076">
        <v>0</v>
      </c>
      <c r="AL4076">
        <v>0</v>
      </c>
      <c r="AM4076">
        <v>0</v>
      </c>
      <c r="AN4076">
        <v>0</v>
      </c>
      <c r="AO4076">
        <v>0</v>
      </c>
      <c r="AP4076">
        <v>0</v>
      </c>
      <c r="AQ4076">
        <v>0</v>
      </c>
      <c r="AR4076">
        <v>0</v>
      </c>
      <c r="AS4076">
        <v>0</v>
      </c>
      <c r="AT4076">
        <v>0</v>
      </c>
      <c r="AU4076">
        <f t="shared" si="126"/>
        <v>0</v>
      </c>
      <c r="AV4076">
        <f t="shared" si="127"/>
        <v>320</v>
      </c>
    </row>
    <row r="4077" spans="1:48" x14ac:dyDescent="0.25">
      <c r="A4077" t="s">
        <v>12443</v>
      </c>
      <c r="C4077" t="s">
        <v>12444</v>
      </c>
      <c r="D4077" t="s">
        <v>12339</v>
      </c>
      <c r="E4077" t="s">
        <v>1663</v>
      </c>
      <c r="F4077">
        <v>5</v>
      </c>
      <c r="G4077">
        <v>5.0999999999999996</v>
      </c>
      <c r="H4077" t="s">
        <v>2327</v>
      </c>
      <c r="I4077" s="21">
        <v>41907</v>
      </c>
      <c r="J4077">
        <v>2014</v>
      </c>
      <c r="K4077" s="21">
        <v>41932</v>
      </c>
      <c r="L4077">
        <v>2014</v>
      </c>
      <c r="M4077" s="21">
        <v>42039</v>
      </c>
      <c r="N4077">
        <v>2015</v>
      </c>
      <c r="Q4077" s="262">
        <v>20000</v>
      </c>
      <c r="S4077" t="s">
        <v>114</v>
      </c>
      <c r="T4077" t="s">
        <v>114</v>
      </c>
      <c r="V4077">
        <v>0</v>
      </c>
      <c r="W4077">
        <v>0</v>
      </c>
      <c r="X4077">
        <v>0</v>
      </c>
      <c r="Y4077">
        <v>0</v>
      </c>
      <c r="Z4077">
        <v>0</v>
      </c>
      <c r="AA4077">
        <v>0</v>
      </c>
      <c r="AB4077">
        <v>0</v>
      </c>
      <c r="AC4077">
        <v>0</v>
      </c>
      <c r="AD4077">
        <v>0</v>
      </c>
      <c r="AE4077">
        <v>0</v>
      </c>
      <c r="AF4077">
        <v>0</v>
      </c>
      <c r="AG4077">
        <v>0</v>
      </c>
      <c r="AH4077">
        <v>0</v>
      </c>
      <c r="AI4077">
        <v>0</v>
      </c>
      <c r="AJ4077">
        <v>0</v>
      </c>
      <c r="AK4077">
        <v>0</v>
      </c>
      <c r="AL4077">
        <v>0</v>
      </c>
      <c r="AM4077">
        <v>0</v>
      </c>
      <c r="AN4077">
        <v>0</v>
      </c>
      <c r="AO4077">
        <v>0</v>
      </c>
      <c r="AP4077">
        <v>0</v>
      </c>
      <c r="AQ4077">
        <v>0</v>
      </c>
      <c r="AR4077">
        <v>0</v>
      </c>
      <c r="AS4077">
        <v>0</v>
      </c>
      <c r="AT4077">
        <v>0</v>
      </c>
      <c r="AU4077">
        <f t="shared" si="126"/>
        <v>0</v>
      </c>
      <c r="AV4077">
        <f t="shared" si="127"/>
        <v>0</v>
      </c>
    </row>
    <row r="4078" spans="1:48" x14ac:dyDescent="0.25">
      <c r="A4078" t="s">
        <v>12445</v>
      </c>
      <c r="C4078" t="s">
        <v>11559</v>
      </c>
      <c r="D4078" t="s">
        <v>12446</v>
      </c>
      <c r="E4078" t="s">
        <v>1663</v>
      </c>
      <c r="F4078">
        <v>6</v>
      </c>
      <c r="G4078">
        <v>6.1</v>
      </c>
      <c r="H4078" t="s">
        <v>2017</v>
      </c>
      <c r="I4078" s="21">
        <v>41908</v>
      </c>
      <c r="J4078">
        <v>2014</v>
      </c>
      <c r="K4078" s="21">
        <v>41929</v>
      </c>
      <c r="L4078">
        <v>2014</v>
      </c>
      <c r="M4078" s="21">
        <v>42513</v>
      </c>
      <c r="N4078">
        <v>2016</v>
      </c>
      <c r="Q4078" s="262">
        <v>900000</v>
      </c>
      <c r="S4078" t="s">
        <v>114</v>
      </c>
      <c r="T4078" t="s">
        <v>114</v>
      </c>
      <c r="V4078">
        <v>0</v>
      </c>
      <c r="W4078">
        <v>3254</v>
      </c>
      <c r="X4078">
        <v>1</v>
      </c>
      <c r="Y4078">
        <v>0</v>
      </c>
      <c r="Z4078">
        <v>0</v>
      </c>
      <c r="AA4078">
        <v>0</v>
      </c>
      <c r="AB4078">
        <v>0</v>
      </c>
      <c r="AC4078">
        <v>0</v>
      </c>
      <c r="AD4078">
        <v>3254</v>
      </c>
      <c r="AE4078">
        <v>0</v>
      </c>
      <c r="AF4078">
        <v>0</v>
      </c>
      <c r="AG4078">
        <v>0</v>
      </c>
      <c r="AH4078">
        <v>0</v>
      </c>
      <c r="AI4078">
        <v>0</v>
      </c>
      <c r="AJ4078">
        <v>0</v>
      </c>
      <c r="AK4078">
        <v>0</v>
      </c>
      <c r="AL4078">
        <v>0</v>
      </c>
      <c r="AM4078">
        <v>0</v>
      </c>
      <c r="AN4078">
        <v>0</v>
      </c>
      <c r="AO4078">
        <v>0</v>
      </c>
      <c r="AP4078">
        <v>1</v>
      </c>
      <c r="AQ4078">
        <v>0</v>
      </c>
      <c r="AR4078">
        <v>0</v>
      </c>
      <c r="AS4078">
        <v>0</v>
      </c>
      <c r="AT4078">
        <v>0</v>
      </c>
      <c r="AU4078">
        <f t="shared" si="126"/>
        <v>1</v>
      </c>
      <c r="AV4078">
        <f t="shared" si="127"/>
        <v>0</v>
      </c>
    </row>
    <row r="4079" spans="1:48" x14ac:dyDescent="0.25">
      <c r="A4079" t="s">
        <v>12447</v>
      </c>
      <c r="C4079" t="s">
        <v>11706</v>
      </c>
      <c r="D4079" t="s">
        <v>12448</v>
      </c>
      <c r="E4079" t="s">
        <v>1663</v>
      </c>
      <c r="F4079">
        <v>6</v>
      </c>
      <c r="G4079">
        <v>6.1</v>
      </c>
      <c r="H4079" t="s">
        <v>2017</v>
      </c>
      <c r="I4079" s="21">
        <v>41908</v>
      </c>
      <c r="J4079">
        <v>2014</v>
      </c>
      <c r="K4079" s="21">
        <v>41929</v>
      </c>
      <c r="L4079">
        <v>2014</v>
      </c>
      <c r="M4079" s="21">
        <v>42513</v>
      </c>
      <c r="N4079">
        <v>2016</v>
      </c>
      <c r="Q4079" s="262">
        <v>900000</v>
      </c>
      <c r="S4079" t="s">
        <v>114</v>
      </c>
      <c r="T4079" t="s">
        <v>114</v>
      </c>
      <c r="V4079">
        <v>0</v>
      </c>
      <c r="W4079">
        <v>3387</v>
      </c>
      <c r="X4079">
        <v>1</v>
      </c>
      <c r="Y4079">
        <v>0</v>
      </c>
      <c r="Z4079">
        <v>0</v>
      </c>
      <c r="AA4079">
        <v>0</v>
      </c>
      <c r="AB4079">
        <v>0</v>
      </c>
      <c r="AC4079">
        <v>0</v>
      </c>
      <c r="AD4079">
        <v>3387</v>
      </c>
      <c r="AE4079">
        <v>0</v>
      </c>
      <c r="AF4079">
        <v>0</v>
      </c>
      <c r="AG4079">
        <v>0</v>
      </c>
      <c r="AH4079">
        <v>0</v>
      </c>
      <c r="AI4079">
        <v>0</v>
      </c>
      <c r="AJ4079">
        <v>0</v>
      </c>
      <c r="AK4079">
        <v>0</v>
      </c>
      <c r="AL4079">
        <v>0</v>
      </c>
      <c r="AM4079">
        <v>0</v>
      </c>
      <c r="AN4079">
        <v>0</v>
      </c>
      <c r="AO4079">
        <v>0</v>
      </c>
      <c r="AP4079">
        <v>1</v>
      </c>
      <c r="AQ4079">
        <v>0</v>
      </c>
      <c r="AR4079">
        <v>0</v>
      </c>
      <c r="AS4079">
        <v>0</v>
      </c>
      <c r="AT4079">
        <v>0</v>
      </c>
      <c r="AU4079">
        <f t="shared" si="126"/>
        <v>1</v>
      </c>
      <c r="AV4079">
        <f t="shared" si="127"/>
        <v>0</v>
      </c>
    </row>
    <row r="4080" spans="1:48" x14ac:dyDescent="0.25">
      <c r="A4080" t="s">
        <v>12449</v>
      </c>
      <c r="C4080" t="s">
        <v>11706</v>
      </c>
      <c r="D4080" t="s">
        <v>12450</v>
      </c>
      <c r="E4080" t="s">
        <v>1663</v>
      </c>
      <c r="F4080">
        <v>6</v>
      </c>
      <c r="G4080">
        <v>6.1</v>
      </c>
      <c r="H4080" t="s">
        <v>2017</v>
      </c>
      <c r="I4080" s="21">
        <v>41908</v>
      </c>
      <c r="J4080">
        <v>2014</v>
      </c>
      <c r="K4080" s="21">
        <v>41929</v>
      </c>
      <c r="L4080">
        <v>2014</v>
      </c>
      <c r="M4080" s="21">
        <v>42513</v>
      </c>
      <c r="N4080">
        <v>2016</v>
      </c>
      <c r="Q4080" s="262">
        <v>900000</v>
      </c>
      <c r="S4080" t="s">
        <v>114</v>
      </c>
      <c r="T4080" t="s">
        <v>114</v>
      </c>
      <c r="V4080">
        <v>0</v>
      </c>
      <c r="W4080">
        <v>3254</v>
      </c>
      <c r="X4080">
        <v>1</v>
      </c>
      <c r="Y4080">
        <v>0</v>
      </c>
      <c r="Z4080">
        <v>0</v>
      </c>
      <c r="AA4080">
        <v>0</v>
      </c>
      <c r="AB4080">
        <v>0</v>
      </c>
      <c r="AC4080">
        <v>0</v>
      </c>
      <c r="AD4080">
        <v>3254</v>
      </c>
      <c r="AE4080">
        <v>0</v>
      </c>
      <c r="AF4080">
        <v>0</v>
      </c>
      <c r="AG4080">
        <v>0</v>
      </c>
      <c r="AH4080">
        <v>0</v>
      </c>
      <c r="AI4080">
        <v>0</v>
      </c>
      <c r="AJ4080">
        <v>0</v>
      </c>
      <c r="AK4080">
        <v>0</v>
      </c>
      <c r="AL4080">
        <v>0</v>
      </c>
      <c r="AM4080">
        <v>0</v>
      </c>
      <c r="AN4080">
        <v>0</v>
      </c>
      <c r="AO4080">
        <v>0</v>
      </c>
      <c r="AP4080">
        <v>1</v>
      </c>
      <c r="AQ4080">
        <v>0</v>
      </c>
      <c r="AR4080">
        <v>0</v>
      </c>
      <c r="AS4080">
        <v>0</v>
      </c>
      <c r="AT4080">
        <v>0</v>
      </c>
      <c r="AU4080">
        <f t="shared" si="126"/>
        <v>1</v>
      </c>
      <c r="AV4080">
        <f t="shared" si="127"/>
        <v>0</v>
      </c>
    </row>
    <row r="4081" spans="1:48" x14ac:dyDescent="0.25">
      <c r="A4081" t="s">
        <v>13026</v>
      </c>
      <c r="B4081" t="s">
        <v>114</v>
      </c>
      <c r="C4081" t="s">
        <v>13027</v>
      </c>
      <c r="D4081" t="s">
        <v>13028</v>
      </c>
      <c r="E4081" t="s">
        <v>1663</v>
      </c>
      <c r="F4081">
        <v>5</v>
      </c>
      <c r="G4081">
        <v>5.0999999999999996</v>
      </c>
      <c r="H4081" t="s">
        <v>2327</v>
      </c>
      <c r="I4081" s="21">
        <v>41913</v>
      </c>
      <c r="J4081">
        <v>2014</v>
      </c>
      <c r="K4081" s="21">
        <v>42011</v>
      </c>
      <c r="L4081">
        <v>2015</v>
      </c>
      <c r="M4081" s="21">
        <v>43077</v>
      </c>
      <c r="N4081">
        <v>2017</v>
      </c>
      <c r="S4081" t="s">
        <v>9529</v>
      </c>
      <c r="T4081">
        <v>13914</v>
      </c>
      <c r="U4081">
        <v>13</v>
      </c>
      <c r="W4081">
        <v>-744</v>
      </c>
      <c r="X4081">
        <v>0</v>
      </c>
      <c r="Y4081">
        <v>0</v>
      </c>
      <c r="Z4081">
        <v>0</v>
      </c>
      <c r="AA4081">
        <v>0</v>
      </c>
      <c r="AB4081">
        <v>0</v>
      </c>
      <c r="AC4081">
        <v>0</v>
      </c>
      <c r="AD4081">
        <v>0</v>
      </c>
      <c r="AE4081">
        <v>0</v>
      </c>
      <c r="AF4081">
        <v>0</v>
      </c>
      <c r="AG4081">
        <v>0</v>
      </c>
      <c r="AH4081">
        <v>0</v>
      </c>
      <c r="AI4081">
        <v>0</v>
      </c>
      <c r="AJ4081">
        <v>0</v>
      </c>
      <c r="AK4081">
        <v>-744</v>
      </c>
      <c r="AL4081">
        <v>0</v>
      </c>
      <c r="AM4081">
        <v>0</v>
      </c>
      <c r="AN4081">
        <v>0</v>
      </c>
      <c r="AO4081">
        <v>0</v>
      </c>
      <c r="AP4081">
        <v>0</v>
      </c>
      <c r="AQ4081">
        <v>0</v>
      </c>
      <c r="AR4081">
        <v>0</v>
      </c>
      <c r="AS4081">
        <v>0</v>
      </c>
      <c r="AT4081">
        <v>0</v>
      </c>
      <c r="AU4081">
        <f t="shared" si="126"/>
        <v>0</v>
      </c>
      <c r="AV4081">
        <f t="shared" si="127"/>
        <v>-744</v>
      </c>
    </row>
    <row r="4082" spans="1:48" x14ac:dyDescent="0.25">
      <c r="A4082" t="s">
        <v>13026</v>
      </c>
      <c r="B4082" t="s">
        <v>114</v>
      </c>
      <c r="C4082" t="s">
        <v>13027</v>
      </c>
      <c r="D4082" t="s">
        <v>13028</v>
      </c>
      <c r="E4082" t="s">
        <v>1663</v>
      </c>
      <c r="F4082">
        <v>5</v>
      </c>
      <c r="G4082">
        <v>5.0999999999999996</v>
      </c>
      <c r="H4082" t="s">
        <v>2327</v>
      </c>
      <c r="I4082" s="21">
        <v>41913</v>
      </c>
      <c r="J4082">
        <v>2014</v>
      </c>
      <c r="K4082" s="21">
        <v>42011</v>
      </c>
      <c r="L4082">
        <v>2015</v>
      </c>
      <c r="M4082" s="21">
        <v>43077</v>
      </c>
      <c r="N4082">
        <v>2017</v>
      </c>
      <c r="Q4082" s="262">
        <v>242319</v>
      </c>
      <c r="S4082" t="s">
        <v>12464</v>
      </c>
      <c r="T4082">
        <v>13914</v>
      </c>
      <c r="W4082">
        <v>1540</v>
      </c>
      <c r="X4082">
        <v>1</v>
      </c>
      <c r="Y4082">
        <v>0</v>
      </c>
      <c r="Z4082">
        <v>0</v>
      </c>
      <c r="AA4082">
        <v>0</v>
      </c>
      <c r="AB4082">
        <v>0</v>
      </c>
      <c r="AC4082">
        <v>0</v>
      </c>
      <c r="AD4082">
        <v>1018</v>
      </c>
      <c r="AE4082">
        <v>0</v>
      </c>
      <c r="AF4082">
        <v>0</v>
      </c>
      <c r="AG4082">
        <v>0</v>
      </c>
      <c r="AH4082">
        <v>0</v>
      </c>
      <c r="AI4082">
        <v>0</v>
      </c>
      <c r="AJ4082">
        <v>261</v>
      </c>
      <c r="AK4082">
        <v>261</v>
      </c>
      <c r="AL4082">
        <v>0</v>
      </c>
      <c r="AM4082">
        <v>0</v>
      </c>
      <c r="AN4082">
        <v>0</v>
      </c>
      <c r="AO4082">
        <v>0</v>
      </c>
      <c r="AP4082">
        <v>1</v>
      </c>
      <c r="AQ4082">
        <v>0</v>
      </c>
      <c r="AR4082">
        <v>0</v>
      </c>
      <c r="AS4082">
        <v>0</v>
      </c>
      <c r="AT4082">
        <v>0</v>
      </c>
      <c r="AU4082">
        <f t="shared" si="126"/>
        <v>1</v>
      </c>
      <c r="AV4082">
        <f t="shared" si="127"/>
        <v>522</v>
      </c>
    </row>
    <row r="4083" spans="1:48" x14ac:dyDescent="0.25">
      <c r="A4083" t="s">
        <v>16693</v>
      </c>
      <c r="B4083" t="s">
        <v>114</v>
      </c>
      <c r="C4083" t="s">
        <v>16694</v>
      </c>
      <c r="D4083" t="s">
        <v>13028</v>
      </c>
      <c r="E4083" t="s">
        <v>1663</v>
      </c>
      <c r="F4083">
        <v>5</v>
      </c>
      <c r="G4083">
        <v>5.0999999999999996</v>
      </c>
      <c r="H4083" t="s">
        <v>2327</v>
      </c>
      <c r="I4083" s="21">
        <v>41913</v>
      </c>
      <c r="J4083">
        <v>2014</v>
      </c>
      <c r="K4083" s="21">
        <v>42011</v>
      </c>
      <c r="L4083">
        <v>2015</v>
      </c>
      <c r="M4083" s="21">
        <v>43439</v>
      </c>
      <c r="N4083">
        <v>2018</v>
      </c>
      <c r="S4083" t="s">
        <v>9529</v>
      </c>
      <c r="T4083">
        <v>13915</v>
      </c>
      <c r="U4083">
        <v>14</v>
      </c>
      <c r="W4083">
        <v>-750</v>
      </c>
      <c r="X4083">
        <v>0</v>
      </c>
      <c r="Y4083">
        <v>0</v>
      </c>
      <c r="Z4083">
        <v>0</v>
      </c>
      <c r="AA4083">
        <v>0</v>
      </c>
      <c r="AB4083">
        <v>0</v>
      </c>
      <c r="AC4083">
        <v>0</v>
      </c>
      <c r="AD4083">
        <v>0</v>
      </c>
      <c r="AE4083">
        <v>0</v>
      </c>
      <c r="AF4083">
        <v>0</v>
      </c>
      <c r="AG4083">
        <v>0</v>
      </c>
      <c r="AH4083">
        <v>0</v>
      </c>
      <c r="AI4083">
        <v>0</v>
      </c>
      <c r="AJ4083">
        <v>0</v>
      </c>
      <c r="AK4083">
        <v>0</v>
      </c>
      <c r="AL4083">
        <v>-750</v>
      </c>
      <c r="AM4083">
        <v>0</v>
      </c>
      <c r="AN4083">
        <v>0</v>
      </c>
      <c r="AO4083">
        <v>0</v>
      </c>
      <c r="AP4083">
        <v>0</v>
      </c>
      <c r="AQ4083">
        <v>0</v>
      </c>
      <c r="AR4083">
        <v>0</v>
      </c>
      <c r="AS4083">
        <v>0</v>
      </c>
      <c r="AT4083">
        <v>0</v>
      </c>
      <c r="AU4083">
        <f t="shared" si="126"/>
        <v>0</v>
      </c>
      <c r="AV4083">
        <f t="shared" si="127"/>
        <v>-750</v>
      </c>
    </row>
    <row r="4084" spans="1:48" x14ac:dyDescent="0.25">
      <c r="A4084" t="s">
        <v>16725</v>
      </c>
      <c r="B4084" t="s">
        <v>114</v>
      </c>
      <c r="C4084" t="s">
        <v>16726</v>
      </c>
      <c r="D4084" t="s">
        <v>13028</v>
      </c>
      <c r="E4084" t="s">
        <v>1663</v>
      </c>
      <c r="F4084">
        <v>5</v>
      </c>
      <c r="G4084">
        <v>5.0999999999999996</v>
      </c>
      <c r="H4084" t="s">
        <v>2327</v>
      </c>
      <c r="I4084" s="21">
        <v>41913</v>
      </c>
      <c r="J4084">
        <v>2014</v>
      </c>
      <c r="K4084" s="21">
        <v>42011</v>
      </c>
      <c r="L4084">
        <v>2015</v>
      </c>
      <c r="M4084" s="21">
        <v>43440</v>
      </c>
      <c r="N4084">
        <v>2018</v>
      </c>
      <c r="S4084" t="s">
        <v>9529</v>
      </c>
      <c r="T4084">
        <v>13916</v>
      </c>
      <c r="U4084">
        <v>21</v>
      </c>
      <c r="W4084">
        <v>-2068</v>
      </c>
      <c r="X4084">
        <v>-2</v>
      </c>
      <c r="Y4084">
        <v>0</v>
      </c>
      <c r="Z4084">
        <v>0</v>
      </c>
      <c r="AA4084">
        <v>0</v>
      </c>
      <c r="AB4084">
        <v>0</v>
      </c>
      <c r="AC4084">
        <v>0</v>
      </c>
      <c r="AD4084">
        <v>0</v>
      </c>
      <c r="AE4084">
        <v>-1496</v>
      </c>
      <c r="AF4084">
        <v>0</v>
      </c>
      <c r="AG4084">
        <v>0</v>
      </c>
      <c r="AH4084">
        <v>0</v>
      </c>
      <c r="AI4084">
        <v>0</v>
      </c>
      <c r="AJ4084">
        <v>0</v>
      </c>
      <c r="AK4084">
        <v>-572</v>
      </c>
      <c r="AL4084">
        <v>0</v>
      </c>
      <c r="AM4084">
        <v>0</v>
      </c>
      <c r="AN4084">
        <v>0</v>
      </c>
      <c r="AO4084">
        <v>0</v>
      </c>
      <c r="AP4084">
        <v>0</v>
      </c>
      <c r="AQ4084">
        <v>-2</v>
      </c>
      <c r="AR4084">
        <v>0</v>
      </c>
      <c r="AS4084">
        <v>0</v>
      </c>
      <c r="AT4084">
        <v>0</v>
      </c>
      <c r="AU4084">
        <f t="shared" si="126"/>
        <v>-2</v>
      </c>
      <c r="AV4084">
        <f t="shared" si="127"/>
        <v>-572</v>
      </c>
    </row>
    <row r="4085" spans="1:48" x14ac:dyDescent="0.25">
      <c r="A4085" t="s">
        <v>18906</v>
      </c>
      <c r="B4085" t="s">
        <v>114</v>
      </c>
      <c r="C4085" t="s">
        <v>18907</v>
      </c>
      <c r="D4085" t="s">
        <v>13028</v>
      </c>
      <c r="E4085" t="s">
        <v>1663</v>
      </c>
      <c r="F4085">
        <v>5</v>
      </c>
      <c r="G4085">
        <v>5.0999999999999996</v>
      </c>
      <c r="H4085" t="s">
        <v>2327</v>
      </c>
      <c r="I4085" s="21">
        <v>41913</v>
      </c>
      <c r="J4085">
        <v>2014</v>
      </c>
      <c r="K4085" s="21">
        <v>42011</v>
      </c>
      <c r="L4085">
        <v>2015</v>
      </c>
      <c r="M4085" s="21">
        <v>43668</v>
      </c>
      <c r="N4085">
        <v>2019</v>
      </c>
      <c r="P4085" s="21">
        <v>42191</v>
      </c>
      <c r="Q4085" s="262">
        <v>314700</v>
      </c>
      <c r="S4085" t="s">
        <v>13254</v>
      </c>
      <c r="V4085">
        <v>0</v>
      </c>
      <c r="W4085">
        <v>2000</v>
      </c>
      <c r="X4085">
        <v>1</v>
      </c>
      <c r="Y4085">
        <v>0</v>
      </c>
      <c r="Z4085">
        <v>0</v>
      </c>
      <c r="AA4085">
        <v>0</v>
      </c>
      <c r="AB4085">
        <v>0</v>
      </c>
      <c r="AC4085">
        <v>0</v>
      </c>
      <c r="AD4085">
        <v>1420</v>
      </c>
      <c r="AE4085">
        <v>0</v>
      </c>
      <c r="AF4085">
        <v>0</v>
      </c>
      <c r="AG4085">
        <v>0</v>
      </c>
      <c r="AH4085">
        <v>0</v>
      </c>
      <c r="AI4085">
        <v>0</v>
      </c>
      <c r="AJ4085">
        <v>290</v>
      </c>
      <c r="AK4085">
        <v>290</v>
      </c>
      <c r="AL4085">
        <v>0</v>
      </c>
      <c r="AM4085">
        <v>0</v>
      </c>
      <c r="AN4085">
        <v>0</v>
      </c>
      <c r="AO4085">
        <v>0</v>
      </c>
      <c r="AP4085">
        <v>1</v>
      </c>
      <c r="AQ4085">
        <v>0</v>
      </c>
      <c r="AR4085">
        <v>0</v>
      </c>
      <c r="AS4085">
        <v>0</v>
      </c>
      <c r="AT4085">
        <v>0</v>
      </c>
      <c r="AU4085">
        <f t="shared" si="126"/>
        <v>1</v>
      </c>
      <c r="AV4085">
        <f t="shared" si="127"/>
        <v>580</v>
      </c>
    </row>
    <row r="4086" spans="1:48" x14ac:dyDescent="0.25">
      <c r="A4086" t="s">
        <v>19421</v>
      </c>
      <c r="B4086" t="s">
        <v>114</v>
      </c>
      <c r="C4086" t="s">
        <v>16694</v>
      </c>
      <c r="D4086" t="s">
        <v>13028</v>
      </c>
      <c r="E4086" t="s">
        <v>1663</v>
      </c>
      <c r="F4086">
        <v>5</v>
      </c>
      <c r="G4086">
        <v>5.0999999999999996</v>
      </c>
      <c r="H4086" t="s">
        <v>2327</v>
      </c>
      <c r="I4086" s="21">
        <v>41913</v>
      </c>
      <c r="J4086">
        <v>2014</v>
      </c>
      <c r="K4086" s="21">
        <v>42011</v>
      </c>
      <c r="L4086">
        <v>2015</v>
      </c>
      <c r="M4086" s="21">
        <v>43444</v>
      </c>
      <c r="N4086">
        <v>2018</v>
      </c>
      <c r="Q4086" s="262">
        <v>242319</v>
      </c>
      <c r="S4086" t="s">
        <v>12464</v>
      </c>
      <c r="T4086">
        <v>13914</v>
      </c>
      <c r="V4086">
        <v>0</v>
      </c>
      <c r="W4086">
        <v>1540</v>
      </c>
      <c r="X4086">
        <v>1</v>
      </c>
      <c r="Y4086">
        <v>0</v>
      </c>
      <c r="Z4086">
        <v>0</v>
      </c>
      <c r="AA4086">
        <v>0</v>
      </c>
      <c r="AB4086">
        <v>0</v>
      </c>
      <c r="AC4086">
        <v>0</v>
      </c>
      <c r="AD4086">
        <v>1018</v>
      </c>
      <c r="AE4086">
        <v>0</v>
      </c>
      <c r="AF4086">
        <v>0</v>
      </c>
      <c r="AG4086">
        <v>0</v>
      </c>
      <c r="AH4086">
        <v>0</v>
      </c>
      <c r="AI4086">
        <v>0</v>
      </c>
      <c r="AJ4086">
        <v>261</v>
      </c>
      <c r="AK4086">
        <v>261</v>
      </c>
      <c r="AL4086">
        <v>0</v>
      </c>
      <c r="AM4086">
        <v>0</v>
      </c>
      <c r="AN4086">
        <v>0</v>
      </c>
      <c r="AO4086">
        <v>0</v>
      </c>
      <c r="AP4086">
        <v>1</v>
      </c>
      <c r="AQ4086">
        <v>0</v>
      </c>
      <c r="AR4086">
        <v>0</v>
      </c>
      <c r="AS4086">
        <v>0</v>
      </c>
      <c r="AT4086">
        <v>0</v>
      </c>
      <c r="AU4086">
        <f t="shared" si="126"/>
        <v>1</v>
      </c>
      <c r="AV4086">
        <f t="shared" si="127"/>
        <v>522</v>
      </c>
    </row>
    <row r="4087" spans="1:48" x14ac:dyDescent="0.25">
      <c r="A4087" t="s">
        <v>19422</v>
      </c>
      <c r="B4087" t="s">
        <v>114</v>
      </c>
      <c r="C4087" t="s">
        <v>13027</v>
      </c>
      <c r="D4087" t="s">
        <v>13028</v>
      </c>
      <c r="E4087" t="s">
        <v>1663</v>
      </c>
      <c r="F4087">
        <v>5</v>
      </c>
      <c r="G4087">
        <v>5.0999999999999996</v>
      </c>
      <c r="H4087" t="s">
        <v>2327</v>
      </c>
      <c r="I4087" s="21">
        <v>41913</v>
      </c>
      <c r="J4087">
        <v>2014</v>
      </c>
      <c r="K4087" s="21">
        <v>42011</v>
      </c>
      <c r="L4087">
        <v>2015</v>
      </c>
      <c r="M4087" s="21">
        <v>43452</v>
      </c>
      <c r="N4087">
        <v>2018</v>
      </c>
      <c r="Q4087" s="262">
        <v>202194</v>
      </c>
      <c r="S4087" t="s">
        <v>12464</v>
      </c>
      <c r="T4087">
        <v>13914</v>
      </c>
      <c r="V4087">
        <v>0</v>
      </c>
      <c r="W4087">
        <v>1285</v>
      </c>
      <c r="X4087">
        <v>1</v>
      </c>
      <c r="Y4087">
        <v>0</v>
      </c>
      <c r="Z4087">
        <v>0</v>
      </c>
      <c r="AA4087">
        <v>0</v>
      </c>
      <c r="AB4087">
        <v>0</v>
      </c>
      <c r="AC4087">
        <v>0</v>
      </c>
      <c r="AD4087">
        <v>763</v>
      </c>
      <c r="AE4087">
        <v>0</v>
      </c>
      <c r="AF4087">
        <v>0</v>
      </c>
      <c r="AG4087">
        <v>0</v>
      </c>
      <c r="AH4087">
        <v>0</v>
      </c>
      <c r="AI4087">
        <v>0</v>
      </c>
      <c r="AJ4087">
        <v>261</v>
      </c>
      <c r="AK4087">
        <v>261</v>
      </c>
      <c r="AL4087">
        <v>0</v>
      </c>
      <c r="AM4087">
        <v>0</v>
      </c>
      <c r="AN4087">
        <v>0</v>
      </c>
      <c r="AO4087">
        <v>0</v>
      </c>
      <c r="AP4087">
        <v>1</v>
      </c>
      <c r="AQ4087">
        <v>0</v>
      </c>
      <c r="AR4087">
        <v>0</v>
      </c>
      <c r="AS4087">
        <v>0</v>
      </c>
      <c r="AT4087">
        <v>0</v>
      </c>
      <c r="AU4087">
        <f t="shared" si="126"/>
        <v>1</v>
      </c>
      <c r="AV4087">
        <f t="shared" si="127"/>
        <v>522</v>
      </c>
    </row>
    <row r="4088" spans="1:48" x14ac:dyDescent="0.25">
      <c r="A4088" t="s">
        <v>19427</v>
      </c>
      <c r="B4088" t="s">
        <v>114</v>
      </c>
      <c r="C4088" t="s">
        <v>16694</v>
      </c>
      <c r="D4088" t="s">
        <v>13028</v>
      </c>
      <c r="E4088" t="s">
        <v>1663</v>
      </c>
      <c r="F4088">
        <v>5</v>
      </c>
      <c r="G4088">
        <v>5.0999999999999996</v>
      </c>
      <c r="H4088" t="s">
        <v>2327</v>
      </c>
      <c r="I4088" s="21">
        <v>41913</v>
      </c>
      <c r="J4088">
        <v>2014</v>
      </c>
      <c r="K4088" s="21">
        <v>42011</v>
      </c>
      <c r="L4088">
        <v>2015</v>
      </c>
      <c r="M4088" s="21">
        <v>43642</v>
      </c>
      <c r="N4088">
        <v>2019</v>
      </c>
      <c r="P4088" s="21">
        <v>42191</v>
      </c>
      <c r="Q4088" s="262">
        <v>176232</v>
      </c>
      <c r="S4088" t="s">
        <v>12464</v>
      </c>
      <c r="T4088">
        <v>13914</v>
      </c>
      <c r="V4088">
        <v>0</v>
      </c>
      <c r="W4088">
        <v>1120</v>
      </c>
      <c r="X4088">
        <v>1</v>
      </c>
      <c r="Y4088">
        <v>0</v>
      </c>
      <c r="Z4088">
        <v>0</v>
      </c>
      <c r="AA4088">
        <v>0</v>
      </c>
      <c r="AB4088">
        <v>0</v>
      </c>
      <c r="AC4088">
        <v>0</v>
      </c>
      <c r="AD4088">
        <v>576</v>
      </c>
      <c r="AE4088">
        <v>0</v>
      </c>
      <c r="AF4088">
        <v>0</v>
      </c>
      <c r="AG4088">
        <v>0</v>
      </c>
      <c r="AH4088">
        <v>0</v>
      </c>
      <c r="AI4088">
        <v>0</v>
      </c>
      <c r="AJ4088">
        <v>272</v>
      </c>
      <c r="AK4088">
        <v>272</v>
      </c>
      <c r="AL4088">
        <v>0</v>
      </c>
      <c r="AM4088">
        <v>0</v>
      </c>
      <c r="AN4088">
        <v>0</v>
      </c>
      <c r="AO4088">
        <v>0</v>
      </c>
      <c r="AP4088">
        <v>1</v>
      </c>
      <c r="AQ4088">
        <v>0</v>
      </c>
      <c r="AR4088">
        <v>0</v>
      </c>
      <c r="AS4088">
        <v>0</v>
      </c>
      <c r="AT4088">
        <v>0</v>
      </c>
      <c r="AU4088">
        <f t="shared" si="126"/>
        <v>1</v>
      </c>
      <c r="AV4088">
        <f t="shared" si="127"/>
        <v>544</v>
      </c>
    </row>
    <row r="4089" spans="1:48" x14ac:dyDescent="0.25">
      <c r="A4089" t="s">
        <v>19437</v>
      </c>
      <c r="B4089" t="s">
        <v>114</v>
      </c>
      <c r="C4089" t="s">
        <v>16694</v>
      </c>
      <c r="D4089" t="s">
        <v>13028</v>
      </c>
      <c r="E4089" t="s">
        <v>1663</v>
      </c>
      <c r="F4089">
        <v>5</v>
      </c>
      <c r="G4089">
        <v>5.0999999999999996</v>
      </c>
      <c r="H4089" t="s">
        <v>2327</v>
      </c>
      <c r="I4089" s="21">
        <v>41913</v>
      </c>
      <c r="J4089">
        <v>2014</v>
      </c>
      <c r="K4089" s="21">
        <v>42011</v>
      </c>
      <c r="L4089">
        <v>2015</v>
      </c>
      <c r="M4089" s="21">
        <v>43643</v>
      </c>
      <c r="N4089">
        <v>2019</v>
      </c>
      <c r="Q4089" s="262">
        <v>202194</v>
      </c>
      <c r="S4089" t="s">
        <v>12464</v>
      </c>
      <c r="T4089">
        <v>13914</v>
      </c>
      <c r="V4089">
        <v>0</v>
      </c>
      <c r="W4089">
        <v>1285</v>
      </c>
      <c r="X4089">
        <v>1</v>
      </c>
      <c r="Y4089">
        <v>0</v>
      </c>
      <c r="Z4089">
        <v>0</v>
      </c>
      <c r="AA4089">
        <v>0</v>
      </c>
      <c r="AB4089">
        <v>0</v>
      </c>
      <c r="AC4089">
        <v>0</v>
      </c>
      <c r="AD4089">
        <v>763</v>
      </c>
      <c r="AE4089">
        <v>0</v>
      </c>
      <c r="AF4089">
        <v>0</v>
      </c>
      <c r="AG4089">
        <v>0</v>
      </c>
      <c r="AH4089">
        <v>0</v>
      </c>
      <c r="AI4089">
        <v>0</v>
      </c>
      <c r="AJ4089">
        <v>261</v>
      </c>
      <c r="AK4089">
        <v>261</v>
      </c>
      <c r="AL4089">
        <v>0</v>
      </c>
      <c r="AM4089">
        <v>0</v>
      </c>
      <c r="AN4089">
        <v>0</v>
      </c>
      <c r="AO4089">
        <v>0</v>
      </c>
      <c r="AP4089">
        <v>1</v>
      </c>
      <c r="AQ4089">
        <v>0</v>
      </c>
      <c r="AR4089">
        <v>0</v>
      </c>
      <c r="AS4089">
        <v>0</v>
      </c>
      <c r="AT4089">
        <v>0</v>
      </c>
      <c r="AU4089">
        <f t="shared" si="126"/>
        <v>1</v>
      </c>
      <c r="AV4089">
        <f t="shared" si="127"/>
        <v>522</v>
      </c>
    </row>
    <row r="4090" spans="1:48" x14ac:dyDescent="0.25">
      <c r="A4090" t="s">
        <v>19454</v>
      </c>
      <c r="B4090" t="s">
        <v>114</v>
      </c>
      <c r="C4090" t="s">
        <v>16694</v>
      </c>
      <c r="D4090" t="s">
        <v>13028</v>
      </c>
      <c r="E4090" t="s">
        <v>1663</v>
      </c>
      <c r="F4090">
        <v>5</v>
      </c>
      <c r="G4090">
        <v>5.0999999999999996</v>
      </c>
      <c r="H4090" t="s">
        <v>2327</v>
      </c>
      <c r="I4090" s="21">
        <v>41913</v>
      </c>
      <c r="J4090">
        <v>2014</v>
      </c>
      <c r="K4090" s="21">
        <v>42011</v>
      </c>
      <c r="L4090">
        <v>2015</v>
      </c>
      <c r="M4090" s="21">
        <v>43749</v>
      </c>
      <c r="N4090">
        <v>2019</v>
      </c>
      <c r="Q4090" s="262">
        <v>176232</v>
      </c>
      <c r="S4090" t="s">
        <v>12464</v>
      </c>
      <c r="T4090">
        <v>13914</v>
      </c>
      <c r="V4090">
        <v>0</v>
      </c>
      <c r="W4090">
        <v>1120</v>
      </c>
      <c r="X4090">
        <v>1</v>
      </c>
      <c r="Y4090">
        <v>0</v>
      </c>
      <c r="Z4090">
        <v>0</v>
      </c>
      <c r="AA4090">
        <v>0</v>
      </c>
      <c r="AB4090">
        <v>0</v>
      </c>
      <c r="AC4090">
        <v>0</v>
      </c>
      <c r="AD4090">
        <v>576</v>
      </c>
      <c r="AE4090">
        <v>0</v>
      </c>
      <c r="AF4090">
        <v>0</v>
      </c>
      <c r="AG4090">
        <v>0</v>
      </c>
      <c r="AH4090">
        <v>0</v>
      </c>
      <c r="AI4090">
        <v>0</v>
      </c>
      <c r="AJ4090">
        <v>272</v>
      </c>
      <c r="AK4090">
        <v>272</v>
      </c>
      <c r="AL4090">
        <v>0</v>
      </c>
      <c r="AM4090">
        <v>0</v>
      </c>
      <c r="AN4090">
        <v>0</v>
      </c>
      <c r="AO4090">
        <v>0</v>
      </c>
      <c r="AP4090">
        <v>1</v>
      </c>
      <c r="AQ4090">
        <v>0</v>
      </c>
      <c r="AR4090">
        <v>0</v>
      </c>
      <c r="AS4090">
        <v>0</v>
      </c>
      <c r="AT4090">
        <v>0</v>
      </c>
      <c r="AU4090">
        <f t="shared" si="126"/>
        <v>1</v>
      </c>
      <c r="AV4090">
        <f t="shared" si="127"/>
        <v>544</v>
      </c>
    </row>
    <row r="4091" spans="1:48" x14ac:dyDescent="0.25">
      <c r="A4091" t="s">
        <v>19458</v>
      </c>
      <c r="B4091" t="s">
        <v>114</v>
      </c>
      <c r="C4091" t="s">
        <v>16694</v>
      </c>
      <c r="D4091" t="s">
        <v>13028</v>
      </c>
      <c r="E4091" t="s">
        <v>1663</v>
      </c>
      <c r="F4091">
        <v>5</v>
      </c>
      <c r="G4091">
        <v>5.0999999999999996</v>
      </c>
      <c r="H4091" t="s">
        <v>2327</v>
      </c>
      <c r="I4091" s="21">
        <v>41913</v>
      </c>
      <c r="J4091">
        <v>2014</v>
      </c>
      <c r="K4091" s="21">
        <v>42011</v>
      </c>
      <c r="L4091">
        <v>2015</v>
      </c>
      <c r="M4091" s="21">
        <v>43889</v>
      </c>
      <c r="N4091">
        <v>2020</v>
      </c>
      <c r="Q4091" s="262">
        <v>176232</v>
      </c>
      <c r="S4091" t="s">
        <v>12464</v>
      </c>
      <c r="T4091">
        <v>13914</v>
      </c>
      <c r="V4091">
        <v>0</v>
      </c>
      <c r="W4091">
        <v>1120</v>
      </c>
      <c r="X4091">
        <v>1</v>
      </c>
      <c r="Y4091">
        <v>0</v>
      </c>
      <c r="Z4091">
        <v>0</v>
      </c>
      <c r="AA4091">
        <v>0</v>
      </c>
      <c r="AB4091">
        <v>0</v>
      </c>
      <c r="AC4091">
        <v>0</v>
      </c>
      <c r="AD4091">
        <v>576</v>
      </c>
      <c r="AE4091">
        <v>0</v>
      </c>
      <c r="AF4091">
        <v>0</v>
      </c>
      <c r="AG4091">
        <v>0</v>
      </c>
      <c r="AH4091">
        <v>0</v>
      </c>
      <c r="AI4091">
        <v>0</v>
      </c>
      <c r="AJ4091">
        <v>272</v>
      </c>
      <c r="AK4091">
        <v>272</v>
      </c>
      <c r="AL4091">
        <v>0</v>
      </c>
      <c r="AM4091">
        <v>0</v>
      </c>
      <c r="AN4091">
        <v>0</v>
      </c>
      <c r="AO4091">
        <v>0</v>
      </c>
      <c r="AP4091">
        <v>1</v>
      </c>
      <c r="AQ4091">
        <v>0</v>
      </c>
      <c r="AR4091">
        <v>0</v>
      </c>
      <c r="AS4091">
        <v>0</v>
      </c>
      <c r="AT4091">
        <v>0</v>
      </c>
      <c r="AU4091">
        <f t="shared" si="126"/>
        <v>1</v>
      </c>
      <c r="AV4091">
        <f t="shared" si="127"/>
        <v>544</v>
      </c>
    </row>
    <row r="4092" spans="1:48" x14ac:dyDescent="0.25">
      <c r="A4092" t="s">
        <v>19459</v>
      </c>
      <c r="B4092" t="s">
        <v>114</v>
      </c>
      <c r="C4092" t="s">
        <v>19460</v>
      </c>
      <c r="D4092" t="s">
        <v>13028</v>
      </c>
      <c r="E4092" t="s">
        <v>1663</v>
      </c>
      <c r="F4092">
        <v>5</v>
      </c>
      <c r="G4092">
        <v>5.0999999999999996</v>
      </c>
      <c r="H4092" t="s">
        <v>2327</v>
      </c>
      <c r="I4092" s="21">
        <v>41913</v>
      </c>
      <c r="J4092">
        <v>2014</v>
      </c>
      <c r="K4092" s="21">
        <v>42011</v>
      </c>
      <c r="L4092">
        <v>2015</v>
      </c>
      <c r="M4092" s="21">
        <v>44007</v>
      </c>
      <c r="N4092">
        <v>2020</v>
      </c>
      <c r="Q4092" s="262">
        <v>242319</v>
      </c>
      <c r="S4092" t="s">
        <v>12464</v>
      </c>
      <c r="T4092">
        <v>13914</v>
      </c>
      <c r="V4092">
        <v>0</v>
      </c>
      <c r="W4092">
        <v>1540</v>
      </c>
      <c r="X4092">
        <v>1</v>
      </c>
      <c r="Y4092">
        <v>0</v>
      </c>
      <c r="Z4092">
        <v>0</v>
      </c>
      <c r="AA4092">
        <v>0</v>
      </c>
      <c r="AB4092">
        <v>0</v>
      </c>
      <c r="AC4092">
        <v>0</v>
      </c>
      <c r="AD4092">
        <v>1018</v>
      </c>
      <c r="AE4092">
        <v>0</v>
      </c>
      <c r="AF4092">
        <v>0</v>
      </c>
      <c r="AG4092">
        <v>0</v>
      </c>
      <c r="AH4092">
        <v>0</v>
      </c>
      <c r="AI4092">
        <v>0</v>
      </c>
      <c r="AJ4092">
        <v>261</v>
      </c>
      <c r="AK4092">
        <v>261</v>
      </c>
      <c r="AL4092">
        <v>0</v>
      </c>
      <c r="AM4092">
        <v>0</v>
      </c>
      <c r="AN4092">
        <v>0</v>
      </c>
      <c r="AO4092">
        <v>0</v>
      </c>
      <c r="AP4092">
        <v>1</v>
      </c>
      <c r="AQ4092">
        <v>0</v>
      </c>
      <c r="AR4092">
        <v>0</v>
      </c>
      <c r="AS4092">
        <v>0</v>
      </c>
      <c r="AT4092">
        <v>0</v>
      </c>
      <c r="AU4092">
        <f t="shared" si="126"/>
        <v>1</v>
      </c>
      <c r="AV4092">
        <f t="shared" si="127"/>
        <v>522</v>
      </c>
    </row>
    <row r="4093" spans="1:48" x14ac:dyDescent="0.25">
      <c r="A4093" t="s">
        <v>16693</v>
      </c>
      <c r="B4093" t="s">
        <v>114</v>
      </c>
      <c r="C4093" t="s">
        <v>16694</v>
      </c>
      <c r="D4093" t="s">
        <v>13028</v>
      </c>
      <c r="E4093" t="s">
        <v>1663</v>
      </c>
      <c r="F4093">
        <v>5</v>
      </c>
      <c r="G4093">
        <v>5.0999999999999996</v>
      </c>
      <c r="H4093" t="s">
        <v>2327</v>
      </c>
      <c r="I4093" s="21">
        <v>41913</v>
      </c>
      <c r="J4093">
        <v>2014</v>
      </c>
      <c r="K4093" s="21">
        <v>42011</v>
      </c>
      <c r="L4093">
        <v>2015</v>
      </c>
      <c r="M4093" s="21">
        <v>43439</v>
      </c>
      <c r="N4093">
        <v>2018</v>
      </c>
      <c r="P4093" s="21">
        <v>42739</v>
      </c>
      <c r="Q4093" s="262">
        <v>176232</v>
      </c>
      <c r="S4093" t="s">
        <v>12464</v>
      </c>
      <c r="T4093">
        <v>13915</v>
      </c>
      <c r="V4093">
        <v>0</v>
      </c>
      <c r="W4093">
        <v>1120</v>
      </c>
      <c r="X4093">
        <v>1</v>
      </c>
      <c r="Y4093">
        <v>0</v>
      </c>
      <c r="Z4093">
        <v>0</v>
      </c>
      <c r="AA4093">
        <v>0</v>
      </c>
      <c r="AB4093">
        <v>0</v>
      </c>
      <c r="AC4093">
        <v>0</v>
      </c>
      <c r="AD4093">
        <v>576</v>
      </c>
      <c r="AE4093">
        <v>0</v>
      </c>
      <c r="AF4093">
        <v>0</v>
      </c>
      <c r="AG4093">
        <v>0</v>
      </c>
      <c r="AH4093">
        <v>0</v>
      </c>
      <c r="AI4093">
        <v>0</v>
      </c>
      <c r="AJ4093">
        <v>272</v>
      </c>
      <c r="AK4093">
        <v>272</v>
      </c>
      <c r="AL4093">
        <v>0</v>
      </c>
      <c r="AM4093">
        <v>0</v>
      </c>
      <c r="AN4093">
        <v>0</v>
      </c>
      <c r="AO4093">
        <v>0</v>
      </c>
      <c r="AP4093">
        <v>1</v>
      </c>
      <c r="AQ4093">
        <v>0</v>
      </c>
      <c r="AR4093">
        <v>0</v>
      </c>
      <c r="AS4093">
        <v>0</v>
      </c>
      <c r="AT4093">
        <v>0</v>
      </c>
      <c r="AU4093">
        <f t="shared" si="126"/>
        <v>1</v>
      </c>
      <c r="AV4093">
        <f t="shared" si="127"/>
        <v>544</v>
      </c>
    </row>
    <row r="4094" spans="1:48" x14ac:dyDescent="0.25">
      <c r="A4094" t="s">
        <v>19495</v>
      </c>
      <c r="B4094" t="s">
        <v>114</v>
      </c>
      <c r="C4094" t="s">
        <v>16694</v>
      </c>
      <c r="D4094" t="s">
        <v>13028</v>
      </c>
      <c r="E4094" t="s">
        <v>1663</v>
      </c>
      <c r="F4094">
        <v>5</v>
      </c>
      <c r="G4094">
        <v>5.0999999999999996</v>
      </c>
      <c r="H4094" t="s">
        <v>2327</v>
      </c>
      <c r="I4094" s="21">
        <v>41913</v>
      </c>
      <c r="J4094">
        <v>2014</v>
      </c>
      <c r="K4094" s="21">
        <v>42011</v>
      </c>
      <c r="L4094">
        <v>2015</v>
      </c>
      <c r="M4094" s="21">
        <v>43439</v>
      </c>
      <c r="N4094">
        <v>2018</v>
      </c>
      <c r="P4094" s="21">
        <v>42220</v>
      </c>
      <c r="Q4094" s="262">
        <v>242319</v>
      </c>
      <c r="S4094" t="s">
        <v>12464</v>
      </c>
      <c r="T4094">
        <v>13915</v>
      </c>
      <c r="V4094">
        <v>0</v>
      </c>
      <c r="W4094">
        <v>1540</v>
      </c>
      <c r="X4094">
        <v>1</v>
      </c>
      <c r="Y4094">
        <v>0</v>
      </c>
      <c r="Z4094">
        <v>0</v>
      </c>
      <c r="AA4094">
        <v>0</v>
      </c>
      <c r="AB4094">
        <v>0</v>
      </c>
      <c r="AC4094">
        <v>0</v>
      </c>
      <c r="AD4094">
        <v>1018</v>
      </c>
      <c r="AE4094">
        <v>0</v>
      </c>
      <c r="AF4094">
        <v>0</v>
      </c>
      <c r="AG4094">
        <v>0</v>
      </c>
      <c r="AH4094">
        <v>0</v>
      </c>
      <c r="AI4094">
        <v>0</v>
      </c>
      <c r="AJ4094">
        <v>261</v>
      </c>
      <c r="AK4094">
        <v>261</v>
      </c>
      <c r="AL4094">
        <v>0</v>
      </c>
      <c r="AM4094">
        <v>0</v>
      </c>
      <c r="AN4094">
        <v>0</v>
      </c>
      <c r="AO4094">
        <v>0</v>
      </c>
      <c r="AP4094">
        <v>1</v>
      </c>
      <c r="AQ4094">
        <v>0</v>
      </c>
      <c r="AR4094">
        <v>0</v>
      </c>
      <c r="AS4094">
        <v>0</v>
      </c>
      <c r="AT4094">
        <v>0</v>
      </c>
      <c r="AU4094">
        <f t="shared" si="126"/>
        <v>1</v>
      </c>
      <c r="AV4094">
        <f t="shared" si="127"/>
        <v>522</v>
      </c>
    </row>
    <row r="4095" spans="1:48" x14ac:dyDescent="0.25">
      <c r="A4095" t="s">
        <v>19496</v>
      </c>
      <c r="B4095" t="s">
        <v>114</v>
      </c>
      <c r="C4095" t="s">
        <v>16694</v>
      </c>
      <c r="D4095" t="s">
        <v>13028</v>
      </c>
      <c r="E4095" t="s">
        <v>1663</v>
      </c>
      <c r="F4095">
        <v>5</v>
      </c>
      <c r="G4095">
        <v>5.0999999999999996</v>
      </c>
      <c r="H4095" t="s">
        <v>2327</v>
      </c>
      <c r="I4095" s="21">
        <v>41913</v>
      </c>
      <c r="J4095">
        <v>2014</v>
      </c>
      <c r="K4095" s="21">
        <v>42011</v>
      </c>
      <c r="L4095">
        <v>2015</v>
      </c>
      <c r="M4095" s="21">
        <v>43440</v>
      </c>
      <c r="N4095">
        <v>2018</v>
      </c>
      <c r="Q4095" s="262">
        <v>202194</v>
      </c>
      <c r="S4095" t="s">
        <v>12464</v>
      </c>
      <c r="T4095">
        <v>13915</v>
      </c>
      <c r="W4095">
        <v>1285</v>
      </c>
      <c r="X4095">
        <v>1</v>
      </c>
      <c r="Y4095">
        <v>0</v>
      </c>
      <c r="Z4095">
        <v>0</v>
      </c>
      <c r="AA4095">
        <v>0</v>
      </c>
      <c r="AB4095">
        <v>0</v>
      </c>
      <c r="AC4095">
        <v>0</v>
      </c>
      <c r="AD4095">
        <v>763</v>
      </c>
      <c r="AE4095">
        <v>0</v>
      </c>
      <c r="AF4095">
        <v>0</v>
      </c>
      <c r="AG4095">
        <v>0</v>
      </c>
      <c r="AH4095">
        <v>0</v>
      </c>
      <c r="AI4095">
        <v>0</v>
      </c>
      <c r="AJ4095">
        <v>261</v>
      </c>
      <c r="AK4095">
        <v>261</v>
      </c>
      <c r="AL4095">
        <v>0</v>
      </c>
      <c r="AM4095">
        <v>0</v>
      </c>
      <c r="AN4095">
        <v>0</v>
      </c>
      <c r="AO4095">
        <v>0</v>
      </c>
      <c r="AP4095">
        <v>1</v>
      </c>
      <c r="AQ4095">
        <v>0</v>
      </c>
      <c r="AR4095">
        <v>0</v>
      </c>
      <c r="AS4095">
        <v>0</v>
      </c>
      <c r="AT4095">
        <v>0</v>
      </c>
      <c r="AU4095">
        <f t="shared" si="126"/>
        <v>1</v>
      </c>
      <c r="AV4095">
        <f t="shared" si="127"/>
        <v>522</v>
      </c>
    </row>
    <row r="4096" spans="1:48" x14ac:dyDescent="0.25">
      <c r="A4096" t="s">
        <v>19502</v>
      </c>
      <c r="B4096" t="s">
        <v>114</v>
      </c>
      <c r="C4096" t="s">
        <v>16694</v>
      </c>
      <c r="D4096" t="s">
        <v>13028</v>
      </c>
      <c r="E4096" t="s">
        <v>1663</v>
      </c>
      <c r="F4096">
        <v>5</v>
      </c>
      <c r="G4096">
        <v>5.0999999999999996</v>
      </c>
      <c r="H4096" t="s">
        <v>2327</v>
      </c>
      <c r="I4096" s="21">
        <v>41913</v>
      </c>
      <c r="J4096">
        <v>2014</v>
      </c>
      <c r="K4096" s="21">
        <v>42010</v>
      </c>
      <c r="L4096">
        <v>2015</v>
      </c>
      <c r="M4096" s="21">
        <v>43444</v>
      </c>
      <c r="N4096">
        <v>2018</v>
      </c>
      <c r="P4096" s="21">
        <v>43885</v>
      </c>
      <c r="Q4096" s="262">
        <v>202194</v>
      </c>
      <c r="S4096" t="s">
        <v>12464</v>
      </c>
      <c r="T4096">
        <v>13915</v>
      </c>
      <c r="V4096">
        <v>0</v>
      </c>
      <c r="W4096">
        <v>1285</v>
      </c>
      <c r="X4096">
        <v>1</v>
      </c>
      <c r="Y4096">
        <v>0</v>
      </c>
      <c r="Z4096">
        <v>0</v>
      </c>
      <c r="AA4096">
        <v>0</v>
      </c>
      <c r="AB4096">
        <v>0</v>
      </c>
      <c r="AC4096">
        <v>0</v>
      </c>
      <c r="AD4096">
        <v>763</v>
      </c>
      <c r="AE4096">
        <v>0</v>
      </c>
      <c r="AF4096">
        <v>0</v>
      </c>
      <c r="AG4096">
        <v>0</v>
      </c>
      <c r="AH4096">
        <v>0</v>
      </c>
      <c r="AI4096">
        <v>0</v>
      </c>
      <c r="AJ4096">
        <v>261</v>
      </c>
      <c r="AK4096">
        <v>261</v>
      </c>
      <c r="AL4096">
        <v>0</v>
      </c>
      <c r="AM4096">
        <v>0</v>
      </c>
      <c r="AN4096">
        <v>0</v>
      </c>
      <c r="AO4096">
        <v>0</v>
      </c>
      <c r="AP4096">
        <v>1</v>
      </c>
      <c r="AQ4096">
        <v>0</v>
      </c>
      <c r="AR4096">
        <v>0</v>
      </c>
      <c r="AS4096">
        <v>0</v>
      </c>
      <c r="AT4096">
        <v>0</v>
      </c>
      <c r="AU4096">
        <f t="shared" si="126"/>
        <v>1</v>
      </c>
      <c r="AV4096">
        <f t="shared" si="127"/>
        <v>522</v>
      </c>
    </row>
    <row r="4097" spans="1:48" x14ac:dyDescent="0.25">
      <c r="A4097" t="s">
        <v>19515</v>
      </c>
      <c r="B4097" t="s">
        <v>114</v>
      </c>
      <c r="C4097" t="s">
        <v>16726</v>
      </c>
      <c r="D4097" t="s">
        <v>13028</v>
      </c>
      <c r="E4097" t="s">
        <v>1663</v>
      </c>
      <c r="F4097">
        <v>5</v>
      </c>
      <c r="G4097">
        <v>5.0999999999999996</v>
      </c>
      <c r="H4097" t="s">
        <v>2327</v>
      </c>
      <c r="I4097" s="21">
        <v>41913</v>
      </c>
      <c r="J4097">
        <v>2014</v>
      </c>
      <c r="K4097" s="21">
        <v>42011</v>
      </c>
      <c r="L4097">
        <v>2015</v>
      </c>
      <c r="M4097" s="21">
        <v>43642</v>
      </c>
      <c r="N4097">
        <v>2019</v>
      </c>
      <c r="Q4097" s="262">
        <v>176232</v>
      </c>
      <c r="S4097" t="s">
        <v>12464</v>
      </c>
      <c r="T4097">
        <v>13915</v>
      </c>
      <c r="V4097">
        <v>0</v>
      </c>
      <c r="W4097">
        <v>1120</v>
      </c>
      <c r="X4097">
        <v>1</v>
      </c>
      <c r="Y4097">
        <v>0</v>
      </c>
      <c r="Z4097">
        <v>0</v>
      </c>
      <c r="AA4097">
        <v>0</v>
      </c>
      <c r="AB4097">
        <v>0</v>
      </c>
      <c r="AC4097">
        <v>0</v>
      </c>
      <c r="AD4097">
        <v>576</v>
      </c>
      <c r="AE4097">
        <v>0</v>
      </c>
      <c r="AF4097">
        <v>0</v>
      </c>
      <c r="AG4097">
        <v>0</v>
      </c>
      <c r="AH4097">
        <v>0</v>
      </c>
      <c r="AI4097">
        <v>0</v>
      </c>
      <c r="AJ4097">
        <v>272</v>
      </c>
      <c r="AK4097">
        <v>272</v>
      </c>
      <c r="AL4097">
        <v>0</v>
      </c>
      <c r="AM4097">
        <v>0</v>
      </c>
      <c r="AN4097">
        <v>0</v>
      </c>
      <c r="AO4097">
        <v>0</v>
      </c>
      <c r="AP4097">
        <v>1</v>
      </c>
      <c r="AQ4097">
        <v>0</v>
      </c>
      <c r="AR4097">
        <v>0</v>
      </c>
      <c r="AS4097">
        <v>0</v>
      </c>
      <c r="AT4097">
        <v>0</v>
      </c>
      <c r="AU4097">
        <f t="shared" si="126"/>
        <v>1</v>
      </c>
      <c r="AV4097">
        <f t="shared" si="127"/>
        <v>544</v>
      </c>
    </row>
    <row r="4098" spans="1:48" x14ac:dyDescent="0.25">
      <c r="A4098" t="s">
        <v>16725</v>
      </c>
      <c r="B4098" t="s">
        <v>114</v>
      </c>
      <c r="C4098" t="s">
        <v>16726</v>
      </c>
      <c r="D4098" t="s">
        <v>13028</v>
      </c>
      <c r="E4098" t="s">
        <v>1663</v>
      </c>
      <c r="F4098">
        <v>5</v>
      </c>
      <c r="G4098">
        <v>5.0999999999999996</v>
      </c>
      <c r="H4098" t="s">
        <v>2327</v>
      </c>
      <c r="I4098" s="21">
        <v>41913</v>
      </c>
      <c r="J4098">
        <v>2014</v>
      </c>
      <c r="K4098" s="21">
        <v>42011</v>
      </c>
      <c r="L4098">
        <v>2015</v>
      </c>
      <c r="M4098" s="21">
        <v>43440</v>
      </c>
      <c r="N4098">
        <v>2018</v>
      </c>
      <c r="Q4098" s="262">
        <v>242319</v>
      </c>
      <c r="S4098" t="s">
        <v>12464</v>
      </c>
      <c r="T4098">
        <v>13916</v>
      </c>
      <c r="W4098">
        <v>1540</v>
      </c>
      <c r="X4098">
        <v>1</v>
      </c>
      <c r="Y4098">
        <v>0</v>
      </c>
      <c r="Z4098">
        <v>0</v>
      </c>
      <c r="AA4098">
        <v>0</v>
      </c>
      <c r="AB4098">
        <v>0</v>
      </c>
      <c r="AC4098">
        <v>0</v>
      </c>
      <c r="AD4098">
        <v>1018</v>
      </c>
      <c r="AF4098">
        <v>0</v>
      </c>
      <c r="AG4098">
        <v>0</v>
      </c>
      <c r="AH4098">
        <v>0</v>
      </c>
      <c r="AI4098">
        <v>0</v>
      </c>
      <c r="AJ4098">
        <v>261</v>
      </c>
      <c r="AK4098">
        <v>261</v>
      </c>
      <c r="AL4098">
        <v>0</v>
      </c>
      <c r="AM4098">
        <v>0</v>
      </c>
      <c r="AN4098">
        <v>0</v>
      </c>
      <c r="AO4098">
        <v>0</v>
      </c>
      <c r="AP4098">
        <v>1</v>
      </c>
      <c r="AR4098">
        <v>0</v>
      </c>
      <c r="AS4098">
        <v>0</v>
      </c>
      <c r="AT4098">
        <v>0</v>
      </c>
      <c r="AU4098">
        <f t="shared" si="126"/>
        <v>1</v>
      </c>
      <c r="AV4098">
        <f t="shared" si="127"/>
        <v>522</v>
      </c>
    </row>
    <row r="4099" spans="1:48" x14ac:dyDescent="0.25">
      <c r="A4099" t="s">
        <v>12451</v>
      </c>
      <c r="C4099" t="s">
        <v>12452</v>
      </c>
      <c r="D4099" t="s">
        <v>12453</v>
      </c>
      <c r="E4099" t="s">
        <v>1663</v>
      </c>
      <c r="F4099">
        <v>3</v>
      </c>
      <c r="G4099">
        <v>3.1</v>
      </c>
      <c r="H4099" t="s">
        <v>2017</v>
      </c>
      <c r="I4099" s="21">
        <v>41913</v>
      </c>
      <c r="J4099">
        <v>2014</v>
      </c>
      <c r="K4099" s="21">
        <v>41929</v>
      </c>
      <c r="L4099">
        <v>2014</v>
      </c>
      <c r="M4099" s="21">
        <v>42016</v>
      </c>
      <c r="N4099">
        <v>2015</v>
      </c>
      <c r="Q4099" s="262">
        <v>25000</v>
      </c>
      <c r="S4099" t="s">
        <v>114</v>
      </c>
      <c r="T4099" t="s">
        <v>114</v>
      </c>
      <c r="V4099">
        <v>0</v>
      </c>
      <c r="W4099">
        <v>0</v>
      </c>
      <c r="X4099">
        <v>0</v>
      </c>
      <c r="Y4099">
        <v>0</v>
      </c>
      <c r="Z4099">
        <v>0</v>
      </c>
      <c r="AA4099">
        <v>0</v>
      </c>
      <c r="AB4099">
        <v>0</v>
      </c>
      <c r="AC4099">
        <v>0</v>
      </c>
      <c r="AD4099">
        <v>0</v>
      </c>
      <c r="AE4099">
        <v>0</v>
      </c>
      <c r="AF4099">
        <v>0</v>
      </c>
      <c r="AG4099">
        <v>0</v>
      </c>
      <c r="AH4099">
        <v>0</v>
      </c>
      <c r="AI4099">
        <v>0</v>
      </c>
      <c r="AJ4099">
        <v>0</v>
      </c>
      <c r="AK4099">
        <v>0</v>
      </c>
      <c r="AL4099">
        <v>0</v>
      </c>
      <c r="AM4099">
        <v>0</v>
      </c>
      <c r="AN4099">
        <v>0</v>
      </c>
      <c r="AO4099">
        <v>0</v>
      </c>
      <c r="AP4099">
        <v>0</v>
      </c>
      <c r="AQ4099">
        <v>0</v>
      </c>
      <c r="AR4099">
        <v>0</v>
      </c>
      <c r="AS4099">
        <v>0</v>
      </c>
      <c r="AT4099">
        <v>0</v>
      </c>
      <c r="AU4099">
        <f t="shared" si="126"/>
        <v>0</v>
      </c>
      <c r="AV4099">
        <f t="shared" si="127"/>
        <v>0</v>
      </c>
    </row>
    <row r="4100" spans="1:48" x14ac:dyDescent="0.25">
      <c r="A4100" t="s">
        <v>12454</v>
      </c>
      <c r="B4100" t="s">
        <v>12454</v>
      </c>
      <c r="C4100" t="s">
        <v>12455</v>
      </c>
      <c r="D4100" t="s">
        <v>10415</v>
      </c>
      <c r="E4100" t="s">
        <v>2310</v>
      </c>
      <c r="F4100">
        <v>15</v>
      </c>
      <c r="G4100">
        <v>15.1</v>
      </c>
      <c r="H4100" t="s">
        <v>2022</v>
      </c>
      <c r="I4100" s="21">
        <v>41919.383472222202</v>
      </c>
      <c r="J4100">
        <v>2014</v>
      </c>
      <c r="K4100" s="21">
        <v>41942.4301388889</v>
      </c>
      <c r="L4100">
        <v>2014</v>
      </c>
      <c r="M4100" s="21">
        <v>42324.346030092602</v>
      </c>
      <c r="N4100">
        <v>2015</v>
      </c>
      <c r="Q4100" s="262">
        <v>200000</v>
      </c>
      <c r="R4100" s="262">
        <v>177000</v>
      </c>
      <c r="S4100" t="s">
        <v>114</v>
      </c>
      <c r="T4100" t="s">
        <v>114</v>
      </c>
      <c r="V4100">
        <v>0</v>
      </c>
      <c r="W4100">
        <v>2168</v>
      </c>
      <c r="X4100">
        <v>1</v>
      </c>
      <c r="Y4100">
        <v>0</v>
      </c>
      <c r="Z4100">
        <v>0</v>
      </c>
      <c r="AA4100">
        <v>0</v>
      </c>
      <c r="AB4100">
        <v>0</v>
      </c>
      <c r="AC4100">
        <v>1204</v>
      </c>
      <c r="AD4100">
        <v>0</v>
      </c>
      <c r="AE4100">
        <v>0</v>
      </c>
      <c r="AF4100">
        <v>964</v>
      </c>
      <c r="AG4100">
        <v>0</v>
      </c>
      <c r="AH4100">
        <v>0</v>
      </c>
      <c r="AI4100">
        <v>0</v>
      </c>
      <c r="AJ4100">
        <v>0</v>
      </c>
      <c r="AK4100">
        <v>0</v>
      </c>
      <c r="AL4100">
        <v>0</v>
      </c>
      <c r="AM4100">
        <v>0</v>
      </c>
      <c r="AN4100">
        <v>0</v>
      </c>
      <c r="AO4100">
        <v>0</v>
      </c>
      <c r="AP4100">
        <v>0</v>
      </c>
      <c r="AQ4100">
        <v>0</v>
      </c>
      <c r="AR4100">
        <v>1</v>
      </c>
      <c r="AS4100">
        <v>0</v>
      </c>
      <c r="AT4100">
        <v>0</v>
      </c>
      <c r="AU4100">
        <f t="shared" si="126"/>
        <v>0</v>
      </c>
      <c r="AV4100">
        <f t="shared" si="127"/>
        <v>0</v>
      </c>
    </row>
    <row r="4101" spans="1:48" x14ac:dyDescent="0.25">
      <c r="A4101" t="s">
        <v>12456</v>
      </c>
      <c r="B4101" t="s">
        <v>12456</v>
      </c>
      <c r="C4101" t="s">
        <v>11182</v>
      </c>
      <c r="D4101" t="s">
        <v>12457</v>
      </c>
      <c r="E4101" t="s">
        <v>2310</v>
      </c>
      <c r="F4101">
        <v>8</v>
      </c>
      <c r="G4101">
        <v>8.3000000000000007</v>
      </c>
      <c r="H4101" t="s">
        <v>2323</v>
      </c>
      <c r="I4101" s="21">
        <v>41919.605046296303</v>
      </c>
      <c r="J4101">
        <v>2014</v>
      </c>
      <c r="K4101" s="21">
        <v>41947.421504629601</v>
      </c>
      <c r="L4101">
        <v>2014</v>
      </c>
      <c r="M4101" s="21">
        <v>42339.370358796303</v>
      </c>
      <c r="N4101">
        <v>2015</v>
      </c>
      <c r="Q4101" s="262">
        <v>1200000</v>
      </c>
      <c r="R4101" s="262">
        <v>373000</v>
      </c>
      <c r="S4101" t="s">
        <v>114</v>
      </c>
      <c r="T4101" t="s">
        <v>114</v>
      </c>
      <c r="V4101">
        <v>0</v>
      </c>
      <c r="W4101">
        <v>2939</v>
      </c>
      <c r="X4101">
        <v>1</v>
      </c>
      <c r="Y4101">
        <v>0</v>
      </c>
      <c r="Z4101">
        <v>0</v>
      </c>
      <c r="AA4101">
        <v>0</v>
      </c>
      <c r="AB4101">
        <v>0</v>
      </c>
      <c r="AC4101">
        <v>2939</v>
      </c>
      <c r="AD4101">
        <v>0</v>
      </c>
      <c r="AE4101">
        <v>0</v>
      </c>
      <c r="AF4101">
        <v>0</v>
      </c>
      <c r="AG4101">
        <v>0</v>
      </c>
      <c r="AH4101">
        <v>0</v>
      </c>
      <c r="AI4101">
        <v>0</v>
      </c>
      <c r="AJ4101">
        <v>0</v>
      </c>
      <c r="AK4101">
        <v>0</v>
      </c>
      <c r="AL4101">
        <v>0</v>
      </c>
      <c r="AM4101">
        <v>0</v>
      </c>
      <c r="AN4101">
        <v>0</v>
      </c>
      <c r="AO4101">
        <v>1</v>
      </c>
      <c r="AP4101">
        <v>0</v>
      </c>
      <c r="AQ4101">
        <v>0</v>
      </c>
      <c r="AR4101">
        <v>0</v>
      </c>
      <c r="AS4101">
        <v>0</v>
      </c>
      <c r="AT4101">
        <v>0</v>
      </c>
      <c r="AU4101">
        <f t="shared" si="126"/>
        <v>1</v>
      </c>
      <c r="AV4101">
        <f t="shared" si="127"/>
        <v>0</v>
      </c>
    </row>
    <row r="4102" spans="1:48" x14ac:dyDescent="0.25">
      <c r="A4102" t="s">
        <v>12458</v>
      </c>
      <c r="B4102" t="s">
        <v>12458</v>
      </c>
      <c r="C4102" t="s">
        <v>7880</v>
      </c>
      <c r="D4102" t="s">
        <v>12457</v>
      </c>
      <c r="E4102" t="s">
        <v>2310</v>
      </c>
      <c r="F4102">
        <v>8</v>
      </c>
      <c r="G4102">
        <v>8.3000000000000007</v>
      </c>
      <c r="H4102" t="s">
        <v>2323</v>
      </c>
      <c r="I4102" s="21">
        <v>41919.622731481497</v>
      </c>
      <c r="J4102">
        <v>2014</v>
      </c>
      <c r="K4102" s="21">
        <v>41947.4211111111</v>
      </c>
      <c r="L4102">
        <v>2014</v>
      </c>
      <c r="M4102" s="21">
        <v>42339.375682870399</v>
      </c>
      <c r="N4102">
        <v>2015</v>
      </c>
      <c r="Q4102" s="262">
        <v>50000</v>
      </c>
      <c r="R4102" s="262">
        <v>27000</v>
      </c>
      <c r="S4102" t="s">
        <v>114</v>
      </c>
      <c r="T4102" t="s">
        <v>114</v>
      </c>
      <c r="V4102">
        <v>0</v>
      </c>
      <c r="W4102">
        <v>625</v>
      </c>
      <c r="X4102">
        <v>0</v>
      </c>
      <c r="Y4102">
        <v>0</v>
      </c>
      <c r="Z4102">
        <v>0</v>
      </c>
      <c r="AA4102">
        <v>0</v>
      </c>
      <c r="AB4102">
        <v>0</v>
      </c>
      <c r="AC4102">
        <v>625</v>
      </c>
      <c r="AD4102">
        <v>0</v>
      </c>
      <c r="AE4102">
        <v>0</v>
      </c>
      <c r="AF4102">
        <v>0</v>
      </c>
      <c r="AG4102">
        <v>0</v>
      </c>
      <c r="AH4102">
        <v>0</v>
      </c>
      <c r="AI4102">
        <v>0</v>
      </c>
      <c r="AJ4102">
        <v>0</v>
      </c>
      <c r="AK4102">
        <v>0</v>
      </c>
      <c r="AL4102">
        <v>0</v>
      </c>
      <c r="AM4102">
        <v>0</v>
      </c>
      <c r="AN4102">
        <v>0</v>
      </c>
      <c r="AO4102">
        <v>0</v>
      </c>
      <c r="AP4102">
        <v>0</v>
      </c>
      <c r="AQ4102">
        <v>0</v>
      </c>
      <c r="AR4102">
        <v>0</v>
      </c>
      <c r="AS4102">
        <v>0</v>
      </c>
      <c r="AT4102">
        <v>0</v>
      </c>
      <c r="AU4102">
        <f t="shared" si="126"/>
        <v>0</v>
      </c>
      <c r="AV4102">
        <f t="shared" si="127"/>
        <v>0</v>
      </c>
    </row>
    <row r="4103" spans="1:48" x14ac:dyDescent="0.25">
      <c r="A4103" t="s">
        <v>12462</v>
      </c>
      <c r="C4103" t="s">
        <v>12463</v>
      </c>
      <c r="D4103" t="s">
        <v>9681</v>
      </c>
      <c r="E4103" t="s">
        <v>1663</v>
      </c>
      <c r="F4103">
        <v>4</v>
      </c>
      <c r="G4103">
        <v>4.3</v>
      </c>
      <c r="H4103" t="s">
        <v>2327</v>
      </c>
      <c r="I4103" s="21">
        <v>41920</v>
      </c>
      <c r="J4103">
        <v>2014</v>
      </c>
      <c r="K4103" s="21">
        <v>42034</v>
      </c>
      <c r="L4103">
        <v>2015</v>
      </c>
      <c r="M4103" s="21">
        <v>42660</v>
      </c>
      <c r="N4103">
        <v>2016</v>
      </c>
      <c r="Q4103" s="262">
        <v>1510000</v>
      </c>
      <c r="S4103" t="s">
        <v>114</v>
      </c>
      <c r="T4103" t="s">
        <v>114</v>
      </c>
      <c r="V4103">
        <v>0</v>
      </c>
      <c r="W4103">
        <v>10069</v>
      </c>
      <c r="X4103">
        <v>4</v>
      </c>
      <c r="Y4103">
        <v>0</v>
      </c>
      <c r="Z4103">
        <v>0</v>
      </c>
      <c r="AA4103">
        <v>0</v>
      </c>
      <c r="AB4103">
        <v>0</v>
      </c>
      <c r="AC4103">
        <v>0</v>
      </c>
      <c r="AD4103">
        <v>0</v>
      </c>
      <c r="AE4103">
        <v>1556</v>
      </c>
      <c r="AF4103">
        <v>0</v>
      </c>
      <c r="AG4103">
        <v>0</v>
      </c>
      <c r="AH4103">
        <v>0</v>
      </c>
      <c r="AI4103">
        <v>0</v>
      </c>
      <c r="AJ4103">
        <v>1803</v>
      </c>
      <c r="AK4103">
        <v>0</v>
      </c>
      <c r="AL4103">
        <v>6710</v>
      </c>
      <c r="AM4103">
        <v>0</v>
      </c>
      <c r="AN4103">
        <v>0</v>
      </c>
      <c r="AO4103">
        <v>0</v>
      </c>
      <c r="AP4103">
        <v>0</v>
      </c>
      <c r="AQ4103">
        <v>4</v>
      </c>
      <c r="AR4103">
        <v>0</v>
      </c>
      <c r="AS4103">
        <v>0</v>
      </c>
      <c r="AT4103">
        <v>0</v>
      </c>
      <c r="AU4103">
        <f t="shared" si="126"/>
        <v>4</v>
      </c>
      <c r="AV4103">
        <f t="shared" si="127"/>
        <v>8513</v>
      </c>
    </row>
    <row r="4104" spans="1:48" x14ac:dyDescent="0.25">
      <c r="A4104" t="s">
        <v>12459</v>
      </c>
      <c r="C4104" t="s">
        <v>12460</v>
      </c>
      <c r="D4104" t="s">
        <v>12461</v>
      </c>
      <c r="E4104" t="s">
        <v>1663</v>
      </c>
      <c r="F4104">
        <v>3</v>
      </c>
      <c r="G4104">
        <v>3.2</v>
      </c>
      <c r="H4104" t="s">
        <v>2327</v>
      </c>
      <c r="I4104" s="21">
        <v>41920</v>
      </c>
      <c r="J4104">
        <v>2014</v>
      </c>
      <c r="K4104" s="21">
        <v>41929</v>
      </c>
      <c r="L4104">
        <v>2014</v>
      </c>
      <c r="P4104" s="21">
        <v>42193</v>
      </c>
      <c r="Q4104" s="262">
        <v>120000</v>
      </c>
      <c r="S4104" t="s">
        <v>114</v>
      </c>
      <c r="T4104" t="s">
        <v>114</v>
      </c>
      <c r="V4104">
        <v>0</v>
      </c>
      <c r="W4104">
        <v>1455</v>
      </c>
      <c r="X4104">
        <v>1</v>
      </c>
      <c r="Y4104">
        <v>0</v>
      </c>
      <c r="Z4104">
        <v>0</v>
      </c>
      <c r="AA4104">
        <v>0</v>
      </c>
      <c r="AB4104">
        <v>0</v>
      </c>
      <c r="AC4104">
        <v>0</v>
      </c>
      <c r="AD4104">
        <v>0</v>
      </c>
      <c r="AE4104">
        <v>0</v>
      </c>
      <c r="AF4104">
        <v>1455</v>
      </c>
      <c r="AG4104">
        <v>0</v>
      </c>
      <c r="AH4104">
        <v>0</v>
      </c>
      <c r="AI4104">
        <v>0</v>
      </c>
      <c r="AJ4104">
        <v>0</v>
      </c>
      <c r="AK4104">
        <v>0</v>
      </c>
      <c r="AL4104">
        <v>0</v>
      </c>
      <c r="AM4104">
        <v>0</v>
      </c>
      <c r="AN4104">
        <v>0</v>
      </c>
      <c r="AO4104">
        <v>1</v>
      </c>
      <c r="AP4104">
        <v>0</v>
      </c>
      <c r="AQ4104">
        <v>0</v>
      </c>
      <c r="AR4104">
        <v>0</v>
      </c>
      <c r="AS4104">
        <v>0</v>
      </c>
      <c r="AT4104">
        <v>0</v>
      </c>
      <c r="AU4104">
        <f t="shared" si="126"/>
        <v>1</v>
      </c>
      <c r="AV4104">
        <f t="shared" si="127"/>
        <v>0</v>
      </c>
    </row>
    <row r="4105" spans="1:48" x14ac:dyDescent="0.25">
      <c r="A4105" t="s">
        <v>12466</v>
      </c>
      <c r="C4105" t="s">
        <v>12467</v>
      </c>
      <c r="D4105" t="s">
        <v>12468</v>
      </c>
      <c r="E4105" t="s">
        <v>1663</v>
      </c>
      <c r="F4105">
        <v>3</v>
      </c>
      <c r="G4105">
        <v>3.1</v>
      </c>
      <c r="H4105" t="s">
        <v>2017</v>
      </c>
      <c r="I4105" s="21">
        <v>41921</v>
      </c>
      <c r="J4105">
        <v>2014</v>
      </c>
      <c r="K4105" s="21">
        <v>41934</v>
      </c>
      <c r="L4105">
        <v>2014</v>
      </c>
      <c r="M4105" s="21">
        <v>41953</v>
      </c>
      <c r="N4105">
        <v>2014</v>
      </c>
      <c r="Q4105" s="262">
        <v>2500</v>
      </c>
      <c r="S4105" t="s">
        <v>114</v>
      </c>
      <c r="T4105" t="s">
        <v>114</v>
      </c>
      <c r="V4105">
        <v>0</v>
      </c>
      <c r="W4105">
        <v>393</v>
      </c>
      <c r="X4105">
        <v>0</v>
      </c>
      <c r="Y4105">
        <v>393</v>
      </c>
      <c r="Z4105">
        <v>0</v>
      </c>
      <c r="AA4105">
        <v>0</v>
      </c>
      <c r="AB4105">
        <v>0</v>
      </c>
      <c r="AC4105">
        <v>0</v>
      </c>
      <c r="AD4105">
        <v>0</v>
      </c>
      <c r="AE4105">
        <v>0</v>
      </c>
      <c r="AF4105">
        <v>0</v>
      </c>
      <c r="AG4105">
        <v>0</v>
      </c>
      <c r="AH4105">
        <v>0</v>
      </c>
      <c r="AI4105">
        <v>0</v>
      </c>
      <c r="AJ4105">
        <v>0</v>
      </c>
      <c r="AK4105">
        <v>0</v>
      </c>
      <c r="AL4105">
        <v>0</v>
      </c>
      <c r="AM4105">
        <v>0</v>
      </c>
      <c r="AN4105">
        <v>0</v>
      </c>
      <c r="AO4105">
        <v>0</v>
      </c>
      <c r="AP4105">
        <v>0</v>
      </c>
      <c r="AQ4105">
        <v>0</v>
      </c>
      <c r="AR4105">
        <v>0</v>
      </c>
      <c r="AS4105">
        <v>0</v>
      </c>
      <c r="AT4105">
        <v>0</v>
      </c>
      <c r="AU4105">
        <f t="shared" si="126"/>
        <v>0</v>
      </c>
      <c r="AV4105">
        <f t="shared" si="127"/>
        <v>393</v>
      </c>
    </row>
    <row r="4106" spans="1:48" x14ac:dyDescent="0.25">
      <c r="A4106" t="s">
        <v>13473</v>
      </c>
      <c r="C4106" t="s">
        <v>13474</v>
      </c>
      <c r="D4106" t="s">
        <v>13475</v>
      </c>
      <c r="E4106" t="s">
        <v>1663</v>
      </c>
      <c r="F4106">
        <v>3</v>
      </c>
      <c r="G4106">
        <v>3.1</v>
      </c>
      <c r="H4106" t="s">
        <v>2017</v>
      </c>
      <c r="I4106" s="21">
        <v>41921</v>
      </c>
      <c r="J4106">
        <v>2014</v>
      </c>
      <c r="K4106" s="21">
        <v>41939</v>
      </c>
      <c r="L4106">
        <v>2014</v>
      </c>
      <c r="M4106" s="21">
        <v>42754</v>
      </c>
      <c r="N4106">
        <v>2017</v>
      </c>
      <c r="Q4106" s="262">
        <v>2000</v>
      </c>
      <c r="S4106" t="s">
        <v>114</v>
      </c>
      <c r="T4106" t="s">
        <v>114</v>
      </c>
      <c r="V4106">
        <v>0</v>
      </c>
      <c r="W4106">
        <v>0</v>
      </c>
      <c r="X4106">
        <v>0</v>
      </c>
      <c r="Y4106">
        <v>0</v>
      </c>
      <c r="Z4106">
        <v>0</v>
      </c>
      <c r="AA4106">
        <v>0</v>
      </c>
      <c r="AB4106">
        <v>0</v>
      </c>
      <c r="AC4106">
        <v>0</v>
      </c>
      <c r="AD4106">
        <v>0</v>
      </c>
      <c r="AE4106">
        <v>0</v>
      </c>
      <c r="AF4106">
        <v>0</v>
      </c>
      <c r="AG4106">
        <v>0</v>
      </c>
      <c r="AH4106">
        <v>0</v>
      </c>
      <c r="AI4106">
        <v>0</v>
      </c>
      <c r="AJ4106">
        <v>0</v>
      </c>
      <c r="AK4106">
        <v>0</v>
      </c>
      <c r="AL4106">
        <v>0</v>
      </c>
      <c r="AM4106">
        <v>0</v>
      </c>
      <c r="AN4106">
        <v>0</v>
      </c>
      <c r="AO4106">
        <v>0</v>
      </c>
      <c r="AP4106">
        <v>0</v>
      </c>
      <c r="AQ4106">
        <v>0</v>
      </c>
      <c r="AR4106">
        <v>0</v>
      </c>
      <c r="AS4106">
        <v>0</v>
      </c>
      <c r="AT4106">
        <v>0</v>
      </c>
      <c r="AU4106">
        <f t="shared" si="126"/>
        <v>0</v>
      </c>
      <c r="AV4106">
        <f t="shared" si="127"/>
        <v>0</v>
      </c>
    </row>
    <row r="4107" spans="1:48" x14ac:dyDescent="0.25">
      <c r="A4107" t="s">
        <v>12469</v>
      </c>
      <c r="B4107" t="s">
        <v>12469</v>
      </c>
      <c r="C4107" t="s">
        <v>12470</v>
      </c>
      <c r="D4107" t="s">
        <v>2989</v>
      </c>
      <c r="E4107" t="s">
        <v>2310</v>
      </c>
      <c r="F4107">
        <v>7</v>
      </c>
      <c r="G4107">
        <v>7.1</v>
      </c>
      <c r="H4107" t="s">
        <v>2017</v>
      </c>
      <c r="I4107" s="21">
        <v>41921.418356481503</v>
      </c>
      <c r="J4107">
        <v>2014</v>
      </c>
      <c r="K4107" s="21">
        <v>42034.420578703699</v>
      </c>
      <c r="L4107">
        <v>2015</v>
      </c>
      <c r="M4107" s="21">
        <v>42258.608182870397</v>
      </c>
      <c r="N4107">
        <v>2015</v>
      </c>
      <c r="Q4107" s="262">
        <v>200000</v>
      </c>
      <c r="R4107" s="262">
        <v>247000</v>
      </c>
      <c r="S4107" t="s">
        <v>114</v>
      </c>
      <c r="T4107" t="s">
        <v>114</v>
      </c>
      <c r="V4107">
        <v>0</v>
      </c>
      <c r="W4107">
        <v>3440</v>
      </c>
      <c r="X4107">
        <v>0</v>
      </c>
      <c r="Y4107">
        <v>0</v>
      </c>
      <c r="Z4107">
        <v>0</v>
      </c>
      <c r="AA4107">
        <v>0</v>
      </c>
      <c r="AB4107">
        <v>0</v>
      </c>
      <c r="AC4107">
        <v>0</v>
      </c>
      <c r="AD4107">
        <v>0</v>
      </c>
      <c r="AE4107">
        <v>0</v>
      </c>
      <c r="AF4107">
        <v>0</v>
      </c>
      <c r="AG4107">
        <v>0</v>
      </c>
      <c r="AH4107">
        <v>0</v>
      </c>
      <c r="AI4107">
        <v>0</v>
      </c>
      <c r="AJ4107">
        <v>0</v>
      </c>
      <c r="AK4107">
        <v>0</v>
      </c>
      <c r="AL4107">
        <v>3440</v>
      </c>
      <c r="AM4107">
        <v>0</v>
      </c>
      <c r="AN4107">
        <v>0</v>
      </c>
      <c r="AO4107">
        <v>0</v>
      </c>
      <c r="AP4107">
        <v>0</v>
      </c>
      <c r="AQ4107">
        <v>0</v>
      </c>
      <c r="AR4107">
        <v>0</v>
      </c>
      <c r="AS4107">
        <v>0</v>
      </c>
      <c r="AT4107">
        <v>0</v>
      </c>
      <c r="AU4107">
        <f t="shared" si="126"/>
        <v>0</v>
      </c>
      <c r="AV4107">
        <f t="shared" si="127"/>
        <v>3440</v>
      </c>
    </row>
    <row r="4108" spans="1:48" x14ac:dyDescent="0.25">
      <c r="A4108" t="s">
        <v>19545</v>
      </c>
      <c r="B4108" t="s">
        <v>19545</v>
      </c>
      <c r="C4108" t="s">
        <v>19546</v>
      </c>
      <c r="D4108" t="s">
        <v>16496</v>
      </c>
      <c r="E4108" t="s">
        <v>2310</v>
      </c>
      <c r="F4108">
        <v>8</v>
      </c>
      <c r="G4108">
        <v>8.3000000000000007</v>
      </c>
      <c r="H4108" t="s">
        <v>2323</v>
      </c>
      <c r="I4108" s="21">
        <v>41921.496493055558</v>
      </c>
      <c r="J4108">
        <v>2014</v>
      </c>
      <c r="K4108" s="21">
        <v>42622.692372685182</v>
      </c>
      <c r="L4108">
        <v>2016</v>
      </c>
      <c r="M4108" s="21">
        <v>44112.706407141202</v>
      </c>
      <c r="N4108">
        <v>2020</v>
      </c>
      <c r="Q4108" s="262">
        <v>200000</v>
      </c>
      <c r="R4108" s="262">
        <v>174000</v>
      </c>
      <c r="S4108" t="s">
        <v>13254</v>
      </c>
      <c r="V4108">
        <v>0</v>
      </c>
      <c r="W4108">
        <v>2000</v>
      </c>
      <c r="X4108">
        <v>1</v>
      </c>
      <c r="Y4108">
        <v>0</v>
      </c>
      <c r="Z4108">
        <v>0</v>
      </c>
      <c r="AA4108">
        <v>0</v>
      </c>
      <c r="AB4108">
        <v>0</v>
      </c>
      <c r="AC4108">
        <v>1000</v>
      </c>
      <c r="AD4108">
        <v>0</v>
      </c>
      <c r="AE4108">
        <v>0</v>
      </c>
      <c r="AF4108">
        <v>1000</v>
      </c>
      <c r="AG4108">
        <v>0</v>
      </c>
      <c r="AH4108">
        <v>0</v>
      </c>
      <c r="AI4108">
        <v>0</v>
      </c>
      <c r="AJ4108">
        <v>0</v>
      </c>
      <c r="AK4108">
        <v>0</v>
      </c>
      <c r="AL4108">
        <v>0</v>
      </c>
      <c r="AM4108">
        <v>0</v>
      </c>
      <c r="AN4108">
        <v>0</v>
      </c>
      <c r="AO4108">
        <v>0</v>
      </c>
      <c r="AP4108">
        <v>0</v>
      </c>
      <c r="AQ4108">
        <v>0</v>
      </c>
      <c r="AR4108">
        <v>1</v>
      </c>
      <c r="AS4108">
        <v>0</v>
      </c>
      <c r="AT4108">
        <v>0</v>
      </c>
      <c r="AU4108">
        <f t="shared" si="126"/>
        <v>0</v>
      </c>
      <c r="AV4108">
        <f t="shared" si="127"/>
        <v>0</v>
      </c>
    </row>
    <row r="4109" spans="1:48" x14ac:dyDescent="0.25">
      <c r="A4109" t="s">
        <v>12471</v>
      </c>
      <c r="B4109" t="s">
        <v>12471</v>
      </c>
      <c r="C4109" t="s">
        <v>12472</v>
      </c>
      <c r="D4109" t="s">
        <v>12473</v>
      </c>
      <c r="E4109" t="s">
        <v>2310</v>
      </c>
      <c r="F4109">
        <v>8</v>
      </c>
      <c r="G4109">
        <v>8.1999999999999993</v>
      </c>
      <c r="H4109" t="s">
        <v>2022</v>
      </c>
      <c r="I4109" s="21">
        <v>41921.685034722199</v>
      </c>
      <c r="J4109">
        <v>2014</v>
      </c>
      <c r="O4109" s="21">
        <v>41955.457673611098</v>
      </c>
      <c r="Q4109" s="262">
        <v>200000</v>
      </c>
      <c r="R4109" s="262">
        <v>95000</v>
      </c>
      <c r="S4109" t="s">
        <v>114</v>
      </c>
      <c r="T4109" t="s">
        <v>114</v>
      </c>
      <c r="V4109">
        <v>0</v>
      </c>
      <c r="W4109">
        <v>972</v>
      </c>
      <c r="X4109">
        <v>0</v>
      </c>
      <c r="Y4109">
        <v>0</v>
      </c>
      <c r="Z4109">
        <v>0</v>
      </c>
      <c r="AA4109">
        <v>0</v>
      </c>
      <c r="AB4109">
        <v>0</v>
      </c>
      <c r="AC4109">
        <v>972</v>
      </c>
      <c r="AD4109">
        <v>0</v>
      </c>
      <c r="AE4109">
        <v>0</v>
      </c>
      <c r="AF4109">
        <v>0</v>
      </c>
      <c r="AG4109">
        <v>0</v>
      </c>
      <c r="AH4109">
        <v>0</v>
      </c>
      <c r="AI4109">
        <v>0</v>
      </c>
      <c r="AJ4109">
        <v>0</v>
      </c>
      <c r="AK4109">
        <v>0</v>
      </c>
      <c r="AL4109">
        <v>0</v>
      </c>
      <c r="AM4109">
        <v>0</v>
      </c>
      <c r="AN4109">
        <v>0</v>
      </c>
      <c r="AO4109">
        <v>0</v>
      </c>
      <c r="AP4109">
        <v>0</v>
      </c>
      <c r="AQ4109">
        <v>0</v>
      </c>
      <c r="AR4109">
        <v>0</v>
      </c>
      <c r="AS4109">
        <v>0</v>
      </c>
      <c r="AT4109">
        <v>0</v>
      </c>
      <c r="AU4109">
        <f t="shared" si="126"/>
        <v>0</v>
      </c>
      <c r="AV4109">
        <f t="shared" si="127"/>
        <v>0</v>
      </c>
    </row>
    <row r="4110" spans="1:48" x14ac:dyDescent="0.25">
      <c r="A4110" t="s">
        <v>12474</v>
      </c>
      <c r="C4110" t="s">
        <v>12475</v>
      </c>
      <c r="D4110" t="s">
        <v>12476</v>
      </c>
      <c r="E4110" t="s">
        <v>1663</v>
      </c>
      <c r="F4110">
        <v>2</v>
      </c>
      <c r="G4110">
        <v>2.2999999999999998</v>
      </c>
      <c r="H4110" t="s">
        <v>2327</v>
      </c>
      <c r="I4110" s="21">
        <v>41922</v>
      </c>
      <c r="J4110">
        <v>2014</v>
      </c>
      <c r="O4110" s="21">
        <v>42676</v>
      </c>
      <c r="Q4110" s="262">
        <v>400000</v>
      </c>
      <c r="S4110" t="s">
        <v>114</v>
      </c>
      <c r="T4110" t="s">
        <v>114</v>
      </c>
      <c r="W4110">
        <v>0</v>
      </c>
      <c r="X4110">
        <v>0</v>
      </c>
      <c r="Y4110">
        <v>0</v>
      </c>
      <c r="Z4110">
        <v>0</v>
      </c>
      <c r="AA4110">
        <v>0</v>
      </c>
      <c r="AB4110">
        <v>0</v>
      </c>
      <c r="AC4110">
        <v>0</v>
      </c>
      <c r="AD4110">
        <v>0</v>
      </c>
      <c r="AE4110">
        <v>0</v>
      </c>
      <c r="AF4110">
        <v>0</v>
      </c>
      <c r="AG4110">
        <v>0</v>
      </c>
      <c r="AH4110">
        <v>0</v>
      </c>
      <c r="AI4110">
        <v>0</v>
      </c>
      <c r="AJ4110">
        <v>0</v>
      </c>
      <c r="AK4110">
        <v>0</v>
      </c>
      <c r="AL4110">
        <v>0</v>
      </c>
      <c r="AM4110">
        <v>0</v>
      </c>
      <c r="AN4110">
        <v>0</v>
      </c>
      <c r="AO4110">
        <v>0</v>
      </c>
      <c r="AP4110">
        <v>0</v>
      </c>
      <c r="AQ4110">
        <v>0</v>
      </c>
      <c r="AR4110">
        <v>0</v>
      </c>
      <c r="AS4110">
        <v>0</v>
      </c>
      <c r="AT4110">
        <v>0</v>
      </c>
      <c r="AU4110">
        <f t="shared" si="126"/>
        <v>0</v>
      </c>
      <c r="AV4110">
        <f t="shared" si="127"/>
        <v>0</v>
      </c>
    </row>
    <row r="4111" spans="1:48" x14ac:dyDescent="0.25">
      <c r="A4111" t="s">
        <v>12477</v>
      </c>
      <c r="B4111" t="s">
        <v>12477</v>
      </c>
      <c r="C4111" t="s">
        <v>11343</v>
      </c>
      <c r="D4111" t="s">
        <v>12478</v>
      </c>
      <c r="E4111" t="s">
        <v>2310</v>
      </c>
      <c r="F4111">
        <v>9</v>
      </c>
      <c r="G4111">
        <v>9.1</v>
      </c>
      <c r="H4111" t="s">
        <v>2323</v>
      </c>
      <c r="I4111" s="21">
        <v>41922.3507523148</v>
      </c>
      <c r="J4111">
        <v>2014</v>
      </c>
      <c r="K4111" s="21">
        <v>42117.503495370402</v>
      </c>
      <c r="L4111">
        <v>2015</v>
      </c>
      <c r="M4111" s="21">
        <v>42580.445752314801</v>
      </c>
      <c r="N4111">
        <v>2016</v>
      </c>
      <c r="Q4111" s="262">
        <v>1350000</v>
      </c>
      <c r="R4111" s="262">
        <v>527000</v>
      </c>
      <c r="S4111" t="s">
        <v>114</v>
      </c>
      <c r="T4111" t="s">
        <v>114</v>
      </c>
      <c r="V4111">
        <v>0</v>
      </c>
      <c r="W4111">
        <v>4559</v>
      </c>
      <c r="X4111">
        <v>1</v>
      </c>
      <c r="Y4111">
        <v>0</v>
      </c>
      <c r="Z4111">
        <v>0</v>
      </c>
      <c r="AA4111">
        <v>0</v>
      </c>
      <c r="AB4111">
        <v>0</v>
      </c>
      <c r="AC4111">
        <v>4559</v>
      </c>
      <c r="AD4111">
        <v>0</v>
      </c>
      <c r="AE4111">
        <v>0</v>
      </c>
      <c r="AF4111">
        <v>0</v>
      </c>
      <c r="AG4111">
        <v>0</v>
      </c>
      <c r="AH4111">
        <v>0</v>
      </c>
      <c r="AI4111">
        <v>0</v>
      </c>
      <c r="AJ4111">
        <v>0</v>
      </c>
      <c r="AK4111">
        <v>0</v>
      </c>
      <c r="AL4111">
        <v>0</v>
      </c>
      <c r="AM4111">
        <v>0</v>
      </c>
      <c r="AN4111">
        <v>0</v>
      </c>
      <c r="AO4111">
        <v>1</v>
      </c>
      <c r="AP4111">
        <v>0</v>
      </c>
      <c r="AQ4111">
        <v>0</v>
      </c>
      <c r="AR4111">
        <v>0</v>
      </c>
      <c r="AS4111">
        <v>0</v>
      </c>
      <c r="AT4111">
        <v>0</v>
      </c>
      <c r="AU4111">
        <f t="shared" si="126"/>
        <v>1</v>
      </c>
      <c r="AV4111">
        <f t="shared" si="127"/>
        <v>0</v>
      </c>
    </row>
    <row r="4112" spans="1:48" x14ac:dyDescent="0.25">
      <c r="A4112" t="s">
        <v>12477</v>
      </c>
      <c r="B4112" t="s">
        <v>12479</v>
      </c>
      <c r="C4112" t="s">
        <v>11343</v>
      </c>
      <c r="D4112" t="s">
        <v>12478</v>
      </c>
      <c r="E4112" t="s">
        <v>2310</v>
      </c>
      <c r="F4112">
        <v>9</v>
      </c>
      <c r="G4112">
        <v>9.1</v>
      </c>
      <c r="H4112" t="s">
        <v>2323</v>
      </c>
      <c r="I4112" s="21">
        <v>41922.3507523148</v>
      </c>
      <c r="J4112">
        <v>2014</v>
      </c>
      <c r="K4112" s="21">
        <v>42117.503495370402</v>
      </c>
      <c r="L4112">
        <v>2015</v>
      </c>
      <c r="M4112" s="21">
        <v>42580.445752314801</v>
      </c>
      <c r="N4112">
        <v>2016</v>
      </c>
      <c r="S4112" t="s">
        <v>114</v>
      </c>
      <c r="T4112" t="s">
        <v>114</v>
      </c>
      <c r="W4112">
        <v>114</v>
      </c>
      <c r="X4112">
        <v>0</v>
      </c>
      <c r="Y4112">
        <v>0</v>
      </c>
      <c r="Z4112">
        <v>0</v>
      </c>
      <c r="AA4112">
        <v>0</v>
      </c>
      <c r="AB4112">
        <v>0</v>
      </c>
      <c r="AC4112">
        <v>114</v>
      </c>
      <c r="AD4112">
        <v>0</v>
      </c>
      <c r="AE4112">
        <v>0</v>
      </c>
      <c r="AF4112">
        <v>0</v>
      </c>
      <c r="AG4112">
        <v>0</v>
      </c>
      <c r="AH4112">
        <v>0</v>
      </c>
      <c r="AI4112">
        <v>0</v>
      </c>
      <c r="AJ4112">
        <v>0</v>
      </c>
      <c r="AK4112">
        <v>0</v>
      </c>
      <c r="AL4112">
        <v>0</v>
      </c>
      <c r="AM4112">
        <v>0</v>
      </c>
      <c r="AN4112">
        <v>0</v>
      </c>
      <c r="AO4112">
        <v>0</v>
      </c>
      <c r="AP4112">
        <v>0</v>
      </c>
      <c r="AQ4112">
        <v>0</v>
      </c>
      <c r="AR4112">
        <v>0</v>
      </c>
      <c r="AS4112">
        <v>0</v>
      </c>
      <c r="AT4112">
        <v>0</v>
      </c>
      <c r="AU4112">
        <f t="shared" si="126"/>
        <v>0</v>
      </c>
      <c r="AV4112">
        <f t="shared" si="127"/>
        <v>0</v>
      </c>
    </row>
    <row r="4113" spans="1:48" x14ac:dyDescent="0.25">
      <c r="A4113" t="s">
        <v>12480</v>
      </c>
      <c r="B4113" t="s">
        <v>12480</v>
      </c>
      <c r="C4113" t="s">
        <v>12481</v>
      </c>
      <c r="D4113" t="s">
        <v>12482</v>
      </c>
      <c r="E4113" t="s">
        <v>2310</v>
      </c>
      <c r="F4113">
        <v>12</v>
      </c>
      <c r="G4113">
        <v>12.3</v>
      </c>
      <c r="H4113" t="s">
        <v>2017</v>
      </c>
      <c r="I4113" s="21">
        <v>41922.686967592599</v>
      </c>
      <c r="J4113">
        <v>2014</v>
      </c>
      <c r="K4113" s="21">
        <v>41935.638807870397</v>
      </c>
      <c r="L4113">
        <v>2014</v>
      </c>
      <c r="M4113" s="21">
        <v>42349.683634259301</v>
      </c>
      <c r="N4113">
        <v>2015</v>
      </c>
      <c r="Q4113" s="262">
        <v>48000</v>
      </c>
      <c r="R4113" s="262">
        <v>21000</v>
      </c>
      <c r="S4113" t="s">
        <v>114</v>
      </c>
      <c r="T4113" t="s">
        <v>114</v>
      </c>
      <c r="V4113">
        <v>0</v>
      </c>
      <c r="W4113">
        <v>189</v>
      </c>
      <c r="X4113">
        <v>0</v>
      </c>
      <c r="Y4113">
        <v>0</v>
      </c>
      <c r="Z4113">
        <v>0</v>
      </c>
      <c r="AA4113">
        <v>0</v>
      </c>
      <c r="AB4113">
        <v>0</v>
      </c>
      <c r="AC4113">
        <v>189</v>
      </c>
      <c r="AD4113">
        <v>0</v>
      </c>
      <c r="AE4113">
        <v>0</v>
      </c>
      <c r="AF4113">
        <v>0</v>
      </c>
      <c r="AG4113">
        <v>0</v>
      </c>
      <c r="AH4113">
        <v>0</v>
      </c>
      <c r="AI4113">
        <v>0</v>
      </c>
      <c r="AJ4113">
        <v>0</v>
      </c>
      <c r="AK4113">
        <v>0</v>
      </c>
      <c r="AL4113">
        <v>0</v>
      </c>
      <c r="AM4113">
        <v>0</v>
      </c>
      <c r="AN4113">
        <v>0</v>
      </c>
      <c r="AO4113">
        <v>0</v>
      </c>
      <c r="AP4113">
        <v>0</v>
      </c>
      <c r="AQ4113">
        <v>0</v>
      </c>
      <c r="AR4113">
        <v>0</v>
      </c>
      <c r="AS4113">
        <v>0</v>
      </c>
      <c r="AT4113">
        <v>0</v>
      </c>
      <c r="AU4113">
        <f t="shared" si="126"/>
        <v>0</v>
      </c>
      <c r="AV4113">
        <f t="shared" si="127"/>
        <v>0</v>
      </c>
    </row>
    <row r="4114" spans="1:48" x14ac:dyDescent="0.25">
      <c r="A4114" t="s">
        <v>12483</v>
      </c>
      <c r="B4114" t="s">
        <v>12483</v>
      </c>
      <c r="C4114" t="s">
        <v>12484</v>
      </c>
      <c r="D4114" t="s">
        <v>12485</v>
      </c>
      <c r="E4114" t="s">
        <v>2310</v>
      </c>
      <c r="F4114">
        <v>8</v>
      </c>
      <c r="G4114">
        <v>8.3000000000000007</v>
      </c>
      <c r="H4114" t="s">
        <v>2323</v>
      </c>
      <c r="I4114" s="21">
        <v>41926.607245370396</v>
      </c>
      <c r="J4114">
        <v>2014</v>
      </c>
      <c r="K4114" s="21">
        <v>41939.437129629601</v>
      </c>
      <c r="L4114">
        <v>2014</v>
      </c>
      <c r="M4114" s="21">
        <v>42172.4241666667</v>
      </c>
      <c r="N4114">
        <v>2015</v>
      </c>
      <c r="Q4114" s="262">
        <v>5000</v>
      </c>
      <c r="R4114" s="262">
        <v>8000</v>
      </c>
      <c r="S4114" t="s">
        <v>114</v>
      </c>
      <c r="T4114" t="s">
        <v>114</v>
      </c>
      <c r="V4114">
        <v>0</v>
      </c>
      <c r="W4114">
        <v>0</v>
      </c>
      <c r="X4114">
        <v>0</v>
      </c>
      <c r="Y4114">
        <v>0</v>
      </c>
      <c r="Z4114">
        <v>0</v>
      </c>
      <c r="AA4114">
        <v>0</v>
      </c>
      <c r="AB4114">
        <v>0</v>
      </c>
      <c r="AC4114">
        <v>0</v>
      </c>
      <c r="AD4114">
        <v>0</v>
      </c>
      <c r="AE4114">
        <v>0</v>
      </c>
      <c r="AF4114">
        <v>0</v>
      </c>
      <c r="AG4114">
        <v>0</v>
      </c>
      <c r="AH4114">
        <v>0</v>
      </c>
      <c r="AI4114">
        <v>0</v>
      </c>
      <c r="AJ4114">
        <v>0</v>
      </c>
      <c r="AK4114">
        <v>0</v>
      </c>
      <c r="AL4114">
        <v>0</v>
      </c>
      <c r="AM4114">
        <v>0</v>
      </c>
      <c r="AN4114">
        <v>0</v>
      </c>
      <c r="AO4114">
        <v>0</v>
      </c>
      <c r="AP4114">
        <v>0</v>
      </c>
      <c r="AQ4114">
        <v>0</v>
      </c>
      <c r="AR4114">
        <v>0</v>
      </c>
      <c r="AS4114">
        <v>0</v>
      </c>
      <c r="AT4114">
        <v>0</v>
      </c>
      <c r="AU4114">
        <f t="shared" si="126"/>
        <v>0</v>
      </c>
      <c r="AV4114">
        <f t="shared" si="127"/>
        <v>0</v>
      </c>
    </row>
    <row r="4115" spans="1:48" x14ac:dyDescent="0.25">
      <c r="A4115" t="s">
        <v>12486</v>
      </c>
      <c r="C4115" t="s">
        <v>12487</v>
      </c>
      <c r="D4115" t="s">
        <v>12488</v>
      </c>
      <c r="E4115" t="s">
        <v>1663</v>
      </c>
      <c r="F4115">
        <v>3</v>
      </c>
      <c r="G4115">
        <v>3.1</v>
      </c>
      <c r="H4115" t="s">
        <v>2017</v>
      </c>
      <c r="I4115" s="21">
        <v>41927</v>
      </c>
      <c r="J4115">
        <v>2014</v>
      </c>
      <c r="K4115" s="21">
        <v>41963</v>
      </c>
      <c r="L4115">
        <v>2014</v>
      </c>
      <c r="M4115" s="21">
        <v>42202</v>
      </c>
      <c r="N4115">
        <v>2015</v>
      </c>
      <c r="Q4115" s="262">
        <v>84120</v>
      </c>
      <c r="S4115" t="s">
        <v>114</v>
      </c>
      <c r="T4115" t="s">
        <v>114</v>
      </c>
      <c r="V4115">
        <v>0</v>
      </c>
      <c r="W4115">
        <v>512</v>
      </c>
      <c r="X4115">
        <v>0</v>
      </c>
      <c r="Y4115">
        <v>0</v>
      </c>
      <c r="Z4115">
        <v>0</v>
      </c>
      <c r="AA4115">
        <v>0</v>
      </c>
      <c r="AB4115">
        <v>0</v>
      </c>
      <c r="AC4115">
        <v>512</v>
      </c>
      <c r="AD4115">
        <v>0</v>
      </c>
      <c r="AE4115">
        <v>0</v>
      </c>
      <c r="AF4115">
        <v>0</v>
      </c>
      <c r="AG4115">
        <v>0</v>
      </c>
      <c r="AH4115">
        <v>0</v>
      </c>
      <c r="AI4115">
        <v>0</v>
      </c>
      <c r="AJ4115">
        <v>0</v>
      </c>
      <c r="AK4115">
        <v>0</v>
      </c>
      <c r="AL4115">
        <v>0</v>
      </c>
      <c r="AM4115">
        <v>0</v>
      </c>
      <c r="AN4115">
        <v>0</v>
      </c>
      <c r="AO4115">
        <v>0</v>
      </c>
      <c r="AP4115">
        <v>0</v>
      </c>
      <c r="AQ4115">
        <v>0</v>
      </c>
      <c r="AR4115">
        <v>0</v>
      </c>
      <c r="AS4115">
        <v>0</v>
      </c>
      <c r="AT4115">
        <v>0</v>
      </c>
      <c r="AU4115">
        <f t="shared" si="126"/>
        <v>0</v>
      </c>
      <c r="AV4115">
        <f t="shared" si="127"/>
        <v>0</v>
      </c>
    </row>
    <row r="4116" spans="1:48" x14ac:dyDescent="0.25">
      <c r="A4116" t="s">
        <v>12489</v>
      </c>
      <c r="B4116" t="s">
        <v>12489</v>
      </c>
      <c r="C4116" t="s">
        <v>10859</v>
      </c>
      <c r="D4116" t="s">
        <v>12490</v>
      </c>
      <c r="E4116" t="s">
        <v>2310</v>
      </c>
      <c r="F4116">
        <v>8</v>
      </c>
      <c r="G4116">
        <v>8.3000000000000007</v>
      </c>
      <c r="H4116" t="s">
        <v>2323</v>
      </c>
      <c r="I4116" s="21">
        <v>41928.580231481501</v>
      </c>
      <c r="J4116">
        <v>2014</v>
      </c>
      <c r="K4116" s="21">
        <v>41955.612268518496</v>
      </c>
      <c r="L4116">
        <v>2014</v>
      </c>
      <c r="M4116" s="21">
        <v>42423.356249999997</v>
      </c>
      <c r="N4116">
        <v>2016</v>
      </c>
      <c r="Q4116" s="262">
        <v>1200000</v>
      </c>
      <c r="R4116" s="262">
        <v>373000</v>
      </c>
      <c r="S4116" t="s">
        <v>114</v>
      </c>
      <c r="T4116" t="s">
        <v>114</v>
      </c>
      <c r="V4116">
        <v>0</v>
      </c>
      <c r="W4116">
        <v>2939</v>
      </c>
      <c r="X4116">
        <v>1</v>
      </c>
      <c r="Y4116">
        <v>0</v>
      </c>
      <c r="Z4116">
        <v>0</v>
      </c>
      <c r="AA4116">
        <v>0</v>
      </c>
      <c r="AB4116">
        <v>0</v>
      </c>
      <c r="AC4116">
        <v>2939</v>
      </c>
      <c r="AD4116">
        <v>0</v>
      </c>
      <c r="AE4116">
        <v>0</v>
      </c>
      <c r="AF4116">
        <v>0</v>
      </c>
      <c r="AG4116">
        <v>0</v>
      </c>
      <c r="AH4116">
        <v>0</v>
      </c>
      <c r="AI4116">
        <v>0</v>
      </c>
      <c r="AJ4116">
        <v>0</v>
      </c>
      <c r="AK4116">
        <v>0</v>
      </c>
      <c r="AL4116">
        <v>0</v>
      </c>
      <c r="AM4116">
        <v>0</v>
      </c>
      <c r="AN4116">
        <v>0</v>
      </c>
      <c r="AO4116">
        <v>1</v>
      </c>
      <c r="AP4116">
        <v>0</v>
      </c>
      <c r="AQ4116">
        <v>0</v>
      </c>
      <c r="AR4116">
        <v>0</v>
      </c>
      <c r="AS4116">
        <v>0</v>
      </c>
      <c r="AT4116">
        <v>0</v>
      </c>
      <c r="AU4116">
        <f t="shared" si="126"/>
        <v>1</v>
      </c>
      <c r="AV4116">
        <f t="shared" si="127"/>
        <v>0</v>
      </c>
    </row>
    <row r="4117" spans="1:48" x14ac:dyDescent="0.25">
      <c r="A4117" t="s">
        <v>12491</v>
      </c>
      <c r="B4117" t="s">
        <v>12491</v>
      </c>
      <c r="C4117" t="s">
        <v>7880</v>
      </c>
      <c r="D4117" t="s">
        <v>12490</v>
      </c>
      <c r="E4117" t="s">
        <v>2310</v>
      </c>
      <c r="F4117">
        <v>8</v>
      </c>
      <c r="G4117">
        <v>8.3000000000000007</v>
      </c>
      <c r="H4117" t="s">
        <v>2323</v>
      </c>
      <c r="I4117" s="21">
        <v>41928.597812499997</v>
      </c>
      <c r="J4117">
        <v>2014</v>
      </c>
      <c r="K4117" s="21">
        <v>41955.614976851903</v>
      </c>
      <c r="L4117">
        <v>2014</v>
      </c>
      <c r="M4117" s="21">
        <v>42423.353877314803</v>
      </c>
      <c r="N4117">
        <v>2016</v>
      </c>
      <c r="Q4117" s="262">
        <v>50000</v>
      </c>
      <c r="R4117" s="262">
        <v>27000</v>
      </c>
      <c r="S4117" t="s">
        <v>114</v>
      </c>
      <c r="T4117" t="s">
        <v>114</v>
      </c>
      <c r="V4117">
        <v>0</v>
      </c>
      <c r="W4117">
        <v>625</v>
      </c>
      <c r="X4117">
        <v>0</v>
      </c>
      <c r="Y4117">
        <v>0</v>
      </c>
      <c r="Z4117">
        <v>0</v>
      </c>
      <c r="AA4117">
        <v>0</v>
      </c>
      <c r="AB4117">
        <v>0</v>
      </c>
      <c r="AC4117">
        <v>625</v>
      </c>
      <c r="AD4117">
        <v>0</v>
      </c>
      <c r="AE4117">
        <v>0</v>
      </c>
      <c r="AF4117">
        <v>0</v>
      </c>
      <c r="AG4117">
        <v>0</v>
      </c>
      <c r="AH4117">
        <v>0</v>
      </c>
      <c r="AI4117">
        <v>0</v>
      </c>
      <c r="AJ4117">
        <v>0</v>
      </c>
      <c r="AK4117">
        <v>0</v>
      </c>
      <c r="AL4117">
        <v>0</v>
      </c>
      <c r="AM4117">
        <v>0</v>
      </c>
      <c r="AN4117">
        <v>0</v>
      </c>
      <c r="AO4117">
        <v>0</v>
      </c>
      <c r="AP4117">
        <v>0</v>
      </c>
      <c r="AQ4117">
        <v>0</v>
      </c>
      <c r="AR4117">
        <v>0</v>
      </c>
      <c r="AS4117">
        <v>0</v>
      </c>
      <c r="AT4117">
        <v>0</v>
      </c>
      <c r="AU4117">
        <f t="shared" si="126"/>
        <v>0</v>
      </c>
      <c r="AV4117">
        <f t="shared" si="127"/>
        <v>0</v>
      </c>
    </row>
    <row r="4118" spans="1:48" x14ac:dyDescent="0.25">
      <c r="A4118" t="s">
        <v>12495</v>
      </c>
      <c r="C4118" t="s">
        <v>12496</v>
      </c>
      <c r="D4118" t="s">
        <v>12497</v>
      </c>
      <c r="E4118" t="s">
        <v>1663</v>
      </c>
      <c r="F4118">
        <v>5</v>
      </c>
      <c r="G4118">
        <v>5.2</v>
      </c>
      <c r="H4118" t="s">
        <v>2327</v>
      </c>
      <c r="I4118" s="21">
        <v>41929</v>
      </c>
      <c r="J4118">
        <v>2014</v>
      </c>
      <c r="K4118" s="21">
        <v>41962</v>
      </c>
      <c r="L4118">
        <v>2014</v>
      </c>
      <c r="M4118" s="21">
        <v>42016</v>
      </c>
      <c r="N4118">
        <v>2015</v>
      </c>
      <c r="Q4118" s="262">
        <v>15000</v>
      </c>
      <c r="S4118" t="s">
        <v>114</v>
      </c>
      <c r="T4118" t="s">
        <v>114</v>
      </c>
      <c r="V4118">
        <v>0</v>
      </c>
      <c r="W4118">
        <v>0</v>
      </c>
      <c r="X4118">
        <v>0</v>
      </c>
      <c r="Y4118">
        <v>0</v>
      </c>
      <c r="Z4118">
        <v>0</v>
      </c>
      <c r="AA4118">
        <v>0</v>
      </c>
      <c r="AB4118">
        <v>0</v>
      </c>
      <c r="AC4118">
        <v>0</v>
      </c>
      <c r="AD4118">
        <v>0</v>
      </c>
      <c r="AE4118">
        <v>0</v>
      </c>
      <c r="AF4118">
        <v>0</v>
      </c>
      <c r="AG4118">
        <v>0</v>
      </c>
      <c r="AH4118">
        <v>0</v>
      </c>
      <c r="AI4118">
        <v>0</v>
      </c>
      <c r="AJ4118">
        <v>0</v>
      </c>
      <c r="AK4118">
        <v>0</v>
      </c>
      <c r="AL4118">
        <v>0</v>
      </c>
      <c r="AM4118">
        <v>0</v>
      </c>
      <c r="AN4118">
        <v>0</v>
      </c>
      <c r="AO4118">
        <v>0</v>
      </c>
      <c r="AP4118">
        <v>0</v>
      </c>
      <c r="AQ4118">
        <v>0</v>
      </c>
      <c r="AR4118">
        <v>0</v>
      </c>
      <c r="AS4118">
        <v>0</v>
      </c>
      <c r="AT4118">
        <v>0</v>
      </c>
      <c r="AU4118">
        <f t="shared" si="126"/>
        <v>0</v>
      </c>
      <c r="AV4118">
        <f t="shared" si="127"/>
        <v>0</v>
      </c>
    </row>
    <row r="4119" spans="1:48" x14ac:dyDescent="0.25">
      <c r="A4119" t="s">
        <v>12492</v>
      </c>
      <c r="C4119" t="s">
        <v>12493</v>
      </c>
      <c r="D4119" t="s">
        <v>12494</v>
      </c>
      <c r="E4119" t="s">
        <v>1663</v>
      </c>
      <c r="F4119">
        <v>3</v>
      </c>
      <c r="G4119">
        <v>3.1</v>
      </c>
      <c r="H4119" t="s">
        <v>2017</v>
      </c>
      <c r="I4119" s="21">
        <v>41929</v>
      </c>
      <c r="J4119">
        <v>2014</v>
      </c>
      <c r="K4119" s="21">
        <v>42046</v>
      </c>
      <c r="L4119">
        <v>2015</v>
      </c>
      <c r="P4119" s="21">
        <v>42226</v>
      </c>
      <c r="Q4119" s="262">
        <v>7500</v>
      </c>
      <c r="S4119" t="s">
        <v>114</v>
      </c>
      <c r="T4119" t="s">
        <v>114</v>
      </c>
      <c r="V4119">
        <v>0</v>
      </c>
      <c r="W4119">
        <v>0</v>
      </c>
      <c r="X4119">
        <v>0</v>
      </c>
      <c r="Y4119">
        <v>0</v>
      </c>
      <c r="Z4119">
        <v>0</v>
      </c>
      <c r="AA4119">
        <v>0</v>
      </c>
      <c r="AB4119">
        <v>0</v>
      </c>
      <c r="AC4119">
        <v>0</v>
      </c>
      <c r="AD4119">
        <v>0</v>
      </c>
      <c r="AE4119">
        <v>0</v>
      </c>
      <c r="AF4119">
        <v>0</v>
      </c>
      <c r="AG4119">
        <v>0</v>
      </c>
      <c r="AH4119">
        <v>0</v>
      </c>
      <c r="AI4119">
        <v>0</v>
      </c>
      <c r="AJ4119">
        <v>0</v>
      </c>
      <c r="AK4119">
        <v>0</v>
      </c>
      <c r="AL4119">
        <v>0</v>
      </c>
      <c r="AM4119">
        <v>0</v>
      </c>
      <c r="AN4119">
        <v>0</v>
      </c>
      <c r="AO4119">
        <v>0</v>
      </c>
      <c r="AP4119">
        <v>0</v>
      </c>
      <c r="AQ4119">
        <v>0</v>
      </c>
      <c r="AR4119">
        <v>0</v>
      </c>
      <c r="AS4119">
        <v>0</v>
      </c>
      <c r="AT4119">
        <v>0</v>
      </c>
      <c r="AU4119">
        <f t="shared" si="126"/>
        <v>0</v>
      </c>
      <c r="AV4119">
        <f t="shared" si="127"/>
        <v>0</v>
      </c>
    </row>
    <row r="4120" spans="1:48" x14ac:dyDescent="0.25">
      <c r="A4120" t="s">
        <v>12498</v>
      </c>
      <c r="B4120" t="s">
        <v>12498</v>
      </c>
      <c r="C4120" t="s">
        <v>12499</v>
      </c>
      <c r="D4120" t="s">
        <v>12500</v>
      </c>
      <c r="E4120" t="s">
        <v>2310</v>
      </c>
      <c r="F4120">
        <v>8</v>
      </c>
      <c r="G4120">
        <v>8.4</v>
      </c>
      <c r="H4120" t="s">
        <v>2017</v>
      </c>
      <c r="I4120" s="21">
        <v>41929.673715277801</v>
      </c>
      <c r="J4120">
        <v>2014</v>
      </c>
      <c r="K4120" s="21">
        <v>41960.407974537004</v>
      </c>
      <c r="L4120">
        <v>2014</v>
      </c>
      <c r="M4120" s="21">
        <v>42046.668009259301</v>
      </c>
      <c r="N4120">
        <v>2015</v>
      </c>
      <c r="Q4120" s="262">
        <v>105000</v>
      </c>
      <c r="R4120" s="262">
        <v>15000</v>
      </c>
      <c r="S4120" t="s">
        <v>114</v>
      </c>
      <c r="T4120" t="s">
        <v>114</v>
      </c>
      <c r="V4120">
        <v>0</v>
      </c>
      <c r="W4120">
        <v>126</v>
      </c>
      <c r="X4120">
        <v>0</v>
      </c>
      <c r="Y4120">
        <v>0</v>
      </c>
      <c r="Z4120">
        <v>0</v>
      </c>
      <c r="AA4120">
        <v>0</v>
      </c>
      <c r="AB4120">
        <v>0</v>
      </c>
      <c r="AC4120">
        <v>126</v>
      </c>
      <c r="AD4120">
        <v>0</v>
      </c>
      <c r="AE4120">
        <v>0</v>
      </c>
      <c r="AF4120">
        <v>0</v>
      </c>
      <c r="AG4120">
        <v>0</v>
      </c>
      <c r="AH4120">
        <v>0</v>
      </c>
      <c r="AI4120">
        <v>0</v>
      </c>
      <c r="AJ4120">
        <v>0</v>
      </c>
      <c r="AK4120">
        <v>0</v>
      </c>
      <c r="AL4120">
        <v>0</v>
      </c>
      <c r="AM4120">
        <v>0</v>
      </c>
      <c r="AN4120">
        <v>0</v>
      </c>
      <c r="AO4120">
        <v>0</v>
      </c>
      <c r="AP4120">
        <v>0</v>
      </c>
      <c r="AQ4120">
        <v>0</v>
      </c>
      <c r="AR4120">
        <v>0</v>
      </c>
      <c r="AS4120">
        <v>0</v>
      </c>
      <c r="AT4120">
        <v>0</v>
      </c>
      <c r="AU4120">
        <f t="shared" si="126"/>
        <v>0</v>
      </c>
      <c r="AV4120">
        <f t="shared" si="127"/>
        <v>0</v>
      </c>
    </row>
    <row r="4121" spans="1:48" x14ac:dyDescent="0.25">
      <c r="A4121" t="s">
        <v>12501</v>
      </c>
      <c r="B4121" t="s">
        <v>12501</v>
      </c>
      <c r="C4121" t="s">
        <v>12502</v>
      </c>
      <c r="D4121" t="s">
        <v>7578</v>
      </c>
      <c r="E4121" t="s">
        <v>2310</v>
      </c>
      <c r="F4121">
        <v>8</v>
      </c>
      <c r="G4121">
        <v>8.1999999999999993</v>
      </c>
      <c r="H4121" t="s">
        <v>2022</v>
      </c>
      <c r="I4121" s="21">
        <v>41929.687222222201</v>
      </c>
      <c r="J4121">
        <v>2014</v>
      </c>
      <c r="K4121" s="21">
        <v>41964.340219907397</v>
      </c>
      <c r="L4121">
        <v>2014</v>
      </c>
      <c r="M4121" s="21">
        <v>42150.542766203696</v>
      </c>
      <c r="N4121">
        <v>2015</v>
      </c>
      <c r="Q4121" s="262">
        <v>100000</v>
      </c>
      <c r="R4121" s="262">
        <v>102000</v>
      </c>
      <c r="S4121" t="s">
        <v>114</v>
      </c>
      <c r="T4121" t="s">
        <v>114</v>
      </c>
      <c r="V4121">
        <v>998</v>
      </c>
      <c r="W4121">
        <v>0</v>
      </c>
      <c r="X4121">
        <v>1</v>
      </c>
      <c r="Y4121">
        <v>0</v>
      </c>
      <c r="Z4121">
        <v>0</v>
      </c>
      <c r="AA4121">
        <v>0</v>
      </c>
      <c r="AB4121">
        <v>0</v>
      </c>
      <c r="AC4121">
        <v>-998</v>
      </c>
      <c r="AD4121">
        <v>0</v>
      </c>
      <c r="AE4121">
        <v>0</v>
      </c>
      <c r="AF4121">
        <v>998</v>
      </c>
      <c r="AG4121">
        <v>0</v>
      </c>
      <c r="AH4121">
        <v>0</v>
      </c>
      <c r="AI4121">
        <v>0</v>
      </c>
      <c r="AJ4121">
        <v>0</v>
      </c>
      <c r="AK4121">
        <v>0</v>
      </c>
      <c r="AL4121">
        <v>0</v>
      </c>
      <c r="AM4121">
        <v>0</v>
      </c>
      <c r="AN4121">
        <v>0</v>
      </c>
      <c r="AO4121">
        <v>0</v>
      </c>
      <c r="AP4121">
        <v>0</v>
      </c>
      <c r="AQ4121">
        <v>0</v>
      </c>
      <c r="AR4121">
        <v>1</v>
      </c>
      <c r="AS4121">
        <v>0</v>
      </c>
      <c r="AT4121">
        <v>0</v>
      </c>
      <c r="AU4121">
        <f t="shared" ref="AU4121:AU4184" si="128">SUM(AN4121:AQ4121,AS4121)</f>
        <v>0</v>
      </c>
      <c r="AV4121">
        <f t="shared" ref="AV4121:AV4184" si="129">SUM(Y4121:AB4121,AH4121:AM4121)</f>
        <v>0</v>
      </c>
    </row>
    <row r="4122" spans="1:48" x14ac:dyDescent="0.25">
      <c r="A4122" t="s">
        <v>19649</v>
      </c>
      <c r="B4122" t="s">
        <v>19649</v>
      </c>
      <c r="C4122" t="s">
        <v>10709</v>
      </c>
      <c r="D4122" t="s">
        <v>19650</v>
      </c>
      <c r="E4122" t="s">
        <v>2310</v>
      </c>
      <c r="F4122">
        <v>8</v>
      </c>
      <c r="G4122">
        <v>8.1</v>
      </c>
      <c r="H4122" t="s">
        <v>2323</v>
      </c>
      <c r="I4122" s="21">
        <v>41933.617025462961</v>
      </c>
      <c r="J4122">
        <v>2014</v>
      </c>
      <c r="K4122" s="21">
        <v>42356.649305555555</v>
      </c>
      <c r="L4122">
        <v>2015</v>
      </c>
      <c r="M4122" s="21">
        <v>44188.422799386572</v>
      </c>
      <c r="N4122">
        <v>2020</v>
      </c>
      <c r="Q4122" s="262">
        <v>1900000</v>
      </c>
      <c r="R4122" s="262">
        <v>1848000</v>
      </c>
      <c r="S4122" t="s">
        <v>13254</v>
      </c>
      <c r="V4122">
        <v>0</v>
      </c>
      <c r="W4122">
        <v>12993</v>
      </c>
      <c r="X4122">
        <v>1</v>
      </c>
      <c r="Y4122">
        <v>0</v>
      </c>
      <c r="Z4122">
        <v>0</v>
      </c>
      <c r="AA4122">
        <v>0</v>
      </c>
      <c r="AB4122">
        <v>0</v>
      </c>
      <c r="AC4122">
        <v>12993</v>
      </c>
      <c r="AD4122">
        <v>0</v>
      </c>
      <c r="AE4122">
        <v>0</v>
      </c>
      <c r="AF4122">
        <v>0</v>
      </c>
      <c r="AG4122">
        <v>0</v>
      </c>
      <c r="AH4122">
        <v>0</v>
      </c>
      <c r="AI4122">
        <v>0</v>
      </c>
      <c r="AJ4122">
        <v>0</v>
      </c>
      <c r="AK4122">
        <v>0</v>
      </c>
      <c r="AL4122">
        <v>0</v>
      </c>
      <c r="AM4122">
        <v>0</v>
      </c>
      <c r="AN4122">
        <v>0</v>
      </c>
      <c r="AO4122">
        <v>1</v>
      </c>
      <c r="AP4122">
        <v>0</v>
      </c>
      <c r="AQ4122">
        <v>0</v>
      </c>
      <c r="AR4122">
        <v>0</v>
      </c>
      <c r="AS4122">
        <v>0</v>
      </c>
      <c r="AT4122">
        <v>0</v>
      </c>
      <c r="AU4122">
        <f t="shared" si="128"/>
        <v>1</v>
      </c>
      <c r="AV4122">
        <f t="shared" si="129"/>
        <v>0</v>
      </c>
    </row>
    <row r="4123" spans="1:48" x14ac:dyDescent="0.25">
      <c r="A4123" t="s">
        <v>12503</v>
      </c>
      <c r="B4123" t="s">
        <v>12503</v>
      </c>
      <c r="C4123" t="s">
        <v>12504</v>
      </c>
      <c r="D4123" t="s">
        <v>12505</v>
      </c>
      <c r="E4123" t="s">
        <v>2310</v>
      </c>
      <c r="F4123">
        <v>8</v>
      </c>
      <c r="G4123">
        <v>8.1</v>
      </c>
      <c r="H4123" t="s">
        <v>2323</v>
      </c>
      <c r="I4123" s="21">
        <v>41933.683368055601</v>
      </c>
      <c r="J4123">
        <v>2014</v>
      </c>
      <c r="K4123" s="21">
        <v>41967.451493055603</v>
      </c>
      <c r="L4123">
        <v>2014</v>
      </c>
      <c r="M4123" s="21">
        <v>42282.677638888897</v>
      </c>
      <c r="N4123">
        <v>2015</v>
      </c>
      <c r="Q4123" s="262">
        <v>500000</v>
      </c>
      <c r="R4123" s="262">
        <v>168000</v>
      </c>
      <c r="S4123" t="s">
        <v>114</v>
      </c>
      <c r="T4123" t="s">
        <v>114</v>
      </c>
      <c r="V4123">
        <v>0</v>
      </c>
      <c r="W4123">
        <v>2088</v>
      </c>
      <c r="X4123">
        <v>0</v>
      </c>
      <c r="Y4123">
        <v>0</v>
      </c>
      <c r="Z4123">
        <v>0</v>
      </c>
      <c r="AA4123">
        <v>0</v>
      </c>
      <c r="AB4123">
        <v>0</v>
      </c>
      <c r="AC4123">
        <v>1089</v>
      </c>
      <c r="AD4123">
        <v>0</v>
      </c>
      <c r="AE4123">
        <v>0</v>
      </c>
      <c r="AF4123">
        <v>999</v>
      </c>
      <c r="AG4123">
        <v>0</v>
      </c>
      <c r="AH4123">
        <v>0</v>
      </c>
      <c r="AI4123">
        <v>0</v>
      </c>
      <c r="AJ4123">
        <v>0</v>
      </c>
      <c r="AK4123">
        <v>0</v>
      </c>
      <c r="AL4123">
        <v>0</v>
      </c>
      <c r="AM4123">
        <v>0</v>
      </c>
      <c r="AN4123">
        <v>0</v>
      </c>
      <c r="AO4123">
        <v>0</v>
      </c>
      <c r="AP4123">
        <v>0</v>
      </c>
      <c r="AQ4123">
        <v>0</v>
      </c>
      <c r="AR4123">
        <v>0</v>
      </c>
      <c r="AS4123">
        <v>0</v>
      </c>
      <c r="AT4123">
        <v>0</v>
      </c>
      <c r="AU4123">
        <f t="shared" si="128"/>
        <v>0</v>
      </c>
      <c r="AV4123">
        <f t="shared" si="129"/>
        <v>0</v>
      </c>
    </row>
    <row r="4124" spans="1:48" x14ac:dyDescent="0.25">
      <c r="A4124" t="s">
        <v>12506</v>
      </c>
      <c r="C4124" t="s">
        <v>11879</v>
      </c>
      <c r="D4124" t="s">
        <v>12507</v>
      </c>
      <c r="E4124" t="s">
        <v>1663</v>
      </c>
      <c r="F4124">
        <v>4</v>
      </c>
      <c r="G4124">
        <v>4.4000000000000004</v>
      </c>
      <c r="H4124" t="s">
        <v>2017</v>
      </c>
      <c r="I4124" s="21">
        <v>41934</v>
      </c>
      <c r="J4124">
        <v>2014</v>
      </c>
      <c r="K4124" s="21">
        <v>41939</v>
      </c>
      <c r="L4124">
        <v>2014</v>
      </c>
      <c r="P4124" s="21">
        <v>42205</v>
      </c>
      <c r="Q4124" s="262">
        <v>30000</v>
      </c>
      <c r="S4124" t="s">
        <v>114</v>
      </c>
      <c r="T4124" t="s">
        <v>114</v>
      </c>
      <c r="V4124">
        <v>0</v>
      </c>
      <c r="W4124">
        <v>0</v>
      </c>
      <c r="X4124">
        <v>0</v>
      </c>
      <c r="Y4124">
        <v>0</v>
      </c>
      <c r="Z4124">
        <v>0</v>
      </c>
      <c r="AA4124">
        <v>0</v>
      </c>
      <c r="AB4124">
        <v>0</v>
      </c>
      <c r="AC4124">
        <v>0</v>
      </c>
      <c r="AD4124">
        <v>0</v>
      </c>
      <c r="AE4124">
        <v>0</v>
      </c>
      <c r="AF4124">
        <v>0</v>
      </c>
      <c r="AG4124">
        <v>0</v>
      </c>
      <c r="AH4124">
        <v>0</v>
      </c>
      <c r="AI4124">
        <v>0</v>
      </c>
      <c r="AJ4124">
        <v>0</v>
      </c>
      <c r="AK4124">
        <v>0</v>
      </c>
      <c r="AL4124">
        <v>0</v>
      </c>
      <c r="AM4124">
        <v>0</v>
      </c>
      <c r="AN4124">
        <v>0</v>
      </c>
      <c r="AO4124">
        <v>0</v>
      </c>
      <c r="AP4124">
        <v>0</v>
      </c>
      <c r="AQ4124">
        <v>0</v>
      </c>
      <c r="AR4124">
        <v>0</v>
      </c>
      <c r="AS4124">
        <v>0</v>
      </c>
      <c r="AT4124">
        <v>0</v>
      </c>
      <c r="AU4124">
        <f t="shared" si="128"/>
        <v>0</v>
      </c>
      <c r="AV4124">
        <f t="shared" si="129"/>
        <v>0</v>
      </c>
    </row>
    <row r="4125" spans="1:48" x14ac:dyDescent="0.25">
      <c r="A4125" t="s">
        <v>12508</v>
      </c>
      <c r="B4125" t="s">
        <v>12508</v>
      </c>
      <c r="C4125" t="s">
        <v>12509</v>
      </c>
      <c r="D4125" t="s">
        <v>7536</v>
      </c>
      <c r="E4125" t="s">
        <v>2310</v>
      </c>
      <c r="F4125">
        <v>8</v>
      </c>
      <c r="G4125">
        <v>8.1999999999999993</v>
      </c>
      <c r="H4125" t="s">
        <v>2022</v>
      </c>
      <c r="I4125" s="21">
        <v>41934.448611111096</v>
      </c>
      <c r="J4125">
        <v>2014</v>
      </c>
      <c r="K4125" s="21">
        <v>41962.663124999999</v>
      </c>
      <c r="L4125">
        <v>2014</v>
      </c>
      <c r="M4125" s="21">
        <v>42150.537060185197</v>
      </c>
      <c r="N4125">
        <v>2015</v>
      </c>
      <c r="Q4125" s="262">
        <v>100000</v>
      </c>
      <c r="R4125" s="262">
        <v>119000</v>
      </c>
      <c r="S4125" t="s">
        <v>114</v>
      </c>
      <c r="T4125" t="s">
        <v>114</v>
      </c>
      <c r="V4125">
        <v>0</v>
      </c>
      <c r="W4125">
        <v>972</v>
      </c>
      <c r="X4125">
        <v>1</v>
      </c>
      <c r="Y4125">
        <v>0</v>
      </c>
      <c r="Z4125">
        <v>0</v>
      </c>
      <c r="AA4125">
        <v>0</v>
      </c>
      <c r="AB4125">
        <v>0</v>
      </c>
      <c r="AC4125">
        <v>0</v>
      </c>
      <c r="AD4125">
        <v>0</v>
      </c>
      <c r="AE4125">
        <v>0</v>
      </c>
      <c r="AF4125">
        <v>972</v>
      </c>
      <c r="AG4125">
        <v>0</v>
      </c>
      <c r="AH4125">
        <v>0</v>
      </c>
      <c r="AI4125">
        <v>0</v>
      </c>
      <c r="AJ4125">
        <v>0</v>
      </c>
      <c r="AK4125">
        <v>0</v>
      </c>
      <c r="AL4125">
        <v>0</v>
      </c>
      <c r="AM4125">
        <v>0</v>
      </c>
      <c r="AN4125">
        <v>0</v>
      </c>
      <c r="AO4125">
        <v>0</v>
      </c>
      <c r="AP4125">
        <v>0</v>
      </c>
      <c r="AQ4125">
        <v>0</v>
      </c>
      <c r="AR4125">
        <v>1</v>
      </c>
      <c r="AS4125">
        <v>0</v>
      </c>
      <c r="AT4125">
        <v>0</v>
      </c>
      <c r="AU4125">
        <f t="shared" si="128"/>
        <v>0</v>
      </c>
      <c r="AV4125">
        <f t="shared" si="129"/>
        <v>0</v>
      </c>
    </row>
    <row r="4126" spans="1:48" x14ac:dyDescent="0.25">
      <c r="A4126" t="s">
        <v>12510</v>
      </c>
      <c r="B4126" t="s">
        <v>12510</v>
      </c>
      <c r="C4126" t="s">
        <v>12511</v>
      </c>
      <c r="D4126" t="s">
        <v>6553</v>
      </c>
      <c r="E4126" t="s">
        <v>2310</v>
      </c>
      <c r="F4126">
        <v>11</v>
      </c>
      <c r="G4126">
        <v>11.4</v>
      </c>
      <c r="H4126" t="s">
        <v>2017</v>
      </c>
      <c r="I4126" s="21">
        <v>41935.665752314802</v>
      </c>
      <c r="J4126">
        <v>2014</v>
      </c>
      <c r="K4126" s="21">
        <v>41962.555254629602</v>
      </c>
      <c r="L4126">
        <v>2014</v>
      </c>
      <c r="M4126" s="21">
        <v>42401.548032407401</v>
      </c>
      <c r="N4126">
        <v>2016</v>
      </c>
      <c r="Q4126" s="262">
        <v>210000</v>
      </c>
      <c r="R4126" s="262">
        <v>170000</v>
      </c>
      <c r="S4126" t="s">
        <v>114</v>
      </c>
      <c r="T4126" t="s">
        <v>114</v>
      </c>
      <c r="V4126">
        <v>0</v>
      </c>
      <c r="W4126">
        <v>2139</v>
      </c>
      <c r="X4126">
        <v>1</v>
      </c>
      <c r="Y4126">
        <v>0</v>
      </c>
      <c r="Z4126">
        <v>0</v>
      </c>
      <c r="AA4126">
        <v>0</v>
      </c>
      <c r="AB4126">
        <v>0</v>
      </c>
      <c r="AC4126">
        <v>1148</v>
      </c>
      <c r="AD4126">
        <v>0</v>
      </c>
      <c r="AE4126">
        <v>0</v>
      </c>
      <c r="AF4126">
        <v>991</v>
      </c>
      <c r="AG4126">
        <v>0</v>
      </c>
      <c r="AH4126">
        <v>0</v>
      </c>
      <c r="AI4126">
        <v>0</v>
      </c>
      <c r="AJ4126">
        <v>0</v>
      </c>
      <c r="AK4126">
        <v>0</v>
      </c>
      <c r="AL4126">
        <v>0</v>
      </c>
      <c r="AM4126">
        <v>0</v>
      </c>
      <c r="AN4126">
        <v>0</v>
      </c>
      <c r="AO4126">
        <v>0</v>
      </c>
      <c r="AP4126">
        <v>0</v>
      </c>
      <c r="AQ4126">
        <v>0</v>
      </c>
      <c r="AR4126">
        <v>1</v>
      </c>
      <c r="AS4126">
        <v>0</v>
      </c>
      <c r="AT4126">
        <v>0</v>
      </c>
      <c r="AU4126">
        <f t="shared" si="128"/>
        <v>0</v>
      </c>
      <c r="AV4126">
        <f t="shared" si="129"/>
        <v>0</v>
      </c>
    </row>
    <row r="4127" spans="1:48" x14ac:dyDescent="0.25">
      <c r="A4127" t="s">
        <v>12512</v>
      </c>
      <c r="C4127" t="s">
        <v>12513</v>
      </c>
      <c r="D4127" t="s">
        <v>6255</v>
      </c>
      <c r="E4127" t="s">
        <v>1663</v>
      </c>
      <c r="F4127">
        <v>3</v>
      </c>
      <c r="G4127">
        <v>3.3</v>
      </c>
      <c r="H4127" t="s">
        <v>2017</v>
      </c>
      <c r="I4127" s="21">
        <v>41940</v>
      </c>
      <c r="J4127">
        <v>2014</v>
      </c>
      <c r="K4127" s="21">
        <v>42038</v>
      </c>
      <c r="L4127">
        <v>2015</v>
      </c>
      <c r="M4127" s="21">
        <v>42670</v>
      </c>
      <c r="N4127">
        <v>2016</v>
      </c>
      <c r="Q4127" s="262">
        <v>50000</v>
      </c>
      <c r="S4127" t="s">
        <v>114</v>
      </c>
      <c r="T4127" t="s">
        <v>114</v>
      </c>
      <c r="V4127">
        <v>0</v>
      </c>
      <c r="W4127">
        <v>0</v>
      </c>
      <c r="X4127">
        <v>0</v>
      </c>
      <c r="Y4127">
        <v>0</v>
      </c>
      <c r="Z4127">
        <v>0</v>
      </c>
      <c r="AA4127">
        <v>0</v>
      </c>
      <c r="AB4127">
        <v>0</v>
      </c>
      <c r="AC4127">
        <v>0</v>
      </c>
      <c r="AD4127">
        <v>0</v>
      </c>
      <c r="AE4127">
        <v>0</v>
      </c>
      <c r="AF4127">
        <v>0</v>
      </c>
      <c r="AG4127">
        <v>0</v>
      </c>
      <c r="AH4127">
        <v>0</v>
      </c>
      <c r="AI4127">
        <v>0</v>
      </c>
      <c r="AJ4127">
        <v>0</v>
      </c>
      <c r="AK4127">
        <v>0</v>
      </c>
      <c r="AL4127">
        <v>0</v>
      </c>
      <c r="AM4127">
        <v>0</v>
      </c>
      <c r="AN4127">
        <v>0</v>
      </c>
      <c r="AO4127">
        <v>0</v>
      </c>
      <c r="AP4127">
        <v>0</v>
      </c>
      <c r="AQ4127">
        <v>0</v>
      </c>
      <c r="AR4127">
        <v>0</v>
      </c>
      <c r="AS4127">
        <v>0</v>
      </c>
      <c r="AT4127">
        <v>0</v>
      </c>
      <c r="AU4127">
        <f t="shared" si="128"/>
        <v>0</v>
      </c>
      <c r="AV4127">
        <f t="shared" si="129"/>
        <v>0</v>
      </c>
    </row>
    <row r="4128" spans="1:48" x14ac:dyDescent="0.25">
      <c r="A4128" t="s">
        <v>12514</v>
      </c>
      <c r="C4128" t="s">
        <v>11237</v>
      </c>
      <c r="D4128" t="s">
        <v>12336</v>
      </c>
      <c r="E4128" t="s">
        <v>1663</v>
      </c>
      <c r="F4128">
        <v>2</v>
      </c>
      <c r="G4128">
        <v>2.2999999999999998</v>
      </c>
      <c r="H4128" t="s">
        <v>2327</v>
      </c>
      <c r="I4128" s="21">
        <v>41940</v>
      </c>
      <c r="J4128">
        <v>2014</v>
      </c>
      <c r="K4128" s="21">
        <v>41976</v>
      </c>
      <c r="L4128">
        <v>2014</v>
      </c>
      <c r="P4128" s="21">
        <v>42156</v>
      </c>
      <c r="Q4128" s="262">
        <v>15000</v>
      </c>
      <c r="S4128" t="s">
        <v>114</v>
      </c>
      <c r="T4128" t="s">
        <v>114</v>
      </c>
      <c r="V4128">
        <v>0</v>
      </c>
      <c r="W4128">
        <v>0</v>
      </c>
      <c r="X4128">
        <v>0</v>
      </c>
      <c r="Y4128">
        <v>0</v>
      </c>
      <c r="Z4128">
        <v>0</v>
      </c>
      <c r="AA4128">
        <v>0</v>
      </c>
      <c r="AB4128">
        <v>0</v>
      </c>
      <c r="AC4128">
        <v>0</v>
      </c>
      <c r="AD4128">
        <v>0</v>
      </c>
      <c r="AE4128">
        <v>0</v>
      </c>
      <c r="AF4128">
        <v>0</v>
      </c>
      <c r="AG4128">
        <v>0</v>
      </c>
      <c r="AH4128">
        <v>0</v>
      </c>
      <c r="AI4128">
        <v>0</v>
      </c>
      <c r="AJ4128">
        <v>0</v>
      </c>
      <c r="AK4128">
        <v>0</v>
      </c>
      <c r="AL4128">
        <v>0</v>
      </c>
      <c r="AM4128">
        <v>0</v>
      </c>
      <c r="AN4128">
        <v>0</v>
      </c>
      <c r="AO4128">
        <v>0</v>
      </c>
      <c r="AP4128">
        <v>0</v>
      </c>
      <c r="AQ4128">
        <v>0</v>
      </c>
      <c r="AR4128">
        <v>0</v>
      </c>
      <c r="AS4128">
        <v>0</v>
      </c>
      <c r="AT4128">
        <v>0</v>
      </c>
      <c r="AU4128">
        <f t="shared" si="128"/>
        <v>0</v>
      </c>
      <c r="AV4128">
        <f t="shared" si="129"/>
        <v>0</v>
      </c>
    </row>
    <row r="4129" spans="1:48" x14ac:dyDescent="0.25">
      <c r="A4129" t="s">
        <v>12515</v>
      </c>
      <c r="B4129" t="s">
        <v>12515</v>
      </c>
      <c r="C4129" t="s">
        <v>12516</v>
      </c>
      <c r="D4129" t="s">
        <v>11530</v>
      </c>
      <c r="E4129" t="s">
        <v>2310</v>
      </c>
      <c r="F4129">
        <v>8</v>
      </c>
      <c r="G4129">
        <v>8.1</v>
      </c>
      <c r="H4129" t="s">
        <v>2323</v>
      </c>
      <c r="I4129" s="21">
        <v>41943.453969907401</v>
      </c>
      <c r="J4129">
        <v>2014</v>
      </c>
      <c r="K4129" s="21">
        <v>42251.594814814802</v>
      </c>
      <c r="L4129">
        <v>2015</v>
      </c>
      <c r="M4129" s="21">
        <v>42579.373009259303</v>
      </c>
      <c r="N4129">
        <v>2016</v>
      </c>
      <c r="Q4129" s="262">
        <v>250000</v>
      </c>
      <c r="R4129" s="262">
        <v>106000</v>
      </c>
      <c r="S4129" t="s">
        <v>114</v>
      </c>
      <c r="T4129" t="s">
        <v>114</v>
      </c>
      <c r="V4129">
        <v>1331</v>
      </c>
      <c r="W4129">
        <v>9</v>
      </c>
      <c r="X4129">
        <v>0</v>
      </c>
      <c r="Y4129">
        <v>0</v>
      </c>
      <c r="Z4129">
        <v>0</v>
      </c>
      <c r="AA4129">
        <v>0</v>
      </c>
      <c r="AB4129">
        <v>0</v>
      </c>
      <c r="AC4129">
        <v>0</v>
      </c>
      <c r="AD4129">
        <v>0</v>
      </c>
      <c r="AE4129">
        <v>0</v>
      </c>
      <c r="AF4129">
        <v>9</v>
      </c>
      <c r="AG4129">
        <v>0</v>
      </c>
      <c r="AH4129">
        <v>0</v>
      </c>
      <c r="AI4129">
        <v>0</v>
      </c>
      <c r="AJ4129">
        <v>0</v>
      </c>
      <c r="AK4129">
        <v>0</v>
      </c>
      <c r="AL4129">
        <v>0</v>
      </c>
      <c r="AM4129">
        <v>0</v>
      </c>
      <c r="AN4129">
        <v>0</v>
      </c>
      <c r="AO4129">
        <v>0</v>
      </c>
      <c r="AP4129">
        <v>0</v>
      </c>
      <c r="AQ4129">
        <v>0</v>
      </c>
      <c r="AR4129">
        <v>0</v>
      </c>
      <c r="AS4129">
        <v>0</v>
      </c>
      <c r="AT4129">
        <v>0</v>
      </c>
      <c r="AU4129">
        <f t="shared" si="128"/>
        <v>0</v>
      </c>
      <c r="AV4129">
        <f t="shared" si="129"/>
        <v>0</v>
      </c>
    </row>
    <row r="4130" spans="1:48" x14ac:dyDescent="0.25">
      <c r="A4130" t="s">
        <v>13476</v>
      </c>
      <c r="C4130" t="s">
        <v>13477</v>
      </c>
      <c r="D4130" t="s">
        <v>13478</v>
      </c>
      <c r="E4130" t="s">
        <v>1663</v>
      </c>
      <c r="F4130">
        <v>3</v>
      </c>
      <c r="G4130">
        <v>3.1</v>
      </c>
      <c r="H4130" t="s">
        <v>2017</v>
      </c>
      <c r="I4130" s="21">
        <v>41946</v>
      </c>
      <c r="J4130">
        <v>2014</v>
      </c>
      <c r="K4130" s="21">
        <v>41956</v>
      </c>
      <c r="L4130">
        <v>2014</v>
      </c>
      <c r="M4130" s="21">
        <v>42752</v>
      </c>
      <c r="N4130">
        <v>2017</v>
      </c>
      <c r="Q4130" s="262">
        <v>5500</v>
      </c>
      <c r="S4130" t="s">
        <v>114</v>
      </c>
      <c r="T4130" t="s">
        <v>114</v>
      </c>
      <c r="V4130">
        <v>0</v>
      </c>
      <c r="W4130">
        <v>0</v>
      </c>
      <c r="X4130">
        <v>0</v>
      </c>
      <c r="Y4130">
        <v>0</v>
      </c>
      <c r="Z4130">
        <v>0</v>
      </c>
      <c r="AA4130">
        <v>0</v>
      </c>
      <c r="AB4130">
        <v>0</v>
      </c>
      <c r="AC4130">
        <v>0</v>
      </c>
      <c r="AD4130">
        <v>0</v>
      </c>
      <c r="AE4130">
        <v>0</v>
      </c>
      <c r="AF4130">
        <v>0</v>
      </c>
      <c r="AG4130">
        <v>0</v>
      </c>
      <c r="AH4130">
        <v>0</v>
      </c>
      <c r="AI4130">
        <v>0</v>
      </c>
      <c r="AJ4130">
        <v>0</v>
      </c>
      <c r="AK4130">
        <v>0</v>
      </c>
      <c r="AL4130">
        <v>0</v>
      </c>
      <c r="AM4130">
        <v>0</v>
      </c>
      <c r="AN4130">
        <v>0</v>
      </c>
      <c r="AO4130">
        <v>0</v>
      </c>
      <c r="AP4130">
        <v>0</v>
      </c>
      <c r="AQ4130">
        <v>0</v>
      </c>
      <c r="AR4130">
        <v>0</v>
      </c>
      <c r="AS4130">
        <v>0</v>
      </c>
      <c r="AT4130">
        <v>0</v>
      </c>
      <c r="AU4130">
        <f t="shared" si="128"/>
        <v>0</v>
      </c>
      <c r="AV4130">
        <f t="shared" si="129"/>
        <v>0</v>
      </c>
    </row>
    <row r="4131" spans="1:48" x14ac:dyDescent="0.25">
      <c r="A4131" t="s">
        <v>12520</v>
      </c>
      <c r="C4131" t="s">
        <v>12521</v>
      </c>
      <c r="D4131" t="s">
        <v>12417</v>
      </c>
      <c r="E4131" t="s">
        <v>1663</v>
      </c>
      <c r="F4131">
        <v>2</v>
      </c>
      <c r="G4131">
        <v>2.2999999999999998</v>
      </c>
      <c r="H4131" t="s">
        <v>2327</v>
      </c>
      <c r="I4131" s="21">
        <v>41946</v>
      </c>
      <c r="J4131">
        <v>2014</v>
      </c>
      <c r="K4131" s="21">
        <v>42034</v>
      </c>
      <c r="L4131">
        <v>2015</v>
      </c>
      <c r="M4131" s="21">
        <v>42417</v>
      </c>
      <c r="N4131">
        <v>2016</v>
      </c>
      <c r="Q4131" s="262">
        <v>300000</v>
      </c>
      <c r="S4131" t="s">
        <v>114</v>
      </c>
      <c r="T4131" t="s">
        <v>114</v>
      </c>
      <c r="V4131">
        <v>0</v>
      </c>
      <c r="W4131">
        <v>1688</v>
      </c>
      <c r="X4131">
        <v>3</v>
      </c>
      <c r="Y4131">
        <v>0</v>
      </c>
      <c r="Z4131">
        <v>0</v>
      </c>
      <c r="AA4131">
        <v>0</v>
      </c>
      <c r="AB4131">
        <v>0</v>
      </c>
      <c r="AC4131">
        <v>0</v>
      </c>
      <c r="AD4131">
        <v>1688</v>
      </c>
      <c r="AE4131">
        <v>0</v>
      </c>
      <c r="AF4131">
        <v>0</v>
      </c>
      <c r="AG4131">
        <v>0</v>
      </c>
      <c r="AH4131">
        <v>0</v>
      </c>
      <c r="AI4131">
        <v>0</v>
      </c>
      <c r="AJ4131">
        <v>0</v>
      </c>
      <c r="AK4131">
        <v>0</v>
      </c>
      <c r="AL4131">
        <v>0</v>
      </c>
      <c r="AM4131">
        <v>0</v>
      </c>
      <c r="AN4131">
        <v>0</v>
      </c>
      <c r="AO4131">
        <v>0</v>
      </c>
      <c r="AP4131">
        <v>3</v>
      </c>
      <c r="AQ4131">
        <v>0</v>
      </c>
      <c r="AR4131">
        <v>0</v>
      </c>
      <c r="AS4131">
        <v>0</v>
      </c>
      <c r="AT4131">
        <v>0</v>
      </c>
      <c r="AU4131">
        <f t="shared" si="128"/>
        <v>3</v>
      </c>
      <c r="AV4131">
        <f t="shared" si="129"/>
        <v>0</v>
      </c>
    </row>
    <row r="4132" spans="1:48" x14ac:dyDescent="0.25">
      <c r="A4132" t="s">
        <v>12522</v>
      </c>
      <c r="B4132" t="s">
        <v>12522</v>
      </c>
      <c r="C4132" t="s">
        <v>12523</v>
      </c>
      <c r="D4132" t="s">
        <v>12524</v>
      </c>
      <c r="E4132" t="s">
        <v>2310</v>
      </c>
      <c r="F4132">
        <v>8</v>
      </c>
      <c r="G4132">
        <v>8.3000000000000007</v>
      </c>
      <c r="H4132" t="s">
        <v>2323</v>
      </c>
      <c r="I4132" s="21">
        <v>41947.491446759297</v>
      </c>
      <c r="J4132">
        <v>2014</v>
      </c>
      <c r="K4132" s="21">
        <v>42002.489826388897</v>
      </c>
      <c r="L4132">
        <v>2014</v>
      </c>
      <c r="M4132" s="21">
        <v>42373.681631944397</v>
      </c>
      <c r="N4132">
        <v>2016</v>
      </c>
      <c r="Q4132" s="262">
        <v>1200000</v>
      </c>
      <c r="R4132" s="262">
        <v>372000</v>
      </c>
      <c r="S4132" t="s">
        <v>114</v>
      </c>
      <c r="T4132" t="s">
        <v>114</v>
      </c>
      <c r="V4132">
        <v>0</v>
      </c>
      <c r="W4132">
        <v>2959</v>
      </c>
      <c r="X4132">
        <v>1</v>
      </c>
      <c r="Y4132">
        <v>0</v>
      </c>
      <c r="Z4132">
        <v>0</v>
      </c>
      <c r="AA4132">
        <v>0</v>
      </c>
      <c r="AB4132">
        <v>0</v>
      </c>
      <c r="AC4132">
        <v>2959</v>
      </c>
      <c r="AD4132">
        <v>0</v>
      </c>
      <c r="AE4132">
        <v>0</v>
      </c>
      <c r="AF4132">
        <v>0</v>
      </c>
      <c r="AG4132">
        <v>0</v>
      </c>
      <c r="AH4132">
        <v>0</v>
      </c>
      <c r="AI4132">
        <v>0</v>
      </c>
      <c r="AJ4132">
        <v>0</v>
      </c>
      <c r="AK4132">
        <v>0</v>
      </c>
      <c r="AL4132">
        <v>0</v>
      </c>
      <c r="AM4132">
        <v>0</v>
      </c>
      <c r="AN4132">
        <v>0</v>
      </c>
      <c r="AO4132">
        <v>1</v>
      </c>
      <c r="AP4132">
        <v>0</v>
      </c>
      <c r="AQ4132">
        <v>0</v>
      </c>
      <c r="AR4132">
        <v>0</v>
      </c>
      <c r="AS4132">
        <v>0</v>
      </c>
      <c r="AT4132">
        <v>0</v>
      </c>
      <c r="AU4132">
        <f t="shared" si="128"/>
        <v>1</v>
      </c>
      <c r="AV4132">
        <f t="shared" si="129"/>
        <v>0</v>
      </c>
    </row>
    <row r="4133" spans="1:48" x14ac:dyDescent="0.25">
      <c r="A4133" t="s">
        <v>12525</v>
      </c>
      <c r="B4133" t="s">
        <v>12525</v>
      </c>
      <c r="C4133" t="s">
        <v>7403</v>
      </c>
      <c r="D4133" t="s">
        <v>12524</v>
      </c>
      <c r="E4133" t="s">
        <v>2310</v>
      </c>
      <c r="F4133">
        <v>8</v>
      </c>
      <c r="G4133">
        <v>8.3000000000000007</v>
      </c>
      <c r="H4133" t="s">
        <v>2323</v>
      </c>
      <c r="I4133" s="21">
        <v>41947.5022453704</v>
      </c>
      <c r="J4133">
        <v>2014</v>
      </c>
      <c r="K4133" s="21">
        <v>42002.488252314797</v>
      </c>
      <c r="L4133">
        <v>2014</v>
      </c>
      <c r="M4133" s="21">
        <v>42331.361435185201</v>
      </c>
      <c r="N4133">
        <v>2015</v>
      </c>
      <c r="Q4133" s="262">
        <v>50000</v>
      </c>
      <c r="R4133" s="262">
        <v>27000</v>
      </c>
      <c r="S4133" t="s">
        <v>114</v>
      </c>
      <c r="T4133" t="s">
        <v>114</v>
      </c>
      <c r="V4133">
        <v>0</v>
      </c>
      <c r="W4133">
        <v>625</v>
      </c>
      <c r="X4133">
        <v>0</v>
      </c>
      <c r="Y4133">
        <v>0</v>
      </c>
      <c r="Z4133">
        <v>0</v>
      </c>
      <c r="AA4133">
        <v>0</v>
      </c>
      <c r="AB4133">
        <v>0</v>
      </c>
      <c r="AC4133">
        <v>625</v>
      </c>
      <c r="AD4133">
        <v>0</v>
      </c>
      <c r="AE4133">
        <v>0</v>
      </c>
      <c r="AF4133">
        <v>0</v>
      </c>
      <c r="AG4133">
        <v>0</v>
      </c>
      <c r="AH4133">
        <v>0</v>
      </c>
      <c r="AI4133">
        <v>0</v>
      </c>
      <c r="AJ4133">
        <v>0</v>
      </c>
      <c r="AK4133">
        <v>0</v>
      </c>
      <c r="AL4133">
        <v>0</v>
      </c>
      <c r="AM4133">
        <v>0</v>
      </c>
      <c r="AN4133">
        <v>0</v>
      </c>
      <c r="AO4133">
        <v>0</v>
      </c>
      <c r="AP4133">
        <v>0</v>
      </c>
      <c r="AQ4133">
        <v>0</v>
      </c>
      <c r="AR4133">
        <v>0</v>
      </c>
      <c r="AS4133">
        <v>0</v>
      </c>
      <c r="AT4133">
        <v>0</v>
      </c>
      <c r="AU4133">
        <f t="shared" si="128"/>
        <v>0</v>
      </c>
      <c r="AV4133">
        <f t="shared" si="129"/>
        <v>0</v>
      </c>
    </row>
    <row r="4134" spans="1:48" x14ac:dyDescent="0.25">
      <c r="A4134" t="s">
        <v>12526</v>
      </c>
      <c r="B4134" t="s">
        <v>12526</v>
      </c>
      <c r="C4134" t="s">
        <v>11338</v>
      </c>
      <c r="D4134" t="s">
        <v>12527</v>
      </c>
      <c r="E4134" t="s">
        <v>2310</v>
      </c>
      <c r="F4134">
        <v>8</v>
      </c>
      <c r="G4134">
        <v>8.3000000000000007</v>
      </c>
      <c r="H4134" t="s">
        <v>2323</v>
      </c>
      <c r="I4134" s="21">
        <v>41947.648356481499</v>
      </c>
      <c r="J4134">
        <v>2014</v>
      </c>
      <c r="K4134" s="21">
        <v>42002.487719907404</v>
      </c>
      <c r="L4134">
        <v>2014</v>
      </c>
      <c r="M4134" s="21">
        <v>42374.378263888902</v>
      </c>
      <c r="N4134">
        <v>2016</v>
      </c>
      <c r="Q4134" s="262">
        <v>1200000</v>
      </c>
      <c r="R4134" s="262">
        <v>372000</v>
      </c>
      <c r="S4134" t="s">
        <v>114</v>
      </c>
      <c r="T4134" t="s">
        <v>114</v>
      </c>
      <c r="V4134">
        <v>0</v>
      </c>
      <c r="W4134">
        <v>2959</v>
      </c>
      <c r="X4134">
        <v>1</v>
      </c>
      <c r="Y4134">
        <v>0</v>
      </c>
      <c r="Z4134">
        <v>0</v>
      </c>
      <c r="AA4134">
        <v>0</v>
      </c>
      <c r="AB4134">
        <v>0</v>
      </c>
      <c r="AC4134">
        <v>2959</v>
      </c>
      <c r="AD4134">
        <v>0</v>
      </c>
      <c r="AE4134">
        <v>0</v>
      </c>
      <c r="AF4134">
        <v>0</v>
      </c>
      <c r="AG4134">
        <v>0</v>
      </c>
      <c r="AH4134">
        <v>0</v>
      </c>
      <c r="AI4134">
        <v>0</v>
      </c>
      <c r="AJ4134">
        <v>0</v>
      </c>
      <c r="AK4134">
        <v>0</v>
      </c>
      <c r="AL4134">
        <v>0</v>
      </c>
      <c r="AM4134">
        <v>0</v>
      </c>
      <c r="AN4134">
        <v>0</v>
      </c>
      <c r="AO4134">
        <v>1</v>
      </c>
      <c r="AP4134">
        <v>0</v>
      </c>
      <c r="AQ4134">
        <v>0</v>
      </c>
      <c r="AR4134">
        <v>0</v>
      </c>
      <c r="AS4134">
        <v>0</v>
      </c>
      <c r="AT4134">
        <v>0</v>
      </c>
      <c r="AU4134">
        <f t="shared" si="128"/>
        <v>1</v>
      </c>
      <c r="AV4134">
        <f t="shared" si="129"/>
        <v>0</v>
      </c>
    </row>
    <row r="4135" spans="1:48" x14ac:dyDescent="0.25">
      <c r="A4135" t="s">
        <v>12528</v>
      </c>
      <c r="B4135" t="s">
        <v>12528</v>
      </c>
      <c r="C4135" t="s">
        <v>7403</v>
      </c>
      <c r="D4135" t="s">
        <v>12527</v>
      </c>
      <c r="E4135" t="s">
        <v>2310</v>
      </c>
      <c r="F4135">
        <v>8</v>
      </c>
      <c r="G4135">
        <v>8.3000000000000007</v>
      </c>
      <c r="H4135" t="s">
        <v>2323</v>
      </c>
      <c r="I4135" s="21">
        <v>41947.653379629599</v>
      </c>
      <c r="J4135">
        <v>2014</v>
      </c>
      <c r="K4135" s="21">
        <v>42002.486296296302</v>
      </c>
      <c r="L4135">
        <v>2014</v>
      </c>
      <c r="M4135" s="21">
        <v>42374.378032407403</v>
      </c>
      <c r="N4135">
        <v>2016</v>
      </c>
      <c r="Q4135" s="262">
        <v>50000</v>
      </c>
      <c r="R4135" s="262">
        <v>27000</v>
      </c>
      <c r="S4135" t="s">
        <v>114</v>
      </c>
      <c r="T4135" t="s">
        <v>114</v>
      </c>
      <c r="V4135">
        <v>0</v>
      </c>
      <c r="W4135">
        <v>625</v>
      </c>
      <c r="X4135">
        <v>0</v>
      </c>
      <c r="Y4135">
        <v>0</v>
      </c>
      <c r="Z4135">
        <v>0</v>
      </c>
      <c r="AA4135">
        <v>0</v>
      </c>
      <c r="AB4135">
        <v>0</v>
      </c>
      <c r="AC4135">
        <v>625</v>
      </c>
      <c r="AD4135">
        <v>0</v>
      </c>
      <c r="AE4135">
        <v>0</v>
      </c>
      <c r="AF4135">
        <v>0</v>
      </c>
      <c r="AG4135">
        <v>0</v>
      </c>
      <c r="AH4135">
        <v>0</v>
      </c>
      <c r="AI4135">
        <v>0</v>
      </c>
      <c r="AJ4135">
        <v>0</v>
      </c>
      <c r="AK4135">
        <v>0</v>
      </c>
      <c r="AL4135">
        <v>0</v>
      </c>
      <c r="AM4135">
        <v>0</v>
      </c>
      <c r="AN4135">
        <v>0</v>
      </c>
      <c r="AO4135">
        <v>0</v>
      </c>
      <c r="AP4135">
        <v>0</v>
      </c>
      <c r="AQ4135">
        <v>0</v>
      </c>
      <c r="AR4135">
        <v>0</v>
      </c>
      <c r="AS4135">
        <v>0</v>
      </c>
      <c r="AT4135">
        <v>0</v>
      </c>
      <c r="AU4135">
        <f t="shared" si="128"/>
        <v>0</v>
      </c>
      <c r="AV4135">
        <f t="shared" si="129"/>
        <v>0</v>
      </c>
    </row>
    <row r="4136" spans="1:48" x14ac:dyDescent="0.25">
      <c r="A4136" t="s">
        <v>12529</v>
      </c>
      <c r="C4136" t="s">
        <v>12530</v>
      </c>
      <c r="D4136" t="s">
        <v>12531</v>
      </c>
      <c r="E4136" t="s">
        <v>1663</v>
      </c>
      <c r="F4136">
        <v>5</v>
      </c>
      <c r="G4136">
        <v>5.0999999999999996</v>
      </c>
      <c r="H4136" t="s">
        <v>2327</v>
      </c>
      <c r="I4136" s="21">
        <v>41948</v>
      </c>
      <c r="J4136">
        <v>2014</v>
      </c>
      <c r="K4136" s="21">
        <v>41974</v>
      </c>
      <c r="L4136">
        <v>2014</v>
      </c>
      <c r="P4136" s="21">
        <v>42232</v>
      </c>
      <c r="Q4136" s="262">
        <v>293622</v>
      </c>
      <c r="S4136" t="s">
        <v>114</v>
      </c>
      <c r="T4136" t="s">
        <v>114</v>
      </c>
      <c r="V4136">
        <v>0</v>
      </c>
      <c r="W4136">
        <v>0</v>
      </c>
      <c r="X4136">
        <v>0</v>
      </c>
      <c r="Y4136">
        <v>0</v>
      </c>
      <c r="Z4136">
        <v>0</v>
      </c>
      <c r="AA4136">
        <v>0</v>
      </c>
      <c r="AB4136">
        <v>0</v>
      </c>
      <c r="AC4136">
        <v>0</v>
      </c>
      <c r="AD4136">
        <v>0</v>
      </c>
      <c r="AE4136">
        <v>0</v>
      </c>
      <c r="AF4136">
        <v>0</v>
      </c>
      <c r="AG4136">
        <v>0</v>
      </c>
      <c r="AH4136">
        <v>0</v>
      </c>
      <c r="AI4136">
        <v>0</v>
      </c>
      <c r="AJ4136">
        <v>0</v>
      </c>
      <c r="AK4136">
        <v>0</v>
      </c>
      <c r="AL4136">
        <v>0</v>
      </c>
      <c r="AM4136">
        <v>0</v>
      </c>
      <c r="AN4136">
        <v>0</v>
      </c>
      <c r="AO4136">
        <v>0</v>
      </c>
      <c r="AP4136">
        <v>0</v>
      </c>
      <c r="AQ4136">
        <v>0</v>
      </c>
      <c r="AR4136">
        <v>0</v>
      </c>
      <c r="AS4136">
        <v>0</v>
      </c>
      <c r="AT4136">
        <v>0</v>
      </c>
      <c r="AU4136">
        <f t="shared" si="128"/>
        <v>0</v>
      </c>
      <c r="AV4136">
        <f t="shared" si="129"/>
        <v>0</v>
      </c>
    </row>
    <row r="4137" spans="1:48" x14ac:dyDescent="0.25">
      <c r="A4137" t="s">
        <v>12532</v>
      </c>
      <c r="C4137" t="s">
        <v>12533</v>
      </c>
      <c r="D4137" t="s">
        <v>12534</v>
      </c>
      <c r="E4137" t="s">
        <v>1663</v>
      </c>
      <c r="F4137">
        <v>4</v>
      </c>
      <c r="G4137">
        <v>4.3</v>
      </c>
      <c r="H4137" t="s">
        <v>2327</v>
      </c>
      <c r="I4137" s="21">
        <v>41948</v>
      </c>
      <c r="J4137">
        <v>2014</v>
      </c>
      <c r="K4137" s="21">
        <v>41991</v>
      </c>
      <c r="L4137">
        <v>2014</v>
      </c>
      <c r="M4137" s="21">
        <v>42240</v>
      </c>
      <c r="N4137">
        <v>2015</v>
      </c>
      <c r="Q4137" s="262">
        <v>70000</v>
      </c>
      <c r="S4137" t="s">
        <v>114</v>
      </c>
      <c r="T4137" t="s">
        <v>114</v>
      </c>
      <c r="V4137">
        <v>0</v>
      </c>
      <c r="W4137">
        <v>0</v>
      </c>
      <c r="X4137">
        <v>0</v>
      </c>
      <c r="Y4137">
        <v>0</v>
      </c>
      <c r="Z4137">
        <v>0</v>
      </c>
      <c r="AA4137">
        <v>0</v>
      </c>
      <c r="AB4137">
        <v>0</v>
      </c>
      <c r="AC4137">
        <v>0</v>
      </c>
      <c r="AD4137">
        <v>0</v>
      </c>
      <c r="AE4137">
        <v>0</v>
      </c>
      <c r="AF4137">
        <v>0</v>
      </c>
      <c r="AG4137">
        <v>0</v>
      </c>
      <c r="AH4137">
        <v>0</v>
      </c>
      <c r="AI4137">
        <v>0</v>
      </c>
      <c r="AJ4137">
        <v>0</v>
      </c>
      <c r="AK4137">
        <v>0</v>
      </c>
      <c r="AL4137">
        <v>0</v>
      </c>
      <c r="AM4137">
        <v>0</v>
      </c>
      <c r="AN4137">
        <v>0</v>
      </c>
      <c r="AO4137">
        <v>0</v>
      </c>
      <c r="AP4137">
        <v>0</v>
      </c>
      <c r="AQ4137">
        <v>0</v>
      </c>
      <c r="AR4137">
        <v>0</v>
      </c>
      <c r="AS4137">
        <v>0</v>
      </c>
      <c r="AT4137">
        <v>0</v>
      </c>
      <c r="AU4137">
        <f t="shared" si="128"/>
        <v>0</v>
      </c>
      <c r="AV4137">
        <f t="shared" si="129"/>
        <v>0</v>
      </c>
    </row>
    <row r="4138" spans="1:48" x14ac:dyDescent="0.25">
      <c r="A4138" t="s">
        <v>13479</v>
      </c>
      <c r="C4138" t="s">
        <v>13480</v>
      </c>
      <c r="D4138" t="s">
        <v>13481</v>
      </c>
      <c r="E4138" t="s">
        <v>1663</v>
      </c>
      <c r="F4138">
        <v>3</v>
      </c>
      <c r="G4138">
        <v>3.2</v>
      </c>
      <c r="H4138" t="s">
        <v>2327</v>
      </c>
      <c r="I4138" s="21">
        <v>41948</v>
      </c>
      <c r="J4138">
        <v>2014</v>
      </c>
      <c r="K4138" s="21">
        <v>41955</v>
      </c>
      <c r="L4138">
        <v>2014</v>
      </c>
      <c r="M4138" s="21">
        <v>42751</v>
      </c>
      <c r="N4138">
        <v>2017</v>
      </c>
      <c r="Q4138" s="262">
        <v>65000</v>
      </c>
      <c r="S4138" t="s">
        <v>114</v>
      </c>
      <c r="T4138" t="s">
        <v>114</v>
      </c>
      <c r="V4138">
        <v>0</v>
      </c>
      <c r="W4138">
        <v>0</v>
      </c>
      <c r="X4138">
        <v>0</v>
      </c>
      <c r="Y4138">
        <v>0</v>
      </c>
      <c r="Z4138">
        <v>0</v>
      </c>
      <c r="AA4138">
        <v>0</v>
      </c>
      <c r="AB4138">
        <v>0</v>
      </c>
      <c r="AC4138">
        <v>0</v>
      </c>
      <c r="AD4138">
        <v>0</v>
      </c>
      <c r="AE4138">
        <v>0</v>
      </c>
      <c r="AF4138">
        <v>0</v>
      </c>
      <c r="AG4138">
        <v>0</v>
      </c>
      <c r="AH4138">
        <v>0</v>
      </c>
      <c r="AI4138">
        <v>0</v>
      </c>
      <c r="AJ4138">
        <v>0</v>
      </c>
      <c r="AK4138">
        <v>0</v>
      </c>
      <c r="AL4138">
        <v>0</v>
      </c>
      <c r="AM4138">
        <v>0</v>
      </c>
      <c r="AN4138">
        <v>0</v>
      </c>
      <c r="AO4138">
        <v>0</v>
      </c>
      <c r="AP4138">
        <v>0</v>
      </c>
      <c r="AQ4138">
        <v>0</v>
      </c>
      <c r="AR4138">
        <v>0</v>
      </c>
      <c r="AS4138">
        <v>0</v>
      </c>
      <c r="AT4138">
        <v>0</v>
      </c>
      <c r="AU4138">
        <f t="shared" si="128"/>
        <v>0</v>
      </c>
      <c r="AV4138">
        <f t="shared" si="129"/>
        <v>0</v>
      </c>
    </row>
    <row r="4139" spans="1:48" x14ac:dyDescent="0.25">
      <c r="A4139" t="s">
        <v>12535</v>
      </c>
      <c r="C4139" t="s">
        <v>12536</v>
      </c>
      <c r="D4139" t="s">
        <v>12537</v>
      </c>
      <c r="E4139" t="s">
        <v>1663</v>
      </c>
      <c r="F4139">
        <v>2</v>
      </c>
      <c r="G4139">
        <v>2.6</v>
      </c>
      <c r="H4139" t="s">
        <v>2327</v>
      </c>
      <c r="I4139" s="21">
        <v>41948</v>
      </c>
      <c r="J4139">
        <v>2014</v>
      </c>
      <c r="K4139" s="21">
        <v>41988</v>
      </c>
      <c r="L4139">
        <v>2014</v>
      </c>
      <c r="M4139" s="21">
        <v>42185</v>
      </c>
      <c r="N4139">
        <v>2015</v>
      </c>
      <c r="Q4139" s="262">
        <v>175000</v>
      </c>
      <c r="S4139" t="s">
        <v>114</v>
      </c>
      <c r="T4139" t="s">
        <v>114</v>
      </c>
      <c r="V4139">
        <v>0</v>
      </c>
      <c r="W4139">
        <v>0</v>
      </c>
      <c r="X4139">
        <v>0</v>
      </c>
      <c r="Y4139">
        <v>0</v>
      </c>
      <c r="Z4139">
        <v>0</v>
      </c>
      <c r="AA4139">
        <v>0</v>
      </c>
      <c r="AB4139">
        <v>0</v>
      </c>
      <c r="AC4139">
        <v>0</v>
      </c>
      <c r="AD4139">
        <v>0</v>
      </c>
      <c r="AE4139">
        <v>0</v>
      </c>
      <c r="AF4139">
        <v>0</v>
      </c>
      <c r="AG4139">
        <v>0</v>
      </c>
      <c r="AH4139">
        <v>0</v>
      </c>
      <c r="AI4139">
        <v>0</v>
      </c>
      <c r="AJ4139">
        <v>0</v>
      </c>
      <c r="AK4139">
        <v>0</v>
      </c>
      <c r="AL4139">
        <v>0</v>
      </c>
      <c r="AM4139">
        <v>0</v>
      </c>
      <c r="AN4139">
        <v>0</v>
      </c>
      <c r="AO4139">
        <v>0</v>
      </c>
      <c r="AP4139">
        <v>0</v>
      </c>
      <c r="AQ4139">
        <v>0</v>
      </c>
      <c r="AR4139">
        <v>0</v>
      </c>
      <c r="AS4139">
        <v>0</v>
      </c>
      <c r="AT4139">
        <v>0</v>
      </c>
      <c r="AU4139">
        <f t="shared" si="128"/>
        <v>0</v>
      </c>
      <c r="AV4139">
        <f t="shared" si="129"/>
        <v>0</v>
      </c>
    </row>
    <row r="4140" spans="1:48" x14ac:dyDescent="0.25">
      <c r="A4140" t="s">
        <v>12538</v>
      </c>
      <c r="C4140" t="s">
        <v>12539</v>
      </c>
      <c r="D4140" t="s">
        <v>12537</v>
      </c>
      <c r="E4140" t="s">
        <v>1663</v>
      </c>
      <c r="F4140">
        <v>2</v>
      </c>
      <c r="G4140">
        <v>2.6</v>
      </c>
      <c r="H4140" t="s">
        <v>2327</v>
      </c>
      <c r="I4140" s="21">
        <v>41948</v>
      </c>
      <c r="J4140">
        <v>2014</v>
      </c>
      <c r="K4140" s="21">
        <v>41988</v>
      </c>
      <c r="L4140">
        <v>2014</v>
      </c>
      <c r="P4140" s="21">
        <v>42220</v>
      </c>
      <c r="Q4140" s="262">
        <v>30000</v>
      </c>
      <c r="S4140" t="s">
        <v>114</v>
      </c>
      <c r="T4140" t="s">
        <v>114</v>
      </c>
      <c r="V4140">
        <v>0</v>
      </c>
      <c r="W4140">
        <v>0</v>
      </c>
      <c r="X4140">
        <v>0</v>
      </c>
      <c r="Y4140">
        <v>0</v>
      </c>
      <c r="Z4140">
        <v>0</v>
      </c>
      <c r="AA4140">
        <v>0</v>
      </c>
      <c r="AB4140">
        <v>0</v>
      </c>
      <c r="AC4140">
        <v>0</v>
      </c>
      <c r="AD4140">
        <v>0</v>
      </c>
      <c r="AE4140">
        <v>0</v>
      </c>
      <c r="AF4140">
        <v>0</v>
      </c>
      <c r="AG4140">
        <v>0</v>
      </c>
      <c r="AH4140">
        <v>0</v>
      </c>
      <c r="AI4140">
        <v>0</v>
      </c>
      <c r="AJ4140">
        <v>0</v>
      </c>
      <c r="AK4140">
        <v>0</v>
      </c>
      <c r="AL4140">
        <v>0</v>
      </c>
      <c r="AM4140">
        <v>0</v>
      </c>
      <c r="AN4140">
        <v>0</v>
      </c>
      <c r="AO4140">
        <v>0</v>
      </c>
      <c r="AP4140">
        <v>0</v>
      </c>
      <c r="AQ4140">
        <v>0</v>
      </c>
      <c r="AR4140">
        <v>0</v>
      </c>
      <c r="AS4140">
        <v>0</v>
      </c>
      <c r="AT4140">
        <v>0</v>
      </c>
      <c r="AU4140">
        <f t="shared" si="128"/>
        <v>0</v>
      </c>
      <c r="AV4140">
        <f t="shared" si="129"/>
        <v>0</v>
      </c>
    </row>
    <row r="4141" spans="1:48" x14ac:dyDescent="0.25">
      <c r="A4141" t="s">
        <v>12540</v>
      </c>
      <c r="C4141" t="s">
        <v>12541</v>
      </c>
      <c r="D4141" t="s">
        <v>12537</v>
      </c>
      <c r="E4141" t="s">
        <v>1663</v>
      </c>
      <c r="F4141">
        <v>2</v>
      </c>
      <c r="G4141">
        <v>2.6</v>
      </c>
      <c r="H4141" t="s">
        <v>2327</v>
      </c>
      <c r="I4141" s="21">
        <v>41948</v>
      </c>
      <c r="J4141">
        <v>2014</v>
      </c>
      <c r="K4141" s="21">
        <v>41988</v>
      </c>
      <c r="L4141">
        <v>2014</v>
      </c>
      <c r="P4141" s="21">
        <v>42220</v>
      </c>
      <c r="Q4141" s="262">
        <v>33000</v>
      </c>
      <c r="S4141" t="s">
        <v>114</v>
      </c>
      <c r="T4141" t="s">
        <v>114</v>
      </c>
      <c r="V4141">
        <v>32</v>
      </c>
      <c r="W4141">
        <v>0</v>
      </c>
      <c r="X4141">
        <v>0</v>
      </c>
      <c r="Y4141">
        <v>0</v>
      </c>
      <c r="Z4141">
        <v>0</v>
      </c>
      <c r="AA4141">
        <v>0</v>
      </c>
      <c r="AB4141">
        <v>0</v>
      </c>
      <c r="AC4141">
        <v>0</v>
      </c>
      <c r="AD4141">
        <v>0</v>
      </c>
      <c r="AE4141">
        <v>0</v>
      </c>
      <c r="AF4141">
        <v>0</v>
      </c>
      <c r="AG4141">
        <v>0</v>
      </c>
      <c r="AH4141">
        <v>0</v>
      </c>
      <c r="AI4141">
        <v>0</v>
      </c>
      <c r="AJ4141">
        <v>0</v>
      </c>
      <c r="AK4141">
        <v>0</v>
      </c>
      <c r="AL4141">
        <v>0</v>
      </c>
      <c r="AM4141">
        <v>0</v>
      </c>
      <c r="AN4141">
        <v>0</v>
      </c>
      <c r="AO4141">
        <v>0</v>
      </c>
      <c r="AP4141">
        <v>0</v>
      </c>
      <c r="AQ4141">
        <v>0</v>
      </c>
      <c r="AR4141">
        <v>0</v>
      </c>
      <c r="AS4141">
        <v>0</v>
      </c>
      <c r="AT4141">
        <v>0</v>
      </c>
      <c r="AU4141">
        <f t="shared" si="128"/>
        <v>0</v>
      </c>
      <c r="AV4141">
        <f t="shared" si="129"/>
        <v>0</v>
      </c>
    </row>
    <row r="4142" spans="1:48" x14ac:dyDescent="0.25">
      <c r="A4142" t="s">
        <v>12542</v>
      </c>
      <c r="C4142" t="s">
        <v>12543</v>
      </c>
      <c r="D4142" t="s">
        <v>12537</v>
      </c>
      <c r="E4142" t="s">
        <v>1663</v>
      </c>
      <c r="F4142">
        <v>2</v>
      </c>
      <c r="G4142">
        <v>2.6</v>
      </c>
      <c r="H4142" t="s">
        <v>2327</v>
      </c>
      <c r="I4142" s="21">
        <v>41948</v>
      </c>
      <c r="J4142">
        <v>2014</v>
      </c>
      <c r="K4142" s="21">
        <v>41988</v>
      </c>
      <c r="L4142">
        <v>2014</v>
      </c>
      <c r="P4142" s="21">
        <v>42220</v>
      </c>
      <c r="Q4142" s="262">
        <v>29000</v>
      </c>
      <c r="S4142" t="s">
        <v>114</v>
      </c>
      <c r="T4142" t="s">
        <v>114</v>
      </c>
      <c r="V4142">
        <v>0</v>
      </c>
      <c r="W4142">
        <v>0</v>
      </c>
      <c r="X4142">
        <v>0</v>
      </c>
      <c r="Y4142">
        <v>0</v>
      </c>
      <c r="Z4142">
        <v>0</v>
      </c>
      <c r="AA4142">
        <v>0</v>
      </c>
      <c r="AB4142">
        <v>0</v>
      </c>
      <c r="AC4142">
        <v>0</v>
      </c>
      <c r="AD4142">
        <v>0</v>
      </c>
      <c r="AE4142">
        <v>0</v>
      </c>
      <c r="AF4142">
        <v>0</v>
      </c>
      <c r="AG4142">
        <v>0</v>
      </c>
      <c r="AH4142">
        <v>0</v>
      </c>
      <c r="AI4142">
        <v>0</v>
      </c>
      <c r="AJ4142">
        <v>0</v>
      </c>
      <c r="AK4142">
        <v>0</v>
      </c>
      <c r="AL4142">
        <v>0</v>
      </c>
      <c r="AM4142">
        <v>0</v>
      </c>
      <c r="AN4142">
        <v>0</v>
      </c>
      <c r="AO4142">
        <v>0</v>
      </c>
      <c r="AP4142">
        <v>0</v>
      </c>
      <c r="AQ4142">
        <v>0</v>
      </c>
      <c r="AR4142">
        <v>0</v>
      </c>
      <c r="AS4142">
        <v>0</v>
      </c>
      <c r="AT4142">
        <v>0</v>
      </c>
      <c r="AU4142">
        <f t="shared" si="128"/>
        <v>0</v>
      </c>
      <c r="AV4142">
        <f t="shared" si="129"/>
        <v>0</v>
      </c>
    </row>
    <row r="4143" spans="1:48" x14ac:dyDescent="0.25">
      <c r="A4143" t="s">
        <v>12544</v>
      </c>
      <c r="B4143" t="s">
        <v>12544</v>
      </c>
      <c r="C4143" t="s">
        <v>12545</v>
      </c>
      <c r="D4143" t="s">
        <v>4588</v>
      </c>
      <c r="E4143" t="s">
        <v>2310</v>
      </c>
      <c r="F4143">
        <v>7</v>
      </c>
      <c r="G4143">
        <v>7.2</v>
      </c>
      <c r="H4143" t="s">
        <v>2017</v>
      </c>
      <c r="I4143" s="21">
        <v>41948.633692129602</v>
      </c>
      <c r="J4143">
        <v>2014</v>
      </c>
      <c r="K4143" s="21">
        <v>41995.646041666703</v>
      </c>
      <c r="L4143">
        <v>2014</v>
      </c>
      <c r="M4143" s="21">
        <v>42089.617164351897</v>
      </c>
      <c r="N4143">
        <v>2015</v>
      </c>
      <c r="Q4143" s="262">
        <v>150000</v>
      </c>
      <c r="R4143" s="262">
        <v>150000</v>
      </c>
      <c r="S4143" t="s">
        <v>114</v>
      </c>
      <c r="T4143" t="s">
        <v>114</v>
      </c>
      <c r="V4143">
        <v>0</v>
      </c>
      <c r="W4143">
        <v>0</v>
      </c>
      <c r="X4143">
        <v>0</v>
      </c>
      <c r="Y4143">
        <v>0</v>
      </c>
      <c r="Z4143">
        <v>0</v>
      </c>
      <c r="AA4143">
        <v>0</v>
      </c>
      <c r="AB4143">
        <v>0</v>
      </c>
      <c r="AC4143">
        <v>0</v>
      </c>
      <c r="AD4143">
        <v>0</v>
      </c>
      <c r="AE4143">
        <v>0</v>
      </c>
      <c r="AF4143">
        <v>0</v>
      </c>
      <c r="AG4143">
        <v>0</v>
      </c>
      <c r="AH4143">
        <v>0</v>
      </c>
      <c r="AI4143">
        <v>0</v>
      </c>
      <c r="AJ4143">
        <v>0</v>
      </c>
      <c r="AK4143">
        <v>0</v>
      </c>
      <c r="AL4143">
        <v>0</v>
      </c>
      <c r="AM4143">
        <v>0</v>
      </c>
      <c r="AN4143">
        <v>0</v>
      </c>
      <c r="AO4143">
        <v>0</v>
      </c>
      <c r="AP4143">
        <v>0</v>
      </c>
      <c r="AQ4143">
        <v>0</v>
      </c>
      <c r="AR4143">
        <v>0</v>
      </c>
      <c r="AS4143">
        <v>0</v>
      </c>
      <c r="AT4143">
        <v>0</v>
      </c>
      <c r="AU4143">
        <f t="shared" si="128"/>
        <v>0</v>
      </c>
      <c r="AV4143">
        <f t="shared" si="129"/>
        <v>0</v>
      </c>
    </row>
    <row r="4144" spans="1:48" x14ac:dyDescent="0.25">
      <c r="A4144" t="s">
        <v>12546</v>
      </c>
      <c r="C4144" t="s">
        <v>12547</v>
      </c>
      <c r="D4144" t="s">
        <v>11780</v>
      </c>
      <c r="E4144" t="s">
        <v>1663</v>
      </c>
      <c r="F4144">
        <v>1</v>
      </c>
      <c r="G4144">
        <v>1.2</v>
      </c>
      <c r="H4144" t="s">
        <v>2017</v>
      </c>
      <c r="I4144" s="21">
        <v>41956</v>
      </c>
      <c r="J4144">
        <v>2014</v>
      </c>
      <c r="M4144" s="21">
        <v>42174</v>
      </c>
      <c r="N4144">
        <v>2015</v>
      </c>
      <c r="Q4144" s="262">
        <v>8000</v>
      </c>
      <c r="S4144" t="s">
        <v>114</v>
      </c>
      <c r="T4144" t="s">
        <v>114</v>
      </c>
      <c r="V4144">
        <v>0</v>
      </c>
      <c r="W4144">
        <v>0</v>
      </c>
      <c r="X4144">
        <v>0</v>
      </c>
      <c r="Y4144">
        <v>0</v>
      </c>
      <c r="Z4144">
        <v>0</v>
      </c>
      <c r="AA4144">
        <v>0</v>
      </c>
      <c r="AB4144">
        <v>0</v>
      </c>
      <c r="AC4144">
        <v>0</v>
      </c>
      <c r="AD4144">
        <v>0</v>
      </c>
      <c r="AE4144">
        <v>0</v>
      </c>
      <c r="AF4144">
        <v>0</v>
      </c>
      <c r="AG4144">
        <v>0</v>
      </c>
      <c r="AH4144">
        <v>0</v>
      </c>
      <c r="AI4144">
        <v>0</v>
      </c>
      <c r="AJ4144">
        <v>0</v>
      </c>
      <c r="AK4144">
        <v>0</v>
      </c>
      <c r="AL4144">
        <v>0</v>
      </c>
      <c r="AM4144">
        <v>0</v>
      </c>
      <c r="AN4144">
        <v>0</v>
      </c>
      <c r="AO4144">
        <v>0</v>
      </c>
      <c r="AP4144">
        <v>0</v>
      </c>
      <c r="AQ4144">
        <v>0</v>
      </c>
      <c r="AR4144">
        <v>0</v>
      </c>
      <c r="AS4144">
        <v>0</v>
      </c>
      <c r="AT4144">
        <v>0</v>
      </c>
      <c r="AU4144">
        <f t="shared" si="128"/>
        <v>0</v>
      </c>
      <c r="AV4144">
        <f t="shared" si="129"/>
        <v>0</v>
      </c>
    </row>
    <row r="4145" spans="1:48" x14ac:dyDescent="0.25">
      <c r="A4145" t="s">
        <v>12548</v>
      </c>
      <c r="B4145" t="s">
        <v>12548</v>
      </c>
      <c r="C4145" t="s">
        <v>12549</v>
      </c>
      <c r="D4145" t="s">
        <v>8186</v>
      </c>
      <c r="E4145" t="s">
        <v>2310</v>
      </c>
      <c r="F4145">
        <v>13</v>
      </c>
      <c r="G4145">
        <v>13.1</v>
      </c>
      <c r="H4145" t="s">
        <v>2327</v>
      </c>
      <c r="I4145" s="21">
        <v>41956.439699074101</v>
      </c>
      <c r="J4145">
        <v>2014</v>
      </c>
      <c r="K4145" s="21">
        <v>41977.690023148098</v>
      </c>
      <c r="L4145">
        <v>2014</v>
      </c>
      <c r="M4145" s="21">
        <v>42261.369780092602</v>
      </c>
      <c r="N4145">
        <v>2015</v>
      </c>
      <c r="Q4145" s="262">
        <v>86000</v>
      </c>
      <c r="R4145" s="262">
        <v>40000</v>
      </c>
      <c r="S4145" t="s">
        <v>114</v>
      </c>
      <c r="T4145" t="s">
        <v>114</v>
      </c>
      <c r="V4145">
        <v>0</v>
      </c>
      <c r="W4145">
        <v>0</v>
      </c>
      <c r="X4145">
        <v>0</v>
      </c>
      <c r="Y4145">
        <v>0</v>
      </c>
      <c r="Z4145">
        <v>0</v>
      </c>
      <c r="AA4145">
        <v>0</v>
      </c>
      <c r="AB4145">
        <v>0</v>
      </c>
      <c r="AC4145">
        <v>0</v>
      </c>
      <c r="AD4145">
        <v>0</v>
      </c>
      <c r="AE4145">
        <v>0</v>
      </c>
      <c r="AF4145">
        <v>0</v>
      </c>
      <c r="AG4145">
        <v>0</v>
      </c>
      <c r="AH4145">
        <v>0</v>
      </c>
      <c r="AI4145">
        <v>0</v>
      </c>
      <c r="AJ4145">
        <v>0</v>
      </c>
      <c r="AK4145">
        <v>0</v>
      </c>
      <c r="AL4145">
        <v>0</v>
      </c>
      <c r="AM4145">
        <v>0</v>
      </c>
      <c r="AN4145">
        <v>0</v>
      </c>
      <c r="AO4145">
        <v>0</v>
      </c>
      <c r="AP4145">
        <v>0</v>
      </c>
      <c r="AQ4145">
        <v>0</v>
      </c>
      <c r="AR4145">
        <v>0</v>
      </c>
      <c r="AS4145">
        <v>0</v>
      </c>
      <c r="AT4145">
        <v>0</v>
      </c>
      <c r="AU4145">
        <f t="shared" si="128"/>
        <v>0</v>
      </c>
      <c r="AV4145">
        <f t="shared" si="129"/>
        <v>0</v>
      </c>
    </row>
    <row r="4146" spans="1:48" x14ac:dyDescent="0.25">
      <c r="A4146" t="s">
        <v>12550</v>
      </c>
      <c r="B4146" t="s">
        <v>12550</v>
      </c>
      <c r="C4146" t="s">
        <v>12551</v>
      </c>
      <c r="D4146" t="s">
        <v>11923</v>
      </c>
      <c r="E4146" t="s">
        <v>2310</v>
      </c>
      <c r="F4146">
        <v>13</v>
      </c>
      <c r="G4146">
        <v>13.2</v>
      </c>
      <c r="H4146" t="s">
        <v>2327</v>
      </c>
      <c r="I4146" s="21">
        <v>41956.566041666701</v>
      </c>
      <c r="J4146">
        <v>2014</v>
      </c>
      <c r="K4146" s="21">
        <v>42017.479224536997</v>
      </c>
      <c r="L4146">
        <v>2015</v>
      </c>
      <c r="M4146" s="21">
        <v>42220.374131944402</v>
      </c>
      <c r="N4146">
        <v>2015</v>
      </c>
      <c r="Q4146" s="262">
        <v>14000</v>
      </c>
      <c r="R4146" s="262">
        <v>5000</v>
      </c>
      <c r="S4146" t="s">
        <v>114</v>
      </c>
      <c r="T4146" t="s">
        <v>114</v>
      </c>
      <c r="V4146">
        <v>0</v>
      </c>
      <c r="W4146">
        <v>90</v>
      </c>
      <c r="X4146">
        <v>0</v>
      </c>
      <c r="Y4146">
        <v>0</v>
      </c>
      <c r="Z4146">
        <v>0</v>
      </c>
      <c r="AA4146">
        <v>0</v>
      </c>
      <c r="AB4146">
        <v>0</v>
      </c>
      <c r="AC4146">
        <v>0</v>
      </c>
      <c r="AD4146">
        <v>0</v>
      </c>
      <c r="AE4146">
        <v>0</v>
      </c>
      <c r="AF4146">
        <v>0</v>
      </c>
      <c r="AG4146">
        <v>0</v>
      </c>
      <c r="AH4146">
        <v>0</v>
      </c>
      <c r="AI4146">
        <v>0</v>
      </c>
      <c r="AJ4146">
        <v>0</v>
      </c>
      <c r="AK4146">
        <v>0</v>
      </c>
      <c r="AL4146">
        <v>0</v>
      </c>
      <c r="AM4146">
        <v>90</v>
      </c>
      <c r="AN4146">
        <v>0</v>
      </c>
      <c r="AO4146">
        <v>0</v>
      </c>
      <c r="AP4146">
        <v>0</v>
      </c>
      <c r="AQ4146">
        <v>0</v>
      </c>
      <c r="AR4146">
        <v>0</v>
      </c>
      <c r="AS4146">
        <v>0</v>
      </c>
      <c r="AT4146">
        <v>0</v>
      </c>
      <c r="AU4146">
        <f t="shared" si="128"/>
        <v>0</v>
      </c>
      <c r="AV4146">
        <f t="shared" si="129"/>
        <v>90</v>
      </c>
    </row>
    <row r="4147" spans="1:48" x14ac:dyDescent="0.25">
      <c r="A4147" t="s">
        <v>12552</v>
      </c>
      <c r="B4147" t="s">
        <v>12552</v>
      </c>
      <c r="C4147" t="s">
        <v>12553</v>
      </c>
      <c r="D4147" t="s">
        <v>12554</v>
      </c>
      <c r="E4147" t="s">
        <v>2310</v>
      </c>
      <c r="F4147">
        <v>10</v>
      </c>
      <c r="G4147">
        <v>10.1</v>
      </c>
      <c r="H4147" t="s">
        <v>2323</v>
      </c>
      <c r="I4147" s="21">
        <v>41956.6324074074</v>
      </c>
      <c r="J4147">
        <v>2014</v>
      </c>
      <c r="K4147" s="21">
        <v>42039.628726851799</v>
      </c>
      <c r="L4147">
        <v>2015</v>
      </c>
      <c r="M4147" s="21">
        <v>42313.5532060185</v>
      </c>
      <c r="N4147">
        <v>2015</v>
      </c>
      <c r="Q4147" s="262">
        <v>46000</v>
      </c>
      <c r="R4147" s="262">
        <v>50000</v>
      </c>
      <c r="S4147" t="s">
        <v>114</v>
      </c>
      <c r="T4147" t="s">
        <v>114</v>
      </c>
      <c r="V4147">
        <v>198</v>
      </c>
      <c r="W4147">
        <v>308</v>
      </c>
      <c r="X4147">
        <v>0</v>
      </c>
      <c r="Y4147">
        <v>0</v>
      </c>
      <c r="Z4147">
        <v>0</v>
      </c>
      <c r="AA4147">
        <v>0</v>
      </c>
      <c r="AB4147">
        <v>0</v>
      </c>
      <c r="AC4147">
        <v>308</v>
      </c>
      <c r="AD4147">
        <v>0</v>
      </c>
      <c r="AE4147">
        <v>0</v>
      </c>
      <c r="AF4147">
        <v>0</v>
      </c>
      <c r="AG4147">
        <v>0</v>
      </c>
      <c r="AH4147">
        <v>0</v>
      </c>
      <c r="AI4147">
        <v>0</v>
      </c>
      <c r="AJ4147">
        <v>0</v>
      </c>
      <c r="AK4147">
        <v>0</v>
      </c>
      <c r="AL4147">
        <v>0</v>
      </c>
      <c r="AM4147">
        <v>0</v>
      </c>
      <c r="AN4147">
        <v>0</v>
      </c>
      <c r="AO4147">
        <v>0</v>
      </c>
      <c r="AP4147">
        <v>0</v>
      </c>
      <c r="AQ4147">
        <v>0</v>
      </c>
      <c r="AR4147">
        <v>0</v>
      </c>
      <c r="AS4147">
        <v>0</v>
      </c>
      <c r="AT4147">
        <v>0</v>
      </c>
      <c r="AU4147">
        <f t="shared" si="128"/>
        <v>0</v>
      </c>
      <c r="AV4147">
        <f t="shared" si="129"/>
        <v>0</v>
      </c>
    </row>
    <row r="4148" spans="1:48" x14ac:dyDescent="0.25">
      <c r="A4148" t="s">
        <v>12555</v>
      </c>
      <c r="B4148" t="s">
        <v>12555</v>
      </c>
      <c r="C4148" t="s">
        <v>12556</v>
      </c>
      <c r="D4148" t="s">
        <v>3109</v>
      </c>
      <c r="E4148" t="s">
        <v>2310</v>
      </c>
      <c r="F4148">
        <v>15</v>
      </c>
      <c r="G4148">
        <v>15.2</v>
      </c>
      <c r="H4148" t="s">
        <v>2323</v>
      </c>
      <c r="I4148" s="21">
        <v>41957.580706018503</v>
      </c>
      <c r="J4148">
        <v>2014</v>
      </c>
      <c r="K4148" s="21">
        <v>41995.370810185203</v>
      </c>
      <c r="L4148">
        <v>2014</v>
      </c>
      <c r="M4148" s="21">
        <v>42528.394120370402</v>
      </c>
      <c r="N4148">
        <v>2016</v>
      </c>
      <c r="Q4148" s="262">
        <v>1900000</v>
      </c>
      <c r="R4148" s="262">
        <v>846000</v>
      </c>
      <c r="S4148" t="s">
        <v>114</v>
      </c>
      <c r="T4148" t="s">
        <v>114</v>
      </c>
      <c r="V4148">
        <v>4592</v>
      </c>
      <c r="W4148">
        <v>3482</v>
      </c>
      <c r="X4148">
        <v>0</v>
      </c>
      <c r="Y4148">
        <v>0</v>
      </c>
      <c r="Z4148">
        <v>0</v>
      </c>
      <c r="AA4148">
        <v>0</v>
      </c>
      <c r="AB4148">
        <v>0</v>
      </c>
      <c r="AC4148">
        <v>3482</v>
      </c>
      <c r="AD4148">
        <v>0</v>
      </c>
      <c r="AE4148">
        <v>0</v>
      </c>
      <c r="AF4148">
        <v>0</v>
      </c>
      <c r="AG4148">
        <v>0</v>
      </c>
      <c r="AH4148">
        <v>0</v>
      </c>
      <c r="AI4148">
        <v>0</v>
      </c>
      <c r="AJ4148">
        <v>0</v>
      </c>
      <c r="AK4148">
        <v>0</v>
      </c>
      <c r="AL4148">
        <v>0</v>
      </c>
      <c r="AM4148">
        <v>0</v>
      </c>
      <c r="AN4148">
        <v>0</v>
      </c>
      <c r="AO4148">
        <v>0</v>
      </c>
      <c r="AP4148">
        <v>0</v>
      </c>
      <c r="AQ4148">
        <v>0</v>
      </c>
      <c r="AR4148">
        <v>0</v>
      </c>
      <c r="AS4148">
        <v>0</v>
      </c>
      <c r="AT4148">
        <v>0</v>
      </c>
      <c r="AU4148">
        <f t="shared" si="128"/>
        <v>0</v>
      </c>
      <c r="AV4148">
        <f t="shared" si="129"/>
        <v>0</v>
      </c>
    </row>
    <row r="4149" spans="1:48" x14ac:dyDescent="0.25">
      <c r="A4149" t="s">
        <v>12555</v>
      </c>
      <c r="B4149" t="s">
        <v>12557</v>
      </c>
      <c r="C4149" t="s">
        <v>12558</v>
      </c>
      <c r="D4149" t="s">
        <v>3109</v>
      </c>
      <c r="E4149" t="s">
        <v>2310</v>
      </c>
      <c r="F4149">
        <v>15</v>
      </c>
      <c r="G4149">
        <v>15.2</v>
      </c>
      <c r="H4149" t="s">
        <v>2323</v>
      </c>
      <c r="I4149" s="21">
        <v>41957.580706018503</v>
      </c>
      <c r="J4149">
        <v>2014</v>
      </c>
      <c r="K4149" s="21">
        <v>41995.370810185203</v>
      </c>
      <c r="L4149">
        <v>2014</v>
      </c>
      <c r="M4149" s="21">
        <v>42528.394120370402</v>
      </c>
      <c r="N4149">
        <v>2016</v>
      </c>
      <c r="S4149" t="s">
        <v>114</v>
      </c>
      <c r="T4149" t="s">
        <v>114</v>
      </c>
      <c r="W4149">
        <v>-593</v>
      </c>
      <c r="X4149">
        <v>0</v>
      </c>
      <c r="Y4149">
        <v>0</v>
      </c>
      <c r="Z4149">
        <v>0</v>
      </c>
      <c r="AA4149">
        <v>0</v>
      </c>
      <c r="AB4149">
        <v>0</v>
      </c>
      <c r="AC4149">
        <v>-593</v>
      </c>
      <c r="AD4149">
        <v>0</v>
      </c>
      <c r="AE4149">
        <v>0</v>
      </c>
      <c r="AF4149">
        <v>0</v>
      </c>
      <c r="AG4149">
        <v>0</v>
      </c>
      <c r="AH4149">
        <v>0</v>
      </c>
      <c r="AI4149">
        <v>0</v>
      </c>
      <c r="AJ4149">
        <v>0</v>
      </c>
      <c r="AK4149">
        <v>0</v>
      </c>
      <c r="AL4149">
        <v>0</v>
      </c>
      <c r="AM4149">
        <v>0</v>
      </c>
      <c r="AN4149">
        <v>0</v>
      </c>
      <c r="AO4149">
        <v>0</v>
      </c>
      <c r="AP4149">
        <v>0</v>
      </c>
      <c r="AQ4149">
        <v>0</v>
      </c>
      <c r="AR4149">
        <v>0</v>
      </c>
      <c r="AS4149">
        <v>0</v>
      </c>
      <c r="AT4149">
        <v>0</v>
      </c>
      <c r="AU4149">
        <f t="shared" si="128"/>
        <v>0</v>
      </c>
      <c r="AV4149">
        <f t="shared" si="129"/>
        <v>0</v>
      </c>
    </row>
    <row r="4150" spans="1:48" x14ac:dyDescent="0.25">
      <c r="A4150" t="s">
        <v>12555</v>
      </c>
      <c r="B4150" t="s">
        <v>12559</v>
      </c>
      <c r="C4150" t="s">
        <v>12558</v>
      </c>
      <c r="D4150" t="s">
        <v>3109</v>
      </c>
      <c r="E4150" t="s">
        <v>2310</v>
      </c>
      <c r="F4150">
        <v>15</v>
      </c>
      <c r="G4150">
        <v>15.2</v>
      </c>
      <c r="H4150" t="s">
        <v>2323</v>
      </c>
      <c r="I4150" s="21">
        <v>41957.580706018503</v>
      </c>
      <c r="J4150">
        <v>2014</v>
      </c>
      <c r="K4150" s="21">
        <v>41995.370810185203</v>
      </c>
      <c r="L4150">
        <v>2014</v>
      </c>
      <c r="M4150" s="21">
        <v>42528.394120370402</v>
      </c>
      <c r="N4150">
        <v>2016</v>
      </c>
      <c r="S4150" t="s">
        <v>114</v>
      </c>
      <c r="T4150" t="s">
        <v>114</v>
      </c>
      <c r="W4150">
        <v>-346</v>
      </c>
      <c r="X4150">
        <v>0</v>
      </c>
      <c r="Y4150">
        <v>0</v>
      </c>
      <c r="Z4150">
        <v>0</v>
      </c>
      <c r="AA4150">
        <v>0</v>
      </c>
      <c r="AB4150">
        <v>0</v>
      </c>
      <c r="AC4150">
        <v>-346</v>
      </c>
      <c r="AD4150">
        <v>0</v>
      </c>
      <c r="AE4150">
        <v>0</v>
      </c>
      <c r="AF4150">
        <v>0</v>
      </c>
      <c r="AG4150">
        <v>0</v>
      </c>
      <c r="AH4150">
        <v>0</v>
      </c>
      <c r="AI4150">
        <v>0</v>
      </c>
      <c r="AJ4150">
        <v>0</v>
      </c>
      <c r="AK4150">
        <v>0</v>
      </c>
      <c r="AL4150">
        <v>0</v>
      </c>
      <c r="AM4150">
        <v>0</v>
      </c>
      <c r="AN4150">
        <v>0</v>
      </c>
      <c r="AO4150">
        <v>0</v>
      </c>
      <c r="AP4150">
        <v>0</v>
      </c>
      <c r="AQ4150">
        <v>0</v>
      </c>
      <c r="AR4150">
        <v>0</v>
      </c>
      <c r="AS4150">
        <v>0</v>
      </c>
      <c r="AT4150">
        <v>0</v>
      </c>
      <c r="AU4150">
        <f t="shared" si="128"/>
        <v>0</v>
      </c>
      <c r="AV4150">
        <f t="shared" si="129"/>
        <v>0</v>
      </c>
    </row>
    <row r="4151" spans="1:48" x14ac:dyDescent="0.25">
      <c r="A4151" t="s">
        <v>12560</v>
      </c>
      <c r="C4151" t="s">
        <v>11879</v>
      </c>
      <c r="D4151" t="s">
        <v>12534</v>
      </c>
      <c r="E4151" t="s">
        <v>1663</v>
      </c>
      <c r="F4151">
        <v>4</v>
      </c>
      <c r="G4151">
        <v>4.3</v>
      </c>
      <c r="H4151" t="s">
        <v>2327</v>
      </c>
      <c r="I4151" s="21">
        <v>41960</v>
      </c>
      <c r="J4151">
        <v>2014</v>
      </c>
      <c r="K4151" s="21">
        <v>41991</v>
      </c>
      <c r="L4151">
        <v>2014</v>
      </c>
      <c r="M4151" s="21">
        <v>42240</v>
      </c>
      <c r="N4151">
        <v>2015</v>
      </c>
      <c r="Q4151" s="262">
        <v>950000</v>
      </c>
      <c r="S4151" t="s">
        <v>114</v>
      </c>
      <c r="T4151" t="s">
        <v>114</v>
      </c>
      <c r="V4151">
        <v>0</v>
      </c>
      <c r="W4151">
        <v>0</v>
      </c>
      <c r="X4151">
        <v>0</v>
      </c>
      <c r="Y4151">
        <v>0</v>
      </c>
      <c r="Z4151">
        <v>0</v>
      </c>
      <c r="AA4151">
        <v>0</v>
      </c>
      <c r="AB4151">
        <v>0</v>
      </c>
      <c r="AC4151">
        <v>0</v>
      </c>
      <c r="AD4151">
        <v>0</v>
      </c>
      <c r="AE4151">
        <v>0</v>
      </c>
      <c r="AF4151">
        <v>0</v>
      </c>
      <c r="AG4151">
        <v>0</v>
      </c>
      <c r="AH4151">
        <v>0</v>
      </c>
      <c r="AI4151">
        <v>0</v>
      </c>
      <c r="AJ4151">
        <v>0</v>
      </c>
      <c r="AK4151">
        <v>0</v>
      </c>
      <c r="AL4151">
        <v>0</v>
      </c>
      <c r="AM4151">
        <v>0</v>
      </c>
      <c r="AN4151">
        <v>0</v>
      </c>
      <c r="AO4151">
        <v>0</v>
      </c>
      <c r="AP4151">
        <v>0</v>
      </c>
      <c r="AQ4151">
        <v>0</v>
      </c>
      <c r="AR4151">
        <v>0</v>
      </c>
      <c r="AS4151">
        <v>0</v>
      </c>
      <c r="AT4151">
        <v>0</v>
      </c>
      <c r="AU4151">
        <f t="shared" si="128"/>
        <v>0</v>
      </c>
      <c r="AV4151">
        <f t="shared" si="129"/>
        <v>0</v>
      </c>
    </row>
    <row r="4152" spans="1:48" x14ac:dyDescent="0.25">
      <c r="A4152" t="s">
        <v>12561</v>
      </c>
      <c r="B4152" t="s">
        <v>12561</v>
      </c>
      <c r="C4152" t="s">
        <v>12562</v>
      </c>
      <c r="D4152" t="s">
        <v>2670</v>
      </c>
      <c r="E4152" t="s">
        <v>2310</v>
      </c>
      <c r="F4152">
        <v>13</v>
      </c>
      <c r="G4152">
        <v>13.1</v>
      </c>
      <c r="H4152" t="s">
        <v>2327</v>
      </c>
      <c r="I4152" s="21">
        <v>41961.633009259298</v>
      </c>
      <c r="J4152">
        <v>2014</v>
      </c>
      <c r="K4152" s="21">
        <v>41985.577881944402</v>
      </c>
      <c r="L4152">
        <v>2014</v>
      </c>
      <c r="M4152" s="21">
        <v>42115.4626041667</v>
      </c>
      <c r="N4152">
        <v>2015</v>
      </c>
      <c r="Q4152" s="262">
        <v>50000</v>
      </c>
      <c r="R4152" s="262">
        <v>49000</v>
      </c>
      <c r="S4152" t="s">
        <v>114</v>
      </c>
      <c r="T4152" t="s">
        <v>114</v>
      </c>
      <c r="V4152">
        <v>0</v>
      </c>
      <c r="W4152">
        <v>0</v>
      </c>
      <c r="X4152">
        <v>0</v>
      </c>
      <c r="Y4152">
        <v>0</v>
      </c>
      <c r="Z4152">
        <v>0</v>
      </c>
      <c r="AA4152">
        <v>0</v>
      </c>
      <c r="AB4152">
        <v>0</v>
      </c>
      <c r="AC4152">
        <v>0</v>
      </c>
      <c r="AD4152">
        <v>0</v>
      </c>
      <c r="AE4152">
        <v>0</v>
      </c>
      <c r="AF4152">
        <v>0</v>
      </c>
      <c r="AG4152">
        <v>0</v>
      </c>
      <c r="AH4152">
        <v>0</v>
      </c>
      <c r="AI4152">
        <v>0</v>
      </c>
      <c r="AJ4152">
        <v>0</v>
      </c>
      <c r="AK4152">
        <v>0</v>
      </c>
      <c r="AL4152">
        <v>0</v>
      </c>
      <c r="AM4152">
        <v>0</v>
      </c>
      <c r="AN4152">
        <v>0</v>
      </c>
      <c r="AO4152">
        <v>0</v>
      </c>
      <c r="AP4152">
        <v>0</v>
      </c>
      <c r="AQ4152">
        <v>0</v>
      </c>
      <c r="AR4152">
        <v>0</v>
      </c>
      <c r="AS4152">
        <v>0</v>
      </c>
      <c r="AT4152">
        <v>0</v>
      </c>
      <c r="AU4152">
        <f t="shared" si="128"/>
        <v>0</v>
      </c>
      <c r="AV4152">
        <f t="shared" si="129"/>
        <v>0</v>
      </c>
    </row>
    <row r="4153" spans="1:48" x14ac:dyDescent="0.25">
      <c r="A4153" t="s">
        <v>12563</v>
      </c>
      <c r="C4153" t="s">
        <v>12564</v>
      </c>
      <c r="D4153" t="s">
        <v>12565</v>
      </c>
      <c r="E4153" t="s">
        <v>1663</v>
      </c>
      <c r="F4153">
        <v>1</v>
      </c>
      <c r="G4153">
        <v>1.2</v>
      </c>
      <c r="H4153" t="s">
        <v>2017</v>
      </c>
      <c r="I4153" s="21">
        <v>41964</v>
      </c>
      <c r="J4153">
        <v>2014</v>
      </c>
      <c r="K4153" s="21">
        <v>42012</v>
      </c>
      <c r="L4153">
        <v>2015</v>
      </c>
      <c r="P4153" s="21">
        <v>42192</v>
      </c>
      <c r="Q4153" s="262">
        <v>925000</v>
      </c>
      <c r="S4153" t="s">
        <v>114</v>
      </c>
      <c r="T4153" t="s">
        <v>114</v>
      </c>
      <c r="V4153">
        <v>0</v>
      </c>
      <c r="W4153">
        <v>0</v>
      </c>
      <c r="X4153">
        <v>0</v>
      </c>
      <c r="Y4153">
        <v>0</v>
      </c>
      <c r="Z4153">
        <v>0</v>
      </c>
      <c r="AA4153">
        <v>0</v>
      </c>
      <c r="AB4153">
        <v>0</v>
      </c>
      <c r="AC4153">
        <v>0</v>
      </c>
      <c r="AD4153">
        <v>0</v>
      </c>
      <c r="AE4153">
        <v>0</v>
      </c>
      <c r="AF4153">
        <v>0</v>
      </c>
      <c r="AG4153">
        <v>0</v>
      </c>
      <c r="AH4153">
        <v>0</v>
      </c>
      <c r="AI4153">
        <v>0</v>
      </c>
      <c r="AJ4153">
        <v>0</v>
      </c>
      <c r="AK4153">
        <v>0</v>
      </c>
      <c r="AL4153">
        <v>0</v>
      </c>
      <c r="AM4153">
        <v>0</v>
      </c>
      <c r="AN4153">
        <v>0</v>
      </c>
      <c r="AO4153">
        <v>0</v>
      </c>
      <c r="AP4153">
        <v>0</v>
      </c>
      <c r="AQ4153">
        <v>0</v>
      </c>
      <c r="AR4153">
        <v>0</v>
      </c>
      <c r="AS4153">
        <v>0</v>
      </c>
      <c r="AT4153">
        <v>0</v>
      </c>
      <c r="AU4153">
        <f t="shared" si="128"/>
        <v>0</v>
      </c>
      <c r="AV4153">
        <f t="shared" si="129"/>
        <v>0</v>
      </c>
    </row>
    <row r="4154" spans="1:48" x14ac:dyDescent="0.25">
      <c r="A4154" t="s">
        <v>12566</v>
      </c>
      <c r="C4154" t="s">
        <v>12567</v>
      </c>
      <c r="D4154" t="s">
        <v>12568</v>
      </c>
      <c r="E4154" t="s">
        <v>1663</v>
      </c>
      <c r="F4154">
        <v>3</v>
      </c>
      <c r="G4154">
        <v>3.2</v>
      </c>
      <c r="H4154" t="s">
        <v>2327</v>
      </c>
      <c r="I4154" s="21">
        <v>41968</v>
      </c>
      <c r="J4154">
        <v>2014</v>
      </c>
      <c r="K4154" s="21">
        <v>41976</v>
      </c>
      <c r="L4154">
        <v>2014</v>
      </c>
      <c r="P4154" s="21">
        <v>42170</v>
      </c>
      <c r="Q4154" s="262">
        <v>5000</v>
      </c>
      <c r="S4154" t="s">
        <v>114</v>
      </c>
      <c r="T4154" t="s">
        <v>114</v>
      </c>
      <c r="V4154">
        <v>0</v>
      </c>
      <c r="W4154">
        <v>0</v>
      </c>
      <c r="X4154">
        <v>0</v>
      </c>
      <c r="Y4154">
        <v>0</v>
      </c>
      <c r="Z4154">
        <v>0</v>
      </c>
      <c r="AA4154">
        <v>0</v>
      </c>
      <c r="AB4154">
        <v>0</v>
      </c>
      <c r="AC4154">
        <v>0</v>
      </c>
      <c r="AD4154">
        <v>0</v>
      </c>
      <c r="AE4154">
        <v>0</v>
      </c>
      <c r="AF4154">
        <v>0</v>
      </c>
      <c r="AG4154">
        <v>0</v>
      </c>
      <c r="AH4154">
        <v>0</v>
      </c>
      <c r="AI4154">
        <v>0</v>
      </c>
      <c r="AJ4154">
        <v>0</v>
      </c>
      <c r="AK4154">
        <v>0</v>
      </c>
      <c r="AL4154">
        <v>0</v>
      </c>
      <c r="AM4154">
        <v>0</v>
      </c>
      <c r="AN4154">
        <v>0</v>
      </c>
      <c r="AO4154">
        <v>0</v>
      </c>
      <c r="AP4154">
        <v>0</v>
      </c>
      <c r="AQ4154">
        <v>0</v>
      </c>
      <c r="AR4154">
        <v>0</v>
      </c>
      <c r="AS4154">
        <v>0</v>
      </c>
      <c r="AT4154">
        <v>0</v>
      </c>
      <c r="AU4154">
        <f t="shared" si="128"/>
        <v>0</v>
      </c>
      <c r="AV4154">
        <f t="shared" si="129"/>
        <v>0</v>
      </c>
    </row>
    <row r="4155" spans="1:48" x14ac:dyDescent="0.25">
      <c r="A4155" t="s">
        <v>12569</v>
      </c>
      <c r="B4155" t="s">
        <v>12569</v>
      </c>
      <c r="C4155" t="s">
        <v>12570</v>
      </c>
      <c r="D4155" t="s">
        <v>5229</v>
      </c>
      <c r="E4155" t="s">
        <v>2310</v>
      </c>
      <c r="F4155">
        <v>9</v>
      </c>
      <c r="G4155">
        <v>9.1</v>
      </c>
      <c r="H4155" t="s">
        <v>2323</v>
      </c>
      <c r="I4155" s="21">
        <v>41968.649976851899</v>
      </c>
      <c r="J4155">
        <v>2014</v>
      </c>
      <c r="K4155" s="21">
        <v>42073.362812500003</v>
      </c>
      <c r="L4155">
        <v>2015</v>
      </c>
      <c r="M4155" s="21">
        <v>42395.403310185196</v>
      </c>
      <c r="N4155">
        <v>2016</v>
      </c>
      <c r="Q4155" s="262">
        <v>200000</v>
      </c>
      <c r="R4155" s="262">
        <v>77000</v>
      </c>
      <c r="S4155" t="s">
        <v>114</v>
      </c>
      <c r="T4155" t="s">
        <v>114</v>
      </c>
      <c r="V4155">
        <v>0</v>
      </c>
      <c r="W4155">
        <v>677</v>
      </c>
      <c r="X4155">
        <v>0</v>
      </c>
      <c r="Y4155">
        <v>0</v>
      </c>
      <c r="Z4155">
        <v>0</v>
      </c>
      <c r="AA4155">
        <v>0</v>
      </c>
      <c r="AB4155">
        <v>0</v>
      </c>
      <c r="AC4155">
        <v>677</v>
      </c>
      <c r="AD4155">
        <v>0</v>
      </c>
      <c r="AE4155">
        <v>0</v>
      </c>
      <c r="AF4155">
        <v>0</v>
      </c>
      <c r="AG4155">
        <v>0</v>
      </c>
      <c r="AH4155">
        <v>0</v>
      </c>
      <c r="AI4155">
        <v>0</v>
      </c>
      <c r="AJ4155">
        <v>0</v>
      </c>
      <c r="AK4155">
        <v>0</v>
      </c>
      <c r="AL4155">
        <v>0</v>
      </c>
      <c r="AM4155">
        <v>0</v>
      </c>
      <c r="AN4155">
        <v>0</v>
      </c>
      <c r="AO4155">
        <v>0</v>
      </c>
      <c r="AP4155">
        <v>0</v>
      </c>
      <c r="AQ4155">
        <v>0</v>
      </c>
      <c r="AR4155">
        <v>0</v>
      </c>
      <c r="AS4155">
        <v>0</v>
      </c>
      <c r="AT4155">
        <v>0</v>
      </c>
      <c r="AU4155">
        <f t="shared" si="128"/>
        <v>0</v>
      </c>
      <c r="AV4155">
        <f t="shared" si="129"/>
        <v>0</v>
      </c>
    </row>
    <row r="4156" spans="1:48" x14ac:dyDescent="0.25">
      <c r="A4156" t="s">
        <v>12569</v>
      </c>
      <c r="B4156" t="s">
        <v>12571</v>
      </c>
      <c r="C4156" t="s">
        <v>12572</v>
      </c>
      <c r="D4156" t="s">
        <v>5229</v>
      </c>
      <c r="E4156" t="s">
        <v>2310</v>
      </c>
      <c r="F4156">
        <v>9</v>
      </c>
      <c r="G4156">
        <v>9.1</v>
      </c>
      <c r="H4156" t="s">
        <v>2323</v>
      </c>
      <c r="I4156" s="21">
        <v>41968.649976851899</v>
      </c>
      <c r="J4156">
        <v>2014</v>
      </c>
      <c r="K4156" s="21">
        <v>42073.362812500003</v>
      </c>
      <c r="L4156">
        <v>2015</v>
      </c>
      <c r="M4156" s="21">
        <v>42395.403310185196</v>
      </c>
      <c r="N4156">
        <v>2016</v>
      </c>
      <c r="S4156" t="s">
        <v>114</v>
      </c>
      <c r="T4156" t="s">
        <v>114</v>
      </c>
      <c r="W4156">
        <v>505</v>
      </c>
      <c r="X4156">
        <v>0</v>
      </c>
      <c r="Y4156">
        <v>0</v>
      </c>
      <c r="Z4156">
        <v>0</v>
      </c>
      <c r="AA4156">
        <v>0</v>
      </c>
      <c r="AB4156">
        <v>0</v>
      </c>
      <c r="AC4156">
        <v>505</v>
      </c>
      <c r="AD4156">
        <v>0</v>
      </c>
      <c r="AE4156">
        <v>0</v>
      </c>
      <c r="AF4156">
        <v>0</v>
      </c>
      <c r="AG4156">
        <v>0</v>
      </c>
      <c r="AH4156">
        <v>0</v>
      </c>
      <c r="AI4156">
        <v>0</v>
      </c>
      <c r="AJ4156">
        <v>0</v>
      </c>
      <c r="AK4156">
        <v>0</v>
      </c>
      <c r="AL4156">
        <v>0</v>
      </c>
      <c r="AM4156">
        <v>0</v>
      </c>
      <c r="AN4156">
        <v>0</v>
      </c>
      <c r="AO4156">
        <v>0</v>
      </c>
      <c r="AP4156">
        <v>0</v>
      </c>
      <c r="AQ4156">
        <v>0</v>
      </c>
      <c r="AR4156">
        <v>0</v>
      </c>
      <c r="AS4156">
        <v>0</v>
      </c>
      <c r="AT4156">
        <v>0</v>
      </c>
      <c r="AU4156">
        <f t="shared" si="128"/>
        <v>0</v>
      </c>
      <c r="AV4156">
        <f t="shared" si="129"/>
        <v>0</v>
      </c>
    </row>
    <row r="4157" spans="1:48" x14ac:dyDescent="0.25">
      <c r="A4157" t="s">
        <v>12573</v>
      </c>
      <c r="C4157" t="s">
        <v>12574</v>
      </c>
      <c r="D4157" t="s">
        <v>12575</v>
      </c>
      <c r="E4157" t="s">
        <v>1663</v>
      </c>
      <c r="F4157">
        <v>3</v>
      </c>
      <c r="G4157">
        <v>3.1</v>
      </c>
      <c r="H4157" t="s">
        <v>2017</v>
      </c>
      <c r="I4157" s="21">
        <v>41983</v>
      </c>
      <c r="J4157">
        <v>2014</v>
      </c>
      <c r="K4157" s="21">
        <v>42037</v>
      </c>
      <c r="L4157">
        <v>2015</v>
      </c>
      <c r="M4157" s="21">
        <v>42262</v>
      </c>
      <c r="N4157">
        <v>2015</v>
      </c>
      <c r="Q4157" s="262">
        <v>340000</v>
      </c>
      <c r="S4157" t="s">
        <v>114</v>
      </c>
      <c r="T4157" t="s">
        <v>114</v>
      </c>
      <c r="V4157">
        <v>0</v>
      </c>
      <c r="W4157">
        <v>1592</v>
      </c>
      <c r="X4157">
        <v>1</v>
      </c>
      <c r="Y4157">
        <v>0</v>
      </c>
      <c r="Z4157">
        <v>0</v>
      </c>
      <c r="AA4157">
        <v>0</v>
      </c>
      <c r="AB4157">
        <v>0</v>
      </c>
      <c r="AC4157">
        <v>1592</v>
      </c>
      <c r="AD4157">
        <v>0</v>
      </c>
      <c r="AE4157">
        <v>0</v>
      </c>
      <c r="AF4157">
        <v>0</v>
      </c>
      <c r="AG4157">
        <v>0</v>
      </c>
      <c r="AH4157">
        <v>0</v>
      </c>
      <c r="AI4157">
        <v>0</v>
      </c>
      <c r="AJ4157">
        <v>0</v>
      </c>
      <c r="AK4157">
        <v>0</v>
      </c>
      <c r="AL4157">
        <v>0</v>
      </c>
      <c r="AM4157">
        <v>0</v>
      </c>
      <c r="AN4157">
        <v>0</v>
      </c>
      <c r="AO4157">
        <v>1</v>
      </c>
      <c r="AP4157">
        <v>0</v>
      </c>
      <c r="AQ4157">
        <v>0</v>
      </c>
      <c r="AR4157">
        <v>0</v>
      </c>
      <c r="AS4157">
        <v>0</v>
      </c>
      <c r="AT4157">
        <v>0</v>
      </c>
      <c r="AU4157">
        <f t="shared" si="128"/>
        <v>1</v>
      </c>
      <c r="AV4157">
        <f t="shared" si="129"/>
        <v>0</v>
      </c>
    </row>
    <row r="4158" spans="1:48" x14ac:dyDescent="0.25">
      <c r="A4158" t="s">
        <v>12576</v>
      </c>
      <c r="B4158" t="s">
        <v>12576</v>
      </c>
      <c r="C4158" t="s">
        <v>12577</v>
      </c>
      <c r="D4158" t="s">
        <v>12578</v>
      </c>
      <c r="E4158" t="s">
        <v>2310</v>
      </c>
      <c r="F4158">
        <v>7</v>
      </c>
      <c r="G4158">
        <v>7.1</v>
      </c>
      <c r="H4158" t="s">
        <v>2017</v>
      </c>
      <c r="I4158" s="21">
        <v>41984.394097222197</v>
      </c>
      <c r="J4158">
        <v>2014</v>
      </c>
      <c r="K4158" s="21">
        <v>42066.683888888903</v>
      </c>
      <c r="L4158">
        <v>2015</v>
      </c>
      <c r="M4158" s="21">
        <v>42145.4171180556</v>
      </c>
      <c r="N4158">
        <v>2015</v>
      </c>
      <c r="Q4158" s="262">
        <v>75000</v>
      </c>
      <c r="R4158" s="262">
        <v>17000</v>
      </c>
      <c r="S4158" t="s">
        <v>114</v>
      </c>
      <c r="T4158" t="s">
        <v>114</v>
      </c>
      <c r="V4158">
        <v>0</v>
      </c>
      <c r="W4158">
        <v>200</v>
      </c>
      <c r="X4158">
        <v>0</v>
      </c>
      <c r="Y4158">
        <v>0</v>
      </c>
      <c r="Z4158">
        <v>0</v>
      </c>
      <c r="AA4158">
        <v>0</v>
      </c>
      <c r="AB4158">
        <v>0</v>
      </c>
      <c r="AC4158">
        <v>0</v>
      </c>
      <c r="AD4158">
        <v>0</v>
      </c>
      <c r="AE4158">
        <v>0</v>
      </c>
      <c r="AF4158">
        <v>0</v>
      </c>
      <c r="AG4158">
        <v>0</v>
      </c>
      <c r="AH4158">
        <v>0</v>
      </c>
      <c r="AI4158">
        <v>0</v>
      </c>
      <c r="AJ4158">
        <v>0</v>
      </c>
      <c r="AK4158">
        <v>0</v>
      </c>
      <c r="AL4158">
        <v>0</v>
      </c>
      <c r="AM4158">
        <v>200</v>
      </c>
      <c r="AN4158">
        <v>0</v>
      </c>
      <c r="AO4158">
        <v>0</v>
      </c>
      <c r="AP4158">
        <v>0</v>
      </c>
      <c r="AQ4158">
        <v>0</v>
      </c>
      <c r="AR4158">
        <v>0</v>
      </c>
      <c r="AS4158">
        <v>0</v>
      </c>
      <c r="AT4158">
        <v>0</v>
      </c>
      <c r="AU4158">
        <f t="shared" si="128"/>
        <v>0</v>
      </c>
      <c r="AV4158">
        <f t="shared" si="129"/>
        <v>200</v>
      </c>
    </row>
    <row r="4159" spans="1:48" x14ac:dyDescent="0.25">
      <c r="A4159" t="s">
        <v>13486</v>
      </c>
      <c r="C4159" t="s">
        <v>13487</v>
      </c>
      <c r="D4159" t="s">
        <v>13475</v>
      </c>
      <c r="E4159" t="s">
        <v>1663</v>
      </c>
      <c r="F4159">
        <v>3</v>
      </c>
      <c r="G4159">
        <v>3.1</v>
      </c>
      <c r="H4159" t="s">
        <v>2017</v>
      </c>
      <c r="I4159" s="21">
        <v>41988</v>
      </c>
      <c r="J4159">
        <v>2014</v>
      </c>
      <c r="K4159" s="21">
        <v>42006</v>
      </c>
      <c r="L4159">
        <v>2015</v>
      </c>
      <c r="M4159" s="21">
        <v>42754</v>
      </c>
      <c r="N4159">
        <v>2017</v>
      </c>
      <c r="Q4159" s="262">
        <v>20000</v>
      </c>
      <c r="S4159" t="s">
        <v>114</v>
      </c>
      <c r="T4159" t="s">
        <v>114</v>
      </c>
      <c r="V4159">
        <v>0</v>
      </c>
      <c r="W4159">
        <v>0</v>
      </c>
      <c r="X4159">
        <v>0</v>
      </c>
      <c r="Y4159">
        <v>0</v>
      </c>
      <c r="Z4159">
        <v>0</v>
      </c>
      <c r="AA4159">
        <v>0</v>
      </c>
      <c r="AB4159">
        <v>0</v>
      </c>
      <c r="AC4159">
        <v>0</v>
      </c>
      <c r="AD4159">
        <v>0</v>
      </c>
      <c r="AE4159">
        <v>0</v>
      </c>
      <c r="AF4159">
        <v>0</v>
      </c>
      <c r="AG4159">
        <v>0</v>
      </c>
      <c r="AH4159">
        <v>0</v>
      </c>
      <c r="AI4159">
        <v>0</v>
      </c>
      <c r="AJ4159">
        <v>0</v>
      </c>
      <c r="AK4159">
        <v>0</v>
      </c>
      <c r="AL4159">
        <v>0</v>
      </c>
      <c r="AM4159">
        <v>0</v>
      </c>
      <c r="AN4159">
        <v>0</v>
      </c>
      <c r="AO4159">
        <v>0</v>
      </c>
      <c r="AP4159">
        <v>0</v>
      </c>
      <c r="AQ4159">
        <v>0</v>
      </c>
      <c r="AR4159">
        <v>0</v>
      </c>
      <c r="AS4159">
        <v>0</v>
      </c>
      <c r="AT4159">
        <v>0</v>
      </c>
      <c r="AU4159">
        <f t="shared" si="128"/>
        <v>0</v>
      </c>
      <c r="AV4159">
        <f t="shared" si="129"/>
        <v>0</v>
      </c>
    </row>
    <row r="4160" spans="1:48" x14ac:dyDescent="0.25">
      <c r="A4160" t="s">
        <v>17586</v>
      </c>
      <c r="B4160" t="s">
        <v>17586</v>
      </c>
      <c r="C4160" t="s">
        <v>10859</v>
      </c>
      <c r="D4160" t="s">
        <v>17587</v>
      </c>
      <c r="E4160" t="s">
        <v>2310</v>
      </c>
      <c r="F4160">
        <v>8</v>
      </c>
      <c r="G4160">
        <v>8.1</v>
      </c>
      <c r="H4160" t="s">
        <v>2323</v>
      </c>
      <c r="I4160" s="21">
        <v>41991.335277777776</v>
      </c>
      <c r="J4160">
        <v>2014</v>
      </c>
      <c r="K4160" s="21">
        <v>42846.676111111112</v>
      </c>
      <c r="L4160">
        <v>2017</v>
      </c>
      <c r="M4160" s="21">
        <v>42846.676111111112</v>
      </c>
      <c r="N4160">
        <v>2017</v>
      </c>
      <c r="Q4160" s="262">
        <v>1500000</v>
      </c>
      <c r="R4160" s="262">
        <v>619000</v>
      </c>
      <c r="S4160" t="s">
        <v>13254</v>
      </c>
      <c r="V4160">
        <v>0</v>
      </c>
      <c r="W4160">
        <v>4998</v>
      </c>
      <c r="X4160">
        <v>1</v>
      </c>
      <c r="Y4160">
        <v>0</v>
      </c>
      <c r="Z4160">
        <v>0</v>
      </c>
      <c r="AA4160">
        <v>0</v>
      </c>
      <c r="AB4160">
        <v>0</v>
      </c>
      <c r="AC4160">
        <v>4998</v>
      </c>
      <c r="AD4160">
        <v>0</v>
      </c>
      <c r="AE4160">
        <v>0</v>
      </c>
      <c r="AF4160">
        <v>0</v>
      </c>
      <c r="AG4160">
        <v>0</v>
      </c>
      <c r="AH4160">
        <v>0</v>
      </c>
      <c r="AI4160">
        <v>0</v>
      </c>
      <c r="AJ4160">
        <v>0</v>
      </c>
      <c r="AK4160">
        <v>0</v>
      </c>
      <c r="AL4160">
        <v>0</v>
      </c>
      <c r="AM4160">
        <v>0</v>
      </c>
      <c r="AN4160">
        <v>0</v>
      </c>
      <c r="AO4160">
        <v>1</v>
      </c>
      <c r="AP4160">
        <v>0</v>
      </c>
      <c r="AQ4160">
        <v>0</v>
      </c>
      <c r="AR4160">
        <v>0</v>
      </c>
      <c r="AS4160">
        <v>0</v>
      </c>
      <c r="AT4160">
        <v>0</v>
      </c>
      <c r="AU4160">
        <f t="shared" si="128"/>
        <v>1</v>
      </c>
      <c r="AV4160">
        <f t="shared" si="129"/>
        <v>0</v>
      </c>
    </row>
    <row r="4161" spans="1:48" x14ac:dyDescent="0.25">
      <c r="A4161" t="s">
        <v>19049</v>
      </c>
      <c r="B4161" t="s">
        <v>19049</v>
      </c>
      <c r="C4161" t="s">
        <v>11321</v>
      </c>
      <c r="D4161" t="s">
        <v>6544</v>
      </c>
      <c r="E4161" t="s">
        <v>2310</v>
      </c>
      <c r="F4161">
        <v>9</v>
      </c>
      <c r="G4161">
        <v>9.1999999999999993</v>
      </c>
      <c r="H4161" t="s">
        <v>2022</v>
      </c>
      <c r="I4161" s="21">
        <v>41991.650821759256</v>
      </c>
      <c r="J4161">
        <v>2014</v>
      </c>
      <c r="K4161" s="21">
        <v>42087.419548611113</v>
      </c>
      <c r="L4161">
        <v>2015</v>
      </c>
      <c r="M4161" s="21">
        <v>43735.370908530094</v>
      </c>
      <c r="N4161">
        <v>2019</v>
      </c>
      <c r="Q4161" s="262">
        <v>12000000</v>
      </c>
      <c r="R4161" s="262">
        <v>2313000</v>
      </c>
      <c r="S4161" t="s">
        <v>13254</v>
      </c>
      <c r="V4161">
        <v>1728</v>
      </c>
      <c r="W4161">
        <v>19709</v>
      </c>
      <c r="X4161">
        <v>0</v>
      </c>
      <c r="Y4161">
        <v>0</v>
      </c>
      <c r="Z4161">
        <v>0</v>
      </c>
      <c r="AA4161">
        <v>0</v>
      </c>
      <c r="AB4161">
        <v>0</v>
      </c>
      <c r="AC4161">
        <v>19709</v>
      </c>
      <c r="AD4161">
        <v>0</v>
      </c>
      <c r="AE4161">
        <v>0</v>
      </c>
      <c r="AF4161">
        <v>0</v>
      </c>
      <c r="AG4161">
        <v>0</v>
      </c>
      <c r="AH4161">
        <v>0</v>
      </c>
      <c r="AI4161">
        <v>0</v>
      </c>
      <c r="AJ4161">
        <v>0</v>
      </c>
      <c r="AK4161">
        <v>0</v>
      </c>
      <c r="AL4161">
        <v>0</v>
      </c>
      <c r="AM4161">
        <v>0</v>
      </c>
      <c r="AN4161">
        <v>0</v>
      </c>
      <c r="AO4161">
        <v>0</v>
      </c>
      <c r="AP4161">
        <v>0</v>
      </c>
      <c r="AQ4161">
        <v>0</v>
      </c>
      <c r="AR4161">
        <v>0</v>
      </c>
      <c r="AS4161">
        <v>0</v>
      </c>
      <c r="AT4161">
        <v>0</v>
      </c>
      <c r="AU4161">
        <f t="shared" si="128"/>
        <v>0</v>
      </c>
      <c r="AV4161">
        <f t="shared" si="129"/>
        <v>0</v>
      </c>
    </row>
    <row r="4162" spans="1:48" x14ac:dyDescent="0.25">
      <c r="A4162" t="s">
        <v>12579</v>
      </c>
      <c r="B4162" t="s">
        <v>12579</v>
      </c>
      <c r="C4162" t="s">
        <v>12580</v>
      </c>
      <c r="D4162" t="s">
        <v>12581</v>
      </c>
      <c r="E4162" t="s">
        <v>2310</v>
      </c>
      <c r="F4162">
        <v>12</v>
      </c>
      <c r="G4162">
        <v>12.2</v>
      </c>
      <c r="H4162" t="s">
        <v>2017</v>
      </c>
      <c r="I4162" s="21">
        <v>42004.657210648104</v>
      </c>
      <c r="J4162">
        <v>2014</v>
      </c>
      <c r="K4162" s="21">
        <v>42107.681504629603</v>
      </c>
      <c r="L4162">
        <v>2015</v>
      </c>
      <c r="M4162" s="21">
        <v>42408.693263888897</v>
      </c>
      <c r="N4162">
        <v>2016</v>
      </c>
      <c r="Q4162" s="262">
        <v>60000</v>
      </c>
      <c r="R4162" s="262">
        <v>57000</v>
      </c>
      <c r="S4162" t="s">
        <v>114</v>
      </c>
      <c r="T4162" t="s">
        <v>114</v>
      </c>
      <c r="V4162">
        <v>0</v>
      </c>
      <c r="W4162">
        <v>432</v>
      </c>
      <c r="X4162">
        <v>1</v>
      </c>
      <c r="Y4162">
        <v>0</v>
      </c>
      <c r="Z4162">
        <v>0</v>
      </c>
      <c r="AA4162">
        <v>0</v>
      </c>
      <c r="AB4162">
        <v>0</v>
      </c>
      <c r="AC4162">
        <v>0</v>
      </c>
      <c r="AD4162">
        <v>0</v>
      </c>
      <c r="AE4162">
        <v>0</v>
      </c>
      <c r="AF4162">
        <v>432</v>
      </c>
      <c r="AG4162">
        <v>0</v>
      </c>
      <c r="AH4162">
        <v>0</v>
      </c>
      <c r="AI4162">
        <v>0</v>
      </c>
      <c r="AJ4162">
        <v>0</v>
      </c>
      <c r="AK4162">
        <v>0</v>
      </c>
      <c r="AL4162">
        <v>0</v>
      </c>
      <c r="AM4162">
        <v>0</v>
      </c>
      <c r="AN4162">
        <v>0</v>
      </c>
      <c r="AO4162">
        <v>0</v>
      </c>
      <c r="AP4162">
        <v>0</v>
      </c>
      <c r="AQ4162">
        <v>0</v>
      </c>
      <c r="AR4162">
        <v>1</v>
      </c>
      <c r="AS4162">
        <v>0</v>
      </c>
      <c r="AT4162">
        <v>0</v>
      </c>
      <c r="AU4162">
        <f t="shared" si="128"/>
        <v>0</v>
      </c>
      <c r="AV4162">
        <f t="shared" si="129"/>
        <v>0</v>
      </c>
    </row>
    <row r="4163" spans="1:48" x14ac:dyDescent="0.25">
      <c r="A4163" t="s">
        <v>12582</v>
      </c>
      <c r="B4163" t="s">
        <v>12582</v>
      </c>
      <c r="C4163" t="s">
        <v>12583</v>
      </c>
      <c r="D4163" t="s">
        <v>12485</v>
      </c>
      <c r="E4163" t="s">
        <v>2310</v>
      </c>
      <c r="F4163">
        <v>8</v>
      </c>
      <c r="G4163">
        <v>8.3000000000000007</v>
      </c>
      <c r="H4163" t="s">
        <v>2323</v>
      </c>
      <c r="I4163" s="21">
        <v>42012.343043981498</v>
      </c>
      <c r="J4163">
        <v>2015</v>
      </c>
      <c r="K4163" s="21">
        <v>42031.542071759301</v>
      </c>
      <c r="L4163">
        <v>2015</v>
      </c>
      <c r="M4163" s="21">
        <v>42045.689907407403</v>
      </c>
      <c r="N4163">
        <v>2015</v>
      </c>
      <c r="Q4163" s="262">
        <v>20000</v>
      </c>
      <c r="R4163" s="262">
        <v>20000</v>
      </c>
      <c r="S4163" t="s">
        <v>114</v>
      </c>
      <c r="T4163" t="s">
        <v>114</v>
      </c>
      <c r="V4163">
        <v>200</v>
      </c>
      <c r="W4163">
        <v>0</v>
      </c>
      <c r="X4163">
        <v>0</v>
      </c>
      <c r="Y4163">
        <v>0</v>
      </c>
      <c r="Z4163">
        <v>0</v>
      </c>
      <c r="AA4163">
        <v>0</v>
      </c>
      <c r="AB4163">
        <v>0</v>
      </c>
      <c r="AC4163">
        <v>0</v>
      </c>
      <c r="AD4163">
        <v>0</v>
      </c>
      <c r="AE4163">
        <v>0</v>
      </c>
      <c r="AF4163">
        <v>0</v>
      </c>
      <c r="AG4163">
        <v>0</v>
      </c>
      <c r="AH4163">
        <v>0</v>
      </c>
      <c r="AI4163">
        <v>0</v>
      </c>
      <c r="AJ4163">
        <v>0</v>
      </c>
      <c r="AK4163">
        <v>0</v>
      </c>
      <c r="AL4163">
        <v>0</v>
      </c>
      <c r="AM4163">
        <v>0</v>
      </c>
      <c r="AN4163">
        <v>0</v>
      </c>
      <c r="AO4163">
        <v>0</v>
      </c>
      <c r="AP4163">
        <v>0</v>
      </c>
      <c r="AQ4163">
        <v>0</v>
      </c>
      <c r="AR4163">
        <v>0</v>
      </c>
      <c r="AS4163">
        <v>0</v>
      </c>
      <c r="AT4163">
        <v>0</v>
      </c>
      <c r="AU4163">
        <f t="shared" si="128"/>
        <v>0</v>
      </c>
      <c r="AV4163">
        <f t="shared" si="129"/>
        <v>0</v>
      </c>
    </row>
    <row r="4164" spans="1:48" x14ac:dyDescent="0.25">
      <c r="A4164" t="s">
        <v>12584</v>
      </c>
      <c r="B4164" t="s">
        <v>12584</v>
      </c>
      <c r="C4164" t="s">
        <v>12585</v>
      </c>
      <c r="D4164" t="s">
        <v>8957</v>
      </c>
      <c r="E4164" t="s">
        <v>2310</v>
      </c>
      <c r="F4164">
        <v>8</v>
      </c>
      <c r="G4164">
        <v>8.3000000000000007</v>
      </c>
      <c r="H4164" t="s">
        <v>2323</v>
      </c>
      <c r="I4164" s="21">
        <v>42012.399120370399</v>
      </c>
      <c r="J4164">
        <v>2015</v>
      </c>
      <c r="K4164" s="21">
        <v>42060.6884027778</v>
      </c>
      <c r="L4164">
        <v>2015</v>
      </c>
      <c r="M4164" s="21">
        <v>42627.4710416667</v>
      </c>
      <c r="N4164">
        <v>2016</v>
      </c>
      <c r="Q4164" s="262">
        <v>60000</v>
      </c>
      <c r="R4164" s="262">
        <v>60000</v>
      </c>
      <c r="S4164" t="s">
        <v>114</v>
      </c>
      <c r="T4164" t="s">
        <v>114</v>
      </c>
      <c r="V4164">
        <v>720</v>
      </c>
      <c r="W4164">
        <v>0</v>
      </c>
      <c r="X4164">
        <v>1</v>
      </c>
      <c r="Y4164">
        <v>0</v>
      </c>
      <c r="Z4164">
        <v>0</v>
      </c>
      <c r="AA4164">
        <v>0</v>
      </c>
      <c r="AB4164">
        <v>0</v>
      </c>
      <c r="AC4164">
        <v>-720</v>
      </c>
      <c r="AD4164">
        <v>0</v>
      </c>
      <c r="AE4164">
        <v>0</v>
      </c>
      <c r="AF4164">
        <v>720</v>
      </c>
      <c r="AG4164">
        <v>0</v>
      </c>
      <c r="AH4164">
        <v>0</v>
      </c>
      <c r="AI4164">
        <v>0</v>
      </c>
      <c r="AJ4164">
        <v>0</v>
      </c>
      <c r="AK4164">
        <v>0</v>
      </c>
      <c r="AL4164">
        <v>0</v>
      </c>
      <c r="AM4164">
        <v>0</v>
      </c>
      <c r="AN4164">
        <v>0</v>
      </c>
      <c r="AO4164">
        <v>0</v>
      </c>
      <c r="AP4164">
        <v>0</v>
      </c>
      <c r="AQ4164">
        <v>0</v>
      </c>
      <c r="AR4164">
        <v>1</v>
      </c>
      <c r="AS4164">
        <v>0</v>
      </c>
      <c r="AT4164">
        <v>0</v>
      </c>
      <c r="AU4164">
        <f t="shared" si="128"/>
        <v>0</v>
      </c>
      <c r="AV4164">
        <f t="shared" si="129"/>
        <v>0</v>
      </c>
    </row>
    <row r="4165" spans="1:48" x14ac:dyDescent="0.25">
      <c r="A4165" t="s">
        <v>12586</v>
      </c>
      <c r="C4165" t="s">
        <v>12587</v>
      </c>
      <c r="D4165" t="s">
        <v>12588</v>
      </c>
      <c r="E4165" t="s">
        <v>1663</v>
      </c>
      <c r="F4165">
        <v>5</v>
      </c>
      <c r="G4165">
        <v>5.5</v>
      </c>
      <c r="H4165" t="s">
        <v>2017</v>
      </c>
      <c r="I4165" s="21">
        <v>42016</v>
      </c>
      <c r="J4165">
        <v>2015</v>
      </c>
      <c r="K4165" s="21">
        <v>42030</v>
      </c>
      <c r="L4165">
        <v>2015</v>
      </c>
      <c r="M4165" s="21">
        <v>42129</v>
      </c>
      <c r="N4165">
        <v>2015</v>
      </c>
      <c r="Q4165" s="262">
        <v>15000</v>
      </c>
      <c r="S4165" t="s">
        <v>114</v>
      </c>
      <c r="T4165" t="s">
        <v>114</v>
      </c>
      <c r="W4165">
        <v>52</v>
      </c>
      <c r="X4165">
        <v>0</v>
      </c>
      <c r="Y4165">
        <v>0</v>
      </c>
      <c r="Z4165">
        <v>0</v>
      </c>
      <c r="AA4165">
        <v>0</v>
      </c>
      <c r="AB4165">
        <v>0</v>
      </c>
      <c r="AC4165">
        <v>52</v>
      </c>
      <c r="AD4165">
        <v>0</v>
      </c>
      <c r="AE4165">
        <v>0</v>
      </c>
      <c r="AF4165">
        <v>0</v>
      </c>
      <c r="AG4165">
        <v>0</v>
      </c>
      <c r="AH4165">
        <v>0</v>
      </c>
      <c r="AI4165">
        <v>0</v>
      </c>
      <c r="AJ4165">
        <v>0</v>
      </c>
      <c r="AK4165">
        <v>0</v>
      </c>
      <c r="AL4165">
        <v>0</v>
      </c>
      <c r="AM4165">
        <v>0</v>
      </c>
      <c r="AN4165">
        <v>0</v>
      </c>
      <c r="AO4165">
        <v>0</v>
      </c>
      <c r="AP4165">
        <v>0</v>
      </c>
      <c r="AQ4165">
        <v>0</v>
      </c>
      <c r="AR4165">
        <v>0</v>
      </c>
      <c r="AS4165">
        <v>0</v>
      </c>
      <c r="AT4165">
        <v>0</v>
      </c>
      <c r="AU4165">
        <f t="shared" si="128"/>
        <v>0</v>
      </c>
      <c r="AV4165">
        <f t="shared" si="129"/>
        <v>0</v>
      </c>
    </row>
    <row r="4166" spans="1:48" x14ac:dyDescent="0.25">
      <c r="A4166" t="s">
        <v>12589</v>
      </c>
      <c r="B4166" t="s">
        <v>12589</v>
      </c>
      <c r="C4166" t="s">
        <v>12590</v>
      </c>
      <c r="D4166" t="s">
        <v>12591</v>
      </c>
      <c r="E4166" t="s">
        <v>2310</v>
      </c>
      <c r="F4166">
        <v>8</v>
      </c>
      <c r="G4166">
        <v>8.1999999999999993</v>
      </c>
      <c r="H4166" t="s">
        <v>2022</v>
      </c>
      <c r="I4166" s="21">
        <v>42018.547175925902</v>
      </c>
      <c r="J4166">
        <v>2015</v>
      </c>
      <c r="K4166" s="21">
        <v>42096.465937499997</v>
      </c>
      <c r="L4166">
        <v>2015</v>
      </c>
      <c r="M4166" s="21">
        <v>42289.677847222199</v>
      </c>
      <c r="N4166">
        <v>2015</v>
      </c>
      <c r="Q4166" s="262">
        <v>42000</v>
      </c>
      <c r="R4166" s="262">
        <v>9000</v>
      </c>
      <c r="S4166" t="s">
        <v>114</v>
      </c>
      <c r="T4166" t="s">
        <v>114</v>
      </c>
      <c r="V4166">
        <v>0</v>
      </c>
      <c r="W4166">
        <v>204</v>
      </c>
      <c r="X4166">
        <v>0</v>
      </c>
      <c r="Y4166">
        <v>0</v>
      </c>
      <c r="Z4166">
        <v>0</v>
      </c>
      <c r="AA4166">
        <v>0</v>
      </c>
      <c r="AB4166">
        <v>204</v>
      </c>
      <c r="AC4166">
        <v>0</v>
      </c>
      <c r="AD4166">
        <v>0</v>
      </c>
      <c r="AE4166">
        <v>0</v>
      </c>
      <c r="AF4166">
        <v>0</v>
      </c>
      <c r="AG4166">
        <v>0</v>
      </c>
      <c r="AH4166">
        <v>0</v>
      </c>
      <c r="AI4166">
        <v>0</v>
      </c>
      <c r="AJ4166">
        <v>0</v>
      </c>
      <c r="AK4166">
        <v>0</v>
      </c>
      <c r="AL4166">
        <v>0</v>
      </c>
      <c r="AM4166">
        <v>0</v>
      </c>
      <c r="AN4166">
        <v>0</v>
      </c>
      <c r="AO4166">
        <v>0</v>
      </c>
      <c r="AP4166">
        <v>0</v>
      </c>
      <c r="AQ4166">
        <v>0</v>
      </c>
      <c r="AR4166">
        <v>0</v>
      </c>
      <c r="AS4166">
        <v>0</v>
      </c>
      <c r="AT4166">
        <v>0</v>
      </c>
      <c r="AU4166">
        <f t="shared" si="128"/>
        <v>0</v>
      </c>
      <c r="AV4166">
        <f t="shared" si="129"/>
        <v>204</v>
      </c>
    </row>
    <row r="4167" spans="1:48" x14ac:dyDescent="0.25">
      <c r="A4167" t="s">
        <v>12592</v>
      </c>
      <c r="C4167" t="s">
        <v>12593</v>
      </c>
      <c r="D4167" t="s">
        <v>4288</v>
      </c>
      <c r="E4167" t="s">
        <v>1663</v>
      </c>
      <c r="F4167">
        <v>5</v>
      </c>
      <c r="G4167">
        <v>5.0999999999999996</v>
      </c>
      <c r="H4167" t="s">
        <v>2327</v>
      </c>
      <c r="I4167" s="21">
        <v>42020</v>
      </c>
      <c r="J4167">
        <v>2015</v>
      </c>
      <c r="K4167" s="21">
        <v>42034</v>
      </c>
      <c r="L4167">
        <v>2015</v>
      </c>
      <c r="M4167" s="21">
        <v>42103</v>
      </c>
      <c r="N4167">
        <v>2015</v>
      </c>
      <c r="Q4167" s="262">
        <v>150000</v>
      </c>
      <c r="S4167" t="s">
        <v>114</v>
      </c>
      <c r="T4167" t="s">
        <v>114</v>
      </c>
      <c r="V4167">
        <v>1500</v>
      </c>
      <c r="W4167">
        <v>0</v>
      </c>
      <c r="X4167">
        <v>0</v>
      </c>
      <c r="Y4167">
        <v>0</v>
      </c>
      <c r="Z4167">
        <v>0</v>
      </c>
      <c r="AA4167">
        <v>0</v>
      </c>
      <c r="AB4167">
        <v>0</v>
      </c>
      <c r="AC4167">
        <v>0</v>
      </c>
      <c r="AD4167">
        <v>0</v>
      </c>
      <c r="AE4167">
        <v>0</v>
      </c>
      <c r="AF4167">
        <v>0</v>
      </c>
      <c r="AG4167">
        <v>0</v>
      </c>
      <c r="AH4167">
        <v>0</v>
      </c>
      <c r="AI4167">
        <v>0</v>
      </c>
      <c r="AJ4167">
        <v>0</v>
      </c>
      <c r="AK4167">
        <v>0</v>
      </c>
      <c r="AL4167">
        <v>0</v>
      </c>
      <c r="AM4167">
        <v>0</v>
      </c>
      <c r="AN4167">
        <v>0</v>
      </c>
      <c r="AO4167">
        <v>0</v>
      </c>
      <c r="AP4167">
        <v>0</v>
      </c>
      <c r="AQ4167">
        <v>0</v>
      </c>
      <c r="AR4167">
        <v>0</v>
      </c>
      <c r="AS4167">
        <v>0</v>
      </c>
      <c r="AT4167">
        <v>0</v>
      </c>
      <c r="AU4167">
        <f t="shared" si="128"/>
        <v>0</v>
      </c>
      <c r="AV4167">
        <f t="shared" si="129"/>
        <v>0</v>
      </c>
    </row>
    <row r="4168" spans="1:48" x14ac:dyDescent="0.25">
      <c r="A4168" t="s">
        <v>12594</v>
      </c>
      <c r="C4168" t="s">
        <v>12595</v>
      </c>
      <c r="D4168" t="s">
        <v>11887</v>
      </c>
      <c r="E4168" t="s">
        <v>1663</v>
      </c>
      <c r="F4168">
        <v>3</v>
      </c>
      <c r="G4168">
        <v>3.4</v>
      </c>
      <c r="H4168" t="s">
        <v>2017</v>
      </c>
      <c r="I4168" s="21">
        <v>42020</v>
      </c>
      <c r="J4168">
        <v>2015</v>
      </c>
      <c r="K4168" s="21">
        <v>42116</v>
      </c>
      <c r="L4168">
        <v>2015</v>
      </c>
      <c r="P4168" s="21">
        <v>42809</v>
      </c>
      <c r="Q4168" s="262">
        <v>2000000</v>
      </c>
      <c r="S4168" t="s">
        <v>114</v>
      </c>
      <c r="T4168" t="s">
        <v>114</v>
      </c>
      <c r="W4168">
        <v>10470</v>
      </c>
      <c r="X4168">
        <v>2</v>
      </c>
      <c r="Y4168">
        <v>0</v>
      </c>
      <c r="Z4168">
        <v>0</v>
      </c>
      <c r="AA4168">
        <v>0</v>
      </c>
      <c r="AB4168">
        <v>0</v>
      </c>
      <c r="AC4168">
        <v>0</v>
      </c>
      <c r="AD4168">
        <v>10470</v>
      </c>
      <c r="AE4168">
        <v>0</v>
      </c>
      <c r="AF4168">
        <v>0</v>
      </c>
      <c r="AG4168">
        <v>0</v>
      </c>
      <c r="AH4168">
        <v>0</v>
      </c>
      <c r="AI4168">
        <v>0</v>
      </c>
      <c r="AJ4168">
        <v>0</v>
      </c>
      <c r="AK4168">
        <v>0</v>
      </c>
      <c r="AL4168">
        <v>0</v>
      </c>
      <c r="AM4168">
        <v>0</v>
      </c>
      <c r="AN4168">
        <v>0</v>
      </c>
      <c r="AO4168">
        <v>0</v>
      </c>
      <c r="AP4168">
        <v>2</v>
      </c>
      <c r="AQ4168">
        <v>0</v>
      </c>
      <c r="AR4168">
        <v>0</v>
      </c>
      <c r="AS4168">
        <v>0</v>
      </c>
      <c r="AT4168">
        <v>0</v>
      </c>
      <c r="AU4168">
        <f t="shared" si="128"/>
        <v>2</v>
      </c>
      <c r="AV4168">
        <f t="shared" si="129"/>
        <v>0</v>
      </c>
    </row>
    <row r="4169" spans="1:48" x14ac:dyDescent="0.25">
      <c r="A4169" t="s">
        <v>12596</v>
      </c>
      <c r="C4169" t="s">
        <v>12597</v>
      </c>
      <c r="D4169" t="s">
        <v>12598</v>
      </c>
      <c r="E4169" t="s">
        <v>1663</v>
      </c>
      <c r="F4169">
        <v>2</v>
      </c>
      <c r="G4169">
        <v>2.2999999999999998</v>
      </c>
      <c r="H4169" t="s">
        <v>2327</v>
      </c>
      <c r="I4169" s="21">
        <v>42025</v>
      </c>
      <c r="J4169">
        <v>2015</v>
      </c>
      <c r="K4169" s="21">
        <v>42034</v>
      </c>
      <c r="L4169">
        <v>2015</v>
      </c>
      <c r="M4169" s="21">
        <v>42417</v>
      </c>
      <c r="N4169">
        <v>2016</v>
      </c>
      <c r="Q4169" s="262">
        <v>0</v>
      </c>
      <c r="S4169" t="s">
        <v>114</v>
      </c>
      <c r="T4169" t="s">
        <v>114</v>
      </c>
      <c r="W4169">
        <v>0</v>
      </c>
      <c r="X4169">
        <v>0</v>
      </c>
      <c r="Y4169">
        <v>0</v>
      </c>
      <c r="Z4169">
        <v>0</v>
      </c>
      <c r="AA4169">
        <v>0</v>
      </c>
      <c r="AB4169">
        <v>0</v>
      </c>
      <c r="AC4169">
        <v>0</v>
      </c>
      <c r="AD4169">
        <v>0</v>
      </c>
      <c r="AE4169">
        <v>0</v>
      </c>
      <c r="AF4169">
        <v>0</v>
      </c>
      <c r="AG4169">
        <v>0</v>
      </c>
      <c r="AH4169">
        <v>0</v>
      </c>
      <c r="AI4169">
        <v>0</v>
      </c>
      <c r="AJ4169">
        <v>0</v>
      </c>
      <c r="AK4169">
        <v>0</v>
      </c>
      <c r="AL4169">
        <v>0</v>
      </c>
      <c r="AM4169">
        <v>0</v>
      </c>
      <c r="AN4169">
        <v>0</v>
      </c>
      <c r="AO4169">
        <v>0</v>
      </c>
      <c r="AP4169">
        <v>0</v>
      </c>
      <c r="AQ4169">
        <v>0</v>
      </c>
      <c r="AR4169">
        <v>0</v>
      </c>
      <c r="AS4169">
        <v>0</v>
      </c>
      <c r="AT4169">
        <v>0</v>
      </c>
      <c r="AU4169">
        <f t="shared" si="128"/>
        <v>0</v>
      </c>
      <c r="AV4169">
        <f t="shared" si="129"/>
        <v>0</v>
      </c>
    </row>
    <row r="4170" spans="1:48" x14ac:dyDescent="0.25">
      <c r="A4170" t="s">
        <v>12599</v>
      </c>
      <c r="C4170" t="s">
        <v>12600</v>
      </c>
      <c r="D4170" t="s">
        <v>12598</v>
      </c>
      <c r="E4170" t="s">
        <v>1663</v>
      </c>
      <c r="F4170">
        <v>2</v>
      </c>
      <c r="G4170">
        <v>2.2999999999999998</v>
      </c>
      <c r="H4170" t="s">
        <v>2327</v>
      </c>
      <c r="I4170" s="21">
        <v>42025</v>
      </c>
      <c r="J4170">
        <v>2015</v>
      </c>
      <c r="K4170" s="21">
        <v>42034</v>
      </c>
      <c r="L4170">
        <v>2015</v>
      </c>
      <c r="M4170" s="21">
        <v>42417</v>
      </c>
      <c r="N4170">
        <v>2016</v>
      </c>
      <c r="Q4170" s="262">
        <v>0</v>
      </c>
      <c r="S4170" t="s">
        <v>114</v>
      </c>
      <c r="T4170" t="s">
        <v>114</v>
      </c>
      <c r="W4170">
        <v>0</v>
      </c>
      <c r="X4170">
        <v>0</v>
      </c>
      <c r="Y4170">
        <v>0</v>
      </c>
      <c r="Z4170">
        <v>0</v>
      </c>
      <c r="AA4170">
        <v>0</v>
      </c>
      <c r="AB4170">
        <v>0</v>
      </c>
      <c r="AC4170">
        <v>0</v>
      </c>
      <c r="AD4170">
        <v>0</v>
      </c>
      <c r="AE4170">
        <v>0</v>
      </c>
      <c r="AF4170">
        <v>0</v>
      </c>
      <c r="AG4170">
        <v>0</v>
      </c>
      <c r="AH4170">
        <v>0</v>
      </c>
      <c r="AI4170">
        <v>0</v>
      </c>
      <c r="AJ4170">
        <v>0</v>
      </c>
      <c r="AK4170">
        <v>0</v>
      </c>
      <c r="AL4170">
        <v>0</v>
      </c>
      <c r="AM4170">
        <v>0</v>
      </c>
      <c r="AN4170">
        <v>0</v>
      </c>
      <c r="AO4170">
        <v>0</v>
      </c>
      <c r="AP4170">
        <v>0</v>
      </c>
      <c r="AQ4170">
        <v>0</v>
      </c>
      <c r="AR4170">
        <v>0</v>
      </c>
      <c r="AS4170">
        <v>0</v>
      </c>
      <c r="AT4170">
        <v>0</v>
      </c>
      <c r="AU4170">
        <f t="shared" si="128"/>
        <v>0</v>
      </c>
      <c r="AV4170">
        <f t="shared" si="129"/>
        <v>0</v>
      </c>
    </row>
    <row r="4171" spans="1:48" x14ac:dyDescent="0.25">
      <c r="A4171" t="s">
        <v>17588</v>
      </c>
      <c r="B4171" t="s">
        <v>17588</v>
      </c>
      <c r="C4171" t="s">
        <v>17589</v>
      </c>
      <c r="D4171" t="s">
        <v>17590</v>
      </c>
      <c r="E4171" t="s">
        <v>2310</v>
      </c>
      <c r="F4171">
        <v>9</v>
      </c>
      <c r="G4171">
        <v>9.1999999999999993</v>
      </c>
      <c r="H4171" t="s">
        <v>2022</v>
      </c>
      <c r="I4171" s="21">
        <v>42025.508657407408</v>
      </c>
      <c r="J4171">
        <v>2015</v>
      </c>
      <c r="K4171" s="21">
        <v>43032.463634259257</v>
      </c>
      <c r="L4171">
        <v>2017</v>
      </c>
      <c r="M4171" s="21">
        <v>43032.463634259257</v>
      </c>
      <c r="N4171">
        <v>2017</v>
      </c>
      <c r="Q4171" s="262">
        <v>2500000</v>
      </c>
      <c r="R4171" s="262">
        <v>860000</v>
      </c>
      <c r="S4171" t="s">
        <v>13254</v>
      </c>
      <c r="V4171">
        <v>0</v>
      </c>
      <c r="W4171">
        <v>6454</v>
      </c>
      <c r="X4171">
        <v>1</v>
      </c>
      <c r="Y4171">
        <v>0</v>
      </c>
      <c r="Z4171">
        <v>0</v>
      </c>
      <c r="AA4171">
        <v>0</v>
      </c>
      <c r="AB4171">
        <v>0</v>
      </c>
      <c r="AC4171">
        <v>6454</v>
      </c>
      <c r="AD4171">
        <v>0</v>
      </c>
      <c r="AE4171">
        <v>0</v>
      </c>
      <c r="AF4171">
        <v>0</v>
      </c>
      <c r="AG4171">
        <v>0</v>
      </c>
      <c r="AH4171">
        <v>0</v>
      </c>
      <c r="AI4171">
        <v>0</v>
      </c>
      <c r="AJ4171">
        <v>0</v>
      </c>
      <c r="AK4171">
        <v>0</v>
      </c>
      <c r="AL4171">
        <v>0</v>
      </c>
      <c r="AM4171">
        <v>0</v>
      </c>
      <c r="AN4171">
        <v>0</v>
      </c>
      <c r="AO4171">
        <v>1</v>
      </c>
      <c r="AP4171">
        <v>0</v>
      </c>
      <c r="AQ4171">
        <v>0</v>
      </c>
      <c r="AR4171">
        <v>0</v>
      </c>
      <c r="AS4171">
        <v>0</v>
      </c>
      <c r="AT4171">
        <v>0</v>
      </c>
      <c r="AU4171">
        <f t="shared" si="128"/>
        <v>1</v>
      </c>
      <c r="AV4171">
        <f t="shared" si="129"/>
        <v>0</v>
      </c>
    </row>
    <row r="4172" spans="1:48" x14ac:dyDescent="0.25">
      <c r="A4172" t="s">
        <v>12601</v>
      </c>
      <c r="C4172" t="s">
        <v>12602</v>
      </c>
      <c r="D4172" t="s">
        <v>12603</v>
      </c>
      <c r="E4172" t="s">
        <v>1663</v>
      </c>
      <c r="F4172">
        <v>2</v>
      </c>
      <c r="G4172">
        <v>2.2999999999999998</v>
      </c>
      <c r="H4172" t="s">
        <v>2327</v>
      </c>
      <c r="I4172" s="21">
        <v>42032</v>
      </c>
      <c r="J4172">
        <v>2015</v>
      </c>
      <c r="K4172" s="21">
        <v>42081</v>
      </c>
      <c r="L4172">
        <v>2015</v>
      </c>
      <c r="M4172" s="21">
        <v>42256</v>
      </c>
      <c r="N4172">
        <v>2015</v>
      </c>
      <c r="Q4172" s="262">
        <v>450000</v>
      </c>
      <c r="S4172" t="s">
        <v>114</v>
      </c>
      <c r="T4172" t="s">
        <v>114</v>
      </c>
      <c r="W4172">
        <v>4256</v>
      </c>
      <c r="X4172">
        <v>0</v>
      </c>
      <c r="Y4172">
        <v>0</v>
      </c>
      <c r="Z4172">
        <v>0</v>
      </c>
      <c r="AA4172">
        <v>0</v>
      </c>
      <c r="AB4172">
        <v>0</v>
      </c>
      <c r="AC4172">
        <v>0</v>
      </c>
      <c r="AD4172">
        <v>0</v>
      </c>
      <c r="AE4172">
        <v>0</v>
      </c>
      <c r="AF4172">
        <v>0</v>
      </c>
      <c r="AG4172">
        <v>0</v>
      </c>
      <c r="AH4172">
        <v>0</v>
      </c>
      <c r="AI4172">
        <v>0</v>
      </c>
      <c r="AJ4172">
        <v>0</v>
      </c>
      <c r="AK4172">
        <v>0</v>
      </c>
      <c r="AL4172">
        <v>0</v>
      </c>
      <c r="AM4172">
        <v>4256</v>
      </c>
      <c r="AN4172">
        <v>0</v>
      </c>
      <c r="AO4172">
        <v>0</v>
      </c>
      <c r="AP4172">
        <v>0</v>
      </c>
      <c r="AQ4172">
        <v>0</v>
      </c>
      <c r="AR4172">
        <v>0</v>
      </c>
      <c r="AS4172">
        <v>0</v>
      </c>
      <c r="AT4172">
        <v>0</v>
      </c>
      <c r="AU4172">
        <f t="shared" si="128"/>
        <v>0</v>
      </c>
      <c r="AV4172">
        <f t="shared" si="129"/>
        <v>4256</v>
      </c>
    </row>
    <row r="4173" spans="1:48" x14ac:dyDescent="0.25">
      <c r="A4173" t="s">
        <v>17591</v>
      </c>
      <c r="B4173" t="s">
        <v>17591</v>
      </c>
      <c r="C4173" t="s">
        <v>10104</v>
      </c>
      <c r="D4173" t="s">
        <v>17592</v>
      </c>
      <c r="E4173" t="s">
        <v>2310</v>
      </c>
      <c r="F4173">
        <v>9</v>
      </c>
      <c r="G4173">
        <v>9.1999999999999993</v>
      </c>
      <c r="H4173" t="s">
        <v>2022</v>
      </c>
      <c r="I4173" s="21">
        <v>42038.537708333337</v>
      </c>
      <c r="J4173">
        <v>2015</v>
      </c>
      <c r="K4173" s="21">
        <v>42856.456932870373</v>
      </c>
      <c r="L4173">
        <v>2017</v>
      </c>
      <c r="M4173" s="21">
        <v>42856.456932870373</v>
      </c>
      <c r="N4173">
        <v>2017</v>
      </c>
      <c r="Q4173" s="262">
        <v>4800000</v>
      </c>
      <c r="R4173" s="262">
        <v>1339000</v>
      </c>
      <c r="S4173" t="s">
        <v>13254</v>
      </c>
      <c r="V4173">
        <v>0</v>
      </c>
      <c r="W4173">
        <v>9452</v>
      </c>
      <c r="X4173">
        <v>1</v>
      </c>
      <c r="Y4173">
        <v>0</v>
      </c>
      <c r="Z4173">
        <v>0</v>
      </c>
      <c r="AA4173">
        <v>0</v>
      </c>
      <c r="AB4173">
        <v>0</v>
      </c>
      <c r="AC4173">
        <v>9452</v>
      </c>
      <c r="AD4173">
        <v>0</v>
      </c>
      <c r="AE4173">
        <v>0</v>
      </c>
      <c r="AF4173">
        <v>0</v>
      </c>
      <c r="AG4173">
        <v>0</v>
      </c>
      <c r="AH4173">
        <v>0</v>
      </c>
      <c r="AI4173">
        <v>0</v>
      </c>
      <c r="AJ4173">
        <v>0</v>
      </c>
      <c r="AK4173">
        <v>0</v>
      </c>
      <c r="AL4173">
        <v>0</v>
      </c>
      <c r="AM4173">
        <v>0</v>
      </c>
      <c r="AN4173">
        <v>0</v>
      </c>
      <c r="AO4173">
        <v>1</v>
      </c>
      <c r="AP4173">
        <v>0</v>
      </c>
      <c r="AQ4173">
        <v>0</v>
      </c>
      <c r="AR4173">
        <v>0</v>
      </c>
      <c r="AS4173">
        <v>0</v>
      </c>
      <c r="AT4173">
        <v>0</v>
      </c>
      <c r="AU4173">
        <f t="shared" si="128"/>
        <v>1</v>
      </c>
      <c r="AV4173">
        <f t="shared" si="129"/>
        <v>0</v>
      </c>
    </row>
    <row r="4174" spans="1:48" x14ac:dyDescent="0.25">
      <c r="A4174" t="s">
        <v>12604</v>
      </c>
      <c r="B4174" t="s">
        <v>12604</v>
      </c>
      <c r="C4174" t="s">
        <v>12324</v>
      </c>
      <c r="D4174" t="s">
        <v>4065</v>
      </c>
      <c r="E4174" t="s">
        <v>2310</v>
      </c>
      <c r="F4174">
        <v>9</v>
      </c>
      <c r="G4174">
        <v>9.4</v>
      </c>
      <c r="H4174" t="s">
        <v>2323</v>
      </c>
      <c r="I4174" s="21">
        <v>42038.666909722197</v>
      </c>
      <c r="J4174">
        <v>2015</v>
      </c>
      <c r="K4174" s="21">
        <v>42055.444675925901</v>
      </c>
      <c r="L4174">
        <v>2015</v>
      </c>
      <c r="O4174" s="21">
        <v>42236.354930555601</v>
      </c>
      <c r="Q4174" s="262">
        <v>300000</v>
      </c>
      <c r="R4174" s="262">
        <v>115000</v>
      </c>
      <c r="S4174" t="s">
        <v>114</v>
      </c>
      <c r="T4174" t="s">
        <v>114</v>
      </c>
      <c r="V4174">
        <v>0</v>
      </c>
      <c r="W4174">
        <v>998</v>
      </c>
      <c r="X4174">
        <v>1</v>
      </c>
      <c r="Y4174">
        <v>0</v>
      </c>
      <c r="Z4174">
        <v>0</v>
      </c>
      <c r="AA4174">
        <v>0</v>
      </c>
      <c r="AB4174">
        <v>0</v>
      </c>
      <c r="AC4174">
        <v>0</v>
      </c>
      <c r="AD4174">
        <v>0</v>
      </c>
      <c r="AE4174">
        <v>0</v>
      </c>
      <c r="AF4174">
        <v>998</v>
      </c>
      <c r="AG4174">
        <v>0</v>
      </c>
      <c r="AH4174">
        <v>0</v>
      </c>
      <c r="AI4174">
        <v>0</v>
      </c>
      <c r="AJ4174">
        <v>0</v>
      </c>
      <c r="AK4174">
        <v>0</v>
      </c>
      <c r="AL4174">
        <v>0</v>
      </c>
      <c r="AM4174">
        <v>0</v>
      </c>
      <c r="AN4174">
        <v>0</v>
      </c>
      <c r="AO4174">
        <v>0</v>
      </c>
      <c r="AP4174">
        <v>0</v>
      </c>
      <c r="AQ4174">
        <v>0</v>
      </c>
      <c r="AR4174">
        <v>1</v>
      </c>
      <c r="AS4174">
        <v>0</v>
      </c>
      <c r="AT4174">
        <v>0</v>
      </c>
      <c r="AU4174">
        <f t="shared" si="128"/>
        <v>0</v>
      </c>
      <c r="AV4174">
        <f t="shared" si="129"/>
        <v>0</v>
      </c>
    </row>
    <row r="4175" spans="1:48" x14ac:dyDescent="0.25">
      <c r="A4175" t="s">
        <v>12605</v>
      </c>
      <c r="B4175" t="s">
        <v>12605</v>
      </c>
      <c r="C4175" t="s">
        <v>12606</v>
      </c>
      <c r="D4175" t="s">
        <v>3607</v>
      </c>
      <c r="E4175" t="s">
        <v>2310</v>
      </c>
      <c r="F4175">
        <v>8</v>
      </c>
      <c r="G4175">
        <v>8.3000000000000007</v>
      </c>
      <c r="H4175" t="s">
        <v>2323</v>
      </c>
      <c r="I4175" s="21">
        <v>42045.537233796298</v>
      </c>
      <c r="J4175">
        <v>2015</v>
      </c>
      <c r="K4175" s="21">
        <v>42114.638148148202</v>
      </c>
      <c r="L4175">
        <v>2015</v>
      </c>
      <c r="M4175" s="21">
        <v>42543.588796296302</v>
      </c>
      <c r="N4175">
        <v>2016</v>
      </c>
      <c r="Q4175" s="262">
        <v>50000</v>
      </c>
      <c r="R4175" s="262">
        <v>65000</v>
      </c>
      <c r="S4175" t="s">
        <v>114</v>
      </c>
      <c r="T4175" t="s">
        <v>114</v>
      </c>
      <c r="V4175">
        <v>0</v>
      </c>
      <c r="W4175">
        <v>655</v>
      </c>
      <c r="X4175">
        <v>0</v>
      </c>
      <c r="Y4175">
        <v>0</v>
      </c>
      <c r="Z4175">
        <v>0</v>
      </c>
      <c r="AA4175">
        <v>0</v>
      </c>
      <c r="AB4175">
        <v>0</v>
      </c>
      <c r="AC4175">
        <v>655</v>
      </c>
      <c r="AD4175">
        <v>0</v>
      </c>
      <c r="AE4175">
        <v>0</v>
      </c>
      <c r="AF4175">
        <v>0</v>
      </c>
      <c r="AG4175">
        <v>0</v>
      </c>
      <c r="AH4175">
        <v>0</v>
      </c>
      <c r="AI4175">
        <v>0</v>
      </c>
      <c r="AJ4175">
        <v>0</v>
      </c>
      <c r="AK4175">
        <v>0</v>
      </c>
      <c r="AL4175">
        <v>0</v>
      </c>
      <c r="AM4175">
        <v>0</v>
      </c>
      <c r="AN4175">
        <v>0</v>
      </c>
      <c r="AO4175">
        <v>0</v>
      </c>
      <c r="AP4175">
        <v>0</v>
      </c>
      <c r="AQ4175">
        <v>0</v>
      </c>
      <c r="AR4175">
        <v>0</v>
      </c>
      <c r="AS4175">
        <v>0</v>
      </c>
      <c r="AT4175">
        <v>0</v>
      </c>
      <c r="AU4175">
        <f t="shared" si="128"/>
        <v>0</v>
      </c>
      <c r="AV4175">
        <f t="shared" si="129"/>
        <v>0</v>
      </c>
    </row>
    <row r="4176" spans="1:48" x14ac:dyDescent="0.25">
      <c r="A4176" t="s">
        <v>12607</v>
      </c>
      <c r="B4176" t="s">
        <v>12607</v>
      </c>
      <c r="C4176" t="s">
        <v>12608</v>
      </c>
      <c r="D4176" t="s">
        <v>12609</v>
      </c>
      <c r="E4176" t="s">
        <v>2310</v>
      </c>
      <c r="F4176">
        <v>9</v>
      </c>
      <c r="G4176">
        <v>9.1</v>
      </c>
      <c r="H4176" t="s">
        <v>2323</v>
      </c>
      <c r="I4176" s="21">
        <v>42045.6094675926</v>
      </c>
      <c r="J4176">
        <v>2015</v>
      </c>
      <c r="K4176" s="21">
        <v>42202.674918981502</v>
      </c>
      <c r="L4176">
        <v>2015</v>
      </c>
      <c r="M4176" s="21">
        <v>42465.380335648202</v>
      </c>
      <c r="N4176">
        <v>2016</v>
      </c>
      <c r="Q4176" s="262">
        <v>200000</v>
      </c>
      <c r="R4176" s="262">
        <v>10000</v>
      </c>
      <c r="S4176" t="s">
        <v>114</v>
      </c>
      <c r="T4176" t="s">
        <v>114</v>
      </c>
      <c r="V4176">
        <v>0</v>
      </c>
      <c r="W4176">
        <v>221</v>
      </c>
      <c r="X4176">
        <v>0</v>
      </c>
      <c r="Y4176">
        <v>0</v>
      </c>
      <c r="Z4176">
        <v>0</v>
      </c>
      <c r="AA4176">
        <v>0</v>
      </c>
      <c r="AB4176">
        <v>0</v>
      </c>
      <c r="AC4176">
        <v>0</v>
      </c>
      <c r="AD4176">
        <v>0</v>
      </c>
      <c r="AE4176">
        <v>0</v>
      </c>
      <c r="AF4176">
        <v>0</v>
      </c>
      <c r="AG4176">
        <v>0</v>
      </c>
      <c r="AH4176">
        <v>0</v>
      </c>
      <c r="AI4176">
        <v>0</v>
      </c>
      <c r="AJ4176">
        <v>0</v>
      </c>
      <c r="AK4176">
        <v>0</v>
      </c>
      <c r="AL4176">
        <v>0</v>
      </c>
      <c r="AM4176">
        <v>221</v>
      </c>
      <c r="AN4176">
        <v>0</v>
      </c>
      <c r="AO4176">
        <v>0</v>
      </c>
      <c r="AP4176">
        <v>0</v>
      </c>
      <c r="AQ4176">
        <v>0</v>
      </c>
      <c r="AR4176">
        <v>0</v>
      </c>
      <c r="AS4176">
        <v>0</v>
      </c>
      <c r="AT4176">
        <v>0</v>
      </c>
      <c r="AU4176">
        <f t="shared" si="128"/>
        <v>0</v>
      </c>
      <c r="AV4176">
        <f t="shared" si="129"/>
        <v>221</v>
      </c>
    </row>
    <row r="4177" spans="1:48" x14ac:dyDescent="0.25">
      <c r="A4177" t="s">
        <v>12610</v>
      </c>
      <c r="B4177" t="s">
        <v>12610</v>
      </c>
      <c r="C4177" t="s">
        <v>12611</v>
      </c>
      <c r="D4177" t="s">
        <v>12612</v>
      </c>
      <c r="E4177" t="s">
        <v>2310</v>
      </c>
      <c r="F4177">
        <v>8</v>
      </c>
      <c r="G4177">
        <v>8.1</v>
      </c>
      <c r="H4177" t="s">
        <v>2323</v>
      </c>
      <c r="I4177" s="21">
        <v>42047.694131944401</v>
      </c>
      <c r="J4177">
        <v>2015</v>
      </c>
      <c r="K4177" s="21">
        <v>42087.705937500003</v>
      </c>
      <c r="L4177">
        <v>2015</v>
      </c>
      <c r="M4177" s="21">
        <v>42723.473032407397</v>
      </c>
      <c r="N4177">
        <v>2016</v>
      </c>
      <c r="Q4177" s="262">
        <v>3200000</v>
      </c>
      <c r="R4177" s="262">
        <v>832000</v>
      </c>
      <c r="S4177" t="s">
        <v>114</v>
      </c>
      <c r="T4177" t="s">
        <v>114</v>
      </c>
      <c r="V4177">
        <v>0</v>
      </c>
      <c r="W4177">
        <v>6340</v>
      </c>
      <c r="X4177">
        <v>1</v>
      </c>
      <c r="Y4177">
        <v>0</v>
      </c>
      <c r="Z4177">
        <v>0</v>
      </c>
      <c r="AA4177">
        <v>0</v>
      </c>
      <c r="AB4177">
        <v>0</v>
      </c>
      <c r="AC4177">
        <v>6340</v>
      </c>
      <c r="AD4177">
        <v>0</v>
      </c>
      <c r="AE4177">
        <v>0</v>
      </c>
      <c r="AF4177">
        <v>0</v>
      </c>
      <c r="AG4177">
        <v>0</v>
      </c>
      <c r="AH4177">
        <v>0</v>
      </c>
      <c r="AI4177">
        <v>0</v>
      </c>
      <c r="AJ4177">
        <v>0</v>
      </c>
      <c r="AK4177">
        <v>0</v>
      </c>
      <c r="AL4177">
        <v>0</v>
      </c>
      <c r="AM4177">
        <v>0</v>
      </c>
      <c r="AN4177">
        <v>0</v>
      </c>
      <c r="AO4177">
        <v>1</v>
      </c>
      <c r="AP4177">
        <v>0</v>
      </c>
      <c r="AQ4177">
        <v>0</v>
      </c>
      <c r="AR4177">
        <v>0</v>
      </c>
      <c r="AS4177">
        <v>0</v>
      </c>
      <c r="AT4177">
        <v>0</v>
      </c>
      <c r="AU4177">
        <f t="shared" si="128"/>
        <v>1</v>
      </c>
      <c r="AV4177">
        <f t="shared" si="129"/>
        <v>0</v>
      </c>
    </row>
    <row r="4178" spans="1:48" x14ac:dyDescent="0.25">
      <c r="A4178" t="s">
        <v>12613</v>
      </c>
      <c r="B4178" t="s">
        <v>12613</v>
      </c>
      <c r="C4178" t="s">
        <v>12614</v>
      </c>
      <c r="D4178" t="s">
        <v>12615</v>
      </c>
      <c r="E4178" t="s">
        <v>2310</v>
      </c>
      <c r="F4178">
        <v>10</v>
      </c>
      <c r="G4178">
        <v>10.1</v>
      </c>
      <c r="H4178" t="s">
        <v>2323</v>
      </c>
      <c r="I4178" s="21">
        <v>42048.645532407398</v>
      </c>
      <c r="J4178">
        <v>2015</v>
      </c>
      <c r="K4178" s="21">
        <v>42072.620347222197</v>
      </c>
      <c r="L4178">
        <v>2015</v>
      </c>
      <c r="M4178" s="21">
        <v>42676.636643518497</v>
      </c>
      <c r="N4178">
        <v>2016</v>
      </c>
      <c r="Q4178" s="262">
        <v>300000</v>
      </c>
      <c r="R4178" s="262">
        <v>373000</v>
      </c>
      <c r="S4178" t="s">
        <v>114</v>
      </c>
      <c r="T4178" t="s">
        <v>114</v>
      </c>
      <c r="V4178">
        <v>3261</v>
      </c>
      <c r="W4178">
        <v>773</v>
      </c>
      <c r="X4178">
        <v>0</v>
      </c>
      <c r="Y4178">
        <v>0</v>
      </c>
      <c r="Z4178">
        <v>0</v>
      </c>
      <c r="AA4178">
        <v>0</v>
      </c>
      <c r="AB4178">
        <v>0</v>
      </c>
      <c r="AC4178">
        <v>773</v>
      </c>
      <c r="AD4178">
        <v>0</v>
      </c>
      <c r="AE4178">
        <v>0</v>
      </c>
      <c r="AF4178">
        <v>0</v>
      </c>
      <c r="AG4178">
        <v>0</v>
      </c>
      <c r="AH4178">
        <v>0</v>
      </c>
      <c r="AI4178">
        <v>0</v>
      </c>
      <c r="AJ4178">
        <v>0</v>
      </c>
      <c r="AK4178">
        <v>0</v>
      </c>
      <c r="AL4178">
        <v>0</v>
      </c>
      <c r="AM4178">
        <v>0</v>
      </c>
      <c r="AN4178">
        <v>0</v>
      </c>
      <c r="AO4178">
        <v>0</v>
      </c>
      <c r="AP4178">
        <v>0</v>
      </c>
      <c r="AQ4178">
        <v>0</v>
      </c>
      <c r="AR4178">
        <v>0</v>
      </c>
      <c r="AS4178">
        <v>0</v>
      </c>
      <c r="AT4178">
        <v>0</v>
      </c>
      <c r="AU4178">
        <f t="shared" si="128"/>
        <v>0</v>
      </c>
      <c r="AV4178">
        <f t="shared" si="129"/>
        <v>0</v>
      </c>
    </row>
    <row r="4179" spans="1:48" x14ac:dyDescent="0.25">
      <c r="A4179" t="s">
        <v>12616</v>
      </c>
      <c r="B4179" t="s">
        <v>12616</v>
      </c>
      <c r="C4179" t="s">
        <v>12617</v>
      </c>
      <c r="D4179" t="s">
        <v>12618</v>
      </c>
      <c r="E4179" t="s">
        <v>2310</v>
      </c>
      <c r="F4179">
        <v>15</v>
      </c>
      <c r="G4179">
        <v>15.1</v>
      </c>
      <c r="H4179" t="s">
        <v>2022</v>
      </c>
      <c r="I4179" s="21">
        <v>42052.352719907401</v>
      </c>
      <c r="J4179">
        <v>2015</v>
      </c>
      <c r="K4179" s="21">
        <v>42122.5463310185</v>
      </c>
      <c r="L4179">
        <v>2015</v>
      </c>
      <c r="M4179" s="21">
        <v>42725.4383564815</v>
      </c>
      <c r="N4179">
        <v>2016</v>
      </c>
      <c r="Q4179" s="262">
        <v>2500000</v>
      </c>
      <c r="R4179" s="262">
        <v>1159000</v>
      </c>
      <c r="S4179" t="s">
        <v>114</v>
      </c>
      <c r="T4179" t="s">
        <v>114</v>
      </c>
      <c r="V4179">
        <v>0</v>
      </c>
      <c r="W4179">
        <v>8741</v>
      </c>
      <c r="X4179">
        <v>2</v>
      </c>
      <c r="Y4179">
        <v>0</v>
      </c>
      <c r="Z4179">
        <v>0</v>
      </c>
      <c r="AA4179">
        <v>0</v>
      </c>
      <c r="AB4179">
        <v>0</v>
      </c>
      <c r="AC4179">
        <v>7751</v>
      </c>
      <c r="AD4179">
        <v>0</v>
      </c>
      <c r="AE4179">
        <v>0</v>
      </c>
      <c r="AF4179">
        <v>990</v>
      </c>
      <c r="AG4179">
        <v>0</v>
      </c>
      <c r="AH4179">
        <v>0</v>
      </c>
      <c r="AI4179">
        <v>0</v>
      </c>
      <c r="AJ4179">
        <v>0</v>
      </c>
      <c r="AK4179">
        <v>0</v>
      </c>
      <c r="AL4179">
        <v>0</v>
      </c>
      <c r="AM4179">
        <v>0</v>
      </c>
      <c r="AN4179">
        <v>0</v>
      </c>
      <c r="AO4179">
        <v>1</v>
      </c>
      <c r="AP4179">
        <v>0</v>
      </c>
      <c r="AQ4179">
        <v>0</v>
      </c>
      <c r="AR4179">
        <v>1</v>
      </c>
      <c r="AS4179">
        <v>0</v>
      </c>
      <c r="AT4179">
        <v>0</v>
      </c>
      <c r="AU4179">
        <f t="shared" si="128"/>
        <v>1</v>
      </c>
      <c r="AV4179">
        <f t="shared" si="129"/>
        <v>0</v>
      </c>
    </row>
    <row r="4180" spans="1:48" x14ac:dyDescent="0.25">
      <c r="A4180" t="s">
        <v>12619</v>
      </c>
      <c r="B4180" t="s">
        <v>12619</v>
      </c>
      <c r="C4180" t="s">
        <v>12620</v>
      </c>
      <c r="D4180" t="s">
        <v>12621</v>
      </c>
      <c r="E4180" t="s">
        <v>2310</v>
      </c>
      <c r="F4180">
        <v>7</v>
      </c>
      <c r="G4180">
        <v>7.1</v>
      </c>
      <c r="H4180" t="s">
        <v>2017</v>
      </c>
      <c r="I4180" s="21">
        <v>42052.476134259297</v>
      </c>
      <c r="J4180">
        <v>2015</v>
      </c>
      <c r="K4180" s="21">
        <v>42117.361597222203</v>
      </c>
      <c r="L4180">
        <v>2015</v>
      </c>
      <c r="M4180" s="21">
        <v>42296.440694444398</v>
      </c>
      <c r="N4180">
        <v>2015</v>
      </c>
      <c r="Q4180" s="262">
        <v>220000</v>
      </c>
      <c r="R4180" s="262">
        <v>243000</v>
      </c>
      <c r="S4180" t="s">
        <v>114</v>
      </c>
      <c r="T4180" t="s">
        <v>114</v>
      </c>
      <c r="V4180">
        <v>0</v>
      </c>
      <c r="W4180">
        <v>3360</v>
      </c>
      <c r="X4180">
        <v>0</v>
      </c>
      <c r="Y4180">
        <v>0</v>
      </c>
      <c r="Z4180">
        <v>0</v>
      </c>
      <c r="AA4180">
        <v>0</v>
      </c>
      <c r="AB4180">
        <v>0</v>
      </c>
      <c r="AC4180">
        <v>0</v>
      </c>
      <c r="AD4180">
        <v>0</v>
      </c>
      <c r="AE4180">
        <v>0</v>
      </c>
      <c r="AF4180">
        <v>0</v>
      </c>
      <c r="AG4180">
        <v>0</v>
      </c>
      <c r="AH4180">
        <v>0</v>
      </c>
      <c r="AI4180">
        <v>0</v>
      </c>
      <c r="AJ4180">
        <v>0</v>
      </c>
      <c r="AK4180">
        <v>0</v>
      </c>
      <c r="AL4180">
        <v>3360</v>
      </c>
      <c r="AM4180">
        <v>0</v>
      </c>
      <c r="AN4180">
        <v>0</v>
      </c>
      <c r="AO4180">
        <v>0</v>
      </c>
      <c r="AP4180">
        <v>0</v>
      </c>
      <c r="AQ4180">
        <v>0</v>
      </c>
      <c r="AR4180">
        <v>0</v>
      </c>
      <c r="AS4180">
        <v>0</v>
      </c>
      <c r="AT4180">
        <v>0</v>
      </c>
      <c r="AU4180">
        <f t="shared" si="128"/>
        <v>0</v>
      </c>
      <c r="AV4180">
        <f t="shared" si="129"/>
        <v>3360</v>
      </c>
    </row>
    <row r="4181" spans="1:48" x14ac:dyDescent="0.25">
      <c r="A4181" t="s">
        <v>12622</v>
      </c>
      <c r="B4181" t="s">
        <v>12622</v>
      </c>
      <c r="C4181" t="s">
        <v>12623</v>
      </c>
      <c r="D4181" t="s">
        <v>12624</v>
      </c>
      <c r="E4181" t="s">
        <v>2310</v>
      </c>
      <c r="F4181">
        <v>10</v>
      </c>
      <c r="G4181">
        <v>10.1</v>
      </c>
      <c r="H4181" t="s">
        <v>2323</v>
      </c>
      <c r="I4181" s="21">
        <v>42052.659571759301</v>
      </c>
      <c r="J4181">
        <v>2015</v>
      </c>
      <c r="K4181" s="21">
        <v>42082.4207060185</v>
      </c>
      <c r="L4181">
        <v>2015</v>
      </c>
      <c r="M4181" s="21">
        <v>42621.489861111098</v>
      </c>
      <c r="N4181">
        <v>2016</v>
      </c>
      <c r="Q4181" s="262">
        <v>255000</v>
      </c>
      <c r="R4181" s="262">
        <v>96000</v>
      </c>
      <c r="S4181" t="s">
        <v>114</v>
      </c>
      <c r="T4181" t="s">
        <v>114</v>
      </c>
      <c r="V4181">
        <v>0</v>
      </c>
      <c r="W4181">
        <v>1132</v>
      </c>
      <c r="X4181">
        <v>0</v>
      </c>
      <c r="Y4181">
        <v>0</v>
      </c>
      <c r="Z4181">
        <v>0</v>
      </c>
      <c r="AA4181">
        <v>0</v>
      </c>
      <c r="AB4181">
        <v>0</v>
      </c>
      <c r="AC4181">
        <v>1132</v>
      </c>
      <c r="AD4181">
        <v>0</v>
      </c>
      <c r="AE4181">
        <v>0</v>
      </c>
      <c r="AF4181">
        <v>0</v>
      </c>
      <c r="AG4181">
        <v>0</v>
      </c>
      <c r="AH4181">
        <v>0</v>
      </c>
      <c r="AI4181">
        <v>0</v>
      </c>
      <c r="AJ4181">
        <v>0</v>
      </c>
      <c r="AK4181">
        <v>0</v>
      </c>
      <c r="AL4181">
        <v>0</v>
      </c>
      <c r="AM4181">
        <v>0</v>
      </c>
      <c r="AN4181">
        <v>0</v>
      </c>
      <c r="AO4181">
        <v>0</v>
      </c>
      <c r="AP4181">
        <v>0</v>
      </c>
      <c r="AQ4181">
        <v>0</v>
      </c>
      <c r="AR4181">
        <v>0</v>
      </c>
      <c r="AS4181">
        <v>0</v>
      </c>
      <c r="AT4181">
        <v>0</v>
      </c>
      <c r="AU4181">
        <f t="shared" si="128"/>
        <v>0</v>
      </c>
      <c r="AV4181">
        <f t="shared" si="129"/>
        <v>0</v>
      </c>
    </row>
    <row r="4182" spans="1:48" x14ac:dyDescent="0.25">
      <c r="A4182" t="s">
        <v>12625</v>
      </c>
      <c r="B4182" t="s">
        <v>12625</v>
      </c>
      <c r="C4182" t="s">
        <v>12611</v>
      </c>
      <c r="D4182" t="s">
        <v>12626</v>
      </c>
      <c r="E4182" t="s">
        <v>2310</v>
      </c>
      <c r="F4182">
        <v>10</v>
      </c>
      <c r="G4182">
        <v>10.1</v>
      </c>
      <c r="H4182" t="s">
        <v>2323</v>
      </c>
      <c r="I4182" s="21">
        <v>42053.687418981499</v>
      </c>
      <c r="J4182">
        <v>2015</v>
      </c>
      <c r="K4182" s="21">
        <v>42073.556226851899</v>
      </c>
      <c r="L4182">
        <v>2015</v>
      </c>
      <c r="M4182" s="21">
        <v>42492.579849537004</v>
      </c>
      <c r="N4182">
        <v>2016</v>
      </c>
      <c r="Q4182" s="262">
        <v>425000</v>
      </c>
      <c r="R4182" s="262">
        <v>334000</v>
      </c>
      <c r="S4182" t="s">
        <v>114</v>
      </c>
      <c r="T4182" t="s">
        <v>114</v>
      </c>
      <c r="V4182">
        <v>0</v>
      </c>
      <c r="W4182">
        <v>3266</v>
      </c>
      <c r="X4182">
        <v>1</v>
      </c>
      <c r="Y4182">
        <v>0</v>
      </c>
      <c r="Z4182">
        <v>0</v>
      </c>
      <c r="AA4182">
        <v>0</v>
      </c>
      <c r="AB4182">
        <v>0</v>
      </c>
      <c r="AC4182">
        <v>3266</v>
      </c>
      <c r="AD4182">
        <v>0</v>
      </c>
      <c r="AE4182">
        <v>0</v>
      </c>
      <c r="AF4182">
        <v>0</v>
      </c>
      <c r="AG4182">
        <v>0</v>
      </c>
      <c r="AH4182">
        <v>0</v>
      </c>
      <c r="AI4182">
        <v>0</v>
      </c>
      <c r="AJ4182">
        <v>0</v>
      </c>
      <c r="AK4182">
        <v>0</v>
      </c>
      <c r="AL4182">
        <v>0</v>
      </c>
      <c r="AM4182">
        <v>0</v>
      </c>
      <c r="AN4182">
        <v>0</v>
      </c>
      <c r="AO4182">
        <v>1</v>
      </c>
      <c r="AP4182">
        <v>0</v>
      </c>
      <c r="AQ4182">
        <v>0</v>
      </c>
      <c r="AR4182">
        <v>0</v>
      </c>
      <c r="AS4182">
        <v>0</v>
      </c>
      <c r="AT4182">
        <v>0</v>
      </c>
      <c r="AU4182">
        <f t="shared" si="128"/>
        <v>1</v>
      </c>
      <c r="AV4182">
        <f t="shared" si="129"/>
        <v>0</v>
      </c>
    </row>
    <row r="4183" spans="1:48" x14ac:dyDescent="0.25">
      <c r="A4183" t="s">
        <v>12627</v>
      </c>
      <c r="B4183" t="s">
        <v>12627</v>
      </c>
      <c r="C4183" t="s">
        <v>12628</v>
      </c>
      <c r="D4183" t="s">
        <v>12629</v>
      </c>
      <c r="E4183" t="s">
        <v>2310</v>
      </c>
      <c r="F4183">
        <v>13</v>
      </c>
      <c r="G4183">
        <v>13.2</v>
      </c>
      <c r="H4183" t="s">
        <v>2327</v>
      </c>
      <c r="I4183" s="21">
        <v>42055.408101851899</v>
      </c>
      <c r="J4183">
        <v>2015</v>
      </c>
      <c r="K4183" s="21">
        <v>42132.741261574098</v>
      </c>
      <c r="L4183">
        <v>2015</v>
      </c>
      <c r="M4183" s="21">
        <v>42475.593217592599</v>
      </c>
      <c r="N4183">
        <v>2016</v>
      </c>
      <c r="Q4183" s="262">
        <v>90000</v>
      </c>
      <c r="R4183" s="262">
        <v>19000</v>
      </c>
      <c r="S4183" t="s">
        <v>114</v>
      </c>
      <c r="T4183" t="s">
        <v>114</v>
      </c>
      <c r="V4183">
        <v>0</v>
      </c>
      <c r="W4183">
        <v>432</v>
      </c>
      <c r="X4183">
        <v>0</v>
      </c>
      <c r="Y4183">
        <v>0</v>
      </c>
      <c r="Z4183">
        <v>0</v>
      </c>
      <c r="AA4183">
        <v>0</v>
      </c>
      <c r="AB4183">
        <v>0</v>
      </c>
      <c r="AC4183">
        <v>0</v>
      </c>
      <c r="AD4183">
        <v>0</v>
      </c>
      <c r="AE4183">
        <v>0</v>
      </c>
      <c r="AF4183">
        <v>0</v>
      </c>
      <c r="AG4183">
        <v>0</v>
      </c>
      <c r="AH4183">
        <v>0</v>
      </c>
      <c r="AI4183">
        <v>0</v>
      </c>
      <c r="AJ4183">
        <v>0</v>
      </c>
      <c r="AK4183">
        <v>432</v>
      </c>
      <c r="AL4183">
        <v>0</v>
      </c>
      <c r="AM4183">
        <v>0</v>
      </c>
      <c r="AN4183">
        <v>0</v>
      </c>
      <c r="AO4183">
        <v>0</v>
      </c>
      <c r="AP4183">
        <v>0</v>
      </c>
      <c r="AQ4183">
        <v>0</v>
      </c>
      <c r="AR4183">
        <v>0</v>
      </c>
      <c r="AS4183">
        <v>0</v>
      </c>
      <c r="AT4183">
        <v>0</v>
      </c>
      <c r="AU4183">
        <f t="shared" si="128"/>
        <v>0</v>
      </c>
      <c r="AV4183">
        <f t="shared" si="129"/>
        <v>432</v>
      </c>
    </row>
    <row r="4184" spans="1:48" x14ac:dyDescent="0.25">
      <c r="A4184" t="s">
        <v>12630</v>
      </c>
      <c r="B4184" t="s">
        <v>12630</v>
      </c>
      <c r="C4184" t="s">
        <v>12631</v>
      </c>
      <c r="D4184" t="s">
        <v>12632</v>
      </c>
      <c r="E4184" t="s">
        <v>2310</v>
      </c>
      <c r="F4184">
        <v>13</v>
      </c>
      <c r="G4184">
        <v>13.3</v>
      </c>
      <c r="H4184" t="s">
        <v>2017</v>
      </c>
      <c r="I4184" s="21">
        <v>42061.663229166697</v>
      </c>
      <c r="J4184">
        <v>2015</v>
      </c>
      <c r="K4184" s="21">
        <v>42138.3917013889</v>
      </c>
      <c r="L4184">
        <v>2015</v>
      </c>
      <c r="M4184" s="21">
        <v>42529.410208333298</v>
      </c>
      <c r="N4184">
        <v>2016</v>
      </c>
      <c r="Q4184" s="262">
        <v>1600000</v>
      </c>
      <c r="R4184" s="262">
        <v>431000</v>
      </c>
      <c r="S4184" t="s">
        <v>114</v>
      </c>
      <c r="T4184" t="s">
        <v>114</v>
      </c>
      <c r="V4184">
        <v>0</v>
      </c>
      <c r="W4184">
        <v>4850</v>
      </c>
      <c r="X4184">
        <v>0</v>
      </c>
      <c r="Y4184">
        <v>0</v>
      </c>
      <c r="Z4184">
        <v>0</v>
      </c>
      <c r="AA4184">
        <v>0</v>
      </c>
      <c r="AB4184">
        <v>0</v>
      </c>
      <c r="AC4184">
        <v>0</v>
      </c>
      <c r="AD4184">
        <v>0</v>
      </c>
      <c r="AE4184">
        <v>0</v>
      </c>
      <c r="AF4184">
        <v>0</v>
      </c>
      <c r="AG4184">
        <v>0</v>
      </c>
      <c r="AH4184">
        <v>0</v>
      </c>
      <c r="AI4184">
        <v>0</v>
      </c>
      <c r="AJ4184">
        <v>4850</v>
      </c>
      <c r="AK4184">
        <v>0</v>
      </c>
      <c r="AL4184">
        <v>0</v>
      </c>
      <c r="AM4184">
        <v>0</v>
      </c>
      <c r="AN4184">
        <v>0</v>
      </c>
      <c r="AO4184">
        <v>0</v>
      </c>
      <c r="AP4184">
        <v>0</v>
      </c>
      <c r="AQ4184">
        <v>0</v>
      </c>
      <c r="AR4184">
        <v>0</v>
      </c>
      <c r="AS4184">
        <v>0</v>
      </c>
      <c r="AT4184">
        <v>0</v>
      </c>
      <c r="AU4184">
        <f t="shared" si="128"/>
        <v>0</v>
      </c>
      <c r="AV4184">
        <f t="shared" si="129"/>
        <v>4850</v>
      </c>
    </row>
    <row r="4185" spans="1:48" x14ac:dyDescent="0.25">
      <c r="A4185" t="s">
        <v>12633</v>
      </c>
      <c r="B4185" t="s">
        <v>12633</v>
      </c>
      <c r="C4185" t="s">
        <v>12634</v>
      </c>
      <c r="D4185" t="s">
        <v>3471</v>
      </c>
      <c r="E4185" t="s">
        <v>2310</v>
      </c>
      <c r="F4185">
        <v>7</v>
      </c>
      <c r="G4185">
        <v>7.1</v>
      </c>
      <c r="H4185" t="s">
        <v>2017</v>
      </c>
      <c r="I4185" s="21">
        <v>42062.443368055603</v>
      </c>
      <c r="J4185">
        <v>2015</v>
      </c>
      <c r="K4185" s="21">
        <v>42138.465439814798</v>
      </c>
      <c r="L4185">
        <v>2015</v>
      </c>
      <c r="M4185" s="21">
        <v>42629.5941087963</v>
      </c>
      <c r="N4185">
        <v>2016</v>
      </c>
      <c r="Q4185" s="262">
        <v>75000</v>
      </c>
      <c r="R4185" s="262">
        <v>99000</v>
      </c>
      <c r="S4185" t="s">
        <v>114</v>
      </c>
      <c r="T4185" t="s">
        <v>114</v>
      </c>
      <c r="V4185">
        <v>1500</v>
      </c>
      <c r="W4185">
        <v>0</v>
      </c>
      <c r="X4185">
        <v>0</v>
      </c>
      <c r="Y4185">
        <v>0</v>
      </c>
      <c r="Z4185">
        <v>0</v>
      </c>
      <c r="AA4185">
        <v>0</v>
      </c>
      <c r="AB4185">
        <v>0</v>
      </c>
      <c r="AC4185">
        <v>0</v>
      </c>
      <c r="AD4185">
        <v>0</v>
      </c>
      <c r="AE4185">
        <v>0</v>
      </c>
      <c r="AF4185">
        <v>0</v>
      </c>
      <c r="AG4185">
        <v>0</v>
      </c>
      <c r="AH4185">
        <v>0</v>
      </c>
      <c r="AI4185">
        <v>0</v>
      </c>
      <c r="AJ4185">
        <v>0</v>
      </c>
      <c r="AK4185">
        <v>0</v>
      </c>
      <c r="AL4185">
        <v>0</v>
      </c>
      <c r="AM4185">
        <v>0</v>
      </c>
      <c r="AN4185">
        <v>0</v>
      </c>
      <c r="AO4185">
        <v>0</v>
      </c>
      <c r="AP4185">
        <v>0</v>
      </c>
      <c r="AQ4185">
        <v>0</v>
      </c>
      <c r="AR4185">
        <v>0</v>
      </c>
      <c r="AS4185">
        <v>0</v>
      </c>
      <c r="AT4185">
        <v>0</v>
      </c>
      <c r="AU4185">
        <f t="shared" ref="AU4185:AU4248" si="130">SUM(AN4185:AQ4185,AS4185)</f>
        <v>0</v>
      </c>
      <c r="AV4185">
        <f t="shared" ref="AV4185:AV4248" si="131">SUM(Y4185:AB4185,AH4185:AM4185)</f>
        <v>0</v>
      </c>
    </row>
    <row r="4186" spans="1:48" x14ac:dyDescent="0.25">
      <c r="A4186" t="s">
        <v>12635</v>
      </c>
      <c r="B4186" t="s">
        <v>12635</v>
      </c>
      <c r="C4186" t="s">
        <v>12636</v>
      </c>
      <c r="D4186" t="s">
        <v>10642</v>
      </c>
      <c r="E4186" t="s">
        <v>2310</v>
      </c>
      <c r="F4186">
        <v>8</v>
      </c>
      <c r="G4186">
        <v>8.3000000000000007</v>
      </c>
      <c r="H4186" t="s">
        <v>2323</v>
      </c>
      <c r="I4186" s="21">
        <v>42062.692048611098</v>
      </c>
      <c r="J4186">
        <v>2015</v>
      </c>
      <c r="K4186" s="21">
        <v>42114.622870370396</v>
      </c>
      <c r="L4186">
        <v>2015</v>
      </c>
      <c r="M4186" s="21">
        <v>42465.372476851902</v>
      </c>
      <c r="N4186">
        <v>2016</v>
      </c>
      <c r="Q4186" s="262">
        <v>85000</v>
      </c>
      <c r="R4186" s="262">
        <v>159000</v>
      </c>
      <c r="S4186" t="s">
        <v>114</v>
      </c>
      <c r="T4186" t="s">
        <v>114</v>
      </c>
      <c r="V4186">
        <v>0</v>
      </c>
      <c r="W4186">
        <v>1602</v>
      </c>
      <c r="X4186">
        <v>0</v>
      </c>
      <c r="Y4186">
        <v>0</v>
      </c>
      <c r="Z4186">
        <v>0</v>
      </c>
      <c r="AA4186">
        <v>0</v>
      </c>
      <c r="AB4186">
        <v>0</v>
      </c>
      <c r="AC4186">
        <v>1602</v>
      </c>
      <c r="AD4186">
        <v>0</v>
      </c>
      <c r="AE4186">
        <v>0</v>
      </c>
      <c r="AF4186">
        <v>0</v>
      </c>
      <c r="AG4186">
        <v>0</v>
      </c>
      <c r="AH4186">
        <v>0</v>
      </c>
      <c r="AI4186">
        <v>0</v>
      </c>
      <c r="AJ4186">
        <v>0</v>
      </c>
      <c r="AK4186">
        <v>0</v>
      </c>
      <c r="AL4186">
        <v>0</v>
      </c>
      <c r="AM4186">
        <v>0</v>
      </c>
      <c r="AN4186">
        <v>0</v>
      </c>
      <c r="AO4186">
        <v>0</v>
      </c>
      <c r="AP4186">
        <v>0</v>
      </c>
      <c r="AQ4186">
        <v>0</v>
      </c>
      <c r="AR4186">
        <v>0</v>
      </c>
      <c r="AS4186">
        <v>0</v>
      </c>
      <c r="AT4186">
        <v>0</v>
      </c>
      <c r="AU4186">
        <f t="shared" si="130"/>
        <v>0</v>
      </c>
      <c r="AV4186">
        <f t="shared" si="131"/>
        <v>0</v>
      </c>
    </row>
    <row r="4187" spans="1:48" x14ac:dyDescent="0.25">
      <c r="A4187" t="s">
        <v>13495</v>
      </c>
      <c r="C4187" t="s">
        <v>13496</v>
      </c>
      <c r="D4187" t="s">
        <v>11644</v>
      </c>
      <c r="E4187" t="s">
        <v>1663</v>
      </c>
      <c r="F4187">
        <v>4</v>
      </c>
      <c r="G4187">
        <v>4.3</v>
      </c>
      <c r="H4187" t="s">
        <v>2327</v>
      </c>
      <c r="I4187" s="21">
        <v>42066</v>
      </c>
      <c r="J4187">
        <v>2015</v>
      </c>
      <c r="K4187" s="21">
        <v>42073</v>
      </c>
      <c r="L4187">
        <v>2015</v>
      </c>
      <c r="M4187" s="21">
        <v>42752</v>
      </c>
      <c r="N4187">
        <v>2017</v>
      </c>
      <c r="Q4187" s="262">
        <v>0</v>
      </c>
      <c r="S4187" t="s">
        <v>114</v>
      </c>
      <c r="T4187" t="s">
        <v>114</v>
      </c>
      <c r="V4187">
        <v>0</v>
      </c>
      <c r="W4187">
        <v>0</v>
      </c>
      <c r="X4187">
        <v>0</v>
      </c>
      <c r="Y4187">
        <v>0</v>
      </c>
      <c r="Z4187">
        <v>0</v>
      </c>
      <c r="AA4187">
        <v>0</v>
      </c>
      <c r="AB4187">
        <v>0</v>
      </c>
      <c r="AC4187">
        <v>0</v>
      </c>
      <c r="AD4187">
        <v>0</v>
      </c>
      <c r="AE4187">
        <v>0</v>
      </c>
      <c r="AF4187">
        <v>0</v>
      </c>
      <c r="AG4187">
        <v>0</v>
      </c>
      <c r="AH4187">
        <v>0</v>
      </c>
      <c r="AI4187">
        <v>0</v>
      </c>
      <c r="AJ4187">
        <v>0</v>
      </c>
      <c r="AK4187">
        <v>0</v>
      </c>
      <c r="AL4187">
        <v>0</v>
      </c>
      <c r="AM4187">
        <v>0</v>
      </c>
      <c r="AN4187">
        <v>0</v>
      </c>
      <c r="AO4187">
        <v>0</v>
      </c>
      <c r="AP4187">
        <v>0</v>
      </c>
      <c r="AQ4187">
        <v>0</v>
      </c>
      <c r="AR4187">
        <v>0</v>
      </c>
      <c r="AS4187">
        <v>0</v>
      </c>
      <c r="AT4187">
        <v>0</v>
      </c>
      <c r="AU4187">
        <f t="shared" si="130"/>
        <v>0</v>
      </c>
      <c r="AV4187">
        <f t="shared" si="131"/>
        <v>0</v>
      </c>
    </row>
    <row r="4188" spans="1:48" x14ac:dyDescent="0.25">
      <c r="A4188" t="s">
        <v>12637</v>
      </c>
      <c r="B4188" t="s">
        <v>12637</v>
      </c>
      <c r="C4188" t="s">
        <v>10104</v>
      </c>
      <c r="D4188" t="s">
        <v>12638</v>
      </c>
      <c r="E4188" t="s">
        <v>2310</v>
      </c>
      <c r="F4188">
        <v>9</v>
      </c>
      <c r="G4188">
        <v>9.1</v>
      </c>
      <c r="H4188" t="s">
        <v>2323</v>
      </c>
      <c r="I4188" s="21">
        <v>42066.643969907404</v>
      </c>
      <c r="J4188">
        <v>2015</v>
      </c>
      <c r="K4188" s="21">
        <v>42104.416724536997</v>
      </c>
      <c r="L4188">
        <v>2015</v>
      </c>
      <c r="M4188" s="21">
        <v>42436.699259259301</v>
      </c>
      <c r="N4188">
        <v>2016</v>
      </c>
      <c r="Q4188" s="262">
        <v>600000</v>
      </c>
      <c r="R4188" s="262">
        <v>293000</v>
      </c>
      <c r="S4188" t="s">
        <v>114</v>
      </c>
      <c r="T4188" t="s">
        <v>114</v>
      </c>
      <c r="V4188">
        <v>0</v>
      </c>
      <c r="W4188">
        <v>2968</v>
      </c>
      <c r="X4188">
        <v>1</v>
      </c>
      <c r="Y4188">
        <v>0</v>
      </c>
      <c r="Z4188">
        <v>0</v>
      </c>
      <c r="AA4188">
        <v>0</v>
      </c>
      <c r="AB4188">
        <v>0</v>
      </c>
      <c r="AC4188">
        <v>2968</v>
      </c>
      <c r="AD4188">
        <v>0</v>
      </c>
      <c r="AE4188">
        <v>0</v>
      </c>
      <c r="AF4188">
        <v>0</v>
      </c>
      <c r="AG4188">
        <v>0</v>
      </c>
      <c r="AH4188">
        <v>0</v>
      </c>
      <c r="AI4188">
        <v>0</v>
      </c>
      <c r="AJ4188">
        <v>0</v>
      </c>
      <c r="AK4188">
        <v>0</v>
      </c>
      <c r="AL4188">
        <v>0</v>
      </c>
      <c r="AM4188">
        <v>0</v>
      </c>
      <c r="AN4188">
        <v>0</v>
      </c>
      <c r="AO4188">
        <v>1</v>
      </c>
      <c r="AP4188">
        <v>0</v>
      </c>
      <c r="AQ4188">
        <v>0</v>
      </c>
      <c r="AR4188">
        <v>0</v>
      </c>
      <c r="AS4188">
        <v>0</v>
      </c>
      <c r="AT4188">
        <v>0</v>
      </c>
      <c r="AU4188">
        <f t="shared" si="130"/>
        <v>1</v>
      </c>
      <c r="AV4188">
        <f t="shared" si="131"/>
        <v>0</v>
      </c>
    </row>
    <row r="4189" spans="1:48" x14ac:dyDescent="0.25">
      <c r="A4189" t="s">
        <v>12639</v>
      </c>
      <c r="B4189" t="s">
        <v>12639</v>
      </c>
      <c r="C4189" t="s">
        <v>12611</v>
      </c>
      <c r="D4189" t="s">
        <v>12640</v>
      </c>
      <c r="E4189" t="s">
        <v>2310</v>
      </c>
      <c r="F4189">
        <v>14</v>
      </c>
      <c r="G4189">
        <v>14.1</v>
      </c>
      <c r="H4189" t="s">
        <v>2022</v>
      </c>
      <c r="I4189" s="21">
        <v>42067.585312499999</v>
      </c>
      <c r="J4189">
        <v>2015</v>
      </c>
      <c r="K4189" s="21">
        <v>42192.683402777802</v>
      </c>
      <c r="L4189">
        <v>2015</v>
      </c>
      <c r="M4189" s="21">
        <v>42590.381527777798</v>
      </c>
      <c r="N4189">
        <v>2016</v>
      </c>
      <c r="Q4189" s="262">
        <v>1492500</v>
      </c>
      <c r="R4189" s="262">
        <v>581000</v>
      </c>
      <c r="S4189" t="s">
        <v>114</v>
      </c>
      <c r="T4189" t="s">
        <v>114</v>
      </c>
      <c r="V4189">
        <v>0</v>
      </c>
      <c r="W4189">
        <v>4998</v>
      </c>
      <c r="X4189">
        <v>1</v>
      </c>
      <c r="Y4189">
        <v>0</v>
      </c>
      <c r="Z4189">
        <v>0</v>
      </c>
      <c r="AA4189">
        <v>0</v>
      </c>
      <c r="AB4189">
        <v>0</v>
      </c>
      <c r="AC4189">
        <v>4998</v>
      </c>
      <c r="AD4189">
        <v>0</v>
      </c>
      <c r="AE4189">
        <v>0</v>
      </c>
      <c r="AF4189">
        <v>0</v>
      </c>
      <c r="AG4189">
        <v>0</v>
      </c>
      <c r="AH4189">
        <v>0</v>
      </c>
      <c r="AI4189">
        <v>0</v>
      </c>
      <c r="AJ4189">
        <v>0</v>
      </c>
      <c r="AK4189">
        <v>0</v>
      </c>
      <c r="AL4189">
        <v>0</v>
      </c>
      <c r="AM4189">
        <v>0</v>
      </c>
      <c r="AN4189">
        <v>0</v>
      </c>
      <c r="AO4189">
        <v>1</v>
      </c>
      <c r="AP4189">
        <v>0</v>
      </c>
      <c r="AQ4189">
        <v>0</v>
      </c>
      <c r="AR4189">
        <v>0</v>
      </c>
      <c r="AS4189">
        <v>0</v>
      </c>
      <c r="AT4189">
        <v>0</v>
      </c>
      <c r="AU4189">
        <f t="shared" si="130"/>
        <v>1</v>
      </c>
      <c r="AV4189">
        <f t="shared" si="131"/>
        <v>0</v>
      </c>
    </row>
    <row r="4190" spans="1:48" x14ac:dyDescent="0.25">
      <c r="A4190" t="s">
        <v>12641</v>
      </c>
      <c r="C4190" t="s">
        <v>12642</v>
      </c>
      <c r="D4190" t="s">
        <v>12643</v>
      </c>
      <c r="E4190" t="s">
        <v>1663</v>
      </c>
      <c r="F4190">
        <v>2</v>
      </c>
      <c r="G4190">
        <v>2.2999999999999998</v>
      </c>
      <c r="H4190" t="s">
        <v>2327</v>
      </c>
      <c r="I4190" s="21">
        <v>42068</v>
      </c>
      <c r="J4190">
        <v>2015</v>
      </c>
      <c r="K4190" s="21">
        <v>42104</v>
      </c>
      <c r="L4190">
        <v>2015</v>
      </c>
      <c r="M4190" s="21">
        <v>42263</v>
      </c>
      <c r="N4190">
        <v>2015</v>
      </c>
      <c r="Q4190" s="262">
        <v>20000</v>
      </c>
      <c r="S4190" t="s">
        <v>114</v>
      </c>
      <c r="T4190" t="s">
        <v>114</v>
      </c>
      <c r="V4190">
        <v>0</v>
      </c>
      <c r="W4190">
        <v>0</v>
      </c>
      <c r="X4190">
        <v>0</v>
      </c>
      <c r="Y4190">
        <v>0</v>
      </c>
      <c r="Z4190">
        <v>0</v>
      </c>
      <c r="AA4190">
        <v>0</v>
      </c>
      <c r="AB4190">
        <v>0</v>
      </c>
      <c r="AC4190">
        <v>0</v>
      </c>
      <c r="AD4190">
        <v>0</v>
      </c>
      <c r="AE4190">
        <v>0</v>
      </c>
      <c r="AF4190">
        <v>0</v>
      </c>
      <c r="AG4190">
        <v>0</v>
      </c>
      <c r="AH4190">
        <v>0</v>
      </c>
      <c r="AI4190">
        <v>0</v>
      </c>
      <c r="AJ4190">
        <v>0</v>
      </c>
      <c r="AK4190">
        <v>0</v>
      </c>
      <c r="AL4190">
        <v>0</v>
      </c>
      <c r="AM4190">
        <v>0</v>
      </c>
      <c r="AN4190">
        <v>0</v>
      </c>
      <c r="AO4190">
        <v>0</v>
      </c>
      <c r="AP4190">
        <v>0</v>
      </c>
      <c r="AQ4190">
        <v>0</v>
      </c>
      <c r="AR4190">
        <v>0</v>
      </c>
      <c r="AS4190">
        <v>0</v>
      </c>
      <c r="AT4190">
        <v>0</v>
      </c>
      <c r="AU4190">
        <f t="shared" si="130"/>
        <v>0</v>
      </c>
      <c r="AV4190">
        <f t="shared" si="131"/>
        <v>0</v>
      </c>
    </row>
    <row r="4191" spans="1:48" x14ac:dyDescent="0.25">
      <c r="A4191" t="s">
        <v>12644</v>
      </c>
      <c r="B4191" t="s">
        <v>12644</v>
      </c>
      <c r="C4191" t="s">
        <v>12645</v>
      </c>
      <c r="D4191" t="s">
        <v>12646</v>
      </c>
      <c r="E4191" t="s">
        <v>2310</v>
      </c>
      <c r="F4191">
        <v>15</v>
      </c>
      <c r="G4191">
        <v>15.1</v>
      </c>
      <c r="H4191" t="s">
        <v>2022</v>
      </c>
      <c r="I4191" s="21">
        <v>42068.495659722197</v>
      </c>
      <c r="J4191">
        <v>2015</v>
      </c>
      <c r="K4191" s="21">
        <v>42093.451886574097</v>
      </c>
      <c r="L4191">
        <v>2015</v>
      </c>
      <c r="M4191" s="21">
        <v>42265.351435185199</v>
      </c>
      <c r="N4191">
        <v>2015</v>
      </c>
      <c r="Q4191" s="262">
        <v>360000</v>
      </c>
      <c r="R4191" s="262">
        <v>259000</v>
      </c>
      <c r="S4191" t="s">
        <v>114</v>
      </c>
      <c r="T4191" t="s">
        <v>114</v>
      </c>
      <c r="V4191">
        <v>0</v>
      </c>
      <c r="W4191">
        <v>2816</v>
      </c>
      <c r="X4191">
        <v>1</v>
      </c>
      <c r="Y4191">
        <v>0</v>
      </c>
      <c r="Z4191">
        <v>0</v>
      </c>
      <c r="AA4191">
        <v>0</v>
      </c>
      <c r="AB4191">
        <v>0</v>
      </c>
      <c r="AC4191">
        <v>2816</v>
      </c>
      <c r="AD4191">
        <v>0</v>
      </c>
      <c r="AE4191">
        <v>0</v>
      </c>
      <c r="AF4191">
        <v>0</v>
      </c>
      <c r="AG4191">
        <v>0</v>
      </c>
      <c r="AH4191">
        <v>0</v>
      </c>
      <c r="AI4191">
        <v>0</v>
      </c>
      <c r="AJ4191">
        <v>0</v>
      </c>
      <c r="AK4191">
        <v>0</v>
      </c>
      <c r="AL4191">
        <v>0</v>
      </c>
      <c r="AM4191">
        <v>0</v>
      </c>
      <c r="AN4191">
        <v>0</v>
      </c>
      <c r="AO4191">
        <v>1</v>
      </c>
      <c r="AP4191">
        <v>0</v>
      </c>
      <c r="AQ4191">
        <v>0</v>
      </c>
      <c r="AR4191">
        <v>0</v>
      </c>
      <c r="AS4191">
        <v>0</v>
      </c>
      <c r="AT4191">
        <v>0</v>
      </c>
      <c r="AU4191">
        <f t="shared" si="130"/>
        <v>1</v>
      </c>
      <c r="AV4191">
        <f t="shared" si="131"/>
        <v>0</v>
      </c>
    </row>
    <row r="4192" spans="1:48" x14ac:dyDescent="0.25">
      <c r="A4192" t="s">
        <v>12647</v>
      </c>
      <c r="B4192" t="s">
        <v>12647</v>
      </c>
      <c r="C4192" t="s">
        <v>12648</v>
      </c>
      <c r="D4192" t="s">
        <v>4600</v>
      </c>
      <c r="E4192" t="s">
        <v>2310</v>
      </c>
      <c r="F4192">
        <v>9</v>
      </c>
      <c r="G4192">
        <v>9.4</v>
      </c>
      <c r="H4192" t="s">
        <v>2323</v>
      </c>
      <c r="I4192" s="21">
        <v>42068.670983796299</v>
      </c>
      <c r="J4192">
        <v>2015</v>
      </c>
      <c r="K4192" s="21">
        <v>42548.5707638889</v>
      </c>
      <c r="L4192">
        <v>2016</v>
      </c>
      <c r="M4192" s="21">
        <v>42558.549016203702</v>
      </c>
      <c r="N4192">
        <v>2016</v>
      </c>
      <c r="Q4192" s="262">
        <v>230000</v>
      </c>
      <c r="R4192" s="262">
        <v>31000</v>
      </c>
      <c r="S4192" t="s">
        <v>114</v>
      </c>
      <c r="T4192" t="s">
        <v>114</v>
      </c>
      <c r="V4192">
        <v>84</v>
      </c>
      <c r="W4192">
        <v>211</v>
      </c>
      <c r="X4192">
        <v>0</v>
      </c>
      <c r="Y4192">
        <v>0</v>
      </c>
      <c r="Z4192">
        <v>0</v>
      </c>
      <c r="AA4192">
        <v>0</v>
      </c>
      <c r="AB4192">
        <v>0</v>
      </c>
      <c r="AC4192">
        <v>211</v>
      </c>
      <c r="AD4192">
        <v>0</v>
      </c>
      <c r="AE4192">
        <v>0</v>
      </c>
      <c r="AF4192">
        <v>0</v>
      </c>
      <c r="AG4192">
        <v>0</v>
      </c>
      <c r="AH4192">
        <v>0</v>
      </c>
      <c r="AI4192">
        <v>0</v>
      </c>
      <c r="AJ4192">
        <v>0</v>
      </c>
      <c r="AK4192">
        <v>0</v>
      </c>
      <c r="AL4192">
        <v>0</v>
      </c>
      <c r="AM4192">
        <v>0</v>
      </c>
      <c r="AN4192">
        <v>0</v>
      </c>
      <c r="AO4192">
        <v>0</v>
      </c>
      <c r="AP4192">
        <v>0</v>
      </c>
      <c r="AQ4192">
        <v>0</v>
      </c>
      <c r="AR4192">
        <v>0</v>
      </c>
      <c r="AS4192">
        <v>0</v>
      </c>
      <c r="AT4192">
        <v>0</v>
      </c>
      <c r="AU4192">
        <f t="shared" si="130"/>
        <v>0</v>
      </c>
      <c r="AV4192">
        <f t="shared" si="131"/>
        <v>0</v>
      </c>
    </row>
    <row r="4193" spans="1:48" x14ac:dyDescent="0.25">
      <c r="A4193" t="s">
        <v>18195</v>
      </c>
      <c r="B4193" t="s">
        <v>18195</v>
      </c>
      <c r="C4193" t="s">
        <v>18196</v>
      </c>
      <c r="D4193" t="s">
        <v>18197</v>
      </c>
      <c r="E4193" t="s">
        <v>2310</v>
      </c>
      <c r="F4193">
        <v>15</v>
      </c>
      <c r="G4193">
        <v>15.2</v>
      </c>
      <c r="H4193" t="s">
        <v>2323</v>
      </c>
      <c r="I4193" s="21">
        <v>42073.580347222225</v>
      </c>
      <c r="J4193">
        <v>2015</v>
      </c>
      <c r="K4193" s="21">
        <v>42283.669305555559</v>
      </c>
      <c r="L4193">
        <v>2015</v>
      </c>
      <c r="M4193" s="21">
        <v>43322.452418483794</v>
      </c>
      <c r="N4193">
        <v>2018</v>
      </c>
      <c r="Q4193" s="262">
        <v>3500000</v>
      </c>
      <c r="R4193" s="262">
        <v>2276000</v>
      </c>
      <c r="S4193" t="s">
        <v>13254</v>
      </c>
      <c r="W4193">
        <v>13148</v>
      </c>
      <c r="X4193">
        <v>1</v>
      </c>
      <c r="Y4193">
        <v>0</v>
      </c>
      <c r="Z4193">
        <v>0</v>
      </c>
      <c r="AA4193">
        <v>0</v>
      </c>
      <c r="AB4193">
        <v>0</v>
      </c>
      <c r="AC4193">
        <v>13148</v>
      </c>
      <c r="AD4193">
        <v>0</v>
      </c>
      <c r="AE4193">
        <v>0</v>
      </c>
      <c r="AF4193">
        <v>0</v>
      </c>
      <c r="AG4193">
        <v>0</v>
      </c>
      <c r="AH4193">
        <v>0</v>
      </c>
      <c r="AI4193">
        <v>0</v>
      </c>
      <c r="AJ4193">
        <v>0</v>
      </c>
      <c r="AK4193">
        <v>0</v>
      </c>
      <c r="AL4193">
        <v>0</v>
      </c>
      <c r="AM4193">
        <v>0</v>
      </c>
      <c r="AN4193">
        <v>0</v>
      </c>
      <c r="AO4193">
        <v>1</v>
      </c>
      <c r="AP4193">
        <v>0</v>
      </c>
      <c r="AQ4193">
        <v>0</v>
      </c>
      <c r="AR4193">
        <v>0</v>
      </c>
      <c r="AS4193">
        <v>0</v>
      </c>
      <c r="AT4193">
        <v>0</v>
      </c>
      <c r="AU4193">
        <f t="shared" si="130"/>
        <v>1</v>
      </c>
      <c r="AV4193">
        <f t="shared" si="131"/>
        <v>0</v>
      </c>
    </row>
    <row r="4194" spans="1:48" x14ac:dyDescent="0.25">
      <c r="A4194" t="s">
        <v>9526</v>
      </c>
      <c r="B4194" t="s">
        <v>114</v>
      </c>
      <c r="C4194" t="s">
        <v>9527</v>
      </c>
      <c r="D4194" t="s">
        <v>9528</v>
      </c>
      <c r="E4194" t="s">
        <v>1663</v>
      </c>
      <c r="F4194">
        <v>2</v>
      </c>
      <c r="G4194">
        <v>2.2999999999999998</v>
      </c>
      <c r="H4194" t="s">
        <v>2327</v>
      </c>
      <c r="I4194" s="21">
        <v>42074</v>
      </c>
      <c r="J4194">
        <v>2015</v>
      </c>
      <c r="K4194" s="21">
        <v>42180</v>
      </c>
      <c r="L4194">
        <v>2015</v>
      </c>
      <c r="M4194" s="21">
        <v>42860</v>
      </c>
      <c r="N4194">
        <v>2017</v>
      </c>
      <c r="S4194" t="s">
        <v>9529</v>
      </c>
      <c r="T4194">
        <v>11594</v>
      </c>
      <c r="U4194">
        <v>9</v>
      </c>
      <c r="W4194">
        <v>-1216</v>
      </c>
      <c r="X4194">
        <v>-1</v>
      </c>
      <c r="Y4194">
        <v>0</v>
      </c>
      <c r="Z4194">
        <v>0</v>
      </c>
      <c r="AA4194">
        <v>0</v>
      </c>
      <c r="AB4194">
        <v>0</v>
      </c>
      <c r="AC4194">
        <v>0</v>
      </c>
      <c r="AD4194">
        <v>0</v>
      </c>
      <c r="AE4194">
        <v>0</v>
      </c>
      <c r="AF4194">
        <v>0</v>
      </c>
      <c r="AG4194">
        <v>-1216</v>
      </c>
      <c r="AH4194">
        <v>0</v>
      </c>
      <c r="AI4194">
        <v>0</v>
      </c>
      <c r="AJ4194">
        <v>0</v>
      </c>
      <c r="AK4194">
        <v>0</v>
      </c>
      <c r="AL4194">
        <v>0</v>
      </c>
      <c r="AM4194">
        <v>0</v>
      </c>
      <c r="AN4194">
        <v>0</v>
      </c>
      <c r="AO4194">
        <v>0</v>
      </c>
      <c r="AP4194">
        <v>0</v>
      </c>
      <c r="AQ4194">
        <v>0</v>
      </c>
      <c r="AR4194">
        <v>0</v>
      </c>
      <c r="AS4194">
        <v>-1</v>
      </c>
      <c r="AT4194">
        <v>0</v>
      </c>
      <c r="AU4194">
        <f t="shared" si="130"/>
        <v>-1</v>
      </c>
      <c r="AV4194">
        <f t="shared" si="131"/>
        <v>0</v>
      </c>
    </row>
    <row r="4195" spans="1:48" x14ac:dyDescent="0.25">
      <c r="A4195" t="s">
        <v>9526</v>
      </c>
      <c r="B4195" t="s">
        <v>114</v>
      </c>
      <c r="C4195" t="s">
        <v>9527</v>
      </c>
      <c r="D4195" t="s">
        <v>9528</v>
      </c>
      <c r="E4195" t="s">
        <v>1663</v>
      </c>
      <c r="F4195">
        <v>2</v>
      </c>
      <c r="G4195">
        <v>2.2999999999999998</v>
      </c>
      <c r="H4195" t="s">
        <v>2327</v>
      </c>
      <c r="I4195" s="21">
        <v>42074</v>
      </c>
      <c r="J4195">
        <v>2015</v>
      </c>
      <c r="K4195" s="21">
        <v>42180</v>
      </c>
      <c r="L4195">
        <v>2015</v>
      </c>
      <c r="M4195" s="21">
        <v>42860</v>
      </c>
      <c r="N4195">
        <v>2017</v>
      </c>
      <c r="S4195" t="s">
        <v>9529</v>
      </c>
      <c r="T4195">
        <v>11595</v>
      </c>
      <c r="U4195">
        <v>9</v>
      </c>
      <c r="W4195">
        <v>-1216</v>
      </c>
      <c r="X4195">
        <v>-1</v>
      </c>
      <c r="Y4195">
        <v>0</v>
      </c>
      <c r="Z4195">
        <v>0</v>
      </c>
      <c r="AA4195">
        <v>0</v>
      </c>
      <c r="AB4195">
        <v>0</v>
      </c>
      <c r="AC4195">
        <v>0</v>
      </c>
      <c r="AD4195">
        <v>0</v>
      </c>
      <c r="AE4195">
        <v>0</v>
      </c>
      <c r="AF4195">
        <v>0</v>
      </c>
      <c r="AG4195">
        <v>-1216</v>
      </c>
      <c r="AH4195">
        <v>0</v>
      </c>
      <c r="AI4195">
        <v>0</v>
      </c>
      <c r="AJ4195">
        <v>0</v>
      </c>
      <c r="AK4195">
        <v>0</v>
      </c>
      <c r="AL4195">
        <v>0</v>
      </c>
      <c r="AM4195">
        <v>0</v>
      </c>
      <c r="AN4195">
        <v>0</v>
      </c>
      <c r="AO4195">
        <v>0</v>
      </c>
      <c r="AP4195">
        <v>0</v>
      </c>
      <c r="AQ4195">
        <v>0</v>
      </c>
      <c r="AR4195">
        <v>0</v>
      </c>
      <c r="AS4195">
        <v>-1</v>
      </c>
      <c r="AT4195">
        <v>0</v>
      </c>
      <c r="AU4195">
        <f t="shared" si="130"/>
        <v>-1</v>
      </c>
      <c r="AV4195">
        <f t="shared" si="131"/>
        <v>0</v>
      </c>
    </row>
    <row r="4196" spans="1:48" x14ac:dyDescent="0.25">
      <c r="A4196" t="s">
        <v>9526</v>
      </c>
      <c r="B4196" t="s">
        <v>114</v>
      </c>
      <c r="C4196" t="s">
        <v>9527</v>
      </c>
      <c r="D4196" t="s">
        <v>9528</v>
      </c>
      <c r="E4196" t="s">
        <v>1663</v>
      </c>
      <c r="F4196">
        <v>2</v>
      </c>
      <c r="G4196">
        <v>2.2999999999999998</v>
      </c>
      <c r="H4196" t="s">
        <v>2327</v>
      </c>
      <c r="I4196" s="21">
        <v>42074</v>
      </c>
      <c r="J4196">
        <v>2015</v>
      </c>
      <c r="K4196" s="21">
        <v>42180</v>
      </c>
      <c r="L4196">
        <v>2015</v>
      </c>
      <c r="M4196" s="21">
        <v>42860</v>
      </c>
      <c r="N4196">
        <v>2017</v>
      </c>
      <c r="S4196" t="s">
        <v>9529</v>
      </c>
      <c r="T4196">
        <v>11596</v>
      </c>
      <c r="U4196">
        <v>9</v>
      </c>
      <c r="W4196">
        <v>-1216</v>
      </c>
      <c r="X4196">
        <v>-1</v>
      </c>
      <c r="Y4196">
        <v>0</v>
      </c>
      <c r="Z4196">
        <v>0</v>
      </c>
      <c r="AA4196">
        <v>0</v>
      </c>
      <c r="AB4196">
        <v>0</v>
      </c>
      <c r="AC4196">
        <v>0</v>
      </c>
      <c r="AD4196">
        <v>0</v>
      </c>
      <c r="AE4196">
        <v>0</v>
      </c>
      <c r="AF4196">
        <v>0</v>
      </c>
      <c r="AG4196">
        <v>-1216</v>
      </c>
      <c r="AH4196">
        <v>0</v>
      </c>
      <c r="AI4196">
        <v>0</v>
      </c>
      <c r="AJ4196">
        <v>0</v>
      </c>
      <c r="AK4196">
        <v>0</v>
      </c>
      <c r="AL4196">
        <v>0</v>
      </c>
      <c r="AM4196">
        <v>0</v>
      </c>
      <c r="AN4196">
        <v>0</v>
      </c>
      <c r="AO4196">
        <v>0</v>
      </c>
      <c r="AP4196">
        <v>0</v>
      </c>
      <c r="AQ4196">
        <v>0</v>
      </c>
      <c r="AR4196">
        <v>0</v>
      </c>
      <c r="AS4196">
        <v>-1</v>
      </c>
      <c r="AT4196">
        <v>0</v>
      </c>
      <c r="AU4196">
        <f t="shared" si="130"/>
        <v>-1</v>
      </c>
      <c r="AV4196">
        <f t="shared" si="131"/>
        <v>0</v>
      </c>
    </row>
    <row r="4197" spans="1:48" x14ac:dyDescent="0.25">
      <c r="A4197" t="s">
        <v>9526</v>
      </c>
      <c r="B4197" t="s">
        <v>114</v>
      </c>
      <c r="C4197" t="s">
        <v>9527</v>
      </c>
      <c r="D4197" t="s">
        <v>9528</v>
      </c>
      <c r="E4197" t="s">
        <v>1663</v>
      </c>
      <c r="F4197">
        <v>2</v>
      </c>
      <c r="G4197">
        <v>2.2999999999999998</v>
      </c>
      <c r="H4197" t="s">
        <v>2327</v>
      </c>
      <c r="I4197" s="21">
        <v>42074</v>
      </c>
      <c r="J4197">
        <v>2015</v>
      </c>
      <c r="K4197" s="21">
        <v>42180</v>
      </c>
      <c r="L4197">
        <v>2015</v>
      </c>
      <c r="M4197" s="21">
        <v>42860</v>
      </c>
      <c r="N4197">
        <v>2017</v>
      </c>
      <c r="S4197" t="s">
        <v>9529</v>
      </c>
      <c r="T4197">
        <v>11597</v>
      </c>
      <c r="U4197">
        <v>9</v>
      </c>
      <c r="W4197">
        <v>-1216</v>
      </c>
      <c r="X4197">
        <v>-1</v>
      </c>
      <c r="Y4197">
        <v>0</v>
      </c>
      <c r="Z4197">
        <v>0</v>
      </c>
      <c r="AA4197">
        <v>0</v>
      </c>
      <c r="AB4197">
        <v>0</v>
      </c>
      <c r="AC4197">
        <v>0</v>
      </c>
      <c r="AD4197">
        <v>0</v>
      </c>
      <c r="AE4197">
        <v>0</v>
      </c>
      <c r="AF4197">
        <v>0</v>
      </c>
      <c r="AG4197">
        <v>-1216</v>
      </c>
      <c r="AH4197">
        <v>0</v>
      </c>
      <c r="AI4197">
        <v>0</v>
      </c>
      <c r="AJ4197">
        <v>0</v>
      </c>
      <c r="AK4197">
        <v>0</v>
      </c>
      <c r="AL4197">
        <v>0</v>
      </c>
      <c r="AM4197">
        <v>0</v>
      </c>
      <c r="AN4197">
        <v>0</v>
      </c>
      <c r="AO4197">
        <v>0</v>
      </c>
      <c r="AP4197">
        <v>0</v>
      </c>
      <c r="AQ4197">
        <v>0</v>
      </c>
      <c r="AR4197">
        <v>0</v>
      </c>
      <c r="AS4197">
        <v>-1</v>
      </c>
      <c r="AT4197">
        <v>0</v>
      </c>
      <c r="AU4197">
        <f t="shared" si="130"/>
        <v>-1</v>
      </c>
      <c r="AV4197">
        <f t="shared" si="131"/>
        <v>0</v>
      </c>
    </row>
    <row r="4198" spans="1:48" x14ac:dyDescent="0.25">
      <c r="A4198" t="s">
        <v>9526</v>
      </c>
      <c r="B4198" t="s">
        <v>114</v>
      </c>
      <c r="C4198" t="s">
        <v>9527</v>
      </c>
      <c r="D4198" t="s">
        <v>9528</v>
      </c>
      <c r="E4198" t="s">
        <v>1663</v>
      </c>
      <c r="F4198">
        <v>2</v>
      </c>
      <c r="G4198">
        <v>2.2999999999999998</v>
      </c>
      <c r="H4198" t="s">
        <v>2327</v>
      </c>
      <c r="I4198" s="21">
        <v>42074</v>
      </c>
      <c r="J4198">
        <v>2015</v>
      </c>
      <c r="K4198" s="21">
        <v>42180</v>
      </c>
      <c r="L4198">
        <v>2015</v>
      </c>
      <c r="M4198" s="21">
        <v>42860</v>
      </c>
      <c r="N4198">
        <v>2017</v>
      </c>
      <c r="S4198" t="s">
        <v>9529</v>
      </c>
      <c r="T4198">
        <v>11598</v>
      </c>
      <c r="U4198">
        <v>9</v>
      </c>
      <c r="W4198">
        <v>-1216</v>
      </c>
      <c r="X4198">
        <v>-1</v>
      </c>
      <c r="Y4198">
        <v>0</v>
      </c>
      <c r="Z4198">
        <v>0</v>
      </c>
      <c r="AA4198">
        <v>0</v>
      </c>
      <c r="AB4198">
        <v>0</v>
      </c>
      <c r="AC4198">
        <v>0</v>
      </c>
      <c r="AD4198">
        <v>0</v>
      </c>
      <c r="AE4198">
        <v>0</v>
      </c>
      <c r="AF4198">
        <v>0</v>
      </c>
      <c r="AG4198">
        <v>-1216</v>
      </c>
      <c r="AH4198">
        <v>0</v>
      </c>
      <c r="AI4198">
        <v>0</v>
      </c>
      <c r="AJ4198">
        <v>0</v>
      </c>
      <c r="AK4198">
        <v>0</v>
      </c>
      <c r="AL4198">
        <v>0</v>
      </c>
      <c r="AM4198">
        <v>0</v>
      </c>
      <c r="AN4198">
        <v>0</v>
      </c>
      <c r="AO4198">
        <v>0</v>
      </c>
      <c r="AP4198">
        <v>0</v>
      </c>
      <c r="AQ4198">
        <v>0</v>
      </c>
      <c r="AR4198">
        <v>0</v>
      </c>
      <c r="AS4198">
        <v>-1</v>
      </c>
      <c r="AT4198">
        <v>0</v>
      </c>
      <c r="AU4198">
        <f t="shared" si="130"/>
        <v>-1</v>
      </c>
      <c r="AV4198">
        <f t="shared" si="131"/>
        <v>0</v>
      </c>
    </row>
    <row r="4199" spans="1:48" x14ac:dyDescent="0.25">
      <c r="A4199" t="s">
        <v>9526</v>
      </c>
      <c r="B4199" t="s">
        <v>114</v>
      </c>
      <c r="C4199" t="s">
        <v>9527</v>
      </c>
      <c r="D4199" t="s">
        <v>9528</v>
      </c>
      <c r="E4199" t="s">
        <v>1663</v>
      </c>
      <c r="F4199">
        <v>2</v>
      </c>
      <c r="G4199">
        <v>2.2999999999999998</v>
      </c>
      <c r="H4199" t="s">
        <v>2327</v>
      </c>
      <c r="I4199" s="21">
        <v>42074</v>
      </c>
      <c r="J4199">
        <v>2015</v>
      </c>
      <c r="K4199" s="21">
        <v>42180</v>
      </c>
      <c r="L4199">
        <v>2015</v>
      </c>
      <c r="M4199" s="21">
        <v>42860</v>
      </c>
      <c r="N4199">
        <v>2017</v>
      </c>
      <c r="S4199" t="s">
        <v>9529</v>
      </c>
      <c r="T4199">
        <v>11599</v>
      </c>
      <c r="U4199">
        <v>7</v>
      </c>
      <c r="W4199">
        <v>-2440</v>
      </c>
      <c r="X4199">
        <v>-8</v>
      </c>
      <c r="Y4199">
        <v>0</v>
      </c>
      <c r="Z4199">
        <v>0</v>
      </c>
      <c r="AA4199">
        <v>0</v>
      </c>
      <c r="AB4199">
        <v>0</v>
      </c>
      <c r="AC4199">
        <v>0</v>
      </c>
      <c r="AD4199">
        <v>0</v>
      </c>
      <c r="AE4199">
        <v>-2440</v>
      </c>
      <c r="AF4199">
        <v>0</v>
      </c>
      <c r="AG4199">
        <v>0</v>
      </c>
      <c r="AH4199">
        <v>0</v>
      </c>
      <c r="AI4199">
        <v>0</v>
      </c>
      <c r="AJ4199">
        <v>0</v>
      </c>
      <c r="AK4199">
        <v>0</v>
      </c>
      <c r="AL4199">
        <v>0</v>
      </c>
      <c r="AM4199">
        <v>0</v>
      </c>
      <c r="AN4199">
        <v>0</v>
      </c>
      <c r="AO4199">
        <v>0</v>
      </c>
      <c r="AP4199">
        <v>0</v>
      </c>
      <c r="AQ4199">
        <v>-8</v>
      </c>
      <c r="AR4199">
        <v>0</v>
      </c>
      <c r="AS4199">
        <v>0</v>
      </c>
      <c r="AT4199">
        <v>0</v>
      </c>
      <c r="AU4199">
        <f t="shared" si="130"/>
        <v>-8</v>
      </c>
      <c r="AV4199">
        <f t="shared" si="131"/>
        <v>0</v>
      </c>
    </row>
    <row r="4200" spans="1:48" x14ac:dyDescent="0.25">
      <c r="A4200" t="s">
        <v>9526</v>
      </c>
      <c r="B4200" t="s">
        <v>114</v>
      </c>
      <c r="C4200" t="s">
        <v>9527</v>
      </c>
      <c r="D4200" t="s">
        <v>12176</v>
      </c>
      <c r="E4200" t="s">
        <v>1663</v>
      </c>
      <c r="F4200">
        <v>2</v>
      </c>
      <c r="G4200">
        <v>2.2999999999999998</v>
      </c>
      <c r="H4200" t="s">
        <v>2327</v>
      </c>
      <c r="I4200" s="21">
        <v>42074</v>
      </c>
      <c r="J4200">
        <v>2015</v>
      </c>
      <c r="K4200" s="21">
        <v>42180</v>
      </c>
      <c r="L4200">
        <v>2015</v>
      </c>
      <c r="M4200" s="21">
        <v>42860</v>
      </c>
      <c r="N4200">
        <v>2017</v>
      </c>
      <c r="S4200" t="s">
        <v>9529</v>
      </c>
      <c r="T4200">
        <v>11600</v>
      </c>
      <c r="U4200">
        <v>5</v>
      </c>
      <c r="W4200">
        <v>-1896</v>
      </c>
      <c r="X4200">
        <v>-1</v>
      </c>
      <c r="Y4200">
        <v>0</v>
      </c>
      <c r="Z4200">
        <v>0</v>
      </c>
      <c r="AA4200">
        <v>0</v>
      </c>
      <c r="AB4200">
        <v>0</v>
      </c>
      <c r="AC4200">
        <v>-1896</v>
      </c>
      <c r="AD4200">
        <v>0</v>
      </c>
      <c r="AE4200">
        <v>0</v>
      </c>
      <c r="AF4200">
        <v>0</v>
      </c>
      <c r="AG4200">
        <v>0</v>
      </c>
      <c r="AH4200">
        <v>0</v>
      </c>
      <c r="AI4200">
        <v>0</v>
      </c>
      <c r="AJ4200">
        <v>0</v>
      </c>
      <c r="AK4200">
        <v>0</v>
      </c>
      <c r="AL4200">
        <v>0</v>
      </c>
      <c r="AM4200">
        <v>0</v>
      </c>
      <c r="AN4200">
        <v>0</v>
      </c>
      <c r="AO4200">
        <v>-1</v>
      </c>
      <c r="AP4200">
        <v>0</v>
      </c>
      <c r="AQ4200">
        <v>0</v>
      </c>
      <c r="AR4200">
        <v>0</v>
      </c>
      <c r="AS4200">
        <v>0</v>
      </c>
      <c r="AT4200">
        <v>0</v>
      </c>
      <c r="AU4200">
        <f t="shared" si="130"/>
        <v>-1</v>
      </c>
      <c r="AV4200">
        <f t="shared" si="131"/>
        <v>0</v>
      </c>
    </row>
    <row r="4201" spans="1:48" x14ac:dyDescent="0.25">
      <c r="A4201" t="s">
        <v>9526</v>
      </c>
      <c r="B4201" t="s">
        <v>114</v>
      </c>
      <c r="C4201" t="s">
        <v>9527</v>
      </c>
      <c r="D4201" t="s">
        <v>12244</v>
      </c>
      <c r="E4201" t="s">
        <v>1663</v>
      </c>
      <c r="F4201">
        <v>2</v>
      </c>
      <c r="G4201">
        <v>2.2999999999999998</v>
      </c>
      <c r="H4201" t="s">
        <v>2327</v>
      </c>
      <c r="I4201" s="21">
        <v>42074</v>
      </c>
      <c r="J4201">
        <v>2015</v>
      </c>
      <c r="K4201" s="21">
        <v>42180</v>
      </c>
      <c r="L4201">
        <v>2015</v>
      </c>
      <c r="M4201" s="21">
        <v>42860</v>
      </c>
      <c r="N4201">
        <v>2017</v>
      </c>
      <c r="S4201" t="s">
        <v>9529</v>
      </c>
      <c r="T4201">
        <v>11601</v>
      </c>
      <c r="U4201">
        <v>5</v>
      </c>
      <c r="W4201">
        <v>-1318</v>
      </c>
      <c r="X4201">
        <v>-1</v>
      </c>
      <c r="Y4201">
        <v>0</v>
      </c>
      <c r="Z4201">
        <v>0</v>
      </c>
      <c r="AA4201">
        <v>0</v>
      </c>
      <c r="AB4201">
        <v>0</v>
      </c>
      <c r="AC4201">
        <v>-1318</v>
      </c>
      <c r="AD4201">
        <v>0</v>
      </c>
      <c r="AE4201">
        <v>0</v>
      </c>
      <c r="AF4201">
        <v>0</v>
      </c>
      <c r="AG4201">
        <v>0</v>
      </c>
      <c r="AH4201">
        <v>0</v>
      </c>
      <c r="AI4201">
        <v>0</v>
      </c>
      <c r="AJ4201">
        <v>0</v>
      </c>
      <c r="AK4201">
        <v>0</v>
      </c>
      <c r="AL4201">
        <v>0</v>
      </c>
      <c r="AM4201">
        <v>0</v>
      </c>
      <c r="AN4201">
        <v>0</v>
      </c>
      <c r="AO4201">
        <v>-1</v>
      </c>
      <c r="AP4201">
        <v>0</v>
      </c>
      <c r="AQ4201">
        <v>0</v>
      </c>
      <c r="AR4201">
        <v>0</v>
      </c>
      <c r="AS4201">
        <v>0</v>
      </c>
      <c r="AT4201">
        <v>0</v>
      </c>
      <c r="AU4201">
        <f t="shared" si="130"/>
        <v>-1</v>
      </c>
      <c r="AV4201">
        <f t="shared" si="131"/>
        <v>0</v>
      </c>
    </row>
    <row r="4202" spans="1:48" x14ac:dyDescent="0.25">
      <c r="A4202" t="s">
        <v>9526</v>
      </c>
      <c r="B4202" t="s">
        <v>114</v>
      </c>
      <c r="C4202" t="s">
        <v>9527</v>
      </c>
      <c r="D4202" t="s">
        <v>12244</v>
      </c>
      <c r="E4202" t="s">
        <v>1663</v>
      </c>
      <c r="F4202">
        <v>2</v>
      </c>
      <c r="G4202">
        <v>2.2999999999999998</v>
      </c>
      <c r="H4202" t="s">
        <v>2327</v>
      </c>
      <c r="I4202" s="21">
        <v>42074</v>
      </c>
      <c r="J4202">
        <v>2015</v>
      </c>
      <c r="K4202" s="21">
        <v>42180</v>
      </c>
      <c r="L4202">
        <v>2015</v>
      </c>
      <c r="M4202" s="21">
        <v>42860</v>
      </c>
      <c r="N4202">
        <v>2017</v>
      </c>
      <c r="S4202" t="s">
        <v>9529</v>
      </c>
      <c r="T4202">
        <v>11602</v>
      </c>
      <c r="U4202">
        <v>7</v>
      </c>
      <c r="W4202">
        <v>-5920</v>
      </c>
      <c r="X4202">
        <v>-21</v>
      </c>
      <c r="Y4202">
        <v>0</v>
      </c>
      <c r="Z4202">
        <v>0</v>
      </c>
      <c r="AA4202">
        <v>0</v>
      </c>
      <c r="AB4202">
        <v>0</v>
      </c>
      <c r="AC4202">
        <v>0</v>
      </c>
      <c r="AD4202">
        <v>0</v>
      </c>
      <c r="AE4202">
        <v>-5920</v>
      </c>
      <c r="AF4202">
        <v>0</v>
      </c>
      <c r="AG4202">
        <v>0</v>
      </c>
      <c r="AH4202">
        <v>0</v>
      </c>
      <c r="AI4202">
        <v>0</v>
      </c>
      <c r="AJ4202">
        <v>0</v>
      </c>
      <c r="AK4202">
        <v>0</v>
      </c>
      <c r="AL4202">
        <v>0</v>
      </c>
      <c r="AM4202">
        <v>0</v>
      </c>
      <c r="AN4202">
        <v>0</v>
      </c>
      <c r="AO4202">
        <v>0</v>
      </c>
      <c r="AP4202">
        <v>0</v>
      </c>
      <c r="AQ4202">
        <v>-21</v>
      </c>
      <c r="AR4202">
        <v>0</v>
      </c>
      <c r="AS4202">
        <v>0</v>
      </c>
      <c r="AT4202">
        <v>0</v>
      </c>
      <c r="AU4202">
        <f t="shared" si="130"/>
        <v>-21</v>
      </c>
      <c r="AV4202">
        <f t="shared" si="131"/>
        <v>0</v>
      </c>
    </row>
    <row r="4203" spans="1:48" x14ac:dyDescent="0.25">
      <c r="A4203" t="s">
        <v>9526</v>
      </c>
      <c r="B4203" t="s">
        <v>114</v>
      </c>
      <c r="C4203" t="s">
        <v>9527</v>
      </c>
      <c r="D4203" t="s">
        <v>9528</v>
      </c>
      <c r="E4203" t="s">
        <v>1663</v>
      </c>
      <c r="F4203">
        <v>2</v>
      </c>
      <c r="G4203">
        <v>2.2999999999999998</v>
      </c>
      <c r="H4203" t="s">
        <v>2327</v>
      </c>
      <c r="I4203" s="21">
        <v>42074</v>
      </c>
      <c r="J4203">
        <v>2015</v>
      </c>
      <c r="K4203" s="21">
        <v>42180</v>
      </c>
      <c r="L4203">
        <v>2015</v>
      </c>
      <c r="M4203" s="21">
        <v>42860</v>
      </c>
      <c r="N4203">
        <v>2017</v>
      </c>
      <c r="Q4203" s="262">
        <v>17500000</v>
      </c>
      <c r="S4203" t="s">
        <v>12464</v>
      </c>
      <c r="T4203" t="s">
        <v>12465</v>
      </c>
      <c r="W4203">
        <v>135958</v>
      </c>
      <c r="X4203">
        <v>134</v>
      </c>
      <c r="Y4203">
        <v>0</v>
      </c>
      <c r="Z4203">
        <v>0</v>
      </c>
      <c r="AA4203">
        <v>0</v>
      </c>
      <c r="AB4203">
        <v>0</v>
      </c>
      <c r="AC4203">
        <v>0</v>
      </c>
      <c r="AD4203">
        <v>0</v>
      </c>
      <c r="AE4203">
        <v>5234</v>
      </c>
      <c r="AF4203">
        <v>0</v>
      </c>
      <c r="AG4203">
        <v>0</v>
      </c>
      <c r="AH4203">
        <v>3041</v>
      </c>
      <c r="AI4203">
        <v>127683</v>
      </c>
      <c r="AJ4203">
        <v>0</v>
      </c>
      <c r="AK4203">
        <v>0</v>
      </c>
      <c r="AL4203">
        <v>0</v>
      </c>
      <c r="AM4203">
        <v>0</v>
      </c>
      <c r="AN4203">
        <v>0</v>
      </c>
      <c r="AO4203">
        <v>0</v>
      </c>
      <c r="AP4203">
        <v>0</v>
      </c>
      <c r="AQ4203">
        <v>4</v>
      </c>
      <c r="AR4203">
        <v>0</v>
      </c>
      <c r="AS4203">
        <v>0</v>
      </c>
      <c r="AT4203">
        <v>130</v>
      </c>
      <c r="AU4203">
        <f t="shared" si="130"/>
        <v>4</v>
      </c>
      <c r="AV4203">
        <f t="shared" si="131"/>
        <v>130724</v>
      </c>
    </row>
    <row r="4204" spans="1:48" x14ac:dyDescent="0.25">
      <c r="A4204" t="s">
        <v>12649</v>
      </c>
      <c r="C4204" t="s">
        <v>11240</v>
      </c>
      <c r="D4204" t="s">
        <v>12650</v>
      </c>
      <c r="E4204" t="s">
        <v>1663</v>
      </c>
      <c r="F4204">
        <v>6</v>
      </c>
      <c r="G4204">
        <v>6.1</v>
      </c>
      <c r="H4204" t="s">
        <v>2017</v>
      </c>
      <c r="I4204" s="21">
        <v>42075</v>
      </c>
      <c r="J4204">
        <v>2015</v>
      </c>
      <c r="K4204" s="21">
        <v>42103</v>
      </c>
      <c r="L4204">
        <v>2015</v>
      </c>
      <c r="M4204" s="21">
        <v>42475</v>
      </c>
      <c r="N4204">
        <v>2016</v>
      </c>
      <c r="Q4204" s="262">
        <v>648000</v>
      </c>
      <c r="S4204" t="s">
        <v>114</v>
      </c>
      <c r="T4204" t="s">
        <v>114</v>
      </c>
      <c r="W4204">
        <v>3803</v>
      </c>
      <c r="X4204">
        <v>1</v>
      </c>
      <c r="Y4204">
        <v>0</v>
      </c>
      <c r="Z4204">
        <v>0</v>
      </c>
      <c r="AA4204">
        <v>0</v>
      </c>
      <c r="AB4204">
        <v>0</v>
      </c>
      <c r="AC4204">
        <v>3803</v>
      </c>
      <c r="AD4204">
        <v>0</v>
      </c>
      <c r="AE4204">
        <v>0</v>
      </c>
      <c r="AF4204">
        <v>0</v>
      </c>
      <c r="AG4204">
        <v>0</v>
      </c>
      <c r="AH4204">
        <v>0</v>
      </c>
      <c r="AI4204">
        <v>0</v>
      </c>
      <c r="AJ4204">
        <v>0</v>
      </c>
      <c r="AK4204">
        <v>0</v>
      </c>
      <c r="AL4204">
        <v>0</v>
      </c>
      <c r="AM4204">
        <v>0</v>
      </c>
      <c r="AN4204">
        <v>0</v>
      </c>
      <c r="AO4204">
        <v>1</v>
      </c>
      <c r="AP4204">
        <v>0</v>
      </c>
      <c r="AQ4204">
        <v>0</v>
      </c>
      <c r="AR4204">
        <v>0</v>
      </c>
      <c r="AS4204">
        <v>0</v>
      </c>
      <c r="AT4204">
        <v>0</v>
      </c>
      <c r="AU4204">
        <f t="shared" si="130"/>
        <v>1</v>
      </c>
      <c r="AV4204">
        <f t="shared" si="131"/>
        <v>0</v>
      </c>
    </row>
    <row r="4205" spans="1:48" x14ac:dyDescent="0.25">
      <c r="A4205" t="s">
        <v>17593</v>
      </c>
      <c r="B4205" t="s">
        <v>17593</v>
      </c>
      <c r="C4205" t="s">
        <v>11116</v>
      </c>
      <c r="D4205" t="s">
        <v>7921</v>
      </c>
      <c r="E4205" t="s">
        <v>2310</v>
      </c>
      <c r="F4205">
        <v>9</v>
      </c>
      <c r="G4205">
        <v>9.3000000000000007</v>
      </c>
      <c r="H4205" t="s">
        <v>2323</v>
      </c>
      <c r="I4205" s="21">
        <v>42075.360150462962</v>
      </c>
      <c r="J4205">
        <v>2015</v>
      </c>
      <c r="K4205" s="21">
        <v>42795.418090277781</v>
      </c>
      <c r="L4205">
        <v>2017</v>
      </c>
      <c r="M4205" s="21">
        <v>42795.418090277781</v>
      </c>
      <c r="N4205">
        <v>2017</v>
      </c>
      <c r="Q4205" s="262">
        <v>2800000</v>
      </c>
      <c r="R4205" s="262">
        <v>1506000</v>
      </c>
      <c r="S4205" t="s">
        <v>13254</v>
      </c>
      <c r="W4205">
        <v>10138</v>
      </c>
      <c r="X4205">
        <v>1</v>
      </c>
      <c r="Y4205">
        <v>0</v>
      </c>
      <c r="Z4205">
        <v>0</v>
      </c>
      <c r="AA4205">
        <v>0</v>
      </c>
      <c r="AB4205">
        <v>0</v>
      </c>
      <c r="AC4205">
        <v>10138</v>
      </c>
      <c r="AD4205">
        <v>0</v>
      </c>
      <c r="AE4205">
        <v>0</v>
      </c>
      <c r="AF4205">
        <v>0</v>
      </c>
      <c r="AG4205">
        <v>0</v>
      </c>
      <c r="AH4205">
        <v>0</v>
      </c>
      <c r="AI4205">
        <v>0</v>
      </c>
      <c r="AJ4205">
        <v>0</v>
      </c>
      <c r="AK4205">
        <v>0</v>
      </c>
      <c r="AL4205">
        <v>0</v>
      </c>
      <c r="AM4205">
        <v>0</v>
      </c>
      <c r="AN4205">
        <v>0</v>
      </c>
      <c r="AO4205">
        <v>1</v>
      </c>
      <c r="AP4205">
        <v>0</v>
      </c>
      <c r="AQ4205">
        <v>0</v>
      </c>
      <c r="AR4205">
        <v>0</v>
      </c>
      <c r="AS4205">
        <v>0</v>
      </c>
      <c r="AT4205">
        <v>0</v>
      </c>
      <c r="AU4205">
        <f t="shared" si="130"/>
        <v>1</v>
      </c>
      <c r="AV4205">
        <f t="shared" si="131"/>
        <v>0</v>
      </c>
    </row>
    <row r="4206" spans="1:48" x14ac:dyDescent="0.25">
      <c r="A4206" t="s">
        <v>12651</v>
      </c>
      <c r="B4206" t="s">
        <v>12651</v>
      </c>
      <c r="C4206" t="s">
        <v>12652</v>
      </c>
      <c r="D4206" t="s">
        <v>12653</v>
      </c>
      <c r="E4206" t="s">
        <v>2310</v>
      </c>
      <c r="F4206">
        <v>9</v>
      </c>
      <c r="G4206">
        <v>9.1</v>
      </c>
      <c r="H4206" t="s">
        <v>2323</v>
      </c>
      <c r="I4206" s="21">
        <v>42075.646203703698</v>
      </c>
      <c r="J4206">
        <v>2015</v>
      </c>
      <c r="K4206" s="21">
        <v>42093.582685185203</v>
      </c>
      <c r="L4206">
        <v>2015</v>
      </c>
      <c r="M4206" s="21">
        <v>42347.341481481497</v>
      </c>
      <c r="N4206">
        <v>2015</v>
      </c>
      <c r="Q4206" s="262">
        <v>300000</v>
      </c>
      <c r="R4206" s="262">
        <v>82000</v>
      </c>
      <c r="S4206" t="s">
        <v>114</v>
      </c>
      <c r="T4206" t="s">
        <v>114</v>
      </c>
      <c r="W4206">
        <v>643</v>
      </c>
      <c r="X4206">
        <v>0</v>
      </c>
      <c r="Y4206">
        <v>0</v>
      </c>
      <c r="Z4206">
        <v>0</v>
      </c>
      <c r="AA4206">
        <v>0</v>
      </c>
      <c r="AB4206">
        <v>0</v>
      </c>
      <c r="AC4206">
        <v>643</v>
      </c>
      <c r="AD4206">
        <v>0</v>
      </c>
      <c r="AE4206">
        <v>0</v>
      </c>
      <c r="AF4206">
        <v>0</v>
      </c>
      <c r="AG4206">
        <v>0</v>
      </c>
      <c r="AH4206">
        <v>0</v>
      </c>
      <c r="AI4206">
        <v>0</v>
      </c>
      <c r="AJ4206">
        <v>0</v>
      </c>
      <c r="AK4206">
        <v>0</v>
      </c>
      <c r="AL4206">
        <v>0</v>
      </c>
      <c r="AM4206">
        <v>0</v>
      </c>
      <c r="AN4206">
        <v>0</v>
      </c>
      <c r="AO4206">
        <v>0</v>
      </c>
      <c r="AP4206">
        <v>0</v>
      </c>
      <c r="AQ4206">
        <v>0</v>
      </c>
      <c r="AR4206">
        <v>0</v>
      </c>
      <c r="AS4206">
        <v>0</v>
      </c>
      <c r="AT4206">
        <v>0</v>
      </c>
      <c r="AU4206">
        <f t="shared" si="130"/>
        <v>0</v>
      </c>
      <c r="AV4206">
        <f t="shared" si="131"/>
        <v>0</v>
      </c>
    </row>
    <row r="4207" spans="1:48" x14ac:dyDescent="0.25">
      <c r="A4207" t="s">
        <v>12654</v>
      </c>
      <c r="C4207" t="s">
        <v>12655</v>
      </c>
      <c r="D4207" t="s">
        <v>12656</v>
      </c>
      <c r="E4207" t="s">
        <v>1663</v>
      </c>
      <c r="F4207">
        <v>4</v>
      </c>
      <c r="G4207">
        <v>4.4000000000000004</v>
      </c>
      <c r="H4207" t="s">
        <v>2017</v>
      </c>
      <c r="I4207" s="21">
        <v>42076</v>
      </c>
      <c r="J4207">
        <v>2015</v>
      </c>
      <c r="K4207" s="21">
        <v>42109</v>
      </c>
      <c r="L4207">
        <v>2015</v>
      </c>
      <c r="M4207" s="21">
        <v>42569</v>
      </c>
      <c r="N4207">
        <v>2016</v>
      </c>
      <c r="Q4207" s="262">
        <v>105000</v>
      </c>
      <c r="S4207" t="s">
        <v>114</v>
      </c>
      <c r="T4207" t="s">
        <v>114</v>
      </c>
      <c r="W4207">
        <v>917</v>
      </c>
      <c r="X4207">
        <v>1</v>
      </c>
      <c r="Y4207">
        <v>0</v>
      </c>
      <c r="Z4207">
        <v>0</v>
      </c>
      <c r="AA4207">
        <v>0</v>
      </c>
      <c r="AB4207">
        <v>0</v>
      </c>
      <c r="AC4207">
        <v>0</v>
      </c>
      <c r="AD4207">
        <v>0</v>
      </c>
      <c r="AE4207">
        <v>917</v>
      </c>
      <c r="AF4207">
        <v>0</v>
      </c>
      <c r="AG4207">
        <v>0</v>
      </c>
      <c r="AH4207">
        <v>0</v>
      </c>
      <c r="AI4207">
        <v>0</v>
      </c>
      <c r="AJ4207">
        <v>0</v>
      </c>
      <c r="AK4207">
        <v>0</v>
      </c>
      <c r="AL4207">
        <v>0</v>
      </c>
      <c r="AM4207">
        <v>0</v>
      </c>
      <c r="AN4207">
        <v>0</v>
      </c>
      <c r="AO4207">
        <v>0</v>
      </c>
      <c r="AP4207">
        <v>0</v>
      </c>
      <c r="AQ4207">
        <v>1</v>
      </c>
      <c r="AR4207">
        <v>0</v>
      </c>
      <c r="AS4207">
        <v>0</v>
      </c>
      <c r="AT4207">
        <v>0</v>
      </c>
      <c r="AU4207">
        <f t="shared" si="130"/>
        <v>1</v>
      </c>
      <c r="AV4207">
        <f t="shared" si="131"/>
        <v>0</v>
      </c>
    </row>
    <row r="4208" spans="1:48" x14ac:dyDescent="0.25">
      <c r="A4208" t="s">
        <v>12657</v>
      </c>
      <c r="B4208" t="s">
        <v>12657</v>
      </c>
      <c r="C4208" t="s">
        <v>12658</v>
      </c>
      <c r="D4208" t="s">
        <v>2949</v>
      </c>
      <c r="E4208" t="s">
        <v>2310</v>
      </c>
      <c r="F4208">
        <v>13</v>
      </c>
      <c r="G4208">
        <v>13.1</v>
      </c>
      <c r="H4208" t="s">
        <v>2327</v>
      </c>
      <c r="I4208" s="21">
        <v>42080.567662037</v>
      </c>
      <c r="J4208">
        <v>2015</v>
      </c>
      <c r="K4208" s="21">
        <v>42080.572060185201</v>
      </c>
      <c r="L4208">
        <v>2015</v>
      </c>
      <c r="M4208" s="21">
        <v>42340.407905092601</v>
      </c>
      <c r="N4208">
        <v>2015</v>
      </c>
      <c r="Q4208" s="262">
        <v>25000</v>
      </c>
      <c r="R4208" s="262">
        <v>23000</v>
      </c>
      <c r="S4208" t="s">
        <v>114</v>
      </c>
      <c r="T4208" t="s">
        <v>114</v>
      </c>
      <c r="V4208">
        <v>170</v>
      </c>
      <c r="W4208">
        <v>0</v>
      </c>
      <c r="X4208">
        <v>0</v>
      </c>
      <c r="Y4208">
        <v>0</v>
      </c>
      <c r="Z4208">
        <v>0</v>
      </c>
      <c r="AA4208">
        <v>0</v>
      </c>
      <c r="AB4208">
        <v>0</v>
      </c>
      <c r="AC4208">
        <v>0</v>
      </c>
      <c r="AD4208">
        <v>0</v>
      </c>
      <c r="AE4208">
        <v>0</v>
      </c>
      <c r="AF4208">
        <v>0</v>
      </c>
      <c r="AG4208">
        <v>0</v>
      </c>
      <c r="AH4208">
        <v>0</v>
      </c>
      <c r="AI4208">
        <v>0</v>
      </c>
      <c r="AJ4208">
        <v>0</v>
      </c>
      <c r="AK4208">
        <v>0</v>
      </c>
      <c r="AL4208">
        <v>0</v>
      </c>
      <c r="AM4208">
        <v>0</v>
      </c>
      <c r="AN4208">
        <v>0</v>
      </c>
      <c r="AO4208">
        <v>0</v>
      </c>
      <c r="AP4208">
        <v>0</v>
      </c>
      <c r="AQ4208">
        <v>0</v>
      </c>
      <c r="AR4208">
        <v>0</v>
      </c>
      <c r="AS4208">
        <v>0</v>
      </c>
      <c r="AT4208">
        <v>0</v>
      </c>
      <c r="AU4208">
        <f t="shared" si="130"/>
        <v>0</v>
      </c>
      <c r="AV4208">
        <f t="shared" si="131"/>
        <v>0</v>
      </c>
    </row>
    <row r="4209" spans="1:48" x14ac:dyDescent="0.25">
      <c r="A4209" t="s">
        <v>13275</v>
      </c>
      <c r="B4209" t="s">
        <v>13275</v>
      </c>
      <c r="C4209" t="s">
        <v>10197</v>
      </c>
      <c r="D4209" t="s">
        <v>5608</v>
      </c>
      <c r="E4209" t="s">
        <v>2310</v>
      </c>
      <c r="F4209">
        <v>9</v>
      </c>
      <c r="G4209">
        <v>9.1999999999999993</v>
      </c>
      <c r="H4209" t="s">
        <v>2022</v>
      </c>
      <c r="I4209" s="21">
        <v>42080.617997685185</v>
      </c>
      <c r="J4209">
        <v>2015</v>
      </c>
      <c r="K4209" s="21">
        <v>42741.419687499998</v>
      </c>
      <c r="L4209">
        <v>2017</v>
      </c>
      <c r="M4209" s="21">
        <v>42741.419687499998</v>
      </c>
      <c r="N4209">
        <v>2017</v>
      </c>
      <c r="Q4209" s="262">
        <v>2800000</v>
      </c>
      <c r="R4209" s="262">
        <v>1255000</v>
      </c>
      <c r="S4209" t="s">
        <v>12464</v>
      </c>
      <c r="T4209">
        <v>5009</v>
      </c>
      <c r="W4209">
        <v>8641</v>
      </c>
      <c r="X4209">
        <v>1</v>
      </c>
      <c r="Y4209">
        <v>0</v>
      </c>
      <c r="Z4209">
        <v>0</v>
      </c>
      <c r="AA4209">
        <v>0</v>
      </c>
      <c r="AB4209">
        <v>0</v>
      </c>
      <c r="AC4209">
        <v>8641</v>
      </c>
      <c r="AD4209">
        <v>0</v>
      </c>
      <c r="AE4209">
        <v>0</v>
      </c>
      <c r="AF4209">
        <v>0</v>
      </c>
      <c r="AG4209">
        <v>0</v>
      </c>
      <c r="AH4209">
        <v>0</v>
      </c>
      <c r="AI4209">
        <v>0</v>
      </c>
      <c r="AJ4209">
        <v>0</v>
      </c>
      <c r="AK4209">
        <v>0</v>
      </c>
      <c r="AL4209">
        <v>0</v>
      </c>
      <c r="AM4209">
        <v>0</v>
      </c>
      <c r="AN4209">
        <v>0</v>
      </c>
      <c r="AO4209">
        <v>1</v>
      </c>
      <c r="AP4209">
        <v>0</v>
      </c>
      <c r="AQ4209">
        <v>0</v>
      </c>
      <c r="AR4209">
        <v>0</v>
      </c>
      <c r="AS4209">
        <v>0</v>
      </c>
      <c r="AT4209">
        <v>0</v>
      </c>
      <c r="AU4209">
        <f t="shared" si="130"/>
        <v>1</v>
      </c>
      <c r="AV4209">
        <f t="shared" si="131"/>
        <v>0</v>
      </c>
    </row>
    <row r="4210" spans="1:48" x14ac:dyDescent="0.25">
      <c r="A4210" t="s">
        <v>13275</v>
      </c>
      <c r="B4210" t="s">
        <v>13275</v>
      </c>
      <c r="C4210" t="s">
        <v>10197</v>
      </c>
      <c r="D4210" t="s">
        <v>5608</v>
      </c>
      <c r="E4210" t="s">
        <v>2310</v>
      </c>
      <c r="F4210">
        <v>9</v>
      </c>
      <c r="G4210">
        <v>9.1999999999999993</v>
      </c>
      <c r="H4210" t="s">
        <v>2022</v>
      </c>
      <c r="I4210" s="21">
        <v>42080.6179976852</v>
      </c>
      <c r="J4210">
        <v>2015</v>
      </c>
      <c r="K4210" s="21">
        <v>42741.419687499998</v>
      </c>
      <c r="L4210">
        <v>2017</v>
      </c>
      <c r="M4210" s="21">
        <v>42741.419687499998</v>
      </c>
      <c r="N4210">
        <v>2017</v>
      </c>
      <c r="S4210" t="s">
        <v>9529</v>
      </c>
      <c r="T4210">
        <v>5009</v>
      </c>
      <c r="U4210">
        <v>5</v>
      </c>
      <c r="W4210">
        <v>-4560</v>
      </c>
      <c r="X4210">
        <v>-1</v>
      </c>
      <c r="Y4210">
        <v>0</v>
      </c>
      <c r="Z4210">
        <v>0</v>
      </c>
      <c r="AA4210">
        <v>0</v>
      </c>
      <c r="AB4210">
        <v>0</v>
      </c>
      <c r="AC4210">
        <v>-4560</v>
      </c>
      <c r="AD4210">
        <v>0</v>
      </c>
      <c r="AE4210">
        <v>0</v>
      </c>
      <c r="AF4210">
        <v>0</v>
      </c>
      <c r="AG4210">
        <v>0</v>
      </c>
      <c r="AH4210">
        <v>0</v>
      </c>
      <c r="AI4210">
        <v>0</v>
      </c>
      <c r="AJ4210">
        <v>0</v>
      </c>
      <c r="AK4210">
        <v>0</v>
      </c>
      <c r="AL4210">
        <v>0</v>
      </c>
      <c r="AM4210">
        <v>0</v>
      </c>
      <c r="AN4210">
        <v>0</v>
      </c>
      <c r="AO4210">
        <v>-1</v>
      </c>
      <c r="AP4210">
        <v>0</v>
      </c>
      <c r="AQ4210">
        <v>0</v>
      </c>
      <c r="AR4210">
        <v>0</v>
      </c>
      <c r="AS4210">
        <v>0</v>
      </c>
      <c r="AT4210">
        <v>0</v>
      </c>
      <c r="AU4210">
        <f t="shared" si="130"/>
        <v>-1</v>
      </c>
      <c r="AV4210">
        <f t="shared" si="131"/>
        <v>0</v>
      </c>
    </row>
    <row r="4211" spans="1:48" x14ac:dyDescent="0.25">
      <c r="A4211" t="s">
        <v>12659</v>
      </c>
      <c r="C4211" t="s">
        <v>12660</v>
      </c>
      <c r="D4211" t="s">
        <v>12661</v>
      </c>
      <c r="E4211" t="s">
        <v>1663</v>
      </c>
      <c r="F4211">
        <v>2</v>
      </c>
      <c r="G4211">
        <v>2.1</v>
      </c>
      <c r="H4211" t="s">
        <v>2327</v>
      </c>
      <c r="I4211" s="21">
        <v>42081</v>
      </c>
      <c r="J4211">
        <v>2015</v>
      </c>
      <c r="K4211" s="21">
        <v>42142</v>
      </c>
      <c r="L4211">
        <v>2015</v>
      </c>
      <c r="M4211" s="21">
        <v>42433</v>
      </c>
      <c r="N4211">
        <v>2016</v>
      </c>
      <c r="Q4211" s="262">
        <v>1700000</v>
      </c>
      <c r="S4211" t="s">
        <v>114</v>
      </c>
      <c r="T4211" t="s">
        <v>114</v>
      </c>
      <c r="W4211">
        <v>4934</v>
      </c>
      <c r="X4211">
        <v>0</v>
      </c>
      <c r="Y4211">
        <v>0</v>
      </c>
      <c r="Z4211">
        <v>0</v>
      </c>
      <c r="AA4211">
        <v>0</v>
      </c>
      <c r="AB4211">
        <v>1779</v>
      </c>
      <c r="AC4211">
        <v>0</v>
      </c>
      <c r="AD4211">
        <v>0</v>
      </c>
      <c r="AE4211">
        <v>0</v>
      </c>
      <c r="AF4211">
        <v>0</v>
      </c>
      <c r="AG4211">
        <v>0</v>
      </c>
      <c r="AH4211">
        <v>2350</v>
      </c>
      <c r="AI4211">
        <v>0</v>
      </c>
      <c r="AJ4211">
        <v>0</v>
      </c>
      <c r="AK4211">
        <v>805</v>
      </c>
      <c r="AL4211">
        <v>0</v>
      </c>
      <c r="AM4211">
        <v>0</v>
      </c>
      <c r="AN4211">
        <v>0</v>
      </c>
      <c r="AO4211">
        <v>0</v>
      </c>
      <c r="AP4211">
        <v>0</v>
      </c>
      <c r="AQ4211">
        <v>0</v>
      </c>
      <c r="AR4211">
        <v>0</v>
      </c>
      <c r="AS4211">
        <v>0</v>
      </c>
      <c r="AT4211">
        <v>0</v>
      </c>
      <c r="AU4211">
        <f t="shared" si="130"/>
        <v>0</v>
      </c>
      <c r="AV4211">
        <f t="shared" si="131"/>
        <v>4934</v>
      </c>
    </row>
    <row r="4212" spans="1:48" x14ac:dyDescent="0.25">
      <c r="A4212" t="s">
        <v>12662</v>
      </c>
      <c r="C4212" t="s">
        <v>12663</v>
      </c>
      <c r="D4212" t="s">
        <v>12664</v>
      </c>
      <c r="E4212" t="s">
        <v>1663</v>
      </c>
      <c r="F4212">
        <v>4</v>
      </c>
      <c r="G4212">
        <v>4.0999999999999996</v>
      </c>
      <c r="H4212" t="s">
        <v>2327</v>
      </c>
      <c r="I4212" s="21">
        <v>42082</v>
      </c>
      <c r="J4212">
        <v>2015</v>
      </c>
      <c r="K4212" s="21">
        <v>42292</v>
      </c>
      <c r="L4212">
        <v>2015</v>
      </c>
      <c r="P4212" s="21">
        <v>42534</v>
      </c>
      <c r="Q4212" s="262">
        <v>120000</v>
      </c>
      <c r="S4212" t="s">
        <v>114</v>
      </c>
      <c r="T4212" t="s">
        <v>114</v>
      </c>
      <c r="V4212">
        <v>1963</v>
      </c>
      <c r="W4212">
        <v>0</v>
      </c>
      <c r="X4212">
        <v>0</v>
      </c>
      <c r="Y4212">
        <v>0</v>
      </c>
      <c r="Z4212">
        <v>0</v>
      </c>
      <c r="AA4212">
        <v>0</v>
      </c>
      <c r="AB4212">
        <v>0</v>
      </c>
      <c r="AC4212">
        <v>0</v>
      </c>
      <c r="AD4212">
        <v>0</v>
      </c>
      <c r="AE4212">
        <v>0</v>
      </c>
      <c r="AF4212">
        <v>0</v>
      </c>
      <c r="AG4212">
        <v>0</v>
      </c>
      <c r="AH4212">
        <v>0</v>
      </c>
      <c r="AI4212">
        <v>0</v>
      </c>
      <c r="AJ4212">
        <v>0</v>
      </c>
      <c r="AK4212">
        <v>0</v>
      </c>
      <c r="AL4212">
        <v>0</v>
      </c>
      <c r="AM4212">
        <v>0</v>
      </c>
      <c r="AN4212">
        <v>0</v>
      </c>
      <c r="AO4212">
        <v>0</v>
      </c>
      <c r="AP4212">
        <v>0</v>
      </c>
      <c r="AQ4212">
        <v>0</v>
      </c>
      <c r="AR4212">
        <v>0</v>
      </c>
      <c r="AS4212">
        <v>0</v>
      </c>
      <c r="AT4212">
        <v>0</v>
      </c>
      <c r="AU4212">
        <f t="shared" si="130"/>
        <v>0</v>
      </c>
      <c r="AV4212">
        <f t="shared" si="131"/>
        <v>0</v>
      </c>
    </row>
    <row r="4213" spans="1:48" x14ac:dyDescent="0.25">
      <c r="A4213" t="s">
        <v>12665</v>
      </c>
      <c r="B4213" t="s">
        <v>12665</v>
      </c>
      <c r="C4213" t="s">
        <v>12666</v>
      </c>
      <c r="D4213" t="s">
        <v>12667</v>
      </c>
      <c r="E4213" t="s">
        <v>2310</v>
      </c>
      <c r="F4213">
        <v>8</v>
      </c>
      <c r="G4213">
        <v>8.1</v>
      </c>
      <c r="H4213" t="s">
        <v>2323</v>
      </c>
      <c r="I4213" s="21">
        <v>42082.612060185202</v>
      </c>
      <c r="J4213">
        <v>2015</v>
      </c>
      <c r="K4213" s="21">
        <v>42158.670833333301</v>
      </c>
      <c r="L4213">
        <v>2015</v>
      </c>
      <c r="M4213" s="21">
        <v>42384.558460648099</v>
      </c>
      <c r="N4213">
        <v>2016</v>
      </c>
      <c r="Q4213" s="262">
        <v>50000</v>
      </c>
      <c r="R4213" s="262">
        <v>30000</v>
      </c>
      <c r="S4213" t="s">
        <v>114</v>
      </c>
      <c r="T4213" t="s">
        <v>114</v>
      </c>
      <c r="W4213">
        <v>682</v>
      </c>
      <c r="X4213">
        <v>0</v>
      </c>
      <c r="Y4213">
        <v>0</v>
      </c>
      <c r="Z4213">
        <v>0</v>
      </c>
      <c r="AA4213">
        <v>0</v>
      </c>
      <c r="AB4213">
        <v>0</v>
      </c>
      <c r="AC4213">
        <v>682</v>
      </c>
      <c r="AD4213">
        <v>0</v>
      </c>
      <c r="AE4213">
        <v>0</v>
      </c>
      <c r="AF4213">
        <v>0</v>
      </c>
      <c r="AG4213">
        <v>0</v>
      </c>
      <c r="AH4213">
        <v>0</v>
      </c>
      <c r="AI4213">
        <v>0</v>
      </c>
      <c r="AJ4213">
        <v>0</v>
      </c>
      <c r="AK4213">
        <v>0</v>
      </c>
      <c r="AL4213">
        <v>0</v>
      </c>
      <c r="AM4213">
        <v>0</v>
      </c>
      <c r="AN4213">
        <v>0</v>
      </c>
      <c r="AO4213">
        <v>0</v>
      </c>
      <c r="AP4213">
        <v>0</v>
      </c>
      <c r="AQ4213">
        <v>0</v>
      </c>
      <c r="AR4213">
        <v>0</v>
      </c>
      <c r="AS4213">
        <v>0</v>
      </c>
      <c r="AT4213">
        <v>0</v>
      </c>
      <c r="AU4213">
        <f t="shared" si="130"/>
        <v>0</v>
      </c>
      <c r="AV4213">
        <f t="shared" si="131"/>
        <v>0</v>
      </c>
    </row>
    <row r="4214" spans="1:48" x14ac:dyDescent="0.25">
      <c r="A4214" t="s">
        <v>12668</v>
      </c>
      <c r="C4214" t="s">
        <v>12530</v>
      </c>
      <c r="D4214" t="s">
        <v>12669</v>
      </c>
      <c r="E4214" t="s">
        <v>1663</v>
      </c>
      <c r="F4214">
        <v>2</v>
      </c>
      <c r="G4214">
        <v>2.2999999999999998</v>
      </c>
      <c r="H4214" t="s">
        <v>2327</v>
      </c>
      <c r="I4214" s="21">
        <v>42083</v>
      </c>
      <c r="J4214">
        <v>2015</v>
      </c>
      <c r="K4214" s="21">
        <v>42109</v>
      </c>
      <c r="L4214">
        <v>2015</v>
      </c>
      <c r="P4214" s="21">
        <v>42289</v>
      </c>
      <c r="Q4214" s="262">
        <v>5000</v>
      </c>
      <c r="S4214" t="s">
        <v>114</v>
      </c>
      <c r="T4214" t="s">
        <v>114</v>
      </c>
      <c r="V4214">
        <v>938</v>
      </c>
      <c r="W4214">
        <v>0</v>
      </c>
      <c r="X4214">
        <v>0</v>
      </c>
      <c r="Y4214">
        <v>0</v>
      </c>
      <c r="Z4214">
        <v>0</v>
      </c>
      <c r="AA4214">
        <v>0</v>
      </c>
      <c r="AB4214">
        <v>0</v>
      </c>
      <c r="AC4214">
        <v>0</v>
      </c>
      <c r="AD4214">
        <v>0</v>
      </c>
      <c r="AE4214">
        <v>0</v>
      </c>
      <c r="AF4214">
        <v>0</v>
      </c>
      <c r="AG4214">
        <v>0</v>
      </c>
      <c r="AH4214">
        <v>0</v>
      </c>
      <c r="AI4214">
        <v>0</v>
      </c>
      <c r="AJ4214">
        <v>0</v>
      </c>
      <c r="AK4214">
        <v>0</v>
      </c>
      <c r="AL4214">
        <v>0</v>
      </c>
      <c r="AM4214">
        <v>0</v>
      </c>
      <c r="AN4214">
        <v>0</v>
      </c>
      <c r="AO4214">
        <v>0</v>
      </c>
      <c r="AP4214">
        <v>0</v>
      </c>
      <c r="AQ4214">
        <v>0</v>
      </c>
      <c r="AR4214">
        <v>0</v>
      </c>
      <c r="AS4214">
        <v>0</v>
      </c>
      <c r="AT4214">
        <v>0</v>
      </c>
      <c r="AU4214">
        <f t="shared" si="130"/>
        <v>0</v>
      </c>
      <c r="AV4214">
        <f t="shared" si="131"/>
        <v>0</v>
      </c>
    </row>
    <row r="4215" spans="1:48" x14ac:dyDescent="0.25">
      <c r="A4215" t="s">
        <v>17594</v>
      </c>
      <c r="B4215" t="s">
        <v>17594</v>
      </c>
      <c r="C4215" t="s">
        <v>17595</v>
      </c>
      <c r="D4215" t="s">
        <v>17596</v>
      </c>
      <c r="E4215" t="s">
        <v>2310</v>
      </c>
      <c r="F4215">
        <v>15</v>
      </c>
      <c r="G4215">
        <v>15.3</v>
      </c>
      <c r="H4215" t="s">
        <v>2022</v>
      </c>
      <c r="I4215" s="21">
        <v>42083.59412037037</v>
      </c>
      <c r="J4215">
        <v>2015</v>
      </c>
      <c r="K4215" s="21">
        <v>42922.343495370369</v>
      </c>
      <c r="L4215">
        <v>2017</v>
      </c>
      <c r="M4215" s="21">
        <v>42922.343495370369</v>
      </c>
      <c r="N4215">
        <v>2017</v>
      </c>
      <c r="Q4215" s="262">
        <v>45000</v>
      </c>
      <c r="R4215" s="262">
        <v>73000</v>
      </c>
      <c r="S4215" t="s">
        <v>13253</v>
      </c>
      <c r="T4215">
        <v>8111</v>
      </c>
      <c r="V4215">
        <v>830</v>
      </c>
      <c r="W4215">
        <v>0</v>
      </c>
      <c r="X4215">
        <v>1</v>
      </c>
      <c r="Y4215">
        <v>0</v>
      </c>
      <c r="Z4215">
        <v>0</v>
      </c>
      <c r="AA4215">
        <v>0</v>
      </c>
      <c r="AB4215">
        <v>0</v>
      </c>
      <c r="AC4215">
        <v>-830</v>
      </c>
      <c r="AD4215">
        <v>0</v>
      </c>
      <c r="AE4215">
        <v>0</v>
      </c>
      <c r="AF4215">
        <v>830</v>
      </c>
      <c r="AG4215">
        <v>0</v>
      </c>
      <c r="AH4215">
        <v>0</v>
      </c>
      <c r="AI4215">
        <v>0</v>
      </c>
      <c r="AJ4215">
        <v>0</v>
      </c>
      <c r="AK4215">
        <v>0</v>
      </c>
      <c r="AL4215">
        <v>0</v>
      </c>
      <c r="AM4215">
        <v>0</v>
      </c>
      <c r="AN4215">
        <v>0</v>
      </c>
      <c r="AO4215">
        <v>0</v>
      </c>
      <c r="AP4215">
        <v>0</v>
      </c>
      <c r="AQ4215">
        <v>0</v>
      </c>
      <c r="AR4215">
        <v>1</v>
      </c>
      <c r="AS4215">
        <v>0</v>
      </c>
      <c r="AT4215">
        <v>0</v>
      </c>
      <c r="AU4215">
        <f t="shared" si="130"/>
        <v>0</v>
      </c>
      <c r="AV4215">
        <f t="shared" si="131"/>
        <v>0</v>
      </c>
    </row>
    <row r="4216" spans="1:48" x14ac:dyDescent="0.25">
      <c r="A4216" t="s">
        <v>17597</v>
      </c>
      <c r="B4216" t="s">
        <v>17597</v>
      </c>
      <c r="C4216" t="s">
        <v>10859</v>
      </c>
      <c r="D4216" t="s">
        <v>17598</v>
      </c>
      <c r="E4216" t="s">
        <v>2310</v>
      </c>
      <c r="F4216">
        <v>8</v>
      </c>
      <c r="G4216">
        <v>8.1999999999999993</v>
      </c>
      <c r="H4216" t="s">
        <v>2022</v>
      </c>
      <c r="I4216" s="21">
        <v>42083.653831018521</v>
      </c>
      <c r="J4216">
        <v>2015</v>
      </c>
      <c r="K4216" s="21">
        <v>42779.442488425928</v>
      </c>
      <c r="L4216">
        <v>2017</v>
      </c>
      <c r="M4216" s="21">
        <v>42779.442488425928</v>
      </c>
      <c r="N4216">
        <v>2017</v>
      </c>
      <c r="Q4216" s="262">
        <v>1750000</v>
      </c>
      <c r="R4216" s="262">
        <v>603000</v>
      </c>
      <c r="S4216" t="s">
        <v>13254</v>
      </c>
      <c r="W4216">
        <v>4229</v>
      </c>
      <c r="X4216">
        <v>1</v>
      </c>
      <c r="Y4216">
        <v>0</v>
      </c>
      <c r="Z4216">
        <v>0</v>
      </c>
      <c r="AA4216">
        <v>0</v>
      </c>
      <c r="AB4216">
        <v>0</v>
      </c>
      <c r="AC4216">
        <v>4229</v>
      </c>
      <c r="AD4216">
        <v>0</v>
      </c>
      <c r="AE4216">
        <v>0</v>
      </c>
      <c r="AF4216">
        <v>0</v>
      </c>
      <c r="AG4216">
        <v>0</v>
      </c>
      <c r="AH4216">
        <v>0</v>
      </c>
      <c r="AI4216">
        <v>0</v>
      </c>
      <c r="AJ4216">
        <v>0</v>
      </c>
      <c r="AK4216">
        <v>0</v>
      </c>
      <c r="AL4216">
        <v>0</v>
      </c>
      <c r="AM4216">
        <v>0</v>
      </c>
      <c r="AN4216">
        <v>0</v>
      </c>
      <c r="AO4216">
        <v>1</v>
      </c>
      <c r="AP4216">
        <v>0</v>
      </c>
      <c r="AQ4216">
        <v>0</v>
      </c>
      <c r="AR4216">
        <v>0</v>
      </c>
      <c r="AS4216">
        <v>0</v>
      </c>
      <c r="AT4216">
        <v>0</v>
      </c>
      <c r="AU4216">
        <f t="shared" si="130"/>
        <v>1</v>
      </c>
      <c r="AV4216">
        <f t="shared" si="131"/>
        <v>0</v>
      </c>
    </row>
    <row r="4217" spans="1:48" x14ac:dyDescent="0.25">
      <c r="A4217" t="s">
        <v>17602</v>
      </c>
      <c r="B4217" t="s">
        <v>17602</v>
      </c>
      <c r="C4217" t="s">
        <v>7403</v>
      </c>
      <c r="D4217" t="s">
        <v>17598</v>
      </c>
      <c r="E4217" t="s">
        <v>2310</v>
      </c>
      <c r="F4217">
        <v>8</v>
      </c>
      <c r="G4217">
        <v>8.1999999999999993</v>
      </c>
      <c r="H4217" t="s">
        <v>2022</v>
      </c>
      <c r="I4217" s="21">
        <v>42083.657199074078</v>
      </c>
      <c r="J4217">
        <v>2015</v>
      </c>
      <c r="K4217" s="21">
        <v>42779.432164351849</v>
      </c>
      <c r="L4217">
        <v>2017</v>
      </c>
      <c r="M4217" s="21">
        <v>42779.432164351849</v>
      </c>
      <c r="N4217">
        <v>2017</v>
      </c>
      <c r="Q4217" s="262">
        <v>132000</v>
      </c>
      <c r="R4217" s="262">
        <v>132000</v>
      </c>
      <c r="S4217" t="s">
        <v>13254</v>
      </c>
      <c r="W4217">
        <v>1380</v>
      </c>
      <c r="X4217">
        <v>0</v>
      </c>
      <c r="Y4217">
        <v>0</v>
      </c>
      <c r="Z4217">
        <v>0</v>
      </c>
      <c r="AA4217">
        <v>0</v>
      </c>
      <c r="AB4217">
        <v>0</v>
      </c>
      <c r="AC4217">
        <v>1380</v>
      </c>
      <c r="AD4217">
        <v>0</v>
      </c>
      <c r="AE4217">
        <v>0</v>
      </c>
      <c r="AF4217">
        <v>0</v>
      </c>
      <c r="AG4217">
        <v>0</v>
      </c>
      <c r="AH4217">
        <v>0</v>
      </c>
      <c r="AI4217">
        <v>0</v>
      </c>
      <c r="AJ4217">
        <v>0</v>
      </c>
      <c r="AK4217">
        <v>0</v>
      </c>
      <c r="AL4217">
        <v>0</v>
      </c>
      <c r="AM4217">
        <v>0</v>
      </c>
      <c r="AN4217">
        <v>0</v>
      </c>
      <c r="AO4217">
        <v>0</v>
      </c>
      <c r="AP4217">
        <v>0</v>
      </c>
      <c r="AQ4217">
        <v>0</v>
      </c>
      <c r="AR4217">
        <v>0</v>
      </c>
      <c r="AS4217">
        <v>0</v>
      </c>
      <c r="AT4217">
        <v>0</v>
      </c>
      <c r="AU4217">
        <f t="shared" si="130"/>
        <v>0</v>
      </c>
      <c r="AV4217">
        <f t="shared" si="131"/>
        <v>0</v>
      </c>
    </row>
    <row r="4218" spans="1:48" x14ac:dyDescent="0.25">
      <c r="A4218" t="s">
        <v>12670</v>
      </c>
      <c r="C4218" t="s">
        <v>11240</v>
      </c>
      <c r="D4218" t="s">
        <v>12671</v>
      </c>
      <c r="E4218" t="s">
        <v>1663</v>
      </c>
      <c r="F4218">
        <v>5</v>
      </c>
      <c r="G4218">
        <v>5.5</v>
      </c>
      <c r="H4218" t="s">
        <v>2017</v>
      </c>
      <c r="I4218" s="21">
        <v>42087</v>
      </c>
      <c r="J4218">
        <v>2015</v>
      </c>
      <c r="K4218" s="21">
        <v>42108</v>
      </c>
      <c r="L4218">
        <v>2015</v>
      </c>
      <c r="M4218" s="21">
        <v>42382</v>
      </c>
      <c r="N4218">
        <v>2016</v>
      </c>
      <c r="Q4218" s="262">
        <v>440000</v>
      </c>
      <c r="S4218" t="s">
        <v>114</v>
      </c>
      <c r="T4218" t="s">
        <v>114</v>
      </c>
      <c r="W4218">
        <v>2584</v>
      </c>
      <c r="X4218">
        <v>1</v>
      </c>
      <c r="Y4218">
        <v>0</v>
      </c>
      <c r="Z4218">
        <v>0</v>
      </c>
      <c r="AA4218">
        <v>0</v>
      </c>
      <c r="AB4218">
        <v>0</v>
      </c>
      <c r="AC4218">
        <v>2584</v>
      </c>
      <c r="AD4218">
        <v>0</v>
      </c>
      <c r="AE4218">
        <v>0</v>
      </c>
      <c r="AF4218">
        <v>0</v>
      </c>
      <c r="AG4218">
        <v>0</v>
      </c>
      <c r="AH4218">
        <v>0</v>
      </c>
      <c r="AI4218">
        <v>0</v>
      </c>
      <c r="AJ4218">
        <v>0</v>
      </c>
      <c r="AK4218">
        <v>0</v>
      </c>
      <c r="AL4218">
        <v>0</v>
      </c>
      <c r="AM4218">
        <v>0</v>
      </c>
      <c r="AN4218">
        <v>0</v>
      </c>
      <c r="AO4218">
        <v>1</v>
      </c>
      <c r="AP4218">
        <v>0</v>
      </c>
      <c r="AQ4218">
        <v>0</v>
      </c>
      <c r="AR4218">
        <v>0</v>
      </c>
      <c r="AS4218">
        <v>0</v>
      </c>
      <c r="AT4218">
        <v>0</v>
      </c>
      <c r="AU4218">
        <f t="shared" si="130"/>
        <v>1</v>
      </c>
      <c r="AV4218">
        <f t="shared" si="131"/>
        <v>0</v>
      </c>
    </row>
    <row r="4219" spans="1:48" x14ac:dyDescent="0.25">
      <c r="A4219" t="s">
        <v>17960</v>
      </c>
      <c r="B4219" t="s">
        <v>17960</v>
      </c>
      <c r="C4219" t="s">
        <v>10943</v>
      </c>
      <c r="D4219" t="s">
        <v>17961</v>
      </c>
      <c r="E4219" t="s">
        <v>2310</v>
      </c>
      <c r="F4219">
        <v>13</v>
      </c>
      <c r="G4219">
        <v>13.2</v>
      </c>
      <c r="H4219" t="s">
        <v>2327</v>
      </c>
      <c r="I4219" s="21">
        <v>42087.381689814814</v>
      </c>
      <c r="J4219">
        <v>2015</v>
      </c>
      <c r="K4219" s="21">
        <v>42607.698310185187</v>
      </c>
      <c r="L4219">
        <v>2016</v>
      </c>
      <c r="M4219" s="21">
        <v>43133.55809027778</v>
      </c>
      <c r="N4219">
        <v>2018</v>
      </c>
      <c r="Q4219" s="262">
        <v>2500000</v>
      </c>
      <c r="R4219" s="262">
        <v>1495000</v>
      </c>
      <c r="S4219" t="s">
        <v>13254</v>
      </c>
      <c r="W4219">
        <v>9269</v>
      </c>
      <c r="X4219">
        <v>1</v>
      </c>
      <c r="Y4219">
        <v>0</v>
      </c>
      <c r="Z4219">
        <v>0</v>
      </c>
      <c r="AA4219">
        <v>0</v>
      </c>
      <c r="AB4219">
        <v>0</v>
      </c>
      <c r="AC4219">
        <v>9269</v>
      </c>
      <c r="AD4219">
        <v>0</v>
      </c>
      <c r="AE4219">
        <v>0</v>
      </c>
      <c r="AF4219">
        <v>0</v>
      </c>
      <c r="AG4219">
        <v>0</v>
      </c>
      <c r="AH4219">
        <v>0</v>
      </c>
      <c r="AI4219">
        <v>0</v>
      </c>
      <c r="AJ4219">
        <v>0</v>
      </c>
      <c r="AK4219">
        <v>0</v>
      </c>
      <c r="AL4219">
        <v>0</v>
      </c>
      <c r="AM4219">
        <v>0</v>
      </c>
      <c r="AN4219">
        <v>0</v>
      </c>
      <c r="AO4219">
        <v>1</v>
      </c>
      <c r="AP4219">
        <v>0</v>
      </c>
      <c r="AQ4219">
        <v>0</v>
      </c>
      <c r="AR4219">
        <v>0</v>
      </c>
      <c r="AS4219">
        <v>0</v>
      </c>
      <c r="AT4219">
        <v>0</v>
      </c>
      <c r="AU4219">
        <f t="shared" si="130"/>
        <v>1</v>
      </c>
      <c r="AV4219">
        <f t="shared" si="131"/>
        <v>0</v>
      </c>
    </row>
    <row r="4220" spans="1:48" x14ac:dyDescent="0.25">
      <c r="A4220" t="s">
        <v>12672</v>
      </c>
      <c r="B4220" t="s">
        <v>12672</v>
      </c>
      <c r="C4220" t="s">
        <v>12611</v>
      </c>
      <c r="D4220" t="s">
        <v>12673</v>
      </c>
      <c r="E4220" t="s">
        <v>2310</v>
      </c>
      <c r="F4220">
        <v>10</v>
      </c>
      <c r="G4220">
        <v>10.1</v>
      </c>
      <c r="H4220" t="s">
        <v>2323</v>
      </c>
      <c r="I4220" s="21">
        <v>42087.630416666703</v>
      </c>
      <c r="J4220">
        <v>2015</v>
      </c>
      <c r="K4220" s="21">
        <v>42104.418472222198</v>
      </c>
      <c r="L4220">
        <v>2015</v>
      </c>
      <c r="M4220" s="21">
        <v>42346.440625000003</v>
      </c>
      <c r="N4220">
        <v>2015</v>
      </c>
      <c r="Q4220" s="262">
        <v>525000</v>
      </c>
      <c r="R4220" s="262">
        <v>427000</v>
      </c>
      <c r="S4220" t="s">
        <v>114</v>
      </c>
      <c r="T4220" t="s">
        <v>114</v>
      </c>
      <c r="W4220">
        <v>3918</v>
      </c>
      <c r="X4220">
        <v>1</v>
      </c>
      <c r="Y4220">
        <v>0</v>
      </c>
      <c r="Z4220">
        <v>0</v>
      </c>
      <c r="AA4220">
        <v>0</v>
      </c>
      <c r="AB4220">
        <v>0</v>
      </c>
      <c r="AC4220">
        <v>3918</v>
      </c>
      <c r="AD4220">
        <v>0</v>
      </c>
      <c r="AE4220">
        <v>0</v>
      </c>
      <c r="AF4220">
        <v>0</v>
      </c>
      <c r="AG4220">
        <v>0</v>
      </c>
      <c r="AH4220">
        <v>0</v>
      </c>
      <c r="AI4220">
        <v>0</v>
      </c>
      <c r="AJ4220">
        <v>0</v>
      </c>
      <c r="AK4220">
        <v>0</v>
      </c>
      <c r="AL4220">
        <v>0</v>
      </c>
      <c r="AM4220">
        <v>0</v>
      </c>
      <c r="AN4220">
        <v>0</v>
      </c>
      <c r="AO4220">
        <v>1</v>
      </c>
      <c r="AP4220">
        <v>0</v>
      </c>
      <c r="AQ4220">
        <v>0</v>
      </c>
      <c r="AR4220">
        <v>0</v>
      </c>
      <c r="AS4220">
        <v>0</v>
      </c>
      <c r="AT4220">
        <v>0</v>
      </c>
      <c r="AU4220">
        <f t="shared" si="130"/>
        <v>1</v>
      </c>
      <c r="AV4220">
        <f t="shared" si="131"/>
        <v>0</v>
      </c>
    </row>
    <row r="4221" spans="1:48" x14ac:dyDescent="0.25">
      <c r="A4221" t="s">
        <v>17603</v>
      </c>
      <c r="B4221" t="s">
        <v>17603</v>
      </c>
      <c r="C4221" t="s">
        <v>11858</v>
      </c>
      <c r="D4221" t="s">
        <v>17604</v>
      </c>
      <c r="E4221" t="s">
        <v>2310</v>
      </c>
      <c r="F4221">
        <v>9</v>
      </c>
      <c r="G4221">
        <v>9.3000000000000007</v>
      </c>
      <c r="H4221" t="s">
        <v>2323</v>
      </c>
      <c r="I4221" s="21">
        <v>42087.685590277775</v>
      </c>
      <c r="J4221">
        <v>2015</v>
      </c>
      <c r="K4221" s="21">
        <v>43040.704212962963</v>
      </c>
      <c r="L4221">
        <v>2017</v>
      </c>
      <c r="M4221" s="21">
        <v>43035.678101851852</v>
      </c>
      <c r="N4221">
        <v>2017</v>
      </c>
      <c r="Q4221" s="262">
        <v>4500000</v>
      </c>
      <c r="R4221" s="262">
        <v>1461000</v>
      </c>
      <c r="S4221" t="s">
        <v>13254</v>
      </c>
      <c r="W4221">
        <v>9949</v>
      </c>
      <c r="X4221">
        <v>1</v>
      </c>
      <c r="Y4221">
        <v>0</v>
      </c>
      <c r="Z4221">
        <v>0</v>
      </c>
      <c r="AA4221">
        <v>0</v>
      </c>
      <c r="AB4221">
        <v>0</v>
      </c>
      <c r="AC4221">
        <v>9949</v>
      </c>
      <c r="AD4221">
        <v>0</v>
      </c>
      <c r="AE4221">
        <v>0</v>
      </c>
      <c r="AF4221">
        <v>0</v>
      </c>
      <c r="AG4221">
        <v>0</v>
      </c>
      <c r="AH4221">
        <v>0</v>
      </c>
      <c r="AI4221">
        <v>0</v>
      </c>
      <c r="AJ4221">
        <v>0</v>
      </c>
      <c r="AK4221">
        <v>0</v>
      </c>
      <c r="AL4221">
        <v>0</v>
      </c>
      <c r="AM4221">
        <v>0</v>
      </c>
      <c r="AN4221">
        <v>0</v>
      </c>
      <c r="AO4221">
        <v>1</v>
      </c>
      <c r="AP4221">
        <v>0</v>
      </c>
      <c r="AQ4221">
        <v>0</v>
      </c>
      <c r="AR4221">
        <v>0</v>
      </c>
      <c r="AS4221">
        <v>0</v>
      </c>
      <c r="AT4221">
        <v>0</v>
      </c>
      <c r="AU4221">
        <f t="shared" si="130"/>
        <v>1</v>
      </c>
      <c r="AV4221">
        <f t="shared" si="131"/>
        <v>0</v>
      </c>
    </row>
    <row r="4222" spans="1:48" x14ac:dyDescent="0.25">
      <c r="A4222" t="s">
        <v>12674</v>
      </c>
      <c r="B4222" t="s">
        <v>12674</v>
      </c>
      <c r="C4222" t="s">
        <v>11111</v>
      </c>
      <c r="D4222" t="s">
        <v>12675</v>
      </c>
      <c r="E4222" t="s">
        <v>2310</v>
      </c>
      <c r="F4222">
        <v>14</v>
      </c>
      <c r="G4222">
        <v>14.2</v>
      </c>
      <c r="H4222" t="s">
        <v>2017</v>
      </c>
      <c r="I4222" s="21">
        <v>42088.565520833297</v>
      </c>
      <c r="J4222">
        <v>2015</v>
      </c>
      <c r="K4222" s="21">
        <v>42121.690057870401</v>
      </c>
      <c r="L4222">
        <v>2015</v>
      </c>
      <c r="M4222" s="21">
        <v>42445.420381944401</v>
      </c>
      <c r="N4222">
        <v>2016</v>
      </c>
      <c r="Q4222" s="262">
        <v>2500000</v>
      </c>
      <c r="R4222" s="262">
        <v>360000</v>
      </c>
      <c r="S4222" t="s">
        <v>114</v>
      </c>
      <c r="T4222" t="s">
        <v>114</v>
      </c>
      <c r="W4222">
        <v>3696</v>
      </c>
      <c r="X4222">
        <v>1</v>
      </c>
      <c r="Y4222">
        <v>0</v>
      </c>
      <c r="Z4222">
        <v>0</v>
      </c>
      <c r="AA4222">
        <v>0</v>
      </c>
      <c r="AB4222">
        <v>0</v>
      </c>
      <c r="AC4222">
        <v>3696</v>
      </c>
      <c r="AD4222">
        <v>0</v>
      </c>
      <c r="AE4222">
        <v>0</v>
      </c>
      <c r="AF4222">
        <v>0</v>
      </c>
      <c r="AG4222">
        <v>0</v>
      </c>
      <c r="AH4222">
        <v>0</v>
      </c>
      <c r="AI4222">
        <v>0</v>
      </c>
      <c r="AJ4222">
        <v>0</v>
      </c>
      <c r="AK4222">
        <v>0</v>
      </c>
      <c r="AL4222">
        <v>0</v>
      </c>
      <c r="AM4222">
        <v>0</v>
      </c>
      <c r="AN4222">
        <v>0</v>
      </c>
      <c r="AO4222">
        <v>1</v>
      </c>
      <c r="AP4222">
        <v>0</v>
      </c>
      <c r="AQ4222">
        <v>0</v>
      </c>
      <c r="AR4222">
        <v>0</v>
      </c>
      <c r="AS4222">
        <v>0</v>
      </c>
      <c r="AT4222">
        <v>0</v>
      </c>
      <c r="AU4222">
        <f t="shared" si="130"/>
        <v>1</v>
      </c>
      <c r="AV4222">
        <f t="shared" si="131"/>
        <v>0</v>
      </c>
    </row>
    <row r="4223" spans="1:48" x14ac:dyDescent="0.25">
      <c r="A4223" t="s">
        <v>12676</v>
      </c>
      <c r="C4223" t="s">
        <v>12677</v>
      </c>
      <c r="D4223" t="s">
        <v>12678</v>
      </c>
      <c r="E4223" t="s">
        <v>1663</v>
      </c>
      <c r="F4223">
        <v>2</v>
      </c>
      <c r="G4223">
        <v>2.2999999999999998</v>
      </c>
      <c r="H4223" t="s">
        <v>2327</v>
      </c>
      <c r="I4223" s="21">
        <v>42089</v>
      </c>
      <c r="J4223">
        <v>2015</v>
      </c>
      <c r="K4223" s="21">
        <v>42752</v>
      </c>
      <c r="L4223">
        <v>2017</v>
      </c>
      <c r="M4223" s="21">
        <v>42180</v>
      </c>
      <c r="N4223">
        <v>2015</v>
      </c>
      <c r="Q4223" s="262">
        <v>10000</v>
      </c>
      <c r="S4223" t="s">
        <v>114</v>
      </c>
      <c r="T4223" t="s">
        <v>114</v>
      </c>
      <c r="V4223">
        <v>0</v>
      </c>
      <c r="W4223">
        <v>0</v>
      </c>
      <c r="X4223">
        <v>0</v>
      </c>
      <c r="Y4223">
        <v>0</v>
      </c>
      <c r="Z4223">
        <v>0</v>
      </c>
      <c r="AA4223">
        <v>0</v>
      </c>
      <c r="AB4223">
        <v>0</v>
      </c>
      <c r="AC4223">
        <v>0</v>
      </c>
      <c r="AD4223">
        <v>0</v>
      </c>
      <c r="AE4223">
        <v>0</v>
      </c>
      <c r="AF4223">
        <v>0</v>
      </c>
      <c r="AG4223">
        <v>0</v>
      </c>
      <c r="AH4223">
        <v>0</v>
      </c>
      <c r="AI4223">
        <v>0</v>
      </c>
      <c r="AJ4223">
        <v>0</v>
      </c>
      <c r="AK4223">
        <v>0</v>
      </c>
      <c r="AL4223">
        <v>0</v>
      </c>
      <c r="AM4223">
        <v>0</v>
      </c>
      <c r="AN4223">
        <v>0</v>
      </c>
      <c r="AO4223">
        <v>0</v>
      </c>
      <c r="AP4223">
        <v>0</v>
      </c>
      <c r="AQ4223">
        <v>0</v>
      </c>
      <c r="AR4223">
        <v>0</v>
      </c>
      <c r="AS4223">
        <v>0</v>
      </c>
      <c r="AT4223">
        <v>0</v>
      </c>
      <c r="AU4223">
        <f t="shared" si="130"/>
        <v>0</v>
      </c>
      <c r="AV4223">
        <f t="shared" si="131"/>
        <v>0</v>
      </c>
    </row>
    <row r="4224" spans="1:48" x14ac:dyDescent="0.25">
      <c r="A4224" t="s">
        <v>19351</v>
      </c>
      <c r="B4224" t="s">
        <v>19351</v>
      </c>
      <c r="C4224" t="s">
        <v>15287</v>
      </c>
      <c r="D4224" t="s">
        <v>16792</v>
      </c>
      <c r="E4224" t="s">
        <v>2310</v>
      </c>
      <c r="F4224">
        <v>7</v>
      </c>
      <c r="G4224">
        <v>7.2</v>
      </c>
      <c r="H4224" t="s">
        <v>2017</v>
      </c>
      <c r="I4224" s="21">
        <v>42090.357615740744</v>
      </c>
      <c r="J4224">
        <v>2015</v>
      </c>
      <c r="K4224" s="21">
        <v>42206.589224537034</v>
      </c>
      <c r="L4224">
        <v>2015</v>
      </c>
      <c r="M4224" s="21">
        <v>43984.666606446757</v>
      </c>
      <c r="N4224">
        <v>2020</v>
      </c>
      <c r="Q4224" s="262">
        <v>100000</v>
      </c>
      <c r="R4224" s="262">
        <v>165000</v>
      </c>
      <c r="S4224" t="s">
        <v>13254</v>
      </c>
      <c r="W4224">
        <v>1800</v>
      </c>
      <c r="X4224">
        <v>1</v>
      </c>
      <c r="Y4224">
        <v>0</v>
      </c>
      <c r="Z4224">
        <v>0</v>
      </c>
      <c r="AA4224">
        <v>0</v>
      </c>
      <c r="AB4224">
        <v>0</v>
      </c>
      <c r="AC4224">
        <v>1800</v>
      </c>
      <c r="AD4224">
        <v>0</v>
      </c>
      <c r="AE4224">
        <v>0</v>
      </c>
      <c r="AF4224">
        <v>0</v>
      </c>
      <c r="AG4224">
        <v>0</v>
      </c>
      <c r="AH4224">
        <v>0</v>
      </c>
      <c r="AI4224">
        <v>0</v>
      </c>
      <c r="AJ4224">
        <v>0</v>
      </c>
      <c r="AK4224">
        <v>0</v>
      </c>
      <c r="AL4224">
        <v>0</v>
      </c>
      <c r="AM4224">
        <v>0</v>
      </c>
      <c r="AN4224">
        <v>0</v>
      </c>
      <c r="AO4224">
        <v>1</v>
      </c>
      <c r="AP4224">
        <v>0</v>
      </c>
      <c r="AQ4224">
        <v>0</v>
      </c>
      <c r="AR4224">
        <v>0</v>
      </c>
      <c r="AS4224">
        <v>0</v>
      </c>
      <c r="AT4224">
        <v>0</v>
      </c>
      <c r="AU4224">
        <f t="shared" si="130"/>
        <v>1</v>
      </c>
      <c r="AV4224">
        <f t="shared" si="131"/>
        <v>0</v>
      </c>
    </row>
    <row r="4225" spans="1:48" x14ac:dyDescent="0.25">
      <c r="A4225" t="s">
        <v>19352</v>
      </c>
      <c r="B4225" t="s">
        <v>19352</v>
      </c>
      <c r="C4225" t="s">
        <v>19353</v>
      </c>
      <c r="D4225" t="s">
        <v>16792</v>
      </c>
      <c r="E4225" t="s">
        <v>2310</v>
      </c>
      <c r="F4225">
        <v>7</v>
      </c>
      <c r="G4225">
        <v>7.2</v>
      </c>
      <c r="H4225" t="s">
        <v>2017</v>
      </c>
      <c r="I4225" s="21">
        <v>42090.366643518515</v>
      </c>
      <c r="J4225">
        <v>2015</v>
      </c>
      <c r="K4225" s="21">
        <v>42227.476736111108</v>
      </c>
      <c r="L4225">
        <v>2015</v>
      </c>
      <c r="M4225" s="21">
        <v>43984.670787303243</v>
      </c>
      <c r="N4225">
        <v>2020</v>
      </c>
      <c r="Q4225" s="262">
        <v>100000</v>
      </c>
      <c r="R4225" s="262">
        <v>165000</v>
      </c>
      <c r="S4225" t="s">
        <v>13254</v>
      </c>
      <c r="W4225">
        <v>1800</v>
      </c>
      <c r="X4225">
        <v>1</v>
      </c>
      <c r="Y4225">
        <v>0</v>
      </c>
      <c r="Z4225">
        <v>0</v>
      </c>
      <c r="AA4225">
        <v>0</v>
      </c>
      <c r="AB4225">
        <v>0</v>
      </c>
      <c r="AC4225">
        <v>0</v>
      </c>
      <c r="AD4225">
        <v>0</v>
      </c>
      <c r="AE4225">
        <v>0</v>
      </c>
      <c r="AF4225">
        <v>1800</v>
      </c>
      <c r="AG4225">
        <v>0</v>
      </c>
      <c r="AH4225">
        <v>0</v>
      </c>
      <c r="AI4225">
        <v>0</v>
      </c>
      <c r="AJ4225">
        <v>0</v>
      </c>
      <c r="AK4225">
        <v>0</v>
      </c>
      <c r="AL4225">
        <v>0</v>
      </c>
      <c r="AM4225">
        <v>0</v>
      </c>
      <c r="AN4225">
        <v>0</v>
      </c>
      <c r="AO4225">
        <v>0</v>
      </c>
      <c r="AP4225">
        <v>0</v>
      </c>
      <c r="AQ4225">
        <v>0</v>
      </c>
      <c r="AR4225">
        <v>1</v>
      </c>
      <c r="AS4225">
        <v>0</v>
      </c>
      <c r="AT4225">
        <v>0</v>
      </c>
      <c r="AU4225">
        <f t="shared" si="130"/>
        <v>0</v>
      </c>
      <c r="AV4225">
        <f t="shared" si="131"/>
        <v>0</v>
      </c>
    </row>
    <row r="4226" spans="1:48" x14ac:dyDescent="0.25">
      <c r="A4226" t="s">
        <v>12679</v>
      </c>
      <c r="B4226" t="s">
        <v>12679</v>
      </c>
      <c r="C4226" t="s">
        <v>12680</v>
      </c>
      <c r="D4226" t="s">
        <v>12681</v>
      </c>
      <c r="E4226" t="s">
        <v>2310</v>
      </c>
      <c r="F4226">
        <v>15</v>
      </c>
      <c r="G4226">
        <v>15.4</v>
      </c>
      <c r="H4226" t="s">
        <v>2323</v>
      </c>
      <c r="I4226" s="21">
        <v>42090.443506944401</v>
      </c>
      <c r="J4226">
        <v>2015</v>
      </c>
      <c r="K4226" s="21">
        <v>42111.4051736111</v>
      </c>
      <c r="L4226">
        <v>2015</v>
      </c>
      <c r="M4226" s="21">
        <v>42279.402326388903</v>
      </c>
      <c r="N4226">
        <v>2015</v>
      </c>
      <c r="Q4226" s="262">
        <v>700000</v>
      </c>
      <c r="R4226" s="262">
        <v>37000</v>
      </c>
      <c r="S4226" t="s">
        <v>114</v>
      </c>
      <c r="T4226" t="s">
        <v>114</v>
      </c>
      <c r="V4226">
        <v>1181</v>
      </c>
      <c r="W4226">
        <v>-96</v>
      </c>
      <c r="X4226">
        <v>0</v>
      </c>
      <c r="Y4226">
        <v>0</v>
      </c>
      <c r="Z4226">
        <v>0</v>
      </c>
      <c r="AA4226">
        <v>0</v>
      </c>
      <c r="AB4226">
        <v>0</v>
      </c>
      <c r="AC4226">
        <v>0</v>
      </c>
      <c r="AD4226">
        <v>0</v>
      </c>
      <c r="AE4226">
        <v>0</v>
      </c>
      <c r="AF4226">
        <v>0</v>
      </c>
      <c r="AG4226">
        <v>0</v>
      </c>
      <c r="AH4226">
        <v>0</v>
      </c>
      <c r="AI4226">
        <v>0</v>
      </c>
      <c r="AJ4226">
        <v>0</v>
      </c>
      <c r="AK4226">
        <v>0</v>
      </c>
      <c r="AL4226">
        <v>0</v>
      </c>
      <c r="AM4226">
        <v>-96</v>
      </c>
      <c r="AN4226">
        <v>0</v>
      </c>
      <c r="AO4226">
        <v>0</v>
      </c>
      <c r="AP4226">
        <v>0</v>
      </c>
      <c r="AQ4226">
        <v>0</v>
      </c>
      <c r="AR4226">
        <v>0</v>
      </c>
      <c r="AS4226">
        <v>0</v>
      </c>
      <c r="AT4226">
        <v>0</v>
      </c>
      <c r="AU4226">
        <f t="shared" si="130"/>
        <v>0</v>
      </c>
      <c r="AV4226">
        <f t="shared" si="131"/>
        <v>-96</v>
      </c>
    </row>
    <row r="4227" spans="1:48" x14ac:dyDescent="0.25">
      <c r="A4227" t="s">
        <v>18347</v>
      </c>
      <c r="B4227" t="s">
        <v>18347</v>
      </c>
      <c r="C4227" t="s">
        <v>18348</v>
      </c>
      <c r="D4227" t="s">
        <v>3554</v>
      </c>
      <c r="E4227" t="s">
        <v>2310</v>
      </c>
      <c r="F4227">
        <v>9</v>
      </c>
      <c r="G4227">
        <v>9.3000000000000007</v>
      </c>
      <c r="H4227" t="s">
        <v>2323</v>
      </c>
      <c r="I4227" s="21">
        <v>42090.564143518517</v>
      </c>
      <c r="J4227">
        <v>2015</v>
      </c>
      <c r="K4227" s="21">
        <v>42156.473576388889</v>
      </c>
      <c r="L4227">
        <v>2015</v>
      </c>
      <c r="M4227" s="21">
        <v>43237.413889583331</v>
      </c>
      <c r="N4227">
        <v>2018</v>
      </c>
      <c r="Q4227" s="262">
        <v>300000</v>
      </c>
      <c r="R4227" s="262">
        <v>277000</v>
      </c>
      <c r="S4227" t="s">
        <v>13253</v>
      </c>
      <c r="T4227">
        <v>4730</v>
      </c>
      <c r="V4227">
        <v>196</v>
      </c>
      <c r="W4227">
        <v>2846</v>
      </c>
      <c r="X4227">
        <v>0</v>
      </c>
      <c r="Y4227">
        <v>0</v>
      </c>
      <c r="Z4227">
        <v>0</v>
      </c>
      <c r="AA4227">
        <v>0</v>
      </c>
      <c r="AB4227">
        <v>0</v>
      </c>
      <c r="AC4227">
        <v>2846</v>
      </c>
      <c r="AD4227">
        <v>0</v>
      </c>
      <c r="AE4227">
        <v>0</v>
      </c>
      <c r="AF4227">
        <v>0</v>
      </c>
      <c r="AG4227">
        <v>0</v>
      </c>
      <c r="AH4227">
        <v>0</v>
      </c>
      <c r="AI4227">
        <v>0</v>
      </c>
      <c r="AJ4227">
        <v>0</v>
      </c>
      <c r="AK4227">
        <v>0</v>
      </c>
      <c r="AL4227">
        <v>0</v>
      </c>
      <c r="AM4227">
        <v>0</v>
      </c>
      <c r="AN4227">
        <v>0</v>
      </c>
      <c r="AO4227">
        <v>0</v>
      </c>
      <c r="AP4227">
        <v>0</v>
      </c>
      <c r="AQ4227">
        <v>0</v>
      </c>
      <c r="AR4227">
        <v>0</v>
      </c>
      <c r="AS4227">
        <v>0</v>
      </c>
      <c r="AT4227">
        <v>0</v>
      </c>
      <c r="AU4227">
        <f t="shared" si="130"/>
        <v>0</v>
      </c>
      <c r="AV4227">
        <f t="shared" si="131"/>
        <v>0</v>
      </c>
    </row>
    <row r="4228" spans="1:48" x14ac:dyDescent="0.25">
      <c r="A4228" t="s">
        <v>17605</v>
      </c>
      <c r="B4228" t="s">
        <v>17605</v>
      </c>
      <c r="C4228" t="s">
        <v>17606</v>
      </c>
      <c r="D4228" t="s">
        <v>17607</v>
      </c>
      <c r="E4228" t="s">
        <v>2310</v>
      </c>
      <c r="F4228">
        <v>13</v>
      </c>
      <c r="G4228">
        <v>13.2</v>
      </c>
      <c r="H4228" t="s">
        <v>2327</v>
      </c>
      <c r="I4228" s="21">
        <v>42090.659560185188</v>
      </c>
      <c r="J4228">
        <v>2015</v>
      </c>
      <c r="K4228" s="21">
        <v>42832.374502314815</v>
      </c>
      <c r="L4228">
        <v>2017</v>
      </c>
      <c r="M4228" s="21">
        <v>42832.374502314815</v>
      </c>
      <c r="N4228">
        <v>2017</v>
      </c>
      <c r="Q4228" s="262">
        <v>2300000</v>
      </c>
      <c r="R4228" s="262">
        <v>716000</v>
      </c>
      <c r="S4228" t="s">
        <v>13254</v>
      </c>
      <c r="W4228">
        <v>5953</v>
      </c>
      <c r="X4228">
        <v>1</v>
      </c>
      <c r="Y4228">
        <v>0</v>
      </c>
      <c r="Z4228">
        <v>0</v>
      </c>
      <c r="AA4228">
        <v>0</v>
      </c>
      <c r="AB4228">
        <v>0</v>
      </c>
      <c r="AC4228">
        <v>5953</v>
      </c>
      <c r="AD4228">
        <v>0</v>
      </c>
      <c r="AE4228">
        <v>0</v>
      </c>
      <c r="AF4228">
        <v>0</v>
      </c>
      <c r="AG4228">
        <v>0</v>
      </c>
      <c r="AH4228">
        <v>0</v>
      </c>
      <c r="AI4228">
        <v>0</v>
      </c>
      <c r="AJ4228">
        <v>0</v>
      </c>
      <c r="AK4228">
        <v>0</v>
      </c>
      <c r="AL4228">
        <v>0</v>
      </c>
      <c r="AM4228">
        <v>0</v>
      </c>
      <c r="AN4228">
        <v>0</v>
      </c>
      <c r="AO4228">
        <v>1</v>
      </c>
      <c r="AP4228">
        <v>0</v>
      </c>
      <c r="AQ4228">
        <v>0</v>
      </c>
      <c r="AR4228">
        <v>0</v>
      </c>
      <c r="AS4228">
        <v>0</v>
      </c>
      <c r="AT4228">
        <v>0</v>
      </c>
      <c r="AU4228">
        <f t="shared" si="130"/>
        <v>1</v>
      </c>
      <c r="AV4228">
        <f t="shared" si="131"/>
        <v>0</v>
      </c>
    </row>
    <row r="4229" spans="1:48" x14ac:dyDescent="0.25">
      <c r="A4229" t="s">
        <v>12682</v>
      </c>
      <c r="C4229" t="s">
        <v>12683</v>
      </c>
      <c r="D4229" t="s">
        <v>4683</v>
      </c>
      <c r="E4229" t="s">
        <v>1663</v>
      </c>
      <c r="F4229">
        <v>2</v>
      </c>
      <c r="G4229">
        <v>2.6</v>
      </c>
      <c r="H4229" t="s">
        <v>2327</v>
      </c>
      <c r="I4229" s="21">
        <v>42094</v>
      </c>
      <c r="J4229">
        <v>2015</v>
      </c>
      <c r="K4229" s="21">
        <v>42108</v>
      </c>
      <c r="L4229">
        <v>2015</v>
      </c>
      <c r="M4229" s="21">
        <v>42530</v>
      </c>
      <c r="N4229">
        <v>2016</v>
      </c>
      <c r="Q4229" s="262">
        <v>400000</v>
      </c>
      <c r="S4229" t="s">
        <v>114</v>
      </c>
      <c r="T4229" t="s">
        <v>114</v>
      </c>
      <c r="V4229">
        <v>4957</v>
      </c>
      <c r="W4229">
        <v>0</v>
      </c>
      <c r="X4229">
        <v>0</v>
      </c>
      <c r="Y4229">
        <v>0</v>
      </c>
      <c r="Z4229">
        <v>0</v>
      </c>
      <c r="AA4229">
        <v>0</v>
      </c>
      <c r="AB4229">
        <v>0</v>
      </c>
      <c r="AC4229">
        <v>0</v>
      </c>
      <c r="AD4229">
        <v>0</v>
      </c>
      <c r="AE4229">
        <v>0</v>
      </c>
      <c r="AF4229">
        <v>0</v>
      </c>
      <c r="AG4229">
        <v>0</v>
      </c>
      <c r="AH4229">
        <v>0</v>
      </c>
      <c r="AI4229">
        <v>0</v>
      </c>
      <c r="AJ4229">
        <v>0</v>
      </c>
      <c r="AK4229">
        <v>0</v>
      </c>
      <c r="AL4229">
        <v>0</v>
      </c>
      <c r="AM4229">
        <v>0</v>
      </c>
      <c r="AN4229">
        <v>0</v>
      </c>
      <c r="AO4229">
        <v>0</v>
      </c>
      <c r="AP4229">
        <v>0</v>
      </c>
      <c r="AQ4229">
        <v>0</v>
      </c>
      <c r="AR4229">
        <v>0</v>
      </c>
      <c r="AS4229">
        <v>0</v>
      </c>
      <c r="AT4229">
        <v>0</v>
      </c>
      <c r="AU4229">
        <f t="shared" si="130"/>
        <v>0</v>
      </c>
      <c r="AV4229">
        <f t="shared" si="131"/>
        <v>0</v>
      </c>
    </row>
    <row r="4230" spans="1:48" x14ac:dyDescent="0.25">
      <c r="A4230" t="s">
        <v>13499</v>
      </c>
      <c r="C4230" t="s">
        <v>13500</v>
      </c>
      <c r="D4230" t="s">
        <v>13501</v>
      </c>
      <c r="E4230" t="s">
        <v>1663</v>
      </c>
      <c r="F4230">
        <v>1</v>
      </c>
      <c r="G4230">
        <v>1.2</v>
      </c>
      <c r="H4230" t="s">
        <v>2017</v>
      </c>
      <c r="I4230" s="21">
        <v>42094</v>
      </c>
      <c r="J4230">
        <v>2015</v>
      </c>
      <c r="K4230" s="21">
        <v>42507</v>
      </c>
      <c r="L4230">
        <v>2016</v>
      </c>
      <c r="M4230" s="21">
        <v>42993</v>
      </c>
      <c r="N4230">
        <v>2017</v>
      </c>
      <c r="Q4230" s="262">
        <v>300000</v>
      </c>
      <c r="S4230" t="s">
        <v>114</v>
      </c>
      <c r="T4230" t="s">
        <v>114</v>
      </c>
      <c r="V4230">
        <v>0</v>
      </c>
      <c r="W4230">
        <v>0</v>
      </c>
      <c r="X4230">
        <v>0</v>
      </c>
      <c r="Y4230">
        <v>0</v>
      </c>
      <c r="Z4230">
        <v>0</v>
      </c>
      <c r="AA4230">
        <v>0</v>
      </c>
      <c r="AB4230">
        <v>0</v>
      </c>
      <c r="AC4230">
        <v>0</v>
      </c>
      <c r="AD4230">
        <v>0</v>
      </c>
      <c r="AE4230">
        <v>0</v>
      </c>
      <c r="AF4230">
        <v>0</v>
      </c>
      <c r="AG4230">
        <v>0</v>
      </c>
      <c r="AH4230">
        <v>0</v>
      </c>
      <c r="AI4230">
        <v>0</v>
      </c>
      <c r="AJ4230">
        <v>0</v>
      </c>
      <c r="AK4230">
        <v>0</v>
      </c>
      <c r="AL4230">
        <v>0</v>
      </c>
      <c r="AM4230">
        <v>0</v>
      </c>
      <c r="AN4230">
        <v>0</v>
      </c>
      <c r="AO4230">
        <v>0</v>
      </c>
      <c r="AP4230">
        <v>0</v>
      </c>
      <c r="AQ4230">
        <v>0</v>
      </c>
      <c r="AR4230">
        <v>0</v>
      </c>
      <c r="AS4230">
        <v>0</v>
      </c>
      <c r="AT4230">
        <v>0</v>
      </c>
      <c r="AU4230">
        <f t="shared" si="130"/>
        <v>0</v>
      </c>
      <c r="AV4230">
        <f t="shared" si="131"/>
        <v>0</v>
      </c>
    </row>
    <row r="4231" spans="1:48" x14ac:dyDescent="0.25">
      <c r="A4231" t="s">
        <v>12684</v>
      </c>
      <c r="B4231" t="s">
        <v>12684</v>
      </c>
      <c r="C4231" t="s">
        <v>12685</v>
      </c>
      <c r="D4231" t="s">
        <v>12686</v>
      </c>
      <c r="E4231" t="s">
        <v>2310</v>
      </c>
      <c r="F4231">
        <v>9</v>
      </c>
      <c r="G4231">
        <v>9.1</v>
      </c>
      <c r="H4231" t="s">
        <v>2323</v>
      </c>
      <c r="I4231" s="21">
        <v>42094.342592592599</v>
      </c>
      <c r="J4231">
        <v>2015</v>
      </c>
      <c r="O4231" s="21">
        <v>42263.388634259303</v>
      </c>
      <c r="Q4231" s="262">
        <v>4000</v>
      </c>
      <c r="R4231" s="262">
        <v>8000</v>
      </c>
      <c r="S4231" t="s">
        <v>114</v>
      </c>
      <c r="T4231" t="s">
        <v>114</v>
      </c>
      <c r="W4231">
        <v>175</v>
      </c>
      <c r="X4231">
        <v>0</v>
      </c>
      <c r="Y4231">
        <v>0</v>
      </c>
      <c r="Z4231">
        <v>0</v>
      </c>
      <c r="AA4231">
        <v>0</v>
      </c>
      <c r="AB4231">
        <v>0</v>
      </c>
      <c r="AC4231">
        <v>175</v>
      </c>
      <c r="AD4231">
        <v>0</v>
      </c>
      <c r="AE4231">
        <v>0</v>
      </c>
      <c r="AF4231">
        <v>0</v>
      </c>
      <c r="AG4231">
        <v>0</v>
      </c>
      <c r="AH4231">
        <v>0</v>
      </c>
      <c r="AI4231">
        <v>0</v>
      </c>
      <c r="AJ4231">
        <v>0</v>
      </c>
      <c r="AK4231">
        <v>0</v>
      </c>
      <c r="AL4231">
        <v>0</v>
      </c>
      <c r="AM4231">
        <v>0</v>
      </c>
      <c r="AN4231">
        <v>0</v>
      </c>
      <c r="AO4231">
        <v>0</v>
      </c>
      <c r="AP4231">
        <v>0</v>
      </c>
      <c r="AQ4231">
        <v>0</v>
      </c>
      <c r="AR4231">
        <v>0</v>
      </c>
      <c r="AS4231">
        <v>0</v>
      </c>
      <c r="AT4231">
        <v>0</v>
      </c>
      <c r="AU4231">
        <f t="shared" si="130"/>
        <v>0</v>
      </c>
      <c r="AV4231">
        <f t="shared" si="131"/>
        <v>0</v>
      </c>
    </row>
    <row r="4232" spans="1:48" x14ac:dyDescent="0.25">
      <c r="A4232" t="s">
        <v>17608</v>
      </c>
      <c r="B4232" t="s">
        <v>17608</v>
      </c>
      <c r="C4232" t="s">
        <v>17609</v>
      </c>
      <c r="D4232" t="s">
        <v>17610</v>
      </c>
      <c r="E4232" t="s">
        <v>2310</v>
      </c>
      <c r="F4232">
        <v>8</v>
      </c>
      <c r="G4232">
        <v>8.1</v>
      </c>
      <c r="H4232" t="s">
        <v>2323</v>
      </c>
      <c r="I4232" s="21">
        <v>42094.416250000002</v>
      </c>
      <c r="J4232">
        <v>2015</v>
      </c>
      <c r="K4232" s="21">
        <v>42891.467465277776</v>
      </c>
      <c r="L4232">
        <v>2017</v>
      </c>
      <c r="M4232" s="21">
        <v>42891.467465277776</v>
      </c>
      <c r="N4232">
        <v>2017</v>
      </c>
      <c r="Q4232" s="262">
        <v>2000000</v>
      </c>
      <c r="R4232" s="262">
        <v>748000</v>
      </c>
      <c r="S4232" t="s">
        <v>13254</v>
      </c>
      <c r="W4232">
        <v>5986</v>
      </c>
      <c r="X4232">
        <v>1</v>
      </c>
      <c r="Y4232">
        <v>0</v>
      </c>
      <c r="Z4232">
        <v>0</v>
      </c>
      <c r="AA4232">
        <v>0</v>
      </c>
      <c r="AB4232">
        <v>0</v>
      </c>
      <c r="AC4232">
        <v>5986</v>
      </c>
      <c r="AD4232">
        <v>0</v>
      </c>
      <c r="AE4232">
        <v>0</v>
      </c>
      <c r="AF4232">
        <v>0</v>
      </c>
      <c r="AG4232">
        <v>0</v>
      </c>
      <c r="AH4232">
        <v>0</v>
      </c>
      <c r="AI4232">
        <v>0</v>
      </c>
      <c r="AJ4232">
        <v>0</v>
      </c>
      <c r="AK4232">
        <v>0</v>
      </c>
      <c r="AL4232">
        <v>0</v>
      </c>
      <c r="AM4232">
        <v>0</v>
      </c>
      <c r="AN4232">
        <v>0</v>
      </c>
      <c r="AO4232">
        <v>1</v>
      </c>
      <c r="AP4232">
        <v>0</v>
      </c>
      <c r="AQ4232">
        <v>0</v>
      </c>
      <c r="AR4232">
        <v>0</v>
      </c>
      <c r="AS4232">
        <v>0</v>
      </c>
      <c r="AT4232">
        <v>0</v>
      </c>
      <c r="AU4232">
        <f t="shared" si="130"/>
        <v>1</v>
      </c>
      <c r="AV4232">
        <f t="shared" si="131"/>
        <v>0</v>
      </c>
    </row>
    <row r="4233" spans="1:48" x14ac:dyDescent="0.25">
      <c r="A4233" t="s">
        <v>17613</v>
      </c>
      <c r="B4233" t="s">
        <v>17613</v>
      </c>
      <c r="C4233" t="s">
        <v>17614</v>
      </c>
      <c r="D4233" t="s">
        <v>17610</v>
      </c>
      <c r="E4233" t="s">
        <v>2310</v>
      </c>
      <c r="F4233">
        <v>8</v>
      </c>
      <c r="G4233">
        <v>8.1</v>
      </c>
      <c r="H4233" t="s">
        <v>2323</v>
      </c>
      <c r="I4233" s="21">
        <v>42094.421840277777</v>
      </c>
      <c r="J4233">
        <v>2015</v>
      </c>
      <c r="K4233" s="21">
        <v>42891.476527777777</v>
      </c>
      <c r="L4233">
        <v>2017</v>
      </c>
      <c r="M4233" s="21">
        <v>42891.476527777777</v>
      </c>
      <c r="N4233">
        <v>2017</v>
      </c>
      <c r="Q4233" s="262">
        <v>200000</v>
      </c>
      <c r="R4233" s="262">
        <v>124000</v>
      </c>
      <c r="S4233" t="s">
        <v>13254</v>
      </c>
      <c r="W4233">
        <v>1000</v>
      </c>
      <c r="X4233">
        <v>1</v>
      </c>
      <c r="Y4233">
        <v>0</v>
      </c>
      <c r="Z4233">
        <v>0</v>
      </c>
      <c r="AA4233">
        <v>0</v>
      </c>
      <c r="AB4233">
        <v>0</v>
      </c>
      <c r="AC4233">
        <v>0</v>
      </c>
      <c r="AD4233">
        <v>0</v>
      </c>
      <c r="AE4233">
        <v>0</v>
      </c>
      <c r="AF4233">
        <v>1000</v>
      </c>
      <c r="AG4233">
        <v>0</v>
      </c>
      <c r="AH4233">
        <v>0</v>
      </c>
      <c r="AI4233">
        <v>0</v>
      </c>
      <c r="AJ4233">
        <v>0</v>
      </c>
      <c r="AK4233">
        <v>0</v>
      </c>
      <c r="AL4233">
        <v>0</v>
      </c>
      <c r="AM4233">
        <v>0</v>
      </c>
      <c r="AN4233">
        <v>0</v>
      </c>
      <c r="AO4233">
        <v>0</v>
      </c>
      <c r="AP4233">
        <v>0</v>
      </c>
      <c r="AQ4233">
        <v>0</v>
      </c>
      <c r="AR4233">
        <v>1</v>
      </c>
      <c r="AS4233">
        <v>0</v>
      </c>
      <c r="AT4233">
        <v>0</v>
      </c>
      <c r="AU4233">
        <f t="shared" si="130"/>
        <v>0</v>
      </c>
      <c r="AV4233">
        <f t="shared" si="131"/>
        <v>0</v>
      </c>
    </row>
    <row r="4234" spans="1:48" x14ac:dyDescent="0.25">
      <c r="A4234" t="s">
        <v>17615</v>
      </c>
      <c r="B4234" t="s">
        <v>17615</v>
      </c>
      <c r="C4234" t="s">
        <v>12761</v>
      </c>
      <c r="D4234" t="s">
        <v>17579</v>
      </c>
      <c r="E4234" t="s">
        <v>2310</v>
      </c>
      <c r="F4234">
        <v>8</v>
      </c>
      <c r="G4234">
        <v>8.1999999999999993</v>
      </c>
      <c r="H4234" t="s">
        <v>2022</v>
      </c>
      <c r="I4234" s="21">
        <v>42094.610509259262</v>
      </c>
      <c r="J4234">
        <v>2015</v>
      </c>
      <c r="K4234" s="21">
        <v>42852.36010416667</v>
      </c>
      <c r="L4234">
        <v>2017</v>
      </c>
      <c r="M4234" s="21">
        <v>42852.36010416667</v>
      </c>
      <c r="N4234">
        <v>2017</v>
      </c>
      <c r="Q4234" s="262">
        <v>800000</v>
      </c>
      <c r="R4234" s="262">
        <v>119000</v>
      </c>
      <c r="S4234" t="s">
        <v>13254</v>
      </c>
      <c r="W4234">
        <v>915</v>
      </c>
      <c r="X4234">
        <v>1</v>
      </c>
      <c r="Y4234">
        <v>0</v>
      </c>
      <c r="Z4234">
        <v>0</v>
      </c>
      <c r="AA4234">
        <v>0</v>
      </c>
      <c r="AB4234">
        <v>0</v>
      </c>
      <c r="AC4234">
        <v>0</v>
      </c>
      <c r="AD4234">
        <v>0</v>
      </c>
      <c r="AE4234">
        <v>0</v>
      </c>
      <c r="AF4234">
        <v>915</v>
      </c>
      <c r="AG4234">
        <v>0</v>
      </c>
      <c r="AH4234">
        <v>0</v>
      </c>
      <c r="AI4234">
        <v>0</v>
      </c>
      <c r="AJ4234">
        <v>0</v>
      </c>
      <c r="AK4234">
        <v>0</v>
      </c>
      <c r="AL4234">
        <v>0</v>
      </c>
      <c r="AM4234">
        <v>0</v>
      </c>
      <c r="AN4234">
        <v>0</v>
      </c>
      <c r="AO4234">
        <v>0</v>
      </c>
      <c r="AP4234">
        <v>0</v>
      </c>
      <c r="AQ4234">
        <v>0</v>
      </c>
      <c r="AR4234">
        <v>1</v>
      </c>
      <c r="AS4234">
        <v>0</v>
      </c>
      <c r="AT4234">
        <v>0</v>
      </c>
      <c r="AU4234">
        <f t="shared" si="130"/>
        <v>0</v>
      </c>
      <c r="AV4234">
        <f t="shared" si="131"/>
        <v>0</v>
      </c>
    </row>
    <row r="4235" spans="1:48" x14ac:dyDescent="0.25">
      <c r="A4235" t="s">
        <v>12690</v>
      </c>
      <c r="C4235" t="s">
        <v>11240</v>
      </c>
      <c r="D4235" t="s">
        <v>12691</v>
      </c>
      <c r="E4235" t="s">
        <v>1663</v>
      </c>
      <c r="F4235">
        <v>6</v>
      </c>
      <c r="G4235">
        <v>6.1</v>
      </c>
      <c r="H4235" t="s">
        <v>2017</v>
      </c>
      <c r="I4235" s="21">
        <v>42096</v>
      </c>
      <c r="J4235">
        <v>2015</v>
      </c>
      <c r="O4235" s="21">
        <v>42586</v>
      </c>
      <c r="Q4235" s="262">
        <v>648000</v>
      </c>
      <c r="S4235" t="s">
        <v>114</v>
      </c>
      <c r="T4235" t="s">
        <v>114</v>
      </c>
      <c r="W4235">
        <v>0</v>
      </c>
      <c r="X4235">
        <v>0</v>
      </c>
      <c r="Y4235">
        <v>0</v>
      </c>
      <c r="Z4235">
        <v>0</v>
      </c>
      <c r="AA4235">
        <v>0</v>
      </c>
      <c r="AB4235">
        <v>0</v>
      </c>
      <c r="AC4235">
        <v>0</v>
      </c>
      <c r="AD4235">
        <v>0</v>
      </c>
      <c r="AE4235">
        <v>0</v>
      </c>
      <c r="AF4235">
        <v>0</v>
      </c>
      <c r="AG4235">
        <v>0</v>
      </c>
      <c r="AH4235">
        <v>0</v>
      </c>
      <c r="AI4235">
        <v>0</v>
      </c>
      <c r="AJ4235">
        <v>0</v>
      </c>
      <c r="AK4235">
        <v>0</v>
      </c>
      <c r="AL4235">
        <v>0</v>
      </c>
      <c r="AM4235">
        <v>0</v>
      </c>
      <c r="AN4235">
        <v>0</v>
      </c>
      <c r="AO4235">
        <v>0</v>
      </c>
      <c r="AP4235">
        <v>0</v>
      </c>
      <c r="AQ4235">
        <v>0</v>
      </c>
      <c r="AR4235">
        <v>0</v>
      </c>
      <c r="AS4235">
        <v>0</v>
      </c>
      <c r="AT4235">
        <v>0</v>
      </c>
      <c r="AU4235">
        <f t="shared" si="130"/>
        <v>0</v>
      </c>
      <c r="AV4235">
        <f t="shared" si="131"/>
        <v>0</v>
      </c>
    </row>
    <row r="4236" spans="1:48" x14ac:dyDescent="0.25">
      <c r="A4236" t="s">
        <v>12687</v>
      </c>
      <c r="C4236" t="s">
        <v>12688</v>
      </c>
      <c r="D4236" t="s">
        <v>12689</v>
      </c>
      <c r="E4236" t="s">
        <v>1663</v>
      </c>
      <c r="F4236">
        <v>2</v>
      </c>
      <c r="G4236">
        <v>2.2999999999999998</v>
      </c>
      <c r="H4236" t="s">
        <v>2327</v>
      </c>
      <c r="I4236" s="21">
        <v>42096</v>
      </c>
      <c r="J4236">
        <v>2015</v>
      </c>
      <c r="K4236" s="21">
        <v>42096</v>
      </c>
      <c r="L4236">
        <v>2015</v>
      </c>
      <c r="P4236" s="21">
        <v>42276</v>
      </c>
      <c r="Q4236" s="262">
        <v>0</v>
      </c>
      <c r="S4236" t="s">
        <v>114</v>
      </c>
      <c r="T4236" t="s">
        <v>114</v>
      </c>
      <c r="V4236">
        <v>0</v>
      </c>
      <c r="W4236">
        <v>0</v>
      </c>
      <c r="X4236">
        <v>0</v>
      </c>
      <c r="Y4236">
        <v>0</v>
      </c>
      <c r="Z4236">
        <v>0</v>
      </c>
      <c r="AA4236">
        <v>0</v>
      </c>
      <c r="AB4236">
        <v>0</v>
      </c>
      <c r="AC4236">
        <v>0</v>
      </c>
      <c r="AD4236">
        <v>0</v>
      </c>
      <c r="AE4236">
        <v>0</v>
      </c>
      <c r="AF4236">
        <v>0</v>
      </c>
      <c r="AG4236">
        <v>0</v>
      </c>
      <c r="AH4236">
        <v>0</v>
      </c>
      <c r="AI4236">
        <v>0</v>
      </c>
      <c r="AJ4236">
        <v>0</v>
      </c>
      <c r="AK4236">
        <v>0</v>
      </c>
      <c r="AL4236">
        <v>0</v>
      </c>
      <c r="AM4236">
        <v>0</v>
      </c>
      <c r="AN4236">
        <v>0</v>
      </c>
      <c r="AO4236">
        <v>0</v>
      </c>
      <c r="AP4236">
        <v>0</v>
      </c>
      <c r="AQ4236">
        <v>0</v>
      </c>
      <c r="AR4236">
        <v>0</v>
      </c>
      <c r="AS4236">
        <v>0</v>
      </c>
      <c r="AT4236">
        <v>0</v>
      </c>
      <c r="AU4236">
        <f t="shared" si="130"/>
        <v>0</v>
      </c>
      <c r="AV4236">
        <f t="shared" si="131"/>
        <v>0</v>
      </c>
    </row>
    <row r="4237" spans="1:48" x14ac:dyDescent="0.25">
      <c r="A4237" t="s">
        <v>12692</v>
      </c>
      <c r="C4237" t="s">
        <v>12693</v>
      </c>
      <c r="D4237" t="s">
        <v>12694</v>
      </c>
      <c r="E4237" t="s">
        <v>1663</v>
      </c>
      <c r="F4237">
        <v>5</v>
      </c>
      <c r="G4237">
        <v>5.0999999999999996</v>
      </c>
      <c r="H4237" t="s">
        <v>2327</v>
      </c>
      <c r="I4237" s="21">
        <v>42101</v>
      </c>
      <c r="J4237">
        <v>2015</v>
      </c>
      <c r="K4237" s="21">
        <v>42178</v>
      </c>
      <c r="L4237">
        <v>2015</v>
      </c>
      <c r="M4237" s="21">
        <v>42292</v>
      </c>
      <c r="N4237">
        <v>2015</v>
      </c>
      <c r="Q4237" s="262">
        <v>225000</v>
      </c>
      <c r="S4237" t="s">
        <v>114</v>
      </c>
      <c r="T4237" t="s">
        <v>114</v>
      </c>
      <c r="V4237">
        <v>5310</v>
      </c>
      <c r="W4237">
        <v>0</v>
      </c>
      <c r="X4237">
        <v>0</v>
      </c>
      <c r="Y4237">
        <v>0</v>
      </c>
      <c r="Z4237">
        <v>0</v>
      </c>
      <c r="AA4237">
        <v>0</v>
      </c>
      <c r="AB4237">
        <v>0</v>
      </c>
      <c r="AC4237">
        <v>0</v>
      </c>
      <c r="AD4237">
        <v>0</v>
      </c>
      <c r="AE4237">
        <v>0</v>
      </c>
      <c r="AF4237">
        <v>0</v>
      </c>
      <c r="AG4237">
        <v>0</v>
      </c>
      <c r="AH4237">
        <v>0</v>
      </c>
      <c r="AI4237">
        <v>0</v>
      </c>
      <c r="AJ4237">
        <v>0</v>
      </c>
      <c r="AK4237">
        <v>0</v>
      </c>
      <c r="AL4237">
        <v>0</v>
      </c>
      <c r="AM4237">
        <v>0</v>
      </c>
      <c r="AN4237">
        <v>0</v>
      </c>
      <c r="AO4237">
        <v>0</v>
      </c>
      <c r="AP4237">
        <v>0</v>
      </c>
      <c r="AQ4237">
        <v>0</v>
      </c>
      <c r="AR4237">
        <v>0</v>
      </c>
      <c r="AS4237">
        <v>0</v>
      </c>
      <c r="AT4237">
        <v>0</v>
      </c>
      <c r="AU4237">
        <f t="shared" si="130"/>
        <v>0</v>
      </c>
      <c r="AV4237">
        <f t="shared" si="131"/>
        <v>0</v>
      </c>
    </row>
    <row r="4238" spans="1:48" x14ac:dyDescent="0.25">
      <c r="A4238" t="s">
        <v>12695</v>
      </c>
      <c r="B4238" t="s">
        <v>12695</v>
      </c>
      <c r="C4238" t="s">
        <v>12696</v>
      </c>
      <c r="D4238" t="s">
        <v>3943</v>
      </c>
      <c r="E4238" t="s">
        <v>2310</v>
      </c>
      <c r="F4238">
        <v>9</v>
      </c>
      <c r="G4238">
        <v>9.3000000000000007</v>
      </c>
      <c r="H4238" t="s">
        <v>2323</v>
      </c>
      <c r="I4238" s="21">
        <v>42104.5647453704</v>
      </c>
      <c r="J4238">
        <v>2015</v>
      </c>
      <c r="K4238" s="21">
        <v>42117.496157407397</v>
      </c>
      <c r="L4238">
        <v>2015</v>
      </c>
      <c r="M4238" s="21">
        <v>42340.475995370398</v>
      </c>
      <c r="N4238">
        <v>2015</v>
      </c>
      <c r="Q4238" s="262">
        <v>495000</v>
      </c>
      <c r="R4238" s="262">
        <v>23000</v>
      </c>
      <c r="S4238" t="s">
        <v>114</v>
      </c>
      <c r="T4238" t="s">
        <v>114</v>
      </c>
      <c r="V4238">
        <v>0</v>
      </c>
      <c r="W4238">
        <v>520</v>
      </c>
      <c r="X4238">
        <v>0</v>
      </c>
      <c r="Y4238">
        <v>0</v>
      </c>
      <c r="Z4238">
        <v>0</v>
      </c>
      <c r="AA4238">
        <v>0</v>
      </c>
      <c r="AB4238">
        <v>0</v>
      </c>
      <c r="AC4238">
        <v>0</v>
      </c>
      <c r="AD4238">
        <v>0</v>
      </c>
      <c r="AE4238">
        <v>0</v>
      </c>
      <c r="AF4238">
        <v>0</v>
      </c>
      <c r="AG4238">
        <v>0</v>
      </c>
      <c r="AH4238">
        <v>0</v>
      </c>
      <c r="AI4238">
        <v>0</v>
      </c>
      <c r="AJ4238">
        <v>0</v>
      </c>
      <c r="AK4238">
        <v>0</v>
      </c>
      <c r="AL4238">
        <v>0</v>
      </c>
      <c r="AM4238">
        <v>520</v>
      </c>
      <c r="AN4238">
        <v>0</v>
      </c>
      <c r="AO4238">
        <v>0</v>
      </c>
      <c r="AP4238">
        <v>0</v>
      </c>
      <c r="AQ4238">
        <v>0</v>
      </c>
      <c r="AR4238">
        <v>0</v>
      </c>
      <c r="AS4238">
        <v>0</v>
      </c>
      <c r="AT4238">
        <v>0</v>
      </c>
      <c r="AU4238">
        <f t="shared" si="130"/>
        <v>0</v>
      </c>
      <c r="AV4238">
        <f t="shared" si="131"/>
        <v>520</v>
      </c>
    </row>
    <row r="4239" spans="1:48" x14ac:dyDescent="0.25">
      <c r="A4239" t="s">
        <v>12697</v>
      </c>
      <c r="B4239" t="s">
        <v>12697</v>
      </c>
      <c r="C4239" t="s">
        <v>10073</v>
      </c>
      <c r="D4239" t="s">
        <v>12698</v>
      </c>
      <c r="E4239" t="s">
        <v>2310</v>
      </c>
      <c r="F4239">
        <v>14</v>
      </c>
      <c r="G4239">
        <v>14.2</v>
      </c>
      <c r="H4239" t="s">
        <v>2017</v>
      </c>
      <c r="I4239" s="21">
        <v>42104.604884259301</v>
      </c>
      <c r="J4239">
        <v>2015</v>
      </c>
      <c r="K4239" s="21">
        <v>42206.327465277798</v>
      </c>
      <c r="L4239">
        <v>2015</v>
      </c>
      <c r="M4239" s="21">
        <v>42398.572511574101</v>
      </c>
      <c r="N4239">
        <v>2016</v>
      </c>
      <c r="Q4239" s="262">
        <v>1</v>
      </c>
      <c r="R4239" s="262">
        <v>205000</v>
      </c>
      <c r="S4239" t="s">
        <v>114</v>
      </c>
      <c r="T4239" t="s">
        <v>114</v>
      </c>
      <c r="W4239">
        <v>1704</v>
      </c>
      <c r="X4239">
        <v>1</v>
      </c>
      <c r="Y4239">
        <v>0</v>
      </c>
      <c r="Z4239">
        <v>0</v>
      </c>
      <c r="AA4239">
        <v>0</v>
      </c>
      <c r="AB4239">
        <v>0</v>
      </c>
      <c r="AC4239">
        <v>1704</v>
      </c>
      <c r="AD4239">
        <v>0</v>
      </c>
      <c r="AE4239">
        <v>0</v>
      </c>
      <c r="AF4239">
        <v>0</v>
      </c>
      <c r="AG4239">
        <v>0</v>
      </c>
      <c r="AH4239">
        <v>0</v>
      </c>
      <c r="AI4239">
        <v>0</v>
      </c>
      <c r="AJ4239">
        <v>0</v>
      </c>
      <c r="AK4239">
        <v>0</v>
      </c>
      <c r="AL4239">
        <v>0</v>
      </c>
      <c r="AM4239">
        <v>0</v>
      </c>
      <c r="AN4239">
        <v>0</v>
      </c>
      <c r="AO4239">
        <v>1</v>
      </c>
      <c r="AP4239">
        <v>0</v>
      </c>
      <c r="AQ4239">
        <v>0</v>
      </c>
      <c r="AR4239">
        <v>0</v>
      </c>
      <c r="AS4239">
        <v>0</v>
      </c>
      <c r="AT4239">
        <v>0</v>
      </c>
      <c r="AU4239">
        <f t="shared" si="130"/>
        <v>1</v>
      </c>
      <c r="AV4239">
        <f t="shared" si="131"/>
        <v>0</v>
      </c>
    </row>
    <row r="4240" spans="1:48" x14ac:dyDescent="0.25">
      <c r="A4240" t="s">
        <v>12699</v>
      </c>
      <c r="B4240" t="s">
        <v>12699</v>
      </c>
      <c r="C4240" t="s">
        <v>12700</v>
      </c>
      <c r="D4240" t="s">
        <v>12698</v>
      </c>
      <c r="E4240" t="s">
        <v>2310</v>
      </c>
      <c r="F4240">
        <v>14</v>
      </c>
      <c r="G4240">
        <v>14.2</v>
      </c>
      <c r="H4240" t="s">
        <v>2017</v>
      </c>
      <c r="I4240" s="21">
        <v>42104.6172800926</v>
      </c>
      <c r="J4240">
        <v>2015</v>
      </c>
      <c r="K4240" s="21">
        <v>42258.344756944403</v>
      </c>
      <c r="L4240">
        <v>2015</v>
      </c>
      <c r="M4240" s="21">
        <v>42398.576423611099</v>
      </c>
      <c r="N4240">
        <v>2016</v>
      </c>
      <c r="Q4240" s="262">
        <v>200000</v>
      </c>
      <c r="R4240" s="262">
        <v>71000</v>
      </c>
      <c r="S4240" t="s">
        <v>114</v>
      </c>
      <c r="T4240" t="s">
        <v>114</v>
      </c>
      <c r="W4240">
        <v>1592</v>
      </c>
      <c r="X4240">
        <v>0</v>
      </c>
      <c r="Y4240">
        <v>0</v>
      </c>
      <c r="Z4240">
        <v>0</v>
      </c>
      <c r="AA4240">
        <v>0</v>
      </c>
      <c r="AB4240">
        <v>0</v>
      </c>
      <c r="AC4240">
        <v>1592</v>
      </c>
      <c r="AD4240">
        <v>0</v>
      </c>
      <c r="AE4240">
        <v>0</v>
      </c>
      <c r="AF4240">
        <v>0</v>
      </c>
      <c r="AG4240">
        <v>0</v>
      </c>
      <c r="AH4240">
        <v>0</v>
      </c>
      <c r="AI4240">
        <v>0</v>
      </c>
      <c r="AJ4240">
        <v>0</v>
      </c>
      <c r="AK4240">
        <v>0</v>
      </c>
      <c r="AL4240">
        <v>0</v>
      </c>
      <c r="AM4240">
        <v>0</v>
      </c>
      <c r="AN4240">
        <v>0</v>
      </c>
      <c r="AO4240">
        <v>0</v>
      </c>
      <c r="AP4240">
        <v>0</v>
      </c>
      <c r="AQ4240">
        <v>0</v>
      </c>
      <c r="AR4240">
        <v>0</v>
      </c>
      <c r="AS4240">
        <v>0</v>
      </c>
      <c r="AT4240">
        <v>0</v>
      </c>
      <c r="AU4240">
        <f t="shared" si="130"/>
        <v>0</v>
      </c>
      <c r="AV4240">
        <f t="shared" si="131"/>
        <v>0</v>
      </c>
    </row>
    <row r="4241" spans="1:48" x14ac:dyDescent="0.25">
      <c r="A4241" t="s">
        <v>12704</v>
      </c>
      <c r="C4241" t="s">
        <v>12705</v>
      </c>
      <c r="D4241" t="s">
        <v>12706</v>
      </c>
      <c r="E4241" t="s">
        <v>1663</v>
      </c>
      <c r="F4241">
        <v>3</v>
      </c>
      <c r="G4241">
        <v>3.2</v>
      </c>
      <c r="H4241" t="s">
        <v>2327</v>
      </c>
      <c r="I4241" s="21">
        <v>42107</v>
      </c>
      <c r="J4241">
        <v>2015</v>
      </c>
      <c r="K4241" s="21">
        <v>42159</v>
      </c>
      <c r="L4241">
        <v>2015</v>
      </c>
      <c r="M4241" s="21">
        <v>42515</v>
      </c>
      <c r="N4241">
        <v>2016</v>
      </c>
      <c r="Q4241" s="262">
        <v>700000</v>
      </c>
      <c r="S4241" t="s">
        <v>114</v>
      </c>
      <c r="T4241" t="s">
        <v>114</v>
      </c>
      <c r="W4241">
        <v>3628</v>
      </c>
      <c r="X4241">
        <v>2</v>
      </c>
      <c r="Y4241">
        <v>0</v>
      </c>
      <c r="Z4241">
        <v>0</v>
      </c>
      <c r="AA4241">
        <v>0</v>
      </c>
      <c r="AB4241">
        <v>0</v>
      </c>
      <c r="AC4241">
        <v>2956</v>
      </c>
      <c r="AD4241">
        <v>0</v>
      </c>
      <c r="AE4241">
        <v>672</v>
      </c>
      <c r="AF4241">
        <v>0</v>
      </c>
      <c r="AG4241">
        <v>0</v>
      </c>
      <c r="AH4241">
        <v>0</v>
      </c>
      <c r="AI4241">
        <v>0</v>
      </c>
      <c r="AJ4241">
        <v>0</v>
      </c>
      <c r="AK4241">
        <v>0</v>
      </c>
      <c r="AL4241">
        <v>0</v>
      </c>
      <c r="AM4241">
        <v>0</v>
      </c>
      <c r="AN4241">
        <v>0</v>
      </c>
      <c r="AO4241">
        <v>1</v>
      </c>
      <c r="AP4241">
        <v>0</v>
      </c>
      <c r="AQ4241">
        <v>1</v>
      </c>
      <c r="AR4241">
        <v>0</v>
      </c>
      <c r="AS4241">
        <v>0</v>
      </c>
      <c r="AT4241">
        <v>0</v>
      </c>
      <c r="AU4241">
        <f t="shared" si="130"/>
        <v>2</v>
      </c>
      <c r="AV4241">
        <f t="shared" si="131"/>
        <v>0</v>
      </c>
    </row>
    <row r="4242" spans="1:48" x14ac:dyDescent="0.25">
      <c r="A4242" t="s">
        <v>12701</v>
      </c>
      <c r="C4242" t="s">
        <v>12702</v>
      </c>
      <c r="D4242" t="s">
        <v>12703</v>
      </c>
      <c r="E4242" t="s">
        <v>1663</v>
      </c>
      <c r="F4242">
        <v>3</v>
      </c>
      <c r="G4242">
        <v>3.1</v>
      </c>
      <c r="H4242" t="s">
        <v>2017</v>
      </c>
      <c r="I4242" s="21">
        <v>42107</v>
      </c>
      <c r="J4242">
        <v>2015</v>
      </c>
      <c r="O4242" s="21">
        <v>42447</v>
      </c>
      <c r="Q4242" s="262">
        <v>100000</v>
      </c>
      <c r="S4242" t="s">
        <v>114</v>
      </c>
      <c r="T4242" t="s">
        <v>114</v>
      </c>
      <c r="W4242">
        <v>0</v>
      </c>
      <c r="X4242">
        <v>0</v>
      </c>
      <c r="Y4242">
        <v>0</v>
      </c>
      <c r="Z4242">
        <v>0</v>
      </c>
      <c r="AA4242">
        <v>0</v>
      </c>
      <c r="AB4242">
        <v>0</v>
      </c>
      <c r="AC4242">
        <v>0</v>
      </c>
      <c r="AD4242">
        <v>0</v>
      </c>
      <c r="AE4242">
        <v>0</v>
      </c>
      <c r="AF4242">
        <v>0</v>
      </c>
      <c r="AG4242">
        <v>0</v>
      </c>
      <c r="AH4242">
        <v>0</v>
      </c>
      <c r="AI4242">
        <v>0</v>
      </c>
      <c r="AJ4242">
        <v>0</v>
      </c>
      <c r="AK4242">
        <v>0</v>
      </c>
      <c r="AL4242">
        <v>0</v>
      </c>
      <c r="AM4242">
        <v>0</v>
      </c>
      <c r="AN4242">
        <v>0</v>
      </c>
      <c r="AO4242">
        <v>0</v>
      </c>
      <c r="AP4242">
        <v>0</v>
      </c>
      <c r="AQ4242">
        <v>0</v>
      </c>
      <c r="AR4242">
        <v>0</v>
      </c>
      <c r="AS4242">
        <v>0</v>
      </c>
      <c r="AT4242">
        <v>0</v>
      </c>
      <c r="AU4242">
        <f t="shared" si="130"/>
        <v>0</v>
      </c>
      <c r="AV4242">
        <f t="shared" si="131"/>
        <v>0</v>
      </c>
    </row>
    <row r="4243" spans="1:48" x14ac:dyDescent="0.25">
      <c r="A4243" t="s">
        <v>12707</v>
      </c>
      <c r="C4243" t="s">
        <v>12708</v>
      </c>
      <c r="D4243" t="s">
        <v>12643</v>
      </c>
      <c r="E4243" t="s">
        <v>1663</v>
      </c>
      <c r="F4243">
        <v>2</v>
      </c>
      <c r="G4243">
        <v>2.2999999999999998</v>
      </c>
      <c r="H4243" t="s">
        <v>2327</v>
      </c>
      <c r="I4243" s="21">
        <v>42107</v>
      </c>
      <c r="J4243">
        <v>2015</v>
      </c>
      <c r="K4243" s="21">
        <v>42128</v>
      </c>
      <c r="L4243">
        <v>2015</v>
      </c>
      <c r="M4243" s="21">
        <v>42263</v>
      </c>
      <c r="N4243">
        <v>2015</v>
      </c>
      <c r="Q4243" s="262">
        <v>165660</v>
      </c>
      <c r="S4243" t="s">
        <v>114</v>
      </c>
      <c r="T4243" t="s">
        <v>114</v>
      </c>
      <c r="V4243">
        <v>1506</v>
      </c>
      <c r="W4243">
        <v>0</v>
      </c>
      <c r="X4243">
        <v>0</v>
      </c>
      <c r="Y4243">
        <v>0</v>
      </c>
      <c r="Z4243">
        <v>0</v>
      </c>
      <c r="AA4243">
        <v>0</v>
      </c>
      <c r="AB4243">
        <v>0</v>
      </c>
      <c r="AC4243">
        <v>0</v>
      </c>
      <c r="AD4243">
        <v>0</v>
      </c>
      <c r="AE4243">
        <v>0</v>
      </c>
      <c r="AF4243">
        <v>0</v>
      </c>
      <c r="AG4243">
        <v>0</v>
      </c>
      <c r="AH4243">
        <v>0</v>
      </c>
      <c r="AI4243">
        <v>0</v>
      </c>
      <c r="AJ4243">
        <v>0</v>
      </c>
      <c r="AK4243">
        <v>0</v>
      </c>
      <c r="AL4243">
        <v>0</v>
      </c>
      <c r="AM4243">
        <v>0</v>
      </c>
      <c r="AN4243">
        <v>0</v>
      </c>
      <c r="AO4243">
        <v>0</v>
      </c>
      <c r="AP4243">
        <v>0</v>
      </c>
      <c r="AQ4243">
        <v>0</v>
      </c>
      <c r="AR4243">
        <v>0</v>
      </c>
      <c r="AS4243">
        <v>0</v>
      </c>
      <c r="AT4243">
        <v>0</v>
      </c>
      <c r="AU4243">
        <f t="shared" si="130"/>
        <v>0</v>
      </c>
      <c r="AV4243">
        <f t="shared" si="131"/>
        <v>0</v>
      </c>
    </row>
    <row r="4244" spans="1:48" x14ac:dyDescent="0.25">
      <c r="A4244" t="s">
        <v>12709</v>
      </c>
      <c r="B4244" t="s">
        <v>12709</v>
      </c>
      <c r="C4244" t="s">
        <v>12710</v>
      </c>
      <c r="D4244" t="s">
        <v>3182</v>
      </c>
      <c r="E4244" t="s">
        <v>2310</v>
      </c>
      <c r="F4244">
        <v>9</v>
      </c>
      <c r="G4244">
        <v>9.4</v>
      </c>
      <c r="H4244" t="s">
        <v>2323</v>
      </c>
      <c r="I4244" s="21">
        <v>42107.484409722201</v>
      </c>
      <c r="J4244">
        <v>2015</v>
      </c>
      <c r="K4244" s="21">
        <v>42502.366388888899</v>
      </c>
      <c r="L4244">
        <v>2016</v>
      </c>
      <c r="M4244" s="21">
        <v>42587.5609259259</v>
      </c>
      <c r="N4244">
        <v>2016</v>
      </c>
      <c r="Q4244" s="262">
        <v>20000</v>
      </c>
      <c r="R4244" s="262">
        <v>123000</v>
      </c>
      <c r="S4244" t="s">
        <v>114</v>
      </c>
      <c r="T4244" t="s">
        <v>114</v>
      </c>
      <c r="V4244">
        <v>1305</v>
      </c>
      <c r="W4244">
        <v>0</v>
      </c>
      <c r="X4244">
        <v>0</v>
      </c>
      <c r="Y4244">
        <v>0</v>
      </c>
      <c r="Z4244">
        <v>0</v>
      </c>
      <c r="AA4244">
        <v>0</v>
      </c>
      <c r="AB4244">
        <v>0</v>
      </c>
      <c r="AC4244">
        <v>0</v>
      </c>
      <c r="AD4244">
        <v>0</v>
      </c>
      <c r="AE4244">
        <v>1305</v>
      </c>
      <c r="AF4244">
        <v>0</v>
      </c>
      <c r="AG4244">
        <v>0</v>
      </c>
      <c r="AH4244">
        <v>0</v>
      </c>
      <c r="AI4244">
        <v>-1305</v>
      </c>
      <c r="AJ4244">
        <v>0</v>
      </c>
      <c r="AK4244">
        <v>0</v>
      </c>
      <c r="AL4244">
        <v>0</v>
      </c>
      <c r="AM4244">
        <v>0</v>
      </c>
      <c r="AN4244">
        <v>0</v>
      </c>
      <c r="AO4244">
        <v>0</v>
      </c>
      <c r="AP4244">
        <v>0</v>
      </c>
      <c r="AQ4244">
        <v>0</v>
      </c>
      <c r="AR4244">
        <v>0</v>
      </c>
      <c r="AS4244">
        <v>0</v>
      </c>
      <c r="AT4244">
        <v>0</v>
      </c>
      <c r="AU4244">
        <f t="shared" si="130"/>
        <v>0</v>
      </c>
      <c r="AV4244">
        <f t="shared" si="131"/>
        <v>-1305</v>
      </c>
    </row>
    <row r="4245" spans="1:48" x14ac:dyDescent="0.25">
      <c r="A4245" t="s">
        <v>16969</v>
      </c>
      <c r="B4245" t="s">
        <v>16969</v>
      </c>
      <c r="C4245" t="s">
        <v>16970</v>
      </c>
      <c r="D4245" t="s">
        <v>16971</v>
      </c>
      <c r="E4245" t="s">
        <v>2310</v>
      </c>
      <c r="F4245">
        <v>15</v>
      </c>
      <c r="G4245">
        <v>15.2</v>
      </c>
      <c r="H4245" t="s">
        <v>2323</v>
      </c>
      <c r="I4245" s="21">
        <v>42107.690613425897</v>
      </c>
      <c r="J4245">
        <v>2015</v>
      </c>
      <c r="K4245" s="21">
        <v>43038.635011574101</v>
      </c>
      <c r="L4245">
        <v>2017</v>
      </c>
      <c r="M4245" s="21">
        <v>43138.4066087963</v>
      </c>
      <c r="N4245">
        <v>2018</v>
      </c>
      <c r="S4245" t="s">
        <v>9529</v>
      </c>
      <c r="T4245">
        <v>2464</v>
      </c>
      <c r="U4245">
        <v>5</v>
      </c>
      <c r="W4245">
        <v>-6875</v>
      </c>
      <c r="X4245">
        <v>-1</v>
      </c>
      <c r="Y4245">
        <v>0</v>
      </c>
      <c r="Z4245">
        <v>0</v>
      </c>
      <c r="AA4245">
        <v>0</v>
      </c>
      <c r="AB4245">
        <v>0</v>
      </c>
      <c r="AC4245">
        <v>-6875</v>
      </c>
      <c r="AD4245">
        <v>0</v>
      </c>
      <c r="AE4245">
        <v>0</v>
      </c>
      <c r="AF4245">
        <v>0</v>
      </c>
      <c r="AG4245">
        <v>0</v>
      </c>
      <c r="AH4245">
        <v>0</v>
      </c>
      <c r="AI4245">
        <v>0</v>
      </c>
      <c r="AJ4245">
        <v>0</v>
      </c>
      <c r="AK4245">
        <v>0</v>
      </c>
      <c r="AL4245">
        <v>0</v>
      </c>
      <c r="AM4245">
        <v>0</v>
      </c>
      <c r="AN4245">
        <v>0</v>
      </c>
      <c r="AO4245">
        <v>-1</v>
      </c>
      <c r="AP4245">
        <v>0</v>
      </c>
      <c r="AQ4245">
        <v>0</v>
      </c>
      <c r="AR4245">
        <v>0</v>
      </c>
      <c r="AS4245">
        <v>0</v>
      </c>
      <c r="AT4245">
        <v>0</v>
      </c>
      <c r="AU4245">
        <f t="shared" si="130"/>
        <v>-1</v>
      </c>
      <c r="AV4245">
        <f t="shared" si="131"/>
        <v>0</v>
      </c>
    </row>
    <row r="4246" spans="1:48" x14ac:dyDescent="0.25">
      <c r="A4246" t="s">
        <v>16969</v>
      </c>
      <c r="B4246" t="s">
        <v>16969</v>
      </c>
      <c r="C4246" t="s">
        <v>16970</v>
      </c>
      <c r="D4246" t="s">
        <v>16971</v>
      </c>
      <c r="E4246" t="s">
        <v>2310</v>
      </c>
      <c r="F4246">
        <v>15</v>
      </c>
      <c r="G4246">
        <v>15.2</v>
      </c>
      <c r="H4246" t="s">
        <v>2323</v>
      </c>
      <c r="I4246" s="21">
        <v>42107.690613425926</v>
      </c>
      <c r="J4246">
        <v>2015</v>
      </c>
      <c r="K4246" s="21">
        <v>43038.635011574072</v>
      </c>
      <c r="L4246">
        <v>2017</v>
      </c>
      <c r="M4246" s="21">
        <v>43138.406608796293</v>
      </c>
      <c r="N4246">
        <v>2018</v>
      </c>
      <c r="Q4246" s="262">
        <v>3500000</v>
      </c>
      <c r="R4246" s="262">
        <v>1164000</v>
      </c>
      <c r="S4246" t="s">
        <v>12464</v>
      </c>
      <c r="T4246">
        <v>2464</v>
      </c>
      <c r="W4246">
        <v>8331</v>
      </c>
      <c r="X4246">
        <v>1</v>
      </c>
      <c r="Y4246">
        <v>0</v>
      </c>
      <c r="Z4246">
        <v>0</v>
      </c>
      <c r="AA4246">
        <v>0</v>
      </c>
      <c r="AB4246">
        <v>0</v>
      </c>
      <c r="AC4246">
        <v>8331</v>
      </c>
      <c r="AD4246">
        <v>0</v>
      </c>
      <c r="AE4246">
        <v>0</v>
      </c>
      <c r="AF4246">
        <v>0</v>
      </c>
      <c r="AG4246">
        <v>0</v>
      </c>
      <c r="AH4246">
        <v>0</v>
      </c>
      <c r="AI4246">
        <v>0</v>
      </c>
      <c r="AJ4246">
        <v>0</v>
      </c>
      <c r="AK4246">
        <v>0</v>
      </c>
      <c r="AL4246">
        <v>0</v>
      </c>
      <c r="AM4246">
        <v>0</v>
      </c>
      <c r="AN4246">
        <v>0</v>
      </c>
      <c r="AO4246">
        <v>1</v>
      </c>
      <c r="AP4246">
        <v>0</v>
      </c>
      <c r="AQ4246">
        <v>0</v>
      </c>
      <c r="AR4246">
        <v>0</v>
      </c>
      <c r="AS4246">
        <v>0</v>
      </c>
      <c r="AT4246">
        <v>0</v>
      </c>
      <c r="AU4246">
        <f t="shared" si="130"/>
        <v>1</v>
      </c>
      <c r="AV4246">
        <f t="shared" si="131"/>
        <v>0</v>
      </c>
    </row>
    <row r="4247" spans="1:48" x14ac:dyDescent="0.25">
      <c r="A4247" t="s">
        <v>12721</v>
      </c>
      <c r="C4247" t="s">
        <v>12717</v>
      </c>
      <c r="D4247" t="s">
        <v>12722</v>
      </c>
      <c r="E4247" t="s">
        <v>1663</v>
      </c>
      <c r="F4247">
        <v>4</v>
      </c>
      <c r="G4247">
        <v>4.5999999999999996</v>
      </c>
      <c r="H4247" t="s">
        <v>2327</v>
      </c>
      <c r="I4247" s="21">
        <v>42108</v>
      </c>
      <c r="J4247">
        <v>2015</v>
      </c>
      <c r="K4247" s="21">
        <v>42179</v>
      </c>
      <c r="L4247">
        <v>2015</v>
      </c>
      <c r="M4247" s="21">
        <v>42569</v>
      </c>
      <c r="N4247">
        <v>2016</v>
      </c>
      <c r="Q4247" s="262">
        <v>1657746.16</v>
      </c>
      <c r="S4247" t="s">
        <v>114</v>
      </c>
      <c r="T4247" t="s">
        <v>114</v>
      </c>
      <c r="W4247">
        <v>6280</v>
      </c>
      <c r="X4247">
        <v>4</v>
      </c>
      <c r="Y4247">
        <v>0</v>
      </c>
      <c r="Z4247">
        <v>0</v>
      </c>
      <c r="AA4247">
        <v>0</v>
      </c>
      <c r="AB4247">
        <v>0</v>
      </c>
      <c r="AC4247">
        <v>0</v>
      </c>
      <c r="AD4247">
        <v>6280</v>
      </c>
      <c r="AE4247">
        <v>0</v>
      </c>
      <c r="AF4247">
        <v>0</v>
      </c>
      <c r="AG4247">
        <v>0</v>
      </c>
      <c r="AH4247">
        <v>0</v>
      </c>
      <c r="AI4247">
        <v>0</v>
      </c>
      <c r="AJ4247">
        <v>0</v>
      </c>
      <c r="AK4247">
        <v>0</v>
      </c>
      <c r="AL4247">
        <v>0</v>
      </c>
      <c r="AM4247">
        <v>0</v>
      </c>
      <c r="AN4247">
        <v>0</v>
      </c>
      <c r="AO4247">
        <v>0</v>
      </c>
      <c r="AP4247">
        <v>4</v>
      </c>
      <c r="AQ4247">
        <v>0</v>
      </c>
      <c r="AR4247">
        <v>0</v>
      </c>
      <c r="AS4247">
        <v>0</v>
      </c>
      <c r="AT4247">
        <v>0</v>
      </c>
      <c r="AU4247">
        <f t="shared" si="130"/>
        <v>4</v>
      </c>
      <c r="AV4247">
        <f t="shared" si="131"/>
        <v>0</v>
      </c>
    </row>
    <row r="4248" spans="1:48" x14ac:dyDescent="0.25">
      <c r="A4248" t="s">
        <v>12723</v>
      </c>
      <c r="C4248" t="s">
        <v>12717</v>
      </c>
      <c r="D4248" t="s">
        <v>12722</v>
      </c>
      <c r="E4248" t="s">
        <v>1663</v>
      </c>
      <c r="F4248">
        <v>4</v>
      </c>
      <c r="G4248">
        <v>4.5999999999999996</v>
      </c>
      <c r="H4248" t="s">
        <v>2327</v>
      </c>
      <c r="I4248" s="21">
        <v>42108</v>
      </c>
      <c r="J4248">
        <v>2015</v>
      </c>
      <c r="K4248" s="21">
        <v>42179</v>
      </c>
      <c r="L4248">
        <v>2015</v>
      </c>
      <c r="M4248" s="21">
        <v>42569</v>
      </c>
      <c r="N4248">
        <v>2016</v>
      </c>
      <c r="Q4248" s="262">
        <v>1657746.16</v>
      </c>
      <c r="S4248" t="s">
        <v>114</v>
      </c>
      <c r="T4248" t="s">
        <v>114</v>
      </c>
      <c r="W4248">
        <v>6280</v>
      </c>
      <c r="X4248">
        <v>4</v>
      </c>
      <c r="Y4248">
        <v>0</v>
      </c>
      <c r="Z4248">
        <v>0</v>
      </c>
      <c r="AA4248">
        <v>0</v>
      </c>
      <c r="AB4248">
        <v>0</v>
      </c>
      <c r="AC4248">
        <v>0</v>
      </c>
      <c r="AD4248">
        <v>6280</v>
      </c>
      <c r="AE4248">
        <v>0</v>
      </c>
      <c r="AF4248">
        <v>0</v>
      </c>
      <c r="AG4248">
        <v>0</v>
      </c>
      <c r="AH4248">
        <v>0</v>
      </c>
      <c r="AI4248">
        <v>0</v>
      </c>
      <c r="AJ4248">
        <v>0</v>
      </c>
      <c r="AK4248">
        <v>0</v>
      </c>
      <c r="AL4248">
        <v>0</v>
      </c>
      <c r="AM4248">
        <v>0</v>
      </c>
      <c r="AN4248">
        <v>0</v>
      </c>
      <c r="AO4248">
        <v>0</v>
      </c>
      <c r="AP4248">
        <v>4</v>
      </c>
      <c r="AQ4248">
        <v>0</v>
      </c>
      <c r="AR4248">
        <v>0</v>
      </c>
      <c r="AS4248">
        <v>0</v>
      </c>
      <c r="AT4248">
        <v>0</v>
      </c>
      <c r="AU4248">
        <f t="shared" si="130"/>
        <v>4</v>
      </c>
      <c r="AV4248">
        <f t="shared" si="131"/>
        <v>0</v>
      </c>
    </row>
    <row r="4249" spans="1:48" x14ac:dyDescent="0.25">
      <c r="A4249" t="s">
        <v>12724</v>
      </c>
      <c r="C4249" t="s">
        <v>12717</v>
      </c>
      <c r="D4249" t="s">
        <v>12722</v>
      </c>
      <c r="E4249" t="s">
        <v>1663</v>
      </c>
      <c r="F4249">
        <v>4</v>
      </c>
      <c r="G4249">
        <v>4.5999999999999996</v>
      </c>
      <c r="H4249" t="s">
        <v>2327</v>
      </c>
      <c r="I4249" s="21">
        <v>42108</v>
      </c>
      <c r="J4249">
        <v>2015</v>
      </c>
      <c r="K4249" s="21">
        <v>42179</v>
      </c>
      <c r="L4249">
        <v>2015</v>
      </c>
      <c r="M4249" s="21">
        <v>42569</v>
      </c>
      <c r="N4249">
        <v>2016</v>
      </c>
      <c r="Q4249" s="262">
        <v>1657746.16</v>
      </c>
      <c r="S4249" t="s">
        <v>114</v>
      </c>
      <c r="T4249" t="s">
        <v>114</v>
      </c>
      <c r="W4249">
        <v>6280</v>
      </c>
      <c r="X4249">
        <v>4</v>
      </c>
      <c r="Y4249">
        <v>0</v>
      </c>
      <c r="Z4249">
        <v>0</v>
      </c>
      <c r="AA4249">
        <v>0</v>
      </c>
      <c r="AB4249">
        <v>0</v>
      </c>
      <c r="AC4249">
        <v>0</v>
      </c>
      <c r="AD4249">
        <v>6280</v>
      </c>
      <c r="AE4249">
        <v>0</v>
      </c>
      <c r="AF4249">
        <v>0</v>
      </c>
      <c r="AG4249">
        <v>0</v>
      </c>
      <c r="AH4249">
        <v>0</v>
      </c>
      <c r="AI4249">
        <v>0</v>
      </c>
      <c r="AJ4249">
        <v>0</v>
      </c>
      <c r="AK4249">
        <v>0</v>
      </c>
      <c r="AL4249">
        <v>0</v>
      </c>
      <c r="AM4249">
        <v>0</v>
      </c>
      <c r="AN4249">
        <v>0</v>
      </c>
      <c r="AO4249">
        <v>0</v>
      </c>
      <c r="AP4249">
        <v>4</v>
      </c>
      <c r="AQ4249">
        <v>0</v>
      </c>
      <c r="AR4249">
        <v>0</v>
      </c>
      <c r="AS4249">
        <v>0</v>
      </c>
      <c r="AT4249">
        <v>0</v>
      </c>
      <c r="AU4249">
        <f t="shared" ref="AU4249:AU4312" si="132">SUM(AN4249:AQ4249,AS4249)</f>
        <v>4</v>
      </c>
      <c r="AV4249">
        <f t="shared" ref="AV4249:AV4312" si="133">SUM(Y4249:AB4249,AH4249:AM4249)</f>
        <v>0</v>
      </c>
    </row>
    <row r="4250" spans="1:48" x14ac:dyDescent="0.25">
      <c r="A4250" t="s">
        <v>12725</v>
      </c>
      <c r="C4250" t="s">
        <v>12717</v>
      </c>
      <c r="D4250" t="s">
        <v>12722</v>
      </c>
      <c r="E4250" t="s">
        <v>1663</v>
      </c>
      <c r="F4250">
        <v>4</v>
      </c>
      <c r="G4250">
        <v>4.5999999999999996</v>
      </c>
      <c r="H4250" t="s">
        <v>2327</v>
      </c>
      <c r="I4250" s="21">
        <v>42108</v>
      </c>
      <c r="J4250">
        <v>2015</v>
      </c>
      <c r="K4250" s="21">
        <v>42179</v>
      </c>
      <c r="L4250">
        <v>2015</v>
      </c>
      <c r="M4250" s="21">
        <v>42569</v>
      </c>
      <c r="N4250">
        <v>2016</v>
      </c>
      <c r="Q4250" s="262">
        <v>1657746.16</v>
      </c>
      <c r="S4250" t="s">
        <v>114</v>
      </c>
      <c r="T4250" t="s">
        <v>114</v>
      </c>
      <c r="W4250">
        <v>6280</v>
      </c>
      <c r="X4250">
        <v>4</v>
      </c>
      <c r="Y4250">
        <v>0</v>
      </c>
      <c r="Z4250">
        <v>0</v>
      </c>
      <c r="AA4250">
        <v>0</v>
      </c>
      <c r="AB4250">
        <v>0</v>
      </c>
      <c r="AC4250">
        <v>0</v>
      </c>
      <c r="AD4250">
        <v>6280</v>
      </c>
      <c r="AE4250">
        <v>0</v>
      </c>
      <c r="AF4250">
        <v>0</v>
      </c>
      <c r="AG4250">
        <v>0</v>
      </c>
      <c r="AH4250">
        <v>0</v>
      </c>
      <c r="AI4250">
        <v>0</v>
      </c>
      <c r="AJ4250">
        <v>0</v>
      </c>
      <c r="AK4250">
        <v>0</v>
      </c>
      <c r="AL4250">
        <v>0</v>
      </c>
      <c r="AM4250">
        <v>0</v>
      </c>
      <c r="AN4250">
        <v>0</v>
      </c>
      <c r="AO4250">
        <v>0</v>
      </c>
      <c r="AP4250">
        <v>4</v>
      </c>
      <c r="AQ4250">
        <v>0</v>
      </c>
      <c r="AR4250">
        <v>0</v>
      </c>
      <c r="AS4250">
        <v>0</v>
      </c>
      <c r="AT4250">
        <v>0</v>
      </c>
      <c r="AU4250">
        <f t="shared" si="132"/>
        <v>4</v>
      </c>
      <c r="AV4250">
        <f t="shared" si="133"/>
        <v>0</v>
      </c>
    </row>
    <row r="4251" spans="1:48" x14ac:dyDescent="0.25">
      <c r="A4251" t="s">
        <v>12726</v>
      </c>
      <c r="C4251" t="s">
        <v>12715</v>
      </c>
      <c r="D4251" t="s">
        <v>12722</v>
      </c>
      <c r="E4251" t="s">
        <v>1663</v>
      </c>
      <c r="F4251">
        <v>4</v>
      </c>
      <c r="G4251">
        <v>4.5999999999999996</v>
      </c>
      <c r="H4251" t="s">
        <v>2327</v>
      </c>
      <c r="I4251" s="21">
        <v>42108</v>
      </c>
      <c r="J4251">
        <v>2015</v>
      </c>
      <c r="K4251" s="21">
        <v>42179</v>
      </c>
      <c r="L4251">
        <v>2015</v>
      </c>
      <c r="M4251" s="21">
        <v>42569</v>
      </c>
      <c r="N4251">
        <v>2016</v>
      </c>
      <c r="Q4251" s="262">
        <v>1657746.16</v>
      </c>
      <c r="S4251" t="s">
        <v>114</v>
      </c>
      <c r="T4251" t="s">
        <v>114</v>
      </c>
      <c r="W4251">
        <v>6280</v>
      </c>
      <c r="X4251">
        <v>4</v>
      </c>
      <c r="Y4251">
        <v>0</v>
      </c>
      <c r="Z4251">
        <v>0</v>
      </c>
      <c r="AA4251">
        <v>0</v>
      </c>
      <c r="AB4251">
        <v>0</v>
      </c>
      <c r="AC4251">
        <v>0</v>
      </c>
      <c r="AD4251">
        <v>6280</v>
      </c>
      <c r="AE4251">
        <v>0</v>
      </c>
      <c r="AF4251">
        <v>0</v>
      </c>
      <c r="AG4251">
        <v>0</v>
      </c>
      <c r="AH4251">
        <v>0</v>
      </c>
      <c r="AI4251">
        <v>0</v>
      </c>
      <c r="AJ4251">
        <v>0</v>
      </c>
      <c r="AK4251">
        <v>0</v>
      </c>
      <c r="AL4251">
        <v>0</v>
      </c>
      <c r="AM4251">
        <v>0</v>
      </c>
      <c r="AN4251">
        <v>0</v>
      </c>
      <c r="AO4251">
        <v>0</v>
      </c>
      <c r="AP4251">
        <v>4</v>
      </c>
      <c r="AQ4251">
        <v>0</v>
      </c>
      <c r="AR4251">
        <v>0</v>
      </c>
      <c r="AS4251">
        <v>0</v>
      </c>
      <c r="AT4251">
        <v>0</v>
      </c>
      <c r="AU4251">
        <f t="shared" si="132"/>
        <v>4</v>
      </c>
      <c r="AV4251">
        <f t="shared" si="133"/>
        <v>0</v>
      </c>
    </row>
    <row r="4252" spans="1:48" x14ac:dyDescent="0.25">
      <c r="A4252" t="s">
        <v>12727</v>
      </c>
      <c r="C4252" t="s">
        <v>12717</v>
      </c>
      <c r="D4252" t="s">
        <v>12722</v>
      </c>
      <c r="E4252" t="s">
        <v>1663</v>
      </c>
      <c r="F4252">
        <v>4</v>
      </c>
      <c r="G4252">
        <v>4.5999999999999996</v>
      </c>
      <c r="H4252" t="s">
        <v>2327</v>
      </c>
      <c r="I4252" s="21">
        <v>42108</v>
      </c>
      <c r="J4252">
        <v>2015</v>
      </c>
      <c r="K4252" s="21">
        <v>42179</v>
      </c>
      <c r="L4252">
        <v>2015</v>
      </c>
      <c r="P4252" s="21">
        <v>42744</v>
      </c>
      <c r="Q4252" s="262">
        <v>1657746.16</v>
      </c>
      <c r="S4252" t="s">
        <v>114</v>
      </c>
      <c r="T4252" t="s">
        <v>114</v>
      </c>
      <c r="W4252">
        <v>6280</v>
      </c>
      <c r="X4252">
        <v>4</v>
      </c>
      <c r="Y4252">
        <v>0</v>
      </c>
      <c r="Z4252">
        <v>0</v>
      </c>
      <c r="AA4252">
        <v>0</v>
      </c>
      <c r="AB4252">
        <v>0</v>
      </c>
      <c r="AC4252">
        <v>0</v>
      </c>
      <c r="AD4252">
        <v>6280</v>
      </c>
      <c r="AE4252">
        <v>0</v>
      </c>
      <c r="AF4252">
        <v>0</v>
      </c>
      <c r="AG4252">
        <v>0</v>
      </c>
      <c r="AH4252">
        <v>0</v>
      </c>
      <c r="AI4252">
        <v>0</v>
      </c>
      <c r="AJ4252">
        <v>0</v>
      </c>
      <c r="AK4252">
        <v>0</v>
      </c>
      <c r="AL4252">
        <v>0</v>
      </c>
      <c r="AM4252">
        <v>0</v>
      </c>
      <c r="AN4252">
        <v>0</v>
      </c>
      <c r="AO4252">
        <v>0</v>
      </c>
      <c r="AP4252">
        <v>4</v>
      </c>
      <c r="AQ4252">
        <v>0</v>
      </c>
      <c r="AR4252">
        <v>0</v>
      </c>
      <c r="AS4252">
        <v>0</v>
      </c>
      <c r="AT4252">
        <v>0</v>
      </c>
      <c r="AU4252">
        <f t="shared" si="132"/>
        <v>4</v>
      </c>
      <c r="AV4252">
        <f t="shared" si="133"/>
        <v>0</v>
      </c>
    </row>
    <row r="4253" spans="1:48" x14ac:dyDescent="0.25">
      <c r="A4253" t="s">
        <v>12711</v>
      </c>
      <c r="C4253" t="s">
        <v>12712</v>
      </c>
      <c r="D4253" t="s">
        <v>12713</v>
      </c>
      <c r="E4253" t="s">
        <v>1663</v>
      </c>
      <c r="F4253">
        <v>4</v>
      </c>
      <c r="G4253">
        <v>4.3</v>
      </c>
      <c r="H4253" t="s">
        <v>2327</v>
      </c>
      <c r="I4253" s="21">
        <v>42108</v>
      </c>
      <c r="J4253">
        <v>2015</v>
      </c>
      <c r="O4253" s="21">
        <v>42676</v>
      </c>
      <c r="Q4253" s="262">
        <v>1657746.16</v>
      </c>
      <c r="S4253" t="s">
        <v>114</v>
      </c>
      <c r="T4253" t="s">
        <v>114</v>
      </c>
      <c r="W4253">
        <v>6280</v>
      </c>
      <c r="X4253">
        <v>4</v>
      </c>
      <c r="Y4253">
        <v>0</v>
      </c>
      <c r="Z4253">
        <v>0</v>
      </c>
      <c r="AA4253">
        <v>0</v>
      </c>
      <c r="AB4253">
        <v>0</v>
      </c>
      <c r="AC4253">
        <v>0</v>
      </c>
      <c r="AD4253">
        <v>6280</v>
      </c>
      <c r="AE4253">
        <v>0</v>
      </c>
      <c r="AF4253">
        <v>0</v>
      </c>
      <c r="AG4253">
        <v>0</v>
      </c>
      <c r="AH4253">
        <v>0</v>
      </c>
      <c r="AI4253">
        <v>0</v>
      </c>
      <c r="AJ4253">
        <v>0</v>
      </c>
      <c r="AK4253">
        <v>0</v>
      </c>
      <c r="AL4253">
        <v>0</v>
      </c>
      <c r="AM4253">
        <v>0</v>
      </c>
      <c r="AN4253">
        <v>0</v>
      </c>
      <c r="AO4253">
        <v>0</v>
      </c>
      <c r="AP4253">
        <v>4</v>
      </c>
      <c r="AQ4253">
        <v>0</v>
      </c>
      <c r="AR4253">
        <v>0</v>
      </c>
      <c r="AS4253">
        <v>0</v>
      </c>
      <c r="AT4253">
        <v>0</v>
      </c>
      <c r="AU4253">
        <f t="shared" si="132"/>
        <v>4</v>
      </c>
      <c r="AV4253">
        <f t="shared" si="133"/>
        <v>0</v>
      </c>
    </row>
    <row r="4254" spans="1:48" x14ac:dyDescent="0.25">
      <c r="A4254" t="s">
        <v>12714</v>
      </c>
      <c r="C4254" t="s">
        <v>12715</v>
      </c>
      <c r="D4254" t="s">
        <v>12713</v>
      </c>
      <c r="E4254" t="s">
        <v>1663</v>
      </c>
      <c r="F4254">
        <v>4</v>
      </c>
      <c r="G4254">
        <v>4.3</v>
      </c>
      <c r="H4254" t="s">
        <v>2327</v>
      </c>
      <c r="I4254" s="21">
        <v>42108</v>
      </c>
      <c r="J4254">
        <v>2015</v>
      </c>
      <c r="O4254" s="21">
        <v>42676</v>
      </c>
      <c r="Q4254" s="262">
        <v>1657746.16</v>
      </c>
      <c r="S4254" t="s">
        <v>114</v>
      </c>
      <c r="T4254" t="s">
        <v>114</v>
      </c>
      <c r="W4254">
        <v>6280</v>
      </c>
      <c r="X4254">
        <v>4</v>
      </c>
      <c r="Y4254">
        <v>0</v>
      </c>
      <c r="Z4254">
        <v>0</v>
      </c>
      <c r="AA4254">
        <v>0</v>
      </c>
      <c r="AB4254">
        <v>0</v>
      </c>
      <c r="AC4254">
        <v>0</v>
      </c>
      <c r="AD4254">
        <v>6280</v>
      </c>
      <c r="AE4254">
        <v>0</v>
      </c>
      <c r="AF4254">
        <v>0</v>
      </c>
      <c r="AG4254">
        <v>0</v>
      </c>
      <c r="AH4254">
        <v>0</v>
      </c>
      <c r="AI4254">
        <v>0</v>
      </c>
      <c r="AJ4254">
        <v>0</v>
      </c>
      <c r="AK4254">
        <v>0</v>
      </c>
      <c r="AL4254">
        <v>0</v>
      </c>
      <c r="AM4254">
        <v>0</v>
      </c>
      <c r="AN4254">
        <v>0</v>
      </c>
      <c r="AO4254">
        <v>0</v>
      </c>
      <c r="AP4254">
        <v>4</v>
      </c>
      <c r="AQ4254">
        <v>0</v>
      </c>
      <c r="AR4254">
        <v>0</v>
      </c>
      <c r="AS4254">
        <v>0</v>
      </c>
      <c r="AT4254">
        <v>0</v>
      </c>
      <c r="AU4254">
        <f t="shared" si="132"/>
        <v>4</v>
      </c>
      <c r="AV4254">
        <f t="shared" si="133"/>
        <v>0</v>
      </c>
    </row>
    <row r="4255" spans="1:48" x14ac:dyDescent="0.25">
      <c r="A4255" t="s">
        <v>12716</v>
      </c>
      <c r="C4255" t="s">
        <v>12717</v>
      </c>
      <c r="D4255" t="s">
        <v>12713</v>
      </c>
      <c r="E4255" t="s">
        <v>1663</v>
      </c>
      <c r="F4255">
        <v>4</v>
      </c>
      <c r="G4255">
        <v>4.3</v>
      </c>
      <c r="H4255" t="s">
        <v>2327</v>
      </c>
      <c r="I4255" s="21">
        <v>42108</v>
      </c>
      <c r="J4255">
        <v>2015</v>
      </c>
      <c r="O4255" s="21">
        <v>42676</v>
      </c>
      <c r="Q4255" s="262">
        <v>1657746.16</v>
      </c>
      <c r="S4255" t="s">
        <v>114</v>
      </c>
      <c r="T4255" t="s">
        <v>114</v>
      </c>
      <c r="W4255">
        <v>6280</v>
      </c>
      <c r="X4255">
        <v>4</v>
      </c>
      <c r="Y4255">
        <v>0</v>
      </c>
      <c r="Z4255">
        <v>0</v>
      </c>
      <c r="AA4255">
        <v>0</v>
      </c>
      <c r="AB4255">
        <v>0</v>
      </c>
      <c r="AC4255">
        <v>0</v>
      </c>
      <c r="AD4255">
        <v>6280</v>
      </c>
      <c r="AE4255">
        <v>0</v>
      </c>
      <c r="AF4255">
        <v>0</v>
      </c>
      <c r="AG4255">
        <v>0</v>
      </c>
      <c r="AH4255">
        <v>0</v>
      </c>
      <c r="AI4255">
        <v>0</v>
      </c>
      <c r="AJ4255">
        <v>0</v>
      </c>
      <c r="AK4255">
        <v>0</v>
      </c>
      <c r="AL4255">
        <v>0</v>
      </c>
      <c r="AM4255">
        <v>0</v>
      </c>
      <c r="AN4255">
        <v>0</v>
      </c>
      <c r="AO4255">
        <v>0</v>
      </c>
      <c r="AP4255">
        <v>4</v>
      </c>
      <c r="AQ4255">
        <v>0</v>
      </c>
      <c r="AR4255">
        <v>0</v>
      </c>
      <c r="AS4255">
        <v>0</v>
      </c>
      <c r="AT4255">
        <v>0</v>
      </c>
      <c r="AU4255">
        <f t="shared" si="132"/>
        <v>4</v>
      </c>
      <c r="AV4255">
        <f t="shared" si="133"/>
        <v>0</v>
      </c>
    </row>
    <row r="4256" spans="1:48" x14ac:dyDescent="0.25">
      <c r="A4256" t="s">
        <v>12718</v>
      </c>
      <c r="C4256" t="s">
        <v>12717</v>
      </c>
      <c r="D4256" t="s">
        <v>12713</v>
      </c>
      <c r="E4256" t="s">
        <v>1663</v>
      </c>
      <c r="F4256">
        <v>4</v>
      </c>
      <c r="G4256">
        <v>4.3</v>
      </c>
      <c r="H4256" t="s">
        <v>2327</v>
      </c>
      <c r="I4256" s="21">
        <v>42108</v>
      </c>
      <c r="J4256">
        <v>2015</v>
      </c>
      <c r="O4256" s="21">
        <v>42676</v>
      </c>
      <c r="Q4256" s="262">
        <v>1657746.16</v>
      </c>
      <c r="S4256" t="s">
        <v>114</v>
      </c>
      <c r="T4256" t="s">
        <v>114</v>
      </c>
      <c r="W4256">
        <v>6280</v>
      </c>
      <c r="X4256">
        <v>4</v>
      </c>
      <c r="Y4256">
        <v>0</v>
      </c>
      <c r="Z4256">
        <v>0</v>
      </c>
      <c r="AA4256">
        <v>0</v>
      </c>
      <c r="AB4256">
        <v>0</v>
      </c>
      <c r="AC4256">
        <v>0</v>
      </c>
      <c r="AD4256">
        <v>6280</v>
      </c>
      <c r="AE4256">
        <v>0</v>
      </c>
      <c r="AF4256">
        <v>0</v>
      </c>
      <c r="AG4256">
        <v>0</v>
      </c>
      <c r="AH4256">
        <v>0</v>
      </c>
      <c r="AI4256">
        <v>0</v>
      </c>
      <c r="AJ4256">
        <v>0</v>
      </c>
      <c r="AK4256">
        <v>0</v>
      </c>
      <c r="AL4256">
        <v>0</v>
      </c>
      <c r="AM4256">
        <v>0</v>
      </c>
      <c r="AN4256">
        <v>0</v>
      </c>
      <c r="AO4256">
        <v>0</v>
      </c>
      <c r="AP4256">
        <v>4</v>
      </c>
      <c r="AQ4256">
        <v>0</v>
      </c>
      <c r="AR4256">
        <v>0</v>
      </c>
      <c r="AS4256">
        <v>0</v>
      </c>
      <c r="AT4256">
        <v>0</v>
      </c>
      <c r="AU4256">
        <f t="shared" si="132"/>
        <v>4</v>
      </c>
      <c r="AV4256">
        <f t="shared" si="133"/>
        <v>0</v>
      </c>
    </row>
    <row r="4257" spans="1:48" x14ac:dyDescent="0.25">
      <c r="A4257" t="s">
        <v>12719</v>
      </c>
      <c r="C4257" t="s">
        <v>12717</v>
      </c>
      <c r="D4257" t="s">
        <v>12713</v>
      </c>
      <c r="E4257" t="s">
        <v>1663</v>
      </c>
      <c r="F4257">
        <v>4</v>
      </c>
      <c r="G4257">
        <v>4.3</v>
      </c>
      <c r="H4257" t="s">
        <v>2327</v>
      </c>
      <c r="I4257" s="21">
        <v>42108</v>
      </c>
      <c r="J4257">
        <v>2015</v>
      </c>
      <c r="O4257" s="21">
        <v>42676</v>
      </c>
      <c r="Q4257" s="262">
        <v>1657746.16</v>
      </c>
      <c r="S4257" t="s">
        <v>114</v>
      </c>
      <c r="T4257" t="s">
        <v>114</v>
      </c>
      <c r="W4257">
        <v>6280</v>
      </c>
      <c r="X4257">
        <v>4</v>
      </c>
      <c r="Y4257">
        <v>0</v>
      </c>
      <c r="Z4257">
        <v>0</v>
      </c>
      <c r="AA4257">
        <v>0</v>
      </c>
      <c r="AB4257">
        <v>0</v>
      </c>
      <c r="AC4257">
        <v>0</v>
      </c>
      <c r="AD4257">
        <v>6280</v>
      </c>
      <c r="AE4257">
        <v>0</v>
      </c>
      <c r="AF4257">
        <v>0</v>
      </c>
      <c r="AG4257">
        <v>0</v>
      </c>
      <c r="AH4257">
        <v>0</v>
      </c>
      <c r="AI4257">
        <v>0</v>
      </c>
      <c r="AJ4257">
        <v>0</v>
      </c>
      <c r="AK4257">
        <v>0</v>
      </c>
      <c r="AL4257">
        <v>0</v>
      </c>
      <c r="AM4257">
        <v>0</v>
      </c>
      <c r="AN4257">
        <v>0</v>
      </c>
      <c r="AO4257">
        <v>0</v>
      </c>
      <c r="AP4257">
        <v>4</v>
      </c>
      <c r="AQ4257">
        <v>0</v>
      </c>
      <c r="AR4257">
        <v>0</v>
      </c>
      <c r="AS4257">
        <v>0</v>
      </c>
      <c r="AT4257">
        <v>0</v>
      </c>
      <c r="AU4257">
        <f t="shared" si="132"/>
        <v>4</v>
      </c>
      <c r="AV4257">
        <f t="shared" si="133"/>
        <v>0</v>
      </c>
    </row>
    <row r="4258" spans="1:48" x14ac:dyDescent="0.25">
      <c r="A4258" t="s">
        <v>12720</v>
      </c>
      <c r="C4258" t="s">
        <v>12717</v>
      </c>
      <c r="D4258" t="s">
        <v>12713</v>
      </c>
      <c r="E4258" t="s">
        <v>1663</v>
      </c>
      <c r="F4258">
        <v>4</v>
      </c>
      <c r="G4258">
        <v>4.3</v>
      </c>
      <c r="H4258" t="s">
        <v>2327</v>
      </c>
      <c r="I4258" s="21">
        <v>42108</v>
      </c>
      <c r="J4258">
        <v>2015</v>
      </c>
      <c r="O4258" s="21">
        <v>42676</v>
      </c>
      <c r="Q4258" s="262">
        <v>1657746.16</v>
      </c>
      <c r="S4258" t="s">
        <v>114</v>
      </c>
      <c r="T4258" t="s">
        <v>114</v>
      </c>
      <c r="W4258">
        <v>6280</v>
      </c>
      <c r="X4258">
        <v>4</v>
      </c>
      <c r="Y4258">
        <v>0</v>
      </c>
      <c r="Z4258">
        <v>0</v>
      </c>
      <c r="AA4258">
        <v>0</v>
      </c>
      <c r="AB4258">
        <v>0</v>
      </c>
      <c r="AC4258">
        <v>0</v>
      </c>
      <c r="AD4258">
        <v>6280</v>
      </c>
      <c r="AE4258">
        <v>0</v>
      </c>
      <c r="AF4258">
        <v>0</v>
      </c>
      <c r="AG4258">
        <v>0</v>
      </c>
      <c r="AH4258">
        <v>0</v>
      </c>
      <c r="AI4258">
        <v>0</v>
      </c>
      <c r="AJ4258">
        <v>0</v>
      </c>
      <c r="AK4258">
        <v>0</v>
      </c>
      <c r="AL4258">
        <v>0</v>
      </c>
      <c r="AM4258">
        <v>0</v>
      </c>
      <c r="AN4258">
        <v>0</v>
      </c>
      <c r="AO4258">
        <v>0</v>
      </c>
      <c r="AP4258">
        <v>4</v>
      </c>
      <c r="AQ4258">
        <v>0</v>
      </c>
      <c r="AR4258">
        <v>0</v>
      </c>
      <c r="AS4258">
        <v>0</v>
      </c>
      <c r="AT4258">
        <v>0</v>
      </c>
      <c r="AU4258">
        <f t="shared" si="132"/>
        <v>4</v>
      </c>
      <c r="AV4258">
        <f t="shared" si="133"/>
        <v>0</v>
      </c>
    </row>
    <row r="4259" spans="1:48" x14ac:dyDescent="0.25">
      <c r="A4259" t="s">
        <v>12728</v>
      </c>
      <c r="B4259" t="s">
        <v>12728</v>
      </c>
      <c r="C4259" t="s">
        <v>12729</v>
      </c>
      <c r="D4259" t="s">
        <v>12730</v>
      </c>
      <c r="E4259" t="s">
        <v>2310</v>
      </c>
      <c r="F4259">
        <v>10</v>
      </c>
      <c r="G4259">
        <v>10.1</v>
      </c>
      <c r="H4259" t="s">
        <v>2323</v>
      </c>
      <c r="I4259" s="21">
        <v>42108.378900463002</v>
      </c>
      <c r="J4259">
        <v>2015</v>
      </c>
      <c r="K4259" s="21">
        <v>42130.699560185203</v>
      </c>
      <c r="L4259">
        <v>2015</v>
      </c>
      <c r="M4259" s="21">
        <v>42340.561354166697</v>
      </c>
      <c r="N4259">
        <v>2015</v>
      </c>
      <c r="Q4259" s="262">
        <v>80000</v>
      </c>
      <c r="R4259" s="262">
        <v>80000</v>
      </c>
      <c r="S4259" t="s">
        <v>114</v>
      </c>
      <c r="T4259" t="s">
        <v>114</v>
      </c>
      <c r="V4259">
        <v>242</v>
      </c>
      <c r="W4259">
        <v>468</v>
      </c>
      <c r="X4259">
        <v>0</v>
      </c>
      <c r="Y4259">
        <v>0</v>
      </c>
      <c r="Z4259">
        <v>0</v>
      </c>
      <c r="AA4259">
        <v>0</v>
      </c>
      <c r="AB4259">
        <v>0</v>
      </c>
      <c r="AC4259">
        <v>468</v>
      </c>
      <c r="AD4259">
        <v>0</v>
      </c>
      <c r="AE4259">
        <v>0</v>
      </c>
      <c r="AF4259">
        <v>0</v>
      </c>
      <c r="AG4259">
        <v>0</v>
      </c>
      <c r="AH4259">
        <v>0</v>
      </c>
      <c r="AI4259">
        <v>0</v>
      </c>
      <c r="AJ4259">
        <v>0</v>
      </c>
      <c r="AK4259">
        <v>0</v>
      </c>
      <c r="AL4259">
        <v>0</v>
      </c>
      <c r="AM4259">
        <v>0</v>
      </c>
      <c r="AN4259">
        <v>0</v>
      </c>
      <c r="AO4259">
        <v>0</v>
      </c>
      <c r="AP4259">
        <v>0</v>
      </c>
      <c r="AQ4259">
        <v>0</v>
      </c>
      <c r="AR4259">
        <v>0</v>
      </c>
      <c r="AS4259">
        <v>0</v>
      </c>
      <c r="AT4259">
        <v>0</v>
      </c>
      <c r="AU4259">
        <f t="shared" si="132"/>
        <v>0</v>
      </c>
      <c r="AV4259">
        <f t="shared" si="133"/>
        <v>0</v>
      </c>
    </row>
    <row r="4260" spans="1:48" x14ac:dyDescent="0.25">
      <c r="A4260" t="s">
        <v>17500</v>
      </c>
      <c r="B4260" t="s">
        <v>17500</v>
      </c>
      <c r="C4260" t="s">
        <v>17501</v>
      </c>
      <c r="D4260" t="s">
        <v>14669</v>
      </c>
      <c r="E4260" t="s">
        <v>2310</v>
      </c>
      <c r="F4260">
        <v>9</v>
      </c>
      <c r="G4260">
        <v>9.3000000000000007</v>
      </c>
      <c r="H4260" t="s">
        <v>2323</v>
      </c>
      <c r="I4260" s="21">
        <v>42108.546226851853</v>
      </c>
      <c r="J4260">
        <v>2015</v>
      </c>
      <c r="K4260" s="21">
        <v>42772.382881944446</v>
      </c>
      <c r="L4260">
        <v>2017</v>
      </c>
      <c r="M4260" s="21">
        <v>42772.382881944446</v>
      </c>
      <c r="N4260">
        <v>2017</v>
      </c>
      <c r="Q4260" s="262">
        <v>300000</v>
      </c>
      <c r="R4260" s="262">
        <v>260000</v>
      </c>
      <c r="S4260" t="s">
        <v>13254</v>
      </c>
      <c r="W4260">
        <v>6000</v>
      </c>
      <c r="X4260">
        <v>0</v>
      </c>
      <c r="Y4260">
        <v>0</v>
      </c>
      <c r="Z4260">
        <v>0</v>
      </c>
      <c r="AA4260">
        <v>0</v>
      </c>
      <c r="AB4260">
        <v>0</v>
      </c>
      <c r="AC4260">
        <v>0</v>
      </c>
      <c r="AD4260">
        <v>0</v>
      </c>
      <c r="AE4260">
        <v>0</v>
      </c>
      <c r="AF4260">
        <v>0</v>
      </c>
      <c r="AG4260">
        <v>0</v>
      </c>
      <c r="AH4260">
        <v>0</v>
      </c>
      <c r="AI4260">
        <v>0</v>
      </c>
      <c r="AJ4260">
        <v>0</v>
      </c>
      <c r="AK4260">
        <v>0</v>
      </c>
      <c r="AL4260">
        <v>0</v>
      </c>
      <c r="AM4260">
        <v>6000</v>
      </c>
      <c r="AN4260">
        <v>0</v>
      </c>
      <c r="AO4260">
        <v>0</v>
      </c>
      <c r="AP4260">
        <v>0</v>
      </c>
      <c r="AQ4260">
        <v>0</v>
      </c>
      <c r="AR4260">
        <v>0</v>
      </c>
      <c r="AS4260">
        <v>0</v>
      </c>
      <c r="AT4260">
        <v>0</v>
      </c>
      <c r="AU4260">
        <f t="shared" si="132"/>
        <v>0</v>
      </c>
      <c r="AV4260">
        <f t="shared" si="133"/>
        <v>6000</v>
      </c>
    </row>
    <row r="4261" spans="1:48" x14ac:dyDescent="0.25">
      <c r="A4261" t="s">
        <v>17502</v>
      </c>
      <c r="B4261" t="s">
        <v>17502</v>
      </c>
      <c r="C4261" t="s">
        <v>17503</v>
      </c>
      <c r="D4261" t="s">
        <v>14669</v>
      </c>
      <c r="E4261" t="s">
        <v>2310</v>
      </c>
      <c r="F4261">
        <v>9</v>
      </c>
      <c r="G4261">
        <v>9.3000000000000007</v>
      </c>
      <c r="H4261" t="s">
        <v>2323</v>
      </c>
      <c r="I4261" s="21">
        <v>42108.568680555603</v>
      </c>
      <c r="J4261">
        <v>2015</v>
      </c>
      <c r="K4261" s="21">
        <v>42772.3850578704</v>
      </c>
      <c r="L4261">
        <v>2017</v>
      </c>
      <c r="M4261" s="21">
        <v>42772.3850578704</v>
      </c>
      <c r="N4261">
        <v>2017</v>
      </c>
      <c r="Q4261" s="262">
        <v>100000</v>
      </c>
      <c r="R4261" s="262">
        <v>60000</v>
      </c>
      <c r="S4261" t="s">
        <v>114</v>
      </c>
      <c r="T4261" t="s">
        <v>114</v>
      </c>
      <c r="V4261">
        <v>188</v>
      </c>
      <c r="W4261">
        <v>292</v>
      </c>
      <c r="X4261">
        <v>0</v>
      </c>
      <c r="Y4261">
        <v>0</v>
      </c>
      <c r="Z4261">
        <v>0</v>
      </c>
      <c r="AA4261">
        <v>0</v>
      </c>
      <c r="AB4261">
        <v>0</v>
      </c>
      <c r="AC4261">
        <v>0</v>
      </c>
      <c r="AD4261">
        <v>0</v>
      </c>
      <c r="AE4261">
        <v>0</v>
      </c>
      <c r="AF4261">
        <v>0</v>
      </c>
      <c r="AG4261">
        <v>0</v>
      </c>
      <c r="AH4261">
        <v>0</v>
      </c>
      <c r="AI4261">
        <v>0</v>
      </c>
      <c r="AJ4261">
        <v>0</v>
      </c>
      <c r="AK4261">
        <v>0</v>
      </c>
      <c r="AL4261">
        <v>0</v>
      </c>
      <c r="AM4261">
        <v>292</v>
      </c>
      <c r="AN4261">
        <v>0</v>
      </c>
      <c r="AO4261">
        <v>0</v>
      </c>
      <c r="AP4261">
        <v>0</v>
      </c>
      <c r="AQ4261">
        <v>0</v>
      </c>
      <c r="AR4261">
        <v>0</v>
      </c>
      <c r="AS4261">
        <v>0</v>
      </c>
      <c r="AT4261">
        <v>0</v>
      </c>
      <c r="AU4261">
        <f t="shared" si="132"/>
        <v>0</v>
      </c>
      <c r="AV4261">
        <f t="shared" si="133"/>
        <v>292</v>
      </c>
    </row>
    <row r="4262" spans="1:48" x14ac:dyDescent="0.25">
      <c r="A4262" t="s">
        <v>17623</v>
      </c>
      <c r="B4262" t="s">
        <v>17623</v>
      </c>
      <c r="C4262" t="s">
        <v>17624</v>
      </c>
      <c r="D4262" t="s">
        <v>15438</v>
      </c>
      <c r="E4262" t="s">
        <v>2310</v>
      </c>
      <c r="F4262">
        <v>9</v>
      </c>
      <c r="G4262">
        <v>9.1</v>
      </c>
      <c r="H4262" t="s">
        <v>2323</v>
      </c>
      <c r="I4262" s="21">
        <v>42108.65152777778</v>
      </c>
      <c r="J4262">
        <v>2015</v>
      </c>
      <c r="K4262" s="21">
        <v>42885.402743055558</v>
      </c>
      <c r="L4262">
        <v>2017</v>
      </c>
      <c r="M4262" s="21">
        <v>42885.402743055558</v>
      </c>
      <c r="N4262">
        <v>2017</v>
      </c>
      <c r="Q4262" s="262">
        <v>850000</v>
      </c>
      <c r="R4262" s="262">
        <v>502000</v>
      </c>
      <c r="S4262" t="s">
        <v>13254</v>
      </c>
      <c r="W4262">
        <v>4228</v>
      </c>
      <c r="X4262">
        <v>1</v>
      </c>
      <c r="Y4262">
        <v>0</v>
      </c>
      <c r="Z4262">
        <v>0</v>
      </c>
      <c r="AA4262">
        <v>0</v>
      </c>
      <c r="AB4262">
        <v>0</v>
      </c>
      <c r="AC4262">
        <v>4228</v>
      </c>
      <c r="AD4262">
        <v>0</v>
      </c>
      <c r="AE4262">
        <v>0</v>
      </c>
      <c r="AF4262">
        <v>0</v>
      </c>
      <c r="AG4262">
        <v>0</v>
      </c>
      <c r="AH4262">
        <v>0</v>
      </c>
      <c r="AI4262">
        <v>0</v>
      </c>
      <c r="AJ4262">
        <v>0</v>
      </c>
      <c r="AK4262">
        <v>0</v>
      </c>
      <c r="AL4262">
        <v>0</v>
      </c>
      <c r="AM4262">
        <v>0</v>
      </c>
      <c r="AN4262">
        <v>0</v>
      </c>
      <c r="AO4262">
        <v>1</v>
      </c>
      <c r="AP4262">
        <v>0</v>
      </c>
      <c r="AQ4262">
        <v>0</v>
      </c>
      <c r="AR4262">
        <v>0</v>
      </c>
      <c r="AS4262">
        <v>0</v>
      </c>
      <c r="AT4262">
        <v>0</v>
      </c>
      <c r="AU4262">
        <f t="shared" si="132"/>
        <v>1</v>
      </c>
      <c r="AV4262">
        <f t="shared" si="133"/>
        <v>0</v>
      </c>
    </row>
    <row r="4263" spans="1:48" x14ac:dyDescent="0.25">
      <c r="A4263" t="s">
        <v>12731</v>
      </c>
      <c r="B4263" t="s">
        <v>12731</v>
      </c>
      <c r="C4263" t="s">
        <v>12732</v>
      </c>
      <c r="D4263" t="s">
        <v>12733</v>
      </c>
      <c r="E4263" t="s">
        <v>2310</v>
      </c>
      <c r="F4263">
        <v>8</v>
      </c>
      <c r="G4263">
        <v>8.1</v>
      </c>
      <c r="H4263" t="s">
        <v>2323</v>
      </c>
      <c r="I4263" s="21">
        <v>42108.67</v>
      </c>
      <c r="J4263">
        <v>2015</v>
      </c>
      <c r="K4263" s="21">
        <v>42115.492650462998</v>
      </c>
      <c r="L4263">
        <v>2015</v>
      </c>
      <c r="M4263" s="21">
        <v>42481.349062499998</v>
      </c>
      <c r="N4263">
        <v>2016</v>
      </c>
      <c r="Q4263" s="262">
        <v>600000</v>
      </c>
      <c r="R4263" s="262">
        <v>190000</v>
      </c>
      <c r="S4263" t="s">
        <v>114</v>
      </c>
      <c r="T4263" t="s">
        <v>114</v>
      </c>
      <c r="W4263">
        <v>2219</v>
      </c>
      <c r="X4263">
        <v>0</v>
      </c>
      <c r="Y4263">
        <v>0</v>
      </c>
      <c r="Z4263">
        <v>0</v>
      </c>
      <c r="AA4263">
        <v>0</v>
      </c>
      <c r="AB4263">
        <v>0</v>
      </c>
      <c r="AC4263">
        <v>2219</v>
      </c>
      <c r="AD4263">
        <v>0</v>
      </c>
      <c r="AE4263">
        <v>0</v>
      </c>
      <c r="AF4263">
        <v>0</v>
      </c>
      <c r="AG4263">
        <v>0</v>
      </c>
      <c r="AH4263">
        <v>0</v>
      </c>
      <c r="AI4263">
        <v>0</v>
      </c>
      <c r="AJ4263">
        <v>0</v>
      </c>
      <c r="AK4263">
        <v>0</v>
      </c>
      <c r="AL4263">
        <v>0</v>
      </c>
      <c r="AM4263">
        <v>0</v>
      </c>
      <c r="AN4263">
        <v>0</v>
      </c>
      <c r="AO4263">
        <v>0</v>
      </c>
      <c r="AP4263">
        <v>0</v>
      </c>
      <c r="AQ4263">
        <v>0</v>
      </c>
      <c r="AR4263">
        <v>0</v>
      </c>
      <c r="AS4263">
        <v>0</v>
      </c>
      <c r="AT4263">
        <v>0</v>
      </c>
      <c r="AU4263">
        <f t="shared" si="132"/>
        <v>0</v>
      </c>
      <c r="AV4263">
        <f t="shared" si="133"/>
        <v>0</v>
      </c>
    </row>
    <row r="4264" spans="1:48" x14ac:dyDescent="0.25">
      <c r="A4264" t="s">
        <v>12734</v>
      </c>
      <c r="B4264" t="s">
        <v>12734</v>
      </c>
      <c r="C4264" t="s">
        <v>12735</v>
      </c>
      <c r="D4264" t="s">
        <v>12736</v>
      </c>
      <c r="E4264" t="s">
        <v>2310</v>
      </c>
      <c r="F4264">
        <v>15</v>
      </c>
      <c r="G4264">
        <v>15.2</v>
      </c>
      <c r="H4264" t="s">
        <v>2323</v>
      </c>
      <c r="I4264" s="21">
        <v>42109.460057870398</v>
      </c>
      <c r="J4264">
        <v>2015</v>
      </c>
      <c r="K4264" s="21">
        <v>42122.573460648098</v>
      </c>
      <c r="L4264">
        <v>2015</v>
      </c>
      <c r="M4264" s="21">
        <v>42530.342256944401</v>
      </c>
      <c r="N4264">
        <v>2016</v>
      </c>
      <c r="Q4264" s="262">
        <v>375000</v>
      </c>
      <c r="R4264" s="262">
        <v>62000</v>
      </c>
      <c r="S4264" t="s">
        <v>114</v>
      </c>
      <c r="T4264" t="s">
        <v>114</v>
      </c>
      <c r="W4264">
        <v>1416</v>
      </c>
      <c r="X4264">
        <v>0</v>
      </c>
      <c r="Y4264">
        <v>0</v>
      </c>
      <c r="Z4264">
        <v>0</v>
      </c>
      <c r="AA4264">
        <v>0</v>
      </c>
      <c r="AB4264">
        <v>0</v>
      </c>
      <c r="AC4264">
        <v>1416</v>
      </c>
      <c r="AD4264">
        <v>0</v>
      </c>
      <c r="AE4264">
        <v>0</v>
      </c>
      <c r="AF4264">
        <v>0</v>
      </c>
      <c r="AG4264">
        <v>0</v>
      </c>
      <c r="AH4264">
        <v>0</v>
      </c>
      <c r="AI4264">
        <v>0</v>
      </c>
      <c r="AJ4264">
        <v>0</v>
      </c>
      <c r="AK4264">
        <v>0</v>
      </c>
      <c r="AL4264">
        <v>0</v>
      </c>
      <c r="AM4264">
        <v>0</v>
      </c>
      <c r="AN4264">
        <v>0</v>
      </c>
      <c r="AO4264">
        <v>0</v>
      </c>
      <c r="AP4264">
        <v>0</v>
      </c>
      <c r="AQ4264">
        <v>0</v>
      </c>
      <c r="AR4264">
        <v>0</v>
      </c>
      <c r="AS4264">
        <v>0</v>
      </c>
      <c r="AT4264">
        <v>0</v>
      </c>
      <c r="AU4264">
        <f t="shared" si="132"/>
        <v>0</v>
      </c>
      <c r="AV4264">
        <f t="shared" si="133"/>
        <v>0</v>
      </c>
    </row>
    <row r="4265" spans="1:48" x14ac:dyDescent="0.25">
      <c r="A4265" t="s">
        <v>12737</v>
      </c>
      <c r="B4265" t="s">
        <v>12737</v>
      </c>
      <c r="C4265" t="s">
        <v>12738</v>
      </c>
      <c r="D4265" t="s">
        <v>12739</v>
      </c>
      <c r="E4265" t="s">
        <v>2310</v>
      </c>
      <c r="F4265">
        <v>7</v>
      </c>
      <c r="G4265">
        <v>7.2</v>
      </c>
      <c r="H4265" t="s">
        <v>2017</v>
      </c>
      <c r="I4265" s="21">
        <v>42109.509236111102</v>
      </c>
      <c r="J4265">
        <v>2015</v>
      </c>
      <c r="K4265" s="21">
        <v>42163.447905092602</v>
      </c>
      <c r="L4265">
        <v>2015</v>
      </c>
      <c r="M4265" s="21">
        <v>42471.3734259259</v>
      </c>
      <c r="N4265">
        <v>2016</v>
      </c>
      <c r="Q4265" s="262">
        <v>150000</v>
      </c>
      <c r="R4265" s="262">
        <v>129000</v>
      </c>
      <c r="S4265" t="s">
        <v>114</v>
      </c>
      <c r="T4265" t="s">
        <v>114</v>
      </c>
      <c r="W4265">
        <v>1140</v>
      </c>
      <c r="X4265">
        <v>0</v>
      </c>
      <c r="Y4265">
        <v>0</v>
      </c>
      <c r="Z4265">
        <v>0</v>
      </c>
      <c r="AA4265">
        <v>0</v>
      </c>
      <c r="AB4265">
        <v>0</v>
      </c>
      <c r="AC4265">
        <v>1140</v>
      </c>
      <c r="AD4265">
        <v>0</v>
      </c>
      <c r="AE4265">
        <v>0</v>
      </c>
      <c r="AF4265">
        <v>0</v>
      </c>
      <c r="AG4265">
        <v>0</v>
      </c>
      <c r="AH4265">
        <v>0</v>
      </c>
      <c r="AI4265">
        <v>0</v>
      </c>
      <c r="AJ4265">
        <v>0</v>
      </c>
      <c r="AK4265">
        <v>0</v>
      </c>
      <c r="AL4265">
        <v>0</v>
      </c>
      <c r="AM4265">
        <v>0</v>
      </c>
      <c r="AN4265">
        <v>0</v>
      </c>
      <c r="AO4265">
        <v>0</v>
      </c>
      <c r="AP4265">
        <v>0</v>
      </c>
      <c r="AQ4265">
        <v>0</v>
      </c>
      <c r="AR4265">
        <v>0</v>
      </c>
      <c r="AS4265">
        <v>0</v>
      </c>
      <c r="AT4265">
        <v>0</v>
      </c>
      <c r="AU4265">
        <f t="shared" si="132"/>
        <v>0</v>
      </c>
      <c r="AV4265">
        <f t="shared" si="133"/>
        <v>0</v>
      </c>
    </row>
    <row r="4266" spans="1:48" x14ac:dyDescent="0.25">
      <c r="A4266" t="s">
        <v>12740</v>
      </c>
      <c r="B4266" t="s">
        <v>12740</v>
      </c>
      <c r="C4266" t="s">
        <v>12611</v>
      </c>
      <c r="D4266" t="s">
        <v>6315</v>
      </c>
      <c r="E4266" t="s">
        <v>2310</v>
      </c>
      <c r="F4266">
        <v>13</v>
      </c>
      <c r="G4266">
        <v>13.3</v>
      </c>
      <c r="H4266" t="s">
        <v>2017</v>
      </c>
      <c r="I4266" s="21">
        <v>42109.621516203697</v>
      </c>
      <c r="J4266">
        <v>2015</v>
      </c>
      <c r="K4266" s="21">
        <v>42146.649618055599</v>
      </c>
      <c r="L4266">
        <v>2015</v>
      </c>
      <c r="M4266" s="21">
        <v>42573.455393518503</v>
      </c>
      <c r="N4266">
        <v>2016</v>
      </c>
      <c r="Q4266" s="262">
        <v>2000000</v>
      </c>
      <c r="R4266" s="262">
        <v>750000</v>
      </c>
      <c r="S4266" t="s">
        <v>114</v>
      </c>
      <c r="T4266" t="s">
        <v>114</v>
      </c>
      <c r="W4266">
        <v>6019</v>
      </c>
      <c r="X4266">
        <v>0</v>
      </c>
      <c r="Y4266">
        <v>0</v>
      </c>
      <c r="Z4266">
        <v>0</v>
      </c>
      <c r="AA4266">
        <v>0</v>
      </c>
      <c r="AB4266">
        <v>0</v>
      </c>
      <c r="AC4266">
        <v>6019</v>
      </c>
      <c r="AD4266">
        <v>0</v>
      </c>
      <c r="AE4266">
        <v>0</v>
      </c>
      <c r="AF4266">
        <v>0</v>
      </c>
      <c r="AG4266">
        <v>0</v>
      </c>
      <c r="AH4266">
        <v>0</v>
      </c>
      <c r="AI4266">
        <v>0</v>
      </c>
      <c r="AJ4266">
        <v>0</v>
      </c>
      <c r="AK4266">
        <v>0</v>
      </c>
      <c r="AL4266">
        <v>0</v>
      </c>
      <c r="AM4266">
        <v>0</v>
      </c>
      <c r="AN4266">
        <v>0</v>
      </c>
      <c r="AO4266">
        <v>0</v>
      </c>
      <c r="AP4266">
        <v>0</v>
      </c>
      <c r="AQ4266">
        <v>0</v>
      </c>
      <c r="AR4266">
        <v>0</v>
      </c>
      <c r="AS4266">
        <v>0</v>
      </c>
      <c r="AT4266">
        <v>0</v>
      </c>
      <c r="AU4266">
        <f t="shared" si="132"/>
        <v>0</v>
      </c>
      <c r="AV4266">
        <f t="shared" si="133"/>
        <v>0</v>
      </c>
    </row>
    <row r="4267" spans="1:48" x14ac:dyDescent="0.25">
      <c r="A4267" t="s">
        <v>12741</v>
      </c>
      <c r="C4267" t="s">
        <v>12742</v>
      </c>
      <c r="D4267" t="s">
        <v>12743</v>
      </c>
      <c r="E4267" t="s">
        <v>1663</v>
      </c>
      <c r="F4267">
        <v>6</v>
      </c>
      <c r="G4267">
        <v>6.1</v>
      </c>
      <c r="H4267" t="s">
        <v>2017</v>
      </c>
      <c r="I4267" s="21">
        <v>42110</v>
      </c>
      <c r="J4267">
        <v>2015</v>
      </c>
      <c r="K4267" s="21">
        <v>42128</v>
      </c>
      <c r="L4267">
        <v>2015</v>
      </c>
      <c r="M4267" s="21">
        <v>43759</v>
      </c>
      <c r="N4267">
        <v>2019</v>
      </c>
      <c r="Q4267" s="262">
        <v>250000</v>
      </c>
      <c r="S4267" t="s">
        <v>114</v>
      </c>
      <c r="T4267" t="s">
        <v>114</v>
      </c>
      <c r="V4267">
        <v>0</v>
      </c>
      <c r="W4267">
        <v>0</v>
      </c>
      <c r="X4267">
        <v>0</v>
      </c>
      <c r="Y4267">
        <v>0</v>
      </c>
      <c r="Z4267">
        <v>0</v>
      </c>
      <c r="AA4267">
        <v>0</v>
      </c>
      <c r="AB4267">
        <v>0</v>
      </c>
      <c r="AC4267">
        <v>0</v>
      </c>
      <c r="AD4267">
        <v>0</v>
      </c>
      <c r="AE4267">
        <v>0</v>
      </c>
      <c r="AF4267">
        <v>0</v>
      </c>
      <c r="AG4267">
        <v>0</v>
      </c>
      <c r="AH4267">
        <v>0</v>
      </c>
      <c r="AI4267">
        <v>0</v>
      </c>
      <c r="AJ4267">
        <v>0</v>
      </c>
      <c r="AK4267">
        <v>0</v>
      </c>
      <c r="AL4267">
        <v>0</v>
      </c>
      <c r="AM4267">
        <v>0</v>
      </c>
      <c r="AN4267">
        <v>0</v>
      </c>
      <c r="AO4267">
        <v>0</v>
      </c>
      <c r="AP4267">
        <v>0</v>
      </c>
      <c r="AQ4267">
        <v>0</v>
      </c>
      <c r="AR4267">
        <v>0</v>
      </c>
      <c r="AS4267">
        <v>0</v>
      </c>
      <c r="AT4267">
        <v>0</v>
      </c>
      <c r="AU4267">
        <f t="shared" si="132"/>
        <v>0</v>
      </c>
      <c r="AV4267">
        <f t="shared" si="133"/>
        <v>0</v>
      </c>
    </row>
    <row r="4268" spans="1:48" x14ac:dyDescent="0.25">
      <c r="A4268" t="s">
        <v>12744</v>
      </c>
      <c r="B4268" t="s">
        <v>12744</v>
      </c>
      <c r="C4268" t="s">
        <v>12611</v>
      </c>
      <c r="D4268" t="s">
        <v>12745</v>
      </c>
      <c r="E4268" t="s">
        <v>2310</v>
      </c>
      <c r="F4268">
        <v>9</v>
      </c>
      <c r="G4268">
        <v>9.1</v>
      </c>
      <c r="H4268" t="s">
        <v>2323</v>
      </c>
      <c r="I4268" s="21">
        <v>42110.338101851798</v>
      </c>
      <c r="J4268">
        <v>2015</v>
      </c>
      <c r="K4268" s="21">
        <v>42150.6858796296</v>
      </c>
      <c r="L4268">
        <v>2015</v>
      </c>
      <c r="M4268" s="21">
        <v>42691.379131944399</v>
      </c>
      <c r="N4268">
        <v>2016</v>
      </c>
      <c r="Q4268" s="262">
        <v>1200000</v>
      </c>
      <c r="R4268" s="262">
        <v>603000</v>
      </c>
      <c r="S4268" t="s">
        <v>114</v>
      </c>
      <c r="T4268" t="s">
        <v>114</v>
      </c>
      <c r="W4268">
        <v>4962</v>
      </c>
      <c r="X4268">
        <v>1</v>
      </c>
      <c r="Y4268">
        <v>0</v>
      </c>
      <c r="Z4268">
        <v>0</v>
      </c>
      <c r="AA4268">
        <v>0</v>
      </c>
      <c r="AB4268">
        <v>0</v>
      </c>
      <c r="AC4268">
        <v>4962</v>
      </c>
      <c r="AD4268">
        <v>0</v>
      </c>
      <c r="AE4268">
        <v>0</v>
      </c>
      <c r="AF4268">
        <v>0</v>
      </c>
      <c r="AG4268">
        <v>0</v>
      </c>
      <c r="AH4268">
        <v>0</v>
      </c>
      <c r="AI4268">
        <v>0</v>
      </c>
      <c r="AJ4268">
        <v>0</v>
      </c>
      <c r="AK4268">
        <v>0</v>
      </c>
      <c r="AL4268">
        <v>0</v>
      </c>
      <c r="AM4268">
        <v>0</v>
      </c>
      <c r="AN4268">
        <v>0</v>
      </c>
      <c r="AO4268">
        <v>1</v>
      </c>
      <c r="AP4268">
        <v>0</v>
      </c>
      <c r="AQ4268">
        <v>0</v>
      </c>
      <c r="AR4268">
        <v>0</v>
      </c>
      <c r="AS4268">
        <v>0</v>
      </c>
      <c r="AT4268">
        <v>0</v>
      </c>
      <c r="AU4268">
        <f t="shared" si="132"/>
        <v>1</v>
      </c>
      <c r="AV4268">
        <f t="shared" si="133"/>
        <v>0</v>
      </c>
    </row>
    <row r="4269" spans="1:48" x14ac:dyDescent="0.25">
      <c r="A4269" t="s">
        <v>12746</v>
      </c>
      <c r="B4269" t="s">
        <v>12746</v>
      </c>
      <c r="C4269" t="s">
        <v>12324</v>
      </c>
      <c r="D4269" t="s">
        <v>12393</v>
      </c>
      <c r="E4269" t="s">
        <v>2310</v>
      </c>
      <c r="F4269">
        <v>9</v>
      </c>
      <c r="G4269">
        <v>9.3000000000000007</v>
      </c>
      <c r="H4269" t="s">
        <v>2323</v>
      </c>
      <c r="I4269" s="21">
        <v>42110.598425925898</v>
      </c>
      <c r="J4269">
        <v>2015</v>
      </c>
      <c r="K4269" s="21">
        <v>42132.498865740701</v>
      </c>
      <c r="L4269">
        <v>2015</v>
      </c>
      <c r="M4269" s="21">
        <v>42646.4578819444</v>
      </c>
      <c r="N4269">
        <v>2016</v>
      </c>
      <c r="Q4269" s="262">
        <v>500000</v>
      </c>
      <c r="R4269" s="262">
        <v>118000</v>
      </c>
      <c r="S4269" t="s">
        <v>114</v>
      </c>
      <c r="T4269" t="s">
        <v>114</v>
      </c>
      <c r="W4269">
        <v>1000</v>
      </c>
      <c r="X4269">
        <v>1</v>
      </c>
      <c r="Y4269">
        <v>0</v>
      </c>
      <c r="Z4269">
        <v>0</v>
      </c>
      <c r="AA4269">
        <v>0</v>
      </c>
      <c r="AB4269">
        <v>0</v>
      </c>
      <c r="AC4269">
        <v>0</v>
      </c>
      <c r="AD4269">
        <v>0</v>
      </c>
      <c r="AE4269">
        <v>0</v>
      </c>
      <c r="AF4269">
        <v>1000</v>
      </c>
      <c r="AG4269">
        <v>0</v>
      </c>
      <c r="AH4269">
        <v>0</v>
      </c>
      <c r="AI4269">
        <v>0</v>
      </c>
      <c r="AJ4269">
        <v>0</v>
      </c>
      <c r="AK4269">
        <v>0</v>
      </c>
      <c r="AL4269">
        <v>0</v>
      </c>
      <c r="AM4269">
        <v>0</v>
      </c>
      <c r="AN4269">
        <v>0</v>
      </c>
      <c r="AO4269">
        <v>0</v>
      </c>
      <c r="AP4269">
        <v>0</v>
      </c>
      <c r="AQ4269">
        <v>0</v>
      </c>
      <c r="AR4269">
        <v>1</v>
      </c>
      <c r="AS4269">
        <v>0</v>
      </c>
      <c r="AT4269">
        <v>0</v>
      </c>
      <c r="AU4269">
        <f t="shared" si="132"/>
        <v>0</v>
      </c>
      <c r="AV4269">
        <f t="shared" si="133"/>
        <v>0</v>
      </c>
    </row>
    <row r="4270" spans="1:48" x14ac:dyDescent="0.25">
      <c r="A4270" t="s">
        <v>12747</v>
      </c>
      <c r="B4270" t="s">
        <v>12747</v>
      </c>
      <c r="C4270" t="s">
        <v>12748</v>
      </c>
      <c r="D4270" t="s">
        <v>12749</v>
      </c>
      <c r="E4270" t="s">
        <v>2310</v>
      </c>
      <c r="F4270">
        <v>8</v>
      </c>
      <c r="G4270">
        <v>8.1</v>
      </c>
      <c r="H4270" t="s">
        <v>2323</v>
      </c>
      <c r="I4270" s="21">
        <v>42110.639606481498</v>
      </c>
      <c r="J4270">
        <v>2015</v>
      </c>
      <c r="K4270" s="21">
        <v>42129.664120370398</v>
      </c>
      <c r="L4270">
        <v>2015</v>
      </c>
      <c r="M4270" s="21">
        <v>42607.426597222198</v>
      </c>
      <c r="N4270">
        <v>2016</v>
      </c>
      <c r="Q4270" s="262">
        <v>300000</v>
      </c>
      <c r="R4270" s="262">
        <v>74000</v>
      </c>
      <c r="S4270" t="s">
        <v>114</v>
      </c>
      <c r="T4270" t="s">
        <v>114</v>
      </c>
      <c r="V4270">
        <v>179</v>
      </c>
      <c r="W4270">
        <v>515</v>
      </c>
      <c r="X4270">
        <v>0</v>
      </c>
      <c r="Y4270">
        <v>0</v>
      </c>
      <c r="Z4270">
        <v>0</v>
      </c>
      <c r="AA4270">
        <v>0</v>
      </c>
      <c r="AB4270">
        <v>0</v>
      </c>
      <c r="AC4270">
        <v>515</v>
      </c>
      <c r="AD4270">
        <v>0</v>
      </c>
      <c r="AE4270">
        <v>0</v>
      </c>
      <c r="AF4270">
        <v>0</v>
      </c>
      <c r="AG4270">
        <v>0</v>
      </c>
      <c r="AH4270">
        <v>0</v>
      </c>
      <c r="AI4270">
        <v>0</v>
      </c>
      <c r="AJ4270">
        <v>0</v>
      </c>
      <c r="AK4270">
        <v>0</v>
      </c>
      <c r="AL4270">
        <v>0</v>
      </c>
      <c r="AM4270">
        <v>0</v>
      </c>
      <c r="AN4270">
        <v>0</v>
      </c>
      <c r="AO4270">
        <v>0</v>
      </c>
      <c r="AP4270">
        <v>0</v>
      </c>
      <c r="AQ4270">
        <v>0</v>
      </c>
      <c r="AR4270">
        <v>0</v>
      </c>
      <c r="AS4270">
        <v>0</v>
      </c>
      <c r="AT4270">
        <v>0</v>
      </c>
      <c r="AU4270">
        <f t="shared" si="132"/>
        <v>0</v>
      </c>
      <c r="AV4270">
        <f t="shared" si="133"/>
        <v>0</v>
      </c>
    </row>
    <row r="4271" spans="1:48" x14ac:dyDescent="0.25">
      <c r="A4271" t="s">
        <v>12750</v>
      </c>
      <c r="B4271" t="s">
        <v>12750</v>
      </c>
      <c r="C4271" t="s">
        <v>7880</v>
      </c>
      <c r="D4271" t="s">
        <v>12749</v>
      </c>
      <c r="E4271" t="s">
        <v>2310</v>
      </c>
      <c r="F4271">
        <v>8</v>
      </c>
      <c r="G4271">
        <v>8.1</v>
      </c>
      <c r="H4271" t="s">
        <v>2323</v>
      </c>
      <c r="I4271" s="21">
        <v>42110.644513888903</v>
      </c>
      <c r="J4271">
        <v>2015</v>
      </c>
      <c r="K4271" s="21">
        <v>42129.663819444402</v>
      </c>
      <c r="L4271">
        <v>2015</v>
      </c>
      <c r="M4271" s="21">
        <v>42607.435856481497</v>
      </c>
      <c r="N4271">
        <v>2016</v>
      </c>
      <c r="Q4271" s="262">
        <v>150000</v>
      </c>
      <c r="R4271" s="262">
        <v>57000</v>
      </c>
      <c r="S4271" t="s">
        <v>114</v>
      </c>
      <c r="T4271" t="s">
        <v>114</v>
      </c>
      <c r="W4271">
        <v>1236</v>
      </c>
      <c r="X4271">
        <v>0</v>
      </c>
      <c r="Y4271">
        <v>0</v>
      </c>
      <c r="Z4271">
        <v>0</v>
      </c>
      <c r="AA4271">
        <v>0</v>
      </c>
      <c r="AB4271">
        <v>0</v>
      </c>
      <c r="AC4271">
        <v>1236</v>
      </c>
      <c r="AD4271">
        <v>0</v>
      </c>
      <c r="AE4271">
        <v>0</v>
      </c>
      <c r="AF4271">
        <v>0</v>
      </c>
      <c r="AG4271">
        <v>0</v>
      </c>
      <c r="AH4271">
        <v>0</v>
      </c>
      <c r="AI4271">
        <v>0</v>
      </c>
      <c r="AJ4271">
        <v>0</v>
      </c>
      <c r="AK4271">
        <v>0</v>
      </c>
      <c r="AL4271">
        <v>0</v>
      </c>
      <c r="AM4271">
        <v>0</v>
      </c>
      <c r="AN4271">
        <v>0</v>
      </c>
      <c r="AO4271">
        <v>0</v>
      </c>
      <c r="AP4271">
        <v>0</v>
      </c>
      <c r="AQ4271">
        <v>0</v>
      </c>
      <c r="AR4271">
        <v>0</v>
      </c>
      <c r="AS4271">
        <v>0</v>
      </c>
      <c r="AT4271">
        <v>0</v>
      </c>
      <c r="AU4271">
        <f t="shared" si="132"/>
        <v>0</v>
      </c>
      <c r="AV4271">
        <f t="shared" si="133"/>
        <v>0</v>
      </c>
    </row>
    <row r="4272" spans="1:48" x14ac:dyDescent="0.25">
      <c r="A4272" t="s">
        <v>12751</v>
      </c>
      <c r="C4272" t="s">
        <v>12752</v>
      </c>
      <c r="D4272" t="s">
        <v>12753</v>
      </c>
      <c r="E4272" t="s">
        <v>1663</v>
      </c>
      <c r="F4272">
        <v>2</v>
      </c>
      <c r="G4272">
        <v>2.2999999999999998</v>
      </c>
      <c r="H4272" t="s">
        <v>2327</v>
      </c>
      <c r="I4272" s="21">
        <v>42111</v>
      </c>
      <c r="J4272">
        <v>2015</v>
      </c>
      <c r="K4272" s="21">
        <v>42125</v>
      </c>
      <c r="L4272">
        <v>2015</v>
      </c>
      <c r="M4272" s="21">
        <v>42185</v>
      </c>
      <c r="N4272">
        <v>2015</v>
      </c>
      <c r="Q4272" s="262">
        <v>40917</v>
      </c>
      <c r="S4272" t="s">
        <v>114</v>
      </c>
      <c r="T4272" t="s">
        <v>114</v>
      </c>
      <c r="V4272">
        <v>0</v>
      </c>
      <c r="W4272">
        <v>0</v>
      </c>
      <c r="X4272">
        <v>0</v>
      </c>
      <c r="Y4272">
        <v>0</v>
      </c>
      <c r="Z4272">
        <v>0</v>
      </c>
      <c r="AA4272">
        <v>0</v>
      </c>
      <c r="AB4272">
        <v>0</v>
      </c>
      <c r="AC4272">
        <v>0</v>
      </c>
      <c r="AD4272">
        <v>0</v>
      </c>
      <c r="AE4272">
        <v>0</v>
      </c>
      <c r="AF4272">
        <v>0</v>
      </c>
      <c r="AG4272">
        <v>0</v>
      </c>
      <c r="AH4272">
        <v>0</v>
      </c>
      <c r="AI4272">
        <v>0</v>
      </c>
      <c r="AJ4272">
        <v>0</v>
      </c>
      <c r="AK4272">
        <v>0</v>
      </c>
      <c r="AL4272">
        <v>0</v>
      </c>
      <c r="AM4272">
        <v>0</v>
      </c>
      <c r="AN4272">
        <v>0</v>
      </c>
      <c r="AO4272">
        <v>0</v>
      </c>
      <c r="AP4272">
        <v>0</v>
      </c>
      <c r="AQ4272">
        <v>0</v>
      </c>
      <c r="AR4272">
        <v>0</v>
      </c>
      <c r="AS4272">
        <v>0</v>
      </c>
      <c r="AT4272">
        <v>0</v>
      </c>
      <c r="AU4272">
        <f t="shared" si="132"/>
        <v>0</v>
      </c>
      <c r="AV4272">
        <f t="shared" si="133"/>
        <v>0</v>
      </c>
    </row>
    <row r="4273" spans="1:48" x14ac:dyDescent="0.25">
      <c r="A4273" t="s">
        <v>12754</v>
      </c>
      <c r="C4273" t="s">
        <v>12755</v>
      </c>
      <c r="D4273" t="s">
        <v>7133</v>
      </c>
      <c r="E4273" t="s">
        <v>1663</v>
      </c>
      <c r="F4273">
        <v>3</v>
      </c>
      <c r="G4273">
        <v>3.2</v>
      </c>
      <c r="H4273" t="s">
        <v>2327</v>
      </c>
      <c r="I4273" s="21">
        <v>42115</v>
      </c>
      <c r="J4273">
        <v>2015</v>
      </c>
      <c r="K4273" s="21">
        <v>42185</v>
      </c>
      <c r="L4273">
        <v>2015</v>
      </c>
      <c r="M4273" s="21">
        <v>42287</v>
      </c>
      <c r="N4273">
        <v>2015</v>
      </c>
      <c r="Q4273" s="262">
        <v>150000</v>
      </c>
      <c r="S4273" t="s">
        <v>114</v>
      </c>
      <c r="T4273" t="s">
        <v>114</v>
      </c>
      <c r="V4273">
        <v>630</v>
      </c>
      <c r="W4273">
        <v>0</v>
      </c>
      <c r="X4273">
        <v>0</v>
      </c>
      <c r="Y4273">
        <v>0</v>
      </c>
      <c r="Z4273">
        <v>0</v>
      </c>
      <c r="AA4273">
        <v>0</v>
      </c>
      <c r="AB4273">
        <v>0</v>
      </c>
      <c r="AC4273">
        <v>0</v>
      </c>
      <c r="AD4273">
        <v>0</v>
      </c>
      <c r="AE4273">
        <v>0</v>
      </c>
      <c r="AF4273">
        <v>0</v>
      </c>
      <c r="AG4273">
        <v>0</v>
      </c>
      <c r="AH4273">
        <v>0</v>
      </c>
      <c r="AI4273">
        <v>0</v>
      </c>
      <c r="AJ4273">
        <v>0</v>
      </c>
      <c r="AK4273">
        <v>0</v>
      </c>
      <c r="AL4273">
        <v>0</v>
      </c>
      <c r="AM4273">
        <v>0</v>
      </c>
      <c r="AN4273">
        <v>0</v>
      </c>
      <c r="AO4273">
        <v>0</v>
      </c>
      <c r="AP4273">
        <v>0</v>
      </c>
      <c r="AQ4273">
        <v>0</v>
      </c>
      <c r="AR4273">
        <v>0</v>
      </c>
      <c r="AS4273">
        <v>0</v>
      </c>
      <c r="AT4273">
        <v>0</v>
      </c>
      <c r="AU4273">
        <f t="shared" si="132"/>
        <v>0</v>
      </c>
      <c r="AV4273">
        <f t="shared" si="133"/>
        <v>0</v>
      </c>
    </row>
    <row r="4274" spans="1:48" x14ac:dyDescent="0.25">
      <c r="A4274" t="s">
        <v>17625</v>
      </c>
      <c r="B4274" t="s">
        <v>17625</v>
      </c>
      <c r="C4274" t="s">
        <v>17626</v>
      </c>
      <c r="D4274" t="s">
        <v>17627</v>
      </c>
      <c r="E4274" t="s">
        <v>2310</v>
      </c>
      <c r="F4274">
        <v>13</v>
      </c>
      <c r="G4274">
        <v>13.2</v>
      </c>
      <c r="H4274" t="s">
        <v>2327</v>
      </c>
      <c r="I4274" s="21">
        <v>42115.37295138889</v>
      </c>
      <c r="J4274">
        <v>2015</v>
      </c>
      <c r="K4274" s="21">
        <v>42741.392094907409</v>
      </c>
      <c r="L4274">
        <v>2017</v>
      </c>
      <c r="M4274" s="21">
        <v>42741.392094907409</v>
      </c>
      <c r="N4274">
        <v>2017</v>
      </c>
      <c r="Q4274" s="262">
        <v>2155000</v>
      </c>
      <c r="R4274" s="262">
        <v>1400000</v>
      </c>
      <c r="S4274" t="s">
        <v>13254</v>
      </c>
      <c r="W4274">
        <v>9043</v>
      </c>
      <c r="X4274">
        <v>1</v>
      </c>
      <c r="Y4274">
        <v>0</v>
      </c>
      <c r="Z4274">
        <v>0</v>
      </c>
      <c r="AA4274">
        <v>0</v>
      </c>
      <c r="AB4274">
        <v>0</v>
      </c>
      <c r="AC4274">
        <v>9043</v>
      </c>
      <c r="AD4274">
        <v>0</v>
      </c>
      <c r="AE4274">
        <v>0</v>
      </c>
      <c r="AF4274">
        <v>0</v>
      </c>
      <c r="AG4274">
        <v>0</v>
      </c>
      <c r="AH4274">
        <v>0</v>
      </c>
      <c r="AI4274">
        <v>0</v>
      </c>
      <c r="AJ4274">
        <v>0</v>
      </c>
      <c r="AK4274">
        <v>0</v>
      </c>
      <c r="AL4274">
        <v>0</v>
      </c>
      <c r="AM4274">
        <v>0</v>
      </c>
      <c r="AN4274">
        <v>0</v>
      </c>
      <c r="AO4274">
        <v>1</v>
      </c>
      <c r="AP4274">
        <v>0</v>
      </c>
      <c r="AQ4274">
        <v>0</v>
      </c>
      <c r="AR4274">
        <v>0</v>
      </c>
      <c r="AS4274">
        <v>0</v>
      </c>
      <c r="AT4274">
        <v>0</v>
      </c>
      <c r="AU4274">
        <f t="shared" si="132"/>
        <v>1</v>
      </c>
      <c r="AV4274">
        <f t="shared" si="133"/>
        <v>0</v>
      </c>
    </row>
    <row r="4275" spans="1:48" x14ac:dyDescent="0.25">
      <c r="A4275" t="s">
        <v>12756</v>
      </c>
      <c r="B4275" t="s">
        <v>12756</v>
      </c>
      <c r="C4275" t="s">
        <v>12757</v>
      </c>
      <c r="D4275" t="s">
        <v>12758</v>
      </c>
      <c r="E4275" t="s">
        <v>2310</v>
      </c>
      <c r="F4275">
        <v>8</v>
      </c>
      <c r="G4275">
        <v>8.3000000000000007</v>
      </c>
      <c r="H4275" t="s">
        <v>2323</v>
      </c>
      <c r="I4275" s="21">
        <v>42115.481770833299</v>
      </c>
      <c r="J4275">
        <v>2015</v>
      </c>
      <c r="K4275" s="21">
        <v>42131.324004629598</v>
      </c>
      <c r="L4275">
        <v>2015</v>
      </c>
      <c r="M4275" s="21">
        <v>42138.474374999998</v>
      </c>
      <c r="N4275">
        <v>2015</v>
      </c>
      <c r="Q4275" s="262">
        <v>20000</v>
      </c>
      <c r="R4275" s="262">
        <v>19000</v>
      </c>
      <c r="S4275" t="s">
        <v>114</v>
      </c>
      <c r="T4275" t="s">
        <v>114</v>
      </c>
      <c r="V4275">
        <v>2560</v>
      </c>
      <c r="W4275">
        <v>0</v>
      </c>
      <c r="X4275">
        <v>1</v>
      </c>
      <c r="Y4275">
        <v>0</v>
      </c>
      <c r="Z4275">
        <v>0</v>
      </c>
      <c r="AA4275">
        <v>0</v>
      </c>
      <c r="AB4275">
        <v>0</v>
      </c>
      <c r="AC4275">
        <v>2560</v>
      </c>
      <c r="AD4275">
        <v>0</v>
      </c>
      <c r="AE4275">
        <v>0</v>
      </c>
      <c r="AF4275">
        <v>0</v>
      </c>
      <c r="AG4275">
        <v>0</v>
      </c>
      <c r="AH4275">
        <v>0</v>
      </c>
      <c r="AI4275">
        <v>0</v>
      </c>
      <c r="AJ4275">
        <v>-2560</v>
      </c>
      <c r="AK4275">
        <v>0</v>
      </c>
      <c r="AL4275">
        <v>0</v>
      </c>
      <c r="AM4275">
        <v>0</v>
      </c>
      <c r="AN4275">
        <v>0</v>
      </c>
      <c r="AO4275">
        <v>1</v>
      </c>
      <c r="AP4275">
        <v>0</v>
      </c>
      <c r="AQ4275">
        <v>0</v>
      </c>
      <c r="AR4275">
        <v>0</v>
      </c>
      <c r="AS4275">
        <v>0</v>
      </c>
      <c r="AT4275">
        <v>0</v>
      </c>
      <c r="AU4275">
        <f t="shared" si="132"/>
        <v>1</v>
      </c>
      <c r="AV4275">
        <f t="shared" si="133"/>
        <v>-2560</v>
      </c>
    </row>
    <row r="4276" spans="1:48" x14ac:dyDescent="0.25">
      <c r="A4276" t="s">
        <v>18496</v>
      </c>
      <c r="B4276" t="s">
        <v>18496</v>
      </c>
      <c r="C4276" t="s">
        <v>11782</v>
      </c>
      <c r="D4276" t="s">
        <v>18497</v>
      </c>
      <c r="E4276" t="s">
        <v>2310</v>
      </c>
      <c r="F4276">
        <v>15</v>
      </c>
      <c r="G4276">
        <v>15.2</v>
      </c>
      <c r="H4276" t="s">
        <v>2323</v>
      </c>
      <c r="I4276" s="21">
        <v>42115.557789351849</v>
      </c>
      <c r="J4276">
        <v>2015</v>
      </c>
      <c r="K4276" s="21">
        <v>42178.645740740743</v>
      </c>
      <c r="L4276">
        <v>2015</v>
      </c>
      <c r="M4276" s="21">
        <v>43489.48555917824</v>
      </c>
      <c r="N4276">
        <v>2019</v>
      </c>
      <c r="Q4276" s="262">
        <v>2425000</v>
      </c>
      <c r="R4276" s="262">
        <v>1703000</v>
      </c>
      <c r="S4276" t="s">
        <v>13254</v>
      </c>
      <c r="W4276">
        <v>10345</v>
      </c>
      <c r="X4276">
        <v>1</v>
      </c>
      <c r="Y4276">
        <v>0</v>
      </c>
      <c r="Z4276">
        <v>0</v>
      </c>
      <c r="AA4276">
        <v>0</v>
      </c>
      <c r="AB4276">
        <v>0</v>
      </c>
      <c r="AC4276">
        <v>10345</v>
      </c>
      <c r="AD4276">
        <v>0</v>
      </c>
      <c r="AE4276">
        <v>0</v>
      </c>
      <c r="AF4276">
        <v>0</v>
      </c>
      <c r="AG4276">
        <v>0</v>
      </c>
      <c r="AH4276">
        <v>0</v>
      </c>
      <c r="AI4276">
        <v>0</v>
      </c>
      <c r="AJ4276">
        <v>0</v>
      </c>
      <c r="AK4276">
        <v>0</v>
      </c>
      <c r="AL4276">
        <v>0</v>
      </c>
      <c r="AM4276">
        <v>0</v>
      </c>
      <c r="AN4276">
        <v>0</v>
      </c>
      <c r="AO4276">
        <v>1</v>
      </c>
      <c r="AP4276">
        <v>0</v>
      </c>
      <c r="AQ4276">
        <v>0</v>
      </c>
      <c r="AR4276">
        <v>0</v>
      </c>
      <c r="AS4276">
        <v>0</v>
      </c>
      <c r="AT4276">
        <v>0</v>
      </c>
      <c r="AU4276">
        <f t="shared" si="132"/>
        <v>1</v>
      </c>
      <c r="AV4276">
        <f t="shared" si="133"/>
        <v>0</v>
      </c>
    </row>
    <row r="4277" spans="1:48" x14ac:dyDescent="0.25">
      <c r="A4277" t="s">
        <v>17628</v>
      </c>
      <c r="B4277" t="s">
        <v>17628</v>
      </c>
      <c r="C4277" t="s">
        <v>17629</v>
      </c>
      <c r="D4277" t="s">
        <v>17630</v>
      </c>
      <c r="E4277" t="s">
        <v>2310</v>
      </c>
      <c r="F4277">
        <v>9</v>
      </c>
      <c r="G4277">
        <v>9.1999999999999993</v>
      </c>
      <c r="H4277" t="s">
        <v>2022</v>
      </c>
      <c r="I4277" s="21">
        <v>42115.64439814815</v>
      </c>
      <c r="J4277">
        <v>2015</v>
      </c>
      <c r="K4277" s="21">
        <v>42802.381238425929</v>
      </c>
      <c r="L4277">
        <v>2017</v>
      </c>
      <c r="M4277" s="21">
        <v>42802.381238425929</v>
      </c>
      <c r="N4277">
        <v>2017</v>
      </c>
      <c r="Q4277" s="262">
        <v>3711530</v>
      </c>
      <c r="R4277" s="262">
        <v>1058000</v>
      </c>
      <c r="S4277" t="s">
        <v>13254</v>
      </c>
      <c r="W4277">
        <v>8440</v>
      </c>
      <c r="X4277">
        <v>1</v>
      </c>
      <c r="Y4277">
        <v>0</v>
      </c>
      <c r="Z4277">
        <v>0</v>
      </c>
      <c r="AA4277">
        <v>0</v>
      </c>
      <c r="AB4277">
        <v>0</v>
      </c>
      <c r="AC4277">
        <v>8440</v>
      </c>
      <c r="AD4277">
        <v>0</v>
      </c>
      <c r="AE4277">
        <v>0</v>
      </c>
      <c r="AF4277">
        <v>0</v>
      </c>
      <c r="AG4277">
        <v>0</v>
      </c>
      <c r="AH4277">
        <v>0</v>
      </c>
      <c r="AI4277">
        <v>0</v>
      </c>
      <c r="AJ4277">
        <v>0</v>
      </c>
      <c r="AK4277">
        <v>0</v>
      </c>
      <c r="AL4277">
        <v>0</v>
      </c>
      <c r="AM4277">
        <v>0</v>
      </c>
      <c r="AN4277">
        <v>0</v>
      </c>
      <c r="AO4277">
        <v>1</v>
      </c>
      <c r="AP4277">
        <v>0</v>
      </c>
      <c r="AQ4277">
        <v>0</v>
      </c>
      <c r="AR4277">
        <v>0</v>
      </c>
      <c r="AS4277">
        <v>0</v>
      </c>
      <c r="AT4277">
        <v>0</v>
      </c>
      <c r="AU4277">
        <f t="shared" si="132"/>
        <v>1</v>
      </c>
      <c r="AV4277">
        <f t="shared" si="133"/>
        <v>0</v>
      </c>
    </row>
    <row r="4278" spans="1:48" x14ac:dyDescent="0.25">
      <c r="A4278" t="s">
        <v>12759</v>
      </c>
      <c r="B4278" t="s">
        <v>12759</v>
      </c>
      <c r="C4278" t="s">
        <v>10265</v>
      </c>
      <c r="D4278" t="s">
        <v>6541</v>
      </c>
      <c r="E4278" t="s">
        <v>2310</v>
      </c>
      <c r="F4278">
        <v>15</v>
      </c>
      <c r="G4278">
        <v>15.1</v>
      </c>
      <c r="H4278" t="s">
        <v>2022</v>
      </c>
      <c r="I4278" s="21">
        <v>42116.386435185203</v>
      </c>
      <c r="J4278">
        <v>2015</v>
      </c>
      <c r="K4278" s="21">
        <v>42289.648379629602</v>
      </c>
      <c r="L4278">
        <v>2015</v>
      </c>
      <c r="M4278" s="21">
        <v>42466.635219907403</v>
      </c>
      <c r="N4278">
        <v>2016</v>
      </c>
      <c r="Q4278" s="262">
        <v>89000</v>
      </c>
      <c r="R4278" s="262">
        <v>201000</v>
      </c>
      <c r="S4278" t="s">
        <v>114</v>
      </c>
      <c r="T4278" t="s">
        <v>114</v>
      </c>
      <c r="W4278">
        <v>3360</v>
      </c>
      <c r="X4278">
        <v>0</v>
      </c>
      <c r="Y4278">
        <v>0</v>
      </c>
      <c r="Z4278">
        <v>0</v>
      </c>
      <c r="AA4278">
        <v>0</v>
      </c>
      <c r="AB4278">
        <v>0</v>
      </c>
      <c r="AC4278">
        <v>3360</v>
      </c>
      <c r="AD4278">
        <v>0</v>
      </c>
      <c r="AE4278">
        <v>0</v>
      </c>
      <c r="AF4278">
        <v>0</v>
      </c>
      <c r="AG4278">
        <v>0</v>
      </c>
      <c r="AH4278">
        <v>0</v>
      </c>
      <c r="AI4278">
        <v>0</v>
      </c>
      <c r="AJ4278">
        <v>0</v>
      </c>
      <c r="AK4278">
        <v>0</v>
      </c>
      <c r="AL4278">
        <v>0</v>
      </c>
      <c r="AM4278">
        <v>0</v>
      </c>
      <c r="AN4278">
        <v>0</v>
      </c>
      <c r="AO4278">
        <v>0</v>
      </c>
      <c r="AP4278">
        <v>0</v>
      </c>
      <c r="AQ4278">
        <v>0</v>
      </c>
      <c r="AR4278">
        <v>0</v>
      </c>
      <c r="AS4278">
        <v>0</v>
      </c>
      <c r="AT4278">
        <v>0</v>
      </c>
      <c r="AU4278">
        <f t="shared" si="132"/>
        <v>0</v>
      </c>
      <c r="AV4278">
        <f t="shared" si="133"/>
        <v>0</v>
      </c>
    </row>
    <row r="4279" spans="1:48" x14ac:dyDescent="0.25">
      <c r="A4279" t="s">
        <v>17631</v>
      </c>
      <c r="B4279" t="s">
        <v>17631</v>
      </c>
      <c r="C4279" t="s">
        <v>17632</v>
      </c>
      <c r="D4279" t="s">
        <v>17633</v>
      </c>
      <c r="E4279" t="s">
        <v>2310</v>
      </c>
      <c r="F4279">
        <v>13</v>
      </c>
      <c r="G4279">
        <v>13.2</v>
      </c>
      <c r="H4279" t="s">
        <v>2327</v>
      </c>
      <c r="I4279" s="21">
        <v>42116.577881944446</v>
      </c>
      <c r="J4279">
        <v>2015</v>
      </c>
      <c r="K4279" s="21">
        <v>42970.460856481484</v>
      </c>
      <c r="L4279">
        <v>2017</v>
      </c>
      <c r="M4279" s="21">
        <v>42970.460856481484</v>
      </c>
      <c r="N4279">
        <v>2017</v>
      </c>
      <c r="Q4279" s="262">
        <v>4100000</v>
      </c>
      <c r="R4279" s="262">
        <v>1324000</v>
      </c>
      <c r="S4279" t="s">
        <v>13254</v>
      </c>
      <c r="W4279">
        <v>8398</v>
      </c>
      <c r="X4279">
        <v>1</v>
      </c>
      <c r="Y4279">
        <v>0</v>
      </c>
      <c r="Z4279">
        <v>0</v>
      </c>
      <c r="AA4279">
        <v>0</v>
      </c>
      <c r="AB4279">
        <v>0</v>
      </c>
      <c r="AC4279">
        <v>8398</v>
      </c>
      <c r="AD4279">
        <v>0</v>
      </c>
      <c r="AE4279">
        <v>0</v>
      </c>
      <c r="AF4279">
        <v>0</v>
      </c>
      <c r="AG4279">
        <v>0</v>
      </c>
      <c r="AH4279">
        <v>0</v>
      </c>
      <c r="AI4279">
        <v>0</v>
      </c>
      <c r="AJ4279">
        <v>0</v>
      </c>
      <c r="AK4279">
        <v>0</v>
      </c>
      <c r="AL4279">
        <v>0</v>
      </c>
      <c r="AM4279">
        <v>0</v>
      </c>
      <c r="AN4279">
        <v>0</v>
      </c>
      <c r="AO4279">
        <v>1</v>
      </c>
      <c r="AP4279">
        <v>0</v>
      </c>
      <c r="AQ4279">
        <v>0</v>
      </c>
      <c r="AR4279">
        <v>0</v>
      </c>
      <c r="AS4279">
        <v>0</v>
      </c>
      <c r="AT4279">
        <v>0</v>
      </c>
      <c r="AU4279">
        <f t="shared" si="132"/>
        <v>1</v>
      </c>
      <c r="AV4279">
        <f t="shared" si="133"/>
        <v>0</v>
      </c>
    </row>
    <row r="4280" spans="1:48" x14ac:dyDescent="0.25">
      <c r="A4280" t="s">
        <v>12760</v>
      </c>
      <c r="B4280" t="s">
        <v>12760</v>
      </c>
      <c r="C4280" t="s">
        <v>12761</v>
      </c>
      <c r="D4280" t="s">
        <v>12762</v>
      </c>
      <c r="E4280" t="s">
        <v>2310</v>
      </c>
      <c r="F4280">
        <v>9</v>
      </c>
      <c r="G4280">
        <v>9.1</v>
      </c>
      <c r="H4280" t="s">
        <v>2323</v>
      </c>
      <c r="I4280" s="21">
        <v>42117.490497685198</v>
      </c>
      <c r="J4280">
        <v>2015</v>
      </c>
      <c r="K4280" s="21">
        <v>42156.320648148103</v>
      </c>
      <c r="L4280">
        <v>2015</v>
      </c>
      <c r="M4280" s="21">
        <v>42576.669259259303</v>
      </c>
      <c r="N4280">
        <v>2016</v>
      </c>
      <c r="Q4280" s="262">
        <v>201000</v>
      </c>
      <c r="R4280" s="262">
        <v>101000</v>
      </c>
      <c r="S4280" t="s">
        <v>114</v>
      </c>
      <c r="T4280" t="s">
        <v>114</v>
      </c>
      <c r="W4280">
        <v>864</v>
      </c>
      <c r="X4280">
        <v>1</v>
      </c>
      <c r="Y4280">
        <v>0</v>
      </c>
      <c r="Z4280">
        <v>0</v>
      </c>
      <c r="AA4280">
        <v>0</v>
      </c>
      <c r="AB4280">
        <v>0</v>
      </c>
      <c r="AC4280">
        <v>0</v>
      </c>
      <c r="AD4280">
        <v>0</v>
      </c>
      <c r="AE4280">
        <v>0</v>
      </c>
      <c r="AF4280">
        <v>864</v>
      </c>
      <c r="AG4280">
        <v>0</v>
      </c>
      <c r="AH4280">
        <v>0</v>
      </c>
      <c r="AI4280">
        <v>0</v>
      </c>
      <c r="AJ4280">
        <v>0</v>
      </c>
      <c r="AK4280">
        <v>0</v>
      </c>
      <c r="AL4280">
        <v>0</v>
      </c>
      <c r="AM4280">
        <v>0</v>
      </c>
      <c r="AN4280">
        <v>0</v>
      </c>
      <c r="AO4280">
        <v>0</v>
      </c>
      <c r="AP4280">
        <v>0</v>
      </c>
      <c r="AQ4280">
        <v>0</v>
      </c>
      <c r="AR4280">
        <v>1</v>
      </c>
      <c r="AS4280">
        <v>0</v>
      </c>
      <c r="AT4280">
        <v>0</v>
      </c>
      <c r="AU4280">
        <f t="shared" si="132"/>
        <v>0</v>
      </c>
      <c r="AV4280">
        <f t="shared" si="133"/>
        <v>0</v>
      </c>
    </row>
    <row r="4281" spans="1:48" x14ac:dyDescent="0.25">
      <c r="A4281" t="s">
        <v>12763</v>
      </c>
      <c r="B4281" t="s">
        <v>12763</v>
      </c>
      <c r="C4281" t="s">
        <v>12764</v>
      </c>
      <c r="D4281" t="s">
        <v>12765</v>
      </c>
      <c r="E4281" t="s">
        <v>2310</v>
      </c>
      <c r="F4281">
        <v>15</v>
      </c>
      <c r="G4281">
        <v>15.2</v>
      </c>
      <c r="H4281" t="s">
        <v>2323</v>
      </c>
      <c r="I4281" s="21">
        <v>42117.596250000002</v>
      </c>
      <c r="J4281">
        <v>2015</v>
      </c>
      <c r="K4281" s="21">
        <v>42191.689560185201</v>
      </c>
      <c r="L4281">
        <v>2015</v>
      </c>
      <c r="M4281" s="21">
        <v>42625.6947685185</v>
      </c>
      <c r="N4281">
        <v>2016</v>
      </c>
      <c r="Q4281" s="262">
        <v>600000</v>
      </c>
      <c r="R4281" s="262">
        <v>355000</v>
      </c>
      <c r="S4281" t="s">
        <v>114</v>
      </c>
      <c r="T4281" t="s">
        <v>114</v>
      </c>
      <c r="W4281">
        <v>2840</v>
      </c>
      <c r="X4281">
        <v>1</v>
      </c>
      <c r="Y4281">
        <v>0</v>
      </c>
      <c r="Z4281">
        <v>0</v>
      </c>
      <c r="AA4281">
        <v>0</v>
      </c>
      <c r="AB4281">
        <v>0</v>
      </c>
      <c r="AC4281">
        <v>2840</v>
      </c>
      <c r="AD4281">
        <v>0</v>
      </c>
      <c r="AE4281">
        <v>0</v>
      </c>
      <c r="AF4281">
        <v>0</v>
      </c>
      <c r="AG4281">
        <v>0</v>
      </c>
      <c r="AH4281">
        <v>0</v>
      </c>
      <c r="AI4281">
        <v>0</v>
      </c>
      <c r="AJ4281">
        <v>0</v>
      </c>
      <c r="AK4281">
        <v>0</v>
      </c>
      <c r="AL4281">
        <v>0</v>
      </c>
      <c r="AM4281">
        <v>0</v>
      </c>
      <c r="AN4281">
        <v>0</v>
      </c>
      <c r="AO4281">
        <v>1</v>
      </c>
      <c r="AP4281">
        <v>0</v>
      </c>
      <c r="AQ4281">
        <v>0</v>
      </c>
      <c r="AR4281">
        <v>0</v>
      </c>
      <c r="AS4281">
        <v>0</v>
      </c>
      <c r="AT4281">
        <v>0</v>
      </c>
      <c r="AU4281">
        <f t="shared" si="132"/>
        <v>1</v>
      </c>
      <c r="AV4281">
        <f t="shared" si="133"/>
        <v>0</v>
      </c>
    </row>
    <row r="4282" spans="1:48" x14ac:dyDescent="0.25">
      <c r="A4282" t="s">
        <v>12766</v>
      </c>
      <c r="B4282" t="s">
        <v>12766</v>
      </c>
      <c r="C4282" t="s">
        <v>7880</v>
      </c>
      <c r="D4282" t="s">
        <v>12765</v>
      </c>
      <c r="E4282" t="s">
        <v>2310</v>
      </c>
      <c r="F4282">
        <v>15</v>
      </c>
      <c r="G4282">
        <v>15.2</v>
      </c>
      <c r="H4282" t="s">
        <v>2323</v>
      </c>
      <c r="I4282" s="21">
        <v>42118.567268518498</v>
      </c>
      <c r="J4282">
        <v>2015</v>
      </c>
      <c r="K4282" s="21">
        <v>42192.337094907401</v>
      </c>
      <c r="L4282">
        <v>2015</v>
      </c>
      <c r="M4282" s="21">
        <v>42625.696539351899</v>
      </c>
      <c r="N4282">
        <v>2016</v>
      </c>
      <c r="Q4282" s="262">
        <v>100000</v>
      </c>
      <c r="R4282" s="262">
        <v>72000</v>
      </c>
      <c r="S4282" t="s">
        <v>114</v>
      </c>
      <c r="T4282" t="s">
        <v>114</v>
      </c>
      <c r="W4282">
        <v>1655</v>
      </c>
      <c r="X4282">
        <v>0</v>
      </c>
      <c r="Y4282">
        <v>0</v>
      </c>
      <c r="Z4282">
        <v>0</v>
      </c>
      <c r="AA4282">
        <v>0</v>
      </c>
      <c r="AB4282">
        <v>0</v>
      </c>
      <c r="AC4282">
        <v>1655</v>
      </c>
      <c r="AD4282">
        <v>0</v>
      </c>
      <c r="AE4282">
        <v>0</v>
      </c>
      <c r="AF4282">
        <v>0</v>
      </c>
      <c r="AG4282">
        <v>0</v>
      </c>
      <c r="AH4282">
        <v>0</v>
      </c>
      <c r="AI4282">
        <v>0</v>
      </c>
      <c r="AJ4282">
        <v>0</v>
      </c>
      <c r="AK4282">
        <v>0</v>
      </c>
      <c r="AL4282">
        <v>0</v>
      </c>
      <c r="AM4282">
        <v>0</v>
      </c>
      <c r="AN4282">
        <v>0</v>
      </c>
      <c r="AO4282">
        <v>0</v>
      </c>
      <c r="AP4282">
        <v>0</v>
      </c>
      <c r="AQ4282">
        <v>0</v>
      </c>
      <c r="AR4282">
        <v>0</v>
      </c>
      <c r="AS4282">
        <v>0</v>
      </c>
      <c r="AT4282">
        <v>0</v>
      </c>
      <c r="AU4282">
        <f t="shared" si="132"/>
        <v>0</v>
      </c>
      <c r="AV4282">
        <f t="shared" si="133"/>
        <v>0</v>
      </c>
    </row>
    <row r="4283" spans="1:48" x14ac:dyDescent="0.25">
      <c r="A4283" t="s">
        <v>12767</v>
      </c>
      <c r="C4283" t="s">
        <v>12768</v>
      </c>
      <c r="D4283" t="s">
        <v>12461</v>
      </c>
      <c r="E4283" t="s">
        <v>1663</v>
      </c>
      <c r="F4283">
        <v>3</v>
      </c>
      <c r="G4283">
        <v>3.2</v>
      </c>
      <c r="H4283" t="s">
        <v>2327</v>
      </c>
      <c r="I4283" s="21">
        <v>42122</v>
      </c>
      <c r="J4283">
        <v>2015</v>
      </c>
      <c r="K4283" s="21">
        <v>42166</v>
      </c>
      <c r="L4283">
        <v>2015</v>
      </c>
      <c r="M4283" s="21">
        <v>42523</v>
      </c>
      <c r="N4283">
        <v>2016</v>
      </c>
      <c r="Q4283" s="262">
        <v>390000</v>
      </c>
      <c r="S4283" t="s">
        <v>114</v>
      </c>
      <c r="T4283" t="s">
        <v>114</v>
      </c>
      <c r="W4283">
        <v>5287</v>
      </c>
      <c r="X4283">
        <v>2</v>
      </c>
      <c r="Y4283">
        <v>0</v>
      </c>
      <c r="Z4283">
        <v>0</v>
      </c>
      <c r="AA4283">
        <v>0</v>
      </c>
      <c r="AB4283">
        <v>0</v>
      </c>
      <c r="AC4283">
        <v>3832</v>
      </c>
      <c r="AD4283">
        <v>0</v>
      </c>
      <c r="AE4283">
        <v>1455</v>
      </c>
      <c r="AF4283">
        <v>0</v>
      </c>
      <c r="AG4283">
        <v>0</v>
      </c>
      <c r="AH4283">
        <v>0</v>
      </c>
      <c r="AI4283">
        <v>0</v>
      </c>
      <c r="AJ4283">
        <v>0</v>
      </c>
      <c r="AK4283">
        <v>0</v>
      </c>
      <c r="AL4283">
        <v>0</v>
      </c>
      <c r="AM4283">
        <v>0</v>
      </c>
      <c r="AN4283">
        <v>0</v>
      </c>
      <c r="AO4283">
        <v>1</v>
      </c>
      <c r="AP4283">
        <v>0</v>
      </c>
      <c r="AQ4283">
        <v>1</v>
      </c>
      <c r="AR4283">
        <v>0</v>
      </c>
      <c r="AS4283">
        <v>0</v>
      </c>
      <c r="AT4283">
        <v>0</v>
      </c>
      <c r="AU4283">
        <f t="shared" si="132"/>
        <v>2</v>
      </c>
      <c r="AV4283">
        <f t="shared" si="133"/>
        <v>0</v>
      </c>
    </row>
    <row r="4284" spans="1:48" x14ac:dyDescent="0.25">
      <c r="A4284" t="s">
        <v>12769</v>
      </c>
      <c r="C4284" t="s">
        <v>11246</v>
      </c>
      <c r="D4284" t="s">
        <v>12770</v>
      </c>
      <c r="E4284" t="s">
        <v>1663</v>
      </c>
      <c r="F4284">
        <v>3</v>
      </c>
      <c r="G4284">
        <v>3.2</v>
      </c>
      <c r="H4284" t="s">
        <v>2327</v>
      </c>
      <c r="I4284" s="21">
        <v>42122</v>
      </c>
      <c r="J4284">
        <v>2015</v>
      </c>
      <c r="K4284" s="21">
        <v>42159</v>
      </c>
      <c r="L4284">
        <v>2015</v>
      </c>
      <c r="M4284" s="21">
        <v>42548</v>
      </c>
      <c r="N4284">
        <v>2016</v>
      </c>
      <c r="Q4284" s="262">
        <v>168000</v>
      </c>
      <c r="S4284" t="s">
        <v>114</v>
      </c>
      <c r="T4284" t="s">
        <v>114</v>
      </c>
      <c r="W4284">
        <v>812</v>
      </c>
      <c r="X4284">
        <v>1</v>
      </c>
      <c r="Y4284">
        <v>0</v>
      </c>
      <c r="Z4284">
        <v>0</v>
      </c>
      <c r="AA4284">
        <v>0</v>
      </c>
      <c r="AB4284">
        <v>0</v>
      </c>
      <c r="AC4284">
        <v>812</v>
      </c>
      <c r="AD4284">
        <v>0</v>
      </c>
      <c r="AE4284">
        <v>0</v>
      </c>
      <c r="AF4284">
        <v>0</v>
      </c>
      <c r="AG4284">
        <v>0</v>
      </c>
      <c r="AH4284">
        <v>0</v>
      </c>
      <c r="AI4284">
        <v>0</v>
      </c>
      <c r="AJ4284">
        <v>0</v>
      </c>
      <c r="AK4284">
        <v>0</v>
      </c>
      <c r="AL4284">
        <v>0</v>
      </c>
      <c r="AM4284">
        <v>0</v>
      </c>
      <c r="AN4284">
        <v>0</v>
      </c>
      <c r="AO4284">
        <v>1</v>
      </c>
      <c r="AP4284">
        <v>0</v>
      </c>
      <c r="AQ4284">
        <v>0</v>
      </c>
      <c r="AR4284">
        <v>0</v>
      </c>
      <c r="AS4284">
        <v>0</v>
      </c>
      <c r="AT4284">
        <v>0</v>
      </c>
      <c r="AU4284">
        <f t="shared" si="132"/>
        <v>1</v>
      </c>
      <c r="AV4284">
        <f t="shared" si="133"/>
        <v>0</v>
      </c>
    </row>
    <row r="4285" spans="1:48" x14ac:dyDescent="0.25">
      <c r="A4285" t="s">
        <v>12771</v>
      </c>
      <c r="B4285" t="s">
        <v>12771</v>
      </c>
      <c r="C4285" t="s">
        <v>12772</v>
      </c>
      <c r="D4285" t="s">
        <v>12773</v>
      </c>
      <c r="E4285" t="s">
        <v>2310</v>
      </c>
      <c r="F4285">
        <v>13</v>
      </c>
      <c r="G4285">
        <v>13.2</v>
      </c>
      <c r="H4285" t="s">
        <v>2327</v>
      </c>
      <c r="I4285" s="21">
        <v>42122.676018518498</v>
      </c>
      <c r="J4285">
        <v>2015</v>
      </c>
      <c r="K4285" s="21">
        <v>42132.353738425903</v>
      </c>
      <c r="L4285">
        <v>2015</v>
      </c>
      <c r="M4285" s="21">
        <v>42522.674629629597</v>
      </c>
      <c r="N4285">
        <v>2016</v>
      </c>
      <c r="Q4285" s="262">
        <v>1125000</v>
      </c>
      <c r="R4285" s="262">
        <v>434000</v>
      </c>
      <c r="S4285" t="s">
        <v>114</v>
      </c>
      <c r="T4285" t="s">
        <v>114</v>
      </c>
      <c r="W4285">
        <v>3758</v>
      </c>
      <c r="X4285">
        <v>1</v>
      </c>
      <c r="Y4285">
        <v>0</v>
      </c>
      <c r="Z4285">
        <v>0</v>
      </c>
      <c r="AA4285">
        <v>0</v>
      </c>
      <c r="AB4285">
        <v>0</v>
      </c>
      <c r="AC4285">
        <v>3758</v>
      </c>
      <c r="AD4285">
        <v>0</v>
      </c>
      <c r="AE4285">
        <v>0</v>
      </c>
      <c r="AF4285">
        <v>0</v>
      </c>
      <c r="AG4285">
        <v>0</v>
      </c>
      <c r="AH4285">
        <v>0</v>
      </c>
      <c r="AI4285">
        <v>0</v>
      </c>
      <c r="AJ4285">
        <v>0</v>
      </c>
      <c r="AK4285">
        <v>0</v>
      </c>
      <c r="AL4285">
        <v>0</v>
      </c>
      <c r="AM4285">
        <v>0</v>
      </c>
      <c r="AN4285">
        <v>0</v>
      </c>
      <c r="AO4285">
        <v>1</v>
      </c>
      <c r="AP4285">
        <v>0</v>
      </c>
      <c r="AQ4285">
        <v>0</v>
      </c>
      <c r="AR4285">
        <v>0</v>
      </c>
      <c r="AS4285">
        <v>0</v>
      </c>
      <c r="AT4285">
        <v>0</v>
      </c>
      <c r="AU4285">
        <f t="shared" si="132"/>
        <v>1</v>
      </c>
      <c r="AV4285">
        <f t="shared" si="133"/>
        <v>0</v>
      </c>
    </row>
    <row r="4286" spans="1:48" x14ac:dyDescent="0.25">
      <c r="A4286" t="s">
        <v>12774</v>
      </c>
      <c r="B4286" t="s">
        <v>12774</v>
      </c>
      <c r="C4286" t="s">
        <v>12775</v>
      </c>
      <c r="D4286" t="s">
        <v>12773</v>
      </c>
      <c r="E4286" t="s">
        <v>2310</v>
      </c>
      <c r="F4286">
        <v>13</v>
      </c>
      <c r="G4286">
        <v>13.2</v>
      </c>
      <c r="H4286" t="s">
        <v>2327</v>
      </c>
      <c r="I4286" s="21">
        <v>42122.7038425926</v>
      </c>
      <c r="J4286">
        <v>2015</v>
      </c>
      <c r="K4286" s="21">
        <v>42136.456793981502</v>
      </c>
      <c r="L4286">
        <v>2015</v>
      </c>
      <c r="M4286" s="21">
        <v>42508.4782291667</v>
      </c>
      <c r="N4286">
        <v>2016</v>
      </c>
      <c r="R4286" s="262">
        <v>434000</v>
      </c>
      <c r="S4286" t="s">
        <v>114</v>
      </c>
      <c r="T4286" t="s">
        <v>114</v>
      </c>
      <c r="W4286">
        <v>3758</v>
      </c>
      <c r="X4286">
        <v>1</v>
      </c>
      <c r="Y4286">
        <v>0</v>
      </c>
      <c r="Z4286">
        <v>0</v>
      </c>
      <c r="AA4286">
        <v>0</v>
      </c>
      <c r="AB4286">
        <v>0</v>
      </c>
      <c r="AC4286">
        <v>3758</v>
      </c>
      <c r="AD4286">
        <v>0</v>
      </c>
      <c r="AE4286">
        <v>0</v>
      </c>
      <c r="AF4286">
        <v>0</v>
      </c>
      <c r="AG4286">
        <v>0</v>
      </c>
      <c r="AH4286">
        <v>0</v>
      </c>
      <c r="AI4286">
        <v>0</v>
      </c>
      <c r="AJ4286">
        <v>0</v>
      </c>
      <c r="AK4286">
        <v>0</v>
      </c>
      <c r="AL4286">
        <v>0</v>
      </c>
      <c r="AM4286">
        <v>0</v>
      </c>
      <c r="AN4286">
        <v>0</v>
      </c>
      <c r="AO4286">
        <v>1</v>
      </c>
      <c r="AP4286">
        <v>0</v>
      </c>
      <c r="AQ4286">
        <v>0</v>
      </c>
      <c r="AR4286">
        <v>0</v>
      </c>
      <c r="AS4286">
        <v>0</v>
      </c>
      <c r="AT4286">
        <v>0</v>
      </c>
      <c r="AU4286">
        <f t="shared" si="132"/>
        <v>1</v>
      </c>
      <c r="AV4286">
        <f t="shared" si="133"/>
        <v>0</v>
      </c>
    </row>
    <row r="4287" spans="1:48" x14ac:dyDescent="0.25">
      <c r="A4287" t="s">
        <v>12776</v>
      </c>
      <c r="B4287" t="s">
        <v>12776</v>
      </c>
      <c r="C4287" t="s">
        <v>12777</v>
      </c>
      <c r="D4287" t="s">
        <v>12778</v>
      </c>
      <c r="E4287" t="s">
        <v>2310</v>
      </c>
      <c r="F4287">
        <v>13</v>
      </c>
      <c r="G4287">
        <v>13.2</v>
      </c>
      <c r="H4287" t="s">
        <v>2327</v>
      </c>
      <c r="I4287" s="21">
        <v>42122.703923611101</v>
      </c>
      <c r="J4287">
        <v>2015</v>
      </c>
      <c r="K4287" s="21">
        <v>42136.457175925898</v>
      </c>
      <c r="L4287">
        <v>2015</v>
      </c>
      <c r="M4287" s="21">
        <v>42485.424745370401</v>
      </c>
      <c r="N4287">
        <v>2016</v>
      </c>
      <c r="Q4287" s="262">
        <v>1125000</v>
      </c>
      <c r="R4287" s="262">
        <v>434000</v>
      </c>
      <c r="S4287" t="s">
        <v>114</v>
      </c>
      <c r="T4287" t="s">
        <v>114</v>
      </c>
      <c r="W4287">
        <v>3758</v>
      </c>
      <c r="X4287">
        <v>1</v>
      </c>
      <c r="Y4287">
        <v>0</v>
      </c>
      <c r="Z4287">
        <v>0</v>
      </c>
      <c r="AA4287">
        <v>0</v>
      </c>
      <c r="AB4287">
        <v>0</v>
      </c>
      <c r="AC4287">
        <v>3758</v>
      </c>
      <c r="AD4287">
        <v>0</v>
      </c>
      <c r="AE4287">
        <v>0</v>
      </c>
      <c r="AF4287">
        <v>0</v>
      </c>
      <c r="AG4287">
        <v>0</v>
      </c>
      <c r="AH4287">
        <v>0</v>
      </c>
      <c r="AI4287">
        <v>0</v>
      </c>
      <c r="AJ4287">
        <v>0</v>
      </c>
      <c r="AK4287">
        <v>0</v>
      </c>
      <c r="AL4287">
        <v>0</v>
      </c>
      <c r="AM4287">
        <v>0</v>
      </c>
      <c r="AN4287">
        <v>0</v>
      </c>
      <c r="AO4287">
        <v>1</v>
      </c>
      <c r="AP4287">
        <v>0</v>
      </c>
      <c r="AQ4287">
        <v>0</v>
      </c>
      <c r="AR4287">
        <v>0</v>
      </c>
      <c r="AS4287">
        <v>0</v>
      </c>
      <c r="AT4287">
        <v>0</v>
      </c>
      <c r="AU4287">
        <f t="shared" si="132"/>
        <v>1</v>
      </c>
      <c r="AV4287">
        <f t="shared" si="133"/>
        <v>0</v>
      </c>
    </row>
    <row r="4288" spans="1:48" x14ac:dyDescent="0.25">
      <c r="A4288" t="s">
        <v>12779</v>
      </c>
      <c r="B4288" t="s">
        <v>12779</v>
      </c>
      <c r="C4288" t="s">
        <v>12780</v>
      </c>
      <c r="D4288" t="s">
        <v>12778</v>
      </c>
      <c r="E4288" t="s">
        <v>2310</v>
      </c>
      <c r="F4288">
        <v>13</v>
      </c>
      <c r="G4288">
        <v>13.2</v>
      </c>
      <c r="H4288" t="s">
        <v>2327</v>
      </c>
      <c r="I4288" s="21">
        <v>42122.703993055598</v>
      </c>
      <c r="J4288">
        <v>2015</v>
      </c>
      <c r="K4288" s="21">
        <v>42136.457511574103</v>
      </c>
      <c r="L4288">
        <v>2015</v>
      </c>
      <c r="M4288" s="21">
        <v>42471.4143287037</v>
      </c>
      <c r="N4288">
        <v>2016</v>
      </c>
      <c r="Q4288" s="262">
        <v>1125000</v>
      </c>
      <c r="R4288" s="262">
        <v>434000</v>
      </c>
      <c r="S4288" t="s">
        <v>114</v>
      </c>
      <c r="T4288" t="s">
        <v>114</v>
      </c>
      <c r="W4288">
        <v>3758</v>
      </c>
      <c r="X4288">
        <v>1</v>
      </c>
      <c r="Y4288">
        <v>0</v>
      </c>
      <c r="Z4288">
        <v>0</v>
      </c>
      <c r="AA4288">
        <v>0</v>
      </c>
      <c r="AB4288">
        <v>0</v>
      </c>
      <c r="AC4288">
        <v>3758</v>
      </c>
      <c r="AD4288">
        <v>0</v>
      </c>
      <c r="AE4288">
        <v>0</v>
      </c>
      <c r="AF4288">
        <v>0</v>
      </c>
      <c r="AG4288">
        <v>0</v>
      </c>
      <c r="AH4288">
        <v>0</v>
      </c>
      <c r="AI4288">
        <v>0</v>
      </c>
      <c r="AJ4288">
        <v>0</v>
      </c>
      <c r="AK4288">
        <v>0</v>
      </c>
      <c r="AL4288">
        <v>0</v>
      </c>
      <c r="AM4288">
        <v>0</v>
      </c>
      <c r="AN4288">
        <v>0</v>
      </c>
      <c r="AO4288">
        <v>1</v>
      </c>
      <c r="AP4288">
        <v>0</v>
      </c>
      <c r="AQ4288">
        <v>0</v>
      </c>
      <c r="AR4288">
        <v>0</v>
      </c>
      <c r="AS4288">
        <v>0</v>
      </c>
      <c r="AT4288">
        <v>0</v>
      </c>
      <c r="AU4288">
        <f t="shared" si="132"/>
        <v>1</v>
      </c>
      <c r="AV4288">
        <f t="shared" si="133"/>
        <v>0</v>
      </c>
    </row>
    <row r="4289" spans="1:48" x14ac:dyDescent="0.25">
      <c r="A4289" t="s">
        <v>12781</v>
      </c>
      <c r="C4289" t="s">
        <v>12782</v>
      </c>
      <c r="D4289" t="s">
        <v>12783</v>
      </c>
      <c r="E4289" t="s">
        <v>1663</v>
      </c>
      <c r="F4289">
        <v>5</v>
      </c>
      <c r="G4289">
        <v>5.5</v>
      </c>
      <c r="H4289" t="s">
        <v>2017</v>
      </c>
      <c r="I4289" s="21">
        <v>42123</v>
      </c>
      <c r="J4289">
        <v>2015</v>
      </c>
      <c r="K4289" s="21">
        <v>42144</v>
      </c>
      <c r="L4289">
        <v>2015</v>
      </c>
      <c r="M4289" s="21">
        <v>42506</v>
      </c>
      <c r="N4289">
        <v>2016</v>
      </c>
      <c r="Q4289" s="262">
        <v>116363</v>
      </c>
      <c r="S4289" t="s">
        <v>114</v>
      </c>
      <c r="T4289" t="s">
        <v>114</v>
      </c>
      <c r="W4289">
        <v>1356</v>
      </c>
      <c r="X4289">
        <v>1</v>
      </c>
      <c r="Y4289">
        <v>0</v>
      </c>
      <c r="Z4289">
        <v>0</v>
      </c>
      <c r="AA4289">
        <v>0</v>
      </c>
      <c r="AB4289">
        <v>0</v>
      </c>
      <c r="AC4289">
        <v>0</v>
      </c>
      <c r="AD4289">
        <v>1356</v>
      </c>
      <c r="AE4289">
        <v>0</v>
      </c>
      <c r="AF4289">
        <v>0</v>
      </c>
      <c r="AG4289">
        <v>0</v>
      </c>
      <c r="AH4289">
        <v>0</v>
      </c>
      <c r="AI4289">
        <v>0</v>
      </c>
      <c r="AJ4289">
        <v>0</v>
      </c>
      <c r="AK4289">
        <v>0</v>
      </c>
      <c r="AL4289">
        <v>0</v>
      </c>
      <c r="AM4289">
        <v>0</v>
      </c>
      <c r="AN4289">
        <v>0</v>
      </c>
      <c r="AO4289">
        <v>0</v>
      </c>
      <c r="AP4289">
        <v>1</v>
      </c>
      <c r="AQ4289">
        <v>0</v>
      </c>
      <c r="AR4289">
        <v>0</v>
      </c>
      <c r="AS4289">
        <v>0</v>
      </c>
      <c r="AT4289">
        <v>0</v>
      </c>
      <c r="AU4289">
        <f t="shared" si="132"/>
        <v>1</v>
      </c>
      <c r="AV4289">
        <f t="shared" si="133"/>
        <v>0</v>
      </c>
    </row>
    <row r="4290" spans="1:48" x14ac:dyDescent="0.25">
      <c r="A4290" t="s">
        <v>12784</v>
      </c>
      <c r="C4290" t="s">
        <v>12785</v>
      </c>
      <c r="D4290" t="s">
        <v>12786</v>
      </c>
      <c r="E4290" t="s">
        <v>1663</v>
      </c>
      <c r="F4290">
        <v>5</v>
      </c>
      <c r="G4290">
        <v>5.5</v>
      </c>
      <c r="H4290" t="s">
        <v>2017</v>
      </c>
      <c r="I4290" s="21">
        <v>42123</v>
      </c>
      <c r="J4290">
        <v>2015</v>
      </c>
      <c r="K4290" s="21">
        <v>42144</v>
      </c>
      <c r="L4290">
        <v>2015</v>
      </c>
      <c r="M4290" s="21">
        <v>42506</v>
      </c>
      <c r="N4290">
        <v>2016</v>
      </c>
      <c r="Q4290" s="262">
        <v>116363</v>
      </c>
      <c r="S4290" t="s">
        <v>114</v>
      </c>
      <c r="T4290" t="s">
        <v>114</v>
      </c>
      <c r="W4290">
        <v>1356</v>
      </c>
      <c r="X4290">
        <v>1</v>
      </c>
      <c r="Y4290">
        <v>0</v>
      </c>
      <c r="Z4290">
        <v>0</v>
      </c>
      <c r="AA4290">
        <v>0</v>
      </c>
      <c r="AB4290">
        <v>0</v>
      </c>
      <c r="AC4290">
        <v>0</v>
      </c>
      <c r="AD4290">
        <v>1356</v>
      </c>
      <c r="AE4290">
        <v>0</v>
      </c>
      <c r="AF4290">
        <v>0</v>
      </c>
      <c r="AG4290">
        <v>0</v>
      </c>
      <c r="AH4290">
        <v>0</v>
      </c>
      <c r="AI4290">
        <v>0</v>
      </c>
      <c r="AJ4290">
        <v>0</v>
      </c>
      <c r="AK4290">
        <v>0</v>
      </c>
      <c r="AL4290">
        <v>0</v>
      </c>
      <c r="AM4290">
        <v>0</v>
      </c>
      <c r="AN4290">
        <v>0</v>
      </c>
      <c r="AO4290">
        <v>0</v>
      </c>
      <c r="AP4290">
        <v>1</v>
      </c>
      <c r="AQ4290">
        <v>0</v>
      </c>
      <c r="AR4290">
        <v>0</v>
      </c>
      <c r="AS4290">
        <v>0</v>
      </c>
      <c r="AT4290">
        <v>0</v>
      </c>
      <c r="AU4290">
        <f t="shared" si="132"/>
        <v>1</v>
      </c>
      <c r="AV4290">
        <f t="shared" si="133"/>
        <v>0</v>
      </c>
    </row>
    <row r="4291" spans="1:48" x14ac:dyDescent="0.25">
      <c r="A4291" t="s">
        <v>12787</v>
      </c>
      <c r="C4291" t="s">
        <v>12788</v>
      </c>
      <c r="D4291" t="s">
        <v>12789</v>
      </c>
      <c r="E4291" t="s">
        <v>1663</v>
      </c>
      <c r="F4291">
        <v>5</v>
      </c>
      <c r="G4291">
        <v>5.5</v>
      </c>
      <c r="H4291" t="s">
        <v>2017</v>
      </c>
      <c r="I4291" s="21">
        <v>42123</v>
      </c>
      <c r="J4291">
        <v>2015</v>
      </c>
      <c r="K4291" s="21">
        <v>42136</v>
      </c>
      <c r="L4291">
        <v>2015</v>
      </c>
      <c r="M4291" s="21">
        <v>42562</v>
      </c>
      <c r="N4291">
        <v>2016</v>
      </c>
      <c r="Q4291" s="262">
        <v>116363</v>
      </c>
      <c r="S4291" t="s">
        <v>114</v>
      </c>
      <c r="T4291" t="s">
        <v>114</v>
      </c>
      <c r="W4291">
        <v>2008</v>
      </c>
      <c r="X4291">
        <v>1</v>
      </c>
      <c r="Y4291">
        <v>0</v>
      </c>
      <c r="Z4291">
        <v>0</v>
      </c>
      <c r="AA4291">
        <v>0</v>
      </c>
      <c r="AB4291">
        <v>0</v>
      </c>
      <c r="AC4291">
        <v>0</v>
      </c>
      <c r="AD4291">
        <v>2008</v>
      </c>
      <c r="AE4291">
        <v>0</v>
      </c>
      <c r="AF4291">
        <v>0</v>
      </c>
      <c r="AG4291">
        <v>0</v>
      </c>
      <c r="AH4291">
        <v>0</v>
      </c>
      <c r="AI4291">
        <v>0</v>
      </c>
      <c r="AJ4291">
        <v>0</v>
      </c>
      <c r="AK4291">
        <v>0</v>
      </c>
      <c r="AL4291">
        <v>0</v>
      </c>
      <c r="AM4291">
        <v>0</v>
      </c>
      <c r="AN4291">
        <v>0</v>
      </c>
      <c r="AO4291">
        <v>0</v>
      </c>
      <c r="AP4291">
        <v>1</v>
      </c>
      <c r="AQ4291">
        <v>0</v>
      </c>
      <c r="AR4291">
        <v>0</v>
      </c>
      <c r="AS4291">
        <v>0</v>
      </c>
      <c r="AT4291">
        <v>0</v>
      </c>
      <c r="AU4291">
        <f t="shared" si="132"/>
        <v>1</v>
      </c>
      <c r="AV4291">
        <f t="shared" si="133"/>
        <v>0</v>
      </c>
    </row>
    <row r="4292" spans="1:48" x14ac:dyDescent="0.25">
      <c r="A4292" t="s">
        <v>12790</v>
      </c>
      <c r="C4292" t="s">
        <v>12788</v>
      </c>
      <c r="D4292" t="s">
        <v>12791</v>
      </c>
      <c r="E4292" t="s">
        <v>1663</v>
      </c>
      <c r="F4292">
        <v>5</v>
      </c>
      <c r="G4292">
        <v>5.5</v>
      </c>
      <c r="H4292" t="s">
        <v>2017</v>
      </c>
      <c r="I4292" s="21">
        <v>42123</v>
      </c>
      <c r="J4292">
        <v>2015</v>
      </c>
      <c r="K4292" s="21">
        <v>42136</v>
      </c>
      <c r="L4292">
        <v>2015</v>
      </c>
      <c r="M4292" s="21">
        <v>42562</v>
      </c>
      <c r="N4292">
        <v>2016</v>
      </c>
      <c r="Q4292" s="262">
        <v>116363</v>
      </c>
      <c r="S4292" t="s">
        <v>114</v>
      </c>
      <c r="T4292" t="s">
        <v>114</v>
      </c>
      <c r="W4292">
        <v>2008</v>
      </c>
      <c r="X4292">
        <v>1</v>
      </c>
      <c r="Y4292">
        <v>0</v>
      </c>
      <c r="Z4292">
        <v>0</v>
      </c>
      <c r="AA4292">
        <v>0</v>
      </c>
      <c r="AB4292">
        <v>0</v>
      </c>
      <c r="AC4292">
        <v>0</v>
      </c>
      <c r="AD4292">
        <v>2008</v>
      </c>
      <c r="AE4292">
        <v>0</v>
      </c>
      <c r="AF4292">
        <v>0</v>
      </c>
      <c r="AG4292">
        <v>0</v>
      </c>
      <c r="AH4292">
        <v>0</v>
      </c>
      <c r="AI4292">
        <v>0</v>
      </c>
      <c r="AJ4292">
        <v>0</v>
      </c>
      <c r="AK4292">
        <v>0</v>
      </c>
      <c r="AL4292">
        <v>0</v>
      </c>
      <c r="AM4292">
        <v>0</v>
      </c>
      <c r="AN4292">
        <v>0</v>
      </c>
      <c r="AO4292">
        <v>0</v>
      </c>
      <c r="AP4292">
        <v>1</v>
      </c>
      <c r="AQ4292">
        <v>0</v>
      </c>
      <c r="AR4292">
        <v>0</v>
      </c>
      <c r="AS4292">
        <v>0</v>
      </c>
      <c r="AT4292">
        <v>0</v>
      </c>
      <c r="AU4292">
        <f t="shared" si="132"/>
        <v>1</v>
      </c>
      <c r="AV4292">
        <f t="shared" si="133"/>
        <v>0</v>
      </c>
    </row>
    <row r="4293" spans="1:48" x14ac:dyDescent="0.25">
      <c r="A4293" t="s">
        <v>12792</v>
      </c>
      <c r="C4293" t="s">
        <v>12793</v>
      </c>
      <c r="D4293" t="s">
        <v>12794</v>
      </c>
      <c r="E4293" t="s">
        <v>1663</v>
      </c>
      <c r="F4293">
        <v>5</v>
      </c>
      <c r="G4293">
        <v>5.5</v>
      </c>
      <c r="H4293" t="s">
        <v>2017</v>
      </c>
      <c r="I4293" s="21">
        <v>42123</v>
      </c>
      <c r="J4293">
        <v>2015</v>
      </c>
      <c r="K4293" s="21">
        <v>42136</v>
      </c>
      <c r="L4293">
        <v>2015</v>
      </c>
      <c r="M4293" s="21">
        <v>42515</v>
      </c>
      <c r="N4293">
        <v>2016</v>
      </c>
      <c r="Q4293" s="262">
        <v>116363</v>
      </c>
      <c r="S4293" t="s">
        <v>114</v>
      </c>
      <c r="T4293" t="s">
        <v>114</v>
      </c>
      <c r="W4293">
        <v>2008</v>
      </c>
      <c r="X4293">
        <v>1</v>
      </c>
      <c r="Y4293">
        <v>0</v>
      </c>
      <c r="Z4293">
        <v>0</v>
      </c>
      <c r="AA4293">
        <v>0</v>
      </c>
      <c r="AB4293">
        <v>0</v>
      </c>
      <c r="AC4293">
        <v>0</v>
      </c>
      <c r="AD4293">
        <v>2008</v>
      </c>
      <c r="AE4293">
        <v>0</v>
      </c>
      <c r="AF4293">
        <v>0</v>
      </c>
      <c r="AG4293">
        <v>0</v>
      </c>
      <c r="AH4293">
        <v>0</v>
      </c>
      <c r="AI4293">
        <v>0</v>
      </c>
      <c r="AJ4293">
        <v>0</v>
      </c>
      <c r="AK4293">
        <v>0</v>
      </c>
      <c r="AL4293">
        <v>0</v>
      </c>
      <c r="AM4293">
        <v>0</v>
      </c>
      <c r="AN4293">
        <v>0</v>
      </c>
      <c r="AO4293">
        <v>0</v>
      </c>
      <c r="AP4293">
        <v>1</v>
      </c>
      <c r="AQ4293">
        <v>0</v>
      </c>
      <c r="AR4293">
        <v>0</v>
      </c>
      <c r="AS4293">
        <v>0</v>
      </c>
      <c r="AT4293">
        <v>0</v>
      </c>
      <c r="AU4293">
        <f t="shared" si="132"/>
        <v>1</v>
      </c>
      <c r="AV4293">
        <f t="shared" si="133"/>
        <v>0</v>
      </c>
    </row>
    <row r="4294" spans="1:48" x14ac:dyDescent="0.25">
      <c r="A4294" t="s">
        <v>12795</v>
      </c>
      <c r="C4294" t="s">
        <v>12788</v>
      </c>
      <c r="D4294" t="s">
        <v>12796</v>
      </c>
      <c r="E4294" t="s">
        <v>1663</v>
      </c>
      <c r="F4294">
        <v>5</v>
      </c>
      <c r="G4294">
        <v>5.5</v>
      </c>
      <c r="H4294" t="s">
        <v>2017</v>
      </c>
      <c r="I4294" s="21">
        <v>42123</v>
      </c>
      <c r="J4294">
        <v>2015</v>
      </c>
      <c r="K4294" s="21">
        <v>42136</v>
      </c>
      <c r="L4294">
        <v>2015</v>
      </c>
      <c r="M4294" s="21">
        <v>42515</v>
      </c>
      <c r="N4294">
        <v>2016</v>
      </c>
      <c r="Q4294" s="262">
        <v>116363</v>
      </c>
      <c r="S4294" t="s">
        <v>114</v>
      </c>
      <c r="T4294" t="s">
        <v>114</v>
      </c>
      <c r="W4294">
        <v>2008</v>
      </c>
      <c r="X4294">
        <v>1</v>
      </c>
      <c r="Y4294">
        <v>0</v>
      </c>
      <c r="Z4294">
        <v>0</v>
      </c>
      <c r="AA4294">
        <v>0</v>
      </c>
      <c r="AB4294">
        <v>0</v>
      </c>
      <c r="AC4294">
        <v>0</v>
      </c>
      <c r="AD4294">
        <v>2008</v>
      </c>
      <c r="AE4294">
        <v>0</v>
      </c>
      <c r="AF4294">
        <v>0</v>
      </c>
      <c r="AG4294">
        <v>0</v>
      </c>
      <c r="AH4294">
        <v>0</v>
      </c>
      <c r="AI4294">
        <v>0</v>
      </c>
      <c r="AJ4294">
        <v>0</v>
      </c>
      <c r="AK4294">
        <v>0</v>
      </c>
      <c r="AL4294">
        <v>0</v>
      </c>
      <c r="AM4294">
        <v>0</v>
      </c>
      <c r="AN4294">
        <v>0</v>
      </c>
      <c r="AO4294">
        <v>0</v>
      </c>
      <c r="AP4294">
        <v>1</v>
      </c>
      <c r="AQ4294">
        <v>0</v>
      </c>
      <c r="AR4294">
        <v>0</v>
      </c>
      <c r="AS4294">
        <v>0</v>
      </c>
      <c r="AT4294">
        <v>0</v>
      </c>
      <c r="AU4294">
        <f t="shared" si="132"/>
        <v>1</v>
      </c>
      <c r="AV4294">
        <f t="shared" si="133"/>
        <v>0</v>
      </c>
    </row>
    <row r="4295" spans="1:48" x14ac:dyDescent="0.25">
      <c r="A4295" t="s">
        <v>12797</v>
      </c>
      <c r="C4295" t="s">
        <v>12788</v>
      </c>
      <c r="D4295" t="s">
        <v>12798</v>
      </c>
      <c r="E4295" t="s">
        <v>1663</v>
      </c>
      <c r="F4295">
        <v>5</v>
      </c>
      <c r="G4295">
        <v>5.5</v>
      </c>
      <c r="H4295" t="s">
        <v>2017</v>
      </c>
      <c r="I4295" s="21">
        <v>42123</v>
      </c>
      <c r="J4295">
        <v>2015</v>
      </c>
      <c r="K4295" s="21">
        <v>42136</v>
      </c>
      <c r="L4295">
        <v>2015</v>
      </c>
      <c r="M4295" s="21">
        <v>42381</v>
      </c>
      <c r="N4295">
        <v>2016</v>
      </c>
      <c r="Q4295" s="262">
        <v>116363</v>
      </c>
      <c r="S4295" t="s">
        <v>114</v>
      </c>
      <c r="T4295" t="s">
        <v>114</v>
      </c>
      <c r="W4295">
        <v>2008</v>
      </c>
      <c r="X4295">
        <v>1</v>
      </c>
      <c r="Y4295">
        <v>0</v>
      </c>
      <c r="Z4295">
        <v>0</v>
      </c>
      <c r="AA4295">
        <v>0</v>
      </c>
      <c r="AB4295">
        <v>0</v>
      </c>
      <c r="AC4295">
        <v>0</v>
      </c>
      <c r="AD4295">
        <v>2008</v>
      </c>
      <c r="AE4295">
        <v>0</v>
      </c>
      <c r="AF4295">
        <v>0</v>
      </c>
      <c r="AG4295">
        <v>0</v>
      </c>
      <c r="AH4295">
        <v>0</v>
      </c>
      <c r="AI4295">
        <v>0</v>
      </c>
      <c r="AJ4295">
        <v>0</v>
      </c>
      <c r="AK4295">
        <v>0</v>
      </c>
      <c r="AL4295">
        <v>0</v>
      </c>
      <c r="AM4295">
        <v>0</v>
      </c>
      <c r="AN4295">
        <v>0</v>
      </c>
      <c r="AO4295">
        <v>0</v>
      </c>
      <c r="AP4295">
        <v>1</v>
      </c>
      <c r="AQ4295">
        <v>0</v>
      </c>
      <c r="AR4295">
        <v>0</v>
      </c>
      <c r="AS4295">
        <v>0</v>
      </c>
      <c r="AT4295">
        <v>0</v>
      </c>
      <c r="AU4295">
        <f t="shared" si="132"/>
        <v>1</v>
      </c>
      <c r="AV4295">
        <f t="shared" si="133"/>
        <v>0</v>
      </c>
    </row>
    <row r="4296" spans="1:48" x14ac:dyDescent="0.25">
      <c r="A4296" t="s">
        <v>12799</v>
      </c>
      <c r="C4296" t="s">
        <v>12800</v>
      </c>
      <c r="D4296" t="s">
        <v>12801</v>
      </c>
      <c r="E4296" t="s">
        <v>1663</v>
      </c>
      <c r="F4296">
        <v>5</v>
      </c>
      <c r="G4296">
        <v>5.5</v>
      </c>
      <c r="H4296" t="s">
        <v>2017</v>
      </c>
      <c r="I4296" s="21">
        <v>42123</v>
      </c>
      <c r="J4296">
        <v>2015</v>
      </c>
      <c r="K4296" s="21">
        <v>42136</v>
      </c>
      <c r="L4296">
        <v>2015</v>
      </c>
      <c r="M4296" s="21">
        <v>42381</v>
      </c>
      <c r="N4296">
        <v>2016</v>
      </c>
      <c r="Q4296" s="262">
        <v>116363</v>
      </c>
      <c r="S4296" t="s">
        <v>114</v>
      </c>
      <c r="T4296" t="s">
        <v>114</v>
      </c>
      <c r="W4296">
        <v>2008</v>
      </c>
      <c r="X4296">
        <v>1</v>
      </c>
      <c r="Y4296">
        <v>0</v>
      </c>
      <c r="Z4296">
        <v>0</v>
      </c>
      <c r="AA4296">
        <v>0</v>
      </c>
      <c r="AB4296">
        <v>0</v>
      </c>
      <c r="AC4296">
        <v>0</v>
      </c>
      <c r="AD4296">
        <v>2008</v>
      </c>
      <c r="AE4296">
        <v>0</v>
      </c>
      <c r="AF4296">
        <v>0</v>
      </c>
      <c r="AG4296">
        <v>0</v>
      </c>
      <c r="AH4296">
        <v>0</v>
      </c>
      <c r="AI4296">
        <v>0</v>
      </c>
      <c r="AJ4296">
        <v>0</v>
      </c>
      <c r="AK4296">
        <v>0</v>
      </c>
      <c r="AL4296">
        <v>0</v>
      </c>
      <c r="AM4296">
        <v>0</v>
      </c>
      <c r="AN4296">
        <v>0</v>
      </c>
      <c r="AO4296">
        <v>0</v>
      </c>
      <c r="AP4296">
        <v>1</v>
      </c>
      <c r="AQ4296">
        <v>0</v>
      </c>
      <c r="AR4296">
        <v>0</v>
      </c>
      <c r="AS4296">
        <v>0</v>
      </c>
      <c r="AT4296">
        <v>0</v>
      </c>
      <c r="AU4296">
        <f t="shared" si="132"/>
        <v>1</v>
      </c>
      <c r="AV4296">
        <f t="shared" si="133"/>
        <v>0</v>
      </c>
    </row>
    <row r="4297" spans="1:48" x14ac:dyDescent="0.25">
      <c r="A4297" t="s">
        <v>18910</v>
      </c>
      <c r="B4297" t="s">
        <v>18910</v>
      </c>
      <c r="C4297" t="s">
        <v>18911</v>
      </c>
      <c r="D4297" t="s">
        <v>18285</v>
      </c>
      <c r="E4297" t="s">
        <v>2310</v>
      </c>
      <c r="F4297">
        <v>9</v>
      </c>
      <c r="G4297">
        <v>9.1999999999999993</v>
      </c>
      <c r="H4297" t="s">
        <v>2022</v>
      </c>
      <c r="I4297" s="21">
        <v>42123.51289351852</v>
      </c>
      <c r="J4297">
        <v>2015</v>
      </c>
      <c r="K4297" s="21">
        <v>43669.665379050923</v>
      </c>
      <c r="L4297">
        <v>2019</v>
      </c>
      <c r="M4297" s="21">
        <v>43669.665980868056</v>
      </c>
      <c r="N4297">
        <v>2019</v>
      </c>
      <c r="Q4297" s="262">
        <v>6900000</v>
      </c>
      <c r="R4297" s="262">
        <v>1480000</v>
      </c>
      <c r="S4297" t="s">
        <v>13254</v>
      </c>
      <c r="W4297">
        <v>8919</v>
      </c>
      <c r="X4297">
        <v>1</v>
      </c>
      <c r="Y4297">
        <v>0</v>
      </c>
      <c r="Z4297">
        <v>0</v>
      </c>
      <c r="AA4297">
        <v>0</v>
      </c>
      <c r="AB4297">
        <v>0</v>
      </c>
      <c r="AC4297">
        <v>8919</v>
      </c>
      <c r="AD4297">
        <v>0</v>
      </c>
      <c r="AE4297">
        <v>0</v>
      </c>
      <c r="AF4297">
        <v>0</v>
      </c>
      <c r="AG4297">
        <v>0</v>
      </c>
      <c r="AH4297">
        <v>0</v>
      </c>
      <c r="AI4297">
        <v>0</v>
      </c>
      <c r="AJ4297">
        <v>0</v>
      </c>
      <c r="AK4297">
        <v>0</v>
      </c>
      <c r="AL4297">
        <v>0</v>
      </c>
      <c r="AM4297">
        <v>0</v>
      </c>
      <c r="AN4297">
        <v>0</v>
      </c>
      <c r="AO4297">
        <v>1</v>
      </c>
      <c r="AP4297">
        <v>0</v>
      </c>
      <c r="AQ4297">
        <v>0</v>
      </c>
      <c r="AR4297">
        <v>0</v>
      </c>
      <c r="AS4297">
        <v>0</v>
      </c>
      <c r="AT4297">
        <v>0</v>
      </c>
      <c r="AU4297">
        <f t="shared" si="132"/>
        <v>1</v>
      </c>
      <c r="AV4297">
        <f t="shared" si="133"/>
        <v>0</v>
      </c>
    </row>
    <row r="4298" spans="1:48" x14ac:dyDescent="0.25">
      <c r="A4298" t="s">
        <v>18910</v>
      </c>
      <c r="B4298" t="s">
        <v>19560</v>
      </c>
      <c r="C4298" t="s">
        <v>18911</v>
      </c>
      <c r="D4298" t="s">
        <v>18285</v>
      </c>
      <c r="E4298" t="s">
        <v>2310</v>
      </c>
      <c r="F4298">
        <v>9</v>
      </c>
      <c r="G4298">
        <v>9.1999999999999993</v>
      </c>
      <c r="H4298" t="s">
        <v>2022</v>
      </c>
      <c r="I4298" s="21">
        <v>42123.51289351852</v>
      </c>
      <c r="J4298">
        <v>2015</v>
      </c>
      <c r="K4298" s="21">
        <v>43669.665379050923</v>
      </c>
      <c r="L4298">
        <v>2019</v>
      </c>
      <c r="M4298" s="21">
        <v>43669.665980868056</v>
      </c>
      <c r="N4298">
        <v>2019</v>
      </c>
      <c r="Q4298" s="262">
        <v>6900000</v>
      </c>
      <c r="R4298" s="262">
        <v>1480000</v>
      </c>
      <c r="S4298" t="s">
        <v>13253</v>
      </c>
      <c r="T4298">
        <v>14793</v>
      </c>
      <c r="W4298">
        <v>1288</v>
      </c>
      <c r="X4298">
        <v>0</v>
      </c>
      <c r="Y4298">
        <v>0</v>
      </c>
      <c r="Z4298">
        <v>0</v>
      </c>
      <c r="AA4298">
        <v>0</v>
      </c>
      <c r="AB4298">
        <v>0</v>
      </c>
      <c r="AC4298">
        <v>1288</v>
      </c>
      <c r="AD4298">
        <v>0</v>
      </c>
      <c r="AE4298">
        <v>0</v>
      </c>
      <c r="AF4298">
        <v>0</v>
      </c>
      <c r="AG4298">
        <v>0</v>
      </c>
      <c r="AH4298">
        <v>0</v>
      </c>
      <c r="AI4298">
        <v>0</v>
      </c>
      <c r="AJ4298">
        <v>0</v>
      </c>
      <c r="AK4298">
        <v>0</v>
      </c>
      <c r="AL4298">
        <v>0</v>
      </c>
      <c r="AM4298">
        <v>0</v>
      </c>
      <c r="AN4298">
        <v>0</v>
      </c>
      <c r="AO4298">
        <v>0</v>
      </c>
      <c r="AP4298">
        <v>0</v>
      </c>
      <c r="AQ4298">
        <v>0</v>
      </c>
      <c r="AR4298">
        <v>0</v>
      </c>
      <c r="AS4298">
        <v>0</v>
      </c>
      <c r="AT4298">
        <v>0</v>
      </c>
      <c r="AU4298">
        <f t="shared" si="132"/>
        <v>0</v>
      </c>
      <c r="AV4298">
        <f t="shared" si="133"/>
        <v>0</v>
      </c>
    </row>
    <row r="4299" spans="1:48" x14ac:dyDescent="0.25">
      <c r="A4299" t="s">
        <v>18286</v>
      </c>
      <c r="B4299" t="s">
        <v>18286</v>
      </c>
      <c r="C4299" t="s">
        <v>18287</v>
      </c>
      <c r="D4299" t="s">
        <v>18285</v>
      </c>
      <c r="E4299" t="s">
        <v>2310</v>
      </c>
      <c r="F4299">
        <v>9</v>
      </c>
      <c r="G4299">
        <v>9.1999999999999993</v>
      </c>
      <c r="H4299" t="s">
        <v>2022</v>
      </c>
      <c r="I4299" s="21">
        <v>42124.380069444444</v>
      </c>
      <c r="J4299">
        <v>2015</v>
      </c>
      <c r="K4299" s="21">
        <v>42177.633611111109</v>
      </c>
      <c r="L4299">
        <v>2015</v>
      </c>
      <c r="M4299" s="21">
        <v>43362.373386261577</v>
      </c>
      <c r="N4299">
        <v>2018</v>
      </c>
      <c r="Q4299" s="262">
        <v>1600000</v>
      </c>
      <c r="R4299" s="262">
        <v>268000</v>
      </c>
      <c r="S4299" t="s">
        <v>13254</v>
      </c>
      <c r="W4299">
        <v>2374</v>
      </c>
      <c r="X4299">
        <v>1</v>
      </c>
      <c r="Y4299">
        <v>0</v>
      </c>
      <c r="Z4299">
        <v>0</v>
      </c>
      <c r="AA4299">
        <v>0</v>
      </c>
      <c r="AB4299">
        <v>0</v>
      </c>
      <c r="AC4299">
        <v>2374</v>
      </c>
      <c r="AD4299">
        <v>0</v>
      </c>
      <c r="AE4299">
        <v>0</v>
      </c>
      <c r="AF4299">
        <v>0</v>
      </c>
      <c r="AG4299">
        <v>0</v>
      </c>
      <c r="AH4299">
        <v>0</v>
      </c>
      <c r="AI4299">
        <v>0</v>
      </c>
      <c r="AJ4299">
        <v>0</v>
      </c>
      <c r="AK4299">
        <v>0</v>
      </c>
      <c r="AL4299">
        <v>0</v>
      </c>
      <c r="AM4299">
        <v>0</v>
      </c>
      <c r="AN4299">
        <v>0</v>
      </c>
      <c r="AO4299">
        <v>1</v>
      </c>
      <c r="AP4299">
        <v>0</v>
      </c>
      <c r="AQ4299">
        <v>0</v>
      </c>
      <c r="AR4299">
        <v>0</v>
      </c>
      <c r="AS4299">
        <v>0</v>
      </c>
      <c r="AT4299">
        <v>0</v>
      </c>
      <c r="AU4299">
        <f t="shared" si="132"/>
        <v>1</v>
      </c>
      <c r="AV4299">
        <f t="shared" si="133"/>
        <v>0</v>
      </c>
    </row>
    <row r="4300" spans="1:48" x14ac:dyDescent="0.25">
      <c r="A4300" t="s">
        <v>18283</v>
      </c>
      <c r="B4300" t="s">
        <v>18283</v>
      </c>
      <c r="C4300" t="s">
        <v>18284</v>
      </c>
      <c r="D4300" t="s">
        <v>18285</v>
      </c>
      <c r="E4300" t="s">
        <v>2310</v>
      </c>
      <c r="F4300">
        <v>9</v>
      </c>
      <c r="G4300">
        <v>9.1999999999999993</v>
      </c>
      <c r="H4300" t="s">
        <v>2022</v>
      </c>
      <c r="I4300" s="21">
        <v>42124.380127314813</v>
      </c>
      <c r="J4300">
        <v>2015</v>
      </c>
      <c r="K4300" s="21">
        <v>42177.638020833336</v>
      </c>
      <c r="L4300">
        <v>2015</v>
      </c>
      <c r="M4300" s="21">
        <v>43362.371623148145</v>
      </c>
      <c r="N4300">
        <v>2018</v>
      </c>
      <c r="Q4300" s="262">
        <v>950000</v>
      </c>
      <c r="R4300" s="262">
        <v>113000</v>
      </c>
      <c r="S4300" t="s">
        <v>13254</v>
      </c>
      <c r="W4300">
        <v>998</v>
      </c>
      <c r="X4300">
        <v>1</v>
      </c>
      <c r="Y4300">
        <v>0</v>
      </c>
      <c r="Z4300">
        <v>0</v>
      </c>
      <c r="AA4300">
        <v>0</v>
      </c>
      <c r="AB4300">
        <v>0</v>
      </c>
      <c r="AC4300">
        <v>0</v>
      </c>
      <c r="AD4300">
        <v>0</v>
      </c>
      <c r="AE4300">
        <v>0</v>
      </c>
      <c r="AF4300">
        <v>998</v>
      </c>
      <c r="AG4300">
        <v>0</v>
      </c>
      <c r="AH4300">
        <v>0</v>
      </c>
      <c r="AI4300">
        <v>0</v>
      </c>
      <c r="AJ4300">
        <v>0</v>
      </c>
      <c r="AK4300">
        <v>0</v>
      </c>
      <c r="AL4300">
        <v>0</v>
      </c>
      <c r="AM4300">
        <v>0</v>
      </c>
      <c r="AN4300">
        <v>0</v>
      </c>
      <c r="AO4300">
        <v>0</v>
      </c>
      <c r="AP4300">
        <v>0</v>
      </c>
      <c r="AQ4300">
        <v>0</v>
      </c>
      <c r="AR4300">
        <v>1</v>
      </c>
      <c r="AS4300">
        <v>0</v>
      </c>
      <c r="AT4300">
        <v>0</v>
      </c>
      <c r="AU4300">
        <f t="shared" si="132"/>
        <v>0</v>
      </c>
      <c r="AV4300">
        <f t="shared" si="133"/>
        <v>0</v>
      </c>
    </row>
    <row r="4301" spans="1:48" x14ac:dyDescent="0.25">
      <c r="A4301" t="s">
        <v>18436</v>
      </c>
      <c r="B4301" t="s">
        <v>18436</v>
      </c>
      <c r="C4301" t="s">
        <v>18437</v>
      </c>
      <c r="D4301" t="s">
        <v>18285</v>
      </c>
      <c r="E4301" t="s">
        <v>2310</v>
      </c>
      <c r="F4301">
        <v>9</v>
      </c>
      <c r="G4301">
        <v>9.1999999999999993</v>
      </c>
      <c r="H4301" t="s">
        <v>2022</v>
      </c>
      <c r="I4301" s="21">
        <v>42124.380185185182</v>
      </c>
      <c r="J4301">
        <v>2015</v>
      </c>
      <c r="K4301" s="21">
        <v>43441.659266400464</v>
      </c>
      <c r="L4301">
        <v>2018</v>
      </c>
      <c r="M4301" s="21">
        <v>43441.659860266205</v>
      </c>
      <c r="N4301">
        <v>2018</v>
      </c>
      <c r="Q4301" s="262">
        <v>1800000</v>
      </c>
      <c r="R4301" s="262">
        <v>111000</v>
      </c>
      <c r="S4301" t="s">
        <v>13254</v>
      </c>
      <c r="W4301">
        <v>1933</v>
      </c>
      <c r="X4301">
        <v>0</v>
      </c>
      <c r="Y4301">
        <v>0</v>
      </c>
      <c r="Z4301">
        <v>0</v>
      </c>
      <c r="AA4301">
        <v>0</v>
      </c>
      <c r="AB4301">
        <v>0</v>
      </c>
      <c r="AC4301">
        <v>1933</v>
      </c>
      <c r="AD4301">
        <v>0</v>
      </c>
      <c r="AE4301">
        <v>0</v>
      </c>
      <c r="AF4301">
        <v>0</v>
      </c>
      <c r="AG4301">
        <v>0</v>
      </c>
      <c r="AH4301">
        <v>0</v>
      </c>
      <c r="AI4301">
        <v>0</v>
      </c>
      <c r="AJ4301">
        <v>0</v>
      </c>
      <c r="AK4301">
        <v>0</v>
      </c>
      <c r="AL4301">
        <v>0</v>
      </c>
      <c r="AM4301">
        <v>0</v>
      </c>
      <c r="AN4301">
        <v>0</v>
      </c>
      <c r="AO4301">
        <v>0</v>
      </c>
      <c r="AP4301">
        <v>0</v>
      </c>
      <c r="AQ4301">
        <v>0</v>
      </c>
      <c r="AR4301">
        <v>0</v>
      </c>
      <c r="AS4301">
        <v>0</v>
      </c>
      <c r="AT4301">
        <v>0</v>
      </c>
      <c r="AU4301">
        <f t="shared" si="132"/>
        <v>0</v>
      </c>
      <c r="AV4301">
        <f t="shared" si="133"/>
        <v>0</v>
      </c>
    </row>
    <row r="4302" spans="1:48" x14ac:dyDescent="0.25">
      <c r="A4302" t="s">
        <v>12802</v>
      </c>
      <c r="B4302" t="s">
        <v>12802</v>
      </c>
      <c r="C4302" t="s">
        <v>10171</v>
      </c>
      <c r="D4302" t="s">
        <v>12803</v>
      </c>
      <c r="E4302" t="s">
        <v>2310</v>
      </c>
      <c r="F4302">
        <v>9</v>
      </c>
      <c r="G4302">
        <v>9.3000000000000007</v>
      </c>
      <c r="H4302" t="s">
        <v>2323</v>
      </c>
      <c r="I4302" s="21">
        <v>42124.571446759299</v>
      </c>
      <c r="J4302">
        <v>2015</v>
      </c>
      <c r="K4302" s="21">
        <v>42160.506932870398</v>
      </c>
      <c r="L4302">
        <v>2015</v>
      </c>
      <c r="M4302" s="21">
        <v>42569.4132060185</v>
      </c>
      <c r="N4302">
        <v>2016</v>
      </c>
      <c r="Q4302" s="262">
        <v>1000000</v>
      </c>
      <c r="R4302" s="262">
        <v>598000</v>
      </c>
      <c r="S4302" t="s">
        <v>114</v>
      </c>
      <c r="T4302" t="s">
        <v>114</v>
      </c>
      <c r="W4302">
        <v>4921</v>
      </c>
      <c r="X4302">
        <v>1</v>
      </c>
      <c r="Y4302">
        <v>0</v>
      </c>
      <c r="Z4302">
        <v>0</v>
      </c>
      <c r="AA4302">
        <v>0</v>
      </c>
      <c r="AB4302">
        <v>0</v>
      </c>
      <c r="AC4302">
        <v>4921</v>
      </c>
      <c r="AD4302">
        <v>0</v>
      </c>
      <c r="AE4302">
        <v>0</v>
      </c>
      <c r="AF4302">
        <v>0</v>
      </c>
      <c r="AG4302">
        <v>0</v>
      </c>
      <c r="AH4302">
        <v>0</v>
      </c>
      <c r="AI4302">
        <v>0</v>
      </c>
      <c r="AJ4302">
        <v>0</v>
      </c>
      <c r="AK4302">
        <v>0</v>
      </c>
      <c r="AL4302">
        <v>0</v>
      </c>
      <c r="AM4302">
        <v>0</v>
      </c>
      <c r="AN4302">
        <v>0</v>
      </c>
      <c r="AO4302">
        <v>1</v>
      </c>
      <c r="AP4302">
        <v>0</v>
      </c>
      <c r="AQ4302">
        <v>0</v>
      </c>
      <c r="AR4302">
        <v>0</v>
      </c>
      <c r="AS4302">
        <v>0</v>
      </c>
      <c r="AT4302">
        <v>0</v>
      </c>
      <c r="AU4302">
        <f t="shared" si="132"/>
        <v>1</v>
      </c>
      <c r="AV4302">
        <f t="shared" si="133"/>
        <v>0</v>
      </c>
    </row>
    <row r="4303" spans="1:48" x14ac:dyDescent="0.25">
      <c r="A4303" t="s">
        <v>12804</v>
      </c>
      <c r="B4303" t="s">
        <v>12804</v>
      </c>
      <c r="C4303" t="s">
        <v>12805</v>
      </c>
      <c r="D4303" t="s">
        <v>12803</v>
      </c>
      <c r="E4303" t="s">
        <v>2310</v>
      </c>
      <c r="F4303">
        <v>9</v>
      </c>
      <c r="G4303">
        <v>9.3000000000000007</v>
      </c>
      <c r="H4303" t="s">
        <v>2323</v>
      </c>
      <c r="I4303" s="21">
        <v>42124.580381944397</v>
      </c>
      <c r="J4303">
        <v>2015</v>
      </c>
      <c r="K4303" s="21">
        <v>42160.507488425901</v>
      </c>
      <c r="L4303">
        <v>2015</v>
      </c>
      <c r="M4303" s="21">
        <v>42569.418912036999</v>
      </c>
      <c r="N4303">
        <v>2016</v>
      </c>
      <c r="Q4303" s="262">
        <v>400000</v>
      </c>
      <c r="R4303" s="262">
        <v>208000</v>
      </c>
      <c r="S4303" t="s">
        <v>114</v>
      </c>
      <c r="T4303" t="s">
        <v>114</v>
      </c>
      <c r="W4303">
        <v>3675</v>
      </c>
      <c r="X4303">
        <v>0</v>
      </c>
      <c r="Y4303">
        <v>0</v>
      </c>
      <c r="Z4303">
        <v>0</v>
      </c>
      <c r="AA4303">
        <v>0</v>
      </c>
      <c r="AB4303">
        <v>0</v>
      </c>
      <c r="AC4303">
        <v>3675</v>
      </c>
      <c r="AD4303">
        <v>0</v>
      </c>
      <c r="AE4303">
        <v>0</v>
      </c>
      <c r="AF4303">
        <v>0</v>
      </c>
      <c r="AG4303">
        <v>0</v>
      </c>
      <c r="AH4303">
        <v>0</v>
      </c>
      <c r="AI4303">
        <v>0</v>
      </c>
      <c r="AJ4303">
        <v>0</v>
      </c>
      <c r="AK4303">
        <v>0</v>
      </c>
      <c r="AL4303">
        <v>0</v>
      </c>
      <c r="AM4303">
        <v>0</v>
      </c>
      <c r="AN4303">
        <v>0</v>
      </c>
      <c r="AO4303">
        <v>0</v>
      </c>
      <c r="AP4303">
        <v>0</v>
      </c>
      <c r="AQ4303">
        <v>0</v>
      </c>
      <c r="AR4303">
        <v>0</v>
      </c>
      <c r="AS4303">
        <v>0</v>
      </c>
      <c r="AT4303">
        <v>0</v>
      </c>
      <c r="AU4303">
        <f t="shared" si="132"/>
        <v>0</v>
      </c>
      <c r="AV4303">
        <f t="shared" si="133"/>
        <v>0</v>
      </c>
    </row>
    <row r="4304" spans="1:48" x14ac:dyDescent="0.25">
      <c r="A4304" t="s">
        <v>12806</v>
      </c>
      <c r="B4304" t="s">
        <v>12806</v>
      </c>
      <c r="C4304" t="s">
        <v>12807</v>
      </c>
      <c r="D4304" t="s">
        <v>12808</v>
      </c>
      <c r="E4304" t="s">
        <v>2310</v>
      </c>
      <c r="F4304">
        <v>15</v>
      </c>
      <c r="G4304">
        <v>15.2</v>
      </c>
      <c r="H4304" t="s">
        <v>2323</v>
      </c>
      <c r="I4304" s="21">
        <v>42125.438645833303</v>
      </c>
      <c r="J4304">
        <v>2015</v>
      </c>
      <c r="K4304" s="21">
        <v>42160.515972222202</v>
      </c>
      <c r="L4304">
        <v>2015</v>
      </c>
      <c r="M4304" s="21">
        <v>42250.437372685199</v>
      </c>
      <c r="N4304">
        <v>2015</v>
      </c>
      <c r="Q4304" s="262">
        <v>50000</v>
      </c>
      <c r="R4304" s="262">
        <v>17000</v>
      </c>
      <c r="S4304" t="s">
        <v>114</v>
      </c>
      <c r="T4304" t="s">
        <v>114</v>
      </c>
      <c r="W4304">
        <v>128</v>
      </c>
      <c r="X4304">
        <v>0</v>
      </c>
      <c r="Y4304">
        <v>0</v>
      </c>
      <c r="Z4304">
        <v>0</v>
      </c>
      <c r="AA4304">
        <v>0</v>
      </c>
      <c r="AB4304">
        <v>0</v>
      </c>
      <c r="AC4304">
        <v>128</v>
      </c>
      <c r="AD4304">
        <v>0</v>
      </c>
      <c r="AE4304">
        <v>0</v>
      </c>
      <c r="AF4304">
        <v>0</v>
      </c>
      <c r="AG4304">
        <v>0</v>
      </c>
      <c r="AH4304">
        <v>0</v>
      </c>
      <c r="AI4304">
        <v>0</v>
      </c>
      <c r="AJ4304">
        <v>0</v>
      </c>
      <c r="AK4304">
        <v>0</v>
      </c>
      <c r="AL4304">
        <v>0</v>
      </c>
      <c r="AM4304">
        <v>0</v>
      </c>
      <c r="AN4304">
        <v>0</v>
      </c>
      <c r="AO4304">
        <v>0</v>
      </c>
      <c r="AP4304">
        <v>0</v>
      </c>
      <c r="AQ4304">
        <v>0</v>
      </c>
      <c r="AR4304">
        <v>0</v>
      </c>
      <c r="AS4304">
        <v>0</v>
      </c>
      <c r="AT4304">
        <v>0</v>
      </c>
      <c r="AU4304">
        <f t="shared" si="132"/>
        <v>0</v>
      </c>
      <c r="AV4304">
        <f t="shared" si="133"/>
        <v>0</v>
      </c>
    </row>
    <row r="4305" spans="1:48" x14ac:dyDescent="0.25">
      <c r="A4305" t="s">
        <v>12809</v>
      </c>
      <c r="B4305" t="s">
        <v>12809</v>
      </c>
      <c r="C4305" t="s">
        <v>12810</v>
      </c>
      <c r="D4305" t="s">
        <v>12811</v>
      </c>
      <c r="E4305" t="s">
        <v>2310</v>
      </c>
      <c r="F4305">
        <v>8</v>
      </c>
      <c r="G4305">
        <v>8.1</v>
      </c>
      <c r="H4305" t="s">
        <v>2323</v>
      </c>
      <c r="I4305" s="21">
        <v>42125.647013888898</v>
      </c>
      <c r="J4305">
        <v>2015</v>
      </c>
      <c r="K4305" s="21">
        <v>42143.542511574102</v>
      </c>
      <c r="L4305">
        <v>2015</v>
      </c>
      <c r="M4305" s="21">
        <v>42660.670370370397</v>
      </c>
      <c r="N4305">
        <v>2016</v>
      </c>
      <c r="Q4305" s="262">
        <v>309000</v>
      </c>
      <c r="R4305" s="262">
        <v>107000</v>
      </c>
      <c r="S4305" t="s">
        <v>114</v>
      </c>
      <c r="T4305" t="s">
        <v>114</v>
      </c>
      <c r="W4305">
        <v>948</v>
      </c>
      <c r="X4305">
        <v>0</v>
      </c>
      <c r="Y4305">
        <v>0</v>
      </c>
      <c r="Z4305">
        <v>0</v>
      </c>
      <c r="AA4305">
        <v>0</v>
      </c>
      <c r="AB4305">
        <v>0</v>
      </c>
      <c r="AC4305">
        <v>948</v>
      </c>
      <c r="AD4305">
        <v>0</v>
      </c>
      <c r="AE4305">
        <v>0</v>
      </c>
      <c r="AF4305">
        <v>0</v>
      </c>
      <c r="AG4305">
        <v>0</v>
      </c>
      <c r="AH4305">
        <v>0</v>
      </c>
      <c r="AI4305">
        <v>0</v>
      </c>
      <c r="AJ4305">
        <v>0</v>
      </c>
      <c r="AK4305">
        <v>0</v>
      </c>
      <c r="AL4305">
        <v>0</v>
      </c>
      <c r="AM4305">
        <v>0</v>
      </c>
      <c r="AN4305">
        <v>0</v>
      </c>
      <c r="AO4305">
        <v>0</v>
      </c>
      <c r="AP4305">
        <v>0</v>
      </c>
      <c r="AQ4305">
        <v>0</v>
      </c>
      <c r="AR4305">
        <v>0</v>
      </c>
      <c r="AS4305">
        <v>0</v>
      </c>
      <c r="AT4305">
        <v>0</v>
      </c>
      <c r="AU4305">
        <f t="shared" si="132"/>
        <v>0</v>
      </c>
      <c r="AV4305">
        <f t="shared" si="133"/>
        <v>0</v>
      </c>
    </row>
    <row r="4306" spans="1:48" x14ac:dyDescent="0.25">
      <c r="A4306" t="s">
        <v>12812</v>
      </c>
      <c r="B4306" t="s">
        <v>12812</v>
      </c>
      <c r="C4306" t="s">
        <v>12813</v>
      </c>
      <c r="D4306" t="s">
        <v>6507</v>
      </c>
      <c r="E4306" t="s">
        <v>2310</v>
      </c>
      <c r="F4306">
        <v>10</v>
      </c>
      <c r="G4306">
        <v>10.1</v>
      </c>
      <c r="H4306" t="s">
        <v>2323</v>
      </c>
      <c r="I4306" s="21">
        <v>42129.492789351898</v>
      </c>
      <c r="J4306">
        <v>2015</v>
      </c>
      <c r="K4306" s="21">
        <v>42143.486875000002</v>
      </c>
      <c r="L4306">
        <v>2015</v>
      </c>
      <c r="M4306" s="21">
        <v>42376.341111111098</v>
      </c>
      <c r="N4306">
        <v>2016</v>
      </c>
      <c r="Q4306" s="262">
        <v>25000</v>
      </c>
      <c r="R4306" s="262">
        <v>40000</v>
      </c>
      <c r="S4306" t="s">
        <v>114</v>
      </c>
      <c r="T4306" t="s">
        <v>114</v>
      </c>
      <c r="W4306">
        <v>396</v>
      </c>
      <c r="X4306">
        <v>0</v>
      </c>
      <c r="Y4306">
        <v>0</v>
      </c>
      <c r="Z4306">
        <v>0</v>
      </c>
      <c r="AA4306">
        <v>0</v>
      </c>
      <c r="AB4306">
        <v>0</v>
      </c>
      <c r="AC4306">
        <v>396</v>
      </c>
      <c r="AD4306">
        <v>0</v>
      </c>
      <c r="AE4306">
        <v>0</v>
      </c>
      <c r="AF4306">
        <v>0</v>
      </c>
      <c r="AG4306">
        <v>0</v>
      </c>
      <c r="AH4306">
        <v>0</v>
      </c>
      <c r="AI4306">
        <v>0</v>
      </c>
      <c r="AJ4306">
        <v>0</v>
      </c>
      <c r="AK4306">
        <v>0</v>
      </c>
      <c r="AL4306">
        <v>0</v>
      </c>
      <c r="AM4306">
        <v>0</v>
      </c>
      <c r="AN4306">
        <v>0</v>
      </c>
      <c r="AO4306">
        <v>0</v>
      </c>
      <c r="AP4306">
        <v>0</v>
      </c>
      <c r="AQ4306">
        <v>0</v>
      </c>
      <c r="AR4306">
        <v>0</v>
      </c>
      <c r="AS4306">
        <v>0</v>
      </c>
      <c r="AT4306">
        <v>0</v>
      </c>
      <c r="AU4306">
        <f t="shared" si="132"/>
        <v>0</v>
      </c>
      <c r="AV4306">
        <f t="shared" si="133"/>
        <v>0</v>
      </c>
    </row>
    <row r="4307" spans="1:48" x14ac:dyDescent="0.25">
      <c r="A4307" t="s">
        <v>12814</v>
      </c>
      <c r="B4307" t="s">
        <v>12814</v>
      </c>
      <c r="C4307" t="s">
        <v>12815</v>
      </c>
      <c r="D4307" t="s">
        <v>12816</v>
      </c>
      <c r="E4307" t="s">
        <v>2310</v>
      </c>
      <c r="F4307">
        <v>13</v>
      </c>
      <c r="G4307">
        <v>13.3</v>
      </c>
      <c r="H4307" t="s">
        <v>2017</v>
      </c>
      <c r="I4307" s="21">
        <v>42129.530150462997</v>
      </c>
      <c r="J4307">
        <v>2015</v>
      </c>
      <c r="K4307" s="21">
        <v>42150.398969907401</v>
      </c>
      <c r="L4307">
        <v>2015</v>
      </c>
      <c r="M4307" s="21">
        <v>42395.381111111099</v>
      </c>
      <c r="N4307">
        <v>2016</v>
      </c>
      <c r="Q4307" s="262">
        <v>203000</v>
      </c>
      <c r="R4307" s="262">
        <v>59000</v>
      </c>
      <c r="S4307" t="s">
        <v>114</v>
      </c>
      <c r="T4307" t="s">
        <v>114</v>
      </c>
      <c r="W4307">
        <v>506</v>
      </c>
      <c r="X4307">
        <v>0</v>
      </c>
      <c r="Y4307">
        <v>0</v>
      </c>
      <c r="Z4307">
        <v>0</v>
      </c>
      <c r="AA4307">
        <v>0</v>
      </c>
      <c r="AB4307">
        <v>0</v>
      </c>
      <c r="AC4307">
        <v>506</v>
      </c>
      <c r="AD4307">
        <v>0</v>
      </c>
      <c r="AE4307">
        <v>0</v>
      </c>
      <c r="AF4307">
        <v>0</v>
      </c>
      <c r="AG4307">
        <v>0</v>
      </c>
      <c r="AH4307">
        <v>0</v>
      </c>
      <c r="AI4307">
        <v>0</v>
      </c>
      <c r="AJ4307">
        <v>0</v>
      </c>
      <c r="AK4307">
        <v>0</v>
      </c>
      <c r="AL4307">
        <v>0</v>
      </c>
      <c r="AM4307">
        <v>0</v>
      </c>
      <c r="AN4307">
        <v>0</v>
      </c>
      <c r="AO4307">
        <v>0</v>
      </c>
      <c r="AP4307">
        <v>0</v>
      </c>
      <c r="AQ4307">
        <v>0</v>
      </c>
      <c r="AR4307">
        <v>0</v>
      </c>
      <c r="AS4307">
        <v>0</v>
      </c>
      <c r="AT4307">
        <v>0</v>
      </c>
      <c r="AU4307">
        <f t="shared" si="132"/>
        <v>0</v>
      </c>
      <c r="AV4307">
        <f t="shared" si="133"/>
        <v>0</v>
      </c>
    </row>
    <row r="4308" spans="1:48" x14ac:dyDescent="0.25">
      <c r="A4308" t="s">
        <v>12817</v>
      </c>
      <c r="C4308" t="s">
        <v>11246</v>
      </c>
      <c r="D4308" t="s">
        <v>12818</v>
      </c>
      <c r="E4308" t="s">
        <v>1663</v>
      </c>
      <c r="F4308">
        <v>3</v>
      </c>
      <c r="G4308">
        <v>3.1</v>
      </c>
      <c r="H4308" t="s">
        <v>2017</v>
      </c>
      <c r="I4308" s="21">
        <v>42130</v>
      </c>
      <c r="J4308">
        <v>2015</v>
      </c>
      <c r="K4308" s="21">
        <v>42157</v>
      </c>
      <c r="L4308">
        <v>2015</v>
      </c>
      <c r="M4308" s="21">
        <v>42424</v>
      </c>
      <c r="N4308">
        <v>2016</v>
      </c>
      <c r="Q4308" s="262">
        <v>350000</v>
      </c>
      <c r="S4308" t="s">
        <v>114</v>
      </c>
      <c r="T4308" t="s">
        <v>114</v>
      </c>
      <c r="W4308">
        <v>2580</v>
      </c>
      <c r="X4308">
        <v>1</v>
      </c>
      <c r="Y4308">
        <v>0</v>
      </c>
      <c r="Z4308">
        <v>0</v>
      </c>
      <c r="AA4308">
        <v>0</v>
      </c>
      <c r="AB4308">
        <v>0</v>
      </c>
      <c r="AC4308">
        <v>2580</v>
      </c>
      <c r="AD4308">
        <v>0</v>
      </c>
      <c r="AE4308">
        <v>0</v>
      </c>
      <c r="AF4308">
        <v>0</v>
      </c>
      <c r="AG4308">
        <v>0</v>
      </c>
      <c r="AH4308">
        <v>0</v>
      </c>
      <c r="AI4308">
        <v>0</v>
      </c>
      <c r="AJ4308">
        <v>0</v>
      </c>
      <c r="AK4308">
        <v>0</v>
      </c>
      <c r="AL4308">
        <v>0</v>
      </c>
      <c r="AM4308">
        <v>0</v>
      </c>
      <c r="AN4308">
        <v>0</v>
      </c>
      <c r="AO4308">
        <v>1</v>
      </c>
      <c r="AP4308">
        <v>0</v>
      </c>
      <c r="AQ4308">
        <v>0</v>
      </c>
      <c r="AR4308">
        <v>0</v>
      </c>
      <c r="AS4308">
        <v>0</v>
      </c>
      <c r="AT4308">
        <v>0</v>
      </c>
      <c r="AU4308">
        <f t="shared" si="132"/>
        <v>1</v>
      </c>
      <c r="AV4308">
        <f t="shared" si="133"/>
        <v>0</v>
      </c>
    </row>
    <row r="4309" spans="1:48" x14ac:dyDescent="0.25">
      <c r="A4309" t="s">
        <v>12819</v>
      </c>
      <c r="B4309" t="s">
        <v>12819</v>
      </c>
      <c r="C4309" t="s">
        <v>10237</v>
      </c>
      <c r="D4309" t="s">
        <v>9943</v>
      </c>
      <c r="E4309" t="s">
        <v>2310</v>
      </c>
      <c r="F4309">
        <v>8</v>
      </c>
      <c r="G4309">
        <v>8.3000000000000007</v>
      </c>
      <c r="H4309" t="s">
        <v>2323</v>
      </c>
      <c r="I4309" s="21">
        <v>42130.476134259297</v>
      </c>
      <c r="J4309">
        <v>2015</v>
      </c>
      <c r="K4309" s="21">
        <v>42146.580983796302</v>
      </c>
      <c r="L4309">
        <v>2015</v>
      </c>
      <c r="M4309" s="21">
        <v>42426.345185185201</v>
      </c>
      <c r="N4309">
        <v>2016</v>
      </c>
      <c r="Q4309" s="262">
        <v>118000</v>
      </c>
      <c r="R4309" s="262">
        <v>118000</v>
      </c>
      <c r="S4309" t="s">
        <v>114</v>
      </c>
      <c r="T4309" t="s">
        <v>114</v>
      </c>
      <c r="W4309">
        <v>910</v>
      </c>
      <c r="X4309">
        <v>1</v>
      </c>
      <c r="Y4309">
        <v>0</v>
      </c>
      <c r="Z4309">
        <v>0</v>
      </c>
      <c r="AA4309">
        <v>0</v>
      </c>
      <c r="AB4309">
        <v>0</v>
      </c>
      <c r="AC4309">
        <v>910</v>
      </c>
      <c r="AD4309">
        <v>0</v>
      </c>
      <c r="AE4309">
        <v>0</v>
      </c>
      <c r="AF4309">
        <v>0</v>
      </c>
      <c r="AG4309">
        <v>0</v>
      </c>
      <c r="AH4309">
        <v>0</v>
      </c>
      <c r="AI4309">
        <v>0</v>
      </c>
      <c r="AJ4309">
        <v>0</v>
      </c>
      <c r="AK4309">
        <v>0</v>
      </c>
      <c r="AL4309">
        <v>0</v>
      </c>
      <c r="AM4309">
        <v>0</v>
      </c>
      <c r="AN4309">
        <v>0</v>
      </c>
      <c r="AO4309">
        <v>1</v>
      </c>
      <c r="AP4309">
        <v>0</v>
      </c>
      <c r="AQ4309">
        <v>0</v>
      </c>
      <c r="AR4309">
        <v>0</v>
      </c>
      <c r="AS4309">
        <v>0</v>
      </c>
      <c r="AT4309">
        <v>0</v>
      </c>
      <c r="AU4309">
        <f t="shared" si="132"/>
        <v>1</v>
      </c>
      <c r="AV4309">
        <f t="shared" si="133"/>
        <v>0</v>
      </c>
    </row>
    <row r="4310" spans="1:48" x14ac:dyDescent="0.25">
      <c r="A4310" t="s">
        <v>12820</v>
      </c>
      <c r="C4310" t="s">
        <v>11237</v>
      </c>
      <c r="D4310" t="s">
        <v>12821</v>
      </c>
      <c r="E4310" t="s">
        <v>1663</v>
      </c>
      <c r="F4310">
        <v>4</v>
      </c>
      <c r="G4310">
        <v>4.3</v>
      </c>
      <c r="H4310" t="s">
        <v>2327</v>
      </c>
      <c r="I4310" s="21">
        <v>42131</v>
      </c>
      <c r="J4310">
        <v>2015</v>
      </c>
      <c r="K4310" s="21">
        <v>42227</v>
      </c>
      <c r="L4310">
        <v>2015</v>
      </c>
      <c r="M4310" s="21">
        <v>42303</v>
      </c>
      <c r="N4310">
        <v>2015</v>
      </c>
      <c r="Q4310" s="262">
        <v>10000</v>
      </c>
      <c r="S4310" t="s">
        <v>114</v>
      </c>
      <c r="T4310" t="s">
        <v>114</v>
      </c>
      <c r="V4310">
        <v>7392</v>
      </c>
      <c r="W4310">
        <v>0</v>
      </c>
      <c r="X4310">
        <v>0</v>
      </c>
      <c r="Y4310">
        <v>0</v>
      </c>
      <c r="Z4310">
        <v>0</v>
      </c>
      <c r="AA4310">
        <v>0</v>
      </c>
      <c r="AB4310">
        <v>0</v>
      </c>
      <c r="AC4310">
        <v>0</v>
      </c>
      <c r="AD4310">
        <v>0</v>
      </c>
      <c r="AE4310">
        <v>0</v>
      </c>
      <c r="AF4310">
        <v>0</v>
      </c>
      <c r="AG4310">
        <v>0</v>
      </c>
      <c r="AH4310">
        <v>0</v>
      </c>
      <c r="AI4310">
        <v>0</v>
      </c>
      <c r="AJ4310">
        <v>0</v>
      </c>
      <c r="AK4310">
        <v>0</v>
      </c>
      <c r="AL4310">
        <v>0</v>
      </c>
      <c r="AM4310">
        <v>0</v>
      </c>
      <c r="AN4310">
        <v>0</v>
      </c>
      <c r="AO4310">
        <v>0</v>
      </c>
      <c r="AP4310">
        <v>0</v>
      </c>
      <c r="AQ4310">
        <v>0</v>
      </c>
      <c r="AR4310">
        <v>0</v>
      </c>
      <c r="AS4310">
        <v>0</v>
      </c>
      <c r="AT4310">
        <v>0</v>
      </c>
      <c r="AU4310">
        <f t="shared" si="132"/>
        <v>0</v>
      </c>
      <c r="AV4310">
        <f t="shared" si="133"/>
        <v>0</v>
      </c>
    </row>
    <row r="4311" spans="1:48" x14ac:dyDescent="0.25">
      <c r="A4311" t="s">
        <v>18542</v>
      </c>
      <c r="B4311" t="s">
        <v>18542</v>
      </c>
      <c r="C4311" t="s">
        <v>10943</v>
      </c>
      <c r="D4311" t="s">
        <v>18543</v>
      </c>
      <c r="E4311" t="s">
        <v>2310</v>
      </c>
      <c r="F4311">
        <v>13</v>
      </c>
      <c r="G4311">
        <v>13.2</v>
      </c>
      <c r="H4311" t="s">
        <v>2327</v>
      </c>
      <c r="I4311" s="21">
        <v>42131.567499999997</v>
      </c>
      <c r="J4311">
        <v>2015</v>
      </c>
      <c r="K4311" s="21">
        <v>42423.411747685182</v>
      </c>
      <c r="L4311">
        <v>2016</v>
      </c>
      <c r="M4311" s="21">
        <v>43516.418213738427</v>
      </c>
      <c r="N4311">
        <v>2019</v>
      </c>
      <c r="Q4311" s="262">
        <v>7000000</v>
      </c>
      <c r="R4311" s="262">
        <v>1675000</v>
      </c>
      <c r="S4311" t="s">
        <v>13254</v>
      </c>
      <c r="W4311">
        <v>10342</v>
      </c>
      <c r="X4311">
        <v>1</v>
      </c>
      <c r="Y4311">
        <v>0</v>
      </c>
      <c r="Z4311">
        <v>0</v>
      </c>
      <c r="AA4311">
        <v>0</v>
      </c>
      <c r="AB4311">
        <v>0</v>
      </c>
      <c r="AC4311">
        <v>10342</v>
      </c>
      <c r="AD4311">
        <v>0</v>
      </c>
      <c r="AE4311">
        <v>0</v>
      </c>
      <c r="AF4311">
        <v>0</v>
      </c>
      <c r="AG4311">
        <v>0</v>
      </c>
      <c r="AH4311">
        <v>0</v>
      </c>
      <c r="AI4311">
        <v>0</v>
      </c>
      <c r="AJ4311">
        <v>0</v>
      </c>
      <c r="AK4311">
        <v>0</v>
      </c>
      <c r="AL4311">
        <v>0</v>
      </c>
      <c r="AM4311">
        <v>0</v>
      </c>
      <c r="AN4311">
        <v>0</v>
      </c>
      <c r="AO4311">
        <v>1</v>
      </c>
      <c r="AP4311">
        <v>0</v>
      </c>
      <c r="AQ4311">
        <v>0</v>
      </c>
      <c r="AR4311">
        <v>0</v>
      </c>
      <c r="AS4311">
        <v>0</v>
      </c>
      <c r="AT4311">
        <v>0</v>
      </c>
      <c r="AU4311">
        <f t="shared" si="132"/>
        <v>1</v>
      </c>
      <c r="AV4311">
        <f t="shared" si="133"/>
        <v>0</v>
      </c>
    </row>
    <row r="4312" spans="1:48" x14ac:dyDescent="0.25">
      <c r="A4312" t="s">
        <v>17634</v>
      </c>
      <c r="B4312" t="s">
        <v>17634</v>
      </c>
      <c r="C4312" t="s">
        <v>17635</v>
      </c>
      <c r="D4312" t="s">
        <v>17636</v>
      </c>
      <c r="E4312" t="s">
        <v>2310</v>
      </c>
      <c r="F4312">
        <v>15</v>
      </c>
      <c r="G4312">
        <v>15.2</v>
      </c>
      <c r="H4312" t="s">
        <v>2323</v>
      </c>
      <c r="I4312" s="21">
        <v>42132.517291666663</v>
      </c>
      <c r="J4312">
        <v>2015</v>
      </c>
      <c r="K4312" s="21">
        <v>42760.527800925927</v>
      </c>
      <c r="L4312">
        <v>2017</v>
      </c>
      <c r="M4312" s="21">
        <v>42940.435613425929</v>
      </c>
      <c r="N4312">
        <v>2017</v>
      </c>
      <c r="Q4312" s="262">
        <v>300000</v>
      </c>
      <c r="R4312" s="262">
        <v>127000</v>
      </c>
      <c r="S4312" t="s">
        <v>13254</v>
      </c>
      <c r="W4312">
        <v>1700</v>
      </c>
      <c r="X4312">
        <v>0</v>
      </c>
      <c r="Y4312">
        <v>0</v>
      </c>
      <c r="Z4312">
        <v>0</v>
      </c>
      <c r="AA4312">
        <v>0</v>
      </c>
      <c r="AB4312">
        <v>0</v>
      </c>
      <c r="AC4312">
        <v>1700</v>
      </c>
      <c r="AD4312">
        <v>0</v>
      </c>
      <c r="AE4312">
        <v>0</v>
      </c>
      <c r="AF4312">
        <v>0</v>
      </c>
      <c r="AG4312">
        <v>0</v>
      </c>
      <c r="AH4312">
        <v>0</v>
      </c>
      <c r="AI4312">
        <v>0</v>
      </c>
      <c r="AJ4312">
        <v>0</v>
      </c>
      <c r="AK4312">
        <v>0</v>
      </c>
      <c r="AL4312">
        <v>0</v>
      </c>
      <c r="AM4312">
        <v>0</v>
      </c>
      <c r="AN4312">
        <v>0</v>
      </c>
      <c r="AO4312">
        <v>0</v>
      </c>
      <c r="AP4312">
        <v>0</v>
      </c>
      <c r="AQ4312">
        <v>0</v>
      </c>
      <c r="AR4312">
        <v>0</v>
      </c>
      <c r="AS4312">
        <v>0</v>
      </c>
      <c r="AT4312">
        <v>0</v>
      </c>
      <c r="AU4312">
        <f t="shared" si="132"/>
        <v>0</v>
      </c>
      <c r="AV4312">
        <f t="shared" si="133"/>
        <v>0</v>
      </c>
    </row>
    <row r="4313" spans="1:48" x14ac:dyDescent="0.25">
      <c r="A4313" t="s">
        <v>17639</v>
      </c>
      <c r="B4313" t="s">
        <v>17639</v>
      </c>
      <c r="C4313" t="s">
        <v>17640</v>
      </c>
      <c r="D4313" t="s">
        <v>17641</v>
      </c>
      <c r="E4313" t="s">
        <v>2310</v>
      </c>
      <c r="F4313">
        <v>13</v>
      </c>
      <c r="G4313">
        <v>13.3</v>
      </c>
      <c r="H4313" t="s">
        <v>2017</v>
      </c>
      <c r="I4313" s="21">
        <v>42132.592106481483</v>
      </c>
      <c r="J4313">
        <v>2015</v>
      </c>
      <c r="K4313" s="21">
        <v>42838.362662037034</v>
      </c>
      <c r="L4313">
        <v>2017</v>
      </c>
      <c r="M4313" s="21">
        <v>42838.362662037034</v>
      </c>
      <c r="N4313">
        <v>2017</v>
      </c>
      <c r="Q4313" s="262">
        <v>250000</v>
      </c>
      <c r="R4313" s="262">
        <v>59000</v>
      </c>
      <c r="S4313" t="s">
        <v>13254</v>
      </c>
      <c r="W4313">
        <v>1360</v>
      </c>
      <c r="X4313">
        <v>0</v>
      </c>
      <c r="Y4313">
        <v>0</v>
      </c>
      <c r="Z4313">
        <v>0</v>
      </c>
      <c r="AA4313">
        <v>0</v>
      </c>
      <c r="AB4313">
        <v>0</v>
      </c>
      <c r="AC4313">
        <v>1360</v>
      </c>
      <c r="AD4313">
        <v>0</v>
      </c>
      <c r="AE4313">
        <v>0</v>
      </c>
      <c r="AF4313">
        <v>0</v>
      </c>
      <c r="AG4313">
        <v>0</v>
      </c>
      <c r="AH4313">
        <v>0</v>
      </c>
      <c r="AI4313">
        <v>0</v>
      </c>
      <c r="AJ4313">
        <v>0</v>
      </c>
      <c r="AK4313">
        <v>0</v>
      </c>
      <c r="AL4313">
        <v>0</v>
      </c>
      <c r="AM4313">
        <v>0</v>
      </c>
      <c r="AN4313">
        <v>0</v>
      </c>
      <c r="AO4313">
        <v>0</v>
      </c>
      <c r="AP4313">
        <v>0</v>
      </c>
      <c r="AQ4313">
        <v>0</v>
      </c>
      <c r="AR4313">
        <v>0</v>
      </c>
      <c r="AS4313">
        <v>0</v>
      </c>
      <c r="AT4313">
        <v>0</v>
      </c>
      <c r="AU4313">
        <f t="shared" ref="AU4313:AU4376" si="134">SUM(AN4313:AQ4313,AS4313)</f>
        <v>0</v>
      </c>
      <c r="AV4313">
        <f t="shared" ref="AV4313:AV4376" si="135">SUM(Y4313:AB4313,AH4313:AM4313)</f>
        <v>0</v>
      </c>
    </row>
    <row r="4314" spans="1:48" x14ac:dyDescent="0.25">
      <c r="A4314" t="s">
        <v>17642</v>
      </c>
      <c r="B4314" t="s">
        <v>17642</v>
      </c>
      <c r="C4314" t="s">
        <v>17643</v>
      </c>
      <c r="D4314" t="s">
        <v>17644</v>
      </c>
      <c r="E4314" t="s">
        <v>2310</v>
      </c>
      <c r="F4314">
        <v>9</v>
      </c>
      <c r="G4314">
        <v>9.3000000000000007</v>
      </c>
      <c r="H4314" t="s">
        <v>2323</v>
      </c>
      <c r="I4314" s="21">
        <v>42132.615740740737</v>
      </c>
      <c r="J4314">
        <v>2015</v>
      </c>
      <c r="K4314" s="21">
        <v>42870.380335648151</v>
      </c>
      <c r="L4314">
        <v>2017</v>
      </c>
      <c r="M4314" s="21">
        <v>42870.380335648151</v>
      </c>
      <c r="N4314">
        <v>2017</v>
      </c>
      <c r="Q4314" s="262">
        <v>4867180</v>
      </c>
      <c r="R4314" s="262">
        <v>1055000</v>
      </c>
      <c r="S4314" t="s">
        <v>13254</v>
      </c>
      <c r="W4314">
        <v>7238</v>
      </c>
      <c r="X4314">
        <v>1</v>
      </c>
      <c r="Y4314">
        <v>0</v>
      </c>
      <c r="Z4314">
        <v>0</v>
      </c>
      <c r="AA4314">
        <v>0</v>
      </c>
      <c r="AB4314">
        <v>0</v>
      </c>
      <c r="AC4314">
        <v>7238</v>
      </c>
      <c r="AD4314">
        <v>0</v>
      </c>
      <c r="AE4314">
        <v>0</v>
      </c>
      <c r="AF4314">
        <v>0</v>
      </c>
      <c r="AG4314">
        <v>0</v>
      </c>
      <c r="AH4314">
        <v>0</v>
      </c>
      <c r="AI4314">
        <v>0</v>
      </c>
      <c r="AJ4314">
        <v>0</v>
      </c>
      <c r="AK4314">
        <v>0</v>
      </c>
      <c r="AL4314">
        <v>0</v>
      </c>
      <c r="AM4314">
        <v>0</v>
      </c>
      <c r="AN4314">
        <v>0</v>
      </c>
      <c r="AO4314">
        <v>1</v>
      </c>
      <c r="AP4314">
        <v>0</v>
      </c>
      <c r="AQ4314">
        <v>0</v>
      </c>
      <c r="AR4314">
        <v>0</v>
      </c>
      <c r="AS4314">
        <v>0</v>
      </c>
      <c r="AT4314">
        <v>0</v>
      </c>
      <c r="AU4314">
        <f t="shared" si="134"/>
        <v>1</v>
      </c>
      <c r="AV4314">
        <f t="shared" si="135"/>
        <v>0</v>
      </c>
    </row>
    <row r="4315" spans="1:48" x14ac:dyDescent="0.25">
      <c r="A4315" t="s">
        <v>17645</v>
      </c>
      <c r="B4315" t="s">
        <v>17645</v>
      </c>
      <c r="C4315" t="s">
        <v>17646</v>
      </c>
      <c r="D4315" t="s">
        <v>17644</v>
      </c>
      <c r="E4315" t="s">
        <v>2310</v>
      </c>
      <c r="F4315">
        <v>9</v>
      </c>
      <c r="G4315">
        <v>9.3000000000000007</v>
      </c>
      <c r="H4315" t="s">
        <v>2323</v>
      </c>
      <c r="I4315" s="21">
        <v>42132.630729166667</v>
      </c>
      <c r="J4315">
        <v>2015</v>
      </c>
      <c r="K4315" s="21">
        <v>42853.640914351854</v>
      </c>
      <c r="L4315">
        <v>2017</v>
      </c>
      <c r="M4315" s="21">
        <v>42853.640914351854</v>
      </c>
      <c r="N4315">
        <v>2017</v>
      </c>
      <c r="Q4315" s="262">
        <v>300000</v>
      </c>
      <c r="R4315" s="262">
        <v>112000</v>
      </c>
      <c r="S4315" t="s">
        <v>13254</v>
      </c>
      <c r="W4315">
        <v>978</v>
      </c>
      <c r="X4315">
        <v>1</v>
      </c>
      <c r="Y4315">
        <v>0</v>
      </c>
      <c r="Z4315">
        <v>0</v>
      </c>
      <c r="AA4315">
        <v>0</v>
      </c>
      <c r="AB4315">
        <v>0</v>
      </c>
      <c r="AC4315">
        <v>0</v>
      </c>
      <c r="AD4315">
        <v>0</v>
      </c>
      <c r="AE4315">
        <v>0</v>
      </c>
      <c r="AF4315">
        <v>978</v>
      </c>
      <c r="AG4315">
        <v>0</v>
      </c>
      <c r="AH4315">
        <v>0</v>
      </c>
      <c r="AI4315">
        <v>0</v>
      </c>
      <c r="AJ4315">
        <v>0</v>
      </c>
      <c r="AK4315">
        <v>0</v>
      </c>
      <c r="AL4315">
        <v>0</v>
      </c>
      <c r="AM4315">
        <v>0</v>
      </c>
      <c r="AN4315">
        <v>0</v>
      </c>
      <c r="AO4315">
        <v>0</v>
      </c>
      <c r="AP4315">
        <v>0</v>
      </c>
      <c r="AQ4315">
        <v>0</v>
      </c>
      <c r="AR4315">
        <v>1</v>
      </c>
      <c r="AS4315">
        <v>0</v>
      </c>
      <c r="AT4315">
        <v>0</v>
      </c>
      <c r="AU4315">
        <f t="shared" si="134"/>
        <v>0</v>
      </c>
      <c r="AV4315">
        <f t="shared" si="135"/>
        <v>0</v>
      </c>
    </row>
    <row r="4316" spans="1:48" x14ac:dyDescent="0.25">
      <c r="A4316" t="s">
        <v>17647</v>
      </c>
      <c r="B4316" t="s">
        <v>17647</v>
      </c>
      <c r="C4316" t="s">
        <v>4934</v>
      </c>
      <c r="D4316" t="s">
        <v>17644</v>
      </c>
      <c r="E4316" t="s">
        <v>2310</v>
      </c>
      <c r="F4316">
        <v>9</v>
      </c>
      <c r="G4316">
        <v>9.3000000000000007</v>
      </c>
      <c r="H4316" t="s">
        <v>2323</v>
      </c>
      <c r="I4316" s="21">
        <v>42132.630787037036</v>
      </c>
      <c r="J4316">
        <v>2015</v>
      </c>
      <c r="K4316" s="21">
        <v>42853.630995370368</v>
      </c>
      <c r="L4316">
        <v>2017</v>
      </c>
      <c r="M4316" s="21">
        <v>42853.630995370368</v>
      </c>
      <c r="N4316">
        <v>2017</v>
      </c>
      <c r="Q4316" s="262">
        <v>150000</v>
      </c>
      <c r="R4316" s="262">
        <v>24000</v>
      </c>
      <c r="S4316" t="s">
        <v>13254</v>
      </c>
      <c r="W4316">
        <v>987</v>
      </c>
      <c r="X4316">
        <v>0</v>
      </c>
      <c r="Y4316">
        <v>0</v>
      </c>
      <c r="Z4316">
        <v>0</v>
      </c>
      <c r="AA4316">
        <v>0</v>
      </c>
      <c r="AB4316">
        <v>0</v>
      </c>
      <c r="AC4316">
        <v>987</v>
      </c>
      <c r="AD4316">
        <v>0</v>
      </c>
      <c r="AE4316">
        <v>0</v>
      </c>
      <c r="AF4316">
        <v>0</v>
      </c>
      <c r="AG4316">
        <v>0</v>
      </c>
      <c r="AH4316">
        <v>0</v>
      </c>
      <c r="AI4316">
        <v>0</v>
      </c>
      <c r="AJ4316">
        <v>0</v>
      </c>
      <c r="AK4316">
        <v>0</v>
      </c>
      <c r="AL4316">
        <v>0</v>
      </c>
      <c r="AM4316">
        <v>0</v>
      </c>
      <c r="AN4316">
        <v>0</v>
      </c>
      <c r="AO4316">
        <v>0</v>
      </c>
      <c r="AP4316">
        <v>0</v>
      </c>
      <c r="AQ4316">
        <v>0</v>
      </c>
      <c r="AR4316">
        <v>0</v>
      </c>
      <c r="AS4316">
        <v>0</v>
      </c>
      <c r="AT4316">
        <v>0</v>
      </c>
      <c r="AU4316">
        <f t="shared" si="134"/>
        <v>0</v>
      </c>
      <c r="AV4316">
        <f t="shared" si="135"/>
        <v>0</v>
      </c>
    </row>
    <row r="4317" spans="1:48" x14ac:dyDescent="0.25">
      <c r="A4317" t="s">
        <v>12822</v>
      </c>
      <c r="B4317" t="s">
        <v>12822</v>
      </c>
      <c r="C4317" t="s">
        <v>10104</v>
      </c>
      <c r="D4317" t="s">
        <v>12823</v>
      </c>
      <c r="E4317" t="s">
        <v>2310</v>
      </c>
      <c r="F4317">
        <v>13</v>
      </c>
      <c r="G4317">
        <v>13.2</v>
      </c>
      <c r="H4317" t="s">
        <v>2327</v>
      </c>
      <c r="I4317" s="21">
        <v>42132.696539351899</v>
      </c>
      <c r="J4317">
        <v>2015</v>
      </c>
      <c r="K4317" s="21">
        <v>42310.556331018503</v>
      </c>
      <c r="L4317">
        <v>2015</v>
      </c>
      <c r="M4317" s="21">
        <v>42640.634814814803</v>
      </c>
      <c r="N4317">
        <v>2016</v>
      </c>
      <c r="Q4317" s="262">
        <v>1125000</v>
      </c>
      <c r="R4317" s="262">
        <v>472000</v>
      </c>
      <c r="S4317" t="s">
        <v>114</v>
      </c>
      <c r="T4317" t="s">
        <v>114</v>
      </c>
      <c r="W4317">
        <v>4038</v>
      </c>
      <c r="X4317">
        <v>1</v>
      </c>
      <c r="Y4317">
        <v>0</v>
      </c>
      <c r="Z4317">
        <v>0</v>
      </c>
      <c r="AA4317">
        <v>0</v>
      </c>
      <c r="AB4317">
        <v>0</v>
      </c>
      <c r="AC4317">
        <v>4038</v>
      </c>
      <c r="AD4317">
        <v>0</v>
      </c>
      <c r="AE4317">
        <v>0</v>
      </c>
      <c r="AF4317">
        <v>0</v>
      </c>
      <c r="AG4317">
        <v>0</v>
      </c>
      <c r="AH4317">
        <v>0</v>
      </c>
      <c r="AI4317">
        <v>0</v>
      </c>
      <c r="AJ4317">
        <v>0</v>
      </c>
      <c r="AK4317">
        <v>0</v>
      </c>
      <c r="AL4317">
        <v>0</v>
      </c>
      <c r="AM4317">
        <v>0</v>
      </c>
      <c r="AN4317">
        <v>0</v>
      </c>
      <c r="AO4317">
        <v>1</v>
      </c>
      <c r="AP4317">
        <v>0</v>
      </c>
      <c r="AQ4317">
        <v>0</v>
      </c>
      <c r="AR4317">
        <v>0</v>
      </c>
      <c r="AS4317">
        <v>0</v>
      </c>
      <c r="AT4317">
        <v>0</v>
      </c>
      <c r="AU4317">
        <f t="shared" si="134"/>
        <v>1</v>
      </c>
      <c r="AV4317">
        <f t="shared" si="135"/>
        <v>0</v>
      </c>
    </row>
    <row r="4318" spans="1:48" x14ac:dyDescent="0.25">
      <c r="A4318" t="s">
        <v>12824</v>
      </c>
      <c r="B4318" t="s">
        <v>12824</v>
      </c>
      <c r="C4318" t="s">
        <v>12825</v>
      </c>
      <c r="D4318" t="s">
        <v>12826</v>
      </c>
      <c r="E4318" t="s">
        <v>2310</v>
      </c>
      <c r="F4318">
        <v>13</v>
      </c>
      <c r="G4318">
        <v>13.2</v>
      </c>
      <c r="H4318" t="s">
        <v>2327</v>
      </c>
      <c r="I4318" s="21">
        <v>42132.708344907398</v>
      </c>
      <c r="J4318">
        <v>2015</v>
      </c>
      <c r="K4318" s="21">
        <v>42192.473726851902</v>
      </c>
      <c r="L4318">
        <v>2015</v>
      </c>
      <c r="M4318" s="21">
        <v>42717.3578009259</v>
      </c>
      <c r="N4318">
        <v>2016</v>
      </c>
      <c r="Q4318" s="262">
        <v>1125000</v>
      </c>
      <c r="R4318" s="262">
        <v>472000</v>
      </c>
      <c r="S4318" t="s">
        <v>114</v>
      </c>
      <c r="T4318" t="s">
        <v>114</v>
      </c>
      <c r="W4318">
        <v>4038</v>
      </c>
      <c r="X4318">
        <v>1</v>
      </c>
      <c r="Y4318">
        <v>0</v>
      </c>
      <c r="Z4318">
        <v>0</v>
      </c>
      <c r="AA4318">
        <v>0</v>
      </c>
      <c r="AB4318">
        <v>0</v>
      </c>
      <c r="AC4318">
        <v>4038</v>
      </c>
      <c r="AD4318">
        <v>0</v>
      </c>
      <c r="AE4318">
        <v>0</v>
      </c>
      <c r="AF4318">
        <v>0</v>
      </c>
      <c r="AG4318">
        <v>0</v>
      </c>
      <c r="AH4318">
        <v>0</v>
      </c>
      <c r="AI4318">
        <v>0</v>
      </c>
      <c r="AJ4318">
        <v>0</v>
      </c>
      <c r="AK4318">
        <v>0</v>
      </c>
      <c r="AL4318">
        <v>0</v>
      </c>
      <c r="AM4318">
        <v>0</v>
      </c>
      <c r="AN4318">
        <v>0</v>
      </c>
      <c r="AO4318">
        <v>1</v>
      </c>
      <c r="AP4318">
        <v>0</v>
      </c>
      <c r="AQ4318">
        <v>0</v>
      </c>
      <c r="AR4318">
        <v>0</v>
      </c>
      <c r="AS4318">
        <v>0</v>
      </c>
      <c r="AT4318">
        <v>0</v>
      </c>
      <c r="AU4318">
        <f t="shared" si="134"/>
        <v>1</v>
      </c>
      <c r="AV4318">
        <f t="shared" si="135"/>
        <v>0</v>
      </c>
    </row>
    <row r="4319" spans="1:48" x14ac:dyDescent="0.25">
      <c r="A4319" t="s">
        <v>12827</v>
      </c>
      <c r="B4319" t="s">
        <v>12827</v>
      </c>
      <c r="C4319" t="s">
        <v>12828</v>
      </c>
      <c r="D4319" t="s">
        <v>3544</v>
      </c>
      <c r="E4319" t="s">
        <v>2310</v>
      </c>
      <c r="F4319">
        <v>8</v>
      </c>
      <c r="G4319">
        <v>8.1999999999999993</v>
      </c>
      <c r="H4319" t="s">
        <v>2022</v>
      </c>
      <c r="I4319" s="21">
        <v>42136.608807870398</v>
      </c>
      <c r="J4319">
        <v>2015</v>
      </c>
      <c r="K4319" s="21">
        <v>42166.708414351902</v>
      </c>
      <c r="L4319">
        <v>2015</v>
      </c>
      <c r="M4319" s="21">
        <v>42709.571770833303</v>
      </c>
      <c r="N4319">
        <v>2016</v>
      </c>
      <c r="Q4319" s="262">
        <v>50000</v>
      </c>
      <c r="R4319" s="262">
        <v>113000</v>
      </c>
      <c r="S4319" t="s">
        <v>114</v>
      </c>
      <c r="T4319" t="s">
        <v>114</v>
      </c>
      <c r="V4319">
        <v>829</v>
      </c>
      <c r="W4319">
        <v>0</v>
      </c>
      <c r="X4319">
        <v>1</v>
      </c>
      <c r="Y4319">
        <v>0</v>
      </c>
      <c r="Z4319">
        <v>0</v>
      </c>
      <c r="AA4319">
        <v>0</v>
      </c>
      <c r="AB4319">
        <v>0</v>
      </c>
      <c r="AC4319">
        <v>-829</v>
      </c>
      <c r="AD4319">
        <v>0</v>
      </c>
      <c r="AE4319">
        <v>0</v>
      </c>
      <c r="AF4319">
        <v>829</v>
      </c>
      <c r="AG4319">
        <v>0</v>
      </c>
      <c r="AH4319">
        <v>0</v>
      </c>
      <c r="AI4319">
        <v>0</v>
      </c>
      <c r="AJ4319">
        <v>0</v>
      </c>
      <c r="AK4319">
        <v>0</v>
      </c>
      <c r="AL4319">
        <v>0</v>
      </c>
      <c r="AM4319">
        <v>0</v>
      </c>
      <c r="AN4319">
        <v>0</v>
      </c>
      <c r="AO4319">
        <v>0</v>
      </c>
      <c r="AP4319">
        <v>0</v>
      </c>
      <c r="AQ4319">
        <v>0</v>
      </c>
      <c r="AR4319">
        <v>1</v>
      </c>
      <c r="AS4319">
        <v>0</v>
      </c>
      <c r="AT4319">
        <v>0</v>
      </c>
      <c r="AU4319">
        <f t="shared" si="134"/>
        <v>0</v>
      </c>
      <c r="AV4319">
        <f t="shared" si="135"/>
        <v>0</v>
      </c>
    </row>
    <row r="4320" spans="1:48" x14ac:dyDescent="0.25">
      <c r="A4320" t="s">
        <v>13342</v>
      </c>
      <c r="B4320" t="s">
        <v>13342</v>
      </c>
      <c r="C4320" t="s">
        <v>13343</v>
      </c>
      <c r="D4320" t="s">
        <v>13344</v>
      </c>
      <c r="E4320" t="s">
        <v>2310</v>
      </c>
      <c r="F4320">
        <v>8</v>
      </c>
      <c r="G4320">
        <v>8.1999999999999993</v>
      </c>
      <c r="H4320" t="s">
        <v>2022</v>
      </c>
      <c r="I4320" s="21">
        <v>42137.469895833303</v>
      </c>
      <c r="J4320">
        <v>2015</v>
      </c>
      <c r="K4320" s="21">
        <v>42912.5730555556</v>
      </c>
      <c r="L4320">
        <v>2017</v>
      </c>
      <c r="M4320" s="21">
        <v>42912.5730555556</v>
      </c>
      <c r="N4320">
        <v>2017</v>
      </c>
      <c r="S4320" t="s">
        <v>9529</v>
      </c>
      <c r="T4320">
        <v>2608</v>
      </c>
      <c r="U4320">
        <v>5</v>
      </c>
      <c r="W4320">
        <v>-4166</v>
      </c>
      <c r="X4320">
        <v>-1</v>
      </c>
      <c r="Y4320">
        <v>0</v>
      </c>
      <c r="Z4320">
        <v>0</v>
      </c>
      <c r="AA4320">
        <v>0</v>
      </c>
      <c r="AB4320">
        <v>0</v>
      </c>
      <c r="AC4320">
        <v>-4166</v>
      </c>
      <c r="AD4320">
        <v>0</v>
      </c>
      <c r="AE4320">
        <v>0</v>
      </c>
      <c r="AF4320">
        <v>0</v>
      </c>
      <c r="AG4320">
        <v>0</v>
      </c>
      <c r="AH4320">
        <v>0</v>
      </c>
      <c r="AI4320">
        <v>0</v>
      </c>
      <c r="AJ4320">
        <v>0</v>
      </c>
      <c r="AK4320">
        <v>0</v>
      </c>
      <c r="AL4320">
        <v>0</v>
      </c>
      <c r="AM4320">
        <v>0</v>
      </c>
      <c r="AN4320">
        <v>0</v>
      </c>
      <c r="AO4320">
        <v>-1</v>
      </c>
      <c r="AP4320">
        <v>0</v>
      </c>
      <c r="AQ4320">
        <v>0</v>
      </c>
      <c r="AR4320">
        <v>0</v>
      </c>
      <c r="AS4320">
        <v>0</v>
      </c>
      <c r="AT4320">
        <v>0</v>
      </c>
      <c r="AU4320">
        <f t="shared" si="134"/>
        <v>-1</v>
      </c>
      <c r="AV4320">
        <f t="shared" si="135"/>
        <v>0</v>
      </c>
    </row>
    <row r="4321" spans="1:48" x14ac:dyDescent="0.25">
      <c r="A4321" t="s">
        <v>13342</v>
      </c>
      <c r="B4321" t="s">
        <v>13342</v>
      </c>
      <c r="C4321" t="s">
        <v>13343</v>
      </c>
      <c r="D4321" t="s">
        <v>13344</v>
      </c>
      <c r="E4321" t="s">
        <v>2310</v>
      </c>
      <c r="F4321">
        <v>8</v>
      </c>
      <c r="G4321">
        <v>8.1999999999999993</v>
      </c>
      <c r="H4321" t="s">
        <v>2022</v>
      </c>
      <c r="I4321" s="21">
        <v>42137.469895833332</v>
      </c>
      <c r="J4321">
        <v>2015</v>
      </c>
      <c r="K4321" s="21">
        <v>42912.573055555556</v>
      </c>
      <c r="L4321">
        <v>2017</v>
      </c>
      <c r="M4321" s="21">
        <v>42912.573055555556</v>
      </c>
      <c r="N4321">
        <v>2017</v>
      </c>
      <c r="Q4321" s="262">
        <v>5500000</v>
      </c>
      <c r="R4321" s="262">
        <v>972000</v>
      </c>
      <c r="S4321" t="s">
        <v>12464</v>
      </c>
      <c r="T4321">
        <v>2608</v>
      </c>
      <c r="W4321">
        <v>6927</v>
      </c>
      <c r="X4321">
        <v>1</v>
      </c>
      <c r="Y4321">
        <v>0</v>
      </c>
      <c r="Z4321">
        <v>0</v>
      </c>
      <c r="AA4321">
        <v>0</v>
      </c>
      <c r="AB4321">
        <v>0</v>
      </c>
      <c r="AC4321">
        <v>6927</v>
      </c>
      <c r="AD4321">
        <v>0</v>
      </c>
      <c r="AE4321">
        <v>0</v>
      </c>
      <c r="AF4321">
        <v>0</v>
      </c>
      <c r="AG4321">
        <v>0</v>
      </c>
      <c r="AH4321">
        <v>0</v>
      </c>
      <c r="AI4321">
        <v>0</v>
      </c>
      <c r="AJ4321">
        <v>0</v>
      </c>
      <c r="AK4321">
        <v>0</v>
      </c>
      <c r="AL4321">
        <v>0</v>
      </c>
      <c r="AM4321">
        <v>0</v>
      </c>
      <c r="AN4321">
        <v>0</v>
      </c>
      <c r="AO4321">
        <v>1</v>
      </c>
      <c r="AP4321">
        <v>0</v>
      </c>
      <c r="AQ4321">
        <v>0</v>
      </c>
      <c r="AR4321">
        <v>0</v>
      </c>
      <c r="AS4321">
        <v>0</v>
      </c>
      <c r="AT4321">
        <v>0</v>
      </c>
      <c r="AU4321">
        <f t="shared" si="134"/>
        <v>1</v>
      </c>
      <c r="AV4321">
        <f t="shared" si="135"/>
        <v>0</v>
      </c>
    </row>
    <row r="4322" spans="1:48" x14ac:dyDescent="0.25">
      <c r="A4322" t="s">
        <v>18487</v>
      </c>
      <c r="B4322" t="s">
        <v>18487</v>
      </c>
      <c r="C4322" t="s">
        <v>11562</v>
      </c>
      <c r="D4322" t="s">
        <v>18488</v>
      </c>
      <c r="E4322" t="s">
        <v>2310</v>
      </c>
      <c r="F4322">
        <v>14</v>
      </c>
      <c r="G4322">
        <v>14.1</v>
      </c>
      <c r="H4322" t="s">
        <v>2022</v>
      </c>
      <c r="I4322" s="21">
        <v>42137.671724537038</v>
      </c>
      <c r="J4322">
        <v>2015</v>
      </c>
      <c r="K4322" s="21">
        <v>42178.500127314815</v>
      </c>
      <c r="L4322">
        <v>2015</v>
      </c>
      <c r="M4322" s="21">
        <v>43474.570066863424</v>
      </c>
      <c r="N4322">
        <v>2019</v>
      </c>
      <c r="Q4322" s="262">
        <v>350000</v>
      </c>
      <c r="R4322" s="262">
        <v>268000</v>
      </c>
      <c r="S4322" t="s">
        <v>13254</v>
      </c>
      <c r="W4322">
        <v>2808</v>
      </c>
      <c r="X4322">
        <v>1</v>
      </c>
      <c r="Y4322">
        <v>0</v>
      </c>
      <c r="Z4322">
        <v>0</v>
      </c>
      <c r="AA4322">
        <v>0</v>
      </c>
      <c r="AB4322">
        <v>0</v>
      </c>
      <c r="AC4322">
        <v>2808</v>
      </c>
      <c r="AD4322">
        <v>0</v>
      </c>
      <c r="AE4322">
        <v>0</v>
      </c>
      <c r="AF4322">
        <v>0</v>
      </c>
      <c r="AG4322">
        <v>0</v>
      </c>
      <c r="AH4322">
        <v>0</v>
      </c>
      <c r="AI4322">
        <v>0</v>
      </c>
      <c r="AJ4322">
        <v>0</v>
      </c>
      <c r="AK4322">
        <v>0</v>
      </c>
      <c r="AL4322">
        <v>0</v>
      </c>
      <c r="AM4322">
        <v>0</v>
      </c>
      <c r="AN4322">
        <v>0</v>
      </c>
      <c r="AO4322">
        <v>1</v>
      </c>
      <c r="AP4322">
        <v>0</v>
      </c>
      <c r="AQ4322">
        <v>0</v>
      </c>
      <c r="AR4322">
        <v>0</v>
      </c>
      <c r="AS4322">
        <v>0</v>
      </c>
      <c r="AT4322">
        <v>0</v>
      </c>
      <c r="AU4322">
        <f t="shared" si="134"/>
        <v>1</v>
      </c>
      <c r="AV4322">
        <f t="shared" si="135"/>
        <v>0</v>
      </c>
    </row>
    <row r="4323" spans="1:48" x14ac:dyDescent="0.25">
      <c r="A4323" t="s">
        <v>13507</v>
      </c>
      <c r="B4323" t="s">
        <v>114</v>
      </c>
      <c r="C4323" t="s">
        <v>11488</v>
      </c>
      <c r="D4323" t="s">
        <v>9974</v>
      </c>
      <c r="E4323" t="s">
        <v>1663</v>
      </c>
      <c r="F4323">
        <v>3</v>
      </c>
      <c r="G4323">
        <v>3.2</v>
      </c>
      <c r="H4323" t="s">
        <v>2327</v>
      </c>
      <c r="I4323" s="21">
        <v>42138</v>
      </c>
      <c r="J4323">
        <v>2015</v>
      </c>
      <c r="K4323" s="21">
        <v>42153</v>
      </c>
      <c r="L4323">
        <v>2015</v>
      </c>
      <c r="M4323" s="21">
        <v>42751</v>
      </c>
      <c r="N4323">
        <v>2017</v>
      </c>
      <c r="Q4323" s="262">
        <v>62000</v>
      </c>
      <c r="S4323" t="s">
        <v>13253</v>
      </c>
      <c r="T4323">
        <v>11559</v>
      </c>
      <c r="V4323">
        <v>571</v>
      </c>
      <c r="W4323">
        <v>571</v>
      </c>
      <c r="X4323">
        <v>0</v>
      </c>
      <c r="Y4323">
        <v>0</v>
      </c>
      <c r="Z4323">
        <v>0</v>
      </c>
      <c r="AA4323">
        <v>0</v>
      </c>
      <c r="AB4323">
        <v>0</v>
      </c>
      <c r="AC4323">
        <v>571</v>
      </c>
      <c r="AD4323">
        <v>0</v>
      </c>
      <c r="AE4323">
        <v>0</v>
      </c>
      <c r="AF4323">
        <v>0</v>
      </c>
      <c r="AG4323">
        <v>0</v>
      </c>
      <c r="AH4323">
        <v>0</v>
      </c>
      <c r="AI4323">
        <v>0</v>
      </c>
      <c r="AJ4323">
        <v>0</v>
      </c>
      <c r="AK4323">
        <v>0</v>
      </c>
      <c r="AL4323">
        <v>0</v>
      </c>
      <c r="AM4323">
        <v>0</v>
      </c>
      <c r="AN4323">
        <v>0</v>
      </c>
      <c r="AO4323">
        <v>0</v>
      </c>
      <c r="AP4323">
        <v>0</v>
      </c>
      <c r="AQ4323">
        <v>0</v>
      </c>
      <c r="AR4323">
        <v>0</v>
      </c>
      <c r="AS4323">
        <v>0</v>
      </c>
      <c r="AT4323">
        <v>0</v>
      </c>
      <c r="AU4323">
        <f t="shared" si="134"/>
        <v>0</v>
      </c>
      <c r="AV4323">
        <f t="shared" si="135"/>
        <v>0</v>
      </c>
    </row>
    <row r="4324" spans="1:48" x14ac:dyDescent="0.25">
      <c r="A4324" t="s">
        <v>12829</v>
      </c>
      <c r="B4324" t="s">
        <v>12829</v>
      </c>
      <c r="C4324" t="s">
        <v>12830</v>
      </c>
      <c r="D4324" t="s">
        <v>3943</v>
      </c>
      <c r="E4324" t="s">
        <v>2310</v>
      </c>
      <c r="F4324">
        <v>9</v>
      </c>
      <c r="G4324">
        <v>9.3000000000000007</v>
      </c>
      <c r="H4324" t="s">
        <v>2323</v>
      </c>
      <c r="I4324" s="21">
        <v>42138.574756944399</v>
      </c>
      <c r="J4324">
        <v>2015</v>
      </c>
      <c r="K4324" s="21">
        <v>42174.366030092599</v>
      </c>
      <c r="L4324">
        <v>2015</v>
      </c>
      <c r="M4324" s="21">
        <v>42578.359548611101</v>
      </c>
      <c r="N4324">
        <v>2016</v>
      </c>
      <c r="Q4324" s="262">
        <v>80000</v>
      </c>
      <c r="R4324" s="262">
        <v>5000</v>
      </c>
      <c r="S4324" t="s">
        <v>114</v>
      </c>
      <c r="T4324" t="s">
        <v>114</v>
      </c>
      <c r="W4324">
        <v>0</v>
      </c>
      <c r="X4324">
        <v>0</v>
      </c>
      <c r="Y4324">
        <v>0</v>
      </c>
      <c r="Z4324">
        <v>0</v>
      </c>
      <c r="AA4324">
        <v>0</v>
      </c>
      <c r="AB4324">
        <v>0</v>
      </c>
      <c r="AC4324">
        <v>0</v>
      </c>
      <c r="AD4324">
        <v>0</v>
      </c>
      <c r="AE4324">
        <v>0</v>
      </c>
      <c r="AF4324">
        <v>0</v>
      </c>
      <c r="AG4324">
        <v>0</v>
      </c>
      <c r="AH4324">
        <v>0</v>
      </c>
      <c r="AI4324">
        <v>0</v>
      </c>
      <c r="AJ4324">
        <v>0</v>
      </c>
      <c r="AK4324">
        <v>0</v>
      </c>
      <c r="AL4324">
        <v>0</v>
      </c>
      <c r="AM4324">
        <v>0</v>
      </c>
      <c r="AN4324">
        <v>0</v>
      </c>
      <c r="AO4324">
        <v>0</v>
      </c>
      <c r="AP4324">
        <v>0</v>
      </c>
      <c r="AQ4324">
        <v>0</v>
      </c>
      <c r="AR4324">
        <v>0</v>
      </c>
      <c r="AS4324">
        <v>0</v>
      </c>
      <c r="AT4324">
        <v>0</v>
      </c>
      <c r="AU4324">
        <f t="shared" si="134"/>
        <v>0</v>
      </c>
      <c r="AV4324">
        <f t="shared" si="135"/>
        <v>0</v>
      </c>
    </row>
    <row r="4325" spans="1:48" x14ac:dyDescent="0.25">
      <c r="A4325" t="s">
        <v>19259</v>
      </c>
      <c r="B4325" t="s">
        <v>114</v>
      </c>
      <c r="C4325" t="s">
        <v>19260</v>
      </c>
      <c r="D4325" t="s">
        <v>13561</v>
      </c>
      <c r="E4325" t="s">
        <v>1663</v>
      </c>
      <c r="F4325">
        <v>4</v>
      </c>
      <c r="G4325">
        <v>4.3</v>
      </c>
      <c r="H4325" t="s">
        <v>2327</v>
      </c>
      <c r="I4325" s="21">
        <v>42142</v>
      </c>
      <c r="J4325">
        <v>2015</v>
      </c>
      <c r="K4325" s="21">
        <v>42219</v>
      </c>
      <c r="L4325">
        <v>2015</v>
      </c>
      <c r="M4325" s="21">
        <v>42562</v>
      </c>
      <c r="N4325">
        <v>2016</v>
      </c>
      <c r="Q4325" s="262">
        <v>1600000</v>
      </c>
      <c r="S4325" t="s">
        <v>13253</v>
      </c>
      <c r="T4325">
        <v>12343</v>
      </c>
      <c r="V4325">
        <v>16092</v>
      </c>
      <c r="W4325">
        <v>0</v>
      </c>
      <c r="X4325">
        <v>0</v>
      </c>
      <c r="Y4325">
        <v>0</v>
      </c>
      <c r="Z4325">
        <v>0</v>
      </c>
      <c r="AA4325">
        <v>0</v>
      </c>
      <c r="AB4325">
        <v>0</v>
      </c>
      <c r="AC4325">
        <v>0</v>
      </c>
      <c r="AD4325">
        <v>0</v>
      </c>
      <c r="AE4325">
        <v>0</v>
      </c>
      <c r="AF4325">
        <v>0</v>
      </c>
      <c r="AG4325">
        <v>0</v>
      </c>
      <c r="AH4325">
        <v>0</v>
      </c>
      <c r="AI4325">
        <v>0</v>
      </c>
      <c r="AJ4325">
        <v>-16092</v>
      </c>
      <c r="AK4325">
        <v>16092</v>
      </c>
      <c r="AL4325">
        <v>0</v>
      </c>
      <c r="AM4325">
        <v>0</v>
      </c>
      <c r="AN4325">
        <v>0</v>
      </c>
      <c r="AO4325">
        <v>0</v>
      </c>
      <c r="AP4325">
        <v>0</v>
      </c>
      <c r="AQ4325">
        <v>0</v>
      </c>
      <c r="AR4325">
        <v>0</v>
      </c>
      <c r="AS4325">
        <v>0</v>
      </c>
      <c r="AT4325">
        <v>0</v>
      </c>
      <c r="AU4325">
        <f t="shared" si="134"/>
        <v>0</v>
      </c>
      <c r="AV4325">
        <f t="shared" si="135"/>
        <v>0</v>
      </c>
    </row>
    <row r="4326" spans="1:48" x14ac:dyDescent="0.25">
      <c r="A4326" t="s">
        <v>17616</v>
      </c>
      <c r="B4326" t="s">
        <v>17616</v>
      </c>
      <c r="C4326" t="s">
        <v>17617</v>
      </c>
      <c r="D4326" t="s">
        <v>3607</v>
      </c>
      <c r="E4326" t="s">
        <v>2310</v>
      </c>
      <c r="F4326">
        <v>8</v>
      </c>
      <c r="G4326">
        <v>8.3000000000000007</v>
      </c>
      <c r="H4326" t="s">
        <v>2323</v>
      </c>
      <c r="I4326" s="21">
        <v>42143.63826388889</v>
      </c>
      <c r="J4326">
        <v>2015</v>
      </c>
      <c r="K4326" s="21">
        <v>42230.583761574075</v>
      </c>
      <c r="L4326">
        <v>2015</v>
      </c>
      <c r="M4326" s="21">
        <v>43391.572566122682</v>
      </c>
      <c r="N4326">
        <v>2018</v>
      </c>
      <c r="Q4326" s="262">
        <v>65000</v>
      </c>
      <c r="R4326" s="262">
        <v>135000</v>
      </c>
      <c r="S4326" t="s">
        <v>13253</v>
      </c>
      <c r="T4326">
        <v>791</v>
      </c>
      <c r="V4326">
        <v>910</v>
      </c>
      <c r="W4326">
        <v>373</v>
      </c>
      <c r="X4326">
        <v>0</v>
      </c>
      <c r="Y4326">
        <v>0</v>
      </c>
      <c r="Z4326">
        <v>0</v>
      </c>
      <c r="AA4326">
        <v>0</v>
      </c>
      <c r="AB4326">
        <v>0</v>
      </c>
      <c r="AC4326">
        <v>373</v>
      </c>
      <c r="AD4326">
        <v>0</v>
      </c>
      <c r="AE4326">
        <v>0</v>
      </c>
      <c r="AF4326">
        <v>0</v>
      </c>
      <c r="AG4326">
        <v>0</v>
      </c>
      <c r="AH4326">
        <v>0</v>
      </c>
      <c r="AI4326">
        <v>0</v>
      </c>
      <c r="AJ4326">
        <v>0</v>
      </c>
      <c r="AK4326">
        <v>0</v>
      </c>
      <c r="AL4326">
        <v>0</v>
      </c>
      <c r="AM4326">
        <v>0</v>
      </c>
      <c r="AN4326">
        <v>0</v>
      </c>
      <c r="AO4326">
        <v>0</v>
      </c>
      <c r="AP4326">
        <v>0</v>
      </c>
      <c r="AQ4326">
        <v>0</v>
      </c>
      <c r="AR4326">
        <v>0</v>
      </c>
      <c r="AS4326">
        <v>0</v>
      </c>
      <c r="AT4326">
        <v>0</v>
      </c>
      <c r="AU4326">
        <f t="shared" si="134"/>
        <v>0</v>
      </c>
      <c r="AV4326">
        <f t="shared" si="135"/>
        <v>0</v>
      </c>
    </row>
    <row r="4327" spans="1:48" x14ac:dyDescent="0.25">
      <c r="A4327" t="s">
        <v>12831</v>
      </c>
      <c r="B4327" t="s">
        <v>12831</v>
      </c>
      <c r="C4327" t="s">
        <v>12832</v>
      </c>
      <c r="D4327" t="s">
        <v>11764</v>
      </c>
      <c r="E4327" t="s">
        <v>2310</v>
      </c>
      <c r="F4327">
        <v>14</v>
      </c>
      <c r="G4327">
        <v>14.1</v>
      </c>
      <c r="H4327" t="s">
        <v>2022</v>
      </c>
      <c r="I4327" s="21">
        <v>42143.6855671296</v>
      </c>
      <c r="J4327">
        <v>2015</v>
      </c>
      <c r="K4327" s="21">
        <v>42320.656574074099</v>
      </c>
      <c r="L4327">
        <v>2015</v>
      </c>
      <c r="M4327" s="21">
        <v>42509.354004629597</v>
      </c>
      <c r="N4327">
        <v>2016</v>
      </c>
      <c r="Q4327" s="262">
        <v>60000</v>
      </c>
      <c r="R4327" s="262">
        <v>25000</v>
      </c>
      <c r="S4327" t="s">
        <v>114</v>
      </c>
      <c r="T4327" t="s">
        <v>114</v>
      </c>
      <c r="W4327">
        <v>572</v>
      </c>
      <c r="X4327">
        <v>0</v>
      </c>
      <c r="Y4327">
        <v>0</v>
      </c>
      <c r="Z4327">
        <v>0</v>
      </c>
      <c r="AA4327">
        <v>0</v>
      </c>
      <c r="AB4327">
        <v>0</v>
      </c>
      <c r="AC4327">
        <v>572</v>
      </c>
      <c r="AD4327">
        <v>0</v>
      </c>
      <c r="AE4327">
        <v>0</v>
      </c>
      <c r="AF4327">
        <v>0</v>
      </c>
      <c r="AG4327">
        <v>0</v>
      </c>
      <c r="AH4327">
        <v>0</v>
      </c>
      <c r="AI4327">
        <v>0</v>
      </c>
      <c r="AJ4327">
        <v>0</v>
      </c>
      <c r="AK4327">
        <v>0</v>
      </c>
      <c r="AL4327">
        <v>0</v>
      </c>
      <c r="AM4327">
        <v>0</v>
      </c>
      <c r="AN4327">
        <v>0</v>
      </c>
      <c r="AO4327">
        <v>0</v>
      </c>
      <c r="AP4327">
        <v>0</v>
      </c>
      <c r="AQ4327">
        <v>0</v>
      </c>
      <c r="AR4327">
        <v>0</v>
      </c>
      <c r="AS4327">
        <v>0</v>
      </c>
      <c r="AT4327">
        <v>0</v>
      </c>
      <c r="AU4327">
        <f t="shared" si="134"/>
        <v>0</v>
      </c>
      <c r="AV4327">
        <f t="shared" si="135"/>
        <v>0</v>
      </c>
    </row>
    <row r="4328" spans="1:48" x14ac:dyDescent="0.25">
      <c r="A4328" t="s">
        <v>12833</v>
      </c>
      <c r="C4328" t="s">
        <v>12834</v>
      </c>
      <c r="D4328" t="s">
        <v>12379</v>
      </c>
      <c r="E4328" t="s">
        <v>1663</v>
      </c>
      <c r="F4328">
        <v>5</v>
      </c>
      <c r="G4328">
        <v>5.2</v>
      </c>
      <c r="H4328" t="s">
        <v>2327</v>
      </c>
      <c r="I4328" s="21">
        <v>42145</v>
      </c>
      <c r="J4328">
        <v>2015</v>
      </c>
      <c r="K4328" s="21">
        <v>42159</v>
      </c>
      <c r="L4328">
        <v>2015</v>
      </c>
      <c r="M4328" s="21">
        <v>42373</v>
      </c>
      <c r="N4328">
        <v>2016</v>
      </c>
      <c r="Q4328" s="262">
        <v>25000</v>
      </c>
      <c r="S4328" t="s">
        <v>114</v>
      </c>
      <c r="T4328" t="s">
        <v>114</v>
      </c>
      <c r="V4328">
        <v>160</v>
      </c>
      <c r="W4328">
        <v>0</v>
      </c>
      <c r="X4328">
        <v>0</v>
      </c>
      <c r="Y4328">
        <v>0</v>
      </c>
      <c r="Z4328">
        <v>0</v>
      </c>
      <c r="AA4328">
        <v>0</v>
      </c>
      <c r="AB4328">
        <v>0</v>
      </c>
      <c r="AC4328">
        <v>0</v>
      </c>
      <c r="AD4328">
        <v>0</v>
      </c>
      <c r="AE4328">
        <v>0</v>
      </c>
      <c r="AF4328">
        <v>0</v>
      </c>
      <c r="AG4328">
        <v>0</v>
      </c>
      <c r="AH4328">
        <v>0</v>
      </c>
      <c r="AI4328">
        <v>0</v>
      </c>
      <c r="AJ4328">
        <v>0</v>
      </c>
      <c r="AK4328">
        <v>0</v>
      </c>
      <c r="AL4328">
        <v>0</v>
      </c>
      <c r="AM4328">
        <v>0</v>
      </c>
      <c r="AN4328">
        <v>0</v>
      </c>
      <c r="AO4328">
        <v>0</v>
      </c>
      <c r="AP4328">
        <v>0</v>
      </c>
      <c r="AQ4328">
        <v>0</v>
      </c>
      <c r="AR4328">
        <v>0</v>
      </c>
      <c r="AS4328">
        <v>0</v>
      </c>
      <c r="AT4328">
        <v>0</v>
      </c>
      <c r="AU4328">
        <f t="shared" si="134"/>
        <v>0</v>
      </c>
      <c r="AV4328">
        <f t="shared" si="135"/>
        <v>0</v>
      </c>
    </row>
    <row r="4329" spans="1:48" x14ac:dyDescent="0.25">
      <c r="A4329" t="s">
        <v>13353</v>
      </c>
      <c r="B4329" t="s">
        <v>13353</v>
      </c>
      <c r="C4329" t="s">
        <v>13354</v>
      </c>
      <c r="D4329" t="s">
        <v>13355</v>
      </c>
      <c r="E4329" t="s">
        <v>2310</v>
      </c>
      <c r="F4329">
        <v>8</v>
      </c>
      <c r="G4329">
        <v>8.1</v>
      </c>
      <c r="H4329" t="s">
        <v>2323</v>
      </c>
      <c r="I4329" s="21">
        <v>42145.378958333298</v>
      </c>
      <c r="J4329">
        <v>2015</v>
      </c>
      <c r="K4329" s="21">
        <v>42747.454375000001</v>
      </c>
      <c r="L4329">
        <v>2017</v>
      </c>
      <c r="M4329" s="21">
        <v>42747.454375000001</v>
      </c>
      <c r="N4329">
        <v>2017</v>
      </c>
      <c r="S4329" t="s">
        <v>9529</v>
      </c>
      <c r="T4329">
        <v>4101</v>
      </c>
      <c r="U4329">
        <v>5</v>
      </c>
      <c r="W4329">
        <v>-708</v>
      </c>
      <c r="X4329">
        <v>-1</v>
      </c>
      <c r="Y4329">
        <v>0</v>
      </c>
      <c r="Z4329">
        <v>0</v>
      </c>
      <c r="AA4329">
        <v>0</v>
      </c>
      <c r="AB4329">
        <v>0</v>
      </c>
      <c r="AC4329">
        <v>-708</v>
      </c>
      <c r="AD4329">
        <v>0</v>
      </c>
      <c r="AE4329">
        <v>0</v>
      </c>
      <c r="AF4329">
        <v>0</v>
      </c>
      <c r="AG4329">
        <v>0</v>
      </c>
      <c r="AH4329">
        <v>0</v>
      </c>
      <c r="AI4329">
        <v>0</v>
      </c>
      <c r="AJ4329">
        <v>0</v>
      </c>
      <c r="AK4329">
        <v>0</v>
      </c>
      <c r="AL4329">
        <v>0</v>
      </c>
      <c r="AM4329">
        <v>0</v>
      </c>
      <c r="AN4329">
        <v>0</v>
      </c>
      <c r="AO4329">
        <v>-1</v>
      </c>
      <c r="AP4329">
        <v>0</v>
      </c>
      <c r="AQ4329">
        <v>0</v>
      </c>
      <c r="AR4329">
        <v>0</v>
      </c>
      <c r="AS4329">
        <v>0</v>
      </c>
      <c r="AT4329">
        <v>0</v>
      </c>
      <c r="AU4329">
        <f t="shared" si="134"/>
        <v>-1</v>
      </c>
      <c r="AV4329">
        <f t="shared" si="135"/>
        <v>0</v>
      </c>
    </row>
    <row r="4330" spans="1:48" x14ac:dyDescent="0.25">
      <c r="A4330" t="s">
        <v>13353</v>
      </c>
      <c r="B4330" t="s">
        <v>13353</v>
      </c>
      <c r="C4330" t="s">
        <v>13354</v>
      </c>
      <c r="D4330" t="s">
        <v>13355</v>
      </c>
      <c r="E4330" t="s">
        <v>2310</v>
      </c>
      <c r="F4330">
        <v>8</v>
      </c>
      <c r="G4330">
        <v>8.1</v>
      </c>
      <c r="H4330" t="s">
        <v>2323</v>
      </c>
      <c r="I4330" s="21">
        <v>42145.378958333335</v>
      </c>
      <c r="J4330">
        <v>2015</v>
      </c>
      <c r="K4330" s="21">
        <v>42747.454375000001</v>
      </c>
      <c r="L4330">
        <v>2017</v>
      </c>
      <c r="M4330" s="21">
        <v>42747.454375000001</v>
      </c>
      <c r="N4330">
        <v>2017</v>
      </c>
      <c r="Q4330" s="262">
        <v>492500</v>
      </c>
      <c r="R4330" s="262">
        <v>321000</v>
      </c>
      <c r="S4330" t="s">
        <v>12464</v>
      </c>
      <c r="T4330">
        <v>4101</v>
      </c>
      <c r="W4330">
        <v>4402</v>
      </c>
      <c r="X4330">
        <v>1</v>
      </c>
      <c r="Y4330">
        <v>0</v>
      </c>
      <c r="Z4330">
        <v>0</v>
      </c>
      <c r="AA4330">
        <v>0</v>
      </c>
      <c r="AB4330">
        <v>0</v>
      </c>
      <c r="AC4330">
        <v>4402</v>
      </c>
      <c r="AD4330">
        <v>0</v>
      </c>
      <c r="AE4330">
        <v>0</v>
      </c>
      <c r="AF4330">
        <v>0</v>
      </c>
      <c r="AG4330">
        <v>0</v>
      </c>
      <c r="AH4330">
        <v>0</v>
      </c>
      <c r="AI4330">
        <v>0</v>
      </c>
      <c r="AJ4330">
        <v>0</v>
      </c>
      <c r="AK4330">
        <v>0</v>
      </c>
      <c r="AL4330">
        <v>0</v>
      </c>
      <c r="AM4330">
        <v>0</v>
      </c>
      <c r="AN4330">
        <v>0</v>
      </c>
      <c r="AO4330">
        <v>1</v>
      </c>
      <c r="AP4330">
        <v>0</v>
      </c>
      <c r="AQ4330">
        <v>0</v>
      </c>
      <c r="AR4330">
        <v>0</v>
      </c>
      <c r="AS4330">
        <v>0</v>
      </c>
      <c r="AT4330">
        <v>0</v>
      </c>
      <c r="AU4330">
        <f t="shared" si="134"/>
        <v>1</v>
      </c>
      <c r="AV4330">
        <f t="shared" si="135"/>
        <v>0</v>
      </c>
    </row>
    <row r="4331" spans="1:48" x14ac:dyDescent="0.25">
      <c r="A4331" t="s">
        <v>12835</v>
      </c>
      <c r="B4331" t="s">
        <v>12835</v>
      </c>
      <c r="C4331" t="s">
        <v>12836</v>
      </c>
      <c r="D4331" t="s">
        <v>5368</v>
      </c>
      <c r="E4331" t="s">
        <v>2310</v>
      </c>
      <c r="F4331">
        <v>15</v>
      </c>
      <c r="G4331">
        <v>15.1</v>
      </c>
      <c r="H4331" t="s">
        <v>2022</v>
      </c>
      <c r="I4331" s="21">
        <v>42145.560497685197</v>
      </c>
      <c r="J4331">
        <v>2015</v>
      </c>
      <c r="K4331" s="21">
        <v>42195.358391203699</v>
      </c>
      <c r="L4331">
        <v>2015</v>
      </c>
      <c r="M4331" s="21">
        <v>42258.607627314799</v>
      </c>
      <c r="N4331">
        <v>2015</v>
      </c>
      <c r="Q4331" s="262">
        <v>15000</v>
      </c>
      <c r="R4331" s="262">
        <v>20000</v>
      </c>
      <c r="S4331" t="s">
        <v>114</v>
      </c>
      <c r="T4331" t="s">
        <v>114</v>
      </c>
      <c r="W4331">
        <v>450</v>
      </c>
      <c r="X4331">
        <v>0</v>
      </c>
      <c r="Y4331">
        <v>0</v>
      </c>
      <c r="Z4331">
        <v>0</v>
      </c>
      <c r="AA4331">
        <v>0</v>
      </c>
      <c r="AB4331">
        <v>0</v>
      </c>
      <c r="AC4331">
        <v>0</v>
      </c>
      <c r="AD4331">
        <v>0</v>
      </c>
      <c r="AE4331">
        <v>0</v>
      </c>
      <c r="AF4331">
        <v>0</v>
      </c>
      <c r="AG4331">
        <v>0</v>
      </c>
      <c r="AH4331">
        <v>0</v>
      </c>
      <c r="AI4331">
        <v>450</v>
      </c>
      <c r="AJ4331">
        <v>0</v>
      </c>
      <c r="AK4331">
        <v>0</v>
      </c>
      <c r="AL4331">
        <v>0</v>
      </c>
      <c r="AM4331">
        <v>0</v>
      </c>
      <c r="AN4331">
        <v>0</v>
      </c>
      <c r="AO4331">
        <v>0</v>
      </c>
      <c r="AP4331">
        <v>0</v>
      </c>
      <c r="AQ4331">
        <v>0</v>
      </c>
      <c r="AR4331">
        <v>0</v>
      </c>
      <c r="AS4331">
        <v>0</v>
      </c>
      <c r="AT4331">
        <v>0</v>
      </c>
      <c r="AU4331">
        <f t="shared" si="134"/>
        <v>0</v>
      </c>
      <c r="AV4331">
        <f t="shared" si="135"/>
        <v>450</v>
      </c>
    </row>
    <row r="4332" spans="1:48" x14ac:dyDescent="0.25">
      <c r="A4332" t="s">
        <v>12837</v>
      </c>
      <c r="B4332" t="s">
        <v>12837</v>
      </c>
      <c r="C4332" t="s">
        <v>11343</v>
      </c>
      <c r="D4332" t="s">
        <v>12838</v>
      </c>
      <c r="E4332" t="s">
        <v>2310</v>
      </c>
      <c r="F4332">
        <v>10</v>
      </c>
      <c r="G4332">
        <v>10.1</v>
      </c>
      <c r="H4332" t="s">
        <v>2323</v>
      </c>
      <c r="I4332" s="21">
        <v>42150.3679050926</v>
      </c>
      <c r="J4332">
        <v>2015</v>
      </c>
      <c r="K4332" s="21">
        <v>42187.661562499998</v>
      </c>
      <c r="L4332">
        <v>2015</v>
      </c>
      <c r="M4332" s="21">
        <v>42510.387662036999</v>
      </c>
      <c r="N4332">
        <v>2016</v>
      </c>
      <c r="Q4332" s="262">
        <v>1500000</v>
      </c>
      <c r="R4332" s="262">
        <v>485000</v>
      </c>
      <c r="S4332" t="s">
        <v>114</v>
      </c>
      <c r="T4332" t="s">
        <v>114</v>
      </c>
      <c r="W4332">
        <v>4886</v>
      </c>
      <c r="X4332">
        <v>1</v>
      </c>
      <c r="Y4332">
        <v>0</v>
      </c>
      <c r="Z4332">
        <v>0</v>
      </c>
      <c r="AA4332">
        <v>0</v>
      </c>
      <c r="AB4332">
        <v>0</v>
      </c>
      <c r="AC4332">
        <v>4886</v>
      </c>
      <c r="AD4332">
        <v>0</v>
      </c>
      <c r="AE4332">
        <v>0</v>
      </c>
      <c r="AF4332">
        <v>0</v>
      </c>
      <c r="AG4332">
        <v>0</v>
      </c>
      <c r="AH4332">
        <v>0</v>
      </c>
      <c r="AI4332">
        <v>0</v>
      </c>
      <c r="AJ4332">
        <v>0</v>
      </c>
      <c r="AK4332">
        <v>0</v>
      </c>
      <c r="AL4332">
        <v>0</v>
      </c>
      <c r="AM4332">
        <v>0</v>
      </c>
      <c r="AN4332">
        <v>0</v>
      </c>
      <c r="AO4332">
        <v>1</v>
      </c>
      <c r="AP4332">
        <v>0</v>
      </c>
      <c r="AQ4332">
        <v>0</v>
      </c>
      <c r="AR4332">
        <v>0</v>
      </c>
      <c r="AS4332">
        <v>0</v>
      </c>
      <c r="AT4332">
        <v>0</v>
      </c>
      <c r="AU4332">
        <f t="shared" si="134"/>
        <v>1</v>
      </c>
      <c r="AV4332">
        <f t="shared" si="135"/>
        <v>0</v>
      </c>
    </row>
    <row r="4333" spans="1:48" x14ac:dyDescent="0.25">
      <c r="A4333" t="s">
        <v>12839</v>
      </c>
      <c r="B4333" t="s">
        <v>12839</v>
      </c>
      <c r="C4333" t="s">
        <v>12290</v>
      </c>
      <c r="D4333" t="s">
        <v>12840</v>
      </c>
      <c r="E4333" t="s">
        <v>2310</v>
      </c>
      <c r="F4333">
        <v>9</v>
      </c>
      <c r="G4333">
        <v>9.1999999999999993</v>
      </c>
      <c r="H4333" t="s">
        <v>2022</v>
      </c>
      <c r="I4333" s="21">
        <v>42150.418796296297</v>
      </c>
      <c r="J4333">
        <v>2015</v>
      </c>
      <c r="K4333" s="21">
        <v>42186.484988425902</v>
      </c>
      <c r="L4333">
        <v>2015</v>
      </c>
      <c r="M4333" s="21">
        <v>42580.427222222199</v>
      </c>
      <c r="N4333">
        <v>2016</v>
      </c>
      <c r="Q4333" s="262">
        <v>1600000</v>
      </c>
      <c r="R4333" s="262">
        <v>595000</v>
      </c>
      <c r="S4333" t="s">
        <v>114</v>
      </c>
      <c r="T4333" t="s">
        <v>114</v>
      </c>
      <c r="W4333">
        <v>4884</v>
      </c>
      <c r="X4333">
        <v>1</v>
      </c>
      <c r="Y4333">
        <v>0</v>
      </c>
      <c r="Z4333">
        <v>0</v>
      </c>
      <c r="AA4333">
        <v>0</v>
      </c>
      <c r="AB4333">
        <v>0</v>
      </c>
      <c r="AC4333">
        <v>4884</v>
      </c>
      <c r="AD4333">
        <v>0</v>
      </c>
      <c r="AE4333">
        <v>0</v>
      </c>
      <c r="AF4333">
        <v>0</v>
      </c>
      <c r="AG4333">
        <v>0</v>
      </c>
      <c r="AH4333">
        <v>0</v>
      </c>
      <c r="AI4333">
        <v>0</v>
      </c>
      <c r="AJ4333">
        <v>0</v>
      </c>
      <c r="AK4333">
        <v>0</v>
      </c>
      <c r="AL4333">
        <v>0</v>
      </c>
      <c r="AM4333">
        <v>0</v>
      </c>
      <c r="AN4333">
        <v>0</v>
      </c>
      <c r="AO4333">
        <v>1</v>
      </c>
      <c r="AP4333">
        <v>0</v>
      </c>
      <c r="AQ4333">
        <v>0</v>
      </c>
      <c r="AR4333">
        <v>0</v>
      </c>
      <c r="AS4333">
        <v>0</v>
      </c>
      <c r="AT4333">
        <v>0</v>
      </c>
      <c r="AU4333">
        <f t="shared" si="134"/>
        <v>1</v>
      </c>
      <c r="AV4333">
        <f t="shared" si="135"/>
        <v>0</v>
      </c>
    </row>
    <row r="4334" spans="1:48" x14ac:dyDescent="0.25">
      <c r="A4334" t="s">
        <v>12841</v>
      </c>
      <c r="B4334" t="s">
        <v>12841</v>
      </c>
      <c r="C4334" t="s">
        <v>12842</v>
      </c>
      <c r="D4334" t="s">
        <v>12843</v>
      </c>
      <c r="E4334" t="s">
        <v>2310</v>
      </c>
      <c r="F4334">
        <v>9</v>
      </c>
      <c r="G4334">
        <v>9.1999999999999993</v>
      </c>
      <c r="H4334" t="s">
        <v>2022</v>
      </c>
      <c r="I4334" s="21">
        <v>42150.622175925899</v>
      </c>
      <c r="J4334">
        <v>2015</v>
      </c>
      <c r="K4334" s="21">
        <v>42265.567719907398</v>
      </c>
      <c r="L4334">
        <v>2015</v>
      </c>
      <c r="P4334" s="21">
        <v>42877.670682870397</v>
      </c>
      <c r="Q4334" s="262">
        <v>1000000</v>
      </c>
      <c r="R4334" s="262">
        <v>575000</v>
      </c>
      <c r="S4334" t="s">
        <v>114</v>
      </c>
      <c r="T4334" t="s">
        <v>114</v>
      </c>
      <c r="V4334">
        <v>880</v>
      </c>
      <c r="W4334">
        <v>3680</v>
      </c>
      <c r="X4334">
        <v>0</v>
      </c>
      <c r="Y4334">
        <v>0</v>
      </c>
      <c r="Z4334">
        <v>0</v>
      </c>
      <c r="AA4334">
        <v>0</v>
      </c>
      <c r="AB4334">
        <v>0</v>
      </c>
      <c r="AC4334">
        <v>3680</v>
      </c>
      <c r="AD4334">
        <v>0</v>
      </c>
      <c r="AE4334">
        <v>0</v>
      </c>
      <c r="AF4334">
        <v>0</v>
      </c>
      <c r="AG4334">
        <v>0</v>
      </c>
      <c r="AH4334">
        <v>0</v>
      </c>
      <c r="AI4334">
        <v>0</v>
      </c>
      <c r="AJ4334">
        <v>0</v>
      </c>
      <c r="AK4334">
        <v>0</v>
      </c>
      <c r="AL4334">
        <v>0</v>
      </c>
      <c r="AM4334">
        <v>0</v>
      </c>
      <c r="AN4334">
        <v>0</v>
      </c>
      <c r="AO4334">
        <v>0</v>
      </c>
      <c r="AP4334">
        <v>0</v>
      </c>
      <c r="AQ4334">
        <v>0</v>
      </c>
      <c r="AR4334">
        <v>0</v>
      </c>
      <c r="AS4334">
        <v>0</v>
      </c>
      <c r="AT4334">
        <v>0</v>
      </c>
      <c r="AU4334">
        <f t="shared" si="134"/>
        <v>0</v>
      </c>
      <c r="AV4334">
        <f t="shared" si="135"/>
        <v>0</v>
      </c>
    </row>
    <row r="4335" spans="1:48" x14ac:dyDescent="0.25">
      <c r="A4335" t="s">
        <v>12844</v>
      </c>
      <c r="B4335" t="s">
        <v>12844</v>
      </c>
      <c r="C4335" t="s">
        <v>10255</v>
      </c>
      <c r="D4335" t="s">
        <v>12845</v>
      </c>
      <c r="E4335" t="s">
        <v>2310</v>
      </c>
      <c r="F4335">
        <v>10</v>
      </c>
      <c r="G4335">
        <v>10.1</v>
      </c>
      <c r="H4335" t="s">
        <v>2323</v>
      </c>
      <c r="I4335" s="21">
        <v>42151.572002314802</v>
      </c>
      <c r="J4335">
        <v>2015</v>
      </c>
      <c r="K4335" s="21">
        <v>42174.656273148103</v>
      </c>
      <c r="L4335">
        <v>2015</v>
      </c>
      <c r="M4335" s="21">
        <v>42423.361388888901</v>
      </c>
      <c r="N4335">
        <v>2016</v>
      </c>
      <c r="Q4335" s="262">
        <v>150000</v>
      </c>
      <c r="R4335" s="262">
        <v>51000</v>
      </c>
      <c r="S4335" t="s">
        <v>114</v>
      </c>
      <c r="T4335" t="s">
        <v>114</v>
      </c>
      <c r="W4335">
        <v>450</v>
      </c>
      <c r="X4335">
        <v>0</v>
      </c>
      <c r="Y4335">
        <v>0</v>
      </c>
      <c r="Z4335">
        <v>0</v>
      </c>
      <c r="AA4335">
        <v>0</v>
      </c>
      <c r="AB4335">
        <v>0</v>
      </c>
      <c r="AC4335">
        <v>450</v>
      </c>
      <c r="AD4335">
        <v>0</v>
      </c>
      <c r="AE4335">
        <v>0</v>
      </c>
      <c r="AF4335">
        <v>0</v>
      </c>
      <c r="AG4335">
        <v>0</v>
      </c>
      <c r="AH4335">
        <v>0</v>
      </c>
      <c r="AI4335">
        <v>0</v>
      </c>
      <c r="AJ4335">
        <v>0</v>
      </c>
      <c r="AK4335">
        <v>0</v>
      </c>
      <c r="AL4335">
        <v>0</v>
      </c>
      <c r="AM4335">
        <v>0</v>
      </c>
      <c r="AN4335">
        <v>0</v>
      </c>
      <c r="AO4335">
        <v>0</v>
      </c>
      <c r="AP4335">
        <v>0</v>
      </c>
      <c r="AQ4335">
        <v>0</v>
      </c>
      <c r="AR4335">
        <v>0</v>
      </c>
      <c r="AS4335">
        <v>0</v>
      </c>
      <c r="AT4335">
        <v>0</v>
      </c>
      <c r="AU4335">
        <f t="shared" si="134"/>
        <v>0</v>
      </c>
      <c r="AV4335">
        <f t="shared" si="135"/>
        <v>0</v>
      </c>
    </row>
    <row r="4336" spans="1:48" x14ac:dyDescent="0.25">
      <c r="A4336" t="s">
        <v>12846</v>
      </c>
      <c r="C4336" t="s">
        <v>12530</v>
      </c>
      <c r="D4336" t="s">
        <v>12531</v>
      </c>
      <c r="E4336" t="s">
        <v>1663</v>
      </c>
      <c r="F4336">
        <v>5</v>
      </c>
      <c r="G4336">
        <v>5.0999999999999996</v>
      </c>
      <c r="H4336" t="s">
        <v>2327</v>
      </c>
      <c r="I4336" s="21">
        <v>42152</v>
      </c>
      <c r="J4336">
        <v>2015</v>
      </c>
      <c r="K4336" s="21">
        <v>42174</v>
      </c>
      <c r="L4336">
        <v>2015</v>
      </c>
      <c r="M4336" s="21">
        <v>42529</v>
      </c>
      <c r="N4336">
        <v>2016</v>
      </c>
      <c r="Q4336" s="262">
        <v>185000</v>
      </c>
      <c r="S4336" t="s">
        <v>114</v>
      </c>
      <c r="T4336" t="s">
        <v>114</v>
      </c>
      <c r="W4336">
        <v>-58</v>
      </c>
      <c r="X4336">
        <v>0</v>
      </c>
      <c r="Y4336">
        <v>0</v>
      </c>
      <c r="Z4336">
        <v>0</v>
      </c>
      <c r="AA4336">
        <v>0</v>
      </c>
      <c r="AB4336">
        <v>0</v>
      </c>
      <c r="AC4336">
        <v>0</v>
      </c>
      <c r="AD4336">
        <v>0</v>
      </c>
      <c r="AE4336">
        <v>0</v>
      </c>
      <c r="AF4336">
        <v>0</v>
      </c>
      <c r="AG4336">
        <v>0</v>
      </c>
      <c r="AH4336">
        <v>0</v>
      </c>
      <c r="AI4336">
        <v>0</v>
      </c>
      <c r="AJ4336">
        <v>0</v>
      </c>
      <c r="AK4336">
        <v>-58</v>
      </c>
      <c r="AL4336">
        <v>0</v>
      </c>
      <c r="AM4336">
        <v>0</v>
      </c>
      <c r="AN4336">
        <v>0</v>
      </c>
      <c r="AO4336">
        <v>0</v>
      </c>
      <c r="AP4336">
        <v>0</v>
      </c>
      <c r="AQ4336">
        <v>0</v>
      </c>
      <c r="AR4336">
        <v>0</v>
      </c>
      <c r="AS4336">
        <v>0</v>
      </c>
      <c r="AT4336">
        <v>0</v>
      </c>
      <c r="AU4336">
        <f t="shared" si="134"/>
        <v>0</v>
      </c>
      <c r="AV4336">
        <f t="shared" si="135"/>
        <v>-58</v>
      </c>
    </row>
    <row r="4337" spans="1:48" x14ac:dyDescent="0.25">
      <c r="A4337" t="s">
        <v>17637</v>
      </c>
      <c r="B4337" t="s">
        <v>17637</v>
      </c>
      <c r="C4337" t="s">
        <v>17638</v>
      </c>
      <c r="D4337" t="s">
        <v>10250</v>
      </c>
      <c r="E4337" t="s">
        <v>2310</v>
      </c>
      <c r="F4337">
        <v>10</v>
      </c>
      <c r="G4337">
        <v>10.1</v>
      </c>
      <c r="H4337" t="s">
        <v>2323</v>
      </c>
      <c r="I4337" s="21">
        <v>42152.558067129627</v>
      </c>
      <c r="J4337">
        <v>2015</v>
      </c>
      <c r="K4337" s="21">
        <v>42290.667500000003</v>
      </c>
      <c r="L4337">
        <v>2015</v>
      </c>
      <c r="M4337" s="21">
        <v>42480.648981481485</v>
      </c>
      <c r="N4337">
        <v>2016</v>
      </c>
      <c r="Q4337" s="262">
        <v>150000</v>
      </c>
      <c r="R4337" s="262">
        <v>286000</v>
      </c>
      <c r="S4337" t="s">
        <v>13253</v>
      </c>
      <c r="T4337">
        <v>1136</v>
      </c>
      <c r="V4337">
        <v>3080</v>
      </c>
      <c r="W4337">
        <v>0</v>
      </c>
      <c r="X4337">
        <v>0</v>
      </c>
      <c r="Y4337">
        <v>0</v>
      </c>
      <c r="Z4337">
        <v>0</v>
      </c>
      <c r="AA4337">
        <v>0</v>
      </c>
      <c r="AB4337">
        <v>0</v>
      </c>
      <c r="AC4337">
        <v>0</v>
      </c>
      <c r="AD4337">
        <v>0</v>
      </c>
      <c r="AE4337">
        <v>0</v>
      </c>
      <c r="AF4337">
        <v>0</v>
      </c>
      <c r="AG4337">
        <v>0</v>
      </c>
      <c r="AH4337">
        <v>0</v>
      </c>
      <c r="AI4337">
        <v>0</v>
      </c>
      <c r="AJ4337">
        <v>3080</v>
      </c>
      <c r="AK4337">
        <v>-3080</v>
      </c>
      <c r="AL4337">
        <v>0</v>
      </c>
      <c r="AM4337">
        <v>0</v>
      </c>
      <c r="AN4337">
        <v>0</v>
      </c>
      <c r="AO4337">
        <v>0</v>
      </c>
      <c r="AP4337">
        <v>0</v>
      </c>
      <c r="AQ4337">
        <v>0</v>
      </c>
      <c r="AR4337">
        <v>0</v>
      </c>
      <c r="AS4337">
        <v>0</v>
      </c>
      <c r="AT4337">
        <v>0</v>
      </c>
      <c r="AU4337">
        <f t="shared" si="134"/>
        <v>0</v>
      </c>
      <c r="AV4337">
        <f t="shared" si="135"/>
        <v>0</v>
      </c>
    </row>
    <row r="4338" spans="1:48" x14ac:dyDescent="0.25">
      <c r="A4338" t="s">
        <v>17650</v>
      </c>
      <c r="B4338" t="s">
        <v>17650</v>
      </c>
      <c r="C4338" t="s">
        <v>17651</v>
      </c>
      <c r="D4338" t="s">
        <v>12629</v>
      </c>
      <c r="E4338" t="s">
        <v>2310</v>
      </c>
      <c r="F4338">
        <v>13</v>
      </c>
      <c r="G4338">
        <v>13.2</v>
      </c>
      <c r="H4338" t="s">
        <v>2327</v>
      </c>
      <c r="I4338" s="21">
        <v>42153.388067129628</v>
      </c>
      <c r="J4338">
        <v>2015</v>
      </c>
      <c r="K4338" s="21">
        <v>42797.444895833331</v>
      </c>
      <c r="L4338">
        <v>2017</v>
      </c>
      <c r="M4338" s="21">
        <v>42797.444895833331</v>
      </c>
      <c r="N4338">
        <v>2017</v>
      </c>
      <c r="Q4338" s="262">
        <v>2192400</v>
      </c>
      <c r="R4338" s="262">
        <v>697000</v>
      </c>
      <c r="S4338" t="s">
        <v>13254</v>
      </c>
      <c r="W4338">
        <v>5481</v>
      </c>
      <c r="X4338">
        <v>1</v>
      </c>
      <c r="Y4338">
        <v>0</v>
      </c>
      <c r="Z4338">
        <v>0</v>
      </c>
      <c r="AA4338">
        <v>0</v>
      </c>
      <c r="AB4338">
        <v>0</v>
      </c>
      <c r="AC4338">
        <v>5481</v>
      </c>
      <c r="AD4338">
        <v>0</v>
      </c>
      <c r="AE4338">
        <v>0</v>
      </c>
      <c r="AF4338">
        <v>0</v>
      </c>
      <c r="AG4338">
        <v>0</v>
      </c>
      <c r="AH4338">
        <v>0</v>
      </c>
      <c r="AI4338">
        <v>0</v>
      </c>
      <c r="AJ4338">
        <v>0</v>
      </c>
      <c r="AK4338">
        <v>0</v>
      </c>
      <c r="AL4338">
        <v>0</v>
      </c>
      <c r="AM4338">
        <v>0</v>
      </c>
      <c r="AN4338">
        <v>0</v>
      </c>
      <c r="AO4338">
        <v>1</v>
      </c>
      <c r="AP4338">
        <v>0</v>
      </c>
      <c r="AQ4338">
        <v>0</v>
      </c>
      <c r="AR4338">
        <v>0</v>
      </c>
      <c r="AS4338">
        <v>0</v>
      </c>
      <c r="AT4338">
        <v>0</v>
      </c>
      <c r="AU4338">
        <f t="shared" si="134"/>
        <v>1</v>
      </c>
      <c r="AV4338">
        <f t="shared" si="135"/>
        <v>0</v>
      </c>
    </row>
    <row r="4339" spans="1:48" x14ac:dyDescent="0.25">
      <c r="A4339" t="s">
        <v>17652</v>
      </c>
      <c r="B4339" t="s">
        <v>17652</v>
      </c>
      <c r="C4339" t="s">
        <v>17653</v>
      </c>
      <c r="D4339" t="s">
        <v>12629</v>
      </c>
      <c r="E4339" t="s">
        <v>2310</v>
      </c>
      <c r="F4339">
        <v>13</v>
      </c>
      <c r="G4339">
        <v>13.2</v>
      </c>
      <c r="H4339" t="s">
        <v>2327</v>
      </c>
      <c r="I4339" s="21">
        <v>42153.413680555554</v>
      </c>
      <c r="J4339">
        <v>2015</v>
      </c>
      <c r="K4339" s="21">
        <v>42781.662361111114</v>
      </c>
      <c r="L4339">
        <v>2017</v>
      </c>
      <c r="M4339" s="21">
        <v>42781.662361111114</v>
      </c>
      <c r="N4339">
        <v>2017</v>
      </c>
      <c r="Q4339" s="262">
        <v>2192400</v>
      </c>
      <c r="R4339" s="262">
        <v>697000</v>
      </c>
      <c r="S4339" t="s">
        <v>13254</v>
      </c>
      <c r="W4339">
        <v>5481</v>
      </c>
      <c r="X4339">
        <v>1</v>
      </c>
      <c r="Y4339">
        <v>0</v>
      </c>
      <c r="Z4339">
        <v>0</v>
      </c>
      <c r="AA4339">
        <v>0</v>
      </c>
      <c r="AB4339">
        <v>0</v>
      </c>
      <c r="AC4339">
        <v>5481</v>
      </c>
      <c r="AD4339">
        <v>0</v>
      </c>
      <c r="AE4339">
        <v>0</v>
      </c>
      <c r="AF4339">
        <v>0</v>
      </c>
      <c r="AG4339">
        <v>0</v>
      </c>
      <c r="AH4339">
        <v>0</v>
      </c>
      <c r="AI4339">
        <v>0</v>
      </c>
      <c r="AJ4339">
        <v>0</v>
      </c>
      <c r="AK4339">
        <v>0</v>
      </c>
      <c r="AL4339">
        <v>0</v>
      </c>
      <c r="AM4339">
        <v>0</v>
      </c>
      <c r="AN4339">
        <v>0</v>
      </c>
      <c r="AO4339">
        <v>1</v>
      </c>
      <c r="AP4339">
        <v>0</v>
      </c>
      <c r="AQ4339">
        <v>0</v>
      </c>
      <c r="AR4339">
        <v>0</v>
      </c>
      <c r="AS4339">
        <v>0</v>
      </c>
      <c r="AT4339">
        <v>0</v>
      </c>
      <c r="AU4339">
        <f t="shared" si="134"/>
        <v>1</v>
      </c>
      <c r="AV4339">
        <f t="shared" si="135"/>
        <v>0</v>
      </c>
    </row>
    <row r="4340" spans="1:48" x14ac:dyDescent="0.25">
      <c r="A4340" t="s">
        <v>12847</v>
      </c>
      <c r="B4340" t="s">
        <v>12847</v>
      </c>
      <c r="C4340" t="s">
        <v>12848</v>
      </c>
      <c r="D4340" t="s">
        <v>12629</v>
      </c>
      <c r="E4340" t="s">
        <v>2310</v>
      </c>
      <c r="F4340">
        <v>13</v>
      </c>
      <c r="G4340">
        <v>13.2</v>
      </c>
      <c r="H4340" t="s">
        <v>2327</v>
      </c>
      <c r="I4340" s="21">
        <v>42153.4137962963</v>
      </c>
      <c r="J4340">
        <v>2015</v>
      </c>
      <c r="K4340" s="21">
        <v>42163.478912036997</v>
      </c>
      <c r="L4340">
        <v>2015</v>
      </c>
      <c r="M4340" s="21">
        <v>42691.402129629598</v>
      </c>
      <c r="N4340">
        <v>2016</v>
      </c>
      <c r="Q4340" s="262">
        <v>2192400</v>
      </c>
      <c r="R4340" s="262">
        <v>697000</v>
      </c>
      <c r="S4340" t="s">
        <v>114</v>
      </c>
      <c r="T4340" t="s">
        <v>114</v>
      </c>
      <c r="W4340">
        <v>5481</v>
      </c>
      <c r="X4340">
        <v>1</v>
      </c>
      <c r="Y4340">
        <v>0</v>
      </c>
      <c r="Z4340">
        <v>0</v>
      </c>
      <c r="AA4340">
        <v>0</v>
      </c>
      <c r="AB4340">
        <v>0</v>
      </c>
      <c r="AC4340">
        <v>5481</v>
      </c>
      <c r="AD4340">
        <v>0</v>
      </c>
      <c r="AE4340">
        <v>0</v>
      </c>
      <c r="AF4340">
        <v>0</v>
      </c>
      <c r="AG4340">
        <v>0</v>
      </c>
      <c r="AH4340">
        <v>0</v>
      </c>
      <c r="AI4340">
        <v>0</v>
      </c>
      <c r="AJ4340">
        <v>0</v>
      </c>
      <c r="AK4340">
        <v>0</v>
      </c>
      <c r="AL4340">
        <v>0</v>
      </c>
      <c r="AM4340">
        <v>0</v>
      </c>
      <c r="AN4340">
        <v>0</v>
      </c>
      <c r="AO4340">
        <v>1</v>
      </c>
      <c r="AP4340">
        <v>0</v>
      </c>
      <c r="AQ4340">
        <v>0</v>
      </c>
      <c r="AR4340">
        <v>0</v>
      </c>
      <c r="AS4340">
        <v>0</v>
      </c>
      <c r="AT4340">
        <v>0</v>
      </c>
      <c r="AU4340">
        <f t="shared" si="134"/>
        <v>1</v>
      </c>
      <c r="AV4340">
        <f t="shared" si="135"/>
        <v>0</v>
      </c>
    </row>
    <row r="4341" spans="1:48" x14ac:dyDescent="0.25">
      <c r="A4341" t="s">
        <v>12849</v>
      </c>
      <c r="B4341" t="s">
        <v>12849</v>
      </c>
      <c r="C4341" t="s">
        <v>12850</v>
      </c>
      <c r="D4341" t="s">
        <v>12629</v>
      </c>
      <c r="E4341" t="s">
        <v>2310</v>
      </c>
      <c r="F4341">
        <v>13</v>
      </c>
      <c r="G4341">
        <v>13.2</v>
      </c>
      <c r="H4341" t="s">
        <v>2327</v>
      </c>
      <c r="I4341" s="21">
        <v>42153.413888888899</v>
      </c>
      <c r="J4341">
        <v>2015</v>
      </c>
      <c r="K4341" s="21">
        <v>42641.474398148202</v>
      </c>
      <c r="L4341">
        <v>2016</v>
      </c>
      <c r="M4341" s="21">
        <v>42640.627037036997</v>
      </c>
      <c r="N4341">
        <v>2016</v>
      </c>
      <c r="Q4341" s="262">
        <v>2192400</v>
      </c>
      <c r="R4341" s="262">
        <v>697000</v>
      </c>
      <c r="S4341" t="s">
        <v>114</v>
      </c>
      <c r="T4341" t="s">
        <v>114</v>
      </c>
      <c r="W4341">
        <v>5481</v>
      </c>
      <c r="X4341">
        <v>1</v>
      </c>
      <c r="Y4341">
        <v>0</v>
      </c>
      <c r="Z4341">
        <v>0</v>
      </c>
      <c r="AA4341">
        <v>0</v>
      </c>
      <c r="AB4341">
        <v>0</v>
      </c>
      <c r="AC4341">
        <v>5481</v>
      </c>
      <c r="AD4341">
        <v>0</v>
      </c>
      <c r="AE4341">
        <v>0</v>
      </c>
      <c r="AF4341">
        <v>0</v>
      </c>
      <c r="AG4341">
        <v>0</v>
      </c>
      <c r="AH4341">
        <v>0</v>
      </c>
      <c r="AI4341">
        <v>0</v>
      </c>
      <c r="AJ4341">
        <v>0</v>
      </c>
      <c r="AK4341">
        <v>0</v>
      </c>
      <c r="AL4341">
        <v>0</v>
      </c>
      <c r="AM4341">
        <v>0</v>
      </c>
      <c r="AN4341">
        <v>0</v>
      </c>
      <c r="AO4341">
        <v>1</v>
      </c>
      <c r="AP4341">
        <v>0</v>
      </c>
      <c r="AQ4341">
        <v>0</v>
      </c>
      <c r="AR4341">
        <v>0</v>
      </c>
      <c r="AS4341">
        <v>0</v>
      </c>
      <c r="AT4341">
        <v>0</v>
      </c>
      <c r="AU4341">
        <f t="shared" si="134"/>
        <v>1</v>
      </c>
      <c r="AV4341">
        <f t="shared" si="135"/>
        <v>0</v>
      </c>
    </row>
    <row r="4342" spans="1:48" x14ac:dyDescent="0.25">
      <c r="A4342" t="s">
        <v>12851</v>
      </c>
      <c r="B4342" t="s">
        <v>12851</v>
      </c>
      <c r="C4342" t="s">
        <v>12852</v>
      </c>
      <c r="D4342" t="s">
        <v>12629</v>
      </c>
      <c r="E4342" t="s">
        <v>2310</v>
      </c>
      <c r="F4342">
        <v>13</v>
      </c>
      <c r="G4342">
        <v>13.2</v>
      </c>
      <c r="H4342" t="s">
        <v>2327</v>
      </c>
      <c r="I4342" s="21">
        <v>42153.413993055598</v>
      </c>
      <c r="J4342">
        <v>2015</v>
      </c>
      <c r="K4342" s="21">
        <v>42163.477916666699</v>
      </c>
      <c r="L4342">
        <v>2015</v>
      </c>
      <c r="M4342" s="21">
        <v>42668.3536342593</v>
      </c>
      <c r="N4342">
        <v>2016</v>
      </c>
      <c r="Q4342" s="262">
        <v>2192400</v>
      </c>
      <c r="R4342" s="262">
        <v>697000</v>
      </c>
      <c r="S4342" t="s">
        <v>114</v>
      </c>
      <c r="T4342" t="s">
        <v>114</v>
      </c>
      <c r="W4342">
        <v>5481</v>
      </c>
      <c r="X4342">
        <v>1</v>
      </c>
      <c r="Y4342">
        <v>0</v>
      </c>
      <c r="Z4342">
        <v>0</v>
      </c>
      <c r="AA4342">
        <v>0</v>
      </c>
      <c r="AB4342">
        <v>0</v>
      </c>
      <c r="AC4342">
        <v>5481</v>
      </c>
      <c r="AD4342">
        <v>0</v>
      </c>
      <c r="AE4342">
        <v>0</v>
      </c>
      <c r="AF4342">
        <v>0</v>
      </c>
      <c r="AG4342">
        <v>0</v>
      </c>
      <c r="AH4342">
        <v>0</v>
      </c>
      <c r="AI4342">
        <v>0</v>
      </c>
      <c r="AJ4342">
        <v>0</v>
      </c>
      <c r="AK4342">
        <v>0</v>
      </c>
      <c r="AL4342">
        <v>0</v>
      </c>
      <c r="AM4342">
        <v>0</v>
      </c>
      <c r="AN4342">
        <v>0</v>
      </c>
      <c r="AO4342">
        <v>1</v>
      </c>
      <c r="AP4342">
        <v>0</v>
      </c>
      <c r="AQ4342">
        <v>0</v>
      </c>
      <c r="AR4342">
        <v>0</v>
      </c>
      <c r="AS4342">
        <v>0</v>
      </c>
      <c r="AT4342">
        <v>0</v>
      </c>
      <c r="AU4342">
        <f t="shared" si="134"/>
        <v>1</v>
      </c>
      <c r="AV4342">
        <f t="shared" si="135"/>
        <v>0</v>
      </c>
    </row>
    <row r="4343" spans="1:48" x14ac:dyDescent="0.25">
      <c r="A4343" t="s">
        <v>17660</v>
      </c>
      <c r="B4343" t="s">
        <v>17660</v>
      </c>
      <c r="C4343" t="s">
        <v>17661</v>
      </c>
      <c r="D4343" t="s">
        <v>12629</v>
      </c>
      <c r="E4343" t="s">
        <v>2310</v>
      </c>
      <c r="F4343">
        <v>13</v>
      </c>
      <c r="G4343">
        <v>13.2</v>
      </c>
      <c r="H4343" t="s">
        <v>2327</v>
      </c>
      <c r="I4343" s="21">
        <v>42153.414085648146</v>
      </c>
      <c r="J4343">
        <v>2015</v>
      </c>
      <c r="K4343" s="21">
        <v>42874.647905092592</v>
      </c>
      <c r="L4343">
        <v>2017</v>
      </c>
      <c r="M4343" s="21">
        <v>42874.647905092592</v>
      </c>
      <c r="N4343">
        <v>2017</v>
      </c>
      <c r="Q4343" s="262">
        <v>2192400</v>
      </c>
      <c r="R4343" s="262">
        <v>697000</v>
      </c>
      <c r="S4343" t="s">
        <v>13254</v>
      </c>
      <c r="W4343">
        <v>5481</v>
      </c>
      <c r="X4343">
        <v>1</v>
      </c>
      <c r="Y4343">
        <v>0</v>
      </c>
      <c r="Z4343">
        <v>0</v>
      </c>
      <c r="AA4343">
        <v>0</v>
      </c>
      <c r="AB4343">
        <v>0</v>
      </c>
      <c r="AC4343">
        <v>5481</v>
      </c>
      <c r="AD4343">
        <v>0</v>
      </c>
      <c r="AE4343">
        <v>0</v>
      </c>
      <c r="AF4343">
        <v>0</v>
      </c>
      <c r="AG4343">
        <v>0</v>
      </c>
      <c r="AH4343">
        <v>0</v>
      </c>
      <c r="AI4343">
        <v>0</v>
      </c>
      <c r="AJ4343">
        <v>0</v>
      </c>
      <c r="AK4343">
        <v>0</v>
      </c>
      <c r="AL4343">
        <v>0</v>
      </c>
      <c r="AM4343">
        <v>0</v>
      </c>
      <c r="AN4343">
        <v>0</v>
      </c>
      <c r="AO4343">
        <v>1</v>
      </c>
      <c r="AP4343">
        <v>0</v>
      </c>
      <c r="AQ4343">
        <v>0</v>
      </c>
      <c r="AR4343">
        <v>0</v>
      </c>
      <c r="AS4343">
        <v>0</v>
      </c>
      <c r="AT4343">
        <v>0</v>
      </c>
      <c r="AU4343">
        <f t="shared" si="134"/>
        <v>1</v>
      </c>
      <c r="AV4343">
        <f t="shared" si="135"/>
        <v>0</v>
      </c>
    </row>
    <row r="4344" spans="1:48" x14ac:dyDescent="0.25">
      <c r="A4344" t="s">
        <v>17662</v>
      </c>
      <c r="B4344" t="s">
        <v>17662</v>
      </c>
      <c r="C4344" t="s">
        <v>17663</v>
      </c>
      <c r="D4344" t="s">
        <v>12629</v>
      </c>
      <c r="E4344" t="s">
        <v>2310</v>
      </c>
      <c r="F4344">
        <v>13</v>
      </c>
      <c r="G4344">
        <v>13.2</v>
      </c>
      <c r="H4344" t="s">
        <v>2327</v>
      </c>
      <c r="I4344" s="21">
        <v>42153.414189814815</v>
      </c>
      <c r="J4344">
        <v>2015</v>
      </c>
      <c r="K4344" s="21">
        <v>42863.583668981482</v>
      </c>
      <c r="L4344">
        <v>2017</v>
      </c>
      <c r="M4344" s="21">
        <v>42863.583668981482</v>
      </c>
      <c r="N4344">
        <v>2017</v>
      </c>
      <c r="Q4344" s="262">
        <v>2192400</v>
      </c>
      <c r="R4344" s="262">
        <v>697000</v>
      </c>
      <c r="S4344" t="s">
        <v>13254</v>
      </c>
      <c r="W4344">
        <v>5481</v>
      </c>
      <c r="X4344">
        <v>1</v>
      </c>
      <c r="Y4344">
        <v>0</v>
      </c>
      <c r="Z4344">
        <v>0</v>
      </c>
      <c r="AA4344">
        <v>0</v>
      </c>
      <c r="AB4344">
        <v>0</v>
      </c>
      <c r="AC4344">
        <v>5481</v>
      </c>
      <c r="AD4344">
        <v>0</v>
      </c>
      <c r="AE4344">
        <v>0</v>
      </c>
      <c r="AF4344">
        <v>0</v>
      </c>
      <c r="AG4344">
        <v>0</v>
      </c>
      <c r="AH4344">
        <v>0</v>
      </c>
      <c r="AI4344">
        <v>0</v>
      </c>
      <c r="AJ4344">
        <v>0</v>
      </c>
      <c r="AK4344">
        <v>0</v>
      </c>
      <c r="AL4344">
        <v>0</v>
      </c>
      <c r="AM4344">
        <v>0</v>
      </c>
      <c r="AN4344">
        <v>0</v>
      </c>
      <c r="AO4344">
        <v>1</v>
      </c>
      <c r="AP4344">
        <v>0</v>
      </c>
      <c r="AQ4344">
        <v>0</v>
      </c>
      <c r="AR4344">
        <v>0</v>
      </c>
      <c r="AS4344">
        <v>0</v>
      </c>
      <c r="AT4344">
        <v>0</v>
      </c>
      <c r="AU4344">
        <f t="shared" si="134"/>
        <v>1</v>
      </c>
      <c r="AV4344">
        <f t="shared" si="135"/>
        <v>0</v>
      </c>
    </row>
    <row r="4345" spans="1:48" x14ac:dyDescent="0.25">
      <c r="A4345" t="s">
        <v>17667</v>
      </c>
      <c r="B4345" t="s">
        <v>17667</v>
      </c>
      <c r="C4345" t="s">
        <v>17668</v>
      </c>
      <c r="D4345" t="s">
        <v>12629</v>
      </c>
      <c r="E4345" t="s">
        <v>2310</v>
      </c>
      <c r="F4345">
        <v>13</v>
      </c>
      <c r="G4345">
        <v>13.2</v>
      </c>
      <c r="H4345" t="s">
        <v>2327</v>
      </c>
      <c r="I4345" s="21">
        <v>42153.414293981485</v>
      </c>
      <c r="J4345">
        <v>2015</v>
      </c>
      <c r="K4345" s="21">
        <v>42915.483067129629</v>
      </c>
      <c r="L4345">
        <v>2017</v>
      </c>
      <c r="M4345" s="21">
        <v>42915.483067129629</v>
      </c>
      <c r="N4345">
        <v>2017</v>
      </c>
      <c r="Q4345" s="262">
        <v>2192400</v>
      </c>
      <c r="R4345" s="262">
        <v>697000</v>
      </c>
      <c r="S4345" t="s">
        <v>13254</v>
      </c>
      <c r="W4345">
        <v>5481</v>
      </c>
      <c r="X4345">
        <v>1</v>
      </c>
      <c r="Y4345">
        <v>0</v>
      </c>
      <c r="Z4345">
        <v>0</v>
      </c>
      <c r="AA4345">
        <v>0</v>
      </c>
      <c r="AB4345">
        <v>0</v>
      </c>
      <c r="AC4345">
        <v>5481</v>
      </c>
      <c r="AD4345">
        <v>0</v>
      </c>
      <c r="AE4345">
        <v>0</v>
      </c>
      <c r="AF4345">
        <v>0</v>
      </c>
      <c r="AG4345">
        <v>0</v>
      </c>
      <c r="AH4345">
        <v>0</v>
      </c>
      <c r="AI4345">
        <v>0</v>
      </c>
      <c r="AJ4345">
        <v>0</v>
      </c>
      <c r="AK4345">
        <v>0</v>
      </c>
      <c r="AL4345">
        <v>0</v>
      </c>
      <c r="AM4345">
        <v>0</v>
      </c>
      <c r="AN4345">
        <v>0</v>
      </c>
      <c r="AO4345">
        <v>1</v>
      </c>
      <c r="AP4345">
        <v>0</v>
      </c>
      <c r="AQ4345">
        <v>0</v>
      </c>
      <c r="AR4345">
        <v>0</v>
      </c>
      <c r="AS4345">
        <v>0</v>
      </c>
      <c r="AT4345">
        <v>0</v>
      </c>
      <c r="AU4345">
        <f t="shared" si="134"/>
        <v>1</v>
      </c>
      <c r="AV4345">
        <f t="shared" si="135"/>
        <v>0</v>
      </c>
    </row>
    <row r="4346" spans="1:48" x14ac:dyDescent="0.25">
      <c r="A4346" t="s">
        <v>17671</v>
      </c>
      <c r="B4346" t="s">
        <v>17671</v>
      </c>
      <c r="C4346" t="s">
        <v>17672</v>
      </c>
      <c r="D4346" t="s">
        <v>12629</v>
      </c>
      <c r="E4346" t="s">
        <v>2310</v>
      </c>
      <c r="F4346">
        <v>13</v>
      </c>
      <c r="G4346">
        <v>13.2</v>
      </c>
      <c r="H4346" t="s">
        <v>2327</v>
      </c>
      <c r="I4346" s="21">
        <v>42153.425416666665</v>
      </c>
      <c r="J4346">
        <v>2015</v>
      </c>
      <c r="K4346" s="21">
        <v>42768.497106481482</v>
      </c>
      <c r="L4346">
        <v>2017</v>
      </c>
      <c r="M4346" s="21">
        <v>42768.497106481482</v>
      </c>
      <c r="N4346">
        <v>2017</v>
      </c>
      <c r="Q4346" s="262">
        <v>1694000</v>
      </c>
      <c r="R4346" s="262">
        <v>490000</v>
      </c>
      <c r="S4346" t="s">
        <v>13254</v>
      </c>
      <c r="W4346">
        <v>4235</v>
      </c>
      <c r="X4346">
        <v>1</v>
      </c>
      <c r="Y4346">
        <v>0</v>
      </c>
      <c r="Z4346">
        <v>0</v>
      </c>
      <c r="AA4346">
        <v>0</v>
      </c>
      <c r="AB4346">
        <v>0</v>
      </c>
      <c r="AC4346">
        <v>4235</v>
      </c>
      <c r="AD4346">
        <v>0</v>
      </c>
      <c r="AE4346">
        <v>0</v>
      </c>
      <c r="AF4346">
        <v>0</v>
      </c>
      <c r="AG4346">
        <v>0</v>
      </c>
      <c r="AH4346">
        <v>0</v>
      </c>
      <c r="AI4346">
        <v>0</v>
      </c>
      <c r="AJ4346">
        <v>0</v>
      </c>
      <c r="AK4346">
        <v>0</v>
      </c>
      <c r="AL4346">
        <v>0</v>
      </c>
      <c r="AM4346">
        <v>0</v>
      </c>
      <c r="AN4346">
        <v>0</v>
      </c>
      <c r="AO4346">
        <v>1</v>
      </c>
      <c r="AP4346">
        <v>0</v>
      </c>
      <c r="AQ4346">
        <v>0</v>
      </c>
      <c r="AR4346">
        <v>0</v>
      </c>
      <c r="AS4346">
        <v>0</v>
      </c>
      <c r="AT4346">
        <v>0</v>
      </c>
      <c r="AU4346">
        <f t="shared" si="134"/>
        <v>1</v>
      </c>
      <c r="AV4346">
        <f t="shared" si="135"/>
        <v>0</v>
      </c>
    </row>
    <row r="4347" spans="1:48" x14ac:dyDescent="0.25">
      <c r="A4347" t="s">
        <v>12853</v>
      </c>
      <c r="B4347" t="s">
        <v>12853</v>
      </c>
      <c r="C4347" t="s">
        <v>12854</v>
      </c>
      <c r="D4347" t="s">
        <v>12629</v>
      </c>
      <c r="E4347" t="s">
        <v>2310</v>
      </c>
      <c r="F4347">
        <v>13</v>
      </c>
      <c r="G4347">
        <v>13.2</v>
      </c>
      <c r="H4347" t="s">
        <v>2327</v>
      </c>
      <c r="I4347" s="21">
        <v>42153.444652777798</v>
      </c>
      <c r="J4347">
        <v>2015</v>
      </c>
      <c r="K4347" s="21">
        <v>42163.474641203698</v>
      </c>
      <c r="L4347">
        <v>2015</v>
      </c>
      <c r="M4347" s="21">
        <v>42723.389745370398</v>
      </c>
      <c r="N4347">
        <v>2016</v>
      </c>
      <c r="Q4347" s="262">
        <v>1694000</v>
      </c>
      <c r="R4347" s="262">
        <v>490000</v>
      </c>
      <c r="S4347" t="s">
        <v>114</v>
      </c>
      <c r="T4347" t="s">
        <v>114</v>
      </c>
      <c r="W4347">
        <v>4235</v>
      </c>
      <c r="X4347">
        <v>1</v>
      </c>
      <c r="Y4347">
        <v>0</v>
      </c>
      <c r="Z4347">
        <v>0</v>
      </c>
      <c r="AA4347">
        <v>0</v>
      </c>
      <c r="AB4347">
        <v>0</v>
      </c>
      <c r="AC4347">
        <v>4235</v>
      </c>
      <c r="AD4347">
        <v>0</v>
      </c>
      <c r="AE4347">
        <v>0</v>
      </c>
      <c r="AF4347">
        <v>0</v>
      </c>
      <c r="AG4347">
        <v>0</v>
      </c>
      <c r="AH4347">
        <v>0</v>
      </c>
      <c r="AI4347">
        <v>0</v>
      </c>
      <c r="AJ4347">
        <v>0</v>
      </c>
      <c r="AK4347">
        <v>0</v>
      </c>
      <c r="AL4347">
        <v>0</v>
      </c>
      <c r="AM4347">
        <v>0</v>
      </c>
      <c r="AN4347">
        <v>0</v>
      </c>
      <c r="AO4347">
        <v>1</v>
      </c>
      <c r="AP4347">
        <v>0</v>
      </c>
      <c r="AQ4347">
        <v>0</v>
      </c>
      <c r="AR4347">
        <v>0</v>
      </c>
      <c r="AS4347">
        <v>0</v>
      </c>
      <c r="AT4347">
        <v>0</v>
      </c>
      <c r="AU4347">
        <f t="shared" si="134"/>
        <v>1</v>
      </c>
      <c r="AV4347">
        <f t="shared" si="135"/>
        <v>0</v>
      </c>
    </row>
    <row r="4348" spans="1:48" x14ac:dyDescent="0.25">
      <c r="A4348" t="s">
        <v>17673</v>
      </c>
      <c r="B4348" t="s">
        <v>17673</v>
      </c>
      <c r="C4348" t="s">
        <v>17674</v>
      </c>
      <c r="D4348" t="s">
        <v>12629</v>
      </c>
      <c r="E4348" t="s">
        <v>2310</v>
      </c>
      <c r="F4348">
        <v>13</v>
      </c>
      <c r="G4348">
        <v>13.2</v>
      </c>
      <c r="H4348" t="s">
        <v>2327</v>
      </c>
      <c r="I4348" s="21">
        <v>42153.444780092592</v>
      </c>
      <c r="J4348">
        <v>2015</v>
      </c>
      <c r="K4348" s="21">
        <v>42954.386828703704</v>
      </c>
      <c r="L4348">
        <v>2017</v>
      </c>
      <c r="M4348" s="21">
        <v>42954.386828703704</v>
      </c>
      <c r="N4348">
        <v>2017</v>
      </c>
      <c r="Q4348" s="262">
        <v>1694000</v>
      </c>
      <c r="R4348" s="262">
        <v>490000</v>
      </c>
      <c r="S4348" t="s">
        <v>13254</v>
      </c>
      <c r="W4348">
        <v>4235</v>
      </c>
      <c r="X4348">
        <v>1</v>
      </c>
      <c r="Y4348">
        <v>0</v>
      </c>
      <c r="Z4348">
        <v>0</v>
      </c>
      <c r="AA4348">
        <v>0</v>
      </c>
      <c r="AB4348">
        <v>0</v>
      </c>
      <c r="AC4348">
        <v>4235</v>
      </c>
      <c r="AD4348">
        <v>0</v>
      </c>
      <c r="AE4348">
        <v>0</v>
      </c>
      <c r="AF4348">
        <v>0</v>
      </c>
      <c r="AG4348">
        <v>0</v>
      </c>
      <c r="AH4348">
        <v>0</v>
      </c>
      <c r="AI4348">
        <v>0</v>
      </c>
      <c r="AJ4348">
        <v>0</v>
      </c>
      <c r="AK4348">
        <v>0</v>
      </c>
      <c r="AL4348">
        <v>0</v>
      </c>
      <c r="AM4348">
        <v>0</v>
      </c>
      <c r="AN4348">
        <v>0</v>
      </c>
      <c r="AO4348">
        <v>1</v>
      </c>
      <c r="AP4348">
        <v>0</v>
      </c>
      <c r="AQ4348">
        <v>0</v>
      </c>
      <c r="AR4348">
        <v>0</v>
      </c>
      <c r="AS4348">
        <v>0</v>
      </c>
      <c r="AT4348">
        <v>0</v>
      </c>
      <c r="AU4348">
        <f t="shared" si="134"/>
        <v>1</v>
      </c>
      <c r="AV4348">
        <f t="shared" si="135"/>
        <v>0</v>
      </c>
    </row>
    <row r="4349" spans="1:48" x14ac:dyDescent="0.25">
      <c r="A4349" t="s">
        <v>17675</v>
      </c>
      <c r="B4349" t="s">
        <v>17675</v>
      </c>
      <c r="C4349" t="s">
        <v>17676</v>
      </c>
      <c r="D4349" t="s">
        <v>12629</v>
      </c>
      <c r="E4349" t="s">
        <v>2310</v>
      </c>
      <c r="F4349">
        <v>13</v>
      </c>
      <c r="G4349">
        <v>13.2</v>
      </c>
      <c r="H4349" t="s">
        <v>2327</v>
      </c>
      <c r="I4349" s="21">
        <v>42153.444884259261</v>
      </c>
      <c r="J4349">
        <v>2015</v>
      </c>
      <c r="K4349" s="21">
        <v>42954.393622685187</v>
      </c>
      <c r="L4349">
        <v>2017</v>
      </c>
      <c r="M4349" s="21">
        <v>42954.393622685187</v>
      </c>
      <c r="N4349">
        <v>2017</v>
      </c>
      <c r="Q4349" s="262">
        <v>1694000</v>
      </c>
      <c r="R4349" s="262">
        <v>490000</v>
      </c>
      <c r="S4349" t="s">
        <v>13254</v>
      </c>
      <c r="W4349">
        <v>4235</v>
      </c>
      <c r="X4349">
        <v>1</v>
      </c>
      <c r="Y4349">
        <v>0</v>
      </c>
      <c r="Z4349">
        <v>0</v>
      </c>
      <c r="AA4349">
        <v>0</v>
      </c>
      <c r="AB4349">
        <v>0</v>
      </c>
      <c r="AC4349">
        <v>4235</v>
      </c>
      <c r="AD4349">
        <v>0</v>
      </c>
      <c r="AE4349">
        <v>0</v>
      </c>
      <c r="AF4349">
        <v>0</v>
      </c>
      <c r="AG4349">
        <v>0</v>
      </c>
      <c r="AH4349">
        <v>0</v>
      </c>
      <c r="AI4349">
        <v>0</v>
      </c>
      <c r="AJ4349">
        <v>0</v>
      </c>
      <c r="AK4349">
        <v>0</v>
      </c>
      <c r="AL4349">
        <v>0</v>
      </c>
      <c r="AM4349">
        <v>0</v>
      </c>
      <c r="AN4349">
        <v>0</v>
      </c>
      <c r="AO4349">
        <v>1</v>
      </c>
      <c r="AP4349">
        <v>0</v>
      </c>
      <c r="AQ4349">
        <v>0</v>
      </c>
      <c r="AR4349">
        <v>0</v>
      </c>
      <c r="AS4349">
        <v>0</v>
      </c>
      <c r="AT4349">
        <v>0</v>
      </c>
      <c r="AU4349">
        <f t="shared" si="134"/>
        <v>1</v>
      </c>
      <c r="AV4349">
        <f t="shared" si="135"/>
        <v>0</v>
      </c>
    </row>
    <row r="4350" spans="1:48" x14ac:dyDescent="0.25">
      <c r="A4350" t="s">
        <v>12855</v>
      </c>
      <c r="C4350" t="s">
        <v>11240</v>
      </c>
      <c r="D4350" t="s">
        <v>12856</v>
      </c>
      <c r="E4350" t="s">
        <v>1663</v>
      </c>
      <c r="F4350">
        <v>3</v>
      </c>
      <c r="G4350">
        <v>3.2</v>
      </c>
      <c r="H4350" t="s">
        <v>2327</v>
      </c>
      <c r="I4350" s="21">
        <v>42156</v>
      </c>
      <c r="J4350">
        <v>2015</v>
      </c>
      <c r="K4350" s="21">
        <v>42206</v>
      </c>
      <c r="L4350">
        <v>2015</v>
      </c>
      <c r="M4350" s="21">
        <v>42523</v>
      </c>
      <c r="N4350">
        <v>2016</v>
      </c>
      <c r="Q4350" s="262">
        <v>450000</v>
      </c>
      <c r="S4350" t="s">
        <v>114</v>
      </c>
      <c r="T4350" t="s">
        <v>114</v>
      </c>
      <c r="W4350">
        <v>2682</v>
      </c>
      <c r="X4350">
        <v>1</v>
      </c>
      <c r="Y4350">
        <v>0</v>
      </c>
      <c r="Z4350">
        <v>0</v>
      </c>
      <c r="AA4350">
        <v>0</v>
      </c>
      <c r="AB4350">
        <v>0</v>
      </c>
      <c r="AC4350">
        <v>2682</v>
      </c>
      <c r="AD4350">
        <v>0</v>
      </c>
      <c r="AE4350">
        <v>0</v>
      </c>
      <c r="AF4350">
        <v>0</v>
      </c>
      <c r="AG4350">
        <v>0</v>
      </c>
      <c r="AH4350">
        <v>0</v>
      </c>
      <c r="AI4350">
        <v>0</v>
      </c>
      <c r="AJ4350">
        <v>0</v>
      </c>
      <c r="AK4350">
        <v>0</v>
      </c>
      <c r="AL4350">
        <v>0</v>
      </c>
      <c r="AM4350">
        <v>0</v>
      </c>
      <c r="AN4350">
        <v>0</v>
      </c>
      <c r="AO4350">
        <v>1</v>
      </c>
      <c r="AP4350">
        <v>0</v>
      </c>
      <c r="AQ4350">
        <v>0</v>
      </c>
      <c r="AR4350">
        <v>0</v>
      </c>
      <c r="AS4350">
        <v>0</v>
      </c>
      <c r="AT4350">
        <v>0</v>
      </c>
      <c r="AU4350">
        <f t="shared" si="134"/>
        <v>1</v>
      </c>
      <c r="AV4350">
        <f t="shared" si="135"/>
        <v>0</v>
      </c>
    </row>
    <row r="4351" spans="1:48" x14ac:dyDescent="0.25">
      <c r="A4351" t="s">
        <v>12857</v>
      </c>
      <c r="B4351" t="s">
        <v>12857</v>
      </c>
      <c r="C4351" t="s">
        <v>12858</v>
      </c>
      <c r="D4351" t="s">
        <v>10247</v>
      </c>
      <c r="E4351" t="s">
        <v>2310</v>
      </c>
      <c r="F4351">
        <v>9</v>
      </c>
      <c r="G4351">
        <v>9.1999999999999993</v>
      </c>
      <c r="H4351" t="s">
        <v>2022</v>
      </c>
      <c r="I4351" s="21">
        <v>42157.498703703699</v>
      </c>
      <c r="J4351">
        <v>2015</v>
      </c>
      <c r="K4351" s="21">
        <v>42228.687523148103</v>
      </c>
      <c r="L4351">
        <v>2015</v>
      </c>
      <c r="M4351" s="21">
        <v>42716.461770833303</v>
      </c>
      <c r="N4351">
        <v>2016</v>
      </c>
      <c r="Q4351" s="262">
        <v>1312230</v>
      </c>
      <c r="R4351" s="262">
        <v>281000</v>
      </c>
      <c r="S4351" t="s">
        <v>114</v>
      </c>
      <c r="T4351" t="s">
        <v>114</v>
      </c>
      <c r="W4351">
        <v>2478</v>
      </c>
      <c r="X4351">
        <v>0</v>
      </c>
      <c r="Y4351">
        <v>0</v>
      </c>
      <c r="Z4351">
        <v>0</v>
      </c>
      <c r="AA4351">
        <v>0</v>
      </c>
      <c r="AB4351">
        <v>0</v>
      </c>
      <c r="AC4351">
        <v>2478</v>
      </c>
      <c r="AD4351">
        <v>0</v>
      </c>
      <c r="AE4351">
        <v>0</v>
      </c>
      <c r="AF4351">
        <v>0</v>
      </c>
      <c r="AG4351">
        <v>0</v>
      </c>
      <c r="AH4351">
        <v>0</v>
      </c>
      <c r="AI4351">
        <v>0</v>
      </c>
      <c r="AJ4351">
        <v>0</v>
      </c>
      <c r="AK4351">
        <v>0</v>
      </c>
      <c r="AL4351">
        <v>0</v>
      </c>
      <c r="AM4351">
        <v>0</v>
      </c>
      <c r="AN4351">
        <v>0</v>
      </c>
      <c r="AO4351">
        <v>0</v>
      </c>
      <c r="AP4351">
        <v>0</v>
      </c>
      <c r="AQ4351">
        <v>0</v>
      </c>
      <c r="AR4351">
        <v>0</v>
      </c>
      <c r="AS4351">
        <v>0</v>
      </c>
      <c r="AT4351">
        <v>0</v>
      </c>
      <c r="AU4351">
        <f t="shared" si="134"/>
        <v>0</v>
      </c>
      <c r="AV4351">
        <f t="shared" si="135"/>
        <v>0</v>
      </c>
    </row>
    <row r="4352" spans="1:48" x14ac:dyDescent="0.25">
      <c r="A4352" t="s">
        <v>17677</v>
      </c>
      <c r="B4352" t="s">
        <v>17677</v>
      </c>
      <c r="C4352" t="s">
        <v>17678</v>
      </c>
      <c r="D4352" t="s">
        <v>10247</v>
      </c>
      <c r="E4352" t="s">
        <v>2310</v>
      </c>
      <c r="F4352">
        <v>9</v>
      </c>
      <c r="G4352">
        <v>9.1999999999999993</v>
      </c>
      <c r="H4352" t="s">
        <v>2022</v>
      </c>
      <c r="I4352" s="21">
        <v>42157.535381944443</v>
      </c>
      <c r="J4352">
        <v>2015</v>
      </c>
      <c r="K4352" s="21">
        <v>42954.365925925929</v>
      </c>
      <c r="L4352">
        <v>2017</v>
      </c>
      <c r="M4352" s="21">
        <v>42954.365925925929</v>
      </c>
      <c r="N4352">
        <v>2017</v>
      </c>
      <c r="Q4352" s="262">
        <v>300000</v>
      </c>
      <c r="R4352" s="262">
        <v>66000</v>
      </c>
      <c r="S4352" t="s">
        <v>13254</v>
      </c>
      <c r="W4352">
        <v>580</v>
      </c>
      <c r="X4352">
        <v>0</v>
      </c>
      <c r="Y4352">
        <v>0</v>
      </c>
      <c r="Z4352">
        <v>0</v>
      </c>
      <c r="AA4352">
        <v>0</v>
      </c>
      <c r="AB4352">
        <v>0</v>
      </c>
      <c r="AC4352">
        <v>580</v>
      </c>
      <c r="AD4352">
        <v>0</v>
      </c>
      <c r="AE4352">
        <v>0</v>
      </c>
      <c r="AF4352">
        <v>0</v>
      </c>
      <c r="AG4352">
        <v>0</v>
      </c>
      <c r="AH4352">
        <v>0</v>
      </c>
      <c r="AI4352">
        <v>0</v>
      </c>
      <c r="AJ4352">
        <v>0</v>
      </c>
      <c r="AK4352">
        <v>0</v>
      </c>
      <c r="AL4352">
        <v>0</v>
      </c>
      <c r="AM4352">
        <v>0</v>
      </c>
      <c r="AN4352">
        <v>0</v>
      </c>
      <c r="AO4352">
        <v>0</v>
      </c>
      <c r="AP4352">
        <v>0</v>
      </c>
      <c r="AQ4352">
        <v>0</v>
      </c>
      <c r="AR4352">
        <v>0</v>
      </c>
      <c r="AS4352">
        <v>0</v>
      </c>
      <c r="AT4352">
        <v>0</v>
      </c>
      <c r="AU4352">
        <f t="shared" si="134"/>
        <v>0</v>
      </c>
      <c r="AV4352">
        <f t="shared" si="135"/>
        <v>0</v>
      </c>
    </row>
    <row r="4353" spans="1:48" x14ac:dyDescent="0.25">
      <c r="A4353" t="s">
        <v>13357</v>
      </c>
      <c r="B4353" t="s">
        <v>13357</v>
      </c>
      <c r="C4353" t="s">
        <v>13358</v>
      </c>
      <c r="D4353" t="s">
        <v>13359</v>
      </c>
      <c r="E4353" t="s">
        <v>2310</v>
      </c>
      <c r="F4353">
        <v>12</v>
      </c>
      <c r="G4353">
        <v>12.3</v>
      </c>
      <c r="H4353" t="s">
        <v>2017</v>
      </c>
      <c r="I4353" s="21">
        <v>42157.597534722197</v>
      </c>
      <c r="J4353">
        <v>2015</v>
      </c>
      <c r="K4353" s="21">
        <v>42930.3829513889</v>
      </c>
      <c r="L4353">
        <v>2017</v>
      </c>
      <c r="M4353" s="21">
        <v>42930.3829513889</v>
      </c>
      <c r="N4353">
        <v>2017</v>
      </c>
      <c r="S4353" t="s">
        <v>9529</v>
      </c>
      <c r="T4353">
        <v>3763</v>
      </c>
      <c r="U4353">
        <v>11</v>
      </c>
      <c r="W4353">
        <v>-2560</v>
      </c>
      <c r="X4353">
        <v>-1</v>
      </c>
      <c r="Y4353">
        <v>0</v>
      </c>
      <c r="Z4353">
        <v>0</v>
      </c>
      <c r="AA4353">
        <v>0</v>
      </c>
      <c r="AB4353">
        <v>0</v>
      </c>
      <c r="AC4353">
        <v>0</v>
      </c>
      <c r="AD4353">
        <v>0</v>
      </c>
      <c r="AE4353">
        <v>0</v>
      </c>
      <c r="AF4353">
        <v>0</v>
      </c>
      <c r="AG4353">
        <v>0</v>
      </c>
      <c r="AH4353">
        <v>0</v>
      </c>
      <c r="AI4353">
        <v>-2560</v>
      </c>
      <c r="AJ4353">
        <v>0</v>
      </c>
      <c r="AK4353">
        <v>0</v>
      </c>
      <c r="AL4353">
        <v>0</v>
      </c>
      <c r="AM4353">
        <v>0</v>
      </c>
      <c r="AN4353">
        <v>0</v>
      </c>
      <c r="AO4353">
        <v>0</v>
      </c>
      <c r="AP4353">
        <v>0</v>
      </c>
      <c r="AQ4353">
        <v>0</v>
      </c>
      <c r="AR4353">
        <v>0</v>
      </c>
      <c r="AS4353">
        <v>0</v>
      </c>
      <c r="AT4353">
        <v>-1</v>
      </c>
      <c r="AU4353">
        <f t="shared" si="134"/>
        <v>0</v>
      </c>
      <c r="AV4353">
        <f t="shared" si="135"/>
        <v>-2560</v>
      </c>
    </row>
    <row r="4354" spans="1:48" x14ac:dyDescent="0.25">
      <c r="A4354" t="s">
        <v>13357</v>
      </c>
      <c r="B4354" t="s">
        <v>13357</v>
      </c>
      <c r="C4354" t="s">
        <v>13358</v>
      </c>
      <c r="D4354" t="s">
        <v>13359</v>
      </c>
      <c r="E4354" t="s">
        <v>2310</v>
      </c>
      <c r="F4354">
        <v>12</v>
      </c>
      <c r="G4354">
        <v>12.3</v>
      </c>
      <c r="H4354" t="s">
        <v>2017</v>
      </c>
      <c r="I4354" s="21">
        <v>42157.597534722219</v>
      </c>
      <c r="J4354">
        <v>2015</v>
      </c>
      <c r="K4354" s="21">
        <v>42930.382951388892</v>
      </c>
      <c r="L4354">
        <v>2017</v>
      </c>
      <c r="M4354" s="21">
        <v>42930.382951388892</v>
      </c>
      <c r="N4354">
        <v>2017</v>
      </c>
      <c r="Q4354" s="262">
        <v>950000</v>
      </c>
      <c r="R4354" s="262">
        <v>381000</v>
      </c>
      <c r="S4354" t="s">
        <v>12464</v>
      </c>
      <c r="T4354">
        <v>3763</v>
      </c>
      <c r="W4354">
        <v>4500</v>
      </c>
      <c r="X4354">
        <v>1</v>
      </c>
      <c r="Y4354">
        <v>0</v>
      </c>
      <c r="Z4354">
        <v>0</v>
      </c>
      <c r="AA4354">
        <v>0</v>
      </c>
      <c r="AB4354">
        <v>0</v>
      </c>
      <c r="AC4354">
        <v>0</v>
      </c>
      <c r="AD4354">
        <v>0</v>
      </c>
      <c r="AE4354">
        <v>0</v>
      </c>
      <c r="AF4354">
        <v>0</v>
      </c>
      <c r="AG4354">
        <v>0</v>
      </c>
      <c r="AH4354">
        <v>0</v>
      </c>
      <c r="AI4354">
        <v>4500</v>
      </c>
      <c r="AJ4354">
        <v>0</v>
      </c>
      <c r="AK4354">
        <v>0</v>
      </c>
      <c r="AL4354">
        <v>0</v>
      </c>
      <c r="AM4354">
        <v>0</v>
      </c>
      <c r="AN4354">
        <v>0</v>
      </c>
      <c r="AO4354">
        <v>0</v>
      </c>
      <c r="AP4354">
        <v>0</v>
      </c>
      <c r="AQ4354">
        <v>0</v>
      </c>
      <c r="AR4354">
        <v>0</v>
      </c>
      <c r="AS4354">
        <v>0</v>
      </c>
      <c r="AT4354">
        <v>1</v>
      </c>
      <c r="AU4354">
        <f t="shared" si="134"/>
        <v>0</v>
      </c>
      <c r="AV4354">
        <f t="shared" si="135"/>
        <v>4500</v>
      </c>
    </row>
    <row r="4355" spans="1:48" x14ac:dyDescent="0.25">
      <c r="A4355" t="s">
        <v>17679</v>
      </c>
      <c r="B4355" t="s">
        <v>17679</v>
      </c>
      <c r="C4355" t="s">
        <v>17680</v>
      </c>
      <c r="D4355" t="s">
        <v>17681</v>
      </c>
      <c r="E4355" t="s">
        <v>2310</v>
      </c>
      <c r="F4355">
        <v>13</v>
      </c>
      <c r="G4355">
        <v>13.2</v>
      </c>
      <c r="H4355" t="s">
        <v>2327</v>
      </c>
      <c r="I4355" s="21">
        <v>42157.662997685184</v>
      </c>
      <c r="J4355">
        <v>2015</v>
      </c>
      <c r="K4355" s="21">
        <v>42762.455937500003</v>
      </c>
      <c r="L4355">
        <v>2017</v>
      </c>
      <c r="M4355" s="21">
        <v>42762.455937500003</v>
      </c>
      <c r="N4355">
        <v>2017</v>
      </c>
      <c r="Q4355" s="262">
        <v>1500000</v>
      </c>
      <c r="R4355" s="262">
        <v>593000</v>
      </c>
      <c r="S4355" t="s">
        <v>13254</v>
      </c>
      <c r="W4355">
        <v>4999</v>
      </c>
      <c r="X4355">
        <v>1</v>
      </c>
      <c r="Y4355">
        <v>0</v>
      </c>
      <c r="Z4355">
        <v>0</v>
      </c>
      <c r="AA4355">
        <v>0</v>
      </c>
      <c r="AB4355">
        <v>0</v>
      </c>
      <c r="AC4355">
        <v>4999</v>
      </c>
      <c r="AD4355">
        <v>0</v>
      </c>
      <c r="AE4355">
        <v>0</v>
      </c>
      <c r="AF4355">
        <v>0</v>
      </c>
      <c r="AG4355">
        <v>0</v>
      </c>
      <c r="AH4355">
        <v>0</v>
      </c>
      <c r="AI4355">
        <v>0</v>
      </c>
      <c r="AJ4355">
        <v>0</v>
      </c>
      <c r="AK4355">
        <v>0</v>
      </c>
      <c r="AL4355">
        <v>0</v>
      </c>
      <c r="AM4355">
        <v>0</v>
      </c>
      <c r="AN4355">
        <v>0</v>
      </c>
      <c r="AO4355">
        <v>1</v>
      </c>
      <c r="AP4355">
        <v>0</v>
      </c>
      <c r="AQ4355">
        <v>0</v>
      </c>
      <c r="AR4355">
        <v>0</v>
      </c>
      <c r="AS4355">
        <v>0</v>
      </c>
      <c r="AT4355">
        <v>0</v>
      </c>
      <c r="AU4355">
        <f t="shared" si="134"/>
        <v>1</v>
      </c>
      <c r="AV4355">
        <f t="shared" si="135"/>
        <v>0</v>
      </c>
    </row>
    <row r="4356" spans="1:48" x14ac:dyDescent="0.25">
      <c r="A4356" t="s">
        <v>12859</v>
      </c>
      <c r="B4356" t="s">
        <v>12859</v>
      </c>
      <c r="C4356" t="s">
        <v>12860</v>
      </c>
      <c r="D4356" t="s">
        <v>12861</v>
      </c>
      <c r="E4356" t="s">
        <v>2310</v>
      </c>
      <c r="F4356">
        <v>9</v>
      </c>
      <c r="G4356">
        <v>9.1</v>
      </c>
      <c r="H4356" t="s">
        <v>2323</v>
      </c>
      <c r="I4356" s="21">
        <v>42159.658113425903</v>
      </c>
      <c r="J4356">
        <v>2015</v>
      </c>
      <c r="K4356" s="21">
        <v>42591.381481481498</v>
      </c>
      <c r="L4356">
        <v>2016</v>
      </c>
      <c r="M4356" s="21">
        <v>42591.3766203704</v>
      </c>
      <c r="N4356">
        <v>2016</v>
      </c>
      <c r="Q4356" s="262">
        <v>1500000</v>
      </c>
      <c r="R4356" s="262">
        <v>589000</v>
      </c>
      <c r="S4356" t="s">
        <v>114</v>
      </c>
      <c r="T4356" t="s">
        <v>114</v>
      </c>
      <c r="W4356">
        <v>4865</v>
      </c>
      <c r="X4356">
        <v>1</v>
      </c>
      <c r="Y4356">
        <v>0</v>
      </c>
      <c r="Z4356">
        <v>0</v>
      </c>
      <c r="AA4356">
        <v>0</v>
      </c>
      <c r="AB4356">
        <v>0</v>
      </c>
      <c r="AC4356">
        <v>4865</v>
      </c>
      <c r="AD4356">
        <v>0</v>
      </c>
      <c r="AE4356">
        <v>0</v>
      </c>
      <c r="AF4356">
        <v>0</v>
      </c>
      <c r="AG4356">
        <v>0</v>
      </c>
      <c r="AH4356">
        <v>0</v>
      </c>
      <c r="AI4356">
        <v>0</v>
      </c>
      <c r="AJ4356">
        <v>0</v>
      </c>
      <c r="AK4356">
        <v>0</v>
      </c>
      <c r="AL4356">
        <v>0</v>
      </c>
      <c r="AM4356">
        <v>0</v>
      </c>
      <c r="AN4356">
        <v>0</v>
      </c>
      <c r="AO4356">
        <v>1</v>
      </c>
      <c r="AP4356">
        <v>0</v>
      </c>
      <c r="AQ4356">
        <v>0</v>
      </c>
      <c r="AR4356">
        <v>0</v>
      </c>
      <c r="AS4356">
        <v>0</v>
      </c>
      <c r="AT4356">
        <v>0</v>
      </c>
      <c r="AU4356">
        <f t="shared" si="134"/>
        <v>1</v>
      </c>
      <c r="AV4356">
        <f t="shared" si="135"/>
        <v>0</v>
      </c>
    </row>
    <row r="4357" spans="1:48" x14ac:dyDescent="0.25">
      <c r="A4357" t="s">
        <v>12862</v>
      </c>
      <c r="B4357" t="s">
        <v>12862</v>
      </c>
      <c r="C4357" t="s">
        <v>12863</v>
      </c>
      <c r="D4357" t="s">
        <v>12864</v>
      </c>
      <c r="E4357" t="s">
        <v>2310</v>
      </c>
      <c r="F4357">
        <v>10</v>
      </c>
      <c r="G4357">
        <v>10.1</v>
      </c>
      <c r="H4357" t="s">
        <v>2323</v>
      </c>
      <c r="I4357" s="21">
        <v>42159.671296296299</v>
      </c>
      <c r="J4357">
        <v>2015</v>
      </c>
      <c r="O4357" s="21">
        <v>42174.432152777801</v>
      </c>
      <c r="R4357" s="262">
        <v>9000</v>
      </c>
      <c r="S4357" t="s">
        <v>114</v>
      </c>
      <c r="T4357" t="s">
        <v>114</v>
      </c>
      <c r="V4357">
        <v>100</v>
      </c>
      <c r="W4357">
        <v>0</v>
      </c>
      <c r="X4357">
        <v>0</v>
      </c>
      <c r="Y4357">
        <v>0</v>
      </c>
      <c r="Z4357">
        <v>0</v>
      </c>
      <c r="AA4357">
        <v>0</v>
      </c>
      <c r="AB4357">
        <v>0</v>
      </c>
      <c r="AC4357">
        <v>0</v>
      </c>
      <c r="AD4357">
        <v>0</v>
      </c>
      <c r="AE4357">
        <v>0</v>
      </c>
      <c r="AF4357">
        <v>0</v>
      </c>
      <c r="AG4357">
        <v>0</v>
      </c>
      <c r="AH4357">
        <v>0</v>
      </c>
      <c r="AI4357">
        <v>0</v>
      </c>
      <c r="AJ4357">
        <v>0</v>
      </c>
      <c r="AK4357">
        <v>0</v>
      </c>
      <c r="AL4357">
        <v>0</v>
      </c>
      <c r="AM4357">
        <v>0</v>
      </c>
      <c r="AN4357">
        <v>0</v>
      </c>
      <c r="AO4357">
        <v>0</v>
      </c>
      <c r="AP4357">
        <v>0</v>
      </c>
      <c r="AQ4357">
        <v>0</v>
      </c>
      <c r="AR4357">
        <v>0</v>
      </c>
      <c r="AS4357">
        <v>0</v>
      </c>
      <c r="AT4357">
        <v>0</v>
      </c>
      <c r="AU4357">
        <f t="shared" si="134"/>
        <v>0</v>
      </c>
      <c r="AV4357">
        <f t="shared" si="135"/>
        <v>0</v>
      </c>
    </row>
    <row r="4358" spans="1:48" x14ac:dyDescent="0.25">
      <c r="A4358" t="s">
        <v>12865</v>
      </c>
      <c r="C4358" t="s">
        <v>11559</v>
      </c>
      <c r="D4358" t="s">
        <v>12866</v>
      </c>
      <c r="E4358" t="s">
        <v>1663</v>
      </c>
      <c r="F4358">
        <v>6</v>
      </c>
      <c r="G4358">
        <v>6.1</v>
      </c>
      <c r="H4358" t="s">
        <v>2017</v>
      </c>
      <c r="I4358" s="21">
        <v>42160</v>
      </c>
      <c r="J4358">
        <v>2015</v>
      </c>
      <c r="K4358" s="21">
        <v>42193</v>
      </c>
      <c r="L4358">
        <v>2015</v>
      </c>
      <c r="M4358" s="21">
        <v>42529</v>
      </c>
      <c r="N4358">
        <v>2016</v>
      </c>
      <c r="Q4358" s="262">
        <v>693000</v>
      </c>
      <c r="S4358" t="s">
        <v>114</v>
      </c>
      <c r="T4358" t="s">
        <v>114</v>
      </c>
      <c r="W4358">
        <v>4886</v>
      </c>
      <c r="X4358">
        <v>1</v>
      </c>
      <c r="Y4358">
        <v>0</v>
      </c>
      <c r="Z4358">
        <v>0</v>
      </c>
      <c r="AA4358">
        <v>0</v>
      </c>
      <c r="AB4358">
        <v>0</v>
      </c>
      <c r="AC4358">
        <v>4886</v>
      </c>
      <c r="AD4358">
        <v>0</v>
      </c>
      <c r="AE4358">
        <v>0</v>
      </c>
      <c r="AF4358">
        <v>0</v>
      </c>
      <c r="AG4358">
        <v>0</v>
      </c>
      <c r="AH4358">
        <v>0</v>
      </c>
      <c r="AI4358">
        <v>0</v>
      </c>
      <c r="AJ4358">
        <v>0</v>
      </c>
      <c r="AK4358">
        <v>0</v>
      </c>
      <c r="AL4358">
        <v>0</v>
      </c>
      <c r="AM4358">
        <v>0</v>
      </c>
      <c r="AN4358">
        <v>0</v>
      </c>
      <c r="AO4358">
        <v>1</v>
      </c>
      <c r="AP4358">
        <v>0</v>
      </c>
      <c r="AQ4358">
        <v>0</v>
      </c>
      <c r="AR4358">
        <v>0</v>
      </c>
      <c r="AS4358">
        <v>0</v>
      </c>
      <c r="AT4358">
        <v>0</v>
      </c>
      <c r="AU4358">
        <f t="shared" si="134"/>
        <v>1</v>
      </c>
      <c r="AV4358">
        <f t="shared" si="135"/>
        <v>0</v>
      </c>
    </row>
    <row r="4359" spans="1:48" x14ac:dyDescent="0.25">
      <c r="A4359" t="s">
        <v>12867</v>
      </c>
      <c r="B4359" t="s">
        <v>12867</v>
      </c>
      <c r="C4359" t="s">
        <v>12868</v>
      </c>
      <c r="D4359" t="s">
        <v>7612</v>
      </c>
      <c r="E4359" t="s">
        <v>2310</v>
      </c>
      <c r="F4359">
        <v>8</v>
      </c>
      <c r="G4359">
        <v>8.1999999999999993</v>
      </c>
      <c r="H4359" t="s">
        <v>2022</v>
      </c>
      <c r="I4359" s="21">
        <v>42160.295682870397</v>
      </c>
      <c r="J4359">
        <v>2015</v>
      </c>
      <c r="K4359" s="21">
        <v>42186.401412036997</v>
      </c>
      <c r="L4359">
        <v>2015</v>
      </c>
      <c r="M4359" s="21">
        <v>42328.641875000001</v>
      </c>
      <c r="N4359">
        <v>2015</v>
      </c>
      <c r="Q4359" s="262">
        <v>125000</v>
      </c>
      <c r="R4359" s="262">
        <v>57000</v>
      </c>
      <c r="S4359" t="s">
        <v>114</v>
      </c>
      <c r="T4359" t="s">
        <v>114</v>
      </c>
      <c r="W4359">
        <v>1296</v>
      </c>
      <c r="X4359">
        <v>0</v>
      </c>
      <c r="Y4359">
        <v>0</v>
      </c>
      <c r="Z4359">
        <v>0</v>
      </c>
      <c r="AA4359">
        <v>0</v>
      </c>
      <c r="AB4359">
        <v>0</v>
      </c>
      <c r="AC4359">
        <v>1296</v>
      </c>
      <c r="AD4359">
        <v>0</v>
      </c>
      <c r="AE4359">
        <v>0</v>
      </c>
      <c r="AF4359">
        <v>0</v>
      </c>
      <c r="AG4359">
        <v>0</v>
      </c>
      <c r="AH4359">
        <v>0</v>
      </c>
      <c r="AI4359">
        <v>0</v>
      </c>
      <c r="AJ4359">
        <v>0</v>
      </c>
      <c r="AK4359">
        <v>0</v>
      </c>
      <c r="AL4359">
        <v>0</v>
      </c>
      <c r="AM4359">
        <v>0</v>
      </c>
      <c r="AN4359">
        <v>0</v>
      </c>
      <c r="AO4359">
        <v>0</v>
      </c>
      <c r="AP4359">
        <v>0</v>
      </c>
      <c r="AQ4359">
        <v>0</v>
      </c>
      <c r="AR4359">
        <v>0</v>
      </c>
      <c r="AS4359">
        <v>0</v>
      </c>
      <c r="AT4359">
        <v>0</v>
      </c>
      <c r="AU4359">
        <f t="shared" si="134"/>
        <v>0</v>
      </c>
      <c r="AV4359">
        <f t="shared" si="135"/>
        <v>0</v>
      </c>
    </row>
    <row r="4360" spans="1:48" x14ac:dyDescent="0.25">
      <c r="A4360" t="s">
        <v>13508</v>
      </c>
      <c r="B4360" t="s">
        <v>114</v>
      </c>
      <c r="C4360" t="s">
        <v>13509</v>
      </c>
      <c r="D4360" t="s">
        <v>13510</v>
      </c>
      <c r="E4360" t="s">
        <v>1663</v>
      </c>
      <c r="F4360">
        <v>2</v>
      </c>
      <c r="G4360">
        <v>2.2999999999999998</v>
      </c>
      <c r="H4360" t="s">
        <v>2327</v>
      </c>
      <c r="I4360" s="21">
        <v>42164</v>
      </c>
      <c r="J4360">
        <v>2015</v>
      </c>
      <c r="K4360" s="21">
        <v>42212</v>
      </c>
      <c r="L4360">
        <v>2015</v>
      </c>
      <c r="M4360" s="21">
        <v>42907</v>
      </c>
      <c r="N4360">
        <v>2017</v>
      </c>
      <c r="Q4360" s="262">
        <v>4000000</v>
      </c>
      <c r="S4360" t="s">
        <v>13254</v>
      </c>
      <c r="W4360">
        <v>19257</v>
      </c>
      <c r="X4360">
        <v>5</v>
      </c>
      <c r="Y4360">
        <v>0</v>
      </c>
      <c r="Z4360">
        <v>0</v>
      </c>
      <c r="AA4360">
        <v>0</v>
      </c>
      <c r="AB4360">
        <v>0</v>
      </c>
      <c r="AC4360">
        <v>0</v>
      </c>
      <c r="AD4360">
        <v>0</v>
      </c>
      <c r="AE4360">
        <v>10033</v>
      </c>
      <c r="AF4360">
        <v>0</v>
      </c>
      <c r="AG4360">
        <v>0</v>
      </c>
      <c r="AH4360">
        <v>0</v>
      </c>
      <c r="AI4360">
        <v>0</v>
      </c>
      <c r="AJ4360">
        <v>6330</v>
      </c>
      <c r="AK4360">
        <v>2894</v>
      </c>
      <c r="AL4360">
        <v>0</v>
      </c>
      <c r="AM4360">
        <v>0</v>
      </c>
      <c r="AN4360">
        <v>0</v>
      </c>
      <c r="AO4360">
        <v>0</v>
      </c>
      <c r="AP4360">
        <v>0</v>
      </c>
      <c r="AQ4360">
        <v>5</v>
      </c>
      <c r="AR4360">
        <v>0</v>
      </c>
      <c r="AS4360">
        <v>0</v>
      </c>
      <c r="AT4360">
        <v>0</v>
      </c>
      <c r="AU4360">
        <f t="shared" si="134"/>
        <v>5</v>
      </c>
      <c r="AV4360">
        <f t="shared" si="135"/>
        <v>9224</v>
      </c>
    </row>
    <row r="4361" spans="1:48" x14ac:dyDescent="0.25">
      <c r="A4361" t="s">
        <v>12869</v>
      </c>
      <c r="B4361" t="s">
        <v>12869</v>
      </c>
      <c r="C4361" t="s">
        <v>12870</v>
      </c>
      <c r="D4361" t="s">
        <v>12871</v>
      </c>
      <c r="E4361" t="s">
        <v>2310</v>
      </c>
      <c r="F4361">
        <v>9</v>
      </c>
      <c r="G4361">
        <v>9.1</v>
      </c>
      <c r="H4361" t="s">
        <v>2323</v>
      </c>
      <c r="I4361" s="21">
        <v>42164.503888888903</v>
      </c>
      <c r="J4361">
        <v>2015</v>
      </c>
      <c r="K4361" s="21">
        <v>42194.417337963001</v>
      </c>
      <c r="L4361">
        <v>2015</v>
      </c>
      <c r="M4361" s="21">
        <v>42732.662060185197</v>
      </c>
      <c r="N4361">
        <v>2016</v>
      </c>
      <c r="Q4361" s="262">
        <v>800000</v>
      </c>
      <c r="R4361" s="262">
        <v>314000</v>
      </c>
      <c r="S4361" t="s">
        <v>114</v>
      </c>
      <c r="T4361" t="s">
        <v>114</v>
      </c>
      <c r="W4361">
        <v>3197</v>
      </c>
      <c r="X4361">
        <v>1</v>
      </c>
      <c r="Y4361">
        <v>0</v>
      </c>
      <c r="Z4361">
        <v>0</v>
      </c>
      <c r="AA4361">
        <v>0</v>
      </c>
      <c r="AB4361">
        <v>0</v>
      </c>
      <c r="AC4361">
        <v>3197</v>
      </c>
      <c r="AD4361">
        <v>0</v>
      </c>
      <c r="AE4361">
        <v>0</v>
      </c>
      <c r="AF4361">
        <v>0</v>
      </c>
      <c r="AG4361">
        <v>0</v>
      </c>
      <c r="AH4361">
        <v>0</v>
      </c>
      <c r="AI4361">
        <v>0</v>
      </c>
      <c r="AJ4361">
        <v>0</v>
      </c>
      <c r="AK4361">
        <v>0</v>
      </c>
      <c r="AL4361">
        <v>0</v>
      </c>
      <c r="AM4361">
        <v>0</v>
      </c>
      <c r="AN4361">
        <v>0</v>
      </c>
      <c r="AO4361">
        <v>1</v>
      </c>
      <c r="AP4361">
        <v>0</v>
      </c>
      <c r="AQ4361">
        <v>0</v>
      </c>
      <c r="AR4361">
        <v>0</v>
      </c>
      <c r="AS4361">
        <v>0</v>
      </c>
      <c r="AT4361">
        <v>0</v>
      </c>
      <c r="AU4361">
        <f t="shared" si="134"/>
        <v>1</v>
      </c>
      <c r="AV4361">
        <f t="shared" si="135"/>
        <v>0</v>
      </c>
    </row>
    <row r="4362" spans="1:48" x14ac:dyDescent="0.25">
      <c r="A4362" t="s">
        <v>12872</v>
      </c>
      <c r="B4362" t="s">
        <v>12872</v>
      </c>
      <c r="C4362" t="s">
        <v>12873</v>
      </c>
      <c r="D4362" t="s">
        <v>12874</v>
      </c>
      <c r="E4362" t="s">
        <v>2310</v>
      </c>
      <c r="F4362">
        <v>8</v>
      </c>
      <c r="G4362">
        <v>8.1</v>
      </c>
      <c r="H4362" t="s">
        <v>2323</v>
      </c>
      <c r="I4362" s="21">
        <v>42164.629120370402</v>
      </c>
      <c r="J4362">
        <v>2015</v>
      </c>
      <c r="K4362" s="21">
        <v>42222.403993055603</v>
      </c>
      <c r="L4362">
        <v>2015</v>
      </c>
      <c r="M4362" s="21">
        <v>42299.343310185199</v>
      </c>
      <c r="N4362">
        <v>2015</v>
      </c>
      <c r="Q4362" s="262">
        <v>350000</v>
      </c>
      <c r="R4362" s="262">
        <v>122000</v>
      </c>
      <c r="S4362" t="s">
        <v>114</v>
      </c>
      <c r="T4362" t="s">
        <v>114</v>
      </c>
      <c r="W4362">
        <v>1670</v>
      </c>
      <c r="X4362">
        <v>0</v>
      </c>
      <c r="Y4362">
        <v>0</v>
      </c>
      <c r="Z4362">
        <v>0</v>
      </c>
      <c r="AA4362">
        <v>0</v>
      </c>
      <c r="AB4362">
        <v>0</v>
      </c>
      <c r="AC4362">
        <v>1670</v>
      </c>
      <c r="AD4362">
        <v>0</v>
      </c>
      <c r="AE4362">
        <v>0</v>
      </c>
      <c r="AF4362">
        <v>0</v>
      </c>
      <c r="AG4362">
        <v>0</v>
      </c>
      <c r="AH4362">
        <v>0</v>
      </c>
      <c r="AI4362">
        <v>0</v>
      </c>
      <c r="AJ4362">
        <v>0</v>
      </c>
      <c r="AK4362">
        <v>0</v>
      </c>
      <c r="AL4362">
        <v>0</v>
      </c>
      <c r="AM4362">
        <v>0</v>
      </c>
      <c r="AN4362">
        <v>0</v>
      </c>
      <c r="AO4362">
        <v>0</v>
      </c>
      <c r="AP4362">
        <v>0</v>
      </c>
      <c r="AQ4362">
        <v>0</v>
      </c>
      <c r="AR4362">
        <v>0</v>
      </c>
      <c r="AS4362">
        <v>0</v>
      </c>
      <c r="AT4362">
        <v>0</v>
      </c>
      <c r="AU4362">
        <f t="shared" si="134"/>
        <v>0</v>
      </c>
      <c r="AV4362">
        <f t="shared" si="135"/>
        <v>0</v>
      </c>
    </row>
    <row r="4363" spans="1:48" x14ac:dyDescent="0.25">
      <c r="A4363" t="s">
        <v>12875</v>
      </c>
      <c r="C4363" t="s">
        <v>12876</v>
      </c>
      <c r="D4363" t="s">
        <v>12877</v>
      </c>
      <c r="E4363" t="s">
        <v>1663</v>
      </c>
      <c r="F4363">
        <v>6</v>
      </c>
      <c r="G4363">
        <v>6.1</v>
      </c>
      <c r="H4363" t="s">
        <v>2017</v>
      </c>
      <c r="I4363" s="21">
        <v>42165</v>
      </c>
      <c r="J4363">
        <v>2015</v>
      </c>
      <c r="K4363" s="21">
        <v>42222</v>
      </c>
      <c r="L4363">
        <v>2015</v>
      </c>
      <c r="M4363" s="21">
        <v>42510</v>
      </c>
      <c r="N4363">
        <v>2016</v>
      </c>
      <c r="Q4363" s="262">
        <v>350000</v>
      </c>
      <c r="S4363" t="s">
        <v>114</v>
      </c>
      <c r="T4363" t="s">
        <v>114</v>
      </c>
      <c r="W4363">
        <v>1431</v>
      </c>
      <c r="X4363">
        <v>0</v>
      </c>
      <c r="Y4363">
        <v>0</v>
      </c>
      <c r="Z4363">
        <v>0</v>
      </c>
      <c r="AA4363">
        <v>0</v>
      </c>
      <c r="AB4363">
        <v>0</v>
      </c>
      <c r="AC4363">
        <v>1431</v>
      </c>
      <c r="AD4363">
        <v>0</v>
      </c>
      <c r="AE4363">
        <v>0</v>
      </c>
      <c r="AF4363">
        <v>0</v>
      </c>
      <c r="AG4363">
        <v>0</v>
      </c>
      <c r="AH4363">
        <v>0</v>
      </c>
      <c r="AI4363">
        <v>0</v>
      </c>
      <c r="AJ4363">
        <v>0</v>
      </c>
      <c r="AK4363">
        <v>0</v>
      </c>
      <c r="AL4363">
        <v>0</v>
      </c>
      <c r="AM4363">
        <v>0</v>
      </c>
      <c r="AN4363">
        <v>0</v>
      </c>
      <c r="AO4363">
        <v>0</v>
      </c>
      <c r="AP4363">
        <v>0</v>
      </c>
      <c r="AQ4363">
        <v>0</v>
      </c>
      <c r="AR4363">
        <v>0</v>
      </c>
      <c r="AS4363">
        <v>0</v>
      </c>
      <c r="AT4363">
        <v>0</v>
      </c>
      <c r="AU4363">
        <f t="shared" si="134"/>
        <v>0</v>
      </c>
      <c r="AV4363">
        <f t="shared" si="135"/>
        <v>0</v>
      </c>
    </row>
    <row r="4364" spans="1:48" x14ac:dyDescent="0.25">
      <c r="A4364" t="s">
        <v>12878</v>
      </c>
      <c r="C4364" t="s">
        <v>12879</v>
      </c>
      <c r="D4364" t="s">
        <v>12880</v>
      </c>
      <c r="E4364" t="s">
        <v>1663</v>
      </c>
      <c r="F4364">
        <v>3</v>
      </c>
      <c r="G4364">
        <v>3.2</v>
      </c>
      <c r="H4364" t="s">
        <v>2327</v>
      </c>
      <c r="I4364" s="21">
        <v>42165</v>
      </c>
      <c r="J4364">
        <v>2015</v>
      </c>
      <c r="K4364" s="21">
        <v>42180</v>
      </c>
      <c r="L4364">
        <v>2015</v>
      </c>
      <c r="M4364" s="21">
        <v>42326</v>
      </c>
      <c r="N4364">
        <v>2015</v>
      </c>
      <c r="Q4364" s="262">
        <v>40000</v>
      </c>
      <c r="S4364" t="s">
        <v>114</v>
      </c>
      <c r="T4364" t="s">
        <v>114</v>
      </c>
      <c r="W4364">
        <v>400</v>
      </c>
      <c r="X4364">
        <v>0</v>
      </c>
      <c r="Y4364">
        <v>0</v>
      </c>
      <c r="Z4364">
        <v>0</v>
      </c>
      <c r="AA4364">
        <v>0</v>
      </c>
      <c r="AB4364">
        <v>0</v>
      </c>
      <c r="AC4364">
        <v>400</v>
      </c>
      <c r="AD4364">
        <v>0</v>
      </c>
      <c r="AE4364">
        <v>0</v>
      </c>
      <c r="AF4364">
        <v>0</v>
      </c>
      <c r="AG4364">
        <v>0</v>
      </c>
      <c r="AH4364">
        <v>0</v>
      </c>
      <c r="AI4364">
        <v>0</v>
      </c>
      <c r="AJ4364">
        <v>0</v>
      </c>
      <c r="AK4364">
        <v>0</v>
      </c>
      <c r="AL4364">
        <v>0</v>
      </c>
      <c r="AM4364">
        <v>0</v>
      </c>
      <c r="AN4364">
        <v>0</v>
      </c>
      <c r="AO4364">
        <v>0</v>
      </c>
      <c r="AP4364">
        <v>0</v>
      </c>
      <c r="AQ4364">
        <v>0</v>
      </c>
      <c r="AR4364">
        <v>0</v>
      </c>
      <c r="AS4364">
        <v>0</v>
      </c>
      <c r="AT4364">
        <v>0</v>
      </c>
      <c r="AU4364">
        <f t="shared" si="134"/>
        <v>0</v>
      </c>
      <c r="AV4364">
        <f t="shared" si="135"/>
        <v>0</v>
      </c>
    </row>
    <row r="4365" spans="1:48" x14ac:dyDescent="0.25">
      <c r="A4365" t="s">
        <v>12881</v>
      </c>
      <c r="C4365" t="s">
        <v>11879</v>
      </c>
      <c r="D4365" t="s">
        <v>12882</v>
      </c>
      <c r="E4365" t="s">
        <v>1663</v>
      </c>
      <c r="F4365">
        <v>3</v>
      </c>
      <c r="G4365">
        <v>3.1</v>
      </c>
      <c r="H4365" t="s">
        <v>2017</v>
      </c>
      <c r="I4365" s="21">
        <v>42165</v>
      </c>
      <c r="J4365">
        <v>2015</v>
      </c>
      <c r="K4365" s="21">
        <v>42180</v>
      </c>
      <c r="L4365">
        <v>2015</v>
      </c>
      <c r="M4365" s="21">
        <v>42564</v>
      </c>
      <c r="N4365">
        <v>2016</v>
      </c>
      <c r="Q4365" s="262">
        <v>90000</v>
      </c>
      <c r="S4365" t="s">
        <v>114</v>
      </c>
      <c r="T4365" t="s">
        <v>114</v>
      </c>
      <c r="V4365">
        <v>2897</v>
      </c>
      <c r="W4365">
        <v>0</v>
      </c>
      <c r="X4365">
        <v>0</v>
      </c>
      <c r="Y4365">
        <v>0</v>
      </c>
      <c r="Z4365">
        <v>0</v>
      </c>
      <c r="AA4365">
        <v>0</v>
      </c>
      <c r="AB4365">
        <v>0</v>
      </c>
      <c r="AC4365">
        <v>0</v>
      </c>
      <c r="AD4365">
        <v>0</v>
      </c>
      <c r="AE4365">
        <v>0</v>
      </c>
      <c r="AF4365">
        <v>0</v>
      </c>
      <c r="AG4365">
        <v>0</v>
      </c>
      <c r="AH4365">
        <v>0</v>
      </c>
      <c r="AI4365">
        <v>0</v>
      </c>
      <c r="AJ4365">
        <v>0</v>
      </c>
      <c r="AK4365">
        <v>0</v>
      </c>
      <c r="AL4365">
        <v>0</v>
      </c>
      <c r="AM4365">
        <v>0</v>
      </c>
      <c r="AN4365">
        <v>0</v>
      </c>
      <c r="AO4365">
        <v>0</v>
      </c>
      <c r="AP4365">
        <v>0</v>
      </c>
      <c r="AQ4365">
        <v>0</v>
      </c>
      <c r="AR4365">
        <v>0</v>
      </c>
      <c r="AS4365">
        <v>0</v>
      </c>
      <c r="AT4365">
        <v>0</v>
      </c>
      <c r="AU4365">
        <f t="shared" si="134"/>
        <v>0</v>
      </c>
      <c r="AV4365">
        <f t="shared" si="135"/>
        <v>0</v>
      </c>
    </row>
    <row r="4366" spans="1:48" x14ac:dyDescent="0.25">
      <c r="A4366" t="s">
        <v>12883</v>
      </c>
      <c r="B4366" t="s">
        <v>12883</v>
      </c>
      <c r="C4366" t="s">
        <v>12884</v>
      </c>
      <c r="D4366" t="s">
        <v>5921</v>
      </c>
      <c r="E4366" t="s">
        <v>2310</v>
      </c>
      <c r="F4366">
        <v>9</v>
      </c>
      <c r="G4366">
        <v>9.4</v>
      </c>
      <c r="H4366" t="s">
        <v>2323</v>
      </c>
      <c r="I4366" s="21">
        <v>42165.537118055603</v>
      </c>
      <c r="J4366">
        <v>2015</v>
      </c>
      <c r="K4366" s="21">
        <v>42198.680625000001</v>
      </c>
      <c r="L4366">
        <v>2015</v>
      </c>
      <c r="M4366" s="21">
        <v>42291.559988425899</v>
      </c>
      <c r="N4366">
        <v>2015</v>
      </c>
      <c r="Q4366" s="262">
        <v>20000</v>
      </c>
      <c r="R4366" s="262">
        <v>27000</v>
      </c>
      <c r="S4366" t="s">
        <v>114</v>
      </c>
      <c r="T4366" t="s">
        <v>114</v>
      </c>
      <c r="V4366">
        <v>270</v>
      </c>
      <c r="W4366">
        <v>0</v>
      </c>
      <c r="X4366">
        <v>0</v>
      </c>
      <c r="Y4366">
        <v>0</v>
      </c>
      <c r="Z4366">
        <v>0</v>
      </c>
      <c r="AA4366">
        <v>0</v>
      </c>
      <c r="AB4366">
        <v>0</v>
      </c>
      <c r="AC4366">
        <v>0</v>
      </c>
      <c r="AD4366">
        <v>0</v>
      </c>
      <c r="AE4366">
        <v>0</v>
      </c>
      <c r="AF4366">
        <v>0</v>
      </c>
      <c r="AG4366">
        <v>0</v>
      </c>
      <c r="AH4366">
        <v>0</v>
      </c>
      <c r="AI4366">
        <v>0</v>
      </c>
      <c r="AJ4366">
        <v>0</v>
      </c>
      <c r="AK4366">
        <v>0</v>
      </c>
      <c r="AL4366">
        <v>0</v>
      </c>
      <c r="AM4366">
        <v>0</v>
      </c>
      <c r="AN4366">
        <v>0</v>
      </c>
      <c r="AO4366">
        <v>0</v>
      </c>
      <c r="AP4366">
        <v>0</v>
      </c>
      <c r="AQ4366">
        <v>0</v>
      </c>
      <c r="AR4366">
        <v>0</v>
      </c>
      <c r="AS4366">
        <v>0</v>
      </c>
      <c r="AT4366">
        <v>0</v>
      </c>
      <c r="AU4366">
        <f t="shared" si="134"/>
        <v>0</v>
      </c>
      <c r="AV4366">
        <f t="shared" si="135"/>
        <v>0</v>
      </c>
    </row>
    <row r="4367" spans="1:48" x14ac:dyDescent="0.25">
      <c r="A4367" t="s">
        <v>12885</v>
      </c>
      <c r="B4367" t="s">
        <v>12885</v>
      </c>
      <c r="C4367" t="s">
        <v>12886</v>
      </c>
      <c r="D4367" t="s">
        <v>12612</v>
      </c>
      <c r="E4367" t="s">
        <v>2310</v>
      </c>
      <c r="F4367">
        <v>8</v>
      </c>
      <c r="G4367">
        <v>8.1</v>
      </c>
      <c r="H4367" t="s">
        <v>2323</v>
      </c>
      <c r="I4367" s="21">
        <v>42165.641909722202</v>
      </c>
      <c r="J4367">
        <v>2015</v>
      </c>
      <c r="K4367" s="21">
        <v>42269.427592592598</v>
      </c>
      <c r="L4367">
        <v>2015</v>
      </c>
      <c r="M4367" s="21">
        <v>42664.418321759302</v>
      </c>
      <c r="N4367">
        <v>2016</v>
      </c>
      <c r="Q4367" s="262">
        <v>180000</v>
      </c>
      <c r="R4367" s="262">
        <v>60000</v>
      </c>
      <c r="S4367" t="s">
        <v>114</v>
      </c>
      <c r="T4367" t="s">
        <v>114</v>
      </c>
      <c r="W4367">
        <v>1260</v>
      </c>
      <c r="X4367">
        <v>0</v>
      </c>
      <c r="Y4367">
        <v>0</v>
      </c>
      <c r="Z4367">
        <v>0</v>
      </c>
      <c r="AA4367">
        <v>0</v>
      </c>
      <c r="AB4367">
        <v>0</v>
      </c>
      <c r="AC4367">
        <v>1260</v>
      </c>
      <c r="AD4367">
        <v>0</v>
      </c>
      <c r="AE4367">
        <v>0</v>
      </c>
      <c r="AF4367">
        <v>0</v>
      </c>
      <c r="AG4367">
        <v>0</v>
      </c>
      <c r="AH4367">
        <v>0</v>
      </c>
      <c r="AI4367">
        <v>0</v>
      </c>
      <c r="AJ4367">
        <v>0</v>
      </c>
      <c r="AK4367">
        <v>0</v>
      </c>
      <c r="AL4367">
        <v>0</v>
      </c>
      <c r="AM4367">
        <v>0</v>
      </c>
      <c r="AN4367">
        <v>0</v>
      </c>
      <c r="AO4367">
        <v>0</v>
      </c>
      <c r="AP4367">
        <v>0</v>
      </c>
      <c r="AQ4367">
        <v>0</v>
      </c>
      <c r="AR4367">
        <v>0</v>
      </c>
      <c r="AS4367">
        <v>0</v>
      </c>
      <c r="AT4367">
        <v>0</v>
      </c>
      <c r="AU4367">
        <f t="shared" si="134"/>
        <v>0</v>
      </c>
      <c r="AV4367">
        <f t="shared" si="135"/>
        <v>0</v>
      </c>
    </row>
    <row r="4368" spans="1:48" x14ac:dyDescent="0.25">
      <c r="A4368" t="s">
        <v>12887</v>
      </c>
      <c r="B4368" t="s">
        <v>12887</v>
      </c>
      <c r="C4368" t="s">
        <v>12888</v>
      </c>
      <c r="D4368" t="s">
        <v>12612</v>
      </c>
      <c r="E4368" t="s">
        <v>2310</v>
      </c>
      <c r="F4368">
        <v>8</v>
      </c>
      <c r="G4368">
        <v>8.1</v>
      </c>
      <c r="H4368" t="s">
        <v>2323</v>
      </c>
      <c r="I4368" s="21">
        <v>42165.668611111098</v>
      </c>
      <c r="J4368">
        <v>2015</v>
      </c>
      <c r="K4368" s="21">
        <v>42201.597604166702</v>
      </c>
      <c r="L4368">
        <v>2015</v>
      </c>
      <c r="M4368" s="21">
        <v>42723.465219907397</v>
      </c>
      <c r="N4368">
        <v>2016</v>
      </c>
      <c r="Q4368" s="262">
        <v>600000</v>
      </c>
      <c r="R4368" s="262">
        <v>93000</v>
      </c>
      <c r="S4368" t="s">
        <v>114</v>
      </c>
      <c r="T4368" t="s">
        <v>114</v>
      </c>
      <c r="W4368">
        <v>775</v>
      </c>
      <c r="X4368">
        <v>1</v>
      </c>
      <c r="Y4368">
        <v>0</v>
      </c>
      <c r="Z4368">
        <v>0</v>
      </c>
      <c r="AA4368">
        <v>0</v>
      </c>
      <c r="AB4368">
        <v>0</v>
      </c>
      <c r="AC4368">
        <v>0</v>
      </c>
      <c r="AD4368">
        <v>0</v>
      </c>
      <c r="AE4368">
        <v>0</v>
      </c>
      <c r="AF4368">
        <v>775</v>
      </c>
      <c r="AG4368">
        <v>0</v>
      </c>
      <c r="AH4368">
        <v>0</v>
      </c>
      <c r="AI4368">
        <v>0</v>
      </c>
      <c r="AJ4368">
        <v>0</v>
      </c>
      <c r="AK4368">
        <v>0</v>
      </c>
      <c r="AL4368">
        <v>0</v>
      </c>
      <c r="AM4368">
        <v>0</v>
      </c>
      <c r="AN4368">
        <v>0</v>
      </c>
      <c r="AO4368">
        <v>0</v>
      </c>
      <c r="AP4368">
        <v>0</v>
      </c>
      <c r="AQ4368">
        <v>0</v>
      </c>
      <c r="AR4368">
        <v>1</v>
      </c>
      <c r="AS4368">
        <v>0</v>
      </c>
      <c r="AT4368">
        <v>0</v>
      </c>
      <c r="AU4368">
        <f t="shared" si="134"/>
        <v>0</v>
      </c>
      <c r="AV4368">
        <f t="shared" si="135"/>
        <v>0</v>
      </c>
    </row>
    <row r="4369" spans="1:48" x14ac:dyDescent="0.25">
      <c r="A4369" t="s">
        <v>12889</v>
      </c>
      <c r="B4369" t="s">
        <v>12889</v>
      </c>
      <c r="C4369" t="s">
        <v>12890</v>
      </c>
      <c r="D4369" t="s">
        <v>4665</v>
      </c>
      <c r="E4369" t="s">
        <v>2310</v>
      </c>
      <c r="F4369">
        <v>10</v>
      </c>
      <c r="G4369">
        <v>10.1</v>
      </c>
      <c r="H4369" t="s">
        <v>2323</v>
      </c>
      <c r="I4369" s="21">
        <v>42166.618125000001</v>
      </c>
      <c r="J4369">
        <v>2015</v>
      </c>
      <c r="K4369" s="21">
        <v>42300.678090277797</v>
      </c>
      <c r="L4369">
        <v>2015</v>
      </c>
      <c r="M4369" s="21">
        <v>42500.382939814801</v>
      </c>
      <c r="N4369">
        <v>2016</v>
      </c>
      <c r="Q4369" s="262">
        <v>165000</v>
      </c>
      <c r="R4369" s="262">
        <v>124000</v>
      </c>
      <c r="S4369" t="s">
        <v>114</v>
      </c>
      <c r="T4369" t="s">
        <v>114</v>
      </c>
      <c r="W4369">
        <v>1100</v>
      </c>
      <c r="X4369">
        <v>0</v>
      </c>
      <c r="Y4369">
        <v>0</v>
      </c>
      <c r="Z4369">
        <v>0</v>
      </c>
      <c r="AA4369">
        <v>0</v>
      </c>
      <c r="AB4369">
        <v>0</v>
      </c>
      <c r="AC4369">
        <v>1100</v>
      </c>
      <c r="AD4369">
        <v>0</v>
      </c>
      <c r="AE4369">
        <v>0</v>
      </c>
      <c r="AF4369">
        <v>0</v>
      </c>
      <c r="AG4369">
        <v>0</v>
      </c>
      <c r="AH4369">
        <v>0</v>
      </c>
      <c r="AI4369">
        <v>0</v>
      </c>
      <c r="AJ4369">
        <v>0</v>
      </c>
      <c r="AK4369">
        <v>0</v>
      </c>
      <c r="AL4369">
        <v>0</v>
      </c>
      <c r="AM4369">
        <v>0</v>
      </c>
      <c r="AN4369">
        <v>0</v>
      </c>
      <c r="AO4369">
        <v>0</v>
      </c>
      <c r="AP4369">
        <v>0</v>
      </c>
      <c r="AQ4369">
        <v>0</v>
      </c>
      <c r="AR4369">
        <v>0</v>
      </c>
      <c r="AS4369">
        <v>0</v>
      </c>
      <c r="AT4369">
        <v>0</v>
      </c>
      <c r="AU4369">
        <f t="shared" si="134"/>
        <v>0</v>
      </c>
      <c r="AV4369">
        <f t="shared" si="135"/>
        <v>0</v>
      </c>
    </row>
    <row r="4370" spans="1:48" x14ac:dyDescent="0.25">
      <c r="A4370" t="s">
        <v>17682</v>
      </c>
      <c r="B4370" t="s">
        <v>17682</v>
      </c>
      <c r="C4370" t="s">
        <v>17683</v>
      </c>
      <c r="D4370" t="s">
        <v>17684</v>
      </c>
      <c r="E4370" t="s">
        <v>2310</v>
      </c>
      <c r="F4370">
        <v>9</v>
      </c>
      <c r="G4370">
        <v>9.3000000000000007</v>
      </c>
      <c r="H4370" t="s">
        <v>2323</v>
      </c>
      <c r="I4370" s="21">
        <v>42170.480092592596</v>
      </c>
      <c r="J4370">
        <v>2015</v>
      </c>
      <c r="K4370" s="21">
        <v>42912.547673611109</v>
      </c>
      <c r="L4370">
        <v>2017</v>
      </c>
      <c r="M4370" s="21">
        <v>42912.547673611109</v>
      </c>
      <c r="N4370">
        <v>2017</v>
      </c>
      <c r="Q4370" s="262">
        <v>2500000</v>
      </c>
      <c r="R4370" s="262">
        <v>1054000</v>
      </c>
      <c r="S4370" t="s">
        <v>13254</v>
      </c>
      <c r="W4370">
        <v>8085</v>
      </c>
      <c r="X4370">
        <v>1</v>
      </c>
      <c r="Y4370">
        <v>0</v>
      </c>
      <c r="Z4370">
        <v>0</v>
      </c>
      <c r="AA4370">
        <v>0</v>
      </c>
      <c r="AB4370">
        <v>0</v>
      </c>
      <c r="AC4370">
        <v>8085</v>
      </c>
      <c r="AD4370">
        <v>0</v>
      </c>
      <c r="AE4370">
        <v>0</v>
      </c>
      <c r="AF4370">
        <v>0</v>
      </c>
      <c r="AG4370">
        <v>0</v>
      </c>
      <c r="AH4370">
        <v>0</v>
      </c>
      <c r="AI4370">
        <v>0</v>
      </c>
      <c r="AJ4370">
        <v>0</v>
      </c>
      <c r="AK4370">
        <v>0</v>
      </c>
      <c r="AL4370">
        <v>0</v>
      </c>
      <c r="AM4370">
        <v>0</v>
      </c>
      <c r="AN4370">
        <v>0</v>
      </c>
      <c r="AO4370">
        <v>1</v>
      </c>
      <c r="AP4370">
        <v>0</v>
      </c>
      <c r="AQ4370">
        <v>0</v>
      </c>
      <c r="AR4370">
        <v>0</v>
      </c>
      <c r="AS4370">
        <v>0</v>
      </c>
      <c r="AT4370">
        <v>0</v>
      </c>
      <c r="AU4370">
        <f t="shared" si="134"/>
        <v>1</v>
      </c>
      <c r="AV4370">
        <f t="shared" si="135"/>
        <v>0</v>
      </c>
    </row>
    <row r="4371" spans="1:48" x14ac:dyDescent="0.25">
      <c r="A4371" t="s">
        <v>12891</v>
      </c>
      <c r="B4371" t="s">
        <v>12891</v>
      </c>
      <c r="C4371" t="s">
        <v>12892</v>
      </c>
      <c r="D4371" t="s">
        <v>9587</v>
      </c>
      <c r="E4371" t="s">
        <v>2310</v>
      </c>
      <c r="F4371">
        <v>11</v>
      </c>
      <c r="G4371">
        <v>11.1</v>
      </c>
      <c r="H4371" t="s">
        <v>2327</v>
      </c>
      <c r="I4371" s="21">
        <v>42170.600624999999</v>
      </c>
      <c r="J4371">
        <v>2015</v>
      </c>
      <c r="K4371" s="21">
        <v>42200.530555555597</v>
      </c>
      <c r="L4371">
        <v>2015</v>
      </c>
      <c r="M4371" s="21">
        <v>42247.399456018502</v>
      </c>
      <c r="N4371">
        <v>2015</v>
      </c>
      <c r="Q4371" s="262">
        <v>78000</v>
      </c>
      <c r="R4371" s="262">
        <v>185000</v>
      </c>
      <c r="S4371" t="s">
        <v>114</v>
      </c>
      <c r="T4371" t="s">
        <v>114</v>
      </c>
      <c r="V4371">
        <v>4414</v>
      </c>
      <c r="W4371">
        <v>0</v>
      </c>
      <c r="X4371">
        <v>0</v>
      </c>
      <c r="Y4371">
        <v>0</v>
      </c>
      <c r="Z4371">
        <v>0</v>
      </c>
      <c r="AA4371">
        <v>0</v>
      </c>
      <c r="AB4371">
        <v>0</v>
      </c>
      <c r="AC4371">
        <v>0</v>
      </c>
      <c r="AD4371">
        <v>0</v>
      </c>
      <c r="AE4371">
        <v>0</v>
      </c>
      <c r="AF4371">
        <v>0</v>
      </c>
      <c r="AG4371">
        <v>0</v>
      </c>
      <c r="AH4371">
        <v>0</v>
      </c>
      <c r="AI4371">
        <v>0</v>
      </c>
      <c r="AJ4371">
        <v>0</v>
      </c>
      <c r="AK4371">
        <v>0</v>
      </c>
      <c r="AL4371">
        <v>0</v>
      </c>
      <c r="AM4371">
        <v>0</v>
      </c>
      <c r="AN4371">
        <v>0</v>
      </c>
      <c r="AO4371">
        <v>0</v>
      </c>
      <c r="AP4371">
        <v>0</v>
      </c>
      <c r="AQ4371">
        <v>0</v>
      </c>
      <c r="AR4371">
        <v>0</v>
      </c>
      <c r="AS4371">
        <v>0</v>
      </c>
      <c r="AT4371">
        <v>0</v>
      </c>
      <c r="AU4371">
        <f t="shared" si="134"/>
        <v>0</v>
      </c>
      <c r="AV4371">
        <f t="shared" si="135"/>
        <v>0</v>
      </c>
    </row>
    <row r="4372" spans="1:48" x14ac:dyDescent="0.25">
      <c r="A4372" t="s">
        <v>12893</v>
      </c>
      <c r="C4372" t="s">
        <v>11240</v>
      </c>
      <c r="D4372" t="s">
        <v>12894</v>
      </c>
      <c r="E4372" t="s">
        <v>1663</v>
      </c>
      <c r="F4372">
        <v>3</v>
      </c>
      <c r="G4372">
        <v>3.1</v>
      </c>
      <c r="H4372" t="s">
        <v>2017</v>
      </c>
      <c r="I4372" s="21">
        <v>42171</v>
      </c>
      <c r="J4372">
        <v>2015</v>
      </c>
      <c r="K4372" s="21">
        <v>42200</v>
      </c>
      <c r="L4372">
        <v>2015</v>
      </c>
      <c r="M4372" s="21">
        <v>42640</v>
      </c>
      <c r="N4372">
        <v>2016</v>
      </c>
      <c r="Q4372" s="262">
        <v>750000</v>
      </c>
      <c r="S4372" t="s">
        <v>114</v>
      </c>
      <c r="T4372" t="s">
        <v>114</v>
      </c>
      <c r="W4372">
        <v>2986</v>
      </c>
      <c r="X4372">
        <v>1</v>
      </c>
      <c r="Y4372">
        <v>0</v>
      </c>
      <c r="Z4372">
        <v>0</v>
      </c>
      <c r="AA4372">
        <v>0</v>
      </c>
      <c r="AB4372">
        <v>0</v>
      </c>
      <c r="AC4372">
        <v>2986</v>
      </c>
      <c r="AD4372">
        <v>0</v>
      </c>
      <c r="AE4372">
        <v>0</v>
      </c>
      <c r="AF4372">
        <v>0</v>
      </c>
      <c r="AG4372">
        <v>0</v>
      </c>
      <c r="AH4372">
        <v>0</v>
      </c>
      <c r="AI4372">
        <v>0</v>
      </c>
      <c r="AJ4372">
        <v>0</v>
      </c>
      <c r="AK4372">
        <v>0</v>
      </c>
      <c r="AL4372">
        <v>0</v>
      </c>
      <c r="AM4372">
        <v>0</v>
      </c>
      <c r="AN4372">
        <v>0</v>
      </c>
      <c r="AO4372">
        <v>1</v>
      </c>
      <c r="AP4372">
        <v>0</v>
      </c>
      <c r="AQ4372">
        <v>0</v>
      </c>
      <c r="AR4372">
        <v>0</v>
      </c>
      <c r="AS4372">
        <v>0</v>
      </c>
      <c r="AT4372">
        <v>0</v>
      </c>
      <c r="AU4372">
        <f t="shared" si="134"/>
        <v>1</v>
      </c>
      <c r="AV4372">
        <f t="shared" si="135"/>
        <v>0</v>
      </c>
    </row>
    <row r="4373" spans="1:48" x14ac:dyDescent="0.25">
      <c r="A4373" t="s">
        <v>12895</v>
      </c>
      <c r="B4373" t="s">
        <v>12895</v>
      </c>
      <c r="C4373" t="s">
        <v>12896</v>
      </c>
      <c r="D4373" t="s">
        <v>12897</v>
      </c>
      <c r="E4373" t="s">
        <v>2310</v>
      </c>
      <c r="F4373">
        <v>9</v>
      </c>
      <c r="G4373">
        <v>9.1</v>
      </c>
      <c r="H4373" t="s">
        <v>2323</v>
      </c>
      <c r="I4373" s="21">
        <v>42171.390300925901</v>
      </c>
      <c r="J4373">
        <v>2015</v>
      </c>
      <c r="K4373" s="21">
        <v>42202.387384259302</v>
      </c>
      <c r="L4373">
        <v>2015</v>
      </c>
      <c r="M4373" s="21">
        <v>42304.3464467593</v>
      </c>
      <c r="N4373">
        <v>2015</v>
      </c>
      <c r="Q4373" s="262">
        <v>100000</v>
      </c>
      <c r="R4373" s="262">
        <v>30000</v>
      </c>
      <c r="S4373" t="s">
        <v>114</v>
      </c>
      <c r="T4373" t="s">
        <v>114</v>
      </c>
      <c r="W4373">
        <v>790</v>
      </c>
      <c r="X4373">
        <v>0</v>
      </c>
      <c r="Y4373">
        <v>0</v>
      </c>
      <c r="Z4373">
        <v>0</v>
      </c>
      <c r="AA4373">
        <v>0</v>
      </c>
      <c r="AB4373">
        <v>0</v>
      </c>
      <c r="AC4373">
        <v>790</v>
      </c>
      <c r="AD4373">
        <v>0</v>
      </c>
      <c r="AE4373">
        <v>0</v>
      </c>
      <c r="AF4373">
        <v>0</v>
      </c>
      <c r="AG4373">
        <v>0</v>
      </c>
      <c r="AH4373">
        <v>0</v>
      </c>
      <c r="AI4373">
        <v>0</v>
      </c>
      <c r="AJ4373">
        <v>0</v>
      </c>
      <c r="AK4373">
        <v>0</v>
      </c>
      <c r="AL4373">
        <v>0</v>
      </c>
      <c r="AM4373">
        <v>0</v>
      </c>
      <c r="AN4373">
        <v>0</v>
      </c>
      <c r="AO4373">
        <v>0</v>
      </c>
      <c r="AP4373">
        <v>0</v>
      </c>
      <c r="AQ4373">
        <v>0</v>
      </c>
      <c r="AR4373">
        <v>0</v>
      </c>
      <c r="AS4373">
        <v>0</v>
      </c>
      <c r="AT4373">
        <v>0</v>
      </c>
      <c r="AU4373">
        <f t="shared" si="134"/>
        <v>0</v>
      </c>
      <c r="AV4373">
        <f t="shared" si="135"/>
        <v>0</v>
      </c>
    </row>
    <row r="4374" spans="1:48" x14ac:dyDescent="0.25">
      <c r="A4374" t="s">
        <v>12898</v>
      </c>
      <c r="B4374" t="s">
        <v>12898</v>
      </c>
      <c r="C4374" t="s">
        <v>12899</v>
      </c>
      <c r="D4374" t="s">
        <v>12900</v>
      </c>
      <c r="E4374" t="s">
        <v>2310</v>
      </c>
      <c r="F4374">
        <v>15</v>
      </c>
      <c r="G4374">
        <v>15.1</v>
      </c>
      <c r="H4374" t="s">
        <v>2022</v>
      </c>
      <c r="I4374" s="21">
        <v>42171.650381944397</v>
      </c>
      <c r="J4374">
        <v>2015</v>
      </c>
      <c r="K4374" s="21">
        <v>42202.580428240697</v>
      </c>
      <c r="L4374">
        <v>2015</v>
      </c>
      <c r="M4374" s="21">
        <v>42615.3686689815</v>
      </c>
      <c r="N4374">
        <v>2016</v>
      </c>
      <c r="Q4374" s="262">
        <v>350000</v>
      </c>
      <c r="R4374" s="262">
        <v>244000</v>
      </c>
      <c r="S4374" t="s">
        <v>114</v>
      </c>
      <c r="T4374" t="s">
        <v>114</v>
      </c>
      <c r="W4374">
        <v>2159</v>
      </c>
      <c r="X4374">
        <v>1</v>
      </c>
      <c r="Y4374">
        <v>0</v>
      </c>
      <c r="Z4374">
        <v>0</v>
      </c>
      <c r="AA4374">
        <v>0</v>
      </c>
      <c r="AB4374">
        <v>0</v>
      </c>
      <c r="AC4374">
        <v>2159</v>
      </c>
      <c r="AD4374">
        <v>0</v>
      </c>
      <c r="AE4374">
        <v>0</v>
      </c>
      <c r="AF4374">
        <v>0</v>
      </c>
      <c r="AG4374">
        <v>0</v>
      </c>
      <c r="AH4374">
        <v>0</v>
      </c>
      <c r="AI4374">
        <v>0</v>
      </c>
      <c r="AJ4374">
        <v>0</v>
      </c>
      <c r="AK4374">
        <v>0</v>
      </c>
      <c r="AL4374">
        <v>0</v>
      </c>
      <c r="AM4374">
        <v>0</v>
      </c>
      <c r="AN4374">
        <v>0</v>
      </c>
      <c r="AO4374">
        <v>1</v>
      </c>
      <c r="AP4374">
        <v>0</v>
      </c>
      <c r="AQ4374">
        <v>0</v>
      </c>
      <c r="AR4374">
        <v>0</v>
      </c>
      <c r="AS4374">
        <v>0</v>
      </c>
      <c r="AT4374">
        <v>0</v>
      </c>
      <c r="AU4374">
        <f t="shared" si="134"/>
        <v>1</v>
      </c>
      <c r="AV4374">
        <f t="shared" si="135"/>
        <v>0</v>
      </c>
    </row>
    <row r="4375" spans="1:48" x14ac:dyDescent="0.25">
      <c r="A4375" t="s">
        <v>12901</v>
      </c>
      <c r="B4375" t="s">
        <v>12901</v>
      </c>
      <c r="C4375" t="s">
        <v>12902</v>
      </c>
      <c r="D4375" t="s">
        <v>1585</v>
      </c>
      <c r="E4375" t="s">
        <v>2310</v>
      </c>
      <c r="F4375">
        <v>9</v>
      </c>
      <c r="G4375">
        <v>9.1999999999999993</v>
      </c>
      <c r="H4375" t="s">
        <v>2022</v>
      </c>
      <c r="I4375" s="21">
        <v>42172.6410763889</v>
      </c>
      <c r="J4375">
        <v>2015</v>
      </c>
      <c r="K4375" s="21">
        <v>42220.417870370402</v>
      </c>
      <c r="L4375">
        <v>2015</v>
      </c>
      <c r="M4375" s="21">
        <v>42339.413472222201</v>
      </c>
      <c r="N4375">
        <v>2015</v>
      </c>
      <c r="Q4375" s="262">
        <v>65000</v>
      </c>
      <c r="R4375" s="262">
        <v>53000</v>
      </c>
      <c r="S4375" t="s">
        <v>114</v>
      </c>
      <c r="T4375" t="s">
        <v>114</v>
      </c>
      <c r="V4375">
        <v>570</v>
      </c>
      <c r="W4375">
        <v>0</v>
      </c>
      <c r="X4375">
        <v>0</v>
      </c>
      <c r="Y4375">
        <v>0</v>
      </c>
      <c r="Z4375">
        <v>0</v>
      </c>
      <c r="AA4375">
        <v>0</v>
      </c>
      <c r="AB4375">
        <v>0</v>
      </c>
      <c r="AC4375">
        <v>0</v>
      </c>
      <c r="AD4375">
        <v>0</v>
      </c>
      <c r="AE4375">
        <v>0</v>
      </c>
      <c r="AF4375">
        <v>0</v>
      </c>
      <c r="AG4375">
        <v>0</v>
      </c>
      <c r="AH4375">
        <v>0</v>
      </c>
      <c r="AI4375">
        <v>0</v>
      </c>
      <c r="AJ4375">
        <v>0</v>
      </c>
      <c r="AK4375">
        <v>0</v>
      </c>
      <c r="AL4375">
        <v>0</v>
      </c>
      <c r="AM4375">
        <v>0</v>
      </c>
      <c r="AN4375">
        <v>0</v>
      </c>
      <c r="AO4375">
        <v>0</v>
      </c>
      <c r="AP4375">
        <v>0</v>
      </c>
      <c r="AQ4375">
        <v>0</v>
      </c>
      <c r="AR4375">
        <v>0</v>
      </c>
      <c r="AS4375">
        <v>0</v>
      </c>
      <c r="AT4375">
        <v>0</v>
      </c>
      <c r="AU4375">
        <f t="shared" si="134"/>
        <v>0</v>
      </c>
      <c r="AV4375">
        <f t="shared" si="135"/>
        <v>0</v>
      </c>
    </row>
    <row r="4376" spans="1:48" x14ac:dyDescent="0.25">
      <c r="A4376" t="s">
        <v>12903</v>
      </c>
      <c r="B4376" t="s">
        <v>12903</v>
      </c>
      <c r="C4376" t="s">
        <v>12904</v>
      </c>
      <c r="D4376" t="s">
        <v>12905</v>
      </c>
      <c r="E4376" t="s">
        <v>2310</v>
      </c>
      <c r="F4376">
        <v>12</v>
      </c>
      <c r="G4376">
        <v>12.3</v>
      </c>
      <c r="H4376" t="s">
        <v>2017</v>
      </c>
      <c r="I4376" s="21">
        <v>42172.672847222202</v>
      </c>
      <c r="J4376">
        <v>2015</v>
      </c>
      <c r="K4376" s="21">
        <v>42255.478437500002</v>
      </c>
      <c r="L4376">
        <v>2015</v>
      </c>
      <c r="M4376" s="21">
        <v>42489.584305555603</v>
      </c>
      <c r="N4376">
        <v>2016</v>
      </c>
      <c r="Q4376" s="262">
        <v>150000</v>
      </c>
      <c r="R4376" s="262">
        <v>38000</v>
      </c>
      <c r="S4376" t="s">
        <v>114</v>
      </c>
      <c r="T4376" t="s">
        <v>114</v>
      </c>
      <c r="W4376">
        <v>295</v>
      </c>
      <c r="X4376">
        <v>0</v>
      </c>
      <c r="Y4376">
        <v>0</v>
      </c>
      <c r="Z4376">
        <v>0</v>
      </c>
      <c r="AA4376">
        <v>0</v>
      </c>
      <c r="AB4376">
        <v>0</v>
      </c>
      <c r="AC4376">
        <v>0</v>
      </c>
      <c r="AD4376">
        <v>0</v>
      </c>
      <c r="AE4376">
        <v>0</v>
      </c>
      <c r="AF4376">
        <v>0</v>
      </c>
      <c r="AG4376">
        <v>0</v>
      </c>
      <c r="AH4376">
        <v>0</v>
      </c>
      <c r="AI4376">
        <v>0</v>
      </c>
      <c r="AJ4376">
        <v>0</v>
      </c>
      <c r="AK4376">
        <v>295</v>
      </c>
      <c r="AL4376">
        <v>0</v>
      </c>
      <c r="AM4376">
        <v>0</v>
      </c>
      <c r="AN4376">
        <v>0</v>
      </c>
      <c r="AO4376">
        <v>0</v>
      </c>
      <c r="AP4376">
        <v>0</v>
      </c>
      <c r="AQ4376">
        <v>0</v>
      </c>
      <c r="AR4376">
        <v>0</v>
      </c>
      <c r="AS4376">
        <v>0</v>
      </c>
      <c r="AT4376">
        <v>0</v>
      </c>
      <c r="AU4376">
        <f t="shared" si="134"/>
        <v>0</v>
      </c>
      <c r="AV4376">
        <f t="shared" si="135"/>
        <v>295</v>
      </c>
    </row>
    <row r="4377" spans="1:48" x14ac:dyDescent="0.25">
      <c r="A4377" t="s">
        <v>17685</v>
      </c>
      <c r="B4377" t="s">
        <v>17685</v>
      </c>
      <c r="C4377" t="s">
        <v>17686</v>
      </c>
      <c r="D4377" t="s">
        <v>3534</v>
      </c>
      <c r="E4377" t="s">
        <v>2310</v>
      </c>
      <c r="F4377">
        <v>8</v>
      </c>
      <c r="G4377">
        <v>8.1</v>
      </c>
      <c r="H4377" t="s">
        <v>2323</v>
      </c>
      <c r="I4377" s="21">
        <v>42173.579398148147</v>
      </c>
      <c r="J4377">
        <v>2015</v>
      </c>
      <c r="K4377" s="21">
        <v>42790.351655092592</v>
      </c>
      <c r="L4377">
        <v>2017</v>
      </c>
      <c r="M4377" s="21">
        <v>42790.351655092592</v>
      </c>
      <c r="N4377">
        <v>2017</v>
      </c>
      <c r="Q4377" s="262">
        <v>200000</v>
      </c>
      <c r="R4377" s="262">
        <v>118000</v>
      </c>
      <c r="S4377" t="s">
        <v>13253</v>
      </c>
      <c r="T4377">
        <v>5816</v>
      </c>
      <c r="W4377">
        <v>806</v>
      </c>
      <c r="X4377">
        <v>1</v>
      </c>
      <c r="Y4377">
        <v>0</v>
      </c>
      <c r="Z4377">
        <v>0</v>
      </c>
      <c r="AA4377">
        <v>0</v>
      </c>
      <c r="AB4377">
        <v>0</v>
      </c>
      <c r="AC4377">
        <v>0</v>
      </c>
      <c r="AD4377">
        <v>0</v>
      </c>
      <c r="AE4377">
        <v>0</v>
      </c>
      <c r="AF4377">
        <v>806</v>
      </c>
      <c r="AG4377">
        <v>0</v>
      </c>
      <c r="AH4377">
        <v>0</v>
      </c>
      <c r="AI4377">
        <v>0</v>
      </c>
      <c r="AJ4377">
        <v>0</v>
      </c>
      <c r="AK4377">
        <v>0</v>
      </c>
      <c r="AL4377">
        <v>0</v>
      </c>
      <c r="AM4377">
        <v>0</v>
      </c>
      <c r="AN4377">
        <v>0</v>
      </c>
      <c r="AO4377">
        <v>0</v>
      </c>
      <c r="AP4377">
        <v>0</v>
      </c>
      <c r="AQ4377">
        <v>0</v>
      </c>
      <c r="AR4377">
        <v>1</v>
      </c>
      <c r="AS4377">
        <v>0</v>
      </c>
      <c r="AT4377">
        <v>0</v>
      </c>
      <c r="AU4377">
        <f t="shared" ref="AU4377:AU4440" si="136">SUM(AN4377:AQ4377,AS4377)</f>
        <v>0</v>
      </c>
      <c r="AV4377">
        <f t="shared" ref="AV4377:AV4440" si="137">SUM(Y4377:AB4377,AH4377:AM4377)</f>
        <v>0</v>
      </c>
    </row>
    <row r="4378" spans="1:48" x14ac:dyDescent="0.25">
      <c r="A4378" t="s">
        <v>12906</v>
      </c>
      <c r="C4378" t="s">
        <v>12907</v>
      </c>
      <c r="D4378" t="s">
        <v>11780</v>
      </c>
      <c r="E4378" t="s">
        <v>1663</v>
      </c>
      <c r="F4378">
        <v>1</v>
      </c>
      <c r="G4378">
        <v>1.2</v>
      </c>
      <c r="H4378" t="s">
        <v>2017</v>
      </c>
      <c r="I4378" s="21">
        <v>42174</v>
      </c>
      <c r="J4378">
        <v>2015</v>
      </c>
      <c r="K4378" s="21">
        <v>42205</v>
      </c>
      <c r="L4378">
        <v>2015</v>
      </c>
      <c r="M4378" s="21">
        <v>42389</v>
      </c>
      <c r="N4378">
        <v>2016</v>
      </c>
      <c r="Q4378" s="262">
        <v>40000</v>
      </c>
      <c r="S4378" t="s">
        <v>114</v>
      </c>
      <c r="T4378" t="s">
        <v>114</v>
      </c>
      <c r="V4378">
        <v>2222</v>
      </c>
      <c r="W4378">
        <v>0</v>
      </c>
      <c r="X4378">
        <v>0</v>
      </c>
      <c r="Y4378">
        <v>0</v>
      </c>
      <c r="Z4378">
        <v>0</v>
      </c>
      <c r="AA4378">
        <v>0</v>
      </c>
      <c r="AB4378">
        <v>0</v>
      </c>
      <c r="AC4378">
        <v>0</v>
      </c>
      <c r="AD4378">
        <v>0</v>
      </c>
      <c r="AE4378">
        <v>0</v>
      </c>
      <c r="AF4378">
        <v>0</v>
      </c>
      <c r="AG4378">
        <v>0</v>
      </c>
      <c r="AH4378">
        <v>0</v>
      </c>
      <c r="AI4378">
        <v>0</v>
      </c>
      <c r="AJ4378">
        <v>0</v>
      </c>
      <c r="AK4378">
        <v>0</v>
      </c>
      <c r="AL4378">
        <v>0</v>
      </c>
      <c r="AM4378">
        <v>0</v>
      </c>
      <c r="AN4378">
        <v>0</v>
      </c>
      <c r="AO4378">
        <v>0</v>
      </c>
      <c r="AP4378">
        <v>0</v>
      </c>
      <c r="AQ4378">
        <v>0</v>
      </c>
      <c r="AR4378">
        <v>0</v>
      </c>
      <c r="AS4378">
        <v>0</v>
      </c>
      <c r="AT4378">
        <v>0</v>
      </c>
      <c r="AU4378">
        <f t="shared" si="136"/>
        <v>0</v>
      </c>
      <c r="AV4378">
        <f t="shared" si="137"/>
        <v>0</v>
      </c>
    </row>
    <row r="4379" spans="1:48" x14ac:dyDescent="0.25">
      <c r="A4379" t="s">
        <v>12908</v>
      </c>
      <c r="C4379" t="s">
        <v>12909</v>
      </c>
      <c r="D4379" t="s">
        <v>12910</v>
      </c>
      <c r="E4379" t="s">
        <v>1663</v>
      </c>
      <c r="F4379">
        <v>3</v>
      </c>
      <c r="G4379">
        <v>3.2</v>
      </c>
      <c r="H4379" t="s">
        <v>2327</v>
      </c>
      <c r="I4379" s="21">
        <v>42179</v>
      </c>
      <c r="J4379">
        <v>2015</v>
      </c>
      <c r="K4379" s="21">
        <v>42200</v>
      </c>
      <c r="L4379">
        <v>2015</v>
      </c>
      <c r="M4379" s="21">
        <v>42691</v>
      </c>
      <c r="N4379">
        <v>2016</v>
      </c>
      <c r="Q4379" s="262">
        <v>150000</v>
      </c>
      <c r="S4379" t="s">
        <v>114</v>
      </c>
      <c r="T4379" t="s">
        <v>114</v>
      </c>
      <c r="V4379">
        <v>0</v>
      </c>
      <c r="W4379">
        <v>455</v>
      </c>
      <c r="X4379">
        <v>0</v>
      </c>
      <c r="Y4379">
        <v>0</v>
      </c>
      <c r="Z4379">
        <v>0</v>
      </c>
      <c r="AA4379">
        <v>0</v>
      </c>
      <c r="AB4379">
        <v>0</v>
      </c>
      <c r="AC4379">
        <v>455</v>
      </c>
      <c r="AD4379">
        <v>0</v>
      </c>
      <c r="AE4379">
        <v>0</v>
      </c>
      <c r="AF4379">
        <v>0</v>
      </c>
      <c r="AG4379">
        <v>0</v>
      </c>
      <c r="AH4379">
        <v>0</v>
      </c>
      <c r="AI4379">
        <v>0</v>
      </c>
      <c r="AJ4379">
        <v>0</v>
      </c>
      <c r="AK4379">
        <v>0</v>
      </c>
      <c r="AL4379">
        <v>0</v>
      </c>
      <c r="AM4379">
        <v>0</v>
      </c>
      <c r="AN4379">
        <v>0</v>
      </c>
      <c r="AO4379">
        <v>0</v>
      </c>
      <c r="AP4379">
        <v>0</v>
      </c>
      <c r="AQ4379">
        <v>0</v>
      </c>
      <c r="AR4379">
        <v>0</v>
      </c>
      <c r="AS4379">
        <v>0</v>
      </c>
      <c r="AT4379">
        <v>0</v>
      </c>
      <c r="AU4379">
        <f t="shared" si="136"/>
        <v>0</v>
      </c>
      <c r="AV4379">
        <f t="shared" si="137"/>
        <v>0</v>
      </c>
    </row>
    <row r="4380" spans="1:48" x14ac:dyDescent="0.25">
      <c r="A4380" t="s">
        <v>12911</v>
      </c>
      <c r="B4380" t="s">
        <v>12911</v>
      </c>
      <c r="C4380" t="s">
        <v>12912</v>
      </c>
      <c r="D4380" t="s">
        <v>12913</v>
      </c>
      <c r="E4380" t="s">
        <v>2310</v>
      </c>
      <c r="F4380">
        <v>10</v>
      </c>
      <c r="G4380">
        <v>10.1</v>
      </c>
      <c r="H4380" t="s">
        <v>2323</v>
      </c>
      <c r="I4380" s="21">
        <v>42179.547743055598</v>
      </c>
      <c r="J4380">
        <v>2015</v>
      </c>
      <c r="O4380" s="21">
        <v>42485.579050925902</v>
      </c>
      <c r="P4380" s="21">
        <v>42486.346342592602</v>
      </c>
      <c r="Q4380" s="262">
        <v>350000</v>
      </c>
      <c r="R4380" s="262">
        <v>237000</v>
      </c>
      <c r="S4380" t="s">
        <v>114</v>
      </c>
      <c r="T4380" t="s">
        <v>114</v>
      </c>
      <c r="W4380">
        <v>2430</v>
      </c>
      <c r="X4380">
        <v>1</v>
      </c>
      <c r="Y4380">
        <v>0</v>
      </c>
      <c r="Z4380">
        <v>0</v>
      </c>
      <c r="AA4380">
        <v>0</v>
      </c>
      <c r="AB4380">
        <v>0</v>
      </c>
      <c r="AC4380">
        <v>2430</v>
      </c>
      <c r="AD4380">
        <v>0</v>
      </c>
      <c r="AE4380">
        <v>0</v>
      </c>
      <c r="AF4380">
        <v>0</v>
      </c>
      <c r="AG4380">
        <v>0</v>
      </c>
      <c r="AH4380">
        <v>0</v>
      </c>
      <c r="AI4380">
        <v>0</v>
      </c>
      <c r="AJ4380">
        <v>0</v>
      </c>
      <c r="AK4380">
        <v>0</v>
      </c>
      <c r="AL4380">
        <v>0</v>
      </c>
      <c r="AM4380">
        <v>0</v>
      </c>
      <c r="AN4380">
        <v>0</v>
      </c>
      <c r="AO4380">
        <v>1</v>
      </c>
      <c r="AP4380">
        <v>0</v>
      </c>
      <c r="AQ4380">
        <v>0</v>
      </c>
      <c r="AR4380">
        <v>0</v>
      </c>
      <c r="AS4380">
        <v>0</v>
      </c>
      <c r="AT4380">
        <v>0</v>
      </c>
      <c r="AU4380">
        <f t="shared" si="136"/>
        <v>1</v>
      </c>
      <c r="AV4380">
        <f t="shared" si="137"/>
        <v>0</v>
      </c>
    </row>
    <row r="4381" spans="1:48" x14ac:dyDescent="0.25">
      <c r="A4381" t="s">
        <v>12914</v>
      </c>
      <c r="C4381" t="s">
        <v>11879</v>
      </c>
      <c r="D4381" t="s">
        <v>12915</v>
      </c>
      <c r="E4381" t="s">
        <v>1663</v>
      </c>
      <c r="F4381">
        <v>2</v>
      </c>
      <c r="G4381">
        <v>2.2999999999999998</v>
      </c>
      <c r="H4381" t="s">
        <v>2327</v>
      </c>
      <c r="I4381" s="21">
        <v>42180</v>
      </c>
      <c r="J4381">
        <v>2015</v>
      </c>
      <c r="K4381" s="21">
        <v>42186</v>
      </c>
      <c r="L4381">
        <v>2015</v>
      </c>
      <c r="M4381" s="21">
        <v>42229</v>
      </c>
      <c r="N4381">
        <v>2015</v>
      </c>
      <c r="Q4381" s="262">
        <v>22000</v>
      </c>
      <c r="S4381" t="s">
        <v>114</v>
      </c>
      <c r="T4381" t="s">
        <v>114</v>
      </c>
      <c r="V4381">
        <v>660</v>
      </c>
      <c r="W4381">
        <v>0</v>
      </c>
      <c r="X4381">
        <v>0</v>
      </c>
      <c r="Y4381">
        <v>0</v>
      </c>
      <c r="Z4381">
        <v>0</v>
      </c>
      <c r="AA4381">
        <v>0</v>
      </c>
      <c r="AB4381">
        <v>0</v>
      </c>
      <c r="AC4381">
        <v>0</v>
      </c>
      <c r="AD4381">
        <v>0</v>
      </c>
      <c r="AE4381">
        <v>0</v>
      </c>
      <c r="AF4381">
        <v>0</v>
      </c>
      <c r="AG4381">
        <v>0</v>
      </c>
      <c r="AH4381">
        <v>0</v>
      </c>
      <c r="AI4381">
        <v>0</v>
      </c>
      <c r="AJ4381">
        <v>0</v>
      </c>
      <c r="AK4381">
        <v>0</v>
      </c>
      <c r="AL4381">
        <v>0</v>
      </c>
      <c r="AM4381">
        <v>0</v>
      </c>
      <c r="AN4381">
        <v>0</v>
      </c>
      <c r="AO4381">
        <v>0</v>
      </c>
      <c r="AP4381">
        <v>0</v>
      </c>
      <c r="AQ4381">
        <v>0</v>
      </c>
      <c r="AR4381">
        <v>0</v>
      </c>
      <c r="AS4381">
        <v>0</v>
      </c>
      <c r="AT4381">
        <v>0</v>
      </c>
      <c r="AU4381">
        <f t="shared" si="136"/>
        <v>0</v>
      </c>
      <c r="AV4381">
        <f t="shared" si="137"/>
        <v>0</v>
      </c>
    </row>
    <row r="4382" spans="1:48" x14ac:dyDescent="0.25">
      <c r="A4382" t="s">
        <v>12916</v>
      </c>
      <c r="B4382" t="s">
        <v>12916</v>
      </c>
      <c r="C4382" t="s">
        <v>12917</v>
      </c>
      <c r="D4382" t="s">
        <v>12918</v>
      </c>
      <c r="E4382" t="s">
        <v>2310</v>
      </c>
      <c r="F4382">
        <v>8</v>
      </c>
      <c r="G4382">
        <v>8.3000000000000007</v>
      </c>
      <c r="H4382" t="s">
        <v>2323</v>
      </c>
      <c r="I4382" s="21">
        <v>42183.459826388898</v>
      </c>
      <c r="J4382">
        <v>2015</v>
      </c>
      <c r="K4382" s="21">
        <v>42228.7046990741</v>
      </c>
      <c r="L4382">
        <v>2015</v>
      </c>
      <c r="M4382" s="21">
        <v>42590.681377314802</v>
      </c>
      <c r="N4382">
        <v>2016</v>
      </c>
      <c r="Q4382" s="262">
        <v>150000</v>
      </c>
      <c r="R4382" s="262">
        <v>138000</v>
      </c>
      <c r="S4382" t="s">
        <v>114</v>
      </c>
      <c r="T4382" t="s">
        <v>114</v>
      </c>
      <c r="W4382">
        <v>1568</v>
      </c>
      <c r="X4382">
        <v>1</v>
      </c>
      <c r="Y4382">
        <v>0</v>
      </c>
      <c r="Z4382">
        <v>0</v>
      </c>
      <c r="AA4382">
        <v>0</v>
      </c>
      <c r="AB4382">
        <v>0</v>
      </c>
      <c r="AC4382">
        <v>1568</v>
      </c>
      <c r="AD4382">
        <v>0</v>
      </c>
      <c r="AE4382">
        <v>0</v>
      </c>
      <c r="AF4382">
        <v>0</v>
      </c>
      <c r="AG4382">
        <v>0</v>
      </c>
      <c r="AH4382">
        <v>0</v>
      </c>
      <c r="AI4382">
        <v>0</v>
      </c>
      <c r="AJ4382">
        <v>0</v>
      </c>
      <c r="AK4382">
        <v>0</v>
      </c>
      <c r="AL4382">
        <v>0</v>
      </c>
      <c r="AM4382">
        <v>0</v>
      </c>
      <c r="AN4382">
        <v>0</v>
      </c>
      <c r="AO4382">
        <v>1</v>
      </c>
      <c r="AP4382">
        <v>0</v>
      </c>
      <c r="AQ4382">
        <v>0</v>
      </c>
      <c r="AR4382">
        <v>0</v>
      </c>
      <c r="AS4382">
        <v>0</v>
      </c>
      <c r="AT4382">
        <v>0</v>
      </c>
      <c r="AU4382">
        <f t="shared" si="136"/>
        <v>1</v>
      </c>
      <c r="AV4382">
        <f t="shared" si="137"/>
        <v>0</v>
      </c>
    </row>
    <row r="4383" spans="1:48" x14ac:dyDescent="0.25">
      <c r="A4383" t="s">
        <v>17687</v>
      </c>
      <c r="B4383" t="s">
        <v>17687</v>
      </c>
      <c r="C4383" t="s">
        <v>17688</v>
      </c>
      <c r="D4383" t="s">
        <v>16003</v>
      </c>
      <c r="E4383" t="s">
        <v>2310</v>
      </c>
      <c r="F4383">
        <v>15</v>
      </c>
      <c r="G4383">
        <v>15.1</v>
      </c>
      <c r="H4383" t="s">
        <v>2022</v>
      </c>
      <c r="I4383" s="21">
        <v>42183.497233796297</v>
      </c>
      <c r="J4383">
        <v>2015</v>
      </c>
      <c r="K4383" s="21">
        <v>42738.39943287037</v>
      </c>
      <c r="L4383">
        <v>2017</v>
      </c>
      <c r="M4383" s="21">
        <v>42738.39943287037</v>
      </c>
      <c r="N4383">
        <v>2017</v>
      </c>
      <c r="Q4383" s="262">
        <v>250000</v>
      </c>
      <c r="R4383" s="262">
        <v>259000</v>
      </c>
      <c r="S4383" t="s">
        <v>13254</v>
      </c>
      <c r="W4383">
        <v>2840</v>
      </c>
      <c r="X4383">
        <v>1</v>
      </c>
      <c r="Y4383">
        <v>0</v>
      </c>
      <c r="Z4383">
        <v>0</v>
      </c>
      <c r="AA4383">
        <v>0</v>
      </c>
      <c r="AB4383">
        <v>0</v>
      </c>
      <c r="AC4383">
        <v>2840</v>
      </c>
      <c r="AD4383">
        <v>0</v>
      </c>
      <c r="AE4383">
        <v>0</v>
      </c>
      <c r="AF4383">
        <v>0</v>
      </c>
      <c r="AG4383">
        <v>0</v>
      </c>
      <c r="AH4383">
        <v>0</v>
      </c>
      <c r="AI4383">
        <v>0</v>
      </c>
      <c r="AJ4383">
        <v>0</v>
      </c>
      <c r="AK4383">
        <v>0</v>
      </c>
      <c r="AL4383">
        <v>0</v>
      </c>
      <c r="AM4383">
        <v>0</v>
      </c>
      <c r="AN4383">
        <v>0</v>
      </c>
      <c r="AO4383">
        <v>1</v>
      </c>
      <c r="AP4383">
        <v>0</v>
      </c>
      <c r="AQ4383">
        <v>0</v>
      </c>
      <c r="AR4383">
        <v>0</v>
      </c>
      <c r="AS4383">
        <v>0</v>
      </c>
      <c r="AT4383">
        <v>0</v>
      </c>
      <c r="AU4383">
        <f t="shared" si="136"/>
        <v>1</v>
      </c>
      <c r="AV4383">
        <f t="shared" si="137"/>
        <v>0</v>
      </c>
    </row>
    <row r="4384" spans="1:48" x14ac:dyDescent="0.25">
      <c r="A4384" t="s">
        <v>12919</v>
      </c>
      <c r="B4384" t="s">
        <v>12919</v>
      </c>
      <c r="C4384" t="s">
        <v>12920</v>
      </c>
      <c r="D4384" t="s">
        <v>6170</v>
      </c>
      <c r="E4384" t="s">
        <v>2310</v>
      </c>
      <c r="F4384">
        <v>8</v>
      </c>
      <c r="G4384">
        <v>8.1999999999999993</v>
      </c>
      <c r="H4384" t="s">
        <v>2022</v>
      </c>
      <c r="I4384" s="21">
        <v>42183.534212963001</v>
      </c>
      <c r="J4384">
        <v>2015</v>
      </c>
      <c r="K4384" s="21">
        <v>42202.473541666703</v>
      </c>
      <c r="L4384">
        <v>2015</v>
      </c>
      <c r="M4384" s="21">
        <v>42466.486388888901</v>
      </c>
      <c r="N4384">
        <v>2016</v>
      </c>
      <c r="Q4384" s="262">
        <v>100000</v>
      </c>
      <c r="R4384" s="262">
        <v>20000</v>
      </c>
      <c r="S4384" t="s">
        <v>114</v>
      </c>
      <c r="T4384" t="s">
        <v>114</v>
      </c>
      <c r="W4384">
        <v>254</v>
      </c>
      <c r="X4384">
        <v>0</v>
      </c>
      <c r="Y4384">
        <v>0</v>
      </c>
      <c r="Z4384">
        <v>0</v>
      </c>
      <c r="AA4384">
        <v>0</v>
      </c>
      <c r="AB4384">
        <v>0</v>
      </c>
      <c r="AC4384">
        <v>254</v>
      </c>
      <c r="AD4384">
        <v>0</v>
      </c>
      <c r="AE4384">
        <v>0</v>
      </c>
      <c r="AF4384">
        <v>0</v>
      </c>
      <c r="AG4384">
        <v>0</v>
      </c>
      <c r="AH4384">
        <v>0</v>
      </c>
      <c r="AI4384">
        <v>0</v>
      </c>
      <c r="AJ4384">
        <v>0</v>
      </c>
      <c r="AK4384">
        <v>0</v>
      </c>
      <c r="AL4384">
        <v>0</v>
      </c>
      <c r="AM4384">
        <v>0</v>
      </c>
      <c r="AN4384">
        <v>0</v>
      </c>
      <c r="AO4384">
        <v>0</v>
      </c>
      <c r="AP4384">
        <v>0</v>
      </c>
      <c r="AQ4384">
        <v>0</v>
      </c>
      <c r="AR4384">
        <v>0</v>
      </c>
      <c r="AS4384">
        <v>0</v>
      </c>
      <c r="AT4384">
        <v>0</v>
      </c>
      <c r="AU4384">
        <f t="shared" si="136"/>
        <v>0</v>
      </c>
      <c r="AV4384">
        <f t="shared" si="137"/>
        <v>0</v>
      </c>
    </row>
    <row r="4385" spans="1:48" x14ac:dyDescent="0.25">
      <c r="A4385" t="s">
        <v>12921</v>
      </c>
      <c r="B4385" t="s">
        <v>12921</v>
      </c>
      <c r="C4385" t="s">
        <v>12922</v>
      </c>
      <c r="D4385" t="s">
        <v>12923</v>
      </c>
      <c r="E4385" t="s">
        <v>2310</v>
      </c>
      <c r="F4385">
        <v>14</v>
      </c>
      <c r="G4385">
        <v>14.1</v>
      </c>
      <c r="H4385" t="s">
        <v>2022</v>
      </c>
      <c r="I4385" s="21">
        <v>42185.442627314798</v>
      </c>
      <c r="J4385">
        <v>2015</v>
      </c>
      <c r="K4385" s="21">
        <v>42229.5639814815</v>
      </c>
      <c r="L4385">
        <v>2015</v>
      </c>
      <c r="M4385" s="21">
        <v>42677.683090277802</v>
      </c>
      <c r="N4385">
        <v>2016</v>
      </c>
      <c r="Q4385" s="262">
        <v>572000</v>
      </c>
      <c r="R4385" s="262">
        <v>572000</v>
      </c>
      <c r="S4385" t="s">
        <v>114</v>
      </c>
      <c r="T4385" t="s">
        <v>114</v>
      </c>
      <c r="W4385">
        <v>4437</v>
      </c>
      <c r="X4385">
        <v>1</v>
      </c>
      <c r="Y4385">
        <v>0</v>
      </c>
      <c r="Z4385">
        <v>0</v>
      </c>
      <c r="AA4385">
        <v>0</v>
      </c>
      <c r="AB4385">
        <v>0</v>
      </c>
      <c r="AC4385">
        <v>4437</v>
      </c>
      <c r="AD4385">
        <v>0</v>
      </c>
      <c r="AE4385">
        <v>0</v>
      </c>
      <c r="AF4385">
        <v>0</v>
      </c>
      <c r="AG4385">
        <v>0</v>
      </c>
      <c r="AH4385">
        <v>0</v>
      </c>
      <c r="AI4385">
        <v>0</v>
      </c>
      <c r="AJ4385">
        <v>0</v>
      </c>
      <c r="AK4385">
        <v>0</v>
      </c>
      <c r="AL4385">
        <v>0</v>
      </c>
      <c r="AM4385">
        <v>0</v>
      </c>
      <c r="AN4385">
        <v>0</v>
      </c>
      <c r="AO4385">
        <v>1</v>
      </c>
      <c r="AP4385">
        <v>0</v>
      </c>
      <c r="AQ4385">
        <v>0</v>
      </c>
      <c r="AR4385">
        <v>0</v>
      </c>
      <c r="AS4385">
        <v>0</v>
      </c>
      <c r="AT4385">
        <v>0</v>
      </c>
      <c r="AU4385">
        <f t="shared" si="136"/>
        <v>1</v>
      </c>
      <c r="AV4385">
        <f t="shared" si="137"/>
        <v>0</v>
      </c>
    </row>
    <row r="4386" spans="1:48" x14ac:dyDescent="0.25">
      <c r="A4386" t="s">
        <v>12924</v>
      </c>
      <c r="B4386" t="s">
        <v>12924</v>
      </c>
      <c r="C4386" t="s">
        <v>12925</v>
      </c>
      <c r="D4386" t="s">
        <v>7461</v>
      </c>
      <c r="E4386" t="s">
        <v>2310</v>
      </c>
      <c r="F4386">
        <v>5</v>
      </c>
      <c r="G4386">
        <v>5.5</v>
      </c>
      <c r="H4386" t="s">
        <v>2017</v>
      </c>
      <c r="I4386" s="21">
        <v>42185.645300925898</v>
      </c>
      <c r="J4386">
        <v>2015</v>
      </c>
      <c r="K4386" s="21">
        <v>42297.512916666703</v>
      </c>
      <c r="L4386">
        <v>2015</v>
      </c>
      <c r="M4386" s="21">
        <v>42613.332812499997</v>
      </c>
      <c r="N4386">
        <v>2016</v>
      </c>
      <c r="Q4386" s="262">
        <v>38000</v>
      </c>
      <c r="R4386" s="262">
        <v>26000</v>
      </c>
      <c r="S4386" t="s">
        <v>114</v>
      </c>
      <c r="T4386" t="s">
        <v>114</v>
      </c>
      <c r="V4386">
        <v>200</v>
      </c>
      <c r="W4386">
        <v>25</v>
      </c>
      <c r="X4386">
        <v>0</v>
      </c>
      <c r="Y4386">
        <v>0</v>
      </c>
      <c r="Z4386">
        <v>0</v>
      </c>
      <c r="AA4386">
        <v>0</v>
      </c>
      <c r="AB4386">
        <v>0</v>
      </c>
      <c r="AC4386">
        <v>25</v>
      </c>
      <c r="AD4386">
        <v>0</v>
      </c>
      <c r="AE4386">
        <v>0</v>
      </c>
      <c r="AF4386">
        <v>0</v>
      </c>
      <c r="AG4386">
        <v>0</v>
      </c>
      <c r="AH4386">
        <v>0</v>
      </c>
      <c r="AI4386">
        <v>0</v>
      </c>
      <c r="AJ4386">
        <v>0</v>
      </c>
      <c r="AK4386">
        <v>0</v>
      </c>
      <c r="AL4386">
        <v>0</v>
      </c>
      <c r="AM4386">
        <v>0</v>
      </c>
      <c r="AN4386">
        <v>0</v>
      </c>
      <c r="AO4386">
        <v>0</v>
      </c>
      <c r="AP4386">
        <v>0</v>
      </c>
      <c r="AQ4386">
        <v>0</v>
      </c>
      <c r="AR4386">
        <v>0</v>
      </c>
      <c r="AS4386">
        <v>0</v>
      </c>
      <c r="AT4386">
        <v>0</v>
      </c>
      <c r="AU4386">
        <f t="shared" si="136"/>
        <v>0</v>
      </c>
      <c r="AV4386">
        <f t="shared" si="137"/>
        <v>0</v>
      </c>
    </row>
    <row r="4387" spans="1:48" x14ac:dyDescent="0.25">
      <c r="A4387" t="s">
        <v>17691</v>
      </c>
      <c r="B4387" t="s">
        <v>17691</v>
      </c>
      <c r="C4387" t="s">
        <v>17692</v>
      </c>
      <c r="D4387" t="s">
        <v>17693</v>
      </c>
      <c r="E4387" t="s">
        <v>2310</v>
      </c>
      <c r="F4387">
        <v>9</v>
      </c>
      <c r="G4387">
        <v>9.3000000000000007</v>
      </c>
      <c r="H4387" t="s">
        <v>2323</v>
      </c>
      <c r="I4387" s="21">
        <v>42186.571909722225</v>
      </c>
      <c r="J4387">
        <v>2015</v>
      </c>
      <c r="K4387" s="21">
        <v>43042.390439814815</v>
      </c>
      <c r="L4387">
        <v>2017</v>
      </c>
      <c r="M4387" s="21">
        <v>43042.390439814815</v>
      </c>
      <c r="N4387">
        <v>2017</v>
      </c>
      <c r="Q4387" s="262">
        <v>3250000</v>
      </c>
      <c r="R4387" s="262">
        <v>1061000</v>
      </c>
      <c r="S4387" t="s">
        <v>13254</v>
      </c>
      <c r="W4387">
        <v>7795</v>
      </c>
      <c r="X4387">
        <v>1</v>
      </c>
      <c r="Y4387">
        <v>0</v>
      </c>
      <c r="Z4387">
        <v>0</v>
      </c>
      <c r="AA4387">
        <v>0</v>
      </c>
      <c r="AB4387">
        <v>0</v>
      </c>
      <c r="AC4387">
        <v>7795</v>
      </c>
      <c r="AD4387">
        <v>0</v>
      </c>
      <c r="AE4387">
        <v>0</v>
      </c>
      <c r="AF4387">
        <v>0</v>
      </c>
      <c r="AG4387">
        <v>0</v>
      </c>
      <c r="AH4387">
        <v>0</v>
      </c>
      <c r="AI4387">
        <v>0</v>
      </c>
      <c r="AJ4387">
        <v>0</v>
      </c>
      <c r="AK4387">
        <v>0</v>
      </c>
      <c r="AL4387">
        <v>0</v>
      </c>
      <c r="AM4387">
        <v>0</v>
      </c>
      <c r="AN4387">
        <v>0</v>
      </c>
      <c r="AO4387">
        <v>1</v>
      </c>
      <c r="AP4387">
        <v>0</v>
      </c>
      <c r="AQ4387">
        <v>0</v>
      </c>
      <c r="AR4387">
        <v>0</v>
      </c>
      <c r="AS4387">
        <v>0</v>
      </c>
      <c r="AT4387">
        <v>0</v>
      </c>
      <c r="AU4387">
        <f t="shared" si="136"/>
        <v>1</v>
      </c>
      <c r="AV4387">
        <f t="shared" si="137"/>
        <v>0</v>
      </c>
    </row>
    <row r="4388" spans="1:48" x14ac:dyDescent="0.25">
      <c r="A4388" t="s">
        <v>16972</v>
      </c>
      <c r="B4388" t="s">
        <v>16972</v>
      </c>
      <c r="C4388" t="s">
        <v>16973</v>
      </c>
      <c r="D4388" t="s">
        <v>9465</v>
      </c>
      <c r="E4388" t="s">
        <v>2310</v>
      </c>
      <c r="F4388">
        <v>12</v>
      </c>
      <c r="G4388">
        <v>12.3</v>
      </c>
      <c r="H4388" t="s">
        <v>2017</v>
      </c>
      <c r="I4388" s="21">
        <v>42187.609594907401</v>
      </c>
      <c r="J4388">
        <v>2015</v>
      </c>
      <c r="K4388" s="21">
        <v>42321.522870370398</v>
      </c>
      <c r="L4388">
        <v>2015</v>
      </c>
      <c r="M4388" s="21">
        <v>43152.384988425903</v>
      </c>
      <c r="N4388">
        <v>2018</v>
      </c>
      <c r="S4388" t="s">
        <v>9529</v>
      </c>
      <c r="T4388">
        <v>4286</v>
      </c>
      <c r="U4388">
        <v>5</v>
      </c>
      <c r="W4388">
        <v>-9170</v>
      </c>
      <c r="X4388">
        <v>-1</v>
      </c>
      <c r="Y4388">
        <v>0</v>
      </c>
      <c r="Z4388">
        <v>0</v>
      </c>
      <c r="AA4388">
        <v>0</v>
      </c>
      <c r="AB4388">
        <v>0</v>
      </c>
      <c r="AC4388">
        <v>-9170</v>
      </c>
      <c r="AD4388">
        <v>0</v>
      </c>
      <c r="AE4388">
        <v>0</v>
      </c>
      <c r="AF4388">
        <v>0</v>
      </c>
      <c r="AG4388">
        <v>0</v>
      </c>
      <c r="AH4388">
        <v>0</v>
      </c>
      <c r="AI4388">
        <v>0</v>
      </c>
      <c r="AJ4388">
        <v>0</v>
      </c>
      <c r="AK4388">
        <v>0</v>
      </c>
      <c r="AL4388">
        <v>0</v>
      </c>
      <c r="AM4388">
        <v>0</v>
      </c>
      <c r="AN4388">
        <v>0</v>
      </c>
      <c r="AO4388">
        <v>-1</v>
      </c>
      <c r="AP4388">
        <v>0</v>
      </c>
      <c r="AQ4388">
        <v>0</v>
      </c>
      <c r="AR4388">
        <v>0</v>
      </c>
      <c r="AS4388">
        <v>0</v>
      </c>
      <c r="AT4388">
        <v>0</v>
      </c>
      <c r="AU4388">
        <f t="shared" si="136"/>
        <v>-1</v>
      </c>
      <c r="AV4388">
        <f t="shared" si="137"/>
        <v>0</v>
      </c>
    </row>
    <row r="4389" spans="1:48" x14ac:dyDescent="0.25">
      <c r="A4389" t="s">
        <v>16972</v>
      </c>
      <c r="B4389" t="s">
        <v>16972</v>
      </c>
      <c r="C4389" t="s">
        <v>16973</v>
      </c>
      <c r="D4389" t="s">
        <v>9465</v>
      </c>
      <c r="E4389" t="s">
        <v>2310</v>
      </c>
      <c r="F4389">
        <v>12</v>
      </c>
      <c r="G4389">
        <v>12.3</v>
      </c>
      <c r="H4389" t="s">
        <v>2017</v>
      </c>
      <c r="I4389" s="21">
        <v>42187.609594907408</v>
      </c>
      <c r="J4389">
        <v>2015</v>
      </c>
      <c r="K4389" s="21">
        <v>42321.522870370369</v>
      </c>
      <c r="L4389">
        <v>2015</v>
      </c>
      <c r="M4389" s="21">
        <v>43152.384988425925</v>
      </c>
      <c r="N4389">
        <v>2018</v>
      </c>
      <c r="Q4389" s="262">
        <v>2200000</v>
      </c>
      <c r="R4389" s="262">
        <v>592000</v>
      </c>
      <c r="S4389" t="s">
        <v>12464</v>
      </c>
      <c r="T4389">
        <v>4286</v>
      </c>
      <c r="W4389">
        <v>5177</v>
      </c>
      <c r="X4389">
        <v>1</v>
      </c>
      <c r="Y4389">
        <v>0</v>
      </c>
      <c r="Z4389">
        <v>0</v>
      </c>
      <c r="AA4389">
        <v>0</v>
      </c>
      <c r="AB4389">
        <v>0</v>
      </c>
      <c r="AC4389">
        <v>5177</v>
      </c>
      <c r="AD4389">
        <v>0</v>
      </c>
      <c r="AE4389">
        <v>0</v>
      </c>
      <c r="AF4389">
        <v>0</v>
      </c>
      <c r="AG4389">
        <v>0</v>
      </c>
      <c r="AH4389">
        <v>0</v>
      </c>
      <c r="AI4389">
        <v>0</v>
      </c>
      <c r="AJ4389">
        <v>0</v>
      </c>
      <c r="AK4389">
        <v>0</v>
      </c>
      <c r="AL4389">
        <v>0</v>
      </c>
      <c r="AM4389">
        <v>0</v>
      </c>
      <c r="AN4389">
        <v>0</v>
      </c>
      <c r="AO4389">
        <v>1</v>
      </c>
      <c r="AP4389">
        <v>0</v>
      </c>
      <c r="AQ4389">
        <v>0</v>
      </c>
      <c r="AR4389">
        <v>0</v>
      </c>
      <c r="AS4389">
        <v>0</v>
      </c>
      <c r="AT4389">
        <v>0</v>
      </c>
      <c r="AU4389">
        <f t="shared" si="136"/>
        <v>1</v>
      </c>
      <c r="AV4389">
        <f t="shared" si="137"/>
        <v>0</v>
      </c>
    </row>
    <row r="4390" spans="1:48" x14ac:dyDescent="0.25">
      <c r="A4390" t="s">
        <v>12926</v>
      </c>
      <c r="B4390" t="s">
        <v>12926</v>
      </c>
      <c r="C4390" t="s">
        <v>12927</v>
      </c>
      <c r="D4390" t="s">
        <v>3365</v>
      </c>
      <c r="E4390" t="s">
        <v>2310</v>
      </c>
      <c r="F4390">
        <v>11</v>
      </c>
      <c r="G4390">
        <v>11.4</v>
      </c>
      <c r="H4390" t="s">
        <v>2017</v>
      </c>
      <c r="I4390" s="21">
        <v>42191.6625347222</v>
      </c>
      <c r="J4390">
        <v>2015</v>
      </c>
      <c r="K4390" s="21">
        <v>42233.517071759299</v>
      </c>
      <c r="L4390">
        <v>2015</v>
      </c>
      <c r="M4390" s="21">
        <v>42716.471550925897</v>
      </c>
      <c r="N4390">
        <v>2016</v>
      </c>
      <c r="Q4390" s="262">
        <v>418000</v>
      </c>
      <c r="R4390" s="262">
        <v>234000</v>
      </c>
      <c r="S4390" t="s">
        <v>114</v>
      </c>
      <c r="T4390" t="s">
        <v>114</v>
      </c>
      <c r="W4390">
        <v>2428</v>
      </c>
      <c r="X4390">
        <v>0</v>
      </c>
      <c r="Y4390">
        <v>0</v>
      </c>
      <c r="Z4390">
        <v>0</v>
      </c>
      <c r="AA4390">
        <v>0</v>
      </c>
      <c r="AB4390">
        <v>0</v>
      </c>
      <c r="AC4390">
        <v>2428</v>
      </c>
      <c r="AD4390">
        <v>0</v>
      </c>
      <c r="AE4390">
        <v>0</v>
      </c>
      <c r="AF4390">
        <v>0</v>
      </c>
      <c r="AG4390">
        <v>0</v>
      </c>
      <c r="AH4390">
        <v>0</v>
      </c>
      <c r="AI4390">
        <v>0</v>
      </c>
      <c r="AJ4390">
        <v>0</v>
      </c>
      <c r="AK4390">
        <v>0</v>
      </c>
      <c r="AL4390">
        <v>0</v>
      </c>
      <c r="AM4390">
        <v>0</v>
      </c>
      <c r="AN4390">
        <v>0</v>
      </c>
      <c r="AO4390">
        <v>0</v>
      </c>
      <c r="AP4390">
        <v>0</v>
      </c>
      <c r="AQ4390">
        <v>0</v>
      </c>
      <c r="AR4390">
        <v>0</v>
      </c>
      <c r="AS4390">
        <v>0</v>
      </c>
      <c r="AT4390">
        <v>0</v>
      </c>
      <c r="AU4390">
        <f t="shared" si="136"/>
        <v>0</v>
      </c>
      <c r="AV4390">
        <f t="shared" si="137"/>
        <v>0</v>
      </c>
    </row>
    <row r="4391" spans="1:48" x14ac:dyDescent="0.25">
      <c r="A4391" t="s">
        <v>17694</v>
      </c>
      <c r="B4391" t="s">
        <v>17694</v>
      </c>
      <c r="C4391" t="s">
        <v>17695</v>
      </c>
      <c r="D4391" t="s">
        <v>17696</v>
      </c>
      <c r="E4391" t="s">
        <v>2310</v>
      </c>
      <c r="F4391">
        <v>13</v>
      </c>
      <c r="G4391">
        <v>13.1</v>
      </c>
      <c r="H4391" t="s">
        <v>2327</v>
      </c>
      <c r="I4391" s="21">
        <v>42193.626875000002</v>
      </c>
      <c r="J4391">
        <v>2015</v>
      </c>
      <c r="K4391" s="21">
        <v>42808.544212962966</v>
      </c>
      <c r="L4391">
        <v>2017</v>
      </c>
      <c r="M4391" s="21">
        <v>42808.544212962966</v>
      </c>
      <c r="N4391">
        <v>2017</v>
      </c>
      <c r="Q4391" s="262">
        <v>8000</v>
      </c>
      <c r="R4391" s="262">
        <v>7000</v>
      </c>
      <c r="S4391" t="s">
        <v>13253</v>
      </c>
      <c r="T4391">
        <v>14492</v>
      </c>
      <c r="W4391">
        <v>60</v>
      </c>
      <c r="X4391">
        <v>0</v>
      </c>
      <c r="Y4391">
        <v>0</v>
      </c>
      <c r="Z4391">
        <v>0</v>
      </c>
      <c r="AA4391">
        <v>0</v>
      </c>
      <c r="AB4391">
        <v>0</v>
      </c>
      <c r="AC4391">
        <v>60</v>
      </c>
      <c r="AD4391">
        <v>0</v>
      </c>
      <c r="AE4391">
        <v>0</v>
      </c>
      <c r="AF4391">
        <v>0</v>
      </c>
      <c r="AG4391">
        <v>0</v>
      </c>
      <c r="AH4391">
        <v>0</v>
      </c>
      <c r="AI4391">
        <v>0</v>
      </c>
      <c r="AJ4391">
        <v>0</v>
      </c>
      <c r="AK4391">
        <v>0</v>
      </c>
      <c r="AL4391">
        <v>0</v>
      </c>
      <c r="AM4391">
        <v>0</v>
      </c>
      <c r="AN4391">
        <v>0</v>
      </c>
      <c r="AO4391">
        <v>0</v>
      </c>
      <c r="AP4391">
        <v>0</v>
      </c>
      <c r="AQ4391">
        <v>0</v>
      </c>
      <c r="AR4391">
        <v>0</v>
      </c>
      <c r="AS4391">
        <v>0</v>
      </c>
      <c r="AT4391">
        <v>0</v>
      </c>
      <c r="AU4391">
        <f t="shared" si="136"/>
        <v>0</v>
      </c>
      <c r="AV4391">
        <f t="shared" si="137"/>
        <v>0</v>
      </c>
    </row>
    <row r="4392" spans="1:48" x14ac:dyDescent="0.25">
      <c r="A4392" t="s">
        <v>17697</v>
      </c>
      <c r="B4392" t="s">
        <v>17697</v>
      </c>
      <c r="C4392" t="s">
        <v>17698</v>
      </c>
      <c r="D4392" t="s">
        <v>17699</v>
      </c>
      <c r="E4392" t="s">
        <v>2310</v>
      </c>
      <c r="F4392">
        <v>13</v>
      </c>
      <c r="G4392">
        <v>13.2</v>
      </c>
      <c r="H4392" t="s">
        <v>2327</v>
      </c>
      <c r="I4392" s="21">
        <v>42193.706678240742</v>
      </c>
      <c r="J4392">
        <v>2015</v>
      </c>
      <c r="K4392" s="21">
        <v>42844.396111111113</v>
      </c>
      <c r="L4392">
        <v>2017</v>
      </c>
      <c r="M4392" s="21">
        <v>42844.396111111113</v>
      </c>
      <c r="N4392">
        <v>2017</v>
      </c>
      <c r="Q4392" s="262">
        <v>2194400</v>
      </c>
      <c r="R4392" s="262">
        <v>696000</v>
      </c>
      <c r="S4392" t="s">
        <v>13254</v>
      </c>
      <c r="W4392">
        <v>5481</v>
      </c>
      <c r="X4392">
        <v>1</v>
      </c>
      <c r="Y4392">
        <v>0</v>
      </c>
      <c r="Z4392">
        <v>0</v>
      </c>
      <c r="AA4392">
        <v>0</v>
      </c>
      <c r="AB4392">
        <v>0</v>
      </c>
      <c r="AC4392">
        <v>5481</v>
      </c>
      <c r="AD4392">
        <v>0</v>
      </c>
      <c r="AE4392">
        <v>0</v>
      </c>
      <c r="AF4392">
        <v>0</v>
      </c>
      <c r="AG4392">
        <v>0</v>
      </c>
      <c r="AH4392">
        <v>0</v>
      </c>
      <c r="AI4392">
        <v>0</v>
      </c>
      <c r="AJ4392">
        <v>0</v>
      </c>
      <c r="AK4392">
        <v>0</v>
      </c>
      <c r="AL4392">
        <v>0</v>
      </c>
      <c r="AM4392">
        <v>0</v>
      </c>
      <c r="AN4392">
        <v>0</v>
      </c>
      <c r="AO4392">
        <v>1</v>
      </c>
      <c r="AP4392">
        <v>0</v>
      </c>
      <c r="AQ4392">
        <v>0</v>
      </c>
      <c r="AR4392">
        <v>0</v>
      </c>
      <c r="AS4392">
        <v>0</v>
      </c>
      <c r="AT4392">
        <v>0</v>
      </c>
      <c r="AU4392">
        <f t="shared" si="136"/>
        <v>1</v>
      </c>
      <c r="AV4392">
        <f t="shared" si="137"/>
        <v>0</v>
      </c>
    </row>
    <row r="4393" spans="1:48" x14ac:dyDescent="0.25">
      <c r="A4393" t="s">
        <v>12928</v>
      </c>
      <c r="B4393" t="s">
        <v>12928</v>
      </c>
      <c r="C4393" t="s">
        <v>12929</v>
      </c>
      <c r="D4393" t="s">
        <v>4353</v>
      </c>
      <c r="E4393" t="s">
        <v>2310</v>
      </c>
      <c r="F4393">
        <v>15</v>
      </c>
      <c r="G4393">
        <v>15.2</v>
      </c>
      <c r="H4393" t="s">
        <v>2323</v>
      </c>
      <c r="I4393" s="21">
        <v>42194.631180555603</v>
      </c>
      <c r="J4393">
        <v>2015</v>
      </c>
      <c r="K4393" s="21">
        <v>42220.644016203703</v>
      </c>
      <c r="L4393">
        <v>2015</v>
      </c>
      <c r="M4393" s="21">
        <v>42396.341099537</v>
      </c>
      <c r="N4393">
        <v>2016</v>
      </c>
      <c r="Q4393" s="262">
        <v>75000</v>
      </c>
      <c r="R4393" s="262">
        <v>44000</v>
      </c>
      <c r="S4393" t="s">
        <v>114</v>
      </c>
      <c r="T4393" t="s">
        <v>114</v>
      </c>
      <c r="W4393">
        <v>390</v>
      </c>
      <c r="X4393">
        <v>0</v>
      </c>
      <c r="Y4393">
        <v>0</v>
      </c>
      <c r="Z4393">
        <v>0</v>
      </c>
      <c r="AA4393">
        <v>0</v>
      </c>
      <c r="AB4393">
        <v>0</v>
      </c>
      <c r="AC4393">
        <v>390</v>
      </c>
      <c r="AD4393">
        <v>0</v>
      </c>
      <c r="AE4393">
        <v>0</v>
      </c>
      <c r="AF4393">
        <v>0</v>
      </c>
      <c r="AG4393">
        <v>0</v>
      </c>
      <c r="AH4393">
        <v>0</v>
      </c>
      <c r="AI4393">
        <v>0</v>
      </c>
      <c r="AJ4393">
        <v>0</v>
      </c>
      <c r="AK4393">
        <v>0</v>
      </c>
      <c r="AL4393">
        <v>0</v>
      </c>
      <c r="AM4393">
        <v>0</v>
      </c>
      <c r="AN4393">
        <v>0</v>
      </c>
      <c r="AO4393">
        <v>0</v>
      </c>
      <c r="AP4393">
        <v>0</v>
      </c>
      <c r="AQ4393">
        <v>0</v>
      </c>
      <c r="AR4393">
        <v>0</v>
      </c>
      <c r="AS4393">
        <v>0</v>
      </c>
      <c r="AT4393">
        <v>0</v>
      </c>
      <c r="AU4393">
        <f t="shared" si="136"/>
        <v>0</v>
      </c>
      <c r="AV4393">
        <f t="shared" si="137"/>
        <v>0</v>
      </c>
    </row>
    <row r="4394" spans="1:48" x14ac:dyDescent="0.25">
      <c r="A4394" t="s">
        <v>13511</v>
      </c>
      <c r="C4394" t="s">
        <v>13512</v>
      </c>
      <c r="D4394" t="s">
        <v>11748</v>
      </c>
      <c r="E4394" t="s">
        <v>1663</v>
      </c>
      <c r="F4394">
        <v>3</v>
      </c>
      <c r="G4394">
        <v>3.1</v>
      </c>
      <c r="H4394" t="s">
        <v>2017</v>
      </c>
      <c r="I4394" s="21">
        <v>42202</v>
      </c>
      <c r="J4394">
        <v>2015</v>
      </c>
      <c r="K4394" s="21">
        <v>42206</v>
      </c>
      <c r="L4394">
        <v>2015</v>
      </c>
      <c r="M4394" s="21">
        <v>42754</v>
      </c>
      <c r="N4394">
        <v>2017</v>
      </c>
      <c r="Q4394" s="262">
        <v>3000</v>
      </c>
      <c r="S4394" t="s">
        <v>114</v>
      </c>
      <c r="T4394" t="s">
        <v>114</v>
      </c>
      <c r="V4394">
        <v>0</v>
      </c>
      <c r="W4394">
        <v>0</v>
      </c>
      <c r="X4394">
        <v>0</v>
      </c>
      <c r="Y4394">
        <v>0</v>
      </c>
      <c r="Z4394">
        <v>0</v>
      </c>
      <c r="AA4394">
        <v>0</v>
      </c>
      <c r="AB4394">
        <v>0</v>
      </c>
      <c r="AC4394">
        <v>0</v>
      </c>
      <c r="AD4394">
        <v>0</v>
      </c>
      <c r="AE4394">
        <v>0</v>
      </c>
      <c r="AF4394">
        <v>0</v>
      </c>
      <c r="AG4394">
        <v>0</v>
      </c>
      <c r="AH4394">
        <v>0</v>
      </c>
      <c r="AI4394">
        <v>0</v>
      </c>
      <c r="AJ4394">
        <v>0</v>
      </c>
      <c r="AK4394">
        <v>0</v>
      </c>
      <c r="AL4394">
        <v>0</v>
      </c>
      <c r="AM4394">
        <v>0</v>
      </c>
      <c r="AN4394">
        <v>0</v>
      </c>
      <c r="AO4394">
        <v>0</v>
      </c>
      <c r="AP4394">
        <v>0</v>
      </c>
      <c r="AQ4394">
        <v>0</v>
      </c>
      <c r="AR4394">
        <v>0</v>
      </c>
      <c r="AS4394">
        <v>0</v>
      </c>
      <c r="AT4394">
        <v>0</v>
      </c>
      <c r="AU4394">
        <f t="shared" si="136"/>
        <v>0</v>
      </c>
      <c r="AV4394">
        <f t="shared" si="137"/>
        <v>0</v>
      </c>
    </row>
    <row r="4395" spans="1:48" x14ac:dyDescent="0.25">
      <c r="A4395" t="s">
        <v>12930</v>
      </c>
      <c r="C4395" t="s">
        <v>12931</v>
      </c>
      <c r="D4395" t="s">
        <v>3234</v>
      </c>
      <c r="E4395" t="s">
        <v>1663</v>
      </c>
      <c r="F4395">
        <v>2</v>
      </c>
      <c r="G4395">
        <v>2.4</v>
      </c>
      <c r="H4395" t="s">
        <v>2017</v>
      </c>
      <c r="I4395" s="21">
        <v>42202</v>
      </c>
      <c r="J4395">
        <v>2015</v>
      </c>
      <c r="K4395" s="21">
        <v>42229</v>
      </c>
      <c r="L4395">
        <v>2015</v>
      </c>
      <c r="M4395" s="21">
        <v>42249</v>
      </c>
      <c r="N4395">
        <v>2015</v>
      </c>
      <c r="Q4395" s="262">
        <v>350000</v>
      </c>
      <c r="S4395" t="s">
        <v>114</v>
      </c>
      <c r="T4395" t="s">
        <v>114</v>
      </c>
      <c r="W4395">
        <v>3314</v>
      </c>
      <c r="X4395">
        <v>0</v>
      </c>
      <c r="Y4395">
        <v>0</v>
      </c>
      <c r="Z4395">
        <v>0</v>
      </c>
      <c r="AA4395">
        <v>0</v>
      </c>
      <c r="AB4395">
        <v>0</v>
      </c>
      <c r="AC4395">
        <v>0</v>
      </c>
      <c r="AD4395">
        <v>0</v>
      </c>
      <c r="AE4395">
        <v>0</v>
      </c>
      <c r="AF4395">
        <v>0</v>
      </c>
      <c r="AG4395">
        <v>0</v>
      </c>
      <c r="AH4395">
        <v>0</v>
      </c>
      <c r="AI4395">
        <v>0</v>
      </c>
      <c r="AJ4395">
        <v>0</v>
      </c>
      <c r="AK4395">
        <v>0</v>
      </c>
      <c r="AL4395">
        <v>0</v>
      </c>
      <c r="AM4395">
        <v>3314</v>
      </c>
      <c r="AN4395">
        <v>0</v>
      </c>
      <c r="AO4395">
        <v>0</v>
      </c>
      <c r="AP4395">
        <v>0</v>
      </c>
      <c r="AQ4395">
        <v>0</v>
      </c>
      <c r="AR4395">
        <v>0</v>
      </c>
      <c r="AS4395">
        <v>0</v>
      </c>
      <c r="AT4395">
        <v>0</v>
      </c>
      <c r="AU4395">
        <f t="shared" si="136"/>
        <v>0</v>
      </c>
      <c r="AV4395">
        <f t="shared" si="137"/>
        <v>3314</v>
      </c>
    </row>
    <row r="4396" spans="1:48" x14ac:dyDescent="0.25">
      <c r="A4396" t="s">
        <v>12932</v>
      </c>
      <c r="B4396" t="s">
        <v>12932</v>
      </c>
      <c r="C4396" t="s">
        <v>12933</v>
      </c>
      <c r="D4396" t="s">
        <v>1502</v>
      </c>
      <c r="E4396" t="s">
        <v>2310</v>
      </c>
      <c r="F4396">
        <v>15</v>
      </c>
      <c r="G4396">
        <v>15.1</v>
      </c>
      <c r="H4396" t="s">
        <v>2022</v>
      </c>
      <c r="I4396" s="21">
        <v>42202.613078703696</v>
      </c>
      <c r="J4396">
        <v>2015</v>
      </c>
      <c r="K4396" s="21">
        <v>42366.704282407401</v>
      </c>
      <c r="L4396">
        <v>2015</v>
      </c>
      <c r="M4396" s="21">
        <v>42496.576180555603</v>
      </c>
      <c r="N4396">
        <v>2016</v>
      </c>
      <c r="Q4396" s="262">
        <v>493000</v>
      </c>
      <c r="R4396" s="262">
        <v>493000</v>
      </c>
      <c r="S4396" t="s">
        <v>114</v>
      </c>
      <c r="T4396" t="s">
        <v>114</v>
      </c>
      <c r="W4396">
        <v>4281</v>
      </c>
      <c r="X4396">
        <v>1</v>
      </c>
      <c r="Y4396">
        <v>0</v>
      </c>
      <c r="Z4396">
        <v>0</v>
      </c>
      <c r="AA4396">
        <v>0</v>
      </c>
      <c r="AB4396">
        <v>0</v>
      </c>
      <c r="AC4396">
        <v>4281</v>
      </c>
      <c r="AD4396">
        <v>0</v>
      </c>
      <c r="AE4396">
        <v>0</v>
      </c>
      <c r="AF4396">
        <v>0</v>
      </c>
      <c r="AG4396">
        <v>0</v>
      </c>
      <c r="AH4396">
        <v>0</v>
      </c>
      <c r="AI4396">
        <v>0</v>
      </c>
      <c r="AJ4396">
        <v>0</v>
      </c>
      <c r="AK4396">
        <v>0</v>
      </c>
      <c r="AL4396">
        <v>0</v>
      </c>
      <c r="AM4396">
        <v>0</v>
      </c>
      <c r="AN4396">
        <v>0</v>
      </c>
      <c r="AO4396">
        <v>1</v>
      </c>
      <c r="AP4396">
        <v>0</v>
      </c>
      <c r="AQ4396">
        <v>0</v>
      </c>
      <c r="AR4396">
        <v>0</v>
      </c>
      <c r="AS4396">
        <v>0</v>
      </c>
      <c r="AT4396">
        <v>0</v>
      </c>
      <c r="AU4396">
        <f t="shared" si="136"/>
        <v>1</v>
      </c>
      <c r="AV4396">
        <f t="shared" si="137"/>
        <v>0</v>
      </c>
    </row>
    <row r="4397" spans="1:48" x14ac:dyDescent="0.25">
      <c r="A4397" t="s">
        <v>12934</v>
      </c>
      <c r="B4397" t="s">
        <v>12934</v>
      </c>
      <c r="C4397" t="s">
        <v>12935</v>
      </c>
      <c r="D4397" t="s">
        <v>12936</v>
      </c>
      <c r="E4397" t="s">
        <v>2310</v>
      </c>
      <c r="F4397">
        <v>12</v>
      </c>
      <c r="G4397">
        <v>12.3</v>
      </c>
      <c r="H4397" t="s">
        <v>2017</v>
      </c>
      <c r="I4397" s="21">
        <v>42205.5027430556</v>
      </c>
      <c r="J4397">
        <v>2015</v>
      </c>
      <c r="K4397" s="21">
        <v>42235.4141550926</v>
      </c>
      <c r="L4397">
        <v>2015</v>
      </c>
      <c r="M4397" s="21">
        <v>42625.418622685203</v>
      </c>
      <c r="N4397">
        <v>2016</v>
      </c>
      <c r="Q4397" s="262">
        <v>350000</v>
      </c>
      <c r="R4397" s="262">
        <v>157000</v>
      </c>
      <c r="S4397" t="s">
        <v>114</v>
      </c>
      <c r="T4397" t="s">
        <v>114</v>
      </c>
      <c r="W4397">
        <v>1393</v>
      </c>
      <c r="X4397">
        <v>0</v>
      </c>
      <c r="Y4397">
        <v>0</v>
      </c>
      <c r="Z4397">
        <v>0</v>
      </c>
      <c r="AA4397">
        <v>0</v>
      </c>
      <c r="AB4397">
        <v>0</v>
      </c>
      <c r="AC4397">
        <v>1393</v>
      </c>
      <c r="AD4397">
        <v>0</v>
      </c>
      <c r="AE4397">
        <v>0</v>
      </c>
      <c r="AF4397">
        <v>0</v>
      </c>
      <c r="AG4397">
        <v>0</v>
      </c>
      <c r="AH4397">
        <v>0</v>
      </c>
      <c r="AI4397">
        <v>0</v>
      </c>
      <c r="AJ4397">
        <v>0</v>
      </c>
      <c r="AK4397">
        <v>0</v>
      </c>
      <c r="AL4397">
        <v>0</v>
      </c>
      <c r="AM4397">
        <v>0</v>
      </c>
      <c r="AN4397">
        <v>0</v>
      </c>
      <c r="AO4397">
        <v>0</v>
      </c>
      <c r="AP4397">
        <v>0</v>
      </c>
      <c r="AQ4397">
        <v>0</v>
      </c>
      <c r="AR4397">
        <v>0</v>
      </c>
      <c r="AS4397">
        <v>0</v>
      </c>
      <c r="AT4397">
        <v>0</v>
      </c>
      <c r="AU4397">
        <f t="shared" si="136"/>
        <v>0</v>
      </c>
      <c r="AV4397">
        <f t="shared" si="137"/>
        <v>0</v>
      </c>
    </row>
    <row r="4398" spans="1:48" x14ac:dyDescent="0.25">
      <c r="A4398" t="s">
        <v>12937</v>
      </c>
      <c r="B4398" t="s">
        <v>12937</v>
      </c>
      <c r="C4398" t="s">
        <v>12938</v>
      </c>
      <c r="D4398" t="s">
        <v>4208</v>
      </c>
      <c r="E4398" t="s">
        <v>2310</v>
      </c>
      <c r="F4398">
        <v>15</v>
      </c>
      <c r="G4398">
        <v>15.1</v>
      </c>
      <c r="H4398" t="s">
        <v>2022</v>
      </c>
      <c r="I4398" s="21">
        <v>42206.535393518498</v>
      </c>
      <c r="J4398">
        <v>2015</v>
      </c>
      <c r="K4398" s="21">
        <v>42452.655196759297</v>
      </c>
      <c r="L4398">
        <v>2016</v>
      </c>
      <c r="M4398" s="21">
        <v>42633.580601851798</v>
      </c>
      <c r="N4398">
        <v>2016</v>
      </c>
      <c r="Q4398" s="262">
        <v>1300000</v>
      </c>
      <c r="R4398" s="262">
        <v>538000</v>
      </c>
      <c r="S4398" t="s">
        <v>114</v>
      </c>
      <c r="T4398" t="s">
        <v>114</v>
      </c>
      <c r="W4398">
        <v>4964</v>
      </c>
      <c r="X4398">
        <v>1</v>
      </c>
      <c r="Y4398">
        <v>0</v>
      </c>
      <c r="Z4398">
        <v>0</v>
      </c>
      <c r="AA4398">
        <v>0</v>
      </c>
      <c r="AB4398">
        <v>0</v>
      </c>
      <c r="AC4398">
        <v>4964</v>
      </c>
      <c r="AD4398">
        <v>0</v>
      </c>
      <c r="AE4398">
        <v>0</v>
      </c>
      <c r="AF4398">
        <v>0</v>
      </c>
      <c r="AG4398">
        <v>0</v>
      </c>
      <c r="AH4398">
        <v>0</v>
      </c>
      <c r="AI4398">
        <v>0</v>
      </c>
      <c r="AJ4398">
        <v>0</v>
      </c>
      <c r="AK4398">
        <v>0</v>
      </c>
      <c r="AL4398">
        <v>0</v>
      </c>
      <c r="AM4398">
        <v>0</v>
      </c>
      <c r="AN4398">
        <v>0</v>
      </c>
      <c r="AO4398">
        <v>1</v>
      </c>
      <c r="AP4398">
        <v>0</v>
      </c>
      <c r="AQ4398">
        <v>0</v>
      </c>
      <c r="AR4398">
        <v>0</v>
      </c>
      <c r="AS4398">
        <v>0</v>
      </c>
      <c r="AT4398">
        <v>0</v>
      </c>
      <c r="AU4398">
        <f t="shared" si="136"/>
        <v>1</v>
      </c>
      <c r="AV4398">
        <f t="shared" si="137"/>
        <v>0</v>
      </c>
    </row>
    <row r="4399" spans="1:48" x14ac:dyDescent="0.25">
      <c r="A4399" t="s">
        <v>17700</v>
      </c>
      <c r="B4399" t="s">
        <v>17700</v>
      </c>
      <c r="C4399" t="s">
        <v>17701</v>
      </c>
      <c r="D4399" t="s">
        <v>17702</v>
      </c>
      <c r="E4399" t="s">
        <v>2310</v>
      </c>
      <c r="F4399">
        <v>13</v>
      </c>
      <c r="G4399">
        <v>13.3</v>
      </c>
      <c r="H4399" t="s">
        <v>2017</v>
      </c>
      <c r="I4399" s="21">
        <v>42206.6559837963</v>
      </c>
      <c r="J4399">
        <v>2015</v>
      </c>
      <c r="K4399" s="21">
        <v>43080.454467592594</v>
      </c>
      <c r="L4399">
        <v>2017</v>
      </c>
      <c r="M4399" s="21">
        <v>43080.454467592594</v>
      </c>
      <c r="N4399">
        <v>2017</v>
      </c>
      <c r="Q4399" s="262">
        <v>4000000</v>
      </c>
      <c r="R4399" s="262">
        <v>1057000</v>
      </c>
      <c r="S4399" t="s">
        <v>13254</v>
      </c>
      <c r="W4399">
        <v>7470</v>
      </c>
      <c r="X4399">
        <v>1</v>
      </c>
      <c r="Y4399">
        <v>0</v>
      </c>
      <c r="Z4399">
        <v>0</v>
      </c>
      <c r="AA4399">
        <v>0</v>
      </c>
      <c r="AB4399">
        <v>0</v>
      </c>
      <c r="AC4399">
        <v>7470</v>
      </c>
      <c r="AD4399">
        <v>0</v>
      </c>
      <c r="AE4399">
        <v>0</v>
      </c>
      <c r="AF4399">
        <v>0</v>
      </c>
      <c r="AG4399">
        <v>0</v>
      </c>
      <c r="AH4399">
        <v>0</v>
      </c>
      <c r="AI4399">
        <v>0</v>
      </c>
      <c r="AJ4399">
        <v>0</v>
      </c>
      <c r="AK4399">
        <v>0</v>
      </c>
      <c r="AL4399">
        <v>0</v>
      </c>
      <c r="AM4399">
        <v>0</v>
      </c>
      <c r="AN4399">
        <v>0</v>
      </c>
      <c r="AO4399">
        <v>1</v>
      </c>
      <c r="AP4399">
        <v>0</v>
      </c>
      <c r="AQ4399">
        <v>0</v>
      </c>
      <c r="AR4399">
        <v>0</v>
      </c>
      <c r="AS4399">
        <v>0</v>
      </c>
      <c r="AT4399">
        <v>0</v>
      </c>
      <c r="AU4399">
        <f t="shared" si="136"/>
        <v>1</v>
      </c>
      <c r="AV4399">
        <f t="shared" si="137"/>
        <v>0</v>
      </c>
    </row>
    <row r="4400" spans="1:48" x14ac:dyDescent="0.25">
      <c r="A4400" t="s">
        <v>12939</v>
      </c>
      <c r="B4400" t="s">
        <v>12939</v>
      </c>
      <c r="C4400" t="s">
        <v>12940</v>
      </c>
      <c r="D4400" t="s">
        <v>12941</v>
      </c>
      <c r="E4400" t="s">
        <v>2310</v>
      </c>
      <c r="F4400">
        <v>10</v>
      </c>
      <c r="G4400">
        <v>10.1</v>
      </c>
      <c r="H4400" t="s">
        <v>2323</v>
      </c>
      <c r="I4400" s="21">
        <v>42207.564780092602</v>
      </c>
      <c r="J4400">
        <v>2015</v>
      </c>
      <c r="K4400" s="21">
        <v>42236.566527777803</v>
      </c>
      <c r="L4400">
        <v>2015</v>
      </c>
      <c r="M4400" s="21">
        <v>42408.337662037004</v>
      </c>
      <c r="N4400">
        <v>2016</v>
      </c>
      <c r="Q4400" s="262">
        <v>75000</v>
      </c>
      <c r="R4400" s="262">
        <v>49000</v>
      </c>
      <c r="S4400" t="s">
        <v>114</v>
      </c>
      <c r="T4400" t="s">
        <v>114</v>
      </c>
      <c r="W4400">
        <v>393</v>
      </c>
      <c r="X4400">
        <v>0</v>
      </c>
      <c r="Y4400">
        <v>0</v>
      </c>
      <c r="Z4400">
        <v>0</v>
      </c>
      <c r="AA4400">
        <v>0</v>
      </c>
      <c r="AB4400">
        <v>0</v>
      </c>
      <c r="AC4400">
        <v>393</v>
      </c>
      <c r="AD4400">
        <v>0</v>
      </c>
      <c r="AE4400">
        <v>0</v>
      </c>
      <c r="AF4400">
        <v>0</v>
      </c>
      <c r="AG4400">
        <v>0</v>
      </c>
      <c r="AH4400">
        <v>0</v>
      </c>
      <c r="AI4400">
        <v>0</v>
      </c>
      <c r="AJ4400">
        <v>0</v>
      </c>
      <c r="AK4400">
        <v>0</v>
      </c>
      <c r="AL4400">
        <v>0</v>
      </c>
      <c r="AM4400">
        <v>0</v>
      </c>
      <c r="AN4400">
        <v>0</v>
      </c>
      <c r="AO4400">
        <v>0</v>
      </c>
      <c r="AP4400">
        <v>0</v>
      </c>
      <c r="AQ4400">
        <v>0</v>
      </c>
      <c r="AR4400">
        <v>0</v>
      </c>
      <c r="AS4400">
        <v>0</v>
      </c>
      <c r="AT4400">
        <v>0</v>
      </c>
      <c r="AU4400">
        <f t="shared" si="136"/>
        <v>0</v>
      </c>
      <c r="AV4400">
        <f t="shared" si="137"/>
        <v>0</v>
      </c>
    </row>
    <row r="4401" spans="1:48" x14ac:dyDescent="0.25">
      <c r="A4401" t="s">
        <v>12942</v>
      </c>
      <c r="C4401" t="s">
        <v>12943</v>
      </c>
      <c r="D4401" t="s">
        <v>12944</v>
      </c>
      <c r="E4401" t="s">
        <v>1663</v>
      </c>
      <c r="F4401">
        <v>6</v>
      </c>
      <c r="G4401">
        <v>6.1</v>
      </c>
      <c r="H4401" t="s">
        <v>2017</v>
      </c>
      <c r="I4401" s="21">
        <v>42208</v>
      </c>
      <c r="J4401">
        <v>2015</v>
      </c>
      <c r="K4401" s="21">
        <v>42235</v>
      </c>
      <c r="L4401">
        <v>2015</v>
      </c>
      <c r="M4401" s="21">
        <v>42257</v>
      </c>
      <c r="N4401">
        <v>2015</v>
      </c>
      <c r="Q4401" s="262">
        <v>1500</v>
      </c>
      <c r="S4401" t="s">
        <v>114</v>
      </c>
      <c r="T4401" t="s">
        <v>114</v>
      </c>
      <c r="W4401">
        <v>0</v>
      </c>
      <c r="X4401">
        <v>0</v>
      </c>
      <c r="Y4401">
        <v>0</v>
      </c>
      <c r="Z4401">
        <v>0</v>
      </c>
      <c r="AA4401">
        <v>0</v>
      </c>
      <c r="AB4401">
        <v>0</v>
      </c>
      <c r="AC4401">
        <v>0</v>
      </c>
      <c r="AD4401">
        <v>0</v>
      </c>
      <c r="AE4401">
        <v>0</v>
      </c>
      <c r="AF4401">
        <v>0</v>
      </c>
      <c r="AG4401">
        <v>0</v>
      </c>
      <c r="AH4401">
        <v>0</v>
      </c>
      <c r="AI4401">
        <v>0</v>
      </c>
      <c r="AJ4401">
        <v>0</v>
      </c>
      <c r="AK4401">
        <v>0</v>
      </c>
      <c r="AL4401">
        <v>0</v>
      </c>
      <c r="AM4401">
        <v>0</v>
      </c>
      <c r="AN4401">
        <v>0</v>
      </c>
      <c r="AO4401">
        <v>0</v>
      </c>
      <c r="AP4401">
        <v>0</v>
      </c>
      <c r="AQ4401">
        <v>0</v>
      </c>
      <c r="AR4401">
        <v>0</v>
      </c>
      <c r="AS4401">
        <v>0</v>
      </c>
      <c r="AT4401">
        <v>0</v>
      </c>
      <c r="AU4401">
        <f t="shared" si="136"/>
        <v>0</v>
      </c>
      <c r="AV4401">
        <f t="shared" si="137"/>
        <v>0</v>
      </c>
    </row>
    <row r="4402" spans="1:48" x14ac:dyDescent="0.25">
      <c r="A4402" t="s">
        <v>19271</v>
      </c>
      <c r="B4402" t="s">
        <v>114</v>
      </c>
      <c r="C4402" t="s">
        <v>19272</v>
      </c>
      <c r="D4402" t="s">
        <v>19273</v>
      </c>
      <c r="E4402" t="s">
        <v>1663</v>
      </c>
      <c r="F4402">
        <v>4</v>
      </c>
      <c r="G4402">
        <v>4.3</v>
      </c>
      <c r="H4402" t="s">
        <v>2327</v>
      </c>
      <c r="I4402" s="21">
        <v>42208</v>
      </c>
      <c r="J4402">
        <v>2015</v>
      </c>
      <c r="K4402" s="21">
        <v>42265</v>
      </c>
      <c r="L4402">
        <v>2015</v>
      </c>
      <c r="M4402" s="21">
        <v>42517</v>
      </c>
      <c r="N4402">
        <v>2016</v>
      </c>
      <c r="Q4402" s="262">
        <v>250000</v>
      </c>
      <c r="S4402" t="s">
        <v>13253</v>
      </c>
      <c r="T4402">
        <v>12383</v>
      </c>
      <c r="V4402">
        <v>6000</v>
      </c>
      <c r="W4402">
        <v>0</v>
      </c>
      <c r="X4402">
        <v>0</v>
      </c>
      <c r="Y4402">
        <v>0</v>
      </c>
      <c r="Z4402">
        <v>0</v>
      </c>
      <c r="AA4402">
        <v>0</v>
      </c>
      <c r="AB4402">
        <v>0</v>
      </c>
      <c r="AC4402">
        <v>0</v>
      </c>
      <c r="AD4402">
        <v>0</v>
      </c>
      <c r="AE4402">
        <v>0</v>
      </c>
      <c r="AF4402">
        <v>0</v>
      </c>
      <c r="AG4402">
        <v>0</v>
      </c>
      <c r="AH4402">
        <v>0</v>
      </c>
      <c r="AI4402">
        <v>0</v>
      </c>
      <c r="AJ4402">
        <v>3000</v>
      </c>
      <c r="AK4402">
        <v>3000</v>
      </c>
      <c r="AL4402">
        <v>-6000</v>
      </c>
      <c r="AM4402">
        <v>0</v>
      </c>
      <c r="AN4402">
        <v>0</v>
      </c>
      <c r="AO4402">
        <v>0</v>
      </c>
      <c r="AP4402">
        <v>0</v>
      </c>
      <c r="AQ4402">
        <v>0</v>
      </c>
      <c r="AR4402">
        <v>0</v>
      </c>
      <c r="AS4402">
        <v>0</v>
      </c>
      <c r="AT4402">
        <v>0</v>
      </c>
      <c r="AU4402">
        <f t="shared" si="136"/>
        <v>0</v>
      </c>
      <c r="AV4402">
        <f t="shared" si="137"/>
        <v>0</v>
      </c>
    </row>
    <row r="4403" spans="1:48" x14ac:dyDescent="0.25">
      <c r="A4403" t="s">
        <v>12945</v>
      </c>
      <c r="C4403" t="s">
        <v>12946</v>
      </c>
      <c r="D4403" t="s">
        <v>12269</v>
      </c>
      <c r="E4403" t="s">
        <v>1663</v>
      </c>
      <c r="F4403">
        <v>2</v>
      </c>
      <c r="G4403">
        <v>2.6</v>
      </c>
      <c r="H4403" t="s">
        <v>2327</v>
      </c>
      <c r="I4403" s="21">
        <v>42208</v>
      </c>
      <c r="J4403">
        <v>2015</v>
      </c>
      <c r="K4403" s="21">
        <v>42242</v>
      </c>
      <c r="L4403">
        <v>2015</v>
      </c>
      <c r="M4403" s="21">
        <v>42341</v>
      </c>
      <c r="N4403">
        <v>2015</v>
      </c>
      <c r="Q4403" s="262">
        <v>307567</v>
      </c>
      <c r="S4403" t="s">
        <v>114</v>
      </c>
      <c r="T4403" t="s">
        <v>114</v>
      </c>
      <c r="W4403">
        <v>1001</v>
      </c>
      <c r="X4403">
        <v>0</v>
      </c>
      <c r="Y4403">
        <v>0</v>
      </c>
      <c r="Z4403">
        <v>0</v>
      </c>
      <c r="AA4403">
        <v>0</v>
      </c>
      <c r="AB4403">
        <v>0</v>
      </c>
      <c r="AC4403">
        <v>0</v>
      </c>
      <c r="AD4403">
        <v>0</v>
      </c>
      <c r="AE4403">
        <v>0</v>
      </c>
      <c r="AF4403">
        <v>0</v>
      </c>
      <c r="AG4403">
        <v>0</v>
      </c>
      <c r="AH4403">
        <v>0</v>
      </c>
      <c r="AI4403">
        <v>0</v>
      </c>
      <c r="AJ4403">
        <v>0</v>
      </c>
      <c r="AK4403">
        <v>0</v>
      </c>
      <c r="AL4403">
        <v>0</v>
      </c>
      <c r="AM4403">
        <v>1001</v>
      </c>
      <c r="AN4403">
        <v>0</v>
      </c>
      <c r="AO4403">
        <v>0</v>
      </c>
      <c r="AP4403">
        <v>0</v>
      </c>
      <c r="AQ4403">
        <v>0</v>
      </c>
      <c r="AR4403">
        <v>0</v>
      </c>
      <c r="AS4403">
        <v>0</v>
      </c>
      <c r="AT4403">
        <v>0</v>
      </c>
      <c r="AU4403">
        <f t="shared" si="136"/>
        <v>0</v>
      </c>
      <c r="AV4403">
        <f t="shared" si="137"/>
        <v>1001</v>
      </c>
    </row>
    <row r="4404" spans="1:48" x14ac:dyDescent="0.25">
      <c r="A4404" t="s">
        <v>12947</v>
      </c>
      <c r="B4404" t="s">
        <v>12947</v>
      </c>
      <c r="C4404" t="s">
        <v>12948</v>
      </c>
      <c r="D4404" t="s">
        <v>8947</v>
      </c>
      <c r="E4404" t="s">
        <v>2310</v>
      </c>
      <c r="F4404">
        <v>7</v>
      </c>
      <c r="G4404">
        <v>7.2</v>
      </c>
      <c r="H4404" t="s">
        <v>2017</v>
      </c>
      <c r="I4404" s="21">
        <v>42209.431157407402</v>
      </c>
      <c r="J4404">
        <v>2015</v>
      </c>
      <c r="K4404" s="21">
        <v>42228.497453703698</v>
      </c>
      <c r="L4404">
        <v>2015</v>
      </c>
      <c r="M4404" s="21">
        <v>42339.451018518499</v>
      </c>
      <c r="N4404">
        <v>2015</v>
      </c>
      <c r="Q4404" s="262">
        <v>100000</v>
      </c>
      <c r="R4404" s="262">
        <v>1000</v>
      </c>
      <c r="S4404" t="s">
        <v>114</v>
      </c>
      <c r="T4404" t="s">
        <v>114</v>
      </c>
      <c r="W4404">
        <v>756</v>
      </c>
      <c r="X4404">
        <v>0</v>
      </c>
      <c r="Y4404">
        <v>0</v>
      </c>
      <c r="Z4404">
        <v>0</v>
      </c>
      <c r="AA4404">
        <v>0</v>
      </c>
      <c r="AB4404">
        <v>0</v>
      </c>
      <c r="AC4404">
        <v>0</v>
      </c>
      <c r="AD4404">
        <v>0</v>
      </c>
      <c r="AE4404">
        <v>0</v>
      </c>
      <c r="AF4404">
        <v>0</v>
      </c>
      <c r="AG4404">
        <v>0</v>
      </c>
      <c r="AH4404">
        <v>0</v>
      </c>
      <c r="AI4404">
        <v>0</v>
      </c>
      <c r="AJ4404">
        <v>0</v>
      </c>
      <c r="AK4404">
        <v>0</v>
      </c>
      <c r="AL4404">
        <v>756</v>
      </c>
      <c r="AM4404">
        <v>0</v>
      </c>
      <c r="AN4404">
        <v>0</v>
      </c>
      <c r="AO4404">
        <v>0</v>
      </c>
      <c r="AP4404">
        <v>0</v>
      </c>
      <c r="AQ4404">
        <v>0</v>
      </c>
      <c r="AR4404">
        <v>0</v>
      </c>
      <c r="AS4404">
        <v>0</v>
      </c>
      <c r="AT4404">
        <v>0</v>
      </c>
      <c r="AU4404">
        <f t="shared" si="136"/>
        <v>0</v>
      </c>
      <c r="AV4404">
        <f t="shared" si="137"/>
        <v>756</v>
      </c>
    </row>
    <row r="4405" spans="1:48" x14ac:dyDescent="0.25">
      <c r="A4405" t="s">
        <v>12949</v>
      </c>
      <c r="C4405" t="s">
        <v>12950</v>
      </c>
      <c r="D4405" t="s">
        <v>12119</v>
      </c>
      <c r="E4405" t="s">
        <v>1663</v>
      </c>
      <c r="F4405">
        <v>6</v>
      </c>
      <c r="G4405">
        <v>6.2</v>
      </c>
      <c r="H4405" t="s">
        <v>2017</v>
      </c>
      <c r="I4405" s="21">
        <v>42213</v>
      </c>
      <c r="J4405">
        <v>2015</v>
      </c>
      <c r="K4405" s="21">
        <v>42221</v>
      </c>
      <c r="L4405">
        <v>2015</v>
      </c>
      <c r="P4405" s="21">
        <v>42401</v>
      </c>
      <c r="Q4405" s="262">
        <v>10000</v>
      </c>
      <c r="S4405" t="s">
        <v>114</v>
      </c>
      <c r="T4405" t="s">
        <v>114</v>
      </c>
      <c r="V4405">
        <v>384</v>
      </c>
      <c r="W4405">
        <v>0</v>
      </c>
      <c r="X4405">
        <v>0</v>
      </c>
      <c r="Y4405">
        <v>0</v>
      </c>
      <c r="Z4405">
        <v>0</v>
      </c>
      <c r="AA4405">
        <v>0</v>
      </c>
      <c r="AB4405">
        <v>0</v>
      </c>
      <c r="AC4405">
        <v>0</v>
      </c>
      <c r="AD4405">
        <v>0</v>
      </c>
      <c r="AE4405">
        <v>0</v>
      </c>
      <c r="AF4405">
        <v>0</v>
      </c>
      <c r="AG4405">
        <v>0</v>
      </c>
      <c r="AH4405">
        <v>0</v>
      </c>
      <c r="AI4405">
        <v>0</v>
      </c>
      <c r="AJ4405">
        <v>0</v>
      </c>
      <c r="AK4405">
        <v>0</v>
      </c>
      <c r="AL4405">
        <v>0</v>
      </c>
      <c r="AM4405">
        <v>0</v>
      </c>
      <c r="AN4405">
        <v>0</v>
      </c>
      <c r="AO4405">
        <v>0</v>
      </c>
      <c r="AP4405">
        <v>0</v>
      </c>
      <c r="AQ4405">
        <v>0</v>
      </c>
      <c r="AR4405">
        <v>0</v>
      </c>
      <c r="AS4405">
        <v>0</v>
      </c>
      <c r="AT4405">
        <v>0</v>
      </c>
      <c r="AU4405">
        <f t="shared" si="136"/>
        <v>0</v>
      </c>
      <c r="AV4405">
        <f t="shared" si="137"/>
        <v>0</v>
      </c>
    </row>
    <row r="4406" spans="1:48" x14ac:dyDescent="0.25">
      <c r="A4406" t="s">
        <v>12951</v>
      </c>
      <c r="B4406" t="s">
        <v>12951</v>
      </c>
      <c r="C4406" t="s">
        <v>12952</v>
      </c>
      <c r="D4406" t="s">
        <v>12953</v>
      </c>
      <c r="E4406" t="s">
        <v>2310</v>
      </c>
      <c r="F4406">
        <v>10</v>
      </c>
      <c r="G4406">
        <v>10.1</v>
      </c>
      <c r="H4406" t="s">
        <v>2323</v>
      </c>
      <c r="I4406" s="21">
        <v>42213.487025463</v>
      </c>
      <c r="J4406">
        <v>2015</v>
      </c>
      <c r="K4406" s="21">
        <v>42221.340520833299</v>
      </c>
      <c r="L4406">
        <v>2015</v>
      </c>
      <c r="M4406" s="21">
        <v>42587.383067129602</v>
      </c>
      <c r="N4406">
        <v>2016</v>
      </c>
      <c r="Q4406" s="262">
        <v>150000</v>
      </c>
      <c r="R4406" s="262">
        <v>85000</v>
      </c>
      <c r="S4406" t="s">
        <v>114</v>
      </c>
      <c r="T4406" t="s">
        <v>114</v>
      </c>
      <c r="V4406">
        <v>1000</v>
      </c>
      <c r="W4406">
        <v>0</v>
      </c>
      <c r="X4406">
        <v>0</v>
      </c>
      <c r="Y4406">
        <v>0</v>
      </c>
      <c r="Z4406">
        <v>0</v>
      </c>
      <c r="AA4406">
        <v>0</v>
      </c>
      <c r="AB4406">
        <v>0</v>
      </c>
      <c r="AC4406">
        <v>0</v>
      </c>
      <c r="AD4406">
        <v>0</v>
      </c>
      <c r="AE4406">
        <v>0</v>
      </c>
      <c r="AF4406">
        <v>0</v>
      </c>
      <c r="AG4406">
        <v>0</v>
      </c>
      <c r="AH4406">
        <v>0</v>
      </c>
      <c r="AI4406">
        <v>0</v>
      </c>
      <c r="AJ4406">
        <v>0</v>
      </c>
      <c r="AK4406">
        <v>0</v>
      </c>
      <c r="AL4406">
        <v>0</v>
      </c>
      <c r="AM4406">
        <v>0</v>
      </c>
      <c r="AN4406">
        <v>0</v>
      </c>
      <c r="AO4406">
        <v>0</v>
      </c>
      <c r="AP4406">
        <v>0</v>
      </c>
      <c r="AQ4406">
        <v>0</v>
      </c>
      <c r="AR4406">
        <v>0</v>
      </c>
      <c r="AS4406">
        <v>0</v>
      </c>
      <c r="AT4406">
        <v>0</v>
      </c>
      <c r="AU4406">
        <f t="shared" si="136"/>
        <v>0</v>
      </c>
      <c r="AV4406">
        <f t="shared" si="137"/>
        <v>0</v>
      </c>
    </row>
    <row r="4407" spans="1:48" x14ac:dyDescent="0.25">
      <c r="A4407" t="s">
        <v>17703</v>
      </c>
      <c r="B4407" t="s">
        <v>17703</v>
      </c>
      <c r="C4407" t="s">
        <v>17704</v>
      </c>
      <c r="D4407" t="s">
        <v>3544</v>
      </c>
      <c r="E4407" t="s">
        <v>2310</v>
      </c>
      <c r="F4407">
        <v>8</v>
      </c>
      <c r="G4407">
        <v>8.1999999999999993</v>
      </c>
      <c r="H4407" t="s">
        <v>2022</v>
      </c>
      <c r="I4407" s="21">
        <v>42216.700300925928</v>
      </c>
      <c r="J4407">
        <v>2015</v>
      </c>
      <c r="K4407" s="21">
        <v>42970.48636574074</v>
      </c>
      <c r="L4407">
        <v>2017</v>
      </c>
      <c r="M4407" s="21">
        <v>42970.48636574074</v>
      </c>
      <c r="N4407">
        <v>2017</v>
      </c>
      <c r="Q4407" s="262">
        <v>650000</v>
      </c>
      <c r="R4407" s="262">
        <v>375000</v>
      </c>
      <c r="S4407" t="s">
        <v>13253</v>
      </c>
      <c r="T4407">
        <v>1778</v>
      </c>
      <c r="V4407">
        <v>3827</v>
      </c>
      <c r="W4407">
        <v>393</v>
      </c>
      <c r="X4407">
        <v>0</v>
      </c>
      <c r="Y4407">
        <v>0</v>
      </c>
      <c r="Z4407">
        <v>0</v>
      </c>
      <c r="AA4407">
        <v>0</v>
      </c>
      <c r="AB4407">
        <v>0</v>
      </c>
      <c r="AC4407">
        <v>393</v>
      </c>
      <c r="AD4407">
        <v>0</v>
      </c>
      <c r="AE4407">
        <v>0</v>
      </c>
      <c r="AF4407">
        <v>0</v>
      </c>
      <c r="AG4407">
        <v>0</v>
      </c>
      <c r="AH4407">
        <v>0</v>
      </c>
      <c r="AI4407">
        <v>0</v>
      </c>
      <c r="AJ4407">
        <v>0</v>
      </c>
      <c r="AK4407">
        <v>0</v>
      </c>
      <c r="AL4407">
        <v>0</v>
      </c>
      <c r="AM4407">
        <v>0</v>
      </c>
      <c r="AN4407">
        <v>0</v>
      </c>
      <c r="AO4407">
        <v>0</v>
      </c>
      <c r="AP4407">
        <v>0</v>
      </c>
      <c r="AQ4407">
        <v>0</v>
      </c>
      <c r="AR4407">
        <v>0</v>
      </c>
      <c r="AS4407">
        <v>0</v>
      </c>
      <c r="AT4407">
        <v>0</v>
      </c>
      <c r="AU4407">
        <f t="shared" si="136"/>
        <v>0</v>
      </c>
      <c r="AV4407">
        <f t="shared" si="137"/>
        <v>0</v>
      </c>
    </row>
    <row r="4408" spans="1:48" x14ac:dyDescent="0.25">
      <c r="A4408" t="s">
        <v>12954</v>
      </c>
      <c r="C4408" t="s">
        <v>12955</v>
      </c>
      <c r="D4408" t="s">
        <v>12956</v>
      </c>
      <c r="E4408" t="s">
        <v>1663</v>
      </c>
      <c r="F4408">
        <v>3</v>
      </c>
      <c r="G4408">
        <v>3.2</v>
      </c>
      <c r="H4408" t="s">
        <v>2327</v>
      </c>
      <c r="I4408" s="21">
        <v>42220</v>
      </c>
      <c r="J4408">
        <v>2015</v>
      </c>
      <c r="O4408" s="21">
        <v>42499</v>
      </c>
      <c r="Q4408" s="262">
        <v>50000</v>
      </c>
      <c r="S4408" t="s">
        <v>114</v>
      </c>
      <c r="T4408" t="s">
        <v>114</v>
      </c>
      <c r="W4408">
        <v>0</v>
      </c>
      <c r="X4408">
        <v>0</v>
      </c>
      <c r="Y4408">
        <v>0</v>
      </c>
      <c r="Z4408">
        <v>0</v>
      </c>
      <c r="AA4408">
        <v>0</v>
      </c>
      <c r="AB4408">
        <v>0</v>
      </c>
      <c r="AC4408">
        <v>0</v>
      </c>
      <c r="AD4408">
        <v>0</v>
      </c>
      <c r="AE4408">
        <v>0</v>
      </c>
      <c r="AF4408">
        <v>0</v>
      </c>
      <c r="AG4408">
        <v>0</v>
      </c>
      <c r="AH4408">
        <v>0</v>
      </c>
      <c r="AI4408">
        <v>0</v>
      </c>
      <c r="AJ4408">
        <v>0</v>
      </c>
      <c r="AK4408">
        <v>0</v>
      </c>
      <c r="AL4408">
        <v>0</v>
      </c>
      <c r="AM4408">
        <v>0</v>
      </c>
      <c r="AN4408">
        <v>0</v>
      </c>
      <c r="AO4408">
        <v>0</v>
      </c>
      <c r="AP4408">
        <v>0</v>
      </c>
      <c r="AQ4408">
        <v>0</v>
      </c>
      <c r="AR4408">
        <v>0</v>
      </c>
      <c r="AS4408">
        <v>0</v>
      </c>
      <c r="AT4408">
        <v>0</v>
      </c>
      <c r="AU4408">
        <f t="shared" si="136"/>
        <v>0</v>
      </c>
      <c r="AV4408">
        <f t="shared" si="137"/>
        <v>0</v>
      </c>
    </row>
    <row r="4409" spans="1:48" x14ac:dyDescent="0.25">
      <c r="A4409" t="s">
        <v>17705</v>
      </c>
      <c r="B4409" t="s">
        <v>17705</v>
      </c>
      <c r="C4409" t="s">
        <v>17706</v>
      </c>
      <c r="D4409" t="s">
        <v>17707</v>
      </c>
      <c r="E4409" t="s">
        <v>2310</v>
      </c>
      <c r="F4409">
        <v>13</v>
      </c>
      <c r="G4409">
        <v>13.2</v>
      </c>
      <c r="H4409" t="s">
        <v>2327</v>
      </c>
      <c r="I4409" s="21">
        <v>42220.467083333337</v>
      </c>
      <c r="J4409">
        <v>2015</v>
      </c>
      <c r="K4409" s="21">
        <v>43025.462210648147</v>
      </c>
      <c r="L4409">
        <v>2017</v>
      </c>
      <c r="M4409" s="21">
        <v>43025.462210648147</v>
      </c>
      <c r="N4409">
        <v>2017</v>
      </c>
      <c r="Q4409" s="262">
        <v>2276000</v>
      </c>
      <c r="R4409" s="262">
        <v>730000</v>
      </c>
      <c r="S4409" t="s">
        <v>13254</v>
      </c>
      <c r="W4409">
        <v>5690</v>
      </c>
      <c r="X4409">
        <v>1</v>
      </c>
      <c r="Y4409">
        <v>0</v>
      </c>
      <c r="Z4409">
        <v>0</v>
      </c>
      <c r="AA4409">
        <v>0</v>
      </c>
      <c r="AB4409">
        <v>0</v>
      </c>
      <c r="AC4409">
        <v>5690</v>
      </c>
      <c r="AD4409">
        <v>0</v>
      </c>
      <c r="AE4409">
        <v>0</v>
      </c>
      <c r="AF4409">
        <v>0</v>
      </c>
      <c r="AG4409">
        <v>0</v>
      </c>
      <c r="AH4409">
        <v>0</v>
      </c>
      <c r="AI4409">
        <v>0</v>
      </c>
      <c r="AJ4409">
        <v>0</v>
      </c>
      <c r="AK4409">
        <v>0</v>
      </c>
      <c r="AL4409">
        <v>0</v>
      </c>
      <c r="AM4409">
        <v>0</v>
      </c>
      <c r="AN4409">
        <v>0</v>
      </c>
      <c r="AO4409">
        <v>1</v>
      </c>
      <c r="AP4409">
        <v>0</v>
      </c>
      <c r="AQ4409">
        <v>0</v>
      </c>
      <c r="AR4409">
        <v>0</v>
      </c>
      <c r="AS4409">
        <v>0</v>
      </c>
      <c r="AT4409">
        <v>0</v>
      </c>
      <c r="AU4409">
        <f t="shared" si="136"/>
        <v>1</v>
      </c>
      <c r="AV4409">
        <f t="shared" si="137"/>
        <v>0</v>
      </c>
    </row>
    <row r="4410" spans="1:48" x14ac:dyDescent="0.25">
      <c r="A4410" t="s">
        <v>12957</v>
      </c>
      <c r="B4410" t="s">
        <v>12957</v>
      </c>
      <c r="C4410" t="s">
        <v>12958</v>
      </c>
      <c r="D4410" t="s">
        <v>10897</v>
      </c>
      <c r="E4410" t="s">
        <v>2310</v>
      </c>
      <c r="F4410">
        <v>13</v>
      </c>
      <c r="G4410">
        <v>13.3</v>
      </c>
      <c r="H4410" t="s">
        <v>2017</v>
      </c>
      <c r="I4410" s="21">
        <v>42221.5619560185</v>
      </c>
      <c r="J4410">
        <v>2015</v>
      </c>
      <c r="K4410" s="21">
        <v>42226.644548611097</v>
      </c>
      <c r="L4410">
        <v>2015</v>
      </c>
      <c r="M4410" s="21">
        <v>42466.412199074097</v>
      </c>
      <c r="N4410">
        <v>2016</v>
      </c>
      <c r="Q4410" s="262">
        <v>83200</v>
      </c>
      <c r="R4410" s="262">
        <v>1000</v>
      </c>
      <c r="S4410" t="s">
        <v>114</v>
      </c>
      <c r="T4410" t="s">
        <v>114</v>
      </c>
      <c r="W4410">
        <v>8</v>
      </c>
      <c r="X4410">
        <v>0</v>
      </c>
      <c r="Y4410">
        <v>0</v>
      </c>
      <c r="Z4410">
        <v>0</v>
      </c>
      <c r="AA4410">
        <v>0</v>
      </c>
      <c r="AB4410">
        <v>0</v>
      </c>
      <c r="AC4410">
        <v>8</v>
      </c>
      <c r="AD4410">
        <v>0</v>
      </c>
      <c r="AE4410">
        <v>0</v>
      </c>
      <c r="AF4410">
        <v>0</v>
      </c>
      <c r="AG4410">
        <v>0</v>
      </c>
      <c r="AH4410">
        <v>0</v>
      </c>
      <c r="AI4410">
        <v>0</v>
      </c>
      <c r="AJ4410">
        <v>0</v>
      </c>
      <c r="AK4410">
        <v>0</v>
      </c>
      <c r="AL4410">
        <v>0</v>
      </c>
      <c r="AM4410">
        <v>0</v>
      </c>
      <c r="AN4410">
        <v>0</v>
      </c>
      <c r="AO4410">
        <v>0</v>
      </c>
      <c r="AP4410">
        <v>0</v>
      </c>
      <c r="AQ4410">
        <v>0</v>
      </c>
      <c r="AR4410">
        <v>0</v>
      </c>
      <c r="AS4410">
        <v>0</v>
      </c>
      <c r="AT4410">
        <v>0</v>
      </c>
      <c r="AU4410">
        <f t="shared" si="136"/>
        <v>0</v>
      </c>
      <c r="AV4410">
        <f t="shared" si="137"/>
        <v>0</v>
      </c>
    </row>
    <row r="4411" spans="1:48" x14ac:dyDescent="0.25">
      <c r="A4411" t="s">
        <v>13527</v>
      </c>
      <c r="B4411" t="s">
        <v>114</v>
      </c>
      <c r="C4411" t="s">
        <v>13528</v>
      </c>
      <c r="D4411" t="s">
        <v>13529</v>
      </c>
      <c r="E4411" t="s">
        <v>1663</v>
      </c>
      <c r="F4411">
        <v>5</v>
      </c>
      <c r="G4411">
        <v>5.5</v>
      </c>
      <c r="H4411" t="s">
        <v>2017</v>
      </c>
      <c r="I4411" s="21">
        <v>42222</v>
      </c>
      <c r="J4411">
        <v>2015</v>
      </c>
      <c r="K4411" s="21">
        <v>42296</v>
      </c>
      <c r="L4411">
        <v>2015</v>
      </c>
      <c r="M4411" s="21">
        <v>42754</v>
      </c>
      <c r="N4411">
        <v>2017</v>
      </c>
      <c r="Q4411" s="262">
        <v>15000</v>
      </c>
      <c r="S4411" t="s">
        <v>13253</v>
      </c>
      <c r="T4411">
        <v>13509</v>
      </c>
      <c r="W4411">
        <v>77</v>
      </c>
      <c r="X4411">
        <v>0</v>
      </c>
      <c r="Y4411">
        <v>0</v>
      </c>
      <c r="Z4411">
        <v>0</v>
      </c>
      <c r="AA4411">
        <v>0</v>
      </c>
      <c r="AB4411">
        <v>0</v>
      </c>
      <c r="AC4411">
        <v>77</v>
      </c>
      <c r="AD4411">
        <v>0</v>
      </c>
      <c r="AE4411">
        <v>0</v>
      </c>
      <c r="AF4411">
        <v>0</v>
      </c>
      <c r="AG4411">
        <v>0</v>
      </c>
      <c r="AH4411">
        <v>0</v>
      </c>
      <c r="AI4411">
        <v>0</v>
      </c>
      <c r="AJ4411">
        <v>0</v>
      </c>
      <c r="AK4411">
        <v>0</v>
      </c>
      <c r="AL4411">
        <v>0</v>
      </c>
      <c r="AM4411">
        <v>0</v>
      </c>
      <c r="AN4411">
        <v>0</v>
      </c>
      <c r="AO4411">
        <v>0</v>
      </c>
      <c r="AP4411">
        <v>0</v>
      </c>
      <c r="AQ4411">
        <v>0</v>
      </c>
      <c r="AR4411">
        <v>0</v>
      </c>
      <c r="AS4411">
        <v>0</v>
      </c>
      <c r="AT4411">
        <v>0</v>
      </c>
      <c r="AU4411">
        <f t="shared" si="136"/>
        <v>0</v>
      </c>
      <c r="AV4411">
        <f t="shared" si="137"/>
        <v>0</v>
      </c>
    </row>
    <row r="4412" spans="1:48" x14ac:dyDescent="0.25">
      <c r="A4412" t="s">
        <v>12959</v>
      </c>
      <c r="B4412" t="s">
        <v>12959</v>
      </c>
      <c r="C4412" t="s">
        <v>12960</v>
      </c>
      <c r="D4412" t="s">
        <v>7708</v>
      </c>
      <c r="E4412" t="s">
        <v>2310</v>
      </c>
      <c r="F4412">
        <v>10</v>
      </c>
      <c r="G4412">
        <v>10.1</v>
      </c>
      <c r="H4412" t="s">
        <v>2323</v>
      </c>
      <c r="I4412" s="21">
        <v>42222.477129629602</v>
      </c>
      <c r="J4412">
        <v>2015</v>
      </c>
      <c r="K4412" s="21">
        <v>42222.500173611101</v>
      </c>
      <c r="L4412">
        <v>2015</v>
      </c>
      <c r="M4412" s="21">
        <v>42380.580613425896</v>
      </c>
      <c r="N4412">
        <v>2016</v>
      </c>
      <c r="Q4412" s="262">
        <v>4000</v>
      </c>
      <c r="R4412" s="262">
        <v>4000</v>
      </c>
      <c r="S4412" t="s">
        <v>114</v>
      </c>
      <c r="T4412" t="s">
        <v>114</v>
      </c>
      <c r="W4412">
        <v>32</v>
      </c>
      <c r="X4412">
        <v>0</v>
      </c>
      <c r="Y4412">
        <v>0</v>
      </c>
      <c r="Z4412">
        <v>0</v>
      </c>
      <c r="AA4412">
        <v>0</v>
      </c>
      <c r="AB4412">
        <v>0</v>
      </c>
      <c r="AC4412">
        <v>32</v>
      </c>
      <c r="AD4412">
        <v>0</v>
      </c>
      <c r="AE4412">
        <v>0</v>
      </c>
      <c r="AF4412">
        <v>0</v>
      </c>
      <c r="AG4412">
        <v>0</v>
      </c>
      <c r="AH4412">
        <v>0</v>
      </c>
      <c r="AI4412">
        <v>0</v>
      </c>
      <c r="AJ4412">
        <v>0</v>
      </c>
      <c r="AK4412">
        <v>0</v>
      </c>
      <c r="AL4412">
        <v>0</v>
      </c>
      <c r="AM4412">
        <v>0</v>
      </c>
      <c r="AN4412">
        <v>0</v>
      </c>
      <c r="AO4412">
        <v>0</v>
      </c>
      <c r="AP4412">
        <v>0</v>
      </c>
      <c r="AQ4412">
        <v>0</v>
      </c>
      <c r="AR4412">
        <v>0</v>
      </c>
      <c r="AS4412">
        <v>0</v>
      </c>
      <c r="AT4412">
        <v>0</v>
      </c>
      <c r="AU4412">
        <f t="shared" si="136"/>
        <v>0</v>
      </c>
      <c r="AV4412">
        <f t="shared" si="137"/>
        <v>0</v>
      </c>
    </row>
    <row r="4413" spans="1:48" x14ac:dyDescent="0.25">
      <c r="A4413" t="s">
        <v>12961</v>
      </c>
      <c r="B4413" t="s">
        <v>12961</v>
      </c>
      <c r="C4413" t="s">
        <v>12962</v>
      </c>
      <c r="D4413" t="s">
        <v>12963</v>
      </c>
      <c r="E4413" t="s">
        <v>2310</v>
      </c>
      <c r="F4413">
        <v>9</v>
      </c>
      <c r="G4413">
        <v>9.4</v>
      </c>
      <c r="H4413" t="s">
        <v>2323</v>
      </c>
      <c r="I4413" s="21">
        <v>42223.606388888897</v>
      </c>
      <c r="J4413">
        <v>2015</v>
      </c>
      <c r="K4413" s="21">
        <v>42278.546655092599</v>
      </c>
      <c r="L4413">
        <v>2015</v>
      </c>
      <c r="M4413" s="21">
        <v>42691.3972685185</v>
      </c>
      <c r="N4413">
        <v>2016</v>
      </c>
      <c r="Q4413" s="262">
        <v>900000</v>
      </c>
      <c r="R4413" s="262">
        <v>527000</v>
      </c>
      <c r="S4413" t="s">
        <v>114</v>
      </c>
      <c r="T4413" t="s">
        <v>114</v>
      </c>
      <c r="W4413">
        <v>4389</v>
      </c>
      <c r="X4413">
        <v>1</v>
      </c>
      <c r="Y4413">
        <v>0</v>
      </c>
      <c r="Z4413">
        <v>0</v>
      </c>
      <c r="AA4413">
        <v>0</v>
      </c>
      <c r="AB4413">
        <v>0</v>
      </c>
      <c r="AC4413">
        <v>4389</v>
      </c>
      <c r="AD4413">
        <v>0</v>
      </c>
      <c r="AE4413">
        <v>0</v>
      </c>
      <c r="AF4413">
        <v>0</v>
      </c>
      <c r="AG4413">
        <v>0</v>
      </c>
      <c r="AH4413">
        <v>0</v>
      </c>
      <c r="AI4413">
        <v>0</v>
      </c>
      <c r="AJ4413">
        <v>0</v>
      </c>
      <c r="AK4413">
        <v>0</v>
      </c>
      <c r="AL4413">
        <v>0</v>
      </c>
      <c r="AM4413">
        <v>0</v>
      </c>
      <c r="AN4413">
        <v>0</v>
      </c>
      <c r="AO4413">
        <v>1</v>
      </c>
      <c r="AP4413">
        <v>0</v>
      </c>
      <c r="AQ4413">
        <v>0</v>
      </c>
      <c r="AR4413">
        <v>0</v>
      </c>
      <c r="AS4413">
        <v>0</v>
      </c>
      <c r="AT4413">
        <v>0</v>
      </c>
      <c r="AU4413">
        <f t="shared" si="136"/>
        <v>1</v>
      </c>
      <c r="AV4413">
        <f t="shared" si="137"/>
        <v>0</v>
      </c>
    </row>
    <row r="4414" spans="1:48" x14ac:dyDescent="0.25">
      <c r="A4414" t="s">
        <v>17711</v>
      </c>
      <c r="B4414" t="s">
        <v>17711</v>
      </c>
      <c r="C4414" t="s">
        <v>17712</v>
      </c>
      <c r="D4414" t="s">
        <v>17713</v>
      </c>
      <c r="E4414" t="s">
        <v>2310</v>
      </c>
      <c r="F4414">
        <v>11</v>
      </c>
      <c r="G4414">
        <v>11.2</v>
      </c>
      <c r="H4414" t="s">
        <v>2017</v>
      </c>
      <c r="I4414" s="21">
        <v>42227.432534722226</v>
      </c>
      <c r="J4414">
        <v>2015</v>
      </c>
      <c r="K4414" s="21">
        <v>42738.652650462966</v>
      </c>
      <c r="L4414">
        <v>2017</v>
      </c>
      <c r="M4414" s="21">
        <v>42738.652650462966</v>
      </c>
      <c r="N4414">
        <v>2017</v>
      </c>
      <c r="R4414" s="262">
        <v>287000</v>
      </c>
      <c r="S4414" t="s">
        <v>13254</v>
      </c>
      <c r="W4414">
        <v>2796</v>
      </c>
      <c r="X4414">
        <v>1</v>
      </c>
      <c r="Y4414">
        <v>0</v>
      </c>
      <c r="Z4414">
        <v>0</v>
      </c>
      <c r="AA4414">
        <v>0</v>
      </c>
      <c r="AB4414">
        <v>0</v>
      </c>
      <c r="AC4414">
        <v>2796</v>
      </c>
      <c r="AD4414">
        <v>0</v>
      </c>
      <c r="AE4414">
        <v>0</v>
      </c>
      <c r="AF4414">
        <v>0</v>
      </c>
      <c r="AG4414">
        <v>0</v>
      </c>
      <c r="AH4414">
        <v>0</v>
      </c>
      <c r="AI4414">
        <v>0</v>
      </c>
      <c r="AJ4414">
        <v>0</v>
      </c>
      <c r="AK4414">
        <v>0</v>
      </c>
      <c r="AL4414">
        <v>0</v>
      </c>
      <c r="AM4414">
        <v>0</v>
      </c>
      <c r="AN4414">
        <v>0</v>
      </c>
      <c r="AO4414">
        <v>1</v>
      </c>
      <c r="AP4414">
        <v>0</v>
      </c>
      <c r="AQ4414">
        <v>0</v>
      </c>
      <c r="AR4414">
        <v>0</v>
      </c>
      <c r="AS4414">
        <v>0</v>
      </c>
      <c r="AT4414">
        <v>0</v>
      </c>
      <c r="AU4414">
        <f t="shared" si="136"/>
        <v>1</v>
      </c>
      <c r="AV4414">
        <f t="shared" si="137"/>
        <v>0</v>
      </c>
    </row>
    <row r="4415" spans="1:48" x14ac:dyDescent="0.25">
      <c r="A4415" t="s">
        <v>12964</v>
      </c>
      <c r="B4415" t="s">
        <v>12964</v>
      </c>
      <c r="C4415" t="s">
        <v>12965</v>
      </c>
      <c r="D4415" t="s">
        <v>12966</v>
      </c>
      <c r="E4415" t="s">
        <v>2310</v>
      </c>
      <c r="F4415">
        <v>15</v>
      </c>
      <c r="G4415">
        <v>15.2</v>
      </c>
      <c r="H4415" t="s">
        <v>2323</v>
      </c>
      <c r="I4415" s="21">
        <v>42227.557418981502</v>
      </c>
      <c r="J4415">
        <v>2015</v>
      </c>
      <c r="K4415" s="21">
        <v>42558.538194444402</v>
      </c>
      <c r="L4415">
        <v>2016</v>
      </c>
      <c r="P4415" s="21">
        <v>42937.355231481502</v>
      </c>
      <c r="R4415" s="262">
        <v>855000</v>
      </c>
      <c r="S4415" t="s">
        <v>114</v>
      </c>
      <c r="T4415" t="s">
        <v>114</v>
      </c>
      <c r="W4415">
        <v>8146</v>
      </c>
      <c r="X4415">
        <v>1</v>
      </c>
      <c r="Y4415">
        <v>0</v>
      </c>
      <c r="Z4415">
        <v>0</v>
      </c>
      <c r="AA4415">
        <v>0</v>
      </c>
      <c r="AB4415">
        <v>0</v>
      </c>
      <c r="AC4415">
        <v>8146</v>
      </c>
      <c r="AD4415">
        <v>0</v>
      </c>
      <c r="AE4415">
        <v>0</v>
      </c>
      <c r="AF4415">
        <v>0</v>
      </c>
      <c r="AG4415">
        <v>0</v>
      </c>
      <c r="AH4415">
        <v>0</v>
      </c>
      <c r="AI4415">
        <v>0</v>
      </c>
      <c r="AJ4415">
        <v>0</v>
      </c>
      <c r="AK4415">
        <v>0</v>
      </c>
      <c r="AL4415">
        <v>0</v>
      </c>
      <c r="AM4415">
        <v>0</v>
      </c>
      <c r="AN4415">
        <v>0</v>
      </c>
      <c r="AO4415">
        <v>1</v>
      </c>
      <c r="AP4415">
        <v>0</v>
      </c>
      <c r="AQ4415">
        <v>0</v>
      </c>
      <c r="AR4415">
        <v>0</v>
      </c>
      <c r="AS4415">
        <v>0</v>
      </c>
      <c r="AT4415">
        <v>0</v>
      </c>
      <c r="AU4415">
        <f t="shared" si="136"/>
        <v>1</v>
      </c>
      <c r="AV4415">
        <f t="shared" si="137"/>
        <v>0</v>
      </c>
    </row>
    <row r="4416" spans="1:48" x14ac:dyDescent="0.25">
      <c r="A4416" t="s">
        <v>12967</v>
      </c>
      <c r="B4416" t="s">
        <v>12967</v>
      </c>
      <c r="C4416" t="s">
        <v>12968</v>
      </c>
      <c r="D4416" t="s">
        <v>12966</v>
      </c>
      <c r="E4416" t="s">
        <v>2310</v>
      </c>
      <c r="F4416">
        <v>15</v>
      </c>
      <c r="G4416">
        <v>15.2</v>
      </c>
      <c r="H4416" t="s">
        <v>2323</v>
      </c>
      <c r="I4416" s="21">
        <v>42227.603587963</v>
      </c>
      <c r="J4416">
        <v>2015</v>
      </c>
      <c r="K4416" s="21">
        <v>42558.538935185199</v>
      </c>
      <c r="L4416">
        <v>2016</v>
      </c>
      <c r="P4416" s="21">
        <v>42937.355023148099</v>
      </c>
      <c r="R4416" s="262">
        <v>186000</v>
      </c>
      <c r="S4416" t="s">
        <v>114</v>
      </c>
      <c r="T4416" t="s">
        <v>114</v>
      </c>
      <c r="W4416">
        <v>2200</v>
      </c>
      <c r="X4416">
        <v>1</v>
      </c>
      <c r="Y4416">
        <v>0</v>
      </c>
      <c r="Z4416">
        <v>0</v>
      </c>
      <c r="AA4416">
        <v>0</v>
      </c>
      <c r="AB4416">
        <v>0</v>
      </c>
      <c r="AC4416">
        <v>1200</v>
      </c>
      <c r="AD4416">
        <v>0</v>
      </c>
      <c r="AE4416">
        <v>0</v>
      </c>
      <c r="AF4416">
        <v>1000</v>
      </c>
      <c r="AG4416">
        <v>0</v>
      </c>
      <c r="AH4416">
        <v>0</v>
      </c>
      <c r="AI4416">
        <v>0</v>
      </c>
      <c r="AJ4416">
        <v>0</v>
      </c>
      <c r="AK4416">
        <v>0</v>
      </c>
      <c r="AL4416">
        <v>0</v>
      </c>
      <c r="AM4416">
        <v>0</v>
      </c>
      <c r="AN4416">
        <v>0</v>
      </c>
      <c r="AO4416">
        <v>0</v>
      </c>
      <c r="AP4416">
        <v>0</v>
      </c>
      <c r="AQ4416">
        <v>0</v>
      </c>
      <c r="AR4416">
        <v>1</v>
      </c>
      <c r="AS4416">
        <v>0</v>
      </c>
      <c r="AT4416">
        <v>0</v>
      </c>
      <c r="AU4416">
        <f t="shared" si="136"/>
        <v>0</v>
      </c>
      <c r="AV4416">
        <f t="shared" si="137"/>
        <v>0</v>
      </c>
    </row>
    <row r="4417" spans="1:48" x14ac:dyDescent="0.25">
      <c r="A4417" t="s">
        <v>18752</v>
      </c>
      <c r="B4417" t="s">
        <v>18752</v>
      </c>
      <c r="C4417" t="s">
        <v>18753</v>
      </c>
      <c r="D4417" t="s">
        <v>18754</v>
      </c>
      <c r="E4417" t="s">
        <v>2310</v>
      </c>
      <c r="F4417">
        <v>8</v>
      </c>
      <c r="G4417">
        <v>8.3000000000000007</v>
      </c>
      <c r="H4417" t="s">
        <v>2323</v>
      </c>
      <c r="I4417" s="21">
        <v>42228.608657407407</v>
      </c>
      <c r="J4417">
        <v>2015</v>
      </c>
      <c r="K4417" s="21">
        <v>42262.643553240741</v>
      </c>
      <c r="L4417">
        <v>2015</v>
      </c>
      <c r="M4417" s="21">
        <v>43158.700624999998</v>
      </c>
      <c r="N4417">
        <v>2018</v>
      </c>
      <c r="Q4417" s="262">
        <v>16000</v>
      </c>
      <c r="R4417" s="262">
        <v>16000</v>
      </c>
      <c r="S4417" t="s">
        <v>13253</v>
      </c>
      <c r="T4417">
        <v>8872</v>
      </c>
      <c r="W4417">
        <v>336</v>
      </c>
      <c r="X4417">
        <v>0</v>
      </c>
      <c r="Y4417">
        <v>0</v>
      </c>
      <c r="Z4417">
        <v>0</v>
      </c>
      <c r="AA4417">
        <v>0</v>
      </c>
      <c r="AB4417">
        <v>0</v>
      </c>
      <c r="AC4417">
        <v>336</v>
      </c>
      <c r="AD4417">
        <v>0</v>
      </c>
      <c r="AE4417">
        <v>0</v>
      </c>
      <c r="AF4417">
        <v>0</v>
      </c>
      <c r="AG4417">
        <v>0</v>
      </c>
      <c r="AH4417">
        <v>0</v>
      </c>
      <c r="AI4417">
        <v>0</v>
      </c>
      <c r="AJ4417">
        <v>0</v>
      </c>
      <c r="AK4417">
        <v>0</v>
      </c>
      <c r="AL4417">
        <v>0</v>
      </c>
      <c r="AM4417">
        <v>0</v>
      </c>
      <c r="AN4417">
        <v>0</v>
      </c>
      <c r="AO4417">
        <v>0</v>
      </c>
      <c r="AP4417">
        <v>0</v>
      </c>
      <c r="AQ4417">
        <v>0</v>
      </c>
      <c r="AR4417">
        <v>0</v>
      </c>
      <c r="AS4417">
        <v>0</v>
      </c>
      <c r="AT4417">
        <v>0</v>
      </c>
      <c r="AU4417">
        <f t="shared" si="136"/>
        <v>0</v>
      </c>
      <c r="AV4417">
        <f t="shared" si="137"/>
        <v>0</v>
      </c>
    </row>
    <row r="4418" spans="1:48" x14ac:dyDescent="0.25">
      <c r="A4418" t="s">
        <v>19091</v>
      </c>
      <c r="B4418" t="s">
        <v>114</v>
      </c>
      <c r="C4418" t="s">
        <v>11488</v>
      </c>
      <c r="D4418" t="s">
        <v>19092</v>
      </c>
      <c r="E4418" t="s">
        <v>1663</v>
      </c>
      <c r="F4418">
        <v>6</v>
      </c>
      <c r="G4418">
        <v>6.1</v>
      </c>
      <c r="H4418" t="s">
        <v>2017</v>
      </c>
      <c r="I4418" s="21">
        <v>42229</v>
      </c>
      <c r="J4418">
        <v>2015</v>
      </c>
      <c r="K4418" s="21">
        <v>42247</v>
      </c>
      <c r="L4418">
        <v>2015</v>
      </c>
      <c r="M4418" s="21">
        <v>43280</v>
      </c>
      <c r="N4418">
        <v>2018</v>
      </c>
      <c r="Q4418" s="262">
        <v>143379.5</v>
      </c>
      <c r="S4418" t="s">
        <v>13253</v>
      </c>
      <c r="T4418">
        <v>10623</v>
      </c>
      <c r="W4418">
        <v>387</v>
      </c>
      <c r="X4418">
        <v>0</v>
      </c>
      <c r="Y4418">
        <v>0</v>
      </c>
      <c r="Z4418">
        <v>0</v>
      </c>
      <c r="AA4418">
        <v>0</v>
      </c>
      <c r="AB4418">
        <v>0</v>
      </c>
      <c r="AC4418">
        <v>387</v>
      </c>
      <c r="AD4418">
        <v>0</v>
      </c>
      <c r="AE4418">
        <v>0</v>
      </c>
      <c r="AF4418">
        <v>0</v>
      </c>
      <c r="AG4418">
        <v>0</v>
      </c>
      <c r="AH4418">
        <v>0</v>
      </c>
      <c r="AI4418">
        <v>0</v>
      </c>
      <c r="AJ4418">
        <v>0</v>
      </c>
      <c r="AK4418">
        <v>0</v>
      </c>
      <c r="AL4418">
        <v>0</v>
      </c>
      <c r="AM4418">
        <v>0</v>
      </c>
      <c r="AN4418">
        <v>0</v>
      </c>
      <c r="AO4418">
        <v>0</v>
      </c>
      <c r="AP4418">
        <v>0</v>
      </c>
      <c r="AQ4418">
        <v>0</v>
      </c>
      <c r="AR4418">
        <v>0</v>
      </c>
      <c r="AS4418">
        <v>0</v>
      </c>
      <c r="AT4418">
        <v>0</v>
      </c>
      <c r="AU4418">
        <f t="shared" si="136"/>
        <v>0</v>
      </c>
      <c r="AV4418">
        <f t="shared" si="137"/>
        <v>0</v>
      </c>
    </row>
    <row r="4419" spans="1:48" x14ac:dyDescent="0.25">
      <c r="A4419" t="s">
        <v>17714</v>
      </c>
      <c r="B4419" t="s">
        <v>17714</v>
      </c>
      <c r="C4419" t="s">
        <v>17715</v>
      </c>
      <c r="D4419" t="s">
        <v>17716</v>
      </c>
      <c r="E4419" t="s">
        <v>2310</v>
      </c>
      <c r="F4419">
        <v>9</v>
      </c>
      <c r="G4419">
        <v>9.3000000000000007</v>
      </c>
      <c r="H4419" t="s">
        <v>2323</v>
      </c>
      <c r="I4419" s="21">
        <v>42229.441018518519</v>
      </c>
      <c r="J4419">
        <v>2015</v>
      </c>
      <c r="K4419" s="21">
        <v>42753.404178240744</v>
      </c>
      <c r="L4419">
        <v>2017</v>
      </c>
      <c r="M4419" s="21">
        <v>42753.404178240744</v>
      </c>
      <c r="N4419">
        <v>2017</v>
      </c>
      <c r="Q4419" s="262">
        <v>1600000</v>
      </c>
      <c r="R4419" s="262">
        <v>577000</v>
      </c>
      <c r="S4419" t="s">
        <v>13254</v>
      </c>
      <c r="W4419">
        <v>4725</v>
      </c>
      <c r="X4419">
        <v>1</v>
      </c>
      <c r="Y4419">
        <v>0</v>
      </c>
      <c r="Z4419">
        <v>0</v>
      </c>
      <c r="AA4419">
        <v>0</v>
      </c>
      <c r="AB4419">
        <v>0</v>
      </c>
      <c r="AC4419">
        <v>4725</v>
      </c>
      <c r="AD4419">
        <v>0</v>
      </c>
      <c r="AE4419">
        <v>0</v>
      </c>
      <c r="AF4419">
        <v>0</v>
      </c>
      <c r="AG4419">
        <v>0</v>
      </c>
      <c r="AH4419">
        <v>0</v>
      </c>
      <c r="AI4419">
        <v>0</v>
      </c>
      <c r="AJ4419">
        <v>0</v>
      </c>
      <c r="AK4419">
        <v>0</v>
      </c>
      <c r="AL4419">
        <v>0</v>
      </c>
      <c r="AM4419">
        <v>0</v>
      </c>
      <c r="AN4419">
        <v>0</v>
      </c>
      <c r="AO4419">
        <v>1</v>
      </c>
      <c r="AP4419">
        <v>0</v>
      </c>
      <c r="AQ4419">
        <v>0</v>
      </c>
      <c r="AR4419">
        <v>0</v>
      </c>
      <c r="AS4419">
        <v>0</v>
      </c>
      <c r="AT4419">
        <v>0</v>
      </c>
      <c r="AU4419">
        <f t="shared" si="136"/>
        <v>1</v>
      </c>
      <c r="AV4419">
        <f t="shared" si="137"/>
        <v>0</v>
      </c>
    </row>
    <row r="4420" spans="1:48" x14ac:dyDescent="0.25">
      <c r="A4420" t="s">
        <v>12969</v>
      </c>
      <c r="C4420" t="s">
        <v>12970</v>
      </c>
      <c r="D4420" t="s">
        <v>5958</v>
      </c>
      <c r="E4420" t="s">
        <v>1663</v>
      </c>
      <c r="F4420">
        <v>6</v>
      </c>
      <c r="G4420">
        <v>6.1</v>
      </c>
      <c r="H4420" t="s">
        <v>2017</v>
      </c>
      <c r="I4420" s="21">
        <v>42230</v>
      </c>
      <c r="J4420">
        <v>2015</v>
      </c>
      <c r="K4420" s="21">
        <v>42242</v>
      </c>
      <c r="L4420">
        <v>2015</v>
      </c>
      <c r="P4420" s="21">
        <v>42919</v>
      </c>
      <c r="Q4420" s="262">
        <v>10000</v>
      </c>
      <c r="S4420" t="s">
        <v>114</v>
      </c>
      <c r="T4420" t="s">
        <v>114</v>
      </c>
      <c r="V4420">
        <v>250</v>
      </c>
      <c r="W4420">
        <v>0</v>
      </c>
      <c r="X4420">
        <v>0</v>
      </c>
      <c r="Y4420">
        <v>0</v>
      </c>
      <c r="Z4420">
        <v>0</v>
      </c>
      <c r="AA4420">
        <v>0</v>
      </c>
      <c r="AB4420">
        <v>0</v>
      </c>
      <c r="AC4420">
        <v>0</v>
      </c>
      <c r="AD4420">
        <v>0</v>
      </c>
      <c r="AE4420">
        <v>0</v>
      </c>
      <c r="AF4420">
        <v>0</v>
      </c>
      <c r="AG4420">
        <v>0</v>
      </c>
      <c r="AH4420">
        <v>0</v>
      </c>
      <c r="AI4420">
        <v>0</v>
      </c>
      <c r="AJ4420">
        <v>0</v>
      </c>
      <c r="AK4420">
        <v>0</v>
      </c>
      <c r="AL4420">
        <v>0</v>
      </c>
      <c r="AM4420">
        <v>0</v>
      </c>
      <c r="AN4420">
        <v>0</v>
      </c>
      <c r="AO4420">
        <v>0</v>
      </c>
      <c r="AP4420">
        <v>0</v>
      </c>
      <c r="AQ4420">
        <v>0</v>
      </c>
      <c r="AR4420">
        <v>0</v>
      </c>
      <c r="AS4420">
        <v>0</v>
      </c>
      <c r="AT4420">
        <v>0</v>
      </c>
      <c r="AU4420">
        <f t="shared" si="136"/>
        <v>0</v>
      </c>
      <c r="AV4420">
        <f t="shared" si="137"/>
        <v>0</v>
      </c>
    </row>
    <row r="4421" spans="1:48" x14ac:dyDescent="0.25">
      <c r="A4421" t="s">
        <v>18075</v>
      </c>
      <c r="B4421" t="s">
        <v>18075</v>
      </c>
      <c r="C4421" t="s">
        <v>18076</v>
      </c>
      <c r="D4421" t="s">
        <v>5948</v>
      </c>
      <c r="E4421" t="s">
        <v>2310</v>
      </c>
      <c r="F4421">
        <v>9</v>
      </c>
      <c r="G4421">
        <v>9.4</v>
      </c>
      <c r="H4421" t="s">
        <v>2323</v>
      </c>
      <c r="I4421" s="21">
        <v>42230.46806712963</v>
      </c>
      <c r="J4421">
        <v>2015</v>
      </c>
      <c r="K4421" s="21">
        <v>42816.465416666666</v>
      </c>
      <c r="L4421">
        <v>2017</v>
      </c>
      <c r="M4421" s="21">
        <v>43425.417442129627</v>
      </c>
      <c r="N4421">
        <v>2018</v>
      </c>
      <c r="Q4421" s="262">
        <v>500000</v>
      </c>
      <c r="R4421" s="262">
        <v>226000</v>
      </c>
      <c r="S4421" t="s">
        <v>13253</v>
      </c>
      <c r="T4421">
        <v>3136</v>
      </c>
      <c r="V4421">
        <v>2560</v>
      </c>
      <c r="W4421">
        <v>85</v>
      </c>
      <c r="X4421">
        <v>0</v>
      </c>
      <c r="Y4421">
        <v>0</v>
      </c>
      <c r="Z4421">
        <v>0</v>
      </c>
      <c r="AA4421">
        <v>0</v>
      </c>
      <c r="AB4421">
        <v>0</v>
      </c>
      <c r="AC4421">
        <v>85</v>
      </c>
      <c r="AD4421">
        <v>0</v>
      </c>
      <c r="AE4421">
        <v>0</v>
      </c>
      <c r="AF4421">
        <v>0</v>
      </c>
      <c r="AG4421">
        <v>0</v>
      </c>
      <c r="AH4421">
        <v>0</v>
      </c>
      <c r="AI4421">
        <v>0</v>
      </c>
      <c r="AJ4421">
        <v>0</v>
      </c>
      <c r="AK4421">
        <v>0</v>
      </c>
      <c r="AL4421">
        <v>0</v>
      </c>
      <c r="AM4421">
        <v>0</v>
      </c>
      <c r="AN4421">
        <v>0</v>
      </c>
      <c r="AO4421">
        <v>0</v>
      </c>
      <c r="AP4421">
        <v>0</v>
      </c>
      <c r="AQ4421">
        <v>0</v>
      </c>
      <c r="AR4421">
        <v>0</v>
      </c>
      <c r="AS4421">
        <v>0</v>
      </c>
      <c r="AT4421">
        <v>0</v>
      </c>
      <c r="AU4421">
        <f t="shared" si="136"/>
        <v>0</v>
      </c>
      <c r="AV4421">
        <f t="shared" si="137"/>
        <v>0</v>
      </c>
    </row>
    <row r="4422" spans="1:48" x14ac:dyDescent="0.25">
      <c r="A4422" t="s">
        <v>12971</v>
      </c>
      <c r="B4422" t="s">
        <v>12971</v>
      </c>
      <c r="C4422" t="s">
        <v>12972</v>
      </c>
      <c r="D4422" t="s">
        <v>2384</v>
      </c>
      <c r="E4422" t="s">
        <v>2310</v>
      </c>
      <c r="F4422">
        <v>15</v>
      </c>
      <c r="G4422">
        <v>15.2</v>
      </c>
      <c r="H4422" t="s">
        <v>2323</v>
      </c>
      <c r="I4422" s="21">
        <v>42234.448136574101</v>
      </c>
      <c r="J4422">
        <v>2015</v>
      </c>
      <c r="K4422" s="21">
        <v>42264.643437500003</v>
      </c>
      <c r="L4422">
        <v>2015</v>
      </c>
      <c r="M4422" s="21">
        <v>42548.654895833301</v>
      </c>
      <c r="N4422">
        <v>2016</v>
      </c>
      <c r="Q4422" s="262">
        <v>180000</v>
      </c>
      <c r="R4422" s="262">
        <v>32000</v>
      </c>
      <c r="S4422" t="s">
        <v>114</v>
      </c>
      <c r="T4422" t="s">
        <v>114</v>
      </c>
      <c r="W4422">
        <v>650</v>
      </c>
      <c r="X4422">
        <v>0</v>
      </c>
      <c r="Y4422">
        <v>0</v>
      </c>
      <c r="Z4422">
        <v>0</v>
      </c>
      <c r="AA4422">
        <v>0</v>
      </c>
      <c r="AB4422">
        <v>0</v>
      </c>
      <c r="AC4422">
        <v>650</v>
      </c>
      <c r="AD4422">
        <v>0</v>
      </c>
      <c r="AE4422">
        <v>0</v>
      </c>
      <c r="AF4422">
        <v>0</v>
      </c>
      <c r="AG4422">
        <v>0</v>
      </c>
      <c r="AH4422">
        <v>0</v>
      </c>
      <c r="AI4422">
        <v>0</v>
      </c>
      <c r="AJ4422">
        <v>0</v>
      </c>
      <c r="AK4422">
        <v>0</v>
      </c>
      <c r="AL4422">
        <v>0</v>
      </c>
      <c r="AM4422">
        <v>0</v>
      </c>
      <c r="AN4422">
        <v>0</v>
      </c>
      <c r="AO4422">
        <v>0</v>
      </c>
      <c r="AP4422">
        <v>0</v>
      </c>
      <c r="AQ4422">
        <v>0</v>
      </c>
      <c r="AR4422">
        <v>0</v>
      </c>
      <c r="AS4422">
        <v>0</v>
      </c>
      <c r="AT4422">
        <v>0</v>
      </c>
      <c r="AU4422">
        <f t="shared" si="136"/>
        <v>0</v>
      </c>
      <c r="AV4422">
        <f t="shared" si="137"/>
        <v>0</v>
      </c>
    </row>
    <row r="4423" spans="1:48" x14ac:dyDescent="0.25">
      <c r="A4423" t="s">
        <v>12973</v>
      </c>
      <c r="B4423" t="s">
        <v>12973</v>
      </c>
      <c r="C4423" t="s">
        <v>12974</v>
      </c>
      <c r="D4423" t="s">
        <v>8079</v>
      </c>
      <c r="E4423" t="s">
        <v>2310</v>
      </c>
      <c r="F4423">
        <v>10</v>
      </c>
      <c r="G4423">
        <v>10.1</v>
      </c>
      <c r="H4423" t="s">
        <v>2323</v>
      </c>
      <c r="I4423" s="21">
        <v>42234.549733796302</v>
      </c>
      <c r="J4423">
        <v>2015</v>
      </c>
      <c r="K4423" s="21">
        <v>42271.363217592603</v>
      </c>
      <c r="L4423">
        <v>2015</v>
      </c>
      <c r="M4423" s="21">
        <v>42345.585543981499</v>
      </c>
      <c r="N4423">
        <v>2015</v>
      </c>
      <c r="Q4423" s="262">
        <v>30000</v>
      </c>
      <c r="R4423" s="262">
        <v>37000</v>
      </c>
      <c r="S4423" t="s">
        <v>114</v>
      </c>
      <c r="T4423" t="s">
        <v>114</v>
      </c>
      <c r="W4423">
        <v>282</v>
      </c>
      <c r="X4423">
        <v>0</v>
      </c>
      <c r="Y4423">
        <v>0</v>
      </c>
      <c r="Z4423">
        <v>0</v>
      </c>
      <c r="AA4423">
        <v>0</v>
      </c>
      <c r="AB4423">
        <v>0</v>
      </c>
      <c r="AC4423">
        <v>282</v>
      </c>
      <c r="AD4423">
        <v>0</v>
      </c>
      <c r="AE4423">
        <v>0</v>
      </c>
      <c r="AF4423">
        <v>0</v>
      </c>
      <c r="AG4423">
        <v>0</v>
      </c>
      <c r="AH4423">
        <v>0</v>
      </c>
      <c r="AI4423">
        <v>0</v>
      </c>
      <c r="AJ4423">
        <v>0</v>
      </c>
      <c r="AK4423">
        <v>0</v>
      </c>
      <c r="AL4423">
        <v>0</v>
      </c>
      <c r="AM4423">
        <v>0</v>
      </c>
      <c r="AN4423">
        <v>0</v>
      </c>
      <c r="AO4423">
        <v>0</v>
      </c>
      <c r="AP4423">
        <v>0</v>
      </c>
      <c r="AQ4423">
        <v>0</v>
      </c>
      <c r="AR4423">
        <v>0</v>
      </c>
      <c r="AS4423">
        <v>0</v>
      </c>
      <c r="AT4423">
        <v>0</v>
      </c>
      <c r="AU4423">
        <f t="shared" si="136"/>
        <v>0</v>
      </c>
      <c r="AV4423">
        <f t="shared" si="137"/>
        <v>0</v>
      </c>
    </row>
    <row r="4424" spans="1:48" x14ac:dyDescent="0.25">
      <c r="A4424" t="s">
        <v>12975</v>
      </c>
      <c r="B4424" t="s">
        <v>12975</v>
      </c>
      <c r="C4424" t="s">
        <v>12976</v>
      </c>
      <c r="D4424" t="s">
        <v>12977</v>
      </c>
      <c r="E4424" t="s">
        <v>2310</v>
      </c>
      <c r="F4424">
        <v>8</v>
      </c>
      <c r="G4424">
        <v>8.3000000000000007</v>
      </c>
      <c r="H4424" t="s">
        <v>2323</v>
      </c>
      <c r="I4424" s="21">
        <v>42235.461284722202</v>
      </c>
      <c r="J4424">
        <v>2015</v>
      </c>
      <c r="K4424" s="21">
        <v>42268.589386574102</v>
      </c>
      <c r="L4424">
        <v>2015</v>
      </c>
      <c r="M4424" s="21">
        <v>42650.657986111102</v>
      </c>
      <c r="N4424">
        <v>2016</v>
      </c>
      <c r="R4424" s="262">
        <v>350000</v>
      </c>
      <c r="S4424" t="s">
        <v>114</v>
      </c>
      <c r="T4424" t="s">
        <v>114</v>
      </c>
      <c r="W4424">
        <v>4015</v>
      </c>
      <c r="X4424">
        <v>1</v>
      </c>
      <c r="Y4424">
        <v>0</v>
      </c>
      <c r="Z4424">
        <v>0</v>
      </c>
      <c r="AA4424">
        <v>0</v>
      </c>
      <c r="AB4424">
        <v>0</v>
      </c>
      <c r="AC4424">
        <v>4015</v>
      </c>
      <c r="AD4424">
        <v>0</v>
      </c>
      <c r="AE4424">
        <v>0</v>
      </c>
      <c r="AF4424">
        <v>0</v>
      </c>
      <c r="AG4424">
        <v>0</v>
      </c>
      <c r="AH4424">
        <v>0</v>
      </c>
      <c r="AI4424">
        <v>0</v>
      </c>
      <c r="AJ4424">
        <v>0</v>
      </c>
      <c r="AK4424">
        <v>0</v>
      </c>
      <c r="AL4424">
        <v>0</v>
      </c>
      <c r="AM4424">
        <v>0</v>
      </c>
      <c r="AN4424">
        <v>0</v>
      </c>
      <c r="AO4424">
        <v>1</v>
      </c>
      <c r="AP4424">
        <v>0</v>
      </c>
      <c r="AQ4424">
        <v>0</v>
      </c>
      <c r="AR4424">
        <v>0</v>
      </c>
      <c r="AS4424">
        <v>0</v>
      </c>
      <c r="AT4424">
        <v>0</v>
      </c>
      <c r="AU4424">
        <f t="shared" si="136"/>
        <v>1</v>
      </c>
      <c r="AV4424">
        <f t="shared" si="137"/>
        <v>0</v>
      </c>
    </row>
    <row r="4425" spans="1:48" x14ac:dyDescent="0.25">
      <c r="A4425" t="s">
        <v>12979</v>
      </c>
      <c r="C4425" t="s">
        <v>12980</v>
      </c>
      <c r="D4425" t="s">
        <v>11489</v>
      </c>
      <c r="E4425" t="s">
        <v>1663</v>
      </c>
      <c r="F4425">
        <v>6</v>
      </c>
      <c r="G4425">
        <v>6.1</v>
      </c>
      <c r="H4425" t="s">
        <v>2017</v>
      </c>
      <c r="I4425" s="21">
        <v>42236</v>
      </c>
      <c r="J4425">
        <v>2015</v>
      </c>
      <c r="K4425" s="21">
        <v>42249</v>
      </c>
      <c r="L4425">
        <v>2015</v>
      </c>
      <c r="P4425" s="21">
        <v>42472</v>
      </c>
      <c r="Q4425" s="262">
        <v>22000</v>
      </c>
      <c r="S4425" t="s">
        <v>114</v>
      </c>
      <c r="T4425" t="s">
        <v>114</v>
      </c>
      <c r="V4425">
        <v>900</v>
      </c>
      <c r="W4425">
        <v>0</v>
      </c>
      <c r="X4425">
        <v>0</v>
      </c>
      <c r="Y4425">
        <v>0</v>
      </c>
      <c r="Z4425">
        <v>0</v>
      </c>
      <c r="AA4425">
        <v>0</v>
      </c>
      <c r="AB4425">
        <v>0</v>
      </c>
      <c r="AC4425">
        <v>0</v>
      </c>
      <c r="AD4425">
        <v>0</v>
      </c>
      <c r="AE4425">
        <v>0</v>
      </c>
      <c r="AF4425">
        <v>0</v>
      </c>
      <c r="AG4425">
        <v>0</v>
      </c>
      <c r="AH4425">
        <v>0</v>
      </c>
      <c r="AI4425">
        <v>0</v>
      </c>
      <c r="AJ4425">
        <v>0</v>
      </c>
      <c r="AK4425">
        <v>0</v>
      </c>
      <c r="AL4425">
        <v>0</v>
      </c>
      <c r="AM4425">
        <v>0</v>
      </c>
      <c r="AN4425">
        <v>0</v>
      </c>
      <c r="AO4425">
        <v>0</v>
      </c>
      <c r="AP4425">
        <v>0</v>
      </c>
      <c r="AQ4425">
        <v>0</v>
      </c>
      <c r="AR4425">
        <v>0</v>
      </c>
      <c r="AS4425">
        <v>0</v>
      </c>
      <c r="AT4425">
        <v>0</v>
      </c>
      <c r="AU4425">
        <f t="shared" si="136"/>
        <v>0</v>
      </c>
      <c r="AV4425">
        <f t="shared" si="137"/>
        <v>0</v>
      </c>
    </row>
    <row r="4426" spans="1:48" x14ac:dyDescent="0.25">
      <c r="A4426" t="s">
        <v>13536</v>
      </c>
      <c r="C4426" t="s">
        <v>13537</v>
      </c>
      <c r="D4426" t="s">
        <v>13538</v>
      </c>
      <c r="E4426" t="s">
        <v>1663</v>
      </c>
      <c r="F4426">
        <v>3</v>
      </c>
      <c r="G4426">
        <v>3.1</v>
      </c>
      <c r="H4426" t="s">
        <v>2017</v>
      </c>
      <c r="I4426" s="21">
        <v>42236</v>
      </c>
      <c r="J4426">
        <v>2015</v>
      </c>
      <c r="K4426" s="21">
        <v>42258</v>
      </c>
      <c r="L4426">
        <v>2015</v>
      </c>
      <c r="M4426" s="21">
        <v>42752</v>
      </c>
      <c r="N4426">
        <v>2017</v>
      </c>
      <c r="Q4426" s="262">
        <v>6000</v>
      </c>
      <c r="S4426" t="s">
        <v>114</v>
      </c>
      <c r="T4426" t="s">
        <v>114</v>
      </c>
      <c r="V4426">
        <v>0</v>
      </c>
      <c r="W4426">
        <v>0</v>
      </c>
      <c r="X4426">
        <v>0</v>
      </c>
      <c r="Y4426">
        <v>0</v>
      </c>
      <c r="Z4426">
        <v>0</v>
      </c>
      <c r="AA4426">
        <v>0</v>
      </c>
      <c r="AB4426">
        <v>0</v>
      </c>
      <c r="AC4426">
        <v>0</v>
      </c>
      <c r="AD4426">
        <v>0</v>
      </c>
      <c r="AE4426">
        <v>0</v>
      </c>
      <c r="AF4426">
        <v>0</v>
      </c>
      <c r="AG4426">
        <v>0</v>
      </c>
      <c r="AH4426">
        <v>0</v>
      </c>
      <c r="AI4426">
        <v>0</v>
      </c>
      <c r="AJ4426">
        <v>0</v>
      </c>
      <c r="AK4426">
        <v>0</v>
      </c>
      <c r="AL4426">
        <v>0</v>
      </c>
      <c r="AM4426">
        <v>0</v>
      </c>
      <c r="AN4426">
        <v>0</v>
      </c>
      <c r="AO4426">
        <v>0</v>
      </c>
      <c r="AP4426">
        <v>0</v>
      </c>
      <c r="AQ4426">
        <v>0</v>
      </c>
      <c r="AR4426">
        <v>0</v>
      </c>
      <c r="AS4426">
        <v>0</v>
      </c>
      <c r="AT4426">
        <v>0</v>
      </c>
      <c r="AU4426">
        <f t="shared" si="136"/>
        <v>0</v>
      </c>
      <c r="AV4426">
        <f t="shared" si="137"/>
        <v>0</v>
      </c>
    </row>
    <row r="4427" spans="1:48" x14ac:dyDescent="0.25">
      <c r="A4427" t="s">
        <v>13533</v>
      </c>
      <c r="C4427" t="s">
        <v>13534</v>
      </c>
      <c r="D4427" t="s">
        <v>13535</v>
      </c>
      <c r="E4427" t="s">
        <v>1663</v>
      </c>
      <c r="F4427">
        <v>2</v>
      </c>
      <c r="G4427">
        <v>2.1</v>
      </c>
      <c r="H4427" t="s">
        <v>2327</v>
      </c>
      <c r="I4427" s="21">
        <v>42236</v>
      </c>
      <c r="J4427">
        <v>2015</v>
      </c>
      <c r="K4427" s="21">
        <v>42250</v>
      </c>
      <c r="L4427">
        <v>2015</v>
      </c>
      <c r="M4427" s="21">
        <v>42752</v>
      </c>
      <c r="N4427">
        <v>2017</v>
      </c>
      <c r="Q4427" s="262">
        <v>10000</v>
      </c>
      <c r="S4427" t="s">
        <v>114</v>
      </c>
      <c r="T4427" t="s">
        <v>114</v>
      </c>
      <c r="V4427">
        <v>0</v>
      </c>
      <c r="W4427">
        <v>0</v>
      </c>
      <c r="X4427">
        <v>0</v>
      </c>
      <c r="Y4427">
        <v>0</v>
      </c>
      <c r="Z4427">
        <v>0</v>
      </c>
      <c r="AA4427">
        <v>0</v>
      </c>
      <c r="AB4427">
        <v>0</v>
      </c>
      <c r="AC4427">
        <v>0</v>
      </c>
      <c r="AD4427">
        <v>0</v>
      </c>
      <c r="AE4427">
        <v>0</v>
      </c>
      <c r="AF4427">
        <v>0</v>
      </c>
      <c r="AG4427">
        <v>0</v>
      </c>
      <c r="AH4427">
        <v>0</v>
      </c>
      <c r="AI4427">
        <v>0</v>
      </c>
      <c r="AJ4427">
        <v>0</v>
      </c>
      <c r="AK4427">
        <v>0</v>
      </c>
      <c r="AL4427">
        <v>0</v>
      </c>
      <c r="AM4427">
        <v>0</v>
      </c>
      <c r="AN4427">
        <v>0</v>
      </c>
      <c r="AO4427">
        <v>0</v>
      </c>
      <c r="AP4427">
        <v>0</v>
      </c>
      <c r="AQ4427">
        <v>0</v>
      </c>
      <c r="AR4427">
        <v>0</v>
      </c>
      <c r="AS4427">
        <v>0</v>
      </c>
      <c r="AT4427">
        <v>0</v>
      </c>
      <c r="AU4427">
        <f t="shared" si="136"/>
        <v>0</v>
      </c>
      <c r="AV4427">
        <f t="shared" si="137"/>
        <v>0</v>
      </c>
    </row>
    <row r="4428" spans="1:48" x14ac:dyDescent="0.25">
      <c r="A4428" t="s">
        <v>12981</v>
      </c>
      <c r="C4428" t="s">
        <v>11879</v>
      </c>
      <c r="D4428" t="s">
        <v>11780</v>
      </c>
      <c r="E4428" t="s">
        <v>1663</v>
      </c>
      <c r="F4428">
        <v>1</v>
      </c>
      <c r="G4428">
        <v>1.2</v>
      </c>
      <c r="H4428" t="s">
        <v>2017</v>
      </c>
      <c r="I4428" s="21">
        <v>42236</v>
      </c>
      <c r="J4428">
        <v>2015</v>
      </c>
      <c r="K4428" s="21">
        <v>42312</v>
      </c>
      <c r="L4428">
        <v>2015</v>
      </c>
      <c r="M4428" s="21">
        <v>42437</v>
      </c>
      <c r="N4428">
        <v>2016</v>
      </c>
      <c r="Q4428" s="262">
        <v>17500</v>
      </c>
      <c r="S4428" t="s">
        <v>114</v>
      </c>
      <c r="T4428" t="s">
        <v>114</v>
      </c>
      <c r="V4428">
        <v>474</v>
      </c>
      <c r="W4428">
        <v>0</v>
      </c>
      <c r="X4428">
        <v>0</v>
      </c>
      <c r="Y4428">
        <v>0</v>
      </c>
      <c r="Z4428">
        <v>0</v>
      </c>
      <c r="AA4428">
        <v>0</v>
      </c>
      <c r="AB4428">
        <v>0</v>
      </c>
      <c r="AC4428">
        <v>0</v>
      </c>
      <c r="AD4428">
        <v>0</v>
      </c>
      <c r="AE4428">
        <v>0</v>
      </c>
      <c r="AF4428">
        <v>0</v>
      </c>
      <c r="AG4428">
        <v>0</v>
      </c>
      <c r="AH4428">
        <v>0</v>
      </c>
      <c r="AI4428">
        <v>0</v>
      </c>
      <c r="AJ4428">
        <v>0</v>
      </c>
      <c r="AK4428">
        <v>0</v>
      </c>
      <c r="AL4428">
        <v>0</v>
      </c>
      <c r="AM4428">
        <v>0</v>
      </c>
      <c r="AN4428">
        <v>0</v>
      </c>
      <c r="AO4428">
        <v>0</v>
      </c>
      <c r="AP4428">
        <v>0</v>
      </c>
      <c r="AQ4428">
        <v>0</v>
      </c>
      <c r="AR4428">
        <v>0</v>
      </c>
      <c r="AS4428">
        <v>0</v>
      </c>
      <c r="AT4428">
        <v>0</v>
      </c>
      <c r="AU4428">
        <f t="shared" si="136"/>
        <v>0</v>
      </c>
      <c r="AV4428">
        <f t="shared" si="137"/>
        <v>0</v>
      </c>
    </row>
    <row r="4429" spans="1:48" x14ac:dyDescent="0.25">
      <c r="A4429" t="s">
        <v>17717</v>
      </c>
      <c r="B4429" t="s">
        <v>17717</v>
      </c>
      <c r="C4429" t="s">
        <v>17718</v>
      </c>
      <c r="D4429" t="s">
        <v>17607</v>
      </c>
      <c r="E4429" t="s">
        <v>2310</v>
      </c>
      <c r="F4429">
        <v>13</v>
      </c>
      <c r="G4429">
        <v>13.2</v>
      </c>
      <c r="H4429" t="s">
        <v>2327</v>
      </c>
      <c r="I4429" s="21">
        <v>42236.603634259256</v>
      </c>
      <c r="J4429">
        <v>2015</v>
      </c>
      <c r="K4429" s="21">
        <v>43047.376111111109</v>
      </c>
      <c r="L4429">
        <v>2017</v>
      </c>
      <c r="M4429" s="21">
        <v>43047.388206018521</v>
      </c>
      <c r="N4429">
        <v>2017</v>
      </c>
      <c r="Q4429" s="262">
        <v>500000</v>
      </c>
      <c r="R4429" s="262">
        <v>120000</v>
      </c>
      <c r="S4429" t="s">
        <v>13254</v>
      </c>
      <c r="W4429">
        <v>968</v>
      </c>
      <c r="X4429">
        <v>1</v>
      </c>
      <c r="Y4429">
        <v>0</v>
      </c>
      <c r="Z4429">
        <v>0</v>
      </c>
      <c r="AA4429">
        <v>0</v>
      </c>
      <c r="AB4429">
        <v>0</v>
      </c>
      <c r="AC4429">
        <v>0</v>
      </c>
      <c r="AD4429">
        <v>0</v>
      </c>
      <c r="AE4429">
        <v>0</v>
      </c>
      <c r="AF4429">
        <v>968</v>
      </c>
      <c r="AG4429">
        <v>0</v>
      </c>
      <c r="AH4429">
        <v>0</v>
      </c>
      <c r="AI4429">
        <v>0</v>
      </c>
      <c r="AJ4429">
        <v>0</v>
      </c>
      <c r="AK4429">
        <v>0</v>
      </c>
      <c r="AL4429">
        <v>0</v>
      </c>
      <c r="AM4429">
        <v>0</v>
      </c>
      <c r="AN4429">
        <v>0</v>
      </c>
      <c r="AO4429">
        <v>0</v>
      </c>
      <c r="AP4429">
        <v>0</v>
      </c>
      <c r="AQ4429">
        <v>0</v>
      </c>
      <c r="AR4429">
        <v>1</v>
      </c>
      <c r="AS4429">
        <v>0</v>
      </c>
      <c r="AT4429">
        <v>0</v>
      </c>
      <c r="AU4429">
        <f t="shared" si="136"/>
        <v>0</v>
      </c>
      <c r="AV4429">
        <f t="shared" si="137"/>
        <v>0</v>
      </c>
    </row>
    <row r="4430" spans="1:48" x14ac:dyDescent="0.25">
      <c r="A4430" t="s">
        <v>18422</v>
      </c>
      <c r="B4430" t="s">
        <v>18422</v>
      </c>
      <c r="C4430" t="s">
        <v>13186</v>
      </c>
      <c r="D4430" t="s">
        <v>18423</v>
      </c>
      <c r="E4430" t="s">
        <v>2310</v>
      </c>
      <c r="F4430">
        <v>15</v>
      </c>
      <c r="G4430">
        <v>15.4</v>
      </c>
      <c r="H4430" t="s">
        <v>2323</v>
      </c>
      <c r="I4430" s="21">
        <v>42236.625162037039</v>
      </c>
      <c r="J4430">
        <v>2015</v>
      </c>
      <c r="K4430" s="21">
        <v>42383.573055555556</v>
      </c>
      <c r="L4430">
        <v>2016</v>
      </c>
      <c r="M4430" s="21">
        <v>43437.443631828704</v>
      </c>
      <c r="N4430">
        <v>2018</v>
      </c>
      <c r="R4430" s="262">
        <v>286000</v>
      </c>
      <c r="S4430" t="s">
        <v>13254</v>
      </c>
      <c r="W4430">
        <v>2772</v>
      </c>
      <c r="X4430">
        <v>1</v>
      </c>
      <c r="Y4430">
        <v>0</v>
      </c>
      <c r="Z4430">
        <v>0</v>
      </c>
      <c r="AA4430">
        <v>0</v>
      </c>
      <c r="AB4430">
        <v>0</v>
      </c>
      <c r="AC4430">
        <v>2772</v>
      </c>
      <c r="AD4430">
        <v>0</v>
      </c>
      <c r="AE4430">
        <v>0</v>
      </c>
      <c r="AF4430">
        <v>0</v>
      </c>
      <c r="AG4430">
        <v>0</v>
      </c>
      <c r="AH4430">
        <v>0</v>
      </c>
      <c r="AI4430">
        <v>0</v>
      </c>
      <c r="AJ4430">
        <v>0</v>
      </c>
      <c r="AK4430">
        <v>0</v>
      </c>
      <c r="AL4430">
        <v>0</v>
      </c>
      <c r="AM4430">
        <v>0</v>
      </c>
      <c r="AN4430">
        <v>0</v>
      </c>
      <c r="AO4430">
        <v>1</v>
      </c>
      <c r="AP4430">
        <v>0</v>
      </c>
      <c r="AQ4430">
        <v>0</v>
      </c>
      <c r="AR4430">
        <v>0</v>
      </c>
      <c r="AS4430">
        <v>0</v>
      </c>
      <c r="AT4430">
        <v>0</v>
      </c>
      <c r="AU4430">
        <f t="shared" si="136"/>
        <v>1</v>
      </c>
      <c r="AV4430">
        <f t="shared" si="137"/>
        <v>0</v>
      </c>
    </row>
    <row r="4431" spans="1:48" x14ac:dyDescent="0.25">
      <c r="A4431" t="s">
        <v>12984</v>
      </c>
      <c r="C4431" t="s">
        <v>11246</v>
      </c>
      <c r="D4431" t="s">
        <v>12985</v>
      </c>
      <c r="E4431" t="s">
        <v>1663</v>
      </c>
      <c r="F4431">
        <v>3</v>
      </c>
      <c r="G4431">
        <v>3.1</v>
      </c>
      <c r="H4431" t="s">
        <v>2017</v>
      </c>
      <c r="I4431" s="21">
        <v>42237</v>
      </c>
      <c r="J4431">
        <v>2015</v>
      </c>
      <c r="K4431" s="21">
        <v>42256</v>
      </c>
      <c r="L4431">
        <v>2015</v>
      </c>
      <c r="M4431" s="21">
        <v>42635</v>
      </c>
      <c r="N4431">
        <v>2016</v>
      </c>
      <c r="Q4431" s="262">
        <v>1136000</v>
      </c>
      <c r="S4431" t="s">
        <v>114</v>
      </c>
      <c r="T4431" t="s">
        <v>114</v>
      </c>
      <c r="W4431">
        <v>5880</v>
      </c>
      <c r="X4431">
        <v>1</v>
      </c>
      <c r="Y4431">
        <v>0</v>
      </c>
      <c r="Z4431">
        <v>0</v>
      </c>
      <c r="AA4431">
        <v>0</v>
      </c>
      <c r="AB4431">
        <v>0</v>
      </c>
      <c r="AC4431">
        <v>5880</v>
      </c>
      <c r="AD4431">
        <v>0</v>
      </c>
      <c r="AE4431">
        <v>0</v>
      </c>
      <c r="AF4431">
        <v>0</v>
      </c>
      <c r="AG4431">
        <v>0</v>
      </c>
      <c r="AH4431">
        <v>0</v>
      </c>
      <c r="AI4431">
        <v>0</v>
      </c>
      <c r="AJ4431">
        <v>0</v>
      </c>
      <c r="AK4431">
        <v>0</v>
      </c>
      <c r="AL4431">
        <v>0</v>
      </c>
      <c r="AM4431">
        <v>0</v>
      </c>
      <c r="AN4431">
        <v>0</v>
      </c>
      <c r="AO4431">
        <v>1</v>
      </c>
      <c r="AP4431">
        <v>0</v>
      </c>
      <c r="AQ4431">
        <v>0</v>
      </c>
      <c r="AR4431">
        <v>0</v>
      </c>
      <c r="AS4431">
        <v>0</v>
      </c>
      <c r="AT4431">
        <v>0</v>
      </c>
      <c r="AU4431">
        <f t="shared" si="136"/>
        <v>1</v>
      </c>
      <c r="AV4431">
        <f t="shared" si="137"/>
        <v>0</v>
      </c>
    </row>
    <row r="4432" spans="1:48" x14ac:dyDescent="0.25">
      <c r="A4432" t="s">
        <v>17724</v>
      </c>
      <c r="B4432" t="s">
        <v>17724</v>
      </c>
      <c r="C4432" t="s">
        <v>17725</v>
      </c>
      <c r="D4432" t="s">
        <v>17726</v>
      </c>
      <c r="E4432" t="s">
        <v>2310</v>
      </c>
      <c r="F4432">
        <v>9</v>
      </c>
      <c r="G4432">
        <v>9.3000000000000007</v>
      </c>
      <c r="H4432" t="s">
        <v>2323</v>
      </c>
      <c r="I4432" s="21">
        <v>42237.440381944441</v>
      </c>
      <c r="J4432">
        <v>2015</v>
      </c>
      <c r="K4432" s="21">
        <v>42891.434340277781</v>
      </c>
      <c r="L4432">
        <v>2017</v>
      </c>
      <c r="M4432" s="21">
        <v>42891.434340277781</v>
      </c>
      <c r="N4432">
        <v>2017</v>
      </c>
      <c r="R4432" s="262">
        <v>92000</v>
      </c>
      <c r="S4432" t="s">
        <v>13254</v>
      </c>
      <c r="W4432">
        <v>1030</v>
      </c>
      <c r="X4432">
        <v>0</v>
      </c>
      <c r="Y4432">
        <v>0</v>
      </c>
      <c r="Z4432">
        <v>0</v>
      </c>
      <c r="AA4432">
        <v>0</v>
      </c>
      <c r="AB4432">
        <v>0</v>
      </c>
      <c r="AC4432">
        <v>1030</v>
      </c>
      <c r="AD4432">
        <v>0</v>
      </c>
      <c r="AE4432">
        <v>0</v>
      </c>
      <c r="AF4432">
        <v>0</v>
      </c>
      <c r="AG4432">
        <v>0</v>
      </c>
      <c r="AH4432">
        <v>0</v>
      </c>
      <c r="AI4432">
        <v>0</v>
      </c>
      <c r="AJ4432">
        <v>0</v>
      </c>
      <c r="AK4432">
        <v>0</v>
      </c>
      <c r="AL4432">
        <v>0</v>
      </c>
      <c r="AM4432">
        <v>0</v>
      </c>
      <c r="AN4432">
        <v>0</v>
      </c>
      <c r="AO4432">
        <v>0</v>
      </c>
      <c r="AP4432">
        <v>0</v>
      </c>
      <c r="AQ4432">
        <v>0</v>
      </c>
      <c r="AR4432">
        <v>0</v>
      </c>
      <c r="AS4432">
        <v>0</v>
      </c>
      <c r="AT4432">
        <v>0</v>
      </c>
      <c r="AU4432">
        <f t="shared" si="136"/>
        <v>0</v>
      </c>
      <c r="AV4432">
        <f t="shared" si="137"/>
        <v>0</v>
      </c>
    </row>
    <row r="4433" spans="1:48" x14ac:dyDescent="0.25">
      <c r="A4433" t="s">
        <v>12986</v>
      </c>
      <c r="B4433" t="s">
        <v>12986</v>
      </c>
      <c r="C4433" t="s">
        <v>12987</v>
      </c>
      <c r="D4433" t="s">
        <v>2813</v>
      </c>
      <c r="E4433" t="s">
        <v>2310</v>
      </c>
      <c r="F4433">
        <v>10</v>
      </c>
      <c r="G4433">
        <v>10.1</v>
      </c>
      <c r="H4433" t="s">
        <v>2323</v>
      </c>
      <c r="I4433" s="21">
        <v>42241.429398148102</v>
      </c>
      <c r="J4433">
        <v>2015</v>
      </c>
      <c r="K4433" s="21">
        <v>42261.568495370397</v>
      </c>
      <c r="L4433">
        <v>2015</v>
      </c>
      <c r="O4433" s="21">
        <v>42481.402638888903</v>
      </c>
      <c r="Q4433" s="262">
        <v>150000</v>
      </c>
      <c r="R4433" s="262">
        <v>88000</v>
      </c>
      <c r="S4433" t="s">
        <v>114</v>
      </c>
      <c r="T4433" t="s">
        <v>114</v>
      </c>
      <c r="V4433">
        <v>174</v>
      </c>
      <c r="W4433">
        <v>670</v>
      </c>
      <c r="X4433">
        <v>0</v>
      </c>
      <c r="Y4433">
        <v>0</v>
      </c>
      <c r="Z4433">
        <v>0</v>
      </c>
      <c r="AA4433">
        <v>0</v>
      </c>
      <c r="AB4433">
        <v>0</v>
      </c>
      <c r="AC4433">
        <v>670</v>
      </c>
      <c r="AD4433">
        <v>0</v>
      </c>
      <c r="AE4433">
        <v>0</v>
      </c>
      <c r="AF4433">
        <v>0</v>
      </c>
      <c r="AG4433">
        <v>0</v>
      </c>
      <c r="AH4433">
        <v>0</v>
      </c>
      <c r="AI4433">
        <v>0</v>
      </c>
      <c r="AJ4433">
        <v>0</v>
      </c>
      <c r="AK4433">
        <v>0</v>
      </c>
      <c r="AL4433">
        <v>0</v>
      </c>
      <c r="AM4433">
        <v>0</v>
      </c>
      <c r="AN4433">
        <v>0</v>
      </c>
      <c r="AO4433">
        <v>0</v>
      </c>
      <c r="AP4433">
        <v>0</v>
      </c>
      <c r="AQ4433">
        <v>0</v>
      </c>
      <c r="AR4433">
        <v>0</v>
      </c>
      <c r="AS4433">
        <v>0</v>
      </c>
      <c r="AT4433">
        <v>0</v>
      </c>
      <c r="AU4433">
        <f t="shared" si="136"/>
        <v>0</v>
      </c>
      <c r="AV4433">
        <f t="shared" si="137"/>
        <v>0</v>
      </c>
    </row>
    <row r="4434" spans="1:48" x14ac:dyDescent="0.25">
      <c r="A4434" t="s">
        <v>17727</v>
      </c>
      <c r="B4434" t="s">
        <v>17727</v>
      </c>
      <c r="C4434" t="s">
        <v>17728</v>
      </c>
      <c r="D4434" t="s">
        <v>17729</v>
      </c>
      <c r="E4434" t="s">
        <v>2310</v>
      </c>
      <c r="F4434">
        <v>13</v>
      </c>
      <c r="G4434">
        <v>13.2</v>
      </c>
      <c r="H4434" t="s">
        <v>2327</v>
      </c>
      <c r="I4434" s="21">
        <v>42243.568043981482</v>
      </c>
      <c r="J4434">
        <v>2015</v>
      </c>
      <c r="K4434" s="21">
        <v>42940.446782407409</v>
      </c>
      <c r="L4434">
        <v>2017</v>
      </c>
      <c r="M4434" s="21">
        <v>42940.446782407409</v>
      </c>
      <c r="N4434">
        <v>2017</v>
      </c>
      <c r="Q4434" s="262">
        <v>5000000</v>
      </c>
      <c r="R4434" s="262">
        <v>1453000</v>
      </c>
      <c r="S4434" t="s">
        <v>13254</v>
      </c>
      <c r="W4434">
        <v>9206</v>
      </c>
      <c r="X4434">
        <v>1</v>
      </c>
      <c r="Y4434">
        <v>0</v>
      </c>
      <c r="Z4434">
        <v>0</v>
      </c>
      <c r="AA4434">
        <v>0</v>
      </c>
      <c r="AB4434">
        <v>0</v>
      </c>
      <c r="AC4434">
        <v>9206</v>
      </c>
      <c r="AD4434">
        <v>0</v>
      </c>
      <c r="AE4434">
        <v>0</v>
      </c>
      <c r="AF4434">
        <v>0</v>
      </c>
      <c r="AG4434">
        <v>0</v>
      </c>
      <c r="AH4434">
        <v>0</v>
      </c>
      <c r="AI4434">
        <v>0</v>
      </c>
      <c r="AJ4434">
        <v>0</v>
      </c>
      <c r="AK4434">
        <v>0</v>
      </c>
      <c r="AL4434">
        <v>0</v>
      </c>
      <c r="AM4434">
        <v>0</v>
      </c>
      <c r="AN4434">
        <v>0</v>
      </c>
      <c r="AO4434">
        <v>1</v>
      </c>
      <c r="AP4434">
        <v>0</v>
      </c>
      <c r="AQ4434">
        <v>0</v>
      </c>
      <c r="AR4434">
        <v>0</v>
      </c>
      <c r="AS4434">
        <v>0</v>
      </c>
      <c r="AT4434">
        <v>0</v>
      </c>
      <c r="AU4434">
        <f t="shared" si="136"/>
        <v>1</v>
      </c>
      <c r="AV4434">
        <f t="shared" si="137"/>
        <v>0</v>
      </c>
    </row>
    <row r="4435" spans="1:48" x14ac:dyDescent="0.25">
      <c r="A4435" t="s">
        <v>12988</v>
      </c>
      <c r="B4435" t="s">
        <v>12988</v>
      </c>
      <c r="C4435" t="s">
        <v>12989</v>
      </c>
      <c r="D4435" t="s">
        <v>11901</v>
      </c>
      <c r="E4435" t="s">
        <v>2310</v>
      </c>
      <c r="F4435">
        <v>12</v>
      </c>
      <c r="G4435">
        <v>12.3</v>
      </c>
      <c r="H4435" t="s">
        <v>2017</v>
      </c>
      <c r="I4435" s="21">
        <v>42244.553749999999</v>
      </c>
      <c r="J4435">
        <v>2015</v>
      </c>
      <c r="K4435" s="21">
        <v>42284.424837963001</v>
      </c>
      <c r="L4435">
        <v>2015</v>
      </c>
      <c r="P4435" s="21">
        <v>43585.412585300903</v>
      </c>
      <c r="Q4435" s="262">
        <v>250000</v>
      </c>
      <c r="R4435" s="262">
        <v>67000</v>
      </c>
      <c r="S4435" t="s">
        <v>114</v>
      </c>
      <c r="T4435" t="s">
        <v>114</v>
      </c>
      <c r="V4435">
        <v>196</v>
      </c>
      <c r="W4435">
        <v>363</v>
      </c>
      <c r="X4435">
        <v>0</v>
      </c>
      <c r="Y4435">
        <v>0</v>
      </c>
      <c r="Z4435">
        <v>0</v>
      </c>
      <c r="AA4435">
        <v>0</v>
      </c>
      <c r="AB4435">
        <v>0</v>
      </c>
      <c r="AC4435">
        <v>363</v>
      </c>
      <c r="AD4435">
        <v>0</v>
      </c>
      <c r="AE4435">
        <v>0</v>
      </c>
      <c r="AF4435">
        <v>0</v>
      </c>
      <c r="AG4435">
        <v>0</v>
      </c>
      <c r="AH4435">
        <v>0</v>
      </c>
      <c r="AI4435">
        <v>0</v>
      </c>
      <c r="AJ4435">
        <v>0</v>
      </c>
      <c r="AK4435">
        <v>0</v>
      </c>
      <c r="AL4435">
        <v>0</v>
      </c>
      <c r="AM4435">
        <v>0</v>
      </c>
      <c r="AN4435">
        <v>0</v>
      </c>
      <c r="AO4435">
        <v>0</v>
      </c>
      <c r="AP4435">
        <v>0</v>
      </c>
      <c r="AQ4435">
        <v>0</v>
      </c>
      <c r="AR4435">
        <v>0</v>
      </c>
      <c r="AS4435">
        <v>0</v>
      </c>
      <c r="AT4435">
        <v>0</v>
      </c>
      <c r="AU4435">
        <f t="shared" si="136"/>
        <v>0</v>
      </c>
      <c r="AV4435">
        <f t="shared" si="137"/>
        <v>0</v>
      </c>
    </row>
    <row r="4436" spans="1:48" x14ac:dyDescent="0.25">
      <c r="A4436" t="s">
        <v>12990</v>
      </c>
      <c r="B4436" t="s">
        <v>12990</v>
      </c>
      <c r="C4436" t="s">
        <v>12974</v>
      </c>
      <c r="D4436" t="s">
        <v>8941</v>
      </c>
      <c r="E4436" t="s">
        <v>2310</v>
      </c>
      <c r="F4436">
        <v>10</v>
      </c>
      <c r="G4436">
        <v>10.1</v>
      </c>
      <c r="H4436" t="s">
        <v>2323</v>
      </c>
      <c r="I4436" s="21">
        <v>42248.443877314799</v>
      </c>
      <c r="J4436">
        <v>2015</v>
      </c>
      <c r="K4436" s="21">
        <v>42285.6933796296</v>
      </c>
      <c r="L4436">
        <v>2015</v>
      </c>
      <c r="M4436" s="21">
        <v>42543.582476851901</v>
      </c>
      <c r="N4436">
        <v>2016</v>
      </c>
      <c r="Q4436" s="262">
        <v>45000</v>
      </c>
      <c r="R4436" s="262">
        <v>60000</v>
      </c>
      <c r="S4436" t="s">
        <v>114</v>
      </c>
      <c r="T4436" t="s">
        <v>114</v>
      </c>
      <c r="W4436">
        <v>528</v>
      </c>
      <c r="X4436">
        <v>0</v>
      </c>
      <c r="Y4436">
        <v>0</v>
      </c>
      <c r="Z4436">
        <v>0</v>
      </c>
      <c r="AA4436">
        <v>0</v>
      </c>
      <c r="AB4436">
        <v>0</v>
      </c>
      <c r="AC4436">
        <v>528</v>
      </c>
      <c r="AD4436">
        <v>0</v>
      </c>
      <c r="AE4436">
        <v>0</v>
      </c>
      <c r="AF4436">
        <v>0</v>
      </c>
      <c r="AG4436">
        <v>0</v>
      </c>
      <c r="AH4436">
        <v>0</v>
      </c>
      <c r="AI4436">
        <v>0</v>
      </c>
      <c r="AJ4436">
        <v>0</v>
      </c>
      <c r="AK4436">
        <v>0</v>
      </c>
      <c r="AL4436">
        <v>0</v>
      </c>
      <c r="AM4436">
        <v>0</v>
      </c>
      <c r="AN4436">
        <v>0</v>
      </c>
      <c r="AO4436">
        <v>0</v>
      </c>
      <c r="AP4436">
        <v>0</v>
      </c>
      <c r="AQ4436">
        <v>0</v>
      </c>
      <c r="AR4436">
        <v>0</v>
      </c>
      <c r="AS4436">
        <v>0</v>
      </c>
      <c r="AT4436">
        <v>0</v>
      </c>
      <c r="AU4436">
        <f t="shared" si="136"/>
        <v>0</v>
      </c>
      <c r="AV4436">
        <f t="shared" si="137"/>
        <v>0</v>
      </c>
    </row>
    <row r="4437" spans="1:48" x14ac:dyDescent="0.25">
      <c r="A4437" t="s">
        <v>12991</v>
      </c>
      <c r="C4437" t="s">
        <v>12992</v>
      </c>
      <c r="D4437" t="s">
        <v>12993</v>
      </c>
      <c r="E4437" t="s">
        <v>1663</v>
      </c>
      <c r="F4437">
        <v>6</v>
      </c>
      <c r="G4437">
        <v>6.1</v>
      </c>
      <c r="H4437" t="s">
        <v>2017</v>
      </c>
      <c r="I4437" s="21">
        <v>42250</v>
      </c>
      <c r="J4437">
        <v>2015</v>
      </c>
      <c r="K4437" s="21">
        <v>42269</v>
      </c>
      <c r="L4437">
        <v>2015</v>
      </c>
      <c r="M4437" s="21">
        <v>42347</v>
      </c>
      <c r="N4437">
        <v>2015</v>
      </c>
      <c r="Q4437" s="262">
        <v>5300</v>
      </c>
      <c r="S4437" t="s">
        <v>114</v>
      </c>
      <c r="T4437" t="s">
        <v>114</v>
      </c>
      <c r="W4437">
        <v>-750</v>
      </c>
      <c r="X4437">
        <v>0</v>
      </c>
      <c r="Y4437">
        <v>0</v>
      </c>
      <c r="Z4437">
        <v>0</v>
      </c>
      <c r="AA4437">
        <v>0</v>
      </c>
      <c r="AB4437">
        <v>0</v>
      </c>
      <c r="AC4437">
        <v>-750</v>
      </c>
      <c r="AD4437">
        <v>0</v>
      </c>
      <c r="AE4437">
        <v>0</v>
      </c>
      <c r="AF4437">
        <v>0</v>
      </c>
      <c r="AG4437">
        <v>0</v>
      </c>
      <c r="AH4437">
        <v>0</v>
      </c>
      <c r="AI4437">
        <v>0</v>
      </c>
      <c r="AJ4437">
        <v>0</v>
      </c>
      <c r="AK4437">
        <v>0</v>
      </c>
      <c r="AL4437">
        <v>0</v>
      </c>
      <c r="AM4437">
        <v>0</v>
      </c>
      <c r="AN4437">
        <v>0</v>
      </c>
      <c r="AO4437">
        <v>0</v>
      </c>
      <c r="AP4437">
        <v>0</v>
      </c>
      <c r="AQ4437">
        <v>0</v>
      </c>
      <c r="AR4437">
        <v>0</v>
      </c>
      <c r="AS4437">
        <v>0</v>
      </c>
      <c r="AT4437">
        <v>0</v>
      </c>
      <c r="AU4437">
        <f t="shared" si="136"/>
        <v>0</v>
      </c>
      <c r="AV4437">
        <f t="shared" si="137"/>
        <v>0</v>
      </c>
    </row>
    <row r="4438" spans="1:48" x14ac:dyDescent="0.25">
      <c r="A4438" t="s">
        <v>12994</v>
      </c>
      <c r="C4438" t="s">
        <v>12995</v>
      </c>
      <c r="D4438" t="s">
        <v>12882</v>
      </c>
      <c r="E4438" t="s">
        <v>1663</v>
      </c>
      <c r="F4438">
        <v>3</v>
      </c>
      <c r="G4438">
        <v>3.1</v>
      </c>
      <c r="H4438" t="s">
        <v>2017</v>
      </c>
      <c r="I4438" s="21">
        <v>42250</v>
      </c>
      <c r="J4438">
        <v>2015</v>
      </c>
      <c r="K4438" s="21">
        <v>42313</v>
      </c>
      <c r="L4438">
        <v>2015</v>
      </c>
      <c r="M4438" s="21">
        <v>42538</v>
      </c>
      <c r="N4438">
        <v>2016</v>
      </c>
      <c r="Q4438" s="262">
        <v>145000</v>
      </c>
      <c r="S4438" t="s">
        <v>114</v>
      </c>
      <c r="T4438" t="s">
        <v>114</v>
      </c>
      <c r="W4438">
        <v>1232</v>
      </c>
      <c r="X4438">
        <v>0</v>
      </c>
      <c r="Y4438">
        <v>0</v>
      </c>
      <c r="Z4438">
        <v>0</v>
      </c>
      <c r="AA4438">
        <v>0</v>
      </c>
      <c r="AB4438">
        <v>0</v>
      </c>
      <c r="AC4438">
        <v>1232</v>
      </c>
      <c r="AD4438">
        <v>0</v>
      </c>
      <c r="AE4438">
        <v>0</v>
      </c>
      <c r="AF4438">
        <v>0</v>
      </c>
      <c r="AG4438">
        <v>0</v>
      </c>
      <c r="AH4438">
        <v>0</v>
      </c>
      <c r="AI4438">
        <v>0</v>
      </c>
      <c r="AJ4438">
        <v>0</v>
      </c>
      <c r="AK4438">
        <v>0</v>
      </c>
      <c r="AL4438">
        <v>0</v>
      </c>
      <c r="AM4438">
        <v>0</v>
      </c>
      <c r="AN4438">
        <v>0</v>
      </c>
      <c r="AO4438">
        <v>0</v>
      </c>
      <c r="AP4438">
        <v>0</v>
      </c>
      <c r="AQ4438">
        <v>0</v>
      </c>
      <c r="AR4438">
        <v>0</v>
      </c>
      <c r="AS4438">
        <v>0</v>
      </c>
      <c r="AT4438">
        <v>0</v>
      </c>
      <c r="AU4438">
        <f t="shared" si="136"/>
        <v>0</v>
      </c>
      <c r="AV4438">
        <f t="shared" si="137"/>
        <v>0</v>
      </c>
    </row>
    <row r="4439" spans="1:48" x14ac:dyDescent="0.25">
      <c r="A4439" t="s">
        <v>12996</v>
      </c>
      <c r="B4439" t="s">
        <v>12996</v>
      </c>
      <c r="C4439" t="s">
        <v>12997</v>
      </c>
      <c r="D4439" t="s">
        <v>12998</v>
      </c>
      <c r="E4439" t="s">
        <v>2310</v>
      </c>
      <c r="F4439">
        <v>7</v>
      </c>
      <c r="G4439">
        <v>7.2</v>
      </c>
      <c r="H4439" t="s">
        <v>2017</v>
      </c>
      <c r="I4439" s="21">
        <v>42255.614363425899</v>
      </c>
      <c r="J4439">
        <v>2015</v>
      </c>
      <c r="K4439" s="21">
        <v>42268.6020601852</v>
      </c>
      <c r="L4439">
        <v>2015</v>
      </c>
      <c r="M4439" s="21">
        <v>42380.4273958333</v>
      </c>
      <c r="N4439">
        <v>2016</v>
      </c>
      <c r="Q4439" s="262">
        <v>180000</v>
      </c>
      <c r="R4439" s="262">
        <v>132000</v>
      </c>
      <c r="S4439" t="s">
        <v>114</v>
      </c>
      <c r="T4439" t="s">
        <v>114</v>
      </c>
      <c r="V4439">
        <v>1000</v>
      </c>
      <c r="W4439">
        <v>0</v>
      </c>
      <c r="X4439">
        <v>1</v>
      </c>
      <c r="Y4439">
        <v>0</v>
      </c>
      <c r="Z4439">
        <v>0</v>
      </c>
      <c r="AA4439">
        <v>0</v>
      </c>
      <c r="AB4439">
        <v>0</v>
      </c>
      <c r="AC4439">
        <v>-1000</v>
      </c>
      <c r="AD4439">
        <v>0</v>
      </c>
      <c r="AE4439">
        <v>0</v>
      </c>
      <c r="AF4439">
        <v>1000</v>
      </c>
      <c r="AG4439">
        <v>0</v>
      </c>
      <c r="AH4439">
        <v>0</v>
      </c>
      <c r="AI4439">
        <v>0</v>
      </c>
      <c r="AJ4439">
        <v>0</v>
      </c>
      <c r="AK4439">
        <v>0</v>
      </c>
      <c r="AL4439">
        <v>0</v>
      </c>
      <c r="AM4439">
        <v>0</v>
      </c>
      <c r="AN4439">
        <v>0</v>
      </c>
      <c r="AO4439">
        <v>0</v>
      </c>
      <c r="AP4439">
        <v>0</v>
      </c>
      <c r="AQ4439">
        <v>0</v>
      </c>
      <c r="AR4439">
        <v>1</v>
      </c>
      <c r="AS4439">
        <v>0</v>
      </c>
      <c r="AT4439">
        <v>0</v>
      </c>
      <c r="AU4439">
        <f t="shared" si="136"/>
        <v>0</v>
      </c>
      <c r="AV4439">
        <f t="shared" si="137"/>
        <v>0</v>
      </c>
    </row>
    <row r="4440" spans="1:48" x14ac:dyDescent="0.25">
      <c r="A4440" t="s">
        <v>13002</v>
      </c>
      <c r="C4440" t="s">
        <v>13003</v>
      </c>
      <c r="D4440" t="s">
        <v>13004</v>
      </c>
      <c r="E4440" t="s">
        <v>1663</v>
      </c>
      <c r="F4440">
        <v>4</v>
      </c>
      <c r="G4440">
        <v>4.0999999999999996</v>
      </c>
      <c r="H4440" t="s">
        <v>2327</v>
      </c>
      <c r="I4440" s="21">
        <v>42257</v>
      </c>
      <c r="J4440">
        <v>2015</v>
      </c>
      <c r="K4440" s="21">
        <v>42290</v>
      </c>
      <c r="L4440">
        <v>2015</v>
      </c>
      <c r="M4440" s="21">
        <v>42611</v>
      </c>
      <c r="N4440">
        <v>2016</v>
      </c>
      <c r="Q4440" s="262">
        <v>350000</v>
      </c>
      <c r="S4440" t="s">
        <v>114</v>
      </c>
      <c r="T4440" t="s">
        <v>114</v>
      </c>
      <c r="V4440">
        <v>14383</v>
      </c>
      <c r="W4440">
        <v>0</v>
      </c>
      <c r="X4440">
        <v>0</v>
      </c>
      <c r="Y4440">
        <v>0</v>
      </c>
      <c r="Z4440">
        <v>0</v>
      </c>
      <c r="AA4440">
        <v>0</v>
      </c>
      <c r="AB4440">
        <v>0</v>
      </c>
      <c r="AC4440">
        <v>0</v>
      </c>
      <c r="AD4440">
        <v>0</v>
      </c>
      <c r="AE4440">
        <v>0</v>
      </c>
      <c r="AF4440">
        <v>0</v>
      </c>
      <c r="AG4440">
        <v>0</v>
      </c>
      <c r="AH4440">
        <v>0</v>
      </c>
      <c r="AI4440">
        <v>0</v>
      </c>
      <c r="AJ4440">
        <v>0</v>
      </c>
      <c r="AK4440">
        <v>0</v>
      </c>
      <c r="AL4440">
        <v>0</v>
      </c>
      <c r="AM4440">
        <v>0</v>
      </c>
      <c r="AN4440">
        <v>0</v>
      </c>
      <c r="AO4440">
        <v>0</v>
      </c>
      <c r="AP4440">
        <v>0</v>
      </c>
      <c r="AQ4440">
        <v>0</v>
      </c>
      <c r="AR4440">
        <v>0</v>
      </c>
      <c r="AS4440">
        <v>0</v>
      </c>
      <c r="AT4440">
        <v>0</v>
      </c>
      <c r="AU4440">
        <f t="shared" si="136"/>
        <v>0</v>
      </c>
      <c r="AV4440">
        <f t="shared" si="137"/>
        <v>0</v>
      </c>
    </row>
    <row r="4441" spans="1:48" x14ac:dyDescent="0.25">
      <c r="A4441" t="s">
        <v>12999</v>
      </c>
      <c r="C4441" t="s">
        <v>13000</v>
      </c>
      <c r="D4441" t="s">
        <v>13001</v>
      </c>
      <c r="E4441" t="s">
        <v>1663</v>
      </c>
      <c r="F4441">
        <v>2</v>
      </c>
      <c r="G4441">
        <v>2.2999999999999998</v>
      </c>
      <c r="H4441" t="s">
        <v>2327</v>
      </c>
      <c r="I4441" s="21">
        <v>42257</v>
      </c>
      <c r="J4441">
        <v>2015</v>
      </c>
      <c r="K4441" s="21">
        <v>42298</v>
      </c>
      <c r="L4441">
        <v>2015</v>
      </c>
      <c r="M4441" s="21">
        <v>42373</v>
      </c>
      <c r="N4441">
        <v>2016</v>
      </c>
      <c r="Q4441" s="262">
        <v>118000</v>
      </c>
      <c r="S4441" t="s">
        <v>114</v>
      </c>
      <c r="T4441" t="s">
        <v>114</v>
      </c>
      <c r="W4441">
        <v>910</v>
      </c>
      <c r="X4441">
        <v>1</v>
      </c>
      <c r="Y4441">
        <v>0</v>
      </c>
      <c r="Z4441">
        <v>0</v>
      </c>
      <c r="AA4441">
        <v>0</v>
      </c>
      <c r="AB4441">
        <v>0</v>
      </c>
      <c r="AC4441">
        <v>910</v>
      </c>
      <c r="AD4441">
        <v>0</v>
      </c>
      <c r="AE4441">
        <v>0</v>
      </c>
      <c r="AF4441">
        <v>0</v>
      </c>
      <c r="AG4441">
        <v>0</v>
      </c>
      <c r="AH4441">
        <v>0</v>
      </c>
      <c r="AI4441">
        <v>0</v>
      </c>
      <c r="AJ4441">
        <v>0</v>
      </c>
      <c r="AK4441">
        <v>0</v>
      </c>
      <c r="AL4441">
        <v>0</v>
      </c>
      <c r="AM4441">
        <v>0</v>
      </c>
      <c r="AN4441">
        <v>0</v>
      </c>
      <c r="AO4441">
        <v>1</v>
      </c>
      <c r="AP4441">
        <v>0</v>
      </c>
      <c r="AQ4441">
        <v>0</v>
      </c>
      <c r="AR4441">
        <v>0</v>
      </c>
      <c r="AS4441">
        <v>0</v>
      </c>
      <c r="AT4441">
        <v>0</v>
      </c>
      <c r="AU4441">
        <f t="shared" ref="AU4441:AU4504" si="138">SUM(AN4441:AQ4441,AS4441)</f>
        <v>1</v>
      </c>
      <c r="AV4441">
        <f t="shared" ref="AV4441:AV4504" si="139">SUM(Y4441:AB4441,AH4441:AM4441)</f>
        <v>0</v>
      </c>
    </row>
    <row r="4442" spans="1:48" x14ac:dyDescent="0.25">
      <c r="A4442" t="s">
        <v>13005</v>
      </c>
      <c r="B4442" t="s">
        <v>13005</v>
      </c>
      <c r="C4442" t="s">
        <v>13006</v>
      </c>
      <c r="D4442" t="s">
        <v>13007</v>
      </c>
      <c r="E4442" t="s">
        <v>2310</v>
      </c>
      <c r="F4442">
        <v>12</v>
      </c>
      <c r="G4442">
        <v>12.3</v>
      </c>
      <c r="H4442" t="s">
        <v>2017</v>
      </c>
      <c r="I4442" s="21">
        <v>42257.431550925903</v>
      </c>
      <c r="J4442">
        <v>2015</v>
      </c>
      <c r="K4442" s="21">
        <v>42272.456203703703</v>
      </c>
      <c r="L4442">
        <v>2015</v>
      </c>
      <c r="M4442" s="21">
        <v>42662.3965046296</v>
      </c>
      <c r="N4442">
        <v>2016</v>
      </c>
      <c r="Q4442" s="262">
        <v>400000</v>
      </c>
      <c r="R4442" s="262">
        <v>91000</v>
      </c>
      <c r="S4442" t="s">
        <v>114</v>
      </c>
      <c r="T4442" t="s">
        <v>114</v>
      </c>
      <c r="V4442">
        <v>630</v>
      </c>
      <c r="W4442">
        <v>334</v>
      </c>
      <c r="X4442">
        <v>0</v>
      </c>
      <c r="Y4442">
        <v>0</v>
      </c>
      <c r="Z4442">
        <v>0</v>
      </c>
      <c r="AA4442">
        <v>0</v>
      </c>
      <c r="AB4442">
        <v>0</v>
      </c>
      <c r="AC4442">
        <v>334</v>
      </c>
      <c r="AD4442">
        <v>0</v>
      </c>
      <c r="AE4442">
        <v>0</v>
      </c>
      <c r="AF4442">
        <v>0</v>
      </c>
      <c r="AG4442">
        <v>0</v>
      </c>
      <c r="AH4442">
        <v>0</v>
      </c>
      <c r="AI4442">
        <v>0</v>
      </c>
      <c r="AJ4442">
        <v>0</v>
      </c>
      <c r="AK4442">
        <v>0</v>
      </c>
      <c r="AL4442">
        <v>0</v>
      </c>
      <c r="AM4442">
        <v>0</v>
      </c>
      <c r="AN4442">
        <v>0</v>
      </c>
      <c r="AO4442">
        <v>0</v>
      </c>
      <c r="AP4442">
        <v>0</v>
      </c>
      <c r="AQ4442">
        <v>0</v>
      </c>
      <c r="AR4442">
        <v>0</v>
      </c>
      <c r="AS4442">
        <v>0</v>
      </c>
      <c r="AT4442">
        <v>0</v>
      </c>
      <c r="AU4442">
        <f t="shared" si="138"/>
        <v>0</v>
      </c>
      <c r="AV4442">
        <f t="shared" si="139"/>
        <v>0</v>
      </c>
    </row>
    <row r="4443" spans="1:48" x14ac:dyDescent="0.25">
      <c r="A4443" t="s">
        <v>18402</v>
      </c>
      <c r="B4443" t="s">
        <v>18402</v>
      </c>
      <c r="C4443" t="s">
        <v>18403</v>
      </c>
      <c r="D4443" t="s">
        <v>18404</v>
      </c>
      <c r="E4443" t="s">
        <v>2310</v>
      </c>
      <c r="F4443">
        <v>9</v>
      </c>
      <c r="G4443">
        <v>9.1999999999999993</v>
      </c>
      <c r="H4443" t="s">
        <v>2022</v>
      </c>
      <c r="I4443" s="21">
        <v>42257.605624999997</v>
      </c>
      <c r="J4443">
        <v>2015</v>
      </c>
      <c r="K4443" s="21">
        <v>42521.363981481481</v>
      </c>
      <c r="L4443">
        <v>2016</v>
      </c>
      <c r="M4443" s="21">
        <v>43186.705451388887</v>
      </c>
      <c r="N4443">
        <v>2018</v>
      </c>
      <c r="Q4443" s="262">
        <v>335000</v>
      </c>
      <c r="R4443" s="262">
        <v>134000</v>
      </c>
      <c r="S4443" t="s">
        <v>13253</v>
      </c>
      <c r="T4443">
        <v>5027</v>
      </c>
      <c r="W4443">
        <v>1052</v>
      </c>
      <c r="X4443">
        <v>0</v>
      </c>
      <c r="Y4443">
        <v>0</v>
      </c>
      <c r="Z4443">
        <v>0</v>
      </c>
      <c r="AA4443">
        <v>0</v>
      </c>
      <c r="AB4443">
        <v>0</v>
      </c>
      <c r="AC4443">
        <v>1052</v>
      </c>
      <c r="AD4443">
        <v>0</v>
      </c>
      <c r="AE4443">
        <v>0</v>
      </c>
      <c r="AF4443">
        <v>0</v>
      </c>
      <c r="AG4443">
        <v>0</v>
      </c>
      <c r="AH4443">
        <v>0</v>
      </c>
      <c r="AI4443">
        <v>0</v>
      </c>
      <c r="AJ4443">
        <v>0</v>
      </c>
      <c r="AK4443">
        <v>0</v>
      </c>
      <c r="AL4443">
        <v>0</v>
      </c>
      <c r="AM4443">
        <v>0</v>
      </c>
      <c r="AN4443">
        <v>0</v>
      </c>
      <c r="AO4443">
        <v>0</v>
      </c>
      <c r="AP4443">
        <v>0</v>
      </c>
      <c r="AQ4443">
        <v>0</v>
      </c>
      <c r="AR4443">
        <v>0</v>
      </c>
      <c r="AS4443">
        <v>0</v>
      </c>
      <c r="AT4443">
        <v>0</v>
      </c>
      <c r="AU4443">
        <f t="shared" si="138"/>
        <v>0</v>
      </c>
      <c r="AV4443">
        <f t="shared" si="139"/>
        <v>0</v>
      </c>
    </row>
    <row r="4444" spans="1:48" x14ac:dyDescent="0.25">
      <c r="A4444" t="s">
        <v>17504</v>
      </c>
      <c r="B4444" t="s">
        <v>17504</v>
      </c>
      <c r="C4444" t="s">
        <v>17505</v>
      </c>
      <c r="D4444" t="s">
        <v>13681</v>
      </c>
      <c r="E4444" t="s">
        <v>2310</v>
      </c>
      <c r="F4444">
        <v>12</v>
      </c>
      <c r="G4444">
        <v>12.2</v>
      </c>
      <c r="H4444" t="s">
        <v>2017</v>
      </c>
      <c r="I4444" s="21">
        <v>42258.472442129598</v>
      </c>
      <c r="J4444">
        <v>2015</v>
      </c>
      <c r="K4444" s="21">
        <v>42873.658622685201</v>
      </c>
      <c r="L4444">
        <v>2017</v>
      </c>
      <c r="M4444" s="21">
        <v>42873.658622685201</v>
      </c>
      <c r="N4444">
        <v>2017</v>
      </c>
      <c r="Q4444" s="262">
        <v>120820</v>
      </c>
      <c r="R4444" s="262">
        <v>174000</v>
      </c>
      <c r="S4444" t="s">
        <v>114</v>
      </c>
      <c r="T4444" t="s">
        <v>114</v>
      </c>
      <c r="V4444">
        <v>1430</v>
      </c>
      <c r="W4444">
        <v>0</v>
      </c>
      <c r="X4444">
        <v>0</v>
      </c>
      <c r="Y4444">
        <v>0</v>
      </c>
      <c r="Z4444">
        <v>0</v>
      </c>
      <c r="AA4444">
        <v>0</v>
      </c>
      <c r="AB4444">
        <v>0</v>
      </c>
      <c r="AC4444">
        <v>0</v>
      </c>
      <c r="AD4444">
        <v>0</v>
      </c>
      <c r="AE4444">
        <v>0</v>
      </c>
      <c r="AF4444">
        <v>0</v>
      </c>
      <c r="AG4444">
        <v>0</v>
      </c>
      <c r="AH4444">
        <v>0</v>
      </c>
      <c r="AI4444">
        <v>0</v>
      </c>
      <c r="AJ4444">
        <v>0</v>
      </c>
      <c r="AK4444">
        <v>0</v>
      </c>
      <c r="AL4444">
        <v>0</v>
      </c>
      <c r="AM4444">
        <v>0</v>
      </c>
      <c r="AN4444">
        <v>0</v>
      </c>
      <c r="AO4444">
        <v>0</v>
      </c>
      <c r="AP4444">
        <v>0</v>
      </c>
      <c r="AQ4444">
        <v>0</v>
      </c>
      <c r="AR4444">
        <v>0</v>
      </c>
      <c r="AS4444">
        <v>0</v>
      </c>
      <c r="AT4444">
        <v>0</v>
      </c>
      <c r="AU4444">
        <f t="shared" si="138"/>
        <v>0</v>
      </c>
      <c r="AV4444">
        <f t="shared" si="139"/>
        <v>0</v>
      </c>
    </row>
    <row r="4445" spans="1:48" x14ac:dyDescent="0.25">
      <c r="A4445" t="s">
        <v>13008</v>
      </c>
      <c r="B4445" t="s">
        <v>13008</v>
      </c>
      <c r="C4445" t="s">
        <v>13009</v>
      </c>
      <c r="D4445" t="s">
        <v>13010</v>
      </c>
      <c r="E4445" t="s">
        <v>2310</v>
      </c>
      <c r="F4445">
        <v>8</v>
      </c>
      <c r="G4445">
        <v>8.3000000000000007</v>
      </c>
      <c r="H4445" t="s">
        <v>2323</v>
      </c>
      <c r="I4445" s="21">
        <v>42258.669548611098</v>
      </c>
      <c r="J4445">
        <v>2015</v>
      </c>
      <c r="K4445" s="21">
        <v>43045.604363425897</v>
      </c>
      <c r="L4445">
        <v>2017</v>
      </c>
      <c r="O4445" s="21">
        <v>43045.604363425897</v>
      </c>
      <c r="P4445" s="21">
        <v>42660.416273148097</v>
      </c>
      <c r="Q4445" s="262">
        <v>225000</v>
      </c>
      <c r="R4445" s="262">
        <v>211000</v>
      </c>
      <c r="S4445" t="s">
        <v>114</v>
      </c>
      <c r="T4445" t="s">
        <v>114</v>
      </c>
      <c r="W4445">
        <v>2104</v>
      </c>
      <c r="X4445">
        <v>0</v>
      </c>
      <c r="Y4445">
        <v>0</v>
      </c>
      <c r="Z4445">
        <v>0</v>
      </c>
      <c r="AA4445">
        <v>0</v>
      </c>
      <c r="AB4445">
        <v>0</v>
      </c>
      <c r="AC4445">
        <v>0</v>
      </c>
      <c r="AD4445">
        <v>0</v>
      </c>
      <c r="AE4445">
        <v>0</v>
      </c>
      <c r="AF4445">
        <v>0</v>
      </c>
      <c r="AG4445">
        <v>0</v>
      </c>
      <c r="AH4445">
        <v>0</v>
      </c>
      <c r="AI4445">
        <v>0</v>
      </c>
      <c r="AJ4445">
        <v>0</v>
      </c>
      <c r="AK4445">
        <v>2104</v>
      </c>
      <c r="AL4445">
        <v>0</v>
      </c>
      <c r="AM4445">
        <v>0</v>
      </c>
      <c r="AN4445">
        <v>0</v>
      </c>
      <c r="AO4445">
        <v>0</v>
      </c>
      <c r="AP4445">
        <v>0</v>
      </c>
      <c r="AQ4445">
        <v>0</v>
      </c>
      <c r="AR4445">
        <v>0</v>
      </c>
      <c r="AS4445">
        <v>0</v>
      </c>
      <c r="AT4445">
        <v>0</v>
      </c>
      <c r="AU4445">
        <f t="shared" si="138"/>
        <v>0</v>
      </c>
      <c r="AV4445">
        <f t="shared" si="139"/>
        <v>2104</v>
      </c>
    </row>
    <row r="4446" spans="1:48" x14ac:dyDescent="0.25">
      <c r="A4446" t="s">
        <v>13011</v>
      </c>
      <c r="B4446" t="s">
        <v>13011</v>
      </c>
      <c r="C4446" t="s">
        <v>13012</v>
      </c>
      <c r="D4446" t="s">
        <v>13013</v>
      </c>
      <c r="E4446" t="s">
        <v>2310</v>
      </c>
      <c r="F4446">
        <v>10</v>
      </c>
      <c r="G4446">
        <v>10.1</v>
      </c>
      <c r="H4446" t="s">
        <v>2323</v>
      </c>
      <c r="I4446" s="21">
        <v>42262.420196759304</v>
      </c>
      <c r="J4446">
        <v>2015</v>
      </c>
      <c r="K4446" s="21">
        <v>42283.417615740698</v>
      </c>
      <c r="L4446">
        <v>2015</v>
      </c>
      <c r="M4446" s="21">
        <v>42646.462372685201</v>
      </c>
      <c r="N4446">
        <v>2016</v>
      </c>
      <c r="Q4446" s="262">
        <v>350000</v>
      </c>
      <c r="R4446" s="262">
        <v>239000</v>
      </c>
      <c r="S4446" t="s">
        <v>114</v>
      </c>
      <c r="T4446" t="s">
        <v>114</v>
      </c>
      <c r="W4446">
        <v>2307</v>
      </c>
      <c r="X4446">
        <v>1</v>
      </c>
      <c r="Y4446">
        <v>0</v>
      </c>
      <c r="Z4446">
        <v>0</v>
      </c>
      <c r="AA4446">
        <v>0</v>
      </c>
      <c r="AB4446">
        <v>0</v>
      </c>
      <c r="AC4446">
        <v>2307</v>
      </c>
      <c r="AD4446">
        <v>0</v>
      </c>
      <c r="AE4446">
        <v>0</v>
      </c>
      <c r="AF4446">
        <v>0</v>
      </c>
      <c r="AG4446">
        <v>0</v>
      </c>
      <c r="AH4446">
        <v>0</v>
      </c>
      <c r="AI4446">
        <v>0</v>
      </c>
      <c r="AJ4446">
        <v>0</v>
      </c>
      <c r="AK4446">
        <v>0</v>
      </c>
      <c r="AL4446">
        <v>0</v>
      </c>
      <c r="AM4446">
        <v>0</v>
      </c>
      <c r="AN4446">
        <v>0</v>
      </c>
      <c r="AO4446">
        <v>1</v>
      </c>
      <c r="AP4446">
        <v>0</v>
      </c>
      <c r="AQ4446">
        <v>0</v>
      </c>
      <c r="AR4446">
        <v>0</v>
      </c>
      <c r="AS4446">
        <v>0</v>
      </c>
      <c r="AT4446">
        <v>0</v>
      </c>
      <c r="AU4446">
        <f t="shared" si="138"/>
        <v>1</v>
      </c>
      <c r="AV4446">
        <f t="shared" si="139"/>
        <v>0</v>
      </c>
    </row>
    <row r="4447" spans="1:48" x14ac:dyDescent="0.25">
      <c r="A4447" t="s">
        <v>19187</v>
      </c>
      <c r="B4447" t="s">
        <v>114</v>
      </c>
      <c r="C4447" t="s">
        <v>17875</v>
      </c>
      <c r="D4447" t="s">
        <v>5958</v>
      </c>
      <c r="E4447" t="s">
        <v>1663</v>
      </c>
      <c r="F4447">
        <v>6</v>
      </c>
      <c r="G4447">
        <v>6.1</v>
      </c>
      <c r="H4447" t="s">
        <v>2017</v>
      </c>
      <c r="I4447" s="21">
        <v>42263</v>
      </c>
      <c r="J4447">
        <v>2015</v>
      </c>
      <c r="K4447" s="21">
        <v>42328</v>
      </c>
      <c r="L4447">
        <v>2015</v>
      </c>
      <c r="M4447" s="21">
        <v>43831</v>
      </c>
      <c r="N4447">
        <v>2020</v>
      </c>
      <c r="Q4447" s="262">
        <v>25000</v>
      </c>
      <c r="S4447" t="s">
        <v>13254</v>
      </c>
      <c r="W4447">
        <v>421</v>
      </c>
      <c r="X4447">
        <v>0</v>
      </c>
      <c r="Y4447">
        <v>0</v>
      </c>
      <c r="Z4447">
        <v>0</v>
      </c>
      <c r="AA4447">
        <v>0</v>
      </c>
      <c r="AB4447">
        <v>0</v>
      </c>
      <c r="AC4447">
        <v>421</v>
      </c>
      <c r="AD4447">
        <v>0</v>
      </c>
      <c r="AE4447">
        <v>0</v>
      </c>
      <c r="AF4447">
        <v>0</v>
      </c>
      <c r="AG4447">
        <v>0</v>
      </c>
      <c r="AH4447">
        <v>0</v>
      </c>
      <c r="AI4447">
        <v>0</v>
      </c>
      <c r="AJ4447">
        <v>0</v>
      </c>
      <c r="AK4447">
        <v>0</v>
      </c>
      <c r="AL4447">
        <v>0</v>
      </c>
      <c r="AM4447">
        <v>0</v>
      </c>
      <c r="AN4447">
        <v>0</v>
      </c>
      <c r="AO4447">
        <v>0</v>
      </c>
      <c r="AP4447">
        <v>0</v>
      </c>
      <c r="AQ4447">
        <v>0</v>
      </c>
      <c r="AR4447">
        <v>0</v>
      </c>
      <c r="AS4447">
        <v>0</v>
      </c>
      <c r="AT4447">
        <v>0</v>
      </c>
      <c r="AU4447">
        <f t="shared" si="138"/>
        <v>0</v>
      </c>
      <c r="AV4447">
        <f t="shared" si="139"/>
        <v>0</v>
      </c>
    </row>
    <row r="4448" spans="1:48" x14ac:dyDescent="0.25">
      <c r="A4448" t="s">
        <v>13014</v>
      </c>
      <c r="C4448" t="s">
        <v>13015</v>
      </c>
      <c r="D4448" t="s">
        <v>9164</v>
      </c>
      <c r="E4448" t="s">
        <v>1663</v>
      </c>
      <c r="F4448">
        <v>3</v>
      </c>
      <c r="G4448">
        <v>3.2</v>
      </c>
      <c r="H4448" t="s">
        <v>2327</v>
      </c>
      <c r="I4448" s="21">
        <v>42263</v>
      </c>
      <c r="J4448">
        <v>2015</v>
      </c>
      <c r="K4448" s="21">
        <v>42296</v>
      </c>
      <c r="L4448">
        <v>2015</v>
      </c>
      <c r="M4448" s="21">
        <v>42724</v>
      </c>
      <c r="N4448">
        <v>2016</v>
      </c>
      <c r="Q4448" s="262">
        <v>55000</v>
      </c>
      <c r="S4448" t="s">
        <v>114</v>
      </c>
      <c r="T4448" t="s">
        <v>114</v>
      </c>
      <c r="V4448">
        <v>0</v>
      </c>
      <c r="W4448">
        <v>0</v>
      </c>
      <c r="X4448">
        <v>0</v>
      </c>
      <c r="Y4448">
        <v>0</v>
      </c>
      <c r="Z4448">
        <v>0</v>
      </c>
      <c r="AA4448">
        <v>0</v>
      </c>
      <c r="AB4448">
        <v>0</v>
      </c>
      <c r="AC4448">
        <v>0</v>
      </c>
      <c r="AD4448">
        <v>0</v>
      </c>
      <c r="AE4448">
        <v>0</v>
      </c>
      <c r="AF4448">
        <v>0</v>
      </c>
      <c r="AG4448">
        <v>0</v>
      </c>
      <c r="AH4448">
        <v>0</v>
      </c>
      <c r="AI4448">
        <v>0</v>
      </c>
      <c r="AJ4448">
        <v>0</v>
      </c>
      <c r="AK4448">
        <v>0</v>
      </c>
      <c r="AL4448">
        <v>0</v>
      </c>
      <c r="AM4448">
        <v>0</v>
      </c>
      <c r="AN4448">
        <v>0</v>
      </c>
      <c r="AO4448">
        <v>0</v>
      </c>
      <c r="AP4448">
        <v>0</v>
      </c>
      <c r="AQ4448">
        <v>0</v>
      </c>
      <c r="AR4448">
        <v>0</v>
      </c>
      <c r="AS4448">
        <v>0</v>
      </c>
      <c r="AT4448">
        <v>0</v>
      </c>
      <c r="AU4448">
        <f t="shared" si="138"/>
        <v>0</v>
      </c>
      <c r="AV4448">
        <f t="shared" si="139"/>
        <v>0</v>
      </c>
    </row>
    <row r="4449" spans="1:48" x14ac:dyDescent="0.25">
      <c r="A4449" t="s">
        <v>13016</v>
      </c>
      <c r="C4449" t="s">
        <v>13017</v>
      </c>
      <c r="D4449" t="s">
        <v>3902</v>
      </c>
      <c r="E4449" t="s">
        <v>1663</v>
      </c>
      <c r="F4449">
        <v>1</v>
      </c>
      <c r="G4449">
        <v>1.2</v>
      </c>
      <c r="H4449" t="s">
        <v>2017</v>
      </c>
      <c r="I4449" s="21">
        <v>42263</v>
      </c>
      <c r="J4449">
        <v>2015</v>
      </c>
      <c r="K4449" s="21">
        <v>42304</v>
      </c>
      <c r="L4449">
        <v>2015</v>
      </c>
      <c r="M4449" s="21">
        <v>42447</v>
      </c>
      <c r="N4449">
        <v>2016</v>
      </c>
      <c r="Q4449" s="262">
        <v>125000</v>
      </c>
      <c r="S4449" t="s">
        <v>114</v>
      </c>
      <c r="T4449" t="s">
        <v>114</v>
      </c>
      <c r="W4449">
        <v>961</v>
      </c>
      <c r="X4449">
        <v>0</v>
      </c>
      <c r="Y4449">
        <v>0</v>
      </c>
      <c r="Z4449">
        <v>0</v>
      </c>
      <c r="AA4449">
        <v>0</v>
      </c>
      <c r="AB4449">
        <v>0</v>
      </c>
      <c r="AC4449">
        <v>0</v>
      </c>
      <c r="AD4449">
        <v>0</v>
      </c>
      <c r="AE4449">
        <v>0</v>
      </c>
      <c r="AF4449">
        <v>0</v>
      </c>
      <c r="AG4449">
        <v>0</v>
      </c>
      <c r="AH4449">
        <v>961</v>
      </c>
      <c r="AI4449">
        <v>0</v>
      </c>
      <c r="AJ4449">
        <v>0</v>
      </c>
      <c r="AK4449">
        <v>0</v>
      </c>
      <c r="AL4449">
        <v>0</v>
      </c>
      <c r="AM4449">
        <v>0</v>
      </c>
      <c r="AN4449">
        <v>0</v>
      </c>
      <c r="AO4449">
        <v>0</v>
      </c>
      <c r="AP4449">
        <v>0</v>
      </c>
      <c r="AQ4449">
        <v>0</v>
      </c>
      <c r="AR4449">
        <v>0</v>
      </c>
      <c r="AS4449">
        <v>0</v>
      </c>
      <c r="AT4449">
        <v>0</v>
      </c>
      <c r="AU4449">
        <f t="shared" si="138"/>
        <v>0</v>
      </c>
      <c r="AV4449">
        <f t="shared" si="139"/>
        <v>961</v>
      </c>
    </row>
    <row r="4450" spans="1:48" x14ac:dyDescent="0.25">
      <c r="A4450" t="s">
        <v>13018</v>
      </c>
      <c r="C4450" t="s">
        <v>13019</v>
      </c>
      <c r="D4450" t="s">
        <v>4683</v>
      </c>
      <c r="E4450" t="s">
        <v>1663</v>
      </c>
      <c r="F4450">
        <v>2</v>
      </c>
      <c r="G4450">
        <v>2.6</v>
      </c>
      <c r="H4450" t="s">
        <v>2327</v>
      </c>
      <c r="I4450" s="21">
        <v>42264</v>
      </c>
      <c r="J4450">
        <v>2015</v>
      </c>
      <c r="K4450" s="21">
        <v>42286</v>
      </c>
      <c r="L4450">
        <v>2015</v>
      </c>
      <c r="P4450" s="21">
        <v>42938</v>
      </c>
      <c r="Q4450" s="262">
        <v>200000</v>
      </c>
      <c r="S4450" t="s">
        <v>114</v>
      </c>
      <c r="T4450" t="s">
        <v>114</v>
      </c>
      <c r="V4450">
        <v>5536</v>
      </c>
      <c r="W4450">
        <v>0</v>
      </c>
      <c r="X4450">
        <v>0</v>
      </c>
      <c r="Y4450">
        <v>0</v>
      </c>
      <c r="Z4450">
        <v>0</v>
      </c>
      <c r="AA4450">
        <v>0</v>
      </c>
      <c r="AB4450">
        <v>0</v>
      </c>
      <c r="AC4450">
        <v>0</v>
      </c>
      <c r="AD4450">
        <v>0</v>
      </c>
      <c r="AE4450">
        <v>0</v>
      </c>
      <c r="AF4450">
        <v>0</v>
      </c>
      <c r="AG4450">
        <v>0</v>
      </c>
      <c r="AH4450">
        <v>0</v>
      </c>
      <c r="AI4450">
        <v>0</v>
      </c>
      <c r="AJ4450">
        <v>0</v>
      </c>
      <c r="AK4450">
        <v>0</v>
      </c>
      <c r="AL4450">
        <v>0</v>
      </c>
      <c r="AM4450">
        <v>0</v>
      </c>
      <c r="AN4450">
        <v>0</v>
      </c>
      <c r="AO4450">
        <v>0</v>
      </c>
      <c r="AP4450">
        <v>0</v>
      </c>
      <c r="AQ4450">
        <v>0</v>
      </c>
      <c r="AR4450">
        <v>0</v>
      </c>
      <c r="AS4450">
        <v>0</v>
      </c>
      <c r="AT4450">
        <v>0</v>
      </c>
      <c r="AU4450">
        <f t="shared" si="138"/>
        <v>0</v>
      </c>
      <c r="AV4450">
        <f t="shared" si="139"/>
        <v>0</v>
      </c>
    </row>
    <row r="4451" spans="1:48" x14ac:dyDescent="0.25">
      <c r="A4451" t="s">
        <v>17730</v>
      </c>
      <c r="B4451" t="s">
        <v>17730</v>
      </c>
      <c r="C4451" t="s">
        <v>17731</v>
      </c>
      <c r="D4451" t="s">
        <v>17732</v>
      </c>
      <c r="E4451" t="s">
        <v>2310</v>
      </c>
      <c r="F4451">
        <v>9</v>
      </c>
      <c r="G4451">
        <v>9.3000000000000007</v>
      </c>
      <c r="H4451" t="s">
        <v>2323</v>
      </c>
      <c r="I4451" s="21">
        <v>42264.667893518519</v>
      </c>
      <c r="J4451">
        <v>2015</v>
      </c>
      <c r="K4451" s="21">
        <v>42755.571909722225</v>
      </c>
      <c r="L4451">
        <v>2017</v>
      </c>
      <c r="M4451" s="21">
        <v>42755.571909722225</v>
      </c>
      <c r="N4451">
        <v>2017</v>
      </c>
      <c r="Q4451" s="262">
        <v>1250000</v>
      </c>
      <c r="R4451" s="262">
        <v>662000</v>
      </c>
      <c r="S4451" t="s">
        <v>13254</v>
      </c>
      <c r="W4451">
        <v>5230</v>
      </c>
      <c r="X4451">
        <v>1</v>
      </c>
      <c r="Y4451">
        <v>0</v>
      </c>
      <c r="Z4451">
        <v>0</v>
      </c>
      <c r="AA4451">
        <v>0</v>
      </c>
      <c r="AB4451">
        <v>0</v>
      </c>
      <c r="AC4451">
        <v>5230</v>
      </c>
      <c r="AD4451">
        <v>0</v>
      </c>
      <c r="AE4451">
        <v>0</v>
      </c>
      <c r="AF4451">
        <v>0</v>
      </c>
      <c r="AG4451">
        <v>0</v>
      </c>
      <c r="AH4451">
        <v>0</v>
      </c>
      <c r="AI4451">
        <v>0</v>
      </c>
      <c r="AJ4451">
        <v>0</v>
      </c>
      <c r="AK4451">
        <v>0</v>
      </c>
      <c r="AL4451">
        <v>0</v>
      </c>
      <c r="AM4451">
        <v>0</v>
      </c>
      <c r="AN4451">
        <v>0</v>
      </c>
      <c r="AO4451">
        <v>1</v>
      </c>
      <c r="AP4451">
        <v>0</v>
      </c>
      <c r="AQ4451">
        <v>0</v>
      </c>
      <c r="AR4451">
        <v>0</v>
      </c>
      <c r="AS4451">
        <v>0</v>
      </c>
      <c r="AT4451">
        <v>0</v>
      </c>
      <c r="AU4451">
        <f t="shared" si="138"/>
        <v>1</v>
      </c>
      <c r="AV4451">
        <f t="shared" si="139"/>
        <v>0</v>
      </c>
    </row>
    <row r="4452" spans="1:48" x14ac:dyDescent="0.25">
      <c r="A4452" t="s">
        <v>13020</v>
      </c>
      <c r="B4452" t="s">
        <v>13020</v>
      </c>
      <c r="C4452" t="s">
        <v>13021</v>
      </c>
      <c r="D4452" t="s">
        <v>13022</v>
      </c>
      <c r="E4452" t="s">
        <v>2310</v>
      </c>
      <c r="F4452">
        <v>9</v>
      </c>
      <c r="G4452">
        <v>9.3000000000000007</v>
      </c>
      <c r="H4452" t="s">
        <v>2323</v>
      </c>
      <c r="I4452" s="21">
        <v>42264.691006944398</v>
      </c>
      <c r="J4452">
        <v>2015</v>
      </c>
      <c r="K4452" s="21">
        <v>42312.492430555598</v>
      </c>
      <c r="L4452">
        <v>2015</v>
      </c>
      <c r="M4452" s="21">
        <v>42716.419502314799</v>
      </c>
      <c r="N4452">
        <v>2016</v>
      </c>
      <c r="Q4452" s="262">
        <v>1250000</v>
      </c>
      <c r="R4452" s="262">
        <v>702000</v>
      </c>
      <c r="S4452" t="s">
        <v>114</v>
      </c>
      <c r="T4452" t="s">
        <v>114</v>
      </c>
      <c r="W4452">
        <v>5609</v>
      </c>
      <c r="X4452">
        <v>1</v>
      </c>
      <c r="Y4452">
        <v>0</v>
      </c>
      <c r="Z4452">
        <v>0</v>
      </c>
      <c r="AA4452">
        <v>0</v>
      </c>
      <c r="AB4452">
        <v>0</v>
      </c>
      <c r="AC4452">
        <v>5609</v>
      </c>
      <c r="AD4452">
        <v>0</v>
      </c>
      <c r="AE4452">
        <v>0</v>
      </c>
      <c r="AF4452">
        <v>0</v>
      </c>
      <c r="AG4452">
        <v>0</v>
      </c>
      <c r="AH4452">
        <v>0</v>
      </c>
      <c r="AI4452">
        <v>0</v>
      </c>
      <c r="AJ4452">
        <v>0</v>
      </c>
      <c r="AK4452">
        <v>0</v>
      </c>
      <c r="AL4452">
        <v>0</v>
      </c>
      <c r="AM4452">
        <v>0</v>
      </c>
      <c r="AN4452">
        <v>0</v>
      </c>
      <c r="AO4452">
        <v>1</v>
      </c>
      <c r="AP4452">
        <v>0</v>
      </c>
      <c r="AQ4452">
        <v>0</v>
      </c>
      <c r="AR4452">
        <v>0</v>
      </c>
      <c r="AS4452">
        <v>0</v>
      </c>
      <c r="AT4452">
        <v>0</v>
      </c>
      <c r="AU4452">
        <f t="shared" si="138"/>
        <v>1</v>
      </c>
      <c r="AV4452">
        <f t="shared" si="139"/>
        <v>0</v>
      </c>
    </row>
    <row r="4453" spans="1:48" x14ac:dyDescent="0.25">
      <c r="A4453" t="s">
        <v>13023</v>
      </c>
      <c r="B4453" t="s">
        <v>13023</v>
      </c>
      <c r="C4453" t="s">
        <v>13024</v>
      </c>
      <c r="D4453" t="s">
        <v>12900</v>
      </c>
      <c r="E4453" t="s">
        <v>2310</v>
      </c>
      <c r="F4453">
        <v>15</v>
      </c>
      <c r="G4453">
        <v>15.1</v>
      </c>
      <c r="H4453" t="s">
        <v>2022</v>
      </c>
      <c r="I4453" s="21">
        <v>42272.442430555602</v>
      </c>
      <c r="J4453">
        <v>2015</v>
      </c>
      <c r="K4453" s="21">
        <v>42298.623437499999</v>
      </c>
      <c r="L4453">
        <v>2015</v>
      </c>
      <c r="M4453" s="21">
        <v>42558.545925925901</v>
      </c>
      <c r="N4453">
        <v>2016</v>
      </c>
      <c r="Q4453" s="262">
        <v>31000</v>
      </c>
      <c r="R4453" s="262">
        <v>42000</v>
      </c>
      <c r="S4453" t="s">
        <v>114</v>
      </c>
      <c r="T4453" t="s">
        <v>114</v>
      </c>
      <c r="W4453">
        <v>960</v>
      </c>
      <c r="X4453">
        <v>0</v>
      </c>
      <c r="Y4453">
        <v>0</v>
      </c>
      <c r="Z4453">
        <v>0</v>
      </c>
      <c r="AA4453">
        <v>0</v>
      </c>
      <c r="AB4453">
        <v>0</v>
      </c>
      <c r="AC4453">
        <v>960</v>
      </c>
      <c r="AD4453">
        <v>0</v>
      </c>
      <c r="AE4453">
        <v>0</v>
      </c>
      <c r="AF4453">
        <v>0</v>
      </c>
      <c r="AG4453">
        <v>0</v>
      </c>
      <c r="AH4453">
        <v>0</v>
      </c>
      <c r="AI4453">
        <v>0</v>
      </c>
      <c r="AJ4453">
        <v>0</v>
      </c>
      <c r="AK4453">
        <v>0</v>
      </c>
      <c r="AL4453">
        <v>0</v>
      </c>
      <c r="AM4453">
        <v>0</v>
      </c>
      <c r="AN4453">
        <v>0</v>
      </c>
      <c r="AO4453">
        <v>0</v>
      </c>
      <c r="AP4453">
        <v>0</v>
      </c>
      <c r="AQ4453">
        <v>0</v>
      </c>
      <c r="AR4453">
        <v>0</v>
      </c>
      <c r="AS4453">
        <v>0</v>
      </c>
      <c r="AT4453">
        <v>0</v>
      </c>
      <c r="AU4453">
        <f t="shared" si="138"/>
        <v>0</v>
      </c>
      <c r="AV4453">
        <f t="shared" si="139"/>
        <v>0</v>
      </c>
    </row>
    <row r="4454" spans="1:48" x14ac:dyDescent="0.25">
      <c r="A4454" t="s">
        <v>18297</v>
      </c>
      <c r="B4454" t="s">
        <v>18297</v>
      </c>
      <c r="C4454" t="s">
        <v>18298</v>
      </c>
      <c r="D4454" t="s">
        <v>18299</v>
      </c>
      <c r="E4454" t="s">
        <v>2310</v>
      </c>
      <c r="F4454">
        <v>9</v>
      </c>
      <c r="G4454">
        <v>9.1999999999999993</v>
      </c>
      <c r="H4454" t="s">
        <v>2022</v>
      </c>
      <c r="I4454" s="21">
        <v>42272.479363425926</v>
      </c>
      <c r="J4454">
        <v>2015</v>
      </c>
      <c r="K4454" s="21">
        <v>42345.442418981482</v>
      </c>
      <c r="L4454">
        <v>2015</v>
      </c>
      <c r="M4454" s="21">
        <v>44124.386072881942</v>
      </c>
      <c r="N4454">
        <v>2020</v>
      </c>
      <c r="Q4454" s="262">
        <v>200000</v>
      </c>
      <c r="R4454" s="262">
        <v>40000</v>
      </c>
      <c r="S4454" t="s">
        <v>13253</v>
      </c>
      <c r="T4454">
        <v>4299</v>
      </c>
      <c r="W4454">
        <v>904</v>
      </c>
      <c r="X4454">
        <v>0</v>
      </c>
      <c r="Y4454">
        <v>0</v>
      </c>
      <c r="Z4454">
        <v>0</v>
      </c>
      <c r="AA4454">
        <v>0</v>
      </c>
      <c r="AB4454">
        <v>0</v>
      </c>
      <c r="AC4454">
        <v>904</v>
      </c>
      <c r="AD4454">
        <v>0</v>
      </c>
      <c r="AE4454">
        <v>0</v>
      </c>
      <c r="AF4454">
        <v>0</v>
      </c>
      <c r="AG4454">
        <v>0</v>
      </c>
      <c r="AH4454">
        <v>0</v>
      </c>
      <c r="AI4454">
        <v>0</v>
      </c>
      <c r="AJ4454">
        <v>0</v>
      </c>
      <c r="AK4454">
        <v>0</v>
      </c>
      <c r="AL4454">
        <v>0</v>
      </c>
      <c r="AM4454">
        <v>0</v>
      </c>
      <c r="AN4454">
        <v>0</v>
      </c>
      <c r="AO4454">
        <v>0</v>
      </c>
      <c r="AP4454">
        <v>0</v>
      </c>
      <c r="AQ4454">
        <v>0</v>
      </c>
      <c r="AR4454">
        <v>0</v>
      </c>
      <c r="AS4454">
        <v>0</v>
      </c>
      <c r="AT4454">
        <v>0</v>
      </c>
      <c r="AU4454">
        <f t="shared" si="138"/>
        <v>0</v>
      </c>
      <c r="AV4454">
        <f t="shared" si="139"/>
        <v>0</v>
      </c>
    </row>
    <row r="4455" spans="1:48" x14ac:dyDescent="0.25">
      <c r="A4455" t="s">
        <v>13577</v>
      </c>
      <c r="B4455" t="s">
        <v>114</v>
      </c>
      <c r="C4455" t="s">
        <v>11559</v>
      </c>
      <c r="D4455" t="s">
        <v>13578</v>
      </c>
      <c r="E4455" t="s">
        <v>1663</v>
      </c>
      <c r="F4455">
        <v>6</v>
      </c>
      <c r="G4455">
        <v>6.1</v>
      </c>
      <c r="H4455" t="s">
        <v>2017</v>
      </c>
      <c r="I4455" s="21">
        <v>42275</v>
      </c>
      <c r="J4455">
        <v>2015</v>
      </c>
      <c r="K4455" s="21">
        <v>42453</v>
      </c>
      <c r="L4455">
        <v>2016</v>
      </c>
      <c r="M4455" s="21">
        <v>43003</v>
      </c>
      <c r="N4455">
        <v>2017</v>
      </c>
      <c r="Q4455" s="262">
        <v>1705600</v>
      </c>
      <c r="S4455" t="s">
        <v>13254</v>
      </c>
      <c r="W4455">
        <v>6073</v>
      </c>
      <c r="X4455">
        <v>1</v>
      </c>
      <c r="Y4455">
        <v>0</v>
      </c>
      <c r="Z4455">
        <v>0</v>
      </c>
      <c r="AA4455">
        <v>0</v>
      </c>
      <c r="AB4455">
        <v>0</v>
      </c>
      <c r="AC4455">
        <v>6073</v>
      </c>
      <c r="AD4455">
        <v>0</v>
      </c>
      <c r="AE4455">
        <v>0</v>
      </c>
      <c r="AF4455">
        <v>0</v>
      </c>
      <c r="AG4455">
        <v>0</v>
      </c>
      <c r="AH4455">
        <v>0</v>
      </c>
      <c r="AI4455">
        <v>0</v>
      </c>
      <c r="AJ4455">
        <v>0</v>
      </c>
      <c r="AK4455">
        <v>0</v>
      </c>
      <c r="AL4455">
        <v>0</v>
      </c>
      <c r="AM4455">
        <v>0</v>
      </c>
      <c r="AN4455">
        <v>0</v>
      </c>
      <c r="AO4455">
        <v>1</v>
      </c>
      <c r="AP4455">
        <v>0</v>
      </c>
      <c r="AQ4455">
        <v>0</v>
      </c>
      <c r="AR4455">
        <v>0</v>
      </c>
      <c r="AS4455">
        <v>0</v>
      </c>
      <c r="AT4455">
        <v>0</v>
      </c>
      <c r="AU4455">
        <f t="shared" si="138"/>
        <v>1</v>
      </c>
      <c r="AV4455">
        <f t="shared" si="139"/>
        <v>0</v>
      </c>
    </row>
    <row r="4456" spans="1:48" x14ac:dyDescent="0.25">
      <c r="A4456" t="s">
        <v>13581</v>
      </c>
      <c r="C4456" t="s">
        <v>11237</v>
      </c>
      <c r="D4456" t="s">
        <v>13573</v>
      </c>
      <c r="E4456" t="s">
        <v>1663</v>
      </c>
      <c r="F4456">
        <v>5</v>
      </c>
      <c r="G4456">
        <v>5.5</v>
      </c>
      <c r="H4456" t="s">
        <v>2017</v>
      </c>
      <c r="I4456" s="21">
        <v>42275</v>
      </c>
      <c r="J4456">
        <v>2015</v>
      </c>
      <c r="K4456" s="21">
        <v>42289</v>
      </c>
      <c r="L4456">
        <v>2015</v>
      </c>
      <c r="M4456" s="21">
        <v>42860</v>
      </c>
      <c r="N4456">
        <v>2017</v>
      </c>
      <c r="Q4456" s="262">
        <v>3000</v>
      </c>
      <c r="S4456" t="s">
        <v>114</v>
      </c>
      <c r="T4456" t="s">
        <v>114</v>
      </c>
      <c r="V4456">
        <v>0</v>
      </c>
      <c r="W4456">
        <v>0</v>
      </c>
      <c r="X4456">
        <v>0</v>
      </c>
      <c r="Y4456">
        <v>0</v>
      </c>
      <c r="Z4456">
        <v>0</v>
      </c>
      <c r="AA4456">
        <v>0</v>
      </c>
      <c r="AB4456">
        <v>0</v>
      </c>
      <c r="AC4456">
        <v>0</v>
      </c>
      <c r="AD4456">
        <v>0</v>
      </c>
      <c r="AE4456">
        <v>0</v>
      </c>
      <c r="AF4456">
        <v>0</v>
      </c>
      <c r="AG4456">
        <v>0</v>
      </c>
      <c r="AH4456">
        <v>0</v>
      </c>
      <c r="AI4456">
        <v>0</v>
      </c>
      <c r="AJ4456">
        <v>0</v>
      </c>
      <c r="AK4456">
        <v>0</v>
      </c>
      <c r="AL4456">
        <v>0</v>
      </c>
      <c r="AM4456">
        <v>0</v>
      </c>
      <c r="AN4456">
        <v>0</v>
      </c>
      <c r="AO4456">
        <v>0</v>
      </c>
      <c r="AP4456">
        <v>0</v>
      </c>
      <c r="AQ4456">
        <v>0</v>
      </c>
      <c r="AR4456">
        <v>0</v>
      </c>
      <c r="AS4456">
        <v>0</v>
      </c>
      <c r="AT4456">
        <v>0</v>
      </c>
      <c r="AU4456">
        <f t="shared" si="138"/>
        <v>0</v>
      </c>
      <c r="AV4456">
        <f t="shared" si="139"/>
        <v>0</v>
      </c>
    </row>
    <row r="4457" spans="1:48" x14ac:dyDescent="0.25">
      <c r="A4457" t="s">
        <v>13562</v>
      </c>
      <c r="C4457" t="s">
        <v>11879</v>
      </c>
      <c r="D4457" t="s">
        <v>13563</v>
      </c>
      <c r="E4457" t="s">
        <v>1663</v>
      </c>
      <c r="F4457">
        <v>5</v>
      </c>
      <c r="G4457">
        <v>5.0999999999999996</v>
      </c>
      <c r="H4457" t="s">
        <v>2327</v>
      </c>
      <c r="I4457" s="21">
        <v>42275</v>
      </c>
      <c r="J4457">
        <v>2015</v>
      </c>
      <c r="K4457" s="21">
        <v>42298</v>
      </c>
      <c r="L4457">
        <v>2015</v>
      </c>
      <c r="M4457" s="21">
        <v>42751</v>
      </c>
      <c r="N4457">
        <v>2017</v>
      </c>
      <c r="Q4457" s="262">
        <v>12000</v>
      </c>
      <c r="S4457" t="s">
        <v>114</v>
      </c>
      <c r="T4457" t="s">
        <v>114</v>
      </c>
      <c r="V4457">
        <v>1170</v>
      </c>
      <c r="W4457">
        <v>0</v>
      </c>
      <c r="X4457">
        <v>0</v>
      </c>
      <c r="Y4457">
        <v>0</v>
      </c>
      <c r="Z4457">
        <v>0</v>
      </c>
      <c r="AA4457">
        <v>0</v>
      </c>
      <c r="AB4457">
        <v>0</v>
      </c>
      <c r="AC4457">
        <v>0</v>
      </c>
      <c r="AD4457">
        <v>0</v>
      </c>
      <c r="AE4457">
        <v>0</v>
      </c>
      <c r="AF4457">
        <v>0</v>
      </c>
      <c r="AG4457">
        <v>0</v>
      </c>
      <c r="AH4457">
        <v>0</v>
      </c>
      <c r="AI4457">
        <v>0</v>
      </c>
      <c r="AJ4457">
        <v>0</v>
      </c>
      <c r="AK4457">
        <v>0</v>
      </c>
      <c r="AL4457">
        <v>0</v>
      </c>
      <c r="AM4457">
        <v>0</v>
      </c>
      <c r="AN4457">
        <v>0</v>
      </c>
      <c r="AO4457">
        <v>0</v>
      </c>
      <c r="AP4457">
        <v>0</v>
      </c>
      <c r="AQ4457">
        <v>0</v>
      </c>
      <c r="AR4457">
        <v>0</v>
      </c>
      <c r="AS4457">
        <v>0</v>
      </c>
      <c r="AT4457">
        <v>0</v>
      </c>
      <c r="AU4457">
        <f t="shared" si="138"/>
        <v>0</v>
      </c>
      <c r="AV4457">
        <f t="shared" si="139"/>
        <v>0</v>
      </c>
    </row>
    <row r="4458" spans="1:48" x14ac:dyDescent="0.25">
      <c r="A4458" t="s">
        <v>13029</v>
      </c>
      <c r="B4458" t="s">
        <v>13029</v>
      </c>
      <c r="C4458" t="s">
        <v>13030</v>
      </c>
      <c r="D4458" t="s">
        <v>3098</v>
      </c>
      <c r="E4458" t="s">
        <v>2310</v>
      </c>
      <c r="F4458">
        <v>8</v>
      </c>
      <c r="G4458">
        <v>8.1999999999999993</v>
      </c>
      <c r="H4458" t="s">
        <v>2022</v>
      </c>
      <c r="I4458" s="21">
        <v>42276.567384259302</v>
      </c>
      <c r="J4458">
        <v>2015</v>
      </c>
      <c r="K4458" s="21">
        <v>42318.649351851898</v>
      </c>
      <c r="L4458">
        <v>2015</v>
      </c>
      <c r="M4458" s="21">
        <v>42508.674027777801</v>
      </c>
      <c r="N4458">
        <v>2016</v>
      </c>
      <c r="Q4458" s="262">
        <v>200000</v>
      </c>
      <c r="R4458" s="262">
        <v>25000</v>
      </c>
      <c r="S4458" t="s">
        <v>114</v>
      </c>
      <c r="T4458" t="s">
        <v>114</v>
      </c>
      <c r="W4458">
        <v>215</v>
      </c>
      <c r="X4458">
        <v>0</v>
      </c>
      <c r="Y4458">
        <v>0</v>
      </c>
      <c r="Z4458">
        <v>0</v>
      </c>
      <c r="AA4458">
        <v>0</v>
      </c>
      <c r="AB4458">
        <v>0</v>
      </c>
      <c r="AC4458">
        <v>215</v>
      </c>
      <c r="AD4458">
        <v>0</v>
      </c>
      <c r="AE4458">
        <v>0</v>
      </c>
      <c r="AF4458">
        <v>0</v>
      </c>
      <c r="AG4458">
        <v>0</v>
      </c>
      <c r="AH4458">
        <v>0</v>
      </c>
      <c r="AI4458">
        <v>0</v>
      </c>
      <c r="AJ4458">
        <v>0</v>
      </c>
      <c r="AK4458">
        <v>0</v>
      </c>
      <c r="AL4458">
        <v>0</v>
      </c>
      <c r="AM4458">
        <v>0</v>
      </c>
      <c r="AN4458">
        <v>0</v>
      </c>
      <c r="AO4458">
        <v>0</v>
      </c>
      <c r="AP4458">
        <v>0</v>
      </c>
      <c r="AQ4458">
        <v>0</v>
      </c>
      <c r="AR4458">
        <v>0</v>
      </c>
      <c r="AS4458">
        <v>0</v>
      </c>
      <c r="AT4458">
        <v>0</v>
      </c>
      <c r="AU4458">
        <f t="shared" si="138"/>
        <v>0</v>
      </c>
      <c r="AV4458">
        <f t="shared" si="139"/>
        <v>0</v>
      </c>
    </row>
    <row r="4459" spans="1:48" x14ac:dyDescent="0.25">
      <c r="A4459" t="s">
        <v>13031</v>
      </c>
      <c r="C4459" t="s">
        <v>11879</v>
      </c>
      <c r="D4459" t="s">
        <v>8502</v>
      </c>
      <c r="E4459" t="s">
        <v>1663</v>
      </c>
      <c r="F4459">
        <v>4</v>
      </c>
      <c r="G4459">
        <v>4.3</v>
      </c>
      <c r="H4459" t="s">
        <v>2327</v>
      </c>
      <c r="I4459" s="21">
        <v>42277</v>
      </c>
      <c r="J4459">
        <v>2015</v>
      </c>
      <c r="K4459" s="21">
        <v>42306</v>
      </c>
      <c r="L4459">
        <v>2015</v>
      </c>
      <c r="M4459" s="21">
        <v>42373</v>
      </c>
      <c r="N4459">
        <v>2016</v>
      </c>
      <c r="Q4459" s="262">
        <v>110000</v>
      </c>
      <c r="S4459" t="s">
        <v>114</v>
      </c>
      <c r="T4459" t="s">
        <v>114</v>
      </c>
      <c r="V4459">
        <v>1930</v>
      </c>
      <c r="W4459">
        <v>0</v>
      </c>
      <c r="X4459">
        <v>0</v>
      </c>
      <c r="Y4459">
        <v>0</v>
      </c>
      <c r="Z4459">
        <v>0</v>
      </c>
      <c r="AA4459">
        <v>0</v>
      </c>
      <c r="AB4459">
        <v>0</v>
      </c>
      <c r="AC4459">
        <v>0</v>
      </c>
      <c r="AD4459">
        <v>0</v>
      </c>
      <c r="AE4459">
        <v>0</v>
      </c>
      <c r="AF4459">
        <v>0</v>
      </c>
      <c r="AG4459">
        <v>0</v>
      </c>
      <c r="AH4459">
        <v>0</v>
      </c>
      <c r="AI4459">
        <v>0</v>
      </c>
      <c r="AJ4459">
        <v>0</v>
      </c>
      <c r="AK4459">
        <v>0</v>
      </c>
      <c r="AL4459">
        <v>0</v>
      </c>
      <c r="AM4459">
        <v>0</v>
      </c>
      <c r="AN4459">
        <v>0</v>
      </c>
      <c r="AO4459">
        <v>0</v>
      </c>
      <c r="AP4459">
        <v>0</v>
      </c>
      <c r="AQ4459">
        <v>0</v>
      </c>
      <c r="AR4459">
        <v>0</v>
      </c>
      <c r="AS4459">
        <v>0</v>
      </c>
      <c r="AT4459">
        <v>0</v>
      </c>
      <c r="AU4459">
        <f t="shared" si="138"/>
        <v>0</v>
      </c>
      <c r="AV4459">
        <f t="shared" si="139"/>
        <v>0</v>
      </c>
    </row>
    <row r="4460" spans="1:48" x14ac:dyDescent="0.25">
      <c r="A4460" t="s">
        <v>13032</v>
      </c>
      <c r="C4460" t="s">
        <v>13033</v>
      </c>
      <c r="D4460" t="s">
        <v>13034</v>
      </c>
      <c r="E4460" t="s">
        <v>1663</v>
      </c>
      <c r="F4460">
        <v>3</v>
      </c>
      <c r="G4460">
        <v>3.2</v>
      </c>
      <c r="H4460" t="s">
        <v>2327</v>
      </c>
      <c r="I4460" s="21">
        <v>42277</v>
      </c>
      <c r="J4460">
        <v>2015</v>
      </c>
      <c r="K4460" s="21">
        <v>42293</v>
      </c>
      <c r="L4460">
        <v>2015</v>
      </c>
      <c r="M4460" s="21">
        <v>42396</v>
      </c>
      <c r="N4460">
        <v>2016</v>
      </c>
      <c r="Q4460" s="262">
        <v>80000</v>
      </c>
      <c r="S4460" t="s">
        <v>114</v>
      </c>
      <c r="T4460" t="s">
        <v>114</v>
      </c>
      <c r="V4460">
        <v>0</v>
      </c>
      <c r="W4460">
        <v>0</v>
      </c>
      <c r="X4460">
        <v>0</v>
      </c>
      <c r="Y4460">
        <v>0</v>
      </c>
      <c r="Z4460">
        <v>0</v>
      </c>
      <c r="AA4460">
        <v>0</v>
      </c>
      <c r="AB4460">
        <v>0</v>
      </c>
      <c r="AC4460">
        <v>0</v>
      </c>
      <c r="AD4460">
        <v>0</v>
      </c>
      <c r="AE4460">
        <v>0</v>
      </c>
      <c r="AF4460">
        <v>0</v>
      </c>
      <c r="AG4460">
        <v>0</v>
      </c>
      <c r="AH4460">
        <v>0</v>
      </c>
      <c r="AI4460">
        <v>0</v>
      </c>
      <c r="AJ4460">
        <v>0</v>
      </c>
      <c r="AK4460">
        <v>0</v>
      </c>
      <c r="AL4460">
        <v>0</v>
      </c>
      <c r="AM4460">
        <v>0</v>
      </c>
      <c r="AN4460">
        <v>0</v>
      </c>
      <c r="AO4460">
        <v>0</v>
      </c>
      <c r="AP4460">
        <v>0</v>
      </c>
      <c r="AQ4460">
        <v>0</v>
      </c>
      <c r="AR4460">
        <v>0</v>
      </c>
      <c r="AS4460">
        <v>0</v>
      </c>
      <c r="AT4460">
        <v>0</v>
      </c>
      <c r="AU4460">
        <f t="shared" si="138"/>
        <v>0</v>
      </c>
      <c r="AV4460">
        <f t="shared" si="139"/>
        <v>0</v>
      </c>
    </row>
    <row r="4461" spans="1:48" x14ac:dyDescent="0.25">
      <c r="A4461" t="s">
        <v>13035</v>
      </c>
      <c r="B4461" t="s">
        <v>13035</v>
      </c>
      <c r="C4461" t="s">
        <v>13036</v>
      </c>
      <c r="D4461" t="s">
        <v>13037</v>
      </c>
      <c r="E4461" t="s">
        <v>2310</v>
      </c>
      <c r="F4461">
        <v>9</v>
      </c>
      <c r="G4461">
        <v>9.3000000000000007</v>
      </c>
      <c r="H4461" t="s">
        <v>2323</v>
      </c>
      <c r="I4461" s="21">
        <v>42277.564317129603</v>
      </c>
      <c r="J4461">
        <v>2015</v>
      </c>
      <c r="K4461" s="21">
        <v>42291.628518518497</v>
      </c>
      <c r="L4461">
        <v>2015</v>
      </c>
      <c r="M4461" s="21">
        <v>42458.675277777802</v>
      </c>
      <c r="N4461">
        <v>2016</v>
      </c>
      <c r="Q4461" s="262">
        <v>150000</v>
      </c>
      <c r="R4461" s="262">
        <v>86000</v>
      </c>
      <c r="S4461" t="s">
        <v>114</v>
      </c>
      <c r="T4461" t="s">
        <v>114</v>
      </c>
      <c r="W4461">
        <v>733</v>
      </c>
      <c r="X4461">
        <v>0</v>
      </c>
      <c r="Y4461">
        <v>0</v>
      </c>
      <c r="Z4461">
        <v>0</v>
      </c>
      <c r="AA4461">
        <v>0</v>
      </c>
      <c r="AB4461">
        <v>0</v>
      </c>
      <c r="AC4461">
        <v>733</v>
      </c>
      <c r="AD4461">
        <v>0</v>
      </c>
      <c r="AE4461">
        <v>0</v>
      </c>
      <c r="AF4461">
        <v>0</v>
      </c>
      <c r="AG4461">
        <v>0</v>
      </c>
      <c r="AH4461">
        <v>0</v>
      </c>
      <c r="AI4461">
        <v>0</v>
      </c>
      <c r="AJ4461">
        <v>0</v>
      </c>
      <c r="AK4461">
        <v>0</v>
      </c>
      <c r="AL4461">
        <v>0</v>
      </c>
      <c r="AM4461">
        <v>0</v>
      </c>
      <c r="AN4461">
        <v>0</v>
      </c>
      <c r="AO4461">
        <v>0</v>
      </c>
      <c r="AP4461">
        <v>0</v>
      </c>
      <c r="AQ4461">
        <v>0</v>
      </c>
      <c r="AR4461">
        <v>0</v>
      </c>
      <c r="AS4461">
        <v>0</v>
      </c>
      <c r="AT4461">
        <v>0</v>
      </c>
      <c r="AU4461">
        <f t="shared" si="138"/>
        <v>0</v>
      </c>
      <c r="AV4461">
        <f t="shared" si="139"/>
        <v>0</v>
      </c>
    </row>
    <row r="4462" spans="1:48" x14ac:dyDescent="0.25">
      <c r="A4462" t="s">
        <v>19088</v>
      </c>
      <c r="B4462" t="s">
        <v>114</v>
      </c>
      <c r="C4462" t="s">
        <v>11488</v>
      </c>
      <c r="D4462" t="s">
        <v>15995</v>
      </c>
      <c r="E4462" t="s">
        <v>1663</v>
      </c>
      <c r="F4462">
        <v>6</v>
      </c>
      <c r="G4462">
        <v>6.1</v>
      </c>
      <c r="H4462" t="s">
        <v>2017</v>
      </c>
      <c r="I4462" s="21">
        <v>42278</v>
      </c>
      <c r="J4462">
        <v>2015</v>
      </c>
      <c r="K4462" s="21">
        <v>42299</v>
      </c>
      <c r="L4462">
        <v>2015</v>
      </c>
      <c r="M4462" s="21">
        <v>43181</v>
      </c>
      <c r="N4462">
        <v>2018</v>
      </c>
      <c r="Q4462" s="262">
        <v>110000</v>
      </c>
      <c r="S4462" t="s">
        <v>13253</v>
      </c>
      <c r="T4462">
        <v>10609</v>
      </c>
      <c r="W4462">
        <v>1614</v>
      </c>
      <c r="X4462">
        <v>0</v>
      </c>
      <c r="Y4462">
        <v>0</v>
      </c>
      <c r="Z4462">
        <v>0</v>
      </c>
      <c r="AA4462">
        <v>0</v>
      </c>
      <c r="AB4462">
        <v>0</v>
      </c>
      <c r="AC4462">
        <v>1614</v>
      </c>
      <c r="AD4462">
        <v>0</v>
      </c>
      <c r="AE4462">
        <v>0</v>
      </c>
      <c r="AF4462">
        <v>0</v>
      </c>
      <c r="AG4462">
        <v>0</v>
      </c>
      <c r="AH4462">
        <v>0</v>
      </c>
      <c r="AI4462">
        <v>0</v>
      </c>
      <c r="AJ4462">
        <v>0</v>
      </c>
      <c r="AK4462">
        <v>0</v>
      </c>
      <c r="AL4462">
        <v>0</v>
      </c>
      <c r="AM4462">
        <v>0</v>
      </c>
      <c r="AN4462">
        <v>0</v>
      </c>
      <c r="AO4462">
        <v>0</v>
      </c>
      <c r="AP4462">
        <v>0</v>
      </c>
      <c r="AQ4462">
        <v>0</v>
      </c>
      <c r="AR4462">
        <v>0</v>
      </c>
      <c r="AS4462">
        <v>0</v>
      </c>
      <c r="AT4462">
        <v>0</v>
      </c>
      <c r="AU4462">
        <f t="shared" si="138"/>
        <v>0</v>
      </c>
      <c r="AV4462">
        <f t="shared" si="139"/>
        <v>0</v>
      </c>
    </row>
    <row r="4463" spans="1:48" x14ac:dyDescent="0.25">
      <c r="A4463" t="s">
        <v>17733</v>
      </c>
      <c r="B4463" t="s">
        <v>17733</v>
      </c>
      <c r="C4463" t="s">
        <v>17734</v>
      </c>
      <c r="D4463" t="s">
        <v>17735</v>
      </c>
      <c r="E4463" t="s">
        <v>2310</v>
      </c>
      <c r="F4463">
        <v>15</v>
      </c>
      <c r="G4463">
        <v>15.2</v>
      </c>
      <c r="H4463" t="s">
        <v>2323</v>
      </c>
      <c r="I4463" s="21">
        <v>42279.450046296297</v>
      </c>
      <c r="J4463">
        <v>2015</v>
      </c>
      <c r="K4463" s="21">
        <v>42956.375</v>
      </c>
      <c r="L4463">
        <v>2017</v>
      </c>
      <c r="M4463" s="21">
        <v>42956.375</v>
      </c>
      <c r="N4463">
        <v>2017</v>
      </c>
      <c r="Q4463" s="262">
        <v>3000000</v>
      </c>
      <c r="R4463" s="262">
        <v>759000</v>
      </c>
      <c r="S4463" t="s">
        <v>13254</v>
      </c>
      <c r="W4463">
        <v>6030</v>
      </c>
      <c r="X4463">
        <v>1</v>
      </c>
      <c r="Y4463">
        <v>0</v>
      </c>
      <c r="Z4463">
        <v>0</v>
      </c>
      <c r="AA4463">
        <v>0</v>
      </c>
      <c r="AB4463">
        <v>0</v>
      </c>
      <c r="AC4463">
        <v>6030</v>
      </c>
      <c r="AD4463">
        <v>0</v>
      </c>
      <c r="AE4463">
        <v>0</v>
      </c>
      <c r="AF4463">
        <v>0</v>
      </c>
      <c r="AG4463">
        <v>0</v>
      </c>
      <c r="AH4463">
        <v>0</v>
      </c>
      <c r="AI4463">
        <v>0</v>
      </c>
      <c r="AJ4463">
        <v>0</v>
      </c>
      <c r="AK4463">
        <v>0</v>
      </c>
      <c r="AL4463">
        <v>0</v>
      </c>
      <c r="AM4463">
        <v>0</v>
      </c>
      <c r="AN4463">
        <v>0</v>
      </c>
      <c r="AO4463">
        <v>1</v>
      </c>
      <c r="AP4463">
        <v>0</v>
      </c>
      <c r="AQ4463">
        <v>0</v>
      </c>
      <c r="AR4463">
        <v>0</v>
      </c>
      <c r="AS4463">
        <v>0</v>
      </c>
      <c r="AT4463">
        <v>0</v>
      </c>
      <c r="AU4463">
        <f t="shared" si="138"/>
        <v>1</v>
      </c>
      <c r="AV4463">
        <f t="shared" si="139"/>
        <v>0</v>
      </c>
    </row>
    <row r="4464" spans="1:48" x14ac:dyDescent="0.25">
      <c r="A4464" t="s">
        <v>13038</v>
      </c>
      <c r="B4464" t="s">
        <v>13038</v>
      </c>
      <c r="C4464" t="s">
        <v>13039</v>
      </c>
      <c r="D4464" t="s">
        <v>13040</v>
      </c>
      <c r="E4464" t="s">
        <v>2310</v>
      </c>
      <c r="F4464">
        <v>9</v>
      </c>
      <c r="G4464">
        <v>9.1999999999999993</v>
      </c>
      <c r="H4464" t="s">
        <v>2022</v>
      </c>
      <c r="I4464" s="21">
        <v>42279.489814814799</v>
      </c>
      <c r="J4464">
        <v>2015</v>
      </c>
      <c r="K4464" s="21">
        <v>42303.543379629598</v>
      </c>
      <c r="L4464">
        <v>2015</v>
      </c>
      <c r="M4464" s="21">
        <v>42550.380057870403</v>
      </c>
      <c r="N4464">
        <v>2016</v>
      </c>
      <c r="Q4464" s="262">
        <v>161000</v>
      </c>
      <c r="R4464" s="262">
        <v>56000</v>
      </c>
      <c r="S4464" t="s">
        <v>114</v>
      </c>
      <c r="T4464" t="s">
        <v>114</v>
      </c>
      <c r="W4464">
        <v>261</v>
      </c>
      <c r="X4464">
        <v>0</v>
      </c>
      <c r="Y4464">
        <v>0</v>
      </c>
      <c r="Z4464">
        <v>0</v>
      </c>
      <c r="AA4464">
        <v>0</v>
      </c>
      <c r="AB4464">
        <v>0</v>
      </c>
      <c r="AC4464">
        <v>261</v>
      </c>
      <c r="AD4464">
        <v>0</v>
      </c>
      <c r="AE4464">
        <v>0</v>
      </c>
      <c r="AF4464">
        <v>0</v>
      </c>
      <c r="AG4464">
        <v>0</v>
      </c>
      <c r="AH4464">
        <v>0</v>
      </c>
      <c r="AI4464">
        <v>0</v>
      </c>
      <c r="AJ4464">
        <v>0</v>
      </c>
      <c r="AK4464">
        <v>0</v>
      </c>
      <c r="AL4464">
        <v>0</v>
      </c>
      <c r="AM4464">
        <v>0</v>
      </c>
      <c r="AN4464">
        <v>0</v>
      </c>
      <c r="AO4464">
        <v>0</v>
      </c>
      <c r="AP4464">
        <v>0</v>
      </c>
      <c r="AQ4464">
        <v>0</v>
      </c>
      <c r="AR4464">
        <v>0</v>
      </c>
      <c r="AS4464">
        <v>0</v>
      </c>
      <c r="AT4464">
        <v>0</v>
      </c>
      <c r="AU4464">
        <f t="shared" si="138"/>
        <v>0</v>
      </c>
      <c r="AV4464">
        <f t="shared" si="139"/>
        <v>0</v>
      </c>
    </row>
    <row r="4465" spans="1:48" x14ac:dyDescent="0.25">
      <c r="A4465" t="s">
        <v>17736</v>
      </c>
      <c r="B4465" t="s">
        <v>17736</v>
      </c>
      <c r="C4465" t="s">
        <v>17737</v>
      </c>
      <c r="D4465" t="s">
        <v>17738</v>
      </c>
      <c r="E4465" t="s">
        <v>2310</v>
      </c>
      <c r="F4465">
        <v>9</v>
      </c>
      <c r="G4465">
        <v>9.1999999999999993</v>
      </c>
      <c r="H4465" t="s">
        <v>2022</v>
      </c>
      <c r="I4465" s="21">
        <v>42282.611574074072</v>
      </c>
      <c r="J4465">
        <v>2015</v>
      </c>
      <c r="K4465" s="21">
        <v>42856.680625000001</v>
      </c>
      <c r="L4465">
        <v>2017</v>
      </c>
      <c r="M4465" s="21">
        <v>42856.680625000001</v>
      </c>
      <c r="N4465">
        <v>2017</v>
      </c>
      <c r="Q4465" s="262">
        <v>1200000</v>
      </c>
      <c r="R4465" s="262">
        <v>740000</v>
      </c>
      <c r="S4465" t="s">
        <v>13254</v>
      </c>
      <c r="W4465">
        <v>6665</v>
      </c>
      <c r="X4465">
        <v>1</v>
      </c>
      <c r="Y4465">
        <v>0</v>
      </c>
      <c r="Z4465">
        <v>0</v>
      </c>
      <c r="AA4465">
        <v>0</v>
      </c>
      <c r="AB4465">
        <v>0</v>
      </c>
      <c r="AC4465">
        <v>6665</v>
      </c>
      <c r="AD4465">
        <v>0</v>
      </c>
      <c r="AE4465">
        <v>0</v>
      </c>
      <c r="AF4465">
        <v>0</v>
      </c>
      <c r="AG4465">
        <v>0</v>
      </c>
      <c r="AH4465">
        <v>0</v>
      </c>
      <c r="AI4465">
        <v>0</v>
      </c>
      <c r="AJ4465">
        <v>0</v>
      </c>
      <c r="AK4465">
        <v>0</v>
      </c>
      <c r="AL4465">
        <v>0</v>
      </c>
      <c r="AM4465">
        <v>0</v>
      </c>
      <c r="AN4465">
        <v>0</v>
      </c>
      <c r="AO4465">
        <v>1</v>
      </c>
      <c r="AP4465">
        <v>0</v>
      </c>
      <c r="AQ4465">
        <v>0</v>
      </c>
      <c r="AR4465">
        <v>0</v>
      </c>
      <c r="AS4465">
        <v>0</v>
      </c>
      <c r="AT4465">
        <v>0</v>
      </c>
      <c r="AU4465">
        <f t="shared" si="138"/>
        <v>1</v>
      </c>
      <c r="AV4465">
        <f t="shared" si="139"/>
        <v>0</v>
      </c>
    </row>
    <row r="4466" spans="1:48" x14ac:dyDescent="0.25">
      <c r="A4466" t="s">
        <v>13041</v>
      </c>
      <c r="B4466" t="s">
        <v>13041</v>
      </c>
      <c r="C4466" t="s">
        <v>13042</v>
      </c>
      <c r="D4466" t="s">
        <v>13043</v>
      </c>
      <c r="E4466" t="s">
        <v>2310</v>
      </c>
      <c r="F4466">
        <v>13</v>
      </c>
      <c r="G4466">
        <v>13.2</v>
      </c>
      <c r="H4466" t="s">
        <v>2327</v>
      </c>
      <c r="I4466" s="21">
        <v>42283.432858796303</v>
      </c>
      <c r="J4466">
        <v>2015</v>
      </c>
      <c r="O4466" s="21">
        <v>42472.487893518497</v>
      </c>
      <c r="Q4466" s="262">
        <v>1200000</v>
      </c>
      <c r="R4466" s="262">
        <v>620000</v>
      </c>
      <c r="S4466" t="s">
        <v>114</v>
      </c>
      <c r="T4466" t="s">
        <v>114</v>
      </c>
      <c r="W4466">
        <v>6861</v>
      </c>
      <c r="X4466">
        <v>1</v>
      </c>
      <c r="Y4466">
        <v>0</v>
      </c>
      <c r="Z4466">
        <v>0</v>
      </c>
      <c r="AA4466">
        <v>0</v>
      </c>
      <c r="AB4466">
        <v>0</v>
      </c>
      <c r="AC4466">
        <v>6861</v>
      </c>
      <c r="AD4466">
        <v>0</v>
      </c>
      <c r="AE4466">
        <v>0</v>
      </c>
      <c r="AF4466">
        <v>0</v>
      </c>
      <c r="AG4466">
        <v>0</v>
      </c>
      <c r="AH4466">
        <v>0</v>
      </c>
      <c r="AI4466">
        <v>0</v>
      </c>
      <c r="AJ4466">
        <v>0</v>
      </c>
      <c r="AK4466">
        <v>0</v>
      </c>
      <c r="AL4466">
        <v>0</v>
      </c>
      <c r="AM4466">
        <v>0</v>
      </c>
      <c r="AN4466">
        <v>0</v>
      </c>
      <c r="AO4466">
        <v>1</v>
      </c>
      <c r="AP4466">
        <v>0</v>
      </c>
      <c r="AQ4466">
        <v>0</v>
      </c>
      <c r="AR4466">
        <v>0</v>
      </c>
      <c r="AS4466">
        <v>0</v>
      </c>
      <c r="AT4466">
        <v>0</v>
      </c>
      <c r="AU4466">
        <f t="shared" si="138"/>
        <v>1</v>
      </c>
      <c r="AV4466">
        <f t="shared" si="139"/>
        <v>0</v>
      </c>
    </row>
    <row r="4467" spans="1:48" x14ac:dyDescent="0.25">
      <c r="A4467" t="s">
        <v>13044</v>
      </c>
      <c r="C4467" t="s">
        <v>11237</v>
      </c>
      <c r="D4467" t="s">
        <v>13045</v>
      </c>
      <c r="E4467" t="s">
        <v>1663</v>
      </c>
      <c r="F4467">
        <v>2</v>
      </c>
      <c r="G4467">
        <v>2.2999999999999998</v>
      </c>
      <c r="H4467" t="s">
        <v>2327</v>
      </c>
      <c r="I4467" s="21">
        <v>42284</v>
      </c>
      <c r="J4467">
        <v>2015</v>
      </c>
      <c r="K4467" s="21">
        <v>42310</v>
      </c>
      <c r="L4467">
        <v>2015</v>
      </c>
      <c r="M4467" s="21">
        <v>42373</v>
      </c>
      <c r="N4467">
        <v>2016</v>
      </c>
      <c r="Q4467" s="262">
        <v>85000</v>
      </c>
      <c r="S4467" t="s">
        <v>114</v>
      </c>
      <c r="T4467" t="s">
        <v>114</v>
      </c>
      <c r="V4467">
        <v>4000</v>
      </c>
      <c r="W4467">
        <v>0</v>
      </c>
      <c r="X4467">
        <v>0</v>
      </c>
      <c r="Y4467">
        <v>0</v>
      </c>
      <c r="Z4467">
        <v>0</v>
      </c>
      <c r="AA4467">
        <v>0</v>
      </c>
      <c r="AB4467">
        <v>0</v>
      </c>
      <c r="AC4467">
        <v>0</v>
      </c>
      <c r="AD4467">
        <v>0</v>
      </c>
      <c r="AE4467">
        <v>0</v>
      </c>
      <c r="AF4467">
        <v>0</v>
      </c>
      <c r="AG4467">
        <v>0</v>
      </c>
      <c r="AH4467">
        <v>0</v>
      </c>
      <c r="AI4467">
        <v>0</v>
      </c>
      <c r="AJ4467">
        <v>0</v>
      </c>
      <c r="AK4467">
        <v>0</v>
      </c>
      <c r="AL4467">
        <v>0</v>
      </c>
      <c r="AM4467">
        <v>0</v>
      </c>
      <c r="AN4467">
        <v>0</v>
      </c>
      <c r="AO4467">
        <v>0</v>
      </c>
      <c r="AP4467">
        <v>0</v>
      </c>
      <c r="AQ4467">
        <v>0</v>
      </c>
      <c r="AR4467">
        <v>0</v>
      </c>
      <c r="AS4467">
        <v>0</v>
      </c>
      <c r="AT4467">
        <v>0</v>
      </c>
      <c r="AU4467">
        <f t="shared" si="138"/>
        <v>0</v>
      </c>
      <c r="AV4467">
        <f t="shared" si="139"/>
        <v>0</v>
      </c>
    </row>
    <row r="4468" spans="1:48" x14ac:dyDescent="0.25">
      <c r="A4468" t="s">
        <v>17739</v>
      </c>
      <c r="B4468" t="s">
        <v>17739</v>
      </c>
      <c r="C4468" t="s">
        <v>17740</v>
      </c>
      <c r="D4468" t="s">
        <v>17741</v>
      </c>
      <c r="E4468" t="s">
        <v>2310</v>
      </c>
      <c r="F4468">
        <v>9</v>
      </c>
      <c r="G4468">
        <v>9.3000000000000007</v>
      </c>
      <c r="H4468" t="s">
        <v>2323</v>
      </c>
      <c r="I4468" s="21">
        <v>42284.597824074073</v>
      </c>
      <c r="J4468">
        <v>2015</v>
      </c>
      <c r="K4468" s="21">
        <v>43042.356111111112</v>
      </c>
      <c r="L4468">
        <v>2017</v>
      </c>
      <c r="M4468" s="21">
        <v>43042.356111111112</v>
      </c>
      <c r="N4468">
        <v>2017</v>
      </c>
      <c r="Q4468" s="262">
        <v>1500000</v>
      </c>
      <c r="R4468" s="262">
        <v>700000</v>
      </c>
      <c r="S4468" t="s">
        <v>13254</v>
      </c>
      <c r="W4468">
        <v>5591</v>
      </c>
      <c r="X4468">
        <v>1</v>
      </c>
      <c r="Y4468">
        <v>0</v>
      </c>
      <c r="Z4468">
        <v>0</v>
      </c>
      <c r="AA4468">
        <v>0</v>
      </c>
      <c r="AB4468">
        <v>0</v>
      </c>
      <c r="AC4468">
        <v>5591</v>
      </c>
      <c r="AD4468">
        <v>0</v>
      </c>
      <c r="AE4468">
        <v>0</v>
      </c>
      <c r="AF4468">
        <v>0</v>
      </c>
      <c r="AG4468">
        <v>0</v>
      </c>
      <c r="AH4468">
        <v>0</v>
      </c>
      <c r="AI4468">
        <v>0</v>
      </c>
      <c r="AJ4468">
        <v>0</v>
      </c>
      <c r="AK4468">
        <v>0</v>
      </c>
      <c r="AL4468">
        <v>0</v>
      </c>
      <c r="AM4468">
        <v>0</v>
      </c>
      <c r="AN4468">
        <v>0</v>
      </c>
      <c r="AO4468">
        <v>1</v>
      </c>
      <c r="AP4468">
        <v>0</v>
      </c>
      <c r="AQ4468">
        <v>0</v>
      </c>
      <c r="AR4468">
        <v>0</v>
      </c>
      <c r="AS4468">
        <v>0</v>
      </c>
      <c r="AT4468">
        <v>0</v>
      </c>
      <c r="AU4468">
        <f t="shared" si="138"/>
        <v>1</v>
      </c>
      <c r="AV4468">
        <f t="shared" si="139"/>
        <v>0</v>
      </c>
    </row>
    <row r="4469" spans="1:48" x14ac:dyDescent="0.25">
      <c r="A4469" t="s">
        <v>17742</v>
      </c>
      <c r="B4469" t="s">
        <v>17742</v>
      </c>
      <c r="C4469" t="s">
        <v>13256</v>
      </c>
      <c r="D4469" t="s">
        <v>17743</v>
      </c>
      <c r="E4469" t="s">
        <v>2310</v>
      </c>
      <c r="F4469">
        <v>8</v>
      </c>
      <c r="G4469">
        <v>8.3000000000000007</v>
      </c>
      <c r="H4469" t="s">
        <v>2323</v>
      </c>
      <c r="I4469" s="21">
        <v>42285.477187500001</v>
      </c>
      <c r="J4469">
        <v>2015</v>
      </c>
      <c r="K4469" s="21">
        <v>42838.328784722224</v>
      </c>
      <c r="L4469">
        <v>2017</v>
      </c>
      <c r="M4469" s="21">
        <v>42838.328784722224</v>
      </c>
      <c r="N4469">
        <v>2017</v>
      </c>
      <c r="Q4469" s="262">
        <v>50000</v>
      </c>
      <c r="R4469" s="262">
        <v>52000</v>
      </c>
      <c r="S4469" t="s">
        <v>13254</v>
      </c>
      <c r="W4469">
        <v>1200</v>
      </c>
      <c r="X4469">
        <v>0</v>
      </c>
      <c r="Y4469">
        <v>0</v>
      </c>
      <c r="Z4469">
        <v>0</v>
      </c>
      <c r="AA4469">
        <v>0</v>
      </c>
      <c r="AB4469">
        <v>0</v>
      </c>
      <c r="AC4469">
        <v>1200</v>
      </c>
      <c r="AD4469">
        <v>0</v>
      </c>
      <c r="AE4469">
        <v>0</v>
      </c>
      <c r="AF4469">
        <v>0</v>
      </c>
      <c r="AG4469">
        <v>0</v>
      </c>
      <c r="AH4469">
        <v>0</v>
      </c>
      <c r="AI4469">
        <v>0</v>
      </c>
      <c r="AJ4469">
        <v>0</v>
      </c>
      <c r="AK4469">
        <v>0</v>
      </c>
      <c r="AL4469">
        <v>0</v>
      </c>
      <c r="AM4469">
        <v>0</v>
      </c>
      <c r="AN4469">
        <v>0</v>
      </c>
      <c r="AO4469">
        <v>0</v>
      </c>
      <c r="AP4469">
        <v>0</v>
      </c>
      <c r="AQ4469">
        <v>0</v>
      </c>
      <c r="AR4469">
        <v>0</v>
      </c>
      <c r="AS4469">
        <v>0</v>
      </c>
      <c r="AT4469">
        <v>0</v>
      </c>
      <c r="AU4469">
        <f t="shared" si="138"/>
        <v>0</v>
      </c>
      <c r="AV4469">
        <f t="shared" si="139"/>
        <v>0</v>
      </c>
    </row>
    <row r="4470" spans="1:48" x14ac:dyDescent="0.25">
      <c r="A4470" t="s">
        <v>13046</v>
      </c>
      <c r="C4470" t="s">
        <v>13047</v>
      </c>
      <c r="D4470" t="s">
        <v>13048</v>
      </c>
      <c r="E4470" t="s">
        <v>1663</v>
      </c>
      <c r="F4470">
        <v>4</v>
      </c>
      <c r="G4470">
        <v>4.3</v>
      </c>
      <c r="H4470" t="s">
        <v>2327</v>
      </c>
      <c r="I4470" s="21">
        <v>42286</v>
      </c>
      <c r="J4470">
        <v>2015</v>
      </c>
      <c r="K4470" s="21">
        <v>42397</v>
      </c>
      <c r="L4470">
        <v>2016</v>
      </c>
      <c r="P4470" s="21">
        <v>42707</v>
      </c>
      <c r="Q4470" s="262">
        <v>256593</v>
      </c>
      <c r="S4470" t="s">
        <v>114</v>
      </c>
      <c r="T4470" t="s">
        <v>114</v>
      </c>
      <c r="V4470">
        <v>13560</v>
      </c>
      <c r="W4470">
        <v>0</v>
      </c>
      <c r="X4470">
        <v>0</v>
      </c>
      <c r="Y4470">
        <v>0</v>
      </c>
      <c r="Z4470">
        <v>0</v>
      </c>
      <c r="AA4470">
        <v>0</v>
      </c>
      <c r="AB4470">
        <v>0</v>
      </c>
      <c r="AC4470">
        <v>0</v>
      </c>
      <c r="AD4470">
        <v>0</v>
      </c>
      <c r="AE4470">
        <v>0</v>
      </c>
      <c r="AF4470">
        <v>0</v>
      </c>
      <c r="AG4470">
        <v>0</v>
      </c>
      <c r="AH4470">
        <v>0</v>
      </c>
      <c r="AI4470">
        <v>0</v>
      </c>
      <c r="AJ4470">
        <v>0</v>
      </c>
      <c r="AK4470">
        <v>0</v>
      </c>
      <c r="AL4470">
        <v>0</v>
      </c>
      <c r="AM4470">
        <v>0</v>
      </c>
      <c r="AN4470">
        <v>0</v>
      </c>
      <c r="AO4470">
        <v>0</v>
      </c>
      <c r="AP4470">
        <v>0</v>
      </c>
      <c r="AQ4470">
        <v>0</v>
      </c>
      <c r="AR4470">
        <v>0</v>
      </c>
      <c r="AS4470">
        <v>0</v>
      </c>
      <c r="AT4470">
        <v>0</v>
      </c>
      <c r="AU4470">
        <f t="shared" si="138"/>
        <v>0</v>
      </c>
      <c r="AV4470">
        <f t="shared" si="139"/>
        <v>0</v>
      </c>
    </row>
    <row r="4471" spans="1:48" x14ac:dyDescent="0.25">
      <c r="A4471" t="s">
        <v>17744</v>
      </c>
      <c r="B4471" t="s">
        <v>17744</v>
      </c>
      <c r="C4471" t="s">
        <v>17745</v>
      </c>
      <c r="D4471" t="s">
        <v>17746</v>
      </c>
      <c r="E4471" t="s">
        <v>2310</v>
      </c>
      <c r="F4471">
        <v>8</v>
      </c>
      <c r="G4471">
        <v>8.1</v>
      </c>
      <c r="H4471" t="s">
        <v>2323</v>
      </c>
      <c r="I4471" s="21">
        <v>42289.336099537039</v>
      </c>
      <c r="J4471">
        <v>2015</v>
      </c>
      <c r="K4471" s="21">
        <v>42808.5387962963</v>
      </c>
      <c r="L4471">
        <v>2017</v>
      </c>
      <c r="M4471" s="21">
        <v>42808.5387962963</v>
      </c>
      <c r="N4471">
        <v>2017</v>
      </c>
      <c r="Q4471" s="262">
        <v>670000</v>
      </c>
      <c r="R4471" s="262">
        <v>239000</v>
      </c>
      <c r="S4471" t="s">
        <v>13254</v>
      </c>
      <c r="W4471">
        <v>2506</v>
      </c>
      <c r="X4471">
        <v>1</v>
      </c>
      <c r="Y4471">
        <v>0</v>
      </c>
      <c r="Z4471">
        <v>0</v>
      </c>
      <c r="AA4471">
        <v>0</v>
      </c>
      <c r="AB4471">
        <v>0</v>
      </c>
      <c r="AC4471">
        <v>1522</v>
      </c>
      <c r="AD4471">
        <v>0</v>
      </c>
      <c r="AE4471">
        <v>0</v>
      </c>
      <c r="AF4471">
        <v>984</v>
      </c>
      <c r="AG4471">
        <v>0</v>
      </c>
      <c r="AH4471">
        <v>0</v>
      </c>
      <c r="AI4471">
        <v>0</v>
      </c>
      <c r="AJ4471">
        <v>0</v>
      </c>
      <c r="AK4471">
        <v>0</v>
      </c>
      <c r="AL4471">
        <v>0</v>
      </c>
      <c r="AM4471">
        <v>0</v>
      </c>
      <c r="AN4471">
        <v>0</v>
      </c>
      <c r="AO4471">
        <v>0</v>
      </c>
      <c r="AP4471">
        <v>0</v>
      </c>
      <c r="AQ4471">
        <v>0</v>
      </c>
      <c r="AR4471">
        <v>1</v>
      </c>
      <c r="AS4471">
        <v>0</v>
      </c>
      <c r="AT4471">
        <v>0</v>
      </c>
      <c r="AU4471">
        <f t="shared" si="138"/>
        <v>0</v>
      </c>
      <c r="AV4471">
        <f t="shared" si="139"/>
        <v>0</v>
      </c>
    </row>
    <row r="4472" spans="1:48" x14ac:dyDescent="0.25">
      <c r="A4472" t="s">
        <v>13049</v>
      </c>
      <c r="B4472" t="s">
        <v>13049</v>
      </c>
      <c r="C4472" t="s">
        <v>13050</v>
      </c>
      <c r="D4472" t="s">
        <v>2456</v>
      </c>
      <c r="E4472" t="s">
        <v>2310</v>
      </c>
      <c r="F4472">
        <v>10</v>
      </c>
      <c r="G4472">
        <v>10.1</v>
      </c>
      <c r="H4472" t="s">
        <v>2323</v>
      </c>
      <c r="I4472" s="21">
        <v>42289.415706018503</v>
      </c>
      <c r="J4472">
        <v>2015</v>
      </c>
      <c r="K4472" s="21">
        <v>42342.550798611097</v>
      </c>
      <c r="L4472">
        <v>2015</v>
      </c>
      <c r="P4472" s="21">
        <v>43395.6390988079</v>
      </c>
      <c r="Q4472" s="262">
        <v>60000</v>
      </c>
      <c r="R4472" s="262">
        <v>50000</v>
      </c>
      <c r="S4472" t="s">
        <v>114</v>
      </c>
      <c r="T4472" t="s">
        <v>114</v>
      </c>
      <c r="V4472">
        <v>300</v>
      </c>
      <c r="W4472">
        <v>100</v>
      </c>
      <c r="X4472">
        <v>0</v>
      </c>
      <c r="Y4472">
        <v>0</v>
      </c>
      <c r="Z4472">
        <v>0</v>
      </c>
      <c r="AA4472">
        <v>0</v>
      </c>
      <c r="AB4472">
        <v>0</v>
      </c>
      <c r="AC4472">
        <v>0</v>
      </c>
      <c r="AD4472">
        <v>0</v>
      </c>
      <c r="AE4472">
        <v>0</v>
      </c>
      <c r="AF4472">
        <v>0</v>
      </c>
      <c r="AG4472">
        <v>0</v>
      </c>
      <c r="AH4472">
        <v>0</v>
      </c>
      <c r="AI4472">
        <v>0</v>
      </c>
      <c r="AJ4472">
        <v>0</v>
      </c>
      <c r="AK4472">
        <v>0</v>
      </c>
      <c r="AL4472">
        <v>0</v>
      </c>
      <c r="AM4472">
        <v>100</v>
      </c>
      <c r="AN4472">
        <v>0</v>
      </c>
      <c r="AO4472">
        <v>0</v>
      </c>
      <c r="AP4472">
        <v>0</v>
      </c>
      <c r="AQ4472">
        <v>0</v>
      </c>
      <c r="AR4472">
        <v>0</v>
      </c>
      <c r="AS4472">
        <v>0</v>
      </c>
      <c r="AT4472">
        <v>0</v>
      </c>
      <c r="AU4472">
        <f t="shared" si="138"/>
        <v>0</v>
      </c>
      <c r="AV4472">
        <f t="shared" si="139"/>
        <v>100</v>
      </c>
    </row>
    <row r="4473" spans="1:48" x14ac:dyDescent="0.25">
      <c r="A4473" t="s">
        <v>13584</v>
      </c>
      <c r="B4473" t="s">
        <v>114</v>
      </c>
      <c r="C4473" t="s">
        <v>13585</v>
      </c>
      <c r="D4473" t="s">
        <v>13586</v>
      </c>
      <c r="E4473" t="s">
        <v>1663</v>
      </c>
      <c r="F4473">
        <v>5</v>
      </c>
      <c r="G4473">
        <v>5.3</v>
      </c>
      <c r="H4473" t="s">
        <v>2327</v>
      </c>
      <c r="I4473" s="21">
        <v>42290</v>
      </c>
      <c r="J4473">
        <v>2015</v>
      </c>
      <c r="K4473" s="21">
        <v>42398</v>
      </c>
      <c r="L4473">
        <v>2016</v>
      </c>
      <c r="M4473" s="21">
        <v>42983</v>
      </c>
      <c r="N4473">
        <v>2017</v>
      </c>
      <c r="Q4473" s="262">
        <v>8000</v>
      </c>
      <c r="S4473" t="s">
        <v>13254</v>
      </c>
      <c r="W4473">
        <v>540</v>
      </c>
      <c r="X4473">
        <v>1</v>
      </c>
      <c r="Y4473">
        <v>0</v>
      </c>
      <c r="Z4473">
        <v>0</v>
      </c>
      <c r="AA4473">
        <v>0</v>
      </c>
      <c r="AB4473">
        <v>0</v>
      </c>
      <c r="AC4473">
        <v>540</v>
      </c>
      <c r="AD4473">
        <v>0</v>
      </c>
      <c r="AE4473">
        <v>0</v>
      </c>
      <c r="AF4473">
        <v>0</v>
      </c>
      <c r="AG4473">
        <v>0</v>
      </c>
      <c r="AH4473">
        <v>0</v>
      </c>
      <c r="AI4473">
        <v>0</v>
      </c>
      <c r="AJ4473">
        <v>0</v>
      </c>
      <c r="AK4473">
        <v>0</v>
      </c>
      <c r="AL4473">
        <v>0</v>
      </c>
      <c r="AM4473">
        <v>0</v>
      </c>
      <c r="AN4473">
        <v>0</v>
      </c>
      <c r="AO4473">
        <v>1</v>
      </c>
      <c r="AP4473">
        <v>0</v>
      </c>
      <c r="AQ4473">
        <v>0</v>
      </c>
      <c r="AR4473">
        <v>0</v>
      </c>
      <c r="AS4473">
        <v>0</v>
      </c>
      <c r="AT4473">
        <v>0</v>
      </c>
      <c r="AU4473">
        <f t="shared" si="138"/>
        <v>1</v>
      </c>
      <c r="AV4473">
        <f t="shared" si="139"/>
        <v>0</v>
      </c>
    </row>
    <row r="4474" spans="1:48" x14ac:dyDescent="0.25">
      <c r="A4474" t="s">
        <v>13051</v>
      </c>
      <c r="B4474" t="s">
        <v>13051</v>
      </c>
      <c r="C4474" t="s">
        <v>13052</v>
      </c>
      <c r="D4474" t="s">
        <v>4886</v>
      </c>
      <c r="E4474" t="s">
        <v>2310</v>
      </c>
      <c r="F4474">
        <v>9</v>
      </c>
      <c r="G4474">
        <v>9.1</v>
      </c>
      <c r="H4474" t="s">
        <v>2323</v>
      </c>
      <c r="I4474" s="21">
        <v>42290.436909722201</v>
      </c>
      <c r="J4474">
        <v>2015</v>
      </c>
      <c r="O4474" s="21">
        <v>42440.5374884259</v>
      </c>
      <c r="Q4474" s="262">
        <v>100000</v>
      </c>
      <c r="R4474" s="262">
        <v>46000</v>
      </c>
      <c r="S4474" t="s">
        <v>114</v>
      </c>
      <c r="T4474" t="s">
        <v>114</v>
      </c>
      <c r="W4474">
        <v>462</v>
      </c>
      <c r="X4474">
        <v>0</v>
      </c>
      <c r="Y4474">
        <v>0</v>
      </c>
      <c r="Z4474">
        <v>0</v>
      </c>
      <c r="AA4474">
        <v>0</v>
      </c>
      <c r="AB4474">
        <v>0</v>
      </c>
      <c r="AC4474">
        <v>0</v>
      </c>
      <c r="AD4474">
        <v>0</v>
      </c>
      <c r="AE4474">
        <v>0</v>
      </c>
      <c r="AF4474">
        <v>0</v>
      </c>
      <c r="AG4474">
        <v>0</v>
      </c>
      <c r="AH4474">
        <v>462</v>
      </c>
      <c r="AI4474">
        <v>0</v>
      </c>
      <c r="AJ4474">
        <v>0</v>
      </c>
      <c r="AK4474">
        <v>0</v>
      </c>
      <c r="AL4474">
        <v>0</v>
      </c>
      <c r="AM4474">
        <v>0</v>
      </c>
      <c r="AN4474">
        <v>0</v>
      </c>
      <c r="AO4474">
        <v>0</v>
      </c>
      <c r="AP4474">
        <v>0</v>
      </c>
      <c r="AQ4474">
        <v>0</v>
      </c>
      <c r="AR4474">
        <v>0</v>
      </c>
      <c r="AS4474">
        <v>0</v>
      </c>
      <c r="AT4474">
        <v>0</v>
      </c>
      <c r="AU4474">
        <f t="shared" si="138"/>
        <v>0</v>
      </c>
      <c r="AV4474">
        <f t="shared" si="139"/>
        <v>462</v>
      </c>
    </row>
    <row r="4475" spans="1:48" x14ac:dyDescent="0.25">
      <c r="A4475" t="s">
        <v>13053</v>
      </c>
      <c r="C4475" t="s">
        <v>13054</v>
      </c>
      <c r="D4475" t="s">
        <v>13055</v>
      </c>
      <c r="E4475" t="s">
        <v>1663</v>
      </c>
      <c r="F4475">
        <v>2</v>
      </c>
      <c r="G4475">
        <v>2.2999999999999998</v>
      </c>
      <c r="H4475" t="s">
        <v>2327</v>
      </c>
      <c r="I4475" s="21">
        <v>42292</v>
      </c>
      <c r="J4475">
        <v>2015</v>
      </c>
      <c r="K4475" s="21">
        <v>42409</v>
      </c>
      <c r="L4475">
        <v>2016</v>
      </c>
      <c r="P4475" s="21">
        <v>42697</v>
      </c>
      <c r="Q4475" s="262">
        <v>320000</v>
      </c>
      <c r="S4475" t="s">
        <v>114</v>
      </c>
      <c r="T4475" t="s">
        <v>114</v>
      </c>
      <c r="V4475">
        <v>0</v>
      </c>
      <c r="W4475">
        <v>0</v>
      </c>
      <c r="X4475">
        <v>0</v>
      </c>
      <c r="Y4475">
        <v>0</v>
      </c>
      <c r="Z4475">
        <v>0</v>
      </c>
      <c r="AA4475">
        <v>0</v>
      </c>
      <c r="AB4475">
        <v>0</v>
      </c>
      <c r="AC4475">
        <v>0</v>
      </c>
      <c r="AD4475">
        <v>0</v>
      </c>
      <c r="AE4475">
        <v>0</v>
      </c>
      <c r="AF4475">
        <v>0</v>
      </c>
      <c r="AG4475">
        <v>0</v>
      </c>
      <c r="AH4475">
        <v>0</v>
      </c>
      <c r="AI4475">
        <v>0</v>
      </c>
      <c r="AJ4475">
        <v>0</v>
      </c>
      <c r="AK4475">
        <v>0</v>
      </c>
      <c r="AL4475">
        <v>0</v>
      </c>
      <c r="AM4475">
        <v>0</v>
      </c>
      <c r="AN4475">
        <v>0</v>
      </c>
      <c r="AO4475">
        <v>0</v>
      </c>
      <c r="AP4475">
        <v>0</v>
      </c>
      <c r="AQ4475">
        <v>0</v>
      </c>
      <c r="AR4475">
        <v>0</v>
      </c>
      <c r="AS4475">
        <v>0</v>
      </c>
      <c r="AT4475">
        <v>0</v>
      </c>
      <c r="AU4475">
        <f t="shared" si="138"/>
        <v>0</v>
      </c>
      <c r="AV4475">
        <f t="shared" si="139"/>
        <v>0</v>
      </c>
    </row>
    <row r="4476" spans="1:48" x14ac:dyDescent="0.25">
      <c r="A4476" t="s">
        <v>17747</v>
      </c>
      <c r="B4476" t="s">
        <v>17747</v>
      </c>
      <c r="C4476" t="s">
        <v>17748</v>
      </c>
      <c r="D4476" t="s">
        <v>17749</v>
      </c>
      <c r="E4476" t="s">
        <v>2310</v>
      </c>
      <c r="F4476">
        <v>13</v>
      </c>
      <c r="G4476">
        <v>13.2</v>
      </c>
      <c r="H4476" t="s">
        <v>2327</v>
      </c>
      <c r="I4476" s="21">
        <v>42293.615925925929</v>
      </c>
      <c r="J4476">
        <v>2015</v>
      </c>
      <c r="K4476" s="21">
        <v>42993.600648148145</v>
      </c>
      <c r="L4476">
        <v>2017</v>
      </c>
      <c r="M4476" s="21">
        <v>42993.600648148145</v>
      </c>
      <c r="N4476">
        <v>2017</v>
      </c>
      <c r="Q4476" s="262">
        <v>2881207</v>
      </c>
      <c r="R4476" s="262">
        <v>432000</v>
      </c>
      <c r="S4476" t="s">
        <v>13254</v>
      </c>
      <c r="W4476">
        <v>4987</v>
      </c>
      <c r="X4476">
        <v>1</v>
      </c>
      <c r="Y4476">
        <v>0</v>
      </c>
      <c r="Z4476">
        <v>0</v>
      </c>
      <c r="AA4476">
        <v>0</v>
      </c>
      <c r="AB4476">
        <v>0</v>
      </c>
      <c r="AC4476">
        <v>4987</v>
      </c>
      <c r="AD4476">
        <v>0</v>
      </c>
      <c r="AE4476">
        <v>0</v>
      </c>
      <c r="AF4476">
        <v>0</v>
      </c>
      <c r="AG4476">
        <v>0</v>
      </c>
      <c r="AH4476">
        <v>0</v>
      </c>
      <c r="AI4476">
        <v>0</v>
      </c>
      <c r="AJ4476">
        <v>0</v>
      </c>
      <c r="AK4476">
        <v>0</v>
      </c>
      <c r="AL4476">
        <v>0</v>
      </c>
      <c r="AM4476">
        <v>0</v>
      </c>
      <c r="AN4476">
        <v>0</v>
      </c>
      <c r="AO4476">
        <v>1</v>
      </c>
      <c r="AP4476">
        <v>0</v>
      </c>
      <c r="AQ4476">
        <v>0</v>
      </c>
      <c r="AR4476">
        <v>0</v>
      </c>
      <c r="AS4476">
        <v>0</v>
      </c>
      <c r="AT4476">
        <v>0</v>
      </c>
      <c r="AU4476">
        <f t="shared" si="138"/>
        <v>1</v>
      </c>
      <c r="AV4476">
        <f t="shared" si="139"/>
        <v>0</v>
      </c>
    </row>
    <row r="4477" spans="1:48" x14ac:dyDescent="0.25">
      <c r="A4477" t="s">
        <v>13056</v>
      </c>
      <c r="C4477" t="s">
        <v>13057</v>
      </c>
      <c r="D4477" t="s">
        <v>4683</v>
      </c>
      <c r="E4477" t="s">
        <v>1663</v>
      </c>
      <c r="F4477">
        <v>2</v>
      </c>
      <c r="G4477">
        <v>2.6</v>
      </c>
      <c r="H4477" t="s">
        <v>2327</v>
      </c>
      <c r="I4477" s="21">
        <v>42298</v>
      </c>
      <c r="J4477">
        <v>2015</v>
      </c>
      <c r="K4477" s="21">
        <v>42326</v>
      </c>
      <c r="L4477">
        <v>2015</v>
      </c>
      <c r="P4477" s="21">
        <v>42539</v>
      </c>
      <c r="Q4477" s="262">
        <v>213000</v>
      </c>
      <c r="S4477" t="s">
        <v>114</v>
      </c>
      <c r="T4477" t="s">
        <v>114</v>
      </c>
      <c r="V4477">
        <v>2662</v>
      </c>
      <c r="W4477">
        <v>0</v>
      </c>
      <c r="X4477">
        <v>0</v>
      </c>
      <c r="Y4477">
        <v>0</v>
      </c>
      <c r="Z4477">
        <v>0</v>
      </c>
      <c r="AA4477">
        <v>0</v>
      </c>
      <c r="AB4477">
        <v>0</v>
      </c>
      <c r="AC4477">
        <v>0</v>
      </c>
      <c r="AD4477">
        <v>0</v>
      </c>
      <c r="AE4477">
        <v>0</v>
      </c>
      <c r="AF4477">
        <v>0</v>
      </c>
      <c r="AG4477">
        <v>0</v>
      </c>
      <c r="AH4477">
        <v>0</v>
      </c>
      <c r="AI4477">
        <v>0</v>
      </c>
      <c r="AJ4477">
        <v>0</v>
      </c>
      <c r="AK4477">
        <v>0</v>
      </c>
      <c r="AL4477">
        <v>0</v>
      </c>
      <c r="AM4477">
        <v>0</v>
      </c>
      <c r="AN4477">
        <v>0</v>
      </c>
      <c r="AO4477">
        <v>0</v>
      </c>
      <c r="AP4477">
        <v>0</v>
      </c>
      <c r="AQ4477">
        <v>0</v>
      </c>
      <c r="AR4477">
        <v>0</v>
      </c>
      <c r="AS4477">
        <v>0</v>
      </c>
      <c r="AT4477">
        <v>0</v>
      </c>
      <c r="AU4477">
        <f t="shared" si="138"/>
        <v>0</v>
      </c>
      <c r="AV4477">
        <f t="shared" si="139"/>
        <v>0</v>
      </c>
    </row>
    <row r="4478" spans="1:48" x14ac:dyDescent="0.25">
      <c r="A4478" t="s">
        <v>13058</v>
      </c>
      <c r="C4478" t="s">
        <v>11658</v>
      </c>
      <c r="D4478" t="s">
        <v>13059</v>
      </c>
      <c r="E4478" t="s">
        <v>1663</v>
      </c>
      <c r="F4478">
        <v>3</v>
      </c>
      <c r="G4478">
        <v>3.2</v>
      </c>
      <c r="H4478" t="s">
        <v>2327</v>
      </c>
      <c r="I4478" s="21">
        <v>42299</v>
      </c>
      <c r="J4478">
        <v>2015</v>
      </c>
      <c r="K4478" s="21">
        <v>42327</v>
      </c>
      <c r="L4478">
        <v>2015</v>
      </c>
      <c r="M4478" s="21">
        <v>42584</v>
      </c>
      <c r="N4478">
        <v>2016</v>
      </c>
      <c r="Q4478" s="262">
        <v>180000</v>
      </c>
      <c r="S4478" t="s">
        <v>114</v>
      </c>
      <c r="T4478" t="s">
        <v>114</v>
      </c>
      <c r="V4478">
        <v>0</v>
      </c>
      <c r="W4478">
        <v>1600</v>
      </c>
      <c r="X4478">
        <v>1</v>
      </c>
      <c r="Y4478">
        <v>0</v>
      </c>
      <c r="Z4478">
        <v>0</v>
      </c>
      <c r="AA4478">
        <v>0</v>
      </c>
      <c r="AB4478">
        <v>0</v>
      </c>
      <c r="AC4478">
        <v>800</v>
      </c>
      <c r="AD4478">
        <v>0</v>
      </c>
      <c r="AE4478">
        <v>0</v>
      </c>
      <c r="AF4478">
        <v>800</v>
      </c>
      <c r="AG4478">
        <v>0</v>
      </c>
      <c r="AH4478">
        <v>0</v>
      </c>
      <c r="AI4478">
        <v>0</v>
      </c>
      <c r="AJ4478">
        <v>0</v>
      </c>
      <c r="AK4478">
        <v>0</v>
      </c>
      <c r="AL4478">
        <v>0</v>
      </c>
      <c r="AM4478">
        <v>0</v>
      </c>
      <c r="AN4478">
        <v>0</v>
      </c>
      <c r="AO4478">
        <v>0</v>
      </c>
      <c r="AP4478">
        <v>0</v>
      </c>
      <c r="AQ4478">
        <v>0</v>
      </c>
      <c r="AR4478">
        <v>1</v>
      </c>
      <c r="AS4478">
        <v>0</v>
      </c>
      <c r="AT4478">
        <v>0</v>
      </c>
      <c r="AU4478">
        <f t="shared" si="138"/>
        <v>0</v>
      </c>
      <c r="AV4478">
        <f t="shared" si="139"/>
        <v>0</v>
      </c>
    </row>
    <row r="4479" spans="1:48" x14ac:dyDescent="0.25">
      <c r="A4479" t="s">
        <v>13060</v>
      </c>
      <c r="C4479" t="s">
        <v>11237</v>
      </c>
      <c r="D4479" t="s">
        <v>5584</v>
      </c>
      <c r="E4479" t="s">
        <v>1663</v>
      </c>
      <c r="F4479">
        <v>3</v>
      </c>
      <c r="G4479">
        <v>3.1</v>
      </c>
      <c r="H4479" t="s">
        <v>2017</v>
      </c>
      <c r="I4479" s="21">
        <v>42305</v>
      </c>
      <c r="J4479">
        <v>2015</v>
      </c>
      <c r="K4479" s="21">
        <v>42327</v>
      </c>
      <c r="L4479">
        <v>2015</v>
      </c>
      <c r="M4479" s="21">
        <v>42641</v>
      </c>
      <c r="N4479">
        <v>2016</v>
      </c>
      <c r="Q4479" s="262">
        <v>130000</v>
      </c>
      <c r="S4479" t="s">
        <v>114</v>
      </c>
      <c r="T4479" t="s">
        <v>114</v>
      </c>
      <c r="V4479">
        <v>0</v>
      </c>
      <c r="W4479">
        <v>0</v>
      </c>
      <c r="X4479">
        <v>0</v>
      </c>
      <c r="Y4479">
        <v>0</v>
      </c>
      <c r="Z4479">
        <v>0</v>
      </c>
      <c r="AA4479">
        <v>0</v>
      </c>
      <c r="AB4479">
        <v>0</v>
      </c>
      <c r="AC4479">
        <v>0</v>
      </c>
      <c r="AD4479">
        <v>0</v>
      </c>
      <c r="AE4479">
        <v>0</v>
      </c>
      <c r="AF4479">
        <v>0</v>
      </c>
      <c r="AG4479">
        <v>0</v>
      </c>
      <c r="AH4479">
        <v>0</v>
      </c>
      <c r="AI4479">
        <v>0</v>
      </c>
      <c r="AJ4479">
        <v>0</v>
      </c>
      <c r="AK4479">
        <v>0</v>
      </c>
      <c r="AL4479">
        <v>0</v>
      </c>
      <c r="AM4479">
        <v>0</v>
      </c>
      <c r="AN4479">
        <v>0</v>
      </c>
      <c r="AO4479">
        <v>0</v>
      </c>
      <c r="AP4479">
        <v>0</v>
      </c>
      <c r="AQ4479">
        <v>0</v>
      </c>
      <c r="AR4479">
        <v>0</v>
      </c>
      <c r="AS4479">
        <v>0</v>
      </c>
      <c r="AT4479">
        <v>0</v>
      </c>
      <c r="AU4479">
        <f t="shared" si="138"/>
        <v>0</v>
      </c>
      <c r="AV4479">
        <f t="shared" si="139"/>
        <v>0</v>
      </c>
    </row>
    <row r="4480" spans="1:48" x14ac:dyDescent="0.25">
      <c r="A4480" t="s">
        <v>13587</v>
      </c>
      <c r="C4480" t="s">
        <v>13588</v>
      </c>
      <c r="D4480" t="s">
        <v>13589</v>
      </c>
      <c r="E4480" t="s">
        <v>1663</v>
      </c>
      <c r="F4480">
        <v>3</v>
      </c>
      <c r="G4480">
        <v>3.1</v>
      </c>
      <c r="H4480" t="s">
        <v>2017</v>
      </c>
      <c r="I4480" s="21">
        <v>42305</v>
      </c>
      <c r="J4480">
        <v>2015</v>
      </c>
      <c r="K4480" s="21">
        <v>42318</v>
      </c>
      <c r="L4480">
        <v>2015</v>
      </c>
      <c r="M4480" s="21">
        <v>42746</v>
      </c>
      <c r="N4480">
        <v>2017</v>
      </c>
      <c r="Q4480" s="262">
        <v>75000</v>
      </c>
      <c r="S4480" t="s">
        <v>114</v>
      </c>
      <c r="T4480" t="s">
        <v>114</v>
      </c>
      <c r="V4480">
        <v>0</v>
      </c>
      <c r="W4480">
        <v>0</v>
      </c>
      <c r="X4480">
        <v>0</v>
      </c>
      <c r="Y4480">
        <v>0</v>
      </c>
      <c r="Z4480">
        <v>0</v>
      </c>
      <c r="AA4480">
        <v>0</v>
      </c>
      <c r="AB4480">
        <v>0</v>
      </c>
      <c r="AC4480">
        <v>0</v>
      </c>
      <c r="AD4480">
        <v>0</v>
      </c>
      <c r="AE4480">
        <v>0</v>
      </c>
      <c r="AF4480">
        <v>0</v>
      </c>
      <c r="AG4480">
        <v>0</v>
      </c>
      <c r="AH4480">
        <v>0</v>
      </c>
      <c r="AI4480">
        <v>0</v>
      </c>
      <c r="AJ4480">
        <v>0</v>
      </c>
      <c r="AK4480">
        <v>0</v>
      </c>
      <c r="AL4480">
        <v>0</v>
      </c>
      <c r="AM4480">
        <v>0</v>
      </c>
      <c r="AN4480">
        <v>0</v>
      </c>
      <c r="AO4480">
        <v>0</v>
      </c>
      <c r="AP4480">
        <v>0</v>
      </c>
      <c r="AQ4480">
        <v>0</v>
      </c>
      <c r="AR4480">
        <v>0</v>
      </c>
      <c r="AS4480">
        <v>0</v>
      </c>
      <c r="AT4480">
        <v>0</v>
      </c>
      <c r="AU4480">
        <f t="shared" si="138"/>
        <v>0</v>
      </c>
      <c r="AV4480">
        <f t="shared" si="139"/>
        <v>0</v>
      </c>
    </row>
    <row r="4481" spans="1:48" x14ac:dyDescent="0.25">
      <c r="A4481" t="s">
        <v>19086</v>
      </c>
      <c r="B4481" t="s">
        <v>19086</v>
      </c>
      <c r="C4481" t="s">
        <v>19087</v>
      </c>
      <c r="D4481" t="s">
        <v>13903</v>
      </c>
      <c r="E4481" t="s">
        <v>2310</v>
      </c>
      <c r="F4481">
        <v>14</v>
      </c>
      <c r="G4481">
        <v>14.2</v>
      </c>
      <c r="H4481" t="s">
        <v>2017</v>
      </c>
      <c r="I4481" s="21">
        <v>42305.626956018517</v>
      </c>
      <c r="J4481">
        <v>2015</v>
      </c>
      <c r="K4481" s="21">
        <v>42412.421041666668</v>
      </c>
      <c r="L4481">
        <v>2016</v>
      </c>
      <c r="M4481" s="21">
        <v>43753.388059988429</v>
      </c>
      <c r="N4481">
        <v>2019</v>
      </c>
      <c r="Q4481" s="262">
        <v>422000</v>
      </c>
      <c r="R4481" s="262">
        <v>499000</v>
      </c>
      <c r="S4481" t="s">
        <v>13254</v>
      </c>
      <c r="W4481">
        <v>4966</v>
      </c>
      <c r="X4481">
        <v>1</v>
      </c>
      <c r="Y4481">
        <v>0</v>
      </c>
      <c r="Z4481">
        <v>0</v>
      </c>
      <c r="AA4481">
        <v>0</v>
      </c>
      <c r="AB4481">
        <v>0</v>
      </c>
      <c r="AC4481">
        <v>4966</v>
      </c>
      <c r="AD4481">
        <v>0</v>
      </c>
      <c r="AE4481">
        <v>0</v>
      </c>
      <c r="AF4481">
        <v>0</v>
      </c>
      <c r="AG4481">
        <v>0</v>
      </c>
      <c r="AH4481">
        <v>0</v>
      </c>
      <c r="AI4481">
        <v>0</v>
      </c>
      <c r="AJ4481">
        <v>0</v>
      </c>
      <c r="AK4481">
        <v>0</v>
      </c>
      <c r="AL4481">
        <v>0</v>
      </c>
      <c r="AM4481">
        <v>0</v>
      </c>
      <c r="AN4481">
        <v>0</v>
      </c>
      <c r="AO4481">
        <v>1</v>
      </c>
      <c r="AP4481">
        <v>0</v>
      </c>
      <c r="AQ4481">
        <v>0</v>
      </c>
      <c r="AR4481">
        <v>0</v>
      </c>
      <c r="AS4481">
        <v>0</v>
      </c>
      <c r="AT4481">
        <v>0</v>
      </c>
      <c r="AU4481">
        <f t="shared" si="138"/>
        <v>1</v>
      </c>
      <c r="AV4481">
        <f t="shared" si="139"/>
        <v>0</v>
      </c>
    </row>
    <row r="4482" spans="1:48" x14ac:dyDescent="0.25">
      <c r="A4482" t="s">
        <v>17750</v>
      </c>
      <c r="B4482" t="s">
        <v>17750</v>
      </c>
      <c r="C4482" t="s">
        <v>10589</v>
      </c>
      <c r="D4482" t="s">
        <v>13187</v>
      </c>
      <c r="E4482" t="s">
        <v>2310</v>
      </c>
      <c r="F4482">
        <v>7</v>
      </c>
      <c r="G4482">
        <v>7.2</v>
      </c>
      <c r="H4482" t="s">
        <v>2017</v>
      </c>
      <c r="I4482" s="21">
        <v>42306.444027777776</v>
      </c>
      <c r="J4482">
        <v>2015</v>
      </c>
      <c r="K4482" s="21">
        <v>42835.614606481482</v>
      </c>
      <c r="L4482">
        <v>2017</v>
      </c>
      <c r="M4482" s="21">
        <v>42835.614606481482</v>
      </c>
      <c r="N4482">
        <v>2017</v>
      </c>
      <c r="Q4482" s="262">
        <v>68000</v>
      </c>
      <c r="R4482" s="262">
        <v>61000</v>
      </c>
      <c r="S4482" t="s">
        <v>13254</v>
      </c>
      <c r="W4482">
        <v>1396</v>
      </c>
      <c r="X4482">
        <v>0</v>
      </c>
      <c r="Y4482">
        <v>0</v>
      </c>
      <c r="Z4482">
        <v>0</v>
      </c>
      <c r="AA4482">
        <v>0</v>
      </c>
      <c r="AB4482">
        <v>0</v>
      </c>
      <c r="AC4482">
        <v>1396</v>
      </c>
      <c r="AD4482">
        <v>0</v>
      </c>
      <c r="AE4482">
        <v>0</v>
      </c>
      <c r="AF4482">
        <v>0</v>
      </c>
      <c r="AG4482">
        <v>0</v>
      </c>
      <c r="AH4482">
        <v>0</v>
      </c>
      <c r="AI4482">
        <v>0</v>
      </c>
      <c r="AJ4482">
        <v>0</v>
      </c>
      <c r="AK4482">
        <v>0</v>
      </c>
      <c r="AL4482">
        <v>0</v>
      </c>
      <c r="AM4482">
        <v>0</v>
      </c>
      <c r="AN4482">
        <v>0</v>
      </c>
      <c r="AO4482">
        <v>0</v>
      </c>
      <c r="AP4482">
        <v>0</v>
      </c>
      <c r="AQ4482">
        <v>0</v>
      </c>
      <c r="AR4482">
        <v>0</v>
      </c>
      <c r="AS4482">
        <v>0</v>
      </c>
      <c r="AT4482">
        <v>0</v>
      </c>
      <c r="AU4482">
        <f t="shared" si="138"/>
        <v>0</v>
      </c>
      <c r="AV4482">
        <f t="shared" si="139"/>
        <v>0</v>
      </c>
    </row>
    <row r="4483" spans="1:48" x14ac:dyDescent="0.25">
      <c r="A4483" t="s">
        <v>13061</v>
      </c>
      <c r="B4483" t="s">
        <v>13061</v>
      </c>
      <c r="C4483" t="s">
        <v>13062</v>
      </c>
      <c r="D4483" t="s">
        <v>13063</v>
      </c>
      <c r="E4483" t="s">
        <v>2310</v>
      </c>
      <c r="F4483">
        <v>8</v>
      </c>
      <c r="G4483">
        <v>8.3000000000000007</v>
      </c>
      <c r="H4483" t="s">
        <v>2323</v>
      </c>
      <c r="I4483" s="21">
        <v>42307.4839236111</v>
      </c>
      <c r="J4483">
        <v>2015</v>
      </c>
      <c r="K4483" s="21">
        <v>42333.463969907403</v>
      </c>
      <c r="L4483">
        <v>2015</v>
      </c>
      <c r="M4483" s="21">
        <v>42576.685868055603</v>
      </c>
      <c r="N4483">
        <v>2016</v>
      </c>
      <c r="Q4483" s="262">
        <v>85000</v>
      </c>
      <c r="R4483" s="262">
        <v>82000</v>
      </c>
      <c r="S4483" t="s">
        <v>114</v>
      </c>
      <c r="T4483" t="s">
        <v>114</v>
      </c>
      <c r="W4483">
        <v>1890</v>
      </c>
      <c r="X4483">
        <v>0</v>
      </c>
      <c r="Y4483">
        <v>0</v>
      </c>
      <c r="Z4483">
        <v>0</v>
      </c>
      <c r="AA4483">
        <v>0</v>
      </c>
      <c r="AB4483">
        <v>0</v>
      </c>
      <c r="AC4483">
        <v>1890</v>
      </c>
      <c r="AD4483">
        <v>0</v>
      </c>
      <c r="AE4483">
        <v>0</v>
      </c>
      <c r="AF4483">
        <v>0</v>
      </c>
      <c r="AG4483">
        <v>0</v>
      </c>
      <c r="AH4483">
        <v>0</v>
      </c>
      <c r="AI4483">
        <v>0</v>
      </c>
      <c r="AJ4483">
        <v>0</v>
      </c>
      <c r="AK4483">
        <v>0</v>
      </c>
      <c r="AL4483">
        <v>0</v>
      </c>
      <c r="AM4483">
        <v>0</v>
      </c>
      <c r="AN4483">
        <v>0</v>
      </c>
      <c r="AO4483">
        <v>0</v>
      </c>
      <c r="AP4483">
        <v>0</v>
      </c>
      <c r="AQ4483">
        <v>0</v>
      </c>
      <c r="AR4483">
        <v>0</v>
      </c>
      <c r="AS4483">
        <v>0</v>
      </c>
      <c r="AT4483">
        <v>0</v>
      </c>
      <c r="AU4483">
        <f t="shared" si="138"/>
        <v>0</v>
      </c>
      <c r="AV4483">
        <f t="shared" si="139"/>
        <v>0</v>
      </c>
    </row>
    <row r="4484" spans="1:48" x14ac:dyDescent="0.25">
      <c r="A4484" t="s">
        <v>13064</v>
      </c>
      <c r="C4484" t="s">
        <v>11237</v>
      </c>
      <c r="D4484" t="s">
        <v>13065</v>
      </c>
      <c r="E4484" t="s">
        <v>1663</v>
      </c>
      <c r="F4484">
        <v>2</v>
      </c>
      <c r="G4484">
        <v>2.2999999999999998</v>
      </c>
      <c r="H4484" t="s">
        <v>2327</v>
      </c>
      <c r="I4484" s="21">
        <v>42310</v>
      </c>
      <c r="J4484">
        <v>2015</v>
      </c>
      <c r="K4484" s="21">
        <v>42341</v>
      </c>
      <c r="L4484">
        <v>2015</v>
      </c>
      <c r="M4484" s="21">
        <v>42573</v>
      </c>
      <c r="N4484">
        <v>2016</v>
      </c>
      <c r="Q4484" s="262">
        <v>100000</v>
      </c>
      <c r="S4484" t="s">
        <v>114</v>
      </c>
      <c r="T4484" t="s">
        <v>114</v>
      </c>
      <c r="V4484">
        <v>1104</v>
      </c>
      <c r="W4484">
        <v>0</v>
      </c>
      <c r="X4484">
        <v>0</v>
      </c>
      <c r="Y4484">
        <v>0</v>
      </c>
      <c r="Z4484">
        <v>0</v>
      </c>
      <c r="AA4484">
        <v>0</v>
      </c>
      <c r="AB4484">
        <v>0</v>
      </c>
      <c r="AC4484">
        <v>0</v>
      </c>
      <c r="AD4484">
        <v>0</v>
      </c>
      <c r="AE4484">
        <v>0</v>
      </c>
      <c r="AF4484">
        <v>0</v>
      </c>
      <c r="AG4484">
        <v>0</v>
      </c>
      <c r="AH4484">
        <v>0</v>
      </c>
      <c r="AI4484">
        <v>0</v>
      </c>
      <c r="AJ4484">
        <v>0</v>
      </c>
      <c r="AK4484">
        <v>0</v>
      </c>
      <c r="AL4484">
        <v>0</v>
      </c>
      <c r="AM4484">
        <v>0</v>
      </c>
      <c r="AN4484">
        <v>0</v>
      </c>
      <c r="AO4484">
        <v>0</v>
      </c>
      <c r="AP4484">
        <v>0</v>
      </c>
      <c r="AQ4484">
        <v>0</v>
      </c>
      <c r="AR4484">
        <v>0</v>
      </c>
      <c r="AS4484">
        <v>0</v>
      </c>
      <c r="AT4484">
        <v>0</v>
      </c>
      <c r="AU4484">
        <f t="shared" si="138"/>
        <v>0</v>
      </c>
      <c r="AV4484">
        <f t="shared" si="139"/>
        <v>0</v>
      </c>
    </row>
    <row r="4485" spans="1:48" x14ac:dyDescent="0.25">
      <c r="A4485" t="s">
        <v>13592</v>
      </c>
      <c r="B4485" t="s">
        <v>114</v>
      </c>
      <c r="C4485" t="s">
        <v>13593</v>
      </c>
      <c r="D4485" t="s">
        <v>3234</v>
      </c>
      <c r="E4485" t="s">
        <v>1663</v>
      </c>
      <c r="F4485">
        <v>2</v>
      </c>
      <c r="G4485">
        <v>2.4</v>
      </c>
      <c r="H4485" t="s">
        <v>2017</v>
      </c>
      <c r="I4485" s="21">
        <v>42311</v>
      </c>
      <c r="J4485">
        <v>2015</v>
      </c>
      <c r="K4485" s="21">
        <v>42324</v>
      </c>
      <c r="L4485">
        <v>2015</v>
      </c>
      <c r="M4485" s="21">
        <v>42753</v>
      </c>
      <c r="N4485">
        <v>2017</v>
      </c>
      <c r="Q4485" s="262">
        <v>60000</v>
      </c>
      <c r="S4485" t="s">
        <v>13253</v>
      </c>
      <c r="T4485">
        <v>14501</v>
      </c>
      <c r="W4485">
        <v>640</v>
      </c>
      <c r="X4485">
        <v>0</v>
      </c>
      <c r="Y4485">
        <v>0</v>
      </c>
      <c r="Z4485">
        <v>0</v>
      </c>
      <c r="AA4485">
        <v>0</v>
      </c>
      <c r="AB4485">
        <v>0</v>
      </c>
      <c r="AC4485">
        <v>0</v>
      </c>
      <c r="AD4485">
        <v>0</v>
      </c>
      <c r="AE4485">
        <v>0</v>
      </c>
      <c r="AF4485">
        <v>0</v>
      </c>
      <c r="AG4485">
        <v>0</v>
      </c>
      <c r="AH4485">
        <v>0</v>
      </c>
      <c r="AI4485">
        <v>0</v>
      </c>
      <c r="AJ4485">
        <v>0</v>
      </c>
      <c r="AK4485">
        <v>0</v>
      </c>
      <c r="AL4485">
        <v>0</v>
      </c>
      <c r="AM4485">
        <v>640</v>
      </c>
      <c r="AN4485">
        <v>0</v>
      </c>
      <c r="AO4485">
        <v>0</v>
      </c>
      <c r="AP4485">
        <v>0</v>
      </c>
      <c r="AQ4485">
        <v>0</v>
      </c>
      <c r="AR4485">
        <v>0</v>
      </c>
      <c r="AS4485">
        <v>0</v>
      </c>
      <c r="AT4485">
        <v>0</v>
      </c>
      <c r="AU4485">
        <f t="shared" si="138"/>
        <v>0</v>
      </c>
      <c r="AV4485">
        <f t="shared" si="139"/>
        <v>640</v>
      </c>
    </row>
    <row r="4486" spans="1:48" x14ac:dyDescent="0.25">
      <c r="A4486" t="s">
        <v>17751</v>
      </c>
      <c r="B4486" t="s">
        <v>17751</v>
      </c>
      <c r="C4486" t="s">
        <v>17752</v>
      </c>
      <c r="D4486" t="s">
        <v>17753</v>
      </c>
      <c r="E4486" t="s">
        <v>2310</v>
      </c>
      <c r="F4486">
        <v>13</v>
      </c>
      <c r="G4486">
        <v>13.2</v>
      </c>
      <c r="H4486" t="s">
        <v>2327</v>
      </c>
      <c r="I4486" s="21">
        <v>42311.43822916667</v>
      </c>
      <c r="J4486">
        <v>2015</v>
      </c>
      <c r="K4486" s="21">
        <v>42745.384108796294</v>
      </c>
      <c r="L4486">
        <v>2017</v>
      </c>
      <c r="M4486" s="21">
        <v>42745.384108796294</v>
      </c>
      <c r="N4486">
        <v>2017</v>
      </c>
      <c r="Q4486" s="262">
        <v>1500000</v>
      </c>
      <c r="R4486" s="262">
        <v>312000</v>
      </c>
      <c r="S4486" t="s">
        <v>13254</v>
      </c>
      <c r="W4486">
        <v>2680</v>
      </c>
      <c r="X4486">
        <v>1</v>
      </c>
      <c r="Y4486">
        <v>0</v>
      </c>
      <c r="Z4486">
        <v>0</v>
      </c>
      <c r="AA4486">
        <v>0</v>
      </c>
      <c r="AB4486">
        <v>0</v>
      </c>
      <c r="AC4486">
        <v>2680</v>
      </c>
      <c r="AD4486">
        <v>0</v>
      </c>
      <c r="AE4486">
        <v>0</v>
      </c>
      <c r="AF4486">
        <v>0</v>
      </c>
      <c r="AG4486">
        <v>0</v>
      </c>
      <c r="AH4486">
        <v>0</v>
      </c>
      <c r="AI4486">
        <v>0</v>
      </c>
      <c r="AJ4486">
        <v>0</v>
      </c>
      <c r="AK4486">
        <v>0</v>
      </c>
      <c r="AL4486">
        <v>0</v>
      </c>
      <c r="AM4486">
        <v>0</v>
      </c>
      <c r="AN4486">
        <v>0</v>
      </c>
      <c r="AO4486">
        <v>1</v>
      </c>
      <c r="AP4486">
        <v>0</v>
      </c>
      <c r="AQ4486">
        <v>0</v>
      </c>
      <c r="AR4486">
        <v>0</v>
      </c>
      <c r="AS4486">
        <v>0</v>
      </c>
      <c r="AT4486">
        <v>0</v>
      </c>
      <c r="AU4486">
        <f t="shared" si="138"/>
        <v>1</v>
      </c>
      <c r="AV4486">
        <f t="shared" si="139"/>
        <v>0</v>
      </c>
    </row>
    <row r="4487" spans="1:48" x14ac:dyDescent="0.25">
      <c r="A4487" t="s">
        <v>18811</v>
      </c>
      <c r="B4487" t="s">
        <v>18811</v>
      </c>
      <c r="C4487" t="s">
        <v>18812</v>
      </c>
      <c r="D4487" t="s">
        <v>18543</v>
      </c>
      <c r="E4487" t="s">
        <v>2310</v>
      </c>
      <c r="F4487">
        <v>13</v>
      </c>
      <c r="G4487">
        <v>13.2</v>
      </c>
      <c r="H4487" t="s">
        <v>2327</v>
      </c>
      <c r="I4487" s="21">
        <v>42312.450208333335</v>
      </c>
      <c r="J4487">
        <v>2015</v>
      </c>
      <c r="K4487" s="21">
        <v>42349.456967592596</v>
      </c>
      <c r="L4487">
        <v>2015</v>
      </c>
      <c r="M4487" s="21">
        <v>43633.381454016206</v>
      </c>
      <c r="N4487">
        <v>2019</v>
      </c>
      <c r="Q4487" s="262">
        <v>150000</v>
      </c>
      <c r="R4487" s="262">
        <v>143000</v>
      </c>
      <c r="S4487" t="s">
        <v>13254</v>
      </c>
      <c r="W4487">
        <v>2927</v>
      </c>
      <c r="X4487">
        <v>1</v>
      </c>
      <c r="Y4487">
        <v>0</v>
      </c>
      <c r="Z4487">
        <v>0</v>
      </c>
      <c r="AA4487">
        <v>0</v>
      </c>
      <c r="AB4487">
        <v>0</v>
      </c>
      <c r="AC4487">
        <v>2517</v>
      </c>
      <c r="AD4487">
        <v>0</v>
      </c>
      <c r="AE4487">
        <v>0</v>
      </c>
      <c r="AF4487">
        <v>410</v>
      </c>
      <c r="AG4487">
        <v>0</v>
      </c>
      <c r="AH4487">
        <v>0</v>
      </c>
      <c r="AI4487">
        <v>0</v>
      </c>
      <c r="AJ4487">
        <v>0</v>
      </c>
      <c r="AK4487">
        <v>0</v>
      </c>
      <c r="AL4487">
        <v>0</v>
      </c>
      <c r="AM4487">
        <v>0</v>
      </c>
      <c r="AN4487">
        <v>0</v>
      </c>
      <c r="AO4487">
        <v>0</v>
      </c>
      <c r="AP4487">
        <v>0</v>
      </c>
      <c r="AQ4487">
        <v>0</v>
      </c>
      <c r="AR4487">
        <v>1</v>
      </c>
      <c r="AS4487">
        <v>0</v>
      </c>
      <c r="AT4487">
        <v>0</v>
      </c>
      <c r="AU4487">
        <f t="shared" si="138"/>
        <v>0</v>
      </c>
      <c r="AV4487">
        <f t="shared" si="139"/>
        <v>0</v>
      </c>
    </row>
    <row r="4488" spans="1:48" x14ac:dyDescent="0.25">
      <c r="A4488" t="s">
        <v>13066</v>
      </c>
      <c r="B4488" t="s">
        <v>13066</v>
      </c>
      <c r="C4488" t="s">
        <v>10589</v>
      </c>
      <c r="D4488" t="s">
        <v>13067</v>
      </c>
      <c r="E4488" t="s">
        <v>2310</v>
      </c>
      <c r="F4488">
        <v>8</v>
      </c>
      <c r="G4488">
        <v>8.1999999999999993</v>
      </c>
      <c r="H4488" t="s">
        <v>2022</v>
      </c>
      <c r="I4488" s="21">
        <v>42313.431493055599</v>
      </c>
      <c r="J4488">
        <v>2015</v>
      </c>
      <c r="K4488" s="21">
        <v>42584.332256944399</v>
      </c>
      <c r="L4488">
        <v>2016</v>
      </c>
      <c r="M4488" s="21">
        <v>42513.679976851898</v>
      </c>
      <c r="N4488">
        <v>2016</v>
      </c>
      <c r="Q4488" s="262">
        <v>85000</v>
      </c>
      <c r="R4488" s="262">
        <v>59000</v>
      </c>
      <c r="S4488" t="s">
        <v>114</v>
      </c>
      <c r="T4488" t="s">
        <v>114</v>
      </c>
      <c r="W4488">
        <v>1344</v>
      </c>
      <c r="X4488">
        <v>0</v>
      </c>
      <c r="Y4488">
        <v>0</v>
      </c>
      <c r="Z4488">
        <v>0</v>
      </c>
      <c r="AA4488">
        <v>0</v>
      </c>
      <c r="AB4488">
        <v>0</v>
      </c>
      <c r="AC4488">
        <v>1344</v>
      </c>
      <c r="AD4488">
        <v>0</v>
      </c>
      <c r="AE4488">
        <v>0</v>
      </c>
      <c r="AF4488">
        <v>0</v>
      </c>
      <c r="AG4488">
        <v>0</v>
      </c>
      <c r="AH4488">
        <v>0</v>
      </c>
      <c r="AI4488">
        <v>0</v>
      </c>
      <c r="AJ4488">
        <v>0</v>
      </c>
      <c r="AK4488">
        <v>0</v>
      </c>
      <c r="AL4488">
        <v>0</v>
      </c>
      <c r="AM4488">
        <v>0</v>
      </c>
      <c r="AN4488">
        <v>0</v>
      </c>
      <c r="AO4488">
        <v>0</v>
      </c>
      <c r="AP4488">
        <v>0</v>
      </c>
      <c r="AQ4488">
        <v>0</v>
      </c>
      <c r="AR4488">
        <v>0</v>
      </c>
      <c r="AS4488">
        <v>0</v>
      </c>
      <c r="AT4488">
        <v>0</v>
      </c>
      <c r="AU4488">
        <f t="shared" si="138"/>
        <v>0</v>
      </c>
      <c r="AV4488">
        <f t="shared" si="139"/>
        <v>0</v>
      </c>
    </row>
    <row r="4489" spans="1:48" x14ac:dyDescent="0.25">
      <c r="A4489" t="s">
        <v>13071</v>
      </c>
      <c r="C4489" t="s">
        <v>13072</v>
      </c>
      <c r="D4489" t="s">
        <v>12081</v>
      </c>
      <c r="E4489" t="s">
        <v>1663</v>
      </c>
      <c r="F4489">
        <v>4</v>
      </c>
      <c r="G4489">
        <v>4.2</v>
      </c>
      <c r="H4489" t="s">
        <v>2327</v>
      </c>
      <c r="I4489" s="21">
        <v>42314</v>
      </c>
      <c r="J4489">
        <v>2015</v>
      </c>
      <c r="K4489" s="21">
        <v>42396</v>
      </c>
      <c r="L4489">
        <v>2016</v>
      </c>
      <c r="M4489" s="21">
        <v>42522</v>
      </c>
      <c r="N4489">
        <v>2016</v>
      </c>
      <c r="Q4489" s="262">
        <v>75000</v>
      </c>
      <c r="S4489" t="s">
        <v>114</v>
      </c>
      <c r="T4489" t="s">
        <v>114</v>
      </c>
      <c r="V4489">
        <v>1000</v>
      </c>
      <c r="W4489">
        <v>0</v>
      </c>
      <c r="X4489">
        <v>0</v>
      </c>
      <c r="Y4489">
        <v>0</v>
      </c>
      <c r="Z4489">
        <v>0</v>
      </c>
      <c r="AA4489">
        <v>0</v>
      </c>
      <c r="AB4489">
        <v>0</v>
      </c>
      <c r="AC4489">
        <v>0</v>
      </c>
      <c r="AD4489">
        <v>0</v>
      </c>
      <c r="AE4489">
        <v>0</v>
      </c>
      <c r="AF4489">
        <v>0</v>
      </c>
      <c r="AG4489">
        <v>0</v>
      </c>
      <c r="AH4489">
        <v>0</v>
      </c>
      <c r="AI4489">
        <v>0</v>
      </c>
      <c r="AJ4489">
        <v>0</v>
      </c>
      <c r="AK4489">
        <v>0</v>
      </c>
      <c r="AL4489">
        <v>0</v>
      </c>
      <c r="AM4489">
        <v>0</v>
      </c>
      <c r="AN4489">
        <v>0</v>
      </c>
      <c r="AO4489">
        <v>0</v>
      </c>
      <c r="AP4489">
        <v>0</v>
      </c>
      <c r="AQ4489">
        <v>0</v>
      </c>
      <c r="AR4489">
        <v>0</v>
      </c>
      <c r="AS4489">
        <v>0</v>
      </c>
      <c r="AT4489">
        <v>0</v>
      </c>
      <c r="AU4489">
        <f t="shared" si="138"/>
        <v>0</v>
      </c>
      <c r="AV4489">
        <f t="shared" si="139"/>
        <v>0</v>
      </c>
    </row>
    <row r="4490" spans="1:48" x14ac:dyDescent="0.25">
      <c r="A4490" t="s">
        <v>13068</v>
      </c>
      <c r="C4490" t="s">
        <v>13069</v>
      </c>
      <c r="D4490" t="s">
        <v>13070</v>
      </c>
      <c r="E4490" t="s">
        <v>1663</v>
      </c>
      <c r="F4490">
        <v>3</v>
      </c>
      <c r="G4490">
        <v>3.2</v>
      </c>
      <c r="H4490" t="s">
        <v>2327</v>
      </c>
      <c r="I4490" s="21">
        <v>42314</v>
      </c>
      <c r="J4490">
        <v>2015</v>
      </c>
      <c r="O4490" s="21">
        <v>42704</v>
      </c>
      <c r="Q4490" s="262">
        <v>19745</v>
      </c>
      <c r="S4490" t="s">
        <v>114</v>
      </c>
      <c r="T4490" t="s">
        <v>114</v>
      </c>
      <c r="W4490">
        <v>0</v>
      </c>
      <c r="X4490">
        <v>0</v>
      </c>
      <c r="Y4490">
        <v>0</v>
      </c>
      <c r="Z4490">
        <v>0</v>
      </c>
      <c r="AA4490">
        <v>0</v>
      </c>
      <c r="AB4490">
        <v>0</v>
      </c>
      <c r="AC4490">
        <v>0</v>
      </c>
      <c r="AD4490">
        <v>0</v>
      </c>
      <c r="AE4490">
        <v>0</v>
      </c>
      <c r="AF4490">
        <v>0</v>
      </c>
      <c r="AG4490">
        <v>0</v>
      </c>
      <c r="AH4490">
        <v>0</v>
      </c>
      <c r="AI4490">
        <v>0</v>
      </c>
      <c r="AJ4490">
        <v>0</v>
      </c>
      <c r="AK4490">
        <v>0</v>
      </c>
      <c r="AL4490">
        <v>0</v>
      </c>
      <c r="AM4490">
        <v>0</v>
      </c>
      <c r="AN4490">
        <v>0</v>
      </c>
      <c r="AO4490">
        <v>0</v>
      </c>
      <c r="AP4490">
        <v>0</v>
      </c>
      <c r="AQ4490">
        <v>0</v>
      </c>
      <c r="AR4490">
        <v>0</v>
      </c>
      <c r="AS4490">
        <v>0</v>
      </c>
      <c r="AT4490">
        <v>0</v>
      </c>
      <c r="AU4490">
        <f t="shared" si="138"/>
        <v>0</v>
      </c>
      <c r="AV4490">
        <f t="shared" si="139"/>
        <v>0</v>
      </c>
    </row>
    <row r="4491" spans="1:48" x14ac:dyDescent="0.25">
      <c r="A4491" t="s">
        <v>17754</v>
      </c>
      <c r="B4491" t="s">
        <v>17754</v>
      </c>
      <c r="C4491" t="s">
        <v>17755</v>
      </c>
      <c r="D4491" t="s">
        <v>17756</v>
      </c>
      <c r="E4491" t="s">
        <v>2310</v>
      </c>
      <c r="F4491">
        <v>15</v>
      </c>
      <c r="G4491">
        <v>15.2</v>
      </c>
      <c r="H4491" t="s">
        <v>2323</v>
      </c>
      <c r="I4491" s="21">
        <v>42314.614583333299</v>
      </c>
      <c r="J4491">
        <v>2015</v>
      </c>
      <c r="K4491" s="21">
        <v>42922.395208333299</v>
      </c>
      <c r="L4491">
        <v>2017</v>
      </c>
      <c r="M4491" s="21">
        <v>42922.395208333299</v>
      </c>
      <c r="N4491">
        <v>2017</v>
      </c>
      <c r="Q4491" s="262">
        <v>1400000</v>
      </c>
      <c r="R4491" s="262">
        <v>353000</v>
      </c>
      <c r="S4491" t="s">
        <v>114</v>
      </c>
      <c r="T4491" t="s">
        <v>114</v>
      </c>
      <c r="V4491">
        <v>3498</v>
      </c>
      <c r="W4491">
        <v>0</v>
      </c>
      <c r="X4491">
        <v>0</v>
      </c>
      <c r="Y4491">
        <v>0</v>
      </c>
      <c r="Z4491">
        <v>0</v>
      </c>
      <c r="AA4491">
        <v>0</v>
      </c>
      <c r="AB4491">
        <v>0</v>
      </c>
      <c r="AC4491">
        <v>0</v>
      </c>
      <c r="AD4491">
        <v>0</v>
      </c>
      <c r="AE4491">
        <v>0</v>
      </c>
      <c r="AF4491">
        <v>0</v>
      </c>
      <c r="AG4491">
        <v>0</v>
      </c>
      <c r="AH4491">
        <v>0</v>
      </c>
      <c r="AI4491">
        <v>0</v>
      </c>
      <c r="AJ4491">
        <v>0</v>
      </c>
      <c r="AK4491">
        <v>0</v>
      </c>
      <c r="AL4491">
        <v>0</v>
      </c>
      <c r="AM4491">
        <v>0</v>
      </c>
      <c r="AN4491">
        <v>0</v>
      </c>
      <c r="AO4491">
        <v>0</v>
      </c>
      <c r="AP4491">
        <v>0</v>
      </c>
      <c r="AQ4491">
        <v>0</v>
      </c>
      <c r="AR4491">
        <v>0</v>
      </c>
      <c r="AS4491">
        <v>0</v>
      </c>
      <c r="AT4491">
        <v>0</v>
      </c>
      <c r="AU4491">
        <f t="shared" si="138"/>
        <v>0</v>
      </c>
      <c r="AV4491">
        <f t="shared" si="139"/>
        <v>0</v>
      </c>
    </row>
    <row r="4492" spans="1:48" x14ac:dyDescent="0.25">
      <c r="A4492" t="s">
        <v>17757</v>
      </c>
      <c r="B4492" t="s">
        <v>17757</v>
      </c>
      <c r="C4492" t="s">
        <v>17758</v>
      </c>
      <c r="D4492" t="s">
        <v>17749</v>
      </c>
      <c r="E4492" t="s">
        <v>2310</v>
      </c>
      <c r="F4492">
        <v>13</v>
      </c>
      <c r="G4492">
        <v>13.2</v>
      </c>
      <c r="H4492" t="s">
        <v>2327</v>
      </c>
      <c r="I4492" s="21">
        <v>42314.661006944443</v>
      </c>
      <c r="J4492">
        <v>2015</v>
      </c>
      <c r="K4492" s="21">
        <v>42993.601018518515</v>
      </c>
      <c r="L4492">
        <v>2017</v>
      </c>
      <c r="M4492" s="21">
        <v>42993.601018518515</v>
      </c>
      <c r="N4492">
        <v>2017</v>
      </c>
      <c r="Q4492" s="262">
        <v>99000</v>
      </c>
      <c r="R4492" s="262">
        <v>99000</v>
      </c>
      <c r="S4492" t="s">
        <v>13254</v>
      </c>
      <c r="W4492">
        <v>870</v>
      </c>
      <c r="X4492">
        <v>1</v>
      </c>
      <c r="Y4492">
        <v>0</v>
      </c>
      <c r="Z4492">
        <v>0</v>
      </c>
      <c r="AA4492">
        <v>0</v>
      </c>
      <c r="AB4492">
        <v>0</v>
      </c>
      <c r="AC4492">
        <v>0</v>
      </c>
      <c r="AD4492">
        <v>0</v>
      </c>
      <c r="AE4492">
        <v>0</v>
      </c>
      <c r="AF4492">
        <v>870</v>
      </c>
      <c r="AG4492">
        <v>0</v>
      </c>
      <c r="AH4492">
        <v>0</v>
      </c>
      <c r="AI4492">
        <v>0</v>
      </c>
      <c r="AJ4492">
        <v>0</v>
      </c>
      <c r="AK4492">
        <v>0</v>
      </c>
      <c r="AL4492">
        <v>0</v>
      </c>
      <c r="AM4492">
        <v>0</v>
      </c>
      <c r="AN4492">
        <v>0</v>
      </c>
      <c r="AO4492">
        <v>0</v>
      </c>
      <c r="AP4492">
        <v>0</v>
      </c>
      <c r="AQ4492">
        <v>0</v>
      </c>
      <c r="AR4492">
        <v>1</v>
      </c>
      <c r="AS4492">
        <v>0</v>
      </c>
      <c r="AT4492">
        <v>0</v>
      </c>
      <c r="AU4492">
        <f t="shared" si="138"/>
        <v>0</v>
      </c>
      <c r="AV4492">
        <f t="shared" si="139"/>
        <v>0</v>
      </c>
    </row>
    <row r="4493" spans="1:48" x14ac:dyDescent="0.25">
      <c r="A4493" t="s">
        <v>13077</v>
      </c>
      <c r="C4493" t="s">
        <v>13078</v>
      </c>
      <c r="D4493" t="s">
        <v>13079</v>
      </c>
      <c r="E4493" t="s">
        <v>1663</v>
      </c>
      <c r="F4493">
        <v>5</v>
      </c>
      <c r="G4493">
        <v>5.2</v>
      </c>
      <c r="H4493" t="s">
        <v>2327</v>
      </c>
      <c r="I4493" s="21">
        <v>42318</v>
      </c>
      <c r="J4493">
        <v>2015</v>
      </c>
      <c r="K4493" s="21">
        <v>42342</v>
      </c>
      <c r="L4493">
        <v>2015</v>
      </c>
      <c r="M4493" s="21">
        <v>42569</v>
      </c>
      <c r="N4493">
        <v>2016</v>
      </c>
      <c r="Q4493" s="262">
        <v>150000</v>
      </c>
      <c r="S4493" t="s">
        <v>114</v>
      </c>
      <c r="T4493" t="s">
        <v>114</v>
      </c>
      <c r="V4493">
        <v>0</v>
      </c>
      <c r="W4493">
        <v>0</v>
      </c>
      <c r="X4493">
        <v>0</v>
      </c>
      <c r="Y4493">
        <v>0</v>
      </c>
      <c r="Z4493">
        <v>0</v>
      </c>
      <c r="AA4493">
        <v>0</v>
      </c>
      <c r="AB4493">
        <v>0</v>
      </c>
      <c r="AC4493">
        <v>0</v>
      </c>
      <c r="AD4493">
        <v>0</v>
      </c>
      <c r="AE4493">
        <v>0</v>
      </c>
      <c r="AF4493">
        <v>0</v>
      </c>
      <c r="AG4493">
        <v>0</v>
      </c>
      <c r="AH4493">
        <v>0</v>
      </c>
      <c r="AI4493">
        <v>0</v>
      </c>
      <c r="AJ4493">
        <v>0</v>
      </c>
      <c r="AK4493">
        <v>0</v>
      </c>
      <c r="AL4493">
        <v>0</v>
      </c>
      <c r="AM4493">
        <v>0</v>
      </c>
      <c r="AN4493">
        <v>0</v>
      </c>
      <c r="AO4493">
        <v>0</v>
      </c>
      <c r="AP4493">
        <v>0</v>
      </c>
      <c r="AQ4493">
        <v>0</v>
      </c>
      <c r="AR4493">
        <v>0</v>
      </c>
      <c r="AS4493">
        <v>0</v>
      </c>
      <c r="AT4493">
        <v>0</v>
      </c>
      <c r="AU4493">
        <f t="shared" si="138"/>
        <v>0</v>
      </c>
      <c r="AV4493">
        <f t="shared" si="139"/>
        <v>0</v>
      </c>
    </row>
    <row r="4494" spans="1:48" x14ac:dyDescent="0.25">
      <c r="A4494" t="s">
        <v>13075</v>
      </c>
      <c r="C4494" t="s">
        <v>11237</v>
      </c>
      <c r="D4494" t="s">
        <v>13076</v>
      </c>
      <c r="E4494" t="s">
        <v>1663</v>
      </c>
      <c r="F4494">
        <v>2</v>
      </c>
      <c r="G4494">
        <v>2.2000000000000002</v>
      </c>
      <c r="H4494" t="s">
        <v>2327</v>
      </c>
      <c r="I4494" s="21">
        <v>42318</v>
      </c>
      <c r="J4494">
        <v>2015</v>
      </c>
      <c r="K4494" s="21">
        <v>42327</v>
      </c>
      <c r="L4494">
        <v>2015</v>
      </c>
      <c r="M4494" s="21">
        <v>42418</v>
      </c>
      <c r="N4494">
        <v>2016</v>
      </c>
      <c r="Q4494" s="262">
        <v>10000</v>
      </c>
      <c r="S4494" t="s">
        <v>114</v>
      </c>
      <c r="T4494" t="s">
        <v>114</v>
      </c>
      <c r="V4494">
        <v>1728</v>
      </c>
      <c r="W4494">
        <v>0</v>
      </c>
      <c r="X4494">
        <v>0</v>
      </c>
      <c r="Y4494">
        <v>0</v>
      </c>
      <c r="Z4494">
        <v>0</v>
      </c>
      <c r="AA4494">
        <v>0</v>
      </c>
      <c r="AB4494">
        <v>0</v>
      </c>
      <c r="AC4494">
        <v>0</v>
      </c>
      <c r="AD4494">
        <v>0</v>
      </c>
      <c r="AE4494">
        <v>0</v>
      </c>
      <c r="AF4494">
        <v>0</v>
      </c>
      <c r="AG4494">
        <v>0</v>
      </c>
      <c r="AH4494">
        <v>0</v>
      </c>
      <c r="AI4494">
        <v>0</v>
      </c>
      <c r="AJ4494">
        <v>0</v>
      </c>
      <c r="AK4494">
        <v>0</v>
      </c>
      <c r="AL4494">
        <v>0</v>
      </c>
      <c r="AM4494">
        <v>0</v>
      </c>
      <c r="AN4494">
        <v>0</v>
      </c>
      <c r="AO4494">
        <v>0</v>
      </c>
      <c r="AP4494">
        <v>0</v>
      </c>
      <c r="AQ4494">
        <v>0</v>
      </c>
      <c r="AR4494">
        <v>0</v>
      </c>
      <c r="AS4494">
        <v>0</v>
      </c>
      <c r="AT4494">
        <v>0</v>
      </c>
      <c r="AU4494">
        <f t="shared" si="138"/>
        <v>0</v>
      </c>
      <c r="AV4494">
        <f t="shared" si="139"/>
        <v>0</v>
      </c>
    </row>
    <row r="4495" spans="1:48" x14ac:dyDescent="0.25">
      <c r="A4495" t="s">
        <v>13080</v>
      </c>
      <c r="B4495" t="s">
        <v>13080</v>
      </c>
      <c r="C4495" t="s">
        <v>13081</v>
      </c>
      <c r="D4495" t="s">
        <v>13082</v>
      </c>
      <c r="E4495" t="s">
        <v>2310</v>
      </c>
      <c r="F4495">
        <v>9</v>
      </c>
      <c r="G4495">
        <v>9.1</v>
      </c>
      <c r="H4495" t="s">
        <v>2323</v>
      </c>
      <c r="I4495" s="21">
        <v>42320.476354166698</v>
      </c>
      <c r="J4495">
        <v>2015</v>
      </c>
      <c r="K4495" s="21">
        <v>42468.490416666697</v>
      </c>
      <c r="L4495">
        <v>2016</v>
      </c>
      <c r="M4495" s="21">
        <v>42683.6961689815</v>
      </c>
      <c r="N4495">
        <v>2016</v>
      </c>
      <c r="Q4495" s="262">
        <v>47000</v>
      </c>
      <c r="R4495" s="262">
        <v>52000</v>
      </c>
      <c r="S4495" t="s">
        <v>114</v>
      </c>
      <c r="T4495" t="s">
        <v>114</v>
      </c>
      <c r="W4495">
        <v>442</v>
      </c>
      <c r="X4495">
        <v>0</v>
      </c>
      <c r="Y4495">
        <v>0</v>
      </c>
      <c r="Z4495">
        <v>0</v>
      </c>
      <c r="AA4495">
        <v>0</v>
      </c>
      <c r="AB4495">
        <v>0</v>
      </c>
      <c r="AC4495">
        <v>442</v>
      </c>
      <c r="AD4495">
        <v>0</v>
      </c>
      <c r="AE4495">
        <v>0</v>
      </c>
      <c r="AF4495">
        <v>0</v>
      </c>
      <c r="AG4495">
        <v>0</v>
      </c>
      <c r="AH4495">
        <v>0</v>
      </c>
      <c r="AI4495">
        <v>0</v>
      </c>
      <c r="AJ4495">
        <v>0</v>
      </c>
      <c r="AK4495">
        <v>0</v>
      </c>
      <c r="AL4495">
        <v>0</v>
      </c>
      <c r="AM4495">
        <v>0</v>
      </c>
      <c r="AN4495">
        <v>0</v>
      </c>
      <c r="AO4495">
        <v>0</v>
      </c>
      <c r="AP4495">
        <v>0</v>
      </c>
      <c r="AQ4495">
        <v>0</v>
      </c>
      <c r="AR4495">
        <v>0</v>
      </c>
      <c r="AS4495">
        <v>0</v>
      </c>
      <c r="AT4495">
        <v>0</v>
      </c>
      <c r="AU4495">
        <f t="shared" si="138"/>
        <v>0</v>
      </c>
      <c r="AV4495">
        <f t="shared" si="139"/>
        <v>0</v>
      </c>
    </row>
    <row r="4496" spans="1:48" x14ac:dyDescent="0.25">
      <c r="A4496" t="s">
        <v>13083</v>
      </c>
      <c r="C4496" t="s">
        <v>11237</v>
      </c>
      <c r="D4496" t="s">
        <v>13084</v>
      </c>
      <c r="E4496" t="s">
        <v>1663</v>
      </c>
      <c r="F4496">
        <v>5</v>
      </c>
      <c r="G4496">
        <v>5.2</v>
      </c>
      <c r="H4496" t="s">
        <v>2327</v>
      </c>
      <c r="I4496" s="21">
        <v>42321</v>
      </c>
      <c r="J4496">
        <v>2015</v>
      </c>
      <c r="K4496" s="21">
        <v>42353</v>
      </c>
      <c r="L4496">
        <v>2015</v>
      </c>
      <c r="P4496" s="21">
        <v>42533</v>
      </c>
      <c r="Q4496" s="262">
        <v>8600</v>
      </c>
      <c r="S4496" t="s">
        <v>114</v>
      </c>
      <c r="T4496" t="s">
        <v>114</v>
      </c>
      <c r="V4496">
        <v>200</v>
      </c>
      <c r="W4496">
        <v>0</v>
      </c>
      <c r="X4496">
        <v>0</v>
      </c>
      <c r="Y4496">
        <v>0</v>
      </c>
      <c r="Z4496">
        <v>0</v>
      </c>
      <c r="AA4496">
        <v>0</v>
      </c>
      <c r="AB4496">
        <v>0</v>
      </c>
      <c r="AC4496">
        <v>0</v>
      </c>
      <c r="AD4496">
        <v>0</v>
      </c>
      <c r="AE4496">
        <v>0</v>
      </c>
      <c r="AF4496">
        <v>0</v>
      </c>
      <c r="AG4496">
        <v>0</v>
      </c>
      <c r="AH4496">
        <v>0</v>
      </c>
      <c r="AI4496">
        <v>0</v>
      </c>
      <c r="AJ4496">
        <v>0</v>
      </c>
      <c r="AK4496">
        <v>0</v>
      </c>
      <c r="AL4496">
        <v>0</v>
      </c>
      <c r="AM4496">
        <v>0</v>
      </c>
      <c r="AN4496">
        <v>0</v>
      </c>
      <c r="AO4496">
        <v>0</v>
      </c>
      <c r="AP4496">
        <v>0</v>
      </c>
      <c r="AQ4496">
        <v>0</v>
      </c>
      <c r="AR4496">
        <v>0</v>
      </c>
      <c r="AS4496">
        <v>0</v>
      </c>
      <c r="AT4496">
        <v>0</v>
      </c>
      <c r="AU4496">
        <f t="shared" si="138"/>
        <v>0</v>
      </c>
      <c r="AV4496">
        <f t="shared" si="139"/>
        <v>0</v>
      </c>
    </row>
    <row r="4497" spans="1:48" x14ac:dyDescent="0.25">
      <c r="A4497" t="s">
        <v>13085</v>
      </c>
      <c r="C4497" t="s">
        <v>13086</v>
      </c>
      <c r="D4497" t="s">
        <v>12339</v>
      </c>
      <c r="E4497" t="s">
        <v>1663</v>
      </c>
      <c r="F4497">
        <v>5</v>
      </c>
      <c r="G4497">
        <v>5.0999999999999996</v>
      </c>
      <c r="H4497" t="s">
        <v>2327</v>
      </c>
      <c r="I4497" s="21">
        <v>42321</v>
      </c>
      <c r="J4497">
        <v>2015</v>
      </c>
      <c r="K4497" s="21">
        <v>42487</v>
      </c>
      <c r="L4497">
        <v>2016</v>
      </c>
      <c r="M4497" s="21">
        <v>42696</v>
      </c>
      <c r="N4497">
        <v>2016</v>
      </c>
      <c r="Q4497" s="262">
        <v>250000</v>
      </c>
      <c r="S4497" t="s">
        <v>114</v>
      </c>
      <c r="T4497" t="s">
        <v>114</v>
      </c>
      <c r="W4497">
        <v>1920</v>
      </c>
      <c r="X4497">
        <v>0</v>
      </c>
      <c r="Y4497">
        <v>0</v>
      </c>
      <c r="Z4497">
        <v>0</v>
      </c>
      <c r="AA4497">
        <v>0</v>
      </c>
      <c r="AB4497">
        <v>0</v>
      </c>
      <c r="AC4497">
        <v>0</v>
      </c>
      <c r="AD4497">
        <v>0</v>
      </c>
      <c r="AE4497">
        <v>0</v>
      </c>
      <c r="AF4497">
        <v>0</v>
      </c>
      <c r="AG4497">
        <v>0</v>
      </c>
      <c r="AH4497">
        <v>0</v>
      </c>
      <c r="AI4497">
        <v>0</v>
      </c>
      <c r="AJ4497">
        <v>0</v>
      </c>
      <c r="AK4497">
        <v>1920</v>
      </c>
      <c r="AL4497">
        <v>0</v>
      </c>
      <c r="AM4497">
        <v>0</v>
      </c>
      <c r="AN4497">
        <v>0</v>
      </c>
      <c r="AO4497">
        <v>0</v>
      </c>
      <c r="AP4497">
        <v>0</v>
      </c>
      <c r="AQ4497">
        <v>0</v>
      </c>
      <c r="AR4497">
        <v>0</v>
      </c>
      <c r="AS4497">
        <v>0</v>
      </c>
      <c r="AT4497">
        <v>0</v>
      </c>
      <c r="AU4497">
        <f t="shared" si="138"/>
        <v>0</v>
      </c>
      <c r="AV4497">
        <f t="shared" si="139"/>
        <v>1920</v>
      </c>
    </row>
    <row r="4498" spans="1:48" x14ac:dyDescent="0.25">
      <c r="A4498" t="s">
        <v>17947</v>
      </c>
      <c r="B4498" t="s">
        <v>17947</v>
      </c>
      <c r="C4498" t="s">
        <v>17948</v>
      </c>
      <c r="D4498" t="s">
        <v>17949</v>
      </c>
      <c r="E4498" t="s">
        <v>2310</v>
      </c>
      <c r="F4498">
        <v>9</v>
      </c>
      <c r="G4498">
        <v>9.4</v>
      </c>
      <c r="H4498" t="s">
        <v>2323</v>
      </c>
      <c r="I4498" s="21">
        <v>42321.562326388892</v>
      </c>
      <c r="J4498">
        <v>2015</v>
      </c>
      <c r="K4498" s="21">
        <v>42367.676701388889</v>
      </c>
      <c r="L4498">
        <v>2015</v>
      </c>
      <c r="M4498" s="21">
        <v>43130.451435185183</v>
      </c>
      <c r="N4498">
        <v>2018</v>
      </c>
      <c r="Q4498" s="262">
        <v>2250000</v>
      </c>
      <c r="R4498" s="262">
        <v>917000</v>
      </c>
      <c r="S4498" t="s">
        <v>13254</v>
      </c>
      <c r="W4498">
        <v>7575</v>
      </c>
      <c r="X4498">
        <v>1</v>
      </c>
      <c r="Y4498">
        <v>0</v>
      </c>
      <c r="Z4498">
        <v>0</v>
      </c>
      <c r="AA4498">
        <v>0</v>
      </c>
      <c r="AB4498">
        <v>0</v>
      </c>
      <c r="AC4498">
        <v>7575</v>
      </c>
      <c r="AD4498">
        <v>0</v>
      </c>
      <c r="AE4498">
        <v>0</v>
      </c>
      <c r="AF4498">
        <v>0</v>
      </c>
      <c r="AG4498">
        <v>0</v>
      </c>
      <c r="AH4498">
        <v>0</v>
      </c>
      <c r="AI4498">
        <v>0</v>
      </c>
      <c r="AJ4498">
        <v>0</v>
      </c>
      <c r="AK4498">
        <v>0</v>
      </c>
      <c r="AL4498">
        <v>0</v>
      </c>
      <c r="AM4498">
        <v>0</v>
      </c>
      <c r="AN4498">
        <v>0</v>
      </c>
      <c r="AO4498">
        <v>1</v>
      </c>
      <c r="AP4498">
        <v>0</v>
      </c>
      <c r="AQ4498">
        <v>0</v>
      </c>
      <c r="AR4498">
        <v>0</v>
      </c>
      <c r="AS4498">
        <v>0</v>
      </c>
      <c r="AT4498">
        <v>0</v>
      </c>
      <c r="AU4498">
        <f t="shared" si="138"/>
        <v>1</v>
      </c>
      <c r="AV4498">
        <f t="shared" si="139"/>
        <v>0</v>
      </c>
    </row>
    <row r="4499" spans="1:48" x14ac:dyDescent="0.25">
      <c r="A4499" t="s">
        <v>13087</v>
      </c>
      <c r="C4499" t="s">
        <v>13088</v>
      </c>
      <c r="D4499" t="s">
        <v>13089</v>
      </c>
      <c r="E4499" t="s">
        <v>1663</v>
      </c>
      <c r="F4499">
        <v>3</v>
      </c>
      <c r="G4499">
        <v>3.4</v>
      </c>
      <c r="H4499" t="s">
        <v>2017</v>
      </c>
      <c r="I4499" s="21">
        <v>42325</v>
      </c>
      <c r="J4499">
        <v>2015</v>
      </c>
      <c r="K4499" s="21">
        <v>42409</v>
      </c>
      <c r="L4499">
        <v>2016</v>
      </c>
      <c r="P4499" s="21">
        <v>42940</v>
      </c>
      <c r="Q4499" s="262">
        <v>450000</v>
      </c>
      <c r="S4499" t="s">
        <v>114</v>
      </c>
      <c r="T4499" t="s">
        <v>114</v>
      </c>
      <c r="V4499">
        <v>0</v>
      </c>
      <c r="W4499">
        <v>0</v>
      </c>
      <c r="X4499">
        <v>0</v>
      </c>
      <c r="Y4499">
        <v>0</v>
      </c>
      <c r="Z4499">
        <v>0</v>
      </c>
      <c r="AA4499">
        <v>0</v>
      </c>
      <c r="AB4499">
        <v>0</v>
      </c>
      <c r="AC4499">
        <v>0</v>
      </c>
      <c r="AD4499">
        <v>0</v>
      </c>
      <c r="AE4499">
        <v>0</v>
      </c>
      <c r="AF4499">
        <v>0</v>
      </c>
      <c r="AG4499">
        <v>0</v>
      </c>
      <c r="AH4499">
        <v>0</v>
      </c>
      <c r="AI4499">
        <v>0</v>
      </c>
      <c r="AJ4499">
        <v>0</v>
      </c>
      <c r="AK4499">
        <v>0</v>
      </c>
      <c r="AL4499">
        <v>0</v>
      </c>
      <c r="AM4499">
        <v>0</v>
      </c>
      <c r="AN4499">
        <v>0</v>
      </c>
      <c r="AO4499">
        <v>0</v>
      </c>
      <c r="AP4499">
        <v>0</v>
      </c>
      <c r="AQ4499">
        <v>0</v>
      </c>
      <c r="AR4499">
        <v>0</v>
      </c>
      <c r="AS4499">
        <v>0</v>
      </c>
      <c r="AT4499">
        <v>0</v>
      </c>
      <c r="AU4499">
        <f t="shared" si="138"/>
        <v>0</v>
      </c>
      <c r="AV4499">
        <f t="shared" si="139"/>
        <v>0</v>
      </c>
    </row>
    <row r="4500" spans="1:48" x14ac:dyDescent="0.25">
      <c r="A4500" t="s">
        <v>17506</v>
      </c>
      <c r="B4500" t="s">
        <v>17506</v>
      </c>
      <c r="C4500" t="s">
        <v>17507</v>
      </c>
      <c r="D4500" t="s">
        <v>11744</v>
      </c>
      <c r="E4500" t="s">
        <v>2310</v>
      </c>
      <c r="F4500">
        <v>8</v>
      </c>
      <c r="G4500">
        <v>8.3000000000000007</v>
      </c>
      <c r="H4500" t="s">
        <v>2323</v>
      </c>
      <c r="I4500" s="21">
        <v>42325.559293981481</v>
      </c>
      <c r="J4500">
        <v>2015</v>
      </c>
      <c r="K4500" s="21">
        <v>42888.412766203706</v>
      </c>
      <c r="L4500">
        <v>2017</v>
      </c>
      <c r="M4500" s="21">
        <v>42886.459733796299</v>
      </c>
      <c r="N4500">
        <v>2017</v>
      </c>
      <c r="Q4500" s="262">
        <v>51000</v>
      </c>
      <c r="R4500" s="262">
        <v>6000</v>
      </c>
      <c r="S4500" t="s">
        <v>13254</v>
      </c>
      <c r="W4500">
        <v>128</v>
      </c>
      <c r="X4500">
        <v>0</v>
      </c>
      <c r="Y4500">
        <v>0</v>
      </c>
      <c r="Z4500">
        <v>0</v>
      </c>
      <c r="AA4500">
        <v>0</v>
      </c>
      <c r="AB4500">
        <v>128</v>
      </c>
      <c r="AC4500">
        <v>0</v>
      </c>
      <c r="AD4500">
        <v>0</v>
      </c>
      <c r="AE4500">
        <v>0</v>
      </c>
      <c r="AF4500">
        <v>0</v>
      </c>
      <c r="AG4500">
        <v>0</v>
      </c>
      <c r="AH4500">
        <v>0</v>
      </c>
      <c r="AI4500">
        <v>0</v>
      </c>
      <c r="AJ4500">
        <v>0</v>
      </c>
      <c r="AK4500">
        <v>0</v>
      </c>
      <c r="AL4500">
        <v>0</v>
      </c>
      <c r="AM4500">
        <v>0</v>
      </c>
      <c r="AN4500">
        <v>0</v>
      </c>
      <c r="AO4500">
        <v>0</v>
      </c>
      <c r="AP4500">
        <v>0</v>
      </c>
      <c r="AQ4500">
        <v>0</v>
      </c>
      <c r="AR4500">
        <v>0</v>
      </c>
      <c r="AS4500">
        <v>0</v>
      </c>
      <c r="AT4500">
        <v>0</v>
      </c>
      <c r="AU4500">
        <f t="shared" si="138"/>
        <v>0</v>
      </c>
      <c r="AV4500">
        <f t="shared" si="139"/>
        <v>128</v>
      </c>
    </row>
    <row r="4501" spans="1:48" x14ac:dyDescent="0.25">
      <c r="A4501" t="s">
        <v>13090</v>
      </c>
      <c r="C4501" t="s">
        <v>13091</v>
      </c>
      <c r="D4501" t="s">
        <v>13092</v>
      </c>
      <c r="E4501" t="s">
        <v>1663</v>
      </c>
      <c r="F4501">
        <v>1</v>
      </c>
      <c r="G4501">
        <v>1.2</v>
      </c>
      <c r="H4501" t="s">
        <v>2017</v>
      </c>
      <c r="I4501" s="21">
        <v>42328</v>
      </c>
      <c r="J4501">
        <v>2015</v>
      </c>
      <c r="K4501" s="21">
        <v>42341</v>
      </c>
      <c r="L4501">
        <v>2015</v>
      </c>
      <c r="M4501" s="21">
        <v>42383</v>
      </c>
      <c r="N4501">
        <v>2016</v>
      </c>
      <c r="Q4501" s="262">
        <v>20000</v>
      </c>
      <c r="S4501" t="s">
        <v>114</v>
      </c>
      <c r="T4501" t="s">
        <v>114</v>
      </c>
      <c r="V4501">
        <v>1443</v>
      </c>
      <c r="W4501">
        <v>0</v>
      </c>
      <c r="X4501">
        <v>0</v>
      </c>
      <c r="Y4501">
        <v>0</v>
      </c>
      <c r="Z4501">
        <v>0</v>
      </c>
      <c r="AA4501">
        <v>0</v>
      </c>
      <c r="AB4501">
        <v>0</v>
      </c>
      <c r="AC4501">
        <v>0</v>
      </c>
      <c r="AD4501">
        <v>0</v>
      </c>
      <c r="AE4501">
        <v>0</v>
      </c>
      <c r="AF4501">
        <v>0</v>
      </c>
      <c r="AG4501">
        <v>0</v>
      </c>
      <c r="AH4501">
        <v>0</v>
      </c>
      <c r="AI4501">
        <v>0</v>
      </c>
      <c r="AJ4501">
        <v>0</v>
      </c>
      <c r="AK4501">
        <v>0</v>
      </c>
      <c r="AL4501">
        <v>0</v>
      </c>
      <c r="AM4501">
        <v>0</v>
      </c>
      <c r="AN4501">
        <v>0</v>
      </c>
      <c r="AO4501">
        <v>0</v>
      </c>
      <c r="AP4501">
        <v>0</v>
      </c>
      <c r="AQ4501">
        <v>0</v>
      </c>
      <c r="AR4501">
        <v>0</v>
      </c>
      <c r="AS4501">
        <v>0</v>
      </c>
      <c r="AT4501">
        <v>0</v>
      </c>
      <c r="AU4501">
        <f t="shared" si="138"/>
        <v>0</v>
      </c>
      <c r="AV4501">
        <f t="shared" si="139"/>
        <v>0</v>
      </c>
    </row>
    <row r="4502" spans="1:48" x14ac:dyDescent="0.25">
      <c r="A4502" t="s">
        <v>17759</v>
      </c>
      <c r="B4502" t="s">
        <v>17759</v>
      </c>
      <c r="C4502" t="s">
        <v>17760</v>
      </c>
      <c r="D4502" t="s">
        <v>17761</v>
      </c>
      <c r="E4502" t="s">
        <v>2310</v>
      </c>
      <c r="F4502">
        <v>13</v>
      </c>
      <c r="G4502">
        <v>13.2</v>
      </c>
      <c r="H4502" t="s">
        <v>2327</v>
      </c>
      <c r="I4502" s="21">
        <v>42332.476284722223</v>
      </c>
      <c r="J4502">
        <v>2015</v>
      </c>
      <c r="K4502" s="21">
        <v>43028.433703703704</v>
      </c>
      <c r="L4502">
        <v>2017</v>
      </c>
      <c r="M4502" s="21">
        <v>43028.433703703704</v>
      </c>
      <c r="N4502">
        <v>2017</v>
      </c>
      <c r="Q4502" s="262">
        <v>4000000</v>
      </c>
      <c r="R4502" s="262">
        <v>474000</v>
      </c>
      <c r="S4502" t="s">
        <v>13254</v>
      </c>
      <c r="W4502">
        <v>4038</v>
      </c>
      <c r="X4502">
        <v>1</v>
      </c>
      <c r="Y4502">
        <v>0</v>
      </c>
      <c r="Z4502">
        <v>0</v>
      </c>
      <c r="AA4502">
        <v>0</v>
      </c>
      <c r="AB4502">
        <v>0</v>
      </c>
      <c r="AC4502">
        <v>4038</v>
      </c>
      <c r="AD4502">
        <v>0</v>
      </c>
      <c r="AE4502">
        <v>0</v>
      </c>
      <c r="AF4502">
        <v>0</v>
      </c>
      <c r="AG4502">
        <v>0</v>
      </c>
      <c r="AH4502">
        <v>0</v>
      </c>
      <c r="AI4502">
        <v>0</v>
      </c>
      <c r="AJ4502">
        <v>0</v>
      </c>
      <c r="AK4502">
        <v>0</v>
      </c>
      <c r="AL4502">
        <v>0</v>
      </c>
      <c r="AM4502">
        <v>0</v>
      </c>
      <c r="AN4502">
        <v>0</v>
      </c>
      <c r="AO4502">
        <v>1</v>
      </c>
      <c r="AP4502">
        <v>0</v>
      </c>
      <c r="AQ4502">
        <v>0</v>
      </c>
      <c r="AR4502">
        <v>0</v>
      </c>
      <c r="AS4502">
        <v>0</v>
      </c>
      <c r="AT4502">
        <v>0</v>
      </c>
      <c r="AU4502">
        <f t="shared" si="138"/>
        <v>1</v>
      </c>
      <c r="AV4502">
        <f t="shared" si="139"/>
        <v>0</v>
      </c>
    </row>
    <row r="4503" spans="1:48" x14ac:dyDescent="0.25">
      <c r="A4503" t="s">
        <v>17762</v>
      </c>
      <c r="B4503" t="s">
        <v>17762</v>
      </c>
      <c r="C4503" t="s">
        <v>17763</v>
      </c>
      <c r="D4503" t="s">
        <v>17764</v>
      </c>
      <c r="E4503" t="s">
        <v>2310</v>
      </c>
      <c r="F4503">
        <v>13</v>
      </c>
      <c r="G4503">
        <v>13.2</v>
      </c>
      <c r="H4503" t="s">
        <v>2327</v>
      </c>
      <c r="I4503" s="21">
        <v>42332.491666666669</v>
      </c>
      <c r="J4503">
        <v>2015</v>
      </c>
      <c r="K4503" s="21">
        <v>43028.436192129629</v>
      </c>
      <c r="L4503">
        <v>2017</v>
      </c>
      <c r="M4503" s="21">
        <v>43028.436192129629</v>
      </c>
      <c r="N4503">
        <v>2017</v>
      </c>
      <c r="Q4503" s="262">
        <v>4000000</v>
      </c>
      <c r="R4503" s="262">
        <v>474000</v>
      </c>
      <c r="S4503" t="s">
        <v>13254</v>
      </c>
      <c r="W4503">
        <v>4038</v>
      </c>
      <c r="X4503">
        <v>1</v>
      </c>
      <c r="Y4503">
        <v>0</v>
      </c>
      <c r="Z4503">
        <v>0</v>
      </c>
      <c r="AA4503">
        <v>0</v>
      </c>
      <c r="AB4503">
        <v>0</v>
      </c>
      <c r="AC4503">
        <v>4038</v>
      </c>
      <c r="AD4503">
        <v>0</v>
      </c>
      <c r="AE4503">
        <v>0</v>
      </c>
      <c r="AF4503">
        <v>0</v>
      </c>
      <c r="AG4503">
        <v>0</v>
      </c>
      <c r="AH4503">
        <v>0</v>
      </c>
      <c r="AI4503">
        <v>0</v>
      </c>
      <c r="AJ4503">
        <v>0</v>
      </c>
      <c r="AK4503">
        <v>0</v>
      </c>
      <c r="AL4503">
        <v>0</v>
      </c>
      <c r="AM4503">
        <v>0</v>
      </c>
      <c r="AN4503">
        <v>0</v>
      </c>
      <c r="AO4503">
        <v>1</v>
      </c>
      <c r="AP4503">
        <v>0</v>
      </c>
      <c r="AQ4503">
        <v>0</v>
      </c>
      <c r="AR4503">
        <v>0</v>
      </c>
      <c r="AS4503">
        <v>0</v>
      </c>
      <c r="AT4503">
        <v>0</v>
      </c>
      <c r="AU4503">
        <f t="shared" si="138"/>
        <v>1</v>
      </c>
      <c r="AV4503">
        <f t="shared" si="139"/>
        <v>0</v>
      </c>
    </row>
    <row r="4504" spans="1:48" x14ac:dyDescent="0.25">
      <c r="A4504" t="s">
        <v>17765</v>
      </c>
      <c r="B4504" t="s">
        <v>17765</v>
      </c>
      <c r="C4504" t="s">
        <v>17763</v>
      </c>
      <c r="D4504" t="s">
        <v>17766</v>
      </c>
      <c r="E4504" t="s">
        <v>2310</v>
      </c>
      <c r="F4504">
        <v>13</v>
      </c>
      <c r="G4504">
        <v>13.2</v>
      </c>
      <c r="H4504" t="s">
        <v>2327</v>
      </c>
      <c r="I4504" s="21">
        <v>42332.530312499999</v>
      </c>
      <c r="J4504">
        <v>2015</v>
      </c>
      <c r="K4504" s="21">
        <v>43048.381203703706</v>
      </c>
      <c r="L4504">
        <v>2017</v>
      </c>
      <c r="M4504" s="21">
        <v>43048.381203703706</v>
      </c>
      <c r="N4504">
        <v>2017</v>
      </c>
      <c r="Q4504" s="262">
        <v>4000000</v>
      </c>
      <c r="R4504" s="262">
        <v>474000</v>
      </c>
      <c r="S4504" t="s">
        <v>13254</v>
      </c>
      <c r="W4504">
        <v>4038</v>
      </c>
      <c r="X4504">
        <v>1</v>
      </c>
      <c r="Y4504">
        <v>0</v>
      </c>
      <c r="Z4504">
        <v>0</v>
      </c>
      <c r="AA4504">
        <v>0</v>
      </c>
      <c r="AB4504">
        <v>0</v>
      </c>
      <c r="AC4504">
        <v>4038</v>
      </c>
      <c r="AD4504">
        <v>0</v>
      </c>
      <c r="AE4504">
        <v>0</v>
      </c>
      <c r="AF4504">
        <v>0</v>
      </c>
      <c r="AG4504">
        <v>0</v>
      </c>
      <c r="AH4504">
        <v>0</v>
      </c>
      <c r="AI4504">
        <v>0</v>
      </c>
      <c r="AJ4504">
        <v>0</v>
      </c>
      <c r="AK4504">
        <v>0</v>
      </c>
      <c r="AL4504">
        <v>0</v>
      </c>
      <c r="AM4504">
        <v>0</v>
      </c>
      <c r="AN4504">
        <v>0</v>
      </c>
      <c r="AO4504">
        <v>1</v>
      </c>
      <c r="AP4504">
        <v>0</v>
      </c>
      <c r="AQ4504">
        <v>0</v>
      </c>
      <c r="AR4504">
        <v>0</v>
      </c>
      <c r="AS4504">
        <v>0</v>
      </c>
      <c r="AT4504">
        <v>0</v>
      </c>
      <c r="AU4504">
        <f t="shared" si="138"/>
        <v>1</v>
      </c>
      <c r="AV4504">
        <f t="shared" si="139"/>
        <v>0</v>
      </c>
    </row>
    <row r="4505" spans="1:48" x14ac:dyDescent="0.25">
      <c r="A4505" t="s">
        <v>17769</v>
      </c>
      <c r="B4505" t="s">
        <v>17769</v>
      </c>
      <c r="C4505" t="s">
        <v>17763</v>
      </c>
      <c r="D4505" t="s">
        <v>17241</v>
      </c>
      <c r="E4505" t="s">
        <v>2310</v>
      </c>
      <c r="F4505">
        <v>13</v>
      </c>
      <c r="G4505">
        <v>13.2</v>
      </c>
      <c r="H4505" t="s">
        <v>2327</v>
      </c>
      <c r="I4505" s="21">
        <v>42332.54241898148</v>
      </c>
      <c r="J4505">
        <v>2015</v>
      </c>
      <c r="K4505" s="21">
        <v>43091.439942129633</v>
      </c>
      <c r="L4505">
        <v>2017</v>
      </c>
      <c r="M4505" s="21">
        <v>43091.439942129633</v>
      </c>
      <c r="N4505">
        <v>2017</v>
      </c>
      <c r="Q4505" s="262">
        <v>4000000</v>
      </c>
      <c r="R4505" s="262">
        <v>474000</v>
      </c>
      <c r="S4505" t="s">
        <v>13254</v>
      </c>
      <c r="W4505">
        <v>4038</v>
      </c>
      <c r="X4505">
        <v>1</v>
      </c>
      <c r="Y4505">
        <v>0</v>
      </c>
      <c r="Z4505">
        <v>0</v>
      </c>
      <c r="AA4505">
        <v>0</v>
      </c>
      <c r="AB4505">
        <v>0</v>
      </c>
      <c r="AC4505">
        <v>4038</v>
      </c>
      <c r="AD4505">
        <v>0</v>
      </c>
      <c r="AE4505">
        <v>0</v>
      </c>
      <c r="AF4505">
        <v>0</v>
      </c>
      <c r="AG4505">
        <v>0</v>
      </c>
      <c r="AH4505">
        <v>0</v>
      </c>
      <c r="AI4505">
        <v>0</v>
      </c>
      <c r="AJ4505">
        <v>0</v>
      </c>
      <c r="AK4505">
        <v>0</v>
      </c>
      <c r="AL4505">
        <v>0</v>
      </c>
      <c r="AM4505">
        <v>0</v>
      </c>
      <c r="AN4505">
        <v>0</v>
      </c>
      <c r="AO4505">
        <v>1</v>
      </c>
      <c r="AP4505">
        <v>0</v>
      </c>
      <c r="AQ4505">
        <v>0</v>
      </c>
      <c r="AR4505">
        <v>0</v>
      </c>
      <c r="AS4505">
        <v>0</v>
      </c>
      <c r="AT4505">
        <v>0</v>
      </c>
      <c r="AU4505">
        <f t="shared" ref="AU4505:AU4568" si="140">SUM(AN4505:AQ4505,AS4505)</f>
        <v>1</v>
      </c>
      <c r="AV4505">
        <f t="shared" ref="AV4505:AV4568" si="141">SUM(Y4505:AB4505,AH4505:AM4505)</f>
        <v>0</v>
      </c>
    </row>
    <row r="4506" spans="1:48" x14ac:dyDescent="0.25">
      <c r="A4506" t="s">
        <v>13093</v>
      </c>
      <c r="B4506" t="s">
        <v>13093</v>
      </c>
      <c r="C4506" t="s">
        <v>13094</v>
      </c>
      <c r="D4506" t="s">
        <v>13095</v>
      </c>
      <c r="E4506" t="s">
        <v>2310</v>
      </c>
      <c r="F4506">
        <v>9</v>
      </c>
      <c r="G4506">
        <v>9.1</v>
      </c>
      <c r="H4506" t="s">
        <v>2323</v>
      </c>
      <c r="I4506" s="21">
        <v>42333.436087962997</v>
      </c>
      <c r="J4506">
        <v>2015</v>
      </c>
      <c r="K4506" s="21">
        <v>42384.432858796303</v>
      </c>
      <c r="L4506">
        <v>2016</v>
      </c>
      <c r="M4506" s="21">
        <v>42725.409027777801</v>
      </c>
      <c r="N4506">
        <v>2016</v>
      </c>
      <c r="Q4506" s="262">
        <v>1200000</v>
      </c>
      <c r="R4506" s="262">
        <v>495000</v>
      </c>
      <c r="S4506" t="s">
        <v>114</v>
      </c>
      <c r="T4506" t="s">
        <v>114</v>
      </c>
      <c r="W4506">
        <v>4491</v>
      </c>
      <c r="X4506">
        <v>1</v>
      </c>
      <c r="Y4506">
        <v>0</v>
      </c>
      <c r="Z4506">
        <v>0</v>
      </c>
      <c r="AA4506">
        <v>0</v>
      </c>
      <c r="AB4506">
        <v>0</v>
      </c>
      <c r="AC4506">
        <v>4491</v>
      </c>
      <c r="AD4506">
        <v>0</v>
      </c>
      <c r="AE4506">
        <v>0</v>
      </c>
      <c r="AF4506">
        <v>0</v>
      </c>
      <c r="AG4506">
        <v>0</v>
      </c>
      <c r="AH4506">
        <v>0</v>
      </c>
      <c r="AI4506">
        <v>0</v>
      </c>
      <c r="AJ4506">
        <v>0</v>
      </c>
      <c r="AK4506">
        <v>0</v>
      </c>
      <c r="AL4506">
        <v>0</v>
      </c>
      <c r="AM4506">
        <v>0</v>
      </c>
      <c r="AN4506">
        <v>0</v>
      </c>
      <c r="AO4506">
        <v>1</v>
      </c>
      <c r="AP4506">
        <v>0</v>
      </c>
      <c r="AQ4506">
        <v>0</v>
      </c>
      <c r="AR4506">
        <v>0</v>
      </c>
      <c r="AS4506">
        <v>0</v>
      </c>
      <c r="AT4506">
        <v>0</v>
      </c>
      <c r="AU4506">
        <f t="shared" si="140"/>
        <v>1</v>
      </c>
      <c r="AV4506">
        <f t="shared" si="141"/>
        <v>0</v>
      </c>
    </row>
    <row r="4507" spans="1:48" x14ac:dyDescent="0.25">
      <c r="A4507" t="s">
        <v>13096</v>
      </c>
      <c r="C4507" t="s">
        <v>13097</v>
      </c>
      <c r="D4507" t="s">
        <v>13098</v>
      </c>
      <c r="E4507" t="s">
        <v>1663</v>
      </c>
      <c r="F4507">
        <v>3</v>
      </c>
      <c r="G4507">
        <v>3.2</v>
      </c>
      <c r="H4507" t="s">
        <v>2327</v>
      </c>
      <c r="I4507" s="21">
        <v>42339</v>
      </c>
      <c r="J4507">
        <v>2015</v>
      </c>
      <c r="K4507" s="21">
        <v>42383</v>
      </c>
      <c r="L4507">
        <v>2016</v>
      </c>
      <c r="M4507" s="21">
        <v>42482</v>
      </c>
      <c r="N4507">
        <v>2016</v>
      </c>
      <c r="Q4507" s="262">
        <v>30000</v>
      </c>
      <c r="S4507" t="s">
        <v>114</v>
      </c>
      <c r="T4507" t="s">
        <v>114</v>
      </c>
      <c r="V4507">
        <v>357</v>
      </c>
      <c r="W4507">
        <v>0</v>
      </c>
      <c r="X4507">
        <v>1</v>
      </c>
      <c r="Y4507">
        <v>0</v>
      </c>
      <c r="Z4507">
        <v>0</v>
      </c>
      <c r="AA4507">
        <v>0</v>
      </c>
      <c r="AB4507">
        <v>0</v>
      </c>
      <c r="AC4507">
        <v>-357</v>
      </c>
      <c r="AD4507">
        <v>0</v>
      </c>
      <c r="AE4507">
        <v>0</v>
      </c>
      <c r="AF4507">
        <v>357</v>
      </c>
      <c r="AG4507">
        <v>0</v>
      </c>
      <c r="AH4507">
        <v>0</v>
      </c>
      <c r="AI4507">
        <v>0</v>
      </c>
      <c r="AJ4507">
        <v>0</v>
      </c>
      <c r="AK4507">
        <v>0</v>
      </c>
      <c r="AL4507">
        <v>0</v>
      </c>
      <c r="AM4507">
        <v>0</v>
      </c>
      <c r="AN4507">
        <v>0</v>
      </c>
      <c r="AO4507">
        <v>0</v>
      </c>
      <c r="AP4507">
        <v>0</v>
      </c>
      <c r="AQ4507">
        <v>0</v>
      </c>
      <c r="AR4507">
        <v>1</v>
      </c>
      <c r="AS4507">
        <v>0</v>
      </c>
      <c r="AT4507">
        <v>0</v>
      </c>
      <c r="AU4507">
        <f t="shared" si="140"/>
        <v>0</v>
      </c>
      <c r="AV4507">
        <f t="shared" si="141"/>
        <v>0</v>
      </c>
    </row>
    <row r="4508" spans="1:48" x14ac:dyDescent="0.25">
      <c r="A4508" t="s">
        <v>13099</v>
      </c>
      <c r="B4508" t="s">
        <v>13099</v>
      </c>
      <c r="C4508" t="s">
        <v>13100</v>
      </c>
      <c r="D4508" t="s">
        <v>2884</v>
      </c>
      <c r="E4508" t="s">
        <v>2310</v>
      </c>
      <c r="F4508">
        <v>10</v>
      </c>
      <c r="G4508">
        <v>10.1</v>
      </c>
      <c r="H4508" t="s">
        <v>2323</v>
      </c>
      <c r="I4508" s="21">
        <v>42340.602546296301</v>
      </c>
      <c r="J4508">
        <v>2015</v>
      </c>
      <c r="O4508" s="21">
        <v>42341.381562499999</v>
      </c>
      <c r="Q4508" s="262">
        <v>45000</v>
      </c>
      <c r="R4508" s="262">
        <v>52000</v>
      </c>
      <c r="S4508" t="s">
        <v>114</v>
      </c>
      <c r="T4508" t="s">
        <v>114</v>
      </c>
      <c r="V4508">
        <v>532</v>
      </c>
      <c r="W4508">
        <v>0</v>
      </c>
      <c r="X4508">
        <v>0</v>
      </c>
      <c r="Y4508">
        <v>0</v>
      </c>
      <c r="Z4508">
        <v>0</v>
      </c>
      <c r="AA4508">
        <v>0</v>
      </c>
      <c r="AB4508">
        <v>0</v>
      </c>
      <c r="AC4508">
        <v>0</v>
      </c>
      <c r="AD4508">
        <v>0</v>
      </c>
      <c r="AE4508">
        <v>0</v>
      </c>
      <c r="AF4508">
        <v>0</v>
      </c>
      <c r="AG4508">
        <v>0</v>
      </c>
      <c r="AH4508">
        <v>0</v>
      </c>
      <c r="AI4508">
        <v>0</v>
      </c>
      <c r="AJ4508">
        <v>0</v>
      </c>
      <c r="AK4508">
        <v>0</v>
      </c>
      <c r="AL4508">
        <v>0</v>
      </c>
      <c r="AM4508">
        <v>0</v>
      </c>
      <c r="AN4508">
        <v>0</v>
      </c>
      <c r="AO4508">
        <v>0</v>
      </c>
      <c r="AP4508">
        <v>0</v>
      </c>
      <c r="AQ4508">
        <v>0</v>
      </c>
      <c r="AR4508">
        <v>0</v>
      </c>
      <c r="AS4508">
        <v>0</v>
      </c>
      <c r="AT4508">
        <v>0</v>
      </c>
      <c r="AU4508">
        <f t="shared" si="140"/>
        <v>0</v>
      </c>
      <c r="AV4508">
        <f t="shared" si="141"/>
        <v>0</v>
      </c>
    </row>
    <row r="4509" spans="1:48" x14ac:dyDescent="0.25">
      <c r="A4509" t="s">
        <v>13101</v>
      </c>
      <c r="C4509" t="s">
        <v>13102</v>
      </c>
      <c r="D4509" t="s">
        <v>13103</v>
      </c>
      <c r="E4509" t="s">
        <v>1663</v>
      </c>
      <c r="F4509">
        <v>3</v>
      </c>
      <c r="G4509">
        <v>3.2</v>
      </c>
      <c r="H4509" t="s">
        <v>2327</v>
      </c>
      <c r="I4509" s="21">
        <v>42341</v>
      </c>
      <c r="J4509">
        <v>2015</v>
      </c>
      <c r="P4509" s="21">
        <v>42674</v>
      </c>
      <c r="Q4509" s="262">
        <v>10000</v>
      </c>
      <c r="S4509" t="s">
        <v>114</v>
      </c>
      <c r="T4509" t="s">
        <v>114</v>
      </c>
      <c r="V4509">
        <v>0</v>
      </c>
      <c r="W4509">
        <v>0</v>
      </c>
      <c r="X4509">
        <v>0</v>
      </c>
      <c r="Y4509">
        <v>0</v>
      </c>
      <c r="Z4509">
        <v>0</v>
      </c>
      <c r="AA4509">
        <v>0</v>
      </c>
      <c r="AB4509">
        <v>0</v>
      </c>
      <c r="AC4509">
        <v>0</v>
      </c>
      <c r="AD4509">
        <v>0</v>
      </c>
      <c r="AE4509">
        <v>0</v>
      </c>
      <c r="AF4509">
        <v>0</v>
      </c>
      <c r="AG4509">
        <v>0</v>
      </c>
      <c r="AH4509">
        <v>0</v>
      </c>
      <c r="AI4509">
        <v>0</v>
      </c>
      <c r="AJ4509">
        <v>0</v>
      </c>
      <c r="AK4509">
        <v>0</v>
      </c>
      <c r="AL4509">
        <v>0</v>
      </c>
      <c r="AM4509">
        <v>0</v>
      </c>
      <c r="AN4509">
        <v>0</v>
      </c>
      <c r="AO4509">
        <v>0</v>
      </c>
      <c r="AP4509">
        <v>0</v>
      </c>
      <c r="AQ4509">
        <v>0</v>
      </c>
      <c r="AR4509">
        <v>0</v>
      </c>
      <c r="AS4509">
        <v>0</v>
      </c>
      <c r="AT4509">
        <v>0</v>
      </c>
      <c r="AU4509">
        <f t="shared" si="140"/>
        <v>0</v>
      </c>
      <c r="AV4509">
        <f t="shared" si="141"/>
        <v>0</v>
      </c>
    </row>
    <row r="4510" spans="1:48" x14ac:dyDescent="0.25">
      <c r="A4510" t="s">
        <v>13596</v>
      </c>
      <c r="C4510" t="s">
        <v>11879</v>
      </c>
      <c r="D4510" t="s">
        <v>12339</v>
      </c>
      <c r="E4510" t="s">
        <v>1663</v>
      </c>
      <c r="F4510">
        <v>5</v>
      </c>
      <c r="G4510">
        <v>5.0999999999999996</v>
      </c>
      <c r="H4510" t="s">
        <v>2327</v>
      </c>
      <c r="I4510" s="21">
        <v>42342</v>
      </c>
      <c r="J4510">
        <v>2015</v>
      </c>
      <c r="M4510" s="21">
        <v>43031</v>
      </c>
      <c r="N4510">
        <v>2017</v>
      </c>
      <c r="Q4510" s="262">
        <v>50000</v>
      </c>
      <c r="S4510" t="s">
        <v>114</v>
      </c>
      <c r="T4510" t="s">
        <v>114</v>
      </c>
      <c r="W4510">
        <v>0</v>
      </c>
      <c r="X4510">
        <v>0</v>
      </c>
      <c r="Y4510">
        <v>0</v>
      </c>
      <c r="Z4510">
        <v>0</v>
      </c>
      <c r="AA4510">
        <v>0</v>
      </c>
      <c r="AB4510">
        <v>0</v>
      </c>
      <c r="AC4510">
        <v>0</v>
      </c>
      <c r="AD4510">
        <v>0</v>
      </c>
      <c r="AE4510">
        <v>0</v>
      </c>
      <c r="AF4510">
        <v>0</v>
      </c>
      <c r="AG4510">
        <v>0</v>
      </c>
      <c r="AH4510">
        <v>0</v>
      </c>
      <c r="AI4510">
        <v>0</v>
      </c>
      <c r="AJ4510">
        <v>0</v>
      </c>
      <c r="AK4510">
        <v>0</v>
      </c>
      <c r="AL4510">
        <v>0</v>
      </c>
      <c r="AM4510">
        <v>0</v>
      </c>
      <c r="AN4510">
        <v>0</v>
      </c>
      <c r="AO4510">
        <v>0</v>
      </c>
      <c r="AP4510">
        <v>0</v>
      </c>
      <c r="AQ4510">
        <v>0</v>
      </c>
      <c r="AR4510">
        <v>0</v>
      </c>
      <c r="AS4510">
        <v>0</v>
      </c>
      <c r="AT4510">
        <v>0</v>
      </c>
      <c r="AU4510">
        <f t="shared" si="140"/>
        <v>0</v>
      </c>
      <c r="AV4510">
        <f t="shared" si="141"/>
        <v>0</v>
      </c>
    </row>
    <row r="4511" spans="1:48" x14ac:dyDescent="0.25">
      <c r="A4511" t="s">
        <v>13618</v>
      </c>
      <c r="C4511" t="s">
        <v>11879</v>
      </c>
      <c r="D4511" t="s">
        <v>13619</v>
      </c>
      <c r="E4511" t="s">
        <v>1663</v>
      </c>
      <c r="F4511">
        <v>3</v>
      </c>
      <c r="G4511">
        <v>3.2</v>
      </c>
      <c r="H4511" t="s">
        <v>2327</v>
      </c>
      <c r="I4511" s="21">
        <v>42342</v>
      </c>
      <c r="J4511">
        <v>2015</v>
      </c>
      <c r="K4511" s="21">
        <v>42354</v>
      </c>
      <c r="L4511">
        <v>2015</v>
      </c>
      <c r="M4511" s="21">
        <v>42752</v>
      </c>
      <c r="N4511">
        <v>2017</v>
      </c>
      <c r="Q4511" s="262">
        <v>10000</v>
      </c>
      <c r="S4511" t="s">
        <v>114</v>
      </c>
      <c r="T4511" t="s">
        <v>114</v>
      </c>
      <c r="V4511">
        <v>2200</v>
      </c>
      <c r="W4511">
        <v>0</v>
      </c>
      <c r="X4511">
        <v>0</v>
      </c>
      <c r="Y4511">
        <v>0</v>
      </c>
      <c r="Z4511">
        <v>0</v>
      </c>
      <c r="AA4511">
        <v>0</v>
      </c>
      <c r="AB4511">
        <v>0</v>
      </c>
      <c r="AC4511">
        <v>0</v>
      </c>
      <c r="AD4511">
        <v>0</v>
      </c>
      <c r="AE4511">
        <v>0</v>
      </c>
      <c r="AF4511">
        <v>0</v>
      </c>
      <c r="AG4511">
        <v>0</v>
      </c>
      <c r="AH4511">
        <v>0</v>
      </c>
      <c r="AI4511">
        <v>0</v>
      </c>
      <c r="AJ4511">
        <v>0</v>
      </c>
      <c r="AK4511">
        <v>0</v>
      </c>
      <c r="AL4511">
        <v>0</v>
      </c>
      <c r="AM4511">
        <v>0</v>
      </c>
      <c r="AN4511">
        <v>0</v>
      </c>
      <c r="AO4511">
        <v>0</v>
      </c>
      <c r="AP4511">
        <v>0</v>
      </c>
      <c r="AQ4511">
        <v>0</v>
      </c>
      <c r="AR4511">
        <v>0</v>
      </c>
      <c r="AS4511">
        <v>0</v>
      </c>
      <c r="AT4511">
        <v>0</v>
      </c>
      <c r="AU4511">
        <f t="shared" si="140"/>
        <v>0</v>
      </c>
      <c r="AV4511">
        <f t="shared" si="141"/>
        <v>0</v>
      </c>
    </row>
    <row r="4512" spans="1:48" x14ac:dyDescent="0.25">
      <c r="A4512" t="s">
        <v>13107</v>
      </c>
      <c r="B4512" t="s">
        <v>13107</v>
      </c>
      <c r="C4512" t="s">
        <v>13108</v>
      </c>
      <c r="D4512" t="s">
        <v>13109</v>
      </c>
      <c r="E4512" t="s">
        <v>2310</v>
      </c>
      <c r="F4512">
        <v>11</v>
      </c>
      <c r="G4512">
        <v>11.2</v>
      </c>
      <c r="H4512" t="s">
        <v>2017</v>
      </c>
      <c r="I4512" s="21">
        <v>42353.568472222199</v>
      </c>
      <c r="J4512">
        <v>2015</v>
      </c>
      <c r="K4512" s="21">
        <v>42383.414074074099</v>
      </c>
      <c r="L4512">
        <v>2016</v>
      </c>
      <c r="M4512" s="21">
        <v>42661.446921296301</v>
      </c>
      <c r="N4512">
        <v>2016</v>
      </c>
      <c r="Q4512" s="262">
        <v>500000</v>
      </c>
      <c r="R4512" s="262">
        <v>316000</v>
      </c>
      <c r="S4512" t="s">
        <v>114</v>
      </c>
      <c r="T4512" t="s">
        <v>114</v>
      </c>
      <c r="W4512">
        <v>3116</v>
      </c>
      <c r="X4512">
        <v>1</v>
      </c>
      <c r="Y4512">
        <v>0</v>
      </c>
      <c r="Z4512">
        <v>0</v>
      </c>
      <c r="AA4512">
        <v>0</v>
      </c>
      <c r="AB4512">
        <v>0</v>
      </c>
      <c r="AC4512">
        <v>3116</v>
      </c>
      <c r="AD4512">
        <v>0</v>
      </c>
      <c r="AE4512">
        <v>0</v>
      </c>
      <c r="AF4512">
        <v>0</v>
      </c>
      <c r="AG4512">
        <v>0</v>
      </c>
      <c r="AH4512">
        <v>0</v>
      </c>
      <c r="AI4512">
        <v>0</v>
      </c>
      <c r="AJ4512">
        <v>0</v>
      </c>
      <c r="AK4512">
        <v>0</v>
      </c>
      <c r="AL4512">
        <v>0</v>
      </c>
      <c r="AM4512">
        <v>0</v>
      </c>
      <c r="AN4512">
        <v>0</v>
      </c>
      <c r="AO4512">
        <v>1</v>
      </c>
      <c r="AP4512">
        <v>0</v>
      </c>
      <c r="AQ4512">
        <v>0</v>
      </c>
      <c r="AR4512">
        <v>0</v>
      </c>
      <c r="AS4512">
        <v>0</v>
      </c>
      <c r="AT4512">
        <v>0</v>
      </c>
      <c r="AU4512">
        <f t="shared" si="140"/>
        <v>1</v>
      </c>
      <c r="AV4512">
        <f t="shared" si="141"/>
        <v>0</v>
      </c>
    </row>
    <row r="4513" spans="1:48" x14ac:dyDescent="0.25">
      <c r="A4513" t="s">
        <v>13110</v>
      </c>
      <c r="C4513" t="s">
        <v>12530</v>
      </c>
      <c r="D4513" t="s">
        <v>8220</v>
      </c>
      <c r="E4513" t="s">
        <v>1663</v>
      </c>
      <c r="F4513">
        <v>3</v>
      </c>
      <c r="G4513">
        <v>3.1</v>
      </c>
      <c r="H4513" t="s">
        <v>2017</v>
      </c>
      <c r="I4513" s="21">
        <v>42354</v>
      </c>
      <c r="J4513">
        <v>2015</v>
      </c>
      <c r="K4513" s="21">
        <v>42366</v>
      </c>
      <c r="L4513">
        <v>2015</v>
      </c>
      <c r="M4513" s="21">
        <v>42453</v>
      </c>
      <c r="N4513">
        <v>2016</v>
      </c>
      <c r="Q4513" s="262">
        <v>75000</v>
      </c>
      <c r="S4513" t="s">
        <v>114</v>
      </c>
      <c r="T4513" t="s">
        <v>114</v>
      </c>
      <c r="V4513">
        <v>0</v>
      </c>
      <c r="W4513">
        <v>0</v>
      </c>
      <c r="X4513">
        <v>0</v>
      </c>
      <c r="Y4513">
        <v>0</v>
      </c>
      <c r="Z4513">
        <v>0</v>
      </c>
      <c r="AA4513">
        <v>0</v>
      </c>
      <c r="AB4513">
        <v>0</v>
      </c>
      <c r="AC4513">
        <v>0</v>
      </c>
      <c r="AD4513">
        <v>0</v>
      </c>
      <c r="AE4513">
        <v>0</v>
      </c>
      <c r="AF4513">
        <v>0</v>
      </c>
      <c r="AG4513">
        <v>0</v>
      </c>
      <c r="AH4513">
        <v>0</v>
      </c>
      <c r="AI4513">
        <v>0</v>
      </c>
      <c r="AJ4513">
        <v>0</v>
      </c>
      <c r="AK4513">
        <v>0</v>
      </c>
      <c r="AL4513">
        <v>0</v>
      </c>
      <c r="AM4513">
        <v>0</v>
      </c>
      <c r="AN4513">
        <v>0</v>
      </c>
      <c r="AO4513">
        <v>0</v>
      </c>
      <c r="AP4513">
        <v>0</v>
      </c>
      <c r="AQ4513">
        <v>0</v>
      </c>
      <c r="AR4513">
        <v>0</v>
      </c>
      <c r="AS4513">
        <v>0</v>
      </c>
      <c r="AT4513">
        <v>0</v>
      </c>
      <c r="AU4513">
        <f t="shared" si="140"/>
        <v>0</v>
      </c>
      <c r="AV4513">
        <f t="shared" si="141"/>
        <v>0</v>
      </c>
    </row>
    <row r="4514" spans="1:48" x14ac:dyDescent="0.25">
      <c r="A4514" t="s">
        <v>13111</v>
      </c>
      <c r="B4514" t="s">
        <v>13111</v>
      </c>
      <c r="C4514" t="s">
        <v>13112</v>
      </c>
      <c r="D4514" t="s">
        <v>13113</v>
      </c>
      <c r="E4514" t="s">
        <v>2310</v>
      </c>
      <c r="F4514">
        <v>7</v>
      </c>
      <c r="G4514">
        <v>7.2</v>
      </c>
      <c r="H4514" t="s">
        <v>2017</v>
      </c>
      <c r="I4514" s="21">
        <v>42354.454988425903</v>
      </c>
      <c r="J4514">
        <v>2015</v>
      </c>
      <c r="K4514" s="21">
        <v>42390.696342592601</v>
      </c>
      <c r="L4514">
        <v>2016</v>
      </c>
      <c r="M4514" s="21">
        <v>42692.4523611111</v>
      </c>
      <c r="N4514">
        <v>2016</v>
      </c>
      <c r="Q4514" s="262">
        <v>310000</v>
      </c>
      <c r="R4514" s="262">
        <v>375000</v>
      </c>
      <c r="S4514" t="s">
        <v>114</v>
      </c>
      <c r="T4514" t="s">
        <v>114</v>
      </c>
      <c r="W4514">
        <v>4950</v>
      </c>
      <c r="X4514">
        <v>0</v>
      </c>
      <c r="Y4514">
        <v>0</v>
      </c>
      <c r="Z4514">
        <v>0</v>
      </c>
      <c r="AA4514">
        <v>0</v>
      </c>
      <c r="AB4514">
        <v>0</v>
      </c>
      <c r="AC4514">
        <v>0</v>
      </c>
      <c r="AD4514">
        <v>0</v>
      </c>
      <c r="AE4514">
        <v>0</v>
      </c>
      <c r="AF4514">
        <v>0</v>
      </c>
      <c r="AG4514">
        <v>0</v>
      </c>
      <c r="AH4514">
        <v>0</v>
      </c>
      <c r="AI4514">
        <v>0</v>
      </c>
      <c r="AJ4514">
        <v>0</v>
      </c>
      <c r="AK4514">
        <v>0</v>
      </c>
      <c r="AL4514">
        <v>4950</v>
      </c>
      <c r="AM4514">
        <v>0</v>
      </c>
      <c r="AN4514">
        <v>0</v>
      </c>
      <c r="AO4514">
        <v>0</v>
      </c>
      <c r="AP4514">
        <v>0</v>
      </c>
      <c r="AQ4514">
        <v>0</v>
      </c>
      <c r="AR4514">
        <v>0</v>
      </c>
      <c r="AS4514">
        <v>0</v>
      </c>
      <c r="AT4514">
        <v>0</v>
      </c>
      <c r="AU4514">
        <f t="shared" si="140"/>
        <v>0</v>
      </c>
      <c r="AV4514">
        <f t="shared" si="141"/>
        <v>4950</v>
      </c>
    </row>
    <row r="4515" spans="1:48" x14ac:dyDescent="0.25">
      <c r="A4515" t="s">
        <v>17770</v>
      </c>
      <c r="B4515" t="s">
        <v>17770</v>
      </c>
      <c r="C4515" t="s">
        <v>17771</v>
      </c>
      <c r="D4515" t="s">
        <v>17772</v>
      </c>
      <c r="E4515" t="s">
        <v>2310</v>
      </c>
      <c r="F4515">
        <v>9</v>
      </c>
      <c r="G4515">
        <v>9.3000000000000007</v>
      </c>
      <c r="H4515" t="s">
        <v>2323</v>
      </c>
      <c r="I4515" s="21">
        <v>42356.557789351849</v>
      </c>
      <c r="J4515">
        <v>2015</v>
      </c>
      <c r="K4515" s="21">
        <v>43075.429675925923</v>
      </c>
      <c r="L4515">
        <v>2017</v>
      </c>
      <c r="M4515" s="21">
        <v>43075.429675925923</v>
      </c>
      <c r="N4515">
        <v>2017</v>
      </c>
      <c r="Q4515" s="262">
        <v>450000</v>
      </c>
      <c r="R4515" s="262">
        <v>10000</v>
      </c>
      <c r="S4515" t="s">
        <v>13253</v>
      </c>
      <c r="T4515">
        <v>4325</v>
      </c>
      <c r="W4515">
        <v>37</v>
      </c>
      <c r="X4515">
        <v>0</v>
      </c>
      <c r="Y4515">
        <v>0</v>
      </c>
      <c r="Z4515">
        <v>0</v>
      </c>
      <c r="AA4515">
        <v>0</v>
      </c>
      <c r="AB4515">
        <v>0</v>
      </c>
      <c r="AC4515">
        <v>37</v>
      </c>
      <c r="AD4515">
        <v>0</v>
      </c>
      <c r="AE4515">
        <v>0</v>
      </c>
      <c r="AF4515">
        <v>0</v>
      </c>
      <c r="AG4515">
        <v>0</v>
      </c>
      <c r="AH4515">
        <v>0</v>
      </c>
      <c r="AI4515">
        <v>0</v>
      </c>
      <c r="AJ4515">
        <v>0</v>
      </c>
      <c r="AK4515">
        <v>0</v>
      </c>
      <c r="AL4515">
        <v>0</v>
      </c>
      <c r="AM4515">
        <v>0</v>
      </c>
      <c r="AN4515">
        <v>0</v>
      </c>
      <c r="AO4515">
        <v>0</v>
      </c>
      <c r="AP4515">
        <v>0</v>
      </c>
      <c r="AQ4515">
        <v>0</v>
      </c>
      <c r="AR4515">
        <v>0</v>
      </c>
      <c r="AS4515">
        <v>0</v>
      </c>
      <c r="AT4515">
        <v>0</v>
      </c>
      <c r="AU4515">
        <f t="shared" si="140"/>
        <v>0</v>
      </c>
      <c r="AV4515">
        <f t="shared" si="141"/>
        <v>0</v>
      </c>
    </row>
    <row r="4516" spans="1:48" x14ac:dyDescent="0.25">
      <c r="A4516" t="s">
        <v>17773</v>
      </c>
      <c r="B4516" t="s">
        <v>17773</v>
      </c>
      <c r="C4516" t="s">
        <v>17774</v>
      </c>
      <c r="D4516" t="s">
        <v>17775</v>
      </c>
      <c r="E4516" t="s">
        <v>2310</v>
      </c>
      <c r="F4516">
        <v>14</v>
      </c>
      <c r="G4516">
        <v>14.2</v>
      </c>
      <c r="H4516" t="s">
        <v>2017</v>
      </c>
      <c r="I4516" s="21">
        <v>42360.5698611111</v>
      </c>
      <c r="J4516">
        <v>2015</v>
      </c>
      <c r="K4516" s="21">
        <v>42738.538541666698</v>
      </c>
      <c r="L4516">
        <v>2017</v>
      </c>
      <c r="M4516" s="21">
        <v>42738.538541666698</v>
      </c>
      <c r="N4516">
        <v>2017</v>
      </c>
      <c r="Q4516" s="262">
        <v>900000</v>
      </c>
      <c r="R4516" s="262">
        <v>1037000</v>
      </c>
      <c r="S4516" t="s">
        <v>114</v>
      </c>
      <c r="T4516" t="s">
        <v>114</v>
      </c>
      <c r="W4516">
        <v>10855</v>
      </c>
      <c r="X4516">
        <v>1</v>
      </c>
      <c r="Y4516">
        <v>0</v>
      </c>
      <c r="Z4516">
        <v>0</v>
      </c>
      <c r="AA4516">
        <v>0</v>
      </c>
      <c r="AB4516">
        <v>0</v>
      </c>
      <c r="AC4516">
        <v>10855</v>
      </c>
      <c r="AD4516">
        <v>0</v>
      </c>
      <c r="AE4516">
        <v>0</v>
      </c>
      <c r="AF4516">
        <v>0</v>
      </c>
      <c r="AG4516">
        <v>0</v>
      </c>
      <c r="AH4516">
        <v>0</v>
      </c>
      <c r="AI4516">
        <v>0</v>
      </c>
      <c r="AJ4516">
        <v>0</v>
      </c>
      <c r="AK4516">
        <v>0</v>
      </c>
      <c r="AL4516">
        <v>0</v>
      </c>
      <c r="AM4516">
        <v>0</v>
      </c>
      <c r="AN4516">
        <v>0</v>
      </c>
      <c r="AO4516">
        <v>1</v>
      </c>
      <c r="AP4516">
        <v>0</v>
      </c>
      <c r="AQ4516">
        <v>0</v>
      </c>
      <c r="AR4516">
        <v>0</v>
      </c>
      <c r="AS4516">
        <v>0</v>
      </c>
      <c r="AT4516">
        <v>0</v>
      </c>
      <c r="AU4516">
        <f t="shared" si="140"/>
        <v>1</v>
      </c>
      <c r="AV4516">
        <f t="shared" si="141"/>
        <v>0</v>
      </c>
    </row>
    <row r="4517" spans="1:48" x14ac:dyDescent="0.25">
      <c r="A4517" t="s">
        <v>13114</v>
      </c>
      <c r="C4517" t="s">
        <v>13115</v>
      </c>
      <c r="D4517" t="s">
        <v>12081</v>
      </c>
      <c r="E4517" t="s">
        <v>1663</v>
      </c>
      <c r="F4517">
        <v>4</v>
      </c>
      <c r="G4517">
        <v>4.2</v>
      </c>
      <c r="H4517" t="s">
        <v>2327</v>
      </c>
      <c r="I4517" s="21">
        <v>42361</v>
      </c>
      <c r="J4517">
        <v>2015</v>
      </c>
      <c r="K4517" s="21">
        <v>42361</v>
      </c>
      <c r="L4517">
        <v>2015</v>
      </c>
      <c r="P4517" s="21">
        <v>42548</v>
      </c>
      <c r="Q4517" s="262">
        <v>0</v>
      </c>
      <c r="S4517" t="s">
        <v>114</v>
      </c>
      <c r="T4517" t="s">
        <v>114</v>
      </c>
      <c r="W4517">
        <v>1000</v>
      </c>
      <c r="X4517">
        <v>1</v>
      </c>
      <c r="Y4517">
        <v>0</v>
      </c>
      <c r="Z4517">
        <v>0</v>
      </c>
      <c r="AA4517">
        <v>0</v>
      </c>
      <c r="AB4517">
        <v>0</v>
      </c>
      <c r="AC4517">
        <v>0</v>
      </c>
      <c r="AD4517">
        <v>0</v>
      </c>
      <c r="AE4517">
        <v>0</v>
      </c>
      <c r="AF4517">
        <v>1000</v>
      </c>
      <c r="AG4517">
        <v>0</v>
      </c>
      <c r="AH4517">
        <v>0</v>
      </c>
      <c r="AI4517">
        <v>0</v>
      </c>
      <c r="AJ4517">
        <v>0</v>
      </c>
      <c r="AK4517">
        <v>0</v>
      </c>
      <c r="AL4517">
        <v>0</v>
      </c>
      <c r="AM4517">
        <v>0</v>
      </c>
      <c r="AN4517">
        <v>0</v>
      </c>
      <c r="AO4517">
        <v>0</v>
      </c>
      <c r="AP4517">
        <v>0</v>
      </c>
      <c r="AQ4517">
        <v>0</v>
      </c>
      <c r="AR4517">
        <v>1</v>
      </c>
      <c r="AS4517">
        <v>0</v>
      </c>
      <c r="AT4517">
        <v>0</v>
      </c>
      <c r="AU4517">
        <f t="shared" si="140"/>
        <v>0</v>
      </c>
      <c r="AV4517">
        <f t="shared" si="141"/>
        <v>0</v>
      </c>
    </row>
    <row r="4518" spans="1:48" x14ac:dyDescent="0.25">
      <c r="A4518" t="s">
        <v>17776</v>
      </c>
      <c r="B4518" t="s">
        <v>17776</v>
      </c>
      <c r="C4518" t="s">
        <v>17777</v>
      </c>
      <c r="D4518" t="s">
        <v>17778</v>
      </c>
      <c r="E4518" t="s">
        <v>2310</v>
      </c>
      <c r="F4518">
        <v>9</v>
      </c>
      <c r="G4518">
        <v>9.1</v>
      </c>
      <c r="H4518" t="s">
        <v>2323</v>
      </c>
      <c r="I4518" s="21">
        <v>42368.619456018503</v>
      </c>
      <c r="J4518">
        <v>2015</v>
      </c>
      <c r="K4518" s="21">
        <v>42898.355833333299</v>
      </c>
      <c r="L4518">
        <v>2017</v>
      </c>
      <c r="M4518" s="21">
        <v>42898.355833333299</v>
      </c>
      <c r="N4518">
        <v>2017</v>
      </c>
      <c r="Q4518" s="262">
        <v>75000</v>
      </c>
      <c r="R4518" s="262">
        <v>52000</v>
      </c>
      <c r="S4518" t="s">
        <v>114</v>
      </c>
      <c r="T4518" t="s">
        <v>114</v>
      </c>
      <c r="V4518">
        <v>589</v>
      </c>
      <c r="W4518">
        <v>0</v>
      </c>
      <c r="X4518">
        <v>0</v>
      </c>
      <c r="Y4518">
        <v>0</v>
      </c>
      <c r="Z4518">
        <v>0</v>
      </c>
      <c r="AA4518">
        <v>0</v>
      </c>
      <c r="AB4518">
        <v>0</v>
      </c>
      <c r="AC4518">
        <v>0</v>
      </c>
      <c r="AD4518">
        <v>0</v>
      </c>
      <c r="AE4518">
        <v>0</v>
      </c>
      <c r="AF4518">
        <v>0</v>
      </c>
      <c r="AG4518">
        <v>0</v>
      </c>
      <c r="AH4518">
        <v>0</v>
      </c>
      <c r="AI4518">
        <v>0</v>
      </c>
      <c r="AJ4518">
        <v>0</v>
      </c>
      <c r="AK4518">
        <v>0</v>
      </c>
      <c r="AL4518">
        <v>0</v>
      </c>
      <c r="AM4518">
        <v>0</v>
      </c>
      <c r="AN4518">
        <v>0</v>
      </c>
      <c r="AO4518">
        <v>0</v>
      </c>
      <c r="AP4518">
        <v>0</v>
      </c>
      <c r="AQ4518">
        <v>0</v>
      </c>
      <c r="AR4518">
        <v>0</v>
      </c>
      <c r="AS4518">
        <v>0</v>
      </c>
      <c r="AT4518">
        <v>0</v>
      </c>
      <c r="AU4518">
        <f t="shared" si="140"/>
        <v>0</v>
      </c>
      <c r="AV4518">
        <f t="shared" si="141"/>
        <v>0</v>
      </c>
    </row>
    <row r="4519" spans="1:48" x14ac:dyDescent="0.25">
      <c r="A4519" t="s">
        <v>13118</v>
      </c>
      <c r="B4519" t="s">
        <v>13118</v>
      </c>
      <c r="C4519" t="s">
        <v>13119</v>
      </c>
      <c r="D4519" t="s">
        <v>5679</v>
      </c>
      <c r="E4519" t="s">
        <v>2310</v>
      </c>
      <c r="F4519">
        <v>7</v>
      </c>
      <c r="G4519">
        <v>7.1</v>
      </c>
      <c r="H4519" t="s">
        <v>2017</v>
      </c>
      <c r="I4519" s="21">
        <v>42374.600509259297</v>
      </c>
      <c r="J4519">
        <v>2016</v>
      </c>
      <c r="K4519" s="21">
        <v>42409.647048611099</v>
      </c>
      <c r="L4519">
        <v>2016</v>
      </c>
      <c r="P4519" s="21">
        <v>42664.377835648098</v>
      </c>
      <c r="Q4519" s="262">
        <v>15000</v>
      </c>
      <c r="R4519" s="262">
        <v>25000</v>
      </c>
      <c r="S4519" t="s">
        <v>114</v>
      </c>
      <c r="T4519" t="s">
        <v>114</v>
      </c>
      <c r="W4519">
        <v>200</v>
      </c>
      <c r="X4519">
        <v>0</v>
      </c>
      <c r="Y4519">
        <v>0</v>
      </c>
      <c r="Z4519">
        <v>0</v>
      </c>
      <c r="AA4519">
        <v>200</v>
      </c>
      <c r="AB4519">
        <v>0</v>
      </c>
      <c r="AC4519">
        <v>0</v>
      </c>
      <c r="AD4519">
        <v>0</v>
      </c>
      <c r="AE4519">
        <v>0</v>
      </c>
      <c r="AF4519">
        <v>0</v>
      </c>
      <c r="AG4519">
        <v>0</v>
      </c>
      <c r="AH4519">
        <v>0</v>
      </c>
      <c r="AI4519">
        <v>0</v>
      </c>
      <c r="AJ4519">
        <v>0</v>
      </c>
      <c r="AK4519">
        <v>0</v>
      </c>
      <c r="AL4519">
        <v>0</v>
      </c>
      <c r="AM4519">
        <v>0</v>
      </c>
      <c r="AN4519">
        <v>0</v>
      </c>
      <c r="AO4519">
        <v>0</v>
      </c>
      <c r="AP4519">
        <v>0</v>
      </c>
      <c r="AQ4519">
        <v>0</v>
      </c>
      <c r="AR4519">
        <v>0</v>
      </c>
      <c r="AS4519">
        <v>0</v>
      </c>
      <c r="AT4519">
        <v>0</v>
      </c>
      <c r="AU4519">
        <f t="shared" si="140"/>
        <v>0</v>
      </c>
      <c r="AV4519">
        <f t="shared" si="141"/>
        <v>200</v>
      </c>
    </row>
    <row r="4520" spans="1:48" x14ac:dyDescent="0.25">
      <c r="A4520" t="s">
        <v>13120</v>
      </c>
      <c r="B4520" t="s">
        <v>13120</v>
      </c>
      <c r="C4520" t="s">
        <v>13121</v>
      </c>
      <c r="D4520" t="s">
        <v>13122</v>
      </c>
      <c r="E4520" t="s">
        <v>2310</v>
      </c>
      <c r="F4520">
        <v>7</v>
      </c>
      <c r="G4520">
        <v>7.1</v>
      </c>
      <c r="H4520" t="s">
        <v>2017</v>
      </c>
      <c r="I4520" s="21">
        <v>42377.403946759303</v>
      </c>
      <c r="J4520">
        <v>2016</v>
      </c>
      <c r="K4520" s="21">
        <v>42383.618506944404</v>
      </c>
      <c r="L4520">
        <v>2016</v>
      </c>
      <c r="P4520" s="21">
        <v>42578.367442129602</v>
      </c>
      <c r="Q4520" s="262">
        <v>10000</v>
      </c>
      <c r="R4520" s="262">
        <v>30000</v>
      </c>
      <c r="S4520" t="s">
        <v>114</v>
      </c>
      <c r="T4520" t="s">
        <v>114</v>
      </c>
      <c r="W4520">
        <v>0</v>
      </c>
      <c r="X4520">
        <v>0</v>
      </c>
      <c r="Y4520">
        <v>0</v>
      </c>
      <c r="Z4520">
        <v>0</v>
      </c>
      <c r="AA4520">
        <v>0</v>
      </c>
      <c r="AB4520">
        <v>0</v>
      </c>
      <c r="AC4520">
        <v>0</v>
      </c>
      <c r="AD4520">
        <v>0</v>
      </c>
      <c r="AE4520">
        <v>0</v>
      </c>
      <c r="AF4520">
        <v>0</v>
      </c>
      <c r="AG4520">
        <v>0</v>
      </c>
      <c r="AH4520">
        <v>0</v>
      </c>
      <c r="AI4520">
        <v>0</v>
      </c>
      <c r="AJ4520">
        <v>0</v>
      </c>
      <c r="AK4520">
        <v>0</v>
      </c>
      <c r="AL4520">
        <v>0</v>
      </c>
      <c r="AM4520">
        <v>0</v>
      </c>
      <c r="AN4520">
        <v>0</v>
      </c>
      <c r="AO4520">
        <v>0</v>
      </c>
      <c r="AP4520">
        <v>0</v>
      </c>
      <c r="AQ4520">
        <v>0</v>
      </c>
      <c r="AR4520">
        <v>0</v>
      </c>
      <c r="AS4520">
        <v>0</v>
      </c>
      <c r="AT4520">
        <v>0</v>
      </c>
      <c r="AU4520">
        <f t="shared" si="140"/>
        <v>0</v>
      </c>
      <c r="AV4520">
        <f t="shared" si="141"/>
        <v>0</v>
      </c>
    </row>
    <row r="4521" spans="1:48" x14ac:dyDescent="0.25">
      <c r="A4521" t="s">
        <v>13123</v>
      </c>
      <c r="C4521" t="s">
        <v>11879</v>
      </c>
      <c r="D4521" t="s">
        <v>13124</v>
      </c>
      <c r="E4521" t="s">
        <v>1663</v>
      </c>
      <c r="F4521">
        <v>3</v>
      </c>
      <c r="G4521">
        <v>3.1</v>
      </c>
      <c r="H4521" t="s">
        <v>2017</v>
      </c>
      <c r="I4521" s="21">
        <v>42381</v>
      </c>
      <c r="J4521">
        <v>2016</v>
      </c>
      <c r="K4521" s="21">
        <v>42430</v>
      </c>
      <c r="L4521">
        <v>2016</v>
      </c>
      <c r="P4521" s="21">
        <v>42829</v>
      </c>
      <c r="Q4521" s="262">
        <v>332000</v>
      </c>
      <c r="S4521" t="s">
        <v>114</v>
      </c>
      <c r="T4521" t="s">
        <v>114</v>
      </c>
      <c r="W4521">
        <v>0</v>
      </c>
      <c r="X4521">
        <v>0</v>
      </c>
      <c r="Y4521">
        <v>0</v>
      </c>
      <c r="Z4521">
        <v>0</v>
      </c>
      <c r="AA4521">
        <v>0</v>
      </c>
      <c r="AB4521">
        <v>0</v>
      </c>
      <c r="AC4521">
        <v>0</v>
      </c>
      <c r="AD4521">
        <v>0</v>
      </c>
      <c r="AE4521">
        <v>0</v>
      </c>
      <c r="AF4521">
        <v>0</v>
      </c>
      <c r="AG4521">
        <v>0</v>
      </c>
      <c r="AH4521">
        <v>0</v>
      </c>
      <c r="AI4521">
        <v>0</v>
      </c>
      <c r="AJ4521">
        <v>0</v>
      </c>
      <c r="AK4521">
        <v>0</v>
      </c>
      <c r="AL4521">
        <v>0</v>
      </c>
      <c r="AM4521">
        <v>0</v>
      </c>
      <c r="AN4521">
        <v>0</v>
      </c>
      <c r="AO4521">
        <v>0</v>
      </c>
      <c r="AP4521">
        <v>0</v>
      </c>
      <c r="AQ4521">
        <v>0</v>
      </c>
      <c r="AR4521">
        <v>0</v>
      </c>
      <c r="AS4521">
        <v>0</v>
      </c>
      <c r="AT4521">
        <v>0</v>
      </c>
      <c r="AU4521">
        <f t="shared" si="140"/>
        <v>0</v>
      </c>
      <c r="AV4521">
        <f t="shared" si="141"/>
        <v>0</v>
      </c>
    </row>
    <row r="4522" spans="1:48" x14ac:dyDescent="0.25">
      <c r="A4522" t="s">
        <v>17779</v>
      </c>
      <c r="B4522" t="s">
        <v>17779</v>
      </c>
      <c r="C4522" t="s">
        <v>17780</v>
      </c>
      <c r="D4522" t="s">
        <v>5819</v>
      </c>
      <c r="E4522" t="s">
        <v>2310</v>
      </c>
      <c r="F4522">
        <v>9</v>
      </c>
      <c r="G4522">
        <v>9.4</v>
      </c>
      <c r="H4522" t="s">
        <v>2323</v>
      </c>
      <c r="I4522" s="21">
        <v>42382.466631944444</v>
      </c>
      <c r="J4522">
        <v>2016</v>
      </c>
      <c r="K4522" s="21">
        <v>42846.686006944445</v>
      </c>
      <c r="L4522">
        <v>2017</v>
      </c>
      <c r="M4522" s="21">
        <v>42846.686006944445</v>
      </c>
      <c r="N4522">
        <v>2017</v>
      </c>
      <c r="Q4522" s="262">
        <v>364000</v>
      </c>
      <c r="R4522" s="262">
        <v>60000</v>
      </c>
      <c r="S4522" t="s">
        <v>13253</v>
      </c>
      <c r="T4522">
        <v>3105</v>
      </c>
      <c r="W4522">
        <v>756</v>
      </c>
      <c r="X4522">
        <v>0</v>
      </c>
      <c r="Y4522">
        <v>0</v>
      </c>
      <c r="Z4522">
        <v>0</v>
      </c>
      <c r="AA4522">
        <v>0</v>
      </c>
      <c r="AB4522">
        <v>0</v>
      </c>
      <c r="AC4522">
        <v>756</v>
      </c>
      <c r="AD4522">
        <v>0</v>
      </c>
      <c r="AE4522">
        <v>0</v>
      </c>
      <c r="AF4522">
        <v>0</v>
      </c>
      <c r="AG4522">
        <v>0</v>
      </c>
      <c r="AH4522">
        <v>0</v>
      </c>
      <c r="AI4522">
        <v>0</v>
      </c>
      <c r="AJ4522">
        <v>0</v>
      </c>
      <c r="AK4522">
        <v>0</v>
      </c>
      <c r="AL4522">
        <v>0</v>
      </c>
      <c r="AM4522">
        <v>0</v>
      </c>
      <c r="AN4522">
        <v>0</v>
      </c>
      <c r="AO4522">
        <v>0</v>
      </c>
      <c r="AP4522">
        <v>0</v>
      </c>
      <c r="AQ4522">
        <v>0</v>
      </c>
      <c r="AR4522">
        <v>0</v>
      </c>
      <c r="AS4522">
        <v>0</v>
      </c>
      <c r="AT4522">
        <v>0</v>
      </c>
      <c r="AU4522">
        <f t="shared" si="140"/>
        <v>0</v>
      </c>
      <c r="AV4522">
        <f t="shared" si="141"/>
        <v>0</v>
      </c>
    </row>
    <row r="4523" spans="1:48" x14ac:dyDescent="0.25">
      <c r="A4523" t="s">
        <v>13125</v>
      </c>
      <c r="B4523" t="s">
        <v>13125</v>
      </c>
      <c r="C4523" t="s">
        <v>13126</v>
      </c>
      <c r="D4523" t="s">
        <v>13127</v>
      </c>
      <c r="E4523" t="s">
        <v>2310</v>
      </c>
      <c r="F4523">
        <v>15</v>
      </c>
      <c r="G4523">
        <v>15.3</v>
      </c>
      <c r="H4523" t="s">
        <v>2022</v>
      </c>
      <c r="I4523" s="21">
        <v>42388.337939814803</v>
      </c>
      <c r="J4523">
        <v>2016</v>
      </c>
      <c r="K4523" s="21">
        <v>42389.4065625</v>
      </c>
      <c r="L4523">
        <v>2016</v>
      </c>
      <c r="M4523" s="21">
        <v>42506.570370370398</v>
      </c>
      <c r="N4523">
        <v>2016</v>
      </c>
      <c r="Q4523" s="262">
        <v>15000</v>
      </c>
      <c r="R4523" s="262">
        <v>0</v>
      </c>
      <c r="S4523" t="s">
        <v>114</v>
      </c>
      <c r="T4523" t="s">
        <v>114</v>
      </c>
      <c r="W4523">
        <v>0</v>
      </c>
      <c r="X4523">
        <v>0</v>
      </c>
      <c r="Y4523">
        <v>0</v>
      </c>
      <c r="Z4523">
        <v>0</v>
      </c>
      <c r="AA4523">
        <v>0</v>
      </c>
      <c r="AB4523">
        <v>0</v>
      </c>
      <c r="AC4523">
        <v>0</v>
      </c>
      <c r="AD4523">
        <v>0</v>
      </c>
      <c r="AE4523">
        <v>0</v>
      </c>
      <c r="AF4523">
        <v>0</v>
      </c>
      <c r="AG4523">
        <v>0</v>
      </c>
      <c r="AH4523">
        <v>0</v>
      </c>
      <c r="AI4523">
        <v>0</v>
      </c>
      <c r="AJ4523">
        <v>0</v>
      </c>
      <c r="AK4523">
        <v>0</v>
      </c>
      <c r="AL4523">
        <v>0</v>
      </c>
      <c r="AM4523">
        <v>0</v>
      </c>
      <c r="AN4523">
        <v>0</v>
      </c>
      <c r="AO4523">
        <v>0</v>
      </c>
      <c r="AP4523">
        <v>0</v>
      </c>
      <c r="AQ4523">
        <v>0</v>
      </c>
      <c r="AR4523">
        <v>0</v>
      </c>
      <c r="AS4523">
        <v>0</v>
      </c>
      <c r="AT4523">
        <v>0</v>
      </c>
      <c r="AU4523">
        <f t="shared" si="140"/>
        <v>0</v>
      </c>
      <c r="AV4523">
        <f t="shared" si="141"/>
        <v>0</v>
      </c>
    </row>
    <row r="4524" spans="1:48" x14ac:dyDescent="0.25">
      <c r="A4524" t="s">
        <v>17781</v>
      </c>
      <c r="B4524" t="s">
        <v>17781</v>
      </c>
      <c r="C4524" t="s">
        <v>17782</v>
      </c>
      <c r="D4524" t="s">
        <v>17783</v>
      </c>
      <c r="E4524" t="s">
        <v>2310</v>
      </c>
      <c r="F4524">
        <v>13</v>
      </c>
      <c r="G4524">
        <v>13.2</v>
      </c>
      <c r="H4524" t="s">
        <v>2327</v>
      </c>
      <c r="I4524" s="21">
        <v>42389.641527777778</v>
      </c>
      <c r="J4524">
        <v>2016</v>
      </c>
      <c r="K4524" s="21">
        <v>42986.617210648146</v>
      </c>
      <c r="L4524">
        <v>2017</v>
      </c>
      <c r="M4524" s="21">
        <v>42986.617210648146</v>
      </c>
      <c r="N4524">
        <v>2017</v>
      </c>
      <c r="Q4524" s="262">
        <v>2192400</v>
      </c>
      <c r="R4524" s="262">
        <v>696000</v>
      </c>
      <c r="S4524" t="s">
        <v>13254</v>
      </c>
      <c r="W4524">
        <v>5481</v>
      </c>
      <c r="X4524">
        <v>1</v>
      </c>
      <c r="Y4524">
        <v>0</v>
      </c>
      <c r="Z4524">
        <v>0</v>
      </c>
      <c r="AA4524">
        <v>0</v>
      </c>
      <c r="AB4524">
        <v>0</v>
      </c>
      <c r="AC4524">
        <v>5481</v>
      </c>
      <c r="AD4524">
        <v>0</v>
      </c>
      <c r="AE4524">
        <v>0</v>
      </c>
      <c r="AF4524">
        <v>0</v>
      </c>
      <c r="AG4524">
        <v>0</v>
      </c>
      <c r="AH4524">
        <v>0</v>
      </c>
      <c r="AI4524">
        <v>0</v>
      </c>
      <c r="AJ4524">
        <v>0</v>
      </c>
      <c r="AK4524">
        <v>0</v>
      </c>
      <c r="AL4524">
        <v>0</v>
      </c>
      <c r="AM4524">
        <v>0</v>
      </c>
      <c r="AN4524">
        <v>0</v>
      </c>
      <c r="AO4524">
        <v>1</v>
      </c>
      <c r="AP4524">
        <v>0</v>
      </c>
      <c r="AQ4524">
        <v>0</v>
      </c>
      <c r="AR4524">
        <v>0</v>
      </c>
      <c r="AS4524">
        <v>0</v>
      </c>
      <c r="AT4524">
        <v>0</v>
      </c>
      <c r="AU4524">
        <f t="shared" si="140"/>
        <v>1</v>
      </c>
      <c r="AV4524">
        <f t="shared" si="141"/>
        <v>0</v>
      </c>
    </row>
    <row r="4525" spans="1:48" x14ac:dyDescent="0.25">
      <c r="A4525" t="s">
        <v>13128</v>
      </c>
      <c r="B4525" t="s">
        <v>13128</v>
      </c>
      <c r="C4525" t="s">
        <v>13129</v>
      </c>
      <c r="D4525" t="s">
        <v>13130</v>
      </c>
      <c r="E4525" t="s">
        <v>2310</v>
      </c>
      <c r="F4525">
        <v>13</v>
      </c>
      <c r="G4525">
        <v>13.2</v>
      </c>
      <c r="H4525" t="s">
        <v>2327</v>
      </c>
      <c r="I4525" s="21">
        <v>42390.298958333296</v>
      </c>
      <c r="J4525">
        <v>2016</v>
      </c>
      <c r="K4525" s="21">
        <v>42391.477581018502</v>
      </c>
      <c r="L4525">
        <v>2016</v>
      </c>
      <c r="M4525" s="21">
        <v>42571.414351851898</v>
      </c>
      <c r="N4525">
        <v>2016</v>
      </c>
      <c r="R4525" s="262">
        <v>26000</v>
      </c>
      <c r="S4525" t="s">
        <v>114</v>
      </c>
      <c r="T4525" t="s">
        <v>114</v>
      </c>
      <c r="V4525">
        <v>300</v>
      </c>
      <c r="W4525">
        <v>0</v>
      </c>
      <c r="X4525">
        <v>0</v>
      </c>
      <c r="Y4525">
        <v>0</v>
      </c>
      <c r="Z4525">
        <v>0</v>
      </c>
      <c r="AA4525">
        <v>0</v>
      </c>
      <c r="AB4525">
        <v>0</v>
      </c>
      <c r="AC4525">
        <v>0</v>
      </c>
      <c r="AD4525">
        <v>0</v>
      </c>
      <c r="AE4525">
        <v>0</v>
      </c>
      <c r="AF4525">
        <v>0</v>
      </c>
      <c r="AG4525">
        <v>0</v>
      </c>
      <c r="AH4525">
        <v>0</v>
      </c>
      <c r="AI4525">
        <v>0</v>
      </c>
      <c r="AJ4525">
        <v>0</v>
      </c>
      <c r="AK4525">
        <v>0</v>
      </c>
      <c r="AL4525">
        <v>0</v>
      </c>
      <c r="AM4525">
        <v>0</v>
      </c>
      <c r="AN4525">
        <v>0</v>
      </c>
      <c r="AO4525">
        <v>0</v>
      </c>
      <c r="AP4525">
        <v>0</v>
      </c>
      <c r="AQ4525">
        <v>0</v>
      </c>
      <c r="AR4525">
        <v>0</v>
      </c>
      <c r="AS4525">
        <v>0</v>
      </c>
      <c r="AT4525">
        <v>0</v>
      </c>
      <c r="AU4525">
        <f t="shared" si="140"/>
        <v>0</v>
      </c>
      <c r="AV4525">
        <f t="shared" si="141"/>
        <v>0</v>
      </c>
    </row>
    <row r="4526" spans="1:48" x14ac:dyDescent="0.25">
      <c r="A4526" t="s">
        <v>13131</v>
      </c>
      <c r="C4526" t="s">
        <v>13132</v>
      </c>
      <c r="D4526" t="s">
        <v>13133</v>
      </c>
      <c r="E4526" t="s">
        <v>1663</v>
      </c>
      <c r="F4526">
        <v>3</v>
      </c>
      <c r="G4526">
        <v>3.2</v>
      </c>
      <c r="H4526" t="s">
        <v>2327</v>
      </c>
      <c r="I4526" s="21">
        <v>42396</v>
      </c>
      <c r="J4526">
        <v>2016</v>
      </c>
      <c r="K4526" s="21">
        <v>42410</v>
      </c>
      <c r="L4526">
        <v>2016</v>
      </c>
      <c r="P4526" s="21">
        <v>42709</v>
      </c>
      <c r="Q4526" s="262">
        <v>50000</v>
      </c>
      <c r="S4526" t="s">
        <v>114</v>
      </c>
      <c r="T4526" t="s">
        <v>114</v>
      </c>
      <c r="V4526">
        <v>2955</v>
      </c>
      <c r="W4526">
        <v>0</v>
      </c>
      <c r="X4526">
        <v>0</v>
      </c>
      <c r="Y4526">
        <v>0</v>
      </c>
      <c r="Z4526">
        <v>0</v>
      </c>
      <c r="AA4526">
        <v>0</v>
      </c>
      <c r="AB4526">
        <v>0</v>
      </c>
      <c r="AC4526">
        <v>0</v>
      </c>
      <c r="AD4526">
        <v>0</v>
      </c>
      <c r="AE4526">
        <v>0</v>
      </c>
      <c r="AF4526">
        <v>0</v>
      </c>
      <c r="AG4526">
        <v>0</v>
      </c>
      <c r="AH4526">
        <v>0</v>
      </c>
      <c r="AI4526">
        <v>0</v>
      </c>
      <c r="AJ4526">
        <v>0</v>
      </c>
      <c r="AK4526">
        <v>0</v>
      </c>
      <c r="AL4526">
        <v>0</v>
      </c>
      <c r="AM4526">
        <v>0</v>
      </c>
      <c r="AN4526">
        <v>0</v>
      </c>
      <c r="AO4526">
        <v>0</v>
      </c>
      <c r="AP4526">
        <v>0</v>
      </c>
      <c r="AQ4526">
        <v>0</v>
      </c>
      <c r="AR4526">
        <v>0</v>
      </c>
      <c r="AS4526">
        <v>0</v>
      </c>
      <c r="AT4526">
        <v>0</v>
      </c>
      <c r="AU4526">
        <f t="shared" si="140"/>
        <v>0</v>
      </c>
      <c r="AV4526">
        <f t="shared" si="141"/>
        <v>0</v>
      </c>
    </row>
    <row r="4527" spans="1:48" x14ac:dyDescent="0.25">
      <c r="A4527" t="s">
        <v>17784</v>
      </c>
      <c r="B4527" t="s">
        <v>17784</v>
      </c>
      <c r="C4527" t="s">
        <v>17785</v>
      </c>
      <c r="D4527" t="s">
        <v>17786</v>
      </c>
      <c r="E4527" t="s">
        <v>2310</v>
      </c>
      <c r="F4527">
        <v>15</v>
      </c>
      <c r="G4527">
        <v>15.4</v>
      </c>
      <c r="H4527" t="s">
        <v>2323</v>
      </c>
      <c r="I4527" s="21">
        <v>42397.452199074076</v>
      </c>
      <c r="J4527">
        <v>2016</v>
      </c>
      <c r="K4527" s="21">
        <v>42828.3905787037</v>
      </c>
      <c r="L4527">
        <v>2017</v>
      </c>
      <c r="M4527" s="21">
        <v>42828.3905787037</v>
      </c>
      <c r="N4527">
        <v>2017</v>
      </c>
      <c r="Q4527" s="262">
        <v>500000</v>
      </c>
      <c r="R4527" s="262">
        <v>275000</v>
      </c>
      <c r="S4527" t="s">
        <v>13253</v>
      </c>
      <c r="T4527">
        <v>8316</v>
      </c>
      <c r="W4527">
        <v>2307</v>
      </c>
      <c r="X4527">
        <v>0</v>
      </c>
      <c r="Y4527">
        <v>0</v>
      </c>
      <c r="Z4527">
        <v>0</v>
      </c>
      <c r="AA4527">
        <v>0</v>
      </c>
      <c r="AB4527">
        <v>0</v>
      </c>
      <c r="AC4527">
        <v>2307</v>
      </c>
      <c r="AD4527">
        <v>0</v>
      </c>
      <c r="AE4527">
        <v>0</v>
      </c>
      <c r="AF4527">
        <v>0</v>
      </c>
      <c r="AG4527">
        <v>0</v>
      </c>
      <c r="AH4527">
        <v>0</v>
      </c>
      <c r="AI4527">
        <v>0</v>
      </c>
      <c r="AJ4527">
        <v>0</v>
      </c>
      <c r="AK4527">
        <v>0</v>
      </c>
      <c r="AL4527">
        <v>0</v>
      </c>
      <c r="AM4527">
        <v>0</v>
      </c>
      <c r="AN4527">
        <v>0</v>
      </c>
      <c r="AO4527">
        <v>0</v>
      </c>
      <c r="AP4527">
        <v>0</v>
      </c>
      <c r="AQ4527">
        <v>0</v>
      </c>
      <c r="AR4527">
        <v>0</v>
      </c>
      <c r="AS4527">
        <v>0</v>
      </c>
      <c r="AT4527">
        <v>0</v>
      </c>
      <c r="AU4527">
        <f t="shared" si="140"/>
        <v>0</v>
      </c>
      <c r="AV4527">
        <f t="shared" si="141"/>
        <v>0</v>
      </c>
    </row>
    <row r="4528" spans="1:48" x14ac:dyDescent="0.25">
      <c r="A4528" t="s">
        <v>17790</v>
      </c>
      <c r="B4528" t="s">
        <v>17790</v>
      </c>
      <c r="C4528" t="s">
        <v>17791</v>
      </c>
      <c r="D4528" t="s">
        <v>12229</v>
      </c>
      <c r="E4528" t="s">
        <v>2310</v>
      </c>
      <c r="F4528">
        <v>8</v>
      </c>
      <c r="G4528">
        <v>8.1999999999999993</v>
      </c>
      <c r="H4528" t="s">
        <v>2022</v>
      </c>
      <c r="I4528" s="21">
        <v>42398.577083333301</v>
      </c>
      <c r="J4528">
        <v>2016</v>
      </c>
      <c r="K4528" s="21">
        <v>42930.383321759298</v>
      </c>
      <c r="L4528">
        <v>2017</v>
      </c>
      <c r="M4528" s="21">
        <v>42940.700324074103</v>
      </c>
      <c r="N4528">
        <v>2017</v>
      </c>
      <c r="Q4528" s="262">
        <v>100000</v>
      </c>
      <c r="R4528" s="262">
        <v>48000</v>
      </c>
      <c r="S4528" t="s">
        <v>114</v>
      </c>
      <c r="T4528" t="s">
        <v>114</v>
      </c>
      <c r="W4528">
        <v>0</v>
      </c>
      <c r="X4528">
        <v>0</v>
      </c>
      <c r="Y4528">
        <v>0</v>
      </c>
      <c r="Z4528">
        <v>0</v>
      </c>
      <c r="AA4528">
        <v>0</v>
      </c>
      <c r="AB4528">
        <v>0</v>
      </c>
      <c r="AC4528">
        <v>0</v>
      </c>
      <c r="AD4528">
        <v>0</v>
      </c>
      <c r="AE4528">
        <v>0</v>
      </c>
      <c r="AF4528">
        <v>0</v>
      </c>
      <c r="AG4528">
        <v>0</v>
      </c>
      <c r="AH4528">
        <v>0</v>
      </c>
      <c r="AI4528">
        <v>0</v>
      </c>
      <c r="AJ4528">
        <v>0</v>
      </c>
      <c r="AK4528">
        <v>0</v>
      </c>
      <c r="AL4528">
        <v>0</v>
      </c>
      <c r="AM4528">
        <v>0</v>
      </c>
      <c r="AN4528">
        <v>0</v>
      </c>
      <c r="AO4528">
        <v>0</v>
      </c>
      <c r="AP4528">
        <v>0</v>
      </c>
      <c r="AQ4528">
        <v>0</v>
      </c>
      <c r="AR4528">
        <v>0</v>
      </c>
      <c r="AS4528">
        <v>0</v>
      </c>
      <c r="AT4528">
        <v>0</v>
      </c>
      <c r="AU4528">
        <f t="shared" si="140"/>
        <v>0</v>
      </c>
      <c r="AV4528">
        <f t="shared" si="141"/>
        <v>0</v>
      </c>
    </row>
    <row r="4529" spans="1:48" x14ac:dyDescent="0.25">
      <c r="A4529" t="s">
        <v>13134</v>
      </c>
      <c r="B4529" t="s">
        <v>13134</v>
      </c>
      <c r="C4529" t="s">
        <v>13135</v>
      </c>
      <c r="D4529" t="s">
        <v>13136</v>
      </c>
      <c r="E4529" t="s">
        <v>2310</v>
      </c>
      <c r="F4529">
        <v>8</v>
      </c>
      <c r="G4529">
        <v>8.3000000000000007</v>
      </c>
      <c r="H4529" t="s">
        <v>2323</v>
      </c>
      <c r="I4529" s="21">
        <v>42402.442581018498</v>
      </c>
      <c r="J4529">
        <v>2016</v>
      </c>
      <c r="K4529" s="21">
        <v>42459.673263888901</v>
      </c>
      <c r="L4529">
        <v>2016</v>
      </c>
      <c r="M4529" s="21">
        <v>42675.396261574097</v>
      </c>
      <c r="N4529">
        <v>2016</v>
      </c>
      <c r="Q4529" s="262">
        <v>150000</v>
      </c>
      <c r="R4529" s="262">
        <v>137000</v>
      </c>
      <c r="S4529" t="s">
        <v>114</v>
      </c>
      <c r="T4529" t="s">
        <v>114</v>
      </c>
      <c r="W4529">
        <v>1250</v>
      </c>
      <c r="X4529">
        <v>0</v>
      </c>
      <c r="Y4529">
        <v>0</v>
      </c>
      <c r="Z4529">
        <v>0</v>
      </c>
      <c r="AA4529">
        <v>0</v>
      </c>
      <c r="AB4529">
        <v>0</v>
      </c>
      <c r="AC4529">
        <v>1250</v>
      </c>
      <c r="AD4529">
        <v>0</v>
      </c>
      <c r="AE4529">
        <v>0</v>
      </c>
      <c r="AF4529">
        <v>0</v>
      </c>
      <c r="AG4529">
        <v>0</v>
      </c>
      <c r="AH4529">
        <v>0</v>
      </c>
      <c r="AI4529">
        <v>0</v>
      </c>
      <c r="AJ4529">
        <v>0</v>
      </c>
      <c r="AK4529">
        <v>0</v>
      </c>
      <c r="AL4529">
        <v>0</v>
      </c>
      <c r="AM4529">
        <v>0</v>
      </c>
      <c r="AN4529">
        <v>0</v>
      </c>
      <c r="AO4529">
        <v>0</v>
      </c>
      <c r="AP4529">
        <v>0</v>
      </c>
      <c r="AQ4529">
        <v>0</v>
      </c>
      <c r="AR4529">
        <v>0</v>
      </c>
      <c r="AS4529">
        <v>0</v>
      </c>
      <c r="AT4529">
        <v>0</v>
      </c>
      <c r="AU4529">
        <f t="shared" si="140"/>
        <v>0</v>
      </c>
      <c r="AV4529">
        <f t="shared" si="141"/>
        <v>0</v>
      </c>
    </row>
    <row r="4530" spans="1:48" x14ac:dyDescent="0.25">
      <c r="A4530" t="s">
        <v>13134</v>
      </c>
      <c r="B4530" t="s">
        <v>13134</v>
      </c>
      <c r="C4530" t="s">
        <v>13135</v>
      </c>
      <c r="D4530" t="s">
        <v>13136</v>
      </c>
      <c r="E4530" t="s">
        <v>2310</v>
      </c>
      <c r="F4530">
        <v>8</v>
      </c>
      <c r="G4530">
        <v>8.3000000000000007</v>
      </c>
      <c r="H4530" t="s">
        <v>2323</v>
      </c>
      <c r="I4530" s="21">
        <v>42402.442581018498</v>
      </c>
      <c r="J4530">
        <v>2016</v>
      </c>
      <c r="K4530" s="21">
        <v>42459.673263888901</v>
      </c>
      <c r="L4530">
        <v>2016</v>
      </c>
      <c r="M4530" s="21">
        <v>42675.396261574097</v>
      </c>
      <c r="N4530">
        <v>2016</v>
      </c>
      <c r="S4530" t="s">
        <v>9529</v>
      </c>
      <c r="T4530">
        <v>396</v>
      </c>
      <c r="U4530">
        <v>5</v>
      </c>
      <c r="W4530">
        <v>-1000</v>
      </c>
      <c r="X4530">
        <v>0</v>
      </c>
      <c r="Y4530">
        <v>0</v>
      </c>
      <c r="Z4530">
        <v>0</v>
      </c>
      <c r="AA4530">
        <v>0</v>
      </c>
      <c r="AB4530">
        <v>0</v>
      </c>
      <c r="AC4530">
        <v>-1000</v>
      </c>
      <c r="AD4530">
        <v>0</v>
      </c>
      <c r="AE4530">
        <v>0</v>
      </c>
      <c r="AF4530">
        <v>0</v>
      </c>
      <c r="AG4530">
        <v>0</v>
      </c>
      <c r="AH4530">
        <v>0</v>
      </c>
      <c r="AI4530">
        <v>0</v>
      </c>
      <c r="AJ4530">
        <v>0</v>
      </c>
      <c r="AK4530">
        <v>0</v>
      </c>
      <c r="AL4530">
        <v>0</v>
      </c>
      <c r="AM4530">
        <v>0</v>
      </c>
      <c r="AN4530">
        <v>0</v>
      </c>
      <c r="AO4530">
        <v>0</v>
      </c>
      <c r="AP4530">
        <v>0</v>
      </c>
      <c r="AQ4530">
        <v>0</v>
      </c>
      <c r="AR4530">
        <v>0</v>
      </c>
      <c r="AS4530">
        <v>0</v>
      </c>
      <c r="AT4530">
        <v>0</v>
      </c>
      <c r="AU4530">
        <f t="shared" si="140"/>
        <v>0</v>
      </c>
      <c r="AV4530">
        <f t="shared" si="141"/>
        <v>0</v>
      </c>
    </row>
    <row r="4531" spans="1:48" x14ac:dyDescent="0.25">
      <c r="A4531" t="s">
        <v>13137</v>
      </c>
      <c r="B4531" t="s">
        <v>13137</v>
      </c>
      <c r="C4531" t="s">
        <v>13138</v>
      </c>
      <c r="D4531" t="s">
        <v>13139</v>
      </c>
      <c r="E4531" t="s">
        <v>2310</v>
      </c>
      <c r="F4531">
        <v>9</v>
      </c>
      <c r="G4531">
        <v>9.1999999999999993</v>
      </c>
      <c r="H4531" t="s">
        <v>2022</v>
      </c>
      <c r="I4531" s="21">
        <v>42404.536041666703</v>
      </c>
      <c r="J4531">
        <v>2016</v>
      </c>
      <c r="K4531" s="21">
        <v>42444.454618055599</v>
      </c>
      <c r="L4531">
        <v>2016</v>
      </c>
      <c r="M4531" s="21">
        <v>42646.476631944402</v>
      </c>
      <c r="N4531">
        <v>2016</v>
      </c>
      <c r="Q4531" s="262">
        <v>900000</v>
      </c>
      <c r="R4531" s="262">
        <v>358000</v>
      </c>
      <c r="S4531" t="s">
        <v>114</v>
      </c>
      <c r="T4531" t="s">
        <v>114</v>
      </c>
      <c r="W4531">
        <v>6000</v>
      </c>
      <c r="X4531">
        <v>0</v>
      </c>
      <c r="Y4531">
        <v>0</v>
      </c>
      <c r="Z4531">
        <v>0</v>
      </c>
      <c r="AA4531">
        <v>0</v>
      </c>
      <c r="AB4531">
        <v>0</v>
      </c>
      <c r="AC4531">
        <v>6000</v>
      </c>
      <c r="AD4531">
        <v>0</v>
      </c>
      <c r="AE4531">
        <v>0</v>
      </c>
      <c r="AF4531">
        <v>0</v>
      </c>
      <c r="AG4531">
        <v>0</v>
      </c>
      <c r="AH4531">
        <v>0</v>
      </c>
      <c r="AI4531">
        <v>0</v>
      </c>
      <c r="AJ4531">
        <v>0</v>
      </c>
      <c r="AK4531">
        <v>0</v>
      </c>
      <c r="AL4531">
        <v>0</v>
      </c>
      <c r="AM4531">
        <v>0</v>
      </c>
      <c r="AN4531">
        <v>0</v>
      </c>
      <c r="AO4531">
        <v>0</v>
      </c>
      <c r="AP4531">
        <v>0</v>
      </c>
      <c r="AQ4531">
        <v>0</v>
      </c>
      <c r="AR4531">
        <v>0</v>
      </c>
      <c r="AS4531">
        <v>0</v>
      </c>
      <c r="AT4531">
        <v>0</v>
      </c>
      <c r="AU4531">
        <f t="shared" si="140"/>
        <v>0</v>
      </c>
      <c r="AV4531">
        <f t="shared" si="141"/>
        <v>0</v>
      </c>
    </row>
    <row r="4532" spans="1:48" x14ac:dyDescent="0.25">
      <c r="A4532" t="s">
        <v>17508</v>
      </c>
      <c r="B4532" t="s">
        <v>17508</v>
      </c>
      <c r="C4532" t="s">
        <v>17509</v>
      </c>
      <c r="D4532" t="s">
        <v>6706</v>
      </c>
      <c r="E4532" t="s">
        <v>2310</v>
      </c>
      <c r="F4532">
        <v>8</v>
      </c>
      <c r="G4532">
        <v>8.3000000000000007</v>
      </c>
      <c r="H4532" t="s">
        <v>2323</v>
      </c>
      <c r="I4532" s="21">
        <v>42405.453912037039</v>
      </c>
      <c r="J4532">
        <v>2016</v>
      </c>
      <c r="K4532" s="21">
        <v>42901.63722222222</v>
      </c>
      <c r="L4532">
        <v>2017</v>
      </c>
      <c r="M4532" s="21">
        <v>42901.63722222222</v>
      </c>
      <c r="N4532">
        <v>2017</v>
      </c>
      <c r="Q4532" s="262">
        <v>1580000</v>
      </c>
      <c r="R4532" s="262">
        <v>274000</v>
      </c>
      <c r="S4532" t="s">
        <v>13254</v>
      </c>
      <c r="W4532">
        <v>2995</v>
      </c>
      <c r="X4532">
        <v>0</v>
      </c>
      <c r="Y4532">
        <v>0</v>
      </c>
      <c r="Z4532">
        <v>0</v>
      </c>
      <c r="AA4532">
        <v>0</v>
      </c>
      <c r="AB4532">
        <v>2995</v>
      </c>
      <c r="AC4532">
        <v>0</v>
      </c>
      <c r="AD4532">
        <v>0</v>
      </c>
      <c r="AE4532">
        <v>0</v>
      </c>
      <c r="AF4532">
        <v>0</v>
      </c>
      <c r="AG4532">
        <v>0</v>
      </c>
      <c r="AH4532">
        <v>0</v>
      </c>
      <c r="AI4532">
        <v>0</v>
      </c>
      <c r="AJ4532">
        <v>0</v>
      </c>
      <c r="AK4532">
        <v>0</v>
      </c>
      <c r="AL4532">
        <v>0</v>
      </c>
      <c r="AM4532">
        <v>0</v>
      </c>
      <c r="AN4532">
        <v>0</v>
      </c>
      <c r="AO4532">
        <v>0</v>
      </c>
      <c r="AP4532">
        <v>0</v>
      </c>
      <c r="AQ4532">
        <v>0</v>
      </c>
      <c r="AR4532">
        <v>0</v>
      </c>
      <c r="AS4532">
        <v>0</v>
      </c>
      <c r="AT4532">
        <v>0</v>
      </c>
      <c r="AU4532">
        <f t="shared" si="140"/>
        <v>0</v>
      </c>
      <c r="AV4532">
        <f t="shared" si="141"/>
        <v>2995</v>
      </c>
    </row>
    <row r="4533" spans="1:48" x14ac:dyDescent="0.25">
      <c r="A4533" t="s">
        <v>13140</v>
      </c>
      <c r="B4533" t="s">
        <v>13140</v>
      </c>
      <c r="C4533" t="s">
        <v>13141</v>
      </c>
      <c r="D4533" t="s">
        <v>13142</v>
      </c>
      <c r="E4533" t="s">
        <v>2310</v>
      </c>
      <c r="F4533">
        <v>9</v>
      </c>
      <c r="G4533">
        <v>9.3000000000000007</v>
      </c>
      <c r="H4533" t="s">
        <v>2323</v>
      </c>
      <c r="I4533" s="21">
        <v>42405.564988425896</v>
      </c>
      <c r="J4533">
        <v>2016</v>
      </c>
      <c r="O4533" s="21">
        <v>42516.567523148202</v>
      </c>
      <c r="Q4533" s="262">
        <v>1140000</v>
      </c>
      <c r="R4533" s="262">
        <v>337000</v>
      </c>
      <c r="S4533" t="s">
        <v>114</v>
      </c>
      <c r="T4533" t="s">
        <v>114</v>
      </c>
      <c r="W4533">
        <v>3264</v>
      </c>
      <c r="X4533">
        <v>1</v>
      </c>
      <c r="Y4533">
        <v>0</v>
      </c>
      <c r="Z4533">
        <v>0</v>
      </c>
      <c r="AA4533">
        <v>0</v>
      </c>
      <c r="AB4533">
        <v>0</v>
      </c>
      <c r="AC4533">
        <v>3264</v>
      </c>
      <c r="AD4533">
        <v>0</v>
      </c>
      <c r="AE4533">
        <v>0</v>
      </c>
      <c r="AF4533">
        <v>0</v>
      </c>
      <c r="AG4533">
        <v>0</v>
      </c>
      <c r="AH4533">
        <v>0</v>
      </c>
      <c r="AI4533">
        <v>0</v>
      </c>
      <c r="AJ4533">
        <v>0</v>
      </c>
      <c r="AK4533">
        <v>0</v>
      </c>
      <c r="AL4533">
        <v>0</v>
      </c>
      <c r="AM4533">
        <v>0</v>
      </c>
      <c r="AN4533">
        <v>0</v>
      </c>
      <c r="AO4533">
        <v>1</v>
      </c>
      <c r="AP4533">
        <v>0</v>
      </c>
      <c r="AQ4533">
        <v>0</v>
      </c>
      <c r="AR4533">
        <v>0</v>
      </c>
      <c r="AS4533">
        <v>0</v>
      </c>
      <c r="AT4533">
        <v>0</v>
      </c>
      <c r="AU4533">
        <f t="shared" si="140"/>
        <v>1</v>
      </c>
      <c r="AV4533">
        <f t="shared" si="141"/>
        <v>0</v>
      </c>
    </row>
    <row r="4534" spans="1:48" x14ac:dyDescent="0.25">
      <c r="A4534" t="s">
        <v>13143</v>
      </c>
      <c r="C4534" t="s">
        <v>13144</v>
      </c>
      <c r="D4534" t="s">
        <v>9528</v>
      </c>
      <c r="E4534" t="s">
        <v>1663</v>
      </c>
      <c r="F4534">
        <v>2</v>
      </c>
      <c r="G4534">
        <v>2.2999999999999998</v>
      </c>
      <c r="H4534" t="s">
        <v>2327</v>
      </c>
      <c r="I4534" s="21">
        <v>42408</v>
      </c>
      <c r="J4534">
        <v>2016</v>
      </c>
      <c r="K4534" s="21">
        <v>42562</v>
      </c>
      <c r="L4534">
        <v>2016</v>
      </c>
      <c r="M4534" s="21">
        <v>43249</v>
      </c>
      <c r="N4534">
        <v>2018</v>
      </c>
      <c r="Q4534" s="262">
        <v>485000</v>
      </c>
      <c r="S4534" t="s">
        <v>114</v>
      </c>
      <c r="T4534" t="s">
        <v>114</v>
      </c>
      <c r="V4534">
        <v>16305</v>
      </c>
      <c r="W4534">
        <v>13091</v>
      </c>
      <c r="X4534">
        <v>134</v>
      </c>
      <c r="Y4534">
        <v>0</v>
      </c>
      <c r="Z4534">
        <v>0</v>
      </c>
      <c r="AA4534">
        <v>0</v>
      </c>
      <c r="AB4534">
        <v>0</v>
      </c>
      <c r="AC4534">
        <v>0</v>
      </c>
      <c r="AD4534">
        <v>0</v>
      </c>
      <c r="AE4534">
        <v>0</v>
      </c>
      <c r="AF4534">
        <v>0</v>
      </c>
      <c r="AG4534">
        <v>0</v>
      </c>
      <c r="AH4534">
        <v>0</v>
      </c>
      <c r="AI4534">
        <v>11400</v>
      </c>
      <c r="AJ4534">
        <v>1600</v>
      </c>
      <c r="AK4534">
        <v>91</v>
      </c>
      <c r="AL4534">
        <v>0</v>
      </c>
      <c r="AM4534">
        <v>0</v>
      </c>
      <c r="AN4534">
        <v>0</v>
      </c>
      <c r="AO4534">
        <v>0</v>
      </c>
      <c r="AP4534">
        <v>0</v>
      </c>
      <c r="AQ4534">
        <v>4</v>
      </c>
      <c r="AR4534">
        <v>0</v>
      </c>
      <c r="AS4534">
        <v>0</v>
      </c>
      <c r="AT4534">
        <v>130</v>
      </c>
      <c r="AU4534">
        <f t="shared" si="140"/>
        <v>4</v>
      </c>
      <c r="AV4534">
        <f t="shared" si="141"/>
        <v>13091</v>
      </c>
    </row>
    <row r="4535" spans="1:48" x14ac:dyDescent="0.25">
      <c r="A4535" t="s">
        <v>17934</v>
      </c>
      <c r="B4535" t="s">
        <v>17934</v>
      </c>
      <c r="C4535" t="s">
        <v>17935</v>
      </c>
      <c r="D4535" t="s">
        <v>17936</v>
      </c>
      <c r="E4535" t="s">
        <v>2310</v>
      </c>
      <c r="F4535">
        <v>7</v>
      </c>
      <c r="G4535">
        <v>7.2</v>
      </c>
      <c r="H4535" t="s">
        <v>2017</v>
      </c>
      <c r="I4535" s="21">
        <v>42409.461122685185</v>
      </c>
      <c r="J4535">
        <v>2016</v>
      </c>
      <c r="K4535" s="21">
        <v>42425.647465277776</v>
      </c>
      <c r="L4535">
        <v>2016</v>
      </c>
      <c r="M4535" s="21">
        <v>43123.607615740744</v>
      </c>
      <c r="N4535">
        <v>2018</v>
      </c>
      <c r="Q4535" s="262">
        <v>400000</v>
      </c>
      <c r="R4535" s="262">
        <v>450000</v>
      </c>
      <c r="S4535" t="s">
        <v>13254</v>
      </c>
      <c r="W4535">
        <v>3426</v>
      </c>
      <c r="X4535">
        <v>1</v>
      </c>
      <c r="Y4535">
        <v>0</v>
      </c>
      <c r="Z4535">
        <v>0</v>
      </c>
      <c r="AA4535">
        <v>0</v>
      </c>
      <c r="AB4535">
        <v>0</v>
      </c>
      <c r="AC4535">
        <v>3426</v>
      </c>
      <c r="AD4535">
        <v>0</v>
      </c>
      <c r="AE4535">
        <v>0</v>
      </c>
      <c r="AF4535">
        <v>0</v>
      </c>
      <c r="AG4535">
        <v>0</v>
      </c>
      <c r="AH4535">
        <v>0</v>
      </c>
      <c r="AI4535">
        <v>0</v>
      </c>
      <c r="AJ4535">
        <v>0</v>
      </c>
      <c r="AK4535">
        <v>0</v>
      </c>
      <c r="AL4535">
        <v>0</v>
      </c>
      <c r="AM4535">
        <v>0</v>
      </c>
      <c r="AN4535">
        <v>0</v>
      </c>
      <c r="AO4535">
        <v>1</v>
      </c>
      <c r="AP4535">
        <v>0</v>
      </c>
      <c r="AQ4535">
        <v>0</v>
      </c>
      <c r="AR4535">
        <v>0</v>
      </c>
      <c r="AS4535">
        <v>0</v>
      </c>
      <c r="AT4535">
        <v>0</v>
      </c>
      <c r="AU4535">
        <f t="shared" si="140"/>
        <v>1</v>
      </c>
      <c r="AV4535">
        <f t="shared" si="141"/>
        <v>0</v>
      </c>
    </row>
    <row r="4536" spans="1:48" x14ac:dyDescent="0.25">
      <c r="A4536" t="s">
        <v>13145</v>
      </c>
      <c r="C4536" t="s">
        <v>13146</v>
      </c>
      <c r="D4536" t="s">
        <v>6255</v>
      </c>
      <c r="E4536" t="s">
        <v>1663</v>
      </c>
      <c r="F4536">
        <v>3</v>
      </c>
      <c r="G4536">
        <v>3.3</v>
      </c>
      <c r="H4536" t="s">
        <v>2017</v>
      </c>
      <c r="I4536" s="21">
        <v>42411</v>
      </c>
      <c r="J4536">
        <v>2016</v>
      </c>
      <c r="K4536" s="21">
        <v>42479</v>
      </c>
      <c r="L4536">
        <v>2016</v>
      </c>
      <c r="M4536" s="21">
        <v>42625</v>
      </c>
      <c r="N4536">
        <v>2016</v>
      </c>
      <c r="Q4536" s="262">
        <v>315000</v>
      </c>
      <c r="S4536" t="s">
        <v>114</v>
      </c>
      <c r="T4536" t="s">
        <v>114</v>
      </c>
      <c r="W4536">
        <v>888</v>
      </c>
      <c r="X4536">
        <v>0</v>
      </c>
      <c r="Y4536">
        <v>0</v>
      </c>
      <c r="Z4536">
        <v>0</v>
      </c>
      <c r="AA4536">
        <v>0</v>
      </c>
      <c r="AB4536">
        <v>0</v>
      </c>
      <c r="AC4536">
        <v>0</v>
      </c>
      <c r="AD4536">
        <v>0</v>
      </c>
      <c r="AE4536">
        <v>0</v>
      </c>
      <c r="AF4536">
        <v>0</v>
      </c>
      <c r="AG4536">
        <v>0</v>
      </c>
      <c r="AH4536">
        <v>888</v>
      </c>
      <c r="AI4536">
        <v>0</v>
      </c>
      <c r="AJ4536">
        <v>0</v>
      </c>
      <c r="AK4536">
        <v>0</v>
      </c>
      <c r="AL4536">
        <v>0</v>
      </c>
      <c r="AM4536">
        <v>0</v>
      </c>
      <c r="AN4536">
        <v>0</v>
      </c>
      <c r="AO4536">
        <v>0</v>
      </c>
      <c r="AP4536">
        <v>0</v>
      </c>
      <c r="AQ4536">
        <v>0</v>
      </c>
      <c r="AR4536">
        <v>0</v>
      </c>
      <c r="AS4536">
        <v>0</v>
      </c>
      <c r="AT4536">
        <v>0</v>
      </c>
      <c r="AU4536">
        <f t="shared" si="140"/>
        <v>0</v>
      </c>
      <c r="AV4536">
        <f t="shared" si="141"/>
        <v>888</v>
      </c>
    </row>
    <row r="4537" spans="1:48" x14ac:dyDescent="0.25">
      <c r="A4537" t="s">
        <v>17792</v>
      </c>
      <c r="B4537" t="s">
        <v>17792</v>
      </c>
      <c r="C4537" t="s">
        <v>17793</v>
      </c>
      <c r="D4537" t="s">
        <v>17794</v>
      </c>
      <c r="E4537" t="s">
        <v>2310</v>
      </c>
      <c r="F4537">
        <v>9</v>
      </c>
      <c r="G4537">
        <v>9.3000000000000007</v>
      </c>
      <c r="H4537" t="s">
        <v>2323</v>
      </c>
      <c r="I4537" s="21">
        <v>42411.438981481479</v>
      </c>
      <c r="J4537">
        <v>2016</v>
      </c>
      <c r="K4537" s="21">
        <v>43020.445231481484</v>
      </c>
      <c r="L4537">
        <v>2017</v>
      </c>
      <c r="M4537" s="21">
        <v>43020.445231481484</v>
      </c>
      <c r="N4537">
        <v>2017</v>
      </c>
      <c r="Q4537" s="262">
        <v>1800000</v>
      </c>
      <c r="R4537" s="262">
        <v>533000</v>
      </c>
      <c r="S4537" t="s">
        <v>13254</v>
      </c>
      <c r="W4537">
        <v>4544</v>
      </c>
      <c r="X4537">
        <v>1</v>
      </c>
      <c r="Y4537">
        <v>0</v>
      </c>
      <c r="Z4537">
        <v>0</v>
      </c>
      <c r="AA4537">
        <v>0</v>
      </c>
      <c r="AB4537">
        <v>0</v>
      </c>
      <c r="AC4537">
        <v>4544</v>
      </c>
      <c r="AD4537">
        <v>0</v>
      </c>
      <c r="AE4537">
        <v>0</v>
      </c>
      <c r="AF4537">
        <v>0</v>
      </c>
      <c r="AG4537">
        <v>0</v>
      </c>
      <c r="AH4537">
        <v>0</v>
      </c>
      <c r="AI4537">
        <v>0</v>
      </c>
      <c r="AJ4537">
        <v>0</v>
      </c>
      <c r="AK4537">
        <v>0</v>
      </c>
      <c r="AL4537">
        <v>0</v>
      </c>
      <c r="AM4537">
        <v>0</v>
      </c>
      <c r="AN4537">
        <v>0</v>
      </c>
      <c r="AO4537">
        <v>1</v>
      </c>
      <c r="AP4537">
        <v>0</v>
      </c>
      <c r="AQ4537">
        <v>0</v>
      </c>
      <c r="AR4537">
        <v>0</v>
      </c>
      <c r="AS4537">
        <v>0</v>
      </c>
      <c r="AT4537">
        <v>0</v>
      </c>
      <c r="AU4537">
        <f t="shared" si="140"/>
        <v>1</v>
      </c>
      <c r="AV4537">
        <f t="shared" si="141"/>
        <v>0</v>
      </c>
    </row>
    <row r="4538" spans="1:48" x14ac:dyDescent="0.25">
      <c r="A4538" t="s">
        <v>17795</v>
      </c>
      <c r="B4538" t="s">
        <v>17795</v>
      </c>
      <c r="C4538" t="s">
        <v>17796</v>
      </c>
      <c r="D4538" t="s">
        <v>17794</v>
      </c>
      <c r="E4538" t="s">
        <v>2310</v>
      </c>
      <c r="F4538">
        <v>9</v>
      </c>
      <c r="G4538">
        <v>9.3000000000000007</v>
      </c>
      <c r="H4538" t="s">
        <v>2323</v>
      </c>
      <c r="I4538" s="21">
        <v>42411.455775462964</v>
      </c>
      <c r="J4538">
        <v>2016</v>
      </c>
      <c r="K4538" s="21">
        <v>43020.446608796294</v>
      </c>
      <c r="L4538">
        <v>2017</v>
      </c>
      <c r="M4538" s="21">
        <v>43020.446608796294</v>
      </c>
      <c r="N4538">
        <v>2017</v>
      </c>
      <c r="Q4538" s="262">
        <v>400000</v>
      </c>
      <c r="R4538" s="262">
        <v>116000</v>
      </c>
      <c r="S4538" t="s">
        <v>13254</v>
      </c>
      <c r="W4538">
        <v>1000</v>
      </c>
      <c r="X4538">
        <v>1</v>
      </c>
      <c r="Y4538">
        <v>0</v>
      </c>
      <c r="Z4538">
        <v>0</v>
      </c>
      <c r="AA4538">
        <v>0</v>
      </c>
      <c r="AB4538">
        <v>0</v>
      </c>
      <c r="AC4538">
        <v>0</v>
      </c>
      <c r="AD4538">
        <v>0</v>
      </c>
      <c r="AE4538">
        <v>0</v>
      </c>
      <c r="AF4538">
        <v>1000</v>
      </c>
      <c r="AG4538">
        <v>0</v>
      </c>
      <c r="AH4538">
        <v>0</v>
      </c>
      <c r="AI4538">
        <v>0</v>
      </c>
      <c r="AJ4538">
        <v>0</v>
      </c>
      <c r="AK4538">
        <v>0</v>
      </c>
      <c r="AL4538">
        <v>0</v>
      </c>
      <c r="AM4538">
        <v>0</v>
      </c>
      <c r="AN4538">
        <v>0</v>
      </c>
      <c r="AO4538">
        <v>0</v>
      </c>
      <c r="AP4538">
        <v>0</v>
      </c>
      <c r="AQ4538">
        <v>0</v>
      </c>
      <c r="AR4538">
        <v>1</v>
      </c>
      <c r="AS4538">
        <v>0</v>
      </c>
      <c r="AT4538">
        <v>0</v>
      </c>
      <c r="AU4538">
        <f t="shared" si="140"/>
        <v>0</v>
      </c>
      <c r="AV4538">
        <f t="shared" si="141"/>
        <v>0</v>
      </c>
    </row>
    <row r="4539" spans="1:48" x14ac:dyDescent="0.25">
      <c r="A4539" t="s">
        <v>13147</v>
      </c>
      <c r="B4539" t="s">
        <v>13147</v>
      </c>
      <c r="C4539" t="s">
        <v>13148</v>
      </c>
      <c r="D4539" t="s">
        <v>13149</v>
      </c>
      <c r="E4539" t="s">
        <v>2310</v>
      </c>
      <c r="F4539">
        <v>9</v>
      </c>
      <c r="G4539">
        <v>9.3000000000000007</v>
      </c>
      <c r="H4539" t="s">
        <v>2323</v>
      </c>
      <c r="I4539" s="21">
        <v>42416.449016203696</v>
      </c>
      <c r="J4539">
        <v>2016</v>
      </c>
      <c r="K4539" s="21">
        <v>42430.376284722202</v>
      </c>
      <c r="L4539">
        <v>2016</v>
      </c>
      <c r="M4539" s="21">
        <v>42656.500439814801</v>
      </c>
      <c r="N4539">
        <v>2016</v>
      </c>
      <c r="Q4539" s="262">
        <v>450000</v>
      </c>
      <c r="R4539" s="262">
        <v>156000</v>
      </c>
      <c r="S4539" t="s">
        <v>114</v>
      </c>
      <c r="T4539" t="s">
        <v>114</v>
      </c>
      <c r="W4539">
        <v>2117</v>
      </c>
      <c r="X4539">
        <v>1</v>
      </c>
      <c r="Y4539">
        <v>0</v>
      </c>
      <c r="Z4539">
        <v>0</v>
      </c>
      <c r="AA4539">
        <v>0</v>
      </c>
      <c r="AB4539">
        <v>0</v>
      </c>
      <c r="AC4539">
        <v>830</v>
      </c>
      <c r="AD4539">
        <v>0</v>
      </c>
      <c r="AE4539">
        <v>0</v>
      </c>
      <c r="AF4539">
        <v>1287</v>
      </c>
      <c r="AG4539">
        <v>0</v>
      </c>
      <c r="AH4539">
        <v>0</v>
      </c>
      <c r="AI4539">
        <v>0</v>
      </c>
      <c r="AJ4539">
        <v>0</v>
      </c>
      <c r="AK4539">
        <v>0</v>
      </c>
      <c r="AL4539">
        <v>0</v>
      </c>
      <c r="AM4539">
        <v>0</v>
      </c>
      <c r="AN4539">
        <v>0</v>
      </c>
      <c r="AO4539">
        <v>0</v>
      </c>
      <c r="AP4539">
        <v>0</v>
      </c>
      <c r="AQ4539">
        <v>0</v>
      </c>
      <c r="AR4539">
        <v>1</v>
      </c>
      <c r="AS4539">
        <v>0</v>
      </c>
      <c r="AT4539">
        <v>0</v>
      </c>
      <c r="AU4539">
        <f t="shared" si="140"/>
        <v>0</v>
      </c>
      <c r="AV4539">
        <f t="shared" si="141"/>
        <v>0</v>
      </c>
    </row>
    <row r="4540" spans="1:48" x14ac:dyDescent="0.25">
      <c r="A4540" t="s">
        <v>17797</v>
      </c>
      <c r="B4540" t="s">
        <v>17797</v>
      </c>
      <c r="C4540" t="s">
        <v>17798</v>
      </c>
      <c r="D4540" t="s">
        <v>12004</v>
      </c>
      <c r="E4540" t="s">
        <v>2310</v>
      </c>
      <c r="F4540">
        <v>8</v>
      </c>
      <c r="G4540">
        <v>8.1999999999999993</v>
      </c>
      <c r="H4540" t="s">
        <v>2022</v>
      </c>
      <c r="I4540" s="21">
        <v>42416.469513888886</v>
      </c>
      <c r="J4540">
        <v>2016</v>
      </c>
      <c r="K4540" s="21">
        <v>42993.595104166663</v>
      </c>
      <c r="L4540">
        <v>2017</v>
      </c>
      <c r="M4540" s="21">
        <v>42993.595104166663</v>
      </c>
      <c r="N4540">
        <v>2017</v>
      </c>
      <c r="Q4540" s="262">
        <v>250000</v>
      </c>
      <c r="R4540" s="262">
        <v>121000</v>
      </c>
      <c r="S4540" t="s">
        <v>13254</v>
      </c>
      <c r="W4540">
        <v>1244</v>
      </c>
      <c r="X4540">
        <v>1</v>
      </c>
      <c r="Y4540">
        <v>0</v>
      </c>
      <c r="Z4540">
        <v>0</v>
      </c>
      <c r="AA4540">
        <v>0</v>
      </c>
      <c r="AB4540">
        <v>0</v>
      </c>
      <c r="AC4540">
        <v>0</v>
      </c>
      <c r="AD4540">
        <v>0</v>
      </c>
      <c r="AE4540">
        <v>0</v>
      </c>
      <c r="AF4540">
        <v>1244</v>
      </c>
      <c r="AG4540">
        <v>0</v>
      </c>
      <c r="AH4540">
        <v>0</v>
      </c>
      <c r="AI4540">
        <v>0</v>
      </c>
      <c r="AJ4540">
        <v>0</v>
      </c>
      <c r="AK4540">
        <v>0</v>
      </c>
      <c r="AL4540">
        <v>0</v>
      </c>
      <c r="AM4540">
        <v>0</v>
      </c>
      <c r="AN4540">
        <v>0</v>
      </c>
      <c r="AO4540">
        <v>0</v>
      </c>
      <c r="AP4540">
        <v>0</v>
      </c>
      <c r="AQ4540">
        <v>0</v>
      </c>
      <c r="AR4540">
        <v>1</v>
      </c>
      <c r="AS4540">
        <v>0</v>
      </c>
      <c r="AT4540">
        <v>0</v>
      </c>
      <c r="AU4540">
        <f t="shared" si="140"/>
        <v>0</v>
      </c>
      <c r="AV4540">
        <f t="shared" si="141"/>
        <v>0</v>
      </c>
    </row>
    <row r="4541" spans="1:48" x14ac:dyDescent="0.25">
      <c r="A4541" t="s">
        <v>18080</v>
      </c>
      <c r="B4541" t="s">
        <v>18080</v>
      </c>
      <c r="C4541" t="s">
        <v>18081</v>
      </c>
      <c r="D4541" t="s">
        <v>18082</v>
      </c>
      <c r="E4541" t="s">
        <v>2310</v>
      </c>
      <c r="F4541">
        <v>13</v>
      </c>
      <c r="G4541">
        <v>13.2</v>
      </c>
      <c r="H4541" t="s">
        <v>2327</v>
      </c>
      <c r="I4541" s="21">
        <v>42416.555520833332</v>
      </c>
      <c r="J4541">
        <v>2016</v>
      </c>
      <c r="K4541" s="21">
        <v>42443.545706018522</v>
      </c>
      <c r="L4541">
        <v>2016</v>
      </c>
      <c r="M4541" s="21">
        <v>43245.379936261575</v>
      </c>
      <c r="N4541">
        <v>2018</v>
      </c>
      <c r="Q4541" s="262">
        <v>1500000</v>
      </c>
      <c r="R4541" s="262">
        <v>1434000</v>
      </c>
      <c r="S4541" t="s">
        <v>13254</v>
      </c>
      <c r="W4541">
        <v>9148</v>
      </c>
      <c r="X4541">
        <v>1</v>
      </c>
      <c r="Y4541">
        <v>0</v>
      </c>
      <c r="Z4541">
        <v>0</v>
      </c>
      <c r="AA4541">
        <v>0</v>
      </c>
      <c r="AB4541">
        <v>0</v>
      </c>
      <c r="AC4541">
        <v>9148</v>
      </c>
      <c r="AD4541">
        <v>0</v>
      </c>
      <c r="AE4541">
        <v>0</v>
      </c>
      <c r="AF4541">
        <v>0</v>
      </c>
      <c r="AG4541">
        <v>0</v>
      </c>
      <c r="AH4541">
        <v>0</v>
      </c>
      <c r="AI4541">
        <v>0</v>
      </c>
      <c r="AJ4541">
        <v>0</v>
      </c>
      <c r="AK4541">
        <v>0</v>
      </c>
      <c r="AL4541">
        <v>0</v>
      </c>
      <c r="AM4541">
        <v>0</v>
      </c>
      <c r="AN4541">
        <v>0</v>
      </c>
      <c r="AO4541">
        <v>1</v>
      </c>
      <c r="AP4541">
        <v>0</v>
      </c>
      <c r="AQ4541">
        <v>0</v>
      </c>
      <c r="AR4541">
        <v>0</v>
      </c>
      <c r="AS4541">
        <v>0</v>
      </c>
      <c r="AT4541">
        <v>0</v>
      </c>
      <c r="AU4541">
        <f t="shared" si="140"/>
        <v>1</v>
      </c>
      <c r="AV4541">
        <f t="shared" si="141"/>
        <v>0</v>
      </c>
    </row>
    <row r="4542" spans="1:48" x14ac:dyDescent="0.25">
      <c r="A4542" t="s">
        <v>17799</v>
      </c>
      <c r="B4542" t="s">
        <v>17799</v>
      </c>
      <c r="C4542" t="s">
        <v>17800</v>
      </c>
      <c r="D4542" t="s">
        <v>17801</v>
      </c>
      <c r="E4542" t="s">
        <v>2310</v>
      </c>
      <c r="F4542">
        <v>12</v>
      </c>
      <c r="G4542">
        <v>12.3</v>
      </c>
      <c r="H4542" t="s">
        <v>2017</v>
      </c>
      <c r="I4542" s="21">
        <v>42417.446817129632</v>
      </c>
      <c r="J4542">
        <v>2016</v>
      </c>
      <c r="K4542" s="21">
        <v>43024.39949074074</v>
      </c>
      <c r="L4542">
        <v>2017</v>
      </c>
      <c r="M4542" s="21">
        <v>43024.39949074074</v>
      </c>
      <c r="N4542">
        <v>2017</v>
      </c>
      <c r="Q4542" s="262">
        <v>2900000</v>
      </c>
      <c r="R4542" s="262">
        <v>1109000</v>
      </c>
      <c r="S4542" t="s">
        <v>13254</v>
      </c>
      <c r="W4542">
        <v>7741</v>
      </c>
      <c r="X4542">
        <v>1</v>
      </c>
      <c r="Y4542">
        <v>0</v>
      </c>
      <c r="Z4542">
        <v>0</v>
      </c>
      <c r="AA4542">
        <v>0</v>
      </c>
      <c r="AB4542">
        <v>0</v>
      </c>
      <c r="AC4542">
        <v>7741</v>
      </c>
      <c r="AD4542">
        <v>0</v>
      </c>
      <c r="AE4542">
        <v>0</v>
      </c>
      <c r="AF4542">
        <v>0</v>
      </c>
      <c r="AG4542">
        <v>0</v>
      </c>
      <c r="AH4542">
        <v>0</v>
      </c>
      <c r="AI4542">
        <v>0</v>
      </c>
      <c r="AJ4542">
        <v>0</v>
      </c>
      <c r="AK4542">
        <v>0</v>
      </c>
      <c r="AL4542">
        <v>0</v>
      </c>
      <c r="AM4542">
        <v>0</v>
      </c>
      <c r="AN4542">
        <v>0</v>
      </c>
      <c r="AO4542">
        <v>1</v>
      </c>
      <c r="AP4542">
        <v>0</v>
      </c>
      <c r="AQ4542">
        <v>0</v>
      </c>
      <c r="AR4542">
        <v>0</v>
      </c>
      <c r="AS4542">
        <v>0</v>
      </c>
      <c r="AT4542">
        <v>0</v>
      </c>
      <c r="AU4542">
        <f t="shared" si="140"/>
        <v>1</v>
      </c>
      <c r="AV4542">
        <f t="shared" si="141"/>
        <v>0</v>
      </c>
    </row>
    <row r="4543" spans="1:48" x14ac:dyDescent="0.25">
      <c r="A4543" t="s">
        <v>19191</v>
      </c>
      <c r="B4543" t="s">
        <v>19191</v>
      </c>
      <c r="C4543" t="s">
        <v>19192</v>
      </c>
      <c r="D4543" t="s">
        <v>19193</v>
      </c>
      <c r="E4543" t="s">
        <v>2310</v>
      </c>
      <c r="F4543">
        <v>15</v>
      </c>
      <c r="G4543">
        <v>15.4</v>
      </c>
      <c r="H4543" t="s">
        <v>2323</v>
      </c>
      <c r="I4543" s="21">
        <v>42417.653796296298</v>
      </c>
      <c r="J4543">
        <v>2016</v>
      </c>
      <c r="K4543" s="21">
        <v>42514.685856481483</v>
      </c>
      <c r="L4543">
        <v>2016</v>
      </c>
      <c r="M4543" s="21">
        <v>43832.474625381947</v>
      </c>
      <c r="N4543">
        <v>2020</v>
      </c>
      <c r="Q4543" s="262">
        <v>50000</v>
      </c>
      <c r="R4543" s="262">
        <v>118000</v>
      </c>
      <c r="S4543" t="s">
        <v>13254</v>
      </c>
      <c r="W4543">
        <v>1001</v>
      </c>
      <c r="X4543">
        <v>1</v>
      </c>
      <c r="Y4543">
        <v>0</v>
      </c>
      <c r="Z4543">
        <v>0</v>
      </c>
      <c r="AA4543">
        <v>0</v>
      </c>
      <c r="AB4543">
        <v>0</v>
      </c>
      <c r="AC4543">
        <v>1001</v>
      </c>
      <c r="AD4543">
        <v>0</v>
      </c>
      <c r="AE4543">
        <v>0</v>
      </c>
      <c r="AF4543">
        <v>0</v>
      </c>
      <c r="AG4543">
        <v>0</v>
      </c>
      <c r="AH4543">
        <v>0</v>
      </c>
      <c r="AI4543">
        <v>0</v>
      </c>
      <c r="AJ4543">
        <v>0</v>
      </c>
      <c r="AK4543">
        <v>0</v>
      </c>
      <c r="AL4543">
        <v>0</v>
      </c>
      <c r="AM4543">
        <v>0</v>
      </c>
      <c r="AN4543">
        <v>0</v>
      </c>
      <c r="AO4543">
        <v>1</v>
      </c>
      <c r="AP4543">
        <v>0</v>
      </c>
      <c r="AQ4543">
        <v>0</v>
      </c>
      <c r="AR4543">
        <v>0</v>
      </c>
      <c r="AS4543">
        <v>0</v>
      </c>
      <c r="AT4543">
        <v>0</v>
      </c>
      <c r="AU4543">
        <f t="shared" si="140"/>
        <v>1</v>
      </c>
      <c r="AV4543">
        <f t="shared" si="141"/>
        <v>0</v>
      </c>
    </row>
    <row r="4544" spans="1:48" x14ac:dyDescent="0.25">
      <c r="A4544" t="s">
        <v>13151</v>
      </c>
      <c r="C4544" t="s">
        <v>13152</v>
      </c>
      <c r="D4544" t="s">
        <v>13153</v>
      </c>
      <c r="E4544" t="s">
        <v>1663</v>
      </c>
      <c r="F4544">
        <v>5</v>
      </c>
      <c r="G4544">
        <v>5.2</v>
      </c>
      <c r="H4544" t="s">
        <v>2327</v>
      </c>
      <c r="I4544" s="21">
        <v>42418</v>
      </c>
      <c r="J4544">
        <v>2016</v>
      </c>
      <c r="K4544" s="21">
        <v>42450</v>
      </c>
      <c r="L4544">
        <v>2016</v>
      </c>
      <c r="M4544" s="21">
        <v>42732</v>
      </c>
      <c r="N4544">
        <v>2016</v>
      </c>
      <c r="Q4544" s="262">
        <v>400000</v>
      </c>
      <c r="S4544" t="s">
        <v>114</v>
      </c>
      <c r="T4544" t="s">
        <v>114</v>
      </c>
      <c r="W4544">
        <v>8040</v>
      </c>
      <c r="X4544">
        <v>0</v>
      </c>
      <c r="Y4544">
        <v>0</v>
      </c>
      <c r="Z4544">
        <v>0</v>
      </c>
      <c r="AA4544">
        <v>0</v>
      </c>
      <c r="AB4544">
        <v>0</v>
      </c>
      <c r="AC4544">
        <v>0</v>
      </c>
      <c r="AD4544">
        <v>0</v>
      </c>
      <c r="AE4544">
        <v>0</v>
      </c>
      <c r="AF4544">
        <v>0</v>
      </c>
      <c r="AG4544">
        <v>0</v>
      </c>
      <c r="AH4544">
        <v>0</v>
      </c>
      <c r="AI4544">
        <v>0</v>
      </c>
      <c r="AJ4544">
        <v>0</v>
      </c>
      <c r="AK4544">
        <v>0</v>
      </c>
      <c r="AL4544">
        <v>8040</v>
      </c>
      <c r="AM4544">
        <v>0</v>
      </c>
      <c r="AN4544">
        <v>0</v>
      </c>
      <c r="AO4544">
        <v>0</v>
      </c>
      <c r="AP4544">
        <v>0</v>
      </c>
      <c r="AQ4544">
        <v>0</v>
      </c>
      <c r="AR4544">
        <v>0</v>
      </c>
      <c r="AS4544">
        <v>0</v>
      </c>
      <c r="AT4544">
        <v>0</v>
      </c>
      <c r="AU4544">
        <f t="shared" si="140"/>
        <v>0</v>
      </c>
      <c r="AV4544">
        <f t="shared" si="141"/>
        <v>8040</v>
      </c>
    </row>
    <row r="4545" spans="1:48" x14ac:dyDescent="0.25">
      <c r="A4545" t="s">
        <v>13150</v>
      </c>
      <c r="C4545" t="s">
        <v>11411</v>
      </c>
      <c r="D4545" t="s">
        <v>9862</v>
      </c>
      <c r="E4545" t="s">
        <v>1663</v>
      </c>
      <c r="F4545">
        <v>3</v>
      </c>
      <c r="G4545">
        <v>3.4</v>
      </c>
      <c r="H4545" t="s">
        <v>2017</v>
      </c>
      <c r="I4545" s="21">
        <v>42418</v>
      </c>
      <c r="J4545">
        <v>2016</v>
      </c>
      <c r="K4545" s="21">
        <v>42423</v>
      </c>
      <c r="L4545">
        <v>2016</v>
      </c>
      <c r="M4545" s="21">
        <v>42475</v>
      </c>
      <c r="N4545">
        <v>2016</v>
      </c>
      <c r="Q4545" s="262">
        <v>15000</v>
      </c>
      <c r="S4545" t="s">
        <v>114</v>
      </c>
      <c r="T4545" t="s">
        <v>114</v>
      </c>
      <c r="W4545">
        <v>0</v>
      </c>
      <c r="X4545">
        <v>0</v>
      </c>
      <c r="Y4545">
        <v>0</v>
      </c>
      <c r="Z4545">
        <v>0</v>
      </c>
      <c r="AA4545">
        <v>0</v>
      </c>
      <c r="AB4545">
        <v>0</v>
      </c>
      <c r="AC4545">
        <v>0</v>
      </c>
      <c r="AD4545">
        <v>0</v>
      </c>
      <c r="AE4545">
        <v>0</v>
      </c>
      <c r="AF4545">
        <v>0</v>
      </c>
      <c r="AG4545">
        <v>0</v>
      </c>
      <c r="AH4545">
        <v>0</v>
      </c>
      <c r="AI4545">
        <v>0</v>
      </c>
      <c r="AJ4545">
        <v>0</v>
      </c>
      <c r="AK4545">
        <v>0</v>
      </c>
      <c r="AL4545">
        <v>0</v>
      </c>
      <c r="AM4545">
        <v>0</v>
      </c>
      <c r="AN4545">
        <v>0</v>
      </c>
      <c r="AO4545">
        <v>0</v>
      </c>
      <c r="AP4545">
        <v>0</v>
      </c>
      <c r="AQ4545">
        <v>0</v>
      </c>
      <c r="AR4545">
        <v>0</v>
      </c>
      <c r="AS4545">
        <v>0</v>
      </c>
      <c r="AT4545">
        <v>0</v>
      </c>
      <c r="AU4545">
        <f t="shared" si="140"/>
        <v>0</v>
      </c>
      <c r="AV4545">
        <f t="shared" si="141"/>
        <v>0</v>
      </c>
    </row>
    <row r="4546" spans="1:48" x14ac:dyDescent="0.25">
      <c r="A4546" t="s">
        <v>13154</v>
      </c>
      <c r="B4546" t="s">
        <v>13154</v>
      </c>
      <c r="C4546" t="s">
        <v>13155</v>
      </c>
      <c r="D4546" t="s">
        <v>13156</v>
      </c>
      <c r="E4546" t="s">
        <v>2310</v>
      </c>
      <c r="F4546">
        <v>13</v>
      </c>
      <c r="G4546">
        <v>13.1</v>
      </c>
      <c r="H4546" t="s">
        <v>2327</v>
      </c>
      <c r="I4546" s="21">
        <v>42422.3422222222</v>
      </c>
      <c r="J4546">
        <v>2016</v>
      </c>
      <c r="K4546" s="21">
        <v>42451.664699074099</v>
      </c>
      <c r="L4546">
        <v>2016</v>
      </c>
      <c r="M4546" s="21">
        <v>42524.387361111098</v>
      </c>
      <c r="N4546">
        <v>2016</v>
      </c>
      <c r="Q4546" s="262">
        <v>1320000</v>
      </c>
      <c r="R4546" s="262">
        <v>644000</v>
      </c>
      <c r="S4546" t="s">
        <v>114</v>
      </c>
      <c r="T4546" t="s">
        <v>114</v>
      </c>
      <c r="V4546">
        <v>4897</v>
      </c>
      <c r="W4546">
        <v>0</v>
      </c>
      <c r="X4546">
        <v>0</v>
      </c>
      <c r="Y4546">
        <v>0</v>
      </c>
      <c r="Z4546">
        <v>0</v>
      </c>
      <c r="AA4546">
        <v>0</v>
      </c>
      <c r="AB4546">
        <v>0</v>
      </c>
      <c r="AC4546">
        <v>0</v>
      </c>
      <c r="AD4546">
        <v>0</v>
      </c>
      <c r="AE4546">
        <v>0</v>
      </c>
      <c r="AF4546">
        <v>0</v>
      </c>
      <c r="AG4546">
        <v>0</v>
      </c>
      <c r="AH4546">
        <v>0</v>
      </c>
      <c r="AI4546">
        <v>0</v>
      </c>
      <c r="AJ4546">
        <v>0</v>
      </c>
      <c r="AK4546">
        <v>0</v>
      </c>
      <c r="AL4546">
        <v>0</v>
      </c>
      <c r="AM4546">
        <v>0</v>
      </c>
      <c r="AN4546">
        <v>0</v>
      </c>
      <c r="AO4546">
        <v>0</v>
      </c>
      <c r="AP4546">
        <v>0</v>
      </c>
      <c r="AQ4546">
        <v>0</v>
      </c>
      <c r="AR4546">
        <v>0</v>
      </c>
      <c r="AS4546">
        <v>0</v>
      </c>
      <c r="AT4546">
        <v>0</v>
      </c>
      <c r="AU4546">
        <f t="shared" si="140"/>
        <v>0</v>
      </c>
      <c r="AV4546">
        <f t="shared" si="141"/>
        <v>0</v>
      </c>
    </row>
    <row r="4547" spans="1:48" x14ac:dyDescent="0.25">
      <c r="A4547" t="s">
        <v>13157</v>
      </c>
      <c r="B4547" t="s">
        <v>13157</v>
      </c>
      <c r="C4547" t="s">
        <v>13158</v>
      </c>
      <c r="D4547" t="s">
        <v>12145</v>
      </c>
      <c r="E4547" t="s">
        <v>2310</v>
      </c>
      <c r="F4547">
        <v>7</v>
      </c>
      <c r="G4547">
        <v>7.1</v>
      </c>
      <c r="H4547" t="s">
        <v>2017</v>
      </c>
      <c r="I4547" s="21">
        <v>42422.391770833303</v>
      </c>
      <c r="J4547">
        <v>2016</v>
      </c>
      <c r="K4547" s="21">
        <v>42475.6400810185</v>
      </c>
      <c r="L4547">
        <v>2016</v>
      </c>
      <c r="M4547" s="21">
        <v>42725.598888888897</v>
      </c>
      <c r="N4547">
        <v>2016</v>
      </c>
      <c r="Q4547" s="262">
        <v>1100000</v>
      </c>
      <c r="R4547" s="262">
        <v>394000</v>
      </c>
      <c r="S4547" t="s">
        <v>114</v>
      </c>
      <c r="T4547" t="s">
        <v>114</v>
      </c>
      <c r="W4547">
        <v>3413</v>
      </c>
      <c r="X4547">
        <v>0</v>
      </c>
      <c r="Y4547">
        <v>0</v>
      </c>
      <c r="Z4547">
        <v>0</v>
      </c>
      <c r="AA4547">
        <v>0</v>
      </c>
      <c r="AB4547">
        <v>0</v>
      </c>
      <c r="AC4547">
        <v>0</v>
      </c>
      <c r="AD4547">
        <v>0</v>
      </c>
      <c r="AE4547">
        <v>0</v>
      </c>
      <c r="AF4547">
        <v>0</v>
      </c>
      <c r="AG4547">
        <v>0</v>
      </c>
      <c r="AH4547">
        <v>0</v>
      </c>
      <c r="AI4547">
        <v>0</v>
      </c>
      <c r="AJ4547">
        <v>0</v>
      </c>
      <c r="AK4547">
        <v>0</v>
      </c>
      <c r="AL4547">
        <v>0</v>
      </c>
      <c r="AM4547">
        <v>3413</v>
      </c>
      <c r="AN4547">
        <v>0</v>
      </c>
      <c r="AO4547">
        <v>0</v>
      </c>
      <c r="AP4547">
        <v>0</v>
      </c>
      <c r="AQ4547">
        <v>0</v>
      </c>
      <c r="AR4547">
        <v>0</v>
      </c>
      <c r="AS4547">
        <v>0</v>
      </c>
      <c r="AT4547">
        <v>0</v>
      </c>
      <c r="AU4547">
        <f t="shared" si="140"/>
        <v>0</v>
      </c>
      <c r="AV4547">
        <f t="shared" si="141"/>
        <v>3413</v>
      </c>
    </row>
    <row r="4548" spans="1:48" x14ac:dyDescent="0.25">
      <c r="A4548" t="s">
        <v>13160</v>
      </c>
      <c r="C4548" t="s">
        <v>11488</v>
      </c>
      <c r="D4548" t="s">
        <v>9892</v>
      </c>
      <c r="E4548" t="s">
        <v>1663</v>
      </c>
      <c r="F4548">
        <v>5</v>
      </c>
      <c r="G4548">
        <v>5.5</v>
      </c>
      <c r="H4548" t="s">
        <v>2017</v>
      </c>
      <c r="I4548" s="21">
        <v>42423</v>
      </c>
      <c r="J4548">
        <v>2016</v>
      </c>
      <c r="K4548" s="21">
        <v>42438</v>
      </c>
      <c r="L4548">
        <v>2016</v>
      </c>
      <c r="M4548" s="21">
        <v>42472</v>
      </c>
      <c r="N4548">
        <v>2016</v>
      </c>
      <c r="Q4548" s="262">
        <v>850000</v>
      </c>
      <c r="S4548" t="s">
        <v>114</v>
      </c>
      <c r="T4548" t="s">
        <v>114</v>
      </c>
      <c r="W4548">
        <v>221</v>
      </c>
      <c r="X4548">
        <v>0</v>
      </c>
      <c r="Y4548">
        <v>0</v>
      </c>
      <c r="Z4548">
        <v>0</v>
      </c>
      <c r="AA4548">
        <v>0</v>
      </c>
      <c r="AB4548">
        <v>0</v>
      </c>
      <c r="AC4548">
        <v>221</v>
      </c>
      <c r="AD4548">
        <v>0</v>
      </c>
      <c r="AE4548">
        <v>0</v>
      </c>
      <c r="AF4548">
        <v>0</v>
      </c>
      <c r="AG4548">
        <v>0</v>
      </c>
      <c r="AH4548">
        <v>0</v>
      </c>
      <c r="AI4548">
        <v>0</v>
      </c>
      <c r="AJ4548">
        <v>0</v>
      </c>
      <c r="AK4548">
        <v>0</v>
      </c>
      <c r="AL4548">
        <v>0</v>
      </c>
      <c r="AM4548">
        <v>0</v>
      </c>
      <c r="AN4548">
        <v>0</v>
      </c>
      <c r="AO4548">
        <v>0</v>
      </c>
      <c r="AP4548">
        <v>0</v>
      </c>
      <c r="AQ4548">
        <v>0</v>
      </c>
      <c r="AR4548">
        <v>0</v>
      </c>
      <c r="AS4548">
        <v>0</v>
      </c>
      <c r="AT4548">
        <v>0</v>
      </c>
      <c r="AU4548">
        <f t="shared" si="140"/>
        <v>0</v>
      </c>
      <c r="AV4548">
        <f t="shared" si="141"/>
        <v>0</v>
      </c>
    </row>
    <row r="4549" spans="1:48" x14ac:dyDescent="0.25">
      <c r="A4549" t="s">
        <v>13161</v>
      </c>
      <c r="C4549" t="s">
        <v>13162</v>
      </c>
      <c r="D4549" t="s">
        <v>13163</v>
      </c>
      <c r="E4549" t="s">
        <v>1663</v>
      </c>
      <c r="F4549">
        <v>4</v>
      </c>
      <c r="G4549">
        <v>4.3</v>
      </c>
      <c r="H4549" t="s">
        <v>2327</v>
      </c>
      <c r="I4549" s="21">
        <v>42423</v>
      </c>
      <c r="J4549">
        <v>2016</v>
      </c>
      <c r="M4549" s="21">
        <v>42513</v>
      </c>
      <c r="N4549">
        <v>2016</v>
      </c>
      <c r="Q4549" s="262">
        <v>20000</v>
      </c>
      <c r="S4549" t="s">
        <v>114</v>
      </c>
      <c r="T4549" t="s">
        <v>114</v>
      </c>
      <c r="W4549">
        <v>0</v>
      </c>
      <c r="X4549">
        <v>0</v>
      </c>
      <c r="Y4549">
        <v>0</v>
      </c>
      <c r="Z4549">
        <v>0</v>
      </c>
      <c r="AA4549">
        <v>0</v>
      </c>
      <c r="AB4549">
        <v>0</v>
      </c>
      <c r="AC4549">
        <v>0</v>
      </c>
      <c r="AD4549">
        <v>0</v>
      </c>
      <c r="AE4549">
        <v>0</v>
      </c>
      <c r="AF4549">
        <v>0</v>
      </c>
      <c r="AG4549">
        <v>0</v>
      </c>
      <c r="AH4549">
        <v>0</v>
      </c>
      <c r="AI4549">
        <v>0</v>
      </c>
      <c r="AJ4549">
        <v>0</v>
      </c>
      <c r="AK4549">
        <v>0</v>
      </c>
      <c r="AL4549">
        <v>0</v>
      </c>
      <c r="AM4549">
        <v>0</v>
      </c>
      <c r="AN4549">
        <v>0</v>
      </c>
      <c r="AO4549">
        <v>0</v>
      </c>
      <c r="AP4549">
        <v>0</v>
      </c>
      <c r="AQ4549">
        <v>0</v>
      </c>
      <c r="AR4549">
        <v>0</v>
      </c>
      <c r="AS4549">
        <v>0</v>
      </c>
      <c r="AT4549">
        <v>0</v>
      </c>
      <c r="AU4549">
        <f t="shared" si="140"/>
        <v>0</v>
      </c>
      <c r="AV4549">
        <f t="shared" si="141"/>
        <v>0</v>
      </c>
    </row>
    <row r="4550" spans="1:48" x14ac:dyDescent="0.25">
      <c r="A4550" t="s">
        <v>13159</v>
      </c>
      <c r="C4550" t="s">
        <v>11411</v>
      </c>
      <c r="D4550" t="s">
        <v>9865</v>
      </c>
      <c r="E4550" t="s">
        <v>1663</v>
      </c>
      <c r="F4550">
        <v>3</v>
      </c>
      <c r="G4550">
        <v>3.4</v>
      </c>
      <c r="H4550" t="s">
        <v>2017</v>
      </c>
      <c r="I4550" s="21">
        <v>42423</v>
      </c>
      <c r="J4550">
        <v>2016</v>
      </c>
      <c r="K4550" s="21">
        <v>42429</v>
      </c>
      <c r="L4550">
        <v>2016</v>
      </c>
      <c r="M4550" s="21">
        <v>42716</v>
      </c>
      <c r="N4550">
        <v>2016</v>
      </c>
      <c r="Q4550" s="262">
        <v>5000</v>
      </c>
      <c r="S4550" t="s">
        <v>114</v>
      </c>
      <c r="T4550" t="s">
        <v>114</v>
      </c>
      <c r="W4550">
        <v>0</v>
      </c>
      <c r="X4550">
        <v>0</v>
      </c>
      <c r="Y4550">
        <v>0</v>
      </c>
      <c r="Z4550">
        <v>0</v>
      </c>
      <c r="AA4550">
        <v>0</v>
      </c>
      <c r="AB4550">
        <v>0</v>
      </c>
      <c r="AC4550">
        <v>0</v>
      </c>
      <c r="AD4550">
        <v>0</v>
      </c>
      <c r="AE4550">
        <v>0</v>
      </c>
      <c r="AF4550">
        <v>0</v>
      </c>
      <c r="AG4550">
        <v>0</v>
      </c>
      <c r="AH4550">
        <v>0</v>
      </c>
      <c r="AI4550">
        <v>0</v>
      </c>
      <c r="AJ4550">
        <v>0</v>
      </c>
      <c r="AK4550">
        <v>0</v>
      </c>
      <c r="AL4550">
        <v>0</v>
      </c>
      <c r="AM4550">
        <v>0</v>
      </c>
      <c r="AN4550">
        <v>0</v>
      </c>
      <c r="AO4550">
        <v>0</v>
      </c>
      <c r="AP4550">
        <v>0</v>
      </c>
      <c r="AQ4550">
        <v>0</v>
      </c>
      <c r="AR4550">
        <v>0</v>
      </c>
      <c r="AS4550">
        <v>0</v>
      </c>
      <c r="AT4550">
        <v>0</v>
      </c>
      <c r="AU4550">
        <f t="shared" si="140"/>
        <v>0</v>
      </c>
      <c r="AV4550">
        <f t="shared" si="141"/>
        <v>0</v>
      </c>
    </row>
    <row r="4551" spans="1:48" x14ac:dyDescent="0.25">
      <c r="A4551" t="s">
        <v>13164</v>
      </c>
      <c r="B4551" t="s">
        <v>13164</v>
      </c>
      <c r="C4551" t="s">
        <v>13165</v>
      </c>
      <c r="D4551" t="s">
        <v>13166</v>
      </c>
      <c r="E4551" t="s">
        <v>2310</v>
      </c>
      <c r="F4551">
        <v>9</v>
      </c>
      <c r="G4551">
        <v>9.1</v>
      </c>
      <c r="H4551" t="s">
        <v>2323</v>
      </c>
      <c r="I4551" s="21">
        <v>42423.440416666701</v>
      </c>
      <c r="J4551">
        <v>2016</v>
      </c>
      <c r="K4551" s="21">
        <v>42501.559560185196</v>
      </c>
      <c r="L4551">
        <v>2016</v>
      </c>
      <c r="M4551" s="21">
        <v>42692.354629629597</v>
      </c>
      <c r="N4551">
        <v>2016</v>
      </c>
      <c r="Q4551" s="262">
        <v>250000</v>
      </c>
      <c r="R4551" s="262">
        <v>138000</v>
      </c>
      <c r="S4551" t="s">
        <v>114</v>
      </c>
      <c r="T4551" t="s">
        <v>114</v>
      </c>
      <c r="V4551">
        <v>1008</v>
      </c>
      <c r="W4551">
        <v>1200</v>
      </c>
      <c r="X4551">
        <v>0</v>
      </c>
      <c r="Y4551">
        <v>0</v>
      </c>
      <c r="Z4551">
        <v>0</v>
      </c>
      <c r="AA4551">
        <v>0</v>
      </c>
      <c r="AB4551">
        <v>0</v>
      </c>
      <c r="AC4551">
        <v>1200</v>
      </c>
      <c r="AD4551">
        <v>0</v>
      </c>
      <c r="AE4551">
        <v>0</v>
      </c>
      <c r="AF4551">
        <v>0</v>
      </c>
      <c r="AG4551">
        <v>0</v>
      </c>
      <c r="AH4551">
        <v>0</v>
      </c>
      <c r="AI4551">
        <v>0</v>
      </c>
      <c r="AJ4551">
        <v>0</v>
      </c>
      <c r="AK4551">
        <v>0</v>
      </c>
      <c r="AL4551">
        <v>0</v>
      </c>
      <c r="AM4551">
        <v>0</v>
      </c>
      <c r="AN4551">
        <v>0</v>
      </c>
      <c r="AO4551">
        <v>0</v>
      </c>
      <c r="AP4551">
        <v>0</v>
      </c>
      <c r="AQ4551">
        <v>0</v>
      </c>
      <c r="AR4551">
        <v>0</v>
      </c>
      <c r="AS4551">
        <v>0</v>
      </c>
      <c r="AT4551">
        <v>0</v>
      </c>
      <c r="AU4551">
        <f t="shared" si="140"/>
        <v>0</v>
      </c>
      <c r="AV4551">
        <f t="shared" si="141"/>
        <v>0</v>
      </c>
    </row>
    <row r="4552" spans="1:48" x14ac:dyDescent="0.25">
      <c r="A4552" t="s">
        <v>17802</v>
      </c>
      <c r="B4552" t="s">
        <v>17802</v>
      </c>
      <c r="C4552" t="s">
        <v>17803</v>
      </c>
      <c r="D4552" t="s">
        <v>17804</v>
      </c>
      <c r="E4552" t="s">
        <v>2310</v>
      </c>
      <c r="F4552">
        <v>9</v>
      </c>
      <c r="G4552">
        <v>9.3000000000000007</v>
      </c>
      <c r="H4552" t="s">
        <v>2323</v>
      </c>
      <c r="I4552" s="21">
        <v>42423.570150462961</v>
      </c>
      <c r="J4552">
        <v>2016</v>
      </c>
      <c r="K4552" s="21">
        <v>42842.542534722219</v>
      </c>
      <c r="L4552">
        <v>2017</v>
      </c>
      <c r="M4552" s="21">
        <v>42842.542534722219</v>
      </c>
      <c r="N4552">
        <v>2017</v>
      </c>
      <c r="Q4552" s="262">
        <v>850000</v>
      </c>
      <c r="R4552" s="262">
        <v>239000</v>
      </c>
      <c r="S4552" t="s">
        <v>13253</v>
      </c>
      <c r="T4552">
        <v>4882</v>
      </c>
      <c r="V4552">
        <v>2156</v>
      </c>
      <c r="W4552">
        <v>532</v>
      </c>
      <c r="X4552">
        <v>0</v>
      </c>
      <c r="Y4552">
        <v>0</v>
      </c>
      <c r="Z4552">
        <v>0</v>
      </c>
      <c r="AA4552">
        <v>0</v>
      </c>
      <c r="AB4552">
        <v>0</v>
      </c>
      <c r="AC4552">
        <v>532</v>
      </c>
      <c r="AD4552">
        <v>0</v>
      </c>
      <c r="AE4552">
        <v>0</v>
      </c>
      <c r="AF4552">
        <v>0</v>
      </c>
      <c r="AG4552">
        <v>0</v>
      </c>
      <c r="AH4552">
        <v>0</v>
      </c>
      <c r="AI4552">
        <v>0</v>
      </c>
      <c r="AJ4552">
        <v>0</v>
      </c>
      <c r="AK4552">
        <v>0</v>
      </c>
      <c r="AL4552">
        <v>0</v>
      </c>
      <c r="AM4552">
        <v>0</v>
      </c>
      <c r="AN4552">
        <v>0</v>
      </c>
      <c r="AO4552">
        <v>0</v>
      </c>
      <c r="AP4552">
        <v>0</v>
      </c>
      <c r="AQ4552">
        <v>0</v>
      </c>
      <c r="AR4552">
        <v>0</v>
      </c>
      <c r="AS4552">
        <v>0</v>
      </c>
      <c r="AT4552">
        <v>0</v>
      </c>
      <c r="AU4552">
        <f t="shared" si="140"/>
        <v>0</v>
      </c>
      <c r="AV4552">
        <f t="shared" si="141"/>
        <v>0</v>
      </c>
    </row>
    <row r="4553" spans="1:48" x14ac:dyDescent="0.25">
      <c r="A4553" t="s">
        <v>18089</v>
      </c>
      <c r="B4553" t="s">
        <v>18089</v>
      </c>
      <c r="C4553" t="s">
        <v>18090</v>
      </c>
      <c r="D4553" t="s">
        <v>18091</v>
      </c>
      <c r="E4553" t="s">
        <v>2310</v>
      </c>
      <c r="F4553">
        <v>13</v>
      </c>
      <c r="G4553">
        <v>13.3</v>
      </c>
      <c r="H4553" t="s">
        <v>2017</v>
      </c>
      <c r="I4553" s="21">
        <v>42423.622372685182</v>
      </c>
      <c r="J4553">
        <v>2016</v>
      </c>
      <c r="K4553" s="21">
        <v>43255.685648761573</v>
      </c>
      <c r="L4553">
        <v>2018</v>
      </c>
      <c r="M4553" s="21">
        <v>43255.420886307867</v>
      </c>
      <c r="N4553">
        <v>2018</v>
      </c>
      <c r="Q4553" s="262">
        <v>5000000</v>
      </c>
      <c r="R4553" s="262">
        <v>1053000</v>
      </c>
      <c r="S4553" t="s">
        <v>13254</v>
      </c>
      <c r="W4553">
        <v>7213</v>
      </c>
      <c r="X4553">
        <v>1</v>
      </c>
      <c r="Y4553">
        <v>0</v>
      </c>
      <c r="Z4553">
        <v>0</v>
      </c>
      <c r="AA4553">
        <v>0</v>
      </c>
      <c r="AB4553">
        <v>0</v>
      </c>
      <c r="AC4553">
        <v>7213</v>
      </c>
      <c r="AD4553">
        <v>0</v>
      </c>
      <c r="AE4553">
        <v>0</v>
      </c>
      <c r="AF4553">
        <v>0</v>
      </c>
      <c r="AG4553">
        <v>0</v>
      </c>
      <c r="AH4553">
        <v>0</v>
      </c>
      <c r="AI4553">
        <v>0</v>
      </c>
      <c r="AJ4553">
        <v>0</v>
      </c>
      <c r="AK4553">
        <v>0</v>
      </c>
      <c r="AL4553">
        <v>0</v>
      </c>
      <c r="AM4553">
        <v>0</v>
      </c>
      <c r="AN4553">
        <v>0</v>
      </c>
      <c r="AO4553">
        <v>1</v>
      </c>
      <c r="AP4553">
        <v>0</v>
      </c>
      <c r="AQ4553">
        <v>0</v>
      </c>
      <c r="AR4553">
        <v>0</v>
      </c>
      <c r="AS4553">
        <v>0</v>
      </c>
      <c r="AT4553">
        <v>0</v>
      </c>
      <c r="AU4553">
        <f t="shared" si="140"/>
        <v>1</v>
      </c>
      <c r="AV4553">
        <f t="shared" si="141"/>
        <v>0</v>
      </c>
    </row>
    <row r="4554" spans="1:48" x14ac:dyDescent="0.25">
      <c r="A4554" t="s">
        <v>18462</v>
      </c>
      <c r="B4554" t="s">
        <v>18462</v>
      </c>
      <c r="C4554" t="s">
        <v>18463</v>
      </c>
      <c r="D4554" t="s">
        <v>18091</v>
      </c>
      <c r="E4554" t="s">
        <v>2310</v>
      </c>
      <c r="F4554">
        <v>13</v>
      </c>
      <c r="G4554">
        <v>13.3</v>
      </c>
      <c r="H4554" t="s">
        <v>2017</v>
      </c>
      <c r="I4554" s="21">
        <v>42423.633506944447</v>
      </c>
      <c r="J4554">
        <v>2016</v>
      </c>
      <c r="K4554" s="21">
        <v>42481.686539351853</v>
      </c>
      <c r="L4554">
        <v>2016</v>
      </c>
      <c r="M4554" s="21">
        <v>43451.667443437502</v>
      </c>
      <c r="N4554">
        <v>2018</v>
      </c>
      <c r="Q4554" s="262">
        <v>95000</v>
      </c>
      <c r="R4554" s="262">
        <v>72000</v>
      </c>
      <c r="S4554" t="s">
        <v>13254</v>
      </c>
      <c r="W4554">
        <v>922</v>
      </c>
      <c r="X4554">
        <v>1</v>
      </c>
      <c r="Y4554">
        <v>0</v>
      </c>
      <c r="Z4554">
        <v>0</v>
      </c>
      <c r="AA4554">
        <v>0</v>
      </c>
      <c r="AB4554">
        <v>0</v>
      </c>
      <c r="AC4554">
        <v>461</v>
      </c>
      <c r="AD4554">
        <v>0</v>
      </c>
      <c r="AE4554">
        <v>0</v>
      </c>
      <c r="AF4554">
        <v>461</v>
      </c>
      <c r="AG4554">
        <v>0</v>
      </c>
      <c r="AH4554">
        <v>0</v>
      </c>
      <c r="AI4554">
        <v>0</v>
      </c>
      <c r="AJ4554">
        <v>0</v>
      </c>
      <c r="AK4554">
        <v>0</v>
      </c>
      <c r="AL4554">
        <v>0</v>
      </c>
      <c r="AM4554">
        <v>0</v>
      </c>
      <c r="AN4554">
        <v>0</v>
      </c>
      <c r="AO4554">
        <v>0</v>
      </c>
      <c r="AP4554">
        <v>0</v>
      </c>
      <c r="AQ4554">
        <v>0</v>
      </c>
      <c r="AR4554">
        <v>1</v>
      </c>
      <c r="AS4554">
        <v>0</v>
      </c>
      <c r="AT4554">
        <v>0</v>
      </c>
      <c r="AU4554">
        <f t="shared" si="140"/>
        <v>0</v>
      </c>
      <c r="AV4554">
        <f t="shared" si="141"/>
        <v>0</v>
      </c>
    </row>
    <row r="4555" spans="1:48" x14ac:dyDescent="0.25">
      <c r="A4555" t="s">
        <v>13167</v>
      </c>
      <c r="C4555" t="s">
        <v>13168</v>
      </c>
      <c r="D4555" t="s">
        <v>13169</v>
      </c>
      <c r="E4555" t="s">
        <v>1663</v>
      </c>
      <c r="F4555">
        <v>1</v>
      </c>
      <c r="G4555">
        <v>1.1000000000000001</v>
      </c>
      <c r="H4555" t="s">
        <v>2017</v>
      </c>
      <c r="I4555" s="21">
        <v>42424</v>
      </c>
      <c r="J4555">
        <v>2016</v>
      </c>
      <c r="K4555" s="21">
        <v>42439</v>
      </c>
      <c r="L4555">
        <v>2016</v>
      </c>
      <c r="P4555" s="21">
        <v>42680</v>
      </c>
      <c r="Q4555" s="262">
        <v>100000</v>
      </c>
      <c r="S4555" t="s">
        <v>114</v>
      </c>
      <c r="T4555" t="s">
        <v>114</v>
      </c>
      <c r="W4555">
        <v>0</v>
      </c>
      <c r="X4555">
        <v>0</v>
      </c>
      <c r="Y4555">
        <v>0</v>
      </c>
      <c r="Z4555">
        <v>0</v>
      </c>
      <c r="AA4555">
        <v>0</v>
      </c>
      <c r="AB4555">
        <v>0</v>
      </c>
      <c r="AC4555">
        <v>0</v>
      </c>
      <c r="AD4555">
        <v>0</v>
      </c>
      <c r="AE4555">
        <v>0</v>
      </c>
      <c r="AF4555">
        <v>0</v>
      </c>
      <c r="AG4555">
        <v>0</v>
      </c>
      <c r="AH4555">
        <v>0</v>
      </c>
      <c r="AI4555">
        <v>0</v>
      </c>
      <c r="AJ4555">
        <v>0</v>
      </c>
      <c r="AK4555">
        <v>0</v>
      </c>
      <c r="AL4555">
        <v>0</v>
      </c>
      <c r="AM4555">
        <v>0</v>
      </c>
      <c r="AN4555">
        <v>0</v>
      </c>
      <c r="AO4555">
        <v>0</v>
      </c>
      <c r="AP4555">
        <v>0</v>
      </c>
      <c r="AQ4555">
        <v>0</v>
      </c>
      <c r="AR4555">
        <v>0</v>
      </c>
      <c r="AS4555">
        <v>0</v>
      </c>
      <c r="AT4555">
        <v>0</v>
      </c>
      <c r="AU4555">
        <f t="shared" si="140"/>
        <v>0</v>
      </c>
      <c r="AV4555">
        <f t="shared" si="141"/>
        <v>0</v>
      </c>
    </row>
    <row r="4556" spans="1:48" x14ac:dyDescent="0.25">
      <c r="A4556" t="s">
        <v>13170</v>
      </c>
      <c r="B4556" t="s">
        <v>13170</v>
      </c>
      <c r="C4556" t="s">
        <v>13171</v>
      </c>
      <c r="D4556" t="s">
        <v>5856</v>
      </c>
      <c r="E4556" t="s">
        <v>2310</v>
      </c>
      <c r="F4556">
        <v>12</v>
      </c>
      <c r="G4556">
        <v>12.3</v>
      </c>
      <c r="H4556" t="s">
        <v>2017</v>
      </c>
      <c r="I4556" s="21">
        <v>42424.425798611097</v>
      </c>
      <c r="J4556">
        <v>2016</v>
      </c>
      <c r="K4556" s="21">
        <v>42437.487164351798</v>
      </c>
      <c r="L4556">
        <v>2016</v>
      </c>
      <c r="M4556" s="21">
        <v>42530.448032407403</v>
      </c>
      <c r="N4556">
        <v>2016</v>
      </c>
      <c r="Q4556" s="262">
        <v>155000</v>
      </c>
      <c r="R4556" s="262">
        <v>156000</v>
      </c>
      <c r="S4556" t="s">
        <v>114</v>
      </c>
      <c r="T4556" t="s">
        <v>114</v>
      </c>
      <c r="V4556">
        <v>1838</v>
      </c>
      <c r="W4556">
        <v>0</v>
      </c>
      <c r="X4556">
        <v>0</v>
      </c>
      <c r="Y4556">
        <v>0</v>
      </c>
      <c r="Z4556">
        <v>0</v>
      </c>
      <c r="AA4556">
        <v>0</v>
      </c>
      <c r="AB4556">
        <v>0</v>
      </c>
      <c r="AC4556">
        <v>0</v>
      </c>
      <c r="AD4556">
        <v>0</v>
      </c>
      <c r="AE4556">
        <v>0</v>
      </c>
      <c r="AF4556">
        <v>0</v>
      </c>
      <c r="AG4556">
        <v>0</v>
      </c>
      <c r="AH4556">
        <v>0</v>
      </c>
      <c r="AI4556">
        <v>0</v>
      </c>
      <c r="AJ4556">
        <v>0</v>
      </c>
      <c r="AK4556">
        <v>0</v>
      </c>
      <c r="AL4556">
        <v>0</v>
      </c>
      <c r="AM4556">
        <v>0</v>
      </c>
      <c r="AN4556">
        <v>0</v>
      </c>
      <c r="AO4556">
        <v>0</v>
      </c>
      <c r="AP4556">
        <v>0</v>
      </c>
      <c r="AQ4556">
        <v>0</v>
      </c>
      <c r="AR4556">
        <v>0</v>
      </c>
      <c r="AS4556">
        <v>0</v>
      </c>
      <c r="AT4556">
        <v>0</v>
      </c>
      <c r="AU4556">
        <f t="shared" si="140"/>
        <v>0</v>
      </c>
      <c r="AV4556">
        <f t="shared" si="141"/>
        <v>0</v>
      </c>
    </row>
    <row r="4557" spans="1:48" x14ac:dyDescent="0.25">
      <c r="A4557" t="s">
        <v>13172</v>
      </c>
      <c r="B4557" t="s">
        <v>13172</v>
      </c>
      <c r="C4557" t="s">
        <v>13173</v>
      </c>
      <c r="D4557" t="s">
        <v>11546</v>
      </c>
      <c r="E4557" t="s">
        <v>2310</v>
      </c>
      <c r="F4557">
        <v>10</v>
      </c>
      <c r="G4557">
        <v>10.1</v>
      </c>
      <c r="H4557" t="s">
        <v>2323</v>
      </c>
      <c r="I4557" s="21">
        <v>42424.550023148098</v>
      </c>
      <c r="J4557">
        <v>2016</v>
      </c>
      <c r="K4557" s="21">
        <v>42524.398634259298</v>
      </c>
      <c r="L4557">
        <v>2016</v>
      </c>
      <c r="M4557" s="21">
        <v>42657.341550925899</v>
      </c>
      <c r="N4557">
        <v>2016</v>
      </c>
      <c r="Q4557" s="262">
        <v>80000</v>
      </c>
      <c r="R4557" s="262">
        <v>78000</v>
      </c>
      <c r="S4557" t="s">
        <v>114</v>
      </c>
      <c r="T4557" t="s">
        <v>114</v>
      </c>
      <c r="W4557">
        <v>1296</v>
      </c>
      <c r="X4557">
        <v>0</v>
      </c>
      <c r="Y4557">
        <v>0</v>
      </c>
      <c r="Z4557">
        <v>0</v>
      </c>
      <c r="AA4557">
        <v>0</v>
      </c>
      <c r="AB4557">
        <v>0</v>
      </c>
      <c r="AC4557">
        <v>1296</v>
      </c>
      <c r="AD4557">
        <v>0</v>
      </c>
      <c r="AE4557">
        <v>0</v>
      </c>
      <c r="AF4557">
        <v>0</v>
      </c>
      <c r="AG4557">
        <v>0</v>
      </c>
      <c r="AH4557">
        <v>0</v>
      </c>
      <c r="AI4557">
        <v>0</v>
      </c>
      <c r="AJ4557">
        <v>0</v>
      </c>
      <c r="AK4557">
        <v>0</v>
      </c>
      <c r="AL4557">
        <v>0</v>
      </c>
      <c r="AM4557">
        <v>0</v>
      </c>
      <c r="AN4557">
        <v>0</v>
      </c>
      <c r="AO4557">
        <v>0</v>
      </c>
      <c r="AP4557">
        <v>0</v>
      </c>
      <c r="AQ4557">
        <v>0</v>
      </c>
      <c r="AR4557">
        <v>0</v>
      </c>
      <c r="AS4557">
        <v>0</v>
      </c>
      <c r="AT4557">
        <v>0</v>
      </c>
      <c r="AU4557">
        <f t="shared" si="140"/>
        <v>0</v>
      </c>
      <c r="AV4557">
        <f t="shared" si="141"/>
        <v>0</v>
      </c>
    </row>
    <row r="4558" spans="1:48" x14ac:dyDescent="0.25">
      <c r="A4558" t="s">
        <v>17805</v>
      </c>
      <c r="B4558" t="s">
        <v>17805</v>
      </c>
      <c r="C4558" t="s">
        <v>17806</v>
      </c>
      <c r="D4558" t="s">
        <v>15671</v>
      </c>
      <c r="E4558" t="s">
        <v>2310</v>
      </c>
      <c r="F4558">
        <v>12</v>
      </c>
      <c r="G4558">
        <v>12.3</v>
      </c>
      <c r="H4558" t="s">
        <v>2017</v>
      </c>
      <c r="I4558" s="21">
        <v>42425.432951388888</v>
      </c>
      <c r="J4558">
        <v>2016</v>
      </c>
      <c r="K4558" s="21">
        <v>42941.47016203704</v>
      </c>
      <c r="L4558">
        <v>2017</v>
      </c>
      <c r="M4558" s="21">
        <v>42941.47016203704</v>
      </c>
      <c r="N4558">
        <v>2017</v>
      </c>
      <c r="Q4558" s="262">
        <v>1124775</v>
      </c>
      <c r="R4558" s="262">
        <v>630000</v>
      </c>
      <c r="S4558" t="s">
        <v>13254</v>
      </c>
      <c r="W4558">
        <v>4999</v>
      </c>
      <c r="X4558">
        <v>1</v>
      </c>
      <c r="Y4558">
        <v>0</v>
      </c>
      <c r="Z4558">
        <v>0</v>
      </c>
      <c r="AA4558">
        <v>0</v>
      </c>
      <c r="AB4558">
        <v>0</v>
      </c>
      <c r="AC4558">
        <v>4999</v>
      </c>
      <c r="AD4558">
        <v>0</v>
      </c>
      <c r="AE4558">
        <v>0</v>
      </c>
      <c r="AF4558">
        <v>0</v>
      </c>
      <c r="AG4558">
        <v>0</v>
      </c>
      <c r="AH4558">
        <v>0</v>
      </c>
      <c r="AI4558">
        <v>0</v>
      </c>
      <c r="AJ4558">
        <v>0</v>
      </c>
      <c r="AK4558">
        <v>0</v>
      </c>
      <c r="AL4558">
        <v>0</v>
      </c>
      <c r="AM4558">
        <v>0</v>
      </c>
      <c r="AN4558">
        <v>0</v>
      </c>
      <c r="AO4558">
        <v>1</v>
      </c>
      <c r="AP4558">
        <v>0</v>
      </c>
      <c r="AQ4558">
        <v>0</v>
      </c>
      <c r="AR4558">
        <v>0</v>
      </c>
      <c r="AS4558">
        <v>0</v>
      </c>
      <c r="AT4558">
        <v>0</v>
      </c>
      <c r="AU4558">
        <f t="shared" si="140"/>
        <v>1</v>
      </c>
      <c r="AV4558">
        <f t="shared" si="141"/>
        <v>0</v>
      </c>
    </row>
    <row r="4559" spans="1:48" x14ac:dyDescent="0.25">
      <c r="A4559" t="s">
        <v>13174</v>
      </c>
      <c r="B4559" t="s">
        <v>13174</v>
      </c>
      <c r="C4559" t="s">
        <v>13175</v>
      </c>
      <c r="D4559" t="s">
        <v>13176</v>
      </c>
      <c r="E4559" t="s">
        <v>2310</v>
      </c>
      <c r="F4559">
        <v>10</v>
      </c>
      <c r="G4559">
        <v>10.1</v>
      </c>
      <c r="H4559" t="s">
        <v>2323</v>
      </c>
      <c r="I4559" s="21">
        <v>42425.591921296298</v>
      </c>
      <c r="J4559">
        <v>2016</v>
      </c>
      <c r="K4559" s="21">
        <v>42475.432222222204</v>
      </c>
      <c r="L4559">
        <v>2016</v>
      </c>
      <c r="M4559" s="21">
        <v>42569.408645833297</v>
      </c>
      <c r="N4559">
        <v>2016</v>
      </c>
      <c r="Q4559" s="262">
        <v>50000</v>
      </c>
      <c r="R4559" s="262">
        <v>17000</v>
      </c>
      <c r="S4559" t="s">
        <v>114</v>
      </c>
      <c r="T4559" t="s">
        <v>114</v>
      </c>
      <c r="W4559">
        <v>144</v>
      </c>
      <c r="X4559">
        <v>0</v>
      </c>
      <c r="Y4559">
        <v>0</v>
      </c>
      <c r="Z4559">
        <v>0</v>
      </c>
      <c r="AA4559">
        <v>0</v>
      </c>
      <c r="AB4559">
        <v>0</v>
      </c>
      <c r="AC4559">
        <v>144</v>
      </c>
      <c r="AD4559">
        <v>0</v>
      </c>
      <c r="AE4559">
        <v>0</v>
      </c>
      <c r="AF4559">
        <v>0</v>
      </c>
      <c r="AG4559">
        <v>0</v>
      </c>
      <c r="AH4559">
        <v>0</v>
      </c>
      <c r="AI4559">
        <v>0</v>
      </c>
      <c r="AJ4559">
        <v>0</v>
      </c>
      <c r="AK4559">
        <v>0</v>
      </c>
      <c r="AL4559">
        <v>0</v>
      </c>
      <c r="AM4559">
        <v>0</v>
      </c>
      <c r="AN4559">
        <v>0</v>
      </c>
      <c r="AO4559">
        <v>0</v>
      </c>
      <c r="AP4559">
        <v>0</v>
      </c>
      <c r="AQ4559">
        <v>0</v>
      </c>
      <c r="AR4559">
        <v>0</v>
      </c>
      <c r="AS4559">
        <v>0</v>
      </c>
      <c r="AT4559">
        <v>0</v>
      </c>
      <c r="AU4559">
        <f t="shared" si="140"/>
        <v>0</v>
      </c>
      <c r="AV4559">
        <f t="shared" si="141"/>
        <v>0</v>
      </c>
    </row>
    <row r="4560" spans="1:48" x14ac:dyDescent="0.25">
      <c r="A4560" t="s">
        <v>17807</v>
      </c>
      <c r="B4560" t="s">
        <v>17807</v>
      </c>
      <c r="C4560" t="s">
        <v>17808</v>
      </c>
      <c r="D4560" t="s">
        <v>17809</v>
      </c>
      <c r="E4560" t="s">
        <v>2310</v>
      </c>
      <c r="F4560">
        <v>11</v>
      </c>
      <c r="G4560">
        <v>11.2</v>
      </c>
      <c r="H4560" t="s">
        <v>2017</v>
      </c>
      <c r="I4560" s="21">
        <v>42426.567071759258</v>
      </c>
      <c r="J4560">
        <v>2016</v>
      </c>
      <c r="K4560" s="21">
        <v>42780.575578703705</v>
      </c>
      <c r="L4560">
        <v>2017</v>
      </c>
      <c r="M4560" s="21">
        <v>42780.575578703705</v>
      </c>
      <c r="N4560">
        <v>2017</v>
      </c>
      <c r="Q4560" s="262">
        <v>610000</v>
      </c>
      <c r="R4560" s="262">
        <v>282000</v>
      </c>
      <c r="S4560" t="s">
        <v>13254</v>
      </c>
      <c r="W4560">
        <v>2788</v>
      </c>
      <c r="X4560">
        <v>1</v>
      </c>
      <c r="Y4560">
        <v>0</v>
      </c>
      <c r="Z4560">
        <v>0</v>
      </c>
      <c r="AA4560">
        <v>0</v>
      </c>
      <c r="AB4560">
        <v>0</v>
      </c>
      <c r="AC4560">
        <v>2788</v>
      </c>
      <c r="AD4560">
        <v>0</v>
      </c>
      <c r="AE4560">
        <v>0</v>
      </c>
      <c r="AF4560">
        <v>0</v>
      </c>
      <c r="AG4560">
        <v>0</v>
      </c>
      <c r="AH4560">
        <v>0</v>
      </c>
      <c r="AI4560">
        <v>0</v>
      </c>
      <c r="AJ4560">
        <v>0</v>
      </c>
      <c r="AK4560">
        <v>0</v>
      </c>
      <c r="AL4560">
        <v>0</v>
      </c>
      <c r="AM4560">
        <v>0</v>
      </c>
      <c r="AN4560">
        <v>0</v>
      </c>
      <c r="AO4560">
        <v>1</v>
      </c>
      <c r="AP4560">
        <v>0</v>
      </c>
      <c r="AQ4560">
        <v>0</v>
      </c>
      <c r="AR4560">
        <v>0</v>
      </c>
      <c r="AS4560">
        <v>0</v>
      </c>
      <c r="AT4560">
        <v>0</v>
      </c>
      <c r="AU4560">
        <f t="shared" si="140"/>
        <v>1</v>
      </c>
      <c r="AV4560">
        <f t="shared" si="141"/>
        <v>0</v>
      </c>
    </row>
    <row r="4561" spans="1:48" x14ac:dyDescent="0.25">
      <c r="A4561" t="s">
        <v>13629</v>
      </c>
      <c r="B4561" t="s">
        <v>114</v>
      </c>
      <c r="C4561" t="s">
        <v>11488</v>
      </c>
      <c r="D4561" t="s">
        <v>13630</v>
      </c>
      <c r="E4561" t="s">
        <v>1663</v>
      </c>
      <c r="F4561">
        <v>6</v>
      </c>
      <c r="G4561">
        <v>6.2</v>
      </c>
      <c r="H4561" t="s">
        <v>2017</v>
      </c>
      <c r="I4561" s="21">
        <v>42429</v>
      </c>
      <c r="J4561">
        <v>2016</v>
      </c>
      <c r="K4561" s="21">
        <v>42499</v>
      </c>
      <c r="L4561">
        <v>2016</v>
      </c>
      <c r="M4561" s="21">
        <v>42886</v>
      </c>
      <c r="N4561">
        <v>2017</v>
      </c>
      <c r="Q4561" s="262">
        <v>430000</v>
      </c>
      <c r="S4561" t="s">
        <v>13253</v>
      </c>
      <c r="T4561">
        <v>9249</v>
      </c>
      <c r="W4561">
        <v>930</v>
      </c>
      <c r="X4561">
        <v>0</v>
      </c>
      <c r="Y4561">
        <v>0</v>
      </c>
      <c r="Z4561">
        <v>0</v>
      </c>
      <c r="AA4561">
        <v>0</v>
      </c>
      <c r="AB4561">
        <v>0</v>
      </c>
      <c r="AC4561">
        <v>930</v>
      </c>
      <c r="AD4561">
        <v>0</v>
      </c>
      <c r="AE4561">
        <v>0</v>
      </c>
      <c r="AF4561">
        <v>0</v>
      </c>
      <c r="AG4561">
        <v>0</v>
      </c>
      <c r="AH4561">
        <v>0</v>
      </c>
      <c r="AI4561">
        <v>0</v>
      </c>
      <c r="AJ4561">
        <v>0</v>
      </c>
      <c r="AK4561">
        <v>0</v>
      </c>
      <c r="AL4561">
        <v>0</v>
      </c>
      <c r="AM4561">
        <v>0</v>
      </c>
      <c r="AN4561">
        <v>0</v>
      </c>
      <c r="AO4561">
        <v>0</v>
      </c>
      <c r="AP4561">
        <v>0</v>
      </c>
      <c r="AQ4561">
        <v>0</v>
      </c>
      <c r="AR4561">
        <v>0</v>
      </c>
      <c r="AS4561">
        <v>0</v>
      </c>
      <c r="AT4561">
        <v>0</v>
      </c>
      <c r="AU4561">
        <f t="shared" si="140"/>
        <v>0</v>
      </c>
      <c r="AV4561">
        <f t="shared" si="141"/>
        <v>0</v>
      </c>
    </row>
    <row r="4562" spans="1:48" x14ac:dyDescent="0.25">
      <c r="A4562" t="s">
        <v>13177</v>
      </c>
      <c r="C4562" t="s">
        <v>13178</v>
      </c>
      <c r="D4562" t="s">
        <v>13179</v>
      </c>
      <c r="E4562" t="s">
        <v>1663</v>
      </c>
      <c r="F4562">
        <v>4</v>
      </c>
      <c r="G4562">
        <v>4.2</v>
      </c>
      <c r="H4562" t="s">
        <v>2327</v>
      </c>
      <c r="I4562" s="21">
        <v>42429</v>
      </c>
      <c r="J4562">
        <v>2016</v>
      </c>
      <c r="M4562" s="21">
        <v>42438</v>
      </c>
      <c r="N4562">
        <v>2016</v>
      </c>
      <c r="Q4562" s="262">
        <v>12000</v>
      </c>
      <c r="S4562" t="s">
        <v>114</v>
      </c>
      <c r="T4562" t="s">
        <v>114</v>
      </c>
      <c r="W4562">
        <v>0</v>
      </c>
      <c r="X4562">
        <v>0</v>
      </c>
      <c r="Y4562">
        <v>0</v>
      </c>
      <c r="Z4562">
        <v>0</v>
      </c>
      <c r="AA4562">
        <v>0</v>
      </c>
      <c r="AB4562">
        <v>0</v>
      </c>
      <c r="AC4562">
        <v>0</v>
      </c>
      <c r="AD4562">
        <v>0</v>
      </c>
      <c r="AE4562">
        <v>0</v>
      </c>
      <c r="AF4562">
        <v>0</v>
      </c>
      <c r="AG4562">
        <v>0</v>
      </c>
      <c r="AH4562">
        <v>0</v>
      </c>
      <c r="AI4562">
        <v>0</v>
      </c>
      <c r="AJ4562">
        <v>0</v>
      </c>
      <c r="AK4562">
        <v>0</v>
      </c>
      <c r="AL4562">
        <v>0</v>
      </c>
      <c r="AM4562">
        <v>0</v>
      </c>
      <c r="AN4562">
        <v>0</v>
      </c>
      <c r="AO4562">
        <v>0</v>
      </c>
      <c r="AP4562">
        <v>0</v>
      </c>
      <c r="AQ4562">
        <v>0</v>
      </c>
      <c r="AR4562">
        <v>0</v>
      </c>
      <c r="AS4562">
        <v>0</v>
      </c>
      <c r="AT4562">
        <v>0</v>
      </c>
      <c r="AU4562">
        <f t="shared" si="140"/>
        <v>0</v>
      </c>
      <c r="AV4562">
        <f t="shared" si="141"/>
        <v>0</v>
      </c>
    </row>
    <row r="4563" spans="1:48" x14ac:dyDescent="0.25">
      <c r="A4563" t="s">
        <v>13180</v>
      </c>
      <c r="B4563" t="s">
        <v>13180</v>
      </c>
      <c r="C4563" t="s">
        <v>13181</v>
      </c>
      <c r="D4563" t="s">
        <v>9476</v>
      </c>
      <c r="E4563" t="s">
        <v>2310</v>
      </c>
      <c r="F4563">
        <v>7</v>
      </c>
      <c r="G4563">
        <v>7.1</v>
      </c>
      <c r="H4563" t="s">
        <v>2017</v>
      </c>
      <c r="I4563" s="21">
        <v>42430.4871180556</v>
      </c>
      <c r="J4563">
        <v>2016</v>
      </c>
      <c r="K4563" s="21">
        <v>42489.633020833302</v>
      </c>
      <c r="L4563">
        <v>2016</v>
      </c>
      <c r="M4563" s="21">
        <v>42590.367002314801</v>
      </c>
      <c r="N4563">
        <v>2016</v>
      </c>
      <c r="Q4563" s="262">
        <v>150000</v>
      </c>
      <c r="R4563" s="262">
        <v>28000</v>
      </c>
      <c r="S4563" t="s">
        <v>114</v>
      </c>
      <c r="T4563" t="s">
        <v>114</v>
      </c>
      <c r="W4563">
        <v>477</v>
      </c>
      <c r="X4563">
        <v>0</v>
      </c>
      <c r="Y4563">
        <v>0</v>
      </c>
      <c r="Z4563">
        <v>0</v>
      </c>
      <c r="AA4563">
        <v>0</v>
      </c>
      <c r="AB4563">
        <v>0</v>
      </c>
      <c r="AC4563">
        <v>0</v>
      </c>
      <c r="AD4563">
        <v>0</v>
      </c>
      <c r="AE4563">
        <v>0</v>
      </c>
      <c r="AF4563">
        <v>0</v>
      </c>
      <c r="AG4563">
        <v>0</v>
      </c>
      <c r="AH4563">
        <v>0</v>
      </c>
      <c r="AI4563">
        <v>0</v>
      </c>
      <c r="AJ4563">
        <v>0</v>
      </c>
      <c r="AK4563">
        <v>0</v>
      </c>
      <c r="AL4563">
        <v>0</v>
      </c>
      <c r="AM4563">
        <v>477</v>
      </c>
      <c r="AN4563">
        <v>0</v>
      </c>
      <c r="AO4563">
        <v>0</v>
      </c>
      <c r="AP4563">
        <v>0</v>
      </c>
      <c r="AQ4563">
        <v>0</v>
      </c>
      <c r="AR4563">
        <v>0</v>
      </c>
      <c r="AS4563">
        <v>0</v>
      </c>
      <c r="AT4563">
        <v>0</v>
      </c>
      <c r="AU4563">
        <f t="shared" si="140"/>
        <v>0</v>
      </c>
      <c r="AV4563">
        <f t="shared" si="141"/>
        <v>477</v>
      </c>
    </row>
    <row r="4564" spans="1:48" x14ac:dyDescent="0.25">
      <c r="A4564" t="s">
        <v>13182</v>
      </c>
      <c r="B4564" t="s">
        <v>13182</v>
      </c>
      <c r="C4564" t="s">
        <v>13183</v>
      </c>
      <c r="D4564" t="s">
        <v>13184</v>
      </c>
      <c r="E4564" t="s">
        <v>2310</v>
      </c>
      <c r="F4564">
        <v>8</v>
      </c>
      <c r="G4564">
        <v>8.3000000000000007</v>
      </c>
      <c r="H4564" t="s">
        <v>2323</v>
      </c>
      <c r="I4564" s="21">
        <v>42430.600509259297</v>
      </c>
      <c r="J4564">
        <v>2016</v>
      </c>
      <c r="K4564" s="21">
        <v>42439.433587963002</v>
      </c>
      <c r="L4564">
        <v>2016</v>
      </c>
      <c r="M4564" s="21">
        <v>42529.403148148202</v>
      </c>
      <c r="N4564">
        <v>2016</v>
      </c>
      <c r="Q4564" s="262">
        <v>320000</v>
      </c>
      <c r="R4564" s="262">
        <v>72000</v>
      </c>
      <c r="S4564" t="s">
        <v>114</v>
      </c>
      <c r="T4564" t="s">
        <v>114</v>
      </c>
      <c r="W4564">
        <v>1477</v>
      </c>
      <c r="X4564">
        <v>0</v>
      </c>
      <c r="Y4564">
        <v>0</v>
      </c>
      <c r="Z4564">
        <v>0</v>
      </c>
      <c r="AA4564">
        <v>1477</v>
      </c>
      <c r="AB4564">
        <v>0</v>
      </c>
      <c r="AC4564">
        <v>0</v>
      </c>
      <c r="AD4564">
        <v>0</v>
      </c>
      <c r="AE4564">
        <v>0</v>
      </c>
      <c r="AF4564">
        <v>0</v>
      </c>
      <c r="AG4564">
        <v>0</v>
      </c>
      <c r="AH4564">
        <v>0</v>
      </c>
      <c r="AI4564">
        <v>0</v>
      </c>
      <c r="AJ4564">
        <v>0</v>
      </c>
      <c r="AK4564">
        <v>0</v>
      </c>
      <c r="AL4564">
        <v>0</v>
      </c>
      <c r="AM4564">
        <v>0</v>
      </c>
      <c r="AN4564">
        <v>0</v>
      </c>
      <c r="AO4564">
        <v>0</v>
      </c>
      <c r="AP4564">
        <v>0</v>
      </c>
      <c r="AQ4564">
        <v>0</v>
      </c>
      <c r="AR4564">
        <v>0</v>
      </c>
      <c r="AS4564">
        <v>0</v>
      </c>
      <c r="AT4564">
        <v>0</v>
      </c>
      <c r="AU4564">
        <f t="shared" si="140"/>
        <v>0</v>
      </c>
      <c r="AV4564">
        <f t="shared" si="141"/>
        <v>1477</v>
      </c>
    </row>
    <row r="4565" spans="1:48" x14ac:dyDescent="0.25">
      <c r="A4565" t="s">
        <v>13631</v>
      </c>
      <c r="B4565" t="s">
        <v>114</v>
      </c>
      <c r="C4565" t="s">
        <v>13632</v>
      </c>
      <c r="D4565" t="s">
        <v>13153</v>
      </c>
      <c r="E4565" t="s">
        <v>1663</v>
      </c>
      <c r="F4565">
        <v>5</v>
      </c>
      <c r="G4565">
        <v>5.2</v>
      </c>
      <c r="H4565" t="s">
        <v>2327</v>
      </c>
      <c r="I4565" s="21">
        <v>42431</v>
      </c>
      <c r="J4565">
        <v>2016</v>
      </c>
      <c r="K4565" s="21">
        <v>42464</v>
      </c>
      <c r="L4565">
        <v>2016</v>
      </c>
      <c r="M4565" s="21">
        <v>42796</v>
      </c>
      <c r="N4565">
        <v>2017</v>
      </c>
      <c r="Q4565" s="262">
        <v>400000</v>
      </c>
      <c r="S4565" t="s">
        <v>13254</v>
      </c>
      <c r="W4565">
        <v>9555</v>
      </c>
      <c r="X4565">
        <v>0</v>
      </c>
      <c r="Y4565">
        <v>0</v>
      </c>
      <c r="Z4565">
        <v>0</v>
      </c>
      <c r="AA4565">
        <v>0</v>
      </c>
      <c r="AB4565">
        <v>0</v>
      </c>
      <c r="AC4565">
        <v>0</v>
      </c>
      <c r="AD4565">
        <v>0</v>
      </c>
      <c r="AE4565">
        <v>0</v>
      </c>
      <c r="AF4565">
        <v>0</v>
      </c>
      <c r="AG4565">
        <v>0</v>
      </c>
      <c r="AH4565">
        <v>0</v>
      </c>
      <c r="AI4565">
        <v>0</v>
      </c>
      <c r="AJ4565">
        <v>0</v>
      </c>
      <c r="AK4565">
        <v>0</v>
      </c>
      <c r="AL4565">
        <v>9555</v>
      </c>
      <c r="AM4565">
        <v>0</v>
      </c>
      <c r="AN4565">
        <v>0</v>
      </c>
      <c r="AO4565">
        <v>0</v>
      </c>
      <c r="AP4565">
        <v>0</v>
      </c>
      <c r="AQ4565">
        <v>0</v>
      </c>
      <c r="AR4565">
        <v>0</v>
      </c>
      <c r="AS4565">
        <v>0</v>
      </c>
      <c r="AT4565">
        <v>0</v>
      </c>
      <c r="AU4565">
        <f t="shared" si="140"/>
        <v>0</v>
      </c>
      <c r="AV4565">
        <f t="shared" si="141"/>
        <v>9555</v>
      </c>
    </row>
    <row r="4566" spans="1:48" x14ac:dyDescent="0.25">
      <c r="A4566" t="s">
        <v>13185</v>
      </c>
      <c r="B4566" t="s">
        <v>13185</v>
      </c>
      <c r="C4566" t="s">
        <v>13186</v>
      </c>
      <c r="D4566" t="s">
        <v>13187</v>
      </c>
      <c r="E4566" t="s">
        <v>2310</v>
      </c>
      <c r="F4566">
        <v>7</v>
      </c>
      <c r="G4566">
        <v>7.2</v>
      </c>
      <c r="H4566" t="s">
        <v>2017</v>
      </c>
      <c r="I4566" s="21">
        <v>42431.430115740703</v>
      </c>
      <c r="J4566">
        <v>2016</v>
      </c>
      <c r="K4566" s="21">
        <v>42461.692673611098</v>
      </c>
      <c r="L4566">
        <v>2016</v>
      </c>
      <c r="O4566" s="21">
        <v>42584.421817129602</v>
      </c>
      <c r="Q4566" s="262">
        <v>325000</v>
      </c>
      <c r="R4566" s="262">
        <v>204000</v>
      </c>
      <c r="S4566" t="s">
        <v>114</v>
      </c>
      <c r="T4566" t="s">
        <v>114</v>
      </c>
      <c r="W4566">
        <v>1700</v>
      </c>
      <c r="X4566">
        <v>1</v>
      </c>
      <c r="Y4566">
        <v>0</v>
      </c>
      <c r="Z4566">
        <v>0</v>
      </c>
      <c r="AA4566">
        <v>0</v>
      </c>
      <c r="AB4566">
        <v>0</v>
      </c>
      <c r="AC4566">
        <v>1700</v>
      </c>
      <c r="AD4566">
        <v>0</v>
      </c>
      <c r="AE4566">
        <v>0</v>
      </c>
      <c r="AF4566">
        <v>0</v>
      </c>
      <c r="AG4566">
        <v>0</v>
      </c>
      <c r="AH4566">
        <v>0</v>
      </c>
      <c r="AI4566">
        <v>0</v>
      </c>
      <c r="AJ4566">
        <v>0</v>
      </c>
      <c r="AK4566">
        <v>0</v>
      </c>
      <c r="AL4566">
        <v>0</v>
      </c>
      <c r="AM4566">
        <v>0</v>
      </c>
      <c r="AN4566">
        <v>0</v>
      </c>
      <c r="AO4566">
        <v>1</v>
      </c>
      <c r="AP4566">
        <v>0</v>
      </c>
      <c r="AQ4566">
        <v>0</v>
      </c>
      <c r="AR4566">
        <v>0</v>
      </c>
      <c r="AS4566">
        <v>0</v>
      </c>
      <c r="AT4566">
        <v>0</v>
      </c>
      <c r="AU4566">
        <f t="shared" si="140"/>
        <v>1</v>
      </c>
      <c r="AV4566">
        <f t="shared" si="141"/>
        <v>0</v>
      </c>
    </row>
    <row r="4567" spans="1:48" x14ac:dyDescent="0.25">
      <c r="A4567" t="s">
        <v>17810</v>
      </c>
      <c r="B4567" t="s">
        <v>17810</v>
      </c>
      <c r="C4567" t="s">
        <v>17811</v>
      </c>
      <c r="D4567" t="s">
        <v>10743</v>
      </c>
      <c r="E4567" t="s">
        <v>2310</v>
      </c>
      <c r="F4567">
        <v>9</v>
      </c>
      <c r="G4567">
        <v>9.4</v>
      </c>
      <c r="H4567" t="s">
        <v>2323</v>
      </c>
      <c r="I4567" s="21">
        <v>42432.475266203699</v>
      </c>
      <c r="J4567">
        <v>2016</v>
      </c>
      <c r="K4567" s="21">
        <v>42923.4062962963</v>
      </c>
      <c r="L4567">
        <v>2017</v>
      </c>
      <c r="M4567" s="21">
        <v>42923.4062962963</v>
      </c>
      <c r="N4567">
        <v>2017</v>
      </c>
      <c r="Q4567" s="262">
        <v>700000</v>
      </c>
      <c r="R4567" s="262">
        <v>322000</v>
      </c>
      <c r="S4567" t="s">
        <v>114</v>
      </c>
      <c r="T4567" t="s">
        <v>114</v>
      </c>
      <c r="V4567">
        <v>3594</v>
      </c>
      <c r="W4567">
        <v>0</v>
      </c>
      <c r="X4567">
        <v>0</v>
      </c>
      <c r="Y4567">
        <v>0</v>
      </c>
      <c r="Z4567">
        <v>0</v>
      </c>
      <c r="AA4567">
        <v>0</v>
      </c>
      <c r="AB4567">
        <v>0</v>
      </c>
      <c r="AC4567">
        <v>0</v>
      </c>
      <c r="AD4567">
        <v>0</v>
      </c>
      <c r="AE4567">
        <v>0</v>
      </c>
      <c r="AF4567">
        <v>0</v>
      </c>
      <c r="AG4567">
        <v>0</v>
      </c>
      <c r="AH4567">
        <v>0</v>
      </c>
      <c r="AI4567">
        <v>0</v>
      </c>
      <c r="AJ4567">
        <v>0</v>
      </c>
      <c r="AK4567">
        <v>0</v>
      </c>
      <c r="AL4567">
        <v>0</v>
      </c>
      <c r="AM4567">
        <v>0</v>
      </c>
      <c r="AN4567">
        <v>0</v>
      </c>
      <c r="AO4567">
        <v>0</v>
      </c>
      <c r="AP4567">
        <v>0</v>
      </c>
      <c r="AQ4567">
        <v>0</v>
      </c>
      <c r="AR4567">
        <v>0</v>
      </c>
      <c r="AS4567">
        <v>0</v>
      </c>
      <c r="AT4567">
        <v>0</v>
      </c>
      <c r="AU4567">
        <f t="shared" si="140"/>
        <v>0</v>
      </c>
      <c r="AV4567">
        <f t="shared" si="141"/>
        <v>0</v>
      </c>
    </row>
    <row r="4568" spans="1:48" x14ac:dyDescent="0.25">
      <c r="A4568" t="s">
        <v>13190</v>
      </c>
      <c r="B4568" t="s">
        <v>13190</v>
      </c>
      <c r="C4568" t="s">
        <v>13191</v>
      </c>
      <c r="D4568" t="s">
        <v>13192</v>
      </c>
      <c r="E4568" t="s">
        <v>2310</v>
      </c>
      <c r="F4568">
        <v>9</v>
      </c>
      <c r="G4568">
        <v>9.3000000000000007</v>
      </c>
      <c r="H4568" t="s">
        <v>2323</v>
      </c>
      <c r="I4568" s="21">
        <v>42433.486423611103</v>
      </c>
      <c r="J4568">
        <v>2016</v>
      </c>
      <c r="K4568" s="21">
        <v>42452.355069444398</v>
      </c>
      <c r="L4568">
        <v>2016</v>
      </c>
      <c r="M4568" s="21">
        <v>42726.338125000002</v>
      </c>
      <c r="N4568">
        <v>2016</v>
      </c>
      <c r="Q4568" s="262">
        <v>200000</v>
      </c>
      <c r="R4568" s="262">
        <v>83000</v>
      </c>
      <c r="S4568" t="s">
        <v>114</v>
      </c>
      <c r="T4568" t="s">
        <v>114</v>
      </c>
      <c r="W4568">
        <v>732</v>
      </c>
      <c r="X4568">
        <v>0</v>
      </c>
      <c r="Y4568">
        <v>0</v>
      </c>
      <c r="Z4568">
        <v>0</v>
      </c>
      <c r="AA4568">
        <v>0</v>
      </c>
      <c r="AB4568">
        <v>0</v>
      </c>
      <c r="AC4568">
        <v>732</v>
      </c>
      <c r="AD4568">
        <v>0</v>
      </c>
      <c r="AE4568">
        <v>0</v>
      </c>
      <c r="AF4568">
        <v>0</v>
      </c>
      <c r="AG4568">
        <v>0</v>
      </c>
      <c r="AH4568">
        <v>0</v>
      </c>
      <c r="AI4568">
        <v>0</v>
      </c>
      <c r="AJ4568">
        <v>0</v>
      </c>
      <c r="AK4568">
        <v>0</v>
      </c>
      <c r="AL4568">
        <v>0</v>
      </c>
      <c r="AM4568">
        <v>0</v>
      </c>
      <c r="AN4568">
        <v>0</v>
      </c>
      <c r="AO4568">
        <v>0</v>
      </c>
      <c r="AP4568">
        <v>0</v>
      </c>
      <c r="AQ4568">
        <v>0</v>
      </c>
      <c r="AR4568">
        <v>0</v>
      </c>
      <c r="AS4568">
        <v>0</v>
      </c>
      <c r="AT4568">
        <v>0</v>
      </c>
      <c r="AU4568">
        <f t="shared" si="140"/>
        <v>0</v>
      </c>
      <c r="AV4568">
        <f t="shared" si="141"/>
        <v>0</v>
      </c>
    </row>
    <row r="4569" spans="1:48" x14ac:dyDescent="0.25">
      <c r="A4569" t="s">
        <v>13193</v>
      </c>
      <c r="B4569" t="s">
        <v>13193</v>
      </c>
      <c r="C4569" t="s">
        <v>13194</v>
      </c>
      <c r="D4569" t="s">
        <v>4744</v>
      </c>
      <c r="E4569" t="s">
        <v>2310</v>
      </c>
      <c r="F4569">
        <v>8</v>
      </c>
      <c r="G4569">
        <v>8.1</v>
      </c>
      <c r="H4569" t="s">
        <v>2323</v>
      </c>
      <c r="I4569" s="21">
        <v>42433.559976851902</v>
      </c>
      <c r="J4569">
        <v>2016</v>
      </c>
      <c r="K4569" s="21">
        <v>42488.645729166703</v>
      </c>
      <c r="L4569">
        <v>2016</v>
      </c>
      <c r="M4569" s="21">
        <v>42724.405451388899</v>
      </c>
      <c r="N4569">
        <v>2016</v>
      </c>
      <c r="Q4569" s="262">
        <v>350000</v>
      </c>
      <c r="R4569" s="262">
        <v>236000</v>
      </c>
      <c r="S4569" t="s">
        <v>114</v>
      </c>
      <c r="T4569" t="s">
        <v>114</v>
      </c>
      <c r="W4569">
        <v>3510</v>
      </c>
      <c r="X4569">
        <v>1</v>
      </c>
      <c r="Y4569">
        <v>0</v>
      </c>
      <c r="Z4569">
        <v>0</v>
      </c>
      <c r="AA4569">
        <v>0</v>
      </c>
      <c r="AB4569">
        <v>0</v>
      </c>
      <c r="AC4569">
        <v>2513</v>
      </c>
      <c r="AD4569">
        <v>0</v>
      </c>
      <c r="AE4569">
        <v>0</v>
      </c>
      <c r="AF4569">
        <v>997</v>
      </c>
      <c r="AG4569">
        <v>0</v>
      </c>
      <c r="AH4569">
        <v>0</v>
      </c>
      <c r="AI4569">
        <v>0</v>
      </c>
      <c r="AJ4569">
        <v>0</v>
      </c>
      <c r="AK4569">
        <v>0</v>
      </c>
      <c r="AL4569">
        <v>0</v>
      </c>
      <c r="AM4569">
        <v>0</v>
      </c>
      <c r="AN4569">
        <v>0</v>
      </c>
      <c r="AO4569">
        <v>0</v>
      </c>
      <c r="AP4569">
        <v>0</v>
      </c>
      <c r="AQ4569">
        <v>0</v>
      </c>
      <c r="AR4569">
        <v>1</v>
      </c>
      <c r="AS4569">
        <v>0</v>
      </c>
      <c r="AT4569">
        <v>0</v>
      </c>
      <c r="AU4569">
        <f t="shared" ref="AU4569:AU4632" si="142">SUM(AN4569:AQ4569,AS4569)</f>
        <v>0</v>
      </c>
      <c r="AV4569">
        <f t="shared" ref="AV4569:AV4632" si="143">SUM(Y4569:AB4569,AH4569:AM4569)</f>
        <v>0</v>
      </c>
    </row>
    <row r="4570" spans="1:48" x14ac:dyDescent="0.25">
      <c r="A4570" t="s">
        <v>17812</v>
      </c>
      <c r="B4570" t="s">
        <v>17812</v>
      </c>
      <c r="C4570" t="s">
        <v>17813</v>
      </c>
      <c r="D4570" t="s">
        <v>17814</v>
      </c>
      <c r="E4570" t="s">
        <v>2310</v>
      </c>
      <c r="F4570">
        <v>9</v>
      </c>
      <c r="G4570">
        <v>9.4</v>
      </c>
      <c r="H4570" t="s">
        <v>2323</v>
      </c>
      <c r="I4570" s="21">
        <v>42433.605543981481</v>
      </c>
      <c r="J4570">
        <v>2016</v>
      </c>
      <c r="K4570" s="21">
        <v>42923.467118055552</v>
      </c>
      <c r="L4570">
        <v>2017</v>
      </c>
      <c r="M4570" s="21">
        <v>42923.467118055552</v>
      </c>
      <c r="N4570">
        <v>2017</v>
      </c>
      <c r="Q4570" s="262">
        <v>1750000</v>
      </c>
      <c r="R4570" s="262">
        <v>548000</v>
      </c>
      <c r="S4570" t="s">
        <v>13254</v>
      </c>
      <c r="W4570">
        <v>5078</v>
      </c>
      <c r="X4570">
        <v>1</v>
      </c>
      <c r="Y4570">
        <v>0</v>
      </c>
      <c r="Z4570">
        <v>0</v>
      </c>
      <c r="AA4570">
        <v>0</v>
      </c>
      <c r="AB4570">
        <v>0</v>
      </c>
      <c r="AC4570">
        <v>5078</v>
      </c>
      <c r="AD4570">
        <v>0</v>
      </c>
      <c r="AE4570">
        <v>0</v>
      </c>
      <c r="AF4570">
        <v>0</v>
      </c>
      <c r="AG4570">
        <v>0</v>
      </c>
      <c r="AH4570">
        <v>0</v>
      </c>
      <c r="AI4570">
        <v>0</v>
      </c>
      <c r="AJ4570">
        <v>0</v>
      </c>
      <c r="AK4570">
        <v>0</v>
      </c>
      <c r="AL4570">
        <v>0</v>
      </c>
      <c r="AM4570">
        <v>0</v>
      </c>
      <c r="AN4570">
        <v>0</v>
      </c>
      <c r="AO4570">
        <v>1</v>
      </c>
      <c r="AP4570">
        <v>0</v>
      </c>
      <c r="AQ4570">
        <v>0</v>
      </c>
      <c r="AR4570">
        <v>0</v>
      </c>
      <c r="AS4570">
        <v>0</v>
      </c>
      <c r="AT4570">
        <v>0</v>
      </c>
      <c r="AU4570">
        <f t="shared" si="142"/>
        <v>1</v>
      </c>
      <c r="AV4570">
        <f t="shared" si="143"/>
        <v>0</v>
      </c>
    </row>
    <row r="4571" spans="1:48" x14ac:dyDescent="0.25">
      <c r="A4571" t="s">
        <v>17815</v>
      </c>
      <c r="B4571" t="s">
        <v>17815</v>
      </c>
      <c r="C4571" t="s">
        <v>17816</v>
      </c>
      <c r="D4571" t="s">
        <v>17817</v>
      </c>
      <c r="E4571" t="s">
        <v>2310</v>
      </c>
      <c r="F4571">
        <v>9</v>
      </c>
      <c r="G4571">
        <v>9.1999999999999993</v>
      </c>
      <c r="H4571" t="s">
        <v>2022</v>
      </c>
      <c r="I4571" s="21">
        <v>42433.636574074102</v>
      </c>
      <c r="J4571">
        <v>2016</v>
      </c>
      <c r="K4571" s="21">
        <v>43028.668726851902</v>
      </c>
      <c r="L4571">
        <v>2017</v>
      </c>
      <c r="M4571" s="21">
        <v>43028.668726851902</v>
      </c>
      <c r="N4571">
        <v>2017</v>
      </c>
      <c r="Q4571" s="262">
        <v>2900000</v>
      </c>
      <c r="R4571" s="262">
        <v>241000</v>
      </c>
      <c r="S4571" t="s">
        <v>114</v>
      </c>
      <c r="T4571" t="s">
        <v>114</v>
      </c>
      <c r="V4571">
        <v>2937</v>
      </c>
      <c r="W4571">
        <v>0</v>
      </c>
      <c r="X4571">
        <v>0</v>
      </c>
      <c r="Y4571">
        <v>0</v>
      </c>
      <c r="Z4571">
        <v>0</v>
      </c>
      <c r="AA4571">
        <v>0</v>
      </c>
      <c r="AB4571">
        <v>0</v>
      </c>
      <c r="AC4571">
        <v>0</v>
      </c>
      <c r="AD4571">
        <v>0</v>
      </c>
      <c r="AE4571">
        <v>0</v>
      </c>
      <c r="AF4571">
        <v>0</v>
      </c>
      <c r="AG4571">
        <v>0</v>
      </c>
      <c r="AH4571">
        <v>0</v>
      </c>
      <c r="AI4571">
        <v>0</v>
      </c>
      <c r="AJ4571">
        <v>0</v>
      </c>
      <c r="AK4571">
        <v>0</v>
      </c>
      <c r="AL4571">
        <v>0</v>
      </c>
      <c r="AM4571">
        <v>0</v>
      </c>
      <c r="AN4571">
        <v>0</v>
      </c>
      <c r="AO4571">
        <v>0</v>
      </c>
      <c r="AP4571">
        <v>0</v>
      </c>
      <c r="AQ4571">
        <v>0</v>
      </c>
      <c r="AR4571">
        <v>0</v>
      </c>
      <c r="AS4571">
        <v>0</v>
      </c>
      <c r="AT4571">
        <v>0</v>
      </c>
      <c r="AU4571">
        <f t="shared" si="142"/>
        <v>0</v>
      </c>
      <c r="AV4571">
        <f t="shared" si="143"/>
        <v>0</v>
      </c>
    </row>
    <row r="4572" spans="1:48" x14ac:dyDescent="0.25">
      <c r="A4572" t="s">
        <v>17818</v>
      </c>
      <c r="B4572" t="s">
        <v>17818</v>
      </c>
      <c r="C4572" t="s">
        <v>17819</v>
      </c>
      <c r="D4572" t="s">
        <v>17820</v>
      </c>
      <c r="E4572" t="s">
        <v>2310</v>
      </c>
      <c r="F4572">
        <v>7</v>
      </c>
      <c r="G4572">
        <v>7.2</v>
      </c>
      <c r="H4572" t="s">
        <v>2017</v>
      </c>
      <c r="I4572" s="21">
        <v>42437.474178240744</v>
      </c>
      <c r="J4572">
        <v>2016</v>
      </c>
      <c r="K4572" s="21">
        <v>42829.703784722224</v>
      </c>
      <c r="L4572">
        <v>2017</v>
      </c>
      <c r="M4572" s="21">
        <v>42829.703784722224</v>
      </c>
      <c r="N4572">
        <v>2017</v>
      </c>
      <c r="Q4572" s="262">
        <v>295000</v>
      </c>
      <c r="R4572" s="262">
        <v>336000</v>
      </c>
      <c r="S4572" t="s">
        <v>13254</v>
      </c>
      <c r="W4572">
        <v>4980</v>
      </c>
      <c r="X4572">
        <v>1</v>
      </c>
      <c r="Y4572">
        <v>0</v>
      </c>
      <c r="Z4572">
        <v>0</v>
      </c>
      <c r="AA4572">
        <v>0</v>
      </c>
      <c r="AB4572">
        <v>0</v>
      </c>
      <c r="AC4572">
        <v>4980</v>
      </c>
      <c r="AD4572">
        <v>0</v>
      </c>
      <c r="AE4572">
        <v>0</v>
      </c>
      <c r="AF4572">
        <v>0</v>
      </c>
      <c r="AG4572">
        <v>0</v>
      </c>
      <c r="AH4572">
        <v>0</v>
      </c>
      <c r="AI4572">
        <v>0</v>
      </c>
      <c r="AJ4572">
        <v>0</v>
      </c>
      <c r="AK4572">
        <v>0</v>
      </c>
      <c r="AL4572">
        <v>0</v>
      </c>
      <c r="AM4572">
        <v>0</v>
      </c>
      <c r="AN4572">
        <v>0</v>
      </c>
      <c r="AO4572">
        <v>1</v>
      </c>
      <c r="AP4572">
        <v>0</v>
      </c>
      <c r="AQ4572">
        <v>0</v>
      </c>
      <c r="AR4572">
        <v>0</v>
      </c>
      <c r="AS4572">
        <v>0</v>
      </c>
      <c r="AT4572">
        <v>0</v>
      </c>
      <c r="AU4572">
        <f t="shared" si="142"/>
        <v>1</v>
      </c>
      <c r="AV4572">
        <f t="shared" si="143"/>
        <v>0</v>
      </c>
    </row>
    <row r="4573" spans="1:48" x14ac:dyDescent="0.25">
      <c r="A4573" t="s">
        <v>18212</v>
      </c>
      <c r="B4573" t="s">
        <v>18212</v>
      </c>
      <c r="C4573" t="s">
        <v>18213</v>
      </c>
      <c r="D4573" t="s">
        <v>18214</v>
      </c>
      <c r="E4573" t="s">
        <v>2310</v>
      </c>
      <c r="F4573">
        <v>12</v>
      </c>
      <c r="G4573">
        <v>12.2</v>
      </c>
      <c r="H4573" t="s">
        <v>2017</v>
      </c>
      <c r="I4573" s="21">
        <v>42437.557071759256</v>
      </c>
      <c r="J4573">
        <v>2016</v>
      </c>
      <c r="K4573" s="21">
        <v>43299.48228113426</v>
      </c>
      <c r="L4573">
        <v>2018</v>
      </c>
      <c r="M4573" s="21">
        <v>43321.389109606484</v>
      </c>
      <c r="N4573">
        <v>2018</v>
      </c>
      <c r="Q4573" s="262">
        <v>32000</v>
      </c>
      <c r="R4573" s="262">
        <v>82000</v>
      </c>
      <c r="S4573" t="s">
        <v>13253</v>
      </c>
      <c r="T4573">
        <v>4090</v>
      </c>
      <c r="W4573">
        <v>297</v>
      </c>
      <c r="X4573">
        <v>0</v>
      </c>
      <c r="Y4573">
        <v>0</v>
      </c>
      <c r="Z4573">
        <v>0</v>
      </c>
      <c r="AA4573">
        <v>0</v>
      </c>
      <c r="AB4573">
        <v>0</v>
      </c>
      <c r="AC4573">
        <v>297</v>
      </c>
      <c r="AD4573">
        <v>0</v>
      </c>
      <c r="AE4573">
        <v>0</v>
      </c>
      <c r="AF4573">
        <v>0</v>
      </c>
      <c r="AG4573">
        <v>0</v>
      </c>
      <c r="AH4573">
        <v>0</v>
      </c>
      <c r="AI4573">
        <v>0</v>
      </c>
      <c r="AJ4573">
        <v>0</v>
      </c>
      <c r="AK4573">
        <v>0</v>
      </c>
      <c r="AL4573">
        <v>0</v>
      </c>
      <c r="AM4573">
        <v>0</v>
      </c>
      <c r="AN4573">
        <v>0</v>
      </c>
      <c r="AO4573">
        <v>0</v>
      </c>
      <c r="AP4573">
        <v>0</v>
      </c>
      <c r="AQ4573">
        <v>0</v>
      </c>
      <c r="AR4573">
        <v>0</v>
      </c>
      <c r="AS4573">
        <v>0</v>
      </c>
      <c r="AT4573">
        <v>0</v>
      </c>
      <c r="AU4573">
        <f t="shared" si="142"/>
        <v>0</v>
      </c>
      <c r="AV4573">
        <f t="shared" si="143"/>
        <v>0</v>
      </c>
    </row>
    <row r="4574" spans="1:48" x14ac:dyDescent="0.25">
      <c r="A4574" t="s">
        <v>18656</v>
      </c>
      <c r="B4574" t="s">
        <v>18656</v>
      </c>
      <c r="C4574" t="s">
        <v>18657</v>
      </c>
      <c r="D4574" t="s">
        <v>17957</v>
      </c>
      <c r="E4574" t="s">
        <v>2310</v>
      </c>
      <c r="F4574">
        <v>8</v>
      </c>
      <c r="G4574">
        <v>8.3000000000000007</v>
      </c>
      <c r="H4574" t="s">
        <v>2323</v>
      </c>
      <c r="I4574" s="21">
        <v>42437.606122685182</v>
      </c>
      <c r="J4574">
        <v>2016</v>
      </c>
      <c r="K4574" s="21">
        <v>43237.422250115742</v>
      </c>
      <c r="L4574">
        <v>2018</v>
      </c>
      <c r="M4574" s="21">
        <v>43594.497513113427</v>
      </c>
      <c r="N4574">
        <v>2019</v>
      </c>
      <c r="Q4574" s="262">
        <v>78000</v>
      </c>
      <c r="R4574" s="262">
        <v>32000</v>
      </c>
      <c r="S4574" t="s">
        <v>13254</v>
      </c>
      <c r="W4574">
        <v>258</v>
      </c>
      <c r="X4574">
        <v>0</v>
      </c>
      <c r="Y4574">
        <v>0</v>
      </c>
      <c r="Z4574">
        <v>0</v>
      </c>
      <c r="AA4574">
        <v>258</v>
      </c>
      <c r="AB4574">
        <v>0</v>
      </c>
      <c r="AC4574">
        <v>0</v>
      </c>
      <c r="AD4574">
        <v>0</v>
      </c>
      <c r="AE4574">
        <v>0</v>
      </c>
      <c r="AF4574">
        <v>0</v>
      </c>
      <c r="AG4574">
        <v>0</v>
      </c>
      <c r="AH4574">
        <v>0</v>
      </c>
      <c r="AI4574">
        <v>0</v>
      </c>
      <c r="AJ4574">
        <v>0</v>
      </c>
      <c r="AK4574">
        <v>0</v>
      </c>
      <c r="AL4574">
        <v>0</v>
      </c>
      <c r="AM4574">
        <v>0</v>
      </c>
      <c r="AN4574">
        <v>0</v>
      </c>
      <c r="AO4574">
        <v>0</v>
      </c>
      <c r="AP4574">
        <v>0</v>
      </c>
      <c r="AQ4574">
        <v>0</v>
      </c>
      <c r="AR4574">
        <v>0</v>
      </c>
      <c r="AS4574">
        <v>0</v>
      </c>
      <c r="AT4574">
        <v>0</v>
      </c>
      <c r="AU4574">
        <f t="shared" si="142"/>
        <v>0</v>
      </c>
      <c r="AV4574">
        <f t="shared" si="143"/>
        <v>258</v>
      </c>
    </row>
    <row r="4575" spans="1:48" x14ac:dyDescent="0.25">
      <c r="A4575" t="s">
        <v>17955</v>
      </c>
      <c r="B4575" t="s">
        <v>17955</v>
      </c>
      <c r="C4575" t="s">
        <v>17956</v>
      </c>
      <c r="D4575" t="s">
        <v>17957</v>
      </c>
      <c r="E4575" t="s">
        <v>2310</v>
      </c>
      <c r="F4575">
        <v>8</v>
      </c>
      <c r="G4575">
        <v>8.3000000000000007</v>
      </c>
      <c r="H4575" t="s">
        <v>2323</v>
      </c>
      <c r="I4575" s="21">
        <v>42437.634351851855</v>
      </c>
      <c r="J4575">
        <v>2016</v>
      </c>
      <c r="K4575" s="21">
        <v>42613.388912037037</v>
      </c>
      <c r="L4575">
        <v>2016</v>
      </c>
      <c r="M4575" s="21">
        <v>43133.45071759259</v>
      </c>
      <c r="N4575">
        <v>2018</v>
      </c>
      <c r="Q4575" s="262">
        <v>5000</v>
      </c>
      <c r="R4575" s="262">
        <v>4000</v>
      </c>
      <c r="S4575" t="s">
        <v>13254</v>
      </c>
      <c r="W4575">
        <v>70</v>
      </c>
      <c r="X4575">
        <v>0</v>
      </c>
      <c r="Y4575">
        <v>0</v>
      </c>
      <c r="Z4575">
        <v>0</v>
      </c>
      <c r="AA4575">
        <v>70</v>
      </c>
      <c r="AB4575">
        <v>0</v>
      </c>
      <c r="AC4575">
        <v>0</v>
      </c>
      <c r="AD4575">
        <v>0</v>
      </c>
      <c r="AE4575">
        <v>0</v>
      </c>
      <c r="AF4575">
        <v>0</v>
      </c>
      <c r="AG4575">
        <v>0</v>
      </c>
      <c r="AH4575">
        <v>0</v>
      </c>
      <c r="AI4575">
        <v>0</v>
      </c>
      <c r="AJ4575">
        <v>0</v>
      </c>
      <c r="AK4575">
        <v>0</v>
      </c>
      <c r="AL4575">
        <v>0</v>
      </c>
      <c r="AM4575">
        <v>0</v>
      </c>
      <c r="AN4575">
        <v>0</v>
      </c>
      <c r="AO4575">
        <v>0</v>
      </c>
      <c r="AP4575">
        <v>0</v>
      </c>
      <c r="AQ4575">
        <v>0</v>
      </c>
      <c r="AR4575">
        <v>0</v>
      </c>
      <c r="AS4575">
        <v>0</v>
      </c>
      <c r="AT4575">
        <v>0</v>
      </c>
      <c r="AU4575">
        <f t="shared" si="142"/>
        <v>0</v>
      </c>
      <c r="AV4575">
        <f t="shared" si="143"/>
        <v>70</v>
      </c>
    </row>
    <row r="4576" spans="1:48" x14ac:dyDescent="0.25">
      <c r="A4576" t="s">
        <v>13197</v>
      </c>
      <c r="C4576" t="s">
        <v>13198</v>
      </c>
      <c r="D4576" t="s">
        <v>13199</v>
      </c>
      <c r="E4576" t="s">
        <v>1663</v>
      </c>
      <c r="F4576">
        <v>4</v>
      </c>
      <c r="G4576">
        <v>4.3</v>
      </c>
      <c r="H4576" t="s">
        <v>2327</v>
      </c>
      <c r="I4576" s="21">
        <v>42440</v>
      </c>
      <c r="J4576">
        <v>2016</v>
      </c>
      <c r="K4576" s="21">
        <v>42496</v>
      </c>
      <c r="L4576">
        <v>2016</v>
      </c>
      <c r="P4576" s="21">
        <v>42802</v>
      </c>
      <c r="Q4576" s="262">
        <v>150000</v>
      </c>
      <c r="S4576" t="s">
        <v>114</v>
      </c>
      <c r="T4576" t="s">
        <v>114</v>
      </c>
      <c r="W4576">
        <v>0</v>
      </c>
      <c r="X4576">
        <v>0</v>
      </c>
      <c r="Y4576">
        <v>0</v>
      </c>
      <c r="Z4576">
        <v>0</v>
      </c>
      <c r="AA4576">
        <v>0</v>
      </c>
      <c r="AB4576">
        <v>0</v>
      </c>
      <c r="AC4576">
        <v>0</v>
      </c>
      <c r="AD4576">
        <v>0</v>
      </c>
      <c r="AE4576">
        <v>0</v>
      </c>
      <c r="AF4576">
        <v>0</v>
      </c>
      <c r="AG4576">
        <v>0</v>
      </c>
      <c r="AH4576">
        <v>0</v>
      </c>
      <c r="AI4576">
        <v>0</v>
      </c>
      <c r="AJ4576">
        <v>0</v>
      </c>
      <c r="AK4576">
        <v>0</v>
      </c>
      <c r="AL4576">
        <v>0</v>
      </c>
      <c r="AM4576">
        <v>0</v>
      </c>
      <c r="AN4576">
        <v>0</v>
      </c>
      <c r="AO4576">
        <v>0</v>
      </c>
      <c r="AP4576">
        <v>0</v>
      </c>
      <c r="AQ4576">
        <v>0</v>
      </c>
      <c r="AR4576">
        <v>0</v>
      </c>
      <c r="AS4576">
        <v>0</v>
      </c>
      <c r="AT4576">
        <v>0</v>
      </c>
      <c r="AU4576">
        <f t="shared" si="142"/>
        <v>0</v>
      </c>
      <c r="AV4576">
        <f t="shared" si="143"/>
        <v>0</v>
      </c>
    </row>
    <row r="4577" spans="1:48" x14ac:dyDescent="0.25">
      <c r="A4577" t="s">
        <v>13196</v>
      </c>
      <c r="C4577" t="s">
        <v>11488</v>
      </c>
      <c r="D4577" t="s">
        <v>13117</v>
      </c>
      <c r="E4577" t="s">
        <v>1663</v>
      </c>
      <c r="F4577">
        <v>3</v>
      </c>
      <c r="G4577">
        <v>3.2</v>
      </c>
      <c r="H4577" t="s">
        <v>2327</v>
      </c>
      <c r="I4577" s="21">
        <v>42440</v>
      </c>
      <c r="J4577">
        <v>2016</v>
      </c>
      <c r="K4577" s="21">
        <v>42465</v>
      </c>
      <c r="L4577">
        <v>2016</v>
      </c>
      <c r="M4577" s="21">
        <v>42543</v>
      </c>
      <c r="N4577">
        <v>2016</v>
      </c>
      <c r="Q4577" s="262">
        <v>130000</v>
      </c>
      <c r="S4577" t="s">
        <v>114</v>
      </c>
      <c r="T4577" t="s">
        <v>114</v>
      </c>
      <c r="W4577">
        <v>0</v>
      </c>
      <c r="X4577">
        <v>0</v>
      </c>
      <c r="Y4577">
        <v>0</v>
      </c>
      <c r="Z4577">
        <v>0</v>
      </c>
      <c r="AA4577">
        <v>0</v>
      </c>
      <c r="AB4577">
        <v>0</v>
      </c>
      <c r="AC4577">
        <v>0</v>
      </c>
      <c r="AD4577">
        <v>0</v>
      </c>
      <c r="AE4577">
        <v>0</v>
      </c>
      <c r="AF4577">
        <v>0</v>
      </c>
      <c r="AG4577">
        <v>0</v>
      </c>
      <c r="AH4577">
        <v>0</v>
      </c>
      <c r="AI4577">
        <v>0</v>
      </c>
      <c r="AJ4577">
        <v>0</v>
      </c>
      <c r="AK4577">
        <v>0</v>
      </c>
      <c r="AL4577">
        <v>0</v>
      </c>
      <c r="AM4577">
        <v>0</v>
      </c>
      <c r="AN4577">
        <v>0</v>
      </c>
      <c r="AO4577">
        <v>0</v>
      </c>
      <c r="AP4577">
        <v>0</v>
      </c>
      <c r="AQ4577">
        <v>0</v>
      </c>
      <c r="AR4577">
        <v>0</v>
      </c>
      <c r="AS4577">
        <v>0</v>
      </c>
      <c r="AT4577">
        <v>0</v>
      </c>
      <c r="AU4577">
        <f t="shared" si="142"/>
        <v>0</v>
      </c>
      <c r="AV4577">
        <f t="shared" si="143"/>
        <v>0</v>
      </c>
    </row>
    <row r="4578" spans="1:48" x14ac:dyDescent="0.25">
      <c r="A4578" t="s">
        <v>17821</v>
      </c>
      <c r="B4578" t="s">
        <v>17821</v>
      </c>
      <c r="C4578" t="s">
        <v>17822</v>
      </c>
      <c r="D4578" t="s">
        <v>17823</v>
      </c>
      <c r="E4578" t="s">
        <v>2310</v>
      </c>
      <c r="F4578">
        <v>9</v>
      </c>
      <c r="G4578">
        <v>9.1</v>
      </c>
      <c r="H4578" t="s">
        <v>2323</v>
      </c>
      <c r="I4578" s="21">
        <v>42440.472407407404</v>
      </c>
      <c r="J4578">
        <v>2016</v>
      </c>
      <c r="K4578" s="21">
        <v>42901.347303240742</v>
      </c>
      <c r="L4578">
        <v>2017</v>
      </c>
      <c r="M4578" s="21">
        <v>42901.347303240742</v>
      </c>
      <c r="N4578">
        <v>2017</v>
      </c>
      <c r="Q4578" s="262">
        <v>125000</v>
      </c>
      <c r="R4578" s="262">
        <v>0</v>
      </c>
      <c r="S4578" t="s">
        <v>13253</v>
      </c>
      <c r="T4578">
        <v>6163</v>
      </c>
      <c r="W4578">
        <v>594</v>
      </c>
      <c r="X4578">
        <v>0</v>
      </c>
      <c r="Y4578">
        <v>0</v>
      </c>
      <c r="Z4578">
        <v>0</v>
      </c>
      <c r="AA4578">
        <v>0</v>
      </c>
      <c r="AB4578">
        <v>0</v>
      </c>
      <c r="AC4578">
        <v>594</v>
      </c>
      <c r="AD4578">
        <v>0</v>
      </c>
      <c r="AE4578">
        <v>0</v>
      </c>
      <c r="AF4578">
        <v>0</v>
      </c>
      <c r="AG4578">
        <v>0</v>
      </c>
      <c r="AH4578">
        <v>0</v>
      </c>
      <c r="AI4578">
        <v>0</v>
      </c>
      <c r="AJ4578">
        <v>0</v>
      </c>
      <c r="AK4578">
        <v>0</v>
      </c>
      <c r="AL4578">
        <v>0</v>
      </c>
      <c r="AM4578">
        <v>0</v>
      </c>
      <c r="AN4578">
        <v>0</v>
      </c>
      <c r="AO4578">
        <v>0</v>
      </c>
      <c r="AP4578">
        <v>0</v>
      </c>
      <c r="AQ4578">
        <v>0</v>
      </c>
      <c r="AR4578">
        <v>0</v>
      </c>
      <c r="AS4578">
        <v>0</v>
      </c>
      <c r="AT4578">
        <v>0</v>
      </c>
      <c r="AU4578">
        <f t="shared" si="142"/>
        <v>0</v>
      </c>
      <c r="AV4578">
        <f t="shared" si="143"/>
        <v>0</v>
      </c>
    </row>
    <row r="4579" spans="1:48" x14ac:dyDescent="0.25">
      <c r="A4579" t="s">
        <v>17824</v>
      </c>
      <c r="B4579" t="s">
        <v>17824</v>
      </c>
      <c r="C4579" t="s">
        <v>17825</v>
      </c>
      <c r="D4579" t="s">
        <v>17826</v>
      </c>
      <c r="E4579" t="s">
        <v>2310</v>
      </c>
      <c r="F4579">
        <v>9</v>
      </c>
      <c r="G4579">
        <v>9.1</v>
      </c>
      <c r="H4579" t="s">
        <v>2323</v>
      </c>
      <c r="I4579" s="21">
        <v>42440.564050925925</v>
      </c>
      <c r="J4579">
        <v>2016</v>
      </c>
      <c r="K4579" s="21">
        <v>42740.358842592592</v>
      </c>
      <c r="L4579">
        <v>2017</v>
      </c>
      <c r="M4579" s="21">
        <v>42740.358842592592</v>
      </c>
      <c r="N4579">
        <v>2017</v>
      </c>
      <c r="Q4579" s="262">
        <v>536200</v>
      </c>
      <c r="R4579" s="262">
        <v>296000</v>
      </c>
      <c r="S4579" t="s">
        <v>13254</v>
      </c>
      <c r="W4579">
        <v>3064</v>
      </c>
      <c r="X4579">
        <v>1</v>
      </c>
      <c r="Y4579">
        <v>0</v>
      </c>
      <c r="Z4579">
        <v>0</v>
      </c>
      <c r="AA4579">
        <v>0</v>
      </c>
      <c r="AB4579">
        <v>0</v>
      </c>
      <c r="AC4579">
        <v>3064</v>
      </c>
      <c r="AD4579">
        <v>0</v>
      </c>
      <c r="AE4579">
        <v>0</v>
      </c>
      <c r="AF4579">
        <v>0</v>
      </c>
      <c r="AG4579">
        <v>0</v>
      </c>
      <c r="AH4579">
        <v>0</v>
      </c>
      <c r="AI4579">
        <v>0</v>
      </c>
      <c r="AJ4579">
        <v>0</v>
      </c>
      <c r="AK4579">
        <v>0</v>
      </c>
      <c r="AL4579">
        <v>0</v>
      </c>
      <c r="AM4579">
        <v>0</v>
      </c>
      <c r="AN4579">
        <v>0</v>
      </c>
      <c r="AO4579">
        <v>1</v>
      </c>
      <c r="AP4579">
        <v>0</v>
      </c>
      <c r="AQ4579">
        <v>0</v>
      </c>
      <c r="AR4579">
        <v>0</v>
      </c>
      <c r="AS4579">
        <v>0</v>
      </c>
      <c r="AT4579">
        <v>0</v>
      </c>
      <c r="AU4579">
        <f t="shared" si="142"/>
        <v>1</v>
      </c>
      <c r="AV4579">
        <f t="shared" si="143"/>
        <v>0</v>
      </c>
    </row>
    <row r="4580" spans="1:48" x14ac:dyDescent="0.25">
      <c r="A4580" t="s">
        <v>17827</v>
      </c>
      <c r="B4580" t="s">
        <v>17827</v>
      </c>
      <c r="C4580" t="s">
        <v>17828</v>
      </c>
      <c r="D4580" t="s">
        <v>17829</v>
      </c>
      <c r="E4580" t="s">
        <v>2310</v>
      </c>
      <c r="F4580">
        <v>9</v>
      </c>
      <c r="G4580">
        <v>9.1</v>
      </c>
      <c r="H4580" t="s">
        <v>2323</v>
      </c>
      <c r="I4580" s="21">
        <v>42445.621307870373</v>
      </c>
      <c r="J4580">
        <v>2016</v>
      </c>
      <c r="K4580" s="21">
        <v>43069.672465277778</v>
      </c>
      <c r="L4580">
        <v>2017</v>
      </c>
      <c r="M4580" s="21">
        <v>43069.672465277778</v>
      </c>
      <c r="N4580">
        <v>2017</v>
      </c>
      <c r="Q4580" s="262">
        <v>3000000</v>
      </c>
      <c r="R4580" s="262">
        <v>952000</v>
      </c>
      <c r="S4580" t="s">
        <v>13254</v>
      </c>
      <c r="W4580">
        <v>6852</v>
      </c>
      <c r="X4580">
        <v>1</v>
      </c>
      <c r="Y4580">
        <v>0</v>
      </c>
      <c r="Z4580">
        <v>0</v>
      </c>
      <c r="AA4580">
        <v>0</v>
      </c>
      <c r="AB4580">
        <v>0</v>
      </c>
      <c r="AC4580">
        <v>6852</v>
      </c>
      <c r="AD4580">
        <v>0</v>
      </c>
      <c r="AE4580">
        <v>0</v>
      </c>
      <c r="AF4580">
        <v>0</v>
      </c>
      <c r="AG4580">
        <v>0</v>
      </c>
      <c r="AH4580">
        <v>0</v>
      </c>
      <c r="AI4580">
        <v>0</v>
      </c>
      <c r="AJ4580">
        <v>0</v>
      </c>
      <c r="AK4580">
        <v>0</v>
      </c>
      <c r="AL4580">
        <v>0</v>
      </c>
      <c r="AM4580">
        <v>0</v>
      </c>
      <c r="AN4580">
        <v>0</v>
      </c>
      <c r="AO4580">
        <v>1</v>
      </c>
      <c r="AP4580">
        <v>0</v>
      </c>
      <c r="AQ4580">
        <v>0</v>
      </c>
      <c r="AR4580">
        <v>0</v>
      </c>
      <c r="AS4580">
        <v>0</v>
      </c>
      <c r="AT4580">
        <v>0</v>
      </c>
      <c r="AU4580">
        <f t="shared" si="142"/>
        <v>1</v>
      </c>
      <c r="AV4580">
        <f t="shared" si="143"/>
        <v>0</v>
      </c>
    </row>
    <row r="4581" spans="1:48" x14ac:dyDescent="0.25">
      <c r="A4581" t="s">
        <v>17830</v>
      </c>
      <c r="B4581" t="s">
        <v>17830</v>
      </c>
      <c r="C4581" t="s">
        <v>17831</v>
      </c>
      <c r="D4581" t="s">
        <v>17829</v>
      </c>
      <c r="E4581" t="s">
        <v>2310</v>
      </c>
      <c r="F4581">
        <v>9</v>
      </c>
      <c r="G4581">
        <v>9.1</v>
      </c>
      <c r="H4581" t="s">
        <v>2323</v>
      </c>
      <c r="I4581" s="21">
        <v>42445.635636574072</v>
      </c>
      <c r="J4581">
        <v>2016</v>
      </c>
      <c r="K4581" s="21">
        <v>42970.441331018519</v>
      </c>
      <c r="L4581">
        <v>2017</v>
      </c>
      <c r="M4581" s="21">
        <v>42970.441331018519</v>
      </c>
      <c r="N4581">
        <v>2017</v>
      </c>
      <c r="Q4581" s="262">
        <v>400000</v>
      </c>
      <c r="R4581" s="262">
        <v>124000</v>
      </c>
      <c r="S4581" t="s">
        <v>13254</v>
      </c>
      <c r="W4581">
        <v>1222</v>
      </c>
      <c r="X4581">
        <v>1</v>
      </c>
      <c r="Y4581">
        <v>0</v>
      </c>
      <c r="Z4581">
        <v>0</v>
      </c>
      <c r="AA4581">
        <v>0</v>
      </c>
      <c r="AB4581">
        <v>0</v>
      </c>
      <c r="AC4581">
        <v>298</v>
      </c>
      <c r="AD4581">
        <v>0</v>
      </c>
      <c r="AE4581">
        <v>0</v>
      </c>
      <c r="AF4581">
        <v>924</v>
      </c>
      <c r="AG4581">
        <v>0</v>
      </c>
      <c r="AH4581">
        <v>0</v>
      </c>
      <c r="AI4581">
        <v>0</v>
      </c>
      <c r="AJ4581">
        <v>0</v>
      </c>
      <c r="AK4581">
        <v>0</v>
      </c>
      <c r="AL4581">
        <v>0</v>
      </c>
      <c r="AM4581">
        <v>0</v>
      </c>
      <c r="AN4581">
        <v>0</v>
      </c>
      <c r="AO4581">
        <v>0</v>
      </c>
      <c r="AP4581">
        <v>0</v>
      </c>
      <c r="AQ4581">
        <v>0</v>
      </c>
      <c r="AR4581">
        <v>1</v>
      </c>
      <c r="AS4581">
        <v>0</v>
      </c>
      <c r="AT4581">
        <v>0</v>
      </c>
      <c r="AU4581">
        <f t="shared" si="142"/>
        <v>0</v>
      </c>
      <c r="AV4581">
        <f t="shared" si="143"/>
        <v>0</v>
      </c>
    </row>
    <row r="4582" spans="1:48" x14ac:dyDescent="0.25">
      <c r="A4582" t="s">
        <v>13200</v>
      </c>
      <c r="B4582" t="s">
        <v>13200</v>
      </c>
      <c r="C4582" t="s">
        <v>13201</v>
      </c>
      <c r="D4582" t="s">
        <v>9796</v>
      </c>
      <c r="E4582" t="s">
        <v>2310</v>
      </c>
      <c r="F4582">
        <v>9</v>
      </c>
      <c r="G4582">
        <v>9.3000000000000007</v>
      </c>
      <c r="H4582" t="s">
        <v>2323</v>
      </c>
      <c r="I4582" s="21">
        <v>42446.475173611099</v>
      </c>
      <c r="J4582">
        <v>2016</v>
      </c>
      <c r="O4582" s="21">
        <v>42636.345104166699</v>
      </c>
      <c r="Q4582" s="262">
        <v>250000</v>
      </c>
      <c r="R4582" s="262">
        <v>185000</v>
      </c>
      <c r="S4582" t="s">
        <v>114</v>
      </c>
      <c r="T4582" t="s">
        <v>114</v>
      </c>
      <c r="W4582">
        <v>1637</v>
      </c>
      <c r="X4582">
        <v>0</v>
      </c>
      <c r="Y4582">
        <v>0</v>
      </c>
      <c r="Z4582">
        <v>0</v>
      </c>
      <c r="AA4582">
        <v>0</v>
      </c>
      <c r="AB4582">
        <v>0</v>
      </c>
      <c r="AC4582">
        <v>1637</v>
      </c>
      <c r="AD4582">
        <v>0</v>
      </c>
      <c r="AE4582">
        <v>0</v>
      </c>
      <c r="AF4582">
        <v>0</v>
      </c>
      <c r="AG4582">
        <v>0</v>
      </c>
      <c r="AH4582">
        <v>0</v>
      </c>
      <c r="AI4582">
        <v>0</v>
      </c>
      <c r="AJ4582">
        <v>0</v>
      </c>
      <c r="AK4582">
        <v>0</v>
      </c>
      <c r="AL4582">
        <v>0</v>
      </c>
      <c r="AM4582">
        <v>0</v>
      </c>
      <c r="AN4582">
        <v>0</v>
      </c>
      <c r="AO4582">
        <v>0</v>
      </c>
      <c r="AP4582">
        <v>0</v>
      </c>
      <c r="AQ4582">
        <v>0</v>
      </c>
      <c r="AR4582">
        <v>0</v>
      </c>
      <c r="AS4582">
        <v>0</v>
      </c>
      <c r="AT4582">
        <v>0</v>
      </c>
      <c r="AU4582">
        <f t="shared" si="142"/>
        <v>0</v>
      </c>
      <c r="AV4582">
        <f t="shared" si="143"/>
        <v>0</v>
      </c>
    </row>
    <row r="4583" spans="1:48" x14ac:dyDescent="0.25">
      <c r="A4583" t="s">
        <v>13666</v>
      </c>
      <c r="B4583" t="s">
        <v>114</v>
      </c>
      <c r="C4583" t="s">
        <v>11559</v>
      </c>
      <c r="D4583" t="s">
        <v>13667</v>
      </c>
      <c r="E4583" t="s">
        <v>1663</v>
      </c>
      <c r="F4583">
        <v>6</v>
      </c>
      <c r="G4583">
        <v>6.1</v>
      </c>
      <c r="H4583" t="s">
        <v>2017</v>
      </c>
      <c r="I4583" s="21">
        <v>42447</v>
      </c>
      <c r="J4583">
        <v>2016</v>
      </c>
      <c r="K4583" s="21">
        <v>42495</v>
      </c>
      <c r="L4583">
        <v>2016</v>
      </c>
      <c r="M4583" s="21">
        <v>43006</v>
      </c>
      <c r="N4583">
        <v>2017</v>
      </c>
      <c r="Q4583" s="262">
        <v>600000</v>
      </c>
      <c r="S4583" t="s">
        <v>13254</v>
      </c>
      <c r="W4583">
        <v>3751</v>
      </c>
      <c r="X4583">
        <v>1</v>
      </c>
      <c r="Y4583">
        <v>0</v>
      </c>
      <c r="Z4583">
        <v>0</v>
      </c>
      <c r="AA4583">
        <v>0</v>
      </c>
      <c r="AB4583">
        <v>0</v>
      </c>
      <c r="AC4583">
        <v>3751</v>
      </c>
      <c r="AD4583">
        <v>0</v>
      </c>
      <c r="AE4583">
        <v>0</v>
      </c>
      <c r="AF4583">
        <v>0</v>
      </c>
      <c r="AG4583">
        <v>0</v>
      </c>
      <c r="AH4583">
        <v>0</v>
      </c>
      <c r="AI4583">
        <v>0</v>
      </c>
      <c r="AJ4583">
        <v>0</v>
      </c>
      <c r="AK4583">
        <v>0</v>
      </c>
      <c r="AL4583">
        <v>0</v>
      </c>
      <c r="AM4583">
        <v>0</v>
      </c>
      <c r="AN4583">
        <v>0</v>
      </c>
      <c r="AO4583">
        <v>1</v>
      </c>
      <c r="AP4583">
        <v>0</v>
      </c>
      <c r="AQ4583">
        <v>0</v>
      </c>
      <c r="AR4583">
        <v>0</v>
      </c>
      <c r="AS4583">
        <v>0</v>
      </c>
      <c r="AT4583">
        <v>0</v>
      </c>
      <c r="AU4583">
        <f t="shared" si="142"/>
        <v>1</v>
      </c>
      <c r="AV4583">
        <f t="shared" si="143"/>
        <v>0</v>
      </c>
    </row>
    <row r="4584" spans="1:48" x14ac:dyDescent="0.25">
      <c r="A4584" t="s">
        <v>13202</v>
      </c>
      <c r="C4584" t="s">
        <v>13203</v>
      </c>
      <c r="D4584" t="s">
        <v>13048</v>
      </c>
      <c r="E4584" t="s">
        <v>1663</v>
      </c>
      <c r="F4584">
        <v>4</v>
      </c>
      <c r="G4584">
        <v>4.3</v>
      </c>
      <c r="H4584" t="s">
        <v>2327</v>
      </c>
      <c r="I4584" s="21">
        <v>42447</v>
      </c>
      <c r="J4584">
        <v>2016</v>
      </c>
      <c r="K4584" s="21">
        <v>42486</v>
      </c>
      <c r="L4584">
        <v>2016</v>
      </c>
      <c r="P4584" s="21">
        <v>42781</v>
      </c>
      <c r="Q4584" s="262">
        <v>150000</v>
      </c>
      <c r="S4584" t="s">
        <v>114</v>
      </c>
      <c r="T4584" t="s">
        <v>114</v>
      </c>
      <c r="W4584">
        <v>0</v>
      </c>
      <c r="X4584">
        <v>0</v>
      </c>
      <c r="Y4584">
        <v>0</v>
      </c>
      <c r="Z4584">
        <v>0</v>
      </c>
      <c r="AA4584">
        <v>0</v>
      </c>
      <c r="AB4584">
        <v>0</v>
      </c>
      <c r="AC4584">
        <v>0</v>
      </c>
      <c r="AD4584">
        <v>0</v>
      </c>
      <c r="AE4584">
        <v>0</v>
      </c>
      <c r="AF4584">
        <v>0</v>
      </c>
      <c r="AG4584">
        <v>0</v>
      </c>
      <c r="AH4584">
        <v>0</v>
      </c>
      <c r="AI4584">
        <v>0</v>
      </c>
      <c r="AJ4584">
        <v>0</v>
      </c>
      <c r="AK4584">
        <v>0</v>
      </c>
      <c r="AL4584">
        <v>0</v>
      </c>
      <c r="AM4584">
        <v>0</v>
      </c>
      <c r="AN4584">
        <v>0</v>
      </c>
      <c r="AO4584">
        <v>0</v>
      </c>
      <c r="AP4584">
        <v>0</v>
      </c>
      <c r="AQ4584">
        <v>0</v>
      </c>
      <c r="AR4584">
        <v>0</v>
      </c>
      <c r="AS4584">
        <v>0</v>
      </c>
      <c r="AT4584">
        <v>0</v>
      </c>
      <c r="AU4584">
        <f t="shared" si="142"/>
        <v>0</v>
      </c>
      <c r="AV4584">
        <f t="shared" si="143"/>
        <v>0</v>
      </c>
    </row>
    <row r="4585" spans="1:48" x14ac:dyDescent="0.25">
      <c r="A4585" t="s">
        <v>13206</v>
      </c>
      <c r="C4585" t="s">
        <v>11488</v>
      </c>
      <c r="D4585" t="s">
        <v>13207</v>
      </c>
      <c r="E4585" t="s">
        <v>1663</v>
      </c>
      <c r="F4585">
        <v>3</v>
      </c>
      <c r="G4585">
        <v>3.4</v>
      </c>
      <c r="H4585" t="s">
        <v>2017</v>
      </c>
      <c r="I4585" s="21">
        <v>42447</v>
      </c>
      <c r="J4585">
        <v>2016</v>
      </c>
      <c r="K4585" s="21">
        <v>42482</v>
      </c>
      <c r="L4585">
        <v>2016</v>
      </c>
      <c r="M4585" s="21">
        <v>42703</v>
      </c>
      <c r="N4585">
        <v>2016</v>
      </c>
      <c r="Q4585" s="262">
        <v>420000</v>
      </c>
      <c r="S4585" t="s">
        <v>114</v>
      </c>
      <c r="T4585" t="s">
        <v>114</v>
      </c>
      <c r="V4585">
        <v>819</v>
      </c>
      <c r="W4585">
        <v>2075</v>
      </c>
      <c r="X4585">
        <v>0</v>
      </c>
      <c r="Y4585">
        <v>0</v>
      </c>
      <c r="Z4585">
        <v>0</v>
      </c>
      <c r="AA4585">
        <v>0</v>
      </c>
      <c r="AB4585">
        <v>0</v>
      </c>
      <c r="AC4585">
        <v>2075</v>
      </c>
      <c r="AD4585">
        <v>0</v>
      </c>
      <c r="AE4585">
        <v>0</v>
      </c>
      <c r="AF4585">
        <v>0</v>
      </c>
      <c r="AG4585">
        <v>0</v>
      </c>
      <c r="AH4585">
        <v>0</v>
      </c>
      <c r="AI4585">
        <v>0</v>
      </c>
      <c r="AJ4585">
        <v>0</v>
      </c>
      <c r="AK4585">
        <v>0</v>
      </c>
      <c r="AL4585">
        <v>0</v>
      </c>
      <c r="AM4585">
        <v>0</v>
      </c>
      <c r="AN4585">
        <v>0</v>
      </c>
      <c r="AO4585">
        <v>0</v>
      </c>
      <c r="AP4585">
        <v>0</v>
      </c>
      <c r="AQ4585">
        <v>0</v>
      </c>
      <c r="AR4585">
        <v>0</v>
      </c>
      <c r="AS4585">
        <v>0</v>
      </c>
      <c r="AT4585">
        <v>0</v>
      </c>
      <c r="AU4585">
        <f t="shared" si="142"/>
        <v>0</v>
      </c>
      <c r="AV4585">
        <f t="shared" si="143"/>
        <v>0</v>
      </c>
    </row>
    <row r="4586" spans="1:48" x14ac:dyDescent="0.25">
      <c r="A4586" t="s">
        <v>13208</v>
      </c>
      <c r="C4586" t="s">
        <v>13209</v>
      </c>
      <c r="D4586" t="s">
        <v>13210</v>
      </c>
      <c r="E4586" t="s">
        <v>1663</v>
      </c>
      <c r="F4586">
        <v>2</v>
      </c>
      <c r="G4586">
        <v>2.6</v>
      </c>
      <c r="H4586" t="s">
        <v>2327</v>
      </c>
      <c r="I4586" s="21">
        <v>42447</v>
      </c>
      <c r="J4586">
        <v>2016</v>
      </c>
      <c r="K4586" s="21">
        <v>42465</v>
      </c>
      <c r="L4586">
        <v>2016</v>
      </c>
      <c r="M4586" s="21">
        <v>42538</v>
      </c>
      <c r="N4586">
        <v>2016</v>
      </c>
      <c r="Q4586" s="262">
        <v>0</v>
      </c>
      <c r="S4586" t="s">
        <v>114</v>
      </c>
      <c r="T4586" t="s">
        <v>114</v>
      </c>
      <c r="W4586">
        <v>0</v>
      </c>
      <c r="X4586">
        <v>0</v>
      </c>
      <c r="Y4586">
        <v>0</v>
      </c>
      <c r="Z4586">
        <v>0</v>
      </c>
      <c r="AA4586">
        <v>0</v>
      </c>
      <c r="AB4586">
        <v>0</v>
      </c>
      <c r="AC4586">
        <v>0</v>
      </c>
      <c r="AD4586">
        <v>0</v>
      </c>
      <c r="AE4586">
        <v>0</v>
      </c>
      <c r="AF4586">
        <v>0</v>
      </c>
      <c r="AG4586">
        <v>0</v>
      </c>
      <c r="AH4586">
        <v>0</v>
      </c>
      <c r="AI4586">
        <v>0</v>
      </c>
      <c r="AJ4586">
        <v>0</v>
      </c>
      <c r="AK4586">
        <v>0</v>
      </c>
      <c r="AL4586">
        <v>0</v>
      </c>
      <c r="AM4586">
        <v>0</v>
      </c>
      <c r="AN4586">
        <v>0</v>
      </c>
      <c r="AO4586">
        <v>0</v>
      </c>
      <c r="AP4586">
        <v>0</v>
      </c>
      <c r="AQ4586">
        <v>0</v>
      </c>
      <c r="AR4586">
        <v>0</v>
      </c>
      <c r="AS4586">
        <v>0</v>
      </c>
      <c r="AT4586">
        <v>0</v>
      </c>
      <c r="AU4586">
        <f t="shared" si="142"/>
        <v>0</v>
      </c>
      <c r="AV4586">
        <f t="shared" si="143"/>
        <v>0</v>
      </c>
    </row>
    <row r="4587" spans="1:48" x14ac:dyDescent="0.25">
      <c r="A4587" t="s">
        <v>13211</v>
      </c>
      <c r="C4587" t="s">
        <v>13212</v>
      </c>
      <c r="D4587" t="s">
        <v>13210</v>
      </c>
      <c r="E4587" t="s">
        <v>1663</v>
      </c>
      <c r="F4587">
        <v>2</v>
      </c>
      <c r="G4587">
        <v>2.6</v>
      </c>
      <c r="H4587" t="s">
        <v>2327</v>
      </c>
      <c r="I4587" s="21">
        <v>42447</v>
      </c>
      <c r="J4587">
        <v>2016</v>
      </c>
      <c r="K4587" s="21">
        <v>42465</v>
      </c>
      <c r="L4587">
        <v>2016</v>
      </c>
      <c r="M4587" s="21">
        <v>42538</v>
      </c>
      <c r="N4587">
        <v>2016</v>
      </c>
      <c r="Q4587" s="262">
        <v>0</v>
      </c>
      <c r="S4587" t="s">
        <v>114</v>
      </c>
      <c r="T4587" t="s">
        <v>114</v>
      </c>
      <c r="W4587">
        <v>0</v>
      </c>
      <c r="X4587">
        <v>0</v>
      </c>
      <c r="Y4587">
        <v>0</v>
      </c>
      <c r="Z4587">
        <v>0</v>
      </c>
      <c r="AA4587">
        <v>0</v>
      </c>
      <c r="AB4587">
        <v>0</v>
      </c>
      <c r="AC4587">
        <v>0</v>
      </c>
      <c r="AD4587">
        <v>0</v>
      </c>
      <c r="AE4587">
        <v>0</v>
      </c>
      <c r="AF4587">
        <v>0</v>
      </c>
      <c r="AG4587">
        <v>0</v>
      </c>
      <c r="AH4587">
        <v>0</v>
      </c>
      <c r="AI4587">
        <v>0</v>
      </c>
      <c r="AJ4587">
        <v>0</v>
      </c>
      <c r="AK4587">
        <v>0</v>
      </c>
      <c r="AL4587">
        <v>0</v>
      </c>
      <c r="AM4587">
        <v>0</v>
      </c>
      <c r="AN4587">
        <v>0</v>
      </c>
      <c r="AO4587">
        <v>0</v>
      </c>
      <c r="AP4587">
        <v>0</v>
      </c>
      <c r="AQ4587">
        <v>0</v>
      </c>
      <c r="AR4587">
        <v>0</v>
      </c>
      <c r="AS4587">
        <v>0</v>
      </c>
      <c r="AT4587">
        <v>0</v>
      </c>
      <c r="AU4587">
        <f t="shared" si="142"/>
        <v>0</v>
      </c>
      <c r="AV4587">
        <f t="shared" si="143"/>
        <v>0</v>
      </c>
    </row>
    <row r="4588" spans="1:48" x14ac:dyDescent="0.25">
      <c r="A4588" t="s">
        <v>13204</v>
      </c>
      <c r="C4588" t="s">
        <v>13205</v>
      </c>
      <c r="D4588" t="s">
        <v>9642</v>
      </c>
      <c r="E4588" t="s">
        <v>1663</v>
      </c>
      <c r="F4588">
        <v>2</v>
      </c>
      <c r="G4588">
        <v>2.1</v>
      </c>
      <c r="H4588" t="s">
        <v>2327</v>
      </c>
      <c r="I4588" s="21">
        <v>42447</v>
      </c>
      <c r="J4588">
        <v>2016</v>
      </c>
      <c r="K4588" s="21">
        <v>42487</v>
      </c>
      <c r="L4588">
        <v>2016</v>
      </c>
      <c r="P4588" s="21">
        <v>42877</v>
      </c>
      <c r="Q4588" s="262">
        <v>175000</v>
      </c>
      <c r="S4588" t="s">
        <v>114</v>
      </c>
      <c r="T4588" t="s">
        <v>114</v>
      </c>
      <c r="V4588">
        <v>565</v>
      </c>
      <c r="W4588">
        <v>0</v>
      </c>
      <c r="X4588">
        <v>0</v>
      </c>
      <c r="Y4588">
        <v>0</v>
      </c>
      <c r="Z4588">
        <v>0</v>
      </c>
      <c r="AA4588">
        <v>0</v>
      </c>
      <c r="AB4588">
        <v>0</v>
      </c>
      <c r="AC4588">
        <v>0</v>
      </c>
      <c r="AD4588">
        <v>0</v>
      </c>
      <c r="AE4588">
        <v>0</v>
      </c>
      <c r="AF4588">
        <v>0</v>
      </c>
      <c r="AG4588">
        <v>0</v>
      </c>
      <c r="AH4588">
        <v>0</v>
      </c>
      <c r="AI4588">
        <v>0</v>
      </c>
      <c r="AJ4588">
        <v>0</v>
      </c>
      <c r="AK4588">
        <v>0</v>
      </c>
      <c r="AL4588">
        <v>0</v>
      </c>
      <c r="AM4588">
        <v>0</v>
      </c>
      <c r="AN4588">
        <v>0</v>
      </c>
      <c r="AO4588">
        <v>0</v>
      </c>
      <c r="AP4588">
        <v>0</v>
      </c>
      <c r="AQ4588">
        <v>0</v>
      </c>
      <c r="AR4588">
        <v>0</v>
      </c>
      <c r="AS4588">
        <v>0</v>
      </c>
      <c r="AT4588">
        <v>0</v>
      </c>
      <c r="AU4588">
        <f t="shared" si="142"/>
        <v>0</v>
      </c>
      <c r="AV4588">
        <f t="shared" si="143"/>
        <v>0</v>
      </c>
    </row>
    <row r="4589" spans="1:48" x14ac:dyDescent="0.25">
      <c r="A4589" t="s">
        <v>13654</v>
      </c>
      <c r="B4589" t="s">
        <v>114</v>
      </c>
      <c r="C4589" t="s">
        <v>13655</v>
      </c>
      <c r="D4589" t="s">
        <v>13656</v>
      </c>
      <c r="E4589" t="s">
        <v>1663</v>
      </c>
      <c r="F4589">
        <v>1</v>
      </c>
      <c r="G4589">
        <v>1.2</v>
      </c>
      <c r="H4589" t="s">
        <v>2017</v>
      </c>
      <c r="I4589" s="21">
        <v>42447</v>
      </c>
      <c r="J4589">
        <v>2016</v>
      </c>
      <c r="K4589" s="21">
        <v>42527</v>
      </c>
      <c r="L4589">
        <v>2016</v>
      </c>
      <c r="M4589" s="21">
        <v>42870</v>
      </c>
      <c r="N4589">
        <v>2017</v>
      </c>
      <c r="Q4589" s="262">
        <v>400000</v>
      </c>
      <c r="S4589" t="s">
        <v>13253</v>
      </c>
      <c r="T4589">
        <v>13027</v>
      </c>
      <c r="V4589">
        <v>10928</v>
      </c>
      <c r="W4589">
        <v>0</v>
      </c>
      <c r="X4589">
        <v>0</v>
      </c>
      <c r="Y4589">
        <v>0</v>
      </c>
      <c r="Z4589">
        <v>0</v>
      </c>
      <c r="AA4589">
        <v>0</v>
      </c>
      <c r="AB4589">
        <v>0</v>
      </c>
      <c r="AC4589">
        <v>0</v>
      </c>
      <c r="AD4589">
        <v>0</v>
      </c>
      <c r="AE4589">
        <v>0</v>
      </c>
      <c r="AF4589">
        <v>0</v>
      </c>
      <c r="AG4589">
        <v>0</v>
      </c>
      <c r="AH4589">
        <v>10928</v>
      </c>
      <c r="AI4589">
        <v>0</v>
      </c>
      <c r="AJ4589">
        <v>0</v>
      </c>
      <c r="AK4589">
        <v>-10928</v>
      </c>
      <c r="AL4589">
        <v>0</v>
      </c>
      <c r="AM4589">
        <v>0</v>
      </c>
      <c r="AN4589">
        <v>0</v>
      </c>
      <c r="AO4589">
        <v>0</v>
      </c>
      <c r="AP4589">
        <v>0</v>
      </c>
      <c r="AQ4589">
        <v>0</v>
      </c>
      <c r="AR4589">
        <v>0</v>
      </c>
      <c r="AS4589">
        <v>0</v>
      </c>
      <c r="AT4589">
        <v>0</v>
      </c>
      <c r="AU4589">
        <f t="shared" si="142"/>
        <v>0</v>
      </c>
      <c r="AV4589">
        <f t="shared" si="143"/>
        <v>0</v>
      </c>
    </row>
    <row r="4590" spans="1:48" x14ac:dyDescent="0.25">
      <c r="A4590" t="s">
        <v>13213</v>
      </c>
      <c r="B4590" t="s">
        <v>13213</v>
      </c>
      <c r="C4590" t="s">
        <v>13214</v>
      </c>
      <c r="D4590" t="s">
        <v>9496</v>
      </c>
      <c r="E4590" t="s">
        <v>2310</v>
      </c>
      <c r="F4590">
        <v>8</v>
      </c>
      <c r="G4590">
        <v>8.3000000000000007</v>
      </c>
      <c r="H4590" t="s">
        <v>2323</v>
      </c>
      <c r="I4590" s="21">
        <v>42447.453877314802</v>
      </c>
      <c r="J4590">
        <v>2016</v>
      </c>
      <c r="P4590" s="21">
        <v>42807.435821759304</v>
      </c>
      <c r="Q4590" s="262">
        <v>80650</v>
      </c>
      <c r="R4590" s="262">
        <v>22000</v>
      </c>
      <c r="S4590" t="s">
        <v>114</v>
      </c>
      <c r="T4590" t="s">
        <v>114</v>
      </c>
      <c r="W4590">
        <v>144</v>
      </c>
      <c r="X4590">
        <v>0</v>
      </c>
      <c r="Y4590">
        <v>0</v>
      </c>
      <c r="Z4590">
        <v>0</v>
      </c>
      <c r="AA4590">
        <v>0</v>
      </c>
      <c r="AB4590">
        <v>0</v>
      </c>
      <c r="AC4590">
        <v>0</v>
      </c>
      <c r="AD4590">
        <v>0</v>
      </c>
      <c r="AE4590">
        <v>0</v>
      </c>
      <c r="AF4590">
        <v>0</v>
      </c>
      <c r="AG4590">
        <v>0</v>
      </c>
      <c r="AH4590">
        <v>0</v>
      </c>
      <c r="AI4590">
        <v>144</v>
      </c>
      <c r="AJ4590">
        <v>0</v>
      </c>
      <c r="AK4590">
        <v>0</v>
      </c>
      <c r="AL4590">
        <v>0</v>
      </c>
      <c r="AM4590">
        <v>0</v>
      </c>
      <c r="AN4590">
        <v>0</v>
      </c>
      <c r="AO4590">
        <v>0</v>
      </c>
      <c r="AP4590">
        <v>0</v>
      </c>
      <c r="AQ4590">
        <v>0</v>
      </c>
      <c r="AR4590">
        <v>0</v>
      </c>
      <c r="AS4590">
        <v>0</v>
      </c>
      <c r="AT4590">
        <v>0</v>
      </c>
      <c r="AU4590">
        <f t="shared" si="142"/>
        <v>0</v>
      </c>
      <c r="AV4590">
        <f t="shared" si="143"/>
        <v>144</v>
      </c>
    </row>
    <row r="4591" spans="1:48" x14ac:dyDescent="0.25">
      <c r="A4591" t="s">
        <v>13215</v>
      </c>
      <c r="B4591" t="s">
        <v>13215</v>
      </c>
      <c r="C4591" t="s">
        <v>13216</v>
      </c>
      <c r="D4591" t="s">
        <v>9496</v>
      </c>
      <c r="E4591" t="s">
        <v>2310</v>
      </c>
      <c r="F4591">
        <v>8</v>
      </c>
      <c r="G4591">
        <v>8.3000000000000007</v>
      </c>
      <c r="H4591" t="s">
        <v>2323</v>
      </c>
      <c r="I4591" s="21">
        <v>42447.471458333297</v>
      </c>
      <c r="J4591">
        <v>2016</v>
      </c>
      <c r="P4591" s="21">
        <v>42807.4359722222</v>
      </c>
      <c r="Q4591" s="262">
        <v>80650</v>
      </c>
      <c r="R4591" s="262">
        <v>33000</v>
      </c>
      <c r="S4591" t="s">
        <v>114</v>
      </c>
      <c r="T4591" t="s">
        <v>114</v>
      </c>
      <c r="W4591">
        <v>336</v>
      </c>
      <c r="X4591">
        <v>0</v>
      </c>
      <c r="Y4591">
        <v>0</v>
      </c>
      <c r="Z4591">
        <v>0</v>
      </c>
      <c r="AA4591">
        <v>0</v>
      </c>
      <c r="AB4591">
        <v>0</v>
      </c>
      <c r="AC4591">
        <v>0</v>
      </c>
      <c r="AD4591">
        <v>0</v>
      </c>
      <c r="AE4591">
        <v>0</v>
      </c>
      <c r="AF4591">
        <v>0</v>
      </c>
      <c r="AG4591">
        <v>0</v>
      </c>
      <c r="AH4591">
        <v>0</v>
      </c>
      <c r="AI4591">
        <v>0</v>
      </c>
      <c r="AJ4591">
        <v>0</v>
      </c>
      <c r="AK4591">
        <v>0</v>
      </c>
      <c r="AL4591">
        <v>0</v>
      </c>
      <c r="AM4591">
        <v>336</v>
      </c>
      <c r="AN4591">
        <v>0</v>
      </c>
      <c r="AO4591">
        <v>0</v>
      </c>
      <c r="AP4591">
        <v>0</v>
      </c>
      <c r="AQ4591">
        <v>0</v>
      </c>
      <c r="AR4591">
        <v>0</v>
      </c>
      <c r="AS4591">
        <v>0</v>
      </c>
      <c r="AT4591">
        <v>0</v>
      </c>
      <c r="AU4591">
        <f t="shared" si="142"/>
        <v>0</v>
      </c>
      <c r="AV4591">
        <f t="shared" si="143"/>
        <v>336</v>
      </c>
    </row>
    <row r="4592" spans="1:48" x14ac:dyDescent="0.25">
      <c r="A4592" t="s">
        <v>13217</v>
      </c>
      <c r="B4592" t="s">
        <v>13217</v>
      </c>
      <c r="C4592" t="s">
        <v>13218</v>
      </c>
      <c r="D4592" t="s">
        <v>9496</v>
      </c>
      <c r="E4592" t="s">
        <v>2310</v>
      </c>
      <c r="F4592">
        <v>8</v>
      </c>
      <c r="G4592">
        <v>8.3000000000000007</v>
      </c>
      <c r="H4592" t="s">
        <v>2323</v>
      </c>
      <c r="I4592" s="21">
        <v>42447.482048611098</v>
      </c>
      <c r="J4592">
        <v>2016</v>
      </c>
      <c r="P4592" s="21">
        <v>42807.4361921296</v>
      </c>
      <c r="Q4592" s="262">
        <v>80650</v>
      </c>
      <c r="R4592" s="262">
        <v>38000</v>
      </c>
      <c r="S4592" t="s">
        <v>114</v>
      </c>
      <c r="T4592" t="s">
        <v>114</v>
      </c>
      <c r="W4592">
        <v>336</v>
      </c>
      <c r="X4592">
        <v>0</v>
      </c>
      <c r="Y4592">
        <v>0</v>
      </c>
      <c r="Z4592">
        <v>0</v>
      </c>
      <c r="AA4592">
        <v>0</v>
      </c>
      <c r="AB4592">
        <v>0</v>
      </c>
      <c r="AC4592">
        <v>0</v>
      </c>
      <c r="AD4592">
        <v>0</v>
      </c>
      <c r="AE4592">
        <v>0</v>
      </c>
      <c r="AF4592">
        <v>0</v>
      </c>
      <c r="AG4592">
        <v>0</v>
      </c>
      <c r="AH4592">
        <v>0</v>
      </c>
      <c r="AI4592">
        <v>0</v>
      </c>
      <c r="AJ4592">
        <v>0</v>
      </c>
      <c r="AK4592">
        <v>0</v>
      </c>
      <c r="AL4592">
        <v>0</v>
      </c>
      <c r="AM4592">
        <v>336</v>
      </c>
      <c r="AN4592">
        <v>0</v>
      </c>
      <c r="AO4592">
        <v>0</v>
      </c>
      <c r="AP4592">
        <v>0</v>
      </c>
      <c r="AQ4592">
        <v>0</v>
      </c>
      <c r="AR4592">
        <v>0</v>
      </c>
      <c r="AS4592">
        <v>0</v>
      </c>
      <c r="AT4592">
        <v>0</v>
      </c>
      <c r="AU4592">
        <f t="shared" si="142"/>
        <v>0</v>
      </c>
      <c r="AV4592">
        <f t="shared" si="143"/>
        <v>336</v>
      </c>
    </row>
    <row r="4593" spans="1:48" x14ac:dyDescent="0.25">
      <c r="A4593" t="s">
        <v>13219</v>
      </c>
      <c r="B4593" t="s">
        <v>13219</v>
      </c>
      <c r="C4593" t="s">
        <v>13218</v>
      </c>
      <c r="D4593" t="s">
        <v>9496</v>
      </c>
      <c r="E4593" t="s">
        <v>2310</v>
      </c>
      <c r="F4593">
        <v>8</v>
      </c>
      <c r="G4593">
        <v>8.3000000000000007</v>
      </c>
      <c r="H4593" t="s">
        <v>2323</v>
      </c>
      <c r="I4593" s="21">
        <v>42447.487025463</v>
      </c>
      <c r="J4593">
        <v>2016</v>
      </c>
      <c r="P4593" s="21">
        <v>42807.4363773148</v>
      </c>
      <c r="Q4593" s="262">
        <v>80650</v>
      </c>
      <c r="R4593" s="262">
        <v>38000</v>
      </c>
      <c r="S4593" t="s">
        <v>114</v>
      </c>
      <c r="T4593" t="s">
        <v>114</v>
      </c>
      <c r="W4593">
        <v>336</v>
      </c>
      <c r="X4593">
        <v>0</v>
      </c>
      <c r="Y4593">
        <v>0</v>
      </c>
      <c r="Z4593">
        <v>0</v>
      </c>
      <c r="AA4593">
        <v>0</v>
      </c>
      <c r="AB4593">
        <v>0</v>
      </c>
      <c r="AC4593">
        <v>0</v>
      </c>
      <c r="AD4593">
        <v>0</v>
      </c>
      <c r="AE4593">
        <v>0</v>
      </c>
      <c r="AF4593">
        <v>0</v>
      </c>
      <c r="AG4593">
        <v>0</v>
      </c>
      <c r="AH4593">
        <v>0</v>
      </c>
      <c r="AI4593">
        <v>0</v>
      </c>
      <c r="AJ4593">
        <v>0</v>
      </c>
      <c r="AK4593">
        <v>0</v>
      </c>
      <c r="AL4593">
        <v>0</v>
      </c>
      <c r="AM4593">
        <v>336</v>
      </c>
      <c r="AN4593">
        <v>0</v>
      </c>
      <c r="AO4593">
        <v>0</v>
      </c>
      <c r="AP4593">
        <v>0</v>
      </c>
      <c r="AQ4593">
        <v>0</v>
      </c>
      <c r="AR4593">
        <v>0</v>
      </c>
      <c r="AS4593">
        <v>0</v>
      </c>
      <c r="AT4593">
        <v>0</v>
      </c>
      <c r="AU4593">
        <f t="shared" si="142"/>
        <v>0</v>
      </c>
      <c r="AV4593">
        <f t="shared" si="143"/>
        <v>336</v>
      </c>
    </row>
    <row r="4594" spans="1:48" x14ac:dyDescent="0.25">
      <c r="A4594" t="s">
        <v>13220</v>
      </c>
      <c r="B4594" t="s">
        <v>13220</v>
      </c>
      <c r="C4594" t="s">
        <v>13218</v>
      </c>
      <c r="D4594" t="s">
        <v>9496</v>
      </c>
      <c r="E4594" t="s">
        <v>2310</v>
      </c>
      <c r="F4594">
        <v>8</v>
      </c>
      <c r="G4594">
        <v>8.3000000000000007</v>
      </c>
      <c r="H4594" t="s">
        <v>2323</v>
      </c>
      <c r="I4594" s="21">
        <v>42447.491678240702</v>
      </c>
      <c r="J4594">
        <v>2016</v>
      </c>
      <c r="P4594" s="21">
        <v>42807.436516203699</v>
      </c>
      <c r="Q4594" s="262">
        <v>80650</v>
      </c>
      <c r="R4594" s="262">
        <v>38000</v>
      </c>
      <c r="S4594" t="s">
        <v>114</v>
      </c>
      <c r="T4594" t="s">
        <v>114</v>
      </c>
      <c r="W4594">
        <v>336</v>
      </c>
      <c r="X4594">
        <v>0</v>
      </c>
      <c r="Y4594">
        <v>0</v>
      </c>
      <c r="Z4594">
        <v>0</v>
      </c>
      <c r="AA4594">
        <v>0</v>
      </c>
      <c r="AB4594">
        <v>0</v>
      </c>
      <c r="AC4594">
        <v>0</v>
      </c>
      <c r="AD4594">
        <v>0</v>
      </c>
      <c r="AE4594">
        <v>0</v>
      </c>
      <c r="AF4594">
        <v>0</v>
      </c>
      <c r="AG4594">
        <v>0</v>
      </c>
      <c r="AH4594">
        <v>0</v>
      </c>
      <c r="AI4594">
        <v>0</v>
      </c>
      <c r="AJ4594">
        <v>0</v>
      </c>
      <c r="AK4594">
        <v>0</v>
      </c>
      <c r="AL4594">
        <v>0</v>
      </c>
      <c r="AM4594">
        <v>336</v>
      </c>
      <c r="AN4594">
        <v>0</v>
      </c>
      <c r="AO4594">
        <v>0</v>
      </c>
      <c r="AP4594">
        <v>0</v>
      </c>
      <c r="AQ4594">
        <v>0</v>
      </c>
      <c r="AR4594">
        <v>0</v>
      </c>
      <c r="AS4594">
        <v>0</v>
      </c>
      <c r="AT4594">
        <v>0</v>
      </c>
      <c r="AU4594">
        <f t="shared" si="142"/>
        <v>0</v>
      </c>
      <c r="AV4594">
        <f t="shared" si="143"/>
        <v>336</v>
      </c>
    </row>
    <row r="4595" spans="1:48" x14ac:dyDescent="0.25">
      <c r="A4595" t="s">
        <v>13221</v>
      </c>
      <c r="B4595" t="s">
        <v>13221</v>
      </c>
      <c r="C4595" t="s">
        <v>13218</v>
      </c>
      <c r="D4595" t="s">
        <v>9496</v>
      </c>
      <c r="E4595" t="s">
        <v>2310</v>
      </c>
      <c r="F4595">
        <v>8</v>
      </c>
      <c r="G4595">
        <v>8.3000000000000007</v>
      </c>
      <c r="H4595" t="s">
        <v>2323</v>
      </c>
      <c r="I4595" s="21">
        <v>42447.498449074097</v>
      </c>
      <c r="J4595">
        <v>2016</v>
      </c>
      <c r="P4595" s="21">
        <v>42807.436666666697</v>
      </c>
      <c r="Q4595" s="262">
        <v>80650</v>
      </c>
      <c r="R4595" s="262">
        <v>38000</v>
      </c>
      <c r="S4595" t="s">
        <v>114</v>
      </c>
      <c r="T4595" t="s">
        <v>114</v>
      </c>
      <c r="W4595">
        <v>336</v>
      </c>
      <c r="X4595">
        <v>0</v>
      </c>
      <c r="Y4595">
        <v>0</v>
      </c>
      <c r="Z4595">
        <v>0</v>
      </c>
      <c r="AA4595">
        <v>0</v>
      </c>
      <c r="AB4595">
        <v>0</v>
      </c>
      <c r="AC4595">
        <v>0</v>
      </c>
      <c r="AD4595">
        <v>0</v>
      </c>
      <c r="AE4595">
        <v>0</v>
      </c>
      <c r="AF4595">
        <v>0</v>
      </c>
      <c r="AG4595">
        <v>0</v>
      </c>
      <c r="AH4595">
        <v>0</v>
      </c>
      <c r="AI4595">
        <v>0</v>
      </c>
      <c r="AJ4595">
        <v>0</v>
      </c>
      <c r="AK4595">
        <v>0</v>
      </c>
      <c r="AL4595">
        <v>0</v>
      </c>
      <c r="AM4595">
        <v>336</v>
      </c>
      <c r="AN4595">
        <v>0</v>
      </c>
      <c r="AO4595">
        <v>0</v>
      </c>
      <c r="AP4595">
        <v>0</v>
      </c>
      <c r="AQ4595">
        <v>0</v>
      </c>
      <c r="AR4595">
        <v>0</v>
      </c>
      <c r="AS4595">
        <v>0</v>
      </c>
      <c r="AT4595">
        <v>0</v>
      </c>
      <c r="AU4595">
        <f t="shared" si="142"/>
        <v>0</v>
      </c>
      <c r="AV4595">
        <f t="shared" si="143"/>
        <v>336</v>
      </c>
    </row>
    <row r="4596" spans="1:48" x14ac:dyDescent="0.25">
      <c r="A4596" t="s">
        <v>13222</v>
      </c>
      <c r="B4596" t="s">
        <v>13222</v>
      </c>
      <c r="C4596" t="s">
        <v>13218</v>
      </c>
      <c r="D4596" t="s">
        <v>9496</v>
      </c>
      <c r="E4596" t="s">
        <v>2310</v>
      </c>
      <c r="F4596">
        <v>8</v>
      </c>
      <c r="G4596">
        <v>8.3000000000000007</v>
      </c>
      <c r="H4596" t="s">
        <v>2323</v>
      </c>
      <c r="I4596" s="21">
        <v>42447.523877314801</v>
      </c>
      <c r="J4596">
        <v>2016</v>
      </c>
      <c r="P4596" s="21">
        <v>42807.436932870398</v>
      </c>
      <c r="Q4596" s="262">
        <v>80650</v>
      </c>
      <c r="R4596" s="262">
        <v>38000</v>
      </c>
      <c r="S4596" t="s">
        <v>114</v>
      </c>
      <c r="T4596" t="s">
        <v>114</v>
      </c>
      <c r="W4596">
        <v>336</v>
      </c>
      <c r="X4596">
        <v>0</v>
      </c>
      <c r="Y4596">
        <v>0</v>
      </c>
      <c r="Z4596">
        <v>0</v>
      </c>
      <c r="AA4596">
        <v>0</v>
      </c>
      <c r="AB4596">
        <v>0</v>
      </c>
      <c r="AC4596">
        <v>0</v>
      </c>
      <c r="AD4596">
        <v>0</v>
      </c>
      <c r="AE4596">
        <v>0</v>
      </c>
      <c r="AF4596">
        <v>0</v>
      </c>
      <c r="AG4596">
        <v>0</v>
      </c>
      <c r="AH4596">
        <v>0</v>
      </c>
      <c r="AI4596">
        <v>0</v>
      </c>
      <c r="AJ4596">
        <v>0</v>
      </c>
      <c r="AK4596">
        <v>0</v>
      </c>
      <c r="AL4596">
        <v>0</v>
      </c>
      <c r="AM4596">
        <v>336</v>
      </c>
      <c r="AN4596">
        <v>0</v>
      </c>
      <c r="AO4596">
        <v>0</v>
      </c>
      <c r="AP4596">
        <v>0</v>
      </c>
      <c r="AQ4596">
        <v>0</v>
      </c>
      <c r="AR4596">
        <v>0</v>
      </c>
      <c r="AS4596">
        <v>0</v>
      </c>
      <c r="AT4596">
        <v>0</v>
      </c>
      <c r="AU4596">
        <f t="shared" si="142"/>
        <v>0</v>
      </c>
      <c r="AV4596">
        <f t="shared" si="143"/>
        <v>336</v>
      </c>
    </row>
    <row r="4597" spans="1:48" x14ac:dyDescent="0.25">
      <c r="A4597" t="s">
        <v>13223</v>
      </c>
      <c r="B4597" t="s">
        <v>13223</v>
      </c>
      <c r="C4597" t="s">
        <v>13218</v>
      </c>
      <c r="D4597" t="s">
        <v>9496</v>
      </c>
      <c r="E4597" t="s">
        <v>2310</v>
      </c>
      <c r="F4597">
        <v>8</v>
      </c>
      <c r="G4597">
        <v>8.3000000000000007</v>
      </c>
      <c r="H4597" t="s">
        <v>2323</v>
      </c>
      <c r="I4597" s="21">
        <v>42447.530729166698</v>
      </c>
      <c r="J4597">
        <v>2016</v>
      </c>
      <c r="P4597" s="21">
        <v>42807.437175925901</v>
      </c>
      <c r="Q4597" s="262">
        <v>80650</v>
      </c>
      <c r="R4597" s="262">
        <v>38000</v>
      </c>
      <c r="S4597" t="s">
        <v>114</v>
      </c>
      <c r="T4597" t="s">
        <v>114</v>
      </c>
      <c r="W4597">
        <v>336</v>
      </c>
      <c r="X4597">
        <v>0</v>
      </c>
      <c r="Y4597">
        <v>0</v>
      </c>
      <c r="Z4597">
        <v>0</v>
      </c>
      <c r="AA4597">
        <v>0</v>
      </c>
      <c r="AB4597">
        <v>0</v>
      </c>
      <c r="AC4597">
        <v>0</v>
      </c>
      <c r="AD4597">
        <v>0</v>
      </c>
      <c r="AE4597">
        <v>0</v>
      </c>
      <c r="AF4597">
        <v>0</v>
      </c>
      <c r="AG4597">
        <v>0</v>
      </c>
      <c r="AH4597">
        <v>0</v>
      </c>
      <c r="AI4597">
        <v>0</v>
      </c>
      <c r="AJ4597">
        <v>0</v>
      </c>
      <c r="AK4597">
        <v>0</v>
      </c>
      <c r="AL4597">
        <v>0</v>
      </c>
      <c r="AM4597">
        <v>336</v>
      </c>
      <c r="AN4597">
        <v>0</v>
      </c>
      <c r="AO4597">
        <v>0</v>
      </c>
      <c r="AP4597">
        <v>0</v>
      </c>
      <c r="AQ4597">
        <v>0</v>
      </c>
      <c r="AR4597">
        <v>0</v>
      </c>
      <c r="AS4597">
        <v>0</v>
      </c>
      <c r="AT4597">
        <v>0</v>
      </c>
      <c r="AU4597">
        <f t="shared" si="142"/>
        <v>0</v>
      </c>
      <c r="AV4597">
        <f t="shared" si="143"/>
        <v>336</v>
      </c>
    </row>
    <row r="4598" spans="1:48" x14ac:dyDescent="0.25">
      <c r="A4598" t="s">
        <v>13224</v>
      </c>
      <c r="B4598" t="s">
        <v>13224</v>
      </c>
      <c r="C4598" t="s">
        <v>13218</v>
      </c>
      <c r="D4598" t="s">
        <v>9496</v>
      </c>
      <c r="E4598" t="s">
        <v>2310</v>
      </c>
      <c r="F4598">
        <v>8</v>
      </c>
      <c r="G4598">
        <v>8.3000000000000007</v>
      </c>
      <c r="H4598" t="s">
        <v>2323</v>
      </c>
      <c r="I4598" s="21">
        <v>42447.535069444399</v>
      </c>
      <c r="J4598">
        <v>2016</v>
      </c>
      <c r="P4598" s="21">
        <v>42807.437430555598</v>
      </c>
      <c r="Q4598" s="262">
        <v>80650</v>
      </c>
      <c r="R4598" s="262">
        <v>38000</v>
      </c>
      <c r="S4598" t="s">
        <v>114</v>
      </c>
      <c r="T4598" t="s">
        <v>114</v>
      </c>
      <c r="W4598">
        <v>336</v>
      </c>
      <c r="X4598">
        <v>0</v>
      </c>
      <c r="Y4598">
        <v>0</v>
      </c>
      <c r="Z4598">
        <v>0</v>
      </c>
      <c r="AA4598">
        <v>0</v>
      </c>
      <c r="AB4598">
        <v>0</v>
      </c>
      <c r="AC4598">
        <v>0</v>
      </c>
      <c r="AD4598">
        <v>0</v>
      </c>
      <c r="AE4598">
        <v>0</v>
      </c>
      <c r="AF4598">
        <v>0</v>
      </c>
      <c r="AG4598">
        <v>0</v>
      </c>
      <c r="AH4598">
        <v>0</v>
      </c>
      <c r="AI4598">
        <v>0</v>
      </c>
      <c r="AJ4598">
        <v>0</v>
      </c>
      <c r="AK4598">
        <v>0</v>
      </c>
      <c r="AL4598">
        <v>0</v>
      </c>
      <c r="AM4598">
        <v>336</v>
      </c>
      <c r="AN4598">
        <v>0</v>
      </c>
      <c r="AO4598">
        <v>0</v>
      </c>
      <c r="AP4598">
        <v>0</v>
      </c>
      <c r="AQ4598">
        <v>0</v>
      </c>
      <c r="AR4598">
        <v>0</v>
      </c>
      <c r="AS4598">
        <v>0</v>
      </c>
      <c r="AT4598">
        <v>0</v>
      </c>
      <c r="AU4598">
        <f t="shared" si="142"/>
        <v>0</v>
      </c>
      <c r="AV4598">
        <f t="shared" si="143"/>
        <v>336</v>
      </c>
    </row>
    <row r="4599" spans="1:48" x14ac:dyDescent="0.25">
      <c r="A4599" t="s">
        <v>13225</v>
      </c>
      <c r="B4599" t="s">
        <v>13225</v>
      </c>
      <c r="C4599" t="s">
        <v>13218</v>
      </c>
      <c r="D4599" t="s">
        <v>9496</v>
      </c>
      <c r="E4599" t="s">
        <v>2310</v>
      </c>
      <c r="F4599">
        <v>8</v>
      </c>
      <c r="G4599">
        <v>8.3000000000000007</v>
      </c>
      <c r="H4599" t="s">
        <v>2323</v>
      </c>
      <c r="I4599" s="21">
        <v>42447.539490740703</v>
      </c>
      <c r="J4599">
        <v>2016</v>
      </c>
      <c r="P4599" s="21">
        <v>42807.437569444402</v>
      </c>
      <c r="Q4599" s="262">
        <v>80650</v>
      </c>
      <c r="R4599" s="262">
        <v>38000</v>
      </c>
      <c r="S4599" t="s">
        <v>114</v>
      </c>
      <c r="T4599" t="s">
        <v>114</v>
      </c>
      <c r="W4599">
        <v>336</v>
      </c>
      <c r="X4599">
        <v>0</v>
      </c>
      <c r="Y4599">
        <v>0</v>
      </c>
      <c r="Z4599">
        <v>0</v>
      </c>
      <c r="AA4599">
        <v>0</v>
      </c>
      <c r="AB4599">
        <v>0</v>
      </c>
      <c r="AC4599">
        <v>0</v>
      </c>
      <c r="AD4599">
        <v>0</v>
      </c>
      <c r="AE4599">
        <v>0</v>
      </c>
      <c r="AF4599">
        <v>0</v>
      </c>
      <c r="AG4599">
        <v>0</v>
      </c>
      <c r="AH4599">
        <v>0</v>
      </c>
      <c r="AI4599">
        <v>0</v>
      </c>
      <c r="AJ4599">
        <v>0</v>
      </c>
      <c r="AK4599">
        <v>0</v>
      </c>
      <c r="AL4599">
        <v>0</v>
      </c>
      <c r="AM4599">
        <v>336</v>
      </c>
      <c r="AN4599">
        <v>0</v>
      </c>
      <c r="AO4599">
        <v>0</v>
      </c>
      <c r="AP4599">
        <v>0</v>
      </c>
      <c r="AQ4599">
        <v>0</v>
      </c>
      <c r="AR4599">
        <v>0</v>
      </c>
      <c r="AS4599">
        <v>0</v>
      </c>
      <c r="AT4599">
        <v>0</v>
      </c>
      <c r="AU4599">
        <f t="shared" si="142"/>
        <v>0</v>
      </c>
      <c r="AV4599">
        <f t="shared" si="143"/>
        <v>336</v>
      </c>
    </row>
    <row r="4600" spans="1:48" x14ac:dyDescent="0.25">
      <c r="A4600" t="s">
        <v>13226</v>
      </c>
      <c r="B4600" t="s">
        <v>13226</v>
      </c>
      <c r="C4600" t="s">
        <v>13218</v>
      </c>
      <c r="D4600" t="s">
        <v>9496</v>
      </c>
      <c r="E4600" t="s">
        <v>2310</v>
      </c>
      <c r="F4600">
        <v>8</v>
      </c>
      <c r="G4600">
        <v>8.3000000000000007</v>
      </c>
      <c r="H4600" t="s">
        <v>2323</v>
      </c>
      <c r="I4600" s="21">
        <v>42447.543553240699</v>
      </c>
      <c r="J4600">
        <v>2016</v>
      </c>
      <c r="P4600" s="21">
        <v>42807.437719907401</v>
      </c>
      <c r="Q4600" s="262">
        <v>80650</v>
      </c>
      <c r="R4600" s="262">
        <v>38000</v>
      </c>
      <c r="S4600" t="s">
        <v>114</v>
      </c>
      <c r="T4600" t="s">
        <v>114</v>
      </c>
      <c r="W4600">
        <v>336</v>
      </c>
      <c r="X4600">
        <v>0</v>
      </c>
      <c r="Y4600">
        <v>0</v>
      </c>
      <c r="Z4600">
        <v>0</v>
      </c>
      <c r="AA4600">
        <v>0</v>
      </c>
      <c r="AB4600">
        <v>0</v>
      </c>
      <c r="AC4600">
        <v>0</v>
      </c>
      <c r="AD4600">
        <v>0</v>
      </c>
      <c r="AE4600">
        <v>0</v>
      </c>
      <c r="AF4600">
        <v>0</v>
      </c>
      <c r="AG4600">
        <v>0</v>
      </c>
      <c r="AH4600">
        <v>0</v>
      </c>
      <c r="AI4600">
        <v>0</v>
      </c>
      <c r="AJ4600">
        <v>0</v>
      </c>
      <c r="AK4600">
        <v>0</v>
      </c>
      <c r="AL4600">
        <v>0</v>
      </c>
      <c r="AM4600">
        <v>336</v>
      </c>
      <c r="AN4600">
        <v>0</v>
      </c>
      <c r="AO4600">
        <v>0</v>
      </c>
      <c r="AP4600">
        <v>0</v>
      </c>
      <c r="AQ4600">
        <v>0</v>
      </c>
      <c r="AR4600">
        <v>0</v>
      </c>
      <c r="AS4600">
        <v>0</v>
      </c>
      <c r="AT4600">
        <v>0</v>
      </c>
      <c r="AU4600">
        <f t="shared" si="142"/>
        <v>0</v>
      </c>
      <c r="AV4600">
        <f t="shared" si="143"/>
        <v>336</v>
      </c>
    </row>
    <row r="4601" spans="1:48" x14ac:dyDescent="0.25">
      <c r="A4601" t="s">
        <v>13227</v>
      </c>
      <c r="B4601" t="s">
        <v>13227</v>
      </c>
      <c r="C4601" t="s">
        <v>13218</v>
      </c>
      <c r="D4601" t="s">
        <v>9496</v>
      </c>
      <c r="E4601" t="s">
        <v>2310</v>
      </c>
      <c r="F4601">
        <v>8</v>
      </c>
      <c r="G4601">
        <v>8.3000000000000007</v>
      </c>
      <c r="H4601" t="s">
        <v>2323</v>
      </c>
      <c r="I4601" s="21">
        <v>42447.548171296301</v>
      </c>
      <c r="J4601">
        <v>2016</v>
      </c>
      <c r="P4601" s="21">
        <v>42807.437870370399</v>
      </c>
      <c r="Q4601" s="262">
        <v>80650</v>
      </c>
      <c r="R4601" s="262">
        <v>38000</v>
      </c>
      <c r="S4601" t="s">
        <v>114</v>
      </c>
      <c r="T4601" t="s">
        <v>114</v>
      </c>
      <c r="W4601">
        <v>336</v>
      </c>
      <c r="X4601">
        <v>0</v>
      </c>
      <c r="Y4601">
        <v>0</v>
      </c>
      <c r="Z4601">
        <v>0</v>
      </c>
      <c r="AA4601">
        <v>0</v>
      </c>
      <c r="AB4601">
        <v>0</v>
      </c>
      <c r="AC4601">
        <v>0</v>
      </c>
      <c r="AD4601">
        <v>0</v>
      </c>
      <c r="AE4601">
        <v>0</v>
      </c>
      <c r="AF4601">
        <v>0</v>
      </c>
      <c r="AG4601">
        <v>0</v>
      </c>
      <c r="AH4601">
        <v>0</v>
      </c>
      <c r="AI4601">
        <v>0</v>
      </c>
      <c r="AJ4601">
        <v>0</v>
      </c>
      <c r="AK4601">
        <v>0</v>
      </c>
      <c r="AL4601">
        <v>0</v>
      </c>
      <c r="AM4601">
        <v>336</v>
      </c>
      <c r="AN4601">
        <v>0</v>
      </c>
      <c r="AO4601">
        <v>0</v>
      </c>
      <c r="AP4601">
        <v>0</v>
      </c>
      <c r="AQ4601">
        <v>0</v>
      </c>
      <c r="AR4601">
        <v>0</v>
      </c>
      <c r="AS4601">
        <v>0</v>
      </c>
      <c r="AT4601">
        <v>0</v>
      </c>
      <c r="AU4601">
        <f t="shared" si="142"/>
        <v>0</v>
      </c>
      <c r="AV4601">
        <f t="shared" si="143"/>
        <v>336</v>
      </c>
    </row>
    <row r="4602" spans="1:48" x14ac:dyDescent="0.25">
      <c r="A4602" t="s">
        <v>13228</v>
      </c>
      <c r="B4602" t="s">
        <v>13228</v>
      </c>
      <c r="C4602" t="s">
        <v>13218</v>
      </c>
      <c r="D4602" t="s">
        <v>9496</v>
      </c>
      <c r="E4602" t="s">
        <v>2310</v>
      </c>
      <c r="F4602">
        <v>8</v>
      </c>
      <c r="G4602">
        <v>8.3000000000000007</v>
      </c>
      <c r="H4602" t="s">
        <v>2323</v>
      </c>
      <c r="I4602" s="21">
        <v>42447.552199074104</v>
      </c>
      <c r="J4602">
        <v>2016</v>
      </c>
      <c r="P4602" s="21">
        <v>42807.437986111101</v>
      </c>
      <c r="Q4602" s="262">
        <v>80650</v>
      </c>
      <c r="R4602" s="262">
        <v>38000</v>
      </c>
      <c r="S4602" t="s">
        <v>114</v>
      </c>
      <c r="T4602" t="s">
        <v>114</v>
      </c>
      <c r="W4602">
        <v>336</v>
      </c>
      <c r="X4602">
        <v>0</v>
      </c>
      <c r="Y4602">
        <v>0</v>
      </c>
      <c r="Z4602">
        <v>0</v>
      </c>
      <c r="AA4602">
        <v>0</v>
      </c>
      <c r="AB4602">
        <v>0</v>
      </c>
      <c r="AC4602">
        <v>0</v>
      </c>
      <c r="AD4602">
        <v>0</v>
      </c>
      <c r="AE4602">
        <v>0</v>
      </c>
      <c r="AF4602">
        <v>0</v>
      </c>
      <c r="AG4602">
        <v>0</v>
      </c>
      <c r="AH4602">
        <v>0</v>
      </c>
      <c r="AI4602">
        <v>0</v>
      </c>
      <c r="AJ4602">
        <v>0</v>
      </c>
      <c r="AK4602">
        <v>0</v>
      </c>
      <c r="AL4602">
        <v>0</v>
      </c>
      <c r="AM4602">
        <v>336</v>
      </c>
      <c r="AN4602">
        <v>0</v>
      </c>
      <c r="AO4602">
        <v>0</v>
      </c>
      <c r="AP4602">
        <v>0</v>
      </c>
      <c r="AQ4602">
        <v>0</v>
      </c>
      <c r="AR4602">
        <v>0</v>
      </c>
      <c r="AS4602">
        <v>0</v>
      </c>
      <c r="AT4602">
        <v>0</v>
      </c>
      <c r="AU4602">
        <f t="shared" si="142"/>
        <v>0</v>
      </c>
      <c r="AV4602">
        <f t="shared" si="143"/>
        <v>336</v>
      </c>
    </row>
    <row r="4603" spans="1:48" x14ac:dyDescent="0.25">
      <c r="A4603" t="s">
        <v>13229</v>
      </c>
      <c r="B4603" t="s">
        <v>13229</v>
      </c>
      <c r="C4603" t="s">
        <v>13218</v>
      </c>
      <c r="D4603" t="s">
        <v>9496</v>
      </c>
      <c r="E4603" t="s">
        <v>2310</v>
      </c>
      <c r="F4603">
        <v>8</v>
      </c>
      <c r="G4603">
        <v>8.3000000000000007</v>
      </c>
      <c r="H4603" t="s">
        <v>2323</v>
      </c>
      <c r="I4603" s="21">
        <v>42447.5559027778</v>
      </c>
      <c r="J4603">
        <v>2016</v>
      </c>
      <c r="P4603" s="21">
        <v>42807.438159722202</v>
      </c>
      <c r="Q4603" s="262">
        <v>80650</v>
      </c>
      <c r="R4603" s="262">
        <v>38000</v>
      </c>
      <c r="S4603" t="s">
        <v>114</v>
      </c>
      <c r="T4603" t="s">
        <v>114</v>
      </c>
      <c r="W4603">
        <v>336</v>
      </c>
      <c r="X4603">
        <v>0</v>
      </c>
      <c r="Y4603">
        <v>0</v>
      </c>
      <c r="Z4603">
        <v>0</v>
      </c>
      <c r="AA4603">
        <v>0</v>
      </c>
      <c r="AB4603">
        <v>0</v>
      </c>
      <c r="AC4603">
        <v>0</v>
      </c>
      <c r="AD4603">
        <v>0</v>
      </c>
      <c r="AE4603">
        <v>0</v>
      </c>
      <c r="AF4603">
        <v>0</v>
      </c>
      <c r="AG4603">
        <v>0</v>
      </c>
      <c r="AH4603">
        <v>0</v>
      </c>
      <c r="AI4603">
        <v>0</v>
      </c>
      <c r="AJ4603">
        <v>0</v>
      </c>
      <c r="AK4603">
        <v>0</v>
      </c>
      <c r="AL4603">
        <v>0</v>
      </c>
      <c r="AM4603">
        <v>336</v>
      </c>
      <c r="AN4603">
        <v>0</v>
      </c>
      <c r="AO4603">
        <v>0</v>
      </c>
      <c r="AP4603">
        <v>0</v>
      </c>
      <c r="AQ4603">
        <v>0</v>
      </c>
      <c r="AR4603">
        <v>0</v>
      </c>
      <c r="AS4603">
        <v>0</v>
      </c>
      <c r="AT4603">
        <v>0</v>
      </c>
      <c r="AU4603">
        <f t="shared" si="142"/>
        <v>0</v>
      </c>
      <c r="AV4603">
        <f t="shared" si="143"/>
        <v>336</v>
      </c>
    </row>
    <row r="4604" spans="1:48" x14ac:dyDescent="0.25">
      <c r="A4604" t="s">
        <v>13230</v>
      </c>
      <c r="B4604" t="s">
        <v>13230</v>
      </c>
      <c r="C4604" t="s">
        <v>13218</v>
      </c>
      <c r="D4604" t="s">
        <v>9496</v>
      </c>
      <c r="E4604" t="s">
        <v>2310</v>
      </c>
      <c r="F4604">
        <v>8</v>
      </c>
      <c r="G4604">
        <v>8.3000000000000007</v>
      </c>
      <c r="H4604" t="s">
        <v>2323</v>
      </c>
      <c r="I4604" s="21">
        <v>42447.559733796297</v>
      </c>
      <c r="J4604">
        <v>2016</v>
      </c>
      <c r="P4604" s="21">
        <v>42807.438275462999</v>
      </c>
      <c r="Q4604" s="262">
        <v>80650</v>
      </c>
      <c r="R4604" s="262">
        <v>38000</v>
      </c>
      <c r="S4604" t="s">
        <v>114</v>
      </c>
      <c r="T4604" t="s">
        <v>114</v>
      </c>
      <c r="W4604">
        <v>336</v>
      </c>
      <c r="X4604">
        <v>0</v>
      </c>
      <c r="Y4604">
        <v>0</v>
      </c>
      <c r="Z4604">
        <v>0</v>
      </c>
      <c r="AA4604">
        <v>0</v>
      </c>
      <c r="AB4604">
        <v>0</v>
      </c>
      <c r="AC4604">
        <v>0</v>
      </c>
      <c r="AD4604">
        <v>0</v>
      </c>
      <c r="AE4604">
        <v>0</v>
      </c>
      <c r="AF4604">
        <v>0</v>
      </c>
      <c r="AG4604">
        <v>0</v>
      </c>
      <c r="AH4604">
        <v>0</v>
      </c>
      <c r="AI4604">
        <v>0</v>
      </c>
      <c r="AJ4604">
        <v>0</v>
      </c>
      <c r="AK4604">
        <v>0</v>
      </c>
      <c r="AL4604">
        <v>0</v>
      </c>
      <c r="AM4604">
        <v>336</v>
      </c>
      <c r="AN4604">
        <v>0</v>
      </c>
      <c r="AO4604">
        <v>0</v>
      </c>
      <c r="AP4604">
        <v>0</v>
      </c>
      <c r="AQ4604">
        <v>0</v>
      </c>
      <c r="AR4604">
        <v>0</v>
      </c>
      <c r="AS4604">
        <v>0</v>
      </c>
      <c r="AT4604">
        <v>0</v>
      </c>
      <c r="AU4604">
        <f t="shared" si="142"/>
        <v>0</v>
      </c>
      <c r="AV4604">
        <f t="shared" si="143"/>
        <v>336</v>
      </c>
    </row>
    <row r="4605" spans="1:48" x14ac:dyDescent="0.25">
      <c r="A4605" t="s">
        <v>13231</v>
      </c>
      <c r="B4605" t="s">
        <v>13231</v>
      </c>
      <c r="C4605" t="s">
        <v>13218</v>
      </c>
      <c r="D4605" t="s">
        <v>9496</v>
      </c>
      <c r="E4605" t="s">
        <v>2310</v>
      </c>
      <c r="F4605">
        <v>8</v>
      </c>
      <c r="G4605">
        <v>8.3000000000000007</v>
      </c>
      <c r="H4605" t="s">
        <v>2323</v>
      </c>
      <c r="I4605" s="21">
        <v>42447.563518518502</v>
      </c>
      <c r="J4605">
        <v>2016</v>
      </c>
      <c r="P4605" s="21">
        <v>43109.566874999997</v>
      </c>
      <c r="Q4605" s="262">
        <v>80650</v>
      </c>
      <c r="R4605" s="262">
        <v>38000</v>
      </c>
      <c r="S4605" t="s">
        <v>114</v>
      </c>
      <c r="T4605" t="s">
        <v>114</v>
      </c>
      <c r="W4605">
        <v>336</v>
      </c>
      <c r="X4605">
        <v>0</v>
      </c>
      <c r="Y4605">
        <v>0</v>
      </c>
      <c r="Z4605">
        <v>0</v>
      </c>
      <c r="AA4605">
        <v>0</v>
      </c>
      <c r="AB4605">
        <v>0</v>
      </c>
      <c r="AC4605">
        <v>0</v>
      </c>
      <c r="AD4605">
        <v>0</v>
      </c>
      <c r="AE4605">
        <v>0</v>
      </c>
      <c r="AF4605">
        <v>0</v>
      </c>
      <c r="AG4605">
        <v>0</v>
      </c>
      <c r="AH4605">
        <v>0</v>
      </c>
      <c r="AI4605">
        <v>0</v>
      </c>
      <c r="AJ4605">
        <v>0</v>
      </c>
      <c r="AK4605">
        <v>0</v>
      </c>
      <c r="AL4605">
        <v>0</v>
      </c>
      <c r="AM4605">
        <v>336</v>
      </c>
      <c r="AN4605">
        <v>0</v>
      </c>
      <c r="AO4605">
        <v>0</v>
      </c>
      <c r="AP4605">
        <v>0</v>
      </c>
      <c r="AQ4605">
        <v>0</v>
      </c>
      <c r="AR4605">
        <v>0</v>
      </c>
      <c r="AS4605">
        <v>0</v>
      </c>
      <c r="AT4605">
        <v>0</v>
      </c>
      <c r="AU4605">
        <f t="shared" si="142"/>
        <v>0</v>
      </c>
      <c r="AV4605">
        <f t="shared" si="143"/>
        <v>336</v>
      </c>
    </row>
    <row r="4606" spans="1:48" x14ac:dyDescent="0.25">
      <c r="A4606" t="s">
        <v>13232</v>
      </c>
      <c r="B4606" t="s">
        <v>13232</v>
      </c>
      <c r="C4606" t="s">
        <v>13218</v>
      </c>
      <c r="D4606" t="s">
        <v>9496</v>
      </c>
      <c r="E4606" t="s">
        <v>2310</v>
      </c>
      <c r="F4606">
        <v>8</v>
      </c>
      <c r="G4606">
        <v>8.3000000000000007</v>
      </c>
      <c r="H4606" t="s">
        <v>2323</v>
      </c>
      <c r="I4606" s="21">
        <v>42447.567337963003</v>
      </c>
      <c r="J4606">
        <v>2016</v>
      </c>
      <c r="P4606" s="21">
        <v>42807.438634259299</v>
      </c>
      <c r="Q4606" s="262">
        <v>80650</v>
      </c>
      <c r="R4606" s="262">
        <v>38000</v>
      </c>
      <c r="S4606" t="s">
        <v>114</v>
      </c>
      <c r="T4606" t="s">
        <v>114</v>
      </c>
      <c r="W4606">
        <v>336</v>
      </c>
      <c r="X4606">
        <v>0</v>
      </c>
      <c r="Y4606">
        <v>0</v>
      </c>
      <c r="Z4606">
        <v>0</v>
      </c>
      <c r="AA4606">
        <v>0</v>
      </c>
      <c r="AB4606">
        <v>0</v>
      </c>
      <c r="AC4606">
        <v>0</v>
      </c>
      <c r="AD4606">
        <v>0</v>
      </c>
      <c r="AE4606">
        <v>0</v>
      </c>
      <c r="AF4606">
        <v>0</v>
      </c>
      <c r="AG4606">
        <v>0</v>
      </c>
      <c r="AH4606">
        <v>0</v>
      </c>
      <c r="AI4606">
        <v>0</v>
      </c>
      <c r="AJ4606">
        <v>0</v>
      </c>
      <c r="AK4606">
        <v>0</v>
      </c>
      <c r="AL4606">
        <v>0</v>
      </c>
      <c r="AM4606">
        <v>336</v>
      </c>
      <c r="AN4606">
        <v>0</v>
      </c>
      <c r="AO4606">
        <v>0</v>
      </c>
      <c r="AP4606">
        <v>0</v>
      </c>
      <c r="AQ4606">
        <v>0</v>
      </c>
      <c r="AR4606">
        <v>0</v>
      </c>
      <c r="AS4606">
        <v>0</v>
      </c>
      <c r="AT4606">
        <v>0</v>
      </c>
      <c r="AU4606">
        <f t="shared" si="142"/>
        <v>0</v>
      </c>
      <c r="AV4606">
        <f t="shared" si="143"/>
        <v>336</v>
      </c>
    </row>
    <row r="4607" spans="1:48" x14ac:dyDescent="0.25">
      <c r="A4607" t="s">
        <v>13233</v>
      </c>
      <c r="B4607" t="s">
        <v>13233</v>
      </c>
      <c r="C4607" t="s">
        <v>13218</v>
      </c>
      <c r="D4607" t="s">
        <v>9496</v>
      </c>
      <c r="E4607" t="s">
        <v>2310</v>
      </c>
      <c r="F4607">
        <v>8</v>
      </c>
      <c r="G4607">
        <v>8.3000000000000007</v>
      </c>
      <c r="H4607" t="s">
        <v>2323</v>
      </c>
      <c r="I4607" s="21">
        <v>42447.5723842593</v>
      </c>
      <c r="J4607">
        <v>2016</v>
      </c>
      <c r="P4607" s="21">
        <v>42807.438831018502</v>
      </c>
      <c r="Q4607" s="262">
        <v>80650</v>
      </c>
      <c r="R4607" s="262">
        <v>38000</v>
      </c>
      <c r="S4607" t="s">
        <v>114</v>
      </c>
      <c r="T4607" t="s">
        <v>114</v>
      </c>
      <c r="W4607">
        <v>336</v>
      </c>
      <c r="X4607">
        <v>0</v>
      </c>
      <c r="Y4607">
        <v>0</v>
      </c>
      <c r="Z4607">
        <v>0</v>
      </c>
      <c r="AA4607">
        <v>0</v>
      </c>
      <c r="AB4607">
        <v>0</v>
      </c>
      <c r="AC4607">
        <v>0</v>
      </c>
      <c r="AD4607">
        <v>0</v>
      </c>
      <c r="AE4607">
        <v>0</v>
      </c>
      <c r="AF4607">
        <v>0</v>
      </c>
      <c r="AG4607">
        <v>0</v>
      </c>
      <c r="AH4607">
        <v>0</v>
      </c>
      <c r="AI4607">
        <v>0</v>
      </c>
      <c r="AJ4607">
        <v>0</v>
      </c>
      <c r="AK4607">
        <v>0</v>
      </c>
      <c r="AL4607">
        <v>0</v>
      </c>
      <c r="AM4607">
        <v>336</v>
      </c>
      <c r="AN4607">
        <v>0</v>
      </c>
      <c r="AO4607">
        <v>0</v>
      </c>
      <c r="AP4607">
        <v>0</v>
      </c>
      <c r="AQ4607">
        <v>0</v>
      </c>
      <c r="AR4607">
        <v>0</v>
      </c>
      <c r="AS4607">
        <v>0</v>
      </c>
      <c r="AT4607">
        <v>0</v>
      </c>
      <c r="AU4607">
        <f t="shared" si="142"/>
        <v>0</v>
      </c>
      <c r="AV4607">
        <f t="shared" si="143"/>
        <v>336</v>
      </c>
    </row>
    <row r="4608" spans="1:48" x14ac:dyDescent="0.25">
      <c r="A4608" t="s">
        <v>13234</v>
      </c>
      <c r="B4608" t="s">
        <v>13234</v>
      </c>
      <c r="C4608" t="s">
        <v>13218</v>
      </c>
      <c r="D4608" t="s">
        <v>9496</v>
      </c>
      <c r="E4608" t="s">
        <v>2310</v>
      </c>
      <c r="F4608">
        <v>8</v>
      </c>
      <c r="G4608">
        <v>8.3000000000000007</v>
      </c>
      <c r="H4608" t="s">
        <v>2323</v>
      </c>
      <c r="I4608" s="21">
        <v>42447.575914351903</v>
      </c>
      <c r="J4608">
        <v>2016</v>
      </c>
      <c r="P4608" s="21">
        <v>42807.4389814815</v>
      </c>
      <c r="Q4608" s="262">
        <v>80650</v>
      </c>
      <c r="R4608" s="262">
        <v>38000</v>
      </c>
      <c r="S4608" t="s">
        <v>114</v>
      </c>
      <c r="T4608" t="s">
        <v>114</v>
      </c>
      <c r="W4608">
        <v>336</v>
      </c>
      <c r="X4608">
        <v>0</v>
      </c>
      <c r="Y4608">
        <v>0</v>
      </c>
      <c r="Z4608">
        <v>0</v>
      </c>
      <c r="AA4608">
        <v>0</v>
      </c>
      <c r="AB4608">
        <v>0</v>
      </c>
      <c r="AC4608">
        <v>0</v>
      </c>
      <c r="AD4608">
        <v>0</v>
      </c>
      <c r="AE4608">
        <v>0</v>
      </c>
      <c r="AF4608">
        <v>0</v>
      </c>
      <c r="AG4608">
        <v>0</v>
      </c>
      <c r="AH4608">
        <v>0</v>
      </c>
      <c r="AI4608">
        <v>0</v>
      </c>
      <c r="AJ4608">
        <v>0</v>
      </c>
      <c r="AK4608">
        <v>0</v>
      </c>
      <c r="AL4608">
        <v>0</v>
      </c>
      <c r="AM4608">
        <v>336</v>
      </c>
      <c r="AN4608">
        <v>0</v>
      </c>
      <c r="AO4608">
        <v>0</v>
      </c>
      <c r="AP4608">
        <v>0</v>
      </c>
      <c r="AQ4608">
        <v>0</v>
      </c>
      <c r="AR4608">
        <v>0</v>
      </c>
      <c r="AS4608">
        <v>0</v>
      </c>
      <c r="AT4608">
        <v>0</v>
      </c>
      <c r="AU4608">
        <f t="shared" si="142"/>
        <v>0</v>
      </c>
      <c r="AV4608">
        <f t="shared" si="143"/>
        <v>336</v>
      </c>
    </row>
    <row r="4609" spans="1:48" x14ac:dyDescent="0.25">
      <c r="A4609" t="s">
        <v>13235</v>
      </c>
      <c r="B4609" t="s">
        <v>13235</v>
      </c>
      <c r="C4609" t="s">
        <v>13218</v>
      </c>
      <c r="D4609" t="s">
        <v>9496</v>
      </c>
      <c r="E4609" t="s">
        <v>2310</v>
      </c>
      <c r="F4609">
        <v>8</v>
      </c>
      <c r="G4609">
        <v>8.3000000000000007</v>
      </c>
      <c r="H4609" t="s">
        <v>2323</v>
      </c>
      <c r="I4609" s="21">
        <v>42447.579583333303</v>
      </c>
      <c r="J4609">
        <v>2016</v>
      </c>
      <c r="P4609" s="21">
        <v>42807.439456018503</v>
      </c>
      <c r="Q4609" s="262">
        <v>80650</v>
      </c>
      <c r="R4609" s="262">
        <v>38000</v>
      </c>
      <c r="S4609" t="s">
        <v>114</v>
      </c>
      <c r="T4609" t="s">
        <v>114</v>
      </c>
      <c r="W4609">
        <v>336</v>
      </c>
      <c r="X4609">
        <v>0</v>
      </c>
      <c r="Y4609">
        <v>0</v>
      </c>
      <c r="Z4609">
        <v>0</v>
      </c>
      <c r="AA4609">
        <v>0</v>
      </c>
      <c r="AB4609">
        <v>0</v>
      </c>
      <c r="AC4609">
        <v>0</v>
      </c>
      <c r="AD4609">
        <v>0</v>
      </c>
      <c r="AE4609">
        <v>0</v>
      </c>
      <c r="AF4609">
        <v>0</v>
      </c>
      <c r="AG4609">
        <v>0</v>
      </c>
      <c r="AH4609">
        <v>0</v>
      </c>
      <c r="AI4609">
        <v>0</v>
      </c>
      <c r="AJ4609">
        <v>0</v>
      </c>
      <c r="AK4609">
        <v>0</v>
      </c>
      <c r="AL4609">
        <v>0</v>
      </c>
      <c r="AM4609">
        <v>336</v>
      </c>
      <c r="AN4609">
        <v>0</v>
      </c>
      <c r="AO4609">
        <v>0</v>
      </c>
      <c r="AP4609">
        <v>0</v>
      </c>
      <c r="AQ4609">
        <v>0</v>
      </c>
      <c r="AR4609">
        <v>0</v>
      </c>
      <c r="AS4609">
        <v>0</v>
      </c>
      <c r="AT4609">
        <v>0</v>
      </c>
      <c r="AU4609">
        <f t="shared" si="142"/>
        <v>0</v>
      </c>
      <c r="AV4609">
        <f t="shared" si="143"/>
        <v>336</v>
      </c>
    </row>
    <row r="4610" spans="1:48" x14ac:dyDescent="0.25">
      <c r="A4610" t="s">
        <v>13236</v>
      </c>
      <c r="B4610" t="s">
        <v>13236</v>
      </c>
      <c r="C4610" t="s">
        <v>13218</v>
      </c>
      <c r="D4610" t="s">
        <v>9496</v>
      </c>
      <c r="E4610" t="s">
        <v>2310</v>
      </c>
      <c r="F4610">
        <v>8</v>
      </c>
      <c r="G4610">
        <v>8.3000000000000007</v>
      </c>
      <c r="H4610" t="s">
        <v>2323</v>
      </c>
      <c r="I4610" s="21">
        <v>42447.583206018498</v>
      </c>
      <c r="J4610">
        <v>2016</v>
      </c>
      <c r="P4610" s="21">
        <v>42807.439594907402</v>
      </c>
      <c r="Q4610" s="262">
        <v>80650</v>
      </c>
      <c r="R4610" s="262">
        <v>38000</v>
      </c>
      <c r="S4610" t="s">
        <v>114</v>
      </c>
      <c r="T4610" t="s">
        <v>114</v>
      </c>
      <c r="W4610">
        <v>336</v>
      </c>
      <c r="X4610">
        <v>0</v>
      </c>
      <c r="Y4610">
        <v>0</v>
      </c>
      <c r="Z4610">
        <v>0</v>
      </c>
      <c r="AA4610">
        <v>0</v>
      </c>
      <c r="AB4610">
        <v>0</v>
      </c>
      <c r="AC4610">
        <v>0</v>
      </c>
      <c r="AD4610">
        <v>0</v>
      </c>
      <c r="AE4610">
        <v>0</v>
      </c>
      <c r="AF4610">
        <v>0</v>
      </c>
      <c r="AG4610">
        <v>0</v>
      </c>
      <c r="AH4610">
        <v>0</v>
      </c>
      <c r="AI4610">
        <v>0</v>
      </c>
      <c r="AJ4610">
        <v>0</v>
      </c>
      <c r="AK4610">
        <v>0</v>
      </c>
      <c r="AL4610">
        <v>0</v>
      </c>
      <c r="AM4610">
        <v>336</v>
      </c>
      <c r="AN4610">
        <v>0</v>
      </c>
      <c r="AO4610">
        <v>0</v>
      </c>
      <c r="AP4610">
        <v>0</v>
      </c>
      <c r="AQ4610">
        <v>0</v>
      </c>
      <c r="AR4610">
        <v>0</v>
      </c>
      <c r="AS4610">
        <v>0</v>
      </c>
      <c r="AT4610">
        <v>0</v>
      </c>
      <c r="AU4610">
        <f t="shared" si="142"/>
        <v>0</v>
      </c>
      <c r="AV4610">
        <f t="shared" si="143"/>
        <v>336</v>
      </c>
    </row>
    <row r="4611" spans="1:48" x14ac:dyDescent="0.25">
      <c r="A4611" t="s">
        <v>13237</v>
      </c>
      <c r="B4611" t="s">
        <v>13237</v>
      </c>
      <c r="C4611" t="s">
        <v>13218</v>
      </c>
      <c r="D4611" t="s">
        <v>9496</v>
      </c>
      <c r="E4611" t="s">
        <v>2310</v>
      </c>
      <c r="F4611">
        <v>8</v>
      </c>
      <c r="G4611">
        <v>8.3000000000000007</v>
      </c>
      <c r="H4611" t="s">
        <v>2323</v>
      </c>
      <c r="I4611" s="21">
        <v>42447.595625000002</v>
      </c>
      <c r="J4611">
        <v>2016</v>
      </c>
      <c r="P4611" s="21">
        <v>42807.439733796302</v>
      </c>
      <c r="Q4611" s="262">
        <v>80650</v>
      </c>
      <c r="R4611" s="262">
        <v>38000</v>
      </c>
      <c r="S4611" t="s">
        <v>114</v>
      </c>
      <c r="T4611" t="s">
        <v>114</v>
      </c>
      <c r="W4611">
        <v>336</v>
      </c>
      <c r="X4611">
        <v>0</v>
      </c>
      <c r="Y4611">
        <v>0</v>
      </c>
      <c r="Z4611">
        <v>0</v>
      </c>
      <c r="AA4611">
        <v>0</v>
      </c>
      <c r="AB4611">
        <v>0</v>
      </c>
      <c r="AC4611">
        <v>0</v>
      </c>
      <c r="AD4611">
        <v>0</v>
      </c>
      <c r="AE4611">
        <v>0</v>
      </c>
      <c r="AF4611">
        <v>0</v>
      </c>
      <c r="AG4611">
        <v>0</v>
      </c>
      <c r="AH4611">
        <v>0</v>
      </c>
      <c r="AI4611">
        <v>0</v>
      </c>
      <c r="AJ4611">
        <v>0</v>
      </c>
      <c r="AK4611">
        <v>0</v>
      </c>
      <c r="AL4611">
        <v>0</v>
      </c>
      <c r="AM4611">
        <v>336</v>
      </c>
      <c r="AN4611">
        <v>0</v>
      </c>
      <c r="AO4611">
        <v>0</v>
      </c>
      <c r="AP4611">
        <v>0</v>
      </c>
      <c r="AQ4611">
        <v>0</v>
      </c>
      <c r="AR4611">
        <v>0</v>
      </c>
      <c r="AS4611">
        <v>0</v>
      </c>
      <c r="AT4611">
        <v>0</v>
      </c>
      <c r="AU4611">
        <f t="shared" si="142"/>
        <v>0</v>
      </c>
      <c r="AV4611">
        <f t="shared" si="143"/>
        <v>336</v>
      </c>
    </row>
    <row r="4612" spans="1:48" x14ac:dyDescent="0.25">
      <c r="A4612" t="s">
        <v>13238</v>
      </c>
      <c r="B4612" t="s">
        <v>13238</v>
      </c>
      <c r="C4612" t="s">
        <v>13218</v>
      </c>
      <c r="D4612" t="s">
        <v>9496</v>
      </c>
      <c r="E4612" t="s">
        <v>2310</v>
      </c>
      <c r="F4612">
        <v>8</v>
      </c>
      <c r="G4612">
        <v>8.3000000000000007</v>
      </c>
      <c r="H4612" t="s">
        <v>2323</v>
      </c>
      <c r="I4612" s="21">
        <v>42447.600011574097</v>
      </c>
      <c r="J4612">
        <v>2016</v>
      </c>
      <c r="P4612" s="21">
        <v>42807.439907407403</v>
      </c>
      <c r="Q4612" s="262">
        <v>80650</v>
      </c>
      <c r="R4612" s="262">
        <v>38000</v>
      </c>
      <c r="S4612" t="s">
        <v>114</v>
      </c>
      <c r="T4612" t="s">
        <v>114</v>
      </c>
      <c r="W4612">
        <v>336</v>
      </c>
      <c r="X4612">
        <v>0</v>
      </c>
      <c r="Y4612">
        <v>0</v>
      </c>
      <c r="Z4612">
        <v>0</v>
      </c>
      <c r="AA4612">
        <v>0</v>
      </c>
      <c r="AB4612">
        <v>0</v>
      </c>
      <c r="AC4612">
        <v>0</v>
      </c>
      <c r="AD4612">
        <v>0</v>
      </c>
      <c r="AE4612">
        <v>0</v>
      </c>
      <c r="AF4612">
        <v>0</v>
      </c>
      <c r="AG4612">
        <v>0</v>
      </c>
      <c r="AH4612">
        <v>0</v>
      </c>
      <c r="AI4612">
        <v>0</v>
      </c>
      <c r="AJ4612">
        <v>0</v>
      </c>
      <c r="AK4612">
        <v>0</v>
      </c>
      <c r="AL4612">
        <v>0</v>
      </c>
      <c r="AM4612">
        <v>336</v>
      </c>
      <c r="AN4612">
        <v>0</v>
      </c>
      <c r="AO4612">
        <v>0</v>
      </c>
      <c r="AP4612">
        <v>0</v>
      </c>
      <c r="AQ4612">
        <v>0</v>
      </c>
      <c r="AR4612">
        <v>0</v>
      </c>
      <c r="AS4612">
        <v>0</v>
      </c>
      <c r="AT4612">
        <v>0</v>
      </c>
      <c r="AU4612">
        <f t="shared" si="142"/>
        <v>0</v>
      </c>
      <c r="AV4612">
        <f t="shared" si="143"/>
        <v>336</v>
      </c>
    </row>
    <row r="4613" spans="1:48" x14ac:dyDescent="0.25">
      <c r="A4613" t="s">
        <v>13239</v>
      </c>
      <c r="B4613" t="s">
        <v>13239</v>
      </c>
      <c r="C4613" t="s">
        <v>13218</v>
      </c>
      <c r="D4613" t="s">
        <v>9496</v>
      </c>
      <c r="E4613" t="s">
        <v>2310</v>
      </c>
      <c r="F4613">
        <v>8</v>
      </c>
      <c r="G4613">
        <v>8.3000000000000007</v>
      </c>
      <c r="H4613" t="s">
        <v>2323</v>
      </c>
      <c r="I4613" s="21">
        <v>42447.603715277801</v>
      </c>
      <c r="J4613">
        <v>2016</v>
      </c>
      <c r="P4613" s="21">
        <v>42807.440046296302</v>
      </c>
      <c r="Q4613" s="262">
        <v>80650</v>
      </c>
      <c r="R4613" s="262">
        <v>38000</v>
      </c>
      <c r="S4613" t="s">
        <v>114</v>
      </c>
      <c r="T4613" t="s">
        <v>114</v>
      </c>
      <c r="W4613">
        <v>336</v>
      </c>
      <c r="X4613">
        <v>0</v>
      </c>
      <c r="Y4613">
        <v>0</v>
      </c>
      <c r="Z4613">
        <v>0</v>
      </c>
      <c r="AA4613">
        <v>0</v>
      </c>
      <c r="AB4613">
        <v>0</v>
      </c>
      <c r="AC4613">
        <v>0</v>
      </c>
      <c r="AD4613">
        <v>0</v>
      </c>
      <c r="AE4613">
        <v>0</v>
      </c>
      <c r="AF4613">
        <v>0</v>
      </c>
      <c r="AG4613">
        <v>0</v>
      </c>
      <c r="AH4613">
        <v>0</v>
      </c>
      <c r="AI4613">
        <v>0</v>
      </c>
      <c r="AJ4613">
        <v>0</v>
      </c>
      <c r="AK4613">
        <v>0</v>
      </c>
      <c r="AL4613">
        <v>0</v>
      </c>
      <c r="AM4613">
        <v>336</v>
      </c>
      <c r="AN4613">
        <v>0</v>
      </c>
      <c r="AO4613">
        <v>0</v>
      </c>
      <c r="AP4613">
        <v>0</v>
      </c>
      <c r="AQ4613">
        <v>0</v>
      </c>
      <c r="AR4613">
        <v>0</v>
      </c>
      <c r="AS4613">
        <v>0</v>
      </c>
      <c r="AT4613">
        <v>0</v>
      </c>
      <c r="AU4613">
        <f t="shared" si="142"/>
        <v>0</v>
      </c>
      <c r="AV4613">
        <f t="shared" si="143"/>
        <v>336</v>
      </c>
    </row>
    <row r="4614" spans="1:48" x14ac:dyDescent="0.25">
      <c r="A4614" t="s">
        <v>13240</v>
      </c>
      <c r="B4614" t="s">
        <v>13240</v>
      </c>
      <c r="C4614" t="s">
        <v>13218</v>
      </c>
      <c r="D4614" t="s">
        <v>9496</v>
      </c>
      <c r="E4614" t="s">
        <v>2310</v>
      </c>
      <c r="F4614">
        <v>8</v>
      </c>
      <c r="G4614">
        <v>8.3000000000000007</v>
      </c>
      <c r="H4614" t="s">
        <v>2323</v>
      </c>
      <c r="I4614" s="21">
        <v>42447.607499999998</v>
      </c>
      <c r="J4614">
        <v>2016</v>
      </c>
      <c r="P4614" s="21">
        <v>42807.440381944398</v>
      </c>
      <c r="Q4614" s="262">
        <v>80650</v>
      </c>
      <c r="R4614" s="262">
        <v>38000</v>
      </c>
      <c r="S4614" t="s">
        <v>114</v>
      </c>
      <c r="T4614" t="s">
        <v>114</v>
      </c>
      <c r="W4614">
        <v>336</v>
      </c>
      <c r="X4614">
        <v>0</v>
      </c>
      <c r="Y4614">
        <v>0</v>
      </c>
      <c r="Z4614">
        <v>0</v>
      </c>
      <c r="AA4614">
        <v>0</v>
      </c>
      <c r="AB4614">
        <v>0</v>
      </c>
      <c r="AC4614">
        <v>0</v>
      </c>
      <c r="AD4614">
        <v>0</v>
      </c>
      <c r="AE4614">
        <v>0</v>
      </c>
      <c r="AF4614">
        <v>0</v>
      </c>
      <c r="AG4614">
        <v>0</v>
      </c>
      <c r="AH4614">
        <v>0</v>
      </c>
      <c r="AI4614">
        <v>0</v>
      </c>
      <c r="AJ4614">
        <v>0</v>
      </c>
      <c r="AK4614">
        <v>0</v>
      </c>
      <c r="AL4614">
        <v>0</v>
      </c>
      <c r="AM4614">
        <v>336</v>
      </c>
      <c r="AN4614">
        <v>0</v>
      </c>
      <c r="AO4614">
        <v>0</v>
      </c>
      <c r="AP4614">
        <v>0</v>
      </c>
      <c r="AQ4614">
        <v>0</v>
      </c>
      <c r="AR4614">
        <v>0</v>
      </c>
      <c r="AS4614">
        <v>0</v>
      </c>
      <c r="AT4614">
        <v>0</v>
      </c>
      <c r="AU4614">
        <f t="shared" si="142"/>
        <v>0</v>
      </c>
      <c r="AV4614">
        <f t="shared" si="143"/>
        <v>336</v>
      </c>
    </row>
    <row r="4615" spans="1:48" x14ac:dyDescent="0.25">
      <c r="A4615" t="s">
        <v>13241</v>
      </c>
      <c r="B4615" t="s">
        <v>13241</v>
      </c>
      <c r="C4615" t="s">
        <v>13218</v>
      </c>
      <c r="D4615" t="s">
        <v>9496</v>
      </c>
      <c r="E4615" t="s">
        <v>2310</v>
      </c>
      <c r="F4615">
        <v>8</v>
      </c>
      <c r="G4615">
        <v>8.3000000000000007</v>
      </c>
      <c r="H4615" t="s">
        <v>2323</v>
      </c>
      <c r="I4615" s="21">
        <v>42447.6109953704</v>
      </c>
      <c r="J4615">
        <v>2016</v>
      </c>
      <c r="P4615" s="21">
        <v>42807.440520833297</v>
      </c>
      <c r="Q4615" s="262">
        <v>80650</v>
      </c>
      <c r="R4615" s="262">
        <v>38000</v>
      </c>
      <c r="S4615" t="s">
        <v>114</v>
      </c>
      <c r="T4615" t="s">
        <v>114</v>
      </c>
      <c r="W4615">
        <v>336</v>
      </c>
      <c r="X4615">
        <v>0</v>
      </c>
      <c r="Y4615">
        <v>0</v>
      </c>
      <c r="Z4615">
        <v>0</v>
      </c>
      <c r="AA4615">
        <v>0</v>
      </c>
      <c r="AB4615">
        <v>0</v>
      </c>
      <c r="AC4615">
        <v>0</v>
      </c>
      <c r="AD4615">
        <v>0</v>
      </c>
      <c r="AE4615">
        <v>0</v>
      </c>
      <c r="AF4615">
        <v>0</v>
      </c>
      <c r="AG4615">
        <v>0</v>
      </c>
      <c r="AH4615">
        <v>0</v>
      </c>
      <c r="AI4615">
        <v>0</v>
      </c>
      <c r="AJ4615">
        <v>0</v>
      </c>
      <c r="AK4615">
        <v>0</v>
      </c>
      <c r="AL4615">
        <v>0</v>
      </c>
      <c r="AM4615">
        <v>336</v>
      </c>
      <c r="AN4615">
        <v>0</v>
      </c>
      <c r="AO4615">
        <v>0</v>
      </c>
      <c r="AP4615">
        <v>0</v>
      </c>
      <c r="AQ4615">
        <v>0</v>
      </c>
      <c r="AR4615">
        <v>0</v>
      </c>
      <c r="AS4615">
        <v>0</v>
      </c>
      <c r="AT4615">
        <v>0</v>
      </c>
      <c r="AU4615">
        <f t="shared" si="142"/>
        <v>0</v>
      </c>
      <c r="AV4615">
        <f t="shared" si="143"/>
        <v>336</v>
      </c>
    </row>
    <row r="4616" spans="1:48" x14ac:dyDescent="0.25">
      <c r="A4616" t="s">
        <v>13242</v>
      </c>
      <c r="B4616" t="s">
        <v>13242</v>
      </c>
      <c r="C4616" t="s">
        <v>13218</v>
      </c>
      <c r="D4616" t="s">
        <v>9496</v>
      </c>
      <c r="E4616" t="s">
        <v>2310</v>
      </c>
      <c r="F4616">
        <v>8</v>
      </c>
      <c r="G4616">
        <v>8.3000000000000007</v>
      </c>
      <c r="H4616" t="s">
        <v>2323</v>
      </c>
      <c r="I4616" s="21">
        <v>42447.6149421296</v>
      </c>
      <c r="J4616">
        <v>2016</v>
      </c>
      <c r="P4616" s="21">
        <v>42807.440659722197</v>
      </c>
      <c r="Q4616" s="262">
        <v>80650</v>
      </c>
      <c r="R4616" s="262">
        <v>38000</v>
      </c>
      <c r="S4616" t="s">
        <v>114</v>
      </c>
      <c r="T4616" t="s">
        <v>114</v>
      </c>
      <c r="W4616">
        <v>336</v>
      </c>
      <c r="X4616">
        <v>0</v>
      </c>
      <c r="Y4616">
        <v>0</v>
      </c>
      <c r="Z4616">
        <v>0</v>
      </c>
      <c r="AA4616">
        <v>0</v>
      </c>
      <c r="AB4616">
        <v>0</v>
      </c>
      <c r="AC4616">
        <v>0</v>
      </c>
      <c r="AD4616">
        <v>0</v>
      </c>
      <c r="AE4616">
        <v>0</v>
      </c>
      <c r="AF4616">
        <v>0</v>
      </c>
      <c r="AG4616">
        <v>0</v>
      </c>
      <c r="AH4616">
        <v>0</v>
      </c>
      <c r="AI4616">
        <v>0</v>
      </c>
      <c r="AJ4616">
        <v>0</v>
      </c>
      <c r="AK4616">
        <v>0</v>
      </c>
      <c r="AL4616">
        <v>0</v>
      </c>
      <c r="AM4616">
        <v>336</v>
      </c>
      <c r="AN4616">
        <v>0</v>
      </c>
      <c r="AO4616">
        <v>0</v>
      </c>
      <c r="AP4616">
        <v>0</v>
      </c>
      <c r="AQ4616">
        <v>0</v>
      </c>
      <c r="AR4616">
        <v>0</v>
      </c>
      <c r="AS4616">
        <v>0</v>
      </c>
      <c r="AT4616">
        <v>0</v>
      </c>
      <c r="AU4616">
        <f t="shared" si="142"/>
        <v>0</v>
      </c>
      <c r="AV4616">
        <f t="shared" si="143"/>
        <v>336</v>
      </c>
    </row>
    <row r="4617" spans="1:48" x14ac:dyDescent="0.25">
      <c r="A4617" t="s">
        <v>13243</v>
      </c>
      <c r="B4617" t="s">
        <v>13243</v>
      </c>
      <c r="C4617" t="s">
        <v>13218</v>
      </c>
      <c r="D4617" t="s">
        <v>9496</v>
      </c>
      <c r="E4617" t="s">
        <v>2310</v>
      </c>
      <c r="F4617">
        <v>8</v>
      </c>
      <c r="G4617">
        <v>8.3000000000000007</v>
      </c>
      <c r="H4617" t="s">
        <v>2323</v>
      </c>
      <c r="I4617" s="21">
        <v>42447.6191666667</v>
      </c>
      <c r="J4617">
        <v>2016</v>
      </c>
      <c r="P4617" s="21">
        <v>42807.440810185202</v>
      </c>
      <c r="Q4617" s="262">
        <v>80650</v>
      </c>
      <c r="R4617" s="262">
        <v>38000</v>
      </c>
      <c r="S4617" t="s">
        <v>114</v>
      </c>
      <c r="T4617" t="s">
        <v>114</v>
      </c>
      <c r="W4617">
        <v>336</v>
      </c>
      <c r="X4617">
        <v>0</v>
      </c>
      <c r="Y4617">
        <v>0</v>
      </c>
      <c r="Z4617">
        <v>0</v>
      </c>
      <c r="AA4617">
        <v>0</v>
      </c>
      <c r="AB4617">
        <v>0</v>
      </c>
      <c r="AC4617">
        <v>0</v>
      </c>
      <c r="AD4617">
        <v>0</v>
      </c>
      <c r="AE4617">
        <v>0</v>
      </c>
      <c r="AF4617">
        <v>0</v>
      </c>
      <c r="AG4617">
        <v>0</v>
      </c>
      <c r="AH4617">
        <v>0</v>
      </c>
      <c r="AI4617">
        <v>0</v>
      </c>
      <c r="AJ4617">
        <v>0</v>
      </c>
      <c r="AK4617">
        <v>0</v>
      </c>
      <c r="AL4617">
        <v>0</v>
      </c>
      <c r="AM4617">
        <v>336</v>
      </c>
      <c r="AN4617">
        <v>0</v>
      </c>
      <c r="AO4617">
        <v>0</v>
      </c>
      <c r="AP4617">
        <v>0</v>
      </c>
      <c r="AQ4617">
        <v>0</v>
      </c>
      <c r="AR4617">
        <v>0</v>
      </c>
      <c r="AS4617">
        <v>0</v>
      </c>
      <c r="AT4617">
        <v>0</v>
      </c>
      <c r="AU4617">
        <f t="shared" si="142"/>
        <v>0</v>
      </c>
      <c r="AV4617">
        <f t="shared" si="143"/>
        <v>336</v>
      </c>
    </row>
    <row r="4618" spans="1:48" x14ac:dyDescent="0.25">
      <c r="A4618" t="s">
        <v>13244</v>
      </c>
      <c r="B4618" t="s">
        <v>13244</v>
      </c>
      <c r="C4618" t="s">
        <v>13218</v>
      </c>
      <c r="D4618" t="s">
        <v>9496</v>
      </c>
      <c r="E4618" t="s">
        <v>2310</v>
      </c>
      <c r="F4618">
        <v>8</v>
      </c>
      <c r="G4618">
        <v>8.3000000000000007</v>
      </c>
      <c r="H4618" t="s">
        <v>2323</v>
      </c>
      <c r="I4618" s="21">
        <v>42447.622951388897</v>
      </c>
      <c r="J4618">
        <v>2016</v>
      </c>
      <c r="P4618" s="21">
        <v>42807.440949074102</v>
      </c>
      <c r="Q4618" s="262">
        <v>80650</v>
      </c>
      <c r="R4618" s="262">
        <v>38000</v>
      </c>
      <c r="S4618" t="s">
        <v>114</v>
      </c>
      <c r="T4618" t="s">
        <v>114</v>
      </c>
      <c r="W4618">
        <v>336</v>
      </c>
      <c r="X4618">
        <v>0</v>
      </c>
      <c r="Y4618">
        <v>0</v>
      </c>
      <c r="Z4618">
        <v>0</v>
      </c>
      <c r="AA4618">
        <v>0</v>
      </c>
      <c r="AB4618">
        <v>0</v>
      </c>
      <c r="AC4618">
        <v>0</v>
      </c>
      <c r="AD4618">
        <v>0</v>
      </c>
      <c r="AE4618">
        <v>0</v>
      </c>
      <c r="AF4618">
        <v>0</v>
      </c>
      <c r="AG4618">
        <v>0</v>
      </c>
      <c r="AH4618">
        <v>0</v>
      </c>
      <c r="AI4618">
        <v>0</v>
      </c>
      <c r="AJ4618">
        <v>0</v>
      </c>
      <c r="AK4618">
        <v>0</v>
      </c>
      <c r="AL4618">
        <v>0</v>
      </c>
      <c r="AM4618">
        <v>336</v>
      </c>
      <c r="AN4618">
        <v>0</v>
      </c>
      <c r="AO4618">
        <v>0</v>
      </c>
      <c r="AP4618">
        <v>0</v>
      </c>
      <c r="AQ4618">
        <v>0</v>
      </c>
      <c r="AR4618">
        <v>0</v>
      </c>
      <c r="AS4618">
        <v>0</v>
      </c>
      <c r="AT4618">
        <v>0</v>
      </c>
      <c r="AU4618">
        <f t="shared" si="142"/>
        <v>0</v>
      </c>
      <c r="AV4618">
        <f t="shared" si="143"/>
        <v>336</v>
      </c>
    </row>
    <row r="4619" spans="1:48" x14ac:dyDescent="0.25">
      <c r="A4619" t="s">
        <v>13245</v>
      </c>
      <c r="B4619" t="s">
        <v>13245</v>
      </c>
      <c r="C4619" t="s">
        <v>13218</v>
      </c>
      <c r="D4619" t="s">
        <v>9496</v>
      </c>
      <c r="E4619" t="s">
        <v>2310</v>
      </c>
      <c r="F4619">
        <v>8</v>
      </c>
      <c r="G4619">
        <v>8.3000000000000007</v>
      </c>
      <c r="H4619" t="s">
        <v>2323</v>
      </c>
      <c r="I4619" s="21">
        <v>42447.626585648097</v>
      </c>
      <c r="J4619">
        <v>2016</v>
      </c>
      <c r="P4619" s="21">
        <v>42807.441099536998</v>
      </c>
      <c r="Q4619" s="262">
        <v>80650</v>
      </c>
      <c r="R4619" s="262">
        <v>38000</v>
      </c>
      <c r="S4619" t="s">
        <v>114</v>
      </c>
      <c r="T4619" t="s">
        <v>114</v>
      </c>
      <c r="W4619">
        <v>336</v>
      </c>
      <c r="X4619">
        <v>0</v>
      </c>
      <c r="Y4619">
        <v>0</v>
      </c>
      <c r="Z4619">
        <v>0</v>
      </c>
      <c r="AA4619">
        <v>0</v>
      </c>
      <c r="AB4619">
        <v>0</v>
      </c>
      <c r="AC4619">
        <v>0</v>
      </c>
      <c r="AD4619">
        <v>0</v>
      </c>
      <c r="AE4619">
        <v>0</v>
      </c>
      <c r="AF4619">
        <v>0</v>
      </c>
      <c r="AG4619">
        <v>0</v>
      </c>
      <c r="AH4619">
        <v>0</v>
      </c>
      <c r="AI4619">
        <v>0</v>
      </c>
      <c r="AJ4619">
        <v>0</v>
      </c>
      <c r="AK4619">
        <v>0</v>
      </c>
      <c r="AL4619">
        <v>0</v>
      </c>
      <c r="AM4619">
        <v>336</v>
      </c>
      <c r="AN4619">
        <v>0</v>
      </c>
      <c r="AO4619">
        <v>0</v>
      </c>
      <c r="AP4619">
        <v>0</v>
      </c>
      <c r="AQ4619">
        <v>0</v>
      </c>
      <c r="AR4619">
        <v>0</v>
      </c>
      <c r="AS4619">
        <v>0</v>
      </c>
      <c r="AT4619">
        <v>0</v>
      </c>
      <c r="AU4619">
        <f t="shared" si="142"/>
        <v>0</v>
      </c>
      <c r="AV4619">
        <f t="shared" si="143"/>
        <v>336</v>
      </c>
    </row>
    <row r="4620" spans="1:48" x14ac:dyDescent="0.25">
      <c r="A4620" t="s">
        <v>13246</v>
      </c>
      <c r="B4620" t="s">
        <v>13246</v>
      </c>
      <c r="C4620" t="s">
        <v>13218</v>
      </c>
      <c r="D4620" t="s">
        <v>9496</v>
      </c>
      <c r="E4620" t="s">
        <v>2310</v>
      </c>
      <c r="F4620">
        <v>8</v>
      </c>
      <c r="G4620">
        <v>8.3000000000000007</v>
      </c>
      <c r="H4620" t="s">
        <v>2323</v>
      </c>
      <c r="I4620" s="21">
        <v>42447.630555555603</v>
      </c>
      <c r="J4620">
        <v>2016</v>
      </c>
      <c r="P4620" s="21">
        <v>42807.441238425898</v>
      </c>
      <c r="Q4620" s="262">
        <v>80650</v>
      </c>
      <c r="R4620" s="262">
        <v>38000</v>
      </c>
      <c r="S4620" t="s">
        <v>114</v>
      </c>
      <c r="T4620" t="s">
        <v>114</v>
      </c>
      <c r="W4620">
        <v>336</v>
      </c>
      <c r="X4620">
        <v>0</v>
      </c>
      <c r="Y4620">
        <v>0</v>
      </c>
      <c r="Z4620">
        <v>0</v>
      </c>
      <c r="AA4620">
        <v>0</v>
      </c>
      <c r="AB4620">
        <v>0</v>
      </c>
      <c r="AC4620">
        <v>0</v>
      </c>
      <c r="AD4620">
        <v>0</v>
      </c>
      <c r="AE4620">
        <v>0</v>
      </c>
      <c r="AF4620">
        <v>0</v>
      </c>
      <c r="AG4620">
        <v>0</v>
      </c>
      <c r="AH4620">
        <v>0</v>
      </c>
      <c r="AI4620">
        <v>0</v>
      </c>
      <c r="AJ4620">
        <v>0</v>
      </c>
      <c r="AK4620">
        <v>0</v>
      </c>
      <c r="AL4620">
        <v>0</v>
      </c>
      <c r="AM4620">
        <v>336</v>
      </c>
      <c r="AN4620">
        <v>0</v>
      </c>
      <c r="AO4620">
        <v>0</v>
      </c>
      <c r="AP4620">
        <v>0</v>
      </c>
      <c r="AQ4620">
        <v>0</v>
      </c>
      <c r="AR4620">
        <v>0</v>
      </c>
      <c r="AS4620">
        <v>0</v>
      </c>
      <c r="AT4620">
        <v>0</v>
      </c>
      <c r="AU4620">
        <f t="shared" si="142"/>
        <v>0</v>
      </c>
      <c r="AV4620">
        <f t="shared" si="143"/>
        <v>336</v>
      </c>
    </row>
    <row r="4621" spans="1:48" x14ac:dyDescent="0.25">
      <c r="A4621" t="s">
        <v>13247</v>
      </c>
      <c r="B4621" t="s">
        <v>13247</v>
      </c>
      <c r="C4621" t="s">
        <v>13248</v>
      </c>
      <c r="D4621" t="s">
        <v>7397</v>
      </c>
      <c r="E4621" t="s">
        <v>2310</v>
      </c>
      <c r="F4621">
        <v>15</v>
      </c>
      <c r="G4621">
        <v>15.2</v>
      </c>
      <c r="H4621" t="s">
        <v>2323</v>
      </c>
      <c r="I4621" s="21">
        <v>42447.6613657407</v>
      </c>
      <c r="J4621">
        <v>2016</v>
      </c>
      <c r="K4621" s="21">
        <v>42492.695416666698</v>
      </c>
      <c r="L4621">
        <v>2016</v>
      </c>
      <c r="M4621" s="21">
        <v>42633.705046296302</v>
      </c>
      <c r="N4621">
        <v>2016</v>
      </c>
      <c r="Q4621" s="262">
        <v>200000</v>
      </c>
      <c r="R4621" s="262">
        <v>103000</v>
      </c>
      <c r="S4621" t="s">
        <v>114</v>
      </c>
      <c r="T4621" t="s">
        <v>114</v>
      </c>
      <c r="V4621">
        <v>565</v>
      </c>
      <c r="W4621">
        <v>422</v>
      </c>
      <c r="X4621">
        <v>0</v>
      </c>
      <c r="Y4621">
        <v>0</v>
      </c>
      <c r="Z4621">
        <v>0</v>
      </c>
      <c r="AA4621">
        <v>0</v>
      </c>
      <c r="AB4621">
        <v>0</v>
      </c>
      <c r="AC4621">
        <v>422</v>
      </c>
      <c r="AD4621">
        <v>0</v>
      </c>
      <c r="AE4621">
        <v>0</v>
      </c>
      <c r="AF4621">
        <v>0</v>
      </c>
      <c r="AG4621">
        <v>0</v>
      </c>
      <c r="AH4621">
        <v>0</v>
      </c>
      <c r="AI4621">
        <v>0</v>
      </c>
      <c r="AJ4621">
        <v>0</v>
      </c>
      <c r="AK4621">
        <v>0</v>
      </c>
      <c r="AL4621">
        <v>0</v>
      </c>
      <c r="AM4621">
        <v>0</v>
      </c>
      <c r="AN4621">
        <v>0</v>
      </c>
      <c r="AO4621">
        <v>0</v>
      </c>
      <c r="AP4621">
        <v>0</v>
      </c>
      <c r="AQ4621">
        <v>0</v>
      </c>
      <c r="AR4621">
        <v>0</v>
      </c>
      <c r="AS4621">
        <v>0</v>
      </c>
      <c r="AT4621">
        <v>0</v>
      </c>
      <c r="AU4621">
        <f t="shared" si="142"/>
        <v>0</v>
      </c>
      <c r="AV4621">
        <f t="shared" si="143"/>
        <v>0</v>
      </c>
    </row>
    <row r="4622" spans="1:48" x14ac:dyDescent="0.25">
      <c r="A4622" t="s">
        <v>13073</v>
      </c>
      <c r="B4622" t="s">
        <v>114</v>
      </c>
      <c r="C4622" t="s">
        <v>13074</v>
      </c>
      <c r="D4622" t="s">
        <v>1942</v>
      </c>
      <c r="E4622" t="s">
        <v>1663</v>
      </c>
      <c r="F4622">
        <v>2</v>
      </c>
      <c r="G4622">
        <v>2.2999999999999998</v>
      </c>
      <c r="H4622" t="s">
        <v>2327</v>
      </c>
      <c r="I4622" s="21">
        <v>42451</v>
      </c>
      <c r="J4622">
        <v>2016</v>
      </c>
      <c r="K4622" s="21">
        <v>42515</v>
      </c>
      <c r="L4622">
        <v>2016</v>
      </c>
      <c r="M4622" s="21">
        <v>43082</v>
      </c>
      <c r="N4622">
        <v>2017</v>
      </c>
      <c r="S4622" t="s">
        <v>9529</v>
      </c>
      <c r="T4622">
        <v>12744</v>
      </c>
      <c r="U4622">
        <v>21</v>
      </c>
      <c r="W4622">
        <v>-8363</v>
      </c>
      <c r="X4622">
        <v>-1</v>
      </c>
      <c r="Y4622">
        <v>0</v>
      </c>
      <c r="Z4622">
        <v>0</v>
      </c>
      <c r="AA4622">
        <v>0</v>
      </c>
      <c r="AB4622">
        <v>0</v>
      </c>
      <c r="AC4622">
        <v>0</v>
      </c>
      <c r="AD4622">
        <v>0</v>
      </c>
      <c r="AE4622">
        <v>-448</v>
      </c>
      <c r="AF4622">
        <v>0</v>
      </c>
      <c r="AG4622">
        <v>0</v>
      </c>
      <c r="AH4622">
        <v>0</v>
      </c>
      <c r="AI4622">
        <v>0</v>
      </c>
      <c r="AJ4622">
        <v>-7915</v>
      </c>
      <c r="AK4622">
        <v>0</v>
      </c>
      <c r="AL4622">
        <v>0</v>
      </c>
      <c r="AM4622">
        <v>0</v>
      </c>
      <c r="AN4622">
        <v>0</v>
      </c>
      <c r="AO4622">
        <v>0</v>
      </c>
      <c r="AP4622">
        <v>0</v>
      </c>
      <c r="AQ4622">
        <v>-1</v>
      </c>
      <c r="AR4622">
        <v>0</v>
      </c>
      <c r="AS4622">
        <v>0</v>
      </c>
      <c r="AT4622">
        <v>0</v>
      </c>
      <c r="AU4622">
        <f t="shared" si="142"/>
        <v>-1</v>
      </c>
      <c r="AV4622">
        <f t="shared" si="143"/>
        <v>-7915</v>
      </c>
    </row>
    <row r="4623" spans="1:48" x14ac:dyDescent="0.25">
      <c r="A4623" t="s">
        <v>13073</v>
      </c>
      <c r="B4623" t="s">
        <v>114</v>
      </c>
      <c r="C4623" t="s">
        <v>13074</v>
      </c>
      <c r="D4623" t="s">
        <v>1942</v>
      </c>
      <c r="E4623" t="s">
        <v>1663</v>
      </c>
      <c r="F4623">
        <v>2</v>
      </c>
      <c r="G4623">
        <v>2.2999999999999998</v>
      </c>
      <c r="H4623" t="s">
        <v>2327</v>
      </c>
      <c r="I4623" s="21">
        <v>42451</v>
      </c>
      <c r="J4623">
        <v>2016</v>
      </c>
      <c r="K4623" s="21">
        <v>42515</v>
      </c>
      <c r="L4623">
        <v>2016</v>
      </c>
      <c r="M4623" s="21">
        <v>43082</v>
      </c>
      <c r="N4623">
        <v>2017</v>
      </c>
      <c r="Q4623" s="262">
        <v>3500000</v>
      </c>
      <c r="S4623" t="s">
        <v>12464</v>
      </c>
      <c r="T4623">
        <v>12744</v>
      </c>
      <c r="W4623">
        <v>13652</v>
      </c>
      <c r="X4623">
        <v>0</v>
      </c>
      <c r="Y4623">
        <v>0</v>
      </c>
      <c r="Z4623">
        <v>0</v>
      </c>
      <c r="AA4623">
        <v>0</v>
      </c>
      <c r="AB4623">
        <v>0</v>
      </c>
      <c r="AC4623">
        <v>0</v>
      </c>
      <c r="AD4623">
        <v>0</v>
      </c>
      <c r="AE4623">
        <v>0</v>
      </c>
      <c r="AF4623">
        <v>0</v>
      </c>
      <c r="AG4623">
        <v>0</v>
      </c>
      <c r="AH4623">
        <v>0</v>
      </c>
      <c r="AI4623">
        <v>0</v>
      </c>
      <c r="AJ4623">
        <v>13652</v>
      </c>
      <c r="AK4623">
        <v>0</v>
      </c>
      <c r="AL4623">
        <v>0</v>
      </c>
      <c r="AM4623">
        <v>0</v>
      </c>
      <c r="AN4623">
        <v>0</v>
      </c>
      <c r="AO4623">
        <v>0</v>
      </c>
      <c r="AP4623">
        <v>0</v>
      </c>
      <c r="AQ4623">
        <v>0</v>
      </c>
      <c r="AR4623">
        <v>0</v>
      </c>
      <c r="AS4623">
        <v>0</v>
      </c>
      <c r="AT4623">
        <v>0</v>
      </c>
      <c r="AU4623">
        <f t="shared" si="142"/>
        <v>0</v>
      </c>
      <c r="AV4623">
        <f t="shared" si="143"/>
        <v>13652</v>
      </c>
    </row>
    <row r="4624" spans="1:48" x14ac:dyDescent="0.25">
      <c r="A4624" t="s">
        <v>17832</v>
      </c>
      <c r="B4624" t="s">
        <v>17832</v>
      </c>
      <c r="C4624" t="s">
        <v>17833</v>
      </c>
      <c r="D4624" t="s">
        <v>14436</v>
      </c>
      <c r="E4624" t="s">
        <v>2310</v>
      </c>
      <c r="F4624">
        <v>8</v>
      </c>
      <c r="G4624">
        <v>8.1</v>
      </c>
      <c r="H4624" t="s">
        <v>2323</v>
      </c>
      <c r="I4624" s="21">
        <v>42451.473645833335</v>
      </c>
      <c r="J4624">
        <v>2016</v>
      </c>
      <c r="K4624" s="21">
        <v>43088.470219907409</v>
      </c>
      <c r="L4624">
        <v>2017</v>
      </c>
      <c r="M4624" s="21">
        <v>43088.470219907409</v>
      </c>
      <c r="N4624">
        <v>2017</v>
      </c>
      <c r="Q4624" s="262">
        <v>4200000</v>
      </c>
      <c r="R4624" s="262">
        <v>791000</v>
      </c>
      <c r="S4624" t="s">
        <v>13254</v>
      </c>
      <c r="W4624">
        <v>6278</v>
      </c>
      <c r="X4624">
        <v>1</v>
      </c>
      <c r="Y4624">
        <v>0</v>
      </c>
      <c r="Z4624">
        <v>0</v>
      </c>
      <c r="AA4624">
        <v>0</v>
      </c>
      <c r="AB4624">
        <v>0</v>
      </c>
      <c r="AC4624">
        <v>6278</v>
      </c>
      <c r="AD4624">
        <v>0</v>
      </c>
      <c r="AE4624">
        <v>0</v>
      </c>
      <c r="AF4624">
        <v>0</v>
      </c>
      <c r="AG4624">
        <v>0</v>
      </c>
      <c r="AH4624">
        <v>0</v>
      </c>
      <c r="AI4624">
        <v>0</v>
      </c>
      <c r="AJ4624">
        <v>0</v>
      </c>
      <c r="AK4624">
        <v>0</v>
      </c>
      <c r="AL4624">
        <v>0</v>
      </c>
      <c r="AM4624">
        <v>0</v>
      </c>
      <c r="AN4624">
        <v>0</v>
      </c>
      <c r="AO4624">
        <v>1</v>
      </c>
      <c r="AP4624">
        <v>0</v>
      </c>
      <c r="AQ4624">
        <v>0</v>
      </c>
      <c r="AR4624">
        <v>0</v>
      </c>
      <c r="AS4624">
        <v>0</v>
      </c>
      <c r="AT4624">
        <v>0</v>
      </c>
      <c r="AU4624">
        <f t="shared" si="142"/>
        <v>1</v>
      </c>
      <c r="AV4624">
        <f t="shared" si="143"/>
        <v>0</v>
      </c>
    </row>
    <row r="4625" spans="1:48" x14ac:dyDescent="0.25">
      <c r="A4625" t="s">
        <v>17834</v>
      </c>
      <c r="B4625" t="s">
        <v>17834</v>
      </c>
      <c r="C4625" t="s">
        <v>13419</v>
      </c>
      <c r="D4625" t="s">
        <v>17835</v>
      </c>
      <c r="E4625" t="s">
        <v>2310</v>
      </c>
      <c r="F4625">
        <v>10</v>
      </c>
      <c r="G4625">
        <v>10.1</v>
      </c>
      <c r="H4625" t="s">
        <v>2323</v>
      </c>
      <c r="I4625" s="21">
        <v>42451.608229166668</v>
      </c>
      <c r="J4625">
        <v>2016</v>
      </c>
      <c r="K4625" s="21">
        <v>42893.56177083333</v>
      </c>
      <c r="L4625">
        <v>2017</v>
      </c>
      <c r="M4625" s="21">
        <v>42893.56177083333</v>
      </c>
      <c r="N4625">
        <v>2017</v>
      </c>
      <c r="Q4625" s="262">
        <v>1428443</v>
      </c>
      <c r="R4625" s="262">
        <v>486000</v>
      </c>
      <c r="S4625" t="s">
        <v>13254</v>
      </c>
      <c r="W4625">
        <v>4486</v>
      </c>
      <c r="X4625">
        <v>1</v>
      </c>
      <c r="Y4625">
        <v>0</v>
      </c>
      <c r="Z4625">
        <v>0</v>
      </c>
      <c r="AA4625">
        <v>0</v>
      </c>
      <c r="AB4625">
        <v>0</v>
      </c>
      <c r="AC4625">
        <v>4486</v>
      </c>
      <c r="AD4625">
        <v>0</v>
      </c>
      <c r="AE4625">
        <v>0</v>
      </c>
      <c r="AF4625">
        <v>0</v>
      </c>
      <c r="AG4625">
        <v>0</v>
      </c>
      <c r="AH4625">
        <v>0</v>
      </c>
      <c r="AI4625">
        <v>0</v>
      </c>
      <c r="AJ4625">
        <v>0</v>
      </c>
      <c r="AK4625">
        <v>0</v>
      </c>
      <c r="AL4625">
        <v>0</v>
      </c>
      <c r="AM4625">
        <v>0</v>
      </c>
      <c r="AN4625">
        <v>0</v>
      </c>
      <c r="AO4625">
        <v>1</v>
      </c>
      <c r="AP4625">
        <v>0</v>
      </c>
      <c r="AQ4625">
        <v>0</v>
      </c>
      <c r="AR4625">
        <v>0</v>
      </c>
      <c r="AS4625">
        <v>0</v>
      </c>
      <c r="AT4625">
        <v>0</v>
      </c>
      <c r="AU4625">
        <f t="shared" si="142"/>
        <v>1</v>
      </c>
      <c r="AV4625">
        <f t="shared" si="143"/>
        <v>0</v>
      </c>
    </row>
    <row r="4626" spans="1:48" x14ac:dyDescent="0.25">
      <c r="A4626" t="s">
        <v>18674</v>
      </c>
      <c r="B4626" t="s">
        <v>18674</v>
      </c>
      <c r="C4626" t="s">
        <v>18675</v>
      </c>
      <c r="D4626" t="s">
        <v>6535</v>
      </c>
      <c r="E4626" t="s">
        <v>2310</v>
      </c>
      <c r="F4626">
        <v>13</v>
      </c>
      <c r="G4626">
        <v>13.3</v>
      </c>
      <c r="H4626" t="s">
        <v>2017</v>
      </c>
      <c r="I4626" s="21">
        <v>42452.458414351851</v>
      </c>
      <c r="J4626">
        <v>2016</v>
      </c>
      <c r="K4626" s="21">
        <v>43105.480879629627</v>
      </c>
      <c r="L4626">
        <v>2018</v>
      </c>
      <c r="M4626" s="21">
        <v>43139.43136574074</v>
      </c>
      <c r="N4626">
        <v>2018</v>
      </c>
      <c r="Q4626" s="262">
        <v>880000</v>
      </c>
      <c r="R4626" s="262">
        <v>235000</v>
      </c>
      <c r="S4626" t="s">
        <v>13253</v>
      </c>
      <c r="T4626">
        <v>6866</v>
      </c>
      <c r="W4626">
        <v>2271</v>
      </c>
      <c r="X4626">
        <v>0</v>
      </c>
      <c r="Y4626">
        <v>0</v>
      </c>
      <c r="Z4626">
        <v>0</v>
      </c>
      <c r="AA4626">
        <v>0</v>
      </c>
      <c r="AB4626">
        <v>0</v>
      </c>
      <c r="AC4626">
        <v>2271</v>
      </c>
      <c r="AD4626">
        <v>0</v>
      </c>
      <c r="AE4626">
        <v>0</v>
      </c>
      <c r="AF4626">
        <v>0</v>
      </c>
      <c r="AG4626">
        <v>0</v>
      </c>
      <c r="AH4626">
        <v>0</v>
      </c>
      <c r="AI4626">
        <v>0</v>
      </c>
      <c r="AJ4626">
        <v>0</v>
      </c>
      <c r="AK4626">
        <v>0</v>
      </c>
      <c r="AL4626">
        <v>0</v>
      </c>
      <c r="AM4626">
        <v>0</v>
      </c>
      <c r="AN4626">
        <v>0</v>
      </c>
      <c r="AO4626">
        <v>0</v>
      </c>
      <c r="AP4626">
        <v>0</v>
      </c>
      <c r="AQ4626">
        <v>0</v>
      </c>
      <c r="AR4626">
        <v>0</v>
      </c>
      <c r="AS4626">
        <v>0</v>
      </c>
      <c r="AT4626">
        <v>0</v>
      </c>
      <c r="AU4626">
        <f t="shared" si="142"/>
        <v>0</v>
      </c>
      <c r="AV4626">
        <f t="shared" si="143"/>
        <v>0</v>
      </c>
    </row>
    <row r="4627" spans="1:48" x14ac:dyDescent="0.25">
      <c r="A4627" t="s">
        <v>17836</v>
      </c>
      <c r="B4627" t="s">
        <v>17836</v>
      </c>
      <c r="C4627" t="s">
        <v>17837</v>
      </c>
      <c r="D4627" t="s">
        <v>17838</v>
      </c>
      <c r="E4627" t="s">
        <v>2310</v>
      </c>
      <c r="F4627">
        <v>9</v>
      </c>
      <c r="G4627">
        <v>9.1</v>
      </c>
      <c r="H4627" t="s">
        <v>2323</v>
      </c>
      <c r="I4627" s="21">
        <v>42452.608148148145</v>
      </c>
      <c r="J4627">
        <v>2016</v>
      </c>
      <c r="K4627" s="21">
        <v>43090.48542824074</v>
      </c>
      <c r="L4627">
        <v>2017</v>
      </c>
      <c r="M4627" s="21">
        <v>43090.48542824074</v>
      </c>
      <c r="N4627">
        <v>2017</v>
      </c>
      <c r="Q4627" s="262">
        <v>1395000</v>
      </c>
      <c r="R4627" s="262">
        <v>388000</v>
      </c>
      <c r="S4627" t="s">
        <v>13254</v>
      </c>
      <c r="W4627">
        <v>3625</v>
      </c>
      <c r="X4627">
        <v>1</v>
      </c>
      <c r="Y4627">
        <v>0</v>
      </c>
      <c r="Z4627">
        <v>0</v>
      </c>
      <c r="AA4627">
        <v>0</v>
      </c>
      <c r="AB4627">
        <v>0</v>
      </c>
      <c r="AC4627">
        <v>3625</v>
      </c>
      <c r="AD4627">
        <v>0</v>
      </c>
      <c r="AE4627">
        <v>0</v>
      </c>
      <c r="AF4627">
        <v>0</v>
      </c>
      <c r="AG4627">
        <v>0</v>
      </c>
      <c r="AH4627">
        <v>0</v>
      </c>
      <c r="AI4627">
        <v>0</v>
      </c>
      <c r="AJ4627">
        <v>0</v>
      </c>
      <c r="AK4627">
        <v>0</v>
      </c>
      <c r="AL4627">
        <v>0</v>
      </c>
      <c r="AM4627">
        <v>0</v>
      </c>
      <c r="AN4627">
        <v>0</v>
      </c>
      <c r="AO4627">
        <v>1</v>
      </c>
      <c r="AP4627">
        <v>0</v>
      </c>
      <c r="AQ4627">
        <v>0</v>
      </c>
      <c r="AR4627">
        <v>0</v>
      </c>
      <c r="AS4627">
        <v>0</v>
      </c>
      <c r="AT4627">
        <v>0</v>
      </c>
      <c r="AU4627">
        <f t="shared" si="142"/>
        <v>1</v>
      </c>
      <c r="AV4627">
        <f t="shared" si="143"/>
        <v>0</v>
      </c>
    </row>
    <row r="4628" spans="1:48" x14ac:dyDescent="0.25">
      <c r="A4628" t="s">
        <v>17839</v>
      </c>
      <c r="B4628" t="s">
        <v>17839</v>
      </c>
      <c r="C4628" t="s">
        <v>17840</v>
      </c>
      <c r="D4628" t="s">
        <v>17841</v>
      </c>
      <c r="E4628" t="s">
        <v>2310</v>
      </c>
      <c r="F4628">
        <v>15</v>
      </c>
      <c r="G4628">
        <v>15.2</v>
      </c>
      <c r="H4628" t="s">
        <v>2323</v>
      </c>
      <c r="I4628" s="21">
        <v>42453.479756944442</v>
      </c>
      <c r="J4628">
        <v>2016</v>
      </c>
      <c r="K4628" s="21">
        <v>42916.414606481485</v>
      </c>
      <c r="L4628">
        <v>2017</v>
      </c>
      <c r="M4628" s="21">
        <v>42916.414606481485</v>
      </c>
      <c r="N4628">
        <v>2017</v>
      </c>
      <c r="Q4628" s="262">
        <v>1300000</v>
      </c>
      <c r="R4628" s="262">
        <v>349000</v>
      </c>
      <c r="S4628" t="s">
        <v>13254</v>
      </c>
      <c r="W4628">
        <v>2849</v>
      </c>
      <c r="X4628">
        <v>1</v>
      </c>
      <c r="Y4628">
        <v>0</v>
      </c>
      <c r="Z4628">
        <v>0</v>
      </c>
      <c r="AA4628">
        <v>0</v>
      </c>
      <c r="AB4628">
        <v>0</v>
      </c>
      <c r="AC4628">
        <v>2849</v>
      </c>
      <c r="AD4628">
        <v>0</v>
      </c>
      <c r="AE4628">
        <v>0</v>
      </c>
      <c r="AF4628">
        <v>0</v>
      </c>
      <c r="AG4628">
        <v>0</v>
      </c>
      <c r="AH4628">
        <v>0</v>
      </c>
      <c r="AI4628">
        <v>0</v>
      </c>
      <c r="AJ4628">
        <v>0</v>
      </c>
      <c r="AK4628">
        <v>0</v>
      </c>
      <c r="AL4628">
        <v>0</v>
      </c>
      <c r="AM4628">
        <v>0</v>
      </c>
      <c r="AN4628">
        <v>0</v>
      </c>
      <c r="AO4628">
        <v>1</v>
      </c>
      <c r="AP4628">
        <v>0</v>
      </c>
      <c r="AQ4628">
        <v>0</v>
      </c>
      <c r="AR4628">
        <v>0</v>
      </c>
      <c r="AS4628">
        <v>0</v>
      </c>
      <c r="AT4628">
        <v>0</v>
      </c>
      <c r="AU4628">
        <f t="shared" si="142"/>
        <v>1</v>
      </c>
      <c r="AV4628">
        <f t="shared" si="143"/>
        <v>0</v>
      </c>
    </row>
    <row r="4629" spans="1:48" x14ac:dyDescent="0.25">
      <c r="A4629" t="s">
        <v>17842</v>
      </c>
      <c r="B4629" t="s">
        <v>17842</v>
      </c>
      <c r="C4629" t="s">
        <v>17843</v>
      </c>
      <c r="D4629" t="s">
        <v>17841</v>
      </c>
      <c r="E4629" t="s">
        <v>2310</v>
      </c>
      <c r="F4629">
        <v>15</v>
      </c>
      <c r="G4629">
        <v>15.2</v>
      </c>
      <c r="H4629" t="s">
        <v>2323</v>
      </c>
      <c r="I4629" s="21">
        <v>42453.530451388891</v>
      </c>
      <c r="J4629">
        <v>2016</v>
      </c>
      <c r="K4629" s="21">
        <v>42916.408078703702</v>
      </c>
      <c r="L4629">
        <v>2017</v>
      </c>
      <c r="M4629" s="21">
        <v>42916.408078703702</v>
      </c>
      <c r="N4629">
        <v>2017</v>
      </c>
      <c r="Q4629" s="262">
        <v>300000</v>
      </c>
      <c r="R4629" s="262">
        <v>60000</v>
      </c>
      <c r="S4629" t="s">
        <v>13254</v>
      </c>
      <c r="W4629">
        <v>1368</v>
      </c>
      <c r="X4629">
        <v>0</v>
      </c>
      <c r="Y4629">
        <v>0</v>
      </c>
      <c r="Z4629">
        <v>0</v>
      </c>
      <c r="AA4629">
        <v>0</v>
      </c>
      <c r="AB4629">
        <v>0</v>
      </c>
      <c r="AC4629">
        <v>1368</v>
      </c>
      <c r="AD4629">
        <v>0</v>
      </c>
      <c r="AE4629">
        <v>0</v>
      </c>
      <c r="AF4629">
        <v>0</v>
      </c>
      <c r="AG4629">
        <v>0</v>
      </c>
      <c r="AH4629">
        <v>0</v>
      </c>
      <c r="AI4629">
        <v>0</v>
      </c>
      <c r="AJ4629">
        <v>0</v>
      </c>
      <c r="AK4629">
        <v>0</v>
      </c>
      <c r="AL4629">
        <v>0</v>
      </c>
      <c r="AM4629">
        <v>0</v>
      </c>
      <c r="AN4629">
        <v>0</v>
      </c>
      <c r="AO4629">
        <v>0</v>
      </c>
      <c r="AP4629">
        <v>0</v>
      </c>
      <c r="AQ4629">
        <v>0</v>
      </c>
      <c r="AR4629">
        <v>0</v>
      </c>
      <c r="AS4629">
        <v>0</v>
      </c>
      <c r="AT4629">
        <v>0</v>
      </c>
      <c r="AU4629">
        <f t="shared" si="142"/>
        <v>0</v>
      </c>
      <c r="AV4629">
        <f t="shared" si="143"/>
        <v>0</v>
      </c>
    </row>
    <row r="4630" spans="1:48" x14ac:dyDescent="0.25">
      <c r="A4630" t="s">
        <v>13695</v>
      </c>
      <c r="C4630" t="s">
        <v>13696</v>
      </c>
      <c r="D4630" t="s">
        <v>13153</v>
      </c>
      <c r="E4630" t="s">
        <v>1663</v>
      </c>
      <c r="F4630">
        <v>5</v>
      </c>
      <c r="G4630">
        <v>5.2</v>
      </c>
      <c r="H4630" t="s">
        <v>2327</v>
      </c>
      <c r="I4630" s="21">
        <v>42454</v>
      </c>
      <c r="J4630">
        <v>2016</v>
      </c>
      <c r="K4630" s="21">
        <v>42534</v>
      </c>
      <c r="L4630">
        <v>2016</v>
      </c>
      <c r="M4630" s="21">
        <v>42857</v>
      </c>
      <c r="N4630">
        <v>2017</v>
      </c>
      <c r="Q4630" s="262">
        <v>600000</v>
      </c>
      <c r="S4630" t="s">
        <v>114</v>
      </c>
      <c r="T4630" t="s">
        <v>114</v>
      </c>
      <c r="W4630">
        <v>0</v>
      </c>
      <c r="X4630">
        <v>0</v>
      </c>
      <c r="Y4630">
        <v>0</v>
      </c>
      <c r="Z4630">
        <v>0</v>
      </c>
      <c r="AA4630">
        <v>0</v>
      </c>
      <c r="AB4630">
        <v>0</v>
      </c>
      <c r="AC4630">
        <v>0</v>
      </c>
      <c r="AD4630">
        <v>0</v>
      </c>
      <c r="AE4630">
        <v>0</v>
      </c>
      <c r="AF4630">
        <v>0</v>
      </c>
      <c r="AG4630">
        <v>0</v>
      </c>
      <c r="AH4630">
        <v>0</v>
      </c>
      <c r="AI4630">
        <v>0</v>
      </c>
      <c r="AJ4630">
        <v>0</v>
      </c>
      <c r="AK4630">
        <v>0</v>
      </c>
      <c r="AL4630">
        <v>0</v>
      </c>
      <c r="AM4630">
        <v>0</v>
      </c>
      <c r="AN4630">
        <v>0</v>
      </c>
      <c r="AO4630">
        <v>0</v>
      </c>
      <c r="AP4630">
        <v>0</v>
      </c>
      <c r="AQ4630">
        <v>0</v>
      </c>
      <c r="AR4630">
        <v>0</v>
      </c>
      <c r="AS4630">
        <v>0</v>
      </c>
      <c r="AT4630">
        <v>0</v>
      </c>
      <c r="AU4630">
        <f t="shared" si="142"/>
        <v>0</v>
      </c>
      <c r="AV4630">
        <f t="shared" si="143"/>
        <v>0</v>
      </c>
    </row>
    <row r="4631" spans="1:48" x14ac:dyDescent="0.25">
      <c r="A4631" t="s">
        <v>14158</v>
      </c>
      <c r="C4631" t="s">
        <v>14159</v>
      </c>
      <c r="D4631" t="s">
        <v>13153</v>
      </c>
      <c r="E4631" t="s">
        <v>1663</v>
      </c>
      <c r="F4631">
        <v>5</v>
      </c>
      <c r="G4631">
        <v>5.2</v>
      </c>
      <c r="H4631" t="s">
        <v>2327</v>
      </c>
      <c r="I4631" s="21">
        <v>42454</v>
      </c>
      <c r="J4631">
        <v>2016</v>
      </c>
      <c r="K4631" s="21">
        <v>42534</v>
      </c>
      <c r="L4631">
        <v>2016</v>
      </c>
      <c r="M4631" s="21">
        <v>43025</v>
      </c>
      <c r="N4631">
        <v>2017</v>
      </c>
      <c r="Q4631" s="262">
        <v>925000</v>
      </c>
      <c r="S4631" t="s">
        <v>114</v>
      </c>
      <c r="T4631" t="s">
        <v>114</v>
      </c>
      <c r="W4631">
        <v>0</v>
      </c>
      <c r="X4631">
        <v>0</v>
      </c>
      <c r="Y4631">
        <v>0</v>
      </c>
      <c r="Z4631">
        <v>0</v>
      </c>
      <c r="AA4631">
        <v>0</v>
      </c>
      <c r="AB4631">
        <v>0</v>
      </c>
      <c r="AC4631">
        <v>0</v>
      </c>
      <c r="AD4631">
        <v>0</v>
      </c>
      <c r="AE4631">
        <v>0</v>
      </c>
      <c r="AF4631">
        <v>0</v>
      </c>
      <c r="AG4631">
        <v>0</v>
      </c>
      <c r="AH4631">
        <v>0</v>
      </c>
      <c r="AI4631">
        <v>0</v>
      </c>
      <c r="AJ4631">
        <v>0</v>
      </c>
      <c r="AK4631">
        <v>0</v>
      </c>
      <c r="AL4631">
        <v>0</v>
      </c>
      <c r="AM4631">
        <v>0</v>
      </c>
      <c r="AN4631">
        <v>0</v>
      </c>
      <c r="AO4631">
        <v>0</v>
      </c>
      <c r="AP4631">
        <v>0</v>
      </c>
      <c r="AQ4631">
        <v>0</v>
      </c>
      <c r="AR4631">
        <v>0</v>
      </c>
      <c r="AS4631">
        <v>0</v>
      </c>
      <c r="AT4631">
        <v>0</v>
      </c>
      <c r="AU4631">
        <f t="shared" si="142"/>
        <v>0</v>
      </c>
      <c r="AV4631">
        <f t="shared" si="143"/>
        <v>0</v>
      </c>
    </row>
    <row r="4632" spans="1:48" x14ac:dyDescent="0.25">
      <c r="A4632" t="s">
        <v>18190</v>
      </c>
      <c r="B4632" t="s">
        <v>18190</v>
      </c>
      <c r="C4632" t="s">
        <v>18191</v>
      </c>
      <c r="D4632" t="s">
        <v>18192</v>
      </c>
      <c r="E4632" t="s">
        <v>2310</v>
      </c>
      <c r="F4632">
        <v>13</v>
      </c>
      <c r="G4632">
        <v>13.2</v>
      </c>
      <c r="H4632" t="s">
        <v>2327</v>
      </c>
      <c r="I4632" s="21">
        <v>42454.46366898148</v>
      </c>
      <c r="J4632">
        <v>2016</v>
      </c>
      <c r="K4632" s="21">
        <v>42534.383032407408</v>
      </c>
      <c r="L4632">
        <v>2016</v>
      </c>
      <c r="M4632" s="21">
        <v>43322.447665624997</v>
      </c>
      <c r="N4632">
        <v>2018</v>
      </c>
      <c r="Q4632" s="262">
        <v>4500000</v>
      </c>
      <c r="R4632" s="262">
        <v>1619000</v>
      </c>
      <c r="S4632" t="s">
        <v>13254</v>
      </c>
      <c r="W4632">
        <v>10754</v>
      </c>
      <c r="X4632">
        <v>1</v>
      </c>
      <c r="Y4632">
        <v>0</v>
      </c>
      <c r="Z4632">
        <v>0</v>
      </c>
      <c r="AA4632">
        <v>0</v>
      </c>
      <c r="AB4632">
        <v>0</v>
      </c>
      <c r="AC4632">
        <v>10754</v>
      </c>
      <c r="AD4632">
        <v>0</v>
      </c>
      <c r="AE4632">
        <v>0</v>
      </c>
      <c r="AF4632">
        <v>0</v>
      </c>
      <c r="AG4632">
        <v>0</v>
      </c>
      <c r="AH4632">
        <v>0</v>
      </c>
      <c r="AI4632">
        <v>0</v>
      </c>
      <c r="AJ4632">
        <v>0</v>
      </c>
      <c r="AK4632">
        <v>0</v>
      </c>
      <c r="AL4632">
        <v>0</v>
      </c>
      <c r="AM4632">
        <v>0</v>
      </c>
      <c r="AN4632">
        <v>0</v>
      </c>
      <c r="AO4632">
        <v>1</v>
      </c>
      <c r="AP4632">
        <v>0</v>
      </c>
      <c r="AQ4632">
        <v>0</v>
      </c>
      <c r="AR4632">
        <v>0</v>
      </c>
      <c r="AS4632">
        <v>0</v>
      </c>
      <c r="AT4632">
        <v>0</v>
      </c>
      <c r="AU4632">
        <f t="shared" si="142"/>
        <v>1</v>
      </c>
      <c r="AV4632">
        <f t="shared" si="143"/>
        <v>0</v>
      </c>
    </row>
    <row r="4633" spans="1:48" x14ac:dyDescent="0.25">
      <c r="A4633" t="s">
        <v>18193</v>
      </c>
      <c r="B4633" t="s">
        <v>18193</v>
      </c>
      <c r="C4633" t="s">
        <v>18194</v>
      </c>
      <c r="D4633" t="s">
        <v>18192</v>
      </c>
      <c r="E4633" t="s">
        <v>2310</v>
      </c>
      <c r="F4633">
        <v>13</v>
      </c>
      <c r="G4633">
        <v>13.2</v>
      </c>
      <c r="H4633" t="s">
        <v>2327</v>
      </c>
      <c r="I4633" s="21">
        <v>42454.489224537036</v>
      </c>
      <c r="J4633">
        <v>2016</v>
      </c>
      <c r="K4633" s="21">
        <v>42534.380370370367</v>
      </c>
      <c r="L4633">
        <v>2016</v>
      </c>
      <c r="M4633" s="21">
        <v>43322.448896562499</v>
      </c>
      <c r="N4633">
        <v>2018</v>
      </c>
      <c r="Q4633" s="262">
        <v>350000</v>
      </c>
      <c r="R4633" s="262">
        <v>116000</v>
      </c>
      <c r="S4633" t="s">
        <v>13254</v>
      </c>
      <c r="W4633">
        <v>999</v>
      </c>
      <c r="X4633">
        <v>1</v>
      </c>
      <c r="Y4633">
        <v>0</v>
      </c>
      <c r="Z4633">
        <v>0</v>
      </c>
      <c r="AA4633">
        <v>0</v>
      </c>
      <c r="AB4633">
        <v>0</v>
      </c>
      <c r="AC4633">
        <v>0</v>
      </c>
      <c r="AD4633">
        <v>0</v>
      </c>
      <c r="AE4633">
        <v>0</v>
      </c>
      <c r="AF4633">
        <v>999</v>
      </c>
      <c r="AG4633">
        <v>0</v>
      </c>
      <c r="AH4633">
        <v>0</v>
      </c>
      <c r="AI4633">
        <v>0</v>
      </c>
      <c r="AJ4633">
        <v>0</v>
      </c>
      <c r="AK4633">
        <v>0</v>
      </c>
      <c r="AL4633">
        <v>0</v>
      </c>
      <c r="AM4633">
        <v>0</v>
      </c>
      <c r="AN4633">
        <v>0</v>
      </c>
      <c r="AO4633">
        <v>0</v>
      </c>
      <c r="AP4633">
        <v>0</v>
      </c>
      <c r="AQ4633">
        <v>0</v>
      </c>
      <c r="AR4633">
        <v>1</v>
      </c>
      <c r="AS4633">
        <v>0</v>
      </c>
      <c r="AT4633">
        <v>0</v>
      </c>
      <c r="AU4633">
        <f t="shared" ref="AU4633:AU4696" si="144">SUM(AN4633:AQ4633,AS4633)</f>
        <v>0</v>
      </c>
      <c r="AV4633">
        <f t="shared" ref="AV4633:AV4696" si="145">SUM(Y4633:AB4633,AH4633:AM4633)</f>
        <v>0</v>
      </c>
    </row>
    <row r="4634" spans="1:48" x14ac:dyDescent="0.25">
      <c r="A4634" t="s">
        <v>16982</v>
      </c>
      <c r="B4634" t="s">
        <v>16982</v>
      </c>
      <c r="C4634" t="s">
        <v>16983</v>
      </c>
      <c r="D4634" t="s">
        <v>4331</v>
      </c>
      <c r="E4634" t="s">
        <v>2310</v>
      </c>
      <c r="F4634">
        <v>8</v>
      </c>
      <c r="G4634">
        <v>8.1999999999999993</v>
      </c>
      <c r="H4634" t="s">
        <v>2022</v>
      </c>
      <c r="I4634" s="21">
        <v>42454.522256944401</v>
      </c>
      <c r="J4634">
        <v>2016</v>
      </c>
      <c r="K4634" s="21">
        <v>42604.424456018503</v>
      </c>
      <c r="L4634">
        <v>2016</v>
      </c>
      <c r="M4634" s="21">
        <v>43130.457685185203</v>
      </c>
      <c r="N4634">
        <v>2018</v>
      </c>
      <c r="S4634" t="s">
        <v>9529</v>
      </c>
      <c r="T4634">
        <v>6553</v>
      </c>
      <c r="U4634">
        <v>5</v>
      </c>
      <c r="W4634">
        <v>-3044</v>
      </c>
      <c r="X4634">
        <v>-1</v>
      </c>
      <c r="Y4634">
        <v>0</v>
      </c>
      <c r="Z4634">
        <v>0</v>
      </c>
      <c r="AA4634">
        <v>0</v>
      </c>
      <c r="AB4634">
        <v>0</v>
      </c>
      <c r="AC4634">
        <v>-3044</v>
      </c>
      <c r="AD4634">
        <v>0</v>
      </c>
      <c r="AE4634">
        <v>0</v>
      </c>
      <c r="AF4634">
        <v>0</v>
      </c>
      <c r="AG4634">
        <v>0</v>
      </c>
      <c r="AH4634">
        <v>0</v>
      </c>
      <c r="AI4634">
        <v>0</v>
      </c>
      <c r="AJ4634">
        <v>0</v>
      </c>
      <c r="AK4634">
        <v>0</v>
      </c>
      <c r="AL4634">
        <v>0</v>
      </c>
      <c r="AM4634">
        <v>0</v>
      </c>
      <c r="AN4634">
        <v>0</v>
      </c>
      <c r="AO4634">
        <v>-1</v>
      </c>
      <c r="AP4634">
        <v>0</v>
      </c>
      <c r="AQ4634">
        <v>0</v>
      </c>
      <c r="AR4634">
        <v>0</v>
      </c>
      <c r="AS4634">
        <v>0</v>
      </c>
      <c r="AT4634">
        <v>0</v>
      </c>
      <c r="AU4634">
        <f t="shared" si="144"/>
        <v>-1</v>
      </c>
      <c r="AV4634">
        <f t="shared" si="145"/>
        <v>0</v>
      </c>
    </row>
    <row r="4635" spans="1:48" x14ac:dyDescent="0.25">
      <c r="A4635" t="s">
        <v>16982</v>
      </c>
      <c r="B4635" t="s">
        <v>16982</v>
      </c>
      <c r="C4635" t="s">
        <v>16983</v>
      </c>
      <c r="D4635" t="s">
        <v>4331</v>
      </c>
      <c r="E4635" t="s">
        <v>2310</v>
      </c>
      <c r="F4635">
        <v>8</v>
      </c>
      <c r="G4635">
        <v>8.1999999999999993</v>
      </c>
      <c r="H4635" t="s">
        <v>2022</v>
      </c>
      <c r="I4635" s="21">
        <v>42454.522256944445</v>
      </c>
      <c r="J4635">
        <v>2016</v>
      </c>
      <c r="K4635" s="21">
        <v>42604.424456018518</v>
      </c>
      <c r="L4635">
        <v>2016</v>
      </c>
      <c r="M4635" s="21">
        <v>43130.457685185182</v>
      </c>
      <c r="N4635">
        <v>2018</v>
      </c>
      <c r="Q4635" s="262">
        <v>4000000</v>
      </c>
      <c r="R4635" s="262">
        <v>337000</v>
      </c>
      <c r="S4635" t="s">
        <v>12464</v>
      </c>
      <c r="T4635">
        <v>6553</v>
      </c>
      <c r="W4635">
        <v>3357</v>
      </c>
      <c r="X4635">
        <v>1</v>
      </c>
      <c r="Y4635">
        <v>0</v>
      </c>
      <c r="Z4635">
        <v>0</v>
      </c>
      <c r="AA4635">
        <v>0</v>
      </c>
      <c r="AB4635">
        <v>0</v>
      </c>
      <c r="AC4635">
        <v>3357</v>
      </c>
      <c r="AD4635">
        <v>0</v>
      </c>
      <c r="AE4635">
        <v>0</v>
      </c>
      <c r="AF4635">
        <v>0</v>
      </c>
      <c r="AG4635">
        <v>0</v>
      </c>
      <c r="AH4635">
        <v>0</v>
      </c>
      <c r="AI4635">
        <v>0</v>
      </c>
      <c r="AJ4635">
        <v>0</v>
      </c>
      <c r="AK4635">
        <v>0</v>
      </c>
      <c r="AL4635">
        <v>0</v>
      </c>
      <c r="AM4635">
        <v>0</v>
      </c>
      <c r="AN4635">
        <v>0</v>
      </c>
      <c r="AO4635">
        <v>1</v>
      </c>
      <c r="AP4635">
        <v>0</v>
      </c>
      <c r="AQ4635">
        <v>0</v>
      </c>
      <c r="AR4635">
        <v>0</v>
      </c>
      <c r="AS4635">
        <v>0</v>
      </c>
      <c r="AT4635">
        <v>0</v>
      </c>
      <c r="AU4635">
        <f t="shared" si="144"/>
        <v>1</v>
      </c>
      <c r="AV4635">
        <f t="shared" si="145"/>
        <v>0</v>
      </c>
    </row>
    <row r="4636" spans="1:48" x14ac:dyDescent="0.25">
      <c r="A4636" t="s">
        <v>17844</v>
      </c>
      <c r="B4636" t="s">
        <v>17844</v>
      </c>
      <c r="C4636" t="s">
        <v>17845</v>
      </c>
      <c r="D4636" t="s">
        <v>13257</v>
      </c>
      <c r="E4636" t="s">
        <v>2310</v>
      </c>
      <c r="F4636">
        <v>9</v>
      </c>
      <c r="G4636">
        <v>9.4</v>
      </c>
      <c r="H4636" t="s">
        <v>2323</v>
      </c>
      <c r="I4636" s="21">
        <v>42454.623645833337</v>
      </c>
      <c r="J4636">
        <v>2016</v>
      </c>
      <c r="K4636" s="21">
        <v>43014.433680555558</v>
      </c>
      <c r="L4636">
        <v>2017</v>
      </c>
      <c r="M4636" s="21">
        <v>43014.433680555558</v>
      </c>
      <c r="N4636">
        <v>2017</v>
      </c>
      <c r="Q4636" s="262">
        <v>1400000</v>
      </c>
      <c r="R4636" s="262">
        <v>587000</v>
      </c>
      <c r="S4636" t="s">
        <v>13254</v>
      </c>
      <c r="W4636">
        <v>5948</v>
      </c>
      <c r="X4636">
        <v>2</v>
      </c>
      <c r="Y4636">
        <v>0</v>
      </c>
      <c r="Z4636">
        <v>0</v>
      </c>
      <c r="AA4636">
        <v>0</v>
      </c>
      <c r="AB4636">
        <v>0</v>
      </c>
      <c r="AC4636">
        <v>5948</v>
      </c>
      <c r="AD4636">
        <v>0</v>
      </c>
      <c r="AE4636">
        <v>0</v>
      </c>
      <c r="AF4636">
        <v>0</v>
      </c>
      <c r="AG4636">
        <v>0</v>
      </c>
      <c r="AH4636">
        <v>0</v>
      </c>
      <c r="AI4636">
        <v>0</v>
      </c>
      <c r="AJ4636">
        <v>0</v>
      </c>
      <c r="AK4636">
        <v>0</v>
      </c>
      <c r="AL4636">
        <v>0</v>
      </c>
      <c r="AM4636">
        <v>0</v>
      </c>
      <c r="AN4636">
        <v>0</v>
      </c>
      <c r="AO4636">
        <v>1</v>
      </c>
      <c r="AP4636">
        <v>0</v>
      </c>
      <c r="AQ4636">
        <v>0</v>
      </c>
      <c r="AR4636">
        <v>1</v>
      </c>
      <c r="AS4636">
        <v>0</v>
      </c>
      <c r="AT4636">
        <v>0</v>
      </c>
      <c r="AU4636">
        <f t="shared" si="144"/>
        <v>1</v>
      </c>
      <c r="AV4636">
        <f t="shared" si="145"/>
        <v>0</v>
      </c>
    </row>
    <row r="4637" spans="1:48" x14ac:dyDescent="0.25">
      <c r="A4637" t="s">
        <v>17964</v>
      </c>
      <c r="B4637" t="s">
        <v>17964</v>
      </c>
      <c r="C4637" t="s">
        <v>13256</v>
      </c>
      <c r="D4637" t="s">
        <v>13257</v>
      </c>
      <c r="E4637" t="s">
        <v>2310</v>
      </c>
      <c r="F4637">
        <v>9</v>
      </c>
      <c r="G4637">
        <v>9.4</v>
      </c>
      <c r="H4637" t="s">
        <v>2323</v>
      </c>
      <c r="I4637" s="21">
        <v>42454.632743055554</v>
      </c>
      <c r="J4637">
        <v>2016</v>
      </c>
      <c r="K4637" s="21">
        <v>43287.358801122682</v>
      </c>
      <c r="L4637">
        <v>2018</v>
      </c>
      <c r="M4637" s="21">
        <v>43137.365706018521</v>
      </c>
      <c r="N4637">
        <v>2018</v>
      </c>
      <c r="Q4637" s="262">
        <v>100000</v>
      </c>
      <c r="R4637" s="262">
        <v>35000</v>
      </c>
      <c r="S4637" t="s">
        <v>13254</v>
      </c>
      <c r="W4637">
        <v>799</v>
      </c>
      <c r="X4637">
        <v>0</v>
      </c>
      <c r="Y4637">
        <v>0</v>
      </c>
      <c r="Z4637">
        <v>0</v>
      </c>
      <c r="AA4637">
        <v>0</v>
      </c>
      <c r="AB4637">
        <v>0</v>
      </c>
      <c r="AC4637">
        <v>799</v>
      </c>
      <c r="AD4637">
        <v>0</v>
      </c>
      <c r="AE4637">
        <v>0</v>
      </c>
      <c r="AF4637">
        <v>0</v>
      </c>
      <c r="AG4637">
        <v>0</v>
      </c>
      <c r="AH4637">
        <v>0</v>
      </c>
      <c r="AI4637">
        <v>0</v>
      </c>
      <c r="AJ4637">
        <v>0</v>
      </c>
      <c r="AK4637">
        <v>0</v>
      </c>
      <c r="AL4637">
        <v>0</v>
      </c>
      <c r="AM4637">
        <v>0</v>
      </c>
      <c r="AN4637">
        <v>0</v>
      </c>
      <c r="AO4637">
        <v>0</v>
      </c>
      <c r="AP4637">
        <v>0</v>
      </c>
      <c r="AQ4637">
        <v>0</v>
      </c>
      <c r="AR4637">
        <v>0</v>
      </c>
      <c r="AS4637">
        <v>0</v>
      </c>
      <c r="AT4637">
        <v>0</v>
      </c>
      <c r="AU4637">
        <f t="shared" si="144"/>
        <v>0</v>
      </c>
      <c r="AV4637">
        <f t="shared" si="145"/>
        <v>0</v>
      </c>
    </row>
    <row r="4638" spans="1:48" x14ac:dyDescent="0.25">
      <c r="A4638" t="s">
        <v>13255</v>
      </c>
      <c r="B4638" t="s">
        <v>13255</v>
      </c>
      <c r="C4638" t="s">
        <v>13256</v>
      </c>
      <c r="D4638" t="s">
        <v>13257</v>
      </c>
      <c r="E4638" t="s">
        <v>2310</v>
      </c>
      <c r="F4638">
        <v>9</v>
      </c>
      <c r="G4638">
        <v>9.4</v>
      </c>
      <c r="H4638" t="s">
        <v>2323</v>
      </c>
      <c r="I4638" s="21">
        <v>42454.637430555602</v>
      </c>
      <c r="J4638">
        <v>2016</v>
      </c>
      <c r="K4638" s="21">
        <v>42506.4901157407</v>
      </c>
      <c r="L4638">
        <v>2016</v>
      </c>
      <c r="O4638" s="21">
        <v>43136.3680902778</v>
      </c>
      <c r="Q4638" s="262">
        <v>100000</v>
      </c>
      <c r="R4638" s="262">
        <v>18000</v>
      </c>
      <c r="S4638" t="s">
        <v>114</v>
      </c>
      <c r="T4638" t="s">
        <v>114</v>
      </c>
      <c r="W4638">
        <v>403</v>
      </c>
      <c r="X4638">
        <v>0</v>
      </c>
      <c r="Y4638">
        <v>0</v>
      </c>
      <c r="Z4638">
        <v>0</v>
      </c>
      <c r="AA4638">
        <v>0</v>
      </c>
      <c r="AB4638">
        <v>0</v>
      </c>
      <c r="AC4638">
        <v>403</v>
      </c>
      <c r="AD4638">
        <v>0</v>
      </c>
      <c r="AE4638">
        <v>0</v>
      </c>
      <c r="AF4638">
        <v>0</v>
      </c>
      <c r="AG4638">
        <v>0</v>
      </c>
      <c r="AH4638">
        <v>0</v>
      </c>
      <c r="AI4638">
        <v>0</v>
      </c>
      <c r="AJ4638">
        <v>0</v>
      </c>
      <c r="AK4638">
        <v>0</v>
      </c>
      <c r="AL4638">
        <v>0</v>
      </c>
      <c r="AM4638">
        <v>0</v>
      </c>
      <c r="AN4638">
        <v>0</v>
      </c>
      <c r="AO4638">
        <v>0</v>
      </c>
      <c r="AP4638">
        <v>0</v>
      </c>
      <c r="AQ4638">
        <v>0</v>
      </c>
      <c r="AR4638">
        <v>0</v>
      </c>
      <c r="AS4638">
        <v>0</v>
      </c>
      <c r="AT4638">
        <v>0</v>
      </c>
      <c r="AU4638">
        <f t="shared" si="144"/>
        <v>0</v>
      </c>
      <c r="AV4638">
        <f t="shared" si="145"/>
        <v>0</v>
      </c>
    </row>
    <row r="4639" spans="1:48" x14ac:dyDescent="0.25">
      <c r="A4639" t="s">
        <v>14294</v>
      </c>
      <c r="B4639" t="s">
        <v>114</v>
      </c>
      <c r="C4639" t="s">
        <v>11488</v>
      </c>
      <c r="D4639" t="s">
        <v>9892</v>
      </c>
      <c r="E4639" t="s">
        <v>1663</v>
      </c>
      <c r="F4639">
        <v>5</v>
      </c>
      <c r="G4639">
        <v>5.5</v>
      </c>
      <c r="H4639" t="s">
        <v>2017</v>
      </c>
      <c r="I4639" s="21">
        <v>42459</v>
      </c>
      <c r="J4639">
        <v>2016</v>
      </c>
      <c r="K4639" s="21">
        <v>42472</v>
      </c>
      <c r="L4639">
        <v>2016</v>
      </c>
      <c r="M4639" s="21">
        <v>42860</v>
      </c>
      <c r="N4639">
        <v>2017</v>
      </c>
      <c r="Q4639" s="262">
        <v>850000</v>
      </c>
      <c r="S4639" t="s">
        <v>13253</v>
      </c>
      <c r="T4639">
        <v>12418</v>
      </c>
      <c r="W4639">
        <v>2089</v>
      </c>
      <c r="X4639">
        <v>0</v>
      </c>
      <c r="Y4639">
        <v>0</v>
      </c>
      <c r="Z4639">
        <v>0</v>
      </c>
      <c r="AA4639">
        <v>0</v>
      </c>
      <c r="AB4639">
        <v>0</v>
      </c>
      <c r="AC4639">
        <v>2089</v>
      </c>
      <c r="AD4639">
        <v>0</v>
      </c>
      <c r="AE4639">
        <v>0</v>
      </c>
      <c r="AF4639">
        <v>0</v>
      </c>
      <c r="AG4639">
        <v>0</v>
      </c>
      <c r="AH4639">
        <v>0</v>
      </c>
      <c r="AI4639">
        <v>0</v>
      </c>
      <c r="AJ4639">
        <v>0</v>
      </c>
      <c r="AK4639">
        <v>0</v>
      </c>
      <c r="AL4639">
        <v>0</v>
      </c>
      <c r="AM4639">
        <v>0</v>
      </c>
      <c r="AN4639">
        <v>0</v>
      </c>
      <c r="AO4639">
        <v>0</v>
      </c>
      <c r="AP4639">
        <v>0</v>
      </c>
      <c r="AQ4639">
        <v>0</v>
      </c>
      <c r="AR4639">
        <v>0</v>
      </c>
      <c r="AS4639">
        <v>0</v>
      </c>
      <c r="AT4639">
        <v>0</v>
      </c>
      <c r="AU4639">
        <f t="shared" si="144"/>
        <v>0</v>
      </c>
      <c r="AV4639">
        <f t="shared" si="145"/>
        <v>0</v>
      </c>
    </row>
    <row r="4640" spans="1:48" x14ac:dyDescent="0.25">
      <c r="A4640" t="s">
        <v>13258</v>
      </c>
      <c r="C4640" t="s">
        <v>11879</v>
      </c>
      <c r="D4640" t="s">
        <v>13259</v>
      </c>
      <c r="E4640" t="s">
        <v>1663</v>
      </c>
      <c r="F4640">
        <v>4</v>
      </c>
      <c r="G4640">
        <v>4.3</v>
      </c>
      <c r="H4640" t="s">
        <v>2327</v>
      </c>
      <c r="I4640" s="21">
        <v>42459</v>
      </c>
      <c r="J4640">
        <v>2016</v>
      </c>
      <c r="K4640" s="21">
        <v>42604</v>
      </c>
      <c r="L4640">
        <v>2016</v>
      </c>
      <c r="M4640" s="21">
        <v>42706</v>
      </c>
      <c r="N4640">
        <v>2016</v>
      </c>
      <c r="Q4640" s="262">
        <v>100000</v>
      </c>
      <c r="S4640" t="s">
        <v>114</v>
      </c>
      <c r="T4640" t="s">
        <v>114</v>
      </c>
      <c r="V4640">
        <v>2860</v>
      </c>
      <c r="W4640">
        <v>0</v>
      </c>
      <c r="X4640">
        <v>0</v>
      </c>
      <c r="Y4640">
        <v>0</v>
      </c>
      <c r="Z4640">
        <v>0</v>
      </c>
      <c r="AA4640">
        <v>0</v>
      </c>
      <c r="AB4640">
        <v>0</v>
      </c>
      <c r="AC4640">
        <v>0</v>
      </c>
      <c r="AD4640">
        <v>0</v>
      </c>
      <c r="AE4640">
        <v>0</v>
      </c>
      <c r="AF4640">
        <v>0</v>
      </c>
      <c r="AG4640">
        <v>0</v>
      </c>
      <c r="AH4640">
        <v>0</v>
      </c>
      <c r="AI4640">
        <v>0</v>
      </c>
      <c r="AJ4640">
        <v>0</v>
      </c>
      <c r="AK4640">
        <v>0</v>
      </c>
      <c r="AL4640">
        <v>0</v>
      </c>
      <c r="AM4640">
        <v>0</v>
      </c>
      <c r="AN4640">
        <v>0</v>
      </c>
      <c r="AO4640">
        <v>0</v>
      </c>
      <c r="AP4640">
        <v>0</v>
      </c>
      <c r="AQ4640">
        <v>0</v>
      </c>
      <c r="AR4640">
        <v>0</v>
      </c>
      <c r="AS4640">
        <v>0</v>
      </c>
      <c r="AT4640">
        <v>0</v>
      </c>
      <c r="AU4640">
        <f t="shared" si="144"/>
        <v>0</v>
      </c>
      <c r="AV4640">
        <f t="shared" si="145"/>
        <v>0</v>
      </c>
    </row>
    <row r="4641" spans="1:48" x14ac:dyDescent="0.25">
      <c r="A4641" t="s">
        <v>19029</v>
      </c>
      <c r="B4641" t="s">
        <v>19029</v>
      </c>
      <c r="C4641" t="s">
        <v>19030</v>
      </c>
      <c r="D4641" t="s">
        <v>19031</v>
      </c>
      <c r="E4641" t="s">
        <v>2310</v>
      </c>
      <c r="F4641">
        <v>8</v>
      </c>
      <c r="G4641">
        <v>8.3000000000000007</v>
      </c>
      <c r="H4641" t="s">
        <v>2323</v>
      </c>
      <c r="I4641" s="21">
        <v>42459.439803240741</v>
      </c>
      <c r="J4641">
        <v>2016</v>
      </c>
      <c r="K4641" s="21">
        <v>42696.557511574072</v>
      </c>
      <c r="L4641">
        <v>2016</v>
      </c>
      <c r="M4641" s="21">
        <v>43725.433177893516</v>
      </c>
      <c r="N4641">
        <v>2019</v>
      </c>
      <c r="Q4641" s="262">
        <v>350000</v>
      </c>
      <c r="R4641" s="262">
        <v>167000</v>
      </c>
      <c r="S4641" t="s">
        <v>13254</v>
      </c>
      <c r="W4641">
        <v>3854</v>
      </c>
      <c r="X4641">
        <v>0</v>
      </c>
      <c r="Y4641">
        <v>0</v>
      </c>
      <c r="Z4641">
        <v>0</v>
      </c>
      <c r="AA4641">
        <v>0</v>
      </c>
      <c r="AB4641">
        <v>3854</v>
      </c>
      <c r="AC4641">
        <v>0</v>
      </c>
      <c r="AD4641">
        <v>0</v>
      </c>
      <c r="AE4641">
        <v>0</v>
      </c>
      <c r="AF4641">
        <v>0</v>
      </c>
      <c r="AG4641">
        <v>0</v>
      </c>
      <c r="AH4641">
        <v>0</v>
      </c>
      <c r="AI4641">
        <v>0</v>
      </c>
      <c r="AJ4641">
        <v>0</v>
      </c>
      <c r="AK4641">
        <v>0</v>
      </c>
      <c r="AL4641">
        <v>0</v>
      </c>
      <c r="AM4641">
        <v>0</v>
      </c>
      <c r="AN4641">
        <v>0</v>
      </c>
      <c r="AO4641">
        <v>0</v>
      </c>
      <c r="AP4641">
        <v>0</v>
      </c>
      <c r="AQ4641">
        <v>0</v>
      </c>
      <c r="AR4641">
        <v>0</v>
      </c>
      <c r="AS4641">
        <v>0</v>
      </c>
      <c r="AT4641">
        <v>0</v>
      </c>
      <c r="AU4641">
        <f t="shared" si="144"/>
        <v>0</v>
      </c>
      <c r="AV4641">
        <f t="shared" si="145"/>
        <v>3854</v>
      </c>
    </row>
    <row r="4642" spans="1:48" x14ac:dyDescent="0.25">
      <c r="A4642" t="s">
        <v>17848</v>
      </c>
      <c r="B4642" t="s">
        <v>17848</v>
      </c>
      <c r="C4642" t="s">
        <v>17849</v>
      </c>
      <c r="D4642" t="s">
        <v>17850</v>
      </c>
      <c r="E4642" t="s">
        <v>2310</v>
      </c>
      <c r="F4642">
        <v>9</v>
      </c>
      <c r="G4642">
        <v>9.1999999999999993</v>
      </c>
      <c r="H4642" t="s">
        <v>2022</v>
      </c>
      <c r="I4642" s="21">
        <v>42459.58871527778</v>
      </c>
      <c r="J4642">
        <v>2016</v>
      </c>
      <c r="K4642" s="21">
        <v>43041.666226851848</v>
      </c>
      <c r="L4642">
        <v>2017</v>
      </c>
      <c r="M4642" s="21">
        <v>43041.666226851848</v>
      </c>
      <c r="N4642">
        <v>2017</v>
      </c>
      <c r="Q4642" s="262">
        <v>175000</v>
      </c>
      <c r="R4642" s="262">
        <v>161000</v>
      </c>
      <c r="S4642" t="s">
        <v>13254</v>
      </c>
      <c r="W4642">
        <v>1960</v>
      </c>
      <c r="X4642">
        <v>1</v>
      </c>
      <c r="Y4642">
        <v>0</v>
      </c>
      <c r="Z4642">
        <v>0</v>
      </c>
      <c r="AA4642">
        <v>0</v>
      </c>
      <c r="AB4642">
        <v>0</v>
      </c>
      <c r="AC4642">
        <v>1960</v>
      </c>
      <c r="AD4642">
        <v>0</v>
      </c>
      <c r="AE4642">
        <v>0</v>
      </c>
      <c r="AF4642">
        <v>0</v>
      </c>
      <c r="AG4642">
        <v>0</v>
      </c>
      <c r="AH4642">
        <v>0</v>
      </c>
      <c r="AI4642">
        <v>0</v>
      </c>
      <c r="AJ4642">
        <v>0</v>
      </c>
      <c r="AK4642">
        <v>0</v>
      </c>
      <c r="AL4642">
        <v>0</v>
      </c>
      <c r="AM4642">
        <v>0</v>
      </c>
      <c r="AN4642">
        <v>0</v>
      </c>
      <c r="AO4642">
        <v>1</v>
      </c>
      <c r="AP4642">
        <v>0</v>
      </c>
      <c r="AQ4642">
        <v>0</v>
      </c>
      <c r="AR4642">
        <v>0</v>
      </c>
      <c r="AS4642">
        <v>0</v>
      </c>
      <c r="AT4642">
        <v>0</v>
      </c>
      <c r="AU4642">
        <f t="shared" si="144"/>
        <v>1</v>
      </c>
      <c r="AV4642">
        <f t="shared" si="145"/>
        <v>0</v>
      </c>
    </row>
    <row r="4643" spans="1:48" x14ac:dyDescent="0.25">
      <c r="A4643" t="s">
        <v>17851</v>
      </c>
      <c r="B4643" t="s">
        <v>17851</v>
      </c>
      <c r="C4643" t="s">
        <v>17849</v>
      </c>
      <c r="D4643" t="s">
        <v>17852</v>
      </c>
      <c r="E4643" t="s">
        <v>2310</v>
      </c>
      <c r="F4643">
        <v>9</v>
      </c>
      <c r="G4643">
        <v>9.1999999999999993</v>
      </c>
      <c r="H4643" t="s">
        <v>2022</v>
      </c>
      <c r="I4643" s="21">
        <v>42459.609525462962</v>
      </c>
      <c r="J4643">
        <v>2016</v>
      </c>
      <c r="K4643" s="21">
        <v>43048.47556712963</v>
      </c>
      <c r="L4643">
        <v>2017</v>
      </c>
      <c r="M4643" s="21">
        <v>43048.47556712963</v>
      </c>
      <c r="N4643">
        <v>2017</v>
      </c>
      <c r="Q4643" s="262">
        <v>175000</v>
      </c>
      <c r="R4643" s="262">
        <v>161000</v>
      </c>
      <c r="S4643" t="s">
        <v>13254</v>
      </c>
      <c r="W4643">
        <v>1960</v>
      </c>
      <c r="X4643">
        <v>1</v>
      </c>
      <c r="Y4643">
        <v>0</v>
      </c>
      <c r="Z4643">
        <v>0</v>
      </c>
      <c r="AA4643">
        <v>0</v>
      </c>
      <c r="AB4643">
        <v>0</v>
      </c>
      <c r="AC4643">
        <v>1960</v>
      </c>
      <c r="AD4643">
        <v>0</v>
      </c>
      <c r="AE4643">
        <v>0</v>
      </c>
      <c r="AF4643">
        <v>0</v>
      </c>
      <c r="AG4643">
        <v>0</v>
      </c>
      <c r="AH4643">
        <v>0</v>
      </c>
      <c r="AI4643">
        <v>0</v>
      </c>
      <c r="AJ4643">
        <v>0</v>
      </c>
      <c r="AK4643">
        <v>0</v>
      </c>
      <c r="AL4643">
        <v>0</v>
      </c>
      <c r="AM4643">
        <v>0</v>
      </c>
      <c r="AN4643">
        <v>0</v>
      </c>
      <c r="AO4643">
        <v>1</v>
      </c>
      <c r="AP4643">
        <v>0</v>
      </c>
      <c r="AQ4643">
        <v>0</v>
      </c>
      <c r="AR4643">
        <v>0</v>
      </c>
      <c r="AS4643">
        <v>0</v>
      </c>
      <c r="AT4643">
        <v>0</v>
      </c>
      <c r="AU4643">
        <f t="shared" si="144"/>
        <v>1</v>
      </c>
      <c r="AV4643">
        <f t="shared" si="145"/>
        <v>0</v>
      </c>
    </row>
    <row r="4644" spans="1:48" x14ac:dyDescent="0.25">
      <c r="A4644" t="s">
        <v>18039</v>
      </c>
      <c r="B4644" t="s">
        <v>18039</v>
      </c>
      <c r="C4644" t="s">
        <v>17849</v>
      </c>
      <c r="D4644" t="s">
        <v>18040</v>
      </c>
      <c r="E4644" t="s">
        <v>2310</v>
      </c>
      <c r="F4644">
        <v>9</v>
      </c>
      <c r="G4644">
        <v>9.1999999999999993</v>
      </c>
      <c r="H4644" t="s">
        <v>2022</v>
      </c>
      <c r="I4644" s="21">
        <v>42459.625243055554</v>
      </c>
      <c r="J4644">
        <v>2016</v>
      </c>
      <c r="K4644" s="21">
        <v>42510.631909722222</v>
      </c>
      <c r="L4644">
        <v>2016</v>
      </c>
      <c r="M4644" s="21">
        <v>43188.499780092592</v>
      </c>
      <c r="N4644">
        <v>2018</v>
      </c>
      <c r="Q4644" s="262">
        <v>175000</v>
      </c>
      <c r="R4644" s="262">
        <v>161000</v>
      </c>
      <c r="S4644" t="s">
        <v>13254</v>
      </c>
      <c r="W4644">
        <v>1960</v>
      </c>
      <c r="X4644">
        <v>1</v>
      </c>
      <c r="Y4644">
        <v>0</v>
      </c>
      <c r="Z4644">
        <v>0</v>
      </c>
      <c r="AA4644">
        <v>0</v>
      </c>
      <c r="AB4644">
        <v>0</v>
      </c>
      <c r="AC4644">
        <v>1960</v>
      </c>
      <c r="AD4644">
        <v>0</v>
      </c>
      <c r="AE4644">
        <v>0</v>
      </c>
      <c r="AF4644">
        <v>0</v>
      </c>
      <c r="AG4644">
        <v>0</v>
      </c>
      <c r="AH4644">
        <v>0</v>
      </c>
      <c r="AI4644">
        <v>0</v>
      </c>
      <c r="AJ4644">
        <v>0</v>
      </c>
      <c r="AK4644">
        <v>0</v>
      </c>
      <c r="AL4644">
        <v>0</v>
      </c>
      <c r="AM4644">
        <v>0</v>
      </c>
      <c r="AN4644">
        <v>0</v>
      </c>
      <c r="AO4644">
        <v>1</v>
      </c>
      <c r="AP4644">
        <v>0</v>
      </c>
      <c r="AQ4644">
        <v>0</v>
      </c>
      <c r="AR4644">
        <v>0</v>
      </c>
      <c r="AS4644">
        <v>0</v>
      </c>
      <c r="AT4644">
        <v>0</v>
      </c>
      <c r="AU4644">
        <f t="shared" si="144"/>
        <v>1</v>
      </c>
      <c r="AV4644">
        <f t="shared" si="145"/>
        <v>0</v>
      </c>
    </row>
    <row r="4645" spans="1:48" x14ac:dyDescent="0.25">
      <c r="A4645" t="s">
        <v>18041</v>
      </c>
      <c r="B4645" t="s">
        <v>18041</v>
      </c>
      <c r="C4645" t="s">
        <v>17849</v>
      </c>
      <c r="D4645" t="s">
        <v>18042</v>
      </c>
      <c r="E4645" t="s">
        <v>2310</v>
      </c>
      <c r="F4645">
        <v>9</v>
      </c>
      <c r="G4645">
        <v>9.1999999999999993</v>
      </c>
      <c r="H4645" t="s">
        <v>2022</v>
      </c>
      <c r="I4645" s="21">
        <v>42459.625289351854</v>
      </c>
      <c r="J4645">
        <v>2016</v>
      </c>
      <c r="K4645" s="21">
        <v>42510.629780092589</v>
      </c>
      <c r="L4645">
        <v>2016</v>
      </c>
      <c r="M4645" s="21">
        <v>43188.500324074077</v>
      </c>
      <c r="N4645">
        <v>2018</v>
      </c>
      <c r="Q4645" s="262">
        <v>175000</v>
      </c>
      <c r="R4645" s="262">
        <v>161000</v>
      </c>
      <c r="S4645" t="s">
        <v>13254</v>
      </c>
      <c r="W4645">
        <v>1960</v>
      </c>
      <c r="X4645">
        <v>1</v>
      </c>
      <c r="Y4645">
        <v>0</v>
      </c>
      <c r="Z4645">
        <v>0</v>
      </c>
      <c r="AA4645">
        <v>0</v>
      </c>
      <c r="AB4645">
        <v>0</v>
      </c>
      <c r="AC4645">
        <v>1960</v>
      </c>
      <c r="AD4645">
        <v>0</v>
      </c>
      <c r="AE4645">
        <v>0</v>
      </c>
      <c r="AF4645">
        <v>0</v>
      </c>
      <c r="AG4645">
        <v>0</v>
      </c>
      <c r="AH4645">
        <v>0</v>
      </c>
      <c r="AI4645">
        <v>0</v>
      </c>
      <c r="AJ4645">
        <v>0</v>
      </c>
      <c r="AK4645">
        <v>0</v>
      </c>
      <c r="AL4645">
        <v>0</v>
      </c>
      <c r="AM4645">
        <v>0</v>
      </c>
      <c r="AN4645">
        <v>0</v>
      </c>
      <c r="AO4645">
        <v>1</v>
      </c>
      <c r="AP4645">
        <v>0</v>
      </c>
      <c r="AQ4645">
        <v>0</v>
      </c>
      <c r="AR4645">
        <v>0</v>
      </c>
      <c r="AS4645">
        <v>0</v>
      </c>
      <c r="AT4645">
        <v>0</v>
      </c>
      <c r="AU4645">
        <f t="shared" si="144"/>
        <v>1</v>
      </c>
      <c r="AV4645">
        <f t="shared" si="145"/>
        <v>0</v>
      </c>
    </row>
    <row r="4646" spans="1:48" x14ac:dyDescent="0.25">
      <c r="A4646" t="s">
        <v>13260</v>
      </c>
      <c r="B4646" t="s">
        <v>13260</v>
      </c>
      <c r="C4646" t="s">
        <v>13261</v>
      </c>
      <c r="D4646" t="s">
        <v>5014</v>
      </c>
      <c r="E4646" t="s">
        <v>2310</v>
      </c>
      <c r="F4646">
        <v>15</v>
      </c>
      <c r="G4646">
        <v>15.2</v>
      </c>
      <c r="H4646" t="s">
        <v>2323</v>
      </c>
      <c r="I4646" s="21">
        <v>42460.440138888902</v>
      </c>
      <c r="J4646">
        <v>2016</v>
      </c>
      <c r="K4646" s="21">
        <v>43182.415844907402</v>
      </c>
      <c r="L4646">
        <v>2018</v>
      </c>
      <c r="O4646" s="21">
        <v>43182.414988425902</v>
      </c>
      <c r="Q4646" s="262">
        <v>300000</v>
      </c>
      <c r="R4646" s="262">
        <v>163000</v>
      </c>
      <c r="S4646" t="s">
        <v>114</v>
      </c>
      <c r="T4646" t="s">
        <v>114</v>
      </c>
      <c r="W4646">
        <v>1063</v>
      </c>
      <c r="X4646">
        <v>1</v>
      </c>
      <c r="Y4646">
        <v>0</v>
      </c>
      <c r="Z4646">
        <v>0</v>
      </c>
      <c r="AA4646">
        <v>0</v>
      </c>
      <c r="AB4646">
        <v>0</v>
      </c>
      <c r="AC4646">
        <v>100</v>
      </c>
      <c r="AD4646">
        <v>0</v>
      </c>
      <c r="AE4646">
        <v>0</v>
      </c>
      <c r="AF4646">
        <v>963</v>
      </c>
      <c r="AG4646">
        <v>0</v>
      </c>
      <c r="AH4646">
        <v>0</v>
      </c>
      <c r="AI4646">
        <v>0</v>
      </c>
      <c r="AJ4646">
        <v>0</v>
      </c>
      <c r="AK4646">
        <v>0</v>
      </c>
      <c r="AL4646">
        <v>0</v>
      </c>
      <c r="AM4646">
        <v>0</v>
      </c>
      <c r="AN4646">
        <v>0</v>
      </c>
      <c r="AO4646">
        <v>0</v>
      </c>
      <c r="AP4646">
        <v>0</v>
      </c>
      <c r="AQ4646">
        <v>0</v>
      </c>
      <c r="AR4646">
        <v>1</v>
      </c>
      <c r="AS4646">
        <v>0</v>
      </c>
      <c r="AT4646">
        <v>0</v>
      </c>
      <c r="AU4646">
        <f t="shared" si="144"/>
        <v>0</v>
      </c>
      <c r="AV4646">
        <f t="shared" si="145"/>
        <v>0</v>
      </c>
    </row>
    <row r="4647" spans="1:48" x14ac:dyDescent="0.25">
      <c r="A4647" t="s">
        <v>17853</v>
      </c>
      <c r="B4647" t="s">
        <v>17853</v>
      </c>
      <c r="C4647" t="s">
        <v>17854</v>
      </c>
      <c r="D4647" t="s">
        <v>2779</v>
      </c>
      <c r="E4647" t="s">
        <v>2310</v>
      </c>
      <c r="F4647">
        <v>13</v>
      </c>
      <c r="G4647">
        <v>13.3</v>
      </c>
      <c r="H4647" t="s">
        <v>2017</v>
      </c>
      <c r="I4647" s="21">
        <v>42460.60900462963</v>
      </c>
      <c r="J4647">
        <v>2016</v>
      </c>
      <c r="K4647" s="21">
        <v>42887.401689814818</v>
      </c>
      <c r="L4647">
        <v>2017</v>
      </c>
      <c r="M4647" s="21">
        <v>42887.401689814818</v>
      </c>
      <c r="N4647">
        <v>2017</v>
      </c>
      <c r="Q4647" s="262">
        <v>150000</v>
      </c>
      <c r="R4647" s="262">
        <v>67000</v>
      </c>
      <c r="S4647" t="s">
        <v>13253</v>
      </c>
      <c r="T4647">
        <v>6871</v>
      </c>
      <c r="V4647">
        <v>110</v>
      </c>
      <c r="W4647">
        <v>489</v>
      </c>
      <c r="X4647">
        <v>0</v>
      </c>
      <c r="Y4647">
        <v>0</v>
      </c>
      <c r="Z4647">
        <v>0</v>
      </c>
      <c r="AA4647">
        <v>0</v>
      </c>
      <c r="AB4647">
        <v>0</v>
      </c>
      <c r="AC4647">
        <v>489</v>
      </c>
      <c r="AD4647">
        <v>0</v>
      </c>
      <c r="AE4647">
        <v>0</v>
      </c>
      <c r="AF4647">
        <v>0</v>
      </c>
      <c r="AG4647">
        <v>0</v>
      </c>
      <c r="AH4647">
        <v>0</v>
      </c>
      <c r="AI4647">
        <v>0</v>
      </c>
      <c r="AJ4647">
        <v>0</v>
      </c>
      <c r="AK4647">
        <v>0</v>
      </c>
      <c r="AL4647">
        <v>0</v>
      </c>
      <c r="AM4647">
        <v>0</v>
      </c>
      <c r="AN4647">
        <v>0</v>
      </c>
      <c r="AO4647">
        <v>0</v>
      </c>
      <c r="AP4647">
        <v>0</v>
      </c>
      <c r="AQ4647">
        <v>0</v>
      </c>
      <c r="AR4647">
        <v>0</v>
      </c>
      <c r="AS4647">
        <v>0</v>
      </c>
      <c r="AT4647">
        <v>0</v>
      </c>
      <c r="AU4647">
        <f t="shared" si="144"/>
        <v>0</v>
      </c>
      <c r="AV4647">
        <f t="shared" si="145"/>
        <v>0</v>
      </c>
    </row>
    <row r="4648" spans="1:48" x14ac:dyDescent="0.25">
      <c r="A4648" t="s">
        <v>14296</v>
      </c>
      <c r="B4648" t="s">
        <v>114</v>
      </c>
      <c r="C4648" t="s">
        <v>11488</v>
      </c>
      <c r="D4648" t="s">
        <v>14297</v>
      </c>
      <c r="E4648" t="s">
        <v>1663</v>
      </c>
      <c r="F4648">
        <v>4</v>
      </c>
      <c r="G4648">
        <v>4.3</v>
      </c>
      <c r="H4648" t="s">
        <v>2327</v>
      </c>
      <c r="I4648" s="21">
        <v>42461</v>
      </c>
      <c r="J4648">
        <v>2016</v>
      </c>
      <c r="K4648" s="21">
        <v>42594</v>
      </c>
      <c r="L4648">
        <v>2016</v>
      </c>
      <c r="M4648" s="21">
        <v>43055</v>
      </c>
      <c r="N4648">
        <v>2017</v>
      </c>
      <c r="Q4648" s="262">
        <v>253000</v>
      </c>
      <c r="S4648" t="s">
        <v>13253</v>
      </c>
      <c r="T4648">
        <v>12202</v>
      </c>
      <c r="W4648">
        <v>652</v>
      </c>
      <c r="X4648">
        <v>0</v>
      </c>
      <c r="Y4648">
        <v>0</v>
      </c>
      <c r="Z4648">
        <v>0</v>
      </c>
      <c r="AA4648">
        <v>0</v>
      </c>
      <c r="AB4648">
        <v>0</v>
      </c>
      <c r="AC4648">
        <v>652</v>
      </c>
      <c r="AD4648">
        <v>0</v>
      </c>
      <c r="AE4648">
        <v>0</v>
      </c>
      <c r="AF4648">
        <v>0</v>
      </c>
      <c r="AG4648">
        <v>0</v>
      </c>
      <c r="AH4648">
        <v>0</v>
      </c>
      <c r="AI4648">
        <v>0</v>
      </c>
      <c r="AJ4648">
        <v>0</v>
      </c>
      <c r="AK4648">
        <v>0</v>
      </c>
      <c r="AL4648">
        <v>0</v>
      </c>
      <c r="AM4648">
        <v>0</v>
      </c>
      <c r="AN4648">
        <v>0</v>
      </c>
      <c r="AO4648">
        <v>0</v>
      </c>
      <c r="AP4648">
        <v>0</v>
      </c>
      <c r="AQ4648">
        <v>0</v>
      </c>
      <c r="AR4648">
        <v>0</v>
      </c>
      <c r="AS4648">
        <v>0</v>
      </c>
      <c r="AT4648">
        <v>0</v>
      </c>
      <c r="AU4648">
        <f t="shared" si="144"/>
        <v>0</v>
      </c>
      <c r="AV4648">
        <f t="shared" si="145"/>
        <v>0</v>
      </c>
    </row>
    <row r="4649" spans="1:48" x14ac:dyDescent="0.25">
      <c r="A4649" t="s">
        <v>18579</v>
      </c>
      <c r="B4649" t="s">
        <v>18579</v>
      </c>
      <c r="C4649" t="s">
        <v>18580</v>
      </c>
      <c r="D4649" t="s">
        <v>18581</v>
      </c>
      <c r="E4649" t="s">
        <v>2310</v>
      </c>
      <c r="F4649">
        <v>13</v>
      </c>
      <c r="G4649">
        <v>13.2</v>
      </c>
      <c r="H4649" t="s">
        <v>2327</v>
      </c>
      <c r="I4649" s="21">
        <v>42461.458958333336</v>
      </c>
      <c r="J4649">
        <v>2016</v>
      </c>
      <c r="K4649" s="21">
        <v>42509.451944444445</v>
      </c>
      <c r="L4649">
        <v>2016</v>
      </c>
      <c r="M4649" s="21">
        <v>43536.437853935182</v>
      </c>
      <c r="N4649">
        <v>2019</v>
      </c>
      <c r="Q4649" s="262">
        <v>6700000</v>
      </c>
      <c r="R4649" s="262">
        <v>1375000</v>
      </c>
      <c r="S4649" t="s">
        <v>13254</v>
      </c>
      <c r="W4649">
        <v>8642</v>
      </c>
      <c r="X4649">
        <v>1</v>
      </c>
      <c r="Y4649">
        <v>0</v>
      </c>
      <c r="Z4649">
        <v>0</v>
      </c>
      <c r="AA4649">
        <v>0</v>
      </c>
      <c r="AB4649">
        <v>0</v>
      </c>
      <c r="AC4649">
        <v>8642</v>
      </c>
      <c r="AD4649">
        <v>0</v>
      </c>
      <c r="AE4649">
        <v>0</v>
      </c>
      <c r="AF4649">
        <v>0</v>
      </c>
      <c r="AG4649">
        <v>0</v>
      </c>
      <c r="AH4649">
        <v>0</v>
      </c>
      <c r="AI4649">
        <v>0</v>
      </c>
      <c r="AJ4649">
        <v>0</v>
      </c>
      <c r="AK4649">
        <v>0</v>
      </c>
      <c r="AL4649">
        <v>0</v>
      </c>
      <c r="AM4649">
        <v>0</v>
      </c>
      <c r="AN4649">
        <v>0</v>
      </c>
      <c r="AO4649">
        <v>1</v>
      </c>
      <c r="AP4649">
        <v>0</v>
      </c>
      <c r="AQ4649">
        <v>0</v>
      </c>
      <c r="AR4649">
        <v>0</v>
      </c>
      <c r="AS4649">
        <v>0</v>
      </c>
      <c r="AT4649">
        <v>0</v>
      </c>
      <c r="AU4649">
        <f t="shared" si="144"/>
        <v>1</v>
      </c>
      <c r="AV4649">
        <f t="shared" si="145"/>
        <v>0</v>
      </c>
    </row>
    <row r="4650" spans="1:48" x14ac:dyDescent="0.25">
      <c r="A4650" t="s">
        <v>17863</v>
      </c>
      <c r="B4650" t="s">
        <v>17863</v>
      </c>
      <c r="C4650" t="s">
        <v>17864</v>
      </c>
      <c r="D4650" t="s">
        <v>17865</v>
      </c>
      <c r="E4650" t="s">
        <v>2310</v>
      </c>
      <c r="F4650">
        <v>13</v>
      </c>
      <c r="G4650">
        <v>13.3</v>
      </c>
      <c r="H4650" t="s">
        <v>2017</v>
      </c>
      <c r="I4650" s="21">
        <v>42461.489270833335</v>
      </c>
      <c r="J4650">
        <v>2016</v>
      </c>
      <c r="K4650" s="21">
        <v>42928.404513888891</v>
      </c>
      <c r="L4650">
        <v>2017</v>
      </c>
      <c r="M4650" s="21">
        <v>42928.404513888891</v>
      </c>
      <c r="N4650">
        <v>2017</v>
      </c>
      <c r="Q4650" s="262">
        <v>1750000</v>
      </c>
      <c r="R4650" s="262">
        <v>594000</v>
      </c>
      <c r="S4650" t="s">
        <v>13254</v>
      </c>
      <c r="W4650">
        <v>4998</v>
      </c>
      <c r="X4650">
        <v>1</v>
      </c>
      <c r="Y4650">
        <v>0</v>
      </c>
      <c r="Z4650">
        <v>0</v>
      </c>
      <c r="AA4650">
        <v>0</v>
      </c>
      <c r="AB4650">
        <v>0</v>
      </c>
      <c r="AC4650">
        <v>4998</v>
      </c>
      <c r="AD4650">
        <v>0</v>
      </c>
      <c r="AE4650">
        <v>0</v>
      </c>
      <c r="AF4650">
        <v>0</v>
      </c>
      <c r="AG4650">
        <v>0</v>
      </c>
      <c r="AH4650">
        <v>0</v>
      </c>
      <c r="AI4650">
        <v>0</v>
      </c>
      <c r="AJ4650">
        <v>0</v>
      </c>
      <c r="AK4650">
        <v>0</v>
      </c>
      <c r="AL4650">
        <v>0</v>
      </c>
      <c r="AM4650">
        <v>0</v>
      </c>
      <c r="AN4650">
        <v>0</v>
      </c>
      <c r="AO4650">
        <v>1</v>
      </c>
      <c r="AP4650">
        <v>0</v>
      </c>
      <c r="AQ4650">
        <v>0</v>
      </c>
      <c r="AR4650">
        <v>0</v>
      </c>
      <c r="AS4650">
        <v>0</v>
      </c>
      <c r="AT4650">
        <v>0</v>
      </c>
      <c r="AU4650">
        <f t="shared" si="144"/>
        <v>1</v>
      </c>
      <c r="AV4650">
        <f t="shared" si="145"/>
        <v>0</v>
      </c>
    </row>
    <row r="4651" spans="1:48" x14ac:dyDescent="0.25">
      <c r="A4651" t="s">
        <v>17866</v>
      </c>
      <c r="B4651" t="s">
        <v>17866</v>
      </c>
      <c r="C4651" t="s">
        <v>17867</v>
      </c>
      <c r="D4651" t="s">
        <v>7559</v>
      </c>
      <c r="E4651" t="s">
        <v>2310</v>
      </c>
      <c r="F4651">
        <v>9</v>
      </c>
      <c r="G4651">
        <v>9.3000000000000007</v>
      </c>
      <c r="H4651" t="s">
        <v>2323</v>
      </c>
      <c r="I4651" s="21">
        <v>42461.604490740741</v>
      </c>
      <c r="J4651">
        <v>2016</v>
      </c>
      <c r="K4651" s="21">
        <v>43090.481689814813</v>
      </c>
      <c r="L4651">
        <v>2017</v>
      </c>
      <c r="M4651" s="21">
        <v>43090.481689814813</v>
      </c>
      <c r="N4651">
        <v>2017</v>
      </c>
      <c r="Q4651" s="262">
        <v>1500000</v>
      </c>
      <c r="R4651" s="262">
        <v>692000</v>
      </c>
      <c r="S4651" t="s">
        <v>13254</v>
      </c>
      <c r="W4651">
        <v>5626</v>
      </c>
      <c r="X4651">
        <v>0</v>
      </c>
      <c r="Y4651">
        <v>0</v>
      </c>
      <c r="Z4651">
        <v>0</v>
      </c>
      <c r="AA4651">
        <v>0</v>
      </c>
      <c r="AB4651">
        <v>0</v>
      </c>
      <c r="AC4651">
        <v>5626</v>
      </c>
      <c r="AD4651">
        <v>0</v>
      </c>
      <c r="AE4651">
        <v>0</v>
      </c>
      <c r="AF4651">
        <v>0</v>
      </c>
      <c r="AG4651">
        <v>0</v>
      </c>
      <c r="AH4651">
        <v>0</v>
      </c>
      <c r="AI4651">
        <v>0</v>
      </c>
      <c r="AJ4651">
        <v>0</v>
      </c>
      <c r="AK4651">
        <v>0</v>
      </c>
      <c r="AL4651">
        <v>0</v>
      </c>
      <c r="AM4651">
        <v>0</v>
      </c>
      <c r="AN4651">
        <v>0</v>
      </c>
      <c r="AO4651">
        <v>0</v>
      </c>
      <c r="AP4651">
        <v>0</v>
      </c>
      <c r="AQ4651">
        <v>0</v>
      </c>
      <c r="AR4651">
        <v>0</v>
      </c>
      <c r="AS4651">
        <v>0</v>
      </c>
      <c r="AT4651">
        <v>0</v>
      </c>
      <c r="AU4651">
        <f t="shared" si="144"/>
        <v>0</v>
      </c>
      <c r="AV4651">
        <f t="shared" si="145"/>
        <v>0</v>
      </c>
    </row>
    <row r="4652" spans="1:48" x14ac:dyDescent="0.25">
      <c r="A4652" t="s">
        <v>14299</v>
      </c>
      <c r="B4652" t="s">
        <v>114</v>
      </c>
      <c r="C4652" t="s">
        <v>11240</v>
      </c>
      <c r="D4652" t="s">
        <v>14300</v>
      </c>
      <c r="E4652" t="s">
        <v>1663</v>
      </c>
      <c r="F4652">
        <v>6</v>
      </c>
      <c r="G4652">
        <v>6.2</v>
      </c>
      <c r="H4652" t="s">
        <v>2017</v>
      </c>
      <c r="I4652" s="21">
        <v>42465</v>
      </c>
      <c r="J4652">
        <v>2016</v>
      </c>
      <c r="K4652" s="21">
        <v>42478</v>
      </c>
      <c r="L4652">
        <v>2016</v>
      </c>
      <c r="M4652" s="21">
        <v>42759</v>
      </c>
      <c r="N4652">
        <v>2017</v>
      </c>
      <c r="Q4652" s="262">
        <v>400000</v>
      </c>
      <c r="S4652" t="s">
        <v>13254</v>
      </c>
      <c r="W4652">
        <v>3955</v>
      </c>
      <c r="X4652">
        <v>1</v>
      </c>
      <c r="Y4652">
        <v>0</v>
      </c>
      <c r="Z4652">
        <v>0</v>
      </c>
      <c r="AA4652">
        <v>0</v>
      </c>
      <c r="AB4652">
        <v>0</v>
      </c>
      <c r="AC4652">
        <v>3955</v>
      </c>
      <c r="AD4652">
        <v>0</v>
      </c>
      <c r="AE4652">
        <v>0</v>
      </c>
      <c r="AF4652">
        <v>0</v>
      </c>
      <c r="AG4652">
        <v>0</v>
      </c>
      <c r="AH4652">
        <v>0</v>
      </c>
      <c r="AI4652">
        <v>0</v>
      </c>
      <c r="AJ4652">
        <v>0</v>
      </c>
      <c r="AK4652">
        <v>0</v>
      </c>
      <c r="AL4652">
        <v>0</v>
      </c>
      <c r="AM4652">
        <v>0</v>
      </c>
      <c r="AN4652">
        <v>0</v>
      </c>
      <c r="AO4652">
        <v>1</v>
      </c>
      <c r="AP4652">
        <v>0</v>
      </c>
      <c r="AQ4652">
        <v>0</v>
      </c>
      <c r="AR4652">
        <v>0</v>
      </c>
      <c r="AS4652">
        <v>0</v>
      </c>
      <c r="AT4652">
        <v>0</v>
      </c>
      <c r="AU4652">
        <f t="shared" si="144"/>
        <v>1</v>
      </c>
      <c r="AV4652">
        <f t="shared" si="145"/>
        <v>0</v>
      </c>
    </row>
    <row r="4653" spans="1:48" x14ac:dyDescent="0.25">
      <c r="A4653" t="s">
        <v>13262</v>
      </c>
      <c r="C4653" t="s">
        <v>13263</v>
      </c>
      <c r="D4653" t="s">
        <v>13048</v>
      </c>
      <c r="E4653" t="s">
        <v>1663</v>
      </c>
      <c r="F4653">
        <v>4</v>
      </c>
      <c r="G4653">
        <v>4.3</v>
      </c>
      <c r="H4653" t="s">
        <v>2327</v>
      </c>
      <c r="I4653" s="21">
        <v>42465</v>
      </c>
      <c r="J4653">
        <v>2016</v>
      </c>
      <c r="K4653" s="21">
        <v>42501</v>
      </c>
      <c r="L4653">
        <v>2016</v>
      </c>
      <c r="P4653" s="21">
        <v>42788</v>
      </c>
      <c r="Q4653" s="262">
        <v>375000</v>
      </c>
      <c r="S4653" t="s">
        <v>114</v>
      </c>
      <c r="T4653" t="s">
        <v>114</v>
      </c>
      <c r="V4653">
        <v>12660</v>
      </c>
      <c r="W4653">
        <v>0</v>
      </c>
      <c r="X4653">
        <v>0</v>
      </c>
      <c r="Y4653">
        <v>0</v>
      </c>
      <c r="Z4653">
        <v>0</v>
      </c>
      <c r="AA4653">
        <v>0</v>
      </c>
      <c r="AB4653">
        <v>0</v>
      </c>
      <c r="AC4653">
        <v>0</v>
      </c>
      <c r="AD4653">
        <v>0</v>
      </c>
      <c r="AE4653">
        <v>0</v>
      </c>
      <c r="AF4653">
        <v>0</v>
      </c>
      <c r="AG4653">
        <v>0</v>
      </c>
      <c r="AH4653">
        <v>0</v>
      </c>
      <c r="AI4653">
        <v>0</v>
      </c>
      <c r="AJ4653">
        <v>0</v>
      </c>
      <c r="AK4653">
        <v>0</v>
      </c>
      <c r="AL4653">
        <v>0</v>
      </c>
      <c r="AM4653">
        <v>0</v>
      </c>
      <c r="AN4653">
        <v>0</v>
      </c>
      <c r="AO4653">
        <v>0</v>
      </c>
      <c r="AP4653">
        <v>0</v>
      </c>
      <c r="AQ4653">
        <v>0</v>
      </c>
      <c r="AR4653">
        <v>0</v>
      </c>
      <c r="AS4653">
        <v>0</v>
      </c>
      <c r="AT4653">
        <v>0</v>
      </c>
      <c r="AU4653">
        <f t="shared" si="144"/>
        <v>0</v>
      </c>
      <c r="AV4653">
        <f t="shared" si="145"/>
        <v>0</v>
      </c>
    </row>
    <row r="4654" spans="1:48" x14ac:dyDescent="0.25">
      <c r="A4654" t="s">
        <v>17868</v>
      </c>
      <c r="B4654" t="s">
        <v>17868</v>
      </c>
      <c r="C4654" t="s">
        <v>17869</v>
      </c>
      <c r="D4654" t="s">
        <v>17870</v>
      </c>
      <c r="E4654" t="s">
        <v>2310</v>
      </c>
      <c r="F4654">
        <v>9</v>
      </c>
      <c r="G4654">
        <v>9.1</v>
      </c>
      <c r="H4654" t="s">
        <v>2323</v>
      </c>
      <c r="I4654" s="21">
        <v>42465.4450462963</v>
      </c>
      <c r="J4654">
        <v>2016</v>
      </c>
      <c r="K4654" s="21">
        <v>43077.643483796295</v>
      </c>
      <c r="L4654">
        <v>2017</v>
      </c>
      <c r="M4654" s="21">
        <v>43077.643483796295</v>
      </c>
      <c r="N4654">
        <v>2017</v>
      </c>
      <c r="Q4654" s="262">
        <v>3000000</v>
      </c>
      <c r="R4654" s="262">
        <v>767000</v>
      </c>
      <c r="S4654" t="s">
        <v>13254</v>
      </c>
      <c r="W4654">
        <v>6007</v>
      </c>
      <c r="X4654">
        <v>1</v>
      </c>
      <c r="Y4654">
        <v>0</v>
      </c>
      <c r="Z4654">
        <v>0</v>
      </c>
      <c r="AA4654">
        <v>0</v>
      </c>
      <c r="AB4654">
        <v>0</v>
      </c>
      <c r="AC4654">
        <v>6007</v>
      </c>
      <c r="AD4654">
        <v>0</v>
      </c>
      <c r="AE4654">
        <v>0</v>
      </c>
      <c r="AF4654">
        <v>0</v>
      </c>
      <c r="AG4654">
        <v>0</v>
      </c>
      <c r="AH4654">
        <v>0</v>
      </c>
      <c r="AI4654">
        <v>0</v>
      </c>
      <c r="AJ4654">
        <v>0</v>
      </c>
      <c r="AK4654">
        <v>0</v>
      </c>
      <c r="AL4654">
        <v>0</v>
      </c>
      <c r="AM4654">
        <v>0</v>
      </c>
      <c r="AN4654">
        <v>0</v>
      </c>
      <c r="AO4654">
        <v>1</v>
      </c>
      <c r="AP4654">
        <v>0</v>
      </c>
      <c r="AQ4654">
        <v>0</v>
      </c>
      <c r="AR4654">
        <v>0</v>
      </c>
      <c r="AS4654">
        <v>0</v>
      </c>
      <c r="AT4654">
        <v>0</v>
      </c>
      <c r="AU4654">
        <f t="shared" si="144"/>
        <v>1</v>
      </c>
      <c r="AV4654">
        <f t="shared" si="145"/>
        <v>0</v>
      </c>
    </row>
    <row r="4655" spans="1:48" x14ac:dyDescent="0.25">
      <c r="A4655" t="s">
        <v>13264</v>
      </c>
      <c r="B4655" t="s">
        <v>13264</v>
      </c>
      <c r="C4655" t="s">
        <v>13265</v>
      </c>
      <c r="D4655" t="s">
        <v>13266</v>
      </c>
      <c r="E4655" t="s">
        <v>2310</v>
      </c>
      <c r="F4655">
        <v>12</v>
      </c>
      <c r="G4655">
        <v>12.3</v>
      </c>
      <c r="H4655" t="s">
        <v>2017</v>
      </c>
      <c r="I4655" s="21">
        <v>42465.575486111098</v>
      </c>
      <c r="J4655">
        <v>2016</v>
      </c>
      <c r="K4655" s="21">
        <v>42506.433900463002</v>
      </c>
      <c r="L4655">
        <v>2016</v>
      </c>
      <c r="M4655" s="21">
        <v>42611.593136574098</v>
      </c>
      <c r="N4655">
        <v>2016</v>
      </c>
      <c r="Q4655" s="262">
        <v>120000</v>
      </c>
      <c r="R4655" s="262">
        <v>26000</v>
      </c>
      <c r="S4655" t="s">
        <v>114</v>
      </c>
      <c r="T4655" t="s">
        <v>114</v>
      </c>
      <c r="V4655">
        <v>300</v>
      </c>
      <c r="W4655">
        <v>0</v>
      </c>
      <c r="X4655">
        <v>0</v>
      </c>
      <c r="Y4655">
        <v>0</v>
      </c>
      <c r="Z4655">
        <v>0</v>
      </c>
      <c r="AA4655">
        <v>0</v>
      </c>
      <c r="AB4655">
        <v>0</v>
      </c>
      <c r="AC4655">
        <v>0</v>
      </c>
      <c r="AD4655">
        <v>0</v>
      </c>
      <c r="AE4655">
        <v>0</v>
      </c>
      <c r="AF4655">
        <v>0</v>
      </c>
      <c r="AG4655">
        <v>0</v>
      </c>
      <c r="AH4655">
        <v>0</v>
      </c>
      <c r="AI4655">
        <v>0</v>
      </c>
      <c r="AJ4655">
        <v>0</v>
      </c>
      <c r="AK4655">
        <v>0</v>
      </c>
      <c r="AL4655">
        <v>0</v>
      </c>
      <c r="AM4655">
        <v>0</v>
      </c>
      <c r="AN4655">
        <v>0</v>
      </c>
      <c r="AO4655">
        <v>0</v>
      </c>
      <c r="AP4655">
        <v>0</v>
      </c>
      <c r="AQ4655">
        <v>0</v>
      </c>
      <c r="AR4655">
        <v>0</v>
      </c>
      <c r="AS4655">
        <v>0</v>
      </c>
      <c r="AT4655">
        <v>0</v>
      </c>
      <c r="AU4655">
        <f t="shared" si="144"/>
        <v>0</v>
      </c>
      <c r="AV4655">
        <f t="shared" si="145"/>
        <v>0</v>
      </c>
    </row>
    <row r="4656" spans="1:48" x14ac:dyDescent="0.25">
      <c r="A4656" t="s">
        <v>17871</v>
      </c>
      <c r="B4656" t="s">
        <v>17871</v>
      </c>
      <c r="C4656" t="s">
        <v>17872</v>
      </c>
      <c r="D4656" t="s">
        <v>17873</v>
      </c>
      <c r="E4656" t="s">
        <v>2310</v>
      </c>
      <c r="F4656">
        <v>8</v>
      </c>
      <c r="G4656">
        <v>8.3000000000000007</v>
      </c>
      <c r="H4656" t="s">
        <v>2323</v>
      </c>
      <c r="I4656" s="21">
        <v>42466.433657407404</v>
      </c>
      <c r="J4656">
        <v>2016</v>
      </c>
      <c r="K4656" s="21">
        <v>42993.606562499997</v>
      </c>
      <c r="L4656">
        <v>2017</v>
      </c>
      <c r="M4656" s="21">
        <v>42993.606562499997</v>
      </c>
      <c r="N4656">
        <v>2017</v>
      </c>
      <c r="Q4656" s="262">
        <v>1008000</v>
      </c>
      <c r="R4656" s="262">
        <v>563000</v>
      </c>
      <c r="S4656" t="s">
        <v>13254</v>
      </c>
      <c r="W4656">
        <v>4032</v>
      </c>
      <c r="X4656">
        <v>1</v>
      </c>
      <c r="Y4656">
        <v>0</v>
      </c>
      <c r="Z4656">
        <v>0</v>
      </c>
      <c r="AA4656">
        <v>0</v>
      </c>
      <c r="AB4656">
        <v>0</v>
      </c>
      <c r="AC4656">
        <v>4032</v>
      </c>
      <c r="AD4656">
        <v>0</v>
      </c>
      <c r="AE4656">
        <v>0</v>
      </c>
      <c r="AF4656">
        <v>0</v>
      </c>
      <c r="AG4656">
        <v>0</v>
      </c>
      <c r="AH4656">
        <v>0</v>
      </c>
      <c r="AI4656">
        <v>0</v>
      </c>
      <c r="AJ4656">
        <v>0</v>
      </c>
      <c r="AK4656">
        <v>0</v>
      </c>
      <c r="AL4656">
        <v>0</v>
      </c>
      <c r="AM4656">
        <v>0</v>
      </c>
      <c r="AN4656">
        <v>0</v>
      </c>
      <c r="AO4656">
        <v>1</v>
      </c>
      <c r="AP4656">
        <v>0</v>
      </c>
      <c r="AQ4656">
        <v>0</v>
      </c>
      <c r="AR4656">
        <v>0</v>
      </c>
      <c r="AS4656">
        <v>0</v>
      </c>
      <c r="AT4656">
        <v>0</v>
      </c>
      <c r="AU4656">
        <f t="shared" si="144"/>
        <v>1</v>
      </c>
      <c r="AV4656">
        <f t="shared" si="145"/>
        <v>0</v>
      </c>
    </row>
    <row r="4657" spans="1:48" x14ac:dyDescent="0.25">
      <c r="A4657" t="s">
        <v>17874</v>
      </c>
      <c r="B4657" t="s">
        <v>17874</v>
      </c>
      <c r="C4657" t="s">
        <v>17875</v>
      </c>
      <c r="D4657" t="s">
        <v>17873</v>
      </c>
      <c r="E4657" t="s">
        <v>2310</v>
      </c>
      <c r="F4657">
        <v>8</v>
      </c>
      <c r="G4657">
        <v>8.3000000000000007</v>
      </c>
      <c r="H4657" t="s">
        <v>2323</v>
      </c>
      <c r="I4657" s="21">
        <v>42466.445081018515</v>
      </c>
      <c r="J4657">
        <v>2016</v>
      </c>
      <c r="K4657" s="21">
        <v>42993.607442129629</v>
      </c>
      <c r="L4657">
        <v>2017</v>
      </c>
      <c r="M4657" s="21">
        <v>42993.607442129629</v>
      </c>
      <c r="N4657">
        <v>2017</v>
      </c>
      <c r="Q4657" s="262">
        <v>157250</v>
      </c>
      <c r="R4657" s="262">
        <v>28000</v>
      </c>
      <c r="S4657" t="s">
        <v>13254</v>
      </c>
      <c r="W4657">
        <v>629</v>
      </c>
      <c r="X4657">
        <v>0</v>
      </c>
      <c r="Y4657">
        <v>0</v>
      </c>
      <c r="Z4657">
        <v>0</v>
      </c>
      <c r="AA4657">
        <v>0</v>
      </c>
      <c r="AB4657">
        <v>0</v>
      </c>
      <c r="AC4657">
        <v>629</v>
      </c>
      <c r="AD4657">
        <v>0</v>
      </c>
      <c r="AE4657">
        <v>0</v>
      </c>
      <c r="AF4657">
        <v>0</v>
      </c>
      <c r="AG4657">
        <v>0</v>
      </c>
      <c r="AH4657">
        <v>0</v>
      </c>
      <c r="AI4657">
        <v>0</v>
      </c>
      <c r="AJ4657">
        <v>0</v>
      </c>
      <c r="AK4657">
        <v>0</v>
      </c>
      <c r="AL4657">
        <v>0</v>
      </c>
      <c r="AM4657">
        <v>0</v>
      </c>
      <c r="AN4657">
        <v>0</v>
      </c>
      <c r="AO4657">
        <v>0</v>
      </c>
      <c r="AP4657">
        <v>0</v>
      </c>
      <c r="AQ4657">
        <v>0</v>
      </c>
      <c r="AR4657">
        <v>0</v>
      </c>
      <c r="AS4657">
        <v>0</v>
      </c>
      <c r="AT4657">
        <v>0</v>
      </c>
      <c r="AU4657">
        <f t="shared" si="144"/>
        <v>0</v>
      </c>
      <c r="AV4657">
        <f t="shared" si="145"/>
        <v>0</v>
      </c>
    </row>
    <row r="4658" spans="1:48" x14ac:dyDescent="0.25">
      <c r="A4658" t="s">
        <v>17919</v>
      </c>
      <c r="B4658" t="s">
        <v>17919</v>
      </c>
      <c r="C4658" t="s">
        <v>17920</v>
      </c>
      <c r="D4658" t="s">
        <v>17921</v>
      </c>
      <c r="E4658" t="s">
        <v>2310</v>
      </c>
      <c r="F4658">
        <v>9</v>
      </c>
      <c r="G4658">
        <v>9.4</v>
      </c>
      <c r="H4658" t="s">
        <v>2323</v>
      </c>
      <c r="I4658" s="21">
        <v>42466.574687499997</v>
      </c>
      <c r="J4658">
        <v>2016</v>
      </c>
      <c r="K4658" s="21">
        <v>42548.566400462965</v>
      </c>
      <c r="L4658">
        <v>2016</v>
      </c>
      <c r="M4658" s="21">
        <v>43105.571111111109</v>
      </c>
      <c r="N4658">
        <v>2018</v>
      </c>
      <c r="Q4658" s="262">
        <v>2250000</v>
      </c>
      <c r="R4658" s="262">
        <v>598000</v>
      </c>
      <c r="S4658" t="s">
        <v>13254</v>
      </c>
      <c r="W4658">
        <v>5052</v>
      </c>
      <c r="X4658">
        <v>1</v>
      </c>
      <c r="Y4658">
        <v>0</v>
      </c>
      <c r="Z4658">
        <v>0</v>
      </c>
      <c r="AA4658">
        <v>0</v>
      </c>
      <c r="AB4658">
        <v>0</v>
      </c>
      <c r="AC4658">
        <v>5052</v>
      </c>
      <c r="AD4658">
        <v>0</v>
      </c>
      <c r="AE4658">
        <v>0</v>
      </c>
      <c r="AF4658">
        <v>0</v>
      </c>
      <c r="AG4658">
        <v>0</v>
      </c>
      <c r="AH4658">
        <v>0</v>
      </c>
      <c r="AI4658">
        <v>0</v>
      </c>
      <c r="AJ4658">
        <v>0</v>
      </c>
      <c r="AK4658">
        <v>0</v>
      </c>
      <c r="AL4658">
        <v>0</v>
      </c>
      <c r="AM4658">
        <v>0</v>
      </c>
      <c r="AN4658">
        <v>0</v>
      </c>
      <c r="AO4658">
        <v>1</v>
      </c>
      <c r="AP4658">
        <v>0</v>
      </c>
      <c r="AQ4658">
        <v>0</v>
      </c>
      <c r="AR4658">
        <v>0</v>
      </c>
      <c r="AS4658">
        <v>0</v>
      </c>
      <c r="AT4658">
        <v>0</v>
      </c>
      <c r="AU4658">
        <f t="shared" si="144"/>
        <v>1</v>
      </c>
      <c r="AV4658">
        <f t="shared" si="145"/>
        <v>0</v>
      </c>
    </row>
    <row r="4659" spans="1:48" x14ac:dyDescent="0.25">
      <c r="A4659" t="s">
        <v>17876</v>
      </c>
      <c r="B4659" t="s">
        <v>17876</v>
      </c>
      <c r="C4659" t="s">
        <v>17877</v>
      </c>
      <c r="D4659" t="s">
        <v>17878</v>
      </c>
      <c r="E4659" t="s">
        <v>2310</v>
      </c>
      <c r="F4659">
        <v>14</v>
      </c>
      <c r="G4659">
        <v>14.2</v>
      </c>
      <c r="H4659" t="s">
        <v>2017</v>
      </c>
      <c r="I4659" s="21">
        <v>42467.481516203705</v>
      </c>
      <c r="J4659">
        <v>2016</v>
      </c>
      <c r="K4659" s="21">
        <v>42830.350543981483</v>
      </c>
      <c r="L4659">
        <v>2017</v>
      </c>
      <c r="M4659" s="21">
        <v>42830.350543981483</v>
      </c>
      <c r="N4659">
        <v>2017</v>
      </c>
      <c r="Q4659" s="262">
        <v>849000</v>
      </c>
      <c r="R4659" s="262">
        <v>429000</v>
      </c>
      <c r="S4659" t="s">
        <v>13254</v>
      </c>
      <c r="W4659">
        <v>4245</v>
      </c>
      <c r="X4659">
        <v>1</v>
      </c>
      <c r="Y4659">
        <v>0</v>
      </c>
      <c r="Z4659">
        <v>0</v>
      </c>
      <c r="AA4659">
        <v>0</v>
      </c>
      <c r="AB4659">
        <v>0</v>
      </c>
      <c r="AC4659">
        <v>4245</v>
      </c>
      <c r="AD4659">
        <v>0</v>
      </c>
      <c r="AE4659">
        <v>0</v>
      </c>
      <c r="AF4659">
        <v>0</v>
      </c>
      <c r="AG4659">
        <v>0</v>
      </c>
      <c r="AH4659">
        <v>0</v>
      </c>
      <c r="AI4659">
        <v>0</v>
      </c>
      <c r="AJ4659">
        <v>0</v>
      </c>
      <c r="AK4659">
        <v>0</v>
      </c>
      <c r="AL4659">
        <v>0</v>
      </c>
      <c r="AM4659">
        <v>0</v>
      </c>
      <c r="AN4659">
        <v>0</v>
      </c>
      <c r="AO4659">
        <v>1</v>
      </c>
      <c r="AP4659">
        <v>0</v>
      </c>
      <c r="AQ4659">
        <v>0</v>
      </c>
      <c r="AR4659">
        <v>0</v>
      </c>
      <c r="AS4659">
        <v>0</v>
      </c>
      <c r="AT4659">
        <v>0</v>
      </c>
      <c r="AU4659">
        <f t="shared" si="144"/>
        <v>1</v>
      </c>
      <c r="AV4659">
        <f t="shared" si="145"/>
        <v>0</v>
      </c>
    </row>
    <row r="4660" spans="1:48" x14ac:dyDescent="0.25">
      <c r="A4660" t="s">
        <v>13267</v>
      </c>
      <c r="C4660" t="s">
        <v>13268</v>
      </c>
      <c r="D4660" t="s">
        <v>13269</v>
      </c>
      <c r="E4660" t="s">
        <v>1663</v>
      </c>
      <c r="F4660">
        <v>4</v>
      </c>
      <c r="G4660">
        <v>4.4000000000000004</v>
      </c>
      <c r="H4660" t="s">
        <v>2017</v>
      </c>
      <c r="I4660" s="21">
        <v>42468</v>
      </c>
      <c r="J4660">
        <v>2016</v>
      </c>
      <c r="K4660" s="21">
        <v>42473</v>
      </c>
      <c r="L4660">
        <v>2016</v>
      </c>
      <c r="P4660" s="21">
        <v>42813</v>
      </c>
      <c r="Q4660" s="262">
        <v>65000</v>
      </c>
      <c r="S4660" t="s">
        <v>114</v>
      </c>
      <c r="T4660" t="s">
        <v>114</v>
      </c>
      <c r="W4660">
        <v>0</v>
      </c>
      <c r="X4660">
        <v>0</v>
      </c>
      <c r="Y4660">
        <v>0</v>
      </c>
      <c r="Z4660">
        <v>0</v>
      </c>
      <c r="AA4660">
        <v>0</v>
      </c>
      <c r="AB4660">
        <v>0</v>
      </c>
      <c r="AC4660">
        <v>0</v>
      </c>
      <c r="AD4660">
        <v>0</v>
      </c>
      <c r="AE4660">
        <v>0</v>
      </c>
      <c r="AF4660">
        <v>0</v>
      </c>
      <c r="AG4660">
        <v>0</v>
      </c>
      <c r="AH4660">
        <v>0</v>
      </c>
      <c r="AI4660">
        <v>0</v>
      </c>
      <c r="AJ4660">
        <v>0</v>
      </c>
      <c r="AK4660">
        <v>0</v>
      </c>
      <c r="AL4660">
        <v>0</v>
      </c>
      <c r="AM4660">
        <v>0</v>
      </c>
      <c r="AN4660">
        <v>0</v>
      </c>
      <c r="AO4660">
        <v>0</v>
      </c>
      <c r="AP4660">
        <v>0</v>
      </c>
      <c r="AQ4660">
        <v>0</v>
      </c>
      <c r="AR4660">
        <v>0</v>
      </c>
      <c r="AS4660">
        <v>0</v>
      </c>
      <c r="AT4660">
        <v>0</v>
      </c>
      <c r="AU4660">
        <f t="shared" si="144"/>
        <v>0</v>
      </c>
      <c r="AV4660">
        <f t="shared" si="145"/>
        <v>0</v>
      </c>
    </row>
    <row r="4661" spans="1:48" x14ac:dyDescent="0.25">
      <c r="A4661" t="s">
        <v>14309</v>
      </c>
      <c r="C4661" t="s">
        <v>14310</v>
      </c>
      <c r="D4661" t="s">
        <v>14311</v>
      </c>
      <c r="E4661" t="s">
        <v>1663</v>
      </c>
      <c r="F4661">
        <v>4</v>
      </c>
      <c r="G4661">
        <v>4.3</v>
      </c>
      <c r="H4661" t="s">
        <v>2327</v>
      </c>
      <c r="I4661" s="21">
        <v>42468</v>
      </c>
      <c r="J4661">
        <v>2016</v>
      </c>
      <c r="K4661" s="21">
        <v>42515</v>
      </c>
      <c r="L4661">
        <v>2016</v>
      </c>
      <c r="M4661" s="21">
        <v>42800</v>
      </c>
      <c r="N4661">
        <v>2017</v>
      </c>
      <c r="Q4661" s="262">
        <v>250000</v>
      </c>
      <c r="S4661" t="s">
        <v>114</v>
      </c>
      <c r="T4661" t="s">
        <v>114</v>
      </c>
      <c r="W4661">
        <v>0</v>
      </c>
      <c r="X4661">
        <v>0</v>
      </c>
      <c r="Y4661">
        <v>0</v>
      </c>
      <c r="Z4661">
        <v>0</v>
      </c>
      <c r="AA4661">
        <v>0</v>
      </c>
      <c r="AB4661">
        <v>0</v>
      </c>
      <c r="AC4661">
        <v>0</v>
      </c>
      <c r="AD4661">
        <v>0</v>
      </c>
      <c r="AE4661">
        <v>0</v>
      </c>
      <c r="AF4661">
        <v>0</v>
      </c>
      <c r="AG4661">
        <v>0</v>
      </c>
      <c r="AH4661">
        <v>0</v>
      </c>
      <c r="AI4661">
        <v>0</v>
      </c>
      <c r="AJ4661">
        <v>0</v>
      </c>
      <c r="AK4661">
        <v>0</v>
      </c>
      <c r="AL4661">
        <v>0</v>
      </c>
      <c r="AM4661">
        <v>0</v>
      </c>
      <c r="AN4661">
        <v>0</v>
      </c>
      <c r="AO4661">
        <v>0</v>
      </c>
      <c r="AP4661">
        <v>0</v>
      </c>
      <c r="AQ4661">
        <v>0</v>
      </c>
      <c r="AR4661">
        <v>0</v>
      </c>
      <c r="AS4661">
        <v>0</v>
      </c>
      <c r="AT4661">
        <v>0</v>
      </c>
      <c r="AU4661">
        <f t="shared" si="144"/>
        <v>0</v>
      </c>
      <c r="AV4661">
        <f t="shared" si="145"/>
        <v>0</v>
      </c>
    </row>
    <row r="4662" spans="1:48" x14ac:dyDescent="0.25">
      <c r="A4662" t="s">
        <v>18848</v>
      </c>
      <c r="B4662" t="s">
        <v>114</v>
      </c>
      <c r="C4662" t="s">
        <v>18849</v>
      </c>
      <c r="D4662" t="s">
        <v>13195</v>
      </c>
      <c r="E4662" t="s">
        <v>1663</v>
      </c>
      <c r="F4662">
        <v>3</v>
      </c>
      <c r="G4662">
        <v>3.2</v>
      </c>
      <c r="H4662" t="s">
        <v>2327</v>
      </c>
      <c r="I4662" s="21">
        <v>42468</v>
      </c>
      <c r="J4662">
        <v>2016</v>
      </c>
      <c r="K4662" s="21">
        <v>42643</v>
      </c>
      <c r="L4662">
        <v>2016</v>
      </c>
      <c r="M4662" s="21">
        <v>43539</v>
      </c>
      <c r="N4662">
        <v>2019</v>
      </c>
      <c r="Q4662" s="262">
        <v>10000</v>
      </c>
      <c r="S4662" t="s">
        <v>13253</v>
      </c>
      <c r="T4662">
        <v>9746</v>
      </c>
      <c r="W4662">
        <v>-645</v>
      </c>
      <c r="X4662">
        <v>0</v>
      </c>
      <c r="Y4662">
        <v>0</v>
      </c>
      <c r="Z4662">
        <v>0</v>
      </c>
      <c r="AA4662">
        <v>0</v>
      </c>
      <c r="AB4662">
        <v>0</v>
      </c>
      <c r="AC4662">
        <v>-645</v>
      </c>
      <c r="AD4662">
        <v>0</v>
      </c>
      <c r="AE4662">
        <v>0</v>
      </c>
      <c r="AF4662">
        <v>0</v>
      </c>
      <c r="AG4662">
        <v>0</v>
      </c>
      <c r="AH4662">
        <v>0</v>
      </c>
      <c r="AI4662">
        <v>0</v>
      </c>
      <c r="AJ4662">
        <v>0</v>
      </c>
      <c r="AK4662">
        <v>0</v>
      </c>
      <c r="AL4662">
        <v>0</v>
      </c>
      <c r="AM4662">
        <v>0</v>
      </c>
      <c r="AN4662">
        <v>0</v>
      </c>
      <c r="AO4662">
        <v>0</v>
      </c>
      <c r="AP4662">
        <v>0</v>
      </c>
      <c r="AQ4662">
        <v>0</v>
      </c>
      <c r="AR4662">
        <v>0</v>
      </c>
      <c r="AS4662">
        <v>0</v>
      </c>
      <c r="AT4662">
        <v>0</v>
      </c>
      <c r="AU4662">
        <f t="shared" si="144"/>
        <v>0</v>
      </c>
      <c r="AV4662">
        <f t="shared" si="145"/>
        <v>0</v>
      </c>
    </row>
    <row r="4663" spans="1:48" x14ac:dyDescent="0.25">
      <c r="A4663" t="s">
        <v>13270</v>
      </c>
      <c r="C4663" t="s">
        <v>13271</v>
      </c>
      <c r="D4663" t="s">
        <v>13210</v>
      </c>
      <c r="E4663" t="s">
        <v>1663</v>
      </c>
      <c r="F4663">
        <v>2</v>
      </c>
      <c r="G4663">
        <v>2.6</v>
      </c>
      <c r="H4663" t="s">
        <v>2327</v>
      </c>
      <c r="I4663" s="21">
        <v>42468</v>
      </c>
      <c r="J4663">
        <v>2016</v>
      </c>
      <c r="K4663" s="21">
        <v>42472</v>
      </c>
      <c r="L4663">
        <v>2016</v>
      </c>
      <c r="M4663" s="21">
        <v>42538</v>
      </c>
      <c r="N4663">
        <v>2016</v>
      </c>
      <c r="Q4663" s="262">
        <v>0</v>
      </c>
      <c r="S4663" t="s">
        <v>114</v>
      </c>
      <c r="T4663" t="s">
        <v>114</v>
      </c>
      <c r="W4663">
        <v>0</v>
      </c>
      <c r="X4663">
        <v>0</v>
      </c>
      <c r="Y4663">
        <v>0</v>
      </c>
      <c r="Z4663">
        <v>0</v>
      </c>
      <c r="AA4663">
        <v>0</v>
      </c>
      <c r="AB4663">
        <v>0</v>
      </c>
      <c r="AC4663">
        <v>0</v>
      </c>
      <c r="AD4663">
        <v>0</v>
      </c>
      <c r="AE4663">
        <v>0</v>
      </c>
      <c r="AF4663">
        <v>0</v>
      </c>
      <c r="AG4663">
        <v>0</v>
      </c>
      <c r="AH4663">
        <v>0</v>
      </c>
      <c r="AI4663">
        <v>0</v>
      </c>
      <c r="AJ4663">
        <v>0</v>
      </c>
      <c r="AK4663">
        <v>0</v>
      </c>
      <c r="AL4663">
        <v>0</v>
      </c>
      <c r="AM4663">
        <v>0</v>
      </c>
      <c r="AN4663">
        <v>0</v>
      </c>
      <c r="AO4663">
        <v>0</v>
      </c>
      <c r="AP4663">
        <v>0</v>
      </c>
      <c r="AQ4663">
        <v>0</v>
      </c>
      <c r="AR4663">
        <v>0</v>
      </c>
      <c r="AS4663">
        <v>0</v>
      </c>
      <c r="AT4663">
        <v>0</v>
      </c>
      <c r="AU4663">
        <f t="shared" si="144"/>
        <v>0</v>
      </c>
      <c r="AV4663">
        <f t="shared" si="145"/>
        <v>0</v>
      </c>
    </row>
    <row r="4664" spans="1:48" x14ac:dyDescent="0.25">
      <c r="A4664" t="s">
        <v>13272</v>
      </c>
      <c r="C4664" t="s">
        <v>13273</v>
      </c>
      <c r="D4664" t="s">
        <v>13274</v>
      </c>
      <c r="E4664" t="s">
        <v>1663</v>
      </c>
      <c r="F4664">
        <v>2</v>
      </c>
      <c r="G4664">
        <v>2.2999999999999998</v>
      </c>
      <c r="H4664" t="s">
        <v>2327</v>
      </c>
      <c r="I4664" s="21">
        <v>42468</v>
      </c>
      <c r="J4664">
        <v>2016</v>
      </c>
      <c r="K4664" s="21">
        <v>42496</v>
      </c>
      <c r="L4664">
        <v>2016</v>
      </c>
      <c r="P4664" s="21">
        <v>42816</v>
      </c>
      <c r="Q4664" s="262">
        <v>30000</v>
      </c>
      <c r="S4664" t="s">
        <v>114</v>
      </c>
      <c r="T4664" t="s">
        <v>114</v>
      </c>
      <c r="W4664">
        <v>0</v>
      </c>
      <c r="X4664">
        <v>0</v>
      </c>
      <c r="Y4664">
        <v>0</v>
      </c>
      <c r="Z4664">
        <v>0</v>
      </c>
      <c r="AA4664">
        <v>0</v>
      </c>
      <c r="AB4664">
        <v>0</v>
      </c>
      <c r="AC4664">
        <v>0</v>
      </c>
      <c r="AD4664">
        <v>0</v>
      </c>
      <c r="AE4664">
        <v>0</v>
      </c>
      <c r="AF4664">
        <v>0</v>
      </c>
      <c r="AG4664">
        <v>0</v>
      </c>
      <c r="AH4664">
        <v>0</v>
      </c>
      <c r="AI4664">
        <v>0</v>
      </c>
      <c r="AJ4664">
        <v>0</v>
      </c>
      <c r="AK4664">
        <v>0</v>
      </c>
      <c r="AL4664">
        <v>0</v>
      </c>
      <c r="AM4664">
        <v>0</v>
      </c>
      <c r="AN4664">
        <v>0</v>
      </c>
      <c r="AO4664">
        <v>0</v>
      </c>
      <c r="AP4664">
        <v>0</v>
      </c>
      <c r="AQ4664">
        <v>0</v>
      </c>
      <c r="AR4664">
        <v>0</v>
      </c>
      <c r="AS4664">
        <v>0</v>
      </c>
      <c r="AT4664">
        <v>0</v>
      </c>
      <c r="AU4664">
        <f t="shared" si="144"/>
        <v>0</v>
      </c>
      <c r="AV4664">
        <f t="shared" si="145"/>
        <v>0</v>
      </c>
    </row>
    <row r="4665" spans="1:48" x14ac:dyDescent="0.25">
      <c r="A4665" t="s">
        <v>13276</v>
      </c>
      <c r="C4665" t="s">
        <v>13277</v>
      </c>
      <c r="D4665" t="s">
        <v>13259</v>
      </c>
      <c r="E4665" t="s">
        <v>1663</v>
      </c>
      <c r="F4665">
        <v>4</v>
      </c>
      <c r="G4665">
        <v>4.3</v>
      </c>
      <c r="H4665" t="s">
        <v>2327</v>
      </c>
      <c r="I4665" s="21">
        <v>42472</v>
      </c>
      <c r="J4665">
        <v>2016</v>
      </c>
      <c r="K4665" s="21">
        <v>42489</v>
      </c>
      <c r="L4665">
        <v>2016</v>
      </c>
      <c r="M4665" s="21">
        <v>42706</v>
      </c>
      <c r="N4665">
        <v>2016</v>
      </c>
      <c r="Q4665" s="262">
        <v>200000</v>
      </c>
      <c r="S4665" t="s">
        <v>114</v>
      </c>
      <c r="T4665" t="s">
        <v>114</v>
      </c>
      <c r="W4665">
        <v>0</v>
      </c>
      <c r="X4665">
        <v>0</v>
      </c>
      <c r="Y4665">
        <v>0</v>
      </c>
      <c r="Z4665">
        <v>0</v>
      </c>
      <c r="AA4665">
        <v>0</v>
      </c>
      <c r="AB4665">
        <v>0</v>
      </c>
      <c r="AC4665">
        <v>0</v>
      </c>
      <c r="AD4665">
        <v>0</v>
      </c>
      <c r="AE4665">
        <v>0</v>
      </c>
      <c r="AF4665">
        <v>0</v>
      </c>
      <c r="AG4665">
        <v>0</v>
      </c>
      <c r="AH4665">
        <v>0</v>
      </c>
      <c r="AI4665">
        <v>0</v>
      </c>
      <c r="AJ4665">
        <v>0</v>
      </c>
      <c r="AK4665">
        <v>0</v>
      </c>
      <c r="AL4665">
        <v>0</v>
      </c>
      <c r="AM4665">
        <v>0</v>
      </c>
      <c r="AN4665">
        <v>0</v>
      </c>
      <c r="AO4665">
        <v>0</v>
      </c>
      <c r="AP4665">
        <v>0</v>
      </c>
      <c r="AQ4665">
        <v>0</v>
      </c>
      <c r="AR4665">
        <v>0</v>
      </c>
      <c r="AS4665">
        <v>0</v>
      </c>
      <c r="AT4665">
        <v>0</v>
      </c>
      <c r="AU4665">
        <f t="shared" si="144"/>
        <v>0</v>
      </c>
      <c r="AV4665">
        <f t="shared" si="145"/>
        <v>0</v>
      </c>
    </row>
    <row r="4666" spans="1:48" x14ac:dyDescent="0.25">
      <c r="A4666" t="s">
        <v>17984</v>
      </c>
      <c r="B4666" t="s">
        <v>17984</v>
      </c>
      <c r="C4666" t="s">
        <v>17985</v>
      </c>
      <c r="D4666" t="s">
        <v>17986</v>
      </c>
      <c r="E4666" t="s">
        <v>2310</v>
      </c>
      <c r="F4666">
        <v>12</v>
      </c>
      <c r="G4666">
        <v>12.3</v>
      </c>
      <c r="H4666" t="s">
        <v>2017</v>
      </c>
      <c r="I4666" s="21">
        <v>42472.445115740738</v>
      </c>
      <c r="J4666">
        <v>2016</v>
      </c>
      <c r="K4666" s="21">
        <v>42515.56827546296</v>
      </c>
      <c r="L4666">
        <v>2016</v>
      </c>
      <c r="M4666" s="21">
        <v>43159.33221064815</v>
      </c>
      <c r="N4666">
        <v>2018</v>
      </c>
      <c r="Q4666" s="262">
        <v>1750000</v>
      </c>
      <c r="R4666" s="262">
        <v>635000</v>
      </c>
      <c r="S4666" t="s">
        <v>13254</v>
      </c>
      <c r="W4666">
        <v>4997</v>
      </c>
      <c r="X4666">
        <v>1</v>
      </c>
      <c r="Y4666">
        <v>0</v>
      </c>
      <c r="Z4666">
        <v>0</v>
      </c>
      <c r="AA4666">
        <v>0</v>
      </c>
      <c r="AB4666">
        <v>0</v>
      </c>
      <c r="AC4666">
        <v>4997</v>
      </c>
      <c r="AD4666">
        <v>0</v>
      </c>
      <c r="AE4666">
        <v>0</v>
      </c>
      <c r="AF4666">
        <v>0</v>
      </c>
      <c r="AG4666">
        <v>0</v>
      </c>
      <c r="AH4666">
        <v>0</v>
      </c>
      <c r="AI4666">
        <v>0</v>
      </c>
      <c r="AJ4666">
        <v>0</v>
      </c>
      <c r="AK4666">
        <v>0</v>
      </c>
      <c r="AL4666">
        <v>0</v>
      </c>
      <c r="AM4666">
        <v>0</v>
      </c>
      <c r="AN4666">
        <v>0</v>
      </c>
      <c r="AO4666">
        <v>1</v>
      </c>
      <c r="AP4666">
        <v>0</v>
      </c>
      <c r="AQ4666">
        <v>0</v>
      </c>
      <c r="AR4666">
        <v>0</v>
      </c>
      <c r="AS4666">
        <v>0</v>
      </c>
      <c r="AT4666">
        <v>0</v>
      </c>
      <c r="AU4666">
        <f t="shared" si="144"/>
        <v>1</v>
      </c>
      <c r="AV4666">
        <f t="shared" si="145"/>
        <v>0</v>
      </c>
    </row>
    <row r="4667" spans="1:48" x14ac:dyDescent="0.25">
      <c r="A4667" t="s">
        <v>17512</v>
      </c>
      <c r="B4667" t="s">
        <v>17512</v>
      </c>
      <c r="C4667" t="s">
        <v>17513</v>
      </c>
      <c r="D4667" t="s">
        <v>17514</v>
      </c>
      <c r="E4667" t="s">
        <v>2310</v>
      </c>
      <c r="F4667">
        <v>7</v>
      </c>
      <c r="G4667">
        <v>7.1</v>
      </c>
      <c r="H4667" t="s">
        <v>2017</v>
      </c>
      <c r="I4667" s="21">
        <v>42472.606504629628</v>
      </c>
      <c r="J4667">
        <v>2016</v>
      </c>
      <c r="K4667" s="21">
        <v>42759.598495370374</v>
      </c>
      <c r="L4667">
        <v>2017</v>
      </c>
      <c r="M4667" s="21">
        <v>42759.598495370374</v>
      </c>
      <c r="N4667">
        <v>2017</v>
      </c>
      <c r="Q4667" s="262">
        <v>1800000</v>
      </c>
      <c r="R4667" s="262">
        <v>759000</v>
      </c>
      <c r="S4667" t="s">
        <v>13254</v>
      </c>
      <c r="W4667">
        <v>9060</v>
      </c>
      <c r="X4667">
        <v>1</v>
      </c>
      <c r="Y4667">
        <v>0</v>
      </c>
      <c r="Z4667">
        <v>0</v>
      </c>
      <c r="AA4667">
        <v>0</v>
      </c>
      <c r="AB4667">
        <v>0</v>
      </c>
      <c r="AC4667">
        <v>0</v>
      </c>
      <c r="AD4667">
        <v>0</v>
      </c>
      <c r="AE4667">
        <v>3860</v>
      </c>
      <c r="AG4667">
        <v>0</v>
      </c>
      <c r="AH4667">
        <v>0</v>
      </c>
      <c r="AI4667">
        <v>0</v>
      </c>
      <c r="AJ4667">
        <v>0</v>
      </c>
      <c r="AK4667">
        <v>0</v>
      </c>
      <c r="AL4667">
        <v>5200</v>
      </c>
      <c r="AM4667">
        <v>0</v>
      </c>
      <c r="AN4667">
        <v>0</v>
      </c>
      <c r="AO4667">
        <v>0</v>
      </c>
      <c r="AP4667">
        <v>0</v>
      </c>
      <c r="AQ4667">
        <v>1</v>
      </c>
      <c r="AR4667">
        <v>0</v>
      </c>
      <c r="AS4667">
        <v>0</v>
      </c>
      <c r="AT4667">
        <v>0</v>
      </c>
      <c r="AU4667">
        <f t="shared" si="144"/>
        <v>1</v>
      </c>
      <c r="AV4667">
        <f t="shared" si="145"/>
        <v>5200</v>
      </c>
    </row>
    <row r="4668" spans="1:48" x14ac:dyDescent="0.25">
      <c r="A4668" t="s">
        <v>17879</v>
      </c>
      <c r="B4668" t="s">
        <v>17879</v>
      </c>
      <c r="C4668" t="s">
        <v>13256</v>
      </c>
      <c r="D4668" t="s">
        <v>8351</v>
      </c>
      <c r="E4668" t="s">
        <v>2310</v>
      </c>
      <c r="F4668">
        <v>8</v>
      </c>
      <c r="G4668">
        <v>8.1</v>
      </c>
      <c r="H4668" t="s">
        <v>2323</v>
      </c>
      <c r="I4668" s="21">
        <v>42473.562094907407</v>
      </c>
      <c r="J4668">
        <v>2016</v>
      </c>
      <c r="K4668" s="21">
        <v>42916.678298611114</v>
      </c>
      <c r="L4668">
        <v>2017</v>
      </c>
      <c r="M4668" s="21">
        <v>42916.678298611114</v>
      </c>
      <c r="N4668">
        <v>2017</v>
      </c>
      <c r="Q4668" s="262">
        <v>500000</v>
      </c>
      <c r="R4668" s="262">
        <v>73000</v>
      </c>
      <c r="S4668" t="s">
        <v>13254</v>
      </c>
      <c r="W4668">
        <v>1680</v>
      </c>
      <c r="X4668">
        <v>0</v>
      </c>
      <c r="Y4668">
        <v>0</v>
      </c>
      <c r="Z4668">
        <v>0</v>
      </c>
      <c r="AA4668">
        <v>0</v>
      </c>
      <c r="AB4668">
        <v>0</v>
      </c>
      <c r="AC4668">
        <v>1680</v>
      </c>
      <c r="AD4668">
        <v>0</v>
      </c>
      <c r="AE4668">
        <v>0</v>
      </c>
      <c r="AF4668">
        <v>0</v>
      </c>
      <c r="AG4668">
        <v>0</v>
      </c>
      <c r="AH4668">
        <v>0</v>
      </c>
      <c r="AI4668">
        <v>0</v>
      </c>
      <c r="AJ4668">
        <v>0</v>
      </c>
      <c r="AK4668">
        <v>0</v>
      </c>
      <c r="AL4668">
        <v>0</v>
      </c>
      <c r="AM4668">
        <v>0</v>
      </c>
      <c r="AN4668">
        <v>0</v>
      </c>
      <c r="AO4668">
        <v>0</v>
      </c>
      <c r="AP4668">
        <v>0</v>
      </c>
      <c r="AQ4668">
        <v>0</v>
      </c>
      <c r="AR4668">
        <v>0</v>
      </c>
      <c r="AS4668">
        <v>0</v>
      </c>
      <c r="AT4668">
        <v>0</v>
      </c>
      <c r="AU4668">
        <f t="shared" si="144"/>
        <v>0</v>
      </c>
      <c r="AV4668">
        <f t="shared" si="145"/>
        <v>0</v>
      </c>
    </row>
    <row r="4669" spans="1:48" x14ac:dyDescent="0.25">
      <c r="A4669" t="s">
        <v>13278</v>
      </c>
      <c r="B4669" t="s">
        <v>13278</v>
      </c>
      <c r="C4669" t="s">
        <v>13279</v>
      </c>
      <c r="D4669" t="s">
        <v>6692</v>
      </c>
      <c r="E4669" t="s">
        <v>2310</v>
      </c>
      <c r="F4669">
        <v>9</v>
      </c>
      <c r="G4669">
        <v>9.1999999999999993</v>
      </c>
      <c r="H4669" t="s">
        <v>2022</v>
      </c>
      <c r="I4669" s="21">
        <v>42473.587650463</v>
      </c>
      <c r="J4669">
        <v>2016</v>
      </c>
      <c r="K4669" s="21">
        <v>42515.4116782407</v>
      </c>
      <c r="L4669">
        <v>2016</v>
      </c>
      <c r="M4669" s="21">
        <v>42726.388587963003</v>
      </c>
      <c r="N4669">
        <v>2016</v>
      </c>
      <c r="Q4669" s="262">
        <v>80000</v>
      </c>
      <c r="R4669" s="262">
        <v>2000</v>
      </c>
      <c r="S4669" t="s">
        <v>114</v>
      </c>
      <c r="T4669" t="s">
        <v>114</v>
      </c>
      <c r="W4669">
        <v>16</v>
      </c>
      <c r="X4669">
        <v>0</v>
      </c>
      <c r="Y4669">
        <v>0</v>
      </c>
      <c r="Z4669">
        <v>0</v>
      </c>
      <c r="AA4669">
        <v>0</v>
      </c>
      <c r="AB4669">
        <v>0</v>
      </c>
      <c r="AC4669">
        <v>16</v>
      </c>
      <c r="AD4669">
        <v>0</v>
      </c>
      <c r="AE4669">
        <v>0</v>
      </c>
      <c r="AF4669">
        <v>0</v>
      </c>
      <c r="AG4669">
        <v>0</v>
      </c>
      <c r="AH4669">
        <v>0</v>
      </c>
      <c r="AI4669">
        <v>0</v>
      </c>
      <c r="AJ4669">
        <v>0</v>
      </c>
      <c r="AK4669">
        <v>0</v>
      </c>
      <c r="AL4669">
        <v>0</v>
      </c>
      <c r="AM4669">
        <v>0</v>
      </c>
      <c r="AN4669">
        <v>0</v>
      </c>
      <c r="AO4669">
        <v>0</v>
      </c>
      <c r="AP4669">
        <v>0</v>
      </c>
      <c r="AQ4669">
        <v>0</v>
      </c>
      <c r="AR4669">
        <v>0</v>
      </c>
      <c r="AS4669">
        <v>0</v>
      </c>
      <c r="AT4669">
        <v>0</v>
      </c>
      <c r="AU4669">
        <f t="shared" si="144"/>
        <v>0</v>
      </c>
      <c r="AV4669">
        <f t="shared" si="145"/>
        <v>0</v>
      </c>
    </row>
    <row r="4670" spans="1:48" x14ac:dyDescent="0.25">
      <c r="A4670" t="s">
        <v>13280</v>
      </c>
      <c r="B4670" t="s">
        <v>13280</v>
      </c>
      <c r="C4670" t="s">
        <v>13281</v>
      </c>
      <c r="D4670" t="s">
        <v>13282</v>
      </c>
      <c r="E4670" t="s">
        <v>2310</v>
      </c>
      <c r="F4670">
        <v>9</v>
      </c>
      <c r="G4670">
        <v>9.3000000000000007</v>
      </c>
      <c r="H4670" t="s">
        <v>2323</v>
      </c>
      <c r="I4670" s="21">
        <v>42474.5994907407</v>
      </c>
      <c r="J4670">
        <v>2016</v>
      </c>
      <c r="K4670" s="21">
        <v>42488.415844907402</v>
      </c>
      <c r="L4670">
        <v>2016</v>
      </c>
      <c r="M4670" s="21">
        <v>42692.3491319444</v>
      </c>
      <c r="N4670">
        <v>2016</v>
      </c>
      <c r="Q4670" s="262">
        <v>135000</v>
      </c>
      <c r="R4670" s="262">
        <v>29000</v>
      </c>
      <c r="S4670" t="s">
        <v>114</v>
      </c>
      <c r="T4670" t="s">
        <v>114</v>
      </c>
      <c r="W4670">
        <v>0</v>
      </c>
      <c r="X4670">
        <v>0</v>
      </c>
      <c r="Y4670">
        <v>0</v>
      </c>
      <c r="Z4670">
        <v>0</v>
      </c>
      <c r="AA4670">
        <v>0</v>
      </c>
      <c r="AB4670">
        <v>0</v>
      </c>
      <c r="AC4670">
        <v>0</v>
      </c>
      <c r="AD4670">
        <v>0</v>
      </c>
      <c r="AE4670">
        <v>0</v>
      </c>
      <c r="AF4670">
        <v>0</v>
      </c>
      <c r="AG4670">
        <v>0</v>
      </c>
      <c r="AH4670">
        <v>0</v>
      </c>
      <c r="AI4670">
        <v>0</v>
      </c>
      <c r="AJ4670">
        <v>0</v>
      </c>
      <c r="AK4670">
        <v>0</v>
      </c>
      <c r="AL4670">
        <v>0</v>
      </c>
      <c r="AM4670">
        <v>0</v>
      </c>
      <c r="AN4670">
        <v>0</v>
      </c>
      <c r="AO4670">
        <v>0</v>
      </c>
      <c r="AP4670">
        <v>0</v>
      </c>
      <c r="AQ4670">
        <v>0</v>
      </c>
      <c r="AR4670">
        <v>0</v>
      </c>
      <c r="AS4670">
        <v>0</v>
      </c>
      <c r="AT4670">
        <v>0</v>
      </c>
      <c r="AU4670">
        <f t="shared" si="144"/>
        <v>0</v>
      </c>
      <c r="AV4670">
        <f t="shared" si="145"/>
        <v>0</v>
      </c>
    </row>
    <row r="4671" spans="1:48" x14ac:dyDescent="0.25">
      <c r="A4671" t="s">
        <v>13104</v>
      </c>
      <c r="B4671" t="s">
        <v>114</v>
      </c>
      <c r="C4671" t="s">
        <v>13105</v>
      </c>
      <c r="D4671" t="s">
        <v>13106</v>
      </c>
      <c r="E4671" t="s">
        <v>1663</v>
      </c>
      <c r="F4671">
        <v>6</v>
      </c>
      <c r="G4671">
        <v>6.1</v>
      </c>
      <c r="H4671" t="s">
        <v>2017</v>
      </c>
      <c r="I4671" s="21">
        <v>42475</v>
      </c>
      <c r="J4671">
        <v>2016</v>
      </c>
      <c r="K4671" s="21">
        <v>42499</v>
      </c>
      <c r="L4671">
        <v>2016</v>
      </c>
      <c r="M4671" s="21">
        <v>42913</v>
      </c>
      <c r="N4671">
        <v>2017</v>
      </c>
      <c r="S4671" t="s">
        <v>9529</v>
      </c>
      <c r="T4671">
        <v>13045</v>
      </c>
      <c r="U4671">
        <v>5</v>
      </c>
      <c r="W4671">
        <v>-2716</v>
      </c>
      <c r="X4671">
        <v>-1</v>
      </c>
      <c r="Y4671">
        <v>0</v>
      </c>
      <c r="Z4671">
        <v>0</v>
      </c>
      <c r="AA4671">
        <v>0</v>
      </c>
      <c r="AB4671">
        <v>0</v>
      </c>
      <c r="AC4671">
        <v>-2716</v>
      </c>
      <c r="AD4671">
        <v>0</v>
      </c>
      <c r="AE4671">
        <v>0</v>
      </c>
      <c r="AF4671">
        <v>0</v>
      </c>
      <c r="AG4671">
        <v>0</v>
      </c>
      <c r="AH4671">
        <v>0</v>
      </c>
      <c r="AI4671">
        <v>0</v>
      </c>
      <c r="AJ4671">
        <v>0</v>
      </c>
      <c r="AK4671">
        <v>0</v>
      </c>
      <c r="AL4671">
        <v>0</v>
      </c>
      <c r="AM4671">
        <v>0</v>
      </c>
      <c r="AN4671">
        <v>0</v>
      </c>
      <c r="AO4671">
        <v>-1</v>
      </c>
      <c r="AP4671">
        <v>0</v>
      </c>
      <c r="AQ4671">
        <v>0</v>
      </c>
      <c r="AR4671">
        <v>0</v>
      </c>
      <c r="AS4671">
        <v>0</v>
      </c>
      <c r="AT4671">
        <v>0</v>
      </c>
      <c r="AU4671">
        <f t="shared" si="144"/>
        <v>-1</v>
      </c>
      <c r="AV4671">
        <f t="shared" si="145"/>
        <v>0</v>
      </c>
    </row>
    <row r="4672" spans="1:48" x14ac:dyDescent="0.25">
      <c r="A4672" t="s">
        <v>13104</v>
      </c>
      <c r="B4672" t="s">
        <v>114</v>
      </c>
      <c r="C4672" t="s">
        <v>13105</v>
      </c>
      <c r="D4672" t="s">
        <v>13106</v>
      </c>
      <c r="E4672" t="s">
        <v>1663</v>
      </c>
      <c r="F4672">
        <v>6</v>
      </c>
      <c r="G4672">
        <v>6.1</v>
      </c>
      <c r="H4672" t="s">
        <v>2017</v>
      </c>
      <c r="I4672" s="21">
        <v>42475</v>
      </c>
      <c r="J4672">
        <v>2016</v>
      </c>
      <c r="K4672" s="21">
        <v>42499</v>
      </c>
      <c r="L4672">
        <v>2016</v>
      </c>
      <c r="M4672" s="21">
        <v>42913</v>
      </c>
      <c r="N4672">
        <v>2017</v>
      </c>
      <c r="Q4672" s="262">
        <v>880000</v>
      </c>
      <c r="S4672" t="s">
        <v>12464</v>
      </c>
      <c r="T4672">
        <v>13045</v>
      </c>
      <c r="W4672">
        <v>3490</v>
      </c>
      <c r="X4672">
        <v>1</v>
      </c>
      <c r="Y4672">
        <v>0</v>
      </c>
      <c r="Z4672">
        <v>0</v>
      </c>
      <c r="AA4672">
        <v>0</v>
      </c>
      <c r="AB4672">
        <v>0</v>
      </c>
      <c r="AC4672">
        <v>3490</v>
      </c>
      <c r="AD4672">
        <v>0</v>
      </c>
      <c r="AE4672">
        <v>0</v>
      </c>
      <c r="AF4672">
        <v>0</v>
      </c>
      <c r="AG4672">
        <v>0</v>
      </c>
      <c r="AH4672">
        <v>0</v>
      </c>
      <c r="AI4672">
        <v>0</v>
      </c>
      <c r="AJ4672">
        <v>0</v>
      </c>
      <c r="AK4672">
        <v>0</v>
      </c>
      <c r="AL4672">
        <v>0</v>
      </c>
      <c r="AM4672">
        <v>0</v>
      </c>
      <c r="AN4672">
        <v>0</v>
      </c>
      <c r="AO4672">
        <v>1</v>
      </c>
      <c r="AP4672">
        <v>0</v>
      </c>
      <c r="AQ4672">
        <v>0</v>
      </c>
      <c r="AR4672">
        <v>0</v>
      </c>
      <c r="AS4672">
        <v>0</v>
      </c>
      <c r="AT4672">
        <v>0</v>
      </c>
      <c r="AU4672">
        <f t="shared" si="144"/>
        <v>1</v>
      </c>
      <c r="AV4672">
        <f t="shared" si="145"/>
        <v>0</v>
      </c>
    </row>
    <row r="4673" spans="1:48" x14ac:dyDescent="0.25">
      <c r="A4673" t="s">
        <v>14312</v>
      </c>
      <c r="B4673" t="s">
        <v>114</v>
      </c>
      <c r="C4673" t="s">
        <v>11240</v>
      </c>
      <c r="D4673" t="s">
        <v>13106</v>
      </c>
      <c r="E4673" t="s">
        <v>1663</v>
      </c>
      <c r="F4673">
        <v>6</v>
      </c>
      <c r="G4673">
        <v>6.1</v>
      </c>
      <c r="H4673" t="s">
        <v>2017</v>
      </c>
      <c r="I4673" s="21">
        <v>42475</v>
      </c>
      <c r="J4673">
        <v>2016</v>
      </c>
      <c r="K4673" s="21">
        <v>42499</v>
      </c>
      <c r="L4673">
        <v>2016</v>
      </c>
      <c r="M4673" s="21">
        <v>42936</v>
      </c>
      <c r="N4673">
        <v>2017</v>
      </c>
      <c r="Q4673" s="262">
        <v>880000</v>
      </c>
      <c r="S4673" t="s">
        <v>13254</v>
      </c>
      <c r="W4673">
        <v>3490</v>
      </c>
      <c r="X4673">
        <v>1</v>
      </c>
      <c r="Y4673">
        <v>0</v>
      </c>
      <c r="Z4673">
        <v>0</v>
      </c>
      <c r="AA4673">
        <v>0</v>
      </c>
      <c r="AB4673">
        <v>0</v>
      </c>
      <c r="AC4673">
        <v>3490</v>
      </c>
      <c r="AD4673">
        <v>0</v>
      </c>
      <c r="AE4673">
        <v>0</v>
      </c>
      <c r="AF4673">
        <v>0</v>
      </c>
      <c r="AG4673">
        <v>0</v>
      </c>
      <c r="AH4673">
        <v>0</v>
      </c>
      <c r="AI4673">
        <v>0</v>
      </c>
      <c r="AJ4673">
        <v>0</v>
      </c>
      <c r="AK4673">
        <v>0</v>
      </c>
      <c r="AL4673">
        <v>0</v>
      </c>
      <c r="AM4673">
        <v>0</v>
      </c>
      <c r="AN4673">
        <v>0</v>
      </c>
      <c r="AO4673">
        <v>1</v>
      </c>
      <c r="AP4673">
        <v>0</v>
      </c>
      <c r="AQ4673">
        <v>0</v>
      </c>
      <c r="AR4673">
        <v>0</v>
      </c>
      <c r="AS4673">
        <v>0</v>
      </c>
      <c r="AT4673">
        <v>0</v>
      </c>
      <c r="AU4673">
        <f t="shared" si="144"/>
        <v>1</v>
      </c>
      <c r="AV4673">
        <f t="shared" si="145"/>
        <v>0</v>
      </c>
    </row>
    <row r="4674" spans="1:48" x14ac:dyDescent="0.25">
      <c r="A4674" t="s">
        <v>13283</v>
      </c>
      <c r="B4674" t="s">
        <v>13283</v>
      </c>
      <c r="C4674" t="s">
        <v>13284</v>
      </c>
      <c r="D4674" t="s">
        <v>13285</v>
      </c>
      <c r="E4674" t="s">
        <v>2310</v>
      </c>
      <c r="F4674">
        <v>8</v>
      </c>
      <c r="G4674">
        <v>8.1999999999999993</v>
      </c>
      <c r="H4674" t="s">
        <v>2022</v>
      </c>
      <c r="I4674" s="21">
        <v>42475.447222222203</v>
      </c>
      <c r="J4674">
        <v>2016</v>
      </c>
      <c r="K4674" s="21">
        <v>43263.655376701397</v>
      </c>
      <c r="L4674">
        <v>2018</v>
      </c>
      <c r="Q4674" s="262">
        <v>200000</v>
      </c>
      <c r="R4674" s="262">
        <v>128000</v>
      </c>
      <c r="S4674" t="s">
        <v>114</v>
      </c>
      <c r="T4674" t="s">
        <v>114</v>
      </c>
      <c r="W4674">
        <v>2795</v>
      </c>
      <c r="X4674">
        <v>0</v>
      </c>
      <c r="Y4674">
        <v>0</v>
      </c>
      <c r="Z4674">
        <v>0</v>
      </c>
      <c r="AA4674">
        <v>0</v>
      </c>
      <c r="AB4674">
        <v>0</v>
      </c>
      <c r="AC4674">
        <v>2795</v>
      </c>
      <c r="AD4674">
        <v>0</v>
      </c>
      <c r="AE4674">
        <v>0</v>
      </c>
      <c r="AF4674">
        <v>0</v>
      </c>
      <c r="AG4674">
        <v>0</v>
      </c>
      <c r="AH4674">
        <v>0</v>
      </c>
      <c r="AI4674">
        <v>0</v>
      </c>
      <c r="AJ4674">
        <v>0</v>
      </c>
      <c r="AK4674">
        <v>0</v>
      </c>
      <c r="AL4674">
        <v>0</v>
      </c>
      <c r="AM4674">
        <v>0</v>
      </c>
      <c r="AN4674">
        <v>0</v>
      </c>
      <c r="AO4674">
        <v>0</v>
      </c>
      <c r="AP4674">
        <v>0</v>
      </c>
      <c r="AQ4674">
        <v>0</v>
      </c>
      <c r="AR4674">
        <v>0</v>
      </c>
      <c r="AS4674">
        <v>0</v>
      </c>
      <c r="AT4674">
        <v>0</v>
      </c>
      <c r="AU4674">
        <f t="shared" si="144"/>
        <v>0</v>
      </c>
      <c r="AV4674">
        <f t="shared" si="145"/>
        <v>0</v>
      </c>
    </row>
    <row r="4675" spans="1:48" x14ac:dyDescent="0.25">
      <c r="A4675" t="s">
        <v>17883</v>
      </c>
      <c r="B4675" t="s">
        <v>17883</v>
      </c>
      <c r="C4675" t="s">
        <v>17884</v>
      </c>
      <c r="D4675" t="s">
        <v>13285</v>
      </c>
      <c r="E4675" t="s">
        <v>2310</v>
      </c>
      <c r="F4675">
        <v>8</v>
      </c>
      <c r="G4675">
        <v>8.1999999999999993</v>
      </c>
      <c r="H4675" t="s">
        <v>2022</v>
      </c>
      <c r="I4675" s="21">
        <v>42475.460451388892</v>
      </c>
      <c r="J4675">
        <v>2016</v>
      </c>
      <c r="K4675" s="21">
        <v>42803.605243055557</v>
      </c>
      <c r="L4675">
        <v>2017</v>
      </c>
      <c r="M4675" s="21">
        <v>42989.641736111109</v>
      </c>
      <c r="N4675">
        <v>2017</v>
      </c>
      <c r="Q4675" s="262">
        <v>400000</v>
      </c>
      <c r="R4675" s="262">
        <v>145000</v>
      </c>
      <c r="S4675" t="s">
        <v>13254</v>
      </c>
      <c r="W4675">
        <v>1456</v>
      </c>
      <c r="X4675">
        <v>1</v>
      </c>
      <c r="Y4675">
        <v>0</v>
      </c>
      <c r="Z4675">
        <v>0</v>
      </c>
      <c r="AA4675">
        <v>0</v>
      </c>
      <c r="AB4675">
        <v>0</v>
      </c>
      <c r="AC4675">
        <v>456</v>
      </c>
      <c r="AD4675">
        <v>0</v>
      </c>
      <c r="AE4675">
        <v>0</v>
      </c>
      <c r="AF4675">
        <v>1000</v>
      </c>
      <c r="AG4675">
        <v>0</v>
      </c>
      <c r="AH4675">
        <v>0</v>
      </c>
      <c r="AI4675">
        <v>0</v>
      </c>
      <c r="AJ4675">
        <v>0</v>
      </c>
      <c r="AK4675">
        <v>0</v>
      </c>
      <c r="AL4675">
        <v>0</v>
      </c>
      <c r="AM4675">
        <v>0</v>
      </c>
      <c r="AN4675">
        <v>0</v>
      </c>
      <c r="AO4675">
        <v>0</v>
      </c>
      <c r="AP4675">
        <v>0</v>
      </c>
      <c r="AQ4675">
        <v>0</v>
      </c>
      <c r="AR4675">
        <v>1</v>
      </c>
      <c r="AS4675">
        <v>0</v>
      </c>
      <c r="AT4675">
        <v>0</v>
      </c>
      <c r="AU4675">
        <f t="shared" si="144"/>
        <v>0</v>
      </c>
      <c r="AV4675">
        <f t="shared" si="145"/>
        <v>0</v>
      </c>
    </row>
    <row r="4676" spans="1:48" x14ac:dyDescent="0.25">
      <c r="A4676" t="s">
        <v>18466</v>
      </c>
      <c r="B4676" t="s">
        <v>18466</v>
      </c>
      <c r="C4676" t="s">
        <v>18467</v>
      </c>
      <c r="D4676" t="s">
        <v>18468</v>
      </c>
      <c r="E4676" t="s">
        <v>2310</v>
      </c>
      <c r="F4676">
        <v>13</v>
      </c>
      <c r="G4676">
        <v>13.2</v>
      </c>
      <c r="H4676" t="s">
        <v>2327</v>
      </c>
      <c r="I4676" s="21">
        <v>42475.601909722223</v>
      </c>
      <c r="J4676">
        <v>2016</v>
      </c>
      <c r="K4676" s="21">
        <v>42544.604351851849</v>
      </c>
      <c r="L4676">
        <v>2016</v>
      </c>
      <c r="M4676" s="21">
        <v>43452.494176388886</v>
      </c>
      <c r="N4676">
        <v>2018</v>
      </c>
      <c r="Q4676" s="262">
        <v>1410000</v>
      </c>
      <c r="R4676" s="262">
        <v>1410000</v>
      </c>
      <c r="S4676" t="s">
        <v>13254</v>
      </c>
      <c r="W4676">
        <v>8789</v>
      </c>
      <c r="X4676">
        <v>1</v>
      </c>
      <c r="Y4676">
        <v>0</v>
      </c>
      <c r="Z4676">
        <v>0</v>
      </c>
      <c r="AA4676">
        <v>0</v>
      </c>
      <c r="AB4676">
        <v>0</v>
      </c>
      <c r="AC4676">
        <v>8789</v>
      </c>
      <c r="AD4676">
        <v>0</v>
      </c>
      <c r="AE4676">
        <v>0</v>
      </c>
      <c r="AF4676">
        <v>0</v>
      </c>
      <c r="AG4676">
        <v>0</v>
      </c>
      <c r="AH4676">
        <v>0</v>
      </c>
      <c r="AI4676">
        <v>0</v>
      </c>
      <c r="AJ4676">
        <v>0</v>
      </c>
      <c r="AK4676">
        <v>0</v>
      </c>
      <c r="AL4676">
        <v>0</v>
      </c>
      <c r="AM4676">
        <v>0</v>
      </c>
      <c r="AN4676">
        <v>0</v>
      </c>
      <c r="AO4676">
        <v>1</v>
      </c>
      <c r="AP4676">
        <v>0</v>
      </c>
      <c r="AQ4676">
        <v>0</v>
      </c>
      <c r="AR4676">
        <v>0</v>
      </c>
      <c r="AS4676">
        <v>0</v>
      </c>
      <c r="AT4676">
        <v>0</v>
      </c>
      <c r="AU4676">
        <f t="shared" si="144"/>
        <v>1</v>
      </c>
      <c r="AV4676">
        <f t="shared" si="145"/>
        <v>0</v>
      </c>
    </row>
    <row r="4677" spans="1:48" x14ac:dyDescent="0.25">
      <c r="A4677" t="s">
        <v>13286</v>
      </c>
      <c r="B4677" t="s">
        <v>13286</v>
      </c>
      <c r="C4677" t="s">
        <v>13287</v>
      </c>
      <c r="D4677" t="s">
        <v>2964</v>
      </c>
      <c r="E4677" t="s">
        <v>2310</v>
      </c>
      <c r="F4677">
        <v>8</v>
      </c>
      <c r="G4677">
        <v>8.4</v>
      </c>
      <c r="H4677" t="s">
        <v>2017</v>
      </c>
      <c r="I4677" s="21">
        <v>42479.444791666698</v>
      </c>
      <c r="J4677">
        <v>2016</v>
      </c>
      <c r="K4677" s="21">
        <v>42508.458206018498</v>
      </c>
      <c r="L4677">
        <v>2016</v>
      </c>
      <c r="M4677" s="21">
        <v>42691.389062499999</v>
      </c>
      <c r="N4677">
        <v>2016</v>
      </c>
      <c r="Q4677" s="262">
        <v>20000</v>
      </c>
      <c r="R4677" s="262">
        <v>20000</v>
      </c>
      <c r="S4677" t="s">
        <v>114</v>
      </c>
      <c r="T4677" t="s">
        <v>114</v>
      </c>
      <c r="W4677">
        <v>451</v>
      </c>
      <c r="X4677">
        <v>0</v>
      </c>
      <c r="Y4677">
        <v>0</v>
      </c>
      <c r="Z4677">
        <v>0</v>
      </c>
      <c r="AA4677">
        <v>0</v>
      </c>
      <c r="AB4677">
        <v>0</v>
      </c>
      <c r="AC4677">
        <v>0</v>
      </c>
      <c r="AD4677">
        <v>0</v>
      </c>
      <c r="AE4677">
        <v>0</v>
      </c>
      <c r="AF4677">
        <v>0</v>
      </c>
      <c r="AG4677">
        <v>0</v>
      </c>
      <c r="AH4677">
        <v>0</v>
      </c>
      <c r="AI4677">
        <v>0</v>
      </c>
      <c r="AJ4677">
        <v>0</v>
      </c>
      <c r="AK4677">
        <v>451</v>
      </c>
      <c r="AL4677">
        <v>0</v>
      </c>
      <c r="AM4677">
        <v>0</v>
      </c>
      <c r="AN4677">
        <v>0</v>
      </c>
      <c r="AO4677">
        <v>0</v>
      </c>
      <c r="AP4677">
        <v>0</v>
      </c>
      <c r="AQ4677">
        <v>0</v>
      </c>
      <c r="AR4677">
        <v>0</v>
      </c>
      <c r="AS4677">
        <v>0</v>
      </c>
      <c r="AT4677">
        <v>0</v>
      </c>
      <c r="AU4677">
        <f t="shared" si="144"/>
        <v>0</v>
      </c>
      <c r="AV4677">
        <f t="shared" si="145"/>
        <v>451</v>
      </c>
    </row>
    <row r="4678" spans="1:48" x14ac:dyDescent="0.25">
      <c r="A4678" t="s">
        <v>17885</v>
      </c>
      <c r="B4678" t="s">
        <v>17885</v>
      </c>
      <c r="C4678" t="s">
        <v>17886</v>
      </c>
      <c r="D4678" t="s">
        <v>17887</v>
      </c>
      <c r="E4678" t="s">
        <v>2310</v>
      </c>
      <c r="F4678">
        <v>12</v>
      </c>
      <c r="G4678">
        <v>12.3</v>
      </c>
      <c r="H4678" t="s">
        <v>2017</v>
      </c>
      <c r="I4678" s="21">
        <v>42479.474259259259</v>
      </c>
      <c r="J4678">
        <v>2016</v>
      </c>
      <c r="K4678" s="21">
        <v>42887.404409722221</v>
      </c>
      <c r="L4678">
        <v>2017</v>
      </c>
      <c r="M4678" s="21">
        <v>42887.404409722221</v>
      </c>
      <c r="N4678">
        <v>2017</v>
      </c>
      <c r="Q4678" s="262">
        <v>40000</v>
      </c>
      <c r="R4678" s="262">
        <v>12000</v>
      </c>
      <c r="S4678" t="s">
        <v>13253</v>
      </c>
      <c r="T4678">
        <v>3619</v>
      </c>
      <c r="W4678">
        <v>68</v>
      </c>
      <c r="X4678">
        <v>0</v>
      </c>
      <c r="Y4678">
        <v>0</v>
      </c>
      <c r="Z4678">
        <v>0</v>
      </c>
      <c r="AA4678">
        <v>0</v>
      </c>
      <c r="AB4678">
        <v>0</v>
      </c>
      <c r="AC4678">
        <v>68</v>
      </c>
      <c r="AD4678">
        <v>0</v>
      </c>
      <c r="AE4678">
        <v>0</v>
      </c>
      <c r="AF4678">
        <v>0</v>
      </c>
      <c r="AG4678">
        <v>0</v>
      </c>
      <c r="AH4678">
        <v>0</v>
      </c>
      <c r="AI4678">
        <v>0</v>
      </c>
      <c r="AJ4678">
        <v>0</v>
      </c>
      <c r="AK4678">
        <v>0</v>
      </c>
      <c r="AL4678">
        <v>0</v>
      </c>
      <c r="AM4678">
        <v>0</v>
      </c>
      <c r="AN4678">
        <v>0</v>
      </c>
      <c r="AO4678">
        <v>0</v>
      </c>
      <c r="AP4678">
        <v>0</v>
      </c>
      <c r="AQ4678">
        <v>0</v>
      </c>
      <c r="AR4678">
        <v>0</v>
      </c>
      <c r="AS4678">
        <v>0</v>
      </c>
      <c r="AT4678">
        <v>0</v>
      </c>
      <c r="AU4678">
        <f t="shared" si="144"/>
        <v>0</v>
      </c>
      <c r="AV4678">
        <f t="shared" si="145"/>
        <v>0</v>
      </c>
    </row>
    <row r="4679" spans="1:48" x14ac:dyDescent="0.25">
      <c r="A4679" t="s">
        <v>16993</v>
      </c>
      <c r="B4679" t="s">
        <v>16993</v>
      </c>
      <c r="C4679" t="s">
        <v>16994</v>
      </c>
      <c r="D4679" t="s">
        <v>16995</v>
      </c>
      <c r="E4679" t="s">
        <v>2310</v>
      </c>
      <c r="F4679">
        <v>12</v>
      </c>
      <c r="G4679">
        <v>12.2</v>
      </c>
      <c r="H4679" t="s">
        <v>2017</v>
      </c>
      <c r="I4679" s="21">
        <v>42479.618067129602</v>
      </c>
      <c r="J4679">
        <v>2016</v>
      </c>
      <c r="K4679" s="21">
        <v>42824.487997685203</v>
      </c>
      <c r="L4679">
        <v>2017</v>
      </c>
      <c r="M4679" s="21">
        <v>43202.654837962997</v>
      </c>
      <c r="N4679">
        <v>2018</v>
      </c>
      <c r="S4679" t="s">
        <v>9529</v>
      </c>
      <c r="T4679">
        <v>3952</v>
      </c>
      <c r="U4679">
        <v>5</v>
      </c>
      <c r="W4679">
        <v>-1041</v>
      </c>
      <c r="X4679">
        <v>-1</v>
      </c>
      <c r="Y4679">
        <v>0</v>
      </c>
      <c r="Z4679">
        <v>0</v>
      </c>
      <c r="AA4679">
        <v>0</v>
      </c>
      <c r="AB4679">
        <v>0</v>
      </c>
      <c r="AC4679">
        <v>-1041</v>
      </c>
      <c r="AD4679">
        <v>0</v>
      </c>
      <c r="AE4679">
        <v>0</v>
      </c>
      <c r="AF4679">
        <v>0</v>
      </c>
      <c r="AG4679">
        <v>0</v>
      </c>
      <c r="AH4679">
        <v>0</v>
      </c>
      <c r="AI4679">
        <v>0</v>
      </c>
      <c r="AJ4679">
        <v>0</v>
      </c>
      <c r="AK4679">
        <v>0</v>
      </c>
      <c r="AL4679">
        <v>0</v>
      </c>
      <c r="AM4679">
        <v>0</v>
      </c>
      <c r="AN4679">
        <v>0</v>
      </c>
      <c r="AO4679">
        <v>-1</v>
      </c>
      <c r="AP4679">
        <v>0</v>
      </c>
      <c r="AQ4679">
        <v>0</v>
      </c>
      <c r="AR4679">
        <v>0</v>
      </c>
      <c r="AS4679">
        <v>0</v>
      </c>
      <c r="AT4679">
        <v>0</v>
      </c>
      <c r="AU4679">
        <f t="shared" si="144"/>
        <v>-1</v>
      </c>
      <c r="AV4679">
        <f t="shared" si="145"/>
        <v>0</v>
      </c>
    </row>
    <row r="4680" spans="1:48" x14ac:dyDescent="0.25">
      <c r="A4680" t="s">
        <v>16993</v>
      </c>
      <c r="B4680" t="s">
        <v>16993</v>
      </c>
      <c r="C4680" t="s">
        <v>16994</v>
      </c>
      <c r="D4680" t="s">
        <v>16995</v>
      </c>
      <c r="E4680" t="s">
        <v>2310</v>
      </c>
      <c r="F4680">
        <v>12</v>
      </c>
      <c r="G4680">
        <v>12.2</v>
      </c>
      <c r="H4680" t="s">
        <v>2017</v>
      </c>
      <c r="I4680" s="21">
        <v>42479.618067129602</v>
      </c>
      <c r="J4680">
        <v>2016</v>
      </c>
      <c r="K4680" s="21">
        <v>42824.487997685203</v>
      </c>
      <c r="L4680">
        <v>2017</v>
      </c>
      <c r="M4680" s="21">
        <v>43202.654837962997</v>
      </c>
      <c r="N4680">
        <v>2018</v>
      </c>
      <c r="S4680" t="s">
        <v>9529</v>
      </c>
      <c r="T4680">
        <v>3953</v>
      </c>
      <c r="U4680">
        <v>5</v>
      </c>
      <c r="W4680">
        <v>-915</v>
      </c>
      <c r="X4680">
        <v>0</v>
      </c>
      <c r="Y4680">
        <v>0</v>
      </c>
      <c r="Z4680">
        <v>0</v>
      </c>
      <c r="AA4680">
        <v>0</v>
      </c>
      <c r="AB4680">
        <v>0</v>
      </c>
      <c r="AC4680">
        <v>-915</v>
      </c>
      <c r="AD4680">
        <v>0</v>
      </c>
      <c r="AE4680">
        <v>0</v>
      </c>
      <c r="AF4680">
        <v>0</v>
      </c>
      <c r="AG4680">
        <v>0</v>
      </c>
      <c r="AH4680">
        <v>0</v>
      </c>
      <c r="AI4680">
        <v>0</v>
      </c>
      <c r="AJ4680">
        <v>0</v>
      </c>
      <c r="AK4680">
        <v>0</v>
      </c>
      <c r="AL4680">
        <v>0</v>
      </c>
      <c r="AM4680">
        <v>0</v>
      </c>
      <c r="AN4680">
        <v>0</v>
      </c>
      <c r="AO4680">
        <v>0</v>
      </c>
      <c r="AP4680">
        <v>0</v>
      </c>
      <c r="AQ4680">
        <v>0</v>
      </c>
      <c r="AR4680">
        <v>0</v>
      </c>
      <c r="AS4680">
        <v>0</v>
      </c>
      <c r="AT4680">
        <v>0</v>
      </c>
      <c r="AU4680">
        <f t="shared" si="144"/>
        <v>0</v>
      </c>
      <c r="AV4680">
        <f t="shared" si="145"/>
        <v>0</v>
      </c>
    </row>
    <row r="4681" spans="1:48" x14ac:dyDescent="0.25">
      <c r="A4681" t="s">
        <v>16993</v>
      </c>
      <c r="B4681" t="s">
        <v>16993</v>
      </c>
      <c r="C4681" t="s">
        <v>16994</v>
      </c>
      <c r="D4681" t="s">
        <v>16995</v>
      </c>
      <c r="E4681" t="s">
        <v>2310</v>
      </c>
      <c r="F4681">
        <v>12</v>
      </c>
      <c r="G4681">
        <v>12.2</v>
      </c>
      <c r="H4681" t="s">
        <v>2017</v>
      </c>
      <c r="I4681" s="21">
        <v>42479.618067129632</v>
      </c>
      <c r="J4681">
        <v>2016</v>
      </c>
      <c r="K4681" s="21">
        <v>42824.487997685188</v>
      </c>
      <c r="L4681">
        <v>2017</v>
      </c>
      <c r="M4681" s="21">
        <v>43202.65483796296</v>
      </c>
      <c r="N4681">
        <v>2018</v>
      </c>
      <c r="Q4681" s="262">
        <v>2500000</v>
      </c>
      <c r="R4681" s="262">
        <v>1091000</v>
      </c>
      <c r="S4681" t="s">
        <v>12464</v>
      </c>
      <c r="T4681" t="s">
        <v>19604</v>
      </c>
      <c r="W4681">
        <v>7301</v>
      </c>
      <c r="X4681">
        <v>1</v>
      </c>
      <c r="Y4681">
        <v>0</v>
      </c>
      <c r="Z4681">
        <v>0</v>
      </c>
      <c r="AA4681">
        <v>0</v>
      </c>
      <c r="AB4681">
        <v>0</v>
      </c>
      <c r="AC4681">
        <v>7301</v>
      </c>
      <c r="AD4681">
        <v>0</v>
      </c>
      <c r="AE4681">
        <v>0</v>
      </c>
      <c r="AF4681">
        <v>0</v>
      </c>
      <c r="AG4681">
        <v>0</v>
      </c>
      <c r="AH4681">
        <v>0</v>
      </c>
      <c r="AI4681">
        <v>0</v>
      </c>
      <c r="AJ4681">
        <v>0</v>
      </c>
      <c r="AK4681">
        <v>0</v>
      </c>
      <c r="AL4681">
        <v>0</v>
      </c>
      <c r="AM4681">
        <v>0</v>
      </c>
      <c r="AN4681">
        <v>0</v>
      </c>
      <c r="AO4681">
        <v>1</v>
      </c>
      <c r="AP4681">
        <v>0</v>
      </c>
      <c r="AQ4681">
        <v>0</v>
      </c>
      <c r="AR4681">
        <v>0</v>
      </c>
      <c r="AS4681">
        <v>0</v>
      </c>
      <c r="AT4681">
        <v>0</v>
      </c>
      <c r="AU4681">
        <f t="shared" si="144"/>
        <v>1</v>
      </c>
      <c r="AV4681">
        <f t="shared" si="145"/>
        <v>0</v>
      </c>
    </row>
    <row r="4682" spans="1:48" x14ac:dyDescent="0.25">
      <c r="A4682" t="s">
        <v>18028</v>
      </c>
      <c r="B4682" t="s">
        <v>18028</v>
      </c>
      <c r="C4682" t="s">
        <v>18029</v>
      </c>
      <c r="D4682" t="s">
        <v>16995</v>
      </c>
      <c r="E4682" t="s">
        <v>2310</v>
      </c>
      <c r="F4682">
        <v>12</v>
      </c>
      <c r="G4682">
        <v>12.2</v>
      </c>
      <c r="H4682" t="s">
        <v>2017</v>
      </c>
      <c r="I4682" s="21">
        <v>42479.62872685185</v>
      </c>
      <c r="J4682">
        <v>2016</v>
      </c>
      <c r="K4682" s="21">
        <v>42681.696238425924</v>
      </c>
      <c r="L4682">
        <v>2016</v>
      </c>
      <c r="M4682" s="21">
        <v>43185.414351851854</v>
      </c>
      <c r="N4682">
        <v>2018</v>
      </c>
      <c r="Q4682" s="262">
        <v>75000</v>
      </c>
      <c r="R4682" s="262">
        <v>35000</v>
      </c>
      <c r="S4682" t="s">
        <v>13254</v>
      </c>
      <c r="W4682">
        <v>800</v>
      </c>
      <c r="X4682">
        <v>0</v>
      </c>
      <c r="Y4682">
        <v>0</v>
      </c>
      <c r="Z4682">
        <v>0</v>
      </c>
      <c r="AA4682">
        <v>0</v>
      </c>
      <c r="AB4682">
        <v>0</v>
      </c>
      <c r="AC4682">
        <v>800</v>
      </c>
      <c r="AD4682">
        <v>0</v>
      </c>
      <c r="AE4682">
        <v>0</v>
      </c>
      <c r="AF4682">
        <v>0</v>
      </c>
      <c r="AG4682">
        <v>0</v>
      </c>
      <c r="AH4682">
        <v>0</v>
      </c>
      <c r="AI4682">
        <v>0</v>
      </c>
      <c r="AJ4682">
        <v>0</v>
      </c>
      <c r="AK4682">
        <v>0</v>
      </c>
      <c r="AL4682">
        <v>0</v>
      </c>
      <c r="AM4682">
        <v>0</v>
      </c>
      <c r="AN4682">
        <v>0</v>
      </c>
      <c r="AO4682">
        <v>0</v>
      </c>
      <c r="AP4682">
        <v>0</v>
      </c>
      <c r="AQ4682">
        <v>0</v>
      </c>
      <c r="AR4682">
        <v>0</v>
      </c>
      <c r="AS4682">
        <v>0</v>
      </c>
      <c r="AT4682">
        <v>0</v>
      </c>
      <c r="AU4682">
        <f t="shared" si="144"/>
        <v>0</v>
      </c>
      <c r="AV4682">
        <f t="shared" si="145"/>
        <v>0</v>
      </c>
    </row>
    <row r="4683" spans="1:48" x14ac:dyDescent="0.25">
      <c r="A4683" t="s">
        <v>17888</v>
      </c>
      <c r="B4683" t="s">
        <v>17888</v>
      </c>
      <c r="C4683" t="s">
        <v>17889</v>
      </c>
      <c r="D4683" t="s">
        <v>17306</v>
      </c>
      <c r="E4683" t="s">
        <v>2310</v>
      </c>
      <c r="F4683">
        <v>15</v>
      </c>
      <c r="G4683">
        <v>15.2</v>
      </c>
      <c r="H4683" t="s">
        <v>2323</v>
      </c>
      <c r="I4683" s="21">
        <v>42480.445428240739</v>
      </c>
      <c r="J4683">
        <v>2016</v>
      </c>
      <c r="K4683" s="21">
        <v>42970.47550925926</v>
      </c>
      <c r="L4683">
        <v>2017</v>
      </c>
      <c r="M4683" s="21">
        <v>42970.47550925926</v>
      </c>
      <c r="N4683">
        <v>2017</v>
      </c>
      <c r="Q4683" s="262">
        <v>1000000</v>
      </c>
      <c r="R4683" s="262">
        <v>427000</v>
      </c>
      <c r="S4683" t="s">
        <v>13254</v>
      </c>
      <c r="W4683">
        <v>3721</v>
      </c>
      <c r="X4683">
        <v>1</v>
      </c>
      <c r="Y4683">
        <v>0</v>
      </c>
      <c r="Z4683">
        <v>0</v>
      </c>
      <c r="AA4683">
        <v>0</v>
      </c>
      <c r="AB4683">
        <v>0</v>
      </c>
      <c r="AC4683">
        <v>3721</v>
      </c>
      <c r="AD4683">
        <v>0</v>
      </c>
      <c r="AE4683">
        <v>0</v>
      </c>
      <c r="AF4683">
        <v>0</v>
      </c>
      <c r="AG4683">
        <v>0</v>
      </c>
      <c r="AH4683">
        <v>0</v>
      </c>
      <c r="AI4683">
        <v>0</v>
      </c>
      <c r="AJ4683">
        <v>0</v>
      </c>
      <c r="AK4683">
        <v>0</v>
      </c>
      <c r="AL4683">
        <v>0</v>
      </c>
      <c r="AM4683">
        <v>0</v>
      </c>
      <c r="AN4683">
        <v>0</v>
      </c>
      <c r="AO4683">
        <v>1</v>
      </c>
      <c r="AP4683">
        <v>0</v>
      </c>
      <c r="AQ4683">
        <v>0</v>
      </c>
      <c r="AR4683">
        <v>0</v>
      </c>
      <c r="AS4683">
        <v>0</v>
      </c>
      <c r="AT4683">
        <v>0</v>
      </c>
      <c r="AU4683">
        <f t="shared" si="144"/>
        <v>1</v>
      </c>
      <c r="AV4683">
        <f t="shared" si="145"/>
        <v>0</v>
      </c>
    </row>
    <row r="4684" spans="1:48" x14ac:dyDescent="0.25">
      <c r="A4684" t="s">
        <v>17890</v>
      </c>
      <c r="B4684" t="s">
        <v>17890</v>
      </c>
      <c r="C4684" t="s">
        <v>17891</v>
      </c>
      <c r="D4684" t="s">
        <v>17892</v>
      </c>
      <c r="E4684" t="s">
        <v>2310</v>
      </c>
      <c r="F4684">
        <v>9</v>
      </c>
      <c r="G4684">
        <v>9.3000000000000007</v>
      </c>
      <c r="H4684" t="s">
        <v>2323</v>
      </c>
      <c r="I4684" s="21">
        <v>42481.554872685185</v>
      </c>
      <c r="J4684">
        <v>2016</v>
      </c>
      <c r="K4684" s="21">
        <v>42922.392291666663</v>
      </c>
      <c r="L4684">
        <v>2017</v>
      </c>
      <c r="M4684" s="21">
        <v>42922.392291666663</v>
      </c>
      <c r="N4684">
        <v>2017</v>
      </c>
      <c r="Q4684" s="262">
        <v>593000</v>
      </c>
      <c r="R4684" s="262">
        <v>315000</v>
      </c>
      <c r="S4684" t="s">
        <v>13254</v>
      </c>
      <c r="W4684">
        <v>3389</v>
      </c>
      <c r="X4684">
        <v>1</v>
      </c>
      <c r="Y4684">
        <v>0</v>
      </c>
      <c r="Z4684">
        <v>0</v>
      </c>
      <c r="AA4684">
        <v>0</v>
      </c>
      <c r="AB4684">
        <v>0</v>
      </c>
      <c r="AC4684">
        <v>3389</v>
      </c>
      <c r="AD4684">
        <v>0</v>
      </c>
      <c r="AE4684">
        <v>0</v>
      </c>
      <c r="AF4684">
        <v>0</v>
      </c>
      <c r="AG4684">
        <v>0</v>
      </c>
      <c r="AH4684">
        <v>0</v>
      </c>
      <c r="AI4684">
        <v>0</v>
      </c>
      <c r="AJ4684">
        <v>0</v>
      </c>
      <c r="AK4684">
        <v>0</v>
      </c>
      <c r="AL4684">
        <v>0</v>
      </c>
      <c r="AM4684">
        <v>0</v>
      </c>
      <c r="AN4684">
        <v>0</v>
      </c>
      <c r="AO4684">
        <v>1</v>
      </c>
      <c r="AP4684">
        <v>0</v>
      </c>
      <c r="AQ4684">
        <v>0</v>
      </c>
      <c r="AR4684">
        <v>0</v>
      </c>
      <c r="AS4684">
        <v>0</v>
      </c>
      <c r="AT4684">
        <v>0</v>
      </c>
      <c r="AU4684">
        <f t="shared" si="144"/>
        <v>1</v>
      </c>
      <c r="AV4684">
        <f t="shared" si="145"/>
        <v>0</v>
      </c>
    </row>
    <row r="4685" spans="1:48" x14ac:dyDescent="0.25">
      <c r="A4685" t="s">
        <v>17893</v>
      </c>
      <c r="B4685" t="s">
        <v>17893</v>
      </c>
      <c r="C4685" t="s">
        <v>17894</v>
      </c>
      <c r="D4685" t="s">
        <v>8225</v>
      </c>
      <c r="E4685" t="s">
        <v>2310</v>
      </c>
      <c r="F4685">
        <v>15</v>
      </c>
      <c r="G4685">
        <v>15.2</v>
      </c>
      <c r="H4685" t="s">
        <v>2323</v>
      </c>
      <c r="I4685" s="21">
        <v>42482.439942129633</v>
      </c>
      <c r="J4685">
        <v>2016</v>
      </c>
      <c r="K4685" s="21">
        <v>42955.582719907405</v>
      </c>
      <c r="L4685">
        <v>2017</v>
      </c>
      <c r="M4685" s="21">
        <v>43081.388368055559</v>
      </c>
      <c r="N4685">
        <v>2017</v>
      </c>
      <c r="Q4685" s="262">
        <v>200000</v>
      </c>
      <c r="R4685" s="262">
        <v>175000</v>
      </c>
      <c r="S4685" t="s">
        <v>13254</v>
      </c>
      <c r="W4685">
        <v>1994</v>
      </c>
      <c r="X4685">
        <v>1</v>
      </c>
      <c r="Y4685">
        <v>0</v>
      </c>
      <c r="Z4685">
        <v>0</v>
      </c>
      <c r="AA4685">
        <v>0</v>
      </c>
      <c r="AB4685">
        <v>0</v>
      </c>
      <c r="AC4685">
        <v>1994</v>
      </c>
      <c r="AD4685">
        <v>0</v>
      </c>
      <c r="AE4685">
        <v>0</v>
      </c>
      <c r="AF4685">
        <v>0</v>
      </c>
      <c r="AG4685">
        <v>0</v>
      </c>
      <c r="AH4685">
        <v>0</v>
      </c>
      <c r="AI4685">
        <v>0</v>
      </c>
      <c r="AJ4685">
        <v>0</v>
      </c>
      <c r="AK4685">
        <v>0</v>
      </c>
      <c r="AL4685">
        <v>0</v>
      </c>
      <c r="AM4685">
        <v>0</v>
      </c>
      <c r="AN4685">
        <v>0</v>
      </c>
      <c r="AO4685">
        <v>1</v>
      </c>
      <c r="AP4685">
        <v>0</v>
      </c>
      <c r="AQ4685">
        <v>0</v>
      </c>
      <c r="AR4685">
        <v>0</v>
      </c>
      <c r="AS4685">
        <v>0</v>
      </c>
      <c r="AT4685">
        <v>0</v>
      </c>
      <c r="AU4685">
        <f t="shared" si="144"/>
        <v>1</v>
      </c>
      <c r="AV4685">
        <f t="shared" si="145"/>
        <v>0</v>
      </c>
    </row>
    <row r="4686" spans="1:48" x14ac:dyDescent="0.25">
      <c r="A4686" t="s">
        <v>18710</v>
      </c>
      <c r="B4686" t="s">
        <v>18710</v>
      </c>
      <c r="C4686" t="s">
        <v>18711</v>
      </c>
      <c r="D4686" t="s">
        <v>18712</v>
      </c>
      <c r="E4686" t="s">
        <v>2310</v>
      </c>
      <c r="F4686">
        <v>15</v>
      </c>
      <c r="G4686">
        <v>15.1</v>
      </c>
      <c r="H4686" t="s">
        <v>2022</v>
      </c>
      <c r="I4686" s="21">
        <v>42482.476111111115</v>
      </c>
      <c r="J4686">
        <v>2016</v>
      </c>
      <c r="K4686" s="21">
        <v>42529.546030092592</v>
      </c>
      <c r="L4686">
        <v>2016</v>
      </c>
      <c r="M4686" s="21">
        <v>43328.403176273147</v>
      </c>
      <c r="N4686">
        <v>2018</v>
      </c>
      <c r="Q4686" s="262">
        <v>3000000</v>
      </c>
      <c r="R4686" s="262">
        <v>409000</v>
      </c>
      <c r="S4686" t="s">
        <v>13253</v>
      </c>
      <c r="T4686">
        <v>7441</v>
      </c>
      <c r="V4686">
        <v>1500</v>
      </c>
      <c r="W4686">
        <v>3366</v>
      </c>
      <c r="X4686">
        <v>0</v>
      </c>
      <c r="Y4686">
        <v>0</v>
      </c>
      <c r="Z4686">
        <v>0</v>
      </c>
      <c r="AA4686">
        <v>0</v>
      </c>
      <c r="AB4686">
        <v>0</v>
      </c>
      <c r="AC4686">
        <v>3366</v>
      </c>
      <c r="AD4686">
        <v>0</v>
      </c>
      <c r="AE4686">
        <v>0</v>
      </c>
      <c r="AF4686">
        <v>0</v>
      </c>
      <c r="AG4686">
        <v>0</v>
      </c>
      <c r="AH4686">
        <v>0</v>
      </c>
      <c r="AI4686">
        <v>0</v>
      </c>
      <c r="AJ4686">
        <v>0</v>
      </c>
      <c r="AK4686">
        <v>0</v>
      </c>
      <c r="AL4686">
        <v>0</v>
      </c>
      <c r="AM4686">
        <v>0</v>
      </c>
      <c r="AN4686">
        <v>0</v>
      </c>
      <c r="AO4686">
        <v>0</v>
      </c>
      <c r="AP4686">
        <v>0</v>
      </c>
      <c r="AQ4686">
        <v>0</v>
      </c>
      <c r="AR4686">
        <v>0</v>
      </c>
      <c r="AS4686">
        <v>0</v>
      </c>
      <c r="AT4686">
        <v>0</v>
      </c>
      <c r="AU4686">
        <f t="shared" si="144"/>
        <v>0</v>
      </c>
      <c r="AV4686">
        <f t="shared" si="145"/>
        <v>0</v>
      </c>
    </row>
    <row r="4687" spans="1:48" x14ac:dyDescent="0.25">
      <c r="A4687" t="s">
        <v>14313</v>
      </c>
      <c r="B4687" t="s">
        <v>114</v>
      </c>
      <c r="C4687" t="s">
        <v>14314</v>
      </c>
      <c r="D4687" t="s">
        <v>13059</v>
      </c>
      <c r="E4687" t="s">
        <v>1663</v>
      </c>
      <c r="F4687">
        <v>3</v>
      </c>
      <c r="G4687">
        <v>3.2</v>
      </c>
      <c r="H4687" t="s">
        <v>2327</v>
      </c>
      <c r="I4687" s="21">
        <v>42485</v>
      </c>
      <c r="J4687">
        <v>2016</v>
      </c>
      <c r="K4687" s="21">
        <v>42499</v>
      </c>
      <c r="L4687">
        <v>2016</v>
      </c>
      <c r="M4687" s="21">
        <v>42758</v>
      </c>
      <c r="N4687">
        <v>2017</v>
      </c>
      <c r="Q4687" s="262">
        <v>375000</v>
      </c>
      <c r="S4687" t="s">
        <v>13254</v>
      </c>
      <c r="W4687">
        <v>1584</v>
      </c>
      <c r="X4687">
        <v>2</v>
      </c>
      <c r="Y4687">
        <v>0</v>
      </c>
      <c r="Z4687">
        <v>0</v>
      </c>
      <c r="AA4687">
        <v>0</v>
      </c>
      <c r="AB4687">
        <v>0</v>
      </c>
      <c r="AC4687">
        <v>1000</v>
      </c>
      <c r="AD4687">
        <v>0</v>
      </c>
      <c r="AE4687">
        <v>584</v>
      </c>
      <c r="AF4687">
        <v>0</v>
      </c>
      <c r="AG4687">
        <v>0</v>
      </c>
      <c r="AH4687">
        <v>0</v>
      </c>
      <c r="AI4687">
        <v>0</v>
      </c>
      <c r="AJ4687">
        <v>0</v>
      </c>
      <c r="AK4687">
        <v>0</v>
      </c>
      <c r="AL4687">
        <v>0</v>
      </c>
      <c r="AM4687">
        <v>0</v>
      </c>
      <c r="AN4687">
        <v>0</v>
      </c>
      <c r="AO4687">
        <v>1</v>
      </c>
      <c r="AP4687">
        <v>0</v>
      </c>
      <c r="AQ4687">
        <v>1</v>
      </c>
      <c r="AR4687">
        <v>0</v>
      </c>
      <c r="AS4687">
        <v>0</v>
      </c>
      <c r="AT4687">
        <v>0</v>
      </c>
      <c r="AU4687">
        <f t="shared" si="144"/>
        <v>2</v>
      </c>
      <c r="AV4687">
        <f t="shared" si="145"/>
        <v>0</v>
      </c>
    </row>
    <row r="4688" spans="1:48" x14ac:dyDescent="0.25">
      <c r="A4688" t="s">
        <v>13288</v>
      </c>
      <c r="C4688" t="s">
        <v>12530</v>
      </c>
      <c r="D4688" t="s">
        <v>13289</v>
      </c>
      <c r="E4688" t="s">
        <v>1663</v>
      </c>
      <c r="F4688">
        <v>1</v>
      </c>
      <c r="G4688">
        <v>1.2</v>
      </c>
      <c r="H4688" t="s">
        <v>2017</v>
      </c>
      <c r="I4688" s="21">
        <v>42487</v>
      </c>
      <c r="J4688">
        <v>2016</v>
      </c>
      <c r="K4688" s="21">
        <v>42569</v>
      </c>
      <c r="L4688">
        <v>2016</v>
      </c>
      <c r="M4688" s="21">
        <v>42712</v>
      </c>
      <c r="N4688">
        <v>2016</v>
      </c>
      <c r="Q4688" s="262">
        <v>200000</v>
      </c>
      <c r="S4688" t="s">
        <v>114</v>
      </c>
      <c r="T4688" t="s">
        <v>114</v>
      </c>
      <c r="V4688">
        <v>1795</v>
      </c>
      <c r="W4688">
        <v>0</v>
      </c>
      <c r="X4688">
        <v>0</v>
      </c>
      <c r="Y4688">
        <v>0</v>
      </c>
      <c r="Z4688">
        <v>0</v>
      </c>
      <c r="AA4688">
        <v>0</v>
      </c>
      <c r="AB4688">
        <v>0</v>
      </c>
      <c r="AC4688">
        <v>0</v>
      </c>
      <c r="AD4688">
        <v>0</v>
      </c>
      <c r="AE4688">
        <v>0</v>
      </c>
      <c r="AF4688">
        <v>0</v>
      </c>
      <c r="AG4688">
        <v>0</v>
      </c>
      <c r="AH4688">
        <v>0</v>
      </c>
      <c r="AI4688">
        <v>0</v>
      </c>
      <c r="AJ4688">
        <v>0</v>
      </c>
      <c r="AK4688">
        <v>0</v>
      </c>
      <c r="AL4688">
        <v>0</v>
      </c>
      <c r="AM4688">
        <v>0</v>
      </c>
      <c r="AN4688">
        <v>0</v>
      </c>
      <c r="AO4688">
        <v>0</v>
      </c>
      <c r="AP4688">
        <v>0</v>
      </c>
      <c r="AQ4688">
        <v>0</v>
      </c>
      <c r="AR4688">
        <v>0</v>
      </c>
      <c r="AS4688">
        <v>0</v>
      </c>
      <c r="AT4688">
        <v>0</v>
      </c>
      <c r="AU4688">
        <f t="shared" si="144"/>
        <v>0</v>
      </c>
      <c r="AV4688">
        <f t="shared" si="145"/>
        <v>0</v>
      </c>
    </row>
    <row r="4689" spans="1:48" x14ac:dyDescent="0.25">
      <c r="A4689" t="s">
        <v>17895</v>
      </c>
      <c r="B4689" t="s">
        <v>17895</v>
      </c>
      <c r="C4689" t="s">
        <v>17896</v>
      </c>
      <c r="D4689" t="s">
        <v>17897</v>
      </c>
      <c r="E4689" t="s">
        <v>2310</v>
      </c>
      <c r="F4689">
        <v>9</v>
      </c>
      <c r="G4689">
        <v>9.3000000000000007</v>
      </c>
      <c r="H4689" t="s">
        <v>2323</v>
      </c>
      <c r="I4689" s="21">
        <v>42487.569664351853</v>
      </c>
      <c r="J4689">
        <v>2016</v>
      </c>
      <c r="K4689" s="21">
        <v>42906.397465277776</v>
      </c>
      <c r="L4689">
        <v>2017</v>
      </c>
      <c r="M4689" s="21">
        <v>42906.397465277776</v>
      </c>
      <c r="N4689">
        <v>2017</v>
      </c>
      <c r="Q4689" s="262">
        <v>350000</v>
      </c>
      <c r="R4689" s="262">
        <v>117000</v>
      </c>
      <c r="S4689" t="s">
        <v>13254</v>
      </c>
      <c r="W4689">
        <v>1000</v>
      </c>
      <c r="X4689">
        <v>1</v>
      </c>
      <c r="Y4689">
        <v>0</v>
      </c>
      <c r="Z4689">
        <v>0</v>
      </c>
      <c r="AA4689">
        <v>0</v>
      </c>
      <c r="AB4689">
        <v>0</v>
      </c>
      <c r="AC4689">
        <v>1000</v>
      </c>
      <c r="AD4689">
        <v>0</v>
      </c>
      <c r="AE4689">
        <v>0</v>
      </c>
      <c r="AF4689">
        <v>0</v>
      </c>
      <c r="AG4689">
        <v>0</v>
      </c>
      <c r="AH4689">
        <v>0</v>
      </c>
      <c r="AI4689">
        <v>0</v>
      </c>
      <c r="AJ4689">
        <v>0</v>
      </c>
      <c r="AK4689">
        <v>0</v>
      </c>
      <c r="AL4689">
        <v>0</v>
      </c>
      <c r="AM4689">
        <v>0</v>
      </c>
      <c r="AN4689">
        <v>0</v>
      </c>
      <c r="AO4689">
        <v>1</v>
      </c>
      <c r="AP4689">
        <v>0</v>
      </c>
      <c r="AQ4689">
        <v>0</v>
      </c>
      <c r="AR4689">
        <v>0</v>
      </c>
      <c r="AS4689">
        <v>0</v>
      </c>
      <c r="AT4689">
        <v>0</v>
      </c>
      <c r="AU4689">
        <f t="shared" si="144"/>
        <v>1</v>
      </c>
      <c r="AV4689">
        <f t="shared" si="145"/>
        <v>0</v>
      </c>
    </row>
    <row r="4690" spans="1:48" x14ac:dyDescent="0.25">
      <c r="A4690" t="s">
        <v>13293</v>
      </c>
      <c r="C4690" t="s">
        <v>13294</v>
      </c>
      <c r="D4690" t="s">
        <v>13295</v>
      </c>
      <c r="E4690" t="s">
        <v>1663</v>
      </c>
      <c r="F4690">
        <v>5</v>
      </c>
      <c r="G4690">
        <v>5.5</v>
      </c>
      <c r="H4690" t="s">
        <v>2017</v>
      </c>
      <c r="I4690" s="21">
        <v>42488</v>
      </c>
      <c r="J4690">
        <v>2016</v>
      </c>
      <c r="K4690" s="21">
        <v>42509</v>
      </c>
      <c r="L4690">
        <v>2016</v>
      </c>
      <c r="M4690" s="21">
        <v>42605</v>
      </c>
      <c r="N4690">
        <v>2016</v>
      </c>
      <c r="Q4690" s="262">
        <v>3000</v>
      </c>
      <c r="S4690" t="s">
        <v>114</v>
      </c>
      <c r="T4690" t="s">
        <v>114</v>
      </c>
      <c r="W4690">
        <v>0</v>
      </c>
      <c r="X4690">
        <v>0</v>
      </c>
      <c r="Y4690">
        <v>0</v>
      </c>
      <c r="Z4690">
        <v>0</v>
      </c>
      <c r="AA4690">
        <v>0</v>
      </c>
      <c r="AB4690">
        <v>0</v>
      </c>
      <c r="AC4690">
        <v>0</v>
      </c>
      <c r="AD4690">
        <v>0</v>
      </c>
      <c r="AE4690">
        <v>0</v>
      </c>
      <c r="AF4690">
        <v>0</v>
      </c>
      <c r="AG4690">
        <v>0</v>
      </c>
      <c r="AH4690">
        <v>0</v>
      </c>
      <c r="AI4690">
        <v>0</v>
      </c>
      <c r="AJ4690">
        <v>0</v>
      </c>
      <c r="AK4690">
        <v>0</v>
      </c>
      <c r="AL4690">
        <v>0</v>
      </c>
      <c r="AM4690">
        <v>0</v>
      </c>
      <c r="AN4690">
        <v>0</v>
      </c>
      <c r="AO4690">
        <v>0</v>
      </c>
      <c r="AP4690">
        <v>0</v>
      </c>
      <c r="AQ4690">
        <v>0</v>
      </c>
      <c r="AR4690">
        <v>0</v>
      </c>
      <c r="AS4690">
        <v>0</v>
      </c>
      <c r="AT4690">
        <v>0</v>
      </c>
      <c r="AU4690">
        <f t="shared" si="144"/>
        <v>0</v>
      </c>
      <c r="AV4690">
        <f t="shared" si="145"/>
        <v>0</v>
      </c>
    </row>
    <row r="4691" spans="1:48" x14ac:dyDescent="0.25">
      <c r="A4691" t="s">
        <v>13290</v>
      </c>
      <c r="C4691" t="s">
        <v>13291</v>
      </c>
      <c r="D4691" t="s">
        <v>13292</v>
      </c>
      <c r="E4691" t="s">
        <v>1663</v>
      </c>
      <c r="F4691">
        <v>3</v>
      </c>
      <c r="G4691">
        <v>3.2</v>
      </c>
      <c r="H4691" t="s">
        <v>2327</v>
      </c>
      <c r="I4691" s="21">
        <v>42488</v>
      </c>
      <c r="J4691">
        <v>2016</v>
      </c>
      <c r="K4691" s="21">
        <v>42515</v>
      </c>
      <c r="L4691">
        <v>2016</v>
      </c>
      <c r="M4691" s="21">
        <v>42566</v>
      </c>
      <c r="N4691">
        <v>2016</v>
      </c>
      <c r="Q4691" s="262">
        <v>50000</v>
      </c>
      <c r="S4691" t="s">
        <v>114</v>
      </c>
      <c r="T4691" t="s">
        <v>114</v>
      </c>
      <c r="W4691">
        <v>0</v>
      </c>
      <c r="X4691">
        <v>0</v>
      </c>
      <c r="Y4691">
        <v>0</v>
      </c>
      <c r="Z4691">
        <v>0</v>
      </c>
      <c r="AA4691">
        <v>0</v>
      </c>
      <c r="AB4691">
        <v>0</v>
      </c>
      <c r="AC4691">
        <v>0</v>
      </c>
      <c r="AD4691">
        <v>0</v>
      </c>
      <c r="AE4691">
        <v>0</v>
      </c>
      <c r="AF4691">
        <v>0</v>
      </c>
      <c r="AG4691">
        <v>0</v>
      </c>
      <c r="AH4691">
        <v>0</v>
      </c>
      <c r="AI4691">
        <v>0</v>
      </c>
      <c r="AJ4691">
        <v>0</v>
      </c>
      <c r="AK4691">
        <v>0</v>
      </c>
      <c r="AL4691">
        <v>0</v>
      </c>
      <c r="AM4691">
        <v>0</v>
      </c>
      <c r="AN4691">
        <v>0</v>
      </c>
      <c r="AO4691">
        <v>0</v>
      </c>
      <c r="AP4691">
        <v>0</v>
      </c>
      <c r="AQ4691">
        <v>0</v>
      </c>
      <c r="AR4691">
        <v>0</v>
      </c>
      <c r="AS4691">
        <v>0</v>
      </c>
      <c r="AT4691">
        <v>0</v>
      </c>
      <c r="AU4691">
        <f t="shared" si="144"/>
        <v>0</v>
      </c>
      <c r="AV4691">
        <f t="shared" si="145"/>
        <v>0</v>
      </c>
    </row>
    <row r="4692" spans="1:48" x14ac:dyDescent="0.25">
      <c r="A4692" t="s">
        <v>17898</v>
      </c>
      <c r="B4692" t="s">
        <v>17898</v>
      </c>
      <c r="C4692" t="s">
        <v>17899</v>
      </c>
      <c r="D4692" t="s">
        <v>17900</v>
      </c>
      <c r="E4692" t="s">
        <v>2310</v>
      </c>
      <c r="F4692">
        <v>14</v>
      </c>
      <c r="G4692">
        <v>14.1</v>
      </c>
      <c r="H4692" t="s">
        <v>2022</v>
      </c>
      <c r="I4692" s="21">
        <v>42488.558981481481</v>
      </c>
      <c r="J4692">
        <v>2016</v>
      </c>
      <c r="K4692" s="21">
        <v>42921.369085648148</v>
      </c>
      <c r="L4692">
        <v>2017</v>
      </c>
      <c r="M4692" s="21">
        <v>42921.369085648148</v>
      </c>
      <c r="N4692">
        <v>2017</v>
      </c>
      <c r="Q4692" s="262">
        <v>1040000</v>
      </c>
      <c r="R4692" s="262">
        <v>429000</v>
      </c>
      <c r="S4692" t="s">
        <v>13254</v>
      </c>
      <c r="W4692">
        <v>3825</v>
      </c>
      <c r="X4692">
        <v>1</v>
      </c>
      <c r="Y4692">
        <v>0</v>
      </c>
      <c r="Z4692">
        <v>0</v>
      </c>
      <c r="AA4692">
        <v>0</v>
      </c>
      <c r="AB4692">
        <v>0</v>
      </c>
      <c r="AC4692">
        <v>3825</v>
      </c>
      <c r="AD4692">
        <v>0</v>
      </c>
      <c r="AE4692">
        <v>0</v>
      </c>
      <c r="AF4692">
        <v>0</v>
      </c>
      <c r="AG4692">
        <v>0</v>
      </c>
      <c r="AH4692">
        <v>0</v>
      </c>
      <c r="AI4692">
        <v>0</v>
      </c>
      <c r="AJ4692">
        <v>0</v>
      </c>
      <c r="AK4692">
        <v>0</v>
      </c>
      <c r="AL4692">
        <v>0</v>
      </c>
      <c r="AM4692">
        <v>0</v>
      </c>
      <c r="AN4692">
        <v>0</v>
      </c>
      <c r="AO4692">
        <v>1</v>
      </c>
      <c r="AP4692">
        <v>0</v>
      </c>
      <c r="AQ4692">
        <v>0</v>
      </c>
      <c r="AR4692">
        <v>0</v>
      </c>
      <c r="AS4692">
        <v>0</v>
      </c>
      <c r="AT4692">
        <v>0</v>
      </c>
      <c r="AU4692">
        <f t="shared" si="144"/>
        <v>1</v>
      </c>
      <c r="AV4692">
        <f t="shared" si="145"/>
        <v>0</v>
      </c>
    </row>
    <row r="4693" spans="1:48" x14ac:dyDescent="0.25">
      <c r="A4693" t="s">
        <v>13296</v>
      </c>
      <c r="B4693" t="s">
        <v>13296</v>
      </c>
      <c r="C4693" t="s">
        <v>13297</v>
      </c>
      <c r="D4693" t="s">
        <v>13298</v>
      </c>
      <c r="E4693" t="s">
        <v>2310</v>
      </c>
      <c r="F4693">
        <v>8</v>
      </c>
      <c r="G4693">
        <v>8.3000000000000007</v>
      </c>
      <c r="H4693" t="s">
        <v>2323</v>
      </c>
      <c r="I4693" s="21">
        <v>42489.428194444401</v>
      </c>
      <c r="J4693">
        <v>2016</v>
      </c>
      <c r="K4693" s="21">
        <v>42576.489050925898</v>
      </c>
      <c r="L4693">
        <v>2016</v>
      </c>
      <c r="P4693" s="21">
        <v>43082.469479166699</v>
      </c>
      <c r="Q4693" s="262">
        <v>4000000</v>
      </c>
      <c r="R4693" s="262">
        <v>691000</v>
      </c>
      <c r="S4693" t="s">
        <v>114</v>
      </c>
      <c r="T4693" t="s">
        <v>114</v>
      </c>
      <c r="W4693">
        <v>5490</v>
      </c>
      <c r="X4693">
        <v>1</v>
      </c>
      <c r="Y4693">
        <v>0</v>
      </c>
      <c r="Z4693">
        <v>0</v>
      </c>
      <c r="AA4693">
        <v>0</v>
      </c>
      <c r="AB4693">
        <v>0</v>
      </c>
      <c r="AC4693">
        <v>5490</v>
      </c>
      <c r="AD4693">
        <v>0</v>
      </c>
      <c r="AE4693">
        <v>0</v>
      </c>
      <c r="AF4693">
        <v>0</v>
      </c>
      <c r="AG4693">
        <v>0</v>
      </c>
      <c r="AH4693">
        <v>0</v>
      </c>
      <c r="AI4693">
        <v>0</v>
      </c>
      <c r="AJ4693">
        <v>0</v>
      </c>
      <c r="AK4693">
        <v>0</v>
      </c>
      <c r="AL4693">
        <v>0</v>
      </c>
      <c r="AM4693">
        <v>0</v>
      </c>
      <c r="AN4693">
        <v>0</v>
      </c>
      <c r="AO4693">
        <v>1</v>
      </c>
      <c r="AP4693">
        <v>0</v>
      </c>
      <c r="AQ4693">
        <v>0</v>
      </c>
      <c r="AR4693">
        <v>0</v>
      </c>
      <c r="AS4693">
        <v>0</v>
      </c>
      <c r="AT4693">
        <v>0</v>
      </c>
      <c r="AU4693">
        <f t="shared" si="144"/>
        <v>1</v>
      </c>
      <c r="AV4693">
        <f t="shared" si="145"/>
        <v>0</v>
      </c>
    </row>
    <row r="4694" spans="1:48" x14ac:dyDescent="0.25">
      <c r="A4694" t="s">
        <v>13300</v>
      </c>
      <c r="C4694" t="s">
        <v>13301</v>
      </c>
      <c r="D4694" t="s">
        <v>12703</v>
      </c>
      <c r="E4694" t="s">
        <v>1663</v>
      </c>
      <c r="F4694">
        <v>3</v>
      </c>
      <c r="G4694">
        <v>3.1</v>
      </c>
      <c r="H4694" t="s">
        <v>2017</v>
      </c>
      <c r="I4694" s="21">
        <v>42494</v>
      </c>
      <c r="J4694">
        <v>2016</v>
      </c>
      <c r="K4694" s="21">
        <v>42523</v>
      </c>
      <c r="L4694">
        <v>2016</v>
      </c>
      <c r="M4694" s="21">
        <v>42656</v>
      </c>
      <c r="N4694">
        <v>2016</v>
      </c>
      <c r="Q4694" s="262">
        <v>100000</v>
      </c>
      <c r="S4694" t="s">
        <v>114</v>
      </c>
      <c r="T4694" t="s">
        <v>114</v>
      </c>
      <c r="W4694">
        <v>1880</v>
      </c>
      <c r="X4694">
        <v>1</v>
      </c>
      <c r="Y4694">
        <v>0</v>
      </c>
      <c r="Z4694">
        <v>0</v>
      </c>
      <c r="AA4694">
        <v>0</v>
      </c>
      <c r="AB4694">
        <v>0</v>
      </c>
      <c r="AC4694">
        <v>1085</v>
      </c>
      <c r="AD4694">
        <v>0</v>
      </c>
      <c r="AE4694">
        <v>0</v>
      </c>
      <c r="AF4694">
        <v>795</v>
      </c>
      <c r="AG4694">
        <v>0</v>
      </c>
      <c r="AH4694">
        <v>0</v>
      </c>
      <c r="AI4694">
        <v>0</v>
      </c>
      <c r="AJ4694">
        <v>0</v>
      </c>
      <c r="AK4694">
        <v>0</v>
      </c>
      <c r="AL4694">
        <v>0</v>
      </c>
      <c r="AM4694">
        <v>0</v>
      </c>
      <c r="AN4694">
        <v>0</v>
      </c>
      <c r="AO4694">
        <v>0</v>
      </c>
      <c r="AP4694">
        <v>0</v>
      </c>
      <c r="AQ4694">
        <v>0</v>
      </c>
      <c r="AR4694">
        <v>1</v>
      </c>
      <c r="AS4694">
        <v>0</v>
      </c>
      <c r="AT4694">
        <v>0</v>
      </c>
      <c r="AU4694">
        <f t="shared" si="144"/>
        <v>0</v>
      </c>
      <c r="AV4694">
        <f t="shared" si="145"/>
        <v>0</v>
      </c>
    </row>
    <row r="4695" spans="1:48" x14ac:dyDescent="0.25">
      <c r="A4695" t="s">
        <v>13299</v>
      </c>
      <c r="C4695" t="s">
        <v>11879</v>
      </c>
      <c r="D4695" t="s">
        <v>9065</v>
      </c>
      <c r="E4695" t="s">
        <v>1663</v>
      </c>
      <c r="F4695">
        <v>2</v>
      </c>
      <c r="G4695">
        <v>2.1</v>
      </c>
      <c r="H4695" t="s">
        <v>2327</v>
      </c>
      <c r="I4695" s="21">
        <v>42494</v>
      </c>
      <c r="J4695">
        <v>2016</v>
      </c>
      <c r="M4695" s="21">
        <v>43623</v>
      </c>
      <c r="N4695">
        <v>2019</v>
      </c>
      <c r="Q4695" s="262">
        <v>1000000</v>
      </c>
      <c r="S4695" t="s">
        <v>114</v>
      </c>
      <c r="T4695" t="s">
        <v>114</v>
      </c>
      <c r="W4695">
        <v>0</v>
      </c>
      <c r="X4695">
        <v>0</v>
      </c>
      <c r="Y4695">
        <v>0</v>
      </c>
      <c r="Z4695">
        <v>0</v>
      </c>
      <c r="AA4695">
        <v>0</v>
      </c>
      <c r="AB4695">
        <v>0</v>
      </c>
      <c r="AC4695">
        <v>0</v>
      </c>
      <c r="AD4695">
        <v>0</v>
      </c>
      <c r="AE4695">
        <v>0</v>
      </c>
      <c r="AF4695">
        <v>0</v>
      </c>
      <c r="AG4695">
        <v>0</v>
      </c>
      <c r="AH4695">
        <v>0</v>
      </c>
      <c r="AI4695">
        <v>0</v>
      </c>
      <c r="AJ4695">
        <v>0</v>
      </c>
      <c r="AK4695">
        <v>0</v>
      </c>
      <c r="AL4695">
        <v>0</v>
      </c>
      <c r="AM4695">
        <v>0</v>
      </c>
      <c r="AN4695">
        <v>0</v>
      </c>
      <c r="AO4695">
        <v>0</v>
      </c>
      <c r="AP4695">
        <v>0</v>
      </c>
      <c r="AQ4695">
        <v>0</v>
      </c>
      <c r="AR4695">
        <v>0</v>
      </c>
      <c r="AS4695">
        <v>0</v>
      </c>
      <c r="AT4695">
        <v>0</v>
      </c>
      <c r="AU4695">
        <f t="shared" si="144"/>
        <v>0</v>
      </c>
      <c r="AV4695">
        <f t="shared" si="145"/>
        <v>0</v>
      </c>
    </row>
    <row r="4696" spans="1:48" x14ac:dyDescent="0.25">
      <c r="A4696" t="s">
        <v>18539</v>
      </c>
      <c r="B4696" t="s">
        <v>18539</v>
      </c>
      <c r="C4696" t="s">
        <v>18540</v>
      </c>
      <c r="D4696" t="s">
        <v>18541</v>
      </c>
      <c r="E4696" t="s">
        <v>2310</v>
      </c>
      <c r="F4696">
        <v>15</v>
      </c>
      <c r="G4696">
        <v>15.2</v>
      </c>
      <c r="H4696" t="s">
        <v>2323</v>
      </c>
      <c r="I4696" s="21">
        <v>42494.445381944446</v>
      </c>
      <c r="J4696">
        <v>2016</v>
      </c>
      <c r="K4696" s="21">
        <v>42527.623159722221</v>
      </c>
      <c r="L4696">
        <v>2016</v>
      </c>
      <c r="M4696" s="21">
        <v>43516.414896724535</v>
      </c>
      <c r="N4696">
        <v>2019</v>
      </c>
      <c r="Q4696" s="262">
        <v>7952084</v>
      </c>
      <c r="R4696" s="262">
        <v>1425000</v>
      </c>
      <c r="S4696" t="s">
        <v>13254</v>
      </c>
      <c r="W4696">
        <v>10940</v>
      </c>
      <c r="X4696">
        <v>1</v>
      </c>
      <c r="Y4696">
        <v>0</v>
      </c>
      <c r="Z4696">
        <v>0</v>
      </c>
      <c r="AA4696">
        <v>0</v>
      </c>
      <c r="AB4696">
        <v>0</v>
      </c>
      <c r="AC4696">
        <v>10940</v>
      </c>
      <c r="AD4696">
        <v>0</v>
      </c>
      <c r="AE4696">
        <v>0</v>
      </c>
      <c r="AF4696">
        <v>0</v>
      </c>
      <c r="AG4696">
        <v>0</v>
      </c>
      <c r="AH4696">
        <v>0</v>
      </c>
      <c r="AI4696">
        <v>0</v>
      </c>
      <c r="AJ4696">
        <v>0</v>
      </c>
      <c r="AK4696">
        <v>0</v>
      </c>
      <c r="AL4696">
        <v>0</v>
      </c>
      <c r="AM4696">
        <v>0</v>
      </c>
      <c r="AN4696">
        <v>0</v>
      </c>
      <c r="AO4696">
        <v>1</v>
      </c>
      <c r="AP4696">
        <v>0</v>
      </c>
      <c r="AQ4696">
        <v>0</v>
      </c>
      <c r="AR4696">
        <v>0</v>
      </c>
      <c r="AS4696">
        <v>0</v>
      </c>
      <c r="AT4696">
        <v>0</v>
      </c>
      <c r="AU4696">
        <f t="shared" si="144"/>
        <v>1</v>
      </c>
      <c r="AV4696">
        <f t="shared" si="145"/>
        <v>0</v>
      </c>
    </row>
    <row r="4697" spans="1:48" x14ac:dyDescent="0.25">
      <c r="A4697" t="s">
        <v>18272</v>
      </c>
      <c r="B4697" t="s">
        <v>18272</v>
      </c>
      <c r="C4697" t="s">
        <v>17985</v>
      </c>
      <c r="D4697" t="s">
        <v>18273</v>
      </c>
      <c r="E4697" t="s">
        <v>2310</v>
      </c>
      <c r="F4697">
        <v>8</v>
      </c>
      <c r="G4697">
        <v>8.1</v>
      </c>
      <c r="H4697" t="s">
        <v>2323</v>
      </c>
      <c r="I4697" s="21">
        <v>42495.44090277778</v>
      </c>
      <c r="J4697">
        <v>2016</v>
      </c>
      <c r="K4697" s="21">
        <v>43353.591384872685</v>
      </c>
      <c r="L4697">
        <v>2018</v>
      </c>
      <c r="M4697" s="21">
        <v>43356.342957141205</v>
      </c>
      <c r="N4697">
        <v>2018</v>
      </c>
      <c r="Q4697" s="262">
        <v>6862319</v>
      </c>
      <c r="R4697" s="262">
        <v>907000</v>
      </c>
      <c r="S4697" t="s">
        <v>13254</v>
      </c>
      <c r="W4697">
        <v>6192</v>
      </c>
      <c r="X4697">
        <v>1</v>
      </c>
      <c r="Y4697">
        <v>0</v>
      </c>
      <c r="Z4697">
        <v>0</v>
      </c>
      <c r="AA4697">
        <v>0</v>
      </c>
      <c r="AB4697">
        <v>0</v>
      </c>
      <c r="AC4697">
        <v>6192</v>
      </c>
      <c r="AD4697">
        <v>0</v>
      </c>
      <c r="AE4697">
        <v>0</v>
      </c>
      <c r="AF4697">
        <v>0</v>
      </c>
      <c r="AG4697">
        <v>0</v>
      </c>
      <c r="AH4697">
        <v>0</v>
      </c>
      <c r="AI4697">
        <v>0</v>
      </c>
      <c r="AJ4697">
        <v>0</v>
      </c>
      <c r="AK4697">
        <v>0</v>
      </c>
      <c r="AL4697">
        <v>0</v>
      </c>
      <c r="AM4697">
        <v>0</v>
      </c>
      <c r="AN4697">
        <v>0</v>
      </c>
      <c r="AO4697">
        <v>1</v>
      </c>
      <c r="AP4697">
        <v>0</v>
      </c>
      <c r="AQ4697">
        <v>0</v>
      </c>
      <c r="AR4697">
        <v>0</v>
      </c>
      <c r="AS4697">
        <v>0</v>
      </c>
      <c r="AT4697">
        <v>0</v>
      </c>
      <c r="AU4697">
        <f t="shared" ref="AU4697:AU4760" si="146">SUM(AN4697:AQ4697,AS4697)</f>
        <v>1</v>
      </c>
      <c r="AV4697">
        <f t="shared" ref="AV4697:AV4760" si="147">SUM(Y4697:AB4697,AH4697:AM4697)</f>
        <v>0</v>
      </c>
    </row>
    <row r="4698" spans="1:48" x14ac:dyDescent="0.25">
      <c r="A4698" t="s">
        <v>17909</v>
      </c>
      <c r="B4698" t="s">
        <v>17909</v>
      </c>
      <c r="C4698" t="s">
        <v>17910</v>
      </c>
      <c r="D4698" t="s">
        <v>16098</v>
      </c>
      <c r="E4698" t="s">
        <v>2310</v>
      </c>
      <c r="F4698">
        <v>15</v>
      </c>
      <c r="G4698">
        <v>15.1</v>
      </c>
      <c r="H4698" t="s">
        <v>2022</v>
      </c>
      <c r="I4698" s="21">
        <v>42495.480787037035</v>
      </c>
      <c r="J4698">
        <v>2016</v>
      </c>
      <c r="K4698" s="21">
        <v>42536.656851851854</v>
      </c>
      <c r="L4698">
        <v>2016</v>
      </c>
      <c r="M4698" s="21">
        <v>43104.658090277779</v>
      </c>
      <c r="N4698">
        <v>2018</v>
      </c>
      <c r="Q4698" s="262">
        <v>600000</v>
      </c>
      <c r="R4698" s="262">
        <v>165000</v>
      </c>
      <c r="S4698" t="s">
        <v>13254</v>
      </c>
      <c r="W4698">
        <v>2078</v>
      </c>
      <c r="X4698">
        <v>1</v>
      </c>
      <c r="Y4698">
        <v>0</v>
      </c>
      <c r="Z4698">
        <v>0</v>
      </c>
      <c r="AA4698">
        <v>0</v>
      </c>
      <c r="AB4698">
        <v>0</v>
      </c>
      <c r="AC4698">
        <v>1079</v>
      </c>
      <c r="AD4698">
        <v>0</v>
      </c>
      <c r="AE4698">
        <v>0</v>
      </c>
      <c r="AF4698">
        <v>999</v>
      </c>
      <c r="AG4698">
        <v>0</v>
      </c>
      <c r="AH4698">
        <v>0</v>
      </c>
      <c r="AI4698">
        <v>0</v>
      </c>
      <c r="AJ4698">
        <v>0</v>
      </c>
      <c r="AK4698">
        <v>0</v>
      </c>
      <c r="AL4698">
        <v>0</v>
      </c>
      <c r="AM4698">
        <v>0</v>
      </c>
      <c r="AN4698">
        <v>0</v>
      </c>
      <c r="AO4698">
        <v>0</v>
      </c>
      <c r="AP4698">
        <v>0</v>
      </c>
      <c r="AQ4698">
        <v>0</v>
      </c>
      <c r="AR4698">
        <v>1</v>
      </c>
      <c r="AS4698">
        <v>0</v>
      </c>
      <c r="AT4698">
        <v>0</v>
      </c>
      <c r="AU4698">
        <f t="shared" si="146"/>
        <v>0</v>
      </c>
      <c r="AV4698">
        <f t="shared" si="147"/>
        <v>0</v>
      </c>
    </row>
    <row r="4699" spans="1:48" x14ac:dyDescent="0.25">
      <c r="A4699" t="s">
        <v>13302</v>
      </c>
      <c r="C4699" t="s">
        <v>13303</v>
      </c>
      <c r="D4699" t="s">
        <v>13304</v>
      </c>
      <c r="E4699" t="s">
        <v>1663</v>
      </c>
      <c r="F4699">
        <v>3</v>
      </c>
      <c r="G4699">
        <v>3.2</v>
      </c>
      <c r="H4699" t="s">
        <v>2327</v>
      </c>
      <c r="I4699" s="21">
        <v>42496</v>
      </c>
      <c r="J4699">
        <v>2016</v>
      </c>
      <c r="K4699" s="21">
        <v>42501</v>
      </c>
      <c r="L4699">
        <v>2016</v>
      </c>
      <c r="P4699" s="21">
        <v>42847</v>
      </c>
      <c r="Q4699" s="262">
        <v>700</v>
      </c>
      <c r="S4699" t="s">
        <v>114</v>
      </c>
      <c r="T4699" t="s">
        <v>114</v>
      </c>
      <c r="W4699">
        <v>0</v>
      </c>
      <c r="X4699">
        <v>0</v>
      </c>
      <c r="Y4699">
        <v>0</v>
      </c>
      <c r="Z4699">
        <v>0</v>
      </c>
      <c r="AA4699">
        <v>0</v>
      </c>
      <c r="AB4699">
        <v>0</v>
      </c>
      <c r="AC4699">
        <v>0</v>
      </c>
      <c r="AD4699">
        <v>0</v>
      </c>
      <c r="AE4699">
        <v>0</v>
      </c>
      <c r="AF4699">
        <v>0</v>
      </c>
      <c r="AG4699">
        <v>0</v>
      </c>
      <c r="AH4699">
        <v>0</v>
      </c>
      <c r="AI4699">
        <v>0</v>
      </c>
      <c r="AJ4699">
        <v>0</v>
      </c>
      <c r="AK4699">
        <v>0</v>
      </c>
      <c r="AL4699">
        <v>0</v>
      </c>
      <c r="AM4699">
        <v>0</v>
      </c>
      <c r="AN4699">
        <v>0</v>
      </c>
      <c r="AO4699">
        <v>0</v>
      </c>
      <c r="AP4699">
        <v>0</v>
      </c>
      <c r="AQ4699">
        <v>0</v>
      </c>
      <c r="AR4699">
        <v>0</v>
      </c>
      <c r="AS4699">
        <v>0</v>
      </c>
      <c r="AT4699">
        <v>0</v>
      </c>
      <c r="AU4699">
        <f t="shared" si="146"/>
        <v>0</v>
      </c>
      <c r="AV4699">
        <f t="shared" si="147"/>
        <v>0</v>
      </c>
    </row>
    <row r="4700" spans="1:48" x14ac:dyDescent="0.25">
      <c r="A4700" t="s">
        <v>17386</v>
      </c>
      <c r="B4700" t="s">
        <v>17386</v>
      </c>
      <c r="C4700" t="s">
        <v>17387</v>
      </c>
      <c r="D4700" t="s">
        <v>3197</v>
      </c>
      <c r="E4700" t="s">
        <v>2310</v>
      </c>
      <c r="F4700">
        <v>8</v>
      </c>
      <c r="G4700">
        <v>8.3000000000000007</v>
      </c>
      <c r="H4700" t="s">
        <v>2323</v>
      </c>
      <c r="I4700" s="21">
        <v>42500.60565972222</v>
      </c>
      <c r="J4700">
        <v>2016</v>
      </c>
      <c r="K4700" s="21">
        <v>42943.664861111109</v>
      </c>
      <c r="L4700">
        <v>2017</v>
      </c>
      <c r="M4700" s="21">
        <v>43255.417939965278</v>
      </c>
      <c r="N4700">
        <v>2018</v>
      </c>
      <c r="Q4700" s="262">
        <v>750000</v>
      </c>
      <c r="R4700" s="262">
        <v>498000</v>
      </c>
      <c r="S4700" t="s">
        <v>13253</v>
      </c>
      <c r="T4700">
        <v>183</v>
      </c>
      <c r="V4700">
        <v>3911</v>
      </c>
      <c r="W4700">
        <v>1741</v>
      </c>
      <c r="X4700">
        <v>0</v>
      </c>
      <c r="Y4700">
        <v>0</v>
      </c>
      <c r="Z4700">
        <v>0</v>
      </c>
      <c r="AA4700">
        <v>0</v>
      </c>
      <c r="AB4700">
        <v>0</v>
      </c>
      <c r="AC4700">
        <v>1741</v>
      </c>
      <c r="AD4700">
        <v>0</v>
      </c>
      <c r="AE4700">
        <v>0</v>
      </c>
      <c r="AF4700">
        <v>0</v>
      </c>
      <c r="AG4700">
        <v>0</v>
      </c>
      <c r="AH4700">
        <v>0</v>
      </c>
      <c r="AI4700">
        <v>0</v>
      </c>
      <c r="AJ4700">
        <v>0</v>
      </c>
      <c r="AK4700">
        <v>0</v>
      </c>
      <c r="AL4700">
        <v>0</v>
      </c>
      <c r="AM4700">
        <v>0</v>
      </c>
      <c r="AN4700">
        <v>0</v>
      </c>
      <c r="AO4700">
        <v>0</v>
      </c>
      <c r="AP4700">
        <v>0</v>
      </c>
      <c r="AQ4700">
        <v>0</v>
      </c>
      <c r="AR4700">
        <v>0</v>
      </c>
      <c r="AS4700">
        <v>0</v>
      </c>
      <c r="AT4700">
        <v>0</v>
      </c>
      <c r="AU4700">
        <f t="shared" si="146"/>
        <v>0</v>
      </c>
      <c r="AV4700">
        <f t="shared" si="147"/>
        <v>0</v>
      </c>
    </row>
    <row r="4701" spans="1:48" x14ac:dyDescent="0.25">
      <c r="A4701" t="s">
        <v>17901</v>
      </c>
      <c r="B4701" t="s">
        <v>17901</v>
      </c>
      <c r="C4701" t="s">
        <v>17902</v>
      </c>
      <c r="D4701" t="s">
        <v>17903</v>
      </c>
      <c r="E4701" t="s">
        <v>2310</v>
      </c>
      <c r="F4701">
        <v>12</v>
      </c>
      <c r="G4701">
        <v>12.3</v>
      </c>
      <c r="H4701" t="s">
        <v>2017</v>
      </c>
      <c r="I4701" s="21">
        <v>42501.44327546296</v>
      </c>
      <c r="J4701">
        <v>2016</v>
      </c>
      <c r="K4701" s="21">
        <v>42909.58871527778</v>
      </c>
      <c r="L4701">
        <v>2017</v>
      </c>
      <c r="M4701" s="21">
        <v>42909.58871527778</v>
      </c>
      <c r="N4701">
        <v>2017</v>
      </c>
      <c r="Q4701" s="262">
        <v>650000</v>
      </c>
      <c r="R4701" s="262">
        <v>501000</v>
      </c>
      <c r="S4701" t="s">
        <v>13254</v>
      </c>
      <c r="W4701">
        <v>4302</v>
      </c>
      <c r="X4701">
        <v>1</v>
      </c>
      <c r="Y4701">
        <v>0</v>
      </c>
      <c r="Z4701">
        <v>0</v>
      </c>
      <c r="AA4701">
        <v>0</v>
      </c>
      <c r="AB4701">
        <v>0</v>
      </c>
      <c r="AC4701">
        <v>4302</v>
      </c>
      <c r="AD4701">
        <v>0</v>
      </c>
      <c r="AE4701">
        <v>0</v>
      </c>
      <c r="AF4701">
        <v>0</v>
      </c>
      <c r="AG4701">
        <v>0</v>
      </c>
      <c r="AH4701">
        <v>0</v>
      </c>
      <c r="AI4701">
        <v>0</v>
      </c>
      <c r="AJ4701">
        <v>0</v>
      </c>
      <c r="AK4701">
        <v>0</v>
      </c>
      <c r="AL4701">
        <v>0</v>
      </c>
      <c r="AM4701">
        <v>0</v>
      </c>
      <c r="AN4701">
        <v>0</v>
      </c>
      <c r="AO4701">
        <v>1</v>
      </c>
      <c r="AP4701">
        <v>0</v>
      </c>
      <c r="AQ4701">
        <v>0</v>
      </c>
      <c r="AR4701">
        <v>0</v>
      </c>
      <c r="AS4701">
        <v>0</v>
      </c>
      <c r="AT4701">
        <v>0</v>
      </c>
      <c r="AU4701">
        <f t="shared" si="146"/>
        <v>1</v>
      </c>
      <c r="AV4701">
        <f t="shared" si="147"/>
        <v>0</v>
      </c>
    </row>
    <row r="4702" spans="1:48" x14ac:dyDescent="0.25">
      <c r="A4702" t="s">
        <v>13305</v>
      </c>
      <c r="B4702" t="s">
        <v>13305</v>
      </c>
      <c r="C4702" t="s">
        <v>13306</v>
      </c>
      <c r="D4702" t="s">
        <v>13307</v>
      </c>
      <c r="E4702" t="s">
        <v>2310</v>
      </c>
      <c r="F4702">
        <v>12</v>
      </c>
      <c r="G4702">
        <v>12.3</v>
      </c>
      <c r="H4702" t="s">
        <v>2017</v>
      </c>
      <c r="I4702" s="21">
        <v>42502.445914351898</v>
      </c>
      <c r="J4702">
        <v>2016</v>
      </c>
      <c r="K4702" s="21">
        <v>42916.6541319444</v>
      </c>
      <c r="L4702">
        <v>2017</v>
      </c>
      <c r="O4702" s="21">
        <v>42916.6541319444</v>
      </c>
      <c r="Q4702" s="262">
        <v>1375000</v>
      </c>
      <c r="R4702" s="262">
        <v>784000</v>
      </c>
      <c r="S4702" t="s">
        <v>114</v>
      </c>
      <c r="T4702" t="s">
        <v>114</v>
      </c>
      <c r="W4702">
        <v>6114</v>
      </c>
      <c r="X4702">
        <v>1</v>
      </c>
      <c r="Y4702">
        <v>0</v>
      </c>
      <c r="Z4702">
        <v>0</v>
      </c>
      <c r="AA4702">
        <v>0</v>
      </c>
      <c r="AB4702">
        <v>0</v>
      </c>
      <c r="AC4702">
        <v>6114</v>
      </c>
      <c r="AD4702">
        <v>0</v>
      </c>
      <c r="AE4702">
        <v>0</v>
      </c>
      <c r="AF4702">
        <v>0</v>
      </c>
      <c r="AG4702">
        <v>0</v>
      </c>
      <c r="AH4702">
        <v>0</v>
      </c>
      <c r="AI4702">
        <v>0</v>
      </c>
      <c r="AJ4702">
        <v>0</v>
      </c>
      <c r="AK4702">
        <v>0</v>
      </c>
      <c r="AL4702">
        <v>0</v>
      </c>
      <c r="AM4702">
        <v>0</v>
      </c>
      <c r="AN4702">
        <v>0</v>
      </c>
      <c r="AO4702">
        <v>1</v>
      </c>
      <c r="AP4702">
        <v>0</v>
      </c>
      <c r="AQ4702">
        <v>0</v>
      </c>
      <c r="AR4702">
        <v>0</v>
      </c>
      <c r="AS4702">
        <v>0</v>
      </c>
      <c r="AT4702">
        <v>0</v>
      </c>
      <c r="AU4702">
        <f t="shared" si="146"/>
        <v>1</v>
      </c>
      <c r="AV4702">
        <f t="shared" si="147"/>
        <v>0</v>
      </c>
    </row>
    <row r="4703" spans="1:48" x14ac:dyDescent="0.25">
      <c r="A4703" t="s">
        <v>12982</v>
      </c>
      <c r="B4703" t="s">
        <v>12982</v>
      </c>
      <c r="C4703" t="s">
        <v>12983</v>
      </c>
      <c r="D4703" t="s">
        <v>9946</v>
      </c>
      <c r="E4703" t="s">
        <v>2310</v>
      </c>
      <c r="F4703">
        <v>9</v>
      </c>
      <c r="G4703">
        <v>9.1</v>
      </c>
      <c r="H4703" t="s">
        <v>2323</v>
      </c>
      <c r="I4703" s="21">
        <v>42502.491793981484</v>
      </c>
      <c r="J4703">
        <v>2016</v>
      </c>
      <c r="K4703" s="21">
        <v>42916.368842592594</v>
      </c>
      <c r="L4703">
        <v>2017</v>
      </c>
      <c r="M4703" s="21">
        <v>42916.368842592594</v>
      </c>
      <c r="N4703">
        <v>2017</v>
      </c>
      <c r="Q4703" s="262">
        <v>2000000</v>
      </c>
      <c r="R4703" s="262">
        <v>611000</v>
      </c>
      <c r="S4703" t="s">
        <v>12464</v>
      </c>
      <c r="T4703" t="s">
        <v>13025</v>
      </c>
      <c r="W4703">
        <v>4478</v>
      </c>
      <c r="X4703">
        <v>1</v>
      </c>
      <c r="Y4703">
        <v>0</v>
      </c>
      <c r="Z4703">
        <v>0</v>
      </c>
      <c r="AA4703">
        <v>0</v>
      </c>
      <c r="AB4703">
        <v>0</v>
      </c>
      <c r="AC4703">
        <v>4478</v>
      </c>
      <c r="AD4703">
        <v>0</v>
      </c>
      <c r="AE4703">
        <v>0</v>
      </c>
      <c r="AF4703">
        <v>0</v>
      </c>
      <c r="AG4703">
        <v>0</v>
      </c>
      <c r="AH4703">
        <v>0</v>
      </c>
      <c r="AI4703">
        <v>0</v>
      </c>
      <c r="AJ4703">
        <v>0</v>
      </c>
      <c r="AK4703">
        <v>0</v>
      </c>
      <c r="AL4703">
        <v>0</v>
      </c>
      <c r="AM4703">
        <v>0</v>
      </c>
      <c r="AN4703">
        <v>0</v>
      </c>
      <c r="AO4703">
        <v>1</v>
      </c>
      <c r="AP4703">
        <v>0</v>
      </c>
      <c r="AQ4703">
        <v>0</v>
      </c>
      <c r="AR4703">
        <v>0</v>
      </c>
      <c r="AS4703">
        <v>0</v>
      </c>
      <c r="AT4703">
        <v>0</v>
      </c>
      <c r="AU4703">
        <f t="shared" si="146"/>
        <v>1</v>
      </c>
      <c r="AV4703">
        <f t="shared" si="147"/>
        <v>0</v>
      </c>
    </row>
    <row r="4704" spans="1:48" x14ac:dyDescent="0.25">
      <c r="A4704" t="s">
        <v>12982</v>
      </c>
      <c r="B4704" t="s">
        <v>12982</v>
      </c>
      <c r="C4704" t="s">
        <v>12983</v>
      </c>
      <c r="D4704" t="s">
        <v>9946</v>
      </c>
      <c r="E4704" t="s">
        <v>2310</v>
      </c>
      <c r="F4704">
        <v>9</v>
      </c>
      <c r="G4704">
        <v>9.1</v>
      </c>
      <c r="H4704" t="s">
        <v>2323</v>
      </c>
      <c r="I4704" s="21">
        <v>42502.491793981499</v>
      </c>
      <c r="J4704">
        <v>2016</v>
      </c>
      <c r="K4704" s="21">
        <v>42916.368842592601</v>
      </c>
      <c r="L4704">
        <v>2017</v>
      </c>
      <c r="M4704" s="21">
        <v>42916.368842592601</v>
      </c>
      <c r="N4704">
        <v>2017</v>
      </c>
      <c r="S4704" t="s">
        <v>9529</v>
      </c>
      <c r="T4704">
        <v>5914</v>
      </c>
      <c r="U4704">
        <v>5</v>
      </c>
      <c r="W4704">
        <v>-3060</v>
      </c>
      <c r="X4704">
        <v>-1</v>
      </c>
      <c r="Y4704">
        <v>0</v>
      </c>
      <c r="Z4704">
        <v>0</v>
      </c>
      <c r="AA4704">
        <v>0</v>
      </c>
      <c r="AB4704">
        <v>0</v>
      </c>
      <c r="AC4704">
        <v>-3060</v>
      </c>
      <c r="AD4704">
        <v>0</v>
      </c>
      <c r="AE4704">
        <v>0</v>
      </c>
      <c r="AF4704">
        <v>0</v>
      </c>
      <c r="AG4704">
        <v>0</v>
      </c>
      <c r="AH4704">
        <v>0</v>
      </c>
      <c r="AI4704">
        <v>0</v>
      </c>
      <c r="AJ4704">
        <v>0</v>
      </c>
      <c r="AK4704">
        <v>0</v>
      </c>
      <c r="AL4704">
        <v>0</v>
      </c>
      <c r="AM4704">
        <v>0</v>
      </c>
      <c r="AN4704">
        <v>0</v>
      </c>
      <c r="AO4704">
        <v>-1</v>
      </c>
      <c r="AP4704">
        <v>0</v>
      </c>
      <c r="AQ4704">
        <v>0</v>
      </c>
      <c r="AR4704">
        <v>0</v>
      </c>
      <c r="AS4704">
        <v>0</v>
      </c>
      <c r="AT4704">
        <v>0</v>
      </c>
      <c r="AU4704">
        <f t="shared" si="146"/>
        <v>-1</v>
      </c>
      <c r="AV4704">
        <f t="shared" si="147"/>
        <v>0</v>
      </c>
    </row>
    <row r="4705" spans="1:48" x14ac:dyDescent="0.25">
      <c r="A4705" t="s">
        <v>12982</v>
      </c>
      <c r="B4705" t="s">
        <v>12982</v>
      </c>
      <c r="C4705" t="s">
        <v>12983</v>
      </c>
      <c r="D4705" t="s">
        <v>9946</v>
      </c>
      <c r="E4705" t="s">
        <v>2310</v>
      </c>
      <c r="F4705">
        <v>9</v>
      </c>
      <c r="G4705">
        <v>9.1</v>
      </c>
      <c r="H4705" t="s">
        <v>2323</v>
      </c>
      <c r="I4705" s="21">
        <v>42502.491793981499</v>
      </c>
      <c r="J4705">
        <v>2016</v>
      </c>
      <c r="K4705" s="21">
        <v>42916.368842592601</v>
      </c>
      <c r="L4705">
        <v>2017</v>
      </c>
      <c r="M4705" s="21">
        <v>42916.368842592601</v>
      </c>
      <c r="N4705">
        <v>2017</v>
      </c>
      <c r="S4705" t="s">
        <v>9529</v>
      </c>
      <c r="T4705">
        <v>5915</v>
      </c>
      <c r="U4705">
        <v>5</v>
      </c>
      <c r="W4705">
        <v>-263</v>
      </c>
      <c r="X4705">
        <v>0</v>
      </c>
      <c r="Y4705">
        <v>0</v>
      </c>
      <c r="Z4705">
        <v>0</v>
      </c>
      <c r="AA4705">
        <v>0</v>
      </c>
      <c r="AB4705">
        <v>0</v>
      </c>
      <c r="AC4705">
        <v>-263</v>
      </c>
      <c r="AD4705">
        <v>0</v>
      </c>
      <c r="AE4705">
        <v>0</v>
      </c>
      <c r="AF4705">
        <v>0</v>
      </c>
      <c r="AG4705">
        <v>0</v>
      </c>
      <c r="AH4705">
        <v>0</v>
      </c>
      <c r="AI4705">
        <v>0</v>
      </c>
      <c r="AJ4705">
        <v>0</v>
      </c>
      <c r="AK4705">
        <v>0</v>
      </c>
      <c r="AL4705">
        <v>0</v>
      </c>
      <c r="AM4705">
        <v>0</v>
      </c>
      <c r="AN4705">
        <v>0</v>
      </c>
      <c r="AO4705">
        <v>0</v>
      </c>
      <c r="AP4705">
        <v>0</v>
      </c>
      <c r="AQ4705">
        <v>0</v>
      </c>
      <c r="AR4705">
        <v>0</v>
      </c>
      <c r="AS4705">
        <v>0</v>
      </c>
      <c r="AT4705">
        <v>0</v>
      </c>
      <c r="AU4705">
        <f t="shared" si="146"/>
        <v>0</v>
      </c>
      <c r="AV4705">
        <f t="shared" si="147"/>
        <v>0</v>
      </c>
    </row>
    <row r="4706" spans="1:48" x14ac:dyDescent="0.25">
      <c r="A4706" t="s">
        <v>17906</v>
      </c>
      <c r="B4706" t="s">
        <v>17906</v>
      </c>
      <c r="C4706" t="s">
        <v>17907</v>
      </c>
      <c r="D4706" t="s">
        <v>9028</v>
      </c>
      <c r="E4706" t="s">
        <v>2310</v>
      </c>
      <c r="F4706">
        <v>15</v>
      </c>
      <c r="G4706">
        <v>15.2</v>
      </c>
      <c r="H4706" t="s">
        <v>2323</v>
      </c>
      <c r="I4706" s="21">
        <v>42503.48878472222</v>
      </c>
      <c r="J4706">
        <v>2016</v>
      </c>
      <c r="K4706" s="21">
        <v>43067.437141203707</v>
      </c>
      <c r="L4706">
        <v>2017</v>
      </c>
      <c r="M4706" s="21">
        <v>43067.437141203707</v>
      </c>
      <c r="N4706">
        <v>2017</v>
      </c>
      <c r="Q4706" s="262">
        <v>700000</v>
      </c>
      <c r="R4706" s="262">
        <v>176000</v>
      </c>
      <c r="S4706" t="s">
        <v>13253</v>
      </c>
      <c r="T4706">
        <v>5303</v>
      </c>
      <c r="W4706">
        <v>1546</v>
      </c>
      <c r="X4706">
        <v>0</v>
      </c>
      <c r="Y4706">
        <v>0</v>
      </c>
      <c r="Z4706">
        <v>0</v>
      </c>
      <c r="AA4706">
        <v>0</v>
      </c>
      <c r="AB4706">
        <v>0</v>
      </c>
      <c r="AC4706">
        <v>1546</v>
      </c>
      <c r="AD4706">
        <v>0</v>
      </c>
      <c r="AE4706">
        <v>0</v>
      </c>
      <c r="AF4706">
        <v>0</v>
      </c>
      <c r="AG4706">
        <v>0</v>
      </c>
      <c r="AH4706">
        <v>0</v>
      </c>
      <c r="AI4706">
        <v>0</v>
      </c>
      <c r="AJ4706">
        <v>0</v>
      </c>
      <c r="AK4706">
        <v>0</v>
      </c>
      <c r="AL4706">
        <v>0</v>
      </c>
      <c r="AM4706">
        <v>0</v>
      </c>
      <c r="AN4706">
        <v>0</v>
      </c>
      <c r="AO4706">
        <v>0</v>
      </c>
      <c r="AP4706">
        <v>0</v>
      </c>
      <c r="AQ4706">
        <v>0</v>
      </c>
      <c r="AR4706">
        <v>0</v>
      </c>
      <c r="AS4706">
        <v>0</v>
      </c>
      <c r="AT4706">
        <v>0</v>
      </c>
      <c r="AU4706">
        <f t="shared" si="146"/>
        <v>0</v>
      </c>
      <c r="AV4706">
        <f t="shared" si="147"/>
        <v>0</v>
      </c>
    </row>
    <row r="4707" spans="1:48" x14ac:dyDescent="0.25">
      <c r="A4707" t="s">
        <v>17027</v>
      </c>
      <c r="B4707" t="s">
        <v>17027</v>
      </c>
      <c r="C4707" t="s">
        <v>17028</v>
      </c>
      <c r="D4707" t="s">
        <v>17029</v>
      </c>
      <c r="E4707" t="s">
        <v>2310</v>
      </c>
      <c r="F4707">
        <v>9</v>
      </c>
      <c r="G4707">
        <v>9.3000000000000007</v>
      </c>
      <c r="H4707" t="s">
        <v>2323</v>
      </c>
      <c r="I4707" s="21">
        <v>42507.450254629599</v>
      </c>
      <c r="J4707">
        <v>2016</v>
      </c>
      <c r="K4707" s="21">
        <v>42607.478067129603</v>
      </c>
      <c r="L4707">
        <v>2016</v>
      </c>
      <c r="M4707" s="21">
        <v>43180.434629629599</v>
      </c>
      <c r="N4707">
        <v>2018</v>
      </c>
      <c r="S4707" t="s">
        <v>9529</v>
      </c>
      <c r="T4707">
        <v>5157</v>
      </c>
      <c r="U4707">
        <v>5</v>
      </c>
      <c r="W4707">
        <v>-1100</v>
      </c>
      <c r="X4707">
        <v>-1</v>
      </c>
      <c r="Y4707">
        <v>0</v>
      </c>
      <c r="Z4707">
        <v>0</v>
      </c>
      <c r="AA4707">
        <v>0</v>
      </c>
      <c r="AB4707">
        <v>0</v>
      </c>
      <c r="AC4707">
        <v>-1100</v>
      </c>
      <c r="AD4707">
        <v>0</v>
      </c>
      <c r="AE4707">
        <v>0</v>
      </c>
      <c r="AF4707">
        <v>0</v>
      </c>
      <c r="AG4707">
        <v>0</v>
      </c>
      <c r="AH4707">
        <v>0</v>
      </c>
      <c r="AI4707">
        <v>0</v>
      </c>
      <c r="AJ4707">
        <v>0</v>
      </c>
      <c r="AK4707">
        <v>0</v>
      </c>
      <c r="AL4707">
        <v>0</v>
      </c>
      <c r="AM4707">
        <v>0</v>
      </c>
      <c r="AN4707">
        <v>0</v>
      </c>
      <c r="AO4707">
        <v>-1</v>
      </c>
      <c r="AP4707">
        <v>0</v>
      </c>
      <c r="AQ4707">
        <v>0</v>
      </c>
      <c r="AR4707">
        <v>0</v>
      </c>
      <c r="AS4707">
        <v>0</v>
      </c>
      <c r="AT4707">
        <v>0</v>
      </c>
      <c r="AU4707">
        <f t="shared" si="146"/>
        <v>-1</v>
      </c>
      <c r="AV4707">
        <f t="shared" si="147"/>
        <v>0</v>
      </c>
    </row>
    <row r="4708" spans="1:48" x14ac:dyDescent="0.25">
      <c r="A4708" t="s">
        <v>17027</v>
      </c>
      <c r="B4708" t="s">
        <v>17027</v>
      </c>
      <c r="C4708" t="s">
        <v>17028</v>
      </c>
      <c r="D4708" t="s">
        <v>17029</v>
      </c>
      <c r="E4708" t="s">
        <v>2310</v>
      </c>
      <c r="F4708">
        <v>9</v>
      </c>
      <c r="G4708">
        <v>9.3000000000000007</v>
      </c>
      <c r="H4708" t="s">
        <v>2323</v>
      </c>
      <c r="I4708" s="21">
        <v>42507.450254629628</v>
      </c>
      <c r="J4708">
        <v>2016</v>
      </c>
      <c r="K4708" s="21">
        <v>42607.478067129632</v>
      </c>
      <c r="L4708">
        <v>2016</v>
      </c>
      <c r="M4708" s="21">
        <v>43180.434629629628</v>
      </c>
      <c r="N4708">
        <v>2018</v>
      </c>
      <c r="Q4708" s="262">
        <v>1800000</v>
      </c>
      <c r="R4708" s="262">
        <v>593000</v>
      </c>
      <c r="S4708" t="s">
        <v>12464</v>
      </c>
      <c r="T4708">
        <v>5157</v>
      </c>
      <c r="W4708">
        <v>4998</v>
      </c>
      <c r="X4708">
        <v>1</v>
      </c>
      <c r="Y4708">
        <v>0</v>
      </c>
      <c r="Z4708">
        <v>0</v>
      </c>
      <c r="AA4708">
        <v>0</v>
      </c>
      <c r="AB4708">
        <v>0</v>
      </c>
      <c r="AC4708">
        <v>4998</v>
      </c>
      <c r="AD4708">
        <v>0</v>
      </c>
      <c r="AE4708">
        <v>0</v>
      </c>
      <c r="AF4708">
        <v>0</v>
      </c>
      <c r="AG4708">
        <v>0</v>
      </c>
      <c r="AH4708">
        <v>0</v>
      </c>
      <c r="AI4708">
        <v>0</v>
      </c>
      <c r="AJ4708">
        <v>0</v>
      </c>
      <c r="AK4708">
        <v>0</v>
      </c>
      <c r="AL4708">
        <v>0</v>
      </c>
      <c r="AM4708">
        <v>0</v>
      </c>
      <c r="AN4708">
        <v>0</v>
      </c>
      <c r="AO4708">
        <v>1</v>
      </c>
      <c r="AP4708">
        <v>0</v>
      </c>
      <c r="AQ4708">
        <v>0</v>
      </c>
      <c r="AR4708">
        <v>0</v>
      </c>
      <c r="AS4708">
        <v>0</v>
      </c>
      <c r="AT4708">
        <v>0</v>
      </c>
      <c r="AU4708">
        <f t="shared" si="146"/>
        <v>1</v>
      </c>
      <c r="AV4708">
        <f t="shared" si="147"/>
        <v>0</v>
      </c>
    </row>
    <row r="4709" spans="1:48" x14ac:dyDescent="0.25">
      <c r="A4709" t="s">
        <v>17908</v>
      </c>
      <c r="B4709" t="s">
        <v>17908</v>
      </c>
      <c r="C4709" t="s">
        <v>8400</v>
      </c>
      <c r="D4709" t="s">
        <v>6458</v>
      </c>
      <c r="E4709" t="s">
        <v>2310</v>
      </c>
      <c r="F4709">
        <v>8</v>
      </c>
      <c r="G4709">
        <v>8.3000000000000007</v>
      </c>
      <c r="H4709" t="s">
        <v>2323</v>
      </c>
      <c r="I4709" s="21">
        <v>42507.598599537036</v>
      </c>
      <c r="J4709">
        <v>2016</v>
      </c>
      <c r="K4709" s="21">
        <v>42888.671597222223</v>
      </c>
      <c r="L4709">
        <v>2017</v>
      </c>
      <c r="M4709" s="21">
        <v>42888.671597222223</v>
      </c>
      <c r="N4709">
        <v>2017</v>
      </c>
      <c r="Q4709" s="262">
        <v>76601</v>
      </c>
      <c r="R4709" s="262">
        <v>104000</v>
      </c>
      <c r="S4709" t="s">
        <v>13254</v>
      </c>
      <c r="W4709">
        <v>2380</v>
      </c>
      <c r="X4709">
        <v>0</v>
      </c>
      <c r="Y4709">
        <v>0</v>
      </c>
      <c r="Z4709">
        <v>0</v>
      </c>
      <c r="AA4709">
        <v>0</v>
      </c>
      <c r="AB4709">
        <v>0</v>
      </c>
      <c r="AC4709">
        <v>2380</v>
      </c>
      <c r="AD4709">
        <v>0</v>
      </c>
      <c r="AE4709">
        <v>0</v>
      </c>
      <c r="AF4709">
        <v>0</v>
      </c>
      <c r="AG4709">
        <v>0</v>
      </c>
      <c r="AH4709">
        <v>0</v>
      </c>
      <c r="AI4709">
        <v>0</v>
      </c>
      <c r="AJ4709">
        <v>0</v>
      </c>
      <c r="AK4709">
        <v>0</v>
      </c>
      <c r="AL4709">
        <v>0</v>
      </c>
      <c r="AM4709">
        <v>0</v>
      </c>
      <c r="AN4709">
        <v>0</v>
      </c>
      <c r="AO4709">
        <v>0</v>
      </c>
      <c r="AP4709">
        <v>0</v>
      </c>
      <c r="AQ4709">
        <v>0</v>
      </c>
      <c r="AR4709">
        <v>0</v>
      </c>
      <c r="AS4709">
        <v>0</v>
      </c>
      <c r="AT4709">
        <v>0</v>
      </c>
      <c r="AU4709">
        <f t="shared" si="146"/>
        <v>0</v>
      </c>
      <c r="AV4709">
        <f t="shared" si="147"/>
        <v>0</v>
      </c>
    </row>
    <row r="4710" spans="1:48" x14ac:dyDescent="0.25">
      <c r="A4710" t="s">
        <v>17937</v>
      </c>
      <c r="B4710" t="s">
        <v>17937</v>
      </c>
      <c r="C4710" t="s">
        <v>17938</v>
      </c>
      <c r="D4710" t="s">
        <v>17939</v>
      </c>
      <c r="E4710" t="s">
        <v>2310</v>
      </c>
      <c r="F4710">
        <v>10</v>
      </c>
      <c r="G4710">
        <v>10.1</v>
      </c>
      <c r="H4710" t="s">
        <v>2323</v>
      </c>
      <c r="I4710" s="21">
        <v>42510.600798611114</v>
      </c>
      <c r="J4710">
        <v>2016</v>
      </c>
      <c r="K4710" s="21">
        <v>42887.393842592595</v>
      </c>
      <c r="L4710">
        <v>2017</v>
      </c>
      <c r="M4710" s="21">
        <v>42887.393842592595</v>
      </c>
      <c r="N4710">
        <v>2017</v>
      </c>
      <c r="Q4710" s="262">
        <v>450000</v>
      </c>
      <c r="R4710" s="262">
        <v>162000</v>
      </c>
      <c r="S4710" t="s">
        <v>13253</v>
      </c>
      <c r="T4710">
        <v>1666</v>
      </c>
      <c r="V4710">
        <v>366</v>
      </c>
      <c r="W4710">
        <v>1123</v>
      </c>
      <c r="X4710">
        <v>0</v>
      </c>
      <c r="Y4710">
        <v>0</v>
      </c>
      <c r="Z4710">
        <v>0</v>
      </c>
      <c r="AA4710">
        <v>0</v>
      </c>
      <c r="AB4710">
        <v>0</v>
      </c>
      <c r="AC4710">
        <v>1123</v>
      </c>
      <c r="AD4710">
        <v>0</v>
      </c>
      <c r="AE4710">
        <v>0</v>
      </c>
      <c r="AF4710">
        <v>0</v>
      </c>
      <c r="AG4710">
        <v>0</v>
      </c>
      <c r="AH4710">
        <v>0</v>
      </c>
      <c r="AI4710">
        <v>0</v>
      </c>
      <c r="AJ4710">
        <v>0</v>
      </c>
      <c r="AK4710">
        <v>0</v>
      </c>
      <c r="AL4710">
        <v>0</v>
      </c>
      <c r="AM4710">
        <v>0</v>
      </c>
      <c r="AN4710">
        <v>0</v>
      </c>
      <c r="AO4710">
        <v>0</v>
      </c>
      <c r="AP4710">
        <v>0</v>
      </c>
      <c r="AQ4710">
        <v>0</v>
      </c>
      <c r="AR4710">
        <v>0</v>
      </c>
      <c r="AS4710">
        <v>0</v>
      </c>
      <c r="AT4710">
        <v>0</v>
      </c>
      <c r="AU4710">
        <f t="shared" si="146"/>
        <v>0</v>
      </c>
      <c r="AV4710">
        <f t="shared" si="147"/>
        <v>0</v>
      </c>
    </row>
    <row r="4711" spans="1:48" x14ac:dyDescent="0.25">
      <c r="A4711" t="s">
        <v>13308</v>
      </c>
      <c r="C4711" t="s">
        <v>11879</v>
      </c>
      <c r="D4711" t="s">
        <v>13309</v>
      </c>
      <c r="E4711" t="s">
        <v>1663</v>
      </c>
      <c r="F4711">
        <v>4</v>
      </c>
      <c r="G4711">
        <v>4.3</v>
      </c>
      <c r="H4711" t="s">
        <v>2327</v>
      </c>
      <c r="I4711" s="21">
        <v>42513</v>
      </c>
      <c r="J4711">
        <v>2016</v>
      </c>
      <c r="K4711" s="21">
        <v>42604</v>
      </c>
      <c r="L4711">
        <v>2016</v>
      </c>
      <c r="M4711" s="21">
        <v>42677</v>
      </c>
      <c r="N4711">
        <v>2016</v>
      </c>
      <c r="Q4711" s="262">
        <v>50000</v>
      </c>
      <c r="S4711" t="s">
        <v>114</v>
      </c>
      <c r="T4711" t="s">
        <v>114</v>
      </c>
      <c r="W4711">
        <v>0</v>
      </c>
      <c r="X4711">
        <v>0</v>
      </c>
      <c r="Y4711">
        <v>0</v>
      </c>
      <c r="Z4711">
        <v>0</v>
      </c>
      <c r="AA4711">
        <v>0</v>
      </c>
      <c r="AB4711">
        <v>0</v>
      </c>
      <c r="AC4711">
        <v>0</v>
      </c>
      <c r="AD4711">
        <v>0</v>
      </c>
      <c r="AE4711">
        <v>0</v>
      </c>
      <c r="AF4711">
        <v>0</v>
      </c>
      <c r="AG4711">
        <v>0</v>
      </c>
      <c r="AH4711">
        <v>0</v>
      </c>
      <c r="AI4711">
        <v>0</v>
      </c>
      <c r="AJ4711">
        <v>0</v>
      </c>
      <c r="AK4711">
        <v>0</v>
      </c>
      <c r="AL4711">
        <v>0</v>
      </c>
      <c r="AM4711">
        <v>0</v>
      </c>
      <c r="AN4711">
        <v>0</v>
      </c>
      <c r="AO4711">
        <v>0</v>
      </c>
      <c r="AP4711">
        <v>0</v>
      </c>
      <c r="AQ4711">
        <v>0</v>
      </c>
      <c r="AR4711">
        <v>0</v>
      </c>
      <c r="AS4711">
        <v>0</v>
      </c>
      <c r="AT4711">
        <v>0</v>
      </c>
      <c r="AU4711">
        <f t="shared" si="146"/>
        <v>0</v>
      </c>
      <c r="AV4711">
        <f t="shared" si="147"/>
        <v>0</v>
      </c>
    </row>
    <row r="4712" spans="1:48" x14ac:dyDescent="0.25">
      <c r="A4712" t="s">
        <v>13310</v>
      </c>
      <c r="C4712" t="s">
        <v>12530</v>
      </c>
      <c r="D4712" t="s">
        <v>13163</v>
      </c>
      <c r="E4712" t="s">
        <v>1663</v>
      </c>
      <c r="F4712">
        <v>4</v>
      </c>
      <c r="G4712">
        <v>4.3</v>
      </c>
      <c r="H4712" t="s">
        <v>2327</v>
      </c>
      <c r="I4712" s="21">
        <v>42513</v>
      </c>
      <c r="J4712">
        <v>2016</v>
      </c>
      <c r="K4712" s="21">
        <v>42548</v>
      </c>
      <c r="L4712">
        <v>2016</v>
      </c>
      <c r="M4712" s="21">
        <v>42656</v>
      </c>
      <c r="N4712">
        <v>2016</v>
      </c>
      <c r="Q4712" s="262">
        <v>250000</v>
      </c>
      <c r="S4712" t="s">
        <v>114</v>
      </c>
      <c r="T4712" t="s">
        <v>114</v>
      </c>
      <c r="V4712">
        <v>4400</v>
      </c>
      <c r="W4712">
        <v>0</v>
      </c>
      <c r="X4712">
        <v>0</v>
      </c>
      <c r="Y4712">
        <v>0</v>
      </c>
      <c r="Z4712">
        <v>0</v>
      </c>
      <c r="AA4712">
        <v>0</v>
      </c>
      <c r="AB4712">
        <v>0</v>
      </c>
      <c r="AC4712">
        <v>0</v>
      </c>
      <c r="AD4712">
        <v>0</v>
      </c>
      <c r="AE4712">
        <v>0</v>
      </c>
      <c r="AF4712">
        <v>0</v>
      </c>
      <c r="AG4712">
        <v>0</v>
      </c>
      <c r="AH4712">
        <v>0</v>
      </c>
      <c r="AI4712">
        <v>0</v>
      </c>
      <c r="AJ4712">
        <v>0</v>
      </c>
      <c r="AK4712">
        <v>0</v>
      </c>
      <c r="AL4712">
        <v>0</v>
      </c>
      <c r="AM4712">
        <v>0</v>
      </c>
      <c r="AN4712">
        <v>0</v>
      </c>
      <c r="AO4712">
        <v>0</v>
      </c>
      <c r="AP4712">
        <v>0</v>
      </c>
      <c r="AQ4712">
        <v>0</v>
      </c>
      <c r="AR4712">
        <v>0</v>
      </c>
      <c r="AS4712">
        <v>0</v>
      </c>
      <c r="AT4712">
        <v>0</v>
      </c>
      <c r="AU4712">
        <f t="shared" si="146"/>
        <v>0</v>
      </c>
      <c r="AV4712">
        <f t="shared" si="147"/>
        <v>0</v>
      </c>
    </row>
    <row r="4713" spans="1:48" x14ac:dyDescent="0.25">
      <c r="A4713" t="s">
        <v>19089</v>
      </c>
      <c r="B4713" t="s">
        <v>19089</v>
      </c>
      <c r="C4713" t="s">
        <v>19090</v>
      </c>
      <c r="D4713" t="s">
        <v>18545</v>
      </c>
      <c r="E4713" t="s">
        <v>2310</v>
      </c>
      <c r="F4713">
        <v>8</v>
      </c>
      <c r="G4713">
        <v>8.1</v>
      </c>
      <c r="H4713" t="s">
        <v>2323</v>
      </c>
      <c r="I4713" s="21">
        <v>42514.432534722226</v>
      </c>
      <c r="J4713">
        <v>2016</v>
      </c>
      <c r="K4713" s="21">
        <v>42576.649270833332</v>
      </c>
      <c r="L4713">
        <v>2016</v>
      </c>
      <c r="M4713" s="21">
        <v>43753.432100891201</v>
      </c>
      <c r="N4713">
        <v>2019</v>
      </c>
      <c r="Q4713" s="262">
        <v>5000000</v>
      </c>
      <c r="R4713" s="262">
        <v>2264000</v>
      </c>
      <c r="S4713" t="s">
        <v>13254</v>
      </c>
      <c r="W4713">
        <v>12775</v>
      </c>
      <c r="X4713">
        <v>1</v>
      </c>
      <c r="Y4713">
        <v>0</v>
      </c>
      <c r="Z4713">
        <v>0</v>
      </c>
      <c r="AA4713">
        <v>0</v>
      </c>
      <c r="AB4713">
        <v>0</v>
      </c>
      <c r="AC4713">
        <v>12775</v>
      </c>
      <c r="AD4713">
        <v>0</v>
      </c>
      <c r="AE4713">
        <v>0</v>
      </c>
      <c r="AF4713">
        <v>0</v>
      </c>
      <c r="AG4713">
        <v>0</v>
      </c>
      <c r="AH4713">
        <v>0</v>
      </c>
      <c r="AI4713">
        <v>0</v>
      </c>
      <c r="AJ4713">
        <v>0</v>
      </c>
      <c r="AK4713">
        <v>0</v>
      </c>
      <c r="AL4713">
        <v>0</v>
      </c>
      <c r="AM4713">
        <v>0</v>
      </c>
      <c r="AN4713">
        <v>0</v>
      </c>
      <c r="AO4713">
        <v>1</v>
      </c>
      <c r="AP4713">
        <v>0</v>
      </c>
      <c r="AQ4713">
        <v>0</v>
      </c>
      <c r="AR4713">
        <v>0</v>
      </c>
      <c r="AS4713">
        <v>0</v>
      </c>
      <c r="AT4713">
        <v>0</v>
      </c>
      <c r="AU4713">
        <f t="shared" si="146"/>
        <v>1</v>
      </c>
      <c r="AV4713">
        <f t="shared" si="147"/>
        <v>0</v>
      </c>
    </row>
    <row r="4714" spans="1:48" x14ac:dyDescent="0.25">
      <c r="A4714" t="s">
        <v>18544</v>
      </c>
      <c r="B4714" t="s">
        <v>18544</v>
      </c>
      <c r="C4714" t="s">
        <v>13652</v>
      </c>
      <c r="D4714" t="s">
        <v>18545</v>
      </c>
      <c r="E4714" t="s">
        <v>2310</v>
      </c>
      <c r="F4714">
        <v>8</v>
      </c>
      <c r="G4714">
        <v>8.1</v>
      </c>
      <c r="H4714" t="s">
        <v>2323</v>
      </c>
      <c r="I4714" s="21">
        <v>42514.457488425927</v>
      </c>
      <c r="J4714">
        <v>2016</v>
      </c>
      <c r="K4714" s="21">
        <v>42986.645243055558</v>
      </c>
      <c r="L4714">
        <v>2017</v>
      </c>
      <c r="M4714" s="21">
        <v>43516.43948734954</v>
      </c>
      <c r="N4714">
        <v>2019</v>
      </c>
      <c r="Q4714" s="262">
        <v>120000</v>
      </c>
      <c r="R4714" s="262">
        <v>54000</v>
      </c>
      <c r="S4714" t="s">
        <v>13254</v>
      </c>
      <c r="W4714">
        <v>1230</v>
      </c>
      <c r="X4714">
        <v>0</v>
      </c>
      <c r="Y4714">
        <v>0</v>
      </c>
      <c r="Z4714">
        <v>0</v>
      </c>
      <c r="AA4714">
        <v>0</v>
      </c>
      <c r="AB4714">
        <v>0</v>
      </c>
      <c r="AC4714">
        <v>1230</v>
      </c>
      <c r="AD4714">
        <v>0</v>
      </c>
      <c r="AE4714">
        <v>0</v>
      </c>
      <c r="AF4714">
        <v>0</v>
      </c>
      <c r="AG4714">
        <v>0</v>
      </c>
      <c r="AH4714">
        <v>0</v>
      </c>
      <c r="AI4714">
        <v>0</v>
      </c>
      <c r="AJ4714">
        <v>0</v>
      </c>
      <c r="AK4714">
        <v>0</v>
      </c>
      <c r="AL4714">
        <v>0</v>
      </c>
      <c r="AM4714">
        <v>0</v>
      </c>
      <c r="AN4714">
        <v>0</v>
      </c>
      <c r="AO4714">
        <v>0</v>
      </c>
      <c r="AP4714">
        <v>0</v>
      </c>
      <c r="AQ4714">
        <v>0</v>
      </c>
      <c r="AR4714">
        <v>0</v>
      </c>
      <c r="AS4714">
        <v>0</v>
      </c>
      <c r="AT4714">
        <v>0</v>
      </c>
      <c r="AU4714">
        <f t="shared" si="146"/>
        <v>0</v>
      </c>
      <c r="AV4714">
        <f t="shared" si="147"/>
        <v>0</v>
      </c>
    </row>
    <row r="4715" spans="1:48" x14ac:dyDescent="0.25">
      <c r="A4715" t="s">
        <v>18546</v>
      </c>
      <c r="B4715" t="s">
        <v>18546</v>
      </c>
      <c r="C4715" t="s">
        <v>18547</v>
      </c>
      <c r="D4715" t="s">
        <v>18545</v>
      </c>
      <c r="E4715" t="s">
        <v>2310</v>
      </c>
      <c r="F4715">
        <v>8</v>
      </c>
      <c r="G4715">
        <v>8.1</v>
      </c>
      <c r="H4715" t="s">
        <v>2323</v>
      </c>
      <c r="I4715" s="21">
        <v>42514.462824074071</v>
      </c>
      <c r="J4715">
        <v>2016</v>
      </c>
      <c r="K4715" s="21">
        <v>42926.385462962964</v>
      </c>
      <c r="L4715">
        <v>2017</v>
      </c>
      <c r="M4715" s="21">
        <v>43516.453808946761</v>
      </c>
      <c r="N4715">
        <v>2019</v>
      </c>
      <c r="Q4715" s="262">
        <v>800000</v>
      </c>
      <c r="R4715" s="262">
        <v>120000</v>
      </c>
      <c r="S4715" t="s">
        <v>13254</v>
      </c>
      <c r="W4715">
        <v>998</v>
      </c>
      <c r="X4715">
        <v>1</v>
      </c>
      <c r="Y4715">
        <v>0</v>
      </c>
      <c r="Z4715">
        <v>0</v>
      </c>
      <c r="AA4715">
        <v>0</v>
      </c>
      <c r="AB4715">
        <v>0</v>
      </c>
      <c r="AC4715">
        <v>0</v>
      </c>
      <c r="AD4715">
        <v>0</v>
      </c>
      <c r="AE4715">
        <v>0</v>
      </c>
      <c r="AF4715">
        <v>998</v>
      </c>
      <c r="AG4715">
        <v>0</v>
      </c>
      <c r="AH4715">
        <v>0</v>
      </c>
      <c r="AI4715">
        <v>0</v>
      </c>
      <c r="AJ4715">
        <v>0</v>
      </c>
      <c r="AK4715">
        <v>0</v>
      </c>
      <c r="AL4715">
        <v>0</v>
      </c>
      <c r="AM4715">
        <v>0</v>
      </c>
      <c r="AN4715">
        <v>0</v>
      </c>
      <c r="AO4715">
        <v>0</v>
      </c>
      <c r="AP4715">
        <v>0</v>
      </c>
      <c r="AQ4715">
        <v>0</v>
      </c>
      <c r="AR4715">
        <v>1</v>
      </c>
      <c r="AS4715">
        <v>0</v>
      </c>
      <c r="AT4715">
        <v>0</v>
      </c>
      <c r="AU4715">
        <f t="shared" si="146"/>
        <v>0</v>
      </c>
      <c r="AV4715">
        <f t="shared" si="147"/>
        <v>0</v>
      </c>
    </row>
    <row r="4716" spans="1:48" x14ac:dyDescent="0.25">
      <c r="A4716" t="s">
        <v>17993</v>
      </c>
      <c r="B4716" t="s">
        <v>17993</v>
      </c>
      <c r="C4716" t="s">
        <v>17994</v>
      </c>
      <c r="D4716" t="s">
        <v>12923</v>
      </c>
      <c r="E4716" t="s">
        <v>2310</v>
      </c>
      <c r="F4716">
        <v>14</v>
      </c>
      <c r="G4716">
        <v>14.1</v>
      </c>
      <c r="H4716" t="s">
        <v>2022</v>
      </c>
      <c r="I4716" s="21">
        <v>42514.535787037035</v>
      </c>
      <c r="J4716">
        <v>2016</v>
      </c>
      <c r="K4716" s="21">
        <v>42800.549942129626</v>
      </c>
      <c r="L4716">
        <v>2017</v>
      </c>
      <c r="M4716" s="21">
        <v>42915.610775462963</v>
      </c>
      <c r="N4716">
        <v>2017</v>
      </c>
      <c r="Q4716" s="262">
        <v>700000</v>
      </c>
      <c r="R4716" s="262">
        <v>165000</v>
      </c>
      <c r="S4716" t="s">
        <v>13254</v>
      </c>
      <c r="W4716">
        <v>3368</v>
      </c>
      <c r="X4716">
        <v>0</v>
      </c>
      <c r="Y4716">
        <v>0</v>
      </c>
      <c r="Z4716">
        <v>0</v>
      </c>
      <c r="AA4716">
        <v>0</v>
      </c>
      <c r="AB4716">
        <v>0</v>
      </c>
      <c r="AC4716">
        <v>3368</v>
      </c>
      <c r="AD4716">
        <v>0</v>
      </c>
      <c r="AE4716">
        <v>0</v>
      </c>
      <c r="AF4716">
        <v>0</v>
      </c>
      <c r="AG4716">
        <v>0</v>
      </c>
      <c r="AH4716">
        <v>0</v>
      </c>
      <c r="AI4716">
        <v>0</v>
      </c>
      <c r="AJ4716">
        <v>0</v>
      </c>
      <c r="AK4716">
        <v>0</v>
      </c>
      <c r="AL4716">
        <v>0</v>
      </c>
      <c r="AM4716">
        <v>0</v>
      </c>
      <c r="AN4716">
        <v>0</v>
      </c>
      <c r="AO4716">
        <v>0</v>
      </c>
      <c r="AP4716">
        <v>0</v>
      </c>
      <c r="AQ4716">
        <v>0</v>
      </c>
      <c r="AR4716">
        <v>0</v>
      </c>
      <c r="AS4716">
        <v>0</v>
      </c>
      <c r="AT4716">
        <v>0</v>
      </c>
      <c r="AU4716">
        <f t="shared" si="146"/>
        <v>0</v>
      </c>
      <c r="AV4716">
        <f t="shared" si="147"/>
        <v>0</v>
      </c>
    </row>
    <row r="4717" spans="1:48" x14ac:dyDescent="0.25">
      <c r="A4717" t="s">
        <v>18062</v>
      </c>
      <c r="B4717" t="s">
        <v>18062</v>
      </c>
      <c r="C4717" t="s">
        <v>18063</v>
      </c>
      <c r="D4717" t="s">
        <v>18064</v>
      </c>
      <c r="E4717" t="s">
        <v>2310</v>
      </c>
      <c r="F4717">
        <v>14</v>
      </c>
      <c r="G4717">
        <v>14.1</v>
      </c>
      <c r="H4717" t="s">
        <v>2022</v>
      </c>
      <c r="I4717" s="21">
        <v>42515.579525462963</v>
      </c>
      <c r="J4717">
        <v>2016</v>
      </c>
      <c r="K4717" s="21">
        <v>43007.328645833331</v>
      </c>
      <c r="L4717">
        <v>2017</v>
      </c>
      <c r="M4717" s="21">
        <v>42915.393888888888</v>
      </c>
      <c r="N4717">
        <v>2017</v>
      </c>
      <c r="Q4717" s="262">
        <v>750000</v>
      </c>
      <c r="R4717" s="262">
        <v>195000</v>
      </c>
      <c r="S4717" t="s">
        <v>13254</v>
      </c>
      <c r="W4717">
        <v>1730</v>
      </c>
      <c r="X4717">
        <v>1</v>
      </c>
      <c r="Y4717">
        <v>0</v>
      </c>
      <c r="Z4717">
        <v>0</v>
      </c>
      <c r="AA4717">
        <v>0</v>
      </c>
      <c r="AB4717">
        <v>0</v>
      </c>
      <c r="AC4717">
        <v>1730</v>
      </c>
      <c r="AD4717">
        <v>0</v>
      </c>
      <c r="AE4717">
        <v>0</v>
      </c>
      <c r="AF4717">
        <v>0</v>
      </c>
      <c r="AG4717">
        <v>0</v>
      </c>
      <c r="AH4717">
        <v>0</v>
      </c>
      <c r="AI4717">
        <v>0</v>
      </c>
      <c r="AJ4717">
        <v>0</v>
      </c>
      <c r="AK4717">
        <v>0</v>
      </c>
      <c r="AL4717">
        <v>0</v>
      </c>
      <c r="AM4717">
        <v>0</v>
      </c>
      <c r="AN4717">
        <v>0</v>
      </c>
      <c r="AO4717">
        <v>1</v>
      </c>
      <c r="AP4717">
        <v>0</v>
      </c>
      <c r="AQ4717">
        <v>0</v>
      </c>
      <c r="AR4717">
        <v>0</v>
      </c>
      <c r="AS4717">
        <v>0</v>
      </c>
      <c r="AT4717">
        <v>0</v>
      </c>
      <c r="AU4717">
        <f t="shared" si="146"/>
        <v>1</v>
      </c>
      <c r="AV4717">
        <f t="shared" si="147"/>
        <v>0</v>
      </c>
    </row>
    <row r="4718" spans="1:48" x14ac:dyDescent="0.25">
      <c r="A4718" t="s">
        <v>18427</v>
      </c>
      <c r="B4718" t="s">
        <v>18427</v>
      </c>
      <c r="C4718" t="s">
        <v>18428</v>
      </c>
      <c r="D4718" t="s">
        <v>18429</v>
      </c>
      <c r="E4718" t="s">
        <v>2310</v>
      </c>
      <c r="F4718">
        <v>13</v>
      </c>
      <c r="G4718">
        <v>13.2</v>
      </c>
      <c r="H4718" t="s">
        <v>2327</v>
      </c>
      <c r="I4718" s="21">
        <v>42516.650023148148</v>
      </c>
      <c r="J4718">
        <v>2016</v>
      </c>
      <c r="K4718" s="21">
        <v>43437.688241666663</v>
      </c>
      <c r="L4718">
        <v>2018</v>
      </c>
      <c r="M4718" s="21">
        <v>43437.689007789355</v>
      </c>
      <c r="N4718">
        <v>2018</v>
      </c>
      <c r="Q4718" s="262">
        <v>5000000</v>
      </c>
      <c r="R4718" s="262">
        <v>991000</v>
      </c>
      <c r="S4718" t="s">
        <v>13254</v>
      </c>
      <c r="W4718">
        <v>6832</v>
      </c>
      <c r="X4718">
        <v>1</v>
      </c>
      <c r="Y4718">
        <v>0</v>
      </c>
      <c r="Z4718">
        <v>0</v>
      </c>
      <c r="AA4718">
        <v>0</v>
      </c>
      <c r="AB4718">
        <v>0</v>
      </c>
      <c r="AC4718">
        <v>6832</v>
      </c>
      <c r="AD4718">
        <v>0</v>
      </c>
      <c r="AE4718">
        <v>0</v>
      </c>
      <c r="AF4718">
        <v>0</v>
      </c>
      <c r="AG4718">
        <v>0</v>
      </c>
      <c r="AH4718">
        <v>0</v>
      </c>
      <c r="AI4718">
        <v>0</v>
      </c>
      <c r="AJ4718">
        <v>0</v>
      </c>
      <c r="AK4718">
        <v>0</v>
      </c>
      <c r="AL4718">
        <v>0</v>
      </c>
      <c r="AM4718">
        <v>0</v>
      </c>
      <c r="AN4718">
        <v>0</v>
      </c>
      <c r="AO4718">
        <v>1</v>
      </c>
      <c r="AP4718">
        <v>0</v>
      </c>
      <c r="AQ4718">
        <v>0</v>
      </c>
      <c r="AR4718">
        <v>0</v>
      </c>
      <c r="AS4718">
        <v>0</v>
      </c>
      <c r="AT4718">
        <v>0</v>
      </c>
      <c r="AU4718">
        <f t="shared" si="146"/>
        <v>1</v>
      </c>
      <c r="AV4718">
        <f t="shared" si="147"/>
        <v>0</v>
      </c>
    </row>
    <row r="4719" spans="1:48" x14ac:dyDescent="0.25">
      <c r="A4719" t="s">
        <v>19044</v>
      </c>
      <c r="B4719" t="s">
        <v>19044</v>
      </c>
      <c r="C4719" t="s">
        <v>19045</v>
      </c>
      <c r="D4719" t="s">
        <v>5020</v>
      </c>
      <c r="E4719" t="s">
        <v>2310</v>
      </c>
      <c r="F4719">
        <v>15</v>
      </c>
      <c r="G4719">
        <v>15.2</v>
      </c>
      <c r="H4719" t="s">
        <v>2323</v>
      </c>
      <c r="I4719" s="21">
        <v>42517.527731481481</v>
      </c>
      <c r="J4719">
        <v>2016</v>
      </c>
      <c r="K4719" s="21">
        <v>42612.661562499998</v>
      </c>
      <c r="L4719">
        <v>2016</v>
      </c>
      <c r="M4719" s="21">
        <v>43732.386935567127</v>
      </c>
      <c r="N4719">
        <v>2019</v>
      </c>
      <c r="Q4719" s="262">
        <v>150000</v>
      </c>
      <c r="R4719" s="262">
        <v>192000</v>
      </c>
      <c r="S4719" t="s">
        <v>13254</v>
      </c>
      <c r="W4719">
        <v>2288</v>
      </c>
      <c r="X4719">
        <v>1</v>
      </c>
      <c r="Y4719">
        <v>0</v>
      </c>
      <c r="Z4719">
        <v>0</v>
      </c>
      <c r="AA4719">
        <v>0</v>
      </c>
      <c r="AB4719">
        <v>0</v>
      </c>
      <c r="AC4719">
        <v>1288</v>
      </c>
      <c r="AD4719">
        <v>0</v>
      </c>
      <c r="AE4719">
        <v>0</v>
      </c>
      <c r="AF4719">
        <v>1000</v>
      </c>
      <c r="AG4719">
        <v>0</v>
      </c>
      <c r="AH4719">
        <v>0</v>
      </c>
      <c r="AI4719">
        <v>0</v>
      </c>
      <c r="AJ4719">
        <v>0</v>
      </c>
      <c r="AK4719">
        <v>0</v>
      </c>
      <c r="AL4719">
        <v>0</v>
      </c>
      <c r="AM4719">
        <v>0</v>
      </c>
      <c r="AN4719">
        <v>0</v>
      </c>
      <c r="AO4719">
        <v>0</v>
      </c>
      <c r="AP4719">
        <v>0</v>
      </c>
      <c r="AQ4719">
        <v>0</v>
      </c>
      <c r="AR4719">
        <v>1</v>
      </c>
      <c r="AS4719">
        <v>0</v>
      </c>
      <c r="AT4719">
        <v>0</v>
      </c>
      <c r="AU4719">
        <f t="shared" si="146"/>
        <v>0</v>
      </c>
      <c r="AV4719">
        <f t="shared" si="147"/>
        <v>0</v>
      </c>
    </row>
    <row r="4720" spans="1:48" x14ac:dyDescent="0.25">
      <c r="A4720" t="s">
        <v>18554</v>
      </c>
      <c r="B4720" t="s">
        <v>18554</v>
      </c>
      <c r="C4720" t="s">
        <v>13419</v>
      </c>
      <c r="D4720" t="s">
        <v>18042</v>
      </c>
      <c r="E4720" t="s">
        <v>2310</v>
      </c>
      <c r="F4720">
        <v>9</v>
      </c>
      <c r="G4720">
        <v>9.1999999999999993</v>
      </c>
      <c r="H4720" t="s">
        <v>2022</v>
      </c>
      <c r="I4720" s="21">
        <v>42521.485173611109</v>
      </c>
      <c r="J4720">
        <v>2016</v>
      </c>
      <c r="K4720" s="21">
        <v>43307.398324340276</v>
      </c>
      <c r="L4720">
        <v>2018</v>
      </c>
      <c r="M4720" s="21">
        <v>43521.492852696756</v>
      </c>
      <c r="N4720">
        <v>2019</v>
      </c>
      <c r="Q4720" s="262">
        <v>400000</v>
      </c>
      <c r="R4720" s="262">
        <v>379000</v>
      </c>
      <c r="S4720" t="s">
        <v>13254</v>
      </c>
      <c r="W4720">
        <v>3676</v>
      </c>
      <c r="X4720">
        <v>1</v>
      </c>
      <c r="Y4720">
        <v>0</v>
      </c>
      <c r="Z4720">
        <v>0</v>
      </c>
      <c r="AA4720">
        <v>0</v>
      </c>
      <c r="AB4720">
        <v>0</v>
      </c>
      <c r="AC4720">
        <v>3676</v>
      </c>
      <c r="AD4720">
        <v>0</v>
      </c>
      <c r="AE4720">
        <v>0</v>
      </c>
      <c r="AF4720">
        <v>0</v>
      </c>
      <c r="AG4720">
        <v>0</v>
      </c>
      <c r="AH4720">
        <v>0</v>
      </c>
      <c r="AI4720">
        <v>0</v>
      </c>
      <c r="AJ4720">
        <v>0</v>
      </c>
      <c r="AK4720">
        <v>0</v>
      </c>
      <c r="AL4720">
        <v>0</v>
      </c>
      <c r="AM4720">
        <v>0</v>
      </c>
      <c r="AN4720">
        <v>0</v>
      </c>
      <c r="AO4720">
        <v>1</v>
      </c>
      <c r="AP4720">
        <v>0</v>
      </c>
      <c r="AQ4720">
        <v>0</v>
      </c>
      <c r="AR4720">
        <v>0</v>
      </c>
      <c r="AS4720">
        <v>0</v>
      </c>
      <c r="AT4720">
        <v>0</v>
      </c>
      <c r="AU4720">
        <f t="shared" si="146"/>
        <v>1</v>
      </c>
      <c r="AV4720">
        <f t="shared" si="147"/>
        <v>0</v>
      </c>
    </row>
    <row r="4721" spans="1:48" x14ac:dyDescent="0.25">
      <c r="A4721" t="s">
        <v>18173</v>
      </c>
      <c r="B4721" t="s">
        <v>18173</v>
      </c>
      <c r="C4721" t="s">
        <v>18174</v>
      </c>
      <c r="D4721" t="s">
        <v>17850</v>
      </c>
      <c r="E4721" t="s">
        <v>2310</v>
      </c>
      <c r="F4721">
        <v>9</v>
      </c>
      <c r="G4721">
        <v>9.1999999999999993</v>
      </c>
      <c r="H4721" t="s">
        <v>2022</v>
      </c>
      <c r="I4721" s="21">
        <v>42521.543726851851</v>
      </c>
      <c r="J4721">
        <v>2016</v>
      </c>
      <c r="K4721" s="21">
        <v>42654.667442129627</v>
      </c>
      <c r="L4721">
        <v>2016</v>
      </c>
      <c r="M4721" s="21">
        <v>43307.418038113428</v>
      </c>
      <c r="N4721">
        <v>2018</v>
      </c>
      <c r="Q4721" s="262">
        <v>400000</v>
      </c>
      <c r="R4721" s="262">
        <v>379000</v>
      </c>
      <c r="S4721" t="s">
        <v>13254</v>
      </c>
      <c r="W4721">
        <v>3676</v>
      </c>
      <c r="X4721">
        <v>1</v>
      </c>
      <c r="Y4721">
        <v>0</v>
      </c>
      <c r="Z4721">
        <v>0</v>
      </c>
      <c r="AA4721">
        <v>0</v>
      </c>
      <c r="AB4721">
        <v>0</v>
      </c>
      <c r="AC4721">
        <v>3676</v>
      </c>
      <c r="AD4721">
        <v>0</v>
      </c>
      <c r="AE4721">
        <v>0</v>
      </c>
      <c r="AF4721">
        <v>0</v>
      </c>
      <c r="AG4721">
        <v>0</v>
      </c>
      <c r="AH4721">
        <v>0</v>
      </c>
      <c r="AI4721">
        <v>0</v>
      </c>
      <c r="AJ4721">
        <v>0</v>
      </c>
      <c r="AK4721">
        <v>0</v>
      </c>
      <c r="AL4721">
        <v>0</v>
      </c>
      <c r="AM4721">
        <v>0</v>
      </c>
      <c r="AN4721">
        <v>0</v>
      </c>
      <c r="AO4721">
        <v>1</v>
      </c>
      <c r="AP4721">
        <v>0</v>
      </c>
      <c r="AQ4721">
        <v>0</v>
      </c>
      <c r="AR4721">
        <v>0</v>
      </c>
      <c r="AS4721">
        <v>0</v>
      </c>
      <c r="AT4721">
        <v>0</v>
      </c>
      <c r="AU4721">
        <f t="shared" si="146"/>
        <v>1</v>
      </c>
      <c r="AV4721">
        <f t="shared" si="147"/>
        <v>0</v>
      </c>
    </row>
    <row r="4722" spans="1:48" x14ac:dyDescent="0.25">
      <c r="A4722" t="s">
        <v>18411</v>
      </c>
      <c r="B4722" t="s">
        <v>18411</v>
      </c>
      <c r="C4722" t="s">
        <v>18412</v>
      </c>
      <c r="D4722" t="s">
        <v>18413</v>
      </c>
      <c r="E4722" t="s">
        <v>2310</v>
      </c>
      <c r="F4722">
        <v>9</v>
      </c>
      <c r="G4722">
        <v>9.1999999999999993</v>
      </c>
      <c r="H4722" t="s">
        <v>2022</v>
      </c>
      <c r="I4722" s="21">
        <v>42522.45071759259</v>
      </c>
      <c r="J4722">
        <v>2016</v>
      </c>
      <c r="K4722" s="21">
        <v>43362.337565543981</v>
      </c>
      <c r="L4722">
        <v>2018</v>
      </c>
      <c r="M4722" s="21">
        <v>43843.409156828704</v>
      </c>
      <c r="N4722">
        <v>2020</v>
      </c>
      <c r="Q4722" s="262">
        <v>445000</v>
      </c>
      <c r="R4722" s="262">
        <v>207000</v>
      </c>
      <c r="S4722" t="s">
        <v>13253</v>
      </c>
      <c r="T4722">
        <v>5055</v>
      </c>
      <c r="V4722">
        <v>360</v>
      </c>
      <c r="W4722">
        <v>1784</v>
      </c>
      <c r="X4722">
        <v>0</v>
      </c>
      <c r="Y4722">
        <v>0</v>
      </c>
      <c r="Z4722">
        <v>0</v>
      </c>
      <c r="AA4722">
        <v>0</v>
      </c>
      <c r="AB4722">
        <v>0</v>
      </c>
      <c r="AC4722">
        <v>1784</v>
      </c>
      <c r="AD4722">
        <v>0</v>
      </c>
      <c r="AE4722">
        <v>0</v>
      </c>
      <c r="AF4722">
        <v>0</v>
      </c>
      <c r="AG4722">
        <v>0</v>
      </c>
      <c r="AH4722">
        <v>0</v>
      </c>
      <c r="AI4722">
        <v>0</v>
      </c>
      <c r="AJ4722">
        <v>0</v>
      </c>
      <c r="AK4722">
        <v>0</v>
      </c>
      <c r="AL4722">
        <v>0</v>
      </c>
      <c r="AM4722">
        <v>0</v>
      </c>
      <c r="AN4722">
        <v>0</v>
      </c>
      <c r="AO4722">
        <v>0</v>
      </c>
      <c r="AP4722">
        <v>0</v>
      </c>
      <c r="AQ4722">
        <v>0</v>
      </c>
      <c r="AR4722">
        <v>0</v>
      </c>
      <c r="AS4722">
        <v>0</v>
      </c>
      <c r="AT4722">
        <v>0</v>
      </c>
      <c r="AU4722">
        <f t="shared" si="146"/>
        <v>0</v>
      </c>
      <c r="AV4722">
        <f t="shared" si="147"/>
        <v>0</v>
      </c>
    </row>
    <row r="4723" spans="1:48" x14ac:dyDescent="0.25">
      <c r="A4723" t="s">
        <v>18077</v>
      </c>
      <c r="B4723" t="s">
        <v>18077</v>
      </c>
      <c r="C4723" t="s">
        <v>13256</v>
      </c>
      <c r="D4723" t="s">
        <v>10982</v>
      </c>
      <c r="E4723" t="s">
        <v>2310</v>
      </c>
      <c r="F4723">
        <v>9</v>
      </c>
      <c r="G4723">
        <v>9.1</v>
      </c>
      <c r="H4723" t="s">
        <v>2323</v>
      </c>
      <c r="I4723" s="21">
        <v>42522.553495370368</v>
      </c>
      <c r="J4723">
        <v>2016</v>
      </c>
      <c r="K4723" s="21">
        <v>42807.481620370374</v>
      </c>
      <c r="L4723">
        <v>2017</v>
      </c>
      <c r="M4723" s="21">
        <v>42807.481620370374</v>
      </c>
      <c r="N4723">
        <v>2017</v>
      </c>
      <c r="Q4723" s="262">
        <v>164800</v>
      </c>
      <c r="R4723" s="262">
        <v>34000</v>
      </c>
      <c r="S4723" t="s">
        <v>13254</v>
      </c>
      <c r="W4723">
        <v>784</v>
      </c>
      <c r="X4723">
        <v>0</v>
      </c>
      <c r="Y4723">
        <v>0</v>
      </c>
      <c r="Z4723">
        <v>0</v>
      </c>
      <c r="AA4723">
        <v>0</v>
      </c>
      <c r="AB4723">
        <v>0</v>
      </c>
      <c r="AC4723">
        <v>784</v>
      </c>
      <c r="AD4723">
        <v>0</v>
      </c>
      <c r="AE4723">
        <v>0</v>
      </c>
      <c r="AF4723">
        <v>0</v>
      </c>
      <c r="AG4723">
        <v>0</v>
      </c>
      <c r="AH4723">
        <v>0</v>
      </c>
      <c r="AI4723">
        <v>0</v>
      </c>
      <c r="AJ4723">
        <v>0</v>
      </c>
      <c r="AK4723">
        <v>0</v>
      </c>
      <c r="AL4723">
        <v>0</v>
      </c>
      <c r="AM4723">
        <v>0</v>
      </c>
      <c r="AN4723">
        <v>0</v>
      </c>
      <c r="AO4723">
        <v>0</v>
      </c>
      <c r="AP4723">
        <v>0</v>
      </c>
      <c r="AQ4723">
        <v>0</v>
      </c>
      <c r="AR4723">
        <v>0</v>
      </c>
      <c r="AS4723">
        <v>0</v>
      </c>
      <c r="AT4723">
        <v>0</v>
      </c>
      <c r="AU4723">
        <f t="shared" si="146"/>
        <v>0</v>
      </c>
      <c r="AV4723">
        <f t="shared" si="147"/>
        <v>0</v>
      </c>
    </row>
    <row r="4724" spans="1:48" x14ac:dyDescent="0.25">
      <c r="A4724" t="s">
        <v>13311</v>
      </c>
      <c r="C4724" t="s">
        <v>13312</v>
      </c>
      <c r="D4724" t="s">
        <v>13313</v>
      </c>
      <c r="E4724" t="s">
        <v>1663</v>
      </c>
      <c r="F4724">
        <v>5</v>
      </c>
      <c r="G4724">
        <v>5.5</v>
      </c>
      <c r="H4724" t="s">
        <v>2017</v>
      </c>
      <c r="I4724" s="21">
        <v>42523</v>
      </c>
      <c r="J4724">
        <v>2016</v>
      </c>
      <c r="K4724" s="21">
        <v>42524</v>
      </c>
      <c r="L4724">
        <v>2016</v>
      </c>
      <c r="M4724" s="21">
        <v>42605</v>
      </c>
      <c r="N4724">
        <v>2016</v>
      </c>
      <c r="Q4724" s="262">
        <v>5000</v>
      </c>
      <c r="S4724" t="s">
        <v>114</v>
      </c>
      <c r="T4724" t="s">
        <v>114</v>
      </c>
      <c r="W4724">
        <v>0</v>
      </c>
      <c r="X4724">
        <v>0</v>
      </c>
      <c r="Y4724">
        <v>0</v>
      </c>
      <c r="Z4724">
        <v>0</v>
      </c>
      <c r="AA4724">
        <v>0</v>
      </c>
      <c r="AB4724">
        <v>0</v>
      </c>
      <c r="AC4724">
        <v>0</v>
      </c>
      <c r="AD4724">
        <v>0</v>
      </c>
      <c r="AE4724">
        <v>0</v>
      </c>
      <c r="AF4724">
        <v>0</v>
      </c>
      <c r="AG4724">
        <v>0</v>
      </c>
      <c r="AH4724">
        <v>0</v>
      </c>
      <c r="AI4724">
        <v>0</v>
      </c>
      <c r="AJ4724">
        <v>0</v>
      </c>
      <c r="AK4724">
        <v>0</v>
      </c>
      <c r="AL4724">
        <v>0</v>
      </c>
      <c r="AM4724">
        <v>0</v>
      </c>
      <c r="AN4724">
        <v>0</v>
      </c>
      <c r="AO4724">
        <v>0</v>
      </c>
      <c r="AP4724">
        <v>0</v>
      </c>
      <c r="AQ4724">
        <v>0</v>
      </c>
      <c r="AR4724">
        <v>0</v>
      </c>
      <c r="AS4724">
        <v>0</v>
      </c>
      <c r="AT4724">
        <v>0</v>
      </c>
      <c r="AU4724">
        <f t="shared" si="146"/>
        <v>0</v>
      </c>
      <c r="AV4724">
        <f t="shared" si="147"/>
        <v>0</v>
      </c>
    </row>
    <row r="4725" spans="1:48" x14ac:dyDescent="0.25">
      <c r="A4725" t="s">
        <v>13314</v>
      </c>
      <c r="C4725" t="s">
        <v>13315</v>
      </c>
      <c r="D4725" t="s">
        <v>13316</v>
      </c>
      <c r="E4725" t="s">
        <v>1663</v>
      </c>
      <c r="F4725">
        <v>5</v>
      </c>
      <c r="G4725">
        <v>5.2</v>
      </c>
      <c r="H4725" t="s">
        <v>2327</v>
      </c>
      <c r="I4725" s="21">
        <v>42523</v>
      </c>
      <c r="J4725">
        <v>2016</v>
      </c>
      <c r="K4725" s="21">
        <v>42535</v>
      </c>
      <c r="L4725">
        <v>2016</v>
      </c>
      <c r="M4725" s="21">
        <v>43865</v>
      </c>
      <c r="N4725">
        <v>2020</v>
      </c>
      <c r="Q4725" s="262">
        <v>0</v>
      </c>
      <c r="S4725" t="s">
        <v>114</v>
      </c>
      <c r="T4725" t="s">
        <v>114</v>
      </c>
      <c r="V4725">
        <v>900</v>
      </c>
      <c r="W4725">
        <v>0</v>
      </c>
      <c r="X4725">
        <v>0</v>
      </c>
      <c r="Y4725">
        <v>0</v>
      </c>
      <c r="Z4725">
        <v>0</v>
      </c>
      <c r="AA4725">
        <v>0</v>
      </c>
      <c r="AB4725">
        <v>0</v>
      </c>
      <c r="AC4725">
        <v>0</v>
      </c>
      <c r="AD4725">
        <v>0</v>
      </c>
      <c r="AE4725">
        <v>0</v>
      </c>
      <c r="AF4725">
        <v>0</v>
      </c>
      <c r="AG4725">
        <v>0</v>
      </c>
      <c r="AH4725">
        <v>0</v>
      </c>
      <c r="AI4725">
        <v>0</v>
      </c>
      <c r="AJ4725">
        <v>0</v>
      </c>
      <c r="AK4725">
        <v>0</v>
      </c>
      <c r="AL4725">
        <v>0</v>
      </c>
      <c r="AM4725">
        <v>0</v>
      </c>
      <c r="AN4725">
        <v>0</v>
      </c>
      <c r="AO4725">
        <v>0</v>
      </c>
      <c r="AP4725">
        <v>0</v>
      </c>
      <c r="AQ4725">
        <v>0</v>
      </c>
      <c r="AR4725">
        <v>0</v>
      </c>
      <c r="AS4725">
        <v>0</v>
      </c>
      <c r="AT4725">
        <v>0</v>
      </c>
      <c r="AU4725">
        <f t="shared" si="146"/>
        <v>0</v>
      </c>
      <c r="AV4725">
        <f t="shared" si="147"/>
        <v>0</v>
      </c>
    </row>
    <row r="4726" spans="1:48" x14ac:dyDescent="0.25">
      <c r="A4726" t="s">
        <v>13317</v>
      </c>
      <c r="B4726" t="s">
        <v>13317</v>
      </c>
      <c r="C4726" t="s">
        <v>13318</v>
      </c>
      <c r="D4726" t="s">
        <v>13319</v>
      </c>
      <c r="E4726" t="s">
        <v>2310</v>
      </c>
      <c r="F4726">
        <v>9</v>
      </c>
      <c r="G4726">
        <v>9.1</v>
      </c>
      <c r="H4726" t="s">
        <v>2323</v>
      </c>
      <c r="I4726" s="21">
        <v>42523.595115740703</v>
      </c>
      <c r="J4726">
        <v>2016</v>
      </c>
      <c r="K4726" s="21">
        <v>42565.634097222202</v>
      </c>
      <c r="L4726">
        <v>2016</v>
      </c>
      <c r="P4726" s="21">
        <v>42916.494583333297</v>
      </c>
      <c r="Q4726" s="262">
        <v>270000</v>
      </c>
      <c r="R4726" s="262">
        <v>69000</v>
      </c>
      <c r="S4726" t="s">
        <v>114</v>
      </c>
      <c r="T4726" t="s">
        <v>114</v>
      </c>
      <c r="W4726">
        <v>800</v>
      </c>
      <c r="X4726">
        <v>0</v>
      </c>
      <c r="Y4726">
        <v>0</v>
      </c>
      <c r="Z4726">
        <v>0</v>
      </c>
      <c r="AA4726">
        <v>0</v>
      </c>
      <c r="AB4726">
        <v>0</v>
      </c>
      <c r="AC4726">
        <v>800</v>
      </c>
      <c r="AD4726">
        <v>0</v>
      </c>
      <c r="AE4726">
        <v>0</v>
      </c>
      <c r="AF4726">
        <v>0</v>
      </c>
      <c r="AG4726">
        <v>0</v>
      </c>
      <c r="AH4726">
        <v>0</v>
      </c>
      <c r="AI4726">
        <v>0</v>
      </c>
      <c r="AJ4726">
        <v>0</v>
      </c>
      <c r="AK4726">
        <v>0</v>
      </c>
      <c r="AL4726">
        <v>0</v>
      </c>
      <c r="AM4726">
        <v>0</v>
      </c>
      <c r="AN4726">
        <v>0</v>
      </c>
      <c r="AO4726">
        <v>0</v>
      </c>
      <c r="AP4726">
        <v>0</v>
      </c>
      <c r="AQ4726">
        <v>0</v>
      </c>
      <c r="AR4726">
        <v>0</v>
      </c>
      <c r="AS4726">
        <v>0</v>
      </c>
      <c r="AT4726">
        <v>0</v>
      </c>
      <c r="AU4726">
        <f t="shared" si="146"/>
        <v>0</v>
      </c>
      <c r="AV4726">
        <f t="shared" si="147"/>
        <v>0</v>
      </c>
    </row>
    <row r="4727" spans="1:48" x14ac:dyDescent="0.25">
      <c r="A4727" t="s">
        <v>13116</v>
      </c>
      <c r="B4727" t="s">
        <v>114</v>
      </c>
      <c r="C4727" t="s">
        <v>11246</v>
      </c>
      <c r="D4727" t="s">
        <v>13117</v>
      </c>
      <c r="E4727" t="s">
        <v>1663</v>
      </c>
      <c r="F4727">
        <v>3</v>
      </c>
      <c r="G4727">
        <v>3.2</v>
      </c>
      <c r="H4727" t="s">
        <v>2327</v>
      </c>
      <c r="I4727" s="21">
        <v>42524</v>
      </c>
      <c r="J4727">
        <v>2016</v>
      </c>
      <c r="K4727" s="21">
        <v>42572</v>
      </c>
      <c r="L4727">
        <v>2016</v>
      </c>
      <c r="M4727" s="21">
        <v>42769</v>
      </c>
      <c r="N4727">
        <v>2017</v>
      </c>
      <c r="S4727" t="s">
        <v>9529</v>
      </c>
      <c r="T4727">
        <v>11292</v>
      </c>
      <c r="U4727">
        <v>5</v>
      </c>
      <c r="W4727">
        <v>-550</v>
      </c>
      <c r="X4727">
        <v>-1</v>
      </c>
      <c r="Y4727">
        <v>0</v>
      </c>
      <c r="Z4727">
        <v>0</v>
      </c>
      <c r="AA4727">
        <v>0</v>
      </c>
      <c r="AB4727">
        <v>0</v>
      </c>
      <c r="AC4727">
        <v>-550</v>
      </c>
      <c r="AD4727">
        <v>0</v>
      </c>
      <c r="AE4727">
        <v>0</v>
      </c>
      <c r="AF4727">
        <v>0</v>
      </c>
      <c r="AG4727">
        <v>0</v>
      </c>
      <c r="AH4727">
        <v>0</v>
      </c>
      <c r="AI4727">
        <v>0</v>
      </c>
      <c r="AJ4727">
        <v>0</v>
      </c>
      <c r="AK4727">
        <v>0</v>
      </c>
      <c r="AL4727">
        <v>0</v>
      </c>
      <c r="AM4727">
        <v>0</v>
      </c>
      <c r="AN4727">
        <v>0</v>
      </c>
      <c r="AO4727">
        <v>-1</v>
      </c>
      <c r="AP4727">
        <v>0</v>
      </c>
      <c r="AQ4727">
        <v>0</v>
      </c>
      <c r="AR4727">
        <v>0</v>
      </c>
      <c r="AS4727">
        <v>0</v>
      </c>
      <c r="AT4727">
        <v>0</v>
      </c>
      <c r="AU4727">
        <f t="shared" si="146"/>
        <v>-1</v>
      </c>
      <c r="AV4727">
        <f t="shared" si="147"/>
        <v>0</v>
      </c>
    </row>
    <row r="4728" spans="1:48" x14ac:dyDescent="0.25">
      <c r="A4728" t="s">
        <v>13116</v>
      </c>
      <c r="B4728" t="s">
        <v>114</v>
      </c>
      <c r="C4728" t="s">
        <v>11246</v>
      </c>
      <c r="D4728" t="s">
        <v>13117</v>
      </c>
      <c r="E4728" t="s">
        <v>1663</v>
      </c>
      <c r="F4728">
        <v>3</v>
      </c>
      <c r="G4728">
        <v>3.2</v>
      </c>
      <c r="H4728" t="s">
        <v>2327</v>
      </c>
      <c r="I4728" s="21">
        <v>42524</v>
      </c>
      <c r="J4728">
        <v>2016</v>
      </c>
      <c r="K4728" s="21">
        <v>42572</v>
      </c>
      <c r="L4728">
        <v>2016</v>
      </c>
      <c r="M4728" s="21">
        <v>42769</v>
      </c>
      <c r="N4728">
        <v>2017</v>
      </c>
      <c r="Q4728" s="262">
        <v>301751</v>
      </c>
      <c r="S4728" t="s">
        <v>12464</v>
      </c>
      <c r="T4728">
        <v>11292</v>
      </c>
      <c r="W4728">
        <v>1984</v>
      </c>
      <c r="X4728">
        <v>1</v>
      </c>
      <c r="Y4728">
        <v>0</v>
      </c>
      <c r="Z4728">
        <v>0</v>
      </c>
      <c r="AA4728">
        <v>0</v>
      </c>
      <c r="AB4728">
        <v>0</v>
      </c>
      <c r="AC4728">
        <v>1984</v>
      </c>
      <c r="AD4728">
        <v>0</v>
      </c>
      <c r="AE4728">
        <v>0</v>
      </c>
      <c r="AF4728">
        <v>0</v>
      </c>
      <c r="AG4728">
        <v>0</v>
      </c>
      <c r="AH4728">
        <v>0</v>
      </c>
      <c r="AI4728">
        <v>0</v>
      </c>
      <c r="AJ4728">
        <v>0</v>
      </c>
      <c r="AK4728">
        <v>0</v>
      </c>
      <c r="AL4728">
        <v>0</v>
      </c>
      <c r="AM4728">
        <v>0</v>
      </c>
      <c r="AN4728">
        <v>0</v>
      </c>
      <c r="AO4728">
        <v>1</v>
      </c>
      <c r="AP4728">
        <v>0</v>
      </c>
      <c r="AQ4728">
        <v>0</v>
      </c>
      <c r="AR4728">
        <v>0</v>
      </c>
      <c r="AS4728">
        <v>0</v>
      </c>
      <c r="AT4728">
        <v>0</v>
      </c>
      <c r="AU4728">
        <f t="shared" si="146"/>
        <v>1</v>
      </c>
      <c r="AV4728">
        <f t="shared" si="147"/>
        <v>0</v>
      </c>
    </row>
    <row r="4729" spans="1:48" x14ac:dyDescent="0.25">
      <c r="A4729" t="s">
        <v>14336</v>
      </c>
      <c r="B4729" t="s">
        <v>114</v>
      </c>
      <c r="C4729" t="s">
        <v>14337</v>
      </c>
      <c r="D4729" t="s">
        <v>14338</v>
      </c>
      <c r="E4729" t="s">
        <v>1663</v>
      </c>
      <c r="F4729">
        <v>3</v>
      </c>
      <c r="G4729">
        <v>3.2</v>
      </c>
      <c r="H4729" t="s">
        <v>2327</v>
      </c>
      <c r="I4729" s="21">
        <v>42524</v>
      </c>
      <c r="J4729">
        <v>2016</v>
      </c>
      <c r="K4729" s="21">
        <v>42564</v>
      </c>
      <c r="L4729">
        <v>2016</v>
      </c>
      <c r="M4729" s="21">
        <v>43042</v>
      </c>
      <c r="N4729">
        <v>2017</v>
      </c>
      <c r="Q4729" s="262">
        <v>520000</v>
      </c>
      <c r="S4729" t="s">
        <v>13254</v>
      </c>
      <c r="W4729">
        <v>1950</v>
      </c>
      <c r="X4729">
        <v>2</v>
      </c>
      <c r="Y4729">
        <v>0</v>
      </c>
      <c r="Z4729">
        <v>0</v>
      </c>
      <c r="AA4729">
        <v>0</v>
      </c>
      <c r="AB4729">
        <v>0</v>
      </c>
      <c r="AC4729">
        <v>416</v>
      </c>
      <c r="AD4729">
        <v>0</v>
      </c>
      <c r="AE4729">
        <v>1534</v>
      </c>
      <c r="AF4729">
        <v>0</v>
      </c>
      <c r="AG4729">
        <v>0</v>
      </c>
      <c r="AH4729">
        <v>0</v>
      </c>
      <c r="AI4729">
        <v>0</v>
      </c>
      <c r="AJ4729">
        <v>0</v>
      </c>
      <c r="AK4729">
        <v>0</v>
      </c>
      <c r="AL4729">
        <v>0</v>
      </c>
      <c r="AM4729">
        <v>0</v>
      </c>
      <c r="AN4729">
        <v>0</v>
      </c>
      <c r="AO4729">
        <v>0</v>
      </c>
      <c r="AP4729">
        <v>0</v>
      </c>
      <c r="AQ4729">
        <v>2</v>
      </c>
      <c r="AR4729">
        <v>0</v>
      </c>
      <c r="AS4729">
        <v>0</v>
      </c>
      <c r="AT4729">
        <v>0</v>
      </c>
      <c r="AU4729">
        <f t="shared" si="146"/>
        <v>2</v>
      </c>
      <c r="AV4729">
        <f t="shared" si="147"/>
        <v>0</v>
      </c>
    </row>
    <row r="4730" spans="1:48" x14ac:dyDescent="0.25">
      <c r="A4730" t="s">
        <v>14364</v>
      </c>
      <c r="C4730" t="s">
        <v>14365</v>
      </c>
      <c r="D4730" t="s">
        <v>4692</v>
      </c>
      <c r="E4730" t="s">
        <v>1663</v>
      </c>
      <c r="F4730">
        <v>2</v>
      </c>
      <c r="G4730">
        <v>2.2000000000000002</v>
      </c>
      <c r="H4730" t="s">
        <v>2327</v>
      </c>
      <c r="I4730" s="21">
        <v>42524</v>
      </c>
      <c r="J4730">
        <v>2016</v>
      </c>
      <c r="M4730" s="21">
        <v>42823</v>
      </c>
      <c r="N4730">
        <v>2017</v>
      </c>
      <c r="Q4730" s="262">
        <v>24000</v>
      </c>
      <c r="S4730" t="s">
        <v>114</v>
      </c>
      <c r="T4730" t="s">
        <v>114</v>
      </c>
      <c r="W4730">
        <v>0</v>
      </c>
      <c r="X4730">
        <v>0</v>
      </c>
      <c r="Y4730">
        <v>0</v>
      </c>
      <c r="Z4730">
        <v>0</v>
      </c>
      <c r="AA4730">
        <v>0</v>
      </c>
      <c r="AB4730">
        <v>0</v>
      </c>
      <c r="AC4730">
        <v>0</v>
      </c>
      <c r="AD4730">
        <v>0</v>
      </c>
      <c r="AE4730">
        <v>0</v>
      </c>
      <c r="AF4730">
        <v>0</v>
      </c>
      <c r="AG4730">
        <v>0</v>
      </c>
      <c r="AH4730">
        <v>0</v>
      </c>
      <c r="AI4730">
        <v>0</v>
      </c>
      <c r="AJ4730">
        <v>0</v>
      </c>
      <c r="AK4730">
        <v>0</v>
      </c>
      <c r="AL4730">
        <v>0</v>
      </c>
      <c r="AM4730">
        <v>0</v>
      </c>
      <c r="AN4730">
        <v>0</v>
      </c>
      <c r="AO4730">
        <v>0</v>
      </c>
      <c r="AP4730">
        <v>0</v>
      </c>
      <c r="AQ4730">
        <v>0</v>
      </c>
      <c r="AR4730">
        <v>0</v>
      </c>
      <c r="AS4730">
        <v>0</v>
      </c>
      <c r="AT4730">
        <v>0</v>
      </c>
      <c r="AU4730">
        <f t="shared" si="146"/>
        <v>0</v>
      </c>
      <c r="AV4730">
        <f t="shared" si="147"/>
        <v>0</v>
      </c>
    </row>
    <row r="4731" spans="1:48" x14ac:dyDescent="0.25">
      <c r="A4731" t="s">
        <v>13320</v>
      </c>
      <c r="B4731" t="s">
        <v>13320</v>
      </c>
      <c r="C4731" t="s">
        <v>13321</v>
      </c>
      <c r="D4731" t="s">
        <v>8435</v>
      </c>
      <c r="E4731" t="s">
        <v>2310</v>
      </c>
      <c r="F4731">
        <v>7</v>
      </c>
      <c r="G4731">
        <v>7.1</v>
      </c>
      <c r="H4731" t="s">
        <v>2017</v>
      </c>
      <c r="I4731" s="21">
        <v>42528.557835648098</v>
      </c>
      <c r="J4731">
        <v>2016</v>
      </c>
      <c r="K4731" s="21">
        <v>42537.389710648102</v>
      </c>
      <c r="L4731">
        <v>2016</v>
      </c>
      <c r="M4731" s="21">
        <v>42657.354930555601</v>
      </c>
      <c r="N4731">
        <v>2016</v>
      </c>
      <c r="Q4731" s="262">
        <v>7000</v>
      </c>
      <c r="R4731" s="262">
        <v>35000</v>
      </c>
      <c r="S4731" t="s">
        <v>114</v>
      </c>
      <c r="T4731" t="s">
        <v>114</v>
      </c>
      <c r="V4731">
        <v>800</v>
      </c>
      <c r="W4731">
        <v>0</v>
      </c>
      <c r="X4731">
        <v>0</v>
      </c>
      <c r="Y4731">
        <v>0</v>
      </c>
      <c r="Z4731">
        <v>0</v>
      </c>
      <c r="AA4731">
        <v>0</v>
      </c>
      <c r="AB4731">
        <v>0</v>
      </c>
      <c r="AC4731">
        <v>0</v>
      </c>
      <c r="AD4731">
        <v>0</v>
      </c>
      <c r="AE4731">
        <v>0</v>
      </c>
      <c r="AF4731">
        <v>0</v>
      </c>
      <c r="AG4731">
        <v>0</v>
      </c>
      <c r="AH4731">
        <v>0</v>
      </c>
      <c r="AI4731">
        <v>0</v>
      </c>
      <c r="AJ4731">
        <v>0</v>
      </c>
      <c r="AK4731">
        <v>0</v>
      </c>
      <c r="AL4731">
        <v>0</v>
      </c>
      <c r="AM4731">
        <v>0</v>
      </c>
      <c r="AN4731">
        <v>0</v>
      </c>
      <c r="AO4731">
        <v>0</v>
      </c>
      <c r="AP4731">
        <v>0</v>
      </c>
      <c r="AQ4731">
        <v>0</v>
      </c>
      <c r="AR4731">
        <v>0</v>
      </c>
      <c r="AS4731">
        <v>0</v>
      </c>
      <c r="AT4731">
        <v>0</v>
      </c>
      <c r="AU4731">
        <f t="shared" si="146"/>
        <v>0</v>
      </c>
      <c r="AV4731">
        <f t="shared" si="147"/>
        <v>0</v>
      </c>
    </row>
    <row r="4732" spans="1:48" x14ac:dyDescent="0.25">
      <c r="A4732" t="s">
        <v>18621</v>
      </c>
      <c r="B4732" t="s">
        <v>18621</v>
      </c>
      <c r="C4732" t="s">
        <v>18622</v>
      </c>
      <c r="D4732" t="s">
        <v>18623</v>
      </c>
      <c r="E4732" t="s">
        <v>2310</v>
      </c>
      <c r="F4732">
        <v>8</v>
      </c>
      <c r="G4732">
        <v>8.4</v>
      </c>
      <c r="H4732" t="s">
        <v>2017</v>
      </c>
      <c r="I4732" s="21">
        <v>42528.574976851851</v>
      </c>
      <c r="J4732">
        <v>2016</v>
      </c>
      <c r="K4732" s="21">
        <v>42587.496331018519</v>
      </c>
      <c r="L4732">
        <v>2016</v>
      </c>
      <c r="M4732" s="21">
        <v>43563.57595648148</v>
      </c>
      <c r="N4732">
        <v>2019</v>
      </c>
      <c r="Q4732" s="262">
        <v>180000</v>
      </c>
      <c r="R4732" s="262">
        <v>138000</v>
      </c>
      <c r="S4732" t="s">
        <v>13254</v>
      </c>
      <c r="W4732">
        <v>1200</v>
      </c>
      <c r="X4732">
        <v>1</v>
      </c>
      <c r="Y4732">
        <v>0</v>
      </c>
      <c r="Z4732">
        <v>0</v>
      </c>
      <c r="AA4732">
        <v>0</v>
      </c>
      <c r="AB4732">
        <v>0</v>
      </c>
      <c r="AC4732">
        <v>1200</v>
      </c>
      <c r="AD4732">
        <v>0</v>
      </c>
      <c r="AE4732">
        <v>0</v>
      </c>
      <c r="AF4732">
        <v>0</v>
      </c>
      <c r="AG4732">
        <v>0</v>
      </c>
      <c r="AH4732">
        <v>0</v>
      </c>
      <c r="AI4732">
        <v>0</v>
      </c>
      <c r="AJ4732">
        <v>0</v>
      </c>
      <c r="AK4732">
        <v>0</v>
      </c>
      <c r="AL4732">
        <v>0</v>
      </c>
      <c r="AM4732">
        <v>0</v>
      </c>
      <c r="AN4732">
        <v>0</v>
      </c>
      <c r="AO4732">
        <v>1</v>
      </c>
      <c r="AP4732">
        <v>0</v>
      </c>
      <c r="AQ4732">
        <v>0</v>
      </c>
      <c r="AR4732">
        <v>0</v>
      </c>
      <c r="AS4732">
        <v>0</v>
      </c>
      <c r="AT4732">
        <v>0</v>
      </c>
      <c r="AU4732">
        <f t="shared" si="146"/>
        <v>1</v>
      </c>
      <c r="AV4732">
        <f t="shared" si="147"/>
        <v>0</v>
      </c>
    </row>
    <row r="4733" spans="1:48" x14ac:dyDescent="0.25">
      <c r="A4733" t="s">
        <v>17515</v>
      </c>
      <c r="B4733" t="s">
        <v>17515</v>
      </c>
      <c r="C4733" t="s">
        <v>17516</v>
      </c>
      <c r="D4733" t="s">
        <v>1918</v>
      </c>
      <c r="E4733" t="s">
        <v>2310</v>
      </c>
      <c r="F4733">
        <v>4</v>
      </c>
      <c r="G4733">
        <v>4.2</v>
      </c>
      <c r="H4733" t="s">
        <v>2327</v>
      </c>
      <c r="I4733" s="21">
        <v>42528.60292824074</v>
      </c>
      <c r="J4733">
        <v>2016</v>
      </c>
      <c r="K4733" s="21">
        <v>42761.465578703705</v>
      </c>
      <c r="L4733">
        <v>2017</v>
      </c>
      <c r="M4733" s="21">
        <v>42761.465578703705</v>
      </c>
      <c r="N4733">
        <v>2017</v>
      </c>
      <c r="Q4733" s="262">
        <v>24900</v>
      </c>
      <c r="R4733" s="262">
        <v>8000</v>
      </c>
      <c r="S4733" t="s">
        <v>13254</v>
      </c>
      <c r="W4733">
        <v>165</v>
      </c>
      <c r="X4733">
        <v>0</v>
      </c>
      <c r="Y4733">
        <v>0</v>
      </c>
      <c r="Z4733">
        <v>0</v>
      </c>
      <c r="AA4733">
        <v>0</v>
      </c>
      <c r="AB4733">
        <v>0</v>
      </c>
      <c r="AC4733">
        <v>0</v>
      </c>
      <c r="AD4733">
        <v>0</v>
      </c>
      <c r="AE4733">
        <v>0</v>
      </c>
      <c r="AF4733">
        <v>0</v>
      </c>
      <c r="AG4733">
        <v>0</v>
      </c>
      <c r="AH4733">
        <v>0</v>
      </c>
      <c r="AI4733">
        <v>0</v>
      </c>
      <c r="AJ4733">
        <v>0</v>
      </c>
      <c r="AK4733">
        <v>0</v>
      </c>
      <c r="AL4733">
        <v>165</v>
      </c>
      <c r="AM4733">
        <v>0</v>
      </c>
      <c r="AN4733">
        <v>0</v>
      </c>
      <c r="AO4733">
        <v>0</v>
      </c>
      <c r="AP4733">
        <v>0</v>
      </c>
      <c r="AQ4733">
        <v>0</v>
      </c>
      <c r="AR4733">
        <v>0</v>
      </c>
      <c r="AS4733">
        <v>0</v>
      </c>
      <c r="AT4733">
        <v>0</v>
      </c>
      <c r="AU4733">
        <f t="shared" si="146"/>
        <v>0</v>
      </c>
      <c r="AV4733">
        <f t="shared" si="147"/>
        <v>165</v>
      </c>
    </row>
    <row r="4734" spans="1:48" x14ac:dyDescent="0.25">
      <c r="A4734" t="s">
        <v>13325</v>
      </c>
      <c r="C4734" t="s">
        <v>13326</v>
      </c>
      <c r="D4734" t="s">
        <v>13199</v>
      </c>
      <c r="E4734" t="s">
        <v>1663</v>
      </c>
      <c r="F4734">
        <v>4</v>
      </c>
      <c r="G4734">
        <v>4.3</v>
      </c>
      <c r="H4734" t="s">
        <v>2327</v>
      </c>
      <c r="I4734" s="21">
        <v>42529</v>
      </c>
      <c r="J4734">
        <v>2016</v>
      </c>
      <c r="K4734" s="21">
        <v>42576</v>
      </c>
      <c r="L4734">
        <v>2016</v>
      </c>
      <c r="M4734" s="21">
        <v>42692</v>
      </c>
      <c r="N4734">
        <v>2016</v>
      </c>
      <c r="Q4734" s="262">
        <v>200000</v>
      </c>
      <c r="S4734" t="s">
        <v>114</v>
      </c>
      <c r="T4734" t="s">
        <v>114</v>
      </c>
      <c r="W4734">
        <v>0</v>
      </c>
      <c r="X4734">
        <v>0</v>
      </c>
      <c r="Y4734">
        <v>0</v>
      </c>
      <c r="Z4734">
        <v>0</v>
      </c>
      <c r="AA4734">
        <v>0</v>
      </c>
      <c r="AB4734">
        <v>0</v>
      </c>
      <c r="AC4734">
        <v>0</v>
      </c>
      <c r="AD4734">
        <v>0</v>
      </c>
      <c r="AE4734">
        <v>0</v>
      </c>
      <c r="AF4734">
        <v>0</v>
      </c>
      <c r="AG4734">
        <v>0</v>
      </c>
      <c r="AH4734">
        <v>0</v>
      </c>
      <c r="AI4734">
        <v>0</v>
      </c>
      <c r="AJ4734">
        <v>0</v>
      </c>
      <c r="AK4734">
        <v>0</v>
      </c>
      <c r="AL4734">
        <v>0</v>
      </c>
      <c r="AM4734">
        <v>0</v>
      </c>
      <c r="AN4734">
        <v>0</v>
      </c>
      <c r="AO4734">
        <v>0</v>
      </c>
      <c r="AP4734">
        <v>0</v>
      </c>
      <c r="AQ4734">
        <v>0</v>
      </c>
      <c r="AR4734">
        <v>0</v>
      </c>
      <c r="AS4734">
        <v>0</v>
      </c>
      <c r="AT4734">
        <v>0</v>
      </c>
      <c r="AU4734">
        <f t="shared" si="146"/>
        <v>0</v>
      </c>
      <c r="AV4734">
        <f t="shared" si="147"/>
        <v>0</v>
      </c>
    </row>
    <row r="4735" spans="1:48" x14ac:dyDescent="0.25">
      <c r="A4735" t="s">
        <v>13322</v>
      </c>
      <c r="C4735" t="s">
        <v>13323</v>
      </c>
      <c r="D4735" t="s">
        <v>13324</v>
      </c>
      <c r="E4735" t="s">
        <v>1663</v>
      </c>
      <c r="F4735">
        <v>3</v>
      </c>
      <c r="G4735">
        <v>3.4</v>
      </c>
      <c r="H4735" t="s">
        <v>2017</v>
      </c>
      <c r="I4735" s="21">
        <v>42529</v>
      </c>
      <c r="J4735">
        <v>2016</v>
      </c>
      <c r="K4735" s="21">
        <v>42543</v>
      </c>
      <c r="L4735">
        <v>2016</v>
      </c>
      <c r="M4735" s="21">
        <v>42706</v>
      </c>
      <c r="N4735">
        <v>2016</v>
      </c>
      <c r="Q4735" s="262">
        <v>0</v>
      </c>
      <c r="S4735" t="s">
        <v>114</v>
      </c>
      <c r="T4735" t="s">
        <v>114</v>
      </c>
      <c r="V4735">
        <v>1937</v>
      </c>
      <c r="W4735">
        <v>0</v>
      </c>
      <c r="X4735">
        <v>-1</v>
      </c>
      <c r="Y4735">
        <v>0</v>
      </c>
      <c r="Z4735">
        <v>0</v>
      </c>
      <c r="AA4735">
        <v>0</v>
      </c>
      <c r="AB4735">
        <v>0</v>
      </c>
      <c r="AC4735">
        <v>0</v>
      </c>
      <c r="AD4735">
        <v>0</v>
      </c>
      <c r="AE4735">
        <v>0</v>
      </c>
      <c r="AF4735">
        <v>0</v>
      </c>
      <c r="AG4735">
        <v>0</v>
      </c>
      <c r="AH4735">
        <v>0</v>
      </c>
      <c r="AI4735">
        <v>0</v>
      </c>
      <c r="AJ4735">
        <v>0</v>
      </c>
      <c r="AK4735">
        <v>0</v>
      </c>
      <c r="AL4735">
        <v>0</v>
      </c>
      <c r="AM4735">
        <v>0</v>
      </c>
      <c r="AN4735">
        <v>0</v>
      </c>
      <c r="AO4735">
        <v>0</v>
      </c>
      <c r="AP4735">
        <v>-1</v>
      </c>
      <c r="AQ4735">
        <v>0</v>
      </c>
      <c r="AR4735">
        <v>0</v>
      </c>
      <c r="AS4735">
        <v>0</v>
      </c>
      <c r="AT4735">
        <v>0</v>
      </c>
      <c r="AU4735">
        <f t="shared" si="146"/>
        <v>-1</v>
      </c>
      <c r="AV4735">
        <f t="shared" si="147"/>
        <v>0</v>
      </c>
    </row>
    <row r="4736" spans="1:48" x14ac:dyDescent="0.25">
      <c r="A4736" t="s">
        <v>17654</v>
      </c>
      <c r="B4736" t="s">
        <v>17654</v>
      </c>
      <c r="C4736" t="s">
        <v>17655</v>
      </c>
      <c r="D4736" t="s">
        <v>17656</v>
      </c>
      <c r="E4736" t="s">
        <v>2310</v>
      </c>
      <c r="F4736">
        <v>10</v>
      </c>
      <c r="G4736">
        <v>10.1</v>
      </c>
      <c r="H4736" t="s">
        <v>2323</v>
      </c>
      <c r="I4736" s="21">
        <v>42529.453321759262</v>
      </c>
      <c r="J4736">
        <v>2016</v>
      </c>
      <c r="K4736" s="21">
        <v>42619.449097222219</v>
      </c>
      <c r="L4736">
        <v>2016</v>
      </c>
      <c r="M4736" s="21">
        <v>43241.380423645831</v>
      </c>
      <c r="N4736">
        <v>2018</v>
      </c>
      <c r="Q4736" s="262">
        <v>50000</v>
      </c>
      <c r="R4736" s="262">
        <v>124000</v>
      </c>
      <c r="S4736" t="s">
        <v>13253</v>
      </c>
      <c r="T4736">
        <v>1195</v>
      </c>
      <c r="V4736">
        <v>998</v>
      </c>
      <c r="W4736">
        <v>0</v>
      </c>
      <c r="X4736">
        <v>1</v>
      </c>
      <c r="Y4736">
        <v>0</v>
      </c>
      <c r="Z4736">
        <v>0</v>
      </c>
      <c r="AA4736">
        <v>0</v>
      </c>
      <c r="AB4736">
        <v>0</v>
      </c>
      <c r="AC4736">
        <v>-998</v>
      </c>
      <c r="AD4736">
        <v>0</v>
      </c>
      <c r="AE4736">
        <v>0</v>
      </c>
      <c r="AF4736">
        <v>998</v>
      </c>
      <c r="AG4736">
        <v>0</v>
      </c>
      <c r="AH4736">
        <v>0</v>
      </c>
      <c r="AI4736">
        <v>0</v>
      </c>
      <c r="AJ4736">
        <v>0</v>
      </c>
      <c r="AK4736">
        <v>0</v>
      </c>
      <c r="AL4736">
        <v>0</v>
      </c>
      <c r="AM4736">
        <v>0</v>
      </c>
      <c r="AN4736">
        <v>0</v>
      </c>
      <c r="AO4736">
        <v>0</v>
      </c>
      <c r="AP4736">
        <v>0</v>
      </c>
      <c r="AQ4736">
        <v>0</v>
      </c>
      <c r="AR4736">
        <v>1</v>
      </c>
      <c r="AS4736">
        <v>0</v>
      </c>
      <c r="AT4736">
        <v>0</v>
      </c>
      <c r="AU4736">
        <f t="shared" si="146"/>
        <v>0</v>
      </c>
      <c r="AV4736">
        <f t="shared" si="147"/>
        <v>0</v>
      </c>
    </row>
    <row r="4737" spans="1:48" x14ac:dyDescent="0.25">
      <c r="A4737" t="s">
        <v>13327</v>
      </c>
      <c r="B4737" t="s">
        <v>13327</v>
      </c>
      <c r="C4737" t="s">
        <v>13328</v>
      </c>
      <c r="D4737" t="s">
        <v>13329</v>
      </c>
      <c r="E4737" t="s">
        <v>2310</v>
      </c>
      <c r="F4737">
        <v>9</v>
      </c>
      <c r="G4737">
        <v>9.3000000000000007</v>
      </c>
      <c r="H4737" t="s">
        <v>2323</v>
      </c>
      <c r="I4737" s="21">
        <v>42530.6109490741</v>
      </c>
      <c r="J4737">
        <v>2016</v>
      </c>
      <c r="O4737" s="21">
        <v>43852.693307719899</v>
      </c>
      <c r="P4737" s="21">
        <v>42717.431504629603</v>
      </c>
      <c r="Q4737" s="262">
        <v>2444000</v>
      </c>
      <c r="R4737" s="262">
        <v>617000</v>
      </c>
      <c r="S4737" t="s">
        <v>114</v>
      </c>
      <c r="T4737" t="s">
        <v>114</v>
      </c>
      <c r="W4737">
        <v>4888</v>
      </c>
      <c r="X4737">
        <v>1</v>
      </c>
      <c r="Y4737">
        <v>0</v>
      </c>
      <c r="Z4737">
        <v>0</v>
      </c>
      <c r="AA4737">
        <v>0</v>
      </c>
      <c r="AB4737">
        <v>0</v>
      </c>
      <c r="AC4737">
        <v>4888</v>
      </c>
      <c r="AD4737">
        <v>0</v>
      </c>
      <c r="AE4737">
        <v>0</v>
      </c>
      <c r="AF4737">
        <v>0</v>
      </c>
      <c r="AG4737">
        <v>0</v>
      </c>
      <c r="AH4737">
        <v>0</v>
      </c>
      <c r="AI4737">
        <v>0</v>
      </c>
      <c r="AJ4737">
        <v>0</v>
      </c>
      <c r="AK4737">
        <v>0</v>
      </c>
      <c r="AL4737">
        <v>0</v>
      </c>
      <c r="AM4737">
        <v>0</v>
      </c>
      <c r="AN4737">
        <v>0</v>
      </c>
      <c r="AO4737">
        <v>1</v>
      </c>
      <c r="AP4737">
        <v>0</v>
      </c>
      <c r="AQ4737">
        <v>0</v>
      </c>
      <c r="AR4737">
        <v>0</v>
      </c>
      <c r="AS4737">
        <v>0</v>
      </c>
      <c r="AT4737">
        <v>0</v>
      </c>
      <c r="AU4737">
        <f t="shared" si="146"/>
        <v>1</v>
      </c>
      <c r="AV4737">
        <f t="shared" si="147"/>
        <v>0</v>
      </c>
    </row>
    <row r="4738" spans="1:48" x14ac:dyDescent="0.25">
      <c r="A4738" t="s">
        <v>13330</v>
      </c>
      <c r="B4738" t="s">
        <v>13330</v>
      </c>
      <c r="C4738" t="s">
        <v>13331</v>
      </c>
      <c r="D4738" t="s">
        <v>13329</v>
      </c>
      <c r="E4738" t="s">
        <v>2310</v>
      </c>
      <c r="F4738">
        <v>9</v>
      </c>
      <c r="G4738">
        <v>9.3000000000000007</v>
      </c>
      <c r="H4738" t="s">
        <v>2323</v>
      </c>
      <c r="I4738" s="21">
        <v>42530.621851851902</v>
      </c>
      <c r="J4738">
        <v>2016</v>
      </c>
      <c r="O4738" s="21">
        <v>43852.693407175902</v>
      </c>
      <c r="P4738" s="21">
        <v>42717.432997685202</v>
      </c>
      <c r="Q4738" s="262">
        <v>550000</v>
      </c>
      <c r="R4738" s="262">
        <v>111000</v>
      </c>
      <c r="S4738" t="s">
        <v>114</v>
      </c>
      <c r="T4738" t="s">
        <v>114</v>
      </c>
      <c r="W4738">
        <v>1100</v>
      </c>
      <c r="X4738">
        <v>1</v>
      </c>
      <c r="Y4738">
        <v>0</v>
      </c>
      <c r="Z4738">
        <v>0</v>
      </c>
      <c r="AA4738">
        <v>0</v>
      </c>
      <c r="AB4738">
        <v>0</v>
      </c>
      <c r="AC4738">
        <v>392</v>
      </c>
      <c r="AD4738">
        <v>0</v>
      </c>
      <c r="AE4738">
        <v>0</v>
      </c>
      <c r="AF4738">
        <v>708</v>
      </c>
      <c r="AG4738">
        <v>0</v>
      </c>
      <c r="AH4738">
        <v>0</v>
      </c>
      <c r="AI4738">
        <v>0</v>
      </c>
      <c r="AJ4738">
        <v>0</v>
      </c>
      <c r="AK4738">
        <v>0</v>
      </c>
      <c r="AL4738">
        <v>0</v>
      </c>
      <c r="AM4738">
        <v>0</v>
      </c>
      <c r="AN4738">
        <v>0</v>
      </c>
      <c r="AO4738">
        <v>0</v>
      </c>
      <c r="AP4738">
        <v>0</v>
      </c>
      <c r="AQ4738">
        <v>0</v>
      </c>
      <c r="AR4738">
        <v>1</v>
      </c>
      <c r="AS4738">
        <v>0</v>
      </c>
      <c r="AT4738">
        <v>0</v>
      </c>
      <c r="AU4738">
        <f t="shared" si="146"/>
        <v>0</v>
      </c>
      <c r="AV4738">
        <f t="shared" si="147"/>
        <v>0</v>
      </c>
    </row>
    <row r="4739" spans="1:48" x14ac:dyDescent="0.25">
      <c r="A4739" t="s">
        <v>18124</v>
      </c>
      <c r="B4739" t="s">
        <v>18124</v>
      </c>
      <c r="C4739" t="s">
        <v>18125</v>
      </c>
      <c r="D4739" t="s">
        <v>18126</v>
      </c>
      <c r="E4739" t="s">
        <v>2310</v>
      </c>
      <c r="F4739">
        <v>15</v>
      </c>
      <c r="G4739">
        <v>15.2</v>
      </c>
      <c r="H4739" t="s">
        <v>2323</v>
      </c>
      <c r="I4739" s="21">
        <v>42531.431747685187</v>
      </c>
      <c r="J4739">
        <v>2016</v>
      </c>
      <c r="K4739" s="21">
        <v>42842.578518518516</v>
      </c>
      <c r="L4739">
        <v>2017</v>
      </c>
      <c r="M4739" s="21">
        <v>43088.360358796293</v>
      </c>
      <c r="N4739">
        <v>2017</v>
      </c>
      <c r="Q4739" s="262">
        <v>2300000</v>
      </c>
      <c r="R4739" s="262">
        <v>530000</v>
      </c>
      <c r="S4739" t="s">
        <v>13254</v>
      </c>
      <c r="W4739">
        <v>4616</v>
      </c>
      <c r="X4739">
        <v>1</v>
      </c>
      <c r="Y4739">
        <v>0</v>
      </c>
      <c r="Z4739">
        <v>0</v>
      </c>
      <c r="AA4739">
        <v>0</v>
      </c>
      <c r="AB4739">
        <v>0</v>
      </c>
      <c r="AC4739">
        <v>4616</v>
      </c>
      <c r="AD4739">
        <v>0</v>
      </c>
      <c r="AE4739">
        <v>0</v>
      </c>
      <c r="AF4739">
        <v>0</v>
      </c>
      <c r="AG4739">
        <v>0</v>
      </c>
      <c r="AH4739">
        <v>0</v>
      </c>
      <c r="AI4739">
        <v>0</v>
      </c>
      <c r="AJ4739">
        <v>0</v>
      </c>
      <c r="AK4739">
        <v>0</v>
      </c>
      <c r="AL4739">
        <v>0</v>
      </c>
      <c r="AM4739">
        <v>0</v>
      </c>
      <c r="AN4739">
        <v>0</v>
      </c>
      <c r="AO4739">
        <v>1</v>
      </c>
      <c r="AP4739">
        <v>0</v>
      </c>
      <c r="AQ4739">
        <v>0</v>
      </c>
      <c r="AR4739">
        <v>0</v>
      </c>
      <c r="AS4739">
        <v>0</v>
      </c>
      <c r="AT4739">
        <v>0</v>
      </c>
      <c r="AU4739">
        <f t="shared" si="146"/>
        <v>1</v>
      </c>
      <c r="AV4739">
        <f t="shared" si="147"/>
        <v>0</v>
      </c>
    </row>
    <row r="4740" spans="1:48" x14ac:dyDescent="0.25">
      <c r="A4740" t="s">
        <v>18132</v>
      </c>
      <c r="B4740" t="s">
        <v>18132</v>
      </c>
      <c r="C4740" t="s">
        <v>18133</v>
      </c>
      <c r="D4740" t="s">
        <v>18134</v>
      </c>
      <c r="E4740" t="s">
        <v>2310</v>
      </c>
      <c r="F4740">
        <v>15</v>
      </c>
      <c r="G4740">
        <v>15.2</v>
      </c>
      <c r="H4740" t="s">
        <v>2323</v>
      </c>
      <c r="I4740" s="21">
        <v>42531.605717592596</v>
      </c>
      <c r="J4740">
        <v>2016</v>
      </c>
      <c r="K4740" s="21">
        <v>42954.350914351853</v>
      </c>
      <c r="L4740">
        <v>2017</v>
      </c>
      <c r="M4740" s="21">
        <v>42954.350914351853</v>
      </c>
      <c r="N4740">
        <v>2017</v>
      </c>
      <c r="Q4740" s="262">
        <v>240000</v>
      </c>
      <c r="R4740" s="262">
        <v>92000</v>
      </c>
      <c r="S4740" t="s">
        <v>13254</v>
      </c>
      <c r="W4740">
        <v>1152</v>
      </c>
      <c r="X4740">
        <v>1</v>
      </c>
      <c r="Y4740">
        <v>0</v>
      </c>
      <c r="Z4740">
        <v>0</v>
      </c>
      <c r="AA4740">
        <v>0</v>
      </c>
      <c r="AB4740">
        <v>0</v>
      </c>
      <c r="AC4740">
        <v>1152</v>
      </c>
      <c r="AD4740">
        <v>0</v>
      </c>
      <c r="AE4740">
        <v>0</v>
      </c>
      <c r="AF4740">
        <v>0</v>
      </c>
      <c r="AG4740">
        <v>0</v>
      </c>
      <c r="AH4740">
        <v>0</v>
      </c>
      <c r="AI4740">
        <v>0</v>
      </c>
      <c r="AJ4740">
        <v>0</v>
      </c>
      <c r="AK4740">
        <v>0</v>
      </c>
      <c r="AL4740">
        <v>0</v>
      </c>
      <c r="AM4740">
        <v>0</v>
      </c>
      <c r="AN4740">
        <v>0</v>
      </c>
      <c r="AO4740">
        <v>1</v>
      </c>
      <c r="AP4740">
        <v>0</v>
      </c>
      <c r="AQ4740">
        <v>0</v>
      </c>
      <c r="AR4740">
        <v>0</v>
      </c>
      <c r="AS4740">
        <v>0</v>
      </c>
      <c r="AT4740">
        <v>0</v>
      </c>
      <c r="AU4740">
        <f t="shared" si="146"/>
        <v>1</v>
      </c>
      <c r="AV4740">
        <f t="shared" si="147"/>
        <v>0</v>
      </c>
    </row>
    <row r="4741" spans="1:48" x14ac:dyDescent="0.25">
      <c r="A4741" t="s">
        <v>14366</v>
      </c>
      <c r="B4741" t="s">
        <v>114</v>
      </c>
      <c r="C4741" t="s">
        <v>11488</v>
      </c>
      <c r="D4741" t="s">
        <v>14367</v>
      </c>
      <c r="E4741" t="s">
        <v>1663</v>
      </c>
      <c r="F4741">
        <v>2</v>
      </c>
      <c r="G4741">
        <v>2.6</v>
      </c>
      <c r="H4741" t="s">
        <v>2327</v>
      </c>
      <c r="I4741" s="21">
        <v>42535</v>
      </c>
      <c r="J4741">
        <v>2016</v>
      </c>
      <c r="K4741" s="21">
        <v>42576</v>
      </c>
      <c r="L4741">
        <v>2016</v>
      </c>
      <c r="M4741" s="21">
        <v>42747</v>
      </c>
      <c r="N4741">
        <v>2017</v>
      </c>
      <c r="Q4741" s="262">
        <v>20000</v>
      </c>
      <c r="S4741" t="s">
        <v>13253</v>
      </c>
      <c r="T4741">
        <v>10559</v>
      </c>
      <c r="V4741">
        <v>2970</v>
      </c>
      <c r="W4741">
        <v>96</v>
      </c>
      <c r="X4741">
        <v>0</v>
      </c>
      <c r="Y4741">
        <v>0</v>
      </c>
      <c r="Z4741">
        <v>0</v>
      </c>
      <c r="AA4741">
        <v>0</v>
      </c>
      <c r="AB4741">
        <v>0</v>
      </c>
      <c r="AC4741">
        <v>96</v>
      </c>
      <c r="AD4741">
        <v>0</v>
      </c>
      <c r="AE4741">
        <v>0</v>
      </c>
      <c r="AF4741">
        <v>0</v>
      </c>
      <c r="AG4741">
        <v>0</v>
      </c>
      <c r="AH4741">
        <v>0</v>
      </c>
      <c r="AI4741">
        <v>0</v>
      </c>
      <c r="AJ4741">
        <v>0</v>
      </c>
      <c r="AK4741">
        <v>0</v>
      </c>
      <c r="AL4741">
        <v>0</v>
      </c>
      <c r="AM4741">
        <v>0</v>
      </c>
      <c r="AN4741">
        <v>0</v>
      </c>
      <c r="AO4741">
        <v>0</v>
      </c>
      <c r="AP4741">
        <v>0</v>
      </c>
      <c r="AQ4741">
        <v>0</v>
      </c>
      <c r="AR4741">
        <v>0</v>
      </c>
      <c r="AS4741">
        <v>0</v>
      </c>
      <c r="AT4741">
        <v>0</v>
      </c>
      <c r="AU4741">
        <f t="shared" si="146"/>
        <v>0</v>
      </c>
      <c r="AV4741">
        <f t="shared" si="147"/>
        <v>0</v>
      </c>
    </row>
    <row r="4742" spans="1:48" x14ac:dyDescent="0.25">
      <c r="A4742" t="s">
        <v>18139</v>
      </c>
      <c r="B4742" t="s">
        <v>18139</v>
      </c>
      <c r="C4742" t="s">
        <v>13256</v>
      </c>
      <c r="D4742" t="s">
        <v>18064</v>
      </c>
      <c r="E4742" t="s">
        <v>2310</v>
      </c>
      <c r="F4742">
        <v>14</v>
      </c>
      <c r="G4742">
        <v>14.1</v>
      </c>
      <c r="H4742" t="s">
        <v>2022</v>
      </c>
      <c r="I4742" s="21">
        <v>42535.335821759261</v>
      </c>
      <c r="J4742">
        <v>2016</v>
      </c>
      <c r="K4742" s="21">
        <v>42915.390138888892</v>
      </c>
      <c r="L4742">
        <v>2017</v>
      </c>
      <c r="M4742" s="21">
        <v>42915.390138888892</v>
      </c>
      <c r="N4742">
        <v>2017</v>
      </c>
      <c r="Q4742" s="262">
        <v>40000</v>
      </c>
      <c r="R4742" s="262">
        <v>37000</v>
      </c>
      <c r="S4742" t="s">
        <v>13254</v>
      </c>
      <c r="W4742">
        <v>836</v>
      </c>
      <c r="X4742">
        <v>0</v>
      </c>
      <c r="Y4742">
        <v>0</v>
      </c>
      <c r="Z4742">
        <v>0</v>
      </c>
      <c r="AA4742">
        <v>0</v>
      </c>
      <c r="AB4742">
        <v>0</v>
      </c>
      <c r="AC4742">
        <v>836</v>
      </c>
      <c r="AD4742">
        <v>0</v>
      </c>
      <c r="AE4742">
        <v>0</v>
      </c>
      <c r="AF4742">
        <v>0</v>
      </c>
      <c r="AG4742">
        <v>0</v>
      </c>
      <c r="AH4742">
        <v>0</v>
      </c>
      <c r="AI4742">
        <v>0</v>
      </c>
      <c r="AJ4742">
        <v>0</v>
      </c>
      <c r="AK4742">
        <v>0</v>
      </c>
      <c r="AL4742">
        <v>0</v>
      </c>
      <c r="AM4742">
        <v>0</v>
      </c>
      <c r="AN4742">
        <v>0</v>
      </c>
      <c r="AO4742">
        <v>0</v>
      </c>
      <c r="AP4742">
        <v>0</v>
      </c>
      <c r="AQ4742">
        <v>0</v>
      </c>
      <c r="AR4742">
        <v>0</v>
      </c>
      <c r="AS4742">
        <v>0</v>
      </c>
      <c r="AT4742">
        <v>0</v>
      </c>
      <c r="AU4742">
        <f t="shared" si="146"/>
        <v>0</v>
      </c>
      <c r="AV4742">
        <f t="shared" si="147"/>
        <v>0</v>
      </c>
    </row>
    <row r="4743" spans="1:48" x14ac:dyDescent="0.25">
      <c r="A4743" t="s">
        <v>18178</v>
      </c>
      <c r="B4743" t="s">
        <v>18178</v>
      </c>
      <c r="C4743" t="s">
        <v>18179</v>
      </c>
      <c r="D4743" t="s">
        <v>5888</v>
      </c>
      <c r="E4743" t="s">
        <v>2310</v>
      </c>
      <c r="F4743">
        <v>9</v>
      </c>
      <c r="G4743">
        <v>9.3000000000000007</v>
      </c>
      <c r="H4743" t="s">
        <v>2323</v>
      </c>
      <c r="I4743" s="21">
        <v>42535.574733796297</v>
      </c>
      <c r="J4743">
        <v>2016</v>
      </c>
      <c r="K4743" s="21">
        <v>42578.421574074076</v>
      </c>
      <c r="L4743">
        <v>2016</v>
      </c>
      <c r="M4743" s="21">
        <v>43308.566604398147</v>
      </c>
      <c r="N4743">
        <v>2018</v>
      </c>
      <c r="Q4743" s="262">
        <v>200000</v>
      </c>
      <c r="R4743" s="262">
        <v>153000</v>
      </c>
      <c r="S4743" t="s">
        <v>13254</v>
      </c>
      <c r="W4743">
        <v>1742</v>
      </c>
      <c r="X4743">
        <v>1</v>
      </c>
      <c r="Y4743">
        <v>0</v>
      </c>
      <c r="Z4743">
        <v>0</v>
      </c>
      <c r="AA4743">
        <v>0</v>
      </c>
      <c r="AB4743">
        <v>0</v>
      </c>
      <c r="AC4743">
        <v>832</v>
      </c>
      <c r="AD4743">
        <v>0</v>
      </c>
      <c r="AE4743">
        <v>0</v>
      </c>
      <c r="AF4743">
        <v>910</v>
      </c>
      <c r="AG4743">
        <v>0</v>
      </c>
      <c r="AH4743">
        <v>0</v>
      </c>
      <c r="AI4743">
        <v>0</v>
      </c>
      <c r="AJ4743">
        <v>0</v>
      </c>
      <c r="AK4743">
        <v>0</v>
      </c>
      <c r="AL4743">
        <v>0</v>
      </c>
      <c r="AM4743">
        <v>0</v>
      </c>
      <c r="AN4743">
        <v>0</v>
      </c>
      <c r="AO4743">
        <v>0</v>
      </c>
      <c r="AP4743">
        <v>0</v>
      </c>
      <c r="AQ4743">
        <v>0</v>
      </c>
      <c r="AR4743">
        <v>1</v>
      </c>
      <c r="AS4743">
        <v>0</v>
      </c>
      <c r="AT4743">
        <v>0</v>
      </c>
      <c r="AU4743">
        <f t="shared" si="146"/>
        <v>0</v>
      </c>
      <c r="AV4743">
        <f t="shared" si="147"/>
        <v>0</v>
      </c>
    </row>
    <row r="4744" spans="1:48" x14ac:dyDescent="0.25">
      <c r="A4744" t="s">
        <v>13332</v>
      </c>
      <c r="B4744" t="s">
        <v>13332</v>
      </c>
      <c r="C4744" t="s">
        <v>13333</v>
      </c>
      <c r="D4744" t="s">
        <v>13334</v>
      </c>
      <c r="E4744" t="s">
        <v>2310</v>
      </c>
      <c r="F4744">
        <v>9</v>
      </c>
      <c r="G4744">
        <v>9.4</v>
      </c>
      <c r="H4744" t="s">
        <v>2323</v>
      </c>
      <c r="I4744" s="21">
        <v>42535.647118055596</v>
      </c>
      <c r="J4744">
        <v>2016</v>
      </c>
      <c r="K4744" s="21">
        <v>43090.388877314799</v>
      </c>
      <c r="L4744">
        <v>2017</v>
      </c>
      <c r="Q4744" s="262">
        <v>4500000</v>
      </c>
      <c r="R4744" s="262">
        <v>1068000</v>
      </c>
      <c r="S4744" t="s">
        <v>114</v>
      </c>
      <c r="T4744" t="s">
        <v>114</v>
      </c>
      <c r="W4744">
        <v>7690</v>
      </c>
      <c r="X4744">
        <v>1</v>
      </c>
      <c r="Y4744">
        <v>0</v>
      </c>
      <c r="Z4744">
        <v>0</v>
      </c>
      <c r="AA4744">
        <v>0</v>
      </c>
      <c r="AB4744">
        <v>0</v>
      </c>
      <c r="AC4744">
        <v>7690</v>
      </c>
      <c r="AD4744">
        <v>0</v>
      </c>
      <c r="AE4744">
        <v>0</v>
      </c>
      <c r="AF4744">
        <v>0</v>
      </c>
      <c r="AG4744">
        <v>0</v>
      </c>
      <c r="AH4744">
        <v>0</v>
      </c>
      <c r="AI4744">
        <v>0</v>
      </c>
      <c r="AJ4744">
        <v>0</v>
      </c>
      <c r="AK4744">
        <v>0</v>
      </c>
      <c r="AL4744">
        <v>0</v>
      </c>
      <c r="AM4744">
        <v>0</v>
      </c>
      <c r="AN4744">
        <v>0</v>
      </c>
      <c r="AO4744">
        <v>1</v>
      </c>
      <c r="AP4744">
        <v>0</v>
      </c>
      <c r="AQ4744">
        <v>0</v>
      </c>
      <c r="AR4744">
        <v>0</v>
      </c>
      <c r="AS4744">
        <v>0</v>
      </c>
      <c r="AT4744">
        <v>0</v>
      </c>
      <c r="AU4744">
        <f t="shared" si="146"/>
        <v>1</v>
      </c>
      <c r="AV4744">
        <f t="shared" si="147"/>
        <v>0</v>
      </c>
    </row>
    <row r="4745" spans="1:48" x14ac:dyDescent="0.25">
      <c r="A4745" t="s">
        <v>18151</v>
      </c>
      <c r="B4745" t="s">
        <v>18151</v>
      </c>
      <c r="C4745" t="s">
        <v>18152</v>
      </c>
      <c r="D4745" t="s">
        <v>18153</v>
      </c>
      <c r="E4745" t="s">
        <v>2310</v>
      </c>
      <c r="F4745">
        <v>9</v>
      </c>
      <c r="G4745">
        <v>9.3000000000000007</v>
      </c>
      <c r="H4745" t="s">
        <v>2323</v>
      </c>
      <c r="I4745" s="21">
        <v>42536.630706018521</v>
      </c>
      <c r="J4745">
        <v>2016</v>
      </c>
      <c r="K4745" s="21">
        <v>43032.460821759261</v>
      </c>
      <c r="L4745">
        <v>2017</v>
      </c>
      <c r="M4745" s="21">
        <v>43032.460821759261</v>
      </c>
      <c r="N4745">
        <v>2017</v>
      </c>
      <c r="Q4745" s="262">
        <v>220000</v>
      </c>
      <c r="R4745" s="262">
        <v>113000</v>
      </c>
      <c r="S4745" t="s">
        <v>13254</v>
      </c>
      <c r="W4745">
        <v>1000</v>
      </c>
      <c r="X4745">
        <v>1</v>
      </c>
      <c r="Y4745">
        <v>0</v>
      </c>
      <c r="Z4745">
        <v>0</v>
      </c>
      <c r="AA4745">
        <v>0</v>
      </c>
      <c r="AB4745">
        <v>0</v>
      </c>
      <c r="AC4745">
        <v>1000</v>
      </c>
      <c r="AD4745">
        <v>0</v>
      </c>
      <c r="AE4745">
        <v>0</v>
      </c>
      <c r="AF4745">
        <v>0</v>
      </c>
      <c r="AG4745">
        <v>0</v>
      </c>
      <c r="AH4745">
        <v>0</v>
      </c>
      <c r="AI4745">
        <v>0</v>
      </c>
      <c r="AJ4745">
        <v>0</v>
      </c>
      <c r="AK4745">
        <v>0</v>
      </c>
      <c r="AL4745">
        <v>0</v>
      </c>
      <c r="AM4745">
        <v>0</v>
      </c>
      <c r="AN4745">
        <v>0</v>
      </c>
      <c r="AO4745">
        <v>1</v>
      </c>
      <c r="AP4745">
        <v>0</v>
      </c>
      <c r="AQ4745">
        <v>0</v>
      </c>
      <c r="AR4745">
        <v>0</v>
      </c>
      <c r="AS4745">
        <v>0</v>
      </c>
      <c r="AT4745">
        <v>0</v>
      </c>
      <c r="AU4745">
        <f t="shared" si="146"/>
        <v>1</v>
      </c>
      <c r="AV4745">
        <f t="shared" si="147"/>
        <v>0</v>
      </c>
    </row>
    <row r="4746" spans="1:48" x14ac:dyDescent="0.25">
      <c r="A4746" t="s">
        <v>18187</v>
      </c>
      <c r="B4746" t="s">
        <v>18187</v>
      </c>
      <c r="C4746" t="s">
        <v>18188</v>
      </c>
      <c r="D4746" t="s">
        <v>18189</v>
      </c>
      <c r="E4746" t="s">
        <v>2310</v>
      </c>
      <c r="F4746">
        <v>7</v>
      </c>
      <c r="G4746">
        <v>7.2</v>
      </c>
      <c r="H4746" t="s">
        <v>2017</v>
      </c>
      <c r="I4746" s="21">
        <v>42537.490081018521</v>
      </c>
      <c r="J4746">
        <v>2016</v>
      </c>
      <c r="K4746" s="21">
        <v>42843.346493055556</v>
      </c>
      <c r="L4746">
        <v>2017</v>
      </c>
      <c r="M4746" s="21">
        <v>42843.346493055556</v>
      </c>
      <c r="N4746">
        <v>2017</v>
      </c>
      <c r="Q4746" s="262">
        <v>250000</v>
      </c>
      <c r="R4746" s="262">
        <v>231000</v>
      </c>
      <c r="S4746" t="s">
        <v>13254</v>
      </c>
      <c r="W4746">
        <v>2496</v>
      </c>
      <c r="X4746">
        <v>1</v>
      </c>
      <c r="Y4746">
        <v>0</v>
      </c>
      <c r="Z4746">
        <v>0</v>
      </c>
      <c r="AA4746">
        <v>0</v>
      </c>
      <c r="AB4746">
        <v>0</v>
      </c>
      <c r="AC4746">
        <v>2496</v>
      </c>
      <c r="AD4746">
        <v>0</v>
      </c>
      <c r="AE4746">
        <v>0</v>
      </c>
      <c r="AF4746">
        <v>0</v>
      </c>
      <c r="AG4746">
        <v>0</v>
      </c>
      <c r="AH4746">
        <v>0</v>
      </c>
      <c r="AI4746">
        <v>0</v>
      </c>
      <c r="AJ4746">
        <v>0</v>
      </c>
      <c r="AK4746">
        <v>0</v>
      </c>
      <c r="AL4746">
        <v>0</v>
      </c>
      <c r="AM4746">
        <v>0</v>
      </c>
      <c r="AN4746">
        <v>0</v>
      </c>
      <c r="AO4746">
        <v>1</v>
      </c>
      <c r="AP4746">
        <v>0</v>
      </c>
      <c r="AQ4746">
        <v>0</v>
      </c>
      <c r="AR4746">
        <v>0</v>
      </c>
      <c r="AS4746">
        <v>0</v>
      </c>
      <c r="AT4746">
        <v>0</v>
      </c>
      <c r="AU4746">
        <f t="shared" si="146"/>
        <v>1</v>
      </c>
      <c r="AV4746">
        <f t="shared" si="147"/>
        <v>0</v>
      </c>
    </row>
    <row r="4747" spans="1:48" x14ac:dyDescent="0.25">
      <c r="A4747" t="s">
        <v>18223</v>
      </c>
      <c r="B4747" t="s">
        <v>18223</v>
      </c>
      <c r="C4747" t="s">
        <v>18224</v>
      </c>
      <c r="D4747" t="s">
        <v>18225</v>
      </c>
      <c r="E4747" t="s">
        <v>2310</v>
      </c>
      <c r="F4747">
        <v>9</v>
      </c>
      <c r="G4747">
        <v>9.1</v>
      </c>
      <c r="H4747" t="s">
        <v>2323</v>
      </c>
      <c r="I4747" s="21">
        <v>42538.612546296295</v>
      </c>
      <c r="J4747">
        <v>2016</v>
      </c>
      <c r="K4747" s="21">
        <v>42900.369351851848</v>
      </c>
      <c r="L4747">
        <v>2017</v>
      </c>
      <c r="M4747" s="21">
        <v>42900.369351851848</v>
      </c>
      <c r="N4747">
        <v>2017</v>
      </c>
      <c r="Q4747" s="262">
        <v>250000</v>
      </c>
      <c r="R4747" s="262">
        <v>124000</v>
      </c>
      <c r="S4747" t="s">
        <v>13254</v>
      </c>
      <c r="W4747">
        <v>1600</v>
      </c>
      <c r="X4747">
        <v>1</v>
      </c>
      <c r="Y4747">
        <v>0</v>
      </c>
      <c r="Z4747">
        <v>0</v>
      </c>
      <c r="AA4747">
        <v>0</v>
      </c>
      <c r="AB4747">
        <v>0</v>
      </c>
      <c r="AC4747">
        <v>1600</v>
      </c>
      <c r="AD4747">
        <v>0</v>
      </c>
      <c r="AE4747">
        <v>0</v>
      </c>
      <c r="AF4747">
        <v>0</v>
      </c>
      <c r="AG4747">
        <v>0</v>
      </c>
      <c r="AH4747">
        <v>0</v>
      </c>
      <c r="AI4747">
        <v>0</v>
      </c>
      <c r="AJ4747">
        <v>0</v>
      </c>
      <c r="AK4747">
        <v>0</v>
      </c>
      <c r="AL4747">
        <v>0</v>
      </c>
      <c r="AM4747">
        <v>0</v>
      </c>
      <c r="AN4747">
        <v>0</v>
      </c>
      <c r="AO4747">
        <v>1</v>
      </c>
      <c r="AP4747">
        <v>0</v>
      </c>
      <c r="AQ4747">
        <v>0</v>
      </c>
      <c r="AR4747">
        <v>0</v>
      </c>
      <c r="AS4747">
        <v>0</v>
      </c>
      <c r="AT4747">
        <v>0</v>
      </c>
      <c r="AU4747">
        <f t="shared" si="146"/>
        <v>1</v>
      </c>
      <c r="AV4747">
        <f t="shared" si="147"/>
        <v>0</v>
      </c>
    </row>
    <row r="4748" spans="1:48" x14ac:dyDescent="0.25">
      <c r="A4748" t="s">
        <v>18274</v>
      </c>
      <c r="B4748" t="s">
        <v>18274</v>
      </c>
      <c r="C4748" t="s">
        <v>18275</v>
      </c>
      <c r="D4748" t="s">
        <v>2741</v>
      </c>
      <c r="E4748" t="s">
        <v>2310</v>
      </c>
      <c r="F4748">
        <v>8</v>
      </c>
      <c r="G4748">
        <v>8.1</v>
      </c>
      <c r="H4748" t="s">
        <v>2323</v>
      </c>
      <c r="I4748" s="21">
        <v>42542.492719907408</v>
      </c>
      <c r="J4748">
        <v>2016</v>
      </c>
      <c r="K4748" s="21">
        <v>42863.671111111114</v>
      </c>
      <c r="L4748">
        <v>2017</v>
      </c>
      <c r="M4748" s="21">
        <v>42863.671111111114</v>
      </c>
      <c r="N4748">
        <v>2017</v>
      </c>
      <c r="Q4748" s="262">
        <v>75000</v>
      </c>
      <c r="R4748" s="262">
        <v>105000</v>
      </c>
      <c r="S4748" t="s">
        <v>13253</v>
      </c>
      <c r="T4748">
        <v>4058</v>
      </c>
      <c r="W4748">
        <v>1129</v>
      </c>
      <c r="X4748">
        <v>1</v>
      </c>
      <c r="Y4748">
        <v>0</v>
      </c>
      <c r="Z4748">
        <v>0</v>
      </c>
      <c r="AA4748">
        <v>0</v>
      </c>
      <c r="AB4748">
        <v>0</v>
      </c>
      <c r="AC4748">
        <v>327</v>
      </c>
      <c r="AD4748">
        <v>0</v>
      </c>
      <c r="AE4748">
        <v>0</v>
      </c>
      <c r="AF4748">
        <v>802</v>
      </c>
      <c r="AG4748">
        <v>0</v>
      </c>
      <c r="AH4748">
        <v>0</v>
      </c>
      <c r="AI4748">
        <v>0</v>
      </c>
      <c r="AJ4748">
        <v>0</v>
      </c>
      <c r="AK4748">
        <v>0</v>
      </c>
      <c r="AL4748">
        <v>0</v>
      </c>
      <c r="AM4748">
        <v>0</v>
      </c>
      <c r="AN4748">
        <v>0</v>
      </c>
      <c r="AO4748">
        <v>0</v>
      </c>
      <c r="AP4748">
        <v>0</v>
      </c>
      <c r="AQ4748">
        <v>0</v>
      </c>
      <c r="AR4748">
        <v>1</v>
      </c>
      <c r="AS4748">
        <v>0</v>
      </c>
      <c r="AT4748">
        <v>0</v>
      </c>
      <c r="AU4748">
        <f t="shared" si="146"/>
        <v>0</v>
      </c>
      <c r="AV4748">
        <f t="shared" si="147"/>
        <v>0</v>
      </c>
    </row>
    <row r="4749" spans="1:48" x14ac:dyDescent="0.25">
      <c r="A4749" t="s">
        <v>18278</v>
      </c>
      <c r="B4749" t="s">
        <v>18278</v>
      </c>
      <c r="C4749" t="s">
        <v>18279</v>
      </c>
      <c r="D4749" t="s">
        <v>18280</v>
      </c>
      <c r="E4749" t="s">
        <v>2310</v>
      </c>
      <c r="F4749">
        <v>13</v>
      </c>
      <c r="G4749">
        <v>13.2</v>
      </c>
      <c r="H4749" t="s">
        <v>2327</v>
      </c>
      <c r="I4749" s="21">
        <v>42542.633043981485</v>
      </c>
      <c r="J4749">
        <v>2016</v>
      </c>
      <c r="K4749" s="21">
        <v>42597.571111111109</v>
      </c>
      <c r="L4749">
        <v>2016</v>
      </c>
      <c r="M4749" s="21">
        <v>43357.381528900463</v>
      </c>
      <c r="N4749">
        <v>2018</v>
      </c>
      <c r="Q4749" s="262">
        <v>4000000</v>
      </c>
      <c r="R4749" s="262">
        <v>1205000</v>
      </c>
      <c r="S4749" t="s">
        <v>13254</v>
      </c>
      <c r="W4749">
        <v>7804</v>
      </c>
      <c r="X4749">
        <v>1</v>
      </c>
      <c r="Y4749">
        <v>0</v>
      </c>
      <c r="Z4749">
        <v>0</v>
      </c>
      <c r="AA4749">
        <v>0</v>
      </c>
      <c r="AB4749">
        <v>0</v>
      </c>
      <c r="AC4749">
        <v>7804</v>
      </c>
      <c r="AD4749">
        <v>0</v>
      </c>
      <c r="AE4749">
        <v>0</v>
      </c>
      <c r="AF4749">
        <v>0</v>
      </c>
      <c r="AG4749">
        <v>0</v>
      </c>
      <c r="AH4749">
        <v>0</v>
      </c>
      <c r="AI4749">
        <v>0</v>
      </c>
      <c r="AJ4749">
        <v>0</v>
      </c>
      <c r="AK4749">
        <v>0</v>
      </c>
      <c r="AL4749">
        <v>0</v>
      </c>
      <c r="AM4749">
        <v>0</v>
      </c>
      <c r="AN4749">
        <v>0</v>
      </c>
      <c r="AO4749">
        <v>1</v>
      </c>
      <c r="AP4749">
        <v>0</v>
      </c>
      <c r="AQ4749">
        <v>0</v>
      </c>
      <c r="AR4749">
        <v>0</v>
      </c>
      <c r="AS4749">
        <v>0</v>
      </c>
      <c r="AT4749">
        <v>0</v>
      </c>
      <c r="AU4749">
        <f t="shared" si="146"/>
        <v>1</v>
      </c>
      <c r="AV4749">
        <f t="shared" si="147"/>
        <v>0</v>
      </c>
    </row>
    <row r="4750" spans="1:48" x14ac:dyDescent="0.25">
      <c r="A4750" t="s">
        <v>13335</v>
      </c>
      <c r="C4750" t="s">
        <v>13336</v>
      </c>
      <c r="D4750" t="s">
        <v>13337</v>
      </c>
      <c r="E4750" t="s">
        <v>1663</v>
      </c>
      <c r="F4750">
        <v>3</v>
      </c>
      <c r="G4750">
        <v>3.1</v>
      </c>
      <c r="H4750" t="s">
        <v>2017</v>
      </c>
      <c r="I4750" s="21">
        <v>42543</v>
      </c>
      <c r="J4750">
        <v>2016</v>
      </c>
      <c r="K4750" s="21">
        <v>42573</v>
      </c>
      <c r="L4750">
        <v>2016</v>
      </c>
      <c r="M4750" s="21">
        <v>42626</v>
      </c>
      <c r="N4750">
        <v>2016</v>
      </c>
      <c r="Q4750" s="262">
        <v>50000</v>
      </c>
      <c r="S4750" t="s">
        <v>114</v>
      </c>
      <c r="T4750" t="s">
        <v>114</v>
      </c>
      <c r="W4750">
        <v>552</v>
      </c>
      <c r="X4750">
        <v>1</v>
      </c>
      <c r="Y4750">
        <v>0</v>
      </c>
      <c r="Z4750">
        <v>0</v>
      </c>
      <c r="AA4750">
        <v>0</v>
      </c>
      <c r="AB4750">
        <v>0</v>
      </c>
      <c r="AC4750">
        <v>552</v>
      </c>
      <c r="AD4750">
        <v>0</v>
      </c>
      <c r="AE4750">
        <v>0</v>
      </c>
      <c r="AF4750">
        <v>0</v>
      </c>
      <c r="AG4750">
        <v>0</v>
      </c>
      <c r="AH4750">
        <v>0</v>
      </c>
      <c r="AI4750">
        <v>0</v>
      </c>
      <c r="AJ4750">
        <v>0</v>
      </c>
      <c r="AK4750">
        <v>0</v>
      </c>
      <c r="AL4750">
        <v>0</v>
      </c>
      <c r="AM4750">
        <v>0</v>
      </c>
      <c r="AN4750">
        <v>0</v>
      </c>
      <c r="AO4750">
        <v>1</v>
      </c>
      <c r="AP4750">
        <v>0</v>
      </c>
      <c r="AQ4750">
        <v>0</v>
      </c>
      <c r="AR4750">
        <v>0</v>
      </c>
      <c r="AS4750">
        <v>0</v>
      </c>
      <c r="AT4750">
        <v>0</v>
      </c>
      <c r="AU4750">
        <f t="shared" si="146"/>
        <v>1</v>
      </c>
      <c r="AV4750">
        <f t="shared" si="147"/>
        <v>0</v>
      </c>
    </row>
    <row r="4751" spans="1:48" x14ac:dyDescent="0.25">
      <c r="A4751" t="s">
        <v>18313</v>
      </c>
      <c r="B4751" t="s">
        <v>18313</v>
      </c>
      <c r="C4751" t="s">
        <v>18314</v>
      </c>
      <c r="D4751" t="s">
        <v>18315</v>
      </c>
      <c r="E4751" t="s">
        <v>2310</v>
      </c>
      <c r="F4751">
        <v>15</v>
      </c>
      <c r="G4751">
        <v>15.2</v>
      </c>
      <c r="H4751" t="s">
        <v>2323</v>
      </c>
      <c r="I4751" s="21">
        <v>42543.483101851853</v>
      </c>
      <c r="J4751">
        <v>2016</v>
      </c>
      <c r="K4751" s="21">
        <v>43095.422430555554</v>
      </c>
      <c r="L4751">
        <v>2017</v>
      </c>
      <c r="M4751" s="21">
        <v>43095.422430555554</v>
      </c>
      <c r="N4751">
        <v>2017</v>
      </c>
      <c r="Q4751" s="262">
        <v>1100000</v>
      </c>
      <c r="R4751" s="262">
        <v>487000</v>
      </c>
      <c r="S4751" t="s">
        <v>13254</v>
      </c>
      <c r="W4751">
        <v>4045</v>
      </c>
      <c r="X4751">
        <v>1</v>
      </c>
      <c r="Y4751">
        <v>0</v>
      </c>
      <c r="Z4751">
        <v>0</v>
      </c>
      <c r="AA4751">
        <v>0</v>
      </c>
      <c r="AB4751">
        <v>0</v>
      </c>
      <c r="AC4751">
        <v>4045</v>
      </c>
      <c r="AD4751">
        <v>0</v>
      </c>
      <c r="AE4751">
        <v>0</v>
      </c>
      <c r="AF4751">
        <v>0</v>
      </c>
      <c r="AG4751">
        <v>0</v>
      </c>
      <c r="AH4751">
        <v>0</v>
      </c>
      <c r="AI4751">
        <v>0</v>
      </c>
      <c r="AJ4751">
        <v>0</v>
      </c>
      <c r="AK4751">
        <v>0</v>
      </c>
      <c r="AL4751">
        <v>0</v>
      </c>
      <c r="AM4751">
        <v>0</v>
      </c>
      <c r="AN4751">
        <v>0</v>
      </c>
      <c r="AO4751">
        <v>1</v>
      </c>
      <c r="AP4751">
        <v>0</v>
      </c>
      <c r="AQ4751">
        <v>0</v>
      </c>
      <c r="AR4751">
        <v>0</v>
      </c>
      <c r="AS4751">
        <v>0</v>
      </c>
      <c r="AT4751">
        <v>0</v>
      </c>
      <c r="AU4751">
        <f t="shared" si="146"/>
        <v>1</v>
      </c>
      <c r="AV4751">
        <f t="shared" si="147"/>
        <v>0</v>
      </c>
    </row>
    <row r="4752" spans="1:48" x14ac:dyDescent="0.25">
      <c r="A4752" t="s">
        <v>17904</v>
      </c>
      <c r="B4752" t="s">
        <v>17904</v>
      </c>
      <c r="C4752" t="s">
        <v>17905</v>
      </c>
      <c r="D4752" t="s">
        <v>4822</v>
      </c>
      <c r="E4752" t="s">
        <v>2310</v>
      </c>
      <c r="F4752">
        <v>10</v>
      </c>
      <c r="G4752">
        <v>10.1</v>
      </c>
      <c r="H4752" t="s">
        <v>2323</v>
      </c>
      <c r="I4752" s="21">
        <v>42543.624282407407</v>
      </c>
      <c r="J4752">
        <v>2016</v>
      </c>
      <c r="K4752" s="21">
        <v>42597.506273148145</v>
      </c>
      <c r="L4752">
        <v>2016</v>
      </c>
      <c r="M4752" s="21">
        <v>43273.411091435184</v>
      </c>
      <c r="N4752">
        <v>2018</v>
      </c>
      <c r="Q4752" s="262">
        <v>200000</v>
      </c>
      <c r="R4752" s="262">
        <v>85000</v>
      </c>
      <c r="S4752" t="s">
        <v>13253</v>
      </c>
      <c r="T4752">
        <v>2087</v>
      </c>
      <c r="W4752">
        <v>754</v>
      </c>
      <c r="X4752">
        <v>0</v>
      </c>
      <c r="Y4752">
        <v>0</v>
      </c>
      <c r="Z4752">
        <v>0</v>
      </c>
      <c r="AA4752">
        <v>0</v>
      </c>
      <c r="AB4752">
        <v>0</v>
      </c>
      <c r="AC4752">
        <v>754</v>
      </c>
      <c r="AD4752">
        <v>0</v>
      </c>
      <c r="AE4752">
        <v>0</v>
      </c>
      <c r="AF4752">
        <v>0</v>
      </c>
      <c r="AG4752">
        <v>0</v>
      </c>
      <c r="AH4752">
        <v>0</v>
      </c>
      <c r="AI4752">
        <v>0</v>
      </c>
      <c r="AJ4752">
        <v>0</v>
      </c>
      <c r="AK4752">
        <v>0</v>
      </c>
      <c r="AL4752">
        <v>0</v>
      </c>
      <c r="AM4752">
        <v>0</v>
      </c>
      <c r="AN4752">
        <v>0</v>
      </c>
      <c r="AO4752">
        <v>0</v>
      </c>
      <c r="AP4752">
        <v>0</v>
      </c>
      <c r="AQ4752">
        <v>0</v>
      </c>
      <c r="AR4752">
        <v>0</v>
      </c>
      <c r="AS4752">
        <v>0</v>
      </c>
      <c r="AT4752">
        <v>0</v>
      </c>
      <c r="AU4752">
        <f t="shared" si="146"/>
        <v>0</v>
      </c>
      <c r="AV4752">
        <f t="shared" si="147"/>
        <v>0</v>
      </c>
    </row>
    <row r="4753" spans="1:48" x14ac:dyDescent="0.25">
      <c r="A4753" t="s">
        <v>18368</v>
      </c>
      <c r="B4753" t="s">
        <v>18368</v>
      </c>
      <c r="C4753" t="s">
        <v>18369</v>
      </c>
      <c r="D4753" t="s">
        <v>18370</v>
      </c>
      <c r="E4753" t="s">
        <v>2310</v>
      </c>
      <c r="F4753">
        <v>15</v>
      </c>
      <c r="G4753">
        <v>15.2</v>
      </c>
      <c r="H4753" t="s">
        <v>2323</v>
      </c>
      <c r="I4753" s="21">
        <v>42545.44327546296</v>
      </c>
      <c r="J4753">
        <v>2016</v>
      </c>
      <c r="K4753" s="21">
        <v>42986.593831018516</v>
      </c>
      <c r="L4753">
        <v>2017</v>
      </c>
      <c r="M4753" s="21">
        <v>42986.593831018516</v>
      </c>
      <c r="N4753">
        <v>2017</v>
      </c>
      <c r="Q4753" s="262">
        <v>300000</v>
      </c>
      <c r="R4753" s="262">
        <v>179000</v>
      </c>
      <c r="S4753" t="s">
        <v>13254</v>
      </c>
      <c r="W4753">
        <v>2000</v>
      </c>
      <c r="X4753">
        <v>1</v>
      </c>
      <c r="Y4753">
        <v>0</v>
      </c>
      <c r="Z4753">
        <v>0</v>
      </c>
      <c r="AA4753">
        <v>0</v>
      </c>
      <c r="AB4753">
        <v>0</v>
      </c>
      <c r="AC4753">
        <v>1000</v>
      </c>
      <c r="AD4753">
        <v>0</v>
      </c>
      <c r="AE4753">
        <v>0</v>
      </c>
      <c r="AF4753">
        <v>1000</v>
      </c>
      <c r="AG4753">
        <v>0</v>
      </c>
      <c r="AH4753">
        <v>0</v>
      </c>
      <c r="AI4753">
        <v>0</v>
      </c>
      <c r="AJ4753">
        <v>0</v>
      </c>
      <c r="AK4753">
        <v>0</v>
      </c>
      <c r="AL4753">
        <v>0</v>
      </c>
      <c r="AM4753">
        <v>0</v>
      </c>
      <c r="AN4753">
        <v>0</v>
      </c>
      <c r="AO4753">
        <v>0</v>
      </c>
      <c r="AP4753">
        <v>0</v>
      </c>
      <c r="AQ4753">
        <v>0</v>
      </c>
      <c r="AR4753">
        <v>1</v>
      </c>
      <c r="AS4753">
        <v>0</v>
      </c>
      <c r="AT4753">
        <v>0</v>
      </c>
      <c r="AU4753">
        <f t="shared" si="146"/>
        <v>0</v>
      </c>
      <c r="AV4753">
        <f t="shared" si="147"/>
        <v>0</v>
      </c>
    </row>
    <row r="4754" spans="1:48" x14ac:dyDescent="0.25">
      <c r="A4754" t="s">
        <v>18387</v>
      </c>
      <c r="B4754" t="s">
        <v>18387</v>
      </c>
      <c r="C4754" t="s">
        <v>18388</v>
      </c>
      <c r="D4754" t="s">
        <v>18389</v>
      </c>
      <c r="E4754" t="s">
        <v>2310</v>
      </c>
      <c r="F4754">
        <v>9</v>
      </c>
      <c r="G4754">
        <v>9.1999999999999993</v>
      </c>
      <c r="H4754" t="s">
        <v>2022</v>
      </c>
      <c r="I4754" s="21">
        <v>42545.609224537038</v>
      </c>
      <c r="J4754">
        <v>2016</v>
      </c>
      <c r="K4754" s="21">
        <v>42943.369363425925</v>
      </c>
      <c r="L4754">
        <v>2017</v>
      </c>
      <c r="M4754" s="21">
        <v>42943.369363425925</v>
      </c>
      <c r="N4754">
        <v>2017</v>
      </c>
      <c r="Q4754" s="262">
        <v>2300000</v>
      </c>
      <c r="R4754" s="262">
        <v>182000</v>
      </c>
      <c r="S4754" t="s">
        <v>13254</v>
      </c>
      <c r="W4754">
        <v>2453</v>
      </c>
      <c r="X4754">
        <v>1</v>
      </c>
      <c r="Y4754">
        <v>0</v>
      </c>
      <c r="Z4754">
        <v>0</v>
      </c>
      <c r="AA4754">
        <v>0</v>
      </c>
      <c r="AB4754">
        <v>0</v>
      </c>
      <c r="AC4754">
        <v>1453</v>
      </c>
      <c r="AD4754">
        <v>0</v>
      </c>
      <c r="AE4754">
        <v>0</v>
      </c>
      <c r="AF4754">
        <v>1000</v>
      </c>
      <c r="AG4754">
        <v>0</v>
      </c>
      <c r="AH4754">
        <v>0</v>
      </c>
      <c r="AI4754">
        <v>0</v>
      </c>
      <c r="AJ4754">
        <v>0</v>
      </c>
      <c r="AK4754">
        <v>0</v>
      </c>
      <c r="AL4754">
        <v>0</v>
      </c>
      <c r="AM4754">
        <v>0</v>
      </c>
      <c r="AN4754">
        <v>0</v>
      </c>
      <c r="AO4754">
        <v>0</v>
      </c>
      <c r="AP4754">
        <v>0</v>
      </c>
      <c r="AQ4754">
        <v>0</v>
      </c>
      <c r="AR4754">
        <v>1</v>
      </c>
      <c r="AS4754">
        <v>0</v>
      </c>
      <c r="AT4754">
        <v>0</v>
      </c>
      <c r="AU4754">
        <f t="shared" si="146"/>
        <v>0</v>
      </c>
      <c r="AV4754">
        <f t="shared" si="147"/>
        <v>0</v>
      </c>
    </row>
    <row r="4755" spans="1:48" x14ac:dyDescent="0.25">
      <c r="A4755" t="s">
        <v>13338</v>
      </c>
      <c r="B4755" t="s">
        <v>13338</v>
      </c>
      <c r="C4755" t="s">
        <v>13339</v>
      </c>
      <c r="D4755" t="s">
        <v>6647</v>
      </c>
      <c r="E4755" t="s">
        <v>2310</v>
      </c>
      <c r="F4755">
        <v>7</v>
      </c>
      <c r="G4755">
        <v>7.1</v>
      </c>
      <c r="H4755" t="s">
        <v>2017</v>
      </c>
      <c r="I4755" s="21">
        <v>42549.560405092598</v>
      </c>
      <c r="J4755">
        <v>2016</v>
      </c>
      <c r="K4755" s="21">
        <v>42702.409456018497</v>
      </c>
      <c r="L4755">
        <v>2016</v>
      </c>
      <c r="P4755" s="21">
        <v>42886.341168981497</v>
      </c>
      <c r="Q4755" s="262">
        <v>20000</v>
      </c>
      <c r="R4755" s="262">
        <v>5000</v>
      </c>
      <c r="S4755" t="s">
        <v>114</v>
      </c>
      <c r="T4755" t="s">
        <v>114</v>
      </c>
      <c r="W4755">
        <v>96</v>
      </c>
      <c r="X4755">
        <v>0</v>
      </c>
      <c r="Y4755">
        <v>0</v>
      </c>
      <c r="Z4755">
        <v>0</v>
      </c>
      <c r="AA4755">
        <v>0</v>
      </c>
      <c r="AB4755">
        <v>0</v>
      </c>
      <c r="AC4755">
        <v>0</v>
      </c>
      <c r="AD4755">
        <v>0</v>
      </c>
      <c r="AE4755">
        <v>0</v>
      </c>
      <c r="AF4755">
        <v>0</v>
      </c>
      <c r="AG4755">
        <v>0</v>
      </c>
      <c r="AH4755">
        <v>0</v>
      </c>
      <c r="AI4755">
        <v>0</v>
      </c>
      <c r="AJ4755">
        <v>0</v>
      </c>
      <c r="AK4755">
        <v>0</v>
      </c>
      <c r="AL4755">
        <v>96</v>
      </c>
      <c r="AM4755">
        <v>0</v>
      </c>
      <c r="AN4755">
        <v>0</v>
      </c>
      <c r="AO4755">
        <v>0</v>
      </c>
      <c r="AP4755">
        <v>0</v>
      </c>
      <c r="AQ4755">
        <v>0</v>
      </c>
      <c r="AR4755">
        <v>0</v>
      </c>
      <c r="AS4755">
        <v>0</v>
      </c>
      <c r="AT4755">
        <v>0</v>
      </c>
      <c r="AU4755">
        <f t="shared" si="146"/>
        <v>0</v>
      </c>
      <c r="AV4755">
        <f t="shared" si="147"/>
        <v>96</v>
      </c>
    </row>
    <row r="4756" spans="1:48" x14ac:dyDescent="0.25">
      <c r="A4756" t="s">
        <v>18390</v>
      </c>
      <c r="B4756" t="s">
        <v>18390</v>
      </c>
      <c r="C4756" t="s">
        <v>18391</v>
      </c>
      <c r="D4756" t="s">
        <v>17778</v>
      </c>
      <c r="E4756" t="s">
        <v>2310</v>
      </c>
      <c r="F4756">
        <v>9</v>
      </c>
      <c r="G4756">
        <v>9.1</v>
      </c>
      <c r="H4756" t="s">
        <v>2323</v>
      </c>
      <c r="I4756" s="21">
        <v>42549.597268518519</v>
      </c>
      <c r="J4756">
        <v>2016</v>
      </c>
      <c r="K4756" s="21">
        <v>42842.477442129632</v>
      </c>
      <c r="L4756">
        <v>2017</v>
      </c>
      <c r="M4756" s="21">
        <v>42895.682326388887</v>
      </c>
      <c r="N4756">
        <v>2017</v>
      </c>
      <c r="Q4756" s="262">
        <v>400000</v>
      </c>
      <c r="R4756" s="262">
        <v>157000</v>
      </c>
      <c r="S4756" t="s">
        <v>13254</v>
      </c>
      <c r="W4756">
        <v>2012</v>
      </c>
      <c r="X4756">
        <v>1</v>
      </c>
      <c r="Y4756">
        <v>0</v>
      </c>
      <c r="Z4756">
        <v>0</v>
      </c>
      <c r="AA4756">
        <v>0</v>
      </c>
      <c r="AB4756">
        <v>0</v>
      </c>
      <c r="AC4756">
        <v>1014</v>
      </c>
      <c r="AD4756">
        <v>0</v>
      </c>
      <c r="AE4756">
        <v>0</v>
      </c>
      <c r="AF4756">
        <v>998</v>
      </c>
      <c r="AG4756">
        <v>0</v>
      </c>
      <c r="AH4756">
        <v>0</v>
      </c>
      <c r="AI4756">
        <v>0</v>
      </c>
      <c r="AJ4756">
        <v>0</v>
      </c>
      <c r="AK4756">
        <v>0</v>
      </c>
      <c r="AL4756">
        <v>0</v>
      </c>
      <c r="AM4756">
        <v>0</v>
      </c>
      <c r="AN4756">
        <v>0</v>
      </c>
      <c r="AO4756">
        <v>0</v>
      </c>
      <c r="AP4756">
        <v>0</v>
      </c>
      <c r="AQ4756">
        <v>0</v>
      </c>
      <c r="AR4756">
        <v>1</v>
      </c>
      <c r="AS4756">
        <v>0</v>
      </c>
      <c r="AT4756">
        <v>0</v>
      </c>
      <c r="AU4756">
        <f t="shared" si="146"/>
        <v>0</v>
      </c>
      <c r="AV4756">
        <f t="shared" si="147"/>
        <v>0</v>
      </c>
    </row>
    <row r="4757" spans="1:48" x14ac:dyDescent="0.25">
      <c r="A4757" t="s">
        <v>17952</v>
      </c>
      <c r="B4757" t="s">
        <v>17952</v>
      </c>
      <c r="C4757" t="s">
        <v>17953</v>
      </c>
      <c r="D4757" t="s">
        <v>17954</v>
      </c>
      <c r="E4757" t="s">
        <v>2310</v>
      </c>
      <c r="F4757">
        <v>15</v>
      </c>
      <c r="G4757">
        <v>15.2</v>
      </c>
      <c r="H4757" t="s">
        <v>2323</v>
      </c>
      <c r="I4757" s="21">
        <v>42550.432835648149</v>
      </c>
      <c r="J4757">
        <v>2016</v>
      </c>
      <c r="K4757" s="21">
        <v>42597.62363425926</v>
      </c>
      <c r="L4757">
        <v>2016</v>
      </c>
      <c r="M4757" s="21">
        <v>43389.424220023146</v>
      </c>
      <c r="N4757">
        <v>2018</v>
      </c>
      <c r="Q4757" s="262">
        <v>300000</v>
      </c>
      <c r="R4757" s="262">
        <v>276000</v>
      </c>
      <c r="S4757" t="s">
        <v>13253</v>
      </c>
      <c r="T4757">
        <v>2331</v>
      </c>
      <c r="W4757">
        <v>2442</v>
      </c>
      <c r="X4757">
        <v>0</v>
      </c>
      <c r="Y4757">
        <v>0</v>
      </c>
      <c r="Z4757">
        <v>0</v>
      </c>
      <c r="AA4757">
        <v>0</v>
      </c>
      <c r="AB4757">
        <v>0</v>
      </c>
      <c r="AC4757">
        <v>2442</v>
      </c>
      <c r="AD4757">
        <v>0</v>
      </c>
      <c r="AE4757">
        <v>0</v>
      </c>
      <c r="AF4757">
        <v>0</v>
      </c>
      <c r="AG4757">
        <v>0</v>
      </c>
      <c r="AH4757">
        <v>0</v>
      </c>
      <c r="AI4757">
        <v>0</v>
      </c>
      <c r="AJ4757">
        <v>0</v>
      </c>
      <c r="AK4757">
        <v>0</v>
      </c>
      <c r="AL4757">
        <v>0</v>
      </c>
      <c r="AM4757">
        <v>0</v>
      </c>
      <c r="AN4757">
        <v>0</v>
      </c>
      <c r="AO4757">
        <v>0</v>
      </c>
      <c r="AP4757">
        <v>0</v>
      </c>
      <c r="AQ4757">
        <v>0</v>
      </c>
      <c r="AR4757">
        <v>0</v>
      </c>
      <c r="AS4757">
        <v>0</v>
      </c>
      <c r="AT4757">
        <v>0</v>
      </c>
      <c r="AU4757">
        <f t="shared" si="146"/>
        <v>0</v>
      </c>
      <c r="AV4757">
        <f t="shared" si="147"/>
        <v>0</v>
      </c>
    </row>
    <row r="4758" spans="1:48" x14ac:dyDescent="0.25">
      <c r="A4758" t="s">
        <v>18451</v>
      </c>
      <c r="B4758" t="s">
        <v>18451</v>
      </c>
      <c r="C4758" t="s">
        <v>18452</v>
      </c>
      <c r="D4758" t="s">
        <v>4929</v>
      </c>
      <c r="E4758" t="s">
        <v>2310</v>
      </c>
      <c r="F4758">
        <v>8</v>
      </c>
      <c r="G4758">
        <v>8.1999999999999993</v>
      </c>
      <c r="H4758" t="s">
        <v>2022</v>
      </c>
      <c r="I4758" s="21">
        <v>42550.571099537039</v>
      </c>
      <c r="J4758">
        <v>2016</v>
      </c>
      <c r="K4758" s="21">
        <v>42900.574849537035</v>
      </c>
      <c r="L4758">
        <v>2017</v>
      </c>
      <c r="M4758" s="21">
        <v>42921.3515625</v>
      </c>
      <c r="N4758">
        <v>2017</v>
      </c>
      <c r="Q4758" s="262">
        <v>350000</v>
      </c>
      <c r="R4758" s="262">
        <v>128000</v>
      </c>
      <c r="S4758" t="s">
        <v>13254</v>
      </c>
      <c r="W4758">
        <v>1549</v>
      </c>
      <c r="X4758">
        <v>1</v>
      </c>
      <c r="Y4758">
        <v>0</v>
      </c>
      <c r="Z4758">
        <v>0</v>
      </c>
      <c r="AA4758">
        <v>0</v>
      </c>
      <c r="AB4758">
        <v>0</v>
      </c>
      <c r="AC4758">
        <v>934</v>
      </c>
      <c r="AD4758">
        <v>0</v>
      </c>
      <c r="AE4758">
        <v>0</v>
      </c>
      <c r="AF4758">
        <v>615</v>
      </c>
      <c r="AG4758">
        <v>0</v>
      </c>
      <c r="AH4758">
        <v>0</v>
      </c>
      <c r="AI4758">
        <v>0</v>
      </c>
      <c r="AJ4758">
        <v>0</v>
      </c>
      <c r="AK4758">
        <v>0</v>
      </c>
      <c r="AL4758">
        <v>0</v>
      </c>
      <c r="AM4758">
        <v>0</v>
      </c>
      <c r="AN4758">
        <v>0</v>
      </c>
      <c r="AO4758">
        <v>0</v>
      </c>
      <c r="AP4758">
        <v>0</v>
      </c>
      <c r="AQ4758">
        <v>0</v>
      </c>
      <c r="AR4758">
        <v>1</v>
      </c>
      <c r="AS4758">
        <v>0</v>
      </c>
      <c r="AT4758">
        <v>0</v>
      </c>
      <c r="AU4758">
        <f t="shared" si="146"/>
        <v>0</v>
      </c>
      <c r="AV4758">
        <f t="shared" si="147"/>
        <v>0</v>
      </c>
    </row>
    <row r="4759" spans="1:48" x14ac:dyDescent="0.25">
      <c r="A4759" t="s">
        <v>14524</v>
      </c>
      <c r="C4759" t="s">
        <v>14525</v>
      </c>
      <c r="D4759" t="s">
        <v>11233</v>
      </c>
      <c r="E4759" t="s">
        <v>1663</v>
      </c>
      <c r="F4759">
        <v>5</v>
      </c>
      <c r="G4759">
        <v>5.2</v>
      </c>
      <c r="H4759" t="s">
        <v>2327</v>
      </c>
      <c r="I4759" s="21">
        <v>42557</v>
      </c>
      <c r="J4759">
        <v>2016</v>
      </c>
      <c r="K4759" s="21">
        <v>42627</v>
      </c>
      <c r="L4759">
        <v>2016</v>
      </c>
      <c r="M4759" s="21">
        <v>42751</v>
      </c>
      <c r="N4759">
        <v>2017</v>
      </c>
      <c r="Q4759" s="262">
        <v>150000</v>
      </c>
      <c r="S4759" t="s">
        <v>114</v>
      </c>
      <c r="T4759" t="s">
        <v>114</v>
      </c>
      <c r="W4759">
        <v>0</v>
      </c>
      <c r="X4759">
        <v>0</v>
      </c>
      <c r="Y4759">
        <v>0</v>
      </c>
      <c r="Z4759">
        <v>0</v>
      </c>
      <c r="AA4759">
        <v>0</v>
      </c>
      <c r="AB4759">
        <v>0</v>
      </c>
      <c r="AC4759">
        <v>0</v>
      </c>
      <c r="AD4759">
        <v>0</v>
      </c>
      <c r="AE4759">
        <v>0</v>
      </c>
      <c r="AF4759">
        <v>0</v>
      </c>
      <c r="AG4759">
        <v>0</v>
      </c>
      <c r="AH4759">
        <v>0</v>
      </c>
      <c r="AI4759">
        <v>0</v>
      </c>
      <c r="AJ4759">
        <v>0</v>
      </c>
      <c r="AK4759">
        <v>0</v>
      </c>
      <c r="AL4759">
        <v>0</v>
      </c>
      <c r="AM4759">
        <v>0</v>
      </c>
      <c r="AN4759">
        <v>0</v>
      </c>
      <c r="AO4759">
        <v>0</v>
      </c>
      <c r="AP4759">
        <v>0</v>
      </c>
      <c r="AQ4759">
        <v>0</v>
      </c>
      <c r="AR4759">
        <v>0</v>
      </c>
      <c r="AS4759">
        <v>0</v>
      </c>
      <c r="AT4759">
        <v>0</v>
      </c>
      <c r="AU4759">
        <f t="shared" si="146"/>
        <v>0</v>
      </c>
      <c r="AV4759">
        <f t="shared" si="147"/>
        <v>0</v>
      </c>
    </row>
    <row r="4760" spans="1:48" x14ac:dyDescent="0.25">
      <c r="A4760" t="s">
        <v>13340</v>
      </c>
      <c r="C4760" t="s">
        <v>13341</v>
      </c>
      <c r="D4760" t="s">
        <v>3431</v>
      </c>
      <c r="E4760" t="s">
        <v>1663</v>
      </c>
      <c r="F4760">
        <v>4</v>
      </c>
      <c r="G4760">
        <v>4.3</v>
      </c>
      <c r="H4760" t="s">
        <v>2327</v>
      </c>
      <c r="I4760" s="21">
        <v>42557</v>
      </c>
      <c r="J4760">
        <v>2016</v>
      </c>
      <c r="K4760" s="21">
        <v>42559</v>
      </c>
      <c r="L4760">
        <v>2016</v>
      </c>
      <c r="M4760" s="21">
        <v>42667</v>
      </c>
      <c r="N4760">
        <v>2016</v>
      </c>
      <c r="Q4760" s="262">
        <v>10000</v>
      </c>
      <c r="S4760" t="s">
        <v>114</v>
      </c>
      <c r="T4760" t="s">
        <v>114</v>
      </c>
      <c r="W4760">
        <v>0</v>
      </c>
      <c r="X4760">
        <v>0</v>
      </c>
      <c r="Y4760">
        <v>0</v>
      </c>
      <c r="Z4760">
        <v>0</v>
      </c>
      <c r="AA4760">
        <v>0</v>
      </c>
      <c r="AB4760">
        <v>0</v>
      </c>
      <c r="AC4760">
        <v>0</v>
      </c>
      <c r="AD4760">
        <v>0</v>
      </c>
      <c r="AE4760">
        <v>0</v>
      </c>
      <c r="AF4760">
        <v>0</v>
      </c>
      <c r="AG4760">
        <v>0</v>
      </c>
      <c r="AH4760">
        <v>0</v>
      </c>
      <c r="AI4760">
        <v>0</v>
      </c>
      <c r="AJ4760">
        <v>0</v>
      </c>
      <c r="AK4760">
        <v>0</v>
      </c>
      <c r="AL4760">
        <v>0</v>
      </c>
      <c r="AM4760">
        <v>0</v>
      </c>
      <c r="AN4760">
        <v>0</v>
      </c>
      <c r="AO4760">
        <v>0</v>
      </c>
      <c r="AP4760">
        <v>0</v>
      </c>
      <c r="AQ4760">
        <v>0</v>
      </c>
      <c r="AR4760">
        <v>0</v>
      </c>
      <c r="AS4760">
        <v>0</v>
      </c>
      <c r="AT4760">
        <v>0</v>
      </c>
      <c r="AU4760">
        <f t="shared" si="146"/>
        <v>0</v>
      </c>
      <c r="AV4760">
        <f t="shared" si="147"/>
        <v>0</v>
      </c>
    </row>
    <row r="4761" spans="1:48" x14ac:dyDescent="0.25">
      <c r="A4761" t="s">
        <v>14482</v>
      </c>
      <c r="B4761" t="s">
        <v>114</v>
      </c>
      <c r="C4761" t="s">
        <v>11488</v>
      </c>
      <c r="D4761" t="s">
        <v>14483</v>
      </c>
      <c r="E4761" t="s">
        <v>1663</v>
      </c>
      <c r="F4761">
        <v>3</v>
      </c>
      <c r="G4761">
        <v>3.2</v>
      </c>
      <c r="H4761" t="s">
        <v>2327</v>
      </c>
      <c r="I4761" s="21">
        <v>42557</v>
      </c>
      <c r="J4761">
        <v>2016</v>
      </c>
      <c r="K4761" s="21">
        <v>42592</v>
      </c>
      <c r="L4761">
        <v>2016</v>
      </c>
      <c r="M4761" s="21">
        <v>43095</v>
      </c>
      <c r="N4761">
        <v>2017</v>
      </c>
      <c r="Q4761" s="262">
        <v>85000</v>
      </c>
      <c r="S4761" t="s">
        <v>13253</v>
      </c>
      <c r="T4761">
        <v>10812</v>
      </c>
      <c r="V4761">
        <v>845</v>
      </c>
      <c r="W4761">
        <v>970</v>
      </c>
      <c r="X4761">
        <v>0</v>
      </c>
      <c r="Y4761">
        <v>0</v>
      </c>
      <c r="Z4761">
        <v>0</v>
      </c>
      <c r="AA4761">
        <v>0</v>
      </c>
      <c r="AB4761">
        <v>0</v>
      </c>
      <c r="AC4761">
        <v>970</v>
      </c>
      <c r="AD4761">
        <v>0</v>
      </c>
      <c r="AE4761">
        <v>0</v>
      </c>
      <c r="AF4761">
        <v>0</v>
      </c>
      <c r="AG4761">
        <v>0</v>
      </c>
      <c r="AH4761">
        <v>0</v>
      </c>
      <c r="AI4761">
        <v>0</v>
      </c>
      <c r="AJ4761">
        <v>0</v>
      </c>
      <c r="AK4761">
        <v>0</v>
      </c>
      <c r="AL4761">
        <v>0</v>
      </c>
      <c r="AM4761">
        <v>0</v>
      </c>
      <c r="AN4761">
        <v>0</v>
      </c>
      <c r="AO4761">
        <v>0</v>
      </c>
      <c r="AP4761">
        <v>0</v>
      </c>
      <c r="AQ4761">
        <v>0</v>
      </c>
      <c r="AR4761">
        <v>0</v>
      </c>
      <c r="AS4761">
        <v>0</v>
      </c>
      <c r="AT4761">
        <v>0</v>
      </c>
      <c r="AU4761">
        <f t="shared" ref="AU4761:AU4824" si="148">SUM(AN4761:AQ4761,AS4761)</f>
        <v>0</v>
      </c>
      <c r="AV4761">
        <f t="shared" ref="AV4761:AV4824" si="149">SUM(Y4761:AB4761,AH4761:AM4761)</f>
        <v>0</v>
      </c>
    </row>
    <row r="4762" spans="1:48" x14ac:dyDescent="0.25">
      <c r="A4762" t="s">
        <v>14368</v>
      </c>
      <c r="B4762" t="s">
        <v>114</v>
      </c>
      <c r="C4762" t="s">
        <v>11246</v>
      </c>
      <c r="D4762" t="s">
        <v>14369</v>
      </c>
      <c r="E4762" t="s">
        <v>1663</v>
      </c>
      <c r="F4762">
        <v>3</v>
      </c>
      <c r="G4762">
        <v>3.1</v>
      </c>
      <c r="H4762" t="s">
        <v>2017</v>
      </c>
      <c r="I4762" s="21">
        <v>42557</v>
      </c>
      <c r="J4762">
        <v>2016</v>
      </c>
      <c r="K4762" s="21">
        <v>42579</v>
      </c>
      <c r="L4762">
        <v>2016</v>
      </c>
      <c r="M4762" s="21">
        <v>42906</v>
      </c>
      <c r="N4762">
        <v>2017</v>
      </c>
      <c r="Q4762" s="262">
        <v>400000</v>
      </c>
      <c r="S4762" t="s">
        <v>13254</v>
      </c>
      <c r="W4762">
        <v>1981</v>
      </c>
      <c r="X4762">
        <v>1</v>
      </c>
      <c r="Y4762">
        <v>0</v>
      </c>
      <c r="Z4762">
        <v>0</v>
      </c>
      <c r="AA4762">
        <v>0</v>
      </c>
      <c r="AB4762">
        <v>0</v>
      </c>
      <c r="AC4762">
        <v>1981</v>
      </c>
      <c r="AD4762">
        <v>0</v>
      </c>
      <c r="AE4762">
        <v>0</v>
      </c>
      <c r="AF4762">
        <v>0</v>
      </c>
      <c r="AG4762">
        <v>0</v>
      </c>
      <c r="AH4762">
        <v>0</v>
      </c>
      <c r="AI4762">
        <v>0</v>
      </c>
      <c r="AJ4762">
        <v>0</v>
      </c>
      <c r="AK4762">
        <v>0</v>
      </c>
      <c r="AL4762">
        <v>0</v>
      </c>
      <c r="AM4762">
        <v>0</v>
      </c>
      <c r="AN4762">
        <v>0</v>
      </c>
      <c r="AO4762">
        <v>1</v>
      </c>
      <c r="AP4762">
        <v>0</v>
      </c>
      <c r="AQ4762">
        <v>0</v>
      </c>
      <c r="AR4762">
        <v>0</v>
      </c>
      <c r="AS4762">
        <v>0</v>
      </c>
      <c r="AT4762">
        <v>0</v>
      </c>
      <c r="AU4762">
        <f t="shared" si="148"/>
        <v>1</v>
      </c>
      <c r="AV4762">
        <f t="shared" si="149"/>
        <v>0</v>
      </c>
    </row>
    <row r="4763" spans="1:48" x14ac:dyDescent="0.25">
      <c r="A4763" t="s">
        <v>18505</v>
      </c>
      <c r="B4763" t="s">
        <v>18505</v>
      </c>
      <c r="C4763" t="s">
        <v>13256</v>
      </c>
      <c r="D4763" t="s">
        <v>17897</v>
      </c>
      <c r="E4763" t="s">
        <v>2310</v>
      </c>
      <c r="F4763">
        <v>9</v>
      </c>
      <c r="G4763">
        <v>9.3000000000000007</v>
      </c>
      <c r="H4763" t="s">
        <v>2323</v>
      </c>
      <c r="I4763" s="21">
        <v>42558.437175925923</v>
      </c>
      <c r="J4763">
        <v>2016</v>
      </c>
      <c r="K4763" s="21">
        <v>42887.396481481483</v>
      </c>
      <c r="L4763">
        <v>2017</v>
      </c>
      <c r="M4763" s="21">
        <v>42887.396481481483</v>
      </c>
      <c r="N4763">
        <v>2017</v>
      </c>
      <c r="Q4763" s="262">
        <v>103000</v>
      </c>
      <c r="R4763" s="262">
        <v>110000</v>
      </c>
      <c r="S4763" t="s">
        <v>13254</v>
      </c>
      <c r="W4763">
        <v>2520</v>
      </c>
      <c r="X4763">
        <v>0</v>
      </c>
      <c r="Y4763">
        <v>0</v>
      </c>
      <c r="Z4763">
        <v>0</v>
      </c>
      <c r="AA4763">
        <v>0</v>
      </c>
      <c r="AB4763">
        <v>0</v>
      </c>
      <c r="AC4763">
        <v>2520</v>
      </c>
      <c r="AD4763">
        <v>0</v>
      </c>
      <c r="AE4763">
        <v>0</v>
      </c>
      <c r="AF4763">
        <v>0</v>
      </c>
      <c r="AG4763">
        <v>0</v>
      </c>
      <c r="AH4763">
        <v>0</v>
      </c>
      <c r="AI4763">
        <v>0</v>
      </c>
      <c r="AJ4763">
        <v>0</v>
      </c>
      <c r="AK4763">
        <v>0</v>
      </c>
      <c r="AL4763">
        <v>0</v>
      </c>
      <c r="AM4763">
        <v>0</v>
      </c>
      <c r="AN4763">
        <v>0</v>
      </c>
      <c r="AO4763">
        <v>0</v>
      </c>
      <c r="AP4763">
        <v>0</v>
      </c>
      <c r="AQ4763">
        <v>0</v>
      </c>
      <c r="AR4763">
        <v>0</v>
      </c>
      <c r="AS4763">
        <v>0</v>
      </c>
      <c r="AT4763">
        <v>0</v>
      </c>
      <c r="AU4763">
        <f t="shared" si="148"/>
        <v>0</v>
      </c>
      <c r="AV4763">
        <f t="shared" si="149"/>
        <v>0</v>
      </c>
    </row>
    <row r="4764" spans="1:48" x14ac:dyDescent="0.25">
      <c r="A4764" t="s">
        <v>18255</v>
      </c>
      <c r="B4764" t="s">
        <v>18255</v>
      </c>
      <c r="C4764" t="s">
        <v>17782</v>
      </c>
      <c r="D4764" t="s">
        <v>18256</v>
      </c>
      <c r="E4764" t="s">
        <v>2310</v>
      </c>
      <c r="F4764">
        <v>9</v>
      </c>
      <c r="G4764">
        <v>9.3000000000000007</v>
      </c>
      <c r="H4764" t="s">
        <v>2323</v>
      </c>
      <c r="I4764" s="21">
        <v>42563.444189814814</v>
      </c>
      <c r="J4764">
        <v>2016</v>
      </c>
      <c r="K4764" s="21">
        <v>42607.403321759259</v>
      </c>
      <c r="L4764">
        <v>2016</v>
      </c>
      <c r="M4764" s="21">
        <v>43347.502248495373</v>
      </c>
      <c r="N4764">
        <v>2018</v>
      </c>
      <c r="Q4764" s="262">
        <v>3400000</v>
      </c>
      <c r="R4764" s="262">
        <v>706000</v>
      </c>
      <c r="S4764" t="s">
        <v>13254</v>
      </c>
      <c r="W4764">
        <v>5656</v>
      </c>
      <c r="X4764">
        <v>1</v>
      </c>
      <c r="Y4764">
        <v>0</v>
      </c>
      <c r="Z4764">
        <v>0</v>
      </c>
      <c r="AA4764">
        <v>0</v>
      </c>
      <c r="AB4764">
        <v>0</v>
      </c>
      <c r="AC4764">
        <v>5656</v>
      </c>
      <c r="AD4764">
        <v>0</v>
      </c>
      <c r="AE4764">
        <v>0</v>
      </c>
      <c r="AF4764">
        <v>0</v>
      </c>
      <c r="AG4764">
        <v>0</v>
      </c>
      <c r="AH4764">
        <v>0</v>
      </c>
      <c r="AI4764">
        <v>0</v>
      </c>
      <c r="AJ4764">
        <v>0</v>
      </c>
      <c r="AK4764">
        <v>0</v>
      </c>
      <c r="AL4764">
        <v>0</v>
      </c>
      <c r="AM4764">
        <v>0</v>
      </c>
      <c r="AN4764">
        <v>0</v>
      </c>
      <c r="AO4764">
        <v>1</v>
      </c>
      <c r="AP4764">
        <v>0</v>
      </c>
      <c r="AQ4764">
        <v>0</v>
      </c>
      <c r="AR4764">
        <v>0</v>
      </c>
      <c r="AS4764">
        <v>0</v>
      </c>
      <c r="AT4764">
        <v>0</v>
      </c>
      <c r="AU4764">
        <f t="shared" si="148"/>
        <v>1</v>
      </c>
      <c r="AV4764">
        <f t="shared" si="149"/>
        <v>0</v>
      </c>
    </row>
    <row r="4765" spans="1:48" x14ac:dyDescent="0.25">
      <c r="A4765" t="s">
        <v>18506</v>
      </c>
      <c r="B4765" t="s">
        <v>18506</v>
      </c>
      <c r="C4765" t="s">
        <v>13284</v>
      </c>
      <c r="D4765" t="s">
        <v>18256</v>
      </c>
      <c r="E4765" t="s">
        <v>2310</v>
      </c>
      <c r="F4765">
        <v>9</v>
      </c>
      <c r="G4765">
        <v>9.3000000000000007</v>
      </c>
      <c r="H4765" t="s">
        <v>2323</v>
      </c>
      <c r="I4765" s="21">
        <v>42563.457835648151</v>
      </c>
      <c r="J4765">
        <v>2016</v>
      </c>
      <c r="K4765" s="21">
        <v>42607.404895833337</v>
      </c>
      <c r="L4765">
        <v>2016</v>
      </c>
      <c r="M4765" s="21">
        <v>43494.450458182873</v>
      </c>
      <c r="N4765">
        <v>2019</v>
      </c>
      <c r="Q4765" s="262">
        <v>400000</v>
      </c>
      <c r="R4765" s="262">
        <v>78000</v>
      </c>
      <c r="S4765" t="s">
        <v>13254</v>
      </c>
      <c r="W4765">
        <v>1796</v>
      </c>
      <c r="X4765">
        <v>0</v>
      </c>
      <c r="Y4765">
        <v>0</v>
      </c>
      <c r="Z4765">
        <v>0</v>
      </c>
      <c r="AA4765">
        <v>0</v>
      </c>
      <c r="AB4765">
        <v>0</v>
      </c>
      <c r="AC4765">
        <v>1796</v>
      </c>
      <c r="AD4765">
        <v>0</v>
      </c>
      <c r="AE4765">
        <v>0</v>
      </c>
      <c r="AF4765">
        <v>0</v>
      </c>
      <c r="AG4765">
        <v>0</v>
      </c>
      <c r="AH4765">
        <v>0</v>
      </c>
      <c r="AI4765">
        <v>0</v>
      </c>
      <c r="AJ4765">
        <v>0</v>
      </c>
      <c r="AK4765">
        <v>0</v>
      </c>
      <c r="AL4765">
        <v>0</v>
      </c>
      <c r="AM4765">
        <v>0</v>
      </c>
      <c r="AN4765">
        <v>0</v>
      </c>
      <c r="AO4765">
        <v>0</v>
      </c>
      <c r="AP4765">
        <v>0</v>
      </c>
      <c r="AQ4765">
        <v>0</v>
      </c>
      <c r="AR4765">
        <v>0</v>
      </c>
      <c r="AS4765">
        <v>0</v>
      </c>
      <c r="AT4765">
        <v>0</v>
      </c>
      <c r="AU4765">
        <f t="shared" si="148"/>
        <v>0</v>
      </c>
      <c r="AV4765">
        <f t="shared" si="149"/>
        <v>0</v>
      </c>
    </row>
    <row r="4766" spans="1:48" x14ac:dyDescent="0.25">
      <c r="A4766" t="s">
        <v>18257</v>
      </c>
      <c r="B4766" t="s">
        <v>18257</v>
      </c>
      <c r="C4766" t="s">
        <v>18258</v>
      </c>
      <c r="D4766" t="s">
        <v>18256</v>
      </c>
      <c r="E4766" t="s">
        <v>2310</v>
      </c>
      <c r="F4766">
        <v>9</v>
      </c>
      <c r="G4766">
        <v>9.3000000000000007</v>
      </c>
      <c r="H4766" t="s">
        <v>2323</v>
      </c>
      <c r="I4766" s="21">
        <v>42563.495810185188</v>
      </c>
      <c r="J4766">
        <v>2016</v>
      </c>
      <c r="K4766" s="21">
        <v>42607.407002314816</v>
      </c>
      <c r="L4766">
        <v>2016</v>
      </c>
      <c r="M4766" s="21">
        <v>43347.506345254631</v>
      </c>
      <c r="N4766">
        <v>2018</v>
      </c>
      <c r="Q4766" s="262">
        <v>600000</v>
      </c>
      <c r="R4766" s="262">
        <v>111000</v>
      </c>
      <c r="S4766" t="s">
        <v>13254</v>
      </c>
      <c r="W4766">
        <v>985</v>
      </c>
      <c r="X4766">
        <v>1</v>
      </c>
      <c r="Y4766">
        <v>0</v>
      </c>
      <c r="Z4766">
        <v>0</v>
      </c>
      <c r="AA4766">
        <v>0</v>
      </c>
      <c r="AB4766">
        <v>0</v>
      </c>
      <c r="AC4766">
        <v>0</v>
      </c>
      <c r="AD4766">
        <v>0</v>
      </c>
      <c r="AE4766">
        <v>0</v>
      </c>
      <c r="AF4766">
        <v>985</v>
      </c>
      <c r="AG4766">
        <v>0</v>
      </c>
      <c r="AH4766">
        <v>0</v>
      </c>
      <c r="AI4766">
        <v>0</v>
      </c>
      <c r="AJ4766">
        <v>0</v>
      </c>
      <c r="AK4766">
        <v>0</v>
      </c>
      <c r="AL4766">
        <v>0</v>
      </c>
      <c r="AM4766">
        <v>0</v>
      </c>
      <c r="AN4766">
        <v>0</v>
      </c>
      <c r="AO4766">
        <v>0</v>
      </c>
      <c r="AP4766">
        <v>0</v>
      </c>
      <c r="AQ4766">
        <v>0</v>
      </c>
      <c r="AR4766">
        <v>1</v>
      </c>
      <c r="AS4766">
        <v>0</v>
      </c>
      <c r="AT4766">
        <v>0</v>
      </c>
      <c r="AU4766">
        <f t="shared" si="148"/>
        <v>0</v>
      </c>
      <c r="AV4766">
        <f t="shared" si="149"/>
        <v>0</v>
      </c>
    </row>
    <row r="4767" spans="1:48" x14ac:dyDescent="0.25">
      <c r="A4767" t="s">
        <v>17958</v>
      </c>
      <c r="B4767" t="s">
        <v>17958</v>
      </c>
      <c r="C4767" t="s">
        <v>17959</v>
      </c>
      <c r="D4767" t="s">
        <v>9107</v>
      </c>
      <c r="E4767" t="s">
        <v>2310</v>
      </c>
      <c r="F4767">
        <v>9</v>
      </c>
      <c r="G4767">
        <v>9.3000000000000007</v>
      </c>
      <c r="H4767" t="s">
        <v>2323</v>
      </c>
      <c r="I4767" s="21">
        <v>42563.529687499999</v>
      </c>
      <c r="J4767">
        <v>2016</v>
      </c>
      <c r="K4767" s="21">
        <v>42597.598796296297</v>
      </c>
      <c r="L4767">
        <v>2016</v>
      </c>
      <c r="M4767" s="21">
        <v>43133.553888888891</v>
      </c>
      <c r="N4767">
        <v>2018</v>
      </c>
      <c r="Q4767" s="262">
        <v>1000000</v>
      </c>
      <c r="R4767" s="262">
        <v>252000</v>
      </c>
      <c r="S4767" t="s">
        <v>13253</v>
      </c>
      <c r="V4767">
        <v>997</v>
      </c>
      <c r="W4767">
        <v>1744</v>
      </c>
      <c r="X4767">
        <v>0</v>
      </c>
      <c r="Y4767">
        <v>0</v>
      </c>
      <c r="Z4767">
        <v>0</v>
      </c>
      <c r="AA4767">
        <v>0</v>
      </c>
      <c r="AB4767">
        <v>0</v>
      </c>
      <c r="AC4767">
        <v>1744</v>
      </c>
      <c r="AD4767">
        <v>0</v>
      </c>
      <c r="AE4767">
        <v>0</v>
      </c>
      <c r="AF4767">
        <v>0</v>
      </c>
      <c r="AG4767">
        <v>0</v>
      </c>
      <c r="AH4767">
        <v>0</v>
      </c>
      <c r="AI4767">
        <v>0</v>
      </c>
      <c r="AJ4767">
        <v>0</v>
      </c>
      <c r="AK4767">
        <v>0</v>
      </c>
      <c r="AL4767">
        <v>0</v>
      </c>
      <c r="AM4767">
        <v>0</v>
      </c>
      <c r="AN4767">
        <v>0</v>
      </c>
      <c r="AO4767">
        <v>0</v>
      </c>
      <c r="AP4767">
        <v>0</v>
      </c>
      <c r="AQ4767">
        <v>0</v>
      </c>
      <c r="AR4767">
        <v>0</v>
      </c>
      <c r="AS4767">
        <v>0</v>
      </c>
      <c r="AT4767">
        <v>0</v>
      </c>
      <c r="AU4767">
        <f t="shared" si="148"/>
        <v>0</v>
      </c>
      <c r="AV4767">
        <f t="shared" si="149"/>
        <v>0</v>
      </c>
    </row>
    <row r="4768" spans="1:48" x14ac:dyDescent="0.25">
      <c r="A4768" t="s">
        <v>13345</v>
      </c>
      <c r="C4768" t="s">
        <v>13346</v>
      </c>
      <c r="D4768" t="s">
        <v>13347</v>
      </c>
      <c r="E4768" t="s">
        <v>1663</v>
      </c>
      <c r="F4768">
        <v>2</v>
      </c>
      <c r="G4768">
        <v>2.2999999999999998</v>
      </c>
      <c r="H4768" t="s">
        <v>2327</v>
      </c>
      <c r="I4768" s="21">
        <v>42565</v>
      </c>
      <c r="J4768">
        <v>2016</v>
      </c>
      <c r="K4768" s="21">
        <v>42745</v>
      </c>
      <c r="L4768">
        <v>2017</v>
      </c>
      <c r="M4768" s="21">
        <v>43139</v>
      </c>
      <c r="N4768">
        <v>2018</v>
      </c>
      <c r="Q4768" s="262">
        <v>30000</v>
      </c>
      <c r="S4768" t="s">
        <v>114</v>
      </c>
      <c r="T4768" t="s">
        <v>114</v>
      </c>
      <c r="V4768">
        <v>420</v>
      </c>
      <c r="W4768">
        <v>0</v>
      </c>
      <c r="X4768">
        <v>0</v>
      </c>
      <c r="Y4768">
        <v>0</v>
      </c>
      <c r="Z4768">
        <v>0</v>
      </c>
      <c r="AA4768">
        <v>0</v>
      </c>
      <c r="AB4768">
        <v>0</v>
      </c>
      <c r="AC4768">
        <v>0</v>
      </c>
      <c r="AD4768">
        <v>0</v>
      </c>
      <c r="AE4768">
        <v>0</v>
      </c>
      <c r="AF4768">
        <v>0</v>
      </c>
      <c r="AG4768">
        <v>0</v>
      </c>
      <c r="AH4768">
        <v>1590</v>
      </c>
      <c r="AI4768">
        <v>0</v>
      </c>
      <c r="AJ4768">
        <v>0</v>
      </c>
      <c r="AK4768">
        <v>-1590</v>
      </c>
      <c r="AL4768">
        <v>0</v>
      </c>
      <c r="AM4768">
        <v>0</v>
      </c>
      <c r="AN4768">
        <v>0</v>
      </c>
      <c r="AO4768">
        <v>0</v>
      </c>
      <c r="AP4768">
        <v>0</v>
      </c>
      <c r="AQ4768">
        <v>0</v>
      </c>
      <c r="AR4768">
        <v>0</v>
      </c>
      <c r="AS4768">
        <v>0</v>
      </c>
      <c r="AT4768">
        <v>0</v>
      </c>
      <c r="AU4768">
        <f t="shared" si="148"/>
        <v>0</v>
      </c>
      <c r="AV4768">
        <f t="shared" si="149"/>
        <v>0</v>
      </c>
    </row>
    <row r="4769" spans="1:48" x14ac:dyDescent="0.25">
      <c r="A4769" t="s">
        <v>17930</v>
      </c>
      <c r="B4769" t="s">
        <v>17930</v>
      </c>
      <c r="C4769" t="s">
        <v>17931</v>
      </c>
      <c r="D4769" t="s">
        <v>17932</v>
      </c>
      <c r="E4769" t="s">
        <v>2310</v>
      </c>
      <c r="F4769">
        <v>9</v>
      </c>
      <c r="G4769">
        <v>9.1</v>
      </c>
      <c r="H4769" t="s">
        <v>2323</v>
      </c>
      <c r="I4769" s="21">
        <v>42566.396724537037</v>
      </c>
      <c r="J4769">
        <v>2016</v>
      </c>
      <c r="K4769" s="21">
        <v>42605.331284722219</v>
      </c>
      <c r="L4769">
        <v>2016</v>
      </c>
      <c r="M4769" s="21">
        <v>43118.383159722223</v>
      </c>
      <c r="N4769">
        <v>2018</v>
      </c>
      <c r="Q4769" s="262">
        <v>650000</v>
      </c>
      <c r="R4769" s="262">
        <v>372000</v>
      </c>
      <c r="S4769" t="s">
        <v>13254</v>
      </c>
      <c r="W4769">
        <v>3033</v>
      </c>
      <c r="X4769">
        <v>1</v>
      </c>
      <c r="Y4769">
        <v>0</v>
      </c>
      <c r="Z4769">
        <v>0</v>
      </c>
      <c r="AA4769">
        <v>0</v>
      </c>
      <c r="AB4769">
        <v>0</v>
      </c>
      <c r="AC4769">
        <v>3033</v>
      </c>
      <c r="AD4769">
        <v>0</v>
      </c>
      <c r="AE4769">
        <v>0</v>
      </c>
      <c r="AF4769">
        <v>0</v>
      </c>
      <c r="AG4769">
        <v>0</v>
      </c>
      <c r="AH4769">
        <v>0</v>
      </c>
      <c r="AI4769">
        <v>0</v>
      </c>
      <c r="AJ4769">
        <v>0</v>
      </c>
      <c r="AK4769">
        <v>0</v>
      </c>
      <c r="AL4769">
        <v>0</v>
      </c>
      <c r="AM4769">
        <v>0</v>
      </c>
      <c r="AN4769">
        <v>0</v>
      </c>
      <c r="AO4769">
        <v>1</v>
      </c>
      <c r="AP4769">
        <v>0</v>
      </c>
      <c r="AQ4769">
        <v>0</v>
      </c>
      <c r="AR4769">
        <v>0</v>
      </c>
      <c r="AS4769">
        <v>0</v>
      </c>
      <c r="AT4769">
        <v>0</v>
      </c>
      <c r="AU4769">
        <f t="shared" si="148"/>
        <v>1</v>
      </c>
      <c r="AV4769">
        <f t="shared" si="149"/>
        <v>0</v>
      </c>
    </row>
    <row r="4770" spans="1:48" x14ac:dyDescent="0.25">
      <c r="A4770" t="s">
        <v>17933</v>
      </c>
      <c r="B4770" t="s">
        <v>17933</v>
      </c>
      <c r="C4770" t="s">
        <v>13256</v>
      </c>
      <c r="D4770" t="s">
        <v>17932</v>
      </c>
      <c r="E4770" t="s">
        <v>2310</v>
      </c>
      <c r="F4770">
        <v>9</v>
      </c>
      <c r="G4770">
        <v>9.1</v>
      </c>
      <c r="H4770" t="s">
        <v>2323</v>
      </c>
      <c r="I4770" s="21">
        <v>42566.410034722219</v>
      </c>
      <c r="J4770">
        <v>2016</v>
      </c>
      <c r="K4770" s="21">
        <v>42605.331817129627</v>
      </c>
      <c r="L4770">
        <v>2016</v>
      </c>
      <c r="M4770" s="21">
        <v>43118.386087962965</v>
      </c>
      <c r="N4770">
        <v>2018</v>
      </c>
      <c r="Q4770" s="262">
        <v>135000</v>
      </c>
      <c r="R4770" s="262">
        <v>31000</v>
      </c>
      <c r="S4770" t="s">
        <v>13254</v>
      </c>
      <c r="W4770">
        <v>704</v>
      </c>
      <c r="X4770">
        <v>0</v>
      </c>
      <c r="Y4770">
        <v>0</v>
      </c>
      <c r="Z4770">
        <v>0</v>
      </c>
      <c r="AA4770">
        <v>0</v>
      </c>
      <c r="AB4770">
        <v>0</v>
      </c>
      <c r="AC4770">
        <v>704</v>
      </c>
      <c r="AD4770">
        <v>0</v>
      </c>
      <c r="AE4770">
        <v>0</v>
      </c>
      <c r="AF4770">
        <v>0</v>
      </c>
      <c r="AG4770">
        <v>0</v>
      </c>
      <c r="AH4770">
        <v>0</v>
      </c>
      <c r="AI4770">
        <v>0</v>
      </c>
      <c r="AJ4770">
        <v>0</v>
      </c>
      <c r="AK4770">
        <v>0</v>
      </c>
      <c r="AL4770">
        <v>0</v>
      </c>
      <c r="AM4770">
        <v>0</v>
      </c>
      <c r="AN4770">
        <v>0</v>
      </c>
      <c r="AO4770">
        <v>0</v>
      </c>
      <c r="AP4770">
        <v>0</v>
      </c>
      <c r="AQ4770">
        <v>0</v>
      </c>
      <c r="AR4770">
        <v>0</v>
      </c>
      <c r="AS4770">
        <v>0</v>
      </c>
      <c r="AT4770">
        <v>0</v>
      </c>
      <c r="AU4770">
        <f t="shared" si="148"/>
        <v>0</v>
      </c>
      <c r="AV4770">
        <f t="shared" si="149"/>
        <v>0</v>
      </c>
    </row>
    <row r="4771" spans="1:48" x14ac:dyDescent="0.25">
      <c r="A4771" t="s">
        <v>18592</v>
      </c>
      <c r="B4771" t="s">
        <v>18592</v>
      </c>
      <c r="C4771" t="s">
        <v>18593</v>
      </c>
      <c r="D4771" t="s">
        <v>9983</v>
      </c>
      <c r="E4771" t="s">
        <v>2310</v>
      </c>
      <c r="F4771">
        <v>9</v>
      </c>
      <c r="G4771">
        <v>9.1999999999999993</v>
      </c>
      <c r="H4771" t="s">
        <v>2022</v>
      </c>
      <c r="I4771" s="21">
        <v>42566.480162037034</v>
      </c>
      <c r="J4771">
        <v>2016</v>
      </c>
      <c r="K4771" s="21">
        <v>43070.483761574076</v>
      </c>
      <c r="L4771">
        <v>2017</v>
      </c>
      <c r="M4771" s="21">
        <v>43070.483761574076</v>
      </c>
      <c r="N4771">
        <v>2017</v>
      </c>
      <c r="Q4771" s="262">
        <v>750000</v>
      </c>
      <c r="R4771" s="262">
        <v>122000</v>
      </c>
      <c r="S4771" t="s">
        <v>13254</v>
      </c>
      <c r="W4771">
        <v>1000</v>
      </c>
      <c r="X4771">
        <v>1</v>
      </c>
      <c r="Y4771">
        <v>0</v>
      </c>
      <c r="Z4771">
        <v>0</v>
      </c>
      <c r="AA4771">
        <v>0</v>
      </c>
      <c r="AB4771">
        <v>0</v>
      </c>
      <c r="AC4771">
        <v>0</v>
      </c>
      <c r="AD4771">
        <v>0</v>
      </c>
      <c r="AE4771">
        <v>0</v>
      </c>
      <c r="AF4771">
        <v>1000</v>
      </c>
      <c r="AG4771">
        <v>0</v>
      </c>
      <c r="AH4771">
        <v>0</v>
      </c>
      <c r="AI4771">
        <v>0</v>
      </c>
      <c r="AJ4771">
        <v>0</v>
      </c>
      <c r="AK4771">
        <v>0</v>
      </c>
      <c r="AL4771">
        <v>0</v>
      </c>
      <c r="AM4771">
        <v>0</v>
      </c>
      <c r="AN4771">
        <v>0</v>
      </c>
      <c r="AO4771">
        <v>0</v>
      </c>
      <c r="AP4771">
        <v>0</v>
      </c>
      <c r="AQ4771">
        <v>0</v>
      </c>
      <c r="AR4771">
        <v>1</v>
      </c>
      <c r="AS4771">
        <v>0</v>
      </c>
      <c r="AT4771">
        <v>0</v>
      </c>
      <c r="AU4771">
        <f t="shared" si="148"/>
        <v>0</v>
      </c>
      <c r="AV4771">
        <f t="shared" si="149"/>
        <v>0</v>
      </c>
    </row>
    <row r="4772" spans="1:48" x14ac:dyDescent="0.25">
      <c r="A4772" t="s">
        <v>18694</v>
      </c>
      <c r="B4772" t="s">
        <v>18694</v>
      </c>
      <c r="C4772" t="s">
        <v>18695</v>
      </c>
      <c r="D4772" t="s">
        <v>7943</v>
      </c>
      <c r="E4772" t="s">
        <v>2310</v>
      </c>
      <c r="F4772">
        <v>10</v>
      </c>
      <c r="G4772">
        <v>10.1</v>
      </c>
      <c r="H4772" t="s">
        <v>2323</v>
      </c>
      <c r="I4772" s="21">
        <v>42566.502997685187</v>
      </c>
      <c r="J4772">
        <v>2016</v>
      </c>
      <c r="K4772" s="21">
        <v>42758.480393518519</v>
      </c>
      <c r="L4772">
        <v>2017</v>
      </c>
      <c r="M4772" s="21">
        <v>42758.480393518519</v>
      </c>
      <c r="N4772">
        <v>2017</v>
      </c>
      <c r="Q4772" s="262">
        <v>64000</v>
      </c>
      <c r="R4772" s="262">
        <v>59000</v>
      </c>
      <c r="S4772" t="s">
        <v>13253</v>
      </c>
      <c r="T4772">
        <v>1691</v>
      </c>
      <c r="V4772">
        <v>480</v>
      </c>
      <c r="W4772">
        <v>160</v>
      </c>
      <c r="X4772">
        <v>0</v>
      </c>
      <c r="Y4772">
        <v>0</v>
      </c>
      <c r="Z4772">
        <v>0</v>
      </c>
      <c r="AA4772">
        <v>0</v>
      </c>
      <c r="AB4772">
        <v>0</v>
      </c>
      <c r="AC4772">
        <v>160</v>
      </c>
      <c r="AD4772">
        <v>0</v>
      </c>
      <c r="AE4772">
        <v>0</v>
      </c>
      <c r="AF4772">
        <v>0</v>
      </c>
      <c r="AG4772">
        <v>0</v>
      </c>
      <c r="AH4772">
        <v>0</v>
      </c>
      <c r="AI4772">
        <v>0</v>
      </c>
      <c r="AJ4772">
        <v>0</v>
      </c>
      <c r="AK4772">
        <v>0</v>
      </c>
      <c r="AL4772">
        <v>0</v>
      </c>
      <c r="AM4772">
        <v>0</v>
      </c>
      <c r="AN4772">
        <v>0</v>
      </c>
      <c r="AO4772">
        <v>0</v>
      </c>
      <c r="AP4772">
        <v>0</v>
      </c>
      <c r="AQ4772">
        <v>0</v>
      </c>
      <c r="AR4772">
        <v>0</v>
      </c>
      <c r="AS4772">
        <v>0</v>
      </c>
      <c r="AT4772">
        <v>0</v>
      </c>
      <c r="AU4772">
        <f t="shared" si="148"/>
        <v>0</v>
      </c>
      <c r="AV4772">
        <f t="shared" si="149"/>
        <v>0</v>
      </c>
    </row>
    <row r="4773" spans="1:48" x14ac:dyDescent="0.25">
      <c r="A4773" t="s">
        <v>18276</v>
      </c>
      <c r="B4773" t="s">
        <v>18276</v>
      </c>
      <c r="C4773" t="s">
        <v>18277</v>
      </c>
      <c r="D4773" t="s">
        <v>18040</v>
      </c>
      <c r="E4773" t="s">
        <v>2310</v>
      </c>
      <c r="F4773">
        <v>9</v>
      </c>
      <c r="G4773">
        <v>9.1999999999999993</v>
      </c>
      <c r="H4773" t="s">
        <v>2022</v>
      </c>
      <c r="I4773" s="21">
        <v>42566.530682870369</v>
      </c>
      <c r="J4773">
        <v>2016</v>
      </c>
      <c r="K4773" s="21">
        <v>42649.70480324074</v>
      </c>
      <c r="L4773">
        <v>2016</v>
      </c>
      <c r="M4773" s="21">
        <v>43357.377874687503</v>
      </c>
      <c r="N4773">
        <v>2018</v>
      </c>
      <c r="Q4773" s="262">
        <v>500000</v>
      </c>
      <c r="R4773" s="262">
        <v>416000</v>
      </c>
      <c r="S4773" t="s">
        <v>13254</v>
      </c>
      <c r="W4773">
        <v>4041</v>
      </c>
      <c r="X4773">
        <v>1</v>
      </c>
      <c r="Y4773">
        <v>0</v>
      </c>
      <c r="Z4773">
        <v>0</v>
      </c>
      <c r="AA4773">
        <v>0</v>
      </c>
      <c r="AB4773">
        <v>0</v>
      </c>
      <c r="AC4773">
        <v>4041</v>
      </c>
      <c r="AD4773">
        <v>0</v>
      </c>
      <c r="AE4773">
        <v>0</v>
      </c>
      <c r="AF4773">
        <v>0</v>
      </c>
      <c r="AG4773">
        <v>0</v>
      </c>
      <c r="AH4773">
        <v>0</v>
      </c>
      <c r="AI4773">
        <v>0</v>
      </c>
      <c r="AJ4773">
        <v>0</v>
      </c>
      <c r="AK4773">
        <v>0</v>
      </c>
      <c r="AL4773">
        <v>0</v>
      </c>
      <c r="AM4773">
        <v>0</v>
      </c>
      <c r="AN4773">
        <v>0</v>
      </c>
      <c r="AO4773">
        <v>1</v>
      </c>
      <c r="AP4773">
        <v>0</v>
      </c>
      <c r="AQ4773">
        <v>0</v>
      </c>
      <c r="AR4773">
        <v>0</v>
      </c>
      <c r="AS4773">
        <v>0</v>
      </c>
      <c r="AT4773">
        <v>0</v>
      </c>
      <c r="AU4773">
        <f t="shared" si="148"/>
        <v>1</v>
      </c>
      <c r="AV4773">
        <f t="shared" si="149"/>
        <v>0</v>
      </c>
    </row>
    <row r="4774" spans="1:48" x14ac:dyDescent="0.25">
      <c r="A4774" t="s">
        <v>18228</v>
      </c>
      <c r="B4774" t="s">
        <v>18228</v>
      </c>
      <c r="C4774" t="s">
        <v>17942</v>
      </c>
      <c r="D4774" t="s">
        <v>17852</v>
      </c>
      <c r="E4774" t="s">
        <v>2310</v>
      </c>
      <c r="F4774">
        <v>9</v>
      </c>
      <c r="G4774">
        <v>9.1999999999999993</v>
      </c>
      <c r="H4774" t="s">
        <v>2022</v>
      </c>
      <c r="I4774" s="21">
        <v>42566.551087962966</v>
      </c>
      <c r="J4774">
        <v>2016</v>
      </c>
      <c r="K4774" s="21">
        <v>42649.703240740739</v>
      </c>
      <c r="L4774">
        <v>2016</v>
      </c>
      <c r="M4774" s="21">
        <v>43341.423423726854</v>
      </c>
      <c r="N4774">
        <v>2018</v>
      </c>
      <c r="Q4774" s="262">
        <v>500000</v>
      </c>
      <c r="R4774" s="262">
        <v>416000</v>
      </c>
      <c r="S4774" t="s">
        <v>13254</v>
      </c>
      <c r="W4774">
        <v>4041</v>
      </c>
      <c r="X4774">
        <v>1</v>
      </c>
      <c r="Y4774">
        <v>0</v>
      </c>
      <c r="Z4774">
        <v>0</v>
      </c>
      <c r="AA4774">
        <v>0</v>
      </c>
      <c r="AB4774">
        <v>0</v>
      </c>
      <c r="AC4774">
        <v>4041</v>
      </c>
      <c r="AD4774">
        <v>0</v>
      </c>
      <c r="AE4774">
        <v>0</v>
      </c>
      <c r="AF4774">
        <v>0</v>
      </c>
      <c r="AG4774">
        <v>0</v>
      </c>
      <c r="AH4774">
        <v>0</v>
      </c>
      <c r="AI4774">
        <v>0</v>
      </c>
      <c r="AJ4774">
        <v>0</v>
      </c>
      <c r="AK4774">
        <v>0</v>
      </c>
      <c r="AL4774">
        <v>0</v>
      </c>
      <c r="AM4774">
        <v>0</v>
      </c>
      <c r="AN4774">
        <v>0</v>
      </c>
      <c r="AO4774">
        <v>1</v>
      </c>
      <c r="AP4774">
        <v>0</v>
      </c>
      <c r="AQ4774">
        <v>0</v>
      </c>
      <c r="AR4774">
        <v>0</v>
      </c>
      <c r="AS4774">
        <v>0</v>
      </c>
      <c r="AT4774">
        <v>0</v>
      </c>
      <c r="AU4774">
        <f t="shared" si="148"/>
        <v>1</v>
      </c>
      <c r="AV4774">
        <f t="shared" si="149"/>
        <v>0</v>
      </c>
    </row>
    <row r="4775" spans="1:48" x14ac:dyDescent="0.25">
      <c r="A4775" t="s">
        <v>18728</v>
      </c>
      <c r="B4775" t="s">
        <v>18728</v>
      </c>
      <c r="C4775" t="s">
        <v>18729</v>
      </c>
      <c r="D4775" t="s">
        <v>18730</v>
      </c>
      <c r="E4775" t="s">
        <v>2310</v>
      </c>
      <c r="F4775">
        <v>13</v>
      </c>
      <c r="G4775">
        <v>13.2</v>
      </c>
      <c r="H4775" t="s">
        <v>2327</v>
      </c>
      <c r="I4775" s="21">
        <v>42566.566608796296</v>
      </c>
      <c r="J4775">
        <v>2016</v>
      </c>
      <c r="K4775" s="21">
        <v>43091.442685185182</v>
      </c>
      <c r="L4775">
        <v>2017</v>
      </c>
      <c r="M4775" s="21">
        <v>43091.442685185182</v>
      </c>
      <c r="N4775">
        <v>2017</v>
      </c>
      <c r="Q4775" s="262">
        <v>1000000</v>
      </c>
      <c r="R4775" s="262">
        <v>481000</v>
      </c>
      <c r="S4775" t="s">
        <v>13254</v>
      </c>
      <c r="W4775">
        <v>4038</v>
      </c>
      <c r="X4775">
        <v>1</v>
      </c>
      <c r="Y4775">
        <v>0</v>
      </c>
      <c r="Z4775">
        <v>0</v>
      </c>
      <c r="AA4775">
        <v>0</v>
      </c>
      <c r="AB4775">
        <v>0</v>
      </c>
      <c r="AC4775">
        <v>4038</v>
      </c>
      <c r="AD4775">
        <v>0</v>
      </c>
      <c r="AE4775">
        <v>0</v>
      </c>
      <c r="AF4775">
        <v>0</v>
      </c>
      <c r="AG4775">
        <v>0</v>
      </c>
      <c r="AH4775">
        <v>0</v>
      </c>
      <c r="AI4775">
        <v>0</v>
      </c>
      <c r="AJ4775">
        <v>0</v>
      </c>
      <c r="AK4775">
        <v>0</v>
      </c>
      <c r="AL4775">
        <v>0</v>
      </c>
      <c r="AM4775">
        <v>0</v>
      </c>
      <c r="AN4775">
        <v>0</v>
      </c>
      <c r="AO4775">
        <v>1</v>
      </c>
      <c r="AP4775">
        <v>0</v>
      </c>
      <c r="AQ4775">
        <v>0</v>
      </c>
      <c r="AR4775">
        <v>0</v>
      </c>
      <c r="AS4775">
        <v>0</v>
      </c>
      <c r="AT4775">
        <v>0</v>
      </c>
      <c r="AU4775">
        <f t="shared" si="148"/>
        <v>1</v>
      </c>
      <c r="AV4775">
        <f t="shared" si="149"/>
        <v>0</v>
      </c>
    </row>
    <row r="4776" spans="1:48" x14ac:dyDescent="0.25">
      <c r="A4776" t="s">
        <v>17941</v>
      </c>
      <c r="B4776" t="s">
        <v>17941</v>
      </c>
      <c r="C4776" t="s">
        <v>17942</v>
      </c>
      <c r="D4776" t="s">
        <v>17943</v>
      </c>
      <c r="E4776" t="s">
        <v>2310</v>
      </c>
      <c r="F4776">
        <v>13</v>
      </c>
      <c r="G4776">
        <v>13.2</v>
      </c>
      <c r="H4776" t="s">
        <v>2327</v>
      </c>
      <c r="I4776" s="21">
        <v>42566.586793981478</v>
      </c>
      <c r="J4776">
        <v>2016</v>
      </c>
      <c r="K4776" s="21">
        <v>42612.558275462965</v>
      </c>
      <c r="L4776">
        <v>2016</v>
      </c>
      <c r="M4776" s="21">
        <v>43130.428657407407</v>
      </c>
      <c r="N4776">
        <v>2018</v>
      </c>
      <c r="Q4776" s="262">
        <v>1000000</v>
      </c>
      <c r="R4776" s="262">
        <v>481000</v>
      </c>
      <c r="S4776" t="s">
        <v>13254</v>
      </c>
      <c r="W4776">
        <v>4038</v>
      </c>
      <c r="X4776">
        <v>1</v>
      </c>
      <c r="Y4776">
        <v>0</v>
      </c>
      <c r="Z4776">
        <v>0</v>
      </c>
      <c r="AA4776">
        <v>0</v>
      </c>
      <c r="AB4776">
        <v>0</v>
      </c>
      <c r="AC4776">
        <v>4038</v>
      </c>
      <c r="AD4776">
        <v>0</v>
      </c>
      <c r="AE4776">
        <v>0</v>
      </c>
      <c r="AF4776">
        <v>0</v>
      </c>
      <c r="AG4776">
        <v>0</v>
      </c>
      <c r="AH4776">
        <v>0</v>
      </c>
      <c r="AI4776">
        <v>0</v>
      </c>
      <c r="AJ4776">
        <v>0</v>
      </c>
      <c r="AK4776">
        <v>0</v>
      </c>
      <c r="AL4776">
        <v>0</v>
      </c>
      <c r="AM4776">
        <v>0</v>
      </c>
      <c r="AN4776">
        <v>0</v>
      </c>
      <c r="AO4776">
        <v>1</v>
      </c>
      <c r="AP4776">
        <v>0</v>
      </c>
      <c r="AQ4776">
        <v>0</v>
      </c>
      <c r="AR4776">
        <v>0</v>
      </c>
      <c r="AS4776">
        <v>0</v>
      </c>
      <c r="AT4776">
        <v>0</v>
      </c>
      <c r="AU4776">
        <f t="shared" si="148"/>
        <v>1</v>
      </c>
      <c r="AV4776">
        <f t="shared" si="149"/>
        <v>0</v>
      </c>
    </row>
    <row r="4777" spans="1:48" x14ac:dyDescent="0.25">
      <c r="A4777" t="s">
        <v>18269</v>
      </c>
      <c r="B4777" t="s">
        <v>18269</v>
      </c>
      <c r="C4777" t="s">
        <v>18270</v>
      </c>
      <c r="D4777" t="s">
        <v>18271</v>
      </c>
      <c r="E4777" t="s">
        <v>2310</v>
      </c>
      <c r="F4777">
        <v>9</v>
      </c>
      <c r="G4777">
        <v>9.3000000000000007</v>
      </c>
      <c r="H4777" t="s">
        <v>2323</v>
      </c>
      <c r="I4777" s="21">
        <v>42566.619062500002</v>
      </c>
      <c r="J4777">
        <v>2016</v>
      </c>
      <c r="K4777" s="21">
        <v>42628.592326388891</v>
      </c>
      <c r="L4777">
        <v>2016</v>
      </c>
      <c r="M4777" s="21">
        <v>43355.380441747686</v>
      </c>
      <c r="N4777">
        <v>2018</v>
      </c>
      <c r="Q4777" s="262">
        <v>125000</v>
      </c>
      <c r="R4777" s="262">
        <v>89000</v>
      </c>
      <c r="S4777" t="s">
        <v>13254</v>
      </c>
      <c r="W4777">
        <v>790</v>
      </c>
      <c r="X4777">
        <v>1</v>
      </c>
      <c r="Y4777">
        <v>0</v>
      </c>
      <c r="Z4777">
        <v>0</v>
      </c>
      <c r="AA4777">
        <v>0</v>
      </c>
      <c r="AB4777">
        <v>0</v>
      </c>
      <c r="AC4777">
        <v>0</v>
      </c>
      <c r="AD4777">
        <v>0</v>
      </c>
      <c r="AE4777">
        <v>0</v>
      </c>
      <c r="AF4777">
        <v>790</v>
      </c>
      <c r="AG4777">
        <v>0</v>
      </c>
      <c r="AH4777">
        <v>0</v>
      </c>
      <c r="AI4777">
        <v>0</v>
      </c>
      <c r="AJ4777">
        <v>0</v>
      </c>
      <c r="AK4777">
        <v>0</v>
      </c>
      <c r="AL4777">
        <v>0</v>
      </c>
      <c r="AM4777">
        <v>0</v>
      </c>
      <c r="AN4777">
        <v>0</v>
      </c>
      <c r="AO4777">
        <v>0</v>
      </c>
      <c r="AP4777">
        <v>0</v>
      </c>
      <c r="AQ4777">
        <v>0</v>
      </c>
      <c r="AR4777">
        <v>1</v>
      </c>
      <c r="AS4777">
        <v>0</v>
      </c>
      <c r="AT4777">
        <v>0</v>
      </c>
      <c r="AU4777">
        <f t="shared" si="148"/>
        <v>0</v>
      </c>
      <c r="AV4777">
        <f t="shared" si="149"/>
        <v>0</v>
      </c>
    </row>
    <row r="4778" spans="1:48" x14ac:dyDescent="0.25">
      <c r="A4778" t="s">
        <v>13348</v>
      </c>
      <c r="B4778" t="s">
        <v>13348</v>
      </c>
      <c r="C4778" t="s">
        <v>13349</v>
      </c>
      <c r="D4778" t="s">
        <v>13350</v>
      </c>
      <c r="E4778" t="s">
        <v>2310</v>
      </c>
      <c r="F4778">
        <v>7</v>
      </c>
      <c r="G4778">
        <v>7.1</v>
      </c>
      <c r="H4778" t="s">
        <v>2017</v>
      </c>
      <c r="I4778" s="21">
        <v>42570.611226851899</v>
      </c>
      <c r="J4778">
        <v>2016</v>
      </c>
      <c r="K4778" s="21">
        <v>42739.667766203696</v>
      </c>
      <c r="L4778">
        <v>2017</v>
      </c>
      <c r="O4778" s="21">
        <v>42739.667766203696</v>
      </c>
      <c r="P4778" s="21">
        <v>42731.472025463001</v>
      </c>
      <c r="Q4778" s="262">
        <v>600000</v>
      </c>
      <c r="R4778" s="262">
        <v>420000</v>
      </c>
      <c r="S4778" t="s">
        <v>114</v>
      </c>
      <c r="T4778" t="s">
        <v>114</v>
      </c>
      <c r="W4778">
        <v>4848</v>
      </c>
      <c r="X4778">
        <v>0</v>
      </c>
      <c r="Y4778">
        <v>0</v>
      </c>
      <c r="Z4778">
        <v>0</v>
      </c>
      <c r="AA4778">
        <v>0</v>
      </c>
      <c r="AB4778">
        <v>0</v>
      </c>
      <c r="AC4778">
        <v>0</v>
      </c>
      <c r="AD4778">
        <v>0</v>
      </c>
      <c r="AE4778">
        <v>4848</v>
      </c>
      <c r="AF4778">
        <v>0</v>
      </c>
      <c r="AG4778">
        <v>0</v>
      </c>
      <c r="AH4778">
        <v>0</v>
      </c>
      <c r="AI4778">
        <v>0</v>
      </c>
      <c r="AJ4778">
        <v>0</v>
      </c>
      <c r="AK4778">
        <v>0</v>
      </c>
      <c r="AL4778">
        <v>0</v>
      </c>
      <c r="AM4778">
        <v>0</v>
      </c>
      <c r="AN4778">
        <v>0</v>
      </c>
      <c r="AO4778">
        <v>0</v>
      </c>
      <c r="AP4778">
        <v>0</v>
      </c>
      <c r="AQ4778">
        <v>0</v>
      </c>
      <c r="AR4778">
        <v>0</v>
      </c>
      <c r="AS4778">
        <v>0</v>
      </c>
      <c r="AT4778">
        <v>0</v>
      </c>
      <c r="AU4778">
        <f t="shared" si="148"/>
        <v>0</v>
      </c>
      <c r="AV4778">
        <f t="shared" si="149"/>
        <v>0</v>
      </c>
    </row>
    <row r="4779" spans="1:48" x14ac:dyDescent="0.25">
      <c r="A4779" t="s">
        <v>18129</v>
      </c>
      <c r="B4779" t="s">
        <v>18129</v>
      </c>
      <c r="C4779" t="s">
        <v>18130</v>
      </c>
      <c r="D4779" t="s">
        <v>18131</v>
      </c>
      <c r="E4779" t="s">
        <v>2310</v>
      </c>
      <c r="F4779">
        <v>9</v>
      </c>
      <c r="G4779">
        <v>9.3000000000000007</v>
      </c>
      <c r="H4779" t="s">
        <v>2323</v>
      </c>
      <c r="I4779" s="21">
        <v>42573.476446759261</v>
      </c>
      <c r="J4779">
        <v>2016</v>
      </c>
      <c r="K4779" s="21">
        <v>43104.696956018517</v>
      </c>
      <c r="L4779">
        <v>2018</v>
      </c>
      <c r="M4779" s="21">
        <v>43273.337475312503</v>
      </c>
      <c r="N4779">
        <v>2018</v>
      </c>
      <c r="Q4779" s="262">
        <v>3000000</v>
      </c>
      <c r="R4779" s="262">
        <v>1292000</v>
      </c>
      <c r="S4779" t="s">
        <v>13254</v>
      </c>
      <c r="W4779">
        <v>8727</v>
      </c>
      <c r="X4779">
        <v>1</v>
      </c>
      <c r="Y4779">
        <v>0</v>
      </c>
      <c r="Z4779">
        <v>0</v>
      </c>
      <c r="AA4779">
        <v>0</v>
      </c>
      <c r="AB4779">
        <v>0</v>
      </c>
      <c r="AC4779">
        <v>8727</v>
      </c>
      <c r="AD4779">
        <v>0</v>
      </c>
      <c r="AE4779">
        <v>0</v>
      </c>
      <c r="AF4779">
        <v>0</v>
      </c>
      <c r="AG4779">
        <v>0</v>
      </c>
      <c r="AH4779">
        <v>0</v>
      </c>
      <c r="AI4779">
        <v>0</v>
      </c>
      <c r="AJ4779">
        <v>0</v>
      </c>
      <c r="AK4779">
        <v>0</v>
      </c>
      <c r="AL4779">
        <v>0</v>
      </c>
      <c r="AM4779">
        <v>0</v>
      </c>
      <c r="AN4779">
        <v>0</v>
      </c>
      <c r="AO4779">
        <v>1</v>
      </c>
      <c r="AP4779">
        <v>0</v>
      </c>
      <c r="AQ4779">
        <v>0</v>
      </c>
      <c r="AR4779">
        <v>0</v>
      </c>
      <c r="AS4779">
        <v>0</v>
      </c>
      <c r="AT4779">
        <v>0</v>
      </c>
      <c r="AU4779">
        <f t="shared" si="148"/>
        <v>1</v>
      </c>
      <c r="AV4779">
        <f t="shared" si="149"/>
        <v>0</v>
      </c>
    </row>
    <row r="4780" spans="1:48" x14ac:dyDescent="0.25">
      <c r="A4780" t="s">
        <v>18733</v>
      </c>
      <c r="B4780" t="s">
        <v>18733</v>
      </c>
      <c r="C4780" t="s">
        <v>18244</v>
      </c>
      <c r="D4780" t="s">
        <v>18734</v>
      </c>
      <c r="E4780" t="s">
        <v>2310</v>
      </c>
      <c r="F4780">
        <v>8</v>
      </c>
      <c r="G4780">
        <v>8.1999999999999993</v>
      </c>
      <c r="H4780" t="s">
        <v>2022</v>
      </c>
      <c r="I4780" s="21">
        <v>42573.63008101852</v>
      </c>
      <c r="J4780">
        <v>2016</v>
      </c>
      <c r="K4780" s="21">
        <v>43068.697824074072</v>
      </c>
      <c r="L4780">
        <v>2017</v>
      </c>
      <c r="M4780" s="21">
        <v>43068.697824074072</v>
      </c>
      <c r="N4780">
        <v>2017</v>
      </c>
      <c r="Q4780" s="262">
        <v>1995286.8</v>
      </c>
      <c r="R4780" s="262">
        <v>627000</v>
      </c>
      <c r="S4780" t="s">
        <v>13254</v>
      </c>
      <c r="W4780">
        <v>4995</v>
      </c>
      <c r="X4780">
        <v>1</v>
      </c>
      <c r="Y4780">
        <v>0</v>
      </c>
      <c r="Z4780">
        <v>0</v>
      </c>
      <c r="AA4780">
        <v>0</v>
      </c>
      <c r="AB4780">
        <v>0</v>
      </c>
      <c r="AC4780">
        <v>4995</v>
      </c>
      <c r="AD4780">
        <v>0</v>
      </c>
      <c r="AE4780">
        <v>0</v>
      </c>
      <c r="AF4780">
        <v>0</v>
      </c>
      <c r="AG4780">
        <v>0</v>
      </c>
      <c r="AH4780">
        <v>0</v>
      </c>
      <c r="AI4780">
        <v>0</v>
      </c>
      <c r="AJ4780">
        <v>0</v>
      </c>
      <c r="AK4780">
        <v>0</v>
      </c>
      <c r="AL4780">
        <v>0</v>
      </c>
      <c r="AM4780">
        <v>0</v>
      </c>
      <c r="AN4780">
        <v>0</v>
      </c>
      <c r="AO4780">
        <v>1</v>
      </c>
      <c r="AP4780">
        <v>0</v>
      </c>
      <c r="AQ4780">
        <v>0</v>
      </c>
      <c r="AR4780">
        <v>0</v>
      </c>
      <c r="AS4780">
        <v>0</v>
      </c>
      <c r="AT4780">
        <v>0</v>
      </c>
      <c r="AU4780">
        <f t="shared" si="148"/>
        <v>1</v>
      </c>
      <c r="AV4780">
        <f t="shared" si="149"/>
        <v>0</v>
      </c>
    </row>
    <row r="4781" spans="1:48" x14ac:dyDescent="0.25">
      <c r="A4781" t="s">
        <v>17999</v>
      </c>
      <c r="B4781" t="s">
        <v>17999</v>
      </c>
      <c r="C4781" t="s">
        <v>18000</v>
      </c>
      <c r="D4781" t="s">
        <v>4025</v>
      </c>
      <c r="E4781" t="s">
        <v>2310</v>
      </c>
      <c r="F4781">
        <v>15</v>
      </c>
      <c r="G4781">
        <v>15.2</v>
      </c>
      <c r="H4781" t="s">
        <v>2323</v>
      </c>
      <c r="I4781" s="21">
        <v>42577.54420138889</v>
      </c>
      <c r="J4781">
        <v>2016</v>
      </c>
      <c r="K4781" s="21">
        <v>42612.603981481479</v>
      </c>
      <c r="L4781">
        <v>2016</v>
      </c>
      <c r="M4781" s="21">
        <v>43371.54780818287</v>
      </c>
      <c r="N4781">
        <v>2018</v>
      </c>
      <c r="Q4781" s="262">
        <v>65000</v>
      </c>
      <c r="R4781" s="262">
        <v>58000</v>
      </c>
      <c r="S4781" t="s">
        <v>13253</v>
      </c>
      <c r="T4781">
        <v>2641</v>
      </c>
      <c r="W4781">
        <v>765</v>
      </c>
      <c r="X4781">
        <v>0</v>
      </c>
      <c r="Y4781">
        <v>0</v>
      </c>
      <c r="Z4781">
        <v>0</v>
      </c>
      <c r="AA4781">
        <v>0</v>
      </c>
      <c r="AB4781">
        <v>0</v>
      </c>
      <c r="AC4781">
        <v>765</v>
      </c>
      <c r="AD4781">
        <v>0</v>
      </c>
      <c r="AE4781">
        <v>0</v>
      </c>
      <c r="AF4781">
        <v>0</v>
      </c>
      <c r="AG4781">
        <v>0</v>
      </c>
      <c r="AH4781">
        <v>0</v>
      </c>
      <c r="AI4781">
        <v>0</v>
      </c>
      <c r="AJ4781">
        <v>0</v>
      </c>
      <c r="AK4781">
        <v>0</v>
      </c>
      <c r="AL4781">
        <v>0</v>
      </c>
      <c r="AM4781">
        <v>0</v>
      </c>
      <c r="AN4781">
        <v>0</v>
      </c>
      <c r="AO4781">
        <v>0</v>
      </c>
      <c r="AP4781">
        <v>0</v>
      </c>
      <c r="AQ4781">
        <v>0</v>
      </c>
      <c r="AR4781">
        <v>0</v>
      </c>
      <c r="AS4781">
        <v>0</v>
      </c>
      <c r="AT4781">
        <v>0</v>
      </c>
      <c r="AU4781">
        <f t="shared" si="148"/>
        <v>0</v>
      </c>
      <c r="AV4781">
        <f t="shared" si="149"/>
        <v>0</v>
      </c>
    </row>
    <row r="4782" spans="1:48" x14ac:dyDescent="0.25">
      <c r="A4782" t="s">
        <v>14569</v>
      </c>
      <c r="C4782" t="s">
        <v>14570</v>
      </c>
      <c r="D4782" t="s">
        <v>12081</v>
      </c>
      <c r="E4782" t="s">
        <v>1663</v>
      </c>
      <c r="F4782">
        <v>4</v>
      </c>
      <c r="G4782">
        <v>4.2</v>
      </c>
      <c r="H4782" t="s">
        <v>2327</v>
      </c>
      <c r="I4782" s="21">
        <v>42578</v>
      </c>
      <c r="J4782">
        <v>2016</v>
      </c>
      <c r="K4782" s="21">
        <v>42649</v>
      </c>
      <c r="L4782">
        <v>2016</v>
      </c>
      <c r="M4782" s="21">
        <v>42853</v>
      </c>
      <c r="N4782">
        <v>2017</v>
      </c>
      <c r="Q4782" s="262">
        <v>75000</v>
      </c>
      <c r="S4782" t="s">
        <v>114</v>
      </c>
      <c r="T4782" t="s">
        <v>114</v>
      </c>
      <c r="W4782">
        <v>695</v>
      </c>
      <c r="X4782">
        <v>1</v>
      </c>
      <c r="Y4782">
        <v>0</v>
      </c>
      <c r="Z4782">
        <v>0</v>
      </c>
      <c r="AA4782">
        <v>0</v>
      </c>
      <c r="AB4782">
        <v>0</v>
      </c>
      <c r="AC4782">
        <v>0</v>
      </c>
      <c r="AD4782">
        <v>0</v>
      </c>
      <c r="AE4782">
        <v>695</v>
      </c>
      <c r="AF4782">
        <v>0</v>
      </c>
      <c r="AG4782">
        <v>0</v>
      </c>
      <c r="AH4782">
        <v>0</v>
      </c>
      <c r="AI4782">
        <v>0</v>
      </c>
      <c r="AJ4782">
        <v>0</v>
      </c>
      <c r="AK4782">
        <v>0</v>
      </c>
      <c r="AL4782">
        <v>0</v>
      </c>
      <c r="AM4782">
        <v>0</v>
      </c>
      <c r="AN4782">
        <v>0</v>
      </c>
      <c r="AO4782">
        <v>0</v>
      </c>
      <c r="AP4782">
        <v>0</v>
      </c>
      <c r="AQ4782">
        <v>1</v>
      </c>
      <c r="AR4782">
        <v>0</v>
      </c>
      <c r="AS4782">
        <v>0</v>
      </c>
      <c r="AT4782">
        <v>0</v>
      </c>
      <c r="AU4782">
        <f t="shared" si="148"/>
        <v>1</v>
      </c>
      <c r="AV4782">
        <f t="shared" si="149"/>
        <v>0</v>
      </c>
    </row>
    <row r="4783" spans="1:48" x14ac:dyDescent="0.25">
      <c r="A4783" t="s">
        <v>12517</v>
      </c>
      <c r="B4783" t="s">
        <v>114</v>
      </c>
      <c r="C4783" t="s">
        <v>12518</v>
      </c>
      <c r="D4783" t="s">
        <v>12519</v>
      </c>
      <c r="E4783" t="s">
        <v>1663</v>
      </c>
      <c r="F4783">
        <v>3</v>
      </c>
      <c r="G4783">
        <v>3.2</v>
      </c>
      <c r="H4783" t="s">
        <v>2327</v>
      </c>
      <c r="I4783" s="21">
        <v>42578</v>
      </c>
      <c r="J4783">
        <v>2016</v>
      </c>
      <c r="K4783" s="21">
        <v>42629</v>
      </c>
      <c r="L4783">
        <v>2016</v>
      </c>
      <c r="M4783" s="21">
        <v>43035</v>
      </c>
      <c r="N4783">
        <v>2017</v>
      </c>
      <c r="S4783" t="s">
        <v>9529</v>
      </c>
      <c r="T4783">
        <v>11521</v>
      </c>
      <c r="U4783">
        <v>9</v>
      </c>
      <c r="W4783">
        <v>-1216</v>
      </c>
      <c r="X4783">
        <v>-1</v>
      </c>
      <c r="Y4783">
        <v>0</v>
      </c>
      <c r="Z4783">
        <v>0</v>
      </c>
      <c r="AA4783">
        <v>0</v>
      </c>
      <c r="AB4783">
        <v>0</v>
      </c>
      <c r="AC4783">
        <v>0</v>
      </c>
      <c r="AD4783">
        <v>0</v>
      </c>
      <c r="AE4783">
        <v>0</v>
      </c>
      <c r="AF4783">
        <v>0</v>
      </c>
      <c r="AG4783">
        <v>-1216</v>
      </c>
      <c r="AH4783">
        <v>0</v>
      </c>
      <c r="AI4783">
        <v>0</v>
      </c>
      <c r="AJ4783">
        <v>0</v>
      </c>
      <c r="AK4783">
        <v>0</v>
      </c>
      <c r="AL4783">
        <v>0</v>
      </c>
      <c r="AM4783">
        <v>0</v>
      </c>
      <c r="AN4783">
        <v>0</v>
      </c>
      <c r="AO4783">
        <v>0</v>
      </c>
      <c r="AP4783">
        <v>0</v>
      </c>
      <c r="AQ4783">
        <v>0</v>
      </c>
      <c r="AR4783">
        <v>0</v>
      </c>
      <c r="AS4783">
        <v>-1</v>
      </c>
      <c r="AT4783">
        <v>0</v>
      </c>
      <c r="AU4783">
        <f t="shared" si="148"/>
        <v>-1</v>
      </c>
      <c r="AV4783">
        <f t="shared" si="149"/>
        <v>0</v>
      </c>
    </row>
    <row r="4784" spans="1:48" x14ac:dyDescent="0.25">
      <c r="A4784" t="s">
        <v>12517</v>
      </c>
      <c r="B4784" t="s">
        <v>114</v>
      </c>
      <c r="C4784" t="s">
        <v>12518</v>
      </c>
      <c r="D4784" t="s">
        <v>12519</v>
      </c>
      <c r="E4784" t="s">
        <v>1663</v>
      </c>
      <c r="F4784">
        <v>3</v>
      </c>
      <c r="G4784">
        <v>3.2</v>
      </c>
      <c r="H4784" t="s">
        <v>2327</v>
      </c>
      <c r="I4784" s="21">
        <v>42578</v>
      </c>
      <c r="J4784">
        <v>2016</v>
      </c>
      <c r="K4784" s="21">
        <v>42629</v>
      </c>
      <c r="L4784">
        <v>2016</v>
      </c>
      <c r="M4784" s="21">
        <v>43035</v>
      </c>
      <c r="N4784">
        <v>2017</v>
      </c>
      <c r="S4784" t="s">
        <v>9529</v>
      </c>
      <c r="T4784">
        <v>11522</v>
      </c>
      <c r="U4784">
        <v>9</v>
      </c>
      <c r="W4784">
        <v>-1216</v>
      </c>
      <c r="X4784">
        <v>-1</v>
      </c>
      <c r="Y4784">
        <v>0</v>
      </c>
      <c r="Z4784">
        <v>0</v>
      </c>
      <c r="AA4784">
        <v>0</v>
      </c>
      <c r="AB4784">
        <v>0</v>
      </c>
      <c r="AC4784">
        <v>0</v>
      </c>
      <c r="AD4784">
        <v>0</v>
      </c>
      <c r="AE4784">
        <v>0</v>
      </c>
      <c r="AF4784">
        <v>0</v>
      </c>
      <c r="AG4784">
        <v>-1216</v>
      </c>
      <c r="AH4784">
        <v>0</v>
      </c>
      <c r="AI4784">
        <v>0</v>
      </c>
      <c r="AJ4784">
        <v>0</v>
      </c>
      <c r="AK4784">
        <v>0</v>
      </c>
      <c r="AL4784">
        <v>0</v>
      </c>
      <c r="AM4784">
        <v>0</v>
      </c>
      <c r="AN4784">
        <v>0</v>
      </c>
      <c r="AO4784">
        <v>0</v>
      </c>
      <c r="AP4784">
        <v>0</v>
      </c>
      <c r="AQ4784">
        <v>0</v>
      </c>
      <c r="AR4784">
        <v>0</v>
      </c>
      <c r="AS4784">
        <v>-1</v>
      </c>
      <c r="AT4784">
        <v>0</v>
      </c>
      <c r="AU4784">
        <f t="shared" si="148"/>
        <v>-1</v>
      </c>
      <c r="AV4784">
        <f t="shared" si="149"/>
        <v>0</v>
      </c>
    </row>
    <row r="4785" spans="1:48" x14ac:dyDescent="0.25">
      <c r="A4785" t="s">
        <v>12517</v>
      </c>
      <c r="B4785" t="s">
        <v>114</v>
      </c>
      <c r="C4785" t="s">
        <v>12518</v>
      </c>
      <c r="D4785" t="s">
        <v>12519</v>
      </c>
      <c r="E4785" t="s">
        <v>1663</v>
      </c>
      <c r="F4785">
        <v>3</v>
      </c>
      <c r="G4785">
        <v>3.2</v>
      </c>
      <c r="H4785" t="s">
        <v>2327</v>
      </c>
      <c r="I4785" s="21">
        <v>42578</v>
      </c>
      <c r="J4785">
        <v>2016</v>
      </c>
      <c r="K4785" s="21">
        <v>42629</v>
      </c>
      <c r="L4785">
        <v>2016</v>
      </c>
      <c r="M4785" s="21">
        <v>43035</v>
      </c>
      <c r="N4785">
        <v>2017</v>
      </c>
      <c r="S4785" t="s">
        <v>9529</v>
      </c>
      <c r="T4785">
        <v>11523</v>
      </c>
      <c r="U4785">
        <v>9</v>
      </c>
      <c r="W4785">
        <v>-1216</v>
      </c>
      <c r="X4785">
        <v>-1</v>
      </c>
      <c r="Y4785">
        <v>0</v>
      </c>
      <c r="Z4785">
        <v>0</v>
      </c>
      <c r="AA4785">
        <v>0</v>
      </c>
      <c r="AB4785">
        <v>0</v>
      </c>
      <c r="AC4785">
        <v>0</v>
      </c>
      <c r="AD4785">
        <v>0</v>
      </c>
      <c r="AE4785">
        <v>0</v>
      </c>
      <c r="AF4785">
        <v>0</v>
      </c>
      <c r="AG4785">
        <v>-1216</v>
      </c>
      <c r="AH4785">
        <v>0</v>
      </c>
      <c r="AI4785">
        <v>0</v>
      </c>
      <c r="AJ4785">
        <v>0</v>
      </c>
      <c r="AK4785">
        <v>0</v>
      </c>
      <c r="AL4785">
        <v>0</v>
      </c>
      <c r="AM4785">
        <v>0</v>
      </c>
      <c r="AN4785">
        <v>0</v>
      </c>
      <c r="AO4785">
        <v>0</v>
      </c>
      <c r="AP4785">
        <v>0</v>
      </c>
      <c r="AQ4785">
        <v>0</v>
      </c>
      <c r="AR4785">
        <v>0</v>
      </c>
      <c r="AS4785">
        <v>-1</v>
      </c>
      <c r="AT4785">
        <v>0</v>
      </c>
      <c r="AU4785">
        <f t="shared" si="148"/>
        <v>-1</v>
      </c>
      <c r="AV4785">
        <f t="shared" si="149"/>
        <v>0</v>
      </c>
    </row>
    <row r="4786" spans="1:48" x14ac:dyDescent="0.25">
      <c r="A4786" t="s">
        <v>12517</v>
      </c>
      <c r="B4786" t="s">
        <v>114</v>
      </c>
      <c r="C4786" t="s">
        <v>12518</v>
      </c>
      <c r="D4786" t="s">
        <v>12519</v>
      </c>
      <c r="E4786" t="s">
        <v>1663</v>
      </c>
      <c r="F4786">
        <v>3</v>
      </c>
      <c r="G4786">
        <v>3.2</v>
      </c>
      <c r="H4786" t="s">
        <v>2327</v>
      </c>
      <c r="I4786" s="21">
        <v>42578</v>
      </c>
      <c r="J4786">
        <v>2016</v>
      </c>
      <c r="K4786" s="21">
        <v>42629</v>
      </c>
      <c r="L4786">
        <v>2016</v>
      </c>
      <c r="M4786" s="21">
        <v>43035</v>
      </c>
      <c r="N4786">
        <v>2017</v>
      </c>
      <c r="S4786" t="s">
        <v>9529</v>
      </c>
      <c r="T4786">
        <v>11524</v>
      </c>
      <c r="U4786">
        <v>9</v>
      </c>
      <c r="W4786">
        <v>-1216</v>
      </c>
      <c r="X4786">
        <v>-1</v>
      </c>
      <c r="Y4786">
        <v>0</v>
      </c>
      <c r="Z4786">
        <v>0</v>
      </c>
      <c r="AA4786">
        <v>0</v>
      </c>
      <c r="AB4786">
        <v>0</v>
      </c>
      <c r="AC4786">
        <v>0</v>
      </c>
      <c r="AD4786">
        <v>0</v>
      </c>
      <c r="AE4786">
        <v>0</v>
      </c>
      <c r="AF4786">
        <v>0</v>
      </c>
      <c r="AG4786">
        <v>-1216</v>
      </c>
      <c r="AH4786">
        <v>0</v>
      </c>
      <c r="AI4786">
        <v>0</v>
      </c>
      <c r="AJ4786">
        <v>0</v>
      </c>
      <c r="AK4786">
        <v>0</v>
      </c>
      <c r="AL4786">
        <v>0</v>
      </c>
      <c r="AM4786">
        <v>0</v>
      </c>
      <c r="AN4786">
        <v>0</v>
      </c>
      <c r="AO4786">
        <v>0</v>
      </c>
      <c r="AP4786">
        <v>0</v>
      </c>
      <c r="AQ4786">
        <v>0</v>
      </c>
      <c r="AR4786">
        <v>0</v>
      </c>
      <c r="AS4786">
        <v>-1</v>
      </c>
      <c r="AT4786">
        <v>0</v>
      </c>
      <c r="AU4786">
        <f t="shared" si="148"/>
        <v>-1</v>
      </c>
      <c r="AV4786">
        <f t="shared" si="149"/>
        <v>0</v>
      </c>
    </row>
    <row r="4787" spans="1:48" x14ac:dyDescent="0.25">
      <c r="A4787" t="s">
        <v>12517</v>
      </c>
      <c r="B4787" t="s">
        <v>114</v>
      </c>
      <c r="C4787" t="s">
        <v>12518</v>
      </c>
      <c r="D4787" t="s">
        <v>12519</v>
      </c>
      <c r="E4787" t="s">
        <v>1663</v>
      </c>
      <c r="F4787">
        <v>3</v>
      </c>
      <c r="G4787">
        <v>3.2</v>
      </c>
      <c r="H4787" t="s">
        <v>2327</v>
      </c>
      <c r="I4787" s="21">
        <v>42578</v>
      </c>
      <c r="J4787">
        <v>2016</v>
      </c>
      <c r="K4787" s="21">
        <v>42629</v>
      </c>
      <c r="L4787">
        <v>2016</v>
      </c>
      <c r="M4787" s="21">
        <v>43035</v>
      </c>
      <c r="N4787">
        <v>2017</v>
      </c>
      <c r="S4787" t="s">
        <v>9529</v>
      </c>
      <c r="T4787">
        <v>11525</v>
      </c>
      <c r="U4787">
        <v>9</v>
      </c>
      <c r="W4787">
        <v>-1216</v>
      </c>
      <c r="X4787">
        <v>-1</v>
      </c>
      <c r="Y4787">
        <v>0</v>
      </c>
      <c r="Z4787">
        <v>0</v>
      </c>
      <c r="AA4787">
        <v>0</v>
      </c>
      <c r="AB4787">
        <v>0</v>
      </c>
      <c r="AC4787">
        <v>0</v>
      </c>
      <c r="AD4787">
        <v>0</v>
      </c>
      <c r="AE4787">
        <v>0</v>
      </c>
      <c r="AF4787">
        <v>0</v>
      </c>
      <c r="AG4787">
        <v>-1216</v>
      </c>
      <c r="AH4787">
        <v>0</v>
      </c>
      <c r="AI4787">
        <v>0</v>
      </c>
      <c r="AJ4787">
        <v>0</v>
      </c>
      <c r="AK4787">
        <v>0</v>
      </c>
      <c r="AL4787">
        <v>0</v>
      </c>
      <c r="AM4787">
        <v>0</v>
      </c>
      <c r="AN4787">
        <v>0</v>
      </c>
      <c r="AO4787">
        <v>0</v>
      </c>
      <c r="AP4787">
        <v>0</v>
      </c>
      <c r="AQ4787">
        <v>0</v>
      </c>
      <c r="AR4787">
        <v>0</v>
      </c>
      <c r="AS4787">
        <v>-1</v>
      </c>
      <c r="AT4787">
        <v>0</v>
      </c>
      <c r="AU4787">
        <f t="shared" si="148"/>
        <v>-1</v>
      </c>
      <c r="AV4787">
        <f t="shared" si="149"/>
        <v>0</v>
      </c>
    </row>
    <row r="4788" spans="1:48" x14ac:dyDescent="0.25">
      <c r="A4788" t="s">
        <v>12517</v>
      </c>
      <c r="B4788" t="s">
        <v>114</v>
      </c>
      <c r="C4788" t="s">
        <v>12518</v>
      </c>
      <c r="D4788" t="s">
        <v>12519</v>
      </c>
      <c r="E4788" t="s">
        <v>1663</v>
      </c>
      <c r="F4788">
        <v>3</v>
      </c>
      <c r="G4788">
        <v>3.2</v>
      </c>
      <c r="H4788" t="s">
        <v>2327</v>
      </c>
      <c r="I4788" s="21">
        <v>42578</v>
      </c>
      <c r="J4788">
        <v>2016</v>
      </c>
      <c r="K4788" s="21">
        <v>42629</v>
      </c>
      <c r="L4788">
        <v>2016</v>
      </c>
      <c r="M4788" s="21">
        <v>43035</v>
      </c>
      <c r="N4788">
        <v>2017</v>
      </c>
      <c r="S4788" t="s">
        <v>9529</v>
      </c>
      <c r="T4788">
        <v>11526</v>
      </c>
      <c r="U4788">
        <v>9</v>
      </c>
      <c r="W4788">
        <v>-1216</v>
      </c>
      <c r="X4788">
        <v>-1</v>
      </c>
      <c r="Y4788">
        <v>0</v>
      </c>
      <c r="Z4788">
        <v>0</v>
      </c>
      <c r="AA4788">
        <v>0</v>
      </c>
      <c r="AB4788">
        <v>0</v>
      </c>
      <c r="AC4788">
        <v>0</v>
      </c>
      <c r="AD4788">
        <v>0</v>
      </c>
      <c r="AE4788">
        <v>0</v>
      </c>
      <c r="AF4788">
        <v>0</v>
      </c>
      <c r="AG4788">
        <v>-1216</v>
      </c>
      <c r="AH4788">
        <v>0</v>
      </c>
      <c r="AI4788">
        <v>0</v>
      </c>
      <c r="AJ4788">
        <v>0</v>
      </c>
      <c r="AK4788">
        <v>0</v>
      </c>
      <c r="AL4788">
        <v>0</v>
      </c>
      <c r="AM4788">
        <v>0</v>
      </c>
      <c r="AN4788">
        <v>0</v>
      </c>
      <c r="AO4788">
        <v>0</v>
      </c>
      <c r="AP4788">
        <v>0</v>
      </c>
      <c r="AQ4788">
        <v>0</v>
      </c>
      <c r="AR4788">
        <v>0</v>
      </c>
      <c r="AS4788">
        <v>-1</v>
      </c>
      <c r="AT4788">
        <v>0</v>
      </c>
      <c r="AU4788">
        <f t="shared" si="148"/>
        <v>-1</v>
      </c>
      <c r="AV4788">
        <f t="shared" si="149"/>
        <v>0</v>
      </c>
    </row>
    <row r="4789" spans="1:48" x14ac:dyDescent="0.25">
      <c r="A4789" t="s">
        <v>12517</v>
      </c>
      <c r="B4789" t="s">
        <v>114</v>
      </c>
      <c r="C4789" t="s">
        <v>12518</v>
      </c>
      <c r="D4789" t="s">
        <v>12519</v>
      </c>
      <c r="E4789" t="s">
        <v>1663</v>
      </c>
      <c r="F4789">
        <v>3</v>
      </c>
      <c r="G4789">
        <v>3.2</v>
      </c>
      <c r="H4789" t="s">
        <v>2327</v>
      </c>
      <c r="I4789" s="21">
        <v>42578</v>
      </c>
      <c r="J4789">
        <v>2016</v>
      </c>
      <c r="K4789" s="21">
        <v>42629</v>
      </c>
      <c r="L4789">
        <v>2016</v>
      </c>
      <c r="M4789" s="21">
        <v>43035</v>
      </c>
      <c r="N4789">
        <v>2017</v>
      </c>
      <c r="S4789" t="s">
        <v>9529</v>
      </c>
      <c r="T4789">
        <v>11527</v>
      </c>
      <c r="U4789">
        <v>9</v>
      </c>
      <c r="W4789">
        <v>-1216</v>
      </c>
      <c r="X4789">
        <v>-1</v>
      </c>
      <c r="Y4789">
        <v>0</v>
      </c>
      <c r="Z4789">
        <v>0</v>
      </c>
      <c r="AA4789">
        <v>0</v>
      </c>
      <c r="AB4789">
        <v>0</v>
      </c>
      <c r="AC4789">
        <v>0</v>
      </c>
      <c r="AD4789">
        <v>0</v>
      </c>
      <c r="AE4789">
        <v>0</v>
      </c>
      <c r="AF4789">
        <v>0</v>
      </c>
      <c r="AG4789">
        <v>-1216</v>
      </c>
      <c r="AH4789">
        <v>0</v>
      </c>
      <c r="AI4789">
        <v>0</v>
      </c>
      <c r="AJ4789">
        <v>0</v>
      </c>
      <c r="AK4789">
        <v>0</v>
      </c>
      <c r="AL4789">
        <v>0</v>
      </c>
      <c r="AM4789">
        <v>0</v>
      </c>
      <c r="AN4789">
        <v>0</v>
      </c>
      <c r="AO4789">
        <v>0</v>
      </c>
      <c r="AP4789">
        <v>0</v>
      </c>
      <c r="AQ4789">
        <v>0</v>
      </c>
      <c r="AR4789">
        <v>0</v>
      </c>
      <c r="AS4789">
        <v>-1</v>
      </c>
      <c r="AT4789">
        <v>0</v>
      </c>
      <c r="AU4789">
        <f t="shared" si="148"/>
        <v>-1</v>
      </c>
      <c r="AV4789">
        <f t="shared" si="149"/>
        <v>0</v>
      </c>
    </row>
    <row r="4790" spans="1:48" x14ac:dyDescent="0.25">
      <c r="A4790" t="s">
        <v>12517</v>
      </c>
      <c r="B4790" t="s">
        <v>114</v>
      </c>
      <c r="C4790" t="s">
        <v>12518</v>
      </c>
      <c r="D4790" t="s">
        <v>12519</v>
      </c>
      <c r="E4790" t="s">
        <v>1663</v>
      </c>
      <c r="F4790">
        <v>3</v>
      </c>
      <c r="G4790">
        <v>3.2</v>
      </c>
      <c r="H4790" t="s">
        <v>2327</v>
      </c>
      <c r="I4790" s="21">
        <v>42578</v>
      </c>
      <c r="J4790">
        <v>2016</v>
      </c>
      <c r="K4790" s="21">
        <v>42629</v>
      </c>
      <c r="L4790">
        <v>2016</v>
      </c>
      <c r="M4790" s="21">
        <v>43035</v>
      </c>
      <c r="N4790">
        <v>2017</v>
      </c>
      <c r="Q4790" s="262">
        <v>2496956</v>
      </c>
      <c r="S4790" t="s">
        <v>12464</v>
      </c>
      <c r="T4790" t="s">
        <v>12978</v>
      </c>
      <c r="W4790">
        <v>10003</v>
      </c>
      <c r="X4790">
        <v>12</v>
      </c>
      <c r="Y4790">
        <v>0</v>
      </c>
      <c r="Z4790">
        <v>0</v>
      </c>
      <c r="AA4790">
        <v>0</v>
      </c>
      <c r="AB4790">
        <v>0</v>
      </c>
      <c r="AC4790">
        <v>0</v>
      </c>
      <c r="AD4790">
        <v>0</v>
      </c>
      <c r="AE4790">
        <v>10003</v>
      </c>
      <c r="AF4790">
        <v>0</v>
      </c>
      <c r="AG4790">
        <v>0</v>
      </c>
      <c r="AH4790">
        <v>0</v>
      </c>
      <c r="AI4790">
        <v>0</v>
      </c>
      <c r="AJ4790">
        <v>0</v>
      </c>
      <c r="AK4790">
        <v>0</v>
      </c>
      <c r="AL4790">
        <v>0</v>
      </c>
      <c r="AM4790">
        <v>0</v>
      </c>
      <c r="AN4790">
        <v>0</v>
      </c>
      <c r="AO4790">
        <v>0</v>
      </c>
      <c r="AP4790">
        <v>0</v>
      </c>
      <c r="AQ4790">
        <v>12</v>
      </c>
      <c r="AR4790">
        <v>0</v>
      </c>
      <c r="AS4790">
        <v>0</v>
      </c>
      <c r="AT4790">
        <v>0</v>
      </c>
      <c r="AU4790">
        <f t="shared" si="148"/>
        <v>12</v>
      </c>
      <c r="AV4790">
        <f t="shared" si="149"/>
        <v>0</v>
      </c>
    </row>
    <row r="4791" spans="1:48" x14ac:dyDescent="0.25">
      <c r="A4791" t="s">
        <v>13351</v>
      </c>
      <c r="B4791" t="s">
        <v>13351</v>
      </c>
      <c r="C4791" t="s">
        <v>13352</v>
      </c>
      <c r="D4791" t="s">
        <v>2813</v>
      </c>
      <c r="E4791" t="s">
        <v>2310</v>
      </c>
      <c r="F4791">
        <v>10</v>
      </c>
      <c r="G4791">
        <v>10.1</v>
      </c>
      <c r="H4791" t="s">
        <v>2323</v>
      </c>
      <c r="I4791" s="21">
        <v>42579.465937499997</v>
      </c>
      <c r="J4791">
        <v>2016</v>
      </c>
      <c r="O4791" s="21">
        <v>42590.594641203701</v>
      </c>
      <c r="Q4791" s="262">
        <v>150000</v>
      </c>
      <c r="R4791" s="262">
        <v>95000</v>
      </c>
      <c r="S4791" t="s">
        <v>114</v>
      </c>
      <c r="T4791" t="s">
        <v>114</v>
      </c>
      <c r="V4791">
        <v>650</v>
      </c>
      <c r="W4791">
        <v>348</v>
      </c>
      <c r="X4791">
        <v>0</v>
      </c>
      <c r="Y4791">
        <v>0</v>
      </c>
      <c r="Z4791">
        <v>0</v>
      </c>
      <c r="AA4791">
        <v>0</v>
      </c>
      <c r="AB4791">
        <v>0</v>
      </c>
      <c r="AC4791">
        <v>348</v>
      </c>
      <c r="AD4791">
        <v>0</v>
      </c>
      <c r="AE4791">
        <v>0</v>
      </c>
      <c r="AF4791">
        <v>0</v>
      </c>
      <c r="AG4791">
        <v>0</v>
      </c>
      <c r="AH4791">
        <v>0</v>
      </c>
      <c r="AI4791">
        <v>0</v>
      </c>
      <c r="AJ4791">
        <v>0</v>
      </c>
      <c r="AK4791">
        <v>0</v>
      </c>
      <c r="AL4791">
        <v>0</v>
      </c>
      <c r="AM4791">
        <v>0</v>
      </c>
      <c r="AN4791">
        <v>0</v>
      </c>
      <c r="AO4791">
        <v>0</v>
      </c>
      <c r="AP4791">
        <v>0</v>
      </c>
      <c r="AQ4791">
        <v>0</v>
      </c>
      <c r="AR4791">
        <v>0</v>
      </c>
      <c r="AS4791">
        <v>0</v>
      </c>
      <c r="AT4791">
        <v>0</v>
      </c>
      <c r="AU4791">
        <f t="shared" si="148"/>
        <v>0</v>
      </c>
      <c r="AV4791">
        <f t="shared" si="149"/>
        <v>0</v>
      </c>
    </row>
    <row r="4792" spans="1:48" x14ac:dyDescent="0.25">
      <c r="A4792" t="s">
        <v>14595</v>
      </c>
      <c r="C4792" t="s">
        <v>14596</v>
      </c>
      <c r="D4792" t="s">
        <v>13601</v>
      </c>
      <c r="E4792" t="s">
        <v>1663</v>
      </c>
      <c r="F4792">
        <v>2</v>
      </c>
      <c r="G4792">
        <v>2.2999999999999998</v>
      </c>
      <c r="H4792" t="s">
        <v>2327</v>
      </c>
      <c r="I4792" s="21">
        <v>42580</v>
      </c>
      <c r="J4792">
        <v>2016</v>
      </c>
      <c r="K4792" s="21">
        <v>42601</v>
      </c>
      <c r="L4792">
        <v>2016</v>
      </c>
      <c r="M4792" s="21">
        <v>42940</v>
      </c>
      <c r="N4792">
        <v>2017</v>
      </c>
      <c r="Q4792" s="262">
        <v>150000</v>
      </c>
      <c r="S4792" t="s">
        <v>114</v>
      </c>
      <c r="T4792" t="s">
        <v>114</v>
      </c>
      <c r="W4792">
        <v>0</v>
      </c>
      <c r="X4792">
        <v>0</v>
      </c>
      <c r="Y4792">
        <v>0</v>
      </c>
      <c r="Z4792">
        <v>0</v>
      </c>
      <c r="AA4792">
        <v>0</v>
      </c>
      <c r="AB4792">
        <v>0</v>
      </c>
      <c r="AC4792">
        <v>0</v>
      </c>
      <c r="AD4792">
        <v>0</v>
      </c>
      <c r="AE4792">
        <v>0</v>
      </c>
      <c r="AF4792">
        <v>0</v>
      </c>
      <c r="AG4792">
        <v>0</v>
      </c>
      <c r="AH4792">
        <v>0</v>
      </c>
      <c r="AI4792">
        <v>0</v>
      </c>
      <c r="AJ4792">
        <v>0</v>
      </c>
      <c r="AK4792">
        <v>0</v>
      </c>
      <c r="AL4792">
        <v>0</v>
      </c>
      <c r="AM4792">
        <v>0</v>
      </c>
      <c r="AN4792">
        <v>0</v>
      </c>
      <c r="AO4792">
        <v>0</v>
      </c>
      <c r="AP4792">
        <v>0</v>
      </c>
      <c r="AQ4792">
        <v>0</v>
      </c>
      <c r="AR4792">
        <v>0</v>
      </c>
      <c r="AS4792">
        <v>0</v>
      </c>
      <c r="AT4792">
        <v>0</v>
      </c>
      <c r="AU4792">
        <f t="shared" si="148"/>
        <v>0</v>
      </c>
      <c r="AV4792">
        <f t="shared" si="149"/>
        <v>0</v>
      </c>
    </row>
    <row r="4793" spans="1:48" x14ac:dyDescent="0.25">
      <c r="A4793" t="s">
        <v>14703</v>
      </c>
      <c r="C4793" t="s">
        <v>14704</v>
      </c>
      <c r="D4793" t="s">
        <v>6627</v>
      </c>
      <c r="E4793" t="s">
        <v>1663</v>
      </c>
      <c r="F4793">
        <v>2</v>
      </c>
      <c r="G4793">
        <v>2.2999999999999998</v>
      </c>
      <c r="H4793" t="s">
        <v>2327</v>
      </c>
      <c r="I4793" s="21">
        <v>42580</v>
      </c>
      <c r="J4793">
        <v>2016</v>
      </c>
      <c r="K4793" s="21">
        <v>42601</v>
      </c>
      <c r="L4793">
        <v>2016</v>
      </c>
      <c r="M4793" s="21">
        <v>42817</v>
      </c>
      <c r="N4793">
        <v>2017</v>
      </c>
      <c r="Q4793" s="262">
        <v>700000</v>
      </c>
      <c r="S4793" t="s">
        <v>114</v>
      </c>
      <c r="T4793" t="s">
        <v>114</v>
      </c>
      <c r="V4793">
        <v>3541</v>
      </c>
      <c r="W4793">
        <v>0</v>
      </c>
      <c r="X4793">
        <v>0</v>
      </c>
      <c r="Y4793">
        <v>0</v>
      </c>
      <c r="Z4793">
        <v>0</v>
      </c>
      <c r="AA4793">
        <v>0</v>
      </c>
      <c r="AB4793">
        <v>0</v>
      </c>
      <c r="AC4793">
        <v>0</v>
      </c>
      <c r="AD4793">
        <v>0</v>
      </c>
      <c r="AE4793">
        <v>0</v>
      </c>
      <c r="AF4793">
        <v>0</v>
      </c>
      <c r="AG4793">
        <v>0</v>
      </c>
      <c r="AH4793">
        <v>0</v>
      </c>
      <c r="AI4793">
        <v>0</v>
      </c>
      <c r="AJ4793">
        <v>0</v>
      </c>
      <c r="AK4793">
        <v>0</v>
      </c>
      <c r="AL4793">
        <v>0</v>
      </c>
      <c r="AM4793">
        <v>0</v>
      </c>
      <c r="AN4793">
        <v>0</v>
      </c>
      <c r="AO4793">
        <v>0</v>
      </c>
      <c r="AP4793">
        <v>0</v>
      </c>
      <c r="AQ4793">
        <v>0</v>
      </c>
      <c r="AR4793">
        <v>0</v>
      </c>
      <c r="AS4793">
        <v>0</v>
      </c>
      <c r="AT4793">
        <v>0</v>
      </c>
      <c r="AU4793">
        <f t="shared" si="148"/>
        <v>0</v>
      </c>
      <c r="AV4793">
        <f t="shared" si="149"/>
        <v>0</v>
      </c>
    </row>
    <row r="4794" spans="1:48" x14ac:dyDescent="0.25">
      <c r="A4794" t="s">
        <v>18737</v>
      </c>
      <c r="B4794" t="s">
        <v>18737</v>
      </c>
      <c r="C4794" t="s">
        <v>18738</v>
      </c>
      <c r="D4794" t="s">
        <v>17870</v>
      </c>
      <c r="E4794" t="s">
        <v>2310</v>
      </c>
      <c r="F4794">
        <v>9</v>
      </c>
      <c r="G4794">
        <v>9.1</v>
      </c>
      <c r="H4794" t="s">
        <v>2323</v>
      </c>
      <c r="I4794" s="21">
        <v>42584.444212962961</v>
      </c>
      <c r="J4794">
        <v>2016</v>
      </c>
      <c r="K4794" s="21">
        <v>43083.356134259258</v>
      </c>
      <c r="L4794">
        <v>2017</v>
      </c>
      <c r="M4794" s="21">
        <v>43083.356134259258</v>
      </c>
      <c r="N4794">
        <v>2017</v>
      </c>
      <c r="Q4794" s="262">
        <v>500000</v>
      </c>
      <c r="R4794" s="262">
        <v>120000</v>
      </c>
      <c r="S4794" t="s">
        <v>13254</v>
      </c>
      <c r="W4794">
        <v>996</v>
      </c>
      <c r="X4794">
        <v>1</v>
      </c>
      <c r="Y4794">
        <v>0</v>
      </c>
      <c r="Z4794">
        <v>0</v>
      </c>
      <c r="AA4794">
        <v>0</v>
      </c>
      <c r="AB4794">
        <v>0</v>
      </c>
      <c r="AC4794">
        <v>0</v>
      </c>
      <c r="AD4794">
        <v>0</v>
      </c>
      <c r="AE4794">
        <v>0</v>
      </c>
      <c r="AF4794">
        <v>996</v>
      </c>
      <c r="AG4794">
        <v>0</v>
      </c>
      <c r="AH4794">
        <v>0</v>
      </c>
      <c r="AI4794">
        <v>0</v>
      </c>
      <c r="AJ4794">
        <v>0</v>
      </c>
      <c r="AK4794">
        <v>0</v>
      </c>
      <c r="AL4794">
        <v>0</v>
      </c>
      <c r="AM4794">
        <v>0</v>
      </c>
      <c r="AN4794">
        <v>0</v>
      </c>
      <c r="AO4794">
        <v>0</v>
      </c>
      <c r="AP4794">
        <v>0</v>
      </c>
      <c r="AQ4794">
        <v>0</v>
      </c>
      <c r="AR4794">
        <v>1</v>
      </c>
      <c r="AS4794">
        <v>0</v>
      </c>
      <c r="AT4794">
        <v>0</v>
      </c>
      <c r="AU4794">
        <f t="shared" si="148"/>
        <v>0</v>
      </c>
      <c r="AV4794">
        <f t="shared" si="149"/>
        <v>0</v>
      </c>
    </row>
    <row r="4795" spans="1:48" x14ac:dyDescent="0.25">
      <c r="A4795" t="s">
        <v>18741</v>
      </c>
      <c r="B4795" t="s">
        <v>18741</v>
      </c>
      <c r="C4795" t="s">
        <v>18742</v>
      </c>
      <c r="D4795" t="s">
        <v>18743</v>
      </c>
      <c r="E4795" t="s">
        <v>2310</v>
      </c>
      <c r="F4795">
        <v>15</v>
      </c>
      <c r="G4795">
        <v>15.1</v>
      </c>
      <c r="H4795" t="s">
        <v>2022</v>
      </c>
      <c r="I4795" s="21">
        <v>42584.473773148151</v>
      </c>
      <c r="J4795">
        <v>2016</v>
      </c>
      <c r="K4795" s="21">
        <v>43075.695706018516</v>
      </c>
      <c r="L4795">
        <v>2017</v>
      </c>
      <c r="M4795" s="21">
        <v>43075.695706018516</v>
      </c>
      <c r="N4795">
        <v>2017</v>
      </c>
      <c r="Q4795" s="262">
        <v>750000</v>
      </c>
      <c r="R4795" s="262">
        <v>235000</v>
      </c>
      <c r="S4795" t="s">
        <v>13254</v>
      </c>
      <c r="W4795">
        <v>2564</v>
      </c>
      <c r="X4795">
        <v>1</v>
      </c>
      <c r="Y4795">
        <v>0</v>
      </c>
      <c r="Z4795">
        <v>0</v>
      </c>
      <c r="AA4795">
        <v>0</v>
      </c>
      <c r="AB4795">
        <v>0</v>
      </c>
      <c r="AC4795">
        <v>2564</v>
      </c>
      <c r="AD4795">
        <v>0</v>
      </c>
      <c r="AE4795">
        <v>0</v>
      </c>
      <c r="AF4795">
        <v>0</v>
      </c>
      <c r="AG4795">
        <v>0</v>
      </c>
      <c r="AH4795">
        <v>0</v>
      </c>
      <c r="AI4795">
        <v>0</v>
      </c>
      <c r="AJ4795">
        <v>0</v>
      </c>
      <c r="AK4795">
        <v>0</v>
      </c>
      <c r="AL4795">
        <v>0</v>
      </c>
      <c r="AM4795">
        <v>0</v>
      </c>
      <c r="AN4795">
        <v>0</v>
      </c>
      <c r="AO4795">
        <v>1</v>
      </c>
      <c r="AP4795">
        <v>0</v>
      </c>
      <c r="AQ4795">
        <v>0</v>
      </c>
      <c r="AR4795">
        <v>0</v>
      </c>
      <c r="AS4795">
        <v>0</v>
      </c>
      <c r="AT4795">
        <v>0</v>
      </c>
      <c r="AU4795">
        <f t="shared" si="148"/>
        <v>1</v>
      </c>
      <c r="AV4795">
        <f t="shared" si="149"/>
        <v>0</v>
      </c>
    </row>
    <row r="4796" spans="1:48" x14ac:dyDescent="0.25">
      <c r="A4796" t="s">
        <v>18236</v>
      </c>
      <c r="B4796" t="s">
        <v>18236</v>
      </c>
      <c r="C4796" t="s">
        <v>18237</v>
      </c>
      <c r="D4796" t="s">
        <v>18238</v>
      </c>
      <c r="E4796" t="s">
        <v>2310</v>
      </c>
      <c r="F4796">
        <v>8</v>
      </c>
      <c r="G4796">
        <v>8.1999999999999993</v>
      </c>
      <c r="H4796" t="s">
        <v>2022</v>
      </c>
      <c r="I4796" s="21">
        <v>42584.614212962966</v>
      </c>
      <c r="J4796">
        <v>2016</v>
      </c>
      <c r="K4796" s="21">
        <v>43376.412754745368</v>
      </c>
      <c r="L4796">
        <v>2018</v>
      </c>
      <c r="M4796" s="21">
        <v>43342.34334097222</v>
      </c>
      <c r="N4796">
        <v>2018</v>
      </c>
      <c r="Q4796" s="262">
        <v>1600000</v>
      </c>
      <c r="R4796" s="262">
        <v>194000</v>
      </c>
      <c r="S4796" t="s">
        <v>13254</v>
      </c>
      <c r="W4796">
        <v>1683</v>
      </c>
      <c r="X4796">
        <v>1</v>
      </c>
      <c r="Y4796">
        <v>0</v>
      </c>
      <c r="Z4796">
        <v>0</v>
      </c>
      <c r="AA4796">
        <v>0</v>
      </c>
      <c r="AB4796">
        <v>0</v>
      </c>
      <c r="AC4796">
        <v>1683</v>
      </c>
      <c r="AD4796">
        <v>0</v>
      </c>
      <c r="AE4796">
        <v>0</v>
      </c>
      <c r="AF4796">
        <v>0</v>
      </c>
      <c r="AG4796">
        <v>0</v>
      </c>
      <c r="AH4796">
        <v>0</v>
      </c>
      <c r="AI4796">
        <v>0</v>
      </c>
      <c r="AJ4796">
        <v>0</v>
      </c>
      <c r="AK4796">
        <v>0</v>
      </c>
      <c r="AL4796">
        <v>0</v>
      </c>
      <c r="AM4796">
        <v>0</v>
      </c>
      <c r="AN4796">
        <v>0</v>
      </c>
      <c r="AO4796">
        <v>1</v>
      </c>
      <c r="AP4796">
        <v>0</v>
      </c>
      <c r="AQ4796">
        <v>0</v>
      </c>
      <c r="AR4796">
        <v>0</v>
      </c>
      <c r="AS4796">
        <v>0</v>
      </c>
      <c r="AT4796">
        <v>0</v>
      </c>
      <c r="AU4796">
        <f t="shared" si="148"/>
        <v>1</v>
      </c>
      <c r="AV4796">
        <f t="shared" si="149"/>
        <v>0</v>
      </c>
    </row>
    <row r="4797" spans="1:48" x14ac:dyDescent="0.25">
      <c r="A4797" t="s">
        <v>18239</v>
      </c>
      <c r="B4797" t="s">
        <v>18239</v>
      </c>
      <c r="C4797" t="s">
        <v>13256</v>
      </c>
      <c r="D4797" t="s">
        <v>18238</v>
      </c>
      <c r="E4797" t="s">
        <v>2310</v>
      </c>
      <c r="F4797">
        <v>8</v>
      </c>
      <c r="G4797">
        <v>8.1999999999999993</v>
      </c>
      <c r="H4797" t="s">
        <v>2022</v>
      </c>
      <c r="I4797" s="21">
        <v>42584.625833333332</v>
      </c>
      <c r="J4797">
        <v>2016</v>
      </c>
      <c r="K4797" s="21">
        <v>42773.579363425924</v>
      </c>
      <c r="L4797">
        <v>2017</v>
      </c>
      <c r="M4797" s="21">
        <v>43342.344671840277</v>
      </c>
      <c r="N4797">
        <v>2018</v>
      </c>
      <c r="Q4797" s="262">
        <v>75000</v>
      </c>
      <c r="R4797" s="262">
        <v>16000</v>
      </c>
      <c r="S4797" t="s">
        <v>13254</v>
      </c>
      <c r="W4797">
        <v>367</v>
      </c>
      <c r="X4797">
        <v>0</v>
      </c>
      <c r="Y4797">
        <v>0</v>
      </c>
      <c r="Z4797">
        <v>0</v>
      </c>
      <c r="AA4797">
        <v>0</v>
      </c>
      <c r="AB4797">
        <v>0</v>
      </c>
      <c r="AC4797">
        <v>367</v>
      </c>
      <c r="AD4797">
        <v>0</v>
      </c>
      <c r="AE4797">
        <v>0</v>
      </c>
      <c r="AF4797">
        <v>0</v>
      </c>
      <c r="AG4797">
        <v>0</v>
      </c>
      <c r="AH4797">
        <v>0</v>
      </c>
      <c r="AI4797">
        <v>0</v>
      </c>
      <c r="AJ4797">
        <v>0</v>
      </c>
      <c r="AK4797">
        <v>0</v>
      </c>
      <c r="AL4797">
        <v>0</v>
      </c>
      <c r="AM4797">
        <v>0</v>
      </c>
      <c r="AN4797">
        <v>0</v>
      </c>
      <c r="AO4797">
        <v>0</v>
      </c>
      <c r="AP4797">
        <v>0</v>
      </c>
      <c r="AQ4797">
        <v>0</v>
      </c>
      <c r="AR4797">
        <v>0</v>
      </c>
      <c r="AS4797">
        <v>0</v>
      </c>
      <c r="AT4797">
        <v>0</v>
      </c>
      <c r="AU4797">
        <f t="shared" si="148"/>
        <v>0</v>
      </c>
      <c r="AV4797">
        <f t="shared" si="149"/>
        <v>0</v>
      </c>
    </row>
    <row r="4798" spans="1:48" x14ac:dyDescent="0.25">
      <c r="A4798" t="s">
        <v>18744</v>
      </c>
      <c r="B4798" t="s">
        <v>18744</v>
      </c>
      <c r="C4798" t="s">
        <v>18745</v>
      </c>
      <c r="D4798" t="s">
        <v>8421</v>
      </c>
      <c r="E4798" t="s">
        <v>2310</v>
      </c>
      <c r="F4798">
        <v>8</v>
      </c>
      <c r="G4798">
        <v>8.1</v>
      </c>
      <c r="H4798" t="s">
        <v>2323</v>
      </c>
      <c r="I4798" s="21">
        <v>42585.608495370368</v>
      </c>
      <c r="J4798">
        <v>2016</v>
      </c>
      <c r="K4798" s="21">
        <v>43075.690798611111</v>
      </c>
      <c r="L4798">
        <v>2017</v>
      </c>
      <c r="M4798" s="21">
        <v>43075.690798611111</v>
      </c>
      <c r="N4798">
        <v>2017</v>
      </c>
      <c r="Q4798" s="262">
        <v>1500000</v>
      </c>
      <c r="R4798" s="262">
        <v>998000</v>
      </c>
      <c r="S4798" t="s">
        <v>13253</v>
      </c>
      <c r="T4798">
        <v>8340</v>
      </c>
      <c r="W4798">
        <v>223</v>
      </c>
      <c r="X4798">
        <v>0</v>
      </c>
      <c r="Y4798">
        <v>0</v>
      </c>
      <c r="Z4798">
        <v>0</v>
      </c>
      <c r="AA4798">
        <v>0</v>
      </c>
      <c r="AB4798">
        <v>0</v>
      </c>
      <c r="AC4798">
        <v>223</v>
      </c>
      <c r="AD4798">
        <v>0</v>
      </c>
      <c r="AE4798">
        <v>0</v>
      </c>
      <c r="AF4798">
        <v>0</v>
      </c>
      <c r="AG4798">
        <v>0</v>
      </c>
      <c r="AH4798">
        <v>0</v>
      </c>
      <c r="AI4798">
        <v>0</v>
      </c>
      <c r="AJ4798">
        <v>0</v>
      </c>
      <c r="AK4798">
        <v>0</v>
      </c>
      <c r="AL4798">
        <v>0</v>
      </c>
      <c r="AM4798">
        <v>0</v>
      </c>
      <c r="AN4798">
        <v>0</v>
      </c>
      <c r="AO4798">
        <v>0</v>
      </c>
      <c r="AP4798">
        <v>0</v>
      </c>
      <c r="AQ4798">
        <v>0</v>
      </c>
      <c r="AR4798">
        <v>0</v>
      </c>
      <c r="AS4798">
        <v>0</v>
      </c>
      <c r="AT4798">
        <v>0</v>
      </c>
      <c r="AU4798">
        <f t="shared" si="148"/>
        <v>0</v>
      </c>
      <c r="AV4798">
        <f t="shared" si="149"/>
        <v>0</v>
      </c>
    </row>
    <row r="4799" spans="1:48" x14ac:dyDescent="0.25">
      <c r="A4799" t="s">
        <v>13356</v>
      </c>
      <c r="C4799" t="s">
        <v>11330</v>
      </c>
      <c r="D4799" t="s">
        <v>12691</v>
      </c>
      <c r="E4799" t="s">
        <v>1663</v>
      </c>
      <c r="F4799">
        <v>6</v>
      </c>
      <c r="G4799">
        <v>6.1</v>
      </c>
      <c r="H4799" t="s">
        <v>2017</v>
      </c>
      <c r="I4799" s="21">
        <v>42586</v>
      </c>
      <c r="J4799">
        <v>2016</v>
      </c>
      <c r="K4799" s="21">
        <v>42613</v>
      </c>
      <c r="L4799">
        <v>2016</v>
      </c>
      <c r="P4799" s="21">
        <v>42869</v>
      </c>
      <c r="Q4799" s="262">
        <v>600000</v>
      </c>
      <c r="S4799" t="s">
        <v>114</v>
      </c>
      <c r="T4799" t="s">
        <v>114</v>
      </c>
      <c r="W4799">
        <v>3098</v>
      </c>
      <c r="X4799">
        <v>1</v>
      </c>
      <c r="Y4799">
        <v>0</v>
      </c>
      <c r="Z4799">
        <v>0</v>
      </c>
      <c r="AA4799">
        <v>0</v>
      </c>
      <c r="AB4799">
        <v>0</v>
      </c>
      <c r="AC4799">
        <v>3098</v>
      </c>
      <c r="AD4799">
        <v>0</v>
      </c>
      <c r="AE4799">
        <v>0</v>
      </c>
      <c r="AF4799">
        <v>0</v>
      </c>
      <c r="AG4799">
        <v>0</v>
      </c>
      <c r="AH4799">
        <v>0</v>
      </c>
      <c r="AI4799">
        <v>0</v>
      </c>
      <c r="AJ4799">
        <v>0</v>
      </c>
      <c r="AK4799">
        <v>0</v>
      </c>
      <c r="AL4799">
        <v>0</v>
      </c>
      <c r="AM4799">
        <v>0</v>
      </c>
      <c r="AN4799">
        <v>0</v>
      </c>
      <c r="AO4799">
        <v>1</v>
      </c>
      <c r="AP4799">
        <v>0</v>
      </c>
      <c r="AQ4799">
        <v>0</v>
      </c>
      <c r="AR4799">
        <v>0</v>
      </c>
      <c r="AS4799">
        <v>0</v>
      </c>
      <c r="AT4799">
        <v>0</v>
      </c>
      <c r="AU4799">
        <f t="shared" si="148"/>
        <v>1</v>
      </c>
      <c r="AV4799">
        <f t="shared" si="149"/>
        <v>0</v>
      </c>
    </row>
    <row r="4800" spans="1:48" x14ac:dyDescent="0.25">
      <c r="A4800" t="s">
        <v>18262</v>
      </c>
      <c r="B4800" t="s">
        <v>18262</v>
      </c>
      <c r="C4800" t="s">
        <v>18263</v>
      </c>
      <c r="D4800" t="s">
        <v>18264</v>
      </c>
      <c r="E4800" t="s">
        <v>2310</v>
      </c>
      <c r="F4800">
        <v>15</v>
      </c>
      <c r="G4800">
        <v>15.1</v>
      </c>
      <c r="H4800" t="s">
        <v>2022</v>
      </c>
      <c r="I4800" s="21">
        <v>42586.447129629632</v>
      </c>
      <c r="J4800">
        <v>2016</v>
      </c>
      <c r="K4800" s="21">
        <v>42684.482604166667</v>
      </c>
      <c r="L4800">
        <v>2016</v>
      </c>
      <c r="M4800" s="21">
        <v>43353.409372835646</v>
      </c>
      <c r="N4800">
        <v>2018</v>
      </c>
      <c r="Q4800" s="262">
        <v>1650000</v>
      </c>
      <c r="R4800" s="262">
        <v>627000</v>
      </c>
      <c r="S4800" t="s">
        <v>13254</v>
      </c>
      <c r="W4800">
        <v>4988</v>
      </c>
      <c r="X4800">
        <v>1</v>
      </c>
      <c r="Y4800">
        <v>0</v>
      </c>
      <c r="Z4800">
        <v>0</v>
      </c>
      <c r="AA4800">
        <v>0</v>
      </c>
      <c r="AB4800">
        <v>0</v>
      </c>
      <c r="AC4800">
        <v>4988</v>
      </c>
      <c r="AD4800">
        <v>0</v>
      </c>
      <c r="AE4800">
        <v>0</v>
      </c>
      <c r="AF4800">
        <v>0</v>
      </c>
      <c r="AG4800">
        <v>0</v>
      </c>
      <c r="AH4800">
        <v>0</v>
      </c>
      <c r="AI4800">
        <v>0</v>
      </c>
      <c r="AJ4800">
        <v>0</v>
      </c>
      <c r="AK4800">
        <v>0</v>
      </c>
      <c r="AL4800">
        <v>0</v>
      </c>
      <c r="AM4800">
        <v>0</v>
      </c>
      <c r="AN4800">
        <v>0</v>
      </c>
      <c r="AO4800">
        <v>1</v>
      </c>
      <c r="AP4800">
        <v>0</v>
      </c>
      <c r="AQ4800">
        <v>0</v>
      </c>
      <c r="AR4800">
        <v>0</v>
      </c>
      <c r="AS4800">
        <v>0</v>
      </c>
      <c r="AT4800">
        <v>0</v>
      </c>
      <c r="AU4800">
        <f t="shared" si="148"/>
        <v>1</v>
      </c>
      <c r="AV4800">
        <f t="shared" si="149"/>
        <v>0</v>
      </c>
    </row>
    <row r="4801" spans="1:48" x14ac:dyDescent="0.25">
      <c r="A4801" t="s">
        <v>18774</v>
      </c>
      <c r="B4801" t="s">
        <v>18774</v>
      </c>
      <c r="C4801" t="s">
        <v>18775</v>
      </c>
      <c r="D4801" t="s">
        <v>18776</v>
      </c>
      <c r="E4801" t="s">
        <v>2310</v>
      </c>
      <c r="F4801">
        <v>8</v>
      </c>
      <c r="G4801">
        <v>8.1999999999999993</v>
      </c>
      <c r="H4801" t="s">
        <v>2022</v>
      </c>
      <c r="I4801" s="21">
        <v>42586.607476851852</v>
      </c>
      <c r="J4801">
        <v>2016</v>
      </c>
      <c r="K4801" s="21">
        <v>43042.359467592592</v>
      </c>
      <c r="L4801">
        <v>2017</v>
      </c>
      <c r="M4801" s="21">
        <v>43042.359467592592</v>
      </c>
      <c r="N4801">
        <v>2017</v>
      </c>
      <c r="Q4801" s="262">
        <v>150000</v>
      </c>
      <c r="R4801" s="262">
        <v>158000</v>
      </c>
      <c r="S4801" t="s">
        <v>13253</v>
      </c>
      <c r="T4801">
        <v>2224</v>
      </c>
      <c r="W4801">
        <v>1402</v>
      </c>
      <c r="X4801">
        <v>0</v>
      </c>
      <c r="Y4801">
        <v>0</v>
      </c>
      <c r="Z4801">
        <v>0</v>
      </c>
      <c r="AA4801">
        <v>0</v>
      </c>
      <c r="AB4801">
        <v>0</v>
      </c>
      <c r="AC4801">
        <v>1402</v>
      </c>
      <c r="AD4801">
        <v>0</v>
      </c>
      <c r="AE4801">
        <v>0</v>
      </c>
      <c r="AF4801">
        <v>0</v>
      </c>
      <c r="AG4801">
        <v>0</v>
      </c>
      <c r="AH4801">
        <v>0</v>
      </c>
      <c r="AI4801">
        <v>0</v>
      </c>
      <c r="AJ4801">
        <v>0</v>
      </c>
      <c r="AK4801">
        <v>0</v>
      </c>
      <c r="AL4801">
        <v>0</v>
      </c>
      <c r="AM4801">
        <v>0</v>
      </c>
      <c r="AN4801">
        <v>0</v>
      </c>
      <c r="AO4801">
        <v>0</v>
      </c>
      <c r="AP4801">
        <v>0</v>
      </c>
      <c r="AQ4801">
        <v>0</v>
      </c>
      <c r="AR4801">
        <v>0</v>
      </c>
      <c r="AS4801">
        <v>0</v>
      </c>
      <c r="AT4801">
        <v>0</v>
      </c>
      <c r="AU4801">
        <f t="shared" si="148"/>
        <v>0</v>
      </c>
      <c r="AV4801">
        <f t="shared" si="149"/>
        <v>0</v>
      </c>
    </row>
    <row r="4802" spans="1:48" x14ac:dyDescent="0.25">
      <c r="A4802" t="s">
        <v>18778</v>
      </c>
      <c r="B4802" t="s">
        <v>18778</v>
      </c>
      <c r="C4802" t="s">
        <v>13284</v>
      </c>
      <c r="D4802" t="s">
        <v>18776</v>
      </c>
      <c r="E4802" t="s">
        <v>2310</v>
      </c>
      <c r="F4802">
        <v>8</v>
      </c>
      <c r="G4802">
        <v>8.1999999999999993</v>
      </c>
      <c r="H4802" t="s">
        <v>2022</v>
      </c>
      <c r="I4802" s="21">
        <v>42586.623344907406</v>
      </c>
      <c r="J4802">
        <v>2016</v>
      </c>
      <c r="K4802" s="21">
        <v>43055.631990740738</v>
      </c>
      <c r="L4802">
        <v>2017</v>
      </c>
      <c r="M4802" s="21">
        <v>43055.631990740738</v>
      </c>
      <c r="N4802">
        <v>2017</v>
      </c>
      <c r="Q4802" s="262">
        <v>65000</v>
      </c>
      <c r="R4802" s="262">
        <v>64000</v>
      </c>
      <c r="S4802" t="s">
        <v>13254</v>
      </c>
      <c r="W4802">
        <v>1472</v>
      </c>
      <c r="X4802">
        <v>0</v>
      </c>
      <c r="Y4802">
        <v>0</v>
      </c>
      <c r="Z4802">
        <v>0</v>
      </c>
      <c r="AA4802">
        <v>0</v>
      </c>
      <c r="AB4802">
        <v>0</v>
      </c>
      <c r="AC4802">
        <v>1472</v>
      </c>
      <c r="AD4802">
        <v>0</v>
      </c>
      <c r="AE4802">
        <v>0</v>
      </c>
      <c r="AF4802">
        <v>0</v>
      </c>
      <c r="AG4802">
        <v>0</v>
      </c>
      <c r="AH4802">
        <v>0</v>
      </c>
      <c r="AI4802">
        <v>0</v>
      </c>
      <c r="AJ4802">
        <v>0</v>
      </c>
      <c r="AK4802">
        <v>0</v>
      </c>
      <c r="AL4802">
        <v>0</v>
      </c>
      <c r="AM4802">
        <v>0</v>
      </c>
      <c r="AN4802">
        <v>0</v>
      </c>
      <c r="AO4802">
        <v>0</v>
      </c>
      <c r="AP4802">
        <v>0</v>
      </c>
      <c r="AQ4802">
        <v>0</v>
      </c>
      <c r="AR4802">
        <v>0</v>
      </c>
      <c r="AS4802">
        <v>0</v>
      </c>
      <c r="AT4802">
        <v>0</v>
      </c>
      <c r="AU4802">
        <f t="shared" si="148"/>
        <v>0</v>
      </c>
      <c r="AV4802">
        <f t="shared" si="149"/>
        <v>0</v>
      </c>
    </row>
    <row r="4803" spans="1:48" x14ac:dyDescent="0.25">
      <c r="A4803" t="s">
        <v>2079</v>
      </c>
      <c r="B4803" t="s">
        <v>114</v>
      </c>
      <c r="C4803" t="s">
        <v>13509</v>
      </c>
      <c r="D4803" t="s">
        <v>13059</v>
      </c>
      <c r="E4803" t="s">
        <v>1663</v>
      </c>
      <c r="F4803">
        <v>3</v>
      </c>
      <c r="G4803">
        <v>3.2</v>
      </c>
      <c r="H4803" t="s">
        <v>2327</v>
      </c>
      <c r="I4803" s="21">
        <v>42587</v>
      </c>
      <c r="J4803">
        <v>2016</v>
      </c>
      <c r="K4803" s="21">
        <v>42957</v>
      </c>
      <c r="L4803">
        <v>2017</v>
      </c>
      <c r="M4803" s="21">
        <v>43657</v>
      </c>
      <c r="N4803">
        <v>2019</v>
      </c>
      <c r="S4803" t="s">
        <v>9529</v>
      </c>
      <c r="T4803">
        <v>9947</v>
      </c>
      <c r="U4803">
        <v>5</v>
      </c>
      <c r="W4803">
        <v>-320</v>
      </c>
      <c r="X4803">
        <v>0</v>
      </c>
      <c r="Y4803">
        <v>0</v>
      </c>
      <c r="Z4803">
        <v>0</v>
      </c>
      <c r="AA4803">
        <v>0</v>
      </c>
      <c r="AB4803">
        <v>0</v>
      </c>
      <c r="AC4803">
        <v>-320</v>
      </c>
      <c r="AD4803">
        <v>0</v>
      </c>
      <c r="AE4803">
        <v>0</v>
      </c>
      <c r="AF4803">
        <v>0</v>
      </c>
      <c r="AG4803">
        <v>0</v>
      </c>
      <c r="AH4803">
        <v>0</v>
      </c>
      <c r="AI4803">
        <v>0</v>
      </c>
      <c r="AJ4803">
        <v>0</v>
      </c>
      <c r="AK4803">
        <v>0</v>
      </c>
      <c r="AL4803">
        <v>0</v>
      </c>
      <c r="AM4803">
        <v>0</v>
      </c>
      <c r="AN4803">
        <v>0</v>
      </c>
      <c r="AO4803">
        <v>0</v>
      </c>
      <c r="AP4803">
        <v>0</v>
      </c>
      <c r="AQ4803">
        <v>0</v>
      </c>
      <c r="AR4803">
        <v>0</v>
      </c>
      <c r="AS4803">
        <v>0</v>
      </c>
      <c r="AT4803">
        <v>0</v>
      </c>
      <c r="AU4803">
        <f t="shared" si="148"/>
        <v>0</v>
      </c>
      <c r="AV4803">
        <f t="shared" si="149"/>
        <v>0</v>
      </c>
    </row>
    <row r="4804" spans="1:48" x14ac:dyDescent="0.25">
      <c r="A4804" t="s">
        <v>2079</v>
      </c>
      <c r="B4804" t="s">
        <v>114</v>
      </c>
      <c r="C4804" t="s">
        <v>13509</v>
      </c>
      <c r="D4804" t="s">
        <v>2081</v>
      </c>
      <c r="E4804" t="s">
        <v>1663</v>
      </c>
      <c r="F4804">
        <v>2</v>
      </c>
      <c r="G4804">
        <v>2.2999999999999998</v>
      </c>
      <c r="H4804" t="s">
        <v>2327</v>
      </c>
      <c r="I4804" s="21">
        <v>42587</v>
      </c>
      <c r="J4804">
        <v>2016</v>
      </c>
      <c r="K4804" s="21">
        <v>42957</v>
      </c>
      <c r="L4804">
        <v>2017</v>
      </c>
      <c r="M4804" s="21">
        <v>43657</v>
      </c>
      <c r="N4804">
        <v>2019</v>
      </c>
      <c r="Q4804" s="262">
        <v>2000000</v>
      </c>
      <c r="S4804" t="s">
        <v>12464</v>
      </c>
      <c r="T4804">
        <v>9946</v>
      </c>
      <c r="W4804">
        <v>14634</v>
      </c>
      <c r="X4804">
        <v>4</v>
      </c>
      <c r="Y4804">
        <v>0</v>
      </c>
      <c r="Z4804">
        <v>0</v>
      </c>
      <c r="AA4804">
        <v>0</v>
      </c>
      <c r="AB4804">
        <v>0</v>
      </c>
      <c r="AC4804">
        <v>0</v>
      </c>
      <c r="AE4804">
        <v>4892</v>
      </c>
      <c r="AG4804">
        <v>0</v>
      </c>
      <c r="AH4804">
        <v>0</v>
      </c>
      <c r="AI4804">
        <v>0</v>
      </c>
      <c r="AJ4804">
        <v>4871</v>
      </c>
      <c r="AK4804">
        <v>4871</v>
      </c>
      <c r="AL4804">
        <v>0</v>
      </c>
      <c r="AM4804">
        <v>0</v>
      </c>
      <c r="AN4804">
        <v>0</v>
      </c>
      <c r="AO4804">
        <v>0</v>
      </c>
      <c r="AP4804">
        <v>0</v>
      </c>
      <c r="AQ4804">
        <v>4</v>
      </c>
      <c r="AR4804">
        <v>0</v>
      </c>
      <c r="AS4804">
        <v>0</v>
      </c>
      <c r="AT4804">
        <v>0</v>
      </c>
      <c r="AU4804">
        <f t="shared" si="148"/>
        <v>4</v>
      </c>
      <c r="AV4804">
        <f t="shared" si="149"/>
        <v>9742</v>
      </c>
    </row>
    <row r="4805" spans="1:48" x14ac:dyDescent="0.25">
      <c r="A4805" t="s">
        <v>18784</v>
      </c>
      <c r="B4805" t="s">
        <v>18784</v>
      </c>
      <c r="C4805" t="s">
        <v>18785</v>
      </c>
      <c r="D4805" t="s">
        <v>3420</v>
      </c>
      <c r="E4805" t="s">
        <v>2310</v>
      </c>
      <c r="F4805">
        <v>9</v>
      </c>
      <c r="G4805">
        <v>9.4</v>
      </c>
      <c r="H4805" t="s">
        <v>2323</v>
      </c>
      <c r="I4805" s="21">
        <v>42587.430949074071</v>
      </c>
      <c r="J4805">
        <v>2016</v>
      </c>
      <c r="K4805" s="21">
        <v>42781.417222222219</v>
      </c>
      <c r="L4805">
        <v>2017</v>
      </c>
      <c r="M4805" s="21">
        <v>42781.417222222219</v>
      </c>
      <c r="N4805">
        <v>2017</v>
      </c>
      <c r="Q4805" s="262">
        <v>50000</v>
      </c>
      <c r="R4805" s="262">
        <v>19000</v>
      </c>
      <c r="S4805" t="s">
        <v>13253</v>
      </c>
      <c r="T4805">
        <v>3192</v>
      </c>
      <c r="W4805">
        <v>166</v>
      </c>
      <c r="X4805">
        <v>0</v>
      </c>
      <c r="Y4805">
        <v>0</v>
      </c>
      <c r="Z4805">
        <v>0</v>
      </c>
      <c r="AA4805">
        <v>0</v>
      </c>
      <c r="AB4805">
        <v>0</v>
      </c>
      <c r="AC4805">
        <v>166</v>
      </c>
      <c r="AD4805">
        <v>0</v>
      </c>
      <c r="AE4805">
        <v>0</v>
      </c>
      <c r="AF4805">
        <v>0</v>
      </c>
      <c r="AG4805">
        <v>0</v>
      </c>
      <c r="AH4805">
        <v>0</v>
      </c>
      <c r="AI4805">
        <v>0</v>
      </c>
      <c r="AJ4805">
        <v>0</v>
      </c>
      <c r="AK4805">
        <v>0</v>
      </c>
      <c r="AL4805">
        <v>0</v>
      </c>
      <c r="AM4805">
        <v>0</v>
      </c>
      <c r="AN4805">
        <v>0</v>
      </c>
      <c r="AO4805">
        <v>0</v>
      </c>
      <c r="AP4805">
        <v>0</v>
      </c>
      <c r="AQ4805">
        <v>0</v>
      </c>
      <c r="AR4805">
        <v>0</v>
      </c>
      <c r="AS4805">
        <v>0</v>
      </c>
      <c r="AT4805">
        <v>0</v>
      </c>
      <c r="AU4805">
        <f t="shared" si="148"/>
        <v>0</v>
      </c>
      <c r="AV4805">
        <f t="shared" si="149"/>
        <v>0</v>
      </c>
    </row>
    <row r="4806" spans="1:48" x14ac:dyDescent="0.25">
      <c r="A4806" t="s">
        <v>18819</v>
      </c>
      <c r="B4806" t="s">
        <v>18819</v>
      </c>
      <c r="C4806" t="s">
        <v>18820</v>
      </c>
      <c r="D4806" t="s">
        <v>10782</v>
      </c>
      <c r="E4806" t="s">
        <v>2310</v>
      </c>
      <c r="F4806">
        <v>8</v>
      </c>
      <c r="G4806">
        <v>8.1999999999999993</v>
      </c>
      <c r="H4806" t="s">
        <v>2022</v>
      </c>
      <c r="I4806" s="21">
        <v>42587.474074074074</v>
      </c>
      <c r="J4806">
        <v>2016</v>
      </c>
      <c r="K4806" s="21">
        <v>42863.655023148145</v>
      </c>
      <c r="L4806">
        <v>2017</v>
      </c>
      <c r="M4806" s="21">
        <v>42863.655023148145</v>
      </c>
      <c r="N4806">
        <v>2017</v>
      </c>
      <c r="Q4806" s="262">
        <v>350000</v>
      </c>
      <c r="R4806" s="262">
        <v>38000</v>
      </c>
      <c r="S4806" t="s">
        <v>13254</v>
      </c>
      <c r="W4806">
        <v>856</v>
      </c>
      <c r="X4806">
        <v>0</v>
      </c>
      <c r="Y4806">
        <v>0</v>
      </c>
      <c r="Z4806">
        <v>0</v>
      </c>
      <c r="AA4806">
        <v>0</v>
      </c>
      <c r="AB4806">
        <v>0</v>
      </c>
      <c r="AC4806">
        <v>856</v>
      </c>
      <c r="AD4806">
        <v>0</v>
      </c>
      <c r="AE4806">
        <v>0</v>
      </c>
      <c r="AF4806">
        <v>0</v>
      </c>
      <c r="AG4806">
        <v>0</v>
      </c>
      <c r="AH4806">
        <v>0</v>
      </c>
      <c r="AI4806">
        <v>0</v>
      </c>
      <c r="AJ4806">
        <v>0</v>
      </c>
      <c r="AK4806">
        <v>0</v>
      </c>
      <c r="AL4806">
        <v>0</v>
      </c>
      <c r="AM4806">
        <v>0</v>
      </c>
      <c r="AN4806">
        <v>0</v>
      </c>
      <c r="AO4806">
        <v>0</v>
      </c>
      <c r="AP4806">
        <v>0</v>
      </c>
      <c r="AQ4806">
        <v>0</v>
      </c>
      <c r="AR4806">
        <v>0</v>
      </c>
      <c r="AS4806">
        <v>0</v>
      </c>
      <c r="AT4806">
        <v>0</v>
      </c>
      <c r="AU4806">
        <f t="shared" si="148"/>
        <v>0</v>
      </c>
      <c r="AV4806">
        <f t="shared" si="149"/>
        <v>0</v>
      </c>
    </row>
    <row r="4807" spans="1:48" x14ac:dyDescent="0.25">
      <c r="A4807" t="s">
        <v>18304</v>
      </c>
      <c r="B4807" t="s">
        <v>18304</v>
      </c>
      <c r="C4807" t="s">
        <v>18305</v>
      </c>
      <c r="D4807" t="s">
        <v>18306</v>
      </c>
      <c r="E4807" t="s">
        <v>2310</v>
      </c>
      <c r="F4807">
        <v>13</v>
      </c>
      <c r="G4807">
        <v>13.3</v>
      </c>
      <c r="H4807" t="s">
        <v>2017</v>
      </c>
      <c r="I4807" s="21">
        <v>42587.605937499997</v>
      </c>
      <c r="J4807">
        <v>2016</v>
      </c>
      <c r="K4807" s="21">
        <v>43361.670500034721</v>
      </c>
      <c r="L4807">
        <v>2018</v>
      </c>
      <c r="M4807" s="21">
        <v>43371.432402349536</v>
      </c>
      <c r="N4807">
        <v>2018</v>
      </c>
      <c r="Q4807" s="262">
        <v>3500000</v>
      </c>
      <c r="R4807" s="262">
        <v>1147000</v>
      </c>
      <c r="S4807" t="s">
        <v>13254</v>
      </c>
      <c r="W4807">
        <v>7646</v>
      </c>
      <c r="X4807">
        <v>2</v>
      </c>
      <c r="Y4807">
        <v>0</v>
      </c>
      <c r="Z4807">
        <v>0</v>
      </c>
      <c r="AA4807">
        <v>0</v>
      </c>
      <c r="AB4807">
        <v>0</v>
      </c>
      <c r="AC4807">
        <v>6815</v>
      </c>
      <c r="AD4807">
        <v>0</v>
      </c>
      <c r="AE4807">
        <v>0</v>
      </c>
      <c r="AF4807">
        <v>831</v>
      </c>
      <c r="AG4807">
        <v>0</v>
      </c>
      <c r="AH4807">
        <v>0</v>
      </c>
      <c r="AI4807">
        <v>0</v>
      </c>
      <c r="AJ4807">
        <v>0</v>
      </c>
      <c r="AK4807">
        <v>0</v>
      </c>
      <c r="AL4807">
        <v>0</v>
      </c>
      <c r="AM4807">
        <v>0</v>
      </c>
      <c r="AN4807">
        <v>0</v>
      </c>
      <c r="AO4807">
        <v>1</v>
      </c>
      <c r="AP4807">
        <v>0</v>
      </c>
      <c r="AQ4807">
        <v>0</v>
      </c>
      <c r="AR4807">
        <v>1</v>
      </c>
      <c r="AS4807">
        <v>0</v>
      </c>
      <c r="AT4807">
        <v>0</v>
      </c>
      <c r="AU4807">
        <f t="shared" si="148"/>
        <v>1</v>
      </c>
      <c r="AV4807">
        <f t="shared" si="149"/>
        <v>0</v>
      </c>
    </row>
    <row r="4808" spans="1:48" x14ac:dyDescent="0.25">
      <c r="A4808" t="s">
        <v>18846</v>
      </c>
      <c r="B4808" t="s">
        <v>18846</v>
      </c>
      <c r="C4808" t="s">
        <v>18847</v>
      </c>
      <c r="D4808" t="s">
        <v>1707</v>
      </c>
      <c r="E4808" t="s">
        <v>2310</v>
      </c>
      <c r="F4808">
        <v>8</v>
      </c>
      <c r="G4808">
        <v>8.1999999999999993</v>
      </c>
      <c r="H4808" t="s">
        <v>2022</v>
      </c>
      <c r="I4808" s="21">
        <v>42587.693229166704</v>
      </c>
      <c r="J4808">
        <v>2016</v>
      </c>
      <c r="K4808" s="21">
        <v>42885.650069444397</v>
      </c>
      <c r="L4808">
        <v>2017</v>
      </c>
      <c r="M4808" s="21">
        <v>42885.650069444397</v>
      </c>
      <c r="N4808">
        <v>2017</v>
      </c>
      <c r="Q4808" s="262">
        <v>15000</v>
      </c>
      <c r="R4808" s="262">
        <v>17000</v>
      </c>
      <c r="S4808" t="s">
        <v>114</v>
      </c>
      <c r="T4808" t="s">
        <v>114</v>
      </c>
      <c r="V4808">
        <v>200</v>
      </c>
      <c r="W4808">
        <v>0</v>
      </c>
      <c r="X4808">
        <v>0</v>
      </c>
      <c r="Y4808">
        <v>0</v>
      </c>
      <c r="Z4808">
        <v>0</v>
      </c>
      <c r="AA4808">
        <v>0</v>
      </c>
      <c r="AB4808">
        <v>0</v>
      </c>
      <c r="AC4808">
        <v>0</v>
      </c>
      <c r="AD4808">
        <v>0</v>
      </c>
      <c r="AE4808">
        <v>0</v>
      </c>
      <c r="AF4808">
        <v>0</v>
      </c>
      <c r="AG4808">
        <v>0</v>
      </c>
      <c r="AH4808">
        <v>0</v>
      </c>
      <c r="AI4808">
        <v>0</v>
      </c>
      <c r="AJ4808">
        <v>0</v>
      </c>
      <c r="AK4808">
        <v>0</v>
      </c>
      <c r="AL4808">
        <v>0</v>
      </c>
      <c r="AM4808">
        <v>0</v>
      </c>
      <c r="AN4808">
        <v>0</v>
      </c>
      <c r="AO4808">
        <v>0</v>
      </c>
      <c r="AP4808">
        <v>0</v>
      </c>
      <c r="AQ4808">
        <v>0</v>
      </c>
      <c r="AR4808">
        <v>0</v>
      </c>
      <c r="AS4808">
        <v>0</v>
      </c>
      <c r="AT4808">
        <v>0</v>
      </c>
      <c r="AU4808">
        <f t="shared" si="148"/>
        <v>0</v>
      </c>
      <c r="AV4808">
        <f t="shared" si="149"/>
        <v>0</v>
      </c>
    </row>
    <row r="4809" spans="1:48" x14ac:dyDescent="0.25">
      <c r="A4809" t="s">
        <v>19345</v>
      </c>
      <c r="B4809" t="s">
        <v>114</v>
      </c>
      <c r="C4809" t="s">
        <v>16965</v>
      </c>
      <c r="D4809" t="s">
        <v>19035</v>
      </c>
      <c r="E4809" t="s">
        <v>1663</v>
      </c>
      <c r="F4809">
        <v>3</v>
      </c>
      <c r="G4809">
        <v>3.1</v>
      </c>
      <c r="H4809" t="s">
        <v>2017</v>
      </c>
      <c r="I4809" s="21">
        <v>42590</v>
      </c>
      <c r="J4809">
        <v>2016</v>
      </c>
      <c r="K4809" s="21">
        <v>42621</v>
      </c>
      <c r="L4809">
        <v>2016</v>
      </c>
      <c r="M4809" s="21">
        <v>43980</v>
      </c>
      <c r="N4809">
        <v>2020</v>
      </c>
      <c r="Q4809" s="262">
        <v>350000</v>
      </c>
      <c r="S4809" t="s">
        <v>13254</v>
      </c>
      <c r="W4809">
        <v>1397</v>
      </c>
      <c r="X4809">
        <v>1</v>
      </c>
      <c r="Y4809">
        <v>0</v>
      </c>
      <c r="Z4809">
        <v>0</v>
      </c>
      <c r="AA4809">
        <v>0</v>
      </c>
      <c r="AB4809">
        <v>0</v>
      </c>
      <c r="AC4809">
        <v>639</v>
      </c>
      <c r="AD4809">
        <v>0</v>
      </c>
      <c r="AE4809">
        <v>0</v>
      </c>
      <c r="AF4809">
        <v>758</v>
      </c>
      <c r="AG4809">
        <v>0</v>
      </c>
      <c r="AH4809">
        <v>0</v>
      </c>
      <c r="AI4809">
        <v>0</v>
      </c>
      <c r="AJ4809">
        <v>0</v>
      </c>
      <c r="AK4809">
        <v>0</v>
      </c>
      <c r="AL4809">
        <v>0</v>
      </c>
      <c r="AM4809">
        <v>0</v>
      </c>
      <c r="AN4809">
        <v>0</v>
      </c>
      <c r="AO4809">
        <v>0</v>
      </c>
      <c r="AP4809">
        <v>0</v>
      </c>
      <c r="AQ4809">
        <v>0</v>
      </c>
      <c r="AR4809">
        <v>1</v>
      </c>
      <c r="AS4809">
        <v>0</v>
      </c>
      <c r="AT4809">
        <v>0</v>
      </c>
      <c r="AU4809">
        <f t="shared" si="148"/>
        <v>0</v>
      </c>
      <c r="AV4809">
        <f t="shared" si="149"/>
        <v>0</v>
      </c>
    </row>
    <row r="4810" spans="1:48" x14ac:dyDescent="0.25">
      <c r="A4810" t="s">
        <v>18043</v>
      </c>
      <c r="B4810" t="s">
        <v>18043</v>
      </c>
      <c r="C4810" t="s">
        <v>13389</v>
      </c>
      <c r="D4810" t="s">
        <v>18044</v>
      </c>
      <c r="E4810" t="s">
        <v>2310</v>
      </c>
      <c r="F4810">
        <v>9</v>
      </c>
      <c r="G4810">
        <v>9.1</v>
      </c>
      <c r="H4810" t="s">
        <v>2323</v>
      </c>
      <c r="I4810" s="21">
        <v>42591.441319444442</v>
      </c>
      <c r="J4810">
        <v>2016</v>
      </c>
      <c r="K4810" s="21">
        <v>42629.572106481479</v>
      </c>
      <c r="L4810">
        <v>2016</v>
      </c>
      <c r="M4810" s="21">
        <v>43200.404722222222</v>
      </c>
      <c r="N4810">
        <v>2018</v>
      </c>
      <c r="Q4810" s="262">
        <v>1462000</v>
      </c>
      <c r="R4810" s="262">
        <v>385000</v>
      </c>
      <c r="S4810" t="s">
        <v>13254</v>
      </c>
      <c r="W4810">
        <v>3476</v>
      </c>
      <c r="X4810">
        <v>1</v>
      </c>
      <c r="Y4810">
        <v>0</v>
      </c>
      <c r="Z4810">
        <v>0</v>
      </c>
      <c r="AA4810">
        <v>0</v>
      </c>
      <c r="AB4810">
        <v>0</v>
      </c>
      <c r="AC4810">
        <v>3476</v>
      </c>
      <c r="AD4810">
        <v>0</v>
      </c>
      <c r="AE4810">
        <v>0</v>
      </c>
      <c r="AF4810">
        <v>0</v>
      </c>
      <c r="AG4810">
        <v>0</v>
      </c>
      <c r="AH4810">
        <v>0</v>
      </c>
      <c r="AI4810">
        <v>0</v>
      </c>
      <c r="AJ4810">
        <v>0</v>
      </c>
      <c r="AK4810">
        <v>0</v>
      </c>
      <c r="AL4810">
        <v>0</v>
      </c>
      <c r="AM4810">
        <v>0</v>
      </c>
      <c r="AN4810">
        <v>0</v>
      </c>
      <c r="AO4810">
        <v>1</v>
      </c>
      <c r="AP4810">
        <v>0</v>
      </c>
      <c r="AQ4810">
        <v>0</v>
      </c>
      <c r="AR4810">
        <v>0</v>
      </c>
      <c r="AS4810">
        <v>0</v>
      </c>
      <c r="AT4810">
        <v>0</v>
      </c>
      <c r="AU4810">
        <f t="shared" si="148"/>
        <v>1</v>
      </c>
      <c r="AV4810">
        <f t="shared" si="149"/>
        <v>0</v>
      </c>
    </row>
    <row r="4811" spans="1:48" x14ac:dyDescent="0.25">
      <c r="A4811" t="s">
        <v>13360</v>
      </c>
      <c r="B4811" t="s">
        <v>13360</v>
      </c>
      <c r="C4811" t="s">
        <v>13361</v>
      </c>
      <c r="D4811" t="s">
        <v>2661</v>
      </c>
      <c r="E4811" t="s">
        <v>2310</v>
      </c>
      <c r="F4811">
        <v>9</v>
      </c>
      <c r="G4811">
        <v>9.3000000000000007</v>
      </c>
      <c r="H4811" t="s">
        <v>2323</v>
      </c>
      <c r="I4811" s="21">
        <v>42591.474027777796</v>
      </c>
      <c r="J4811">
        <v>2016</v>
      </c>
      <c r="K4811" s="21">
        <v>42629.4304050926</v>
      </c>
      <c r="L4811">
        <v>2016</v>
      </c>
      <c r="P4811" s="21">
        <v>43223.6808435532</v>
      </c>
      <c r="Q4811" s="262">
        <v>36250</v>
      </c>
      <c r="R4811" s="262">
        <v>33000</v>
      </c>
      <c r="S4811" t="s">
        <v>114</v>
      </c>
      <c r="T4811" t="s">
        <v>114</v>
      </c>
      <c r="W4811">
        <v>290</v>
      </c>
      <c r="X4811">
        <v>0</v>
      </c>
      <c r="Y4811">
        <v>0</v>
      </c>
      <c r="Z4811">
        <v>0</v>
      </c>
      <c r="AA4811">
        <v>0</v>
      </c>
      <c r="AB4811">
        <v>0</v>
      </c>
      <c r="AC4811">
        <v>290</v>
      </c>
      <c r="AD4811">
        <v>0</v>
      </c>
      <c r="AE4811">
        <v>0</v>
      </c>
      <c r="AF4811">
        <v>0</v>
      </c>
      <c r="AG4811">
        <v>0</v>
      </c>
      <c r="AH4811">
        <v>0</v>
      </c>
      <c r="AI4811">
        <v>0</v>
      </c>
      <c r="AJ4811">
        <v>0</v>
      </c>
      <c r="AK4811">
        <v>0</v>
      </c>
      <c r="AL4811">
        <v>0</v>
      </c>
      <c r="AM4811">
        <v>0</v>
      </c>
      <c r="AN4811">
        <v>0</v>
      </c>
      <c r="AO4811">
        <v>0</v>
      </c>
      <c r="AP4811">
        <v>0</v>
      </c>
      <c r="AQ4811">
        <v>0</v>
      </c>
      <c r="AR4811">
        <v>0</v>
      </c>
      <c r="AS4811">
        <v>0</v>
      </c>
      <c r="AT4811">
        <v>0</v>
      </c>
      <c r="AU4811">
        <f t="shared" si="148"/>
        <v>0</v>
      </c>
      <c r="AV4811">
        <f t="shared" si="149"/>
        <v>0</v>
      </c>
    </row>
    <row r="4812" spans="1:48" x14ac:dyDescent="0.25">
      <c r="A4812" t="s">
        <v>16768</v>
      </c>
      <c r="B4812" t="s">
        <v>114</v>
      </c>
      <c r="C4812" t="s">
        <v>16769</v>
      </c>
      <c r="D4812" t="s">
        <v>16770</v>
      </c>
      <c r="E4812" t="s">
        <v>1663</v>
      </c>
      <c r="F4812">
        <v>3</v>
      </c>
      <c r="G4812">
        <v>3.1</v>
      </c>
      <c r="H4812" t="s">
        <v>2017</v>
      </c>
      <c r="I4812" s="21">
        <v>42592</v>
      </c>
      <c r="J4812">
        <v>2016</v>
      </c>
      <c r="K4812" s="21">
        <v>42849</v>
      </c>
      <c r="L4812">
        <v>2017</v>
      </c>
      <c r="M4812" s="21">
        <v>43334</v>
      </c>
      <c r="N4812">
        <v>2018</v>
      </c>
      <c r="S4812" t="s">
        <v>9529</v>
      </c>
      <c r="T4812">
        <v>10106</v>
      </c>
      <c r="U4812">
        <v>6</v>
      </c>
      <c r="W4812">
        <v>-2782</v>
      </c>
      <c r="X4812">
        <v>-1</v>
      </c>
      <c r="Y4812">
        <v>0</v>
      </c>
      <c r="Z4812">
        <v>0</v>
      </c>
      <c r="AA4812">
        <v>0</v>
      </c>
      <c r="AB4812">
        <v>0</v>
      </c>
      <c r="AC4812">
        <v>0</v>
      </c>
      <c r="AD4812">
        <v>-2782</v>
      </c>
      <c r="AE4812">
        <v>0</v>
      </c>
      <c r="AF4812">
        <v>0</v>
      </c>
      <c r="AG4812">
        <v>0</v>
      </c>
      <c r="AH4812">
        <v>0</v>
      </c>
      <c r="AI4812">
        <v>0</v>
      </c>
      <c r="AJ4812">
        <v>0</v>
      </c>
      <c r="AK4812">
        <v>0</v>
      </c>
      <c r="AL4812">
        <v>0</v>
      </c>
      <c r="AM4812">
        <v>0</v>
      </c>
      <c r="AN4812">
        <v>0</v>
      </c>
      <c r="AO4812">
        <v>0</v>
      </c>
      <c r="AP4812">
        <v>-1</v>
      </c>
      <c r="AQ4812">
        <v>0</v>
      </c>
      <c r="AR4812">
        <v>0</v>
      </c>
      <c r="AS4812">
        <v>0</v>
      </c>
      <c r="AT4812">
        <v>0</v>
      </c>
      <c r="AU4812">
        <f t="shared" si="148"/>
        <v>-1</v>
      </c>
      <c r="AV4812">
        <f t="shared" si="149"/>
        <v>0</v>
      </c>
    </row>
    <row r="4813" spans="1:48" x14ac:dyDescent="0.25">
      <c r="A4813" t="s">
        <v>18180</v>
      </c>
      <c r="B4813" t="s">
        <v>114</v>
      </c>
      <c r="C4813" t="s">
        <v>18181</v>
      </c>
      <c r="D4813" t="s">
        <v>18182</v>
      </c>
      <c r="E4813" t="s">
        <v>1663</v>
      </c>
      <c r="F4813">
        <v>3</v>
      </c>
      <c r="G4813">
        <v>3.1</v>
      </c>
      <c r="H4813" t="s">
        <v>2017</v>
      </c>
      <c r="I4813" s="21">
        <v>42592</v>
      </c>
      <c r="J4813">
        <v>2016</v>
      </c>
      <c r="K4813" s="21">
        <v>42849</v>
      </c>
      <c r="L4813">
        <v>2017</v>
      </c>
      <c r="M4813" s="21">
        <v>43312</v>
      </c>
      <c r="N4813">
        <v>2018</v>
      </c>
      <c r="Q4813" s="262">
        <v>2250000</v>
      </c>
      <c r="S4813" t="s">
        <v>13254</v>
      </c>
      <c r="W4813">
        <v>7382</v>
      </c>
      <c r="X4813">
        <v>9</v>
      </c>
      <c r="Y4813">
        <v>0</v>
      </c>
      <c r="Z4813">
        <v>0</v>
      </c>
      <c r="AA4813">
        <v>0</v>
      </c>
      <c r="AB4813">
        <v>0</v>
      </c>
      <c r="AC4813">
        <v>0</v>
      </c>
      <c r="AD4813">
        <v>0</v>
      </c>
      <c r="AE4813">
        <v>7382</v>
      </c>
      <c r="AF4813">
        <v>0</v>
      </c>
      <c r="AG4813">
        <v>0</v>
      </c>
      <c r="AH4813">
        <v>0</v>
      </c>
      <c r="AI4813">
        <v>0</v>
      </c>
      <c r="AJ4813">
        <v>0</v>
      </c>
      <c r="AK4813">
        <v>0</v>
      </c>
      <c r="AL4813">
        <v>0</v>
      </c>
      <c r="AM4813">
        <v>0</v>
      </c>
      <c r="AN4813">
        <v>0</v>
      </c>
      <c r="AO4813">
        <v>0</v>
      </c>
      <c r="AP4813">
        <v>0</v>
      </c>
      <c r="AQ4813">
        <v>9</v>
      </c>
      <c r="AR4813">
        <v>0</v>
      </c>
      <c r="AS4813">
        <v>0</v>
      </c>
      <c r="AT4813">
        <v>0</v>
      </c>
      <c r="AU4813">
        <f t="shared" si="148"/>
        <v>9</v>
      </c>
      <c r="AV4813">
        <f t="shared" si="149"/>
        <v>0</v>
      </c>
    </row>
    <row r="4814" spans="1:48" x14ac:dyDescent="0.25">
      <c r="A4814" t="s">
        <v>18183</v>
      </c>
      <c r="B4814" t="s">
        <v>114</v>
      </c>
      <c r="C4814" t="s">
        <v>18184</v>
      </c>
      <c r="D4814" t="s">
        <v>18182</v>
      </c>
      <c r="E4814" t="s">
        <v>1663</v>
      </c>
      <c r="F4814">
        <v>3</v>
      </c>
      <c r="G4814">
        <v>3.1</v>
      </c>
      <c r="H4814" t="s">
        <v>2017</v>
      </c>
      <c r="I4814" s="21">
        <v>42592</v>
      </c>
      <c r="J4814">
        <v>2016</v>
      </c>
      <c r="K4814" s="21">
        <v>42849</v>
      </c>
      <c r="L4814">
        <v>2017</v>
      </c>
      <c r="M4814" s="21">
        <v>43312</v>
      </c>
      <c r="N4814">
        <v>2018</v>
      </c>
      <c r="Q4814" s="262">
        <v>1500000</v>
      </c>
      <c r="S4814" t="s">
        <v>13254</v>
      </c>
      <c r="W4814">
        <v>5189</v>
      </c>
      <c r="X4814">
        <v>6</v>
      </c>
      <c r="Y4814">
        <v>0</v>
      </c>
      <c r="Z4814">
        <v>0</v>
      </c>
      <c r="AA4814">
        <v>0</v>
      </c>
      <c r="AB4814">
        <v>0</v>
      </c>
      <c r="AC4814">
        <v>0</v>
      </c>
      <c r="AD4814">
        <v>0</v>
      </c>
      <c r="AE4814">
        <v>5189</v>
      </c>
      <c r="AF4814">
        <v>0</v>
      </c>
      <c r="AG4814">
        <v>0</v>
      </c>
      <c r="AH4814">
        <v>0</v>
      </c>
      <c r="AI4814">
        <v>0</v>
      </c>
      <c r="AJ4814">
        <v>0</v>
      </c>
      <c r="AK4814">
        <v>0</v>
      </c>
      <c r="AL4814">
        <v>0</v>
      </c>
      <c r="AM4814">
        <v>0</v>
      </c>
      <c r="AN4814">
        <v>0</v>
      </c>
      <c r="AO4814">
        <v>0</v>
      </c>
      <c r="AP4814">
        <v>0</v>
      </c>
      <c r="AQ4814">
        <v>6</v>
      </c>
      <c r="AR4814">
        <v>0</v>
      </c>
      <c r="AS4814">
        <v>0</v>
      </c>
      <c r="AT4814">
        <v>0</v>
      </c>
      <c r="AU4814">
        <f t="shared" si="148"/>
        <v>6</v>
      </c>
      <c r="AV4814">
        <f t="shared" si="149"/>
        <v>0</v>
      </c>
    </row>
    <row r="4815" spans="1:48" x14ac:dyDescent="0.25">
      <c r="A4815" t="s">
        <v>18215</v>
      </c>
      <c r="B4815" t="s">
        <v>114</v>
      </c>
      <c r="C4815" t="s">
        <v>18216</v>
      </c>
      <c r="D4815" t="s">
        <v>16770</v>
      </c>
      <c r="E4815" t="s">
        <v>1663</v>
      </c>
      <c r="F4815">
        <v>3</v>
      </c>
      <c r="G4815">
        <v>3.1</v>
      </c>
      <c r="H4815" t="s">
        <v>2017</v>
      </c>
      <c r="I4815" s="21">
        <v>42592</v>
      </c>
      <c r="J4815">
        <v>2016</v>
      </c>
      <c r="K4815" s="21">
        <v>42849</v>
      </c>
      <c r="L4815">
        <v>2017</v>
      </c>
      <c r="M4815" s="21">
        <v>43329</v>
      </c>
      <c r="N4815">
        <v>2018</v>
      </c>
      <c r="Q4815" s="262">
        <v>315000</v>
      </c>
      <c r="S4815" t="s">
        <v>13254</v>
      </c>
      <c r="W4815">
        <v>1259</v>
      </c>
      <c r="X4815">
        <v>1</v>
      </c>
      <c r="Y4815">
        <v>0</v>
      </c>
      <c r="Z4815">
        <v>0</v>
      </c>
      <c r="AA4815">
        <v>0</v>
      </c>
      <c r="AB4815">
        <v>0</v>
      </c>
      <c r="AC4815">
        <v>1259</v>
      </c>
      <c r="AD4815">
        <v>0</v>
      </c>
      <c r="AE4815">
        <v>0</v>
      </c>
      <c r="AF4815">
        <v>0</v>
      </c>
      <c r="AG4815">
        <v>0</v>
      </c>
      <c r="AH4815">
        <v>0</v>
      </c>
      <c r="AI4815">
        <v>0</v>
      </c>
      <c r="AJ4815">
        <v>0</v>
      </c>
      <c r="AK4815">
        <v>0</v>
      </c>
      <c r="AL4815">
        <v>0</v>
      </c>
      <c r="AM4815">
        <v>0</v>
      </c>
      <c r="AN4815">
        <v>0</v>
      </c>
      <c r="AO4815">
        <v>1</v>
      </c>
      <c r="AP4815">
        <v>0</v>
      </c>
      <c r="AQ4815">
        <v>0</v>
      </c>
      <c r="AR4815">
        <v>0</v>
      </c>
      <c r="AS4815">
        <v>0</v>
      </c>
      <c r="AT4815">
        <v>0</v>
      </c>
      <c r="AU4815">
        <f t="shared" si="148"/>
        <v>1</v>
      </c>
      <c r="AV4815">
        <f t="shared" si="149"/>
        <v>0</v>
      </c>
    </row>
    <row r="4816" spans="1:48" x14ac:dyDescent="0.25">
      <c r="A4816" t="s">
        <v>18217</v>
      </c>
      <c r="B4816" t="s">
        <v>114</v>
      </c>
      <c r="C4816" t="s">
        <v>18216</v>
      </c>
      <c r="D4816" t="s">
        <v>11027</v>
      </c>
      <c r="E4816" t="s">
        <v>1663</v>
      </c>
      <c r="F4816">
        <v>3</v>
      </c>
      <c r="G4816">
        <v>3.1</v>
      </c>
      <c r="H4816" t="s">
        <v>2017</v>
      </c>
      <c r="I4816" s="21">
        <v>42592</v>
      </c>
      <c r="J4816">
        <v>2016</v>
      </c>
      <c r="K4816" s="21">
        <v>42849</v>
      </c>
      <c r="L4816">
        <v>2017</v>
      </c>
      <c r="M4816" s="21">
        <v>43329</v>
      </c>
      <c r="N4816">
        <v>2018</v>
      </c>
      <c r="Q4816" s="262">
        <v>315000</v>
      </c>
      <c r="S4816" t="s">
        <v>13254</v>
      </c>
      <c r="W4816">
        <v>1259</v>
      </c>
      <c r="X4816">
        <v>1</v>
      </c>
      <c r="Y4816">
        <v>0</v>
      </c>
      <c r="Z4816">
        <v>0</v>
      </c>
      <c r="AA4816">
        <v>0</v>
      </c>
      <c r="AB4816">
        <v>0</v>
      </c>
      <c r="AC4816">
        <v>1259</v>
      </c>
      <c r="AD4816">
        <v>0</v>
      </c>
      <c r="AE4816">
        <v>0</v>
      </c>
      <c r="AF4816">
        <v>0</v>
      </c>
      <c r="AG4816">
        <v>0</v>
      </c>
      <c r="AH4816">
        <v>0</v>
      </c>
      <c r="AI4816">
        <v>0</v>
      </c>
      <c r="AJ4816">
        <v>0</v>
      </c>
      <c r="AK4816">
        <v>0</v>
      </c>
      <c r="AL4816">
        <v>0</v>
      </c>
      <c r="AM4816">
        <v>0</v>
      </c>
      <c r="AN4816">
        <v>0</v>
      </c>
      <c r="AO4816">
        <v>1</v>
      </c>
      <c r="AP4816">
        <v>0</v>
      </c>
      <c r="AQ4816">
        <v>0</v>
      </c>
      <c r="AR4816">
        <v>0</v>
      </c>
      <c r="AS4816">
        <v>0</v>
      </c>
      <c r="AT4816">
        <v>0</v>
      </c>
      <c r="AU4816">
        <f t="shared" si="148"/>
        <v>1</v>
      </c>
      <c r="AV4816">
        <f t="shared" si="149"/>
        <v>0</v>
      </c>
    </row>
    <row r="4817" spans="1:48" x14ac:dyDescent="0.25">
      <c r="A4817" t="s">
        <v>18218</v>
      </c>
      <c r="B4817" t="s">
        <v>114</v>
      </c>
      <c r="C4817" t="s">
        <v>18219</v>
      </c>
      <c r="D4817" t="s">
        <v>11027</v>
      </c>
      <c r="E4817" t="s">
        <v>1663</v>
      </c>
      <c r="F4817">
        <v>3</v>
      </c>
      <c r="G4817">
        <v>3.1</v>
      </c>
      <c r="H4817" t="s">
        <v>2017</v>
      </c>
      <c r="I4817" s="21">
        <v>42592</v>
      </c>
      <c r="J4817">
        <v>2016</v>
      </c>
      <c r="K4817" s="21">
        <v>42849</v>
      </c>
      <c r="L4817">
        <v>2017</v>
      </c>
      <c r="M4817" s="21">
        <v>43329</v>
      </c>
      <c r="N4817">
        <v>2018</v>
      </c>
      <c r="Q4817" s="262">
        <v>315000</v>
      </c>
      <c r="S4817" t="s">
        <v>13254</v>
      </c>
      <c r="W4817">
        <v>1259</v>
      </c>
      <c r="X4817">
        <v>1</v>
      </c>
      <c r="Y4817">
        <v>0</v>
      </c>
      <c r="Z4817">
        <v>0</v>
      </c>
      <c r="AA4817">
        <v>0</v>
      </c>
      <c r="AB4817">
        <v>0</v>
      </c>
      <c r="AC4817">
        <v>1259</v>
      </c>
      <c r="AD4817">
        <v>0</v>
      </c>
      <c r="AE4817">
        <v>0</v>
      </c>
      <c r="AF4817">
        <v>0</v>
      </c>
      <c r="AG4817">
        <v>0</v>
      </c>
      <c r="AH4817">
        <v>0</v>
      </c>
      <c r="AI4817">
        <v>0</v>
      </c>
      <c r="AJ4817">
        <v>0</v>
      </c>
      <c r="AK4817">
        <v>0</v>
      </c>
      <c r="AL4817">
        <v>0</v>
      </c>
      <c r="AM4817">
        <v>0</v>
      </c>
      <c r="AN4817">
        <v>0</v>
      </c>
      <c r="AO4817">
        <v>1</v>
      </c>
      <c r="AP4817">
        <v>0</v>
      </c>
      <c r="AQ4817">
        <v>0</v>
      </c>
      <c r="AR4817">
        <v>0</v>
      </c>
      <c r="AS4817">
        <v>0</v>
      </c>
      <c r="AT4817">
        <v>0</v>
      </c>
      <c r="AU4817">
        <f t="shared" si="148"/>
        <v>1</v>
      </c>
      <c r="AV4817">
        <f t="shared" si="149"/>
        <v>0</v>
      </c>
    </row>
    <row r="4818" spans="1:48" x14ac:dyDescent="0.25">
      <c r="A4818" t="s">
        <v>18220</v>
      </c>
      <c r="B4818" t="s">
        <v>114</v>
      </c>
      <c r="C4818" t="s">
        <v>18216</v>
      </c>
      <c r="D4818" t="s">
        <v>11027</v>
      </c>
      <c r="E4818" t="s">
        <v>1663</v>
      </c>
      <c r="F4818">
        <v>3</v>
      </c>
      <c r="G4818">
        <v>3.1</v>
      </c>
      <c r="H4818" t="s">
        <v>2017</v>
      </c>
      <c r="I4818" s="21">
        <v>42592</v>
      </c>
      <c r="J4818">
        <v>2016</v>
      </c>
      <c r="K4818" s="21">
        <v>42849</v>
      </c>
      <c r="L4818">
        <v>2017</v>
      </c>
      <c r="M4818" s="21">
        <v>43329</v>
      </c>
      <c r="N4818">
        <v>2018</v>
      </c>
      <c r="Q4818" s="262">
        <v>315000</v>
      </c>
      <c r="S4818" t="s">
        <v>13254</v>
      </c>
      <c r="W4818">
        <v>1259</v>
      </c>
      <c r="X4818">
        <v>1</v>
      </c>
      <c r="Y4818">
        <v>0</v>
      </c>
      <c r="Z4818">
        <v>0</v>
      </c>
      <c r="AA4818">
        <v>0</v>
      </c>
      <c r="AB4818">
        <v>0</v>
      </c>
      <c r="AC4818">
        <v>1259</v>
      </c>
      <c r="AD4818">
        <v>0</v>
      </c>
      <c r="AE4818">
        <v>0</v>
      </c>
      <c r="AF4818">
        <v>0</v>
      </c>
      <c r="AG4818">
        <v>0</v>
      </c>
      <c r="AH4818">
        <v>0</v>
      </c>
      <c r="AI4818">
        <v>0</v>
      </c>
      <c r="AJ4818">
        <v>0</v>
      </c>
      <c r="AK4818">
        <v>0</v>
      </c>
      <c r="AL4818">
        <v>0</v>
      </c>
      <c r="AM4818">
        <v>0</v>
      </c>
      <c r="AN4818">
        <v>0</v>
      </c>
      <c r="AO4818">
        <v>1</v>
      </c>
      <c r="AP4818">
        <v>0</v>
      </c>
      <c r="AQ4818">
        <v>0</v>
      </c>
      <c r="AR4818">
        <v>0</v>
      </c>
      <c r="AS4818">
        <v>0</v>
      </c>
      <c r="AT4818">
        <v>0</v>
      </c>
      <c r="AU4818">
        <f t="shared" si="148"/>
        <v>1</v>
      </c>
      <c r="AV4818">
        <f t="shared" si="149"/>
        <v>0</v>
      </c>
    </row>
    <row r="4819" spans="1:48" x14ac:dyDescent="0.25">
      <c r="A4819" t="s">
        <v>18226</v>
      </c>
      <c r="B4819" t="s">
        <v>114</v>
      </c>
      <c r="C4819" t="s">
        <v>18227</v>
      </c>
      <c r="D4819" t="s">
        <v>16770</v>
      </c>
      <c r="E4819" t="s">
        <v>1663</v>
      </c>
      <c r="F4819">
        <v>3</v>
      </c>
      <c r="G4819">
        <v>3.1</v>
      </c>
      <c r="H4819" t="s">
        <v>2017</v>
      </c>
      <c r="I4819" s="21">
        <v>42592</v>
      </c>
      <c r="J4819">
        <v>2016</v>
      </c>
      <c r="K4819" s="21">
        <v>42849</v>
      </c>
      <c r="L4819">
        <v>2017</v>
      </c>
      <c r="M4819" s="21">
        <v>43334</v>
      </c>
      <c r="N4819">
        <v>2018</v>
      </c>
      <c r="Q4819" s="262">
        <v>315000</v>
      </c>
      <c r="S4819" t="s">
        <v>13254</v>
      </c>
      <c r="W4819">
        <v>1259</v>
      </c>
      <c r="X4819">
        <v>1</v>
      </c>
      <c r="Y4819">
        <v>0</v>
      </c>
      <c r="Z4819">
        <v>0</v>
      </c>
      <c r="AA4819">
        <v>0</v>
      </c>
      <c r="AB4819">
        <v>0</v>
      </c>
      <c r="AC4819">
        <v>1259</v>
      </c>
      <c r="AD4819">
        <v>0</v>
      </c>
      <c r="AE4819">
        <v>0</v>
      </c>
      <c r="AF4819">
        <v>0</v>
      </c>
      <c r="AG4819">
        <v>0</v>
      </c>
      <c r="AH4819">
        <v>0</v>
      </c>
      <c r="AI4819">
        <v>0</v>
      </c>
      <c r="AJ4819">
        <v>0</v>
      </c>
      <c r="AK4819">
        <v>0</v>
      </c>
      <c r="AL4819">
        <v>0</v>
      </c>
      <c r="AM4819">
        <v>0</v>
      </c>
      <c r="AN4819">
        <v>0</v>
      </c>
      <c r="AO4819">
        <v>1</v>
      </c>
      <c r="AP4819">
        <v>0</v>
      </c>
      <c r="AQ4819">
        <v>0</v>
      </c>
      <c r="AR4819">
        <v>0</v>
      </c>
      <c r="AS4819">
        <v>0</v>
      </c>
      <c r="AT4819">
        <v>0</v>
      </c>
      <c r="AU4819">
        <f t="shared" si="148"/>
        <v>1</v>
      </c>
      <c r="AV4819">
        <f t="shared" si="149"/>
        <v>0</v>
      </c>
    </row>
    <row r="4820" spans="1:48" x14ac:dyDescent="0.25">
      <c r="A4820" t="s">
        <v>16768</v>
      </c>
      <c r="B4820" t="s">
        <v>114</v>
      </c>
      <c r="C4820" t="s">
        <v>16769</v>
      </c>
      <c r="D4820" t="s">
        <v>16770</v>
      </c>
      <c r="E4820" t="s">
        <v>1663</v>
      </c>
      <c r="F4820">
        <v>3</v>
      </c>
      <c r="G4820">
        <v>3.1</v>
      </c>
      <c r="H4820" t="s">
        <v>2017</v>
      </c>
      <c r="I4820" s="21">
        <v>42592</v>
      </c>
      <c r="J4820">
        <v>2016</v>
      </c>
      <c r="K4820" s="21">
        <v>42849</v>
      </c>
      <c r="L4820">
        <v>2017</v>
      </c>
      <c r="M4820" s="21">
        <v>43334</v>
      </c>
      <c r="N4820">
        <v>2018</v>
      </c>
      <c r="Q4820" s="262">
        <v>1500000</v>
      </c>
      <c r="S4820" t="s">
        <v>12464</v>
      </c>
      <c r="T4820">
        <v>10106</v>
      </c>
      <c r="W4820">
        <v>5189</v>
      </c>
      <c r="X4820">
        <v>6</v>
      </c>
      <c r="Y4820">
        <v>0</v>
      </c>
      <c r="Z4820">
        <v>0</v>
      </c>
      <c r="AA4820">
        <v>0</v>
      </c>
      <c r="AB4820">
        <v>0</v>
      </c>
      <c r="AC4820">
        <v>0</v>
      </c>
      <c r="AD4820">
        <v>0</v>
      </c>
      <c r="AE4820">
        <v>5189</v>
      </c>
      <c r="AF4820">
        <v>0</v>
      </c>
      <c r="AG4820">
        <v>0</v>
      </c>
      <c r="AH4820">
        <v>0</v>
      </c>
      <c r="AI4820">
        <v>0</v>
      </c>
      <c r="AJ4820">
        <v>0</v>
      </c>
      <c r="AK4820">
        <v>0</v>
      </c>
      <c r="AL4820">
        <v>0</v>
      </c>
      <c r="AM4820">
        <v>0</v>
      </c>
      <c r="AN4820">
        <v>0</v>
      </c>
      <c r="AO4820">
        <v>0</v>
      </c>
      <c r="AP4820">
        <v>0</v>
      </c>
      <c r="AQ4820">
        <v>6</v>
      </c>
      <c r="AR4820">
        <v>0</v>
      </c>
      <c r="AS4820">
        <v>0</v>
      </c>
      <c r="AT4820">
        <v>0</v>
      </c>
      <c r="AU4820">
        <f t="shared" si="148"/>
        <v>6</v>
      </c>
      <c r="AV4820">
        <f t="shared" si="149"/>
        <v>0</v>
      </c>
    </row>
    <row r="4821" spans="1:48" x14ac:dyDescent="0.25">
      <c r="A4821" t="s">
        <v>18935</v>
      </c>
      <c r="B4821" t="s">
        <v>18935</v>
      </c>
      <c r="C4821" t="s">
        <v>18936</v>
      </c>
      <c r="D4821" t="s">
        <v>18937</v>
      </c>
      <c r="E4821" t="s">
        <v>2310</v>
      </c>
      <c r="F4821">
        <v>14</v>
      </c>
      <c r="G4821">
        <v>14.2</v>
      </c>
      <c r="H4821" t="s">
        <v>2017</v>
      </c>
      <c r="I4821" s="21">
        <v>42592.571423611109</v>
      </c>
      <c r="J4821">
        <v>2016</v>
      </c>
      <c r="K4821" s="21">
        <v>42885.603194444448</v>
      </c>
      <c r="L4821">
        <v>2017</v>
      </c>
      <c r="M4821" s="21">
        <v>42885.603194444448</v>
      </c>
      <c r="N4821">
        <v>2017</v>
      </c>
      <c r="Q4821" s="262">
        <v>250000</v>
      </c>
      <c r="R4821" s="262">
        <v>161000</v>
      </c>
      <c r="S4821" t="s">
        <v>13254</v>
      </c>
      <c r="W4821">
        <v>1984</v>
      </c>
      <c r="X4821">
        <v>1</v>
      </c>
      <c r="Y4821">
        <v>0</v>
      </c>
      <c r="Z4821">
        <v>0</v>
      </c>
      <c r="AA4821">
        <v>0</v>
      </c>
      <c r="AB4821">
        <v>0</v>
      </c>
      <c r="AC4821">
        <v>1984</v>
      </c>
      <c r="AD4821">
        <v>0</v>
      </c>
      <c r="AE4821">
        <v>0</v>
      </c>
      <c r="AF4821">
        <v>0</v>
      </c>
      <c r="AG4821">
        <v>0</v>
      </c>
      <c r="AH4821">
        <v>0</v>
      </c>
      <c r="AI4821">
        <v>0</v>
      </c>
      <c r="AJ4821">
        <v>0</v>
      </c>
      <c r="AK4821">
        <v>0</v>
      </c>
      <c r="AL4821">
        <v>0</v>
      </c>
      <c r="AM4821">
        <v>0</v>
      </c>
      <c r="AN4821">
        <v>0</v>
      </c>
      <c r="AO4821">
        <v>1</v>
      </c>
      <c r="AP4821">
        <v>0</v>
      </c>
      <c r="AQ4821">
        <v>0</v>
      </c>
      <c r="AR4821">
        <v>0</v>
      </c>
      <c r="AS4821">
        <v>0</v>
      </c>
      <c r="AT4821">
        <v>0</v>
      </c>
      <c r="AU4821">
        <f t="shared" si="148"/>
        <v>1</v>
      </c>
      <c r="AV4821">
        <f t="shared" si="149"/>
        <v>0</v>
      </c>
    </row>
    <row r="4822" spans="1:48" x14ac:dyDescent="0.25">
      <c r="A4822" t="s">
        <v>18018</v>
      </c>
      <c r="B4822" t="s">
        <v>18018</v>
      </c>
      <c r="C4822" t="s">
        <v>18019</v>
      </c>
      <c r="D4822" t="s">
        <v>18020</v>
      </c>
      <c r="E4822" t="s">
        <v>2310</v>
      </c>
      <c r="F4822">
        <v>8</v>
      </c>
      <c r="G4822">
        <v>8.1</v>
      </c>
      <c r="H4822" t="s">
        <v>2323</v>
      </c>
      <c r="I4822" s="21">
        <v>42593.601493055554</v>
      </c>
      <c r="J4822">
        <v>2016</v>
      </c>
      <c r="K4822" s="21">
        <v>42817.687986111108</v>
      </c>
      <c r="L4822">
        <v>2017</v>
      </c>
      <c r="M4822" s="21">
        <v>43180.424675925926</v>
      </c>
      <c r="N4822">
        <v>2018</v>
      </c>
      <c r="Q4822" s="262">
        <v>240000</v>
      </c>
      <c r="R4822" s="262">
        <v>148000</v>
      </c>
      <c r="S4822" t="s">
        <v>13253</v>
      </c>
      <c r="T4822">
        <v>2799</v>
      </c>
      <c r="V4822">
        <v>965</v>
      </c>
      <c r="W4822">
        <v>590</v>
      </c>
      <c r="X4822">
        <v>0</v>
      </c>
      <c r="Y4822">
        <v>0</v>
      </c>
      <c r="Z4822">
        <v>0</v>
      </c>
      <c r="AA4822">
        <v>0</v>
      </c>
      <c r="AB4822">
        <v>0</v>
      </c>
      <c r="AC4822">
        <v>590</v>
      </c>
      <c r="AD4822">
        <v>0</v>
      </c>
      <c r="AE4822">
        <v>0</v>
      </c>
      <c r="AF4822">
        <v>0</v>
      </c>
      <c r="AG4822">
        <v>0</v>
      </c>
      <c r="AH4822">
        <v>0</v>
      </c>
      <c r="AI4822">
        <v>0</v>
      </c>
      <c r="AJ4822">
        <v>0</v>
      </c>
      <c r="AK4822">
        <v>0</v>
      </c>
      <c r="AL4822">
        <v>0</v>
      </c>
      <c r="AM4822">
        <v>0</v>
      </c>
      <c r="AN4822">
        <v>0</v>
      </c>
      <c r="AO4822">
        <v>0</v>
      </c>
      <c r="AP4822">
        <v>0</v>
      </c>
      <c r="AQ4822">
        <v>0</v>
      </c>
      <c r="AR4822">
        <v>0</v>
      </c>
      <c r="AS4822">
        <v>0</v>
      </c>
      <c r="AT4822">
        <v>0</v>
      </c>
      <c r="AU4822">
        <f t="shared" si="148"/>
        <v>0</v>
      </c>
      <c r="AV4822">
        <f t="shared" si="149"/>
        <v>0</v>
      </c>
    </row>
    <row r="4823" spans="1:48" x14ac:dyDescent="0.25">
      <c r="A4823" t="s">
        <v>18059</v>
      </c>
      <c r="B4823" t="s">
        <v>18059</v>
      </c>
      <c r="C4823" t="s">
        <v>18060</v>
      </c>
      <c r="D4823" t="s">
        <v>18061</v>
      </c>
      <c r="E4823" t="s">
        <v>2310</v>
      </c>
      <c r="F4823">
        <v>9</v>
      </c>
      <c r="G4823">
        <v>9.4</v>
      </c>
      <c r="H4823" t="s">
        <v>2323</v>
      </c>
      <c r="I4823" s="21">
        <v>42594.469687500001</v>
      </c>
      <c r="J4823">
        <v>2016</v>
      </c>
      <c r="K4823" s="21">
        <v>42655.643252314818</v>
      </c>
      <c r="L4823">
        <v>2016</v>
      </c>
      <c r="M4823" s="21">
        <v>44021.378956400462</v>
      </c>
      <c r="N4823">
        <v>2020</v>
      </c>
      <c r="Q4823" s="262">
        <v>2500000</v>
      </c>
      <c r="R4823" s="262">
        <v>493000</v>
      </c>
      <c r="S4823" t="s">
        <v>13253</v>
      </c>
      <c r="T4823">
        <v>3081</v>
      </c>
      <c r="V4823">
        <v>3964</v>
      </c>
      <c r="W4823">
        <v>1022</v>
      </c>
      <c r="X4823">
        <v>0</v>
      </c>
      <c r="Y4823">
        <v>0</v>
      </c>
      <c r="Z4823">
        <v>0</v>
      </c>
      <c r="AA4823">
        <v>0</v>
      </c>
      <c r="AB4823">
        <v>0</v>
      </c>
      <c r="AC4823">
        <v>1022</v>
      </c>
      <c r="AD4823">
        <v>0</v>
      </c>
      <c r="AE4823">
        <v>0</v>
      </c>
      <c r="AF4823">
        <v>0</v>
      </c>
      <c r="AG4823">
        <v>0</v>
      </c>
      <c r="AH4823">
        <v>0</v>
      </c>
      <c r="AI4823">
        <v>0</v>
      </c>
      <c r="AJ4823">
        <v>0</v>
      </c>
      <c r="AK4823">
        <v>0</v>
      </c>
      <c r="AL4823">
        <v>0</v>
      </c>
      <c r="AM4823">
        <v>0</v>
      </c>
      <c r="AN4823">
        <v>0</v>
      </c>
      <c r="AO4823">
        <v>0</v>
      </c>
      <c r="AP4823">
        <v>0</v>
      </c>
      <c r="AQ4823">
        <v>0</v>
      </c>
      <c r="AR4823">
        <v>0</v>
      </c>
      <c r="AS4823">
        <v>0</v>
      </c>
      <c r="AT4823">
        <v>0</v>
      </c>
      <c r="AU4823">
        <f t="shared" si="148"/>
        <v>0</v>
      </c>
      <c r="AV4823">
        <f t="shared" si="149"/>
        <v>0</v>
      </c>
    </row>
    <row r="4824" spans="1:48" x14ac:dyDescent="0.25">
      <c r="A4824" t="s">
        <v>19060</v>
      </c>
      <c r="B4824" t="s">
        <v>19060</v>
      </c>
      <c r="C4824" t="s">
        <v>19061</v>
      </c>
      <c r="D4824" t="s">
        <v>19062</v>
      </c>
      <c r="E4824" t="s">
        <v>2310</v>
      </c>
      <c r="F4824">
        <v>9</v>
      </c>
      <c r="G4824">
        <v>9.4</v>
      </c>
      <c r="H4824" t="s">
        <v>2323</v>
      </c>
      <c r="I4824" s="21">
        <v>42594.607627314814</v>
      </c>
      <c r="J4824">
        <v>2016</v>
      </c>
      <c r="K4824" s="21">
        <v>42787.407789351855</v>
      </c>
      <c r="L4824">
        <v>2017</v>
      </c>
      <c r="M4824" s="21">
        <v>42787.407789351855</v>
      </c>
      <c r="N4824">
        <v>2017</v>
      </c>
      <c r="Q4824" s="262">
        <v>100000</v>
      </c>
      <c r="R4824" s="262">
        <v>45000</v>
      </c>
      <c r="S4824" t="s">
        <v>13253</v>
      </c>
      <c r="T4824">
        <v>8426</v>
      </c>
      <c r="W4824">
        <v>672</v>
      </c>
      <c r="X4824">
        <v>0</v>
      </c>
      <c r="Y4824">
        <v>0</v>
      </c>
      <c r="Z4824">
        <v>0</v>
      </c>
      <c r="AA4824">
        <v>0</v>
      </c>
      <c r="AB4824">
        <v>0</v>
      </c>
      <c r="AC4824">
        <v>672</v>
      </c>
      <c r="AD4824">
        <v>0</v>
      </c>
      <c r="AE4824">
        <v>0</v>
      </c>
      <c r="AF4824">
        <v>0</v>
      </c>
      <c r="AG4824">
        <v>0</v>
      </c>
      <c r="AH4824">
        <v>0</v>
      </c>
      <c r="AI4824">
        <v>0</v>
      </c>
      <c r="AJ4824">
        <v>0</v>
      </c>
      <c r="AK4824">
        <v>0</v>
      </c>
      <c r="AL4824">
        <v>0</v>
      </c>
      <c r="AM4824">
        <v>0</v>
      </c>
      <c r="AN4824">
        <v>0</v>
      </c>
      <c r="AO4824">
        <v>0</v>
      </c>
      <c r="AP4824">
        <v>0</v>
      </c>
      <c r="AQ4824">
        <v>0</v>
      </c>
      <c r="AR4824">
        <v>0</v>
      </c>
      <c r="AS4824">
        <v>0</v>
      </c>
      <c r="AT4824">
        <v>0</v>
      </c>
      <c r="AU4824">
        <f t="shared" si="148"/>
        <v>0</v>
      </c>
      <c r="AV4824">
        <f t="shared" si="149"/>
        <v>0</v>
      </c>
    </row>
    <row r="4825" spans="1:48" x14ac:dyDescent="0.25">
      <c r="A4825" t="s">
        <v>18419</v>
      </c>
      <c r="B4825" t="s">
        <v>18419</v>
      </c>
      <c r="C4825" t="s">
        <v>18420</v>
      </c>
      <c r="D4825" t="s">
        <v>18421</v>
      </c>
      <c r="E4825" t="s">
        <v>2310</v>
      </c>
      <c r="F4825">
        <v>9</v>
      </c>
      <c r="G4825">
        <v>9.3000000000000007</v>
      </c>
      <c r="H4825" t="s">
        <v>2323</v>
      </c>
      <c r="I4825" s="21">
        <v>42598.476307870369</v>
      </c>
      <c r="J4825">
        <v>2016</v>
      </c>
      <c r="K4825" s="21">
        <v>42647.573460648149</v>
      </c>
      <c r="L4825">
        <v>2016</v>
      </c>
      <c r="M4825" s="21">
        <v>43437.440546412035</v>
      </c>
      <c r="N4825">
        <v>2018</v>
      </c>
      <c r="Q4825" s="262">
        <v>2812800</v>
      </c>
      <c r="R4825" s="262">
        <v>978000</v>
      </c>
      <c r="S4825" t="s">
        <v>13254</v>
      </c>
      <c r="W4825">
        <v>7032</v>
      </c>
      <c r="X4825">
        <v>1</v>
      </c>
      <c r="Y4825">
        <v>0</v>
      </c>
      <c r="Z4825">
        <v>0</v>
      </c>
      <c r="AA4825">
        <v>0</v>
      </c>
      <c r="AB4825">
        <v>0</v>
      </c>
      <c r="AC4825">
        <v>7032</v>
      </c>
      <c r="AD4825">
        <v>0</v>
      </c>
      <c r="AE4825">
        <v>0</v>
      </c>
      <c r="AF4825">
        <v>0</v>
      </c>
      <c r="AG4825">
        <v>0</v>
      </c>
      <c r="AH4825">
        <v>0</v>
      </c>
      <c r="AI4825">
        <v>0</v>
      </c>
      <c r="AJ4825">
        <v>0</v>
      </c>
      <c r="AK4825">
        <v>0</v>
      </c>
      <c r="AL4825">
        <v>0</v>
      </c>
      <c r="AM4825">
        <v>0</v>
      </c>
      <c r="AN4825">
        <v>0</v>
      </c>
      <c r="AO4825">
        <v>1</v>
      </c>
      <c r="AP4825">
        <v>0</v>
      </c>
      <c r="AQ4825">
        <v>0</v>
      </c>
      <c r="AR4825">
        <v>0</v>
      </c>
      <c r="AS4825">
        <v>0</v>
      </c>
      <c r="AT4825">
        <v>0</v>
      </c>
      <c r="AU4825">
        <f t="shared" ref="AU4825:AU4888" si="150">SUM(AN4825:AQ4825,AS4825)</f>
        <v>1</v>
      </c>
      <c r="AV4825">
        <f t="shared" ref="AV4825:AV4888" si="151">SUM(Y4825:AB4825,AH4825:AM4825)</f>
        <v>0</v>
      </c>
    </row>
    <row r="4826" spans="1:48" x14ac:dyDescent="0.25">
      <c r="A4826" t="s">
        <v>18145</v>
      </c>
      <c r="B4826" t="s">
        <v>18145</v>
      </c>
      <c r="C4826" t="s">
        <v>18146</v>
      </c>
      <c r="D4826" t="s">
        <v>18147</v>
      </c>
      <c r="E4826" t="s">
        <v>2310</v>
      </c>
      <c r="F4826">
        <v>15</v>
      </c>
      <c r="G4826">
        <v>15.3</v>
      </c>
      <c r="H4826" t="s">
        <v>2022</v>
      </c>
      <c r="I4826" s="21">
        <v>42599.605393518519</v>
      </c>
      <c r="J4826">
        <v>2016</v>
      </c>
      <c r="K4826" s="21">
        <v>42705.700150462966</v>
      </c>
      <c r="L4826">
        <v>2016</v>
      </c>
      <c r="M4826" s="21">
        <v>43283.64928568287</v>
      </c>
      <c r="N4826">
        <v>2018</v>
      </c>
      <c r="Q4826" s="262">
        <v>171000</v>
      </c>
      <c r="R4826" s="262">
        <v>113000</v>
      </c>
      <c r="S4826" t="s">
        <v>13254</v>
      </c>
      <c r="W4826">
        <v>1152</v>
      </c>
      <c r="X4826">
        <v>0</v>
      </c>
      <c r="Y4826">
        <v>0</v>
      </c>
      <c r="Z4826">
        <v>0</v>
      </c>
      <c r="AA4826">
        <v>0</v>
      </c>
      <c r="AB4826">
        <v>0</v>
      </c>
      <c r="AC4826">
        <v>1152</v>
      </c>
      <c r="AD4826">
        <v>0</v>
      </c>
      <c r="AE4826">
        <v>0</v>
      </c>
      <c r="AF4826">
        <v>0</v>
      </c>
      <c r="AG4826">
        <v>0</v>
      </c>
      <c r="AH4826">
        <v>0</v>
      </c>
      <c r="AI4826">
        <v>0</v>
      </c>
      <c r="AJ4826">
        <v>0</v>
      </c>
      <c r="AK4826">
        <v>0</v>
      </c>
      <c r="AL4826">
        <v>0</v>
      </c>
      <c r="AM4826">
        <v>0</v>
      </c>
      <c r="AN4826">
        <v>0</v>
      </c>
      <c r="AO4826">
        <v>0</v>
      </c>
      <c r="AP4826">
        <v>0</v>
      </c>
      <c r="AQ4826">
        <v>0</v>
      </c>
      <c r="AR4826">
        <v>0</v>
      </c>
      <c r="AS4826">
        <v>0</v>
      </c>
      <c r="AT4826">
        <v>0</v>
      </c>
      <c r="AU4826">
        <f t="shared" si="150"/>
        <v>0</v>
      </c>
      <c r="AV4826">
        <f t="shared" si="151"/>
        <v>0</v>
      </c>
    </row>
    <row r="4827" spans="1:48" x14ac:dyDescent="0.25">
      <c r="A4827" t="s">
        <v>13362</v>
      </c>
      <c r="B4827" t="s">
        <v>13362</v>
      </c>
      <c r="C4827" t="s">
        <v>13363</v>
      </c>
      <c r="D4827" t="s">
        <v>11665</v>
      </c>
      <c r="E4827" t="s">
        <v>2310</v>
      </c>
      <c r="F4827">
        <v>9</v>
      </c>
      <c r="G4827">
        <v>9.1999999999999993</v>
      </c>
      <c r="H4827" t="s">
        <v>2022</v>
      </c>
      <c r="I4827" s="21">
        <v>42600.4450462963</v>
      </c>
      <c r="J4827">
        <v>2016</v>
      </c>
      <c r="O4827" s="21">
        <v>42649.681631944397</v>
      </c>
      <c r="Q4827" s="262">
        <v>450000</v>
      </c>
      <c r="R4827" s="262">
        <v>244000</v>
      </c>
      <c r="S4827" t="s">
        <v>114</v>
      </c>
      <c r="T4827" t="s">
        <v>114</v>
      </c>
      <c r="V4827">
        <v>2637</v>
      </c>
      <c r="W4827">
        <v>67</v>
      </c>
      <c r="X4827">
        <v>0</v>
      </c>
      <c r="Y4827">
        <v>0</v>
      </c>
      <c r="Z4827">
        <v>0</v>
      </c>
      <c r="AA4827">
        <v>0</v>
      </c>
      <c r="AB4827">
        <v>0</v>
      </c>
      <c r="AC4827">
        <v>67</v>
      </c>
      <c r="AD4827">
        <v>0</v>
      </c>
      <c r="AE4827">
        <v>0</v>
      </c>
      <c r="AF4827">
        <v>0</v>
      </c>
      <c r="AG4827">
        <v>0</v>
      </c>
      <c r="AH4827">
        <v>0</v>
      </c>
      <c r="AI4827">
        <v>0</v>
      </c>
      <c r="AJ4827">
        <v>0</v>
      </c>
      <c r="AK4827">
        <v>0</v>
      </c>
      <c r="AL4827">
        <v>0</v>
      </c>
      <c r="AM4827">
        <v>0</v>
      </c>
      <c r="AN4827">
        <v>0</v>
      </c>
      <c r="AO4827">
        <v>0</v>
      </c>
      <c r="AP4827">
        <v>0</v>
      </c>
      <c r="AQ4827">
        <v>0</v>
      </c>
      <c r="AR4827">
        <v>0</v>
      </c>
      <c r="AS4827">
        <v>0</v>
      </c>
      <c r="AT4827">
        <v>0</v>
      </c>
      <c r="AU4827">
        <f t="shared" si="150"/>
        <v>0</v>
      </c>
      <c r="AV4827">
        <f t="shared" si="151"/>
        <v>0</v>
      </c>
    </row>
    <row r="4828" spans="1:48" x14ac:dyDescent="0.25">
      <c r="A4828" t="s">
        <v>17992</v>
      </c>
      <c r="B4828" t="s">
        <v>114</v>
      </c>
      <c r="C4828" t="s">
        <v>13395</v>
      </c>
      <c r="D4828" t="s">
        <v>13850</v>
      </c>
      <c r="E4828" t="s">
        <v>1663</v>
      </c>
      <c r="F4828">
        <v>3</v>
      </c>
      <c r="G4828">
        <v>3.4</v>
      </c>
      <c r="H4828" t="s">
        <v>2017</v>
      </c>
      <c r="I4828" s="21">
        <v>42601</v>
      </c>
      <c r="J4828">
        <v>2016</v>
      </c>
      <c r="K4828" s="21">
        <v>42626</v>
      </c>
      <c r="L4828">
        <v>2016</v>
      </c>
      <c r="M4828" s="21">
        <v>43161</v>
      </c>
      <c r="N4828">
        <v>2018</v>
      </c>
      <c r="Q4828" s="262">
        <v>1000000</v>
      </c>
      <c r="S4828" t="s">
        <v>13254</v>
      </c>
      <c r="W4828">
        <v>3411</v>
      </c>
      <c r="X4828">
        <v>2</v>
      </c>
      <c r="Y4828">
        <v>0</v>
      </c>
      <c r="Z4828">
        <v>0</v>
      </c>
      <c r="AA4828">
        <v>0</v>
      </c>
      <c r="AB4828">
        <v>0</v>
      </c>
      <c r="AC4828">
        <v>0</v>
      </c>
      <c r="AD4828">
        <v>3411</v>
      </c>
      <c r="AE4828">
        <v>0</v>
      </c>
      <c r="AF4828">
        <v>0</v>
      </c>
      <c r="AG4828">
        <v>0</v>
      </c>
      <c r="AH4828">
        <v>0</v>
      </c>
      <c r="AI4828">
        <v>0</v>
      </c>
      <c r="AJ4828">
        <v>0</v>
      </c>
      <c r="AK4828">
        <v>0</v>
      </c>
      <c r="AL4828">
        <v>0</v>
      </c>
      <c r="AM4828">
        <v>0</v>
      </c>
      <c r="AN4828">
        <v>0</v>
      </c>
      <c r="AO4828">
        <v>0</v>
      </c>
      <c r="AP4828">
        <v>2</v>
      </c>
      <c r="AQ4828">
        <v>0</v>
      </c>
      <c r="AR4828">
        <v>0</v>
      </c>
      <c r="AS4828">
        <v>0</v>
      </c>
      <c r="AT4828">
        <v>0</v>
      </c>
      <c r="AU4828">
        <f t="shared" si="150"/>
        <v>2</v>
      </c>
      <c r="AV4828">
        <f t="shared" si="151"/>
        <v>0</v>
      </c>
    </row>
    <row r="4829" spans="1:48" x14ac:dyDescent="0.25">
      <c r="A4829" t="s">
        <v>14753</v>
      </c>
      <c r="B4829" t="s">
        <v>114</v>
      </c>
      <c r="C4829" t="s">
        <v>11246</v>
      </c>
      <c r="D4829" t="s">
        <v>14754</v>
      </c>
      <c r="E4829" t="s">
        <v>1663</v>
      </c>
      <c r="F4829">
        <v>6</v>
      </c>
      <c r="G4829">
        <v>6.1</v>
      </c>
      <c r="H4829" t="s">
        <v>2017</v>
      </c>
      <c r="I4829" s="21">
        <v>42604</v>
      </c>
      <c r="J4829">
        <v>2016</v>
      </c>
      <c r="K4829" s="21">
        <v>42632</v>
      </c>
      <c r="L4829">
        <v>2016</v>
      </c>
      <c r="M4829" s="21">
        <v>43042</v>
      </c>
      <c r="N4829">
        <v>2017</v>
      </c>
      <c r="Q4829" s="262">
        <v>760000</v>
      </c>
      <c r="S4829" t="s">
        <v>13254</v>
      </c>
      <c r="W4829">
        <v>3108</v>
      </c>
      <c r="X4829">
        <v>1</v>
      </c>
      <c r="Y4829">
        <v>0</v>
      </c>
      <c r="Z4829">
        <v>0</v>
      </c>
      <c r="AA4829">
        <v>0</v>
      </c>
      <c r="AB4829">
        <v>0</v>
      </c>
      <c r="AC4829">
        <v>3108</v>
      </c>
      <c r="AD4829">
        <v>0</v>
      </c>
      <c r="AE4829">
        <v>0</v>
      </c>
      <c r="AF4829">
        <v>0</v>
      </c>
      <c r="AG4829">
        <v>0</v>
      </c>
      <c r="AH4829">
        <v>0</v>
      </c>
      <c r="AI4829">
        <v>0</v>
      </c>
      <c r="AJ4829">
        <v>0</v>
      </c>
      <c r="AK4829">
        <v>0</v>
      </c>
      <c r="AL4829">
        <v>0</v>
      </c>
      <c r="AM4829">
        <v>0</v>
      </c>
      <c r="AN4829">
        <v>0</v>
      </c>
      <c r="AO4829">
        <v>1</v>
      </c>
      <c r="AP4829">
        <v>0</v>
      </c>
      <c r="AQ4829">
        <v>0</v>
      </c>
      <c r="AR4829">
        <v>0</v>
      </c>
      <c r="AS4829">
        <v>0</v>
      </c>
      <c r="AT4829">
        <v>0</v>
      </c>
      <c r="AU4829">
        <f t="shared" si="150"/>
        <v>1</v>
      </c>
      <c r="AV4829">
        <f t="shared" si="151"/>
        <v>0</v>
      </c>
    </row>
    <row r="4830" spans="1:48" x14ac:dyDescent="0.25">
      <c r="A4830" t="s">
        <v>13364</v>
      </c>
      <c r="B4830" t="s">
        <v>13364</v>
      </c>
      <c r="C4830" t="s">
        <v>13365</v>
      </c>
      <c r="D4830" t="s">
        <v>13366</v>
      </c>
      <c r="E4830" t="s">
        <v>2310</v>
      </c>
      <c r="F4830">
        <v>13</v>
      </c>
      <c r="G4830">
        <v>13.1</v>
      </c>
      <c r="H4830" t="s">
        <v>2327</v>
      </c>
      <c r="I4830" s="21">
        <v>42605.676296296297</v>
      </c>
      <c r="J4830">
        <v>2016</v>
      </c>
      <c r="K4830" s="21">
        <v>42639.492928240703</v>
      </c>
      <c r="L4830">
        <v>2016</v>
      </c>
      <c r="M4830" s="21">
        <v>42710.443599537</v>
      </c>
      <c r="N4830">
        <v>2016</v>
      </c>
      <c r="Q4830" s="262">
        <v>43000</v>
      </c>
      <c r="R4830" s="262">
        <v>6000</v>
      </c>
      <c r="S4830" t="s">
        <v>114</v>
      </c>
      <c r="T4830" t="s">
        <v>114</v>
      </c>
      <c r="W4830">
        <v>120</v>
      </c>
      <c r="X4830">
        <v>0</v>
      </c>
      <c r="Y4830">
        <v>0</v>
      </c>
      <c r="Z4830">
        <v>0</v>
      </c>
      <c r="AA4830">
        <v>0</v>
      </c>
      <c r="AB4830">
        <v>0</v>
      </c>
      <c r="AC4830">
        <v>0</v>
      </c>
      <c r="AD4830">
        <v>0</v>
      </c>
      <c r="AE4830">
        <v>0</v>
      </c>
      <c r="AF4830">
        <v>0</v>
      </c>
      <c r="AG4830">
        <v>0</v>
      </c>
      <c r="AH4830">
        <v>0</v>
      </c>
      <c r="AI4830">
        <v>0</v>
      </c>
      <c r="AJ4830">
        <v>0</v>
      </c>
      <c r="AK4830">
        <v>0</v>
      </c>
      <c r="AL4830">
        <v>120</v>
      </c>
      <c r="AM4830">
        <v>0</v>
      </c>
      <c r="AN4830">
        <v>0</v>
      </c>
      <c r="AO4830">
        <v>0</v>
      </c>
      <c r="AP4830">
        <v>0</v>
      </c>
      <c r="AQ4830">
        <v>0</v>
      </c>
      <c r="AR4830">
        <v>0</v>
      </c>
      <c r="AS4830">
        <v>0</v>
      </c>
      <c r="AT4830">
        <v>0</v>
      </c>
      <c r="AU4830">
        <f t="shared" si="150"/>
        <v>0</v>
      </c>
      <c r="AV4830">
        <f t="shared" si="151"/>
        <v>120</v>
      </c>
    </row>
    <row r="4831" spans="1:48" x14ac:dyDescent="0.25">
      <c r="A4831" t="s">
        <v>13367</v>
      </c>
      <c r="C4831" t="s">
        <v>13368</v>
      </c>
      <c r="D4831" t="s">
        <v>13210</v>
      </c>
      <c r="E4831" t="s">
        <v>1663</v>
      </c>
      <c r="F4831">
        <v>2</v>
      </c>
      <c r="G4831">
        <v>2.6</v>
      </c>
      <c r="H4831" t="s">
        <v>2327</v>
      </c>
      <c r="I4831" s="21">
        <v>42606</v>
      </c>
      <c r="J4831">
        <v>2016</v>
      </c>
      <c r="K4831" s="21">
        <v>42620</v>
      </c>
      <c r="L4831">
        <v>2016</v>
      </c>
      <c r="M4831" s="21">
        <v>42723</v>
      </c>
      <c r="N4831">
        <v>2016</v>
      </c>
      <c r="Q4831" s="262">
        <v>0</v>
      </c>
      <c r="S4831" t="s">
        <v>114</v>
      </c>
      <c r="T4831" t="s">
        <v>114</v>
      </c>
      <c r="W4831">
        <v>0</v>
      </c>
      <c r="X4831">
        <v>0</v>
      </c>
      <c r="Y4831">
        <v>0</v>
      </c>
      <c r="Z4831">
        <v>0</v>
      </c>
      <c r="AA4831">
        <v>0</v>
      </c>
      <c r="AB4831">
        <v>0</v>
      </c>
      <c r="AC4831">
        <v>0</v>
      </c>
      <c r="AD4831">
        <v>0</v>
      </c>
      <c r="AE4831">
        <v>0</v>
      </c>
      <c r="AF4831">
        <v>0</v>
      </c>
      <c r="AG4831">
        <v>0</v>
      </c>
      <c r="AH4831">
        <v>0</v>
      </c>
      <c r="AI4831">
        <v>0</v>
      </c>
      <c r="AJ4831">
        <v>0</v>
      </c>
      <c r="AK4831">
        <v>0</v>
      </c>
      <c r="AL4831">
        <v>0</v>
      </c>
      <c r="AM4831">
        <v>0</v>
      </c>
      <c r="AN4831">
        <v>0</v>
      </c>
      <c r="AO4831">
        <v>0</v>
      </c>
      <c r="AP4831">
        <v>0</v>
      </c>
      <c r="AQ4831">
        <v>0</v>
      </c>
      <c r="AR4831">
        <v>0</v>
      </c>
      <c r="AS4831">
        <v>0</v>
      </c>
      <c r="AT4831">
        <v>0</v>
      </c>
      <c r="AU4831">
        <f t="shared" si="150"/>
        <v>0</v>
      </c>
      <c r="AV4831">
        <f t="shared" si="151"/>
        <v>0</v>
      </c>
    </row>
    <row r="4832" spans="1:48" x14ac:dyDescent="0.25">
      <c r="A4832" t="s">
        <v>14776</v>
      </c>
      <c r="C4832" t="s">
        <v>13528</v>
      </c>
      <c r="D4832" t="s">
        <v>13001</v>
      </c>
      <c r="E4832" t="s">
        <v>1663</v>
      </c>
      <c r="F4832">
        <v>2</v>
      </c>
      <c r="G4832">
        <v>2.2999999999999998</v>
      </c>
      <c r="H4832" t="s">
        <v>2327</v>
      </c>
      <c r="I4832" s="21">
        <v>42606</v>
      </c>
      <c r="J4832">
        <v>2016</v>
      </c>
      <c r="M4832" s="21">
        <v>42830</v>
      </c>
      <c r="N4832">
        <v>2017</v>
      </c>
      <c r="Q4832" s="262">
        <v>275000</v>
      </c>
      <c r="S4832" t="s">
        <v>114</v>
      </c>
      <c r="T4832" t="s">
        <v>114</v>
      </c>
      <c r="W4832">
        <v>0</v>
      </c>
      <c r="X4832">
        <v>0</v>
      </c>
      <c r="Y4832">
        <v>0</v>
      </c>
      <c r="Z4832">
        <v>0</v>
      </c>
      <c r="AA4832">
        <v>0</v>
      </c>
      <c r="AB4832">
        <v>0</v>
      </c>
      <c r="AC4832">
        <v>0</v>
      </c>
      <c r="AD4832">
        <v>0</v>
      </c>
      <c r="AE4832">
        <v>0</v>
      </c>
      <c r="AF4832">
        <v>0</v>
      </c>
      <c r="AG4832">
        <v>0</v>
      </c>
      <c r="AH4832">
        <v>0</v>
      </c>
      <c r="AI4832">
        <v>0</v>
      </c>
      <c r="AJ4832">
        <v>0</v>
      </c>
      <c r="AK4832">
        <v>0</v>
      </c>
      <c r="AL4832">
        <v>0</v>
      </c>
      <c r="AM4832">
        <v>0</v>
      </c>
      <c r="AN4832">
        <v>0</v>
      </c>
      <c r="AO4832">
        <v>0</v>
      </c>
      <c r="AP4832">
        <v>0</v>
      </c>
      <c r="AQ4832">
        <v>0</v>
      </c>
      <c r="AR4832">
        <v>0</v>
      </c>
      <c r="AS4832">
        <v>0</v>
      </c>
      <c r="AT4832">
        <v>0</v>
      </c>
      <c r="AU4832">
        <f t="shared" si="150"/>
        <v>0</v>
      </c>
      <c r="AV4832">
        <f t="shared" si="151"/>
        <v>0</v>
      </c>
    </row>
    <row r="4833" spans="1:48" x14ac:dyDescent="0.25">
      <c r="A4833" t="s">
        <v>13369</v>
      </c>
      <c r="B4833" t="s">
        <v>13369</v>
      </c>
      <c r="C4833" t="s">
        <v>13370</v>
      </c>
      <c r="D4833" t="s">
        <v>7089</v>
      </c>
      <c r="E4833" t="s">
        <v>2310</v>
      </c>
      <c r="F4833">
        <v>7</v>
      </c>
      <c r="G4833">
        <v>7.1</v>
      </c>
      <c r="H4833" t="s">
        <v>2017</v>
      </c>
      <c r="I4833" s="21">
        <v>42606.657696759299</v>
      </c>
      <c r="J4833">
        <v>2016</v>
      </c>
      <c r="K4833" s="21">
        <v>42943.668113425898</v>
      </c>
      <c r="L4833">
        <v>2017</v>
      </c>
      <c r="M4833" s="21">
        <v>43546.359180520798</v>
      </c>
      <c r="N4833">
        <v>2019</v>
      </c>
      <c r="Q4833" s="262">
        <v>15000</v>
      </c>
      <c r="R4833" s="262">
        <v>7000</v>
      </c>
      <c r="S4833" t="s">
        <v>114</v>
      </c>
      <c r="T4833" t="s">
        <v>114</v>
      </c>
      <c r="W4833">
        <v>158</v>
      </c>
      <c r="X4833">
        <v>0</v>
      </c>
      <c r="Y4833">
        <v>0</v>
      </c>
      <c r="Z4833">
        <v>0</v>
      </c>
      <c r="AA4833">
        <v>158</v>
      </c>
      <c r="AB4833">
        <v>0</v>
      </c>
      <c r="AC4833">
        <v>0</v>
      </c>
      <c r="AD4833">
        <v>0</v>
      </c>
      <c r="AE4833">
        <v>0</v>
      </c>
      <c r="AF4833">
        <v>0</v>
      </c>
      <c r="AG4833">
        <v>0</v>
      </c>
      <c r="AH4833">
        <v>0</v>
      </c>
      <c r="AI4833">
        <v>0</v>
      </c>
      <c r="AJ4833">
        <v>0</v>
      </c>
      <c r="AK4833">
        <v>0</v>
      </c>
      <c r="AL4833">
        <v>0</v>
      </c>
      <c r="AM4833">
        <v>0</v>
      </c>
      <c r="AN4833">
        <v>0</v>
      </c>
      <c r="AO4833">
        <v>0</v>
      </c>
      <c r="AP4833">
        <v>0</v>
      </c>
      <c r="AQ4833">
        <v>0</v>
      </c>
      <c r="AR4833">
        <v>0</v>
      </c>
      <c r="AS4833">
        <v>0</v>
      </c>
      <c r="AT4833">
        <v>0</v>
      </c>
      <c r="AU4833">
        <f t="shared" si="150"/>
        <v>0</v>
      </c>
      <c r="AV4833">
        <f t="shared" si="151"/>
        <v>158</v>
      </c>
    </row>
    <row r="4834" spans="1:48" x14ac:dyDescent="0.25">
      <c r="A4834" t="s">
        <v>13371</v>
      </c>
      <c r="C4834" t="s">
        <v>13372</v>
      </c>
      <c r="D4834" t="s">
        <v>13373</v>
      </c>
      <c r="E4834" t="s">
        <v>1663</v>
      </c>
      <c r="F4834">
        <v>3</v>
      </c>
      <c r="G4834">
        <v>3.4</v>
      </c>
      <c r="H4834" t="s">
        <v>2017</v>
      </c>
      <c r="I4834" s="21">
        <v>42607</v>
      </c>
      <c r="J4834">
        <v>2016</v>
      </c>
      <c r="K4834" s="21">
        <v>42620</v>
      </c>
      <c r="L4834">
        <v>2016</v>
      </c>
      <c r="M4834" s="21">
        <v>42635</v>
      </c>
      <c r="N4834">
        <v>2016</v>
      </c>
      <c r="Q4834" s="262">
        <v>7000</v>
      </c>
      <c r="S4834" t="s">
        <v>114</v>
      </c>
      <c r="T4834" t="s">
        <v>114</v>
      </c>
      <c r="W4834">
        <v>0</v>
      </c>
      <c r="X4834">
        <v>0</v>
      </c>
      <c r="Y4834">
        <v>0</v>
      </c>
      <c r="Z4834">
        <v>0</v>
      </c>
      <c r="AA4834">
        <v>0</v>
      </c>
      <c r="AB4834">
        <v>0</v>
      </c>
      <c r="AC4834">
        <v>0</v>
      </c>
      <c r="AD4834">
        <v>0</v>
      </c>
      <c r="AE4834">
        <v>0</v>
      </c>
      <c r="AF4834">
        <v>0</v>
      </c>
      <c r="AG4834">
        <v>0</v>
      </c>
      <c r="AH4834">
        <v>0</v>
      </c>
      <c r="AI4834">
        <v>0</v>
      </c>
      <c r="AJ4834">
        <v>0</v>
      </c>
      <c r="AK4834">
        <v>0</v>
      </c>
      <c r="AL4834">
        <v>0</v>
      </c>
      <c r="AM4834">
        <v>0</v>
      </c>
      <c r="AN4834">
        <v>0</v>
      </c>
      <c r="AO4834">
        <v>0</v>
      </c>
      <c r="AP4834">
        <v>0</v>
      </c>
      <c r="AQ4834">
        <v>0</v>
      </c>
      <c r="AR4834">
        <v>0</v>
      </c>
      <c r="AS4834">
        <v>0</v>
      </c>
      <c r="AT4834">
        <v>0</v>
      </c>
      <c r="AU4834">
        <f t="shared" si="150"/>
        <v>0</v>
      </c>
      <c r="AV4834">
        <f t="shared" si="151"/>
        <v>0</v>
      </c>
    </row>
    <row r="4835" spans="1:48" x14ac:dyDescent="0.25">
      <c r="A4835" t="s">
        <v>13374</v>
      </c>
      <c r="C4835" t="s">
        <v>13375</v>
      </c>
      <c r="D4835" t="s">
        <v>5958</v>
      </c>
      <c r="E4835" t="s">
        <v>1663</v>
      </c>
      <c r="F4835">
        <v>6</v>
      </c>
      <c r="G4835">
        <v>6.1</v>
      </c>
      <c r="H4835" t="s">
        <v>2017</v>
      </c>
      <c r="I4835" s="21">
        <v>42612</v>
      </c>
      <c r="J4835">
        <v>2016</v>
      </c>
      <c r="K4835" s="21">
        <v>42626</v>
      </c>
      <c r="L4835">
        <v>2016</v>
      </c>
      <c r="P4835" s="21">
        <v>42959</v>
      </c>
      <c r="Q4835" s="262">
        <v>24000</v>
      </c>
      <c r="S4835" t="s">
        <v>114</v>
      </c>
      <c r="T4835" t="s">
        <v>114</v>
      </c>
      <c r="W4835">
        <v>240</v>
      </c>
      <c r="X4835">
        <v>0</v>
      </c>
      <c r="Y4835">
        <v>0</v>
      </c>
      <c r="Z4835">
        <v>0</v>
      </c>
      <c r="AA4835">
        <v>0</v>
      </c>
      <c r="AB4835">
        <v>0</v>
      </c>
      <c r="AC4835">
        <v>240</v>
      </c>
      <c r="AD4835">
        <v>0</v>
      </c>
      <c r="AE4835">
        <v>0</v>
      </c>
      <c r="AF4835">
        <v>0</v>
      </c>
      <c r="AG4835">
        <v>0</v>
      </c>
      <c r="AH4835">
        <v>0</v>
      </c>
      <c r="AI4835">
        <v>0</v>
      </c>
      <c r="AJ4835">
        <v>0</v>
      </c>
      <c r="AK4835">
        <v>0</v>
      </c>
      <c r="AL4835">
        <v>0</v>
      </c>
      <c r="AM4835">
        <v>0</v>
      </c>
      <c r="AN4835">
        <v>0</v>
      </c>
      <c r="AO4835">
        <v>0</v>
      </c>
      <c r="AP4835">
        <v>0</v>
      </c>
      <c r="AQ4835">
        <v>0</v>
      </c>
      <c r="AR4835">
        <v>0</v>
      </c>
      <c r="AS4835">
        <v>0</v>
      </c>
      <c r="AT4835">
        <v>0</v>
      </c>
      <c r="AU4835">
        <f t="shared" si="150"/>
        <v>0</v>
      </c>
      <c r="AV4835">
        <f t="shared" si="151"/>
        <v>0</v>
      </c>
    </row>
    <row r="4836" spans="1:48" x14ac:dyDescent="0.25">
      <c r="A4836" t="s">
        <v>18307</v>
      </c>
      <c r="B4836" t="s">
        <v>18307</v>
      </c>
      <c r="C4836" t="s">
        <v>18308</v>
      </c>
      <c r="D4836" t="s">
        <v>18309</v>
      </c>
      <c r="E4836" t="s">
        <v>2310</v>
      </c>
      <c r="F4836">
        <v>12</v>
      </c>
      <c r="G4836">
        <v>12.3</v>
      </c>
      <c r="H4836" t="s">
        <v>2017</v>
      </c>
      <c r="I4836" s="21">
        <v>42612.472719907404</v>
      </c>
      <c r="J4836">
        <v>2016</v>
      </c>
      <c r="K4836" s="21">
        <v>42646.595717592594</v>
      </c>
      <c r="L4836">
        <v>2016</v>
      </c>
      <c r="M4836" s="21">
        <v>43525.557272256941</v>
      </c>
      <c r="N4836">
        <v>2019</v>
      </c>
      <c r="Q4836" s="262">
        <v>550000</v>
      </c>
      <c r="R4836" s="262">
        <v>142000</v>
      </c>
      <c r="S4836" t="s">
        <v>13253</v>
      </c>
      <c r="T4836">
        <v>4314</v>
      </c>
      <c r="V4836">
        <v>800</v>
      </c>
      <c r="W4836">
        <v>866</v>
      </c>
      <c r="X4836">
        <v>0</v>
      </c>
      <c r="Y4836">
        <v>0</v>
      </c>
      <c r="Z4836">
        <v>0</v>
      </c>
      <c r="AA4836">
        <v>0</v>
      </c>
      <c r="AB4836">
        <v>0</v>
      </c>
      <c r="AC4836">
        <v>866</v>
      </c>
      <c r="AD4836">
        <v>0</v>
      </c>
      <c r="AE4836">
        <v>0</v>
      </c>
      <c r="AF4836">
        <v>0</v>
      </c>
      <c r="AG4836">
        <v>0</v>
      </c>
      <c r="AH4836">
        <v>0</v>
      </c>
      <c r="AI4836">
        <v>0</v>
      </c>
      <c r="AJ4836">
        <v>0</v>
      </c>
      <c r="AK4836">
        <v>0</v>
      </c>
      <c r="AL4836">
        <v>0</v>
      </c>
      <c r="AM4836">
        <v>0</v>
      </c>
      <c r="AN4836">
        <v>0</v>
      </c>
      <c r="AO4836">
        <v>0</v>
      </c>
      <c r="AP4836">
        <v>0</v>
      </c>
      <c r="AQ4836">
        <v>0</v>
      </c>
      <c r="AR4836">
        <v>0</v>
      </c>
      <c r="AS4836">
        <v>0</v>
      </c>
      <c r="AT4836">
        <v>0</v>
      </c>
      <c r="AU4836">
        <f t="shared" si="150"/>
        <v>0</v>
      </c>
      <c r="AV4836">
        <f t="shared" si="151"/>
        <v>0</v>
      </c>
    </row>
    <row r="4837" spans="1:48" x14ac:dyDescent="0.25">
      <c r="A4837" t="s">
        <v>13376</v>
      </c>
      <c r="C4837" t="s">
        <v>13377</v>
      </c>
      <c r="D4837" t="s">
        <v>13378</v>
      </c>
      <c r="E4837" t="s">
        <v>1663</v>
      </c>
      <c r="F4837">
        <v>3</v>
      </c>
      <c r="G4837">
        <v>3.1</v>
      </c>
      <c r="H4837" t="s">
        <v>2017</v>
      </c>
      <c r="I4837" s="21">
        <v>42613</v>
      </c>
      <c r="J4837">
        <v>2016</v>
      </c>
      <c r="K4837" s="21">
        <v>42619</v>
      </c>
      <c r="L4837">
        <v>2016</v>
      </c>
      <c r="P4837" s="21">
        <v>42941</v>
      </c>
      <c r="Q4837" s="262">
        <v>6000</v>
      </c>
      <c r="S4837" t="s">
        <v>114</v>
      </c>
      <c r="T4837" t="s">
        <v>114</v>
      </c>
      <c r="W4837">
        <v>0</v>
      </c>
      <c r="X4837">
        <v>0</v>
      </c>
      <c r="Y4837">
        <v>0</v>
      </c>
      <c r="Z4837">
        <v>0</v>
      </c>
      <c r="AA4837">
        <v>0</v>
      </c>
      <c r="AB4837">
        <v>0</v>
      </c>
      <c r="AC4837">
        <v>0</v>
      </c>
      <c r="AD4837">
        <v>0</v>
      </c>
      <c r="AE4837">
        <v>0</v>
      </c>
      <c r="AF4837">
        <v>0</v>
      </c>
      <c r="AG4837">
        <v>0</v>
      </c>
      <c r="AH4837">
        <v>0</v>
      </c>
      <c r="AI4837">
        <v>0</v>
      </c>
      <c r="AJ4837">
        <v>0</v>
      </c>
      <c r="AK4837">
        <v>0</v>
      </c>
      <c r="AL4837">
        <v>0</v>
      </c>
      <c r="AM4837">
        <v>0</v>
      </c>
      <c r="AN4837">
        <v>0</v>
      </c>
      <c r="AO4837">
        <v>0</v>
      </c>
      <c r="AP4837">
        <v>0</v>
      </c>
      <c r="AQ4837">
        <v>0</v>
      </c>
      <c r="AR4837">
        <v>0</v>
      </c>
      <c r="AS4837">
        <v>0</v>
      </c>
      <c r="AT4837">
        <v>0</v>
      </c>
      <c r="AU4837">
        <f t="shared" si="150"/>
        <v>0</v>
      </c>
      <c r="AV4837">
        <f t="shared" si="151"/>
        <v>0</v>
      </c>
    </row>
    <row r="4838" spans="1:48" x14ac:dyDescent="0.25">
      <c r="A4838" t="s">
        <v>19073</v>
      </c>
      <c r="B4838" t="s">
        <v>19073</v>
      </c>
      <c r="C4838" t="s">
        <v>19074</v>
      </c>
      <c r="D4838" t="s">
        <v>19075</v>
      </c>
      <c r="E4838" t="s">
        <v>2310</v>
      </c>
      <c r="F4838">
        <v>9</v>
      </c>
      <c r="G4838">
        <v>9.1</v>
      </c>
      <c r="H4838" t="s">
        <v>2323</v>
      </c>
      <c r="I4838" s="21">
        <v>42613.606666666667</v>
      </c>
      <c r="J4838">
        <v>2016</v>
      </c>
      <c r="K4838" s="21">
        <v>42944.694236111114</v>
      </c>
      <c r="L4838">
        <v>2017</v>
      </c>
      <c r="M4838" s="21">
        <v>42944.694236111114</v>
      </c>
      <c r="N4838">
        <v>2017</v>
      </c>
      <c r="Q4838" s="262">
        <v>140000</v>
      </c>
      <c r="R4838" s="262">
        <v>160000</v>
      </c>
      <c r="S4838" t="s">
        <v>13254</v>
      </c>
      <c r="W4838">
        <v>1986</v>
      </c>
      <c r="X4838">
        <v>1</v>
      </c>
      <c r="Y4838">
        <v>0</v>
      </c>
      <c r="Z4838">
        <v>0</v>
      </c>
      <c r="AA4838">
        <v>0</v>
      </c>
      <c r="AB4838">
        <v>0</v>
      </c>
      <c r="AC4838">
        <v>986</v>
      </c>
      <c r="AD4838">
        <v>0</v>
      </c>
      <c r="AE4838">
        <v>0</v>
      </c>
      <c r="AF4838">
        <v>1000</v>
      </c>
      <c r="AG4838">
        <v>0</v>
      </c>
      <c r="AH4838">
        <v>0</v>
      </c>
      <c r="AI4838">
        <v>0</v>
      </c>
      <c r="AJ4838">
        <v>0</v>
      </c>
      <c r="AK4838">
        <v>0</v>
      </c>
      <c r="AL4838">
        <v>0</v>
      </c>
      <c r="AM4838">
        <v>0</v>
      </c>
      <c r="AN4838">
        <v>0</v>
      </c>
      <c r="AO4838">
        <v>0</v>
      </c>
      <c r="AP4838">
        <v>0</v>
      </c>
      <c r="AQ4838">
        <v>0</v>
      </c>
      <c r="AR4838">
        <v>1</v>
      </c>
      <c r="AS4838">
        <v>0</v>
      </c>
      <c r="AT4838">
        <v>0</v>
      </c>
      <c r="AU4838">
        <f t="shared" si="150"/>
        <v>0</v>
      </c>
      <c r="AV4838">
        <f t="shared" si="151"/>
        <v>0</v>
      </c>
    </row>
    <row r="4839" spans="1:48" x14ac:dyDescent="0.25">
      <c r="A4839" t="s">
        <v>13188</v>
      </c>
      <c r="B4839" t="s">
        <v>114</v>
      </c>
      <c r="C4839" t="s">
        <v>13189</v>
      </c>
      <c r="D4839" t="s">
        <v>13195</v>
      </c>
      <c r="E4839" t="s">
        <v>1663</v>
      </c>
      <c r="F4839">
        <v>3</v>
      </c>
      <c r="G4839">
        <v>3.2</v>
      </c>
      <c r="H4839" t="s">
        <v>2327</v>
      </c>
      <c r="I4839" s="21">
        <v>42614</v>
      </c>
      <c r="J4839">
        <v>2016</v>
      </c>
      <c r="K4839" s="21">
        <v>42643</v>
      </c>
      <c r="L4839">
        <v>2016</v>
      </c>
      <c r="M4839" s="21">
        <v>42915</v>
      </c>
      <c r="N4839">
        <v>2017</v>
      </c>
      <c r="Q4839" s="262">
        <v>125000</v>
      </c>
      <c r="S4839" t="s">
        <v>12464</v>
      </c>
      <c r="T4839">
        <v>9746</v>
      </c>
      <c r="W4839">
        <v>1233</v>
      </c>
      <c r="X4839">
        <v>1</v>
      </c>
      <c r="Y4839">
        <v>0</v>
      </c>
      <c r="Z4839">
        <v>0</v>
      </c>
      <c r="AA4839">
        <v>0</v>
      </c>
      <c r="AB4839">
        <v>0</v>
      </c>
      <c r="AC4839">
        <v>1233</v>
      </c>
      <c r="AD4839">
        <v>0</v>
      </c>
      <c r="AE4839">
        <v>0</v>
      </c>
      <c r="AF4839">
        <v>0</v>
      </c>
      <c r="AG4839">
        <v>0</v>
      </c>
      <c r="AH4839">
        <v>0</v>
      </c>
      <c r="AI4839">
        <v>0</v>
      </c>
      <c r="AJ4839">
        <v>0</v>
      </c>
      <c r="AK4839">
        <v>0</v>
      </c>
      <c r="AL4839">
        <v>0</v>
      </c>
      <c r="AM4839">
        <v>0</v>
      </c>
      <c r="AN4839">
        <v>0</v>
      </c>
      <c r="AO4839">
        <v>1</v>
      </c>
      <c r="AP4839">
        <v>0</v>
      </c>
      <c r="AQ4839">
        <v>0</v>
      </c>
      <c r="AR4839">
        <v>0</v>
      </c>
      <c r="AS4839">
        <v>0</v>
      </c>
      <c r="AT4839">
        <v>0</v>
      </c>
      <c r="AU4839">
        <f t="shared" si="150"/>
        <v>1</v>
      </c>
      <c r="AV4839">
        <f t="shared" si="151"/>
        <v>0</v>
      </c>
    </row>
    <row r="4840" spans="1:48" x14ac:dyDescent="0.25">
      <c r="A4840" t="s">
        <v>13188</v>
      </c>
      <c r="B4840" t="s">
        <v>114</v>
      </c>
      <c r="C4840" t="s">
        <v>13189</v>
      </c>
      <c r="D4840" t="s">
        <v>2081</v>
      </c>
      <c r="E4840" t="s">
        <v>1663</v>
      </c>
      <c r="F4840">
        <v>2</v>
      </c>
      <c r="G4840">
        <v>2.2999999999999998</v>
      </c>
      <c r="H4840" t="s">
        <v>2327</v>
      </c>
      <c r="I4840" s="21">
        <v>42614</v>
      </c>
      <c r="J4840">
        <v>2016</v>
      </c>
      <c r="K4840" s="21">
        <v>42643</v>
      </c>
      <c r="L4840">
        <v>2016</v>
      </c>
      <c r="M4840" s="21">
        <v>42915</v>
      </c>
      <c r="N4840">
        <v>2017</v>
      </c>
      <c r="S4840" t="s">
        <v>9529</v>
      </c>
      <c r="T4840">
        <v>9946</v>
      </c>
      <c r="U4840">
        <v>12</v>
      </c>
      <c r="W4840">
        <v>-2640</v>
      </c>
      <c r="X4840">
        <v>0</v>
      </c>
      <c r="Y4840">
        <v>0</v>
      </c>
      <c r="Z4840">
        <v>0</v>
      </c>
      <c r="AA4840">
        <v>0</v>
      </c>
      <c r="AB4840">
        <v>0</v>
      </c>
      <c r="AC4840">
        <v>0</v>
      </c>
      <c r="AD4840">
        <v>0</v>
      </c>
      <c r="AE4840">
        <v>0</v>
      </c>
      <c r="AF4840">
        <v>0</v>
      </c>
      <c r="AG4840">
        <v>0</v>
      </c>
      <c r="AH4840">
        <v>0</v>
      </c>
      <c r="AI4840">
        <v>0</v>
      </c>
      <c r="AJ4840">
        <v>-2640</v>
      </c>
      <c r="AK4840">
        <v>0</v>
      </c>
      <c r="AL4840">
        <v>0</v>
      </c>
      <c r="AM4840">
        <v>0</v>
      </c>
      <c r="AN4840">
        <v>0</v>
      </c>
      <c r="AO4840">
        <v>0</v>
      </c>
      <c r="AP4840">
        <v>0</v>
      </c>
      <c r="AQ4840">
        <v>0</v>
      </c>
      <c r="AR4840">
        <v>0</v>
      </c>
      <c r="AS4840">
        <v>0</v>
      </c>
      <c r="AT4840">
        <v>0</v>
      </c>
      <c r="AU4840">
        <f t="shared" si="150"/>
        <v>0</v>
      </c>
      <c r="AV4840">
        <f t="shared" si="151"/>
        <v>-2640</v>
      </c>
    </row>
    <row r="4841" spans="1:48" x14ac:dyDescent="0.25">
      <c r="A4841" t="s">
        <v>14790</v>
      </c>
      <c r="C4841" t="s">
        <v>14791</v>
      </c>
      <c r="D4841" t="s">
        <v>14792</v>
      </c>
      <c r="E4841" t="s">
        <v>1663</v>
      </c>
      <c r="F4841">
        <v>2</v>
      </c>
      <c r="G4841">
        <v>2.2999999999999998</v>
      </c>
      <c r="H4841" t="s">
        <v>2327</v>
      </c>
      <c r="I4841" s="21">
        <v>42614</v>
      </c>
      <c r="J4841">
        <v>2016</v>
      </c>
      <c r="K4841" s="21">
        <v>42660</v>
      </c>
      <c r="L4841">
        <v>2016</v>
      </c>
      <c r="M4841" s="21">
        <v>42744</v>
      </c>
      <c r="N4841">
        <v>2017</v>
      </c>
      <c r="Q4841" s="262">
        <v>160000</v>
      </c>
      <c r="S4841" t="s">
        <v>114</v>
      </c>
      <c r="T4841" t="s">
        <v>114</v>
      </c>
      <c r="W4841">
        <v>0</v>
      </c>
      <c r="X4841">
        <v>0</v>
      </c>
      <c r="Y4841">
        <v>0</v>
      </c>
      <c r="Z4841">
        <v>0</v>
      </c>
      <c r="AA4841">
        <v>0</v>
      </c>
      <c r="AB4841">
        <v>0</v>
      </c>
      <c r="AC4841">
        <v>0</v>
      </c>
      <c r="AD4841">
        <v>0</v>
      </c>
      <c r="AE4841">
        <v>0</v>
      </c>
      <c r="AF4841">
        <v>0</v>
      </c>
      <c r="AG4841">
        <v>0</v>
      </c>
      <c r="AH4841">
        <v>0</v>
      </c>
      <c r="AI4841">
        <v>0</v>
      </c>
      <c r="AJ4841">
        <v>0</v>
      </c>
      <c r="AK4841">
        <v>0</v>
      </c>
      <c r="AL4841">
        <v>0</v>
      </c>
      <c r="AM4841">
        <v>0</v>
      </c>
      <c r="AN4841">
        <v>0</v>
      </c>
      <c r="AO4841">
        <v>0</v>
      </c>
      <c r="AP4841">
        <v>0</v>
      </c>
      <c r="AQ4841">
        <v>0</v>
      </c>
      <c r="AR4841">
        <v>0</v>
      </c>
      <c r="AS4841">
        <v>0</v>
      </c>
      <c r="AT4841">
        <v>0</v>
      </c>
      <c r="AU4841">
        <f t="shared" si="150"/>
        <v>0</v>
      </c>
      <c r="AV4841">
        <f t="shared" si="151"/>
        <v>0</v>
      </c>
    </row>
    <row r="4842" spans="1:48" x14ac:dyDescent="0.25">
      <c r="A4842" t="s">
        <v>15412</v>
      </c>
      <c r="B4842" t="s">
        <v>114</v>
      </c>
      <c r="C4842" t="s">
        <v>15413</v>
      </c>
      <c r="D4842" t="s">
        <v>14019</v>
      </c>
      <c r="E4842" t="s">
        <v>1663</v>
      </c>
      <c r="F4842">
        <v>2</v>
      </c>
      <c r="G4842">
        <v>2.2999999999999998</v>
      </c>
      <c r="H4842" t="s">
        <v>2327</v>
      </c>
      <c r="I4842" s="21">
        <v>42614</v>
      </c>
      <c r="J4842">
        <v>2016</v>
      </c>
      <c r="K4842" s="21">
        <v>42656</v>
      </c>
      <c r="L4842">
        <v>2016</v>
      </c>
      <c r="M4842" s="21">
        <v>42880</v>
      </c>
      <c r="N4842">
        <v>2017</v>
      </c>
      <c r="Q4842" s="262">
        <v>4500000</v>
      </c>
      <c r="S4842" t="s">
        <v>13253</v>
      </c>
      <c r="T4842">
        <v>11800</v>
      </c>
      <c r="W4842">
        <v>398</v>
      </c>
      <c r="X4842">
        <v>0</v>
      </c>
      <c r="Y4842">
        <v>0</v>
      </c>
      <c r="Z4842">
        <v>0</v>
      </c>
      <c r="AA4842">
        <v>0</v>
      </c>
      <c r="AB4842">
        <v>0</v>
      </c>
      <c r="AC4842">
        <v>0</v>
      </c>
      <c r="AD4842">
        <v>0</v>
      </c>
      <c r="AE4842">
        <v>0</v>
      </c>
      <c r="AF4842">
        <v>0</v>
      </c>
      <c r="AG4842">
        <v>0</v>
      </c>
      <c r="AH4842">
        <v>0</v>
      </c>
      <c r="AI4842">
        <v>398</v>
      </c>
      <c r="AJ4842">
        <v>0</v>
      </c>
      <c r="AK4842">
        <v>0</v>
      </c>
      <c r="AL4842">
        <v>0</v>
      </c>
      <c r="AM4842">
        <v>0</v>
      </c>
      <c r="AN4842">
        <v>0</v>
      </c>
      <c r="AO4842">
        <v>0</v>
      </c>
      <c r="AP4842">
        <v>0</v>
      </c>
      <c r="AQ4842">
        <v>0</v>
      </c>
      <c r="AR4842">
        <v>0</v>
      </c>
      <c r="AS4842">
        <v>0</v>
      </c>
      <c r="AT4842">
        <v>0</v>
      </c>
      <c r="AU4842">
        <f t="shared" si="150"/>
        <v>0</v>
      </c>
      <c r="AV4842">
        <f t="shared" si="151"/>
        <v>398</v>
      </c>
    </row>
    <row r="4843" spans="1:48" x14ac:dyDescent="0.25">
      <c r="A4843" t="s">
        <v>17858</v>
      </c>
      <c r="B4843" t="s">
        <v>17858</v>
      </c>
      <c r="C4843" t="s">
        <v>17859</v>
      </c>
      <c r="D4843" t="s">
        <v>17860</v>
      </c>
      <c r="E4843" t="s">
        <v>2310</v>
      </c>
      <c r="F4843">
        <v>10</v>
      </c>
      <c r="G4843">
        <v>10.1</v>
      </c>
      <c r="H4843" t="s">
        <v>2323</v>
      </c>
      <c r="I4843" s="21">
        <v>42614.4296875</v>
      </c>
      <c r="J4843">
        <v>2016</v>
      </c>
      <c r="K4843" s="21">
        <v>42647.466909722221</v>
      </c>
      <c r="L4843">
        <v>2016</v>
      </c>
      <c r="M4843" s="21">
        <v>43376.393930474536</v>
      </c>
      <c r="N4843">
        <v>2018</v>
      </c>
      <c r="Q4843" s="262">
        <v>400000</v>
      </c>
      <c r="R4843" s="262">
        <v>150000</v>
      </c>
      <c r="S4843" t="s">
        <v>13253</v>
      </c>
      <c r="T4843">
        <v>1890</v>
      </c>
      <c r="V4843">
        <v>363</v>
      </c>
      <c r="W4843">
        <v>1186</v>
      </c>
      <c r="X4843">
        <v>0</v>
      </c>
      <c r="Y4843">
        <v>0</v>
      </c>
      <c r="Z4843">
        <v>0</v>
      </c>
      <c r="AA4843">
        <v>0</v>
      </c>
      <c r="AB4843">
        <v>0</v>
      </c>
      <c r="AC4843">
        <v>1186</v>
      </c>
      <c r="AD4843">
        <v>0</v>
      </c>
      <c r="AE4843">
        <v>0</v>
      </c>
      <c r="AF4843">
        <v>0</v>
      </c>
      <c r="AG4843">
        <v>0</v>
      </c>
      <c r="AH4843">
        <v>0</v>
      </c>
      <c r="AI4843">
        <v>0</v>
      </c>
      <c r="AJ4843">
        <v>0</v>
      </c>
      <c r="AK4843">
        <v>0</v>
      </c>
      <c r="AL4843">
        <v>0</v>
      </c>
      <c r="AM4843">
        <v>0</v>
      </c>
      <c r="AN4843">
        <v>0</v>
      </c>
      <c r="AO4843">
        <v>0</v>
      </c>
      <c r="AP4843">
        <v>0</v>
      </c>
      <c r="AQ4843">
        <v>0</v>
      </c>
      <c r="AR4843">
        <v>0</v>
      </c>
      <c r="AS4843">
        <v>0</v>
      </c>
      <c r="AT4843">
        <v>0</v>
      </c>
      <c r="AU4843">
        <f t="shared" si="150"/>
        <v>0</v>
      </c>
      <c r="AV4843">
        <f t="shared" si="151"/>
        <v>0</v>
      </c>
    </row>
    <row r="4844" spans="1:48" x14ac:dyDescent="0.25">
      <c r="A4844" t="s">
        <v>17973</v>
      </c>
      <c r="B4844" t="s">
        <v>17973</v>
      </c>
      <c r="C4844" t="s">
        <v>17974</v>
      </c>
      <c r="D4844" t="s">
        <v>17975</v>
      </c>
      <c r="E4844" t="s">
        <v>2310</v>
      </c>
      <c r="F4844">
        <v>9</v>
      </c>
      <c r="G4844">
        <v>9.3000000000000007</v>
      </c>
      <c r="H4844" t="s">
        <v>2323</v>
      </c>
      <c r="I4844" s="21">
        <v>42615.592222222222</v>
      </c>
      <c r="J4844">
        <v>2016</v>
      </c>
      <c r="K4844" s="21">
        <v>42661.396377314813</v>
      </c>
      <c r="L4844">
        <v>2016</v>
      </c>
      <c r="M4844" s="21">
        <v>43151.374050925922</v>
      </c>
      <c r="N4844">
        <v>2018</v>
      </c>
      <c r="Q4844" s="262">
        <v>3300000</v>
      </c>
      <c r="R4844" s="262">
        <v>564000</v>
      </c>
      <c r="S4844" t="s">
        <v>13254</v>
      </c>
      <c r="W4844">
        <v>3632</v>
      </c>
      <c r="X4844">
        <v>1</v>
      </c>
      <c r="Y4844">
        <v>0</v>
      </c>
      <c r="Z4844">
        <v>0</v>
      </c>
      <c r="AA4844">
        <v>0</v>
      </c>
      <c r="AB4844">
        <v>0</v>
      </c>
      <c r="AC4844">
        <v>3632</v>
      </c>
      <c r="AD4844">
        <v>0</v>
      </c>
      <c r="AE4844">
        <v>0</v>
      </c>
      <c r="AF4844">
        <v>0</v>
      </c>
      <c r="AG4844">
        <v>0</v>
      </c>
      <c r="AH4844">
        <v>0</v>
      </c>
      <c r="AI4844">
        <v>0</v>
      </c>
      <c r="AJ4844">
        <v>0</v>
      </c>
      <c r="AK4844">
        <v>0</v>
      </c>
      <c r="AL4844">
        <v>0</v>
      </c>
      <c r="AM4844">
        <v>0</v>
      </c>
      <c r="AN4844">
        <v>0</v>
      </c>
      <c r="AO4844">
        <v>1</v>
      </c>
      <c r="AP4844">
        <v>0</v>
      </c>
      <c r="AQ4844">
        <v>0</v>
      </c>
      <c r="AR4844">
        <v>0</v>
      </c>
      <c r="AS4844">
        <v>0</v>
      </c>
      <c r="AT4844">
        <v>0</v>
      </c>
      <c r="AU4844">
        <f t="shared" si="150"/>
        <v>1</v>
      </c>
      <c r="AV4844">
        <f t="shared" si="151"/>
        <v>0</v>
      </c>
    </row>
    <row r="4845" spans="1:48" x14ac:dyDescent="0.25">
      <c r="A4845" t="s">
        <v>17976</v>
      </c>
      <c r="B4845" t="s">
        <v>17976</v>
      </c>
      <c r="C4845" t="s">
        <v>13256</v>
      </c>
      <c r="D4845" t="s">
        <v>17975</v>
      </c>
      <c r="E4845" t="s">
        <v>2310</v>
      </c>
      <c r="F4845">
        <v>9</v>
      </c>
      <c r="G4845">
        <v>9.3000000000000007</v>
      </c>
      <c r="H4845" t="s">
        <v>2323</v>
      </c>
      <c r="I4845" s="21">
        <v>42615.62127314815</v>
      </c>
      <c r="J4845">
        <v>2016</v>
      </c>
      <c r="K4845" s="21">
        <v>42661.398425925923</v>
      </c>
      <c r="L4845">
        <v>2016</v>
      </c>
      <c r="M4845" s="21">
        <v>43151.377280092594</v>
      </c>
      <c r="N4845">
        <v>2018</v>
      </c>
      <c r="Q4845" s="262">
        <v>350000</v>
      </c>
      <c r="R4845" s="262">
        <v>40000</v>
      </c>
      <c r="S4845" t="s">
        <v>13254</v>
      </c>
      <c r="W4845">
        <v>922</v>
      </c>
      <c r="X4845">
        <v>0</v>
      </c>
      <c r="Y4845">
        <v>0</v>
      </c>
      <c r="Z4845">
        <v>0</v>
      </c>
      <c r="AA4845">
        <v>0</v>
      </c>
      <c r="AB4845">
        <v>0</v>
      </c>
      <c r="AC4845">
        <v>922</v>
      </c>
      <c r="AD4845">
        <v>0</v>
      </c>
      <c r="AE4845">
        <v>0</v>
      </c>
      <c r="AF4845">
        <v>0</v>
      </c>
      <c r="AG4845">
        <v>0</v>
      </c>
      <c r="AH4845">
        <v>0</v>
      </c>
      <c r="AI4845">
        <v>0</v>
      </c>
      <c r="AJ4845">
        <v>0</v>
      </c>
      <c r="AK4845">
        <v>0</v>
      </c>
      <c r="AL4845">
        <v>0</v>
      </c>
      <c r="AM4845">
        <v>0</v>
      </c>
      <c r="AN4845">
        <v>0</v>
      </c>
      <c r="AO4845">
        <v>0</v>
      </c>
      <c r="AP4845">
        <v>0</v>
      </c>
      <c r="AQ4845">
        <v>0</v>
      </c>
      <c r="AR4845">
        <v>0</v>
      </c>
      <c r="AS4845">
        <v>0</v>
      </c>
      <c r="AT4845">
        <v>0</v>
      </c>
      <c r="AU4845">
        <f t="shared" si="150"/>
        <v>0</v>
      </c>
      <c r="AV4845">
        <f t="shared" si="151"/>
        <v>0</v>
      </c>
    </row>
    <row r="4846" spans="1:48" x14ac:dyDescent="0.25">
      <c r="A4846" t="s">
        <v>18363</v>
      </c>
      <c r="B4846" t="s">
        <v>18363</v>
      </c>
      <c r="C4846" t="s">
        <v>18364</v>
      </c>
      <c r="D4846" t="s">
        <v>18365</v>
      </c>
      <c r="E4846" t="s">
        <v>2310</v>
      </c>
      <c r="F4846">
        <v>15</v>
      </c>
      <c r="G4846">
        <v>15.2</v>
      </c>
      <c r="H4846" t="s">
        <v>2323</v>
      </c>
      <c r="I4846" s="21">
        <v>42619.444039351853</v>
      </c>
      <c r="J4846">
        <v>2016</v>
      </c>
      <c r="K4846" s="21">
        <v>42942.581296296295</v>
      </c>
      <c r="L4846">
        <v>2017</v>
      </c>
      <c r="M4846" s="21">
        <v>43403.65376828704</v>
      </c>
      <c r="N4846">
        <v>2018</v>
      </c>
      <c r="Q4846" s="262">
        <v>300000</v>
      </c>
      <c r="R4846" s="262">
        <v>161000</v>
      </c>
      <c r="S4846" t="s">
        <v>13254</v>
      </c>
      <c r="W4846">
        <v>2108</v>
      </c>
      <c r="X4846">
        <v>1</v>
      </c>
      <c r="Y4846">
        <v>0</v>
      </c>
      <c r="Z4846">
        <v>0</v>
      </c>
      <c r="AA4846">
        <v>0</v>
      </c>
      <c r="AB4846">
        <v>0</v>
      </c>
      <c r="AC4846">
        <v>2108</v>
      </c>
      <c r="AD4846">
        <v>0</v>
      </c>
      <c r="AE4846">
        <v>0</v>
      </c>
      <c r="AF4846">
        <v>0</v>
      </c>
      <c r="AG4846">
        <v>0</v>
      </c>
      <c r="AH4846">
        <v>0</v>
      </c>
      <c r="AI4846">
        <v>0</v>
      </c>
      <c r="AJ4846">
        <v>0</v>
      </c>
      <c r="AK4846">
        <v>0</v>
      </c>
      <c r="AL4846">
        <v>0</v>
      </c>
      <c r="AM4846">
        <v>0</v>
      </c>
      <c r="AN4846">
        <v>0</v>
      </c>
      <c r="AO4846">
        <v>1</v>
      </c>
      <c r="AP4846">
        <v>0</v>
      </c>
      <c r="AQ4846">
        <v>0</v>
      </c>
      <c r="AR4846">
        <v>0</v>
      </c>
      <c r="AS4846">
        <v>0</v>
      </c>
      <c r="AT4846">
        <v>0</v>
      </c>
      <c r="AU4846">
        <f t="shared" si="150"/>
        <v>1</v>
      </c>
      <c r="AV4846">
        <f t="shared" si="151"/>
        <v>0</v>
      </c>
    </row>
    <row r="4847" spans="1:48" x14ac:dyDescent="0.25">
      <c r="A4847" t="s">
        <v>16326</v>
      </c>
      <c r="B4847" t="s">
        <v>114</v>
      </c>
      <c r="C4847" t="s">
        <v>13528</v>
      </c>
      <c r="D4847" t="s">
        <v>2952</v>
      </c>
      <c r="E4847" t="s">
        <v>1663</v>
      </c>
      <c r="F4847">
        <v>6</v>
      </c>
      <c r="G4847">
        <v>6.2</v>
      </c>
      <c r="H4847" t="s">
        <v>2017</v>
      </c>
      <c r="I4847" s="21">
        <v>42620</v>
      </c>
      <c r="J4847">
        <v>2016</v>
      </c>
      <c r="K4847" s="21">
        <v>42649</v>
      </c>
      <c r="L4847">
        <v>2016</v>
      </c>
      <c r="M4847" s="21">
        <v>42957</v>
      </c>
      <c r="N4847">
        <v>2017</v>
      </c>
      <c r="Q4847" s="262">
        <v>500000</v>
      </c>
      <c r="S4847" t="s">
        <v>13253</v>
      </c>
      <c r="T4847">
        <v>9280</v>
      </c>
      <c r="W4847">
        <v>856</v>
      </c>
      <c r="X4847">
        <v>0</v>
      </c>
      <c r="Y4847">
        <v>0</v>
      </c>
      <c r="Z4847">
        <v>0</v>
      </c>
      <c r="AA4847">
        <v>0</v>
      </c>
      <c r="AB4847">
        <v>0</v>
      </c>
      <c r="AC4847">
        <v>856</v>
      </c>
      <c r="AD4847">
        <v>0</v>
      </c>
      <c r="AE4847">
        <v>0</v>
      </c>
      <c r="AF4847">
        <v>0</v>
      </c>
      <c r="AG4847">
        <v>0</v>
      </c>
      <c r="AH4847">
        <v>0</v>
      </c>
      <c r="AI4847">
        <v>0</v>
      </c>
      <c r="AJ4847">
        <v>0</v>
      </c>
      <c r="AK4847">
        <v>0</v>
      </c>
      <c r="AL4847">
        <v>0</v>
      </c>
      <c r="AM4847">
        <v>0</v>
      </c>
      <c r="AN4847">
        <v>0</v>
      </c>
      <c r="AO4847">
        <v>0</v>
      </c>
      <c r="AP4847">
        <v>0</v>
      </c>
      <c r="AQ4847">
        <v>0</v>
      </c>
      <c r="AR4847">
        <v>0</v>
      </c>
      <c r="AS4847">
        <v>0</v>
      </c>
      <c r="AT4847">
        <v>0</v>
      </c>
      <c r="AU4847">
        <f t="shared" si="150"/>
        <v>0</v>
      </c>
      <c r="AV4847">
        <f t="shared" si="151"/>
        <v>0</v>
      </c>
    </row>
    <row r="4848" spans="1:48" x14ac:dyDescent="0.25">
      <c r="A4848" t="s">
        <v>13382</v>
      </c>
      <c r="C4848" t="s">
        <v>13383</v>
      </c>
      <c r="D4848" t="s">
        <v>13384</v>
      </c>
      <c r="E4848" t="s">
        <v>1663</v>
      </c>
      <c r="F4848">
        <v>4</v>
      </c>
      <c r="G4848">
        <v>4.4000000000000004</v>
      </c>
      <c r="H4848" t="s">
        <v>2017</v>
      </c>
      <c r="I4848" s="21">
        <v>42620</v>
      </c>
      <c r="J4848">
        <v>2016</v>
      </c>
      <c r="K4848" s="21">
        <v>42640</v>
      </c>
      <c r="L4848">
        <v>2016</v>
      </c>
      <c r="M4848" s="21">
        <v>42696</v>
      </c>
      <c r="N4848">
        <v>2016</v>
      </c>
      <c r="Q4848" s="262">
        <v>75000</v>
      </c>
      <c r="S4848" t="s">
        <v>114</v>
      </c>
      <c r="T4848" t="s">
        <v>114</v>
      </c>
      <c r="W4848">
        <v>711</v>
      </c>
      <c r="X4848">
        <v>0</v>
      </c>
      <c r="Y4848">
        <v>0</v>
      </c>
      <c r="Z4848">
        <v>0</v>
      </c>
      <c r="AA4848">
        <v>0</v>
      </c>
      <c r="AB4848">
        <v>0</v>
      </c>
      <c r="AC4848">
        <v>711</v>
      </c>
      <c r="AD4848">
        <v>0</v>
      </c>
      <c r="AE4848">
        <v>0</v>
      </c>
      <c r="AF4848">
        <v>0</v>
      </c>
      <c r="AG4848">
        <v>0</v>
      </c>
      <c r="AH4848">
        <v>0</v>
      </c>
      <c r="AI4848">
        <v>0</v>
      </c>
      <c r="AJ4848">
        <v>0</v>
      </c>
      <c r="AK4848">
        <v>0</v>
      </c>
      <c r="AL4848">
        <v>0</v>
      </c>
      <c r="AM4848">
        <v>0</v>
      </c>
      <c r="AN4848">
        <v>0</v>
      </c>
      <c r="AO4848">
        <v>0</v>
      </c>
      <c r="AP4848">
        <v>0</v>
      </c>
      <c r="AQ4848">
        <v>0</v>
      </c>
      <c r="AR4848">
        <v>0</v>
      </c>
      <c r="AS4848">
        <v>0</v>
      </c>
      <c r="AT4848">
        <v>0</v>
      </c>
      <c r="AU4848">
        <f t="shared" si="150"/>
        <v>0</v>
      </c>
      <c r="AV4848">
        <f t="shared" si="151"/>
        <v>0</v>
      </c>
    </row>
    <row r="4849" spans="1:48" x14ac:dyDescent="0.25">
      <c r="A4849" t="s">
        <v>18026</v>
      </c>
      <c r="B4849" t="s">
        <v>18026</v>
      </c>
      <c r="C4849" t="s">
        <v>18027</v>
      </c>
      <c r="D4849" t="s">
        <v>12749</v>
      </c>
      <c r="E4849" t="s">
        <v>2310</v>
      </c>
      <c r="F4849">
        <v>8</v>
      </c>
      <c r="G4849">
        <v>8.1</v>
      </c>
      <c r="H4849" t="s">
        <v>2323</v>
      </c>
      <c r="I4849" s="21">
        <v>42620.606354166666</v>
      </c>
      <c r="J4849">
        <v>2016</v>
      </c>
      <c r="K4849" s="21">
        <v>42643.638935185183</v>
      </c>
      <c r="L4849">
        <v>2016</v>
      </c>
      <c r="M4849" s="21">
        <v>43164.42019675926</v>
      </c>
      <c r="N4849">
        <v>2018</v>
      </c>
      <c r="Q4849" s="262">
        <v>600000</v>
      </c>
      <c r="R4849" s="262">
        <v>212000</v>
      </c>
      <c r="S4849" t="s">
        <v>13253</v>
      </c>
      <c r="T4849">
        <v>2830</v>
      </c>
      <c r="V4849">
        <v>594</v>
      </c>
      <c r="W4849">
        <v>1430</v>
      </c>
      <c r="X4849">
        <v>0</v>
      </c>
      <c r="Y4849">
        <v>0</v>
      </c>
      <c r="Z4849">
        <v>0</v>
      </c>
      <c r="AA4849">
        <v>0</v>
      </c>
      <c r="AB4849">
        <v>0</v>
      </c>
      <c r="AC4849">
        <v>1430</v>
      </c>
      <c r="AD4849">
        <v>0</v>
      </c>
      <c r="AE4849">
        <v>0</v>
      </c>
      <c r="AF4849">
        <v>0</v>
      </c>
      <c r="AG4849">
        <v>0</v>
      </c>
      <c r="AH4849">
        <v>0</v>
      </c>
      <c r="AI4849">
        <v>0</v>
      </c>
      <c r="AJ4849">
        <v>0</v>
      </c>
      <c r="AK4849">
        <v>0</v>
      </c>
      <c r="AL4849">
        <v>0</v>
      </c>
      <c r="AM4849">
        <v>0</v>
      </c>
      <c r="AN4849">
        <v>0</v>
      </c>
      <c r="AO4849">
        <v>0</v>
      </c>
      <c r="AP4849">
        <v>0</v>
      </c>
      <c r="AQ4849">
        <v>0</v>
      </c>
      <c r="AR4849">
        <v>0</v>
      </c>
      <c r="AS4849">
        <v>0</v>
      </c>
      <c r="AT4849">
        <v>0</v>
      </c>
      <c r="AU4849">
        <f t="shared" si="150"/>
        <v>0</v>
      </c>
      <c r="AV4849">
        <f t="shared" si="151"/>
        <v>0</v>
      </c>
    </row>
    <row r="4850" spans="1:48" x14ac:dyDescent="0.25">
      <c r="A4850" t="s">
        <v>13385</v>
      </c>
      <c r="C4850" t="s">
        <v>13386</v>
      </c>
      <c r="D4850" t="s">
        <v>13387</v>
      </c>
      <c r="E4850" t="s">
        <v>1663</v>
      </c>
      <c r="F4850">
        <v>3</v>
      </c>
      <c r="G4850">
        <v>3.2</v>
      </c>
      <c r="H4850" t="s">
        <v>2327</v>
      </c>
      <c r="I4850" s="21">
        <v>42621</v>
      </c>
      <c r="J4850">
        <v>2016</v>
      </c>
      <c r="K4850" s="21">
        <v>42663</v>
      </c>
      <c r="L4850">
        <v>2016</v>
      </c>
      <c r="P4850" s="21">
        <v>42899</v>
      </c>
      <c r="Q4850" s="262">
        <v>75000</v>
      </c>
      <c r="S4850" t="s">
        <v>114</v>
      </c>
      <c r="T4850" t="s">
        <v>114</v>
      </c>
      <c r="W4850">
        <v>0</v>
      </c>
      <c r="X4850">
        <v>0</v>
      </c>
      <c r="Y4850">
        <v>0</v>
      </c>
      <c r="Z4850">
        <v>0</v>
      </c>
      <c r="AA4850">
        <v>0</v>
      </c>
      <c r="AB4850">
        <v>0</v>
      </c>
      <c r="AC4850">
        <v>0</v>
      </c>
      <c r="AD4850">
        <v>0</v>
      </c>
      <c r="AE4850">
        <v>0</v>
      </c>
      <c r="AF4850">
        <v>0</v>
      </c>
      <c r="AG4850">
        <v>0</v>
      </c>
      <c r="AH4850">
        <v>0</v>
      </c>
      <c r="AI4850">
        <v>0</v>
      </c>
      <c r="AJ4850">
        <v>0</v>
      </c>
      <c r="AK4850">
        <v>0</v>
      </c>
      <c r="AL4850">
        <v>0</v>
      </c>
      <c r="AM4850">
        <v>0</v>
      </c>
      <c r="AN4850">
        <v>0</v>
      </c>
      <c r="AO4850">
        <v>0</v>
      </c>
      <c r="AP4850">
        <v>0</v>
      </c>
      <c r="AQ4850">
        <v>0</v>
      </c>
      <c r="AR4850">
        <v>0</v>
      </c>
      <c r="AS4850">
        <v>0</v>
      </c>
      <c r="AT4850">
        <v>0</v>
      </c>
      <c r="AU4850">
        <f t="shared" si="150"/>
        <v>0</v>
      </c>
      <c r="AV4850">
        <f t="shared" si="151"/>
        <v>0</v>
      </c>
    </row>
    <row r="4851" spans="1:48" x14ac:dyDescent="0.25">
      <c r="A4851" t="s">
        <v>13388</v>
      </c>
      <c r="B4851" t="s">
        <v>13388</v>
      </c>
      <c r="C4851" t="s">
        <v>13389</v>
      </c>
      <c r="D4851" t="s">
        <v>13390</v>
      </c>
      <c r="E4851" t="s">
        <v>2310</v>
      </c>
      <c r="F4851">
        <v>9</v>
      </c>
      <c r="G4851">
        <v>9.1999999999999993</v>
      </c>
      <c r="H4851" t="s">
        <v>2022</v>
      </c>
      <c r="I4851" s="21">
        <v>42622.436805555597</v>
      </c>
      <c r="J4851">
        <v>2016</v>
      </c>
      <c r="K4851" s="21">
        <v>43059.401412036997</v>
      </c>
      <c r="L4851">
        <v>2017</v>
      </c>
      <c r="O4851" s="21">
        <v>43059.401412036997</v>
      </c>
      <c r="Q4851" s="262">
        <v>1750000</v>
      </c>
      <c r="R4851" s="262">
        <v>519000</v>
      </c>
      <c r="S4851" t="s">
        <v>114</v>
      </c>
      <c r="T4851" t="s">
        <v>114</v>
      </c>
      <c r="W4851">
        <v>4308</v>
      </c>
      <c r="X4851">
        <v>1</v>
      </c>
      <c r="Y4851">
        <v>0</v>
      </c>
      <c r="Z4851">
        <v>0</v>
      </c>
      <c r="AA4851">
        <v>0</v>
      </c>
      <c r="AB4851">
        <v>0</v>
      </c>
      <c r="AC4851">
        <v>4308</v>
      </c>
      <c r="AD4851">
        <v>0</v>
      </c>
      <c r="AE4851">
        <v>0</v>
      </c>
      <c r="AF4851">
        <v>0</v>
      </c>
      <c r="AG4851">
        <v>0</v>
      </c>
      <c r="AH4851">
        <v>0</v>
      </c>
      <c r="AI4851">
        <v>0</v>
      </c>
      <c r="AJ4851">
        <v>0</v>
      </c>
      <c r="AK4851">
        <v>0</v>
      </c>
      <c r="AL4851">
        <v>0</v>
      </c>
      <c r="AM4851">
        <v>0</v>
      </c>
      <c r="AN4851">
        <v>0</v>
      </c>
      <c r="AO4851">
        <v>1</v>
      </c>
      <c r="AP4851">
        <v>0</v>
      </c>
      <c r="AQ4851">
        <v>0</v>
      </c>
      <c r="AR4851">
        <v>0</v>
      </c>
      <c r="AS4851">
        <v>0</v>
      </c>
      <c r="AT4851">
        <v>0</v>
      </c>
      <c r="AU4851">
        <f t="shared" si="150"/>
        <v>1</v>
      </c>
      <c r="AV4851">
        <f t="shared" si="151"/>
        <v>0</v>
      </c>
    </row>
    <row r="4852" spans="1:48" x14ac:dyDescent="0.25">
      <c r="A4852" t="s">
        <v>18661</v>
      </c>
      <c r="B4852" t="s">
        <v>18661</v>
      </c>
      <c r="C4852" t="s">
        <v>18662</v>
      </c>
      <c r="D4852" t="s">
        <v>18663</v>
      </c>
      <c r="E4852" t="s">
        <v>2310</v>
      </c>
      <c r="F4852">
        <v>13</v>
      </c>
      <c r="G4852">
        <v>13.3</v>
      </c>
      <c r="H4852" t="s">
        <v>2017</v>
      </c>
      <c r="I4852" s="21">
        <v>42626.459594907406</v>
      </c>
      <c r="J4852">
        <v>2016</v>
      </c>
      <c r="K4852" s="21">
        <v>42710.501180555555</v>
      </c>
      <c r="L4852">
        <v>2016</v>
      </c>
      <c r="M4852" s="21">
        <v>43161.360821759263</v>
      </c>
      <c r="N4852">
        <v>2018</v>
      </c>
      <c r="Q4852" s="262">
        <v>800000</v>
      </c>
      <c r="R4852" s="262">
        <v>492000</v>
      </c>
      <c r="S4852" t="s">
        <v>13253</v>
      </c>
      <c r="T4852">
        <v>6842</v>
      </c>
      <c r="V4852">
        <v>3714</v>
      </c>
      <c r="W4852">
        <v>1487</v>
      </c>
      <c r="X4852">
        <v>0</v>
      </c>
      <c r="Y4852">
        <v>0</v>
      </c>
      <c r="Z4852">
        <v>0</v>
      </c>
      <c r="AA4852">
        <v>0</v>
      </c>
      <c r="AB4852">
        <v>0</v>
      </c>
      <c r="AC4852">
        <v>1487</v>
      </c>
      <c r="AD4852">
        <v>0</v>
      </c>
      <c r="AE4852">
        <v>0</v>
      </c>
      <c r="AF4852">
        <v>0</v>
      </c>
      <c r="AG4852">
        <v>0</v>
      </c>
      <c r="AH4852">
        <v>0</v>
      </c>
      <c r="AI4852">
        <v>0</v>
      </c>
      <c r="AJ4852">
        <v>0</v>
      </c>
      <c r="AK4852">
        <v>0</v>
      </c>
      <c r="AL4852">
        <v>0</v>
      </c>
      <c r="AM4852">
        <v>0</v>
      </c>
      <c r="AN4852">
        <v>0</v>
      </c>
      <c r="AO4852">
        <v>0</v>
      </c>
      <c r="AP4852">
        <v>0</v>
      </c>
      <c r="AQ4852">
        <v>0</v>
      </c>
      <c r="AR4852">
        <v>0</v>
      </c>
      <c r="AS4852">
        <v>0</v>
      </c>
      <c r="AT4852">
        <v>0</v>
      </c>
      <c r="AU4852">
        <f t="shared" si="150"/>
        <v>0</v>
      </c>
      <c r="AV4852">
        <f t="shared" si="151"/>
        <v>0</v>
      </c>
    </row>
    <row r="4853" spans="1:48" x14ac:dyDescent="0.25">
      <c r="A4853" t="s">
        <v>18430</v>
      </c>
      <c r="B4853" t="s">
        <v>18430</v>
      </c>
      <c r="C4853" t="s">
        <v>18431</v>
      </c>
      <c r="D4853" t="s">
        <v>4107</v>
      </c>
      <c r="E4853" t="s">
        <v>2310</v>
      </c>
      <c r="F4853">
        <v>9</v>
      </c>
      <c r="G4853">
        <v>9.3000000000000007</v>
      </c>
      <c r="H4853" t="s">
        <v>2323</v>
      </c>
      <c r="I4853" s="21">
        <v>42627.429467592592</v>
      </c>
      <c r="J4853">
        <v>2016</v>
      </c>
      <c r="K4853" s="21">
        <v>42772.665231481478</v>
      </c>
      <c r="L4853">
        <v>2017</v>
      </c>
      <c r="M4853" s="21">
        <v>43852.398726122687</v>
      </c>
      <c r="N4853">
        <v>2020</v>
      </c>
      <c r="Q4853" s="262">
        <v>81000</v>
      </c>
      <c r="R4853" s="262">
        <v>81000</v>
      </c>
      <c r="S4853" t="s">
        <v>13253</v>
      </c>
      <c r="T4853">
        <v>5092</v>
      </c>
      <c r="W4853">
        <v>587</v>
      </c>
      <c r="X4853">
        <v>0</v>
      </c>
      <c r="Y4853">
        <v>0</v>
      </c>
      <c r="Z4853">
        <v>0</v>
      </c>
      <c r="AA4853">
        <v>0</v>
      </c>
      <c r="AB4853">
        <v>0</v>
      </c>
      <c r="AC4853">
        <v>587</v>
      </c>
      <c r="AD4853">
        <v>0</v>
      </c>
      <c r="AE4853">
        <v>0</v>
      </c>
      <c r="AF4853">
        <v>0</v>
      </c>
      <c r="AG4853">
        <v>0</v>
      </c>
      <c r="AH4853">
        <v>0</v>
      </c>
      <c r="AI4853">
        <v>0</v>
      </c>
      <c r="AJ4853">
        <v>0</v>
      </c>
      <c r="AK4853">
        <v>0</v>
      </c>
      <c r="AL4853">
        <v>0</v>
      </c>
      <c r="AM4853">
        <v>0</v>
      </c>
      <c r="AN4853">
        <v>0</v>
      </c>
      <c r="AO4853">
        <v>0</v>
      </c>
      <c r="AP4853">
        <v>0</v>
      </c>
      <c r="AQ4853">
        <v>0</v>
      </c>
      <c r="AR4853">
        <v>0</v>
      </c>
      <c r="AS4853">
        <v>0</v>
      </c>
      <c r="AT4853">
        <v>0</v>
      </c>
      <c r="AU4853">
        <f t="shared" si="150"/>
        <v>0</v>
      </c>
      <c r="AV4853">
        <f t="shared" si="151"/>
        <v>0</v>
      </c>
    </row>
    <row r="4854" spans="1:48" x14ac:dyDescent="0.25">
      <c r="A4854" t="s">
        <v>18460</v>
      </c>
      <c r="B4854" t="s">
        <v>18460</v>
      </c>
      <c r="C4854" t="s">
        <v>18461</v>
      </c>
      <c r="D4854" t="s">
        <v>18235</v>
      </c>
      <c r="E4854" t="s">
        <v>2310</v>
      </c>
      <c r="F4854">
        <v>9</v>
      </c>
      <c r="G4854">
        <v>9.3000000000000007</v>
      </c>
      <c r="H4854" t="s">
        <v>2323</v>
      </c>
      <c r="I4854" s="21">
        <v>42628.563356481478</v>
      </c>
      <c r="J4854">
        <v>2016</v>
      </c>
      <c r="K4854" s="21">
        <v>42674.445949074077</v>
      </c>
      <c r="L4854">
        <v>2016</v>
      </c>
      <c r="M4854" s="21">
        <v>43341.437702546296</v>
      </c>
      <c r="N4854">
        <v>2018</v>
      </c>
      <c r="Q4854" s="262">
        <v>752000</v>
      </c>
      <c r="R4854" s="262">
        <v>507000</v>
      </c>
      <c r="S4854" t="s">
        <v>13253</v>
      </c>
      <c r="T4854">
        <v>5420</v>
      </c>
      <c r="V4854">
        <v>3032</v>
      </c>
      <c r="W4854">
        <v>1880</v>
      </c>
      <c r="X4854">
        <v>0</v>
      </c>
      <c r="Y4854">
        <v>0</v>
      </c>
      <c r="Z4854">
        <v>0</v>
      </c>
      <c r="AA4854">
        <v>0</v>
      </c>
      <c r="AB4854">
        <v>0</v>
      </c>
      <c r="AC4854">
        <v>1880</v>
      </c>
      <c r="AD4854">
        <v>0</v>
      </c>
      <c r="AE4854">
        <v>0</v>
      </c>
      <c r="AF4854">
        <v>0</v>
      </c>
      <c r="AG4854">
        <v>0</v>
      </c>
      <c r="AH4854">
        <v>0</v>
      </c>
      <c r="AI4854">
        <v>0</v>
      </c>
      <c r="AJ4854">
        <v>0</v>
      </c>
      <c r="AK4854">
        <v>0</v>
      </c>
      <c r="AL4854">
        <v>0</v>
      </c>
      <c r="AM4854">
        <v>0</v>
      </c>
      <c r="AN4854">
        <v>0</v>
      </c>
      <c r="AO4854">
        <v>0</v>
      </c>
      <c r="AP4854">
        <v>0</v>
      </c>
      <c r="AQ4854">
        <v>0</v>
      </c>
      <c r="AR4854">
        <v>0</v>
      </c>
      <c r="AS4854">
        <v>0</v>
      </c>
      <c r="AT4854">
        <v>0</v>
      </c>
      <c r="AU4854">
        <f t="shared" si="150"/>
        <v>0</v>
      </c>
      <c r="AV4854">
        <f t="shared" si="151"/>
        <v>0</v>
      </c>
    </row>
    <row r="4855" spans="1:48" x14ac:dyDescent="0.25">
      <c r="A4855" t="s">
        <v>18234</v>
      </c>
      <c r="B4855" t="s">
        <v>18234</v>
      </c>
      <c r="C4855" t="s">
        <v>13284</v>
      </c>
      <c r="D4855" t="s">
        <v>18235</v>
      </c>
      <c r="E4855" t="s">
        <v>2310</v>
      </c>
      <c r="F4855">
        <v>9</v>
      </c>
      <c r="G4855">
        <v>9.3000000000000007</v>
      </c>
      <c r="H4855" t="s">
        <v>2323</v>
      </c>
      <c r="I4855" s="21">
        <v>42628.594548611109</v>
      </c>
      <c r="J4855">
        <v>2016</v>
      </c>
      <c r="K4855" s="21">
        <v>43327.697136226852</v>
      </c>
      <c r="L4855">
        <v>2018</v>
      </c>
      <c r="M4855" s="21">
        <v>43341.438609872683</v>
      </c>
      <c r="N4855">
        <v>2018</v>
      </c>
      <c r="Q4855" s="262">
        <v>264000</v>
      </c>
      <c r="R4855" s="262">
        <v>77000</v>
      </c>
      <c r="S4855" t="s">
        <v>13254</v>
      </c>
      <c r="W4855">
        <v>1768</v>
      </c>
      <c r="X4855">
        <v>0</v>
      </c>
      <c r="Y4855">
        <v>0</v>
      </c>
      <c r="Z4855">
        <v>0</v>
      </c>
      <c r="AA4855">
        <v>0</v>
      </c>
      <c r="AB4855">
        <v>0</v>
      </c>
      <c r="AC4855">
        <v>1768</v>
      </c>
      <c r="AD4855">
        <v>0</v>
      </c>
      <c r="AE4855">
        <v>0</v>
      </c>
      <c r="AF4855">
        <v>0</v>
      </c>
      <c r="AG4855">
        <v>0</v>
      </c>
      <c r="AH4855">
        <v>0</v>
      </c>
      <c r="AI4855">
        <v>0</v>
      </c>
      <c r="AJ4855">
        <v>0</v>
      </c>
      <c r="AK4855">
        <v>0</v>
      </c>
      <c r="AL4855">
        <v>0</v>
      </c>
      <c r="AM4855">
        <v>0</v>
      </c>
      <c r="AN4855">
        <v>0</v>
      </c>
      <c r="AO4855">
        <v>0</v>
      </c>
      <c r="AP4855">
        <v>0</v>
      </c>
      <c r="AQ4855">
        <v>0</v>
      </c>
      <c r="AR4855">
        <v>0</v>
      </c>
      <c r="AS4855">
        <v>0</v>
      </c>
      <c r="AT4855">
        <v>0</v>
      </c>
      <c r="AU4855">
        <f t="shared" si="150"/>
        <v>0</v>
      </c>
      <c r="AV4855">
        <f t="shared" si="151"/>
        <v>0</v>
      </c>
    </row>
    <row r="4856" spans="1:48" x14ac:dyDescent="0.25">
      <c r="A4856" t="s">
        <v>13391</v>
      </c>
      <c r="C4856" t="s">
        <v>13392</v>
      </c>
      <c r="D4856" t="s">
        <v>13393</v>
      </c>
      <c r="E4856" t="s">
        <v>1663</v>
      </c>
      <c r="F4856">
        <v>4</v>
      </c>
      <c r="G4856">
        <v>4.3</v>
      </c>
      <c r="H4856" t="s">
        <v>2327</v>
      </c>
      <c r="I4856" s="21">
        <v>42629</v>
      </c>
      <c r="J4856">
        <v>2016</v>
      </c>
      <c r="K4856" s="21">
        <v>42662</v>
      </c>
      <c r="L4856">
        <v>2016</v>
      </c>
      <c r="M4856" s="21">
        <v>42731</v>
      </c>
      <c r="N4856">
        <v>2016</v>
      </c>
      <c r="Q4856" s="262">
        <v>370162.85</v>
      </c>
      <c r="S4856" t="s">
        <v>114</v>
      </c>
      <c r="T4856" t="s">
        <v>114</v>
      </c>
      <c r="W4856">
        <v>0</v>
      </c>
      <c r="X4856">
        <v>0</v>
      </c>
      <c r="Y4856">
        <v>0</v>
      </c>
      <c r="Z4856">
        <v>0</v>
      </c>
      <c r="AA4856">
        <v>0</v>
      </c>
      <c r="AB4856">
        <v>0</v>
      </c>
      <c r="AC4856">
        <v>0</v>
      </c>
      <c r="AD4856">
        <v>0</v>
      </c>
      <c r="AE4856">
        <v>0</v>
      </c>
      <c r="AF4856">
        <v>0</v>
      </c>
      <c r="AG4856">
        <v>0</v>
      </c>
      <c r="AH4856">
        <v>0</v>
      </c>
      <c r="AI4856">
        <v>0</v>
      </c>
      <c r="AJ4856">
        <v>0</v>
      </c>
      <c r="AK4856">
        <v>0</v>
      </c>
      <c r="AL4856">
        <v>0</v>
      </c>
      <c r="AM4856">
        <v>0</v>
      </c>
      <c r="AN4856">
        <v>0</v>
      </c>
      <c r="AO4856">
        <v>0</v>
      </c>
      <c r="AP4856">
        <v>0</v>
      </c>
      <c r="AQ4856">
        <v>0</v>
      </c>
      <c r="AR4856">
        <v>0</v>
      </c>
      <c r="AS4856">
        <v>0</v>
      </c>
      <c r="AT4856">
        <v>0</v>
      </c>
      <c r="AU4856">
        <f t="shared" si="150"/>
        <v>0</v>
      </c>
      <c r="AV4856">
        <f t="shared" si="151"/>
        <v>0</v>
      </c>
    </row>
    <row r="4857" spans="1:48" x14ac:dyDescent="0.25">
      <c r="A4857" t="s">
        <v>13394</v>
      </c>
      <c r="C4857" t="s">
        <v>13395</v>
      </c>
      <c r="D4857" t="s">
        <v>13396</v>
      </c>
      <c r="E4857" t="s">
        <v>1663</v>
      </c>
      <c r="F4857">
        <v>4</v>
      </c>
      <c r="G4857">
        <v>4.0999999999999996</v>
      </c>
      <c r="H4857" t="s">
        <v>2327</v>
      </c>
      <c r="I4857" s="21">
        <v>42629</v>
      </c>
      <c r="J4857">
        <v>2016</v>
      </c>
      <c r="K4857" s="21">
        <v>42669</v>
      </c>
      <c r="L4857">
        <v>2016</v>
      </c>
      <c r="P4857" s="21">
        <v>43052</v>
      </c>
      <c r="Q4857" s="262">
        <v>20000</v>
      </c>
      <c r="S4857" t="s">
        <v>114</v>
      </c>
      <c r="T4857" t="s">
        <v>114</v>
      </c>
      <c r="W4857">
        <v>0</v>
      </c>
      <c r="X4857">
        <v>0</v>
      </c>
      <c r="Y4857">
        <v>0</v>
      </c>
      <c r="Z4857">
        <v>0</v>
      </c>
      <c r="AA4857">
        <v>0</v>
      </c>
      <c r="AB4857">
        <v>0</v>
      </c>
      <c r="AC4857">
        <v>0</v>
      </c>
      <c r="AD4857">
        <v>0</v>
      </c>
      <c r="AE4857">
        <v>0</v>
      </c>
      <c r="AF4857">
        <v>0</v>
      </c>
      <c r="AG4857">
        <v>0</v>
      </c>
      <c r="AH4857">
        <v>0</v>
      </c>
      <c r="AI4857">
        <v>0</v>
      </c>
      <c r="AJ4857">
        <v>0</v>
      </c>
      <c r="AK4857">
        <v>0</v>
      </c>
      <c r="AL4857">
        <v>0</v>
      </c>
      <c r="AM4857">
        <v>0</v>
      </c>
      <c r="AN4857">
        <v>0</v>
      </c>
      <c r="AO4857">
        <v>0</v>
      </c>
      <c r="AP4857">
        <v>0</v>
      </c>
      <c r="AQ4857">
        <v>0</v>
      </c>
      <c r="AR4857">
        <v>0</v>
      </c>
      <c r="AS4857">
        <v>0</v>
      </c>
      <c r="AT4857">
        <v>0</v>
      </c>
      <c r="AU4857">
        <f t="shared" si="150"/>
        <v>0</v>
      </c>
      <c r="AV4857">
        <f t="shared" si="151"/>
        <v>0</v>
      </c>
    </row>
    <row r="4858" spans="1:48" x14ac:dyDescent="0.25">
      <c r="A4858" t="s">
        <v>16387</v>
      </c>
      <c r="B4858" t="s">
        <v>114</v>
      </c>
      <c r="C4858" t="s">
        <v>16388</v>
      </c>
      <c r="D4858" t="s">
        <v>13124</v>
      </c>
      <c r="E4858" t="s">
        <v>1663</v>
      </c>
      <c r="F4858">
        <v>3</v>
      </c>
      <c r="G4858">
        <v>3.1</v>
      </c>
      <c r="H4858" t="s">
        <v>2017</v>
      </c>
      <c r="I4858" s="21">
        <v>42629</v>
      </c>
      <c r="J4858">
        <v>2016</v>
      </c>
      <c r="K4858" s="21">
        <v>42678</v>
      </c>
      <c r="L4858">
        <v>2016</v>
      </c>
      <c r="M4858" s="21">
        <v>43025</v>
      </c>
      <c r="N4858">
        <v>2017</v>
      </c>
      <c r="Q4858" s="262">
        <v>80000</v>
      </c>
      <c r="S4858" t="s">
        <v>13253</v>
      </c>
      <c r="T4858">
        <v>10411</v>
      </c>
      <c r="V4858">
        <v>841</v>
      </c>
      <c r="W4858">
        <v>0</v>
      </c>
      <c r="X4858">
        <v>1</v>
      </c>
      <c r="Y4858">
        <v>0</v>
      </c>
      <c r="Z4858">
        <v>0</v>
      </c>
      <c r="AA4858">
        <v>0</v>
      </c>
      <c r="AB4858">
        <v>0</v>
      </c>
      <c r="AC4858">
        <v>0</v>
      </c>
      <c r="AD4858">
        <v>0</v>
      </c>
      <c r="AE4858">
        <v>0</v>
      </c>
      <c r="AF4858">
        <v>0</v>
      </c>
      <c r="AG4858">
        <v>0</v>
      </c>
      <c r="AH4858">
        <v>0</v>
      </c>
      <c r="AI4858">
        <v>0</v>
      </c>
      <c r="AJ4858">
        <v>0</v>
      </c>
      <c r="AK4858">
        <v>0</v>
      </c>
      <c r="AL4858">
        <v>0</v>
      </c>
      <c r="AM4858">
        <v>0</v>
      </c>
      <c r="AN4858">
        <v>0</v>
      </c>
      <c r="AO4858">
        <v>0</v>
      </c>
      <c r="AP4858">
        <v>0</v>
      </c>
      <c r="AQ4858">
        <v>0</v>
      </c>
      <c r="AR4858">
        <v>0</v>
      </c>
      <c r="AS4858">
        <v>0</v>
      </c>
      <c r="AT4858">
        <v>1</v>
      </c>
      <c r="AU4858">
        <f t="shared" si="150"/>
        <v>0</v>
      </c>
      <c r="AV4858">
        <f t="shared" si="151"/>
        <v>0</v>
      </c>
    </row>
    <row r="4859" spans="1:48" x14ac:dyDescent="0.25">
      <c r="A4859" t="s">
        <v>17517</v>
      </c>
      <c r="B4859" t="s">
        <v>17517</v>
      </c>
      <c r="C4859" t="s">
        <v>17518</v>
      </c>
      <c r="D4859" t="s">
        <v>17519</v>
      </c>
      <c r="E4859" t="s">
        <v>2310</v>
      </c>
      <c r="F4859">
        <v>8</v>
      </c>
      <c r="G4859">
        <v>8.3000000000000007</v>
      </c>
      <c r="H4859" t="s">
        <v>2323</v>
      </c>
      <c r="I4859" s="21">
        <v>42629.394583333335</v>
      </c>
      <c r="J4859">
        <v>2016</v>
      </c>
      <c r="K4859" s="21">
        <v>42796.491423611114</v>
      </c>
      <c r="L4859">
        <v>2017</v>
      </c>
      <c r="M4859" s="21">
        <v>42989.618379629632</v>
      </c>
      <c r="N4859">
        <v>2017</v>
      </c>
      <c r="Q4859" s="262">
        <v>211200</v>
      </c>
      <c r="R4859" s="262">
        <v>44000</v>
      </c>
      <c r="S4859" t="s">
        <v>13254</v>
      </c>
      <c r="W4859">
        <v>670</v>
      </c>
      <c r="X4859">
        <v>0</v>
      </c>
      <c r="Y4859">
        <v>0</v>
      </c>
      <c r="Z4859">
        <v>0</v>
      </c>
      <c r="AA4859">
        <v>0</v>
      </c>
      <c r="AB4859">
        <v>0</v>
      </c>
      <c r="AC4859">
        <v>0</v>
      </c>
      <c r="AD4859">
        <v>0</v>
      </c>
      <c r="AE4859">
        <v>0</v>
      </c>
      <c r="AF4859">
        <v>0</v>
      </c>
      <c r="AG4859">
        <v>0</v>
      </c>
      <c r="AH4859">
        <v>0</v>
      </c>
      <c r="AI4859">
        <v>0</v>
      </c>
      <c r="AJ4859">
        <v>0</v>
      </c>
      <c r="AK4859">
        <v>0</v>
      </c>
      <c r="AL4859">
        <v>670</v>
      </c>
      <c r="AM4859">
        <v>0</v>
      </c>
      <c r="AN4859">
        <v>0</v>
      </c>
      <c r="AO4859">
        <v>0</v>
      </c>
      <c r="AP4859">
        <v>0</v>
      </c>
      <c r="AQ4859">
        <v>0</v>
      </c>
      <c r="AR4859">
        <v>0</v>
      </c>
      <c r="AS4859">
        <v>0</v>
      </c>
      <c r="AT4859">
        <v>0</v>
      </c>
      <c r="AU4859">
        <f t="shared" si="150"/>
        <v>0</v>
      </c>
      <c r="AV4859">
        <f t="shared" si="151"/>
        <v>670</v>
      </c>
    </row>
    <row r="4860" spans="1:48" x14ac:dyDescent="0.25">
      <c r="A4860" t="s">
        <v>19084</v>
      </c>
      <c r="B4860" t="s">
        <v>19084</v>
      </c>
      <c r="C4860" t="s">
        <v>19085</v>
      </c>
      <c r="D4860" t="s">
        <v>5082</v>
      </c>
      <c r="E4860" t="s">
        <v>2310</v>
      </c>
      <c r="F4860">
        <v>10</v>
      </c>
      <c r="G4860">
        <v>10.1</v>
      </c>
      <c r="H4860" t="s">
        <v>2323</v>
      </c>
      <c r="I4860" s="21">
        <v>42633.434942129628</v>
      </c>
      <c r="J4860">
        <v>2016</v>
      </c>
      <c r="K4860" s="21">
        <v>42921.356307870374</v>
      </c>
      <c r="L4860">
        <v>2017</v>
      </c>
      <c r="M4860" s="21">
        <v>42921.356307870374</v>
      </c>
      <c r="N4860">
        <v>2017</v>
      </c>
      <c r="Q4860" s="262">
        <v>58000</v>
      </c>
      <c r="R4860" s="262">
        <v>58000</v>
      </c>
      <c r="S4860" t="s">
        <v>13253</v>
      </c>
      <c r="T4860">
        <v>1967</v>
      </c>
      <c r="W4860">
        <v>416</v>
      </c>
      <c r="X4860">
        <v>0</v>
      </c>
      <c r="Y4860">
        <v>0</v>
      </c>
      <c r="Z4860">
        <v>0</v>
      </c>
      <c r="AA4860">
        <v>0</v>
      </c>
      <c r="AB4860">
        <v>0</v>
      </c>
      <c r="AC4860">
        <v>416</v>
      </c>
      <c r="AD4860">
        <v>0</v>
      </c>
      <c r="AE4860">
        <v>0</v>
      </c>
      <c r="AF4860">
        <v>0</v>
      </c>
      <c r="AG4860">
        <v>0</v>
      </c>
      <c r="AH4860">
        <v>0</v>
      </c>
      <c r="AI4860">
        <v>0</v>
      </c>
      <c r="AJ4860">
        <v>0</v>
      </c>
      <c r="AK4860">
        <v>0</v>
      </c>
      <c r="AL4860">
        <v>0</v>
      </c>
      <c r="AM4860">
        <v>0</v>
      </c>
      <c r="AN4860">
        <v>0</v>
      </c>
      <c r="AO4860">
        <v>0</v>
      </c>
      <c r="AP4860">
        <v>0</v>
      </c>
      <c r="AQ4860">
        <v>0</v>
      </c>
      <c r="AR4860">
        <v>0</v>
      </c>
      <c r="AS4860">
        <v>0</v>
      </c>
      <c r="AT4860">
        <v>0</v>
      </c>
      <c r="AU4860">
        <f t="shared" si="150"/>
        <v>0</v>
      </c>
      <c r="AV4860">
        <f t="shared" si="151"/>
        <v>0</v>
      </c>
    </row>
    <row r="4861" spans="1:48" x14ac:dyDescent="0.25">
      <c r="A4861" t="s">
        <v>19143</v>
      </c>
      <c r="B4861" t="s">
        <v>19143</v>
      </c>
      <c r="C4861" t="s">
        <v>19144</v>
      </c>
      <c r="D4861" t="s">
        <v>19145</v>
      </c>
      <c r="E4861" t="s">
        <v>2310</v>
      </c>
      <c r="F4861">
        <v>12</v>
      </c>
      <c r="G4861">
        <v>12.3</v>
      </c>
      <c r="H4861" t="s">
        <v>2017</v>
      </c>
      <c r="I4861" s="21">
        <v>42633.620347222197</v>
      </c>
      <c r="J4861">
        <v>2016</v>
      </c>
      <c r="K4861" s="21">
        <v>42766.397303240701</v>
      </c>
      <c r="L4861">
        <v>2017</v>
      </c>
      <c r="M4861" s="21">
        <v>42863.431273148097</v>
      </c>
      <c r="N4861">
        <v>2017</v>
      </c>
      <c r="Q4861" s="262">
        <v>138000</v>
      </c>
      <c r="R4861" s="262">
        <v>138000</v>
      </c>
      <c r="S4861" t="s">
        <v>114</v>
      </c>
      <c r="T4861" t="s">
        <v>114</v>
      </c>
      <c r="W4861">
        <v>0</v>
      </c>
      <c r="X4861">
        <v>0</v>
      </c>
      <c r="Y4861">
        <v>0</v>
      </c>
      <c r="Z4861">
        <v>0</v>
      </c>
      <c r="AA4861">
        <v>0</v>
      </c>
      <c r="AB4861">
        <v>0</v>
      </c>
      <c r="AC4861">
        <v>0</v>
      </c>
      <c r="AD4861">
        <v>0</v>
      </c>
      <c r="AE4861">
        <v>0</v>
      </c>
      <c r="AF4861">
        <v>0</v>
      </c>
      <c r="AG4861">
        <v>0</v>
      </c>
      <c r="AH4861">
        <v>0</v>
      </c>
      <c r="AI4861">
        <v>0</v>
      </c>
      <c r="AJ4861">
        <v>0</v>
      </c>
      <c r="AK4861">
        <v>0</v>
      </c>
      <c r="AL4861">
        <v>0</v>
      </c>
      <c r="AM4861">
        <v>0</v>
      </c>
      <c r="AN4861">
        <v>0</v>
      </c>
      <c r="AO4861">
        <v>0</v>
      </c>
      <c r="AP4861">
        <v>0</v>
      </c>
      <c r="AQ4861">
        <v>0</v>
      </c>
      <c r="AR4861">
        <v>0</v>
      </c>
      <c r="AS4861">
        <v>0</v>
      </c>
      <c r="AT4861">
        <v>0</v>
      </c>
      <c r="AU4861">
        <f t="shared" si="150"/>
        <v>0</v>
      </c>
      <c r="AV4861">
        <f t="shared" si="151"/>
        <v>0</v>
      </c>
    </row>
    <row r="4862" spans="1:48" x14ac:dyDescent="0.25">
      <c r="A4862" t="s">
        <v>16468</v>
      </c>
      <c r="C4862" t="s">
        <v>16469</v>
      </c>
      <c r="D4862" t="s">
        <v>16470</v>
      </c>
      <c r="E4862" t="s">
        <v>1663</v>
      </c>
      <c r="F4862">
        <v>2</v>
      </c>
      <c r="G4862">
        <v>2.6</v>
      </c>
      <c r="H4862" t="s">
        <v>2327</v>
      </c>
      <c r="I4862" s="21">
        <v>42634</v>
      </c>
      <c r="J4862">
        <v>2016</v>
      </c>
      <c r="K4862" s="21">
        <v>42669</v>
      </c>
      <c r="L4862">
        <v>2016</v>
      </c>
      <c r="M4862" s="21">
        <v>42808</v>
      </c>
      <c r="N4862">
        <v>2017</v>
      </c>
      <c r="Q4862" s="262">
        <v>50000</v>
      </c>
      <c r="S4862" t="s">
        <v>114</v>
      </c>
      <c r="T4862" t="s">
        <v>114</v>
      </c>
      <c r="W4862">
        <v>0</v>
      </c>
      <c r="X4862">
        <v>0</v>
      </c>
      <c r="Y4862">
        <v>0</v>
      </c>
      <c r="Z4862">
        <v>0</v>
      </c>
      <c r="AA4862">
        <v>0</v>
      </c>
      <c r="AB4862">
        <v>0</v>
      </c>
      <c r="AC4862">
        <v>0</v>
      </c>
      <c r="AD4862">
        <v>0</v>
      </c>
      <c r="AE4862">
        <v>0</v>
      </c>
      <c r="AF4862">
        <v>0</v>
      </c>
      <c r="AG4862">
        <v>0</v>
      </c>
      <c r="AH4862">
        <v>0</v>
      </c>
      <c r="AI4862">
        <v>0</v>
      </c>
      <c r="AJ4862">
        <v>0</v>
      </c>
      <c r="AK4862">
        <v>0</v>
      </c>
      <c r="AL4862">
        <v>0</v>
      </c>
      <c r="AM4862">
        <v>0</v>
      </c>
      <c r="AN4862">
        <v>0</v>
      </c>
      <c r="AO4862">
        <v>0</v>
      </c>
      <c r="AP4862">
        <v>0</v>
      </c>
      <c r="AQ4862">
        <v>0</v>
      </c>
      <c r="AR4862">
        <v>0</v>
      </c>
      <c r="AS4862">
        <v>0</v>
      </c>
      <c r="AT4862">
        <v>0</v>
      </c>
      <c r="AU4862">
        <f t="shared" si="150"/>
        <v>0</v>
      </c>
      <c r="AV4862">
        <f t="shared" si="151"/>
        <v>0</v>
      </c>
    </row>
    <row r="4863" spans="1:48" x14ac:dyDescent="0.25">
      <c r="A4863" t="s">
        <v>15289</v>
      </c>
      <c r="B4863" t="s">
        <v>15289</v>
      </c>
      <c r="C4863" t="s">
        <v>13256</v>
      </c>
      <c r="D4863" t="s">
        <v>15290</v>
      </c>
      <c r="E4863" t="s">
        <v>2310</v>
      </c>
      <c r="F4863">
        <v>15</v>
      </c>
      <c r="G4863">
        <v>15.2</v>
      </c>
      <c r="H4863" t="s">
        <v>2323</v>
      </c>
      <c r="I4863" s="21">
        <v>42634.448993055601</v>
      </c>
      <c r="J4863">
        <v>2016</v>
      </c>
      <c r="K4863" s="21">
        <v>42667.620115740698</v>
      </c>
      <c r="L4863">
        <v>2016</v>
      </c>
      <c r="M4863" s="21">
        <v>44925</v>
      </c>
      <c r="N4863">
        <v>2022</v>
      </c>
      <c r="Q4863" s="262">
        <v>125000</v>
      </c>
      <c r="R4863" s="262">
        <v>25000</v>
      </c>
      <c r="S4863" t="s">
        <v>13254</v>
      </c>
      <c r="T4863">
        <v>0</v>
      </c>
      <c r="W4863">
        <v>572</v>
      </c>
      <c r="X4863">
        <v>0</v>
      </c>
      <c r="Y4863">
        <v>0</v>
      </c>
      <c r="Z4863">
        <v>0</v>
      </c>
      <c r="AA4863">
        <v>0</v>
      </c>
      <c r="AB4863">
        <v>0</v>
      </c>
      <c r="AC4863">
        <v>572</v>
      </c>
      <c r="AD4863">
        <v>0</v>
      </c>
      <c r="AE4863">
        <v>0</v>
      </c>
      <c r="AF4863">
        <v>0</v>
      </c>
      <c r="AG4863">
        <v>0</v>
      </c>
      <c r="AH4863">
        <v>0</v>
      </c>
      <c r="AI4863">
        <v>0</v>
      </c>
      <c r="AJ4863">
        <v>0</v>
      </c>
      <c r="AK4863">
        <v>0</v>
      </c>
      <c r="AL4863">
        <v>0</v>
      </c>
      <c r="AM4863">
        <v>0</v>
      </c>
      <c r="AN4863">
        <v>0</v>
      </c>
      <c r="AO4863">
        <v>0</v>
      </c>
      <c r="AP4863">
        <v>0</v>
      </c>
      <c r="AQ4863">
        <v>0</v>
      </c>
      <c r="AR4863">
        <v>0</v>
      </c>
      <c r="AS4863">
        <v>0</v>
      </c>
      <c r="AT4863">
        <v>0</v>
      </c>
      <c r="AU4863">
        <f t="shared" si="150"/>
        <v>0</v>
      </c>
      <c r="AV4863">
        <f t="shared" si="151"/>
        <v>0</v>
      </c>
    </row>
    <row r="4864" spans="1:48" x14ac:dyDescent="0.25">
      <c r="A4864" t="s">
        <v>16505</v>
      </c>
      <c r="C4864" t="s">
        <v>11879</v>
      </c>
      <c r="D4864" t="s">
        <v>16506</v>
      </c>
      <c r="E4864" t="s">
        <v>1663</v>
      </c>
      <c r="F4864">
        <v>6</v>
      </c>
      <c r="G4864">
        <v>6.1</v>
      </c>
      <c r="H4864" t="s">
        <v>2017</v>
      </c>
      <c r="I4864" s="21">
        <v>42635</v>
      </c>
      <c r="J4864">
        <v>2016</v>
      </c>
      <c r="K4864" s="21">
        <v>42640</v>
      </c>
      <c r="L4864">
        <v>2016</v>
      </c>
      <c r="M4864" s="21">
        <v>42817</v>
      </c>
      <c r="N4864">
        <v>2017</v>
      </c>
      <c r="Q4864" s="262">
        <v>50000</v>
      </c>
      <c r="S4864" t="s">
        <v>114</v>
      </c>
      <c r="T4864" t="s">
        <v>114</v>
      </c>
      <c r="W4864">
        <v>0</v>
      </c>
      <c r="X4864">
        <v>0</v>
      </c>
      <c r="Y4864">
        <v>0</v>
      </c>
      <c r="Z4864">
        <v>0</v>
      </c>
      <c r="AA4864">
        <v>0</v>
      </c>
      <c r="AB4864">
        <v>0</v>
      </c>
      <c r="AC4864">
        <v>0</v>
      </c>
      <c r="AD4864">
        <v>0</v>
      </c>
      <c r="AE4864">
        <v>0</v>
      </c>
      <c r="AF4864">
        <v>0</v>
      </c>
      <c r="AG4864">
        <v>0</v>
      </c>
      <c r="AH4864">
        <v>0</v>
      </c>
      <c r="AI4864">
        <v>0</v>
      </c>
      <c r="AJ4864">
        <v>0</v>
      </c>
      <c r="AK4864">
        <v>0</v>
      </c>
      <c r="AL4864">
        <v>0</v>
      </c>
      <c r="AM4864">
        <v>0</v>
      </c>
      <c r="AN4864">
        <v>0</v>
      </c>
      <c r="AO4864">
        <v>0</v>
      </c>
      <c r="AP4864">
        <v>0</v>
      </c>
      <c r="AQ4864">
        <v>0</v>
      </c>
      <c r="AR4864">
        <v>0</v>
      </c>
      <c r="AS4864">
        <v>0</v>
      </c>
      <c r="AT4864">
        <v>0</v>
      </c>
      <c r="AU4864">
        <f t="shared" si="150"/>
        <v>0</v>
      </c>
      <c r="AV4864">
        <f t="shared" si="151"/>
        <v>0</v>
      </c>
    </row>
    <row r="4865" spans="1:48" x14ac:dyDescent="0.25">
      <c r="A4865" t="s">
        <v>19159</v>
      </c>
      <c r="B4865" t="s">
        <v>19159</v>
      </c>
      <c r="C4865" t="s">
        <v>19160</v>
      </c>
      <c r="D4865" t="s">
        <v>16611</v>
      </c>
      <c r="E4865" t="s">
        <v>2310</v>
      </c>
      <c r="F4865">
        <v>8</v>
      </c>
      <c r="G4865">
        <v>8.3000000000000007</v>
      </c>
      <c r="H4865" t="s">
        <v>2323</v>
      </c>
      <c r="I4865" s="21">
        <v>42635.475902777776</v>
      </c>
      <c r="J4865">
        <v>2016</v>
      </c>
      <c r="K4865" s="21">
        <v>42915.620104166665</v>
      </c>
      <c r="L4865">
        <v>2017</v>
      </c>
      <c r="M4865" s="21">
        <v>42915.620104166665</v>
      </c>
      <c r="N4865">
        <v>2017</v>
      </c>
      <c r="Q4865" s="262">
        <v>400000</v>
      </c>
      <c r="R4865" s="262">
        <v>329000</v>
      </c>
      <c r="S4865" t="s">
        <v>13254</v>
      </c>
      <c r="W4865">
        <v>2643</v>
      </c>
      <c r="X4865">
        <v>1</v>
      </c>
      <c r="Y4865">
        <v>0</v>
      </c>
      <c r="Z4865">
        <v>0</v>
      </c>
      <c r="AA4865">
        <v>0</v>
      </c>
      <c r="AB4865">
        <v>0</v>
      </c>
      <c r="AC4865">
        <v>2643</v>
      </c>
      <c r="AD4865">
        <v>0</v>
      </c>
      <c r="AE4865">
        <v>0</v>
      </c>
      <c r="AF4865">
        <v>0</v>
      </c>
      <c r="AG4865">
        <v>0</v>
      </c>
      <c r="AH4865">
        <v>0</v>
      </c>
      <c r="AI4865">
        <v>0</v>
      </c>
      <c r="AJ4865">
        <v>0</v>
      </c>
      <c r="AK4865">
        <v>0</v>
      </c>
      <c r="AL4865">
        <v>0</v>
      </c>
      <c r="AM4865">
        <v>0</v>
      </c>
      <c r="AN4865">
        <v>0</v>
      </c>
      <c r="AO4865">
        <v>1</v>
      </c>
      <c r="AP4865">
        <v>0</v>
      </c>
      <c r="AQ4865">
        <v>0</v>
      </c>
      <c r="AR4865">
        <v>0</v>
      </c>
      <c r="AS4865">
        <v>0</v>
      </c>
      <c r="AT4865">
        <v>0</v>
      </c>
      <c r="AU4865">
        <f t="shared" si="150"/>
        <v>1</v>
      </c>
      <c r="AV4865">
        <f t="shared" si="151"/>
        <v>0</v>
      </c>
    </row>
    <row r="4866" spans="1:48" x14ac:dyDescent="0.25">
      <c r="A4866" t="s">
        <v>19175</v>
      </c>
      <c r="B4866" t="s">
        <v>19175</v>
      </c>
      <c r="C4866" t="s">
        <v>13256</v>
      </c>
      <c r="D4866" t="s">
        <v>16611</v>
      </c>
      <c r="E4866" t="s">
        <v>2310</v>
      </c>
      <c r="F4866">
        <v>8</v>
      </c>
      <c r="G4866">
        <v>8.3000000000000007</v>
      </c>
      <c r="H4866" t="s">
        <v>2323</v>
      </c>
      <c r="I4866" s="21">
        <v>42635.493969907409</v>
      </c>
      <c r="J4866">
        <v>2016</v>
      </c>
      <c r="K4866" s="21">
        <v>43021.382430555554</v>
      </c>
      <c r="L4866">
        <v>2017</v>
      </c>
      <c r="M4866" s="21">
        <v>43021.382430555554</v>
      </c>
      <c r="N4866">
        <v>2017</v>
      </c>
      <c r="Q4866" s="262">
        <v>85000</v>
      </c>
      <c r="R4866" s="262">
        <v>66000</v>
      </c>
      <c r="S4866" t="s">
        <v>13254</v>
      </c>
      <c r="W4866">
        <v>1512</v>
      </c>
      <c r="X4866">
        <v>0</v>
      </c>
      <c r="Y4866">
        <v>0</v>
      </c>
      <c r="Z4866">
        <v>0</v>
      </c>
      <c r="AA4866">
        <v>0</v>
      </c>
      <c r="AB4866">
        <v>0</v>
      </c>
      <c r="AC4866">
        <v>1512</v>
      </c>
      <c r="AD4866">
        <v>0</v>
      </c>
      <c r="AE4866">
        <v>0</v>
      </c>
      <c r="AF4866">
        <v>0</v>
      </c>
      <c r="AG4866">
        <v>0</v>
      </c>
      <c r="AH4866">
        <v>0</v>
      </c>
      <c r="AI4866">
        <v>0</v>
      </c>
      <c r="AJ4866">
        <v>0</v>
      </c>
      <c r="AK4866">
        <v>0</v>
      </c>
      <c r="AL4866">
        <v>0</v>
      </c>
      <c r="AM4866">
        <v>0</v>
      </c>
      <c r="AN4866">
        <v>0</v>
      </c>
      <c r="AO4866">
        <v>0</v>
      </c>
      <c r="AP4866">
        <v>0</v>
      </c>
      <c r="AQ4866">
        <v>0</v>
      </c>
      <c r="AR4866">
        <v>0</v>
      </c>
      <c r="AS4866">
        <v>0</v>
      </c>
      <c r="AT4866">
        <v>0</v>
      </c>
      <c r="AU4866">
        <f t="shared" si="150"/>
        <v>0</v>
      </c>
      <c r="AV4866">
        <f t="shared" si="151"/>
        <v>0</v>
      </c>
    </row>
    <row r="4867" spans="1:48" x14ac:dyDescent="0.25">
      <c r="A4867" t="s">
        <v>16513</v>
      </c>
      <c r="C4867" t="s">
        <v>10850</v>
      </c>
      <c r="D4867" t="s">
        <v>12866</v>
      </c>
      <c r="E4867" t="s">
        <v>1663</v>
      </c>
      <c r="F4867">
        <v>6</v>
      </c>
      <c r="G4867">
        <v>6.1</v>
      </c>
      <c r="H4867" t="s">
        <v>2017</v>
      </c>
      <c r="I4867" s="21">
        <v>42639</v>
      </c>
      <c r="J4867">
        <v>2016</v>
      </c>
      <c r="K4867" s="21">
        <v>42647</v>
      </c>
      <c r="L4867">
        <v>2016</v>
      </c>
      <c r="M4867" s="21">
        <v>42748</v>
      </c>
      <c r="N4867">
        <v>2017</v>
      </c>
      <c r="Q4867" s="262">
        <v>68000</v>
      </c>
      <c r="S4867" t="s">
        <v>114</v>
      </c>
      <c r="T4867" t="s">
        <v>114</v>
      </c>
      <c r="W4867">
        <v>0</v>
      </c>
      <c r="X4867">
        <v>0</v>
      </c>
      <c r="Y4867">
        <v>0</v>
      </c>
      <c r="Z4867">
        <v>0</v>
      </c>
      <c r="AA4867">
        <v>0</v>
      </c>
      <c r="AB4867">
        <v>0</v>
      </c>
      <c r="AC4867">
        <v>0</v>
      </c>
      <c r="AD4867">
        <v>0</v>
      </c>
      <c r="AE4867">
        <v>0</v>
      </c>
      <c r="AF4867">
        <v>0</v>
      </c>
      <c r="AG4867">
        <v>0</v>
      </c>
      <c r="AH4867">
        <v>0</v>
      </c>
      <c r="AI4867">
        <v>0</v>
      </c>
      <c r="AJ4867">
        <v>0</v>
      </c>
      <c r="AK4867">
        <v>0</v>
      </c>
      <c r="AL4867">
        <v>0</v>
      </c>
      <c r="AM4867">
        <v>0</v>
      </c>
      <c r="AN4867">
        <v>0</v>
      </c>
      <c r="AO4867">
        <v>0</v>
      </c>
      <c r="AP4867">
        <v>0</v>
      </c>
      <c r="AQ4867">
        <v>0</v>
      </c>
      <c r="AR4867">
        <v>0</v>
      </c>
      <c r="AS4867">
        <v>0</v>
      </c>
      <c r="AT4867">
        <v>0</v>
      </c>
      <c r="AU4867">
        <f t="shared" si="150"/>
        <v>0</v>
      </c>
      <c r="AV4867">
        <f t="shared" si="151"/>
        <v>0</v>
      </c>
    </row>
    <row r="4868" spans="1:48" x14ac:dyDescent="0.25">
      <c r="A4868" t="s">
        <v>13406</v>
      </c>
      <c r="C4868" t="s">
        <v>13407</v>
      </c>
      <c r="D4868" t="s">
        <v>13408</v>
      </c>
      <c r="E4868" t="s">
        <v>1663</v>
      </c>
      <c r="F4868">
        <v>4</v>
      </c>
      <c r="G4868">
        <v>4.4000000000000004</v>
      </c>
      <c r="H4868" t="s">
        <v>2017</v>
      </c>
      <c r="I4868" s="21">
        <v>42639</v>
      </c>
      <c r="J4868">
        <v>2016</v>
      </c>
      <c r="K4868" s="21">
        <v>42661</v>
      </c>
      <c r="L4868">
        <v>2016</v>
      </c>
      <c r="P4868" s="21">
        <v>42928</v>
      </c>
      <c r="Q4868" s="262">
        <v>164275</v>
      </c>
      <c r="S4868" t="s">
        <v>114</v>
      </c>
      <c r="T4868" t="s">
        <v>114</v>
      </c>
      <c r="W4868">
        <v>0</v>
      </c>
      <c r="X4868">
        <v>0</v>
      </c>
      <c r="Y4868">
        <v>0</v>
      </c>
      <c r="Z4868">
        <v>0</v>
      </c>
      <c r="AA4868">
        <v>0</v>
      </c>
      <c r="AB4868">
        <v>0</v>
      </c>
      <c r="AC4868">
        <v>0</v>
      </c>
      <c r="AD4868">
        <v>0</v>
      </c>
      <c r="AE4868">
        <v>0</v>
      </c>
      <c r="AF4868">
        <v>0</v>
      </c>
      <c r="AG4868">
        <v>0</v>
      </c>
      <c r="AH4868">
        <v>0</v>
      </c>
      <c r="AI4868">
        <v>0</v>
      </c>
      <c r="AJ4868">
        <v>0</v>
      </c>
      <c r="AK4868">
        <v>0</v>
      </c>
      <c r="AL4868">
        <v>0</v>
      </c>
      <c r="AM4868">
        <v>0</v>
      </c>
      <c r="AN4868">
        <v>0</v>
      </c>
      <c r="AO4868">
        <v>0</v>
      </c>
      <c r="AP4868">
        <v>0</v>
      </c>
      <c r="AQ4868">
        <v>0</v>
      </c>
      <c r="AR4868">
        <v>0</v>
      </c>
      <c r="AS4868">
        <v>0</v>
      </c>
      <c r="AT4868">
        <v>0</v>
      </c>
      <c r="AU4868">
        <f t="shared" si="150"/>
        <v>0</v>
      </c>
      <c r="AV4868">
        <f t="shared" si="151"/>
        <v>0</v>
      </c>
    </row>
    <row r="4869" spans="1:48" x14ac:dyDescent="0.25">
      <c r="A4869" t="s">
        <v>19407</v>
      </c>
      <c r="B4869" t="s">
        <v>114</v>
      </c>
      <c r="C4869" t="s">
        <v>11706</v>
      </c>
      <c r="D4869" t="s">
        <v>19408</v>
      </c>
      <c r="E4869" t="s">
        <v>1663</v>
      </c>
      <c r="F4869">
        <v>6</v>
      </c>
      <c r="G4869">
        <v>6.1</v>
      </c>
      <c r="H4869" t="s">
        <v>2017</v>
      </c>
      <c r="I4869" s="21">
        <v>42641</v>
      </c>
      <c r="J4869">
        <v>2016</v>
      </c>
      <c r="K4869" s="21">
        <v>42671</v>
      </c>
      <c r="L4869">
        <v>2016</v>
      </c>
      <c r="M4869" s="21">
        <v>44020</v>
      </c>
      <c r="N4869">
        <v>2020</v>
      </c>
      <c r="Q4869" s="262">
        <v>950000</v>
      </c>
      <c r="S4869" t="s">
        <v>13254</v>
      </c>
      <c r="W4869">
        <v>2922</v>
      </c>
      <c r="X4869">
        <v>1</v>
      </c>
      <c r="Y4869">
        <v>0</v>
      </c>
      <c r="Z4869">
        <v>0</v>
      </c>
      <c r="AA4869">
        <v>0</v>
      </c>
      <c r="AB4869">
        <v>0</v>
      </c>
      <c r="AC4869">
        <v>0</v>
      </c>
      <c r="AD4869">
        <v>2922</v>
      </c>
      <c r="AE4869">
        <v>0</v>
      </c>
      <c r="AF4869">
        <v>0</v>
      </c>
      <c r="AG4869">
        <v>0</v>
      </c>
      <c r="AH4869">
        <v>0</v>
      </c>
      <c r="AI4869">
        <v>0</v>
      </c>
      <c r="AJ4869">
        <v>0</v>
      </c>
      <c r="AK4869">
        <v>0</v>
      </c>
      <c r="AL4869">
        <v>0</v>
      </c>
      <c r="AM4869">
        <v>0</v>
      </c>
      <c r="AN4869">
        <v>0</v>
      </c>
      <c r="AO4869">
        <v>0</v>
      </c>
      <c r="AP4869">
        <v>1</v>
      </c>
      <c r="AQ4869">
        <v>0</v>
      </c>
      <c r="AR4869">
        <v>0</v>
      </c>
      <c r="AS4869">
        <v>0</v>
      </c>
      <c r="AT4869">
        <v>0</v>
      </c>
      <c r="AU4869">
        <f t="shared" si="150"/>
        <v>1</v>
      </c>
      <c r="AV4869">
        <f t="shared" si="151"/>
        <v>0</v>
      </c>
    </row>
    <row r="4870" spans="1:48" x14ac:dyDescent="0.25">
      <c r="A4870" t="s">
        <v>19409</v>
      </c>
      <c r="B4870" t="s">
        <v>114</v>
      </c>
      <c r="C4870" t="s">
        <v>11706</v>
      </c>
      <c r="D4870" t="s">
        <v>13568</v>
      </c>
      <c r="E4870" t="s">
        <v>1663</v>
      </c>
      <c r="F4870">
        <v>6</v>
      </c>
      <c r="G4870">
        <v>6.1</v>
      </c>
      <c r="H4870" t="s">
        <v>2017</v>
      </c>
      <c r="I4870" s="21">
        <v>42641</v>
      </c>
      <c r="J4870">
        <v>2016</v>
      </c>
      <c r="K4870" s="21">
        <v>42671</v>
      </c>
      <c r="L4870">
        <v>2016</v>
      </c>
      <c r="M4870" s="21">
        <v>44020</v>
      </c>
      <c r="N4870">
        <v>2020</v>
      </c>
      <c r="Q4870" s="262">
        <v>950000</v>
      </c>
      <c r="S4870" t="s">
        <v>13254</v>
      </c>
      <c r="W4870">
        <v>2922</v>
      </c>
      <c r="X4870">
        <v>1</v>
      </c>
      <c r="Y4870">
        <v>0</v>
      </c>
      <c r="Z4870">
        <v>0</v>
      </c>
      <c r="AA4870">
        <v>0</v>
      </c>
      <c r="AB4870">
        <v>0</v>
      </c>
      <c r="AC4870">
        <v>0</v>
      </c>
      <c r="AD4870">
        <v>2922</v>
      </c>
      <c r="AE4870">
        <v>0</v>
      </c>
      <c r="AF4870">
        <v>0</v>
      </c>
      <c r="AG4870">
        <v>0</v>
      </c>
      <c r="AH4870">
        <v>0</v>
      </c>
      <c r="AI4870">
        <v>0</v>
      </c>
      <c r="AJ4870">
        <v>0</v>
      </c>
      <c r="AK4870">
        <v>0</v>
      </c>
      <c r="AL4870">
        <v>0</v>
      </c>
      <c r="AM4870">
        <v>0</v>
      </c>
      <c r="AN4870">
        <v>0</v>
      </c>
      <c r="AO4870">
        <v>0</v>
      </c>
      <c r="AP4870">
        <v>1</v>
      </c>
      <c r="AQ4870">
        <v>0</v>
      </c>
      <c r="AR4870">
        <v>0</v>
      </c>
      <c r="AS4870">
        <v>0</v>
      </c>
      <c r="AT4870">
        <v>0</v>
      </c>
      <c r="AU4870">
        <f t="shared" si="150"/>
        <v>1</v>
      </c>
      <c r="AV4870">
        <f t="shared" si="151"/>
        <v>0</v>
      </c>
    </row>
    <row r="4871" spans="1:48" x14ac:dyDescent="0.25">
      <c r="A4871" t="s">
        <v>13415</v>
      </c>
      <c r="C4871" t="s">
        <v>13416</v>
      </c>
      <c r="D4871" t="s">
        <v>13417</v>
      </c>
      <c r="E4871" t="s">
        <v>1663</v>
      </c>
      <c r="F4871">
        <v>3</v>
      </c>
      <c r="G4871">
        <v>3.2</v>
      </c>
      <c r="H4871" t="s">
        <v>2327</v>
      </c>
      <c r="I4871" s="21">
        <v>42641</v>
      </c>
      <c r="J4871">
        <v>2016</v>
      </c>
      <c r="K4871" s="21">
        <v>42684</v>
      </c>
      <c r="L4871">
        <v>2016</v>
      </c>
      <c r="M4871" s="21">
        <v>42723</v>
      </c>
      <c r="N4871">
        <v>2016</v>
      </c>
      <c r="Q4871" s="262">
        <v>6000</v>
      </c>
      <c r="S4871" t="s">
        <v>114</v>
      </c>
      <c r="T4871" t="s">
        <v>114</v>
      </c>
      <c r="W4871">
        <v>0</v>
      </c>
      <c r="X4871">
        <v>0</v>
      </c>
      <c r="Y4871">
        <v>0</v>
      </c>
      <c r="Z4871">
        <v>0</v>
      </c>
      <c r="AA4871">
        <v>0</v>
      </c>
      <c r="AB4871">
        <v>0</v>
      </c>
      <c r="AC4871">
        <v>0</v>
      </c>
      <c r="AD4871">
        <v>0</v>
      </c>
      <c r="AE4871">
        <v>0</v>
      </c>
      <c r="AF4871">
        <v>0</v>
      </c>
      <c r="AG4871">
        <v>0</v>
      </c>
      <c r="AH4871">
        <v>0</v>
      </c>
      <c r="AI4871">
        <v>0</v>
      </c>
      <c r="AJ4871">
        <v>0</v>
      </c>
      <c r="AK4871">
        <v>0</v>
      </c>
      <c r="AL4871">
        <v>0</v>
      </c>
      <c r="AM4871">
        <v>0</v>
      </c>
      <c r="AN4871">
        <v>0</v>
      </c>
      <c r="AO4871">
        <v>0</v>
      </c>
      <c r="AP4871">
        <v>0</v>
      </c>
      <c r="AQ4871">
        <v>0</v>
      </c>
      <c r="AR4871">
        <v>0</v>
      </c>
      <c r="AS4871">
        <v>0</v>
      </c>
      <c r="AT4871">
        <v>0</v>
      </c>
      <c r="AU4871">
        <f t="shared" si="150"/>
        <v>0</v>
      </c>
      <c r="AV4871">
        <f t="shared" si="151"/>
        <v>0</v>
      </c>
    </row>
    <row r="4872" spans="1:48" x14ac:dyDescent="0.25">
      <c r="A4872" t="s">
        <v>16612</v>
      </c>
      <c r="C4872" t="s">
        <v>16613</v>
      </c>
      <c r="D4872" t="s">
        <v>12124</v>
      </c>
      <c r="E4872" t="s">
        <v>1663</v>
      </c>
      <c r="F4872">
        <v>2</v>
      </c>
      <c r="G4872">
        <v>2.2999999999999998</v>
      </c>
      <c r="H4872" t="s">
        <v>2327</v>
      </c>
      <c r="I4872" s="21">
        <v>42641</v>
      </c>
      <c r="J4872">
        <v>2016</v>
      </c>
      <c r="M4872" s="21">
        <v>42999</v>
      </c>
      <c r="N4872">
        <v>2017</v>
      </c>
      <c r="Q4872" s="262">
        <v>12000</v>
      </c>
      <c r="S4872" t="s">
        <v>114</v>
      </c>
      <c r="T4872" t="s">
        <v>114</v>
      </c>
      <c r="W4872">
        <v>0</v>
      </c>
      <c r="X4872">
        <v>0</v>
      </c>
      <c r="Y4872">
        <v>0</v>
      </c>
      <c r="Z4872">
        <v>0</v>
      </c>
      <c r="AA4872">
        <v>0</v>
      </c>
      <c r="AB4872">
        <v>0</v>
      </c>
      <c r="AC4872">
        <v>0</v>
      </c>
      <c r="AD4872">
        <v>0</v>
      </c>
      <c r="AE4872">
        <v>0</v>
      </c>
      <c r="AF4872">
        <v>0</v>
      </c>
      <c r="AG4872">
        <v>0</v>
      </c>
      <c r="AH4872">
        <v>0</v>
      </c>
      <c r="AI4872">
        <v>0</v>
      </c>
      <c r="AJ4872">
        <v>0</v>
      </c>
      <c r="AK4872">
        <v>0</v>
      </c>
      <c r="AL4872">
        <v>0</v>
      </c>
      <c r="AM4872">
        <v>0</v>
      </c>
      <c r="AN4872">
        <v>0</v>
      </c>
      <c r="AO4872">
        <v>0</v>
      </c>
      <c r="AP4872">
        <v>0</v>
      </c>
      <c r="AQ4872">
        <v>0</v>
      </c>
      <c r="AR4872">
        <v>0</v>
      </c>
      <c r="AS4872">
        <v>0</v>
      </c>
      <c r="AT4872">
        <v>0</v>
      </c>
      <c r="AU4872">
        <f t="shared" si="150"/>
        <v>0</v>
      </c>
      <c r="AV4872">
        <f t="shared" si="151"/>
        <v>0</v>
      </c>
    </row>
    <row r="4873" spans="1:48" x14ac:dyDescent="0.25">
      <c r="A4873" t="s">
        <v>13418</v>
      </c>
      <c r="B4873" t="s">
        <v>13418</v>
      </c>
      <c r="C4873" t="s">
        <v>13419</v>
      </c>
      <c r="D4873" t="s">
        <v>13420</v>
      </c>
      <c r="E4873" t="s">
        <v>2310</v>
      </c>
      <c r="F4873">
        <v>10</v>
      </c>
      <c r="G4873">
        <v>10.1</v>
      </c>
      <c r="H4873" t="s">
        <v>2323</v>
      </c>
      <c r="I4873" s="21">
        <v>42647.445995370399</v>
      </c>
      <c r="J4873">
        <v>2016</v>
      </c>
      <c r="K4873" s="21">
        <v>42816.688113425902</v>
      </c>
      <c r="L4873">
        <v>2017</v>
      </c>
      <c r="O4873" s="21">
        <v>42816.688113425902</v>
      </c>
      <c r="Q4873" s="262">
        <v>600000</v>
      </c>
      <c r="R4873" s="262">
        <v>457000</v>
      </c>
      <c r="S4873" t="s">
        <v>114</v>
      </c>
      <c r="T4873" t="s">
        <v>114</v>
      </c>
      <c r="W4873">
        <v>4585</v>
      </c>
      <c r="X4873">
        <v>0</v>
      </c>
      <c r="Y4873">
        <v>0</v>
      </c>
      <c r="Z4873">
        <v>0</v>
      </c>
      <c r="AA4873">
        <v>0</v>
      </c>
      <c r="AB4873">
        <v>0</v>
      </c>
      <c r="AC4873">
        <v>4585</v>
      </c>
      <c r="AD4873">
        <v>0</v>
      </c>
      <c r="AE4873">
        <v>0</v>
      </c>
      <c r="AF4873">
        <v>0</v>
      </c>
      <c r="AG4873">
        <v>0</v>
      </c>
      <c r="AH4873">
        <v>0</v>
      </c>
      <c r="AI4873">
        <v>0</v>
      </c>
      <c r="AJ4873">
        <v>0</v>
      </c>
      <c r="AK4873">
        <v>0</v>
      </c>
      <c r="AL4873">
        <v>0</v>
      </c>
      <c r="AM4873">
        <v>0</v>
      </c>
      <c r="AN4873">
        <v>0</v>
      </c>
      <c r="AO4873">
        <v>0</v>
      </c>
      <c r="AP4873">
        <v>0</v>
      </c>
      <c r="AQ4873">
        <v>0</v>
      </c>
      <c r="AR4873">
        <v>0</v>
      </c>
      <c r="AS4873">
        <v>0</v>
      </c>
      <c r="AT4873">
        <v>0</v>
      </c>
      <c r="AU4873">
        <f t="shared" si="150"/>
        <v>0</v>
      </c>
      <c r="AV4873">
        <f t="shared" si="151"/>
        <v>0</v>
      </c>
    </row>
    <row r="4874" spans="1:48" x14ac:dyDescent="0.25">
      <c r="A4874" t="s">
        <v>18748</v>
      </c>
      <c r="B4874" t="s">
        <v>18748</v>
      </c>
      <c r="C4874" t="s">
        <v>18749</v>
      </c>
      <c r="D4874" t="s">
        <v>10110</v>
      </c>
      <c r="E4874" t="s">
        <v>2310</v>
      </c>
      <c r="F4874">
        <v>13</v>
      </c>
      <c r="G4874">
        <v>13.1</v>
      </c>
      <c r="H4874" t="s">
        <v>2327</v>
      </c>
      <c r="I4874" s="21">
        <v>42647.480011574073</v>
      </c>
      <c r="J4874">
        <v>2016</v>
      </c>
      <c r="K4874" s="21">
        <v>42811.488993055558</v>
      </c>
      <c r="L4874">
        <v>2017</v>
      </c>
      <c r="M4874" s="21">
        <v>43419.456204594906</v>
      </c>
      <c r="N4874">
        <v>2018</v>
      </c>
      <c r="Q4874" s="262">
        <v>185000</v>
      </c>
      <c r="R4874" s="262">
        <v>182000</v>
      </c>
      <c r="S4874" t="s">
        <v>13253</v>
      </c>
      <c r="T4874">
        <v>8679</v>
      </c>
      <c r="W4874">
        <v>0</v>
      </c>
      <c r="X4874">
        <v>0</v>
      </c>
      <c r="Y4874">
        <v>0</v>
      </c>
      <c r="Z4874">
        <v>0</v>
      </c>
      <c r="AA4874">
        <v>0</v>
      </c>
      <c r="AB4874">
        <v>0</v>
      </c>
      <c r="AC4874">
        <v>0</v>
      </c>
      <c r="AD4874">
        <v>0</v>
      </c>
      <c r="AE4874">
        <v>0</v>
      </c>
      <c r="AF4874">
        <v>0</v>
      </c>
      <c r="AG4874">
        <v>0</v>
      </c>
      <c r="AH4874">
        <v>0</v>
      </c>
      <c r="AI4874">
        <v>0</v>
      </c>
      <c r="AJ4874">
        <v>0</v>
      </c>
      <c r="AK4874">
        <v>0</v>
      </c>
      <c r="AL4874">
        <v>0</v>
      </c>
      <c r="AM4874">
        <v>0</v>
      </c>
      <c r="AN4874">
        <v>0</v>
      </c>
      <c r="AO4874">
        <v>0</v>
      </c>
      <c r="AP4874">
        <v>0</v>
      </c>
      <c r="AQ4874">
        <v>0</v>
      </c>
      <c r="AR4874">
        <v>0</v>
      </c>
      <c r="AS4874">
        <v>0</v>
      </c>
      <c r="AT4874">
        <v>0</v>
      </c>
      <c r="AU4874">
        <f t="shared" si="150"/>
        <v>0</v>
      </c>
      <c r="AV4874">
        <f t="shared" si="151"/>
        <v>0</v>
      </c>
    </row>
    <row r="4875" spans="1:48" x14ac:dyDescent="0.25">
      <c r="A4875" t="s">
        <v>19223</v>
      </c>
      <c r="B4875" t="s">
        <v>19223</v>
      </c>
      <c r="C4875" t="s">
        <v>19224</v>
      </c>
      <c r="D4875" t="s">
        <v>19225</v>
      </c>
      <c r="E4875" t="s">
        <v>2310</v>
      </c>
      <c r="F4875">
        <v>9</v>
      </c>
      <c r="G4875">
        <v>9.1999999999999993</v>
      </c>
      <c r="H4875" t="s">
        <v>2022</v>
      </c>
      <c r="I4875" s="21">
        <v>42647.575173611112</v>
      </c>
      <c r="J4875">
        <v>2016</v>
      </c>
      <c r="K4875" s="21">
        <v>43040.414375</v>
      </c>
      <c r="L4875">
        <v>2017</v>
      </c>
      <c r="M4875" s="21">
        <v>43040.414375</v>
      </c>
      <c r="N4875">
        <v>2017</v>
      </c>
      <c r="Q4875" s="262">
        <v>100000</v>
      </c>
      <c r="R4875" s="262">
        <v>99000</v>
      </c>
      <c r="S4875" t="s">
        <v>13254</v>
      </c>
      <c r="W4875">
        <v>748</v>
      </c>
      <c r="X4875">
        <v>1</v>
      </c>
      <c r="Y4875">
        <v>0</v>
      </c>
      <c r="Z4875">
        <v>0</v>
      </c>
      <c r="AA4875">
        <v>0</v>
      </c>
      <c r="AB4875">
        <v>0</v>
      </c>
      <c r="AC4875">
        <v>0</v>
      </c>
      <c r="AD4875">
        <v>0</v>
      </c>
      <c r="AE4875">
        <v>0</v>
      </c>
      <c r="AF4875">
        <v>748</v>
      </c>
      <c r="AG4875">
        <v>0</v>
      </c>
      <c r="AH4875">
        <v>0</v>
      </c>
      <c r="AI4875">
        <v>0</v>
      </c>
      <c r="AJ4875">
        <v>0</v>
      </c>
      <c r="AK4875">
        <v>0</v>
      </c>
      <c r="AL4875">
        <v>0</v>
      </c>
      <c r="AM4875">
        <v>0</v>
      </c>
      <c r="AN4875">
        <v>0</v>
      </c>
      <c r="AO4875">
        <v>0</v>
      </c>
      <c r="AP4875">
        <v>0</v>
      </c>
      <c r="AQ4875">
        <v>0</v>
      </c>
      <c r="AR4875">
        <v>1</v>
      </c>
      <c r="AS4875">
        <v>0</v>
      </c>
      <c r="AT4875">
        <v>0</v>
      </c>
      <c r="AU4875">
        <f t="shared" si="150"/>
        <v>0</v>
      </c>
      <c r="AV4875">
        <f t="shared" si="151"/>
        <v>0</v>
      </c>
    </row>
    <row r="4876" spans="1:48" x14ac:dyDescent="0.25">
      <c r="A4876" t="s">
        <v>17944</v>
      </c>
      <c r="B4876" t="s">
        <v>17944</v>
      </c>
      <c r="C4876" t="s">
        <v>17945</v>
      </c>
      <c r="D4876" t="s">
        <v>17946</v>
      </c>
      <c r="E4876" t="s">
        <v>2310</v>
      </c>
      <c r="F4876">
        <v>15</v>
      </c>
      <c r="G4876">
        <v>15.2</v>
      </c>
      <c r="H4876" t="s">
        <v>2323</v>
      </c>
      <c r="I4876" s="21">
        <v>42647.61855324074</v>
      </c>
      <c r="J4876">
        <v>2016</v>
      </c>
      <c r="K4876" s="21">
        <v>43160.674351851849</v>
      </c>
      <c r="L4876">
        <v>2018</v>
      </c>
      <c r="M4876" s="21">
        <v>43130.438043981485</v>
      </c>
      <c r="N4876">
        <v>2018</v>
      </c>
      <c r="Q4876" s="262">
        <v>1200000</v>
      </c>
      <c r="R4876" s="262">
        <v>558000</v>
      </c>
      <c r="S4876" t="s">
        <v>13254</v>
      </c>
      <c r="W4876">
        <v>4042</v>
      </c>
      <c r="X4876">
        <v>1</v>
      </c>
      <c r="Y4876">
        <v>0</v>
      </c>
      <c r="Z4876">
        <v>0</v>
      </c>
      <c r="AA4876">
        <v>0</v>
      </c>
      <c r="AB4876">
        <v>0</v>
      </c>
      <c r="AC4876">
        <v>4042</v>
      </c>
      <c r="AD4876">
        <v>0</v>
      </c>
      <c r="AE4876">
        <v>0</v>
      </c>
      <c r="AF4876">
        <v>0</v>
      </c>
      <c r="AG4876">
        <v>0</v>
      </c>
      <c r="AH4876">
        <v>0</v>
      </c>
      <c r="AI4876">
        <v>0</v>
      </c>
      <c r="AJ4876">
        <v>0</v>
      </c>
      <c r="AK4876">
        <v>0</v>
      </c>
      <c r="AL4876">
        <v>0</v>
      </c>
      <c r="AM4876">
        <v>0</v>
      </c>
      <c r="AN4876">
        <v>0</v>
      </c>
      <c r="AO4876">
        <v>1</v>
      </c>
      <c r="AP4876">
        <v>0</v>
      </c>
      <c r="AQ4876">
        <v>0</v>
      </c>
      <c r="AR4876">
        <v>0</v>
      </c>
      <c r="AS4876">
        <v>0</v>
      </c>
      <c r="AT4876">
        <v>0</v>
      </c>
      <c r="AU4876">
        <f t="shared" si="150"/>
        <v>1</v>
      </c>
      <c r="AV4876">
        <f t="shared" si="151"/>
        <v>0</v>
      </c>
    </row>
    <row r="4877" spans="1:48" x14ac:dyDescent="0.25">
      <c r="A4877" t="s">
        <v>18053</v>
      </c>
      <c r="B4877" t="s">
        <v>18053</v>
      </c>
      <c r="C4877" t="s">
        <v>17028</v>
      </c>
      <c r="D4877" t="s">
        <v>18054</v>
      </c>
      <c r="E4877" t="s">
        <v>2310</v>
      </c>
      <c r="F4877">
        <v>14</v>
      </c>
      <c r="G4877">
        <v>14.1</v>
      </c>
      <c r="H4877" t="s">
        <v>2022</v>
      </c>
      <c r="I4877" s="21">
        <v>42648.54010416667</v>
      </c>
      <c r="J4877">
        <v>2016</v>
      </c>
      <c r="K4877" s="21">
        <v>42682.46199074074</v>
      </c>
      <c r="L4877">
        <v>2016</v>
      </c>
      <c r="M4877" s="21">
        <v>43207.40861111111</v>
      </c>
      <c r="N4877">
        <v>2018</v>
      </c>
      <c r="Q4877" s="262">
        <v>1200000</v>
      </c>
      <c r="R4877" s="262">
        <v>724000</v>
      </c>
      <c r="S4877" t="s">
        <v>13254</v>
      </c>
      <c r="W4877">
        <v>5874</v>
      </c>
      <c r="X4877">
        <v>1</v>
      </c>
      <c r="Y4877">
        <v>0</v>
      </c>
      <c r="Z4877">
        <v>0</v>
      </c>
      <c r="AA4877">
        <v>0</v>
      </c>
      <c r="AB4877">
        <v>0</v>
      </c>
      <c r="AC4877">
        <v>5874</v>
      </c>
      <c r="AD4877">
        <v>0</v>
      </c>
      <c r="AE4877">
        <v>0</v>
      </c>
      <c r="AF4877">
        <v>0</v>
      </c>
      <c r="AG4877">
        <v>0</v>
      </c>
      <c r="AH4877">
        <v>0</v>
      </c>
      <c r="AI4877">
        <v>0</v>
      </c>
      <c r="AJ4877">
        <v>0</v>
      </c>
      <c r="AK4877">
        <v>0</v>
      </c>
      <c r="AL4877">
        <v>0</v>
      </c>
      <c r="AM4877">
        <v>0</v>
      </c>
      <c r="AN4877">
        <v>0</v>
      </c>
      <c r="AO4877">
        <v>1</v>
      </c>
      <c r="AP4877">
        <v>0</v>
      </c>
      <c r="AQ4877">
        <v>0</v>
      </c>
      <c r="AR4877">
        <v>0</v>
      </c>
      <c r="AS4877">
        <v>0</v>
      </c>
      <c r="AT4877">
        <v>0</v>
      </c>
      <c r="AU4877">
        <f t="shared" si="150"/>
        <v>1</v>
      </c>
      <c r="AV4877">
        <f t="shared" si="151"/>
        <v>0</v>
      </c>
    </row>
    <row r="4878" spans="1:48" x14ac:dyDescent="0.25">
      <c r="A4878" t="s">
        <v>18055</v>
      </c>
      <c r="B4878" t="s">
        <v>18055</v>
      </c>
      <c r="C4878" t="s">
        <v>13256</v>
      </c>
      <c r="D4878" t="s">
        <v>18054</v>
      </c>
      <c r="E4878" t="s">
        <v>2310</v>
      </c>
      <c r="F4878">
        <v>14</v>
      </c>
      <c r="G4878">
        <v>14.1</v>
      </c>
      <c r="H4878" t="s">
        <v>2022</v>
      </c>
      <c r="I4878" s="21">
        <v>42648.560289351852</v>
      </c>
      <c r="J4878">
        <v>2016</v>
      </c>
      <c r="K4878" s="21">
        <v>43138.674756944441</v>
      </c>
      <c r="L4878">
        <v>2018</v>
      </c>
      <c r="M4878" s="21">
        <v>43207.412685185183</v>
      </c>
      <c r="N4878">
        <v>2018</v>
      </c>
      <c r="Q4878" s="262">
        <v>125000</v>
      </c>
      <c r="R4878" s="262">
        <v>46000</v>
      </c>
      <c r="S4878" t="s">
        <v>13254</v>
      </c>
      <c r="W4878">
        <v>1050</v>
      </c>
      <c r="X4878">
        <v>0</v>
      </c>
      <c r="Y4878">
        <v>0</v>
      </c>
      <c r="Z4878">
        <v>0</v>
      </c>
      <c r="AA4878">
        <v>0</v>
      </c>
      <c r="AB4878">
        <v>0</v>
      </c>
      <c r="AC4878">
        <v>1050</v>
      </c>
      <c r="AD4878">
        <v>0</v>
      </c>
      <c r="AE4878">
        <v>0</v>
      </c>
      <c r="AF4878">
        <v>0</v>
      </c>
      <c r="AG4878">
        <v>0</v>
      </c>
      <c r="AH4878">
        <v>0</v>
      </c>
      <c r="AI4878">
        <v>0</v>
      </c>
      <c r="AJ4878">
        <v>0</v>
      </c>
      <c r="AK4878">
        <v>0</v>
      </c>
      <c r="AL4878">
        <v>0</v>
      </c>
      <c r="AM4878">
        <v>0</v>
      </c>
      <c r="AN4878">
        <v>0</v>
      </c>
      <c r="AO4878">
        <v>0</v>
      </c>
      <c r="AP4878">
        <v>0</v>
      </c>
      <c r="AQ4878">
        <v>0</v>
      </c>
      <c r="AR4878">
        <v>0</v>
      </c>
      <c r="AS4878">
        <v>0</v>
      </c>
      <c r="AT4878">
        <v>0</v>
      </c>
      <c r="AU4878">
        <f t="shared" si="150"/>
        <v>0</v>
      </c>
      <c r="AV4878">
        <f t="shared" si="151"/>
        <v>0</v>
      </c>
    </row>
    <row r="4879" spans="1:48" x14ac:dyDescent="0.25">
      <c r="A4879" t="s">
        <v>19244</v>
      </c>
      <c r="B4879" t="s">
        <v>19244</v>
      </c>
      <c r="C4879" t="s">
        <v>19245</v>
      </c>
      <c r="D4879" t="s">
        <v>3288</v>
      </c>
      <c r="E4879" t="s">
        <v>2310</v>
      </c>
      <c r="F4879">
        <v>9</v>
      </c>
      <c r="G4879">
        <v>9.3000000000000007</v>
      </c>
      <c r="H4879" t="s">
        <v>2323</v>
      </c>
      <c r="I4879" s="21">
        <v>42648.572210648148</v>
      </c>
      <c r="J4879">
        <v>2016</v>
      </c>
      <c r="K4879" s="21">
        <v>42755.443912037037</v>
      </c>
      <c r="L4879">
        <v>2017</v>
      </c>
      <c r="M4879" s="21">
        <v>42928.38449074074</v>
      </c>
      <c r="N4879">
        <v>2017</v>
      </c>
      <c r="Q4879" s="262">
        <v>60000</v>
      </c>
      <c r="R4879" s="262">
        <v>13000</v>
      </c>
      <c r="S4879" t="s">
        <v>13253</v>
      </c>
      <c r="T4879">
        <v>3948</v>
      </c>
      <c r="W4879">
        <v>70</v>
      </c>
      <c r="X4879">
        <v>0</v>
      </c>
      <c r="Y4879">
        <v>0</v>
      </c>
      <c r="Z4879">
        <v>0</v>
      </c>
      <c r="AA4879">
        <v>0</v>
      </c>
      <c r="AB4879">
        <v>0</v>
      </c>
      <c r="AC4879">
        <v>0</v>
      </c>
      <c r="AD4879">
        <v>0</v>
      </c>
      <c r="AE4879">
        <v>0</v>
      </c>
      <c r="AF4879">
        <v>0</v>
      </c>
      <c r="AG4879">
        <v>0</v>
      </c>
      <c r="AH4879">
        <v>0</v>
      </c>
      <c r="AI4879">
        <v>70</v>
      </c>
      <c r="AJ4879">
        <v>0</v>
      </c>
      <c r="AK4879">
        <v>0</v>
      </c>
      <c r="AL4879">
        <v>0</v>
      </c>
      <c r="AM4879">
        <v>0</v>
      </c>
      <c r="AN4879">
        <v>0</v>
      </c>
      <c r="AO4879">
        <v>0</v>
      </c>
      <c r="AP4879">
        <v>0</v>
      </c>
      <c r="AQ4879">
        <v>0</v>
      </c>
      <c r="AR4879">
        <v>0</v>
      </c>
      <c r="AS4879">
        <v>0</v>
      </c>
      <c r="AT4879">
        <v>0</v>
      </c>
      <c r="AU4879">
        <f t="shared" si="150"/>
        <v>0</v>
      </c>
      <c r="AV4879">
        <f t="shared" si="151"/>
        <v>70</v>
      </c>
    </row>
    <row r="4880" spans="1:48" x14ac:dyDescent="0.25">
      <c r="A4880" t="s">
        <v>13421</v>
      </c>
      <c r="B4880" t="s">
        <v>13421</v>
      </c>
      <c r="C4880" t="s">
        <v>13422</v>
      </c>
      <c r="D4880" t="s">
        <v>13423</v>
      </c>
      <c r="E4880" t="s">
        <v>2310</v>
      </c>
      <c r="F4880">
        <v>14</v>
      </c>
      <c r="G4880">
        <v>14.1</v>
      </c>
      <c r="H4880" t="s">
        <v>2022</v>
      </c>
      <c r="I4880" s="21">
        <v>42650.569988425901</v>
      </c>
      <c r="J4880">
        <v>2016</v>
      </c>
      <c r="K4880" s="21">
        <v>42830.480231481502</v>
      </c>
      <c r="L4880">
        <v>2017</v>
      </c>
      <c r="O4880" s="21">
        <v>42830.546030092599</v>
      </c>
      <c r="Q4880" s="262">
        <v>350000</v>
      </c>
      <c r="R4880" s="262">
        <v>312000</v>
      </c>
      <c r="S4880" t="s">
        <v>114</v>
      </c>
      <c r="T4880" t="s">
        <v>114</v>
      </c>
      <c r="W4880">
        <v>3463</v>
      </c>
      <c r="X4880">
        <v>1</v>
      </c>
      <c r="Y4880">
        <v>0</v>
      </c>
      <c r="Z4880">
        <v>0</v>
      </c>
      <c r="AA4880">
        <v>0</v>
      </c>
      <c r="AB4880">
        <v>0</v>
      </c>
      <c r="AC4880">
        <v>3463</v>
      </c>
      <c r="AD4880">
        <v>0</v>
      </c>
      <c r="AE4880">
        <v>0</v>
      </c>
      <c r="AF4880">
        <v>0</v>
      </c>
      <c r="AG4880">
        <v>0</v>
      </c>
      <c r="AH4880">
        <v>0</v>
      </c>
      <c r="AI4880">
        <v>0</v>
      </c>
      <c r="AJ4880">
        <v>0</v>
      </c>
      <c r="AK4880">
        <v>0</v>
      </c>
      <c r="AL4880">
        <v>0</v>
      </c>
      <c r="AM4880">
        <v>0</v>
      </c>
      <c r="AN4880">
        <v>0</v>
      </c>
      <c r="AO4880">
        <v>1</v>
      </c>
      <c r="AP4880">
        <v>0</v>
      </c>
      <c r="AQ4880">
        <v>0</v>
      </c>
      <c r="AR4880">
        <v>0</v>
      </c>
      <c r="AS4880">
        <v>0</v>
      </c>
      <c r="AT4880">
        <v>0</v>
      </c>
      <c r="AU4880">
        <f t="shared" si="150"/>
        <v>1</v>
      </c>
      <c r="AV4880">
        <f t="shared" si="151"/>
        <v>0</v>
      </c>
    </row>
    <row r="4881" spans="1:48" x14ac:dyDescent="0.25">
      <c r="A4881" t="s">
        <v>19532</v>
      </c>
      <c r="B4881" t="s">
        <v>19532</v>
      </c>
      <c r="C4881" t="s">
        <v>19533</v>
      </c>
      <c r="D4881" t="s">
        <v>11295</v>
      </c>
      <c r="E4881" t="s">
        <v>2310</v>
      </c>
      <c r="F4881">
        <v>9</v>
      </c>
      <c r="G4881">
        <v>9.1</v>
      </c>
      <c r="H4881" t="s">
        <v>2323</v>
      </c>
      <c r="I4881" s="21">
        <v>42650.611354166664</v>
      </c>
      <c r="J4881">
        <v>2016</v>
      </c>
      <c r="K4881" s="21">
        <v>42759.593923611108</v>
      </c>
      <c r="L4881">
        <v>2017</v>
      </c>
      <c r="M4881" s="21">
        <v>43208.383726851855</v>
      </c>
      <c r="N4881">
        <v>2018</v>
      </c>
      <c r="Q4881" s="262">
        <v>700000</v>
      </c>
      <c r="R4881" s="262">
        <v>201000</v>
      </c>
      <c r="S4881" t="s">
        <v>13253</v>
      </c>
      <c r="T4881">
        <v>14162</v>
      </c>
      <c r="W4881">
        <v>1802</v>
      </c>
      <c r="X4881">
        <v>0</v>
      </c>
      <c r="Y4881">
        <v>0</v>
      </c>
      <c r="Z4881">
        <v>0</v>
      </c>
      <c r="AA4881">
        <v>0</v>
      </c>
      <c r="AB4881">
        <v>0</v>
      </c>
      <c r="AC4881">
        <v>1802</v>
      </c>
      <c r="AD4881">
        <v>0</v>
      </c>
      <c r="AE4881">
        <v>0</v>
      </c>
      <c r="AF4881">
        <v>0</v>
      </c>
      <c r="AG4881">
        <v>0</v>
      </c>
      <c r="AH4881">
        <v>0</v>
      </c>
      <c r="AI4881">
        <v>0</v>
      </c>
      <c r="AJ4881">
        <v>0</v>
      </c>
      <c r="AK4881">
        <v>0</v>
      </c>
      <c r="AL4881">
        <v>0</v>
      </c>
      <c r="AM4881">
        <v>0</v>
      </c>
      <c r="AN4881">
        <v>0</v>
      </c>
      <c r="AO4881">
        <v>0</v>
      </c>
      <c r="AP4881">
        <v>0</v>
      </c>
      <c r="AQ4881">
        <v>0</v>
      </c>
      <c r="AR4881">
        <v>0</v>
      </c>
      <c r="AS4881">
        <v>0</v>
      </c>
      <c r="AT4881">
        <v>0</v>
      </c>
      <c r="AU4881">
        <f t="shared" si="150"/>
        <v>0</v>
      </c>
      <c r="AV4881">
        <f t="shared" si="151"/>
        <v>0</v>
      </c>
    </row>
    <row r="4882" spans="1:48" x14ac:dyDescent="0.25">
      <c r="A4882" t="s">
        <v>18072</v>
      </c>
      <c r="B4882" t="s">
        <v>18072</v>
      </c>
      <c r="C4882" t="s">
        <v>18073</v>
      </c>
      <c r="D4882" t="s">
        <v>18074</v>
      </c>
      <c r="E4882" t="s">
        <v>2310</v>
      </c>
      <c r="F4882">
        <v>10</v>
      </c>
      <c r="G4882">
        <v>10.1</v>
      </c>
      <c r="H4882" t="s">
        <v>2323</v>
      </c>
      <c r="I4882" s="21">
        <v>42654.470254629632</v>
      </c>
      <c r="J4882">
        <v>2016</v>
      </c>
      <c r="K4882" s="21">
        <v>42814.421967592592</v>
      </c>
      <c r="L4882">
        <v>2017</v>
      </c>
      <c r="M4882" s="21">
        <v>43236.4156153125</v>
      </c>
      <c r="N4882">
        <v>2018</v>
      </c>
      <c r="Q4882" s="262">
        <v>435000</v>
      </c>
      <c r="R4882" s="262">
        <v>576000</v>
      </c>
      <c r="S4882" t="s">
        <v>13254</v>
      </c>
      <c r="W4882">
        <v>4986</v>
      </c>
      <c r="X4882">
        <v>1</v>
      </c>
      <c r="Y4882">
        <v>0</v>
      </c>
      <c r="Z4882">
        <v>0</v>
      </c>
      <c r="AA4882">
        <v>0</v>
      </c>
      <c r="AB4882">
        <v>0</v>
      </c>
      <c r="AC4882">
        <v>4986</v>
      </c>
      <c r="AD4882">
        <v>0</v>
      </c>
      <c r="AE4882">
        <v>0</v>
      </c>
      <c r="AF4882">
        <v>0</v>
      </c>
      <c r="AG4882">
        <v>0</v>
      </c>
      <c r="AH4882">
        <v>0</v>
      </c>
      <c r="AI4882">
        <v>0</v>
      </c>
      <c r="AJ4882">
        <v>0</v>
      </c>
      <c r="AK4882">
        <v>0</v>
      </c>
      <c r="AL4882">
        <v>0</v>
      </c>
      <c r="AM4882">
        <v>0</v>
      </c>
      <c r="AN4882">
        <v>0</v>
      </c>
      <c r="AO4882">
        <v>1</v>
      </c>
      <c r="AP4882">
        <v>0</v>
      </c>
      <c r="AQ4882">
        <v>0</v>
      </c>
      <c r="AR4882">
        <v>0</v>
      </c>
      <c r="AS4882">
        <v>0</v>
      </c>
      <c r="AT4882">
        <v>0</v>
      </c>
      <c r="AU4882">
        <f t="shared" si="150"/>
        <v>1</v>
      </c>
      <c r="AV4882">
        <f t="shared" si="151"/>
        <v>0</v>
      </c>
    </row>
    <row r="4883" spans="1:48" x14ac:dyDescent="0.25">
      <c r="A4883" t="s">
        <v>13424</v>
      </c>
      <c r="C4883" t="s">
        <v>13425</v>
      </c>
      <c r="D4883" t="s">
        <v>13274</v>
      </c>
      <c r="E4883" t="s">
        <v>1663</v>
      </c>
      <c r="F4883">
        <v>2</v>
      </c>
      <c r="G4883">
        <v>2.2999999999999998</v>
      </c>
      <c r="H4883" t="s">
        <v>2327</v>
      </c>
      <c r="I4883" s="21">
        <v>42655</v>
      </c>
      <c r="J4883">
        <v>2016</v>
      </c>
      <c r="K4883" s="21">
        <v>42663</v>
      </c>
      <c r="L4883">
        <v>2016</v>
      </c>
      <c r="P4883" s="21">
        <v>42843</v>
      </c>
      <c r="Q4883" s="262">
        <v>25000</v>
      </c>
      <c r="S4883" t="s">
        <v>114</v>
      </c>
      <c r="T4883" t="s">
        <v>114</v>
      </c>
      <c r="W4883">
        <v>0</v>
      </c>
      <c r="X4883">
        <v>0</v>
      </c>
      <c r="Y4883">
        <v>0</v>
      </c>
      <c r="Z4883">
        <v>0</v>
      </c>
      <c r="AA4883">
        <v>0</v>
      </c>
      <c r="AB4883">
        <v>0</v>
      </c>
      <c r="AC4883">
        <v>0</v>
      </c>
      <c r="AD4883">
        <v>0</v>
      </c>
      <c r="AE4883">
        <v>0</v>
      </c>
      <c r="AF4883">
        <v>0</v>
      </c>
      <c r="AG4883">
        <v>0</v>
      </c>
      <c r="AH4883">
        <v>0</v>
      </c>
      <c r="AI4883">
        <v>0</v>
      </c>
      <c r="AJ4883">
        <v>0</v>
      </c>
      <c r="AK4883">
        <v>0</v>
      </c>
      <c r="AL4883">
        <v>0</v>
      </c>
      <c r="AM4883">
        <v>0</v>
      </c>
      <c r="AN4883">
        <v>0</v>
      </c>
      <c r="AO4883">
        <v>0</v>
      </c>
      <c r="AP4883">
        <v>0</v>
      </c>
      <c r="AQ4883">
        <v>0</v>
      </c>
      <c r="AR4883">
        <v>0</v>
      </c>
      <c r="AS4883">
        <v>0</v>
      </c>
      <c r="AT4883">
        <v>0</v>
      </c>
      <c r="AU4883">
        <f t="shared" si="150"/>
        <v>0</v>
      </c>
      <c r="AV4883">
        <f t="shared" si="151"/>
        <v>0</v>
      </c>
    </row>
    <row r="4884" spans="1:48" x14ac:dyDescent="0.25">
      <c r="A4884" t="s">
        <v>19276</v>
      </c>
      <c r="B4884" t="s">
        <v>19276</v>
      </c>
      <c r="C4884" t="s">
        <v>13256</v>
      </c>
      <c r="D4884" t="s">
        <v>8242</v>
      </c>
      <c r="E4884" t="s">
        <v>2310</v>
      </c>
      <c r="F4884">
        <v>8</v>
      </c>
      <c r="G4884">
        <v>8.3000000000000007</v>
      </c>
      <c r="H4884" t="s">
        <v>2323</v>
      </c>
      <c r="I4884" s="21">
        <v>42655.562083333331</v>
      </c>
      <c r="J4884">
        <v>2016</v>
      </c>
      <c r="K4884" s="21">
        <v>43021.373217592591</v>
      </c>
      <c r="L4884">
        <v>2017</v>
      </c>
      <c r="M4884" s="21">
        <v>43021.373217592591</v>
      </c>
      <c r="N4884">
        <v>2017</v>
      </c>
      <c r="Q4884" s="262">
        <v>83000</v>
      </c>
      <c r="R4884" s="262">
        <v>56000</v>
      </c>
      <c r="S4884" t="s">
        <v>13254</v>
      </c>
      <c r="W4884">
        <v>1152</v>
      </c>
      <c r="X4884">
        <v>0</v>
      </c>
      <c r="Y4884">
        <v>0</v>
      </c>
      <c r="Z4884">
        <v>0</v>
      </c>
      <c r="AA4884">
        <v>0</v>
      </c>
      <c r="AB4884">
        <v>0</v>
      </c>
      <c r="AC4884">
        <v>1152</v>
      </c>
      <c r="AD4884">
        <v>0</v>
      </c>
      <c r="AE4884">
        <v>0</v>
      </c>
      <c r="AF4884">
        <v>0</v>
      </c>
      <c r="AG4884">
        <v>0</v>
      </c>
      <c r="AH4884">
        <v>0</v>
      </c>
      <c r="AI4884">
        <v>0</v>
      </c>
      <c r="AJ4884">
        <v>0</v>
      </c>
      <c r="AK4884">
        <v>0</v>
      </c>
      <c r="AL4884">
        <v>0</v>
      </c>
      <c r="AM4884">
        <v>0</v>
      </c>
      <c r="AN4884">
        <v>0</v>
      </c>
      <c r="AO4884">
        <v>0</v>
      </c>
      <c r="AP4884">
        <v>0</v>
      </c>
      <c r="AQ4884">
        <v>0</v>
      </c>
      <c r="AR4884">
        <v>0</v>
      </c>
      <c r="AS4884">
        <v>0</v>
      </c>
      <c r="AT4884">
        <v>0</v>
      </c>
      <c r="AU4884">
        <f t="shared" si="150"/>
        <v>0</v>
      </c>
      <c r="AV4884">
        <f t="shared" si="151"/>
        <v>0</v>
      </c>
    </row>
    <row r="4885" spans="1:48" x14ac:dyDescent="0.25">
      <c r="A4885" t="s">
        <v>13426</v>
      </c>
      <c r="C4885" t="s">
        <v>13427</v>
      </c>
      <c r="D4885" t="s">
        <v>10609</v>
      </c>
      <c r="E4885" t="s">
        <v>1663</v>
      </c>
      <c r="F4885">
        <v>9</v>
      </c>
      <c r="G4885">
        <v>9.4</v>
      </c>
      <c r="H4885" t="s">
        <v>2323</v>
      </c>
      <c r="I4885" s="21">
        <v>42656</v>
      </c>
      <c r="J4885">
        <v>2016</v>
      </c>
      <c r="K4885" s="21">
        <v>42674</v>
      </c>
      <c r="L4885">
        <v>2016</v>
      </c>
      <c r="P4885" s="21">
        <v>43016</v>
      </c>
      <c r="Q4885" s="262">
        <v>45000</v>
      </c>
      <c r="S4885" t="s">
        <v>114</v>
      </c>
      <c r="T4885" t="s">
        <v>114</v>
      </c>
      <c r="W4885">
        <v>0</v>
      </c>
      <c r="X4885">
        <v>0</v>
      </c>
      <c r="Y4885">
        <v>0</v>
      </c>
      <c r="Z4885">
        <v>0</v>
      </c>
      <c r="AA4885">
        <v>0</v>
      </c>
      <c r="AB4885">
        <v>0</v>
      </c>
      <c r="AC4885">
        <v>0</v>
      </c>
      <c r="AD4885">
        <v>0</v>
      </c>
      <c r="AE4885">
        <v>0</v>
      </c>
      <c r="AF4885">
        <v>0</v>
      </c>
      <c r="AG4885">
        <v>0</v>
      </c>
      <c r="AH4885">
        <v>0</v>
      </c>
      <c r="AI4885">
        <v>0</v>
      </c>
      <c r="AJ4885">
        <v>0</v>
      </c>
      <c r="AK4885">
        <v>0</v>
      </c>
      <c r="AL4885">
        <v>0</v>
      </c>
      <c r="AM4885">
        <v>0</v>
      </c>
      <c r="AN4885">
        <v>0</v>
      </c>
      <c r="AO4885">
        <v>0</v>
      </c>
      <c r="AP4885">
        <v>0</v>
      </c>
      <c r="AQ4885">
        <v>0</v>
      </c>
      <c r="AR4885">
        <v>0</v>
      </c>
      <c r="AS4885">
        <v>0</v>
      </c>
      <c r="AT4885">
        <v>0</v>
      </c>
      <c r="AU4885">
        <f t="shared" si="150"/>
        <v>0</v>
      </c>
      <c r="AV4885">
        <f t="shared" si="151"/>
        <v>0</v>
      </c>
    </row>
    <row r="4886" spans="1:48" x14ac:dyDescent="0.25">
      <c r="A4886" t="s">
        <v>13428</v>
      </c>
      <c r="B4886" t="s">
        <v>13428</v>
      </c>
      <c r="C4886" t="s">
        <v>13429</v>
      </c>
      <c r="D4886" t="s">
        <v>13430</v>
      </c>
      <c r="E4886" t="s">
        <v>2310</v>
      </c>
      <c r="F4886">
        <v>15</v>
      </c>
      <c r="G4886">
        <v>15.2</v>
      </c>
      <c r="H4886" t="s">
        <v>2323</v>
      </c>
      <c r="I4886" s="21">
        <v>42656.451423611099</v>
      </c>
      <c r="J4886">
        <v>2016</v>
      </c>
      <c r="K4886" s="21">
        <v>42681.542384259301</v>
      </c>
      <c r="L4886">
        <v>2016</v>
      </c>
      <c r="M4886" s="21">
        <v>43158.704733796301</v>
      </c>
      <c r="N4886">
        <v>2018</v>
      </c>
      <c r="Q4886" s="262">
        <v>185812</v>
      </c>
      <c r="R4886" s="262">
        <v>44000</v>
      </c>
      <c r="S4886" t="s">
        <v>114</v>
      </c>
      <c r="T4886" t="s">
        <v>114</v>
      </c>
      <c r="V4886">
        <v>516</v>
      </c>
      <c r="W4886">
        <v>0</v>
      </c>
      <c r="X4886">
        <v>0</v>
      </c>
      <c r="Y4886">
        <v>0</v>
      </c>
      <c r="Z4886">
        <v>0</v>
      </c>
      <c r="AA4886">
        <v>0</v>
      </c>
      <c r="AB4886">
        <v>0</v>
      </c>
      <c r="AC4886">
        <v>0</v>
      </c>
      <c r="AD4886">
        <v>0</v>
      </c>
      <c r="AE4886">
        <v>0</v>
      </c>
      <c r="AF4886">
        <v>0</v>
      </c>
      <c r="AG4886">
        <v>0</v>
      </c>
      <c r="AH4886">
        <v>0</v>
      </c>
      <c r="AI4886">
        <v>0</v>
      </c>
      <c r="AJ4886">
        <v>0</v>
      </c>
      <c r="AK4886">
        <v>0</v>
      </c>
      <c r="AL4886">
        <v>0</v>
      </c>
      <c r="AM4886">
        <v>0</v>
      </c>
      <c r="AN4886">
        <v>0</v>
      </c>
      <c r="AO4886">
        <v>0</v>
      </c>
      <c r="AP4886">
        <v>0</v>
      </c>
      <c r="AQ4886">
        <v>0</v>
      </c>
      <c r="AR4886">
        <v>0</v>
      </c>
      <c r="AS4886">
        <v>0</v>
      </c>
      <c r="AT4886">
        <v>0</v>
      </c>
      <c r="AU4886">
        <f t="shared" si="150"/>
        <v>0</v>
      </c>
      <c r="AV4886">
        <f t="shared" si="151"/>
        <v>0</v>
      </c>
    </row>
    <row r="4887" spans="1:48" x14ac:dyDescent="0.25">
      <c r="A4887" t="s">
        <v>17522</v>
      </c>
      <c r="B4887" t="s">
        <v>17522</v>
      </c>
      <c r="C4887" t="s">
        <v>17523</v>
      </c>
      <c r="D4887" t="s">
        <v>5200</v>
      </c>
      <c r="E4887" t="s">
        <v>2310</v>
      </c>
      <c r="F4887">
        <v>12</v>
      </c>
      <c r="G4887">
        <v>12.1</v>
      </c>
      <c r="H4887" t="s">
        <v>2327</v>
      </c>
      <c r="I4887" s="21">
        <v>42656.592905092592</v>
      </c>
      <c r="J4887">
        <v>2016</v>
      </c>
      <c r="K4887" s="21">
        <v>42809.367592592593</v>
      </c>
      <c r="L4887">
        <v>2017</v>
      </c>
      <c r="M4887" s="21">
        <v>42809.367592592593</v>
      </c>
      <c r="N4887">
        <v>2017</v>
      </c>
      <c r="Q4887" s="262">
        <v>50000</v>
      </c>
      <c r="R4887" s="262">
        <v>125000</v>
      </c>
      <c r="S4887" t="s">
        <v>13253</v>
      </c>
      <c r="T4887">
        <v>3861</v>
      </c>
      <c r="V4887">
        <v>1336</v>
      </c>
      <c r="W4887">
        <v>0</v>
      </c>
      <c r="X4887">
        <v>0</v>
      </c>
      <c r="Y4887">
        <v>0</v>
      </c>
      <c r="Z4887">
        <v>0</v>
      </c>
      <c r="AA4887">
        <v>0</v>
      </c>
      <c r="AB4887">
        <v>0</v>
      </c>
      <c r="AC4887">
        <v>0</v>
      </c>
      <c r="AD4887">
        <v>0</v>
      </c>
      <c r="AE4887">
        <v>0</v>
      </c>
      <c r="AF4887">
        <v>0</v>
      </c>
      <c r="AG4887">
        <v>0</v>
      </c>
      <c r="AH4887">
        <v>0</v>
      </c>
      <c r="AI4887">
        <v>0</v>
      </c>
      <c r="AJ4887">
        <v>-1336</v>
      </c>
      <c r="AK4887">
        <v>1336</v>
      </c>
      <c r="AL4887">
        <v>0</v>
      </c>
      <c r="AM4887">
        <v>0</v>
      </c>
      <c r="AN4887">
        <v>0</v>
      </c>
      <c r="AO4887">
        <v>0</v>
      </c>
      <c r="AP4887">
        <v>0</v>
      </c>
      <c r="AQ4887">
        <v>0</v>
      </c>
      <c r="AR4887">
        <v>0</v>
      </c>
      <c r="AS4887">
        <v>0</v>
      </c>
      <c r="AT4887">
        <v>0</v>
      </c>
      <c r="AU4887">
        <f t="shared" si="150"/>
        <v>0</v>
      </c>
      <c r="AV4887">
        <f t="shared" si="151"/>
        <v>0</v>
      </c>
    </row>
    <row r="4888" spans="1:48" x14ac:dyDescent="0.25">
      <c r="A4888" t="s">
        <v>19290</v>
      </c>
      <c r="B4888" t="s">
        <v>114</v>
      </c>
      <c r="C4888" t="s">
        <v>19291</v>
      </c>
      <c r="D4888" t="s">
        <v>19292</v>
      </c>
      <c r="E4888" t="s">
        <v>1663</v>
      </c>
      <c r="F4888">
        <v>2</v>
      </c>
      <c r="G4888">
        <v>2.2999999999999998</v>
      </c>
      <c r="H4888" t="s">
        <v>2327</v>
      </c>
      <c r="I4888" s="21">
        <v>42657</v>
      </c>
      <c r="J4888">
        <v>2016</v>
      </c>
      <c r="K4888" s="21">
        <v>42891</v>
      </c>
      <c r="L4888">
        <v>2017</v>
      </c>
      <c r="M4888" s="21">
        <v>43896</v>
      </c>
      <c r="N4888">
        <v>2020</v>
      </c>
      <c r="Q4888" s="262">
        <v>30300</v>
      </c>
      <c r="S4888" t="s">
        <v>13253</v>
      </c>
      <c r="T4888">
        <v>12707</v>
      </c>
      <c r="V4888">
        <v>6428</v>
      </c>
      <c r="W4888">
        <v>0</v>
      </c>
      <c r="X4888">
        <v>0</v>
      </c>
      <c r="Y4888">
        <v>0</v>
      </c>
      <c r="Z4888">
        <v>0</v>
      </c>
      <c r="AA4888">
        <v>0</v>
      </c>
      <c r="AB4888">
        <v>0</v>
      </c>
      <c r="AC4888">
        <v>0</v>
      </c>
      <c r="AD4888">
        <v>0</v>
      </c>
      <c r="AE4888">
        <v>6428</v>
      </c>
      <c r="AF4888">
        <v>0</v>
      </c>
      <c r="AG4888">
        <v>0</v>
      </c>
      <c r="AH4888">
        <v>0</v>
      </c>
      <c r="AI4888">
        <v>-6428</v>
      </c>
      <c r="AJ4888">
        <v>0</v>
      </c>
      <c r="AK4888">
        <v>0</v>
      </c>
      <c r="AL4888">
        <v>0</v>
      </c>
      <c r="AM4888">
        <v>0</v>
      </c>
      <c r="AN4888">
        <v>0</v>
      </c>
      <c r="AO4888">
        <v>0</v>
      </c>
      <c r="AP4888">
        <v>0</v>
      </c>
      <c r="AQ4888">
        <v>20</v>
      </c>
      <c r="AR4888">
        <v>0</v>
      </c>
      <c r="AS4888">
        <v>0</v>
      </c>
      <c r="AT4888">
        <v>-20</v>
      </c>
      <c r="AU4888">
        <f t="shared" si="150"/>
        <v>20</v>
      </c>
      <c r="AV4888">
        <f t="shared" si="151"/>
        <v>-6428</v>
      </c>
    </row>
    <row r="4889" spans="1:48" x14ac:dyDescent="0.25">
      <c r="A4889" t="s">
        <v>13431</v>
      </c>
      <c r="B4889" t="s">
        <v>13431</v>
      </c>
      <c r="C4889" t="s">
        <v>13432</v>
      </c>
      <c r="D4889" t="s">
        <v>11795</v>
      </c>
      <c r="E4889" t="s">
        <v>2310</v>
      </c>
      <c r="F4889">
        <v>13</v>
      </c>
      <c r="G4889">
        <v>13.1</v>
      </c>
      <c r="H4889" t="s">
        <v>2327</v>
      </c>
      <c r="I4889" s="21">
        <v>42657.458726851903</v>
      </c>
      <c r="J4889">
        <v>2016</v>
      </c>
      <c r="K4889" s="21">
        <v>42674.5343055556</v>
      </c>
      <c r="L4889">
        <v>2016</v>
      </c>
      <c r="M4889" s="21">
        <v>42716.469074074099</v>
      </c>
      <c r="N4889">
        <v>2016</v>
      </c>
      <c r="Q4889" s="262">
        <v>32000</v>
      </c>
      <c r="R4889" s="262">
        <v>29000</v>
      </c>
      <c r="S4889" t="s">
        <v>114</v>
      </c>
      <c r="T4889" t="s">
        <v>114</v>
      </c>
      <c r="V4889">
        <v>650</v>
      </c>
      <c r="W4889">
        <v>0</v>
      </c>
      <c r="X4889">
        <v>0</v>
      </c>
      <c r="Y4889">
        <v>0</v>
      </c>
      <c r="Z4889">
        <v>0</v>
      </c>
      <c r="AA4889">
        <v>0</v>
      </c>
      <c r="AB4889">
        <v>0</v>
      </c>
      <c r="AC4889">
        <v>0</v>
      </c>
      <c r="AD4889">
        <v>0</v>
      </c>
      <c r="AE4889">
        <v>0</v>
      </c>
      <c r="AF4889">
        <v>0</v>
      </c>
      <c r="AG4889">
        <v>0</v>
      </c>
      <c r="AH4889">
        <v>0</v>
      </c>
      <c r="AI4889">
        <v>0</v>
      </c>
      <c r="AJ4889">
        <v>0</v>
      </c>
      <c r="AK4889">
        <v>0</v>
      </c>
      <c r="AL4889">
        <v>0</v>
      </c>
      <c r="AM4889">
        <v>0</v>
      </c>
      <c r="AN4889">
        <v>0</v>
      </c>
      <c r="AO4889">
        <v>0</v>
      </c>
      <c r="AP4889">
        <v>0</v>
      </c>
      <c r="AQ4889">
        <v>0</v>
      </c>
      <c r="AR4889">
        <v>0</v>
      </c>
      <c r="AS4889">
        <v>0</v>
      </c>
      <c r="AT4889">
        <v>0</v>
      </c>
      <c r="AU4889">
        <f t="shared" ref="AU4889:AU4952" si="152">SUM(AN4889:AQ4889,AS4889)</f>
        <v>0</v>
      </c>
      <c r="AV4889">
        <f t="shared" ref="AV4889:AV4952" si="153">SUM(Y4889:AB4889,AH4889:AM4889)</f>
        <v>0</v>
      </c>
    </row>
    <row r="4890" spans="1:48" x14ac:dyDescent="0.25">
      <c r="A4890" t="s">
        <v>17708</v>
      </c>
      <c r="B4890" t="s">
        <v>17708</v>
      </c>
      <c r="C4890" t="s">
        <v>17709</v>
      </c>
      <c r="D4890" t="s">
        <v>17710</v>
      </c>
      <c r="E4890" t="s">
        <v>2310</v>
      </c>
      <c r="F4890">
        <v>10</v>
      </c>
      <c r="G4890">
        <v>10.1</v>
      </c>
      <c r="H4890" t="s">
        <v>2323</v>
      </c>
      <c r="I4890" s="21">
        <v>42661.478692129633</v>
      </c>
      <c r="J4890">
        <v>2016</v>
      </c>
      <c r="K4890" s="21">
        <v>42691.623020833336</v>
      </c>
      <c r="L4890">
        <v>2016</v>
      </c>
      <c r="M4890" s="21">
        <v>43145.37327546296</v>
      </c>
      <c r="N4890">
        <v>2018</v>
      </c>
      <c r="Q4890" s="262">
        <v>33000</v>
      </c>
      <c r="R4890" s="262">
        <v>46000</v>
      </c>
      <c r="S4890" t="s">
        <v>13253</v>
      </c>
      <c r="T4890">
        <v>1485</v>
      </c>
      <c r="W4890">
        <v>413</v>
      </c>
      <c r="X4890">
        <v>0</v>
      </c>
      <c r="Y4890">
        <v>0</v>
      </c>
      <c r="Z4890">
        <v>0</v>
      </c>
      <c r="AA4890">
        <v>0</v>
      </c>
      <c r="AB4890">
        <v>0</v>
      </c>
      <c r="AC4890">
        <v>413</v>
      </c>
      <c r="AD4890">
        <v>0</v>
      </c>
      <c r="AE4890">
        <v>0</v>
      </c>
      <c r="AF4890">
        <v>0</v>
      </c>
      <c r="AG4890">
        <v>0</v>
      </c>
      <c r="AH4890">
        <v>0</v>
      </c>
      <c r="AI4890">
        <v>0</v>
      </c>
      <c r="AJ4890">
        <v>0</v>
      </c>
      <c r="AK4890">
        <v>0</v>
      </c>
      <c r="AL4890">
        <v>0</v>
      </c>
      <c r="AM4890">
        <v>0</v>
      </c>
      <c r="AN4890">
        <v>0</v>
      </c>
      <c r="AO4890">
        <v>0</v>
      </c>
      <c r="AP4890">
        <v>0</v>
      </c>
      <c r="AQ4890">
        <v>0</v>
      </c>
      <c r="AR4890">
        <v>0</v>
      </c>
      <c r="AS4890">
        <v>0</v>
      </c>
      <c r="AT4890">
        <v>0</v>
      </c>
      <c r="AU4890">
        <f t="shared" si="152"/>
        <v>0</v>
      </c>
      <c r="AV4890">
        <f t="shared" si="153"/>
        <v>0</v>
      </c>
    </row>
    <row r="4891" spans="1:48" x14ac:dyDescent="0.25">
      <c r="A4891" t="s">
        <v>16628</v>
      </c>
      <c r="C4891" t="s">
        <v>15162</v>
      </c>
      <c r="D4891" t="s">
        <v>13510</v>
      </c>
      <c r="E4891" t="s">
        <v>1663</v>
      </c>
      <c r="F4891">
        <v>2</v>
      </c>
      <c r="G4891">
        <v>2.2999999999999998</v>
      </c>
      <c r="H4891" t="s">
        <v>2327</v>
      </c>
      <c r="I4891" s="21">
        <v>42662</v>
      </c>
      <c r="J4891">
        <v>2016</v>
      </c>
      <c r="K4891" s="21">
        <v>42703</v>
      </c>
      <c r="L4891">
        <v>2016</v>
      </c>
      <c r="M4891" s="21">
        <v>42907</v>
      </c>
      <c r="N4891">
        <v>2017</v>
      </c>
      <c r="Q4891" s="262">
        <v>50915</v>
      </c>
      <c r="S4891" t="s">
        <v>114</v>
      </c>
      <c r="T4891" t="s">
        <v>114</v>
      </c>
      <c r="W4891">
        <v>1560</v>
      </c>
      <c r="X4891">
        <v>0</v>
      </c>
      <c r="Y4891">
        <v>0</v>
      </c>
      <c r="Z4891">
        <v>0</v>
      </c>
      <c r="AA4891">
        <v>0</v>
      </c>
      <c r="AB4891">
        <v>0</v>
      </c>
      <c r="AC4891">
        <v>0</v>
      </c>
      <c r="AD4891">
        <v>0</v>
      </c>
      <c r="AE4891">
        <v>0</v>
      </c>
      <c r="AF4891">
        <v>0</v>
      </c>
      <c r="AG4891">
        <v>0</v>
      </c>
      <c r="AH4891">
        <v>0</v>
      </c>
      <c r="AI4891">
        <v>0</v>
      </c>
      <c r="AJ4891">
        <v>1560</v>
      </c>
      <c r="AK4891">
        <v>0</v>
      </c>
      <c r="AL4891">
        <v>0</v>
      </c>
      <c r="AM4891">
        <v>0</v>
      </c>
      <c r="AN4891">
        <v>0</v>
      </c>
      <c r="AO4891">
        <v>0</v>
      </c>
      <c r="AP4891">
        <v>0</v>
      </c>
      <c r="AQ4891">
        <v>0</v>
      </c>
      <c r="AR4891">
        <v>0</v>
      </c>
      <c r="AS4891">
        <v>0</v>
      </c>
      <c r="AT4891">
        <v>0</v>
      </c>
      <c r="AU4891">
        <f t="shared" si="152"/>
        <v>0</v>
      </c>
      <c r="AV4891">
        <f t="shared" si="153"/>
        <v>1560</v>
      </c>
    </row>
    <row r="4892" spans="1:48" x14ac:dyDescent="0.25">
      <c r="A4892" t="s">
        <v>18302</v>
      </c>
      <c r="B4892" t="s">
        <v>18302</v>
      </c>
      <c r="C4892" t="s">
        <v>18303</v>
      </c>
      <c r="D4892" t="s">
        <v>17590</v>
      </c>
      <c r="E4892" t="s">
        <v>2310</v>
      </c>
      <c r="F4892">
        <v>9</v>
      </c>
      <c r="G4892">
        <v>9.1999999999999993</v>
      </c>
      <c r="H4892" t="s">
        <v>2022</v>
      </c>
      <c r="I4892" s="21">
        <v>42662.432581018518</v>
      </c>
      <c r="J4892">
        <v>2016</v>
      </c>
      <c r="K4892" s="21">
        <v>42709.55332175926</v>
      </c>
      <c r="L4892">
        <v>2016</v>
      </c>
      <c r="M4892" s="21">
        <v>43367.387160613427</v>
      </c>
      <c r="N4892">
        <v>2018</v>
      </c>
      <c r="Q4892" s="262">
        <v>700000</v>
      </c>
      <c r="R4892" s="262">
        <v>112000</v>
      </c>
      <c r="S4892" t="s">
        <v>13254</v>
      </c>
      <c r="W4892">
        <v>987</v>
      </c>
      <c r="X4892">
        <v>1</v>
      </c>
      <c r="Y4892">
        <v>0</v>
      </c>
      <c r="Z4892">
        <v>0</v>
      </c>
      <c r="AA4892">
        <v>0</v>
      </c>
      <c r="AB4892">
        <v>0</v>
      </c>
      <c r="AC4892">
        <v>0</v>
      </c>
      <c r="AD4892">
        <v>0</v>
      </c>
      <c r="AE4892">
        <v>0</v>
      </c>
      <c r="AF4892">
        <v>987</v>
      </c>
      <c r="AG4892">
        <v>0</v>
      </c>
      <c r="AH4892">
        <v>0</v>
      </c>
      <c r="AI4892">
        <v>0</v>
      </c>
      <c r="AJ4892">
        <v>0</v>
      </c>
      <c r="AK4892">
        <v>0</v>
      </c>
      <c r="AL4892">
        <v>0</v>
      </c>
      <c r="AM4892">
        <v>0</v>
      </c>
      <c r="AN4892">
        <v>0</v>
      </c>
      <c r="AO4892">
        <v>0</v>
      </c>
      <c r="AP4892">
        <v>0</v>
      </c>
      <c r="AQ4892">
        <v>0</v>
      </c>
      <c r="AR4892">
        <v>1</v>
      </c>
      <c r="AS4892">
        <v>0</v>
      </c>
      <c r="AT4892">
        <v>0</v>
      </c>
      <c r="AU4892">
        <f t="shared" si="152"/>
        <v>0</v>
      </c>
      <c r="AV4892">
        <f t="shared" si="153"/>
        <v>0</v>
      </c>
    </row>
    <row r="4893" spans="1:48" x14ac:dyDescent="0.25">
      <c r="A4893" t="s">
        <v>17987</v>
      </c>
      <c r="B4893" t="s">
        <v>17987</v>
      </c>
      <c r="C4893" t="s">
        <v>17988</v>
      </c>
      <c r="D4893" t="s">
        <v>17989</v>
      </c>
      <c r="E4893" t="s">
        <v>2310</v>
      </c>
      <c r="F4893">
        <v>13</v>
      </c>
      <c r="G4893">
        <v>13.2</v>
      </c>
      <c r="H4893" t="s">
        <v>2327</v>
      </c>
      <c r="I4893" s="21">
        <v>42662.55164351852</v>
      </c>
      <c r="J4893">
        <v>2016</v>
      </c>
      <c r="K4893" s="21">
        <v>42711.665937500002</v>
      </c>
      <c r="L4893">
        <v>2016</v>
      </c>
      <c r="M4893" s="21">
        <v>43160.355023148149</v>
      </c>
      <c r="N4893">
        <v>2018</v>
      </c>
      <c r="Q4893" s="262">
        <v>3500000</v>
      </c>
      <c r="R4893" s="262">
        <v>966000</v>
      </c>
      <c r="S4893" t="s">
        <v>13254</v>
      </c>
      <c r="W4893">
        <v>6893</v>
      </c>
      <c r="X4893">
        <v>1</v>
      </c>
      <c r="Y4893">
        <v>0</v>
      </c>
      <c r="Z4893">
        <v>0</v>
      </c>
      <c r="AA4893">
        <v>0</v>
      </c>
      <c r="AB4893">
        <v>0</v>
      </c>
      <c r="AC4893">
        <v>6893</v>
      </c>
      <c r="AD4893">
        <v>0</v>
      </c>
      <c r="AE4893">
        <v>0</v>
      </c>
      <c r="AF4893">
        <v>0</v>
      </c>
      <c r="AG4893">
        <v>0</v>
      </c>
      <c r="AH4893">
        <v>0</v>
      </c>
      <c r="AI4893">
        <v>0</v>
      </c>
      <c r="AJ4893">
        <v>0</v>
      </c>
      <c r="AK4893">
        <v>0</v>
      </c>
      <c r="AL4893">
        <v>0</v>
      </c>
      <c r="AM4893">
        <v>0</v>
      </c>
      <c r="AN4893">
        <v>0</v>
      </c>
      <c r="AO4893">
        <v>1</v>
      </c>
      <c r="AP4893">
        <v>0</v>
      </c>
      <c r="AQ4893">
        <v>0</v>
      </c>
      <c r="AR4893">
        <v>0</v>
      </c>
      <c r="AS4893">
        <v>0</v>
      </c>
      <c r="AT4893">
        <v>0</v>
      </c>
      <c r="AU4893">
        <f t="shared" si="152"/>
        <v>1</v>
      </c>
      <c r="AV4893">
        <f t="shared" si="153"/>
        <v>0</v>
      </c>
    </row>
    <row r="4894" spans="1:48" x14ac:dyDescent="0.25">
      <c r="A4894" t="s">
        <v>17394</v>
      </c>
      <c r="C4894" t="s">
        <v>11879</v>
      </c>
      <c r="D4894" t="s">
        <v>13501</v>
      </c>
      <c r="E4894" t="s">
        <v>1663</v>
      </c>
      <c r="F4894">
        <v>1</v>
      </c>
      <c r="G4894">
        <v>1.2</v>
      </c>
      <c r="H4894" t="s">
        <v>2017</v>
      </c>
      <c r="I4894" s="21">
        <v>42663</v>
      </c>
      <c r="J4894">
        <v>2016</v>
      </c>
      <c r="K4894" s="21">
        <v>42787</v>
      </c>
      <c r="L4894">
        <v>2017</v>
      </c>
      <c r="M4894" s="21">
        <v>42993</v>
      </c>
      <c r="N4894">
        <v>2017</v>
      </c>
      <c r="Q4894" s="262">
        <v>650000</v>
      </c>
      <c r="S4894" t="s">
        <v>114</v>
      </c>
      <c r="T4894" t="s">
        <v>114</v>
      </c>
      <c r="V4894">
        <v>6849</v>
      </c>
      <c r="W4894">
        <v>0</v>
      </c>
      <c r="X4894">
        <v>0</v>
      </c>
      <c r="Y4894">
        <v>0</v>
      </c>
      <c r="Z4894">
        <v>0</v>
      </c>
      <c r="AA4894">
        <v>0</v>
      </c>
      <c r="AB4894">
        <v>0</v>
      </c>
      <c r="AC4894">
        <v>0</v>
      </c>
      <c r="AD4894">
        <v>0</v>
      </c>
      <c r="AE4894">
        <v>0</v>
      </c>
      <c r="AF4894">
        <v>0</v>
      </c>
      <c r="AG4894">
        <v>0</v>
      </c>
      <c r="AH4894">
        <v>0</v>
      </c>
      <c r="AI4894">
        <v>0</v>
      </c>
      <c r="AJ4894">
        <v>0</v>
      </c>
      <c r="AK4894">
        <v>0</v>
      </c>
      <c r="AL4894">
        <v>0</v>
      </c>
      <c r="AM4894">
        <v>0</v>
      </c>
      <c r="AN4894">
        <v>0</v>
      </c>
      <c r="AO4894">
        <v>0</v>
      </c>
      <c r="AP4894">
        <v>0</v>
      </c>
      <c r="AQ4894">
        <v>0</v>
      </c>
      <c r="AR4894">
        <v>0</v>
      </c>
      <c r="AS4894">
        <v>0</v>
      </c>
      <c r="AT4894">
        <v>0</v>
      </c>
      <c r="AU4894">
        <f t="shared" si="152"/>
        <v>0</v>
      </c>
      <c r="AV4894">
        <f t="shared" si="153"/>
        <v>0</v>
      </c>
    </row>
    <row r="4895" spans="1:48" x14ac:dyDescent="0.25">
      <c r="A4895" t="s">
        <v>17524</v>
      </c>
      <c r="B4895" t="s">
        <v>17524</v>
      </c>
      <c r="C4895" t="s">
        <v>17525</v>
      </c>
      <c r="D4895" t="s">
        <v>17526</v>
      </c>
      <c r="E4895" t="s">
        <v>2310</v>
      </c>
      <c r="F4895">
        <v>13</v>
      </c>
      <c r="G4895">
        <v>13.1</v>
      </c>
      <c r="H4895" t="s">
        <v>2327</v>
      </c>
      <c r="I4895" s="21">
        <v>42664.431203703702</v>
      </c>
      <c r="J4895">
        <v>2016</v>
      </c>
      <c r="K4895" s="21">
        <v>43027.4674884259</v>
      </c>
      <c r="L4895">
        <v>2017</v>
      </c>
      <c r="M4895" s="21">
        <v>43027.4674884259</v>
      </c>
      <c r="N4895">
        <v>2017</v>
      </c>
      <c r="Q4895" s="262">
        <v>15000</v>
      </c>
      <c r="R4895" s="262">
        <v>14000</v>
      </c>
      <c r="S4895" t="s">
        <v>114</v>
      </c>
      <c r="T4895" t="s">
        <v>114</v>
      </c>
      <c r="V4895">
        <v>150</v>
      </c>
      <c r="W4895">
        <v>0</v>
      </c>
      <c r="X4895">
        <v>0</v>
      </c>
      <c r="Y4895">
        <v>0</v>
      </c>
      <c r="Z4895">
        <v>0</v>
      </c>
      <c r="AA4895">
        <v>0</v>
      </c>
      <c r="AB4895">
        <v>0</v>
      </c>
      <c r="AC4895">
        <v>0</v>
      </c>
      <c r="AD4895">
        <v>0</v>
      </c>
      <c r="AE4895">
        <v>0</v>
      </c>
      <c r="AF4895">
        <v>0</v>
      </c>
      <c r="AG4895">
        <v>0</v>
      </c>
      <c r="AH4895">
        <v>0</v>
      </c>
      <c r="AI4895">
        <v>0</v>
      </c>
      <c r="AJ4895">
        <v>0</v>
      </c>
      <c r="AK4895">
        <v>0</v>
      </c>
      <c r="AL4895">
        <v>0</v>
      </c>
      <c r="AM4895">
        <v>0</v>
      </c>
      <c r="AN4895">
        <v>0</v>
      </c>
      <c r="AO4895">
        <v>0</v>
      </c>
      <c r="AP4895">
        <v>0</v>
      </c>
      <c r="AQ4895">
        <v>0</v>
      </c>
      <c r="AR4895">
        <v>0</v>
      </c>
      <c r="AS4895">
        <v>0</v>
      </c>
      <c r="AT4895">
        <v>0</v>
      </c>
      <c r="AU4895">
        <f t="shared" si="152"/>
        <v>0</v>
      </c>
      <c r="AV4895">
        <f t="shared" si="153"/>
        <v>0</v>
      </c>
    </row>
    <row r="4896" spans="1:48" x14ac:dyDescent="0.25">
      <c r="A4896" t="s">
        <v>18160</v>
      </c>
      <c r="B4896" t="s">
        <v>18160</v>
      </c>
      <c r="C4896" t="s">
        <v>18161</v>
      </c>
      <c r="D4896" t="s">
        <v>18162</v>
      </c>
      <c r="E4896" t="s">
        <v>2310</v>
      </c>
      <c r="F4896">
        <v>9</v>
      </c>
      <c r="G4896">
        <v>9.1999999999999993</v>
      </c>
      <c r="H4896" t="s">
        <v>2022</v>
      </c>
      <c r="I4896" s="21">
        <v>42669.461817129632</v>
      </c>
      <c r="J4896">
        <v>2016</v>
      </c>
      <c r="K4896" s="21">
        <v>42837.484398148146</v>
      </c>
      <c r="L4896">
        <v>2017</v>
      </c>
      <c r="M4896" s="21">
        <v>43298.47731736111</v>
      </c>
      <c r="N4896">
        <v>2018</v>
      </c>
      <c r="Q4896" s="262">
        <v>3850000</v>
      </c>
      <c r="R4896" s="262">
        <v>1428000</v>
      </c>
      <c r="S4896" t="s">
        <v>13254</v>
      </c>
      <c r="W4896">
        <v>9498</v>
      </c>
      <c r="X4896">
        <v>1</v>
      </c>
      <c r="Y4896">
        <v>0</v>
      </c>
      <c r="Z4896">
        <v>0</v>
      </c>
      <c r="AA4896">
        <v>0</v>
      </c>
      <c r="AB4896">
        <v>0</v>
      </c>
      <c r="AC4896">
        <v>9498</v>
      </c>
      <c r="AD4896">
        <v>0</v>
      </c>
      <c r="AE4896">
        <v>0</v>
      </c>
      <c r="AF4896">
        <v>0</v>
      </c>
      <c r="AG4896">
        <v>0</v>
      </c>
      <c r="AH4896">
        <v>0</v>
      </c>
      <c r="AI4896">
        <v>0</v>
      </c>
      <c r="AJ4896">
        <v>0</v>
      </c>
      <c r="AK4896">
        <v>0</v>
      </c>
      <c r="AL4896">
        <v>0</v>
      </c>
      <c r="AM4896">
        <v>0</v>
      </c>
      <c r="AN4896">
        <v>0</v>
      </c>
      <c r="AO4896">
        <v>1</v>
      </c>
      <c r="AP4896">
        <v>0</v>
      </c>
      <c r="AQ4896">
        <v>0</v>
      </c>
      <c r="AR4896">
        <v>0</v>
      </c>
      <c r="AS4896">
        <v>0</v>
      </c>
      <c r="AT4896">
        <v>0</v>
      </c>
      <c r="AU4896">
        <f t="shared" si="152"/>
        <v>1</v>
      </c>
      <c r="AV4896">
        <f t="shared" si="153"/>
        <v>0</v>
      </c>
    </row>
    <row r="4897" spans="1:48" x14ac:dyDescent="0.25">
      <c r="A4897" t="s">
        <v>19484</v>
      </c>
      <c r="B4897" t="s">
        <v>19484</v>
      </c>
      <c r="C4897" t="s">
        <v>19485</v>
      </c>
      <c r="D4897" t="s">
        <v>19315</v>
      </c>
      <c r="E4897" t="s">
        <v>2310</v>
      </c>
      <c r="F4897">
        <v>8</v>
      </c>
      <c r="G4897">
        <v>8.1999999999999993</v>
      </c>
      <c r="H4897" t="s">
        <v>2022</v>
      </c>
      <c r="I4897" s="21">
        <v>42670.472916666666</v>
      </c>
      <c r="J4897">
        <v>2016</v>
      </c>
      <c r="K4897" s="21">
        <v>42780.482789351852</v>
      </c>
      <c r="L4897">
        <v>2017</v>
      </c>
      <c r="M4897" s="21">
        <v>44057.340375462962</v>
      </c>
      <c r="N4897">
        <v>2020</v>
      </c>
      <c r="Q4897" s="262">
        <v>5400300</v>
      </c>
      <c r="R4897" s="262">
        <v>2072000</v>
      </c>
      <c r="S4897" t="s">
        <v>13254</v>
      </c>
      <c r="W4897">
        <v>11225</v>
      </c>
      <c r="X4897">
        <v>1</v>
      </c>
      <c r="Y4897">
        <v>0</v>
      </c>
      <c r="Z4897">
        <v>0</v>
      </c>
      <c r="AA4897">
        <v>0</v>
      </c>
      <c r="AB4897">
        <v>0</v>
      </c>
      <c r="AC4897">
        <v>11225</v>
      </c>
      <c r="AD4897">
        <v>0</v>
      </c>
      <c r="AE4897">
        <v>0</v>
      </c>
      <c r="AF4897">
        <v>0</v>
      </c>
      <c r="AG4897">
        <v>0</v>
      </c>
      <c r="AH4897">
        <v>0</v>
      </c>
      <c r="AI4897">
        <v>0</v>
      </c>
      <c r="AJ4897">
        <v>0</v>
      </c>
      <c r="AK4897">
        <v>0</v>
      </c>
      <c r="AL4897">
        <v>0</v>
      </c>
      <c r="AM4897">
        <v>0</v>
      </c>
      <c r="AN4897">
        <v>0</v>
      </c>
      <c r="AO4897">
        <v>1</v>
      </c>
      <c r="AP4897">
        <v>0</v>
      </c>
      <c r="AQ4897">
        <v>0</v>
      </c>
      <c r="AR4897">
        <v>0</v>
      </c>
      <c r="AS4897">
        <v>0</v>
      </c>
      <c r="AT4897">
        <v>0</v>
      </c>
      <c r="AU4897">
        <f t="shared" si="152"/>
        <v>1</v>
      </c>
      <c r="AV4897">
        <f t="shared" si="153"/>
        <v>0</v>
      </c>
    </row>
    <row r="4898" spans="1:48" x14ac:dyDescent="0.25">
      <c r="A4898" t="s">
        <v>19391</v>
      </c>
      <c r="B4898" t="s">
        <v>19391</v>
      </c>
      <c r="C4898" t="s">
        <v>13256</v>
      </c>
      <c r="D4898" t="s">
        <v>19315</v>
      </c>
      <c r="E4898" t="s">
        <v>2310</v>
      </c>
      <c r="F4898">
        <v>8</v>
      </c>
      <c r="G4898">
        <v>8.1999999999999993</v>
      </c>
      <c r="H4898" t="s">
        <v>2022</v>
      </c>
      <c r="I4898" s="21">
        <v>42670.498888888891</v>
      </c>
      <c r="J4898">
        <v>2016</v>
      </c>
      <c r="K4898" s="21">
        <v>42780.484629629631</v>
      </c>
      <c r="L4898">
        <v>2017</v>
      </c>
      <c r="M4898" s="21">
        <v>44007.3458034375</v>
      </c>
      <c r="N4898">
        <v>2020</v>
      </c>
      <c r="Q4898" s="262">
        <v>230000</v>
      </c>
      <c r="R4898" s="262">
        <v>58000</v>
      </c>
      <c r="S4898" t="s">
        <v>13254</v>
      </c>
      <c r="W4898">
        <v>1324</v>
      </c>
      <c r="X4898">
        <v>0</v>
      </c>
      <c r="Y4898">
        <v>0</v>
      </c>
      <c r="Z4898">
        <v>0</v>
      </c>
      <c r="AA4898">
        <v>0</v>
      </c>
      <c r="AB4898">
        <v>0</v>
      </c>
      <c r="AC4898">
        <v>1324</v>
      </c>
      <c r="AD4898">
        <v>0</v>
      </c>
      <c r="AE4898">
        <v>0</v>
      </c>
      <c r="AF4898">
        <v>0</v>
      </c>
      <c r="AG4898">
        <v>0</v>
      </c>
      <c r="AH4898">
        <v>0</v>
      </c>
      <c r="AI4898">
        <v>0</v>
      </c>
      <c r="AJ4898">
        <v>0</v>
      </c>
      <c r="AK4898">
        <v>0</v>
      </c>
      <c r="AL4898">
        <v>0</v>
      </c>
      <c r="AM4898">
        <v>0</v>
      </c>
      <c r="AN4898">
        <v>0</v>
      </c>
      <c r="AO4898">
        <v>0</v>
      </c>
      <c r="AP4898">
        <v>0</v>
      </c>
      <c r="AQ4898">
        <v>0</v>
      </c>
      <c r="AR4898">
        <v>0</v>
      </c>
      <c r="AS4898">
        <v>0</v>
      </c>
      <c r="AT4898">
        <v>0</v>
      </c>
      <c r="AU4898">
        <f t="shared" si="152"/>
        <v>0</v>
      </c>
      <c r="AV4898">
        <f t="shared" si="153"/>
        <v>0</v>
      </c>
    </row>
    <row r="4899" spans="1:48" x14ac:dyDescent="0.25">
      <c r="A4899" t="s">
        <v>19389</v>
      </c>
      <c r="B4899" t="s">
        <v>19389</v>
      </c>
      <c r="C4899" t="s">
        <v>19390</v>
      </c>
      <c r="D4899" t="s">
        <v>19315</v>
      </c>
      <c r="E4899" t="s">
        <v>2310</v>
      </c>
      <c r="F4899">
        <v>8</v>
      </c>
      <c r="G4899">
        <v>8.1999999999999993</v>
      </c>
      <c r="H4899" t="s">
        <v>2022</v>
      </c>
      <c r="I4899" s="21">
        <v>42670.518483796295</v>
      </c>
      <c r="J4899">
        <v>2016</v>
      </c>
      <c r="K4899" s="21">
        <v>42780.486111111109</v>
      </c>
      <c r="L4899">
        <v>2017</v>
      </c>
      <c r="M4899" s="21">
        <v>44007.344423958333</v>
      </c>
      <c r="N4899">
        <v>2020</v>
      </c>
      <c r="Q4899" s="262">
        <v>145000</v>
      </c>
      <c r="R4899" s="262">
        <v>51000</v>
      </c>
      <c r="S4899" t="s">
        <v>13254</v>
      </c>
      <c r="W4899">
        <v>1158</v>
      </c>
      <c r="X4899">
        <v>0</v>
      </c>
      <c r="Y4899">
        <v>0</v>
      </c>
      <c r="Z4899">
        <v>0</v>
      </c>
      <c r="AA4899">
        <v>0</v>
      </c>
      <c r="AB4899">
        <v>0</v>
      </c>
      <c r="AC4899">
        <v>1158</v>
      </c>
      <c r="AD4899">
        <v>0</v>
      </c>
      <c r="AE4899">
        <v>0</v>
      </c>
      <c r="AF4899">
        <v>0</v>
      </c>
      <c r="AG4899">
        <v>0</v>
      </c>
      <c r="AH4899">
        <v>0</v>
      </c>
      <c r="AI4899">
        <v>0</v>
      </c>
      <c r="AJ4899">
        <v>0</v>
      </c>
      <c r="AK4899">
        <v>0</v>
      </c>
      <c r="AL4899">
        <v>0</v>
      </c>
      <c r="AM4899">
        <v>0</v>
      </c>
      <c r="AN4899">
        <v>0</v>
      </c>
      <c r="AO4899">
        <v>0</v>
      </c>
      <c r="AP4899">
        <v>0</v>
      </c>
      <c r="AQ4899">
        <v>0</v>
      </c>
      <c r="AR4899">
        <v>0</v>
      </c>
      <c r="AS4899">
        <v>0</v>
      </c>
      <c r="AT4899">
        <v>0</v>
      </c>
      <c r="AU4899">
        <f t="shared" si="152"/>
        <v>0</v>
      </c>
      <c r="AV4899">
        <f t="shared" si="153"/>
        <v>0</v>
      </c>
    </row>
    <row r="4900" spans="1:48" x14ac:dyDescent="0.25">
      <c r="A4900" t="s">
        <v>19363</v>
      </c>
      <c r="B4900" t="s">
        <v>19363</v>
      </c>
      <c r="C4900" t="s">
        <v>13284</v>
      </c>
      <c r="D4900" t="s">
        <v>19315</v>
      </c>
      <c r="E4900" t="s">
        <v>2310</v>
      </c>
      <c r="F4900">
        <v>8</v>
      </c>
      <c r="G4900">
        <v>8.1999999999999993</v>
      </c>
      <c r="H4900" t="s">
        <v>2022</v>
      </c>
      <c r="I4900" s="21">
        <v>42670.524745370371</v>
      </c>
      <c r="J4900">
        <v>2016</v>
      </c>
      <c r="K4900" s="21">
        <v>42780.487650462965</v>
      </c>
      <c r="L4900">
        <v>2017</v>
      </c>
      <c r="M4900" s="21">
        <v>43998.417355636571</v>
      </c>
      <c r="N4900">
        <v>2020</v>
      </c>
      <c r="Q4900" s="262">
        <v>750000</v>
      </c>
      <c r="R4900" s="262">
        <v>218000</v>
      </c>
      <c r="S4900" t="s">
        <v>13254</v>
      </c>
      <c r="W4900">
        <v>4176</v>
      </c>
      <c r="X4900">
        <v>0</v>
      </c>
      <c r="Y4900">
        <v>0</v>
      </c>
      <c r="Z4900">
        <v>0</v>
      </c>
      <c r="AA4900">
        <v>0</v>
      </c>
      <c r="AB4900">
        <v>0</v>
      </c>
      <c r="AC4900">
        <v>4176</v>
      </c>
      <c r="AD4900">
        <v>0</v>
      </c>
      <c r="AE4900">
        <v>0</v>
      </c>
      <c r="AF4900">
        <v>0</v>
      </c>
      <c r="AG4900">
        <v>0</v>
      </c>
      <c r="AH4900">
        <v>0</v>
      </c>
      <c r="AI4900">
        <v>0</v>
      </c>
      <c r="AJ4900">
        <v>0</v>
      </c>
      <c r="AK4900">
        <v>0</v>
      </c>
      <c r="AL4900">
        <v>0</v>
      </c>
      <c r="AM4900">
        <v>0</v>
      </c>
      <c r="AN4900">
        <v>0</v>
      </c>
      <c r="AO4900">
        <v>0</v>
      </c>
      <c r="AP4900">
        <v>0</v>
      </c>
      <c r="AQ4900">
        <v>0</v>
      </c>
      <c r="AR4900">
        <v>0</v>
      </c>
      <c r="AS4900">
        <v>0</v>
      </c>
      <c r="AT4900">
        <v>0</v>
      </c>
      <c r="AU4900">
        <f t="shared" si="152"/>
        <v>0</v>
      </c>
      <c r="AV4900">
        <f t="shared" si="153"/>
        <v>0</v>
      </c>
    </row>
    <row r="4901" spans="1:48" x14ac:dyDescent="0.25">
      <c r="A4901" t="s">
        <v>19313</v>
      </c>
      <c r="B4901" t="s">
        <v>19313</v>
      </c>
      <c r="C4901" t="s">
        <v>19314</v>
      </c>
      <c r="D4901" t="s">
        <v>19315</v>
      </c>
      <c r="E4901" t="s">
        <v>2310</v>
      </c>
      <c r="F4901">
        <v>8</v>
      </c>
      <c r="G4901">
        <v>8.1999999999999993</v>
      </c>
      <c r="H4901" t="s">
        <v>2022</v>
      </c>
      <c r="I4901" s="21">
        <v>42670.531400462962</v>
      </c>
      <c r="J4901">
        <v>2016</v>
      </c>
      <c r="K4901" s="21">
        <v>42780.489351851851</v>
      </c>
      <c r="L4901">
        <v>2017</v>
      </c>
      <c r="M4901" s="21">
        <v>43950.634393946762</v>
      </c>
      <c r="N4901">
        <v>2020</v>
      </c>
      <c r="Q4901" s="262">
        <v>350000</v>
      </c>
      <c r="R4901" s="262">
        <v>113000</v>
      </c>
      <c r="S4901" t="s">
        <v>13254</v>
      </c>
      <c r="W4901">
        <v>998</v>
      </c>
      <c r="X4901">
        <v>1</v>
      </c>
      <c r="Y4901">
        <v>0</v>
      </c>
      <c r="Z4901">
        <v>0</v>
      </c>
      <c r="AA4901">
        <v>0</v>
      </c>
      <c r="AB4901">
        <v>0</v>
      </c>
      <c r="AC4901">
        <v>0</v>
      </c>
      <c r="AD4901">
        <v>0</v>
      </c>
      <c r="AE4901">
        <v>0</v>
      </c>
      <c r="AF4901">
        <v>998</v>
      </c>
      <c r="AG4901">
        <v>0</v>
      </c>
      <c r="AH4901">
        <v>0</v>
      </c>
      <c r="AI4901">
        <v>0</v>
      </c>
      <c r="AJ4901">
        <v>0</v>
      </c>
      <c r="AK4901">
        <v>0</v>
      </c>
      <c r="AL4901">
        <v>0</v>
      </c>
      <c r="AM4901">
        <v>0</v>
      </c>
      <c r="AN4901">
        <v>0</v>
      </c>
      <c r="AO4901">
        <v>0</v>
      </c>
      <c r="AP4901">
        <v>0</v>
      </c>
      <c r="AQ4901">
        <v>0</v>
      </c>
      <c r="AR4901">
        <v>1</v>
      </c>
      <c r="AS4901">
        <v>0</v>
      </c>
      <c r="AT4901">
        <v>0</v>
      </c>
      <c r="AU4901">
        <f t="shared" si="152"/>
        <v>0</v>
      </c>
      <c r="AV4901">
        <f t="shared" si="153"/>
        <v>0</v>
      </c>
    </row>
    <row r="4902" spans="1:48" x14ac:dyDescent="0.25">
      <c r="A4902" t="s">
        <v>18685</v>
      </c>
      <c r="B4902" t="s">
        <v>18685</v>
      </c>
      <c r="C4902" t="s">
        <v>18686</v>
      </c>
      <c r="D4902" t="s">
        <v>18687</v>
      </c>
      <c r="E4902" t="s">
        <v>2310</v>
      </c>
      <c r="F4902">
        <v>13</v>
      </c>
      <c r="G4902">
        <v>13.2</v>
      </c>
      <c r="H4902" t="s">
        <v>2327</v>
      </c>
      <c r="I4902" s="21">
        <v>42670.565682870372</v>
      </c>
      <c r="J4902">
        <v>2016</v>
      </c>
      <c r="K4902" s="21">
        <v>42738.564155092594</v>
      </c>
      <c r="L4902">
        <v>2017</v>
      </c>
      <c r="M4902" s="21">
        <v>43616.548030011574</v>
      </c>
      <c r="N4902">
        <v>2019</v>
      </c>
      <c r="Q4902" s="262">
        <v>8191768</v>
      </c>
      <c r="R4902" s="262">
        <v>1204000</v>
      </c>
      <c r="S4902" t="s">
        <v>13254</v>
      </c>
      <c r="W4902">
        <v>8478</v>
      </c>
      <c r="X4902">
        <v>1</v>
      </c>
      <c r="Y4902">
        <v>0</v>
      </c>
      <c r="Z4902">
        <v>0</v>
      </c>
      <c r="AA4902">
        <v>0</v>
      </c>
      <c r="AB4902">
        <v>0</v>
      </c>
      <c r="AC4902">
        <v>8478</v>
      </c>
      <c r="AD4902">
        <v>0</v>
      </c>
      <c r="AE4902">
        <v>0</v>
      </c>
      <c r="AF4902">
        <v>0</v>
      </c>
      <c r="AG4902">
        <v>0</v>
      </c>
      <c r="AH4902">
        <v>0</v>
      </c>
      <c r="AI4902">
        <v>0</v>
      </c>
      <c r="AJ4902">
        <v>0</v>
      </c>
      <c r="AK4902">
        <v>0</v>
      </c>
      <c r="AL4902">
        <v>0</v>
      </c>
      <c r="AM4902">
        <v>0</v>
      </c>
      <c r="AN4902">
        <v>0</v>
      </c>
      <c r="AO4902">
        <v>1</v>
      </c>
      <c r="AP4902">
        <v>0</v>
      </c>
      <c r="AQ4902">
        <v>0</v>
      </c>
      <c r="AR4902">
        <v>0</v>
      </c>
      <c r="AS4902">
        <v>0</v>
      </c>
      <c r="AT4902">
        <v>0</v>
      </c>
      <c r="AU4902">
        <f t="shared" si="152"/>
        <v>1</v>
      </c>
      <c r="AV4902">
        <f t="shared" si="153"/>
        <v>0</v>
      </c>
    </row>
    <row r="4903" spans="1:48" x14ac:dyDescent="0.25">
      <c r="A4903" t="s">
        <v>18109</v>
      </c>
      <c r="B4903" t="s">
        <v>18109</v>
      </c>
      <c r="C4903" t="s">
        <v>18110</v>
      </c>
      <c r="D4903" t="s">
        <v>18111</v>
      </c>
      <c r="E4903" t="s">
        <v>2310</v>
      </c>
      <c r="F4903">
        <v>13</v>
      </c>
      <c r="G4903">
        <v>13.2</v>
      </c>
      <c r="H4903" t="s">
        <v>2327</v>
      </c>
      <c r="I4903" s="21">
        <v>42670.589155092595</v>
      </c>
      <c r="J4903">
        <v>2016</v>
      </c>
      <c r="K4903" s="21">
        <v>42740.685659722221</v>
      </c>
      <c r="L4903">
        <v>2017</v>
      </c>
      <c r="M4903" s="21">
        <v>43262.426145682868</v>
      </c>
      <c r="N4903">
        <v>2018</v>
      </c>
      <c r="Q4903" s="262">
        <v>1600000</v>
      </c>
      <c r="R4903" s="262">
        <v>587000</v>
      </c>
      <c r="S4903" t="s">
        <v>13254</v>
      </c>
      <c r="W4903">
        <v>4711</v>
      </c>
      <c r="X4903">
        <v>1</v>
      </c>
      <c r="Y4903">
        <v>0</v>
      </c>
      <c r="Z4903">
        <v>0</v>
      </c>
      <c r="AA4903">
        <v>0</v>
      </c>
      <c r="AB4903">
        <v>0</v>
      </c>
      <c r="AC4903">
        <v>4711</v>
      </c>
      <c r="AD4903">
        <v>0</v>
      </c>
      <c r="AE4903">
        <v>0</v>
      </c>
      <c r="AF4903">
        <v>0</v>
      </c>
      <c r="AG4903">
        <v>0</v>
      </c>
      <c r="AH4903">
        <v>0</v>
      </c>
      <c r="AI4903">
        <v>0</v>
      </c>
      <c r="AJ4903">
        <v>0</v>
      </c>
      <c r="AK4903">
        <v>0</v>
      </c>
      <c r="AL4903">
        <v>0</v>
      </c>
      <c r="AM4903">
        <v>0</v>
      </c>
      <c r="AN4903">
        <v>0</v>
      </c>
      <c r="AO4903">
        <v>1</v>
      </c>
      <c r="AP4903">
        <v>0</v>
      </c>
      <c r="AQ4903">
        <v>0</v>
      </c>
      <c r="AR4903">
        <v>0</v>
      </c>
      <c r="AS4903">
        <v>0</v>
      </c>
      <c r="AT4903">
        <v>0</v>
      </c>
      <c r="AU4903">
        <f t="shared" si="152"/>
        <v>1</v>
      </c>
      <c r="AV4903">
        <f t="shared" si="153"/>
        <v>0</v>
      </c>
    </row>
    <row r="4904" spans="1:48" x14ac:dyDescent="0.25">
      <c r="A4904" t="s">
        <v>18112</v>
      </c>
      <c r="B4904" t="s">
        <v>18112</v>
      </c>
      <c r="C4904" t="s">
        <v>18113</v>
      </c>
      <c r="D4904" t="s">
        <v>18114</v>
      </c>
      <c r="E4904" t="s">
        <v>2310</v>
      </c>
      <c r="F4904">
        <v>13</v>
      </c>
      <c r="G4904">
        <v>13.2</v>
      </c>
      <c r="H4904" t="s">
        <v>2327</v>
      </c>
      <c r="I4904" s="21">
        <v>42670.612337962964</v>
      </c>
      <c r="J4904">
        <v>2016</v>
      </c>
      <c r="K4904" s="21">
        <v>42740.689293981479</v>
      </c>
      <c r="L4904">
        <v>2017</v>
      </c>
      <c r="M4904" s="21">
        <v>43262.434646875001</v>
      </c>
      <c r="N4904">
        <v>2018</v>
      </c>
      <c r="Q4904" s="262">
        <v>1600000</v>
      </c>
      <c r="R4904" s="262">
        <v>587000</v>
      </c>
      <c r="S4904" t="s">
        <v>13254</v>
      </c>
      <c r="W4904">
        <v>4711</v>
      </c>
      <c r="X4904">
        <v>1</v>
      </c>
      <c r="Y4904">
        <v>0</v>
      </c>
      <c r="Z4904">
        <v>0</v>
      </c>
      <c r="AA4904">
        <v>0</v>
      </c>
      <c r="AB4904">
        <v>0</v>
      </c>
      <c r="AC4904">
        <v>4711</v>
      </c>
      <c r="AD4904">
        <v>0</v>
      </c>
      <c r="AE4904">
        <v>0</v>
      </c>
      <c r="AF4904">
        <v>0</v>
      </c>
      <c r="AG4904">
        <v>0</v>
      </c>
      <c r="AH4904">
        <v>0</v>
      </c>
      <c r="AI4904">
        <v>0</v>
      </c>
      <c r="AJ4904">
        <v>0</v>
      </c>
      <c r="AK4904">
        <v>0</v>
      </c>
      <c r="AL4904">
        <v>0</v>
      </c>
      <c r="AM4904">
        <v>0</v>
      </c>
      <c r="AN4904">
        <v>0</v>
      </c>
      <c r="AO4904">
        <v>1</v>
      </c>
      <c r="AP4904">
        <v>0</v>
      </c>
      <c r="AQ4904">
        <v>0</v>
      </c>
      <c r="AR4904">
        <v>0</v>
      </c>
      <c r="AS4904">
        <v>0</v>
      </c>
      <c r="AT4904">
        <v>0</v>
      </c>
      <c r="AU4904">
        <f t="shared" si="152"/>
        <v>1</v>
      </c>
      <c r="AV4904">
        <f t="shared" si="153"/>
        <v>0</v>
      </c>
    </row>
    <row r="4905" spans="1:48" x14ac:dyDescent="0.25">
      <c r="A4905" t="s">
        <v>18676</v>
      </c>
      <c r="B4905" t="s">
        <v>18676</v>
      </c>
      <c r="C4905" t="s">
        <v>18677</v>
      </c>
      <c r="D4905" t="s">
        <v>18389</v>
      </c>
      <c r="E4905" t="s">
        <v>2310</v>
      </c>
      <c r="F4905">
        <v>9</v>
      </c>
      <c r="G4905">
        <v>9.1999999999999993</v>
      </c>
      <c r="H4905" t="s">
        <v>2022</v>
      </c>
      <c r="I4905" s="21">
        <v>42675.612500000003</v>
      </c>
      <c r="J4905">
        <v>2016</v>
      </c>
      <c r="K4905" s="21">
        <v>42747.352627314816</v>
      </c>
      <c r="L4905">
        <v>2017</v>
      </c>
      <c r="M4905" s="21">
        <v>43607.456487997682</v>
      </c>
      <c r="N4905">
        <v>2019</v>
      </c>
      <c r="Q4905" s="262">
        <v>12100000</v>
      </c>
      <c r="R4905" s="262">
        <v>2086000</v>
      </c>
      <c r="S4905" t="s">
        <v>13254</v>
      </c>
      <c r="W4905">
        <v>11779</v>
      </c>
      <c r="X4905">
        <v>1</v>
      </c>
      <c r="Y4905">
        <v>0</v>
      </c>
      <c r="Z4905">
        <v>0</v>
      </c>
      <c r="AA4905">
        <v>0</v>
      </c>
      <c r="AB4905">
        <v>0</v>
      </c>
      <c r="AC4905">
        <v>11779</v>
      </c>
      <c r="AD4905">
        <v>0</v>
      </c>
      <c r="AE4905">
        <v>0</v>
      </c>
      <c r="AF4905">
        <v>0</v>
      </c>
      <c r="AG4905">
        <v>0</v>
      </c>
      <c r="AH4905">
        <v>0</v>
      </c>
      <c r="AI4905">
        <v>0</v>
      </c>
      <c r="AJ4905">
        <v>0</v>
      </c>
      <c r="AK4905">
        <v>0</v>
      </c>
      <c r="AL4905">
        <v>0</v>
      </c>
      <c r="AM4905">
        <v>0</v>
      </c>
      <c r="AN4905">
        <v>0</v>
      </c>
      <c r="AO4905">
        <v>1</v>
      </c>
      <c r="AP4905">
        <v>0</v>
      </c>
      <c r="AQ4905">
        <v>0</v>
      </c>
      <c r="AR4905">
        <v>0</v>
      </c>
      <c r="AS4905">
        <v>0</v>
      </c>
      <c r="AT4905">
        <v>0</v>
      </c>
      <c r="AU4905">
        <f t="shared" si="152"/>
        <v>1</v>
      </c>
      <c r="AV4905">
        <f t="shared" si="153"/>
        <v>0</v>
      </c>
    </row>
    <row r="4906" spans="1:48" x14ac:dyDescent="0.25">
      <c r="A4906" t="s">
        <v>19284</v>
      </c>
      <c r="B4906" t="s">
        <v>19284</v>
      </c>
      <c r="C4906" t="s">
        <v>13284</v>
      </c>
      <c r="D4906" t="s">
        <v>17900</v>
      </c>
      <c r="E4906" t="s">
        <v>2310</v>
      </c>
      <c r="F4906">
        <v>14</v>
      </c>
      <c r="G4906">
        <v>14.1</v>
      </c>
      <c r="H4906" t="s">
        <v>2022</v>
      </c>
      <c r="I4906" s="21">
        <v>42678.441469907404</v>
      </c>
      <c r="J4906">
        <v>2016</v>
      </c>
      <c r="K4906" s="21">
        <v>42954.359293981484</v>
      </c>
      <c r="L4906">
        <v>2017</v>
      </c>
      <c r="M4906" s="21">
        <v>42954.359293981484</v>
      </c>
      <c r="N4906">
        <v>2017</v>
      </c>
      <c r="Q4906" s="262">
        <v>162957</v>
      </c>
      <c r="R4906" s="262">
        <v>57000</v>
      </c>
      <c r="S4906" t="s">
        <v>13254</v>
      </c>
      <c r="W4906">
        <v>1296</v>
      </c>
      <c r="X4906">
        <v>0</v>
      </c>
      <c r="Y4906">
        <v>0</v>
      </c>
      <c r="Z4906">
        <v>0</v>
      </c>
      <c r="AA4906">
        <v>0</v>
      </c>
      <c r="AB4906">
        <v>0</v>
      </c>
      <c r="AC4906">
        <v>1296</v>
      </c>
      <c r="AD4906">
        <v>0</v>
      </c>
      <c r="AE4906">
        <v>0</v>
      </c>
      <c r="AF4906">
        <v>0</v>
      </c>
      <c r="AG4906">
        <v>0</v>
      </c>
      <c r="AH4906">
        <v>0</v>
      </c>
      <c r="AI4906">
        <v>0</v>
      </c>
      <c r="AJ4906">
        <v>0</v>
      </c>
      <c r="AK4906">
        <v>0</v>
      </c>
      <c r="AL4906">
        <v>0</v>
      </c>
      <c r="AM4906">
        <v>0</v>
      </c>
      <c r="AN4906">
        <v>0</v>
      </c>
      <c r="AO4906">
        <v>0</v>
      </c>
      <c r="AP4906">
        <v>0</v>
      </c>
      <c r="AQ4906">
        <v>0</v>
      </c>
      <c r="AR4906">
        <v>0</v>
      </c>
      <c r="AS4906">
        <v>0</v>
      </c>
      <c r="AT4906">
        <v>0</v>
      </c>
      <c r="AU4906">
        <f t="shared" si="152"/>
        <v>0</v>
      </c>
      <c r="AV4906">
        <f t="shared" si="153"/>
        <v>0</v>
      </c>
    </row>
    <row r="4907" spans="1:48" x14ac:dyDescent="0.25">
      <c r="A4907" t="s">
        <v>13440</v>
      </c>
      <c r="C4907" t="s">
        <v>13441</v>
      </c>
      <c r="D4907" t="s">
        <v>13442</v>
      </c>
      <c r="E4907" t="s">
        <v>1663</v>
      </c>
      <c r="F4907">
        <v>2</v>
      </c>
      <c r="G4907">
        <v>2.2999999999999998</v>
      </c>
      <c r="H4907" t="s">
        <v>2327</v>
      </c>
      <c r="I4907" s="21">
        <v>42682</v>
      </c>
      <c r="J4907">
        <v>2016</v>
      </c>
      <c r="K4907" s="21">
        <v>42696</v>
      </c>
      <c r="L4907">
        <v>2016</v>
      </c>
      <c r="M4907" s="21">
        <v>43165</v>
      </c>
      <c r="N4907">
        <v>2018</v>
      </c>
      <c r="Q4907" s="262">
        <v>5000</v>
      </c>
      <c r="S4907" t="s">
        <v>114</v>
      </c>
      <c r="T4907" t="s">
        <v>114</v>
      </c>
      <c r="W4907">
        <v>0</v>
      </c>
      <c r="X4907">
        <v>0</v>
      </c>
      <c r="Y4907">
        <v>0</v>
      </c>
      <c r="Z4907">
        <v>0</v>
      </c>
      <c r="AA4907">
        <v>0</v>
      </c>
      <c r="AB4907">
        <v>0</v>
      </c>
      <c r="AC4907">
        <v>0</v>
      </c>
      <c r="AD4907">
        <v>0</v>
      </c>
      <c r="AE4907">
        <v>0</v>
      </c>
      <c r="AF4907">
        <v>0</v>
      </c>
      <c r="AG4907">
        <v>0</v>
      </c>
      <c r="AH4907">
        <v>0</v>
      </c>
      <c r="AI4907">
        <v>0</v>
      </c>
      <c r="AJ4907">
        <v>0</v>
      </c>
      <c r="AK4907">
        <v>0</v>
      </c>
      <c r="AL4907">
        <v>0</v>
      </c>
      <c r="AM4907">
        <v>0</v>
      </c>
      <c r="AN4907">
        <v>0</v>
      </c>
      <c r="AO4907">
        <v>0</v>
      </c>
      <c r="AP4907">
        <v>0</v>
      </c>
      <c r="AQ4907">
        <v>0</v>
      </c>
      <c r="AR4907">
        <v>0</v>
      </c>
      <c r="AS4907">
        <v>0</v>
      </c>
      <c r="AT4907">
        <v>0</v>
      </c>
      <c r="AU4907">
        <f t="shared" si="152"/>
        <v>0</v>
      </c>
      <c r="AV4907">
        <f t="shared" si="153"/>
        <v>0</v>
      </c>
    </row>
    <row r="4908" spans="1:48" x14ac:dyDescent="0.25">
      <c r="A4908" t="s">
        <v>19298</v>
      </c>
      <c r="B4908" t="s">
        <v>19298</v>
      </c>
      <c r="C4908" t="s">
        <v>19299</v>
      </c>
      <c r="D4908" t="s">
        <v>19300</v>
      </c>
      <c r="E4908" t="s">
        <v>2310</v>
      </c>
      <c r="F4908">
        <v>12</v>
      </c>
      <c r="G4908">
        <v>12.3</v>
      </c>
      <c r="H4908" t="s">
        <v>2017</v>
      </c>
      <c r="I4908" s="21">
        <v>42682.594942129632</v>
      </c>
      <c r="J4908">
        <v>2016</v>
      </c>
      <c r="K4908" s="21">
        <v>43003.649409722224</v>
      </c>
      <c r="L4908">
        <v>2017</v>
      </c>
      <c r="M4908" s="21">
        <v>43003.649409722224</v>
      </c>
      <c r="N4908">
        <v>2017</v>
      </c>
      <c r="Q4908" s="262">
        <v>400000</v>
      </c>
      <c r="R4908" s="262">
        <v>78000</v>
      </c>
      <c r="S4908" t="s">
        <v>13253</v>
      </c>
      <c r="T4908">
        <v>4271</v>
      </c>
      <c r="V4908">
        <v>396</v>
      </c>
      <c r="W4908">
        <v>380</v>
      </c>
      <c r="X4908">
        <v>0</v>
      </c>
      <c r="Y4908">
        <v>0</v>
      </c>
      <c r="Z4908">
        <v>0</v>
      </c>
      <c r="AA4908">
        <v>0</v>
      </c>
      <c r="AB4908">
        <v>0</v>
      </c>
      <c r="AC4908">
        <v>380</v>
      </c>
      <c r="AD4908">
        <v>0</v>
      </c>
      <c r="AE4908">
        <v>0</v>
      </c>
      <c r="AF4908">
        <v>0</v>
      </c>
      <c r="AG4908">
        <v>0</v>
      </c>
      <c r="AH4908">
        <v>0</v>
      </c>
      <c r="AI4908">
        <v>0</v>
      </c>
      <c r="AJ4908">
        <v>0</v>
      </c>
      <c r="AK4908">
        <v>0</v>
      </c>
      <c r="AL4908">
        <v>0</v>
      </c>
      <c r="AM4908">
        <v>0</v>
      </c>
      <c r="AN4908">
        <v>0</v>
      </c>
      <c r="AO4908">
        <v>0</v>
      </c>
      <c r="AP4908">
        <v>0</v>
      </c>
      <c r="AQ4908">
        <v>0</v>
      </c>
      <c r="AR4908">
        <v>0</v>
      </c>
      <c r="AS4908">
        <v>0</v>
      </c>
      <c r="AT4908">
        <v>0</v>
      </c>
      <c r="AU4908">
        <f t="shared" si="152"/>
        <v>0</v>
      </c>
      <c r="AV4908">
        <f t="shared" si="153"/>
        <v>0</v>
      </c>
    </row>
    <row r="4909" spans="1:48" x14ac:dyDescent="0.25">
      <c r="A4909" t="s">
        <v>18609</v>
      </c>
      <c r="B4909" t="s">
        <v>18609</v>
      </c>
      <c r="C4909" t="s">
        <v>18610</v>
      </c>
      <c r="D4909" t="s">
        <v>18478</v>
      </c>
      <c r="E4909" t="s">
        <v>2310</v>
      </c>
      <c r="F4909">
        <v>9</v>
      </c>
      <c r="G4909">
        <v>9.1</v>
      </c>
      <c r="H4909" t="s">
        <v>2323</v>
      </c>
      <c r="I4909" s="21">
        <v>42683.625810185185</v>
      </c>
      <c r="J4909">
        <v>2016</v>
      </c>
      <c r="K4909" s="21">
        <v>42726.670729166668</v>
      </c>
      <c r="L4909">
        <v>2016</v>
      </c>
      <c r="M4909" s="21">
        <v>43186.683738425927</v>
      </c>
      <c r="N4909">
        <v>2018</v>
      </c>
      <c r="Q4909" s="262">
        <v>100000</v>
      </c>
      <c r="R4909" s="262">
        <v>104000</v>
      </c>
      <c r="S4909" t="s">
        <v>13253</v>
      </c>
      <c r="T4909">
        <v>6582</v>
      </c>
      <c r="V4909">
        <v>225</v>
      </c>
      <c r="W4909">
        <v>750</v>
      </c>
      <c r="X4909">
        <v>0</v>
      </c>
      <c r="Y4909">
        <v>0</v>
      </c>
      <c r="Z4909">
        <v>0</v>
      </c>
      <c r="AA4909">
        <v>0</v>
      </c>
      <c r="AB4909">
        <v>0</v>
      </c>
      <c r="AC4909">
        <v>750</v>
      </c>
      <c r="AD4909">
        <v>0</v>
      </c>
      <c r="AE4909">
        <v>0</v>
      </c>
      <c r="AF4909">
        <v>0</v>
      </c>
      <c r="AG4909">
        <v>0</v>
      </c>
      <c r="AH4909">
        <v>0</v>
      </c>
      <c r="AI4909">
        <v>0</v>
      </c>
      <c r="AJ4909">
        <v>0</v>
      </c>
      <c r="AK4909">
        <v>0</v>
      </c>
      <c r="AL4909">
        <v>0</v>
      </c>
      <c r="AM4909">
        <v>0</v>
      </c>
      <c r="AN4909">
        <v>0</v>
      </c>
      <c r="AO4909">
        <v>0</v>
      </c>
      <c r="AP4909">
        <v>0</v>
      </c>
      <c r="AQ4909">
        <v>0</v>
      </c>
      <c r="AR4909">
        <v>0</v>
      </c>
      <c r="AS4909">
        <v>0</v>
      </c>
      <c r="AT4909">
        <v>0</v>
      </c>
      <c r="AU4909">
        <f t="shared" si="152"/>
        <v>0</v>
      </c>
      <c r="AV4909">
        <f t="shared" si="153"/>
        <v>0</v>
      </c>
    </row>
    <row r="4910" spans="1:48" x14ac:dyDescent="0.25">
      <c r="A4910" t="s">
        <v>17395</v>
      </c>
      <c r="B4910" t="s">
        <v>114</v>
      </c>
      <c r="C4910" t="s">
        <v>17396</v>
      </c>
      <c r="D4910" t="s">
        <v>17397</v>
      </c>
      <c r="E4910" t="s">
        <v>1663</v>
      </c>
      <c r="F4910">
        <v>2</v>
      </c>
      <c r="G4910">
        <v>2.1</v>
      </c>
      <c r="H4910" t="s">
        <v>2327</v>
      </c>
      <c r="I4910" s="21">
        <v>42688</v>
      </c>
      <c r="J4910">
        <v>2016</v>
      </c>
      <c r="K4910" s="21">
        <v>42725</v>
      </c>
      <c r="L4910">
        <v>2016</v>
      </c>
      <c r="M4910" s="21">
        <v>42741</v>
      </c>
      <c r="N4910">
        <v>2017</v>
      </c>
      <c r="Q4910" s="262">
        <v>30000</v>
      </c>
      <c r="S4910" t="s">
        <v>13254</v>
      </c>
      <c r="W4910">
        <v>1440</v>
      </c>
      <c r="X4910">
        <v>0</v>
      </c>
      <c r="Y4910">
        <v>0</v>
      </c>
      <c r="Z4910">
        <v>0</v>
      </c>
      <c r="AA4910">
        <v>0</v>
      </c>
      <c r="AB4910">
        <v>0</v>
      </c>
      <c r="AC4910">
        <v>0</v>
      </c>
      <c r="AD4910">
        <v>0</v>
      </c>
      <c r="AE4910">
        <v>0</v>
      </c>
      <c r="AF4910">
        <v>0</v>
      </c>
      <c r="AG4910">
        <v>0</v>
      </c>
      <c r="AH4910">
        <v>0</v>
      </c>
      <c r="AI4910">
        <v>0</v>
      </c>
      <c r="AJ4910">
        <v>1440</v>
      </c>
      <c r="AK4910">
        <v>0</v>
      </c>
      <c r="AL4910">
        <v>0</v>
      </c>
      <c r="AM4910">
        <v>0</v>
      </c>
      <c r="AN4910">
        <v>0</v>
      </c>
      <c r="AO4910">
        <v>0</v>
      </c>
      <c r="AP4910">
        <v>0</v>
      </c>
      <c r="AQ4910">
        <v>0</v>
      </c>
      <c r="AR4910">
        <v>0</v>
      </c>
      <c r="AS4910">
        <v>0</v>
      </c>
      <c r="AT4910">
        <v>0</v>
      </c>
      <c r="AU4910">
        <f t="shared" si="152"/>
        <v>0</v>
      </c>
      <c r="AV4910">
        <f t="shared" si="153"/>
        <v>1440</v>
      </c>
    </row>
    <row r="4911" spans="1:48" x14ac:dyDescent="0.25">
      <c r="A4911" t="s">
        <v>17398</v>
      </c>
      <c r="C4911" t="s">
        <v>17399</v>
      </c>
      <c r="D4911" t="s">
        <v>13911</v>
      </c>
      <c r="E4911" t="s">
        <v>1663</v>
      </c>
      <c r="F4911">
        <v>6</v>
      </c>
      <c r="G4911">
        <v>6.1</v>
      </c>
      <c r="H4911" t="s">
        <v>2017</v>
      </c>
      <c r="I4911" s="21">
        <v>42690</v>
      </c>
      <c r="J4911">
        <v>2016</v>
      </c>
      <c r="K4911" s="21">
        <v>42712</v>
      </c>
      <c r="L4911">
        <v>2016</v>
      </c>
      <c r="M4911" s="21">
        <v>42797</v>
      </c>
      <c r="N4911">
        <v>2017</v>
      </c>
      <c r="Q4911" s="262">
        <v>20000</v>
      </c>
      <c r="S4911" t="s">
        <v>114</v>
      </c>
      <c r="T4911" t="s">
        <v>114</v>
      </c>
      <c r="W4911">
        <v>0</v>
      </c>
      <c r="X4911">
        <v>0</v>
      </c>
      <c r="Y4911">
        <v>0</v>
      </c>
      <c r="Z4911">
        <v>0</v>
      </c>
      <c r="AA4911">
        <v>0</v>
      </c>
      <c r="AB4911">
        <v>0</v>
      </c>
      <c r="AC4911">
        <v>0</v>
      </c>
      <c r="AD4911">
        <v>0</v>
      </c>
      <c r="AE4911">
        <v>0</v>
      </c>
      <c r="AF4911">
        <v>0</v>
      </c>
      <c r="AG4911">
        <v>0</v>
      </c>
      <c r="AH4911">
        <v>0</v>
      </c>
      <c r="AI4911">
        <v>0</v>
      </c>
      <c r="AJ4911">
        <v>0</v>
      </c>
      <c r="AK4911">
        <v>0</v>
      </c>
      <c r="AL4911">
        <v>0</v>
      </c>
      <c r="AM4911">
        <v>0</v>
      </c>
      <c r="AN4911">
        <v>0</v>
      </c>
      <c r="AO4911">
        <v>0</v>
      </c>
      <c r="AP4911">
        <v>0</v>
      </c>
      <c r="AQ4911">
        <v>0</v>
      </c>
      <c r="AR4911">
        <v>0</v>
      </c>
      <c r="AS4911">
        <v>0</v>
      </c>
      <c r="AT4911">
        <v>0</v>
      </c>
      <c r="AU4911">
        <f t="shared" si="152"/>
        <v>0</v>
      </c>
      <c r="AV4911">
        <f t="shared" si="153"/>
        <v>0</v>
      </c>
    </row>
    <row r="4912" spans="1:48" x14ac:dyDescent="0.25">
      <c r="A4912" t="s">
        <v>17400</v>
      </c>
      <c r="C4912" t="s">
        <v>17401</v>
      </c>
      <c r="D4912" t="s">
        <v>17402</v>
      </c>
      <c r="E4912" t="s">
        <v>1663</v>
      </c>
      <c r="F4912">
        <v>2</v>
      </c>
      <c r="G4912">
        <v>2.2999999999999998</v>
      </c>
      <c r="H4912" t="s">
        <v>2327</v>
      </c>
      <c r="I4912" s="21">
        <v>42690</v>
      </c>
      <c r="J4912">
        <v>2016</v>
      </c>
      <c r="K4912" s="21">
        <v>42789</v>
      </c>
      <c r="L4912">
        <v>2017</v>
      </c>
      <c r="M4912" s="21">
        <v>42908</v>
      </c>
      <c r="N4912">
        <v>2017</v>
      </c>
      <c r="Q4912" s="262">
        <v>5000</v>
      </c>
      <c r="S4912" t="s">
        <v>114</v>
      </c>
      <c r="T4912" t="s">
        <v>114</v>
      </c>
      <c r="W4912">
        <v>0</v>
      </c>
      <c r="X4912">
        <v>0</v>
      </c>
      <c r="Y4912">
        <v>0</v>
      </c>
      <c r="Z4912">
        <v>0</v>
      </c>
      <c r="AA4912">
        <v>0</v>
      </c>
      <c r="AB4912">
        <v>0</v>
      </c>
      <c r="AC4912">
        <v>0</v>
      </c>
      <c r="AD4912">
        <v>0</v>
      </c>
      <c r="AE4912">
        <v>0</v>
      </c>
      <c r="AF4912">
        <v>0</v>
      </c>
      <c r="AG4912">
        <v>0</v>
      </c>
      <c r="AH4912">
        <v>0</v>
      </c>
      <c r="AI4912">
        <v>0</v>
      </c>
      <c r="AJ4912">
        <v>0</v>
      </c>
      <c r="AK4912">
        <v>0</v>
      </c>
      <c r="AL4912">
        <v>0</v>
      </c>
      <c r="AM4912">
        <v>0</v>
      </c>
      <c r="AN4912">
        <v>0</v>
      </c>
      <c r="AO4912">
        <v>0</v>
      </c>
      <c r="AP4912">
        <v>0</v>
      </c>
      <c r="AQ4912">
        <v>0</v>
      </c>
      <c r="AR4912">
        <v>0</v>
      </c>
      <c r="AS4912">
        <v>0</v>
      </c>
      <c r="AT4912">
        <v>0</v>
      </c>
      <c r="AU4912">
        <f t="shared" si="152"/>
        <v>0</v>
      </c>
      <c r="AV4912">
        <f t="shared" si="153"/>
        <v>0</v>
      </c>
    </row>
    <row r="4913" spans="1:48" x14ac:dyDescent="0.25">
      <c r="A4913" t="s">
        <v>17403</v>
      </c>
      <c r="C4913" t="s">
        <v>11879</v>
      </c>
      <c r="D4913" t="s">
        <v>13098</v>
      </c>
      <c r="E4913" t="s">
        <v>1663</v>
      </c>
      <c r="F4913">
        <v>3</v>
      </c>
      <c r="G4913">
        <v>3.2</v>
      </c>
      <c r="H4913" t="s">
        <v>2327</v>
      </c>
      <c r="I4913" s="21">
        <v>42691</v>
      </c>
      <c r="J4913">
        <v>2016</v>
      </c>
      <c r="K4913" s="21">
        <v>42740</v>
      </c>
      <c r="L4913">
        <v>2017</v>
      </c>
      <c r="M4913" s="21">
        <v>42881</v>
      </c>
      <c r="N4913">
        <v>2017</v>
      </c>
      <c r="Q4913" s="262">
        <v>100000</v>
      </c>
      <c r="S4913" t="s">
        <v>114</v>
      </c>
      <c r="T4913" t="s">
        <v>114</v>
      </c>
      <c r="W4913">
        <v>0</v>
      </c>
      <c r="X4913">
        <v>0</v>
      </c>
      <c r="Y4913">
        <v>0</v>
      </c>
      <c r="Z4913">
        <v>0</v>
      </c>
      <c r="AA4913">
        <v>0</v>
      </c>
      <c r="AB4913">
        <v>0</v>
      </c>
      <c r="AC4913">
        <v>0</v>
      </c>
      <c r="AD4913">
        <v>0</v>
      </c>
      <c r="AE4913">
        <v>0</v>
      </c>
      <c r="AF4913">
        <v>0</v>
      </c>
      <c r="AG4913">
        <v>0</v>
      </c>
      <c r="AH4913">
        <v>0</v>
      </c>
      <c r="AI4913">
        <v>0</v>
      </c>
      <c r="AJ4913">
        <v>0</v>
      </c>
      <c r="AK4913">
        <v>0</v>
      </c>
      <c r="AL4913">
        <v>0</v>
      </c>
      <c r="AM4913">
        <v>0</v>
      </c>
      <c r="AN4913">
        <v>0</v>
      </c>
      <c r="AO4913">
        <v>0</v>
      </c>
      <c r="AP4913">
        <v>0</v>
      </c>
      <c r="AQ4913">
        <v>0</v>
      </c>
      <c r="AR4913">
        <v>0</v>
      </c>
      <c r="AS4913">
        <v>0</v>
      </c>
      <c r="AT4913">
        <v>0</v>
      </c>
      <c r="AU4913">
        <f t="shared" si="152"/>
        <v>0</v>
      </c>
      <c r="AV4913">
        <f t="shared" si="153"/>
        <v>0</v>
      </c>
    </row>
    <row r="4914" spans="1:48" x14ac:dyDescent="0.25">
      <c r="A4914" t="s">
        <v>19122</v>
      </c>
      <c r="B4914" t="s">
        <v>114</v>
      </c>
      <c r="C4914" t="s">
        <v>10347</v>
      </c>
      <c r="D4914" t="s">
        <v>19123</v>
      </c>
      <c r="E4914" t="s">
        <v>1663</v>
      </c>
      <c r="F4914">
        <v>3</v>
      </c>
      <c r="G4914">
        <v>3.2</v>
      </c>
      <c r="H4914" t="s">
        <v>2327</v>
      </c>
      <c r="I4914" s="21">
        <v>42691</v>
      </c>
      <c r="J4914">
        <v>2016</v>
      </c>
      <c r="K4914" s="21">
        <v>42739</v>
      </c>
      <c r="L4914">
        <v>2017</v>
      </c>
      <c r="M4914" s="21">
        <v>43780</v>
      </c>
      <c r="N4914">
        <v>2019</v>
      </c>
      <c r="Q4914" s="262">
        <v>25000</v>
      </c>
      <c r="S4914" t="s">
        <v>13254</v>
      </c>
      <c r="W4914">
        <v>696</v>
      </c>
      <c r="X4914">
        <v>0</v>
      </c>
      <c r="Y4914">
        <v>0</v>
      </c>
      <c r="Z4914">
        <v>0</v>
      </c>
      <c r="AA4914">
        <v>0</v>
      </c>
      <c r="AB4914">
        <v>0</v>
      </c>
      <c r="AC4914">
        <v>696</v>
      </c>
      <c r="AD4914">
        <v>0</v>
      </c>
      <c r="AE4914">
        <v>0</v>
      </c>
      <c r="AF4914">
        <v>0</v>
      </c>
      <c r="AG4914">
        <v>0</v>
      </c>
      <c r="AH4914">
        <v>0</v>
      </c>
      <c r="AI4914">
        <v>0</v>
      </c>
      <c r="AJ4914">
        <v>0</v>
      </c>
      <c r="AK4914">
        <v>0</v>
      </c>
      <c r="AL4914">
        <v>0</v>
      </c>
      <c r="AM4914">
        <v>0</v>
      </c>
      <c r="AN4914">
        <v>0</v>
      </c>
      <c r="AO4914">
        <v>0</v>
      </c>
      <c r="AP4914">
        <v>0</v>
      </c>
      <c r="AQ4914">
        <v>0</v>
      </c>
      <c r="AR4914">
        <v>0</v>
      </c>
      <c r="AS4914">
        <v>0</v>
      </c>
      <c r="AT4914">
        <v>0</v>
      </c>
      <c r="AU4914">
        <f t="shared" si="152"/>
        <v>0</v>
      </c>
      <c r="AV4914">
        <f t="shared" si="153"/>
        <v>0</v>
      </c>
    </row>
    <row r="4915" spans="1:48" x14ac:dyDescent="0.25">
      <c r="A4915" t="s">
        <v>19336</v>
      </c>
      <c r="B4915" t="s">
        <v>19336</v>
      </c>
      <c r="C4915" t="s">
        <v>19337</v>
      </c>
      <c r="D4915" t="s">
        <v>17749</v>
      </c>
      <c r="E4915" t="s">
        <v>2310</v>
      </c>
      <c r="F4915">
        <v>13</v>
      </c>
      <c r="G4915">
        <v>13.2</v>
      </c>
      <c r="H4915" t="s">
        <v>2327</v>
      </c>
      <c r="I4915" s="21">
        <v>42696.433888888889</v>
      </c>
      <c r="J4915">
        <v>2016</v>
      </c>
      <c r="K4915" s="21">
        <v>42752.48369212963</v>
      </c>
      <c r="L4915">
        <v>2017</v>
      </c>
      <c r="M4915" s="21">
        <v>43087.4374537037</v>
      </c>
      <c r="N4915">
        <v>2017</v>
      </c>
      <c r="Q4915" s="262">
        <v>763470</v>
      </c>
      <c r="R4915" s="262">
        <v>113000</v>
      </c>
      <c r="S4915" t="s">
        <v>13254</v>
      </c>
      <c r="W4915">
        <v>997</v>
      </c>
      <c r="X4915">
        <v>1</v>
      </c>
      <c r="Y4915">
        <v>0</v>
      </c>
      <c r="Z4915">
        <v>0</v>
      </c>
      <c r="AA4915">
        <v>0</v>
      </c>
      <c r="AB4915">
        <v>0</v>
      </c>
      <c r="AC4915">
        <v>0</v>
      </c>
      <c r="AD4915">
        <v>0</v>
      </c>
      <c r="AE4915">
        <v>0</v>
      </c>
      <c r="AF4915">
        <v>997</v>
      </c>
      <c r="AG4915">
        <v>0</v>
      </c>
      <c r="AH4915">
        <v>0</v>
      </c>
      <c r="AI4915">
        <v>0</v>
      </c>
      <c r="AJ4915">
        <v>0</v>
      </c>
      <c r="AK4915">
        <v>0</v>
      </c>
      <c r="AL4915">
        <v>0</v>
      </c>
      <c r="AM4915">
        <v>0</v>
      </c>
      <c r="AN4915">
        <v>0</v>
      </c>
      <c r="AO4915">
        <v>0</v>
      </c>
      <c r="AP4915">
        <v>0</v>
      </c>
      <c r="AQ4915">
        <v>0</v>
      </c>
      <c r="AR4915">
        <v>1</v>
      </c>
      <c r="AS4915">
        <v>0</v>
      </c>
      <c r="AT4915">
        <v>0</v>
      </c>
      <c r="AU4915">
        <f t="shared" si="152"/>
        <v>0</v>
      </c>
      <c r="AV4915">
        <f t="shared" si="153"/>
        <v>0</v>
      </c>
    </row>
    <row r="4916" spans="1:48" x14ac:dyDescent="0.25">
      <c r="A4916" t="s">
        <v>17404</v>
      </c>
      <c r="C4916" t="s">
        <v>17405</v>
      </c>
      <c r="D4916" t="s">
        <v>17406</v>
      </c>
      <c r="E4916" t="s">
        <v>1663</v>
      </c>
      <c r="F4916">
        <v>3</v>
      </c>
      <c r="G4916">
        <v>3.1</v>
      </c>
      <c r="H4916" t="s">
        <v>2017</v>
      </c>
      <c r="I4916" s="21">
        <v>42697</v>
      </c>
      <c r="J4916">
        <v>2016</v>
      </c>
      <c r="K4916" s="21">
        <v>42711</v>
      </c>
      <c r="L4916">
        <v>2016</v>
      </c>
      <c r="M4916" s="21">
        <v>42795</v>
      </c>
      <c r="N4916">
        <v>2017</v>
      </c>
      <c r="Q4916" s="262">
        <v>120000</v>
      </c>
      <c r="S4916" t="s">
        <v>114</v>
      </c>
      <c r="T4916" t="s">
        <v>114</v>
      </c>
      <c r="W4916">
        <v>0</v>
      </c>
      <c r="X4916">
        <v>0</v>
      </c>
      <c r="Y4916">
        <v>0</v>
      </c>
      <c r="Z4916">
        <v>0</v>
      </c>
      <c r="AA4916">
        <v>0</v>
      </c>
      <c r="AB4916">
        <v>0</v>
      </c>
      <c r="AC4916">
        <v>0</v>
      </c>
      <c r="AD4916">
        <v>0</v>
      </c>
      <c r="AE4916">
        <v>0</v>
      </c>
      <c r="AF4916">
        <v>0</v>
      </c>
      <c r="AG4916">
        <v>0</v>
      </c>
      <c r="AH4916">
        <v>0</v>
      </c>
      <c r="AI4916">
        <v>0</v>
      </c>
      <c r="AJ4916">
        <v>0</v>
      </c>
      <c r="AK4916">
        <v>0</v>
      </c>
      <c r="AL4916">
        <v>0</v>
      </c>
      <c r="AM4916">
        <v>0</v>
      </c>
      <c r="AN4916">
        <v>0</v>
      </c>
      <c r="AO4916">
        <v>0</v>
      </c>
      <c r="AP4916">
        <v>0</v>
      </c>
      <c r="AQ4916">
        <v>0</v>
      </c>
      <c r="AR4916">
        <v>0</v>
      </c>
      <c r="AS4916">
        <v>0</v>
      </c>
      <c r="AT4916">
        <v>0</v>
      </c>
      <c r="AU4916">
        <f t="shared" si="152"/>
        <v>0</v>
      </c>
      <c r="AV4916">
        <f t="shared" si="153"/>
        <v>0</v>
      </c>
    </row>
    <row r="4917" spans="1:48" x14ac:dyDescent="0.25">
      <c r="A4917" t="s">
        <v>18813</v>
      </c>
      <c r="B4917" t="s">
        <v>18813</v>
      </c>
      <c r="C4917" t="s">
        <v>18814</v>
      </c>
      <c r="D4917" t="s">
        <v>18815</v>
      </c>
      <c r="E4917" t="s">
        <v>2310</v>
      </c>
      <c r="F4917">
        <v>13</v>
      </c>
      <c r="G4917">
        <v>13.2</v>
      </c>
      <c r="H4917" t="s">
        <v>2327</v>
      </c>
      <c r="I4917" s="21">
        <v>42705.582152777781</v>
      </c>
      <c r="J4917">
        <v>2016</v>
      </c>
      <c r="K4917" s="21">
        <v>43619.679776354169</v>
      </c>
      <c r="L4917">
        <v>2019</v>
      </c>
      <c r="M4917" s="21">
        <v>43633.497287962964</v>
      </c>
      <c r="N4917">
        <v>2019</v>
      </c>
      <c r="Q4917" s="262">
        <v>7000000</v>
      </c>
      <c r="R4917" s="262">
        <v>1446000</v>
      </c>
      <c r="S4917" t="s">
        <v>13254</v>
      </c>
      <c r="W4917">
        <v>3258</v>
      </c>
      <c r="X4917">
        <v>1</v>
      </c>
      <c r="Y4917">
        <v>0</v>
      </c>
      <c r="Z4917">
        <v>0</v>
      </c>
      <c r="AA4917">
        <v>0</v>
      </c>
      <c r="AB4917">
        <v>0</v>
      </c>
      <c r="AC4917">
        <v>3258</v>
      </c>
      <c r="AD4917">
        <v>0</v>
      </c>
      <c r="AE4917">
        <v>0</v>
      </c>
      <c r="AF4917">
        <v>0</v>
      </c>
      <c r="AG4917">
        <v>0</v>
      </c>
      <c r="AH4917">
        <v>0</v>
      </c>
      <c r="AI4917">
        <v>0</v>
      </c>
      <c r="AJ4917">
        <v>0</v>
      </c>
      <c r="AK4917">
        <v>0</v>
      </c>
      <c r="AL4917">
        <v>0</v>
      </c>
      <c r="AM4917">
        <v>0</v>
      </c>
      <c r="AN4917">
        <v>0</v>
      </c>
      <c r="AO4917">
        <v>1</v>
      </c>
      <c r="AP4917">
        <v>0</v>
      </c>
      <c r="AQ4917">
        <v>0</v>
      </c>
      <c r="AR4917">
        <v>0</v>
      </c>
      <c r="AS4917">
        <v>0</v>
      </c>
      <c r="AT4917">
        <v>0</v>
      </c>
      <c r="AU4917">
        <f t="shared" si="152"/>
        <v>1</v>
      </c>
      <c r="AV4917">
        <f t="shared" si="153"/>
        <v>0</v>
      </c>
    </row>
    <row r="4918" spans="1:48" x14ac:dyDescent="0.25">
      <c r="A4918" t="s">
        <v>19168</v>
      </c>
      <c r="B4918" t="s">
        <v>19168</v>
      </c>
      <c r="C4918" t="s">
        <v>19169</v>
      </c>
      <c r="D4918" t="s">
        <v>1847</v>
      </c>
      <c r="E4918" t="s">
        <v>2310</v>
      </c>
      <c r="F4918">
        <v>8</v>
      </c>
      <c r="G4918">
        <v>8.1999999999999993</v>
      </c>
      <c r="H4918" t="s">
        <v>2022</v>
      </c>
      <c r="I4918" s="21">
        <v>42706.537986111114</v>
      </c>
      <c r="J4918">
        <v>2016</v>
      </c>
      <c r="K4918" s="21">
        <v>42843.683425925927</v>
      </c>
      <c r="L4918">
        <v>2017</v>
      </c>
      <c r="M4918" s="21">
        <v>43810.451261770831</v>
      </c>
      <c r="N4918">
        <v>2019</v>
      </c>
      <c r="Q4918" s="262">
        <v>5000000</v>
      </c>
      <c r="R4918" s="262">
        <v>986000</v>
      </c>
      <c r="S4918" t="s">
        <v>13254</v>
      </c>
      <c r="W4918">
        <v>7589</v>
      </c>
      <c r="X4918">
        <v>1</v>
      </c>
      <c r="Y4918">
        <v>0</v>
      </c>
      <c r="Z4918">
        <v>0</v>
      </c>
      <c r="AA4918">
        <v>0</v>
      </c>
      <c r="AB4918">
        <v>0</v>
      </c>
      <c r="AC4918">
        <v>7589</v>
      </c>
      <c r="AD4918">
        <v>0</v>
      </c>
      <c r="AE4918">
        <v>0</v>
      </c>
      <c r="AF4918">
        <v>0</v>
      </c>
      <c r="AG4918">
        <v>0</v>
      </c>
      <c r="AH4918">
        <v>0</v>
      </c>
      <c r="AI4918">
        <v>0</v>
      </c>
      <c r="AJ4918">
        <v>0</v>
      </c>
      <c r="AK4918">
        <v>0</v>
      </c>
      <c r="AL4918">
        <v>0</v>
      </c>
      <c r="AM4918">
        <v>0</v>
      </c>
      <c r="AN4918">
        <v>0</v>
      </c>
      <c r="AO4918">
        <v>1</v>
      </c>
      <c r="AP4918">
        <v>0</v>
      </c>
      <c r="AQ4918">
        <v>0</v>
      </c>
      <c r="AR4918">
        <v>0</v>
      </c>
      <c r="AS4918">
        <v>0</v>
      </c>
      <c r="AT4918">
        <v>0</v>
      </c>
      <c r="AU4918">
        <f t="shared" si="152"/>
        <v>1</v>
      </c>
      <c r="AV4918">
        <f t="shared" si="153"/>
        <v>0</v>
      </c>
    </row>
    <row r="4919" spans="1:48" x14ac:dyDescent="0.25">
      <c r="A4919" t="s">
        <v>17409</v>
      </c>
      <c r="B4919" t="s">
        <v>114</v>
      </c>
      <c r="C4919" t="s">
        <v>11237</v>
      </c>
      <c r="D4919" t="s">
        <v>17410</v>
      </c>
      <c r="E4919" t="s">
        <v>1663</v>
      </c>
      <c r="F4919">
        <v>6</v>
      </c>
      <c r="G4919">
        <v>6.2</v>
      </c>
      <c r="H4919" t="s">
        <v>2017</v>
      </c>
      <c r="I4919" s="21">
        <v>42712</v>
      </c>
      <c r="J4919">
        <v>2016</v>
      </c>
      <c r="K4919" s="21">
        <v>42723</v>
      </c>
      <c r="L4919">
        <v>2016</v>
      </c>
      <c r="M4919" s="21">
        <v>42976</v>
      </c>
      <c r="N4919">
        <v>2017</v>
      </c>
      <c r="Q4919" s="262">
        <v>100000</v>
      </c>
      <c r="S4919" t="s">
        <v>13253</v>
      </c>
      <c r="T4919">
        <v>9212</v>
      </c>
      <c r="W4919">
        <v>44</v>
      </c>
      <c r="X4919">
        <v>0</v>
      </c>
      <c r="Y4919">
        <v>0</v>
      </c>
      <c r="Z4919">
        <v>0</v>
      </c>
      <c r="AA4919">
        <v>0</v>
      </c>
      <c r="AB4919">
        <v>0</v>
      </c>
      <c r="AC4919">
        <v>44</v>
      </c>
      <c r="AD4919">
        <v>0</v>
      </c>
      <c r="AE4919">
        <v>0</v>
      </c>
      <c r="AF4919">
        <v>0</v>
      </c>
      <c r="AG4919">
        <v>0</v>
      </c>
      <c r="AH4919">
        <v>0</v>
      </c>
      <c r="AI4919">
        <v>0</v>
      </c>
      <c r="AJ4919">
        <v>0</v>
      </c>
      <c r="AK4919">
        <v>0</v>
      </c>
      <c r="AL4919">
        <v>0</v>
      </c>
      <c r="AM4919">
        <v>0</v>
      </c>
      <c r="AN4919">
        <v>0</v>
      </c>
      <c r="AO4919">
        <v>0</v>
      </c>
      <c r="AP4919">
        <v>0</v>
      </c>
      <c r="AQ4919">
        <v>0</v>
      </c>
      <c r="AR4919">
        <v>0</v>
      </c>
      <c r="AS4919">
        <v>0</v>
      </c>
      <c r="AT4919">
        <v>0</v>
      </c>
      <c r="AU4919">
        <f t="shared" si="152"/>
        <v>0</v>
      </c>
      <c r="AV4919">
        <f t="shared" si="153"/>
        <v>0</v>
      </c>
    </row>
    <row r="4920" spans="1:48" x14ac:dyDescent="0.25">
      <c r="A4920" t="s">
        <v>13451</v>
      </c>
      <c r="C4920" t="s">
        <v>13452</v>
      </c>
      <c r="D4920" t="s">
        <v>13453</v>
      </c>
      <c r="E4920" t="s">
        <v>1663</v>
      </c>
      <c r="F4920">
        <v>5</v>
      </c>
      <c r="G4920">
        <v>5.3</v>
      </c>
      <c r="H4920" t="s">
        <v>2327</v>
      </c>
      <c r="I4920" s="21">
        <v>42716</v>
      </c>
      <c r="J4920">
        <v>2016</v>
      </c>
      <c r="M4920" s="21">
        <v>42719</v>
      </c>
      <c r="N4920">
        <v>2016</v>
      </c>
      <c r="Q4920" s="262">
        <v>100000</v>
      </c>
      <c r="S4920" t="s">
        <v>114</v>
      </c>
      <c r="T4920" t="s">
        <v>114</v>
      </c>
      <c r="W4920">
        <v>0</v>
      </c>
      <c r="X4920">
        <v>0</v>
      </c>
      <c r="Y4920">
        <v>0</v>
      </c>
      <c r="Z4920">
        <v>0</v>
      </c>
      <c r="AA4920">
        <v>0</v>
      </c>
      <c r="AB4920">
        <v>0</v>
      </c>
      <c r="AC4920">
        <v>0</v>
      </c>
      <c r="AD4920">
        <v>0</v>
      </c>
      <c r="AE4920">
        <v>0</v>
      </c>
      <c r="AF4920">
        <v>0</v>
      </c>
      <c r="AG4920">
        <v>0</v>
      </c>
      <c r="AH4920">
        <v>0</v>
      </c>
      <c r="AI4920">
        <v>0</v>
      </c>
      <c r="AJ4920">
        <v>0</v>
      </c>
      <c r="AK4920">
        <v>0</v>
      </c>
      <c r="AL4920">
        <v>0</v>
      </c>
      <c r="AM4920">
        <v>0</v>
      </c>
      <c r="AN4920">
        <v>0</v>
      </c>
      <c r="AO4920">
        <v>0</v>
      </c>
      <c r="AP4920">
        <v>0</v>
      </c>
      <c r="AQ4920">
        <v>0</v>
      </c>
      <c r="AR4920">
        <v>0</v>
      </c>
      <c r="AS4920">
        <v>0</v>
      </c>
      <c r="AT4920">
        <v>0</v>
      </c>
      <c r="AU4920">
        <f t="shared" si="152"/>
        <v>0</v>
      </c>
      <c r="AV4920">
        <f t="shared" si="153"/>
        <v>0</v>
      </c>
    </row>
    <row r="4921" spans="1:48" x14ac:dyDescent="0.25">
      <c r="A4921" t="s">
        <v>17977</v>
      </c>
      <c r="B4921" t="s">
        <v>17977</v>
      </c>
      <c r="C4921" t="s">
        <v>17978</v>
      </c>
      <c r="D4921" t="s">
        <v>17979</v>
      </c>
      <c r="E4921" t="s">
        <v>2310</v>
      </c>
      <c r="F4921">
        <v>9</v>
      </c>
      <c r="G4921">
        <v>9.3000000000000007</v>
      </c>
      <c r="H4921" t="s">
        <v>2323</v>
      </c>
      <c r="I4921" s="21">
        <v>42717.533460648148</v>
      </c>
      <c r="J4921">
        <v>2016</v>
      </c>
      <c r="K4921" s="21">
        <v>42773.48033564815</v>
      </c>
      <c r="L4921">
        <v>2017</v>
      </c>
      <c r="M4921" s="21">
        <v>43152.380115740743</v>
      </c>
      <c r="N4921">
        <v>2018</v>
      </c>
      <c r="Q4921" s="262">
        <v>530000</v>
      </c>
      <c r="R4921" s="262">
        <v>384000</v>
      </c>
      <c r="S4921" t="s">
        <v>13254</v>
      </c>
      <c r="W4921">
        <v>3762</v>
      </c>
      <c r="X4921">
        <v>1</v>
      </c>
      <c r="Y4921">
        <v>0</v>
      </c>
      <c r="Z4921">
        <v>0</v>
      </c>
      <c r="AA4921">
        <v>0</v>
      </c>
      <c r="AB4921">
        <v>0</v>
      </c>
      <c r="AC4921">
        <v>3762</v>
      </c>
      <c r="AD4921">
        <v>0</v>
      </c>
      <c r="AE4921">
        <v>0</v>
      </c>
      <c r="AF4921">
        <v>0</v>
      </c>
      <c r="AG4921">
        <v>0</v>
      </c>
      <c r="AH4921">
        <v>0</v>
      </c>
      <c r="AI4921">
        <v>0</v>
      </c>
      <c r="AJ4921">
        <v>0</v>
      </c>
      <c r="AK4921">
        <v>0</v>
      </c>
      <c r="AL4921">
        <v>0</v>
      </c>
      <c r="AM4921">
        <v>0</v>
      </c>
      <c r="AN4921">
        <v>0</v>
      </c>
      <c r="AO4921">
        <v>1</v>
      </c>
      <c r="AP4921">
        <v>0</v>
      </c>
      <c r="AQ4921">
        <v>0</v>
      </c>
      <c r="AR4921">
        <v>0</v>
      </c>
      <c r="AS4921">
        <v>0</v>
      </c>
      <c r="AT4921">
        <v>0</v>
      </c>
      <c r="AU4921">
        <f t="shared" si="152"/>
        <v>1</v>
      </c>
      <c r="AV4921">
        <f t="shared" si="153"/>
        <v>0</v>
      </c>
    </row>
    <row r="4922" spans="1:48" x14ac:dyDescent="0.25">
      <c r="A4922" t="s">
        <v>16772</v>
      </c>
      <c r="B4922" t="s">
        <v>114</v>
      </c>
      <c r="C4922" t="s">
        <v>16773</v>
      </c>
      <c r="D4922" t="s">
        <v>16774</v>
      </c>
      <c r="E4922" t="s">
        <v>1663</v>
      </c>
      <c r="F4922">
        <v>3</v>
      </c>
      <c r="G4922">
        <v>3.2</v>
      </c>
      <c r="H4922" t="s">
        <v>2327</v>
      </c>
      <c r="I4922" s="21">
        <v>42719</v>
      </c>
      <c r="J4922">
        <v>2016</v>
      </c>
      <c r="K4922" s="21">
        <v>42788</v>
      </c>
      <c r="L4922">
        <v>2017</v>
      </c>
      <c r="M4922" s="21">
        <v>43178</v>
      </c>
      <c r="N4922">
        <v>2018</v>
      </c>
      <c r="S4922" t="s">
        <v>9529</v>
      </c>
      <c r="T4922">
        <v>11587</v>
      </c>
      <c r="U4922">
        <v>5</v>
      </c>
      <c r="W4922">
        <v>-700</v>
      </c>
      <c r="X4922">
        <v>-1</v>
      </c>
      <c r="Y4922">
        <v>0</v>
      </c>
      <c r="Z4922">
        <v>0</v>
      </c>
      <c r="AA4922">
        <v>0</v>
      </c>
      <c r="AB4922">
        <v>0</v>
      </c>
      <c r="AC4922">
        <v>-700</v>
      </c>
      <c r="AD4922">
        <v>0</v>
      </c>
      <c r="AE4922">
        <v>0</v>
      </c>
      <c r="AF4922">
        <v>0</v>
      </c>
      <c r="AG4922">
        <v>0</v>
      </c>
      <c r="AH4922">
        <v>0</v>
      </c>
      <c r="AI4922">
        <v>0</v>
      </c>
      <c r="AJ4922">
        <v>0</v>
      </c>
      <c r="AK4922">
        <v>0</v>
      </c>
      <c r="AL4922">
        <v>0</v>
      </c>
      <c r="AM4922">
        <v>0</v>
      </c>
      <c r="AN4922">
        <v>0</v>
      </c>
      <c r="AO4922">
        <v>-1</v>
      </c>
      <c r="AP4922">
        <v>0</v>
      </c>
      <c r="AQ4922">
        <v>0</v>
      </c>
      <c r="AR4922">
        <v>0</v>
      </c>
      <c r="AS4922">
        <v>0</v>
      </c>
      <c r="AT4922">
        <v>0</v>
      </c>
      <c r="AU4922">
        <f t="shared" si="152"/>
        <v>-1</v>
      </c>
      <c r="AV4922">
        <f t="shared" si="153"/>
        <v>0</v>
      </c>
    </row>
    <row r="4923" spans="1:48" x14ac:dyDescent="0.25">
      <c r="A4923" t="s">
        <v>16772</v>
      </c>
      <c r="B4923" t="s">
        <v>114</v>
      </c>
      <c r="C4923" t="s">
        <v>16773</v>
      </c>
      <c r="D4923" t="s">
        <v>16774</v>
      </c>
      <c r="E4923" t="s">
        <v>1663</v>
      </c>
      <c r="F4923">
        <v>3</v>
      </c>
      <c r="G4923">
        <v>3.2</v>
      </c>
      <c r="H4923" t="s">
        <v>2327</v>
      </c>
      <c r="I4923" s="21">
        <v>42719</v>
      </c>
      <c r="J4923">
        <v>2016</v>
      </c>
      <c r="K4923" s="21">
        <v>42788</v>
      </c>
      <c r="L4923">
        <v>2017</v>
      </c>
      <c r="M4923" s="21">
        <v>43178</v>
      </c>
      <c r="N4923">
        <v>2018</v>
      </c>
      <c r="Q4923" s="262">
        <v>1053245</v>
      </c>
      <c r="S4923" t="s">
        <v>12464</v>
      </c>
      <c r="T4923">
        <v>11587</v>
      </c>
      <c r="W4923">
        <v>2099</v>
      </c>
      <c r="X4923">
        <v>2</v>
      </c>
      <c r="Y4923">
        <v>0</v>
      </c>
      <c r="Z4923">
        <v>0</v>
      </c>
      <c r="AA4923">
        <v>0</v>
      </c>
      <c r="AB4923">
        <v>0</v>
      </c>
      <c r="AC4923">
        <v>2099</v>
      </c>
      <c r="AD4923">
        <v>0</v>
      </c>
      <c r="AE4923">
        <v>0</v>
      </c>
      <c r="AF4923">
        <v>0</v>
      </c>
      <c r="AG4923">
        <v>0</v>
      </c>
      <c r="AH4923">
        <v>0</v>
      </c>
      <c r="AI4923">
        <v>0</v>
      </c>
      <c r="AJ4923">
        <v>0</v>
      </c>
      <c r="AK4923">
        <v>0</v>
      </c>
      <c r="AL4923">
        <v>0</v>
      </c>
      <c r="AM4923">
        <v>0</v>
      </c>
      <c r="AN4923">
        <v>0</v>
      </c>
      <c r="AO4923">
        <v>1</v>
      </c>
      <c r="AP4923">
        <v>0</v>
      </c>
      <c r="AQ4923">
        <v>1</v>
      </c>
      <c r="AR4923">
        <v>0</v>
      </c>
      <c r="AS4923">
        <v>0</v>
      </c>
      <c r="AT4923">
        <v>0</v>
      </c>
      <c r="AU4923">
        <f t="shared" si="152"/>
        <v>2</v>
      </c>
      <c r="AV4923">
        <f t="shared" si="153"/>
        <v>0</v>
      </c>
    </row>
    <row r="4924" spans="1:48" x14ac:dyDescent="0.25">
      <c r="A4924" t="s">
        <v>18378</v>
      </c>
      <c r="B4924" t="s">
        <v>18378</v>
      </c>
      <c r="C4924" t="s">
        <v>18379</v>
      </c>
      <c r="D4924" t="s">
        <v>18377</v>
      </c>
      <c r="E4924" t="s">
        <v>2310</v>
      </c>
      <c r="F4924">
        <v>14</v>
      </c>
      <c r="G4924">
        <v>14.2</v>
      </c>
      <c r="H4924" t="s">
        <v>2017</v>
      </c>
      <c r="I4924" s="21">
        <v>42719.53665509259</v>
      </c>
      <c r="J4924">
        <v>2016</v>
      </c>
      <c r="K4924" s="21">
        <v>43406.521978784724</v>
      </c>
      <c r="L4924">
        <v>2018</v>
      </c>
      <c r="M4924" s="21">
        <v>43406.522353043983</v>
      </c>
      <c r="N4924">
        <v>2018</v>
      </c>
      <c r="Q4924" s="262">
        <v>450000</v>
      </c>
      <c r="R4924" s="262">
        <v>242000</v>
      </c>
      <c r="S4924" t="s">
        <v>13254</v>
      </c>
      <c r="W4924">
        <v>2140</v>
      </c>
      <c r="X4924">
        <v>1</v>
      </c>
      <c r="Y4924">
        <v>0</v>
      </c>
      <c r="Z4924">
        <v>0</v>
      </c>
      <c r="AA4924">
        <v>0</v>
      </c>
      <c r="AB4924">
        <v>0</v>
      </c>
      <c r="AC4924">
        <v>2140</v>
      </c>
      <c r="AD4924">
        <v>0</v>
      </c>
      <c r="AE4924">
        <v>0</v>
      </c>
      <c r="AF4924">
        <v>0</v>
      </c>
      <c r="AG4924">
        <v>0</v>
      </c>
      <c r="AH4924">
        <v>0</v>
      </c>
      <c r="AI4924">
        <v>0</v>
      </c>
      <c r="AJ4924">
        <v>0</v>
      </c>
      <c r="AK4924">
        <v>0</v>
      </c>
      <c r="AL4924">
        <v>0</v>
      </c>
      <c r="AM4924">
        <v>0</v>
      </c>
      <c r="AN4924">
        <v>0</v>
      </c>
      <c r="AO4924">
        <v>1</v>
      </c>
      <c r="AP4924">
        <v>0</v>
      </c>
      <c r="AQ4924">
        <v>0</v>
      </c>
      <c r="AR4924">
        <v>0</v>
      </c>
      <c r="AS4924">
        <v>0</v>
      </c>
      <c r="AT4924">
        <v>0</v>
      </c>
      <c r="AU4924">
        <f t="shared" si="152"/>
        <v>1</v>
      </c>
      <c r="AV4924">
        <f t="shared" si="153"/>
        <v>0</v>
      </c>
    </row>
    <row r="4925" spans="1:48" x14ac:dyDescent="0.25">
      <c r="A4925" t="s">
        <v>18376</v>
      </c>
      <c r="B4925" t="s">
        <v>18376</v>
      </c>
      <c r="C4925" t="s">
        <v>13256</v>
      </c>
      <c r="D4925" t="s">
        <v>18377</v>
      </c>
      <c r="E4925" t="s">
        <v>2310</v>
      </c>
      <c r="F4925">
        <v>14</v>
      </c>
      <c r="G4925">
        <v>14.2</v>
      </c>
      <c r="H4925" t="s">
        <v>2017</v>
      </c>
      <c r="I4925" s="21">
        <v>42719.551851851851</v>
      </c>
      <c r="J4925">
        <v>2016</v>
      </c>
      <c r="K4925" s="21">
        <v>42830.582129629627</v>
      </c>
      <c r="L4925">
        <v>2017</v>
      </c>
      <c r="M4925" s="21">
        <v>43406.521602430556</v>
      </c>
      <c r="N4925">
        <v>2018</v>
      </c>
      <c r="Q4925" s="262">
        <v>75000</v>
      </c>
      <c r="R4925" s="262">
        <v>32000</v>
      </c>
      <c r="S4925" t="s">
        <v>13254</v>
      </c>
      <c r="W4925">
        <v>728</v>
      </c>
      <c r="X4925">
        <v>0</v>
      </c>
      <c r="Y4925">
        <v>0</v>
      </c>
      <c r="Z4925">
        <v>0</v>
      </c>
      <c r="AA4925">
        <v>0</v>
      </c>
      <c r="AB4925">
        <v>0</v>
      </c>
      <c r="AC4925">
        <v>728</v>
      </c>
      <c r="AD4925">
        <v>0</v>
      </c>
      <c r="AE4925">
        <v>0</v>
      </c>
      <c r="AF4925">
        <v>0</v>
      </c>
      <c r="AG4925">
        <v>0</v>
      </c>
      <c r="AH4925">
        <v>0</v>
      </c>
      <c r="AI4925">
        <v>0</v>
      </c>
      <c r="AJ4925">
        <v>0</v>
      </c>
      <c r="AK4925">
        <v>0</v>
      </c>
      <c r="AL4925">
        <v>0</v>
      </c>
      <c r="AM4925">
        <v>0</v>
      </c>
      <c r="AN4925">
        <v>0</v>
      </c>
      <c r="AO4925">
        <v>0</v>
      </c>
      <c r="AP4925">
        <v>0</v>
      </c>
      <c r="AQ4925">
        <v>0</v>
      </c>
      <c r="AR4925">
        <v>0</v>
      </c>
      <c r="AS4925">
        <v>0</v>
      </c>
      <c r="AT4925">
        <v>0</v>
      </c>
      <c r="AU4925">
        <f t="shared" si="152"/>
        <v>0</v>
      </c>
      <c r="AV4925">
        <f t="shared" si="153"/>
        <v>0</v>
      </c>
    </row>
    <row r="4926" spans="1:48" x14ac:dyDescent="0.25">
      <c r="A4926" t="s">
        <v>17527</v>
      </c>
      <c r="B4926" t="s">
        <v>17527</v>
      </c>
      <c r="C4926" t="s">
        <v>17528</v>
      </c>
      <c r="D4926" t="s">
        <v>6647</v>
      </c>
      <c r="E4926" t="s">
        <v>2310</v>
      </c>
      <c r="F4926">
        <v>7</v>
      </c>
      <c r="G4926">
        <v>7.1</v>
      </c>
      <c r="H4926" t="s">
        <v>2017</v>
      </c>
      <c r="I4926" s="21">
        <v>42719.586006944446</v>
      </c>
      <c r="J4926">
        <v>2016</v>
      </c>
      <c r="K4926" s="21">
        <v>42851.549479166664</v>
      </c>
      <c r="L4926">
        <v>2017</v>
      </c>
      <c r="M4926" s="21">
        <v>43045.653611111113</v>
      </c>
      <c r="N4926">
        <v>2017</v>
      </c>
      <c r="Q4926" s="262">
        <v>20000</v>
      </c>
      <c r="R4926" s="262">
        <v>5000</v>
      </c>
      <c r="S4926" t="s">
        <v>13254</v>
      </c>
      <c r="W4926">
        <v>100</v>
      </c>
      <c r="X4926">
        <v>0</v>
      </c>
      <c r="Y4926">
        <v>0</v>
      </c>
      <c r="Z4926">
        <v>0</v>
      </c>
      <c r="AA4926">
        <v>0</v>
      </c>
      <c r="AB4926">
        <v>0</v>
      </c>
      <c r="AC4926">
        <v>0</v>
      </c>
      <c r="AD4926">
        <v>0</v>
      </c>
      <c r="AE4926">
        <v>0</v>
      </c>
      <c r="AF4926">
        <v>0</v>
      </c>
      <c r="AG4926">
        <v>0</v>
      </c>
      <c r="AH4926">
        <v>0</v>
      </c>
      <c r="AI4926">
        <v>0</v>
      </c>
      <c r="AJ4926">
        <v>0</v>
      </c>
      <c r="AK4926">
        <v>0</v>
      </c>
      <c r="AL4926">
        <v>100</v>
      </c>
      <c r="AM4926">
        <v>0</v>
      </c>
      <c r="AN4926">
        <v>0</v>
      </c>
      <c r="AO4926">
        <v>0</v>
      </c>
      <c r="AP4926">
        <v>0</v>
      </c>
      <c r="AQ4926">
        <v>0</v>
      </c>
      <c r="AR4926">
        <v>0</v>
      </c>
      <c r="AS4926">
        <v>0</v>
      </c>
      <c r="AT4926">
        <v>0</v>
      </c>
      <c r="AU4926">
        <f t="shared" si="152"/>
        <v>0</v>
      </c>
      <c r="AV4926">
        <f t="shared" si="153"/>
        <v>100</v>
      </c>
    </row>
    <row r="4927" spans="1:48" x14ac:dyDescent="0.25">
      <c r="A4927" t="s">
        <v>13454</v>
      </c>
      <c r="C4927" t="s">
        <v>13455</v>
      </c>
      <c r="D4927" t="s">
        <v>13048</v>
      </c>
      <c r="E4927" t="s">
        <v>1663</v>
      </c>
      <c r="F4927">
        <v>4</v>
      </c>
      <c r="G4927">
        <v>4.3</v>
      </c>
      <c r="H4927" t="s">
        <v>2327</v>
      </c>
      <c r="I4927" s="21">
        <v>42723</v>
      </c>
      <c r="J4927">
        <v>2016</v>
      </c>
      <c r="K4927" s="21">
        <v>42811</v>
      </c>
      <c r="L4927">
        <v>2017</v>
      </c>
      <c r="P4927" s="21">
        <v>43124</v>
      </c>
      <c r="Q4927" s="262">
        <v>382254</v>
      </c>
      <c r="S4927" t="s">
        <v>114</v>
      </c>
      <c r="T4927" t="s">
        <v>114</v>
      </c>
      <c r="W4927">
        <v>0</v>
      </c>
      <c r="X4927">
        <v>0</v>
      </c>
      <c r="Y4927">
        <v>0</v>
      </c>
      <c r="Z4927">
        <v>0</v>
      </c>
      <c r="AA4927">
        <v>0</v>
      </c>
      <c r="AB4927">
        <v>0</v>
      </c>
      <c r="AC4927">
        <v>0</v>
      </c>
      <c r="AD4927">
        <v>0</v>
      </c>
      <c r="AE4927">
        <v>0</v>
      </c>
      <c r="AF4927">
        <v>0</v>
      </c>
      <c r="AG4927">
        <v>0</v>
      </c>
      <c r="AH4927">
        <v>0</v>
      </c>
      <c r="AI4927">
        <v>0</v>
      </c>
      <c r="AJ4927">
        <v>0</v>
      </c>
      <c r="AK4927">
        <v>0</v>
      </c>
      <c r="AL4927">
        <v>0</v>
      </c>
      <c r="AM4927">
        <v>0</v>
      </c>
      <c r="AN4927">
        <v>0</v>
      </c>
      <c r="AO4927">
        <v>0</v>
      </c>
      <c r="AP4927">
        <v>0</v>
      </c>
      <c r="AQ4927">
        <v>0</v>
      </c>
      <c r="AR4927">
        <v>0</v>
      </c>
      <c r="AS4927">
        <v>0</v>
      </c>
      <c r="AT4927">
        <v>0</v>
      </c>
      <c r="AU4927">
        <f t="shared" si="152"/>
        <v>0</v>
      </c>
      <c r="AV4927">
        <f t="shared" si="153"/>
        <v>0</v>
      </c>
    </row>
    <row r="4928" spans="1:48" x14ac:dyDescent="0.25">
      <c r="A4928" t="s">
        <v>13456</v>
      </c>
      <c r="C4928" t="s">
        <v>11879</v>
      </c>
      <c r="D4928" t="s">
        <v>13457</v>
      </c>
      <c r="E4928" t="s">
        <v>1663</v>
      </c>
      <c r="F4928">
        <v>4</v>
      </c>
      <c r="G4928">
        <v>4.4000000000000004</v>
      </c>
      <c r="H4928" t="s">
        <v>2017</v>
      </c>
      <c r="I4928" s="21">
        <v>42725</v>
      </c>
      <c r="J4928">
        <v>2016</v>
      </c>
      <c r="K4928" s="21">
        <v>42745</v>
      </c>
      <c r="L4928">
        <v>2017</v>
      </c>
      <c r="M4928" s="21">
        <v>43896</v>
      </c>
      <c r="N4928">
        <v>2020</v>
      </c>
      <c r="Q4928" s="262">
        <v>35000</v>
      </c>
      <c r="S4928" t="s">
        <v>114</v>
      </c>
      <c r="T4928" t="s">
        <v>114</v>
      </c>
      <c r="W4928">
        <v>0</v>
      </c>
      <c r="X4928">
        <v>0</v>
      </c>
      <c r="Y4928">
        <v>0</v>
      </c>
      <c r="Z4928">
        <v>0</v>
      </c>
      <c r="AA4928">
        <v>0</v>
      </c>
      <c r="AB4928">
        <v>0</v>
      </c>
      <c r="AC4928">
        <v>0</v>
      </c>
      <c r="AD4928">
        <v>0</v>
      </c>
      <c r="AE4928">
        <v>0</v>
      </c>
      <c r="AF4928">
        <v>0</v>
      </c>
      <c r="AG4928">
        <v>0</v>
      </c>
      <c r="AH4928">
        <v>0</v>
      </c>
      <c r="AI4928">
        <v>0</v>
      </c>
      <c r="AJ4928">
        <v>0</v>
      </c>
      <c r="AK4928">
        <v>0</v>
      </c>
      <c r="AL4928">
        <v>0</v>
      </c>
      <c r="AM4928">
        <v>0</v>
      </c>
      <c r="AN4928">
        <v>0</v>
      </c>
      <c r="AO4928">
        <v>0</v>
      </c>
      <c r="AP4928">
        <v>0</v>
      </c>
      <c r="AQ4928">
        <v>0</v>
      </c>
      <c r="AR4928">
        <v>0</v>
      </c>
      <c r="AS4928">
        <v>0</v>
      </c>
      <c r="AT4928">
        <v>0</v>
      </c>
      <c r="AU4928">
        <f t="shared" si="152"/>
        <v>0</v>
      </c>
      <c r="AV4928">
        <f t="shared" si="153"/>
        <v>0</v>
      </c>
    </row>
    <row r="4929" spans="1:48" x14ac:dyDescent="0.25">
      <c r="A4929" t="s">
        <v>17417</v>
      </c>
      <c r="C4929" t="s">
        <v>17418</v>
      </c>
      <c r="D4929" t="s">
        <v>13417</v>
      </c>
      <c r="E4929" t="s">
        <v>1663</v>
      </c>
      <c r="F4929">
        <v>3</v>
      </c>
      <c r="G4929">
        <v>3.2</v>
      </c>
      <c r="H4929" t="s">
        <v>2327</v>
      </c>
      <c r="I4929" s="21">
        <v>42725</v>
      </c>
      <c r="J4929">
        <v>2016</v>
      </c>
      <c r="K4929" s="21">
        <v>42766</v>
      </c>
      <c r="L4929">
        <v>2017</v>
      </c>
      <c r="M4929" s="21">
        <v>42984</v>
      </c>
      <c r="N4929">
        <v>2017</v>
      </c>
      <c r="Q4929" s="262">
        <v>35000</v>
      </c>
      <c r="S4929" t="s">
        <v>114</v>
      </c>
      <c r="T4929" t="s">
        <v>114</v>
      </c>
      <c r="W4929">
        <v>0</v>
      </c>
      <c r="X4929">
        <v>0</v>
      </c>
      <c r="Y4929">
        <v>0</v>
      </c>
      <c r="Z4929">
        <v>0</v>
      </c>
      <c r="AA4929">
        <v>0</v>
      </c>
      <c r="AB4929">
        <v>0</v>
      </c>
      <c r="AC4929">
        <v>0</v>
      </c>
      <c r="AD4929">
        <v>0</v>
      </c>
      <c r="AE4929">
        <v>0</v>
      </c>
      <c r="AF4929">
        <v>0</v>
      </c>
      <c r="AG4929">
        <v>0</v>
      </c>
      <c r="AH4929">
        <v>0</v>
      </c>
      <c r="AI4929">
        <v>0</v>
      </c>
      <c r="AJ4929">
        <v>0</v>
      </c>
      <c r="AK4929">
        <v>0</v>
      </c>
      <c r="AL4929">
        <v>0</v>
      </c>
      <c r="AM4929">
        <v>0</v>
      </c>
      <c r="AN4929">
        <v>0</v>
      </c>
      <c r="AO4929">
        <v>0</v>
      </c>
      <c r="AP4929">
        <v>0</v>
      </c>
      <c r="AQ4929">
        <v>0</v>
      </c>
      <c r="AR4929">
        <v>0</v>
      </c>
      <c r="AS4929">
        <v>0</v>
      </c>
      <c r="AT4929">
        <v>0</v>
      </c>
      <c r="AU4929">
        <f t="shared" si="152"/>
        <v>0</v>
      </c>
      <c r="AV4929">
        <f t="shared" si="153"/>
        <v>0</v>
      </c>
    </row>
    <row r="4930" spans="1:48" x14ac:dyDescent="0.25">
      <c r="A4930" t="s">
        <v>13460</v>
      </c>
      <c r="B4930" t="s">
        <v>13460</v>
      </c>
      <c r="C4930" t="s">
        <v>13461</v>
      </c>
      <c r="D4930" t="s">
        <v>13462</v>
      </c>
      <c r="E4930" t="s">
        <v>2310</v>
      </c>
      <c r="F4930">
        <v>11</v>
      </c>
      <c r="G4930">
        <v>11.2</v>
      </c>
      <c r="H4930" t="s">
        <v>2017</v>
      </c>
      <c r="I4930" s="21">
        <v>42725.599421296298</v>
      </c>
      <c r="J4930">
        <v>2016</v>
      </c>
      <c r="K4930" s="21">
        <v>42822.552025463003</v>
      </c>
      <c r="L4930">
        <v>2017</v>
      </c>
      <c r="O4930" s="21">
        <v>42822.552025463003</v>
      </c>
      <c r="Q4930" s="262">
        <v>460000</v>
      </c>
      <c r="R4930" s="262">
        <v>324000</v>
      </c>
      <c r="S4930" t="s">
        <v>114</v>
      </c>
      <c r="T4930" t="s">
        <v>114</v>
      </c>
      <c r="W4930">
        <v>3085</v>
      </c>
      <c r="X4930">
        <v>1</v>
      </c>
      <c r="Y4930">
        <v>0</v>
      </c>
      <c r="Z4930">
        <v>0</v>
      </c>
      <c r="AA4930">
        <v>0</v>
      </c>
      <c r="AB4930">
        <v>0</v>
      </c>
      <c r="AC4930">
        <v>3085</v>
      </c>
      <c r="AD4930">
        <v>0</v>
      </c>
      <c r="AE4930">
        <v>0</v>
      </c>
      <c r="AF4930">
        <v>0</v>
      </c>
      <c r="AG4930">
        <v>0</v>
      </c>
      <c r="AH4930">
        <v>0</v>
      </c>
      <c r="AI4930">
        <v>0</v>
      </c>
      <c r="AJ4930">
        <v>0</v>
      </c>
      <c r="AK4930">
        <v>0</v>
      </c>
      <c r="AL4930">
        <v>0</v>
      </c>
      <c r="AM4930">
        <v>0</v>
      </c>
      <c r="AN4930">
        <v>0</v>
      </c>
      <c r="AO4930">
        <v>1</v>
      </c>
      <c r="AP4930">
        <v>0</v>
      </c>
      <c r="AQ4930">
        <v>0</v>
      </c>
      <c r="AR4930">
        <v>0</v>
      </c>
      <c r="AS4930">
        <v>0</v>
      </c>
      <c r="AT4930">
        <v>0</v>
      </c>
      <c r="AU4930">
        <f t="shared" si="152"/>
        <v>1</v>
      </c>
      <c r="AV4930">
        <f t="shared" si="153"/>
        <v>0</v>
      </c>
    </row>
    <row r="4931" spans="1:48" x14ac:dyDescent="0.25">
      <c r="A4931" t="s">
        <v>13463</v>
      </c>
      <c r="B4931" t="s">
        <v>13463</v>
      </c>
      <c r="C4931" t="s">
        <v>13464</v>
      </c>
      <c r="D4931" t="s">
        <v>13465</v>
      </c>
      <c r="E4931" t="s">
        <v>2310</v>
      </c>
      <c r="F4931">
        <v>9</v>
      </c>
      <c r="G4931">
        <v>9.4</v>
      </c>
      <c r="H4931" t="s">
        <v>2323</v>
      </c>
      <c r="I4931" s="21">
        <v>42726.515034722201</v>
      </c>
      <c r="J4931">
        <v>2016</v>
      </c>
      <c r="O4931" s="21">
        <v>43182.416319444397</v>
      </c>
      <c r="Q4931" s="262">
        <v>1300000</v>
      </c>
      <c r="R4931" s="262">
        <v>588000</v>
      </c>
      <c r="S4931" t="s">
        <v>114</v>
      </c>
      <c r="T4931" t="s">
        <v>114</v>
      </c>
      <c r="W4931">
        <v>4829</v>
      </c>
      <c r="X4931">
        <v>1</v>
      </c>
      <c r="Y4931">
        <v>0</v>
      </c>
      <c r="Z4931">
        <v>0</v>
      </c>
      <c r="AA4931">
        <v>0</v>
      </c>
      <c r="AB4931">
        <v>0</v>
      </c>
      <c r="AC4931">
        <v>4829</v>
      </c>
      <c r="AD4931">
        <v>0</v>
      </c>
      <c r="AE4931">
        <v>0</v>
      </c>
      <c r="AF4931">
        <v>0</v>
      </c>
      <c r="AG4931">
        <v>0</v>
      </c>
      <c r="AH4931">
        <v>0</v>
      </c>
      <c r="AI4931">
        <v>0</v>
      </c>
      <c r="AJ4931">
        <v>0</v>
      </c>
      <c r="AK4931">
        <v>0</v>
      </c>
      <c r="AL4931">
        <v>0</v>
      </c>
      <c r="AM4931">
        <v>0</v>
      </c>
      <c r="AN4931">
        <v>0</v>
      </c>
      <c r="AO4931">
        <v>1</v>
      </c>
      <c r="AP4931">
        <v>0</v>
      </c>
      <c r="AQ4931">
        <v>0</v>
      </c>
      <c r="AR4931">
        <v>0</v>
      </c>
      <c r="AS4931">
        <v>0</v>
      </c>
      <c r="AT4931">
        <v>0</v>
      </c>
      <c r="AU4931">
        <f t="shared" si="152"/>
        <v>1</v>
      </c>
      <c r="AV4931">
        <f t="shared" si="153"/>
        <v>0</v>
      </c>
    </row>
    <row r="4932" spans="1:48" x14ac:dyDescent="0.25">
      <c r="A4932" t="s">
        <v>13466</v>
      </c>
      <c r="B4932" t="s">
        <v>13466</v>
      </c>
      <c r="C4932" t="s">
        <v>13467</v>
      </c>
      <c r="D4932" t="s">
        <v>13465</v>
      </c>
      <c r="E4932" t="s">
        <v>2310</v>
      </c>
      <c r="F4932">
        <v>9</v>
      </c>
      <c r="G4932">
        <v>9.4</v>
      </c>
      <c r="H4932" t="s">
        <v>2323</v>
      </c>
      <c r="I4932" s="21">
        <v>42726.538854166698</v>
      </c>
      <c r="J4932">
        <v>2016</v>
      </c>
      <c r="O4932" s="21">
        <v>43182.416840277801</v>
      </c>
      <c r="Q4932" s="262">
        <v>614750</v>
      </c>
      <c r="R4932" s="262">
        <v>189000</v>
      </c>
      <c r="S4932" t="s">
        <v>114</v>
      </c>
      <c r="T4932" t="s">
        <v>114</v>
      </c>
      <c r="W4932">
        <v>2459</v>
      </c>
      <c r="X4932">
        <v>1</v>
      </c>
      <c r="Y4932">
        <v>0</v>
      </c>
      <c r="Z4932">
        <v>0</v>
      </c>
      <c r="AA4932">
        <v>0</v>
      </c>
      <c r="AB4932">
        <v>0</v>
      </c>
      <c r="AC4932">
        <v>1461</v>
      </c>
      <c r="AD4932">
        <v>0</v>
      </c>
      <c r="AE4932">
        <v>0</v>
      </c>
      <c r="AF4932">
        <v>998</v>
      </c>
      <c r="AG4932">
        <v>0</v>
      </c>
      <c r="AH4932">
        <v>0</v>
      </c>
      <c r="AI4932">
        <v>0</v>
      </c>
      <c r="AJ4932">
        <v>0</v>
      </c>
      <c r="AK4932">
        <v>0</v>
      </c>
      <c r="AL4932">
        <v>0</v>
      </c>
      <c r="AM4932">
        <v>0</v>
      </c>
      <c r="AN4932">
        <v>0</v>
      </c>
      <c r="AO4932">
        <v>0</v>
      </c>
      <c r="AP4932">
        <v>0</v>
      </c>
      <c r="AQ4932">
        <v>0</v>
      </c>
      <c r="AR4932">
        <v>1</v>
      </c>
      <c r="AS4932">
        <v>0</v>
      </c>
      <c r="AT4932">
        <v>0</v>
      </c>
      <c r="AU4932">
        <f t="shared" si="152"/>
        <v>0</v>
      </c>
      <c r="AV4932">
        <f t="shared" si="153"/>
        <v>0</v>
      </c>
    </row>
    <row r="4933" spans="1:48" x14ac:dyDescent="0.25">
      <c r="A4933" t="s">
        <v>18157</v>
      </c>
      <c r="B4933" t="s">
        <v>18157</v>
      </c>
      <c r="C4933" t="s">
        <v>18158</v>
      </c>
      <c r="D4933" t="s">
        <v>18159</v>
      </c>
      <c r="E4933" t="s">
        <v>2310</v>
      </c>
      <c r="F4933">
        <v>9</v>
      </c>
      <c r="G4933">
        <v>9.1</v>
      </c>
      <c r="H4933" t="s">
        <v>2323</v>
      </c>
      <c r="I4933" s="21">
        <v>42726.619849537034</v>
      </c>
      <c r="J4933">
        <v>2016</v>
      </c>
      <c r="K4933" s="21">
        <v>42817.618310185186</v>
      </c>
      <c r="L4933">
        <v>2017</v>
      </c>
      <c r="M4933" s="21">
        <v>43298.471321874997</v>
      </c>
      <c r="N4933">
        <v>2018</v>
      </c>
      <c r="Q4933" s="262">
        <v>1723680</v>
      </c>
      <c r="R4933" s="262">
        <v>593000</v>
      </c>
      <c r="S4933" t="s">
        <v>13254</v>
      </c>
      <c r="W4933">
        <v>4809</v>
      </c>
      <c r="X4933">
        <v>1</v>
      </c>
      <c r="Y4933">
        <v>0</v>
      </c>
      <c r="Z4933">
        <v>0</v>
      </c>
      <c r="AA4933">
        <v>0</v>
      </c>
      <c r="AB4933">
        <v>0</v>
      </c>
      <c r="AC4933">
        <v>4809</v>
      </c>
      <c r="AD4933">
        <v>0</v>
      </c>
      <c r="AE4933">
        <v>0</v>
      </c>
      <c r="AF4933">
        <v>0</v>
      </c>
      <c r="AG4933">
        <v>0</v>
      </c>
      <c r="AH4933">
        <v>0</v>
      </c>
      <c r="AI4933">
        <v>0</v>
      </c>
      <c r="AJ4933">
        <v>0</v>
      </c>
      <c r="AK4933">
        <v>0</v>
      </c>
      <c r="AL4933">
        <v>0</v>
      </c>
      <c r="AM4933">
        <v>0</v>
      </c>
      <c r="AN4933">
        <v>0</v>
      </c>
      <c r="AO4933">
        <v>1</v>
      </c>
      <c r="AP4933">
        <v>0</v>
      </c>
      <c r="AQ4933">
        <v>0</v>
      </c>
      <c r="AR4933">
        <v>0</v>
      </c>
      <c r="AS4933">
        <v>0</v>
      </c>
      <c r="AT4933">
        <v>0</v>
      </c>
      <c r="AU4933">
        <f t="shared" si="152"/>
        <v>1</v>
      </c>
      <c r="AV4933">
        <f t="shared" si="153"/>
        <v>0</v>
      </c>
    </row>
    <row r="4934" spans="1:48" x14ac:dyDescent="0.25">
      <c r="A4934" t="s">
        <v>19185</v>
      </c>
      <c r="B4934" t="s">
        <v>114</v>
      </c>
      <c r="C4934" t="s">
        <v>19186</v>
      </c>
      <c r="D4934" t="s">
        <v>16774</v>
      </c>
      <c r="E4934" t="s">
        <v>1663</v>
      </c>
      <c r="F4934">
        <v>3</v>
      </c>
      <c r="G4934">
        <v>3.2</v>
      </c>
      <c r="H4934" t="s">
        <v>2327</v>
      </c>
      <c r="I4934" s="21">
        <v>42727</v>
      </c>
      <c r="J4934">
        <v>2016</v>
      </c>
      <c r="K4934" s="21">
        <v>42788</v>
      </c>
      <c r="L4934">
        <v>2017</v>
      </c>
      <c r="M4934" s="21">
        <v>43164</v>
      </c>
      <c r="N4934">
        <v>2018</v>
      </c>
      <c r="Q4934" s="262">
        <v>200000</v>
      </c>
      <c r="S4934" t="s">
        <v>12464</v>
      </c>
      <c r="T4934">
        <v>11587</v>
      </c>
      <c r="W4934">
        <v>1200</v>
      </c>
      <c r="X4934">
        <v>1</v>
      </c>
      <c r="Y4934">
        <v>0</v>
      </c>
      <c r="Z4934">
        <v>0</v>
      </c>
      <c r="AA4934">
        <v>0</v>
      </c>
      <c r="AB4934">
        <v>0</v>
      </c>
      <c r="AC4934">
        <v>600</v>
      </c>
      <c r="AD4934">
        <v>0</v>
      </c>
      <c r="AE4934">
        <v>0</v>
      </c>
      <c r="AF4934">
        <v>600</v>
      </c>
      <c r="AG4934">
        <v>0</v>
      </c>
      <c r="AH4934">
        <v>0</v>
      </c>
      <c r="AI4934">
        <v>0</v>
      </c>
      <c r="AJ4934">
        <v>0</v>
      </c>
      <c r="AK4934">
        <v>0</v>
      </c>
      <c r="AL4934">
        <v>0</v>
      </c>
      <c r="AM4934">
        <v>0</v>
      </c>
      <c r="AN4934">
        <v>0</v>
      </c>
      <c r="AO4934">
        <v>0</v>
      </c>
      <c r="AP4934">
        <v>0</v>
      </c>
      <c r="AQ4934">
        <v>0</v>
      </c>
      <c r="AR4934">
        <v>1</v>
      </c>
      <c r="AS4934">
        <v>0</v>
      </c>
      <c r="AT4934">
        <v>0</v>
      </c>
      <c r="AU4934">
        <f t="shared" si="152"/>
        <v>0</v>
      </c>
      <c r="AV4934">
        <f t="shared" si="153"/>
        <v>0</v>
      </c>
    </row>
    <row r="4935" spans="1:48" x14ac:dyDescent="0.25">
      <c r="A4935" t="s">
        <v>16784</v>
      </c>
      <c r="B4935" t="s">
        <v>114</v>
      </c>
      <c r="C4935" t="s">
        <v>13509</v>
      </c>
      <c r="D4935" t="s">
        <v>2681</v>
      </c>
      <c r="E4935" t="s">
        <v>1663</v>
      </c>
      <c r="F4935">
        <v>2</v>
      </c>
      <c r="G4935">
        <v>2.2000000000000002</v>
      </c>
      <c r="H4935" t="s">
        <v>2327</v>
      </c>
      <c r="I4935" s="21">
        <v>42727</v>
      </c>
      <c r="J4935">
        <v>2016</v>
      </c>
      <c r="K4935" s="21">
        <v>42933</v>
      </c>
      <c r="L4935">
        <v>2017</v>
      </c>
      <c r="M4935" s="21">
        <v>43343</v>
      </c>
      <c r="N4935">
        <v>2018</v>
      </c>
      <c r="S4935" t="s">
        <v>9529</v>
      </c>
      <c r="T4935">
        <v>9615</v>
      </c>
      <c r="U4935">
        <v>18</v>
      </c>
      <c r="W4935">
        <v>-4936</v>
      </c>
      <c r="X4935">
        <v>0</v>
      </c>
      <c r="Y4935">
        <v>0</v>
      </c>
      <c r="Z4935">
        <v>0</v>
      </c>
      <c r="AA4935">
        <v>0</v>
      </c>
      <c r="AB4935">
        <v>-4680</v>
      </c>
      <c r="AC4935">
        <v>0</v>
      </c>
      <c r="AD4935">
        <v>0</v>
      </c>
      <c r="AE4935">
        <v>0</v>
      </c>
      <c r="AF4935">
        <v>0</v>
      </c>
      <c r="AG4935">
        <v>0</v>
      </c>
      <c r="AH4935">
        <v>0</v>
      </c>
      <c r="AI4935">
        <v>0</v>
      </c>
      <c r="AJ4935">
        <v>0</v>
      </c>
      <c r="AK4935">
        <v>-256</v>
      </c>
      <c r="AL4935">
        <v>0</v>
      </c>
      <c r="AM4935">
        <v>0</v>
      </c>
      <c r="AN4935">
        <v>0</v>
      </c>
      <c r="AO4935">
        <v>0</v>
      </c>
      <c r="AP4935">
        <v>0</v>
      </c>
      <c r="AQ4935">
        <v>0</v>
      </c>
      <c r="AR4935">
        <v>0</v>
      </c>
      <c r="AS4935">
        <v>0</v>
      </c>
      <c r="AT4935">
        <v>0</v>
      </c>
      <c r="AU4935">
        <f t="shared" si="152"/>
        <v>0</v>
      </c>
      <c r="AV4935">
        <f t="shared" si="153"/>
        <v>-4936</v>
      </c>
    </row>
    <row r="4936" spans="1:48" x14ac:dyDescent="0.25">
      <c r="A4936" t="s">
        <v>16784</v>
      </c>
      <c r="B4936" t="s">
        <v>114</v>
      </c>
      <c r="C4936" t="s">
        <v>13509</v>
      </c>
      <c r="D4936" t="s">
        <v>13729</v>
      </c>
      <c r="E4936" t="s">
        <v>1663</v>
      </c>
      <c r="F4936">
        <v>2</v>
      </c>
      <c r="G4936">
        <v>2.2000000000000002</v>
      </c>
      <c r="H4936" t="s">
        <v>2327</v>
      </c>
      <c r="I4936" s="21">
        <v>42727</v>
      </c>
      <c r="J4936">
        <v>2016</v>
      </c>
      <c r="K4936" s="21">
        <v>42933</v>
      </c>
      <c r="L4936">
        <v>2017</v>
      </c>
      <c r="M4936" s="21">
        <v>43343</v>
      </c>
      <c r="N4936">
        <v>2018</v>
      </c>
      <c r="Q4936" s="262">
        <v>2000000</v>
      </c>
      <c r="S4936" t="s">
        <v>12464</v>
      </c>
      <c r="T4936">
        <v>9615</v>
      </c>
      <c r="W4936">
        <v>0</v>
      </c>
      <c r="X4936">
        <v>3</v>
      </c>
      <c r="Y4936">
        <v>0</v>
      </c>
      <c r="Z4936">
        <v>0</v>
      </c>
      <c r="AA4936">
        <v>0</v>
      </c>
      <c r="AB4936">
        <v>0</v>
      </c>
      <c r="AC4936">
        <v>0</v>
      </c>
      <c r="AD4936">
        <v>0</v>
      </c>
      <c r="AE4936">
        <v>3410</v>
      </c>
      <c r="AF4936">
        <v>0</v>
      </c>
      <c r="AG4936">
        <v>0</v>
      </c>
      <c r="AH4936">
        <v>6700</v>
      </c>
      <c r="AI4936">
        <v>0</v>
      </c>
      <c r="AJ4936">
        <v>0</v>
      </c>
      <c r="AK4936">
        <v>900</v>
      </c>
      <c r="AL4936">
        <v>0</v>
      </c>
      <c r="AM4936">
        <v>0</v>
      </c>
      <c r="AN4936">
        <v>0</v>
      </c>
      <c r="AO4936">
        <v>0</v>
      </c>
      <c r="AP4936">
        <v>0</v>
      </c>
      <c r="AQ4936">
        <v>3</v>
      </c>
      <c r="AR4936">
        <v>0</v>
      </c>
      <c r="AS4936">
        <v>0</v>
      </c>
      <c r="AT4936">
        <v>0</v>
      </c>
      <c r="AU4936">
        <f t="shared" si="152"/>
        <v>3</v>
      </c>
      <c r="AV4936">
        <f t="shared" si="153"/>
        <v>7600</v>
      </c>
    </row>
    <row r="4937" spans="1:48" x14ac:dyDescent="0.25">
      <c r="A4937" t="s">
        <v>18688</v>
      </c>
      <c r="B4937" t="s">
        <v>18688</v>
      </c>
      <c r="C4937" t="s">
        <v>18689</v>
      </c>
      <c r="D4937" t="s">
        <v>18690</v>
      </c>
      <c r="E4937" t="s">
        <v>2310</v>
      </c>
      <c r="F4937">
        <v>8</v>
      </c>
      <c r="G4937">
        <v>8.1999999999999993</v>
      </c>
      <c r="H4937" t="s">
        <v>2022</v>
      </c>
      <c r="I4937" s="21">
        <v>42727.428032407406</v>
      </c>
      <c r="J4937">
        <v>2016</v>
      </c>
      <c r="K4937" s="21">
        <v>42831.672997685186</v>
      </c>
      <c r="L4937">
        <v>2017</v>
      </c>
      <c r="M4937" s="21">
        <v>43620.441596377314</v>
      </c>
      <c r="N4937">
        <v>2019</v>
      </c>
      <c r="Q4937" s="262">
        <v>1200000</v>
      </c>
      <c r="R4937" s="262">
        <v>529000</v>
      </c>
      <c r="S4937" t="s">
        <v>13254</v>
      </c>
      <c r="W4937">
        <v>4953</v>
      </c>
      <c r="X4937">
        <v>1</v>
      </c>
      <c r="Y4937">
        <v>0</v>
      </c>
      <c r="Z4937">
        <v>0</v>
      </c>
      <c r="AA4937">
        <v>0</v>
      </c>
      <c r="AB4937">
        <v>0</v>
      </c>
      <c r="AC4937">
        <v>4953</v>
      </c>
      <c r="AD4937">
        <v>0</v>
      </c>
      <c r="AE4937">
        <v>0</v>
      </c>
      <c r="AF4937">
        <v>0</v>
      </c>
      <c r="AG4937">
        <v>0</v>
      </c>
      <c r="AH4937">
        <v>0</v>
      </c>
      <c r="AI4937">
        <v>0</v>
      </c>
      <c r="AJ4937">
        <v>0</v>
      </c>
      <c r="AK4937">
        <v>0</v>
      </c>
      <c r="AL4937">
        <v>0</v>
      </c>
      <c r="AM4937">
        <v>0</v>
      </c>
      <c r="AN4937">
        <v>0</v>
      </c>
      <c r="AO4937">
        <v>1</v>
      </c>
      <c r="AP4937">
        <v>0</v>
      </c>
      <c r="AQ4937">
        <v>0</v>
      </c>
      <c r="AR4937">
        <v>0</v>
      </c>
      <c r="AS4937">
        <v>0</v>
      </c>
      <c r="AT4937">
        <v>0</v>
      </c>
      <c r="AU4937">
        <f t="shared" si="152"/>
        <v>1</v>
      </c>
      <c r="AV4937">
        <f t="shared" si="153"/>
        <v>0</v>
      </c>
    </row>
    <row r="4938" spans="1:48" x14ac:dyDescent="0.25">
      <c r="A4938" t="s">
        <v>17423</v>
      </c>
      <c r="B4938" t="s">
        <v>114</v>
      </c>
      <c r="C4938" t="s">
        <v>12299</v>
      </c>
      <c r="D4938" t="s">
        <v>17424</v>
      </c>
      <c r="E4938" t="s">
        <v>1663</v>
      </c>
      <c r="F4938">
        <v>3</v>
      </c>
      <c r="G4938">
        <v>3.1</v>
      </c>
      <c r="H4938" t="s">
        <v>2017</v>
      </c>
      <c r="I4938" s="21">
        <v>42740</v>
      </c>
      <c r="J4938">
        <v>2017</v>
      </c>
      <c r="K4938" s="21">
        <v>42779</v>
      </c>
      <c r="L4938">
        <v>2017</v>
      </c>
      <c r="M4938" s="21">
        <v>42891</v>
      </c>
      <c r="N4938">
        <v>2017</v>
      </c>
      <c r="Q4938" s="262">
        <v>400000</v>
      </c>
      <c r="S4938" t="s">
        <v>13253</v>
      </c>
      <c r="T4938">
        <v>10481</v>
      </c>
      <c r="W4938">
        <v>330</v>
      </c>
      <c r="X4938">
        <v>0</v>
      </c>
      <c r="AC4938">
        <v>330</v>
      </c>
      <c r="AU4938">
        <f t="shared" si="152"/>
        <v>0</v>
      </c>
      <c r="AV4938">
        <f t="shared" si="153"/>
        <v>0</v>
      </c>
    </row>
    <row r="4939" spans="1:48" x14ac:dyDescent="0.25">
      <c r="A4939" t="s">
        <v>17425</v>
      </c>
      <c r="C4939" t="s">
        <v>17426</v>
      </c>
      <c r="D4939" t="s">
        <v>14311</v>
      </c>
      <c r="E4939" t="s">
        <v>1663</v>
      </c>
      <c r="F4939">
        <v>4</v>
      </c>
      <c r="G4939">
        <v>4.3</v>
      </c>
      <c r="H4939" t="s">
        <v>2327</v>
      </c>
      <c r="I4939" s="21">
        <v>42747</v>
      </c>
      <c r="J4939">
        <v>2017</v>
      </c>
      <c r="K4939" s="21">
        <v>42781</v>
      </c>
      <c r="L4939">
        <v>2017</v>
      </c>
      <c r="M4939" s="21">
        <v>42796</v>
      </c>
      <c r="N4939">
        <v>2017</v>
      </c>
      <c r="Q4939" s="262">
        <v>15000</v>
      </c>
      <c r="S4939" t="s">
        <v>114</v>
      </c>
      <c r="T4939" t="s">
        <v>114</v>
      </c>
      <c r="W4939">
        <v>0</v>
      </c>
      <c r="X4939">
        <v>0</v>
      </c>
      <c r="AU4939">
        <f t="shared" si="152"/>
        <v>0</v>
      </c>
      <c r="AV4939">
        <f t="shared" si="153"/>
        <v>0</v>
      </c>
    </row>
    <row r="4940" spans="1:48" x14ac:dyDescent="0.25">
      <c r="A4940" t="s">
        <v>13470</v>
      </c>
      <c r="C4940" t="s">
        <v>13471</v>
      </c>
      <c r="D4940" t="s">
        <v>13472</v>
      </c>
      <c r="E4940" t="s">
        <v>1663</v>
      </c>
      <c r="F4940">
        <v>3</v>
      </c>
      <c r="G4940">
        <v>3.1</v>
      </c>
      <c r="H4940" t="s">
        <v>2017</v>
      </c>
      <c r="I4940" s="21">
        <v>42747</v>
      </c>
      <c r="J4940">
        <v>2017</v>
      </c>
      <c r="K4940" s="21">
        <v>42783</v>
      </c>
      <c r="L4940">
        <v>2017</v>
      </c>
      <c r="M4940" s="21">
        <v>43910</v>
      </c>
      <c r="N4940">
        <v>2020</v>
      </c>
      <c r="Q4940" s="262">
        <v>3000</v>
      </c>
      <c r="S4940" t="s">
        <v>114</v>
      </c>
      <c r="T4940" t="s">
        <v>114</v>
      </c>
      <c r="W4940">
        <v>0</v>
      </c>
      <c r="X4940">
        <v>0</v>
      </c>
      <c r="AU4940">
        <f t="shared" si="152"/>
        <v>0</v>
      </c>
      <c r="AV4940">
        <f t="shared" si="153"/>
        <v>0</v>
      </c>
    </row>
    <row r="4941" spans="1:48" x14ac:dyDescent="0.25">
      <c r="A4941" t="s">
        <v>17429</v>
      </c>
      <c r="C4941" t="s">
        <v>17430</v>
      </c>
      <c r="D4941" t="s">
        <v>17431</v>
      </c>
      <c r="E4941" t="s">
        <v>1663</v>
      </c>
      <c r="F4941">
        <v>1</v>
      </c>
      <c r="G4941">
        <v>1.1000000000000001</v>
      </c>
      <c r="H4941" t="s">
        <v>2017</v>
      </c>
      <c r="I4941" s="21">
        <v>42748</v>
      </c>
      <c r="J4941">
        <v>2017</v>
      </c>
      <c r="M4941" s="21">
        <v>43082</v>
      </c>
      <c r="N4941">
        <v>2017</v>
      </c>
      <c r="Q4941" s="262">
        <v>5000</v>
      </c>
      <c r="S4941" t="s">
        <v>114</v>
      </c>
      <c r="T4941" t="s">
        <v>114</v>
      </c>
      <c r="W4941">
        <v>0</v>
      </c>
      <c r="X4941">
        <v>0</v>
      </c>
      <c r="AU4941">
        <f t="shared" si="152"/>
        <v>0</v>
      </c>
      <c r="AV4941">
        <f t="shared" si="153"/>
        <v>0</v>
      </c>
    </row>
    <row r="4942" spans="1:48" x14ac:dyDescent="0.25">
      <c r="A4942" t="s">
        <v>17529</v>
      </c>
      <c r="B4942" t="s">
        <v>17529</v>
      </c>
      <c r="C4942" t="s">
        <v>17530</v>
      </c>
      <c r="D4942" t="s">
        <v>17531</v>
      </c>
      <c r="E4942" t="s">
        <v>2310</v>
      </c>
      <c r="F4942">
        <v>13</v>
      </c>
      <c r="G4942">
        <v>13.1</v>
      </c>
      <c r="H4942" t="s">
        <v>2327</v>
      </c>
      <c r="I4942" s="21">
        <v>42752.599189814813</v>
      </c>
      <c r="J4942">
        <v>2017</v>
      </c>
      <c r="K4942" s="21">
        <v>42892.400231481479</v>
      </c>
      <c r="L4942">
        <v>2017</v>
      </c>
      <c r="M4942" s="21">
        <v>42892.596516203703</v>
      </c>
      <c r="N4942">
        <v>2017</v>
      </c>
      <c r="Q4942" s="262">
        <v>1750000</v>
      </c>
      <c r="R4942" s="262">
        <v>521000</v>
      </c>
      <c r="S4942" t="s">
        <v>13253</v>
      </c>
      <c r="T4942">
        <v>8448</v>
      </c>
      <c r="V4942">
        <v>1823</v>
      </c>
      <c r="W4942">
        <v>116</v>
      </c>
      <c r="X4942">
        <v>0</v>
      </c>
      <c r="AH4942">
        <v>1939</v>
      </c>
      <c r="AJ4942">
        <v>-163</v>
      </c>
      <c r="AK4942">
        <v>-1660</v>
      </c>
      <c r="AU4942">
        <f t="shared" si="152"/>
        <v>0</v>
      </c>
      <c r="AV4942">
        <f t="shared" si="153"/>
        <v>116</v>
      </c>
    </row>
    <row r="4943" spans="1:48" x14ac:dyDescent="0.25">
      <c r="A4943" t="s">
        <v>17043</v>
      </c>
      <c r="B4943" t="s">
        <v>17043</v>
      </c>
      <c r="C4943" t="s">
        <v>17044</v>
      </c>
      <c r="D4943" t="s">
        <v>17045</v>
      </c>
      <c r="E4943" t="s">
        <v>2310</v>
      </c>
      <c r="F4943">
        <v>8</v>
      </c>
      <c r="G4943">
        <v>8.1</v>
      </c>
      <c r="H4943" t="s">
        <v>2323</v>
      </c>
      <c r="I4943" s="21">
        <v>42754.435810185183</v>
      </c>
      <c r="J4943">
        <v>2017</v>
      </c>
      <c r="K4943" s="21">
        <v>42815.443680555552</v>
      </c>
      <c r="L4943">
        <v>2017</v>
      </c>
      <c r="M4943" s="21">
        <v>43130.413124999999</v>
      </c>
      <c r="N4943">
        <v>2018</v>
      </c>
      <c r="Q4943" s="262">
        <v>1035000</v>
      </c>
      <c r="R4943" s="262">
        <v>639000</v>
      </c>
      <c r="S4943" t="s">
        <v>12464</v>
      </c>
      <c r="T4943">
        <v>4010</v>
      </c>
      <c r="W4943">
        <v>5499</v>
      </c>
      <c r="X4943">
        <v>1</v>
      </c>
      <c r="AC4943">
        <v>5499</v>
      </c>
      <c r="AO4943">
        <v>1</v>
      </c>
      <c r="AU4943">
        <f t="shared" si="152"/>
        <v>1</v>
      </c>
      <c r="AV4943">
        <f t="shared" si="153"/>
        <v>0</v>
      </c>
    </row>
    <row r="4944" spans="1:48" x14ac:dyDescent="0.25">
      <c r="A4944" t="s">
        <v>17043</v>
      </c>
      <c r="B4944" t="s">
        <v>17043</v>
      </c>
      <c r="C4944" t="s">
        <v>17044</v>
      </c>
      <c r="D4944" t="s">
        <v>17045</v>
      </c>
      <c r="E4944" t="s">
        <v>2310</v>
      </c>
      <c r="F4944">
        <v>8</v>
      </c>
      <c r="G4944">
        <v>8.1</v>
      </c>
      <c r="H4944" t="s">
        <v>2323</v>
      </c>
      <c r="I4944" s="21">
        <v>42754.435810185198</v>
      </c>
      <c r="J4944">
        <v>2017</v>
      </c>
      <c r="K4944" s="21">
        <v>42815.443680555603</v>
      </c>
      <c r="L4944">
        <v>2017</v>
      </c>
      <c r="M4944" s="21">
        <v>43130.413124999999</v>
      </c>
      <c r="N4944">
        <v>2018</v>
      </c>
      <c r="S4944" t="s">
        <v>9529</v>
      </c>
      <c r="T4944">
        <v>4010</v>
      </c>
      <c r="U4944">
        <v>5</v>
      </c>
      <c r="W4944">
        <v>-2773</v>
      </c>
      <c r="X4944">
        <v>-1</v>
      </c>
      <c r="Y4944">
        <v>0</v>
      </c>
      <c r="Z4944">
        <v>0</v>
      </c>
      <c r="AA4944">
        <v>0</v>
      </c>
      <c r="AB4944">
        <v>0</v>
      </c>
      <c r="AC4944">
        <v>-2773</v>
      </c>
      <c r="AD4944">
        <v>0</v>
      </c>
      <c r="AE4944">
        <v>0</v>
      </c>
      <c r="AF4944">
        <v>0</v>
      </c>
      <c r="AG4944">
        <v>0</v>
      </c>
      <c r="AH4944">
        <v>0</v>
      </c>
      <c r="AI4944">
        <v>0</v>
      </c>
      <c r="AJ4944">
        <v>0</v>
      </c>
      <c r="AK4944">
        <v>0</v>
      </c>
      <c r="AL4944">
        <v>0</v>
      </c>
      <c r="AM4944">
        <v>0</v>
      </c>
      <c r="AN4944">
        <v>0</v>
      </c>
      <c r="AO4944">
        <v>-1</v>
      </c>
      <c r="AP4944">
        <v>0</v>
      </c>
      <c r="AQ4944">
        <v>0</v>
      </c>
      <c r="AR4944">
        <v>0</v>
      </c>
      <c r="AS4944">
        <v>0</v>
      </c>
      <c r="AT4944">
        <v>0</v>
      </c>
      <c r="AU4944">
        <f t="shared" si="152"/>
        <v>-1</v>
      </c>
      <c r="AV4944">
        <f t="shared" si="153"/>
        <v>0</v>
      </c>
    </row>
    <row r="4945" spans="1:48" x14ac:dyDescent="0.25">
      <c r="A4945" t="s">
        <v>17940</v>
      </c>
      <c r="B4945" t="s">
        <v>17940</v>
      </c>
      <c r="C4945" t="s">
        <v>17875</v>
      </c>
      <c r="D4945" t="s">
        <v>17045</v>
      </c>
      <c r="E4945" t="s">
        <v>2310</v>
      </c>
      <c r="F4945">
        <v>8</v>
      </c>
      <c r="G4945">
        <v>8.1</v>
      </c>
      <c r="H4945" t="s">
        <v>2323</v>
      </c>
      <c r="I4945" s="21">
        <v>42754.447071759256</v>
      </c>
      <c r="J4945">
        <v>2017</v>
      </c>
      <c r="K4945" s="21">
        <v>42815.441724537035</v>
      </c>
      <c r="L4945">
        <v>2017</v>
      </c>
      <c r="M4945" s="21">
        <v>43130.416446759256</v>
      </c>
      <c r="N4945">
        <v>2018</v>
      </c>
      <c r="Q4945" s="262">
        <v>90000</v>
      </c>
      <c r="R4945" s="262">
        <v>52000</v>
      </c>
      <c r="S4945" t="s">
        <v>13254</v>
      </c>
      <c r="W4945">
        <v>1187</v>
      </c>
      <c r="X4945">
        <v>0</v>
      </c>
      <c r="AC4945">
        <v>1187</v>
      </c>
      <c r="AU4945">
        <f t="shared" si="152"/>
        <v>0</v>
      </c>
      <c r="AV4945">
        <f t="shared" si="153"/>
        <v>0</v>
      </c>
    </row>
    <row r="4946" spans="1:48" x14ac:dyDescent="0.25">
      <c r="A4946" t="s">
        <v>18163</v>
      </c>
      <c r="B4946" t="s">
        <v>18163</v>
      </c>
      <c r="C4946" t="s">
        <v>18113</v>
      </c>
      <c r="D4946" t="s">
        <v>4208</v>
      </c>
      <c r="E4946" t="s">
        <v>2310</v>
      </c>
      <c r="F4946">
        <v>15</v>
      </c>
      <c r="G4946">
        <v>15.1</v>
      </c>
      <c r="H4946" t="s">
        <v>2022</v>
      </c>
      <c r="I4946" s="21">
        <v>42755.447928240741</v>
      </c>
      <c r="J4946">
        <v>2017</v>
      </c>
      <c r="K4946" s="21">
        <v>42816.428287037037</v>
      </c>
      <c r="L4946">
        <v>2017</v>
      </c>
      <c r="M4946" s="21">
        <v>43298.481571956021</v>
      </c>
      <c r="N4946">
        <v>2018</v>
      </c>
      <c r="Q4946" s="262">
        <v>946650</v>
      </c>
      <c r="R4946" s="262">
        <v>477000</v>
      </c>
      <c r="S4946" t="s">
        <v>13254</v>
      </c>
      <c r="W4946">
        <v>4075</v>
      </c>
      <c r="X4946">
        <v>1</v>
      </c>
      <c r="AC4946">
        <v>4075</v>
      </c>
      <c r="AO4946">
        <v>1</v>
      </c>
      <c r="AU4946">
        <f t="shared" si="152"/>
        <v>1</v>
      </c>
      <c r="AV4946">
        <f t="shared" si="153"/>
        <v>0</v>
      </c>
    </row>
    <row r="4947" spans="1:48" x14ac:dyDescent="0.25">
      <c r="A4947" t="s">
        <v>18699</v>
      </c>
      <c r="B4947" t="s">
        <v>18699</v>
      </c>
      <c r="C4947" t="s">
        <v>18700</v>
      </c>
      <c r="D4947" t="s">
        <v>18701</v>
      </c>
      <c r="E4947" t="s">
        <v>2310</v>
      </c>
      <c r="F4947">
        <v>13</v>
      </c>
      <c r="G4947">
        <v>13.3</v>
      </c>
      <c r="H4947" t="s">
        <v>2017</v>
      </c>
      <c r="I4947" s="21">
        <v>42761.614965277775</v>
      </c>
      <c r="J4947">
        <v>2017</v>
      </c>
      <c r="K4947" s="21">
        <v>42823.554872685185</v>
      </c>
      <c r="L4947">
        <v>2017</v>
      </c>
      <c r="M4947" s="21">
        <v>43556.369872881944</v>
      </c>
      <c r="N4947">
        <v>2019</v>
      </c>
      <c r="Q4947" s="262">
        <v>4333335</v>
      </c>
      <c r="R4947" s="262">
        <v>632000</v>
      </c>
      <c r="S4947" t="s">
        <v>13253</v>
      </c>
      <c r="T4947">
        <v>6917</v>
      </c>
      <c r="V4947">
        <v>6280</v>
      </c>
      <c r="W4947">
        <v>465</v>
      </c>
      <c r="X4947">
        <v>0</v>
      </c>
      <c r="AC4947">
        <v>465</v>
      </c>
      <c r="AU4947">
        <f t="shared" si="152"/>
        <v>0</v>
      </c>
      <c r="AV4947">
        <f t="shared" si="153"/>
        <v>0</v>
      </c>
    </row>
    <row r="4948" spans="1:48" x14ac:dyDescent="0.25">
      <c r="A4948" t="s">
        <v>17532</v>
      </c>
      <c r="B4948" t="s">
        <v>17532</v>
      </c>
      <c r="C4948" t="s">
        <v>17533</v>
      </c>
      <c r="D4948" t="s">
        <v>1585</v>
      </c>
      <c r="E4948" t="s">
        <v>2310</v>
      </c>
      <c r="F4948">
        <v>9</v>
      </c>
      <c r="G4948">
        <v>9.1999999999999993</v>
      </c>
      <c r="H4948" t="s">
        <v>2022</v>
      </c>
      <c r="I4948" s="21">
        <v>42762.430960648097</v>
      </c>
      <c r="J4948">
        <v>2017</v>
      </c>
      <c r="K4948" s="21">
        <v>42804.589918981503</v>
      </c>
      <c r="L4948">
        <v>2017</v>
      </c>
      <c r="M4948" s="21">
        <v>42873.649421296301</v>
      </c>
      <c r="N4948">
        <v>2017</v>
      </c>
      <c r="Q4948" s="262">
        <v>143000</v>
      </c>
      <c r="R4948" s="262">
        <v>21000</v>
      </c>
      <c r="S4948" t="s">
        <v>114</v>
      </c>
      <c r="T4948" t="s">
        <v>114</v>
      </c>
      <c r="V4948">
        <v>220</v>
      </c>
      <c r="W4948">
        <v>0</v>
      </c>
      <c r="X4948">
        <v>0</v>
      </c>
      <c r="AU4948">
        <f t="shared" si="152"/>
        <v>0</v>
      </c>
      <c r="AV4948">
        <f t="shared" si="153"/>
        <v>0</v>
      </c>
    </row>
    <row r="4949" spans="1:48" x14ac:dyDescent="0.25">
      <c r="A4949" t="s">
        <v>18291</v>
      </c>
      <c r="B4949" t="s">
        <v>18291</v>
      </c>
      <c r="C4949" t="s">
        <v>18292</v>
      </c>
      <c r="D4949" t="s">
        <v>18293</v>
      </c>
      <c r="E4949" t="s">
        <v>2310</v>
      </c>
      <c r="F4949">
        <v>13</v>
      </c>
      <c r="G4949">
        <v>13.2</v>
      </c>
      <c r="H4949" t="s">
        <v>2327</v>
      </c>
      <c r="I4949" s="21">
        <v>42766.596018518518</v>
      </c>
      <c r="J4949">
        <v>2017</v>
      </c>
      <c r="K4949" s="21">
        <v>42836.590567129628</v>
      </c>
      <c r="L4949">
        <v>2017</v>
      </c>
      <c r="M4949" s="21">
        <v>43362.597587037038</v>
      </c>
      <c r="N4949">
        <v>2018</v>
      </c>
      <c r="Q4949" s="262">
        <v>3500000</v>
      </c>
      <c r="R4949" s="262">
        <v>953000</v>
      </c>
      <c r="S4949" t="s">
        <v>13254</v>
      </c>
      <c r="W4949">
        <v>7007</v>
      </c>
      <c r="X4949">
        <v>1</v>
      </c>
      <c r="AC4949">
        <v>7007</v>
      </c>
      <c r="AO4949">
        <v>1</v>
      </c>
      <c r="AU4949">
        <f t="shared" si="152"/>
        <v>1</v>
      </c>
      <c r="AV4949">
        <f t="shared" si="153"/>
        <v>0</v>
      </c>
    </row>
    <row r="4950" spans="1:48" x14ac:dyDescent="0.25">
      <c r="A4950" t="s">
        <v>18120</v>
      </c>
      <c r="B4950" t="s">
        <v>18120</v>
      </c>
      <c r="C4950" t="s">
        <v>18121</v>
      </c>
      <c r="D4950" t="s">
        <v>18119</v>
      </c>
      <c r="E4950" t="s">
        <v>2310</v>
      </c>
      <c r="F4950">
        <v>8</v>
      </c>
      <c r="G4950">
        <v>8.1999999999999993</v>
      </c>
      <c r="H4950" t="s">
        <v>2022</v>
      </c>
      <c r="I4950" s="21">
        <v>42767.589675925927</v>
      </c>
      <c r="J4950">
        <v>2017</v>
      </c>
      <c r="K4950" s="21">
        <v>42828.562141203707</v>
      </c>
      <c r="L4950">
        <v>2017</v>
      </c>
      <c r="M4950" s="21">
        <v>43265.579596331016</v>
      </c>
      <c r="N4950">
        <v>2018</v>
      </c>
      <c r="Q4950" s="262">
        <v>3200000</v>
      </c>
      <c r="R4950" s="262">
        <v>750000</v>
      </c>
      <c r="S4950" t="s">
        <v>13254</v>
      </c>
      <c r="W4950">
        <v>5198</v>
      </c>
      <c r="X4950">
        <v>1</v>
      </c>
      <c r="AC4950">
        <v>5198</v>
      </c>
      <c r="AO4950">
        <v>1</v>
      </c>
      <c r="AU4950">
        <f t="shared" si="152"/>
        <v>1</v>
      </c>
      <c r="AV4950">
        <f t="shared" si="153"/>
        <v>0</v>
      </c>
    </row>
    <row r="4951" spans="1:48" x14ac:dyDescent="0.25">
      <c r="A4951" t="s">
        <v>18118</v>
      </c>
      <c r="B4951" t="s">
        <v>18118</v>
      </c>
      <c r="C4951" t="s">
        <v>13256</v>
      </c>
      <c r="D4951" t="s">
        <v>18119</v>
      </c>
      <c r="E4951" t="s">
        <v>2310</v>
      </c>
      <c r="F4951">
        <v>8</v>
      </c>
      <c r="G4951">
        <v>8.1999999999999993</v>
      </c>
      <c r="H4951" t="s">
        <v>2022</v>
      </c>
      <c r="I4951" s="21">
        <v>42767.618530092594</v>
      </c>
      <c r="J4951">
        <v>2017</v>
      </c>
      <c r="K4951" s="21">
        <v>42828.564398148148</v>
      </c>
      <c r="L4951">
        <v>2017</v>
      </c>
      <c r="M4951" s="21">
        <v>43265.577083067132</v>
      </c>
      <c r="N4951">
        <v>2018</v>
      </c>
      <c r="Q4951" s="262">
        <v>95000</v>
      </c>
      <c r="R4951" s="262">
        <v>41000</v>
      </c>
      <c r="S4951" t="s">
        <v>13254</v>
      </c>
      <c r="W4951">
        <v>929</v>
      </c>
      <c r="X4951">
        <v>0</v>
      </c>
      <c r="AC4951">
        <v>929</v>
      </c>
      <c r="AU4951">
        <f t="shared" si="152"/>
        <v>0</v>
      </c>
      <c r="AV4951">
        <f t="shared" si="153"/>
        <v>0</v>
      </c>
    </row>
    <row r="4952" spans="1:48" x14ac:dyDescent="0.25">
      <c r="A4952" t="s">
        <v>19341</v>
      </c>
      <c r="B4952" t="s">
        <v>19341</v>
      </c>
      <c r="C4952" t="s">
        <v>19342</v>
      </c>
      <c r="D4952" t="s">
        <v>3593</v>
      </c>
      <c r="E4952" t="s">
        <v>2310</v>
      </c>
      <c r="F4952">
        <v>13</v>
      </c>
      <c r="G4952">
        <v>13.3</v>
      </c>
      <c r="H4952" t="s">
        <v>2017</v>
      </c>
      <c r="I4952" s="21">
        <v>42772.340543981503</v>
      </c>
      <c r="J4952">
        <v>2017</v>
      </c>
      <c r="K4952" s="21">
        <v>42796.537905092599</v>
      </c>
      <c r="L4952">
        <v>2017</v>
      </c>
      <c r="M4952" s="21">
        <v>43087.443564814799</v>
      </c>
      <c r="N4952">
        <v>2017</v>
      </c>
      <c r="Q4952" s="262">
        <v>500000</v>
      </c>
      <c r="R4952" s="262">
        <v>168000</v>
      </c>
      <c r="S4952" t="s">
        <v>114</v>
      </c>
      <c r="T4952" t="s">
        <v>114</v>
      </c>
      <c r="V4952">
        <v>1977</v>
      </c>
      <c r="W4952">
        <v>0</v>
      </c>
      <c r="X4952">
        <v>0</v>
      </c>
      <c r="AU4952">
        <f t="shared" si="152"/>
        <v>0</v>
      </c>
      <c r="AV4952">
        <f t="shared" si="153"/>
        <v>0</v>
      </c>
    </row>
    <row r="4953" spans="1:48" x14ac:dyDescent="0.25">
      <c r="A4953" t="s">
        <v>18175</v>
      </c>
      <c r="B4953" t="s">
        <v>18175</v>
      </c>
      <c r="C4953" t="s">
        <v>18176</v>
      </c>
      <c r="D4953" t="s">
        <v>18177</v>
      </c>
      <c r="E4953" t="s">
        <v>2310</v>
      </c>
      <c r="F4953">
        <v>9</v>
      </c>
      <c r="G4953">
        <v>9.3000000000000007</v>
      </c>
      <c r="H4953" t="s">
        <v>2323</v>
      </c>
      <c r="I4953" s="21">
        <v>42779.5621875</v>
      </c>
      <c r="J4953">
        <v>2017</v>
      </c>
      <c r="K4953" s="21">
        <v>42831.672407407408</v>
      </c>
      <c r="L4953">
        <v>2017</v>
      </c>
      <c r="M4953" s="21">
        <v>43307.672089432868</v>
      </c>
      <c r="N4953">
        <v>2018</v>
      </c>
      <c r="Q4953" s="262">
        <v>2000000</v>
      </c>
      <c r="R4953" s="262">
        <v>689000</v>
      </c>
      <c r="S4953" t="s">
        <v>13254</v>
      </c>
      <c r="W4953">
        <v>5461</v>
      </c>
      <c r="X4953">
        <v>1</v>
      </c>
      <c r="AC4953">
        <v>5461</v>
      </c>
      <c r="AO4953">
        <v>1</v>
      </c>
      <c r="AU4953">
        <f t="shared" ref="AU4953:AU5016" si="154">SUM(AN4953:AQ4953,AS4953)</f>
        <v>1</v>
      </c>
      <c r="AV4953">
        <f t="shared" ref="AV4953:AV5016" si="155">SUM(Y4953:AB4953,AH4953:AM4953)</f>
        <v>0</v>
      </c>
    </row>
    <row r="4954" spans="1:48" x14ac:dyDescent="0.25">
      <c r="A4954" t="s">
        <v>13482</v>
      </c>
      <c r="B4954" t="s">
        <v>13482</v>
      </c>
      <c r="C4954" t="s">
        <v>13483</v>
      </c>
      <c r="D4954" t="s">
        <v>13484</v>
      </c>
      <c r="E4954" t="s">
        <v>2310</v>
      </c>
      <c r="F4954">
        <v>9</v>
      </c>
      <c r="G4954">
        <v>9.1999999999999993</v>
      </c>
      <c r="H4954" t="s">
        <v>2022</v>
      </c>
      <c r="I4954" s="21">
        <v>42780.5531597222</v>
      </c>
      <c r="J4954">
        <v>2017</v>
      </c>
      <c r="K4954" s="21">
        <v>43152.401331018496</v>
      </c>
      <c r="L4954">
        <v>2018</v>
      </c>
      <c r="M4954" s="21">
        <v>43152.4051273148</v>
      </c>
      <c r="N4954">
        <v>2018</v>
      </c>
      <c r="Q4954" s="262">
        <v>300000</v>
      </c>
      <c r="R4954" s="262">
        <v>17000</v>
      </c>
      <c r="S4954" t="s">
        <v>114</v>
      </c>
      <c r="T4954" t="s">
        <v>114</v>
      </c>
      <c r="W4954">
        <v>0</v>
      </c>
      <c r="X4954">
        <v>0</v>
      </c>
      <c r="AA4954">
        <v>0</v>
      </c>
      <c r="AU4954">
        <f t="shared" si="154"/>
        <v>0</v>
      </c>
      <c r="AV4954">
        <f t="shared" si="155"/>
        <v>0</v>
      </c>
    </row>
    <row r="4955" spans="1:48" x14ac:dyDescent="0.25">
      <c r="A4955" t="s">
        <v>19057</v>
      </c>
      <c r="B4955" t="s">
        <v>19057</v>
      </c>
      <c r="C4955" t="s">
        <v>19058</v>
      </c>
      <c r="D4955" t="s">
        <v>19059</v>
      </c>
      <c r="E4955" t="s">
        <v>2310</v>
      </c>
      <c r="F4955">
        <v>9</v>
      </c>
      <c r="G4955">
        <v>9.1999999999999993</v>
      </c>
      <c r="H4955" t="s">
        <v>2022</v>
      </c>
      <c r="I4955" s="21">
        <v>42780.606273148151</v>
      </c>
      <c r="J4955">
        <v>2017</v>
      </c>
      <c r="K4955" s="21">
        <v>43704.658037187502</v>
      </c>
      <c r="L4955">
        <v>2019</v>
      </c>
      <c r="M4955" s="21">
        <v>43739.565618020832</v>
      </c>
      <c r="N4955">
        <v>2019</v>
      </c>
      <c r="Q4955" s="262">
        <v>3500000</v>
      </c>
      <c r="R4955" s="262">
        <v>1063000</v>
      </c>
      <c r="S4955" t="s">
        <v>13254</v>
      </c>
      <c r="W4955">
        <v>7983</v>
      </c>
      <c r="X4955">
        <v>1</v>
      </c>
      <c r="AC4955">
        <v>7983</v>
      </c>
      <c r="AO4955">
        <v>1</v>
      </c>
      <c r="AU4955">
        <f t="shared" si="154"/>
        <v>1</v>
      </c>
      <c r="AV4955">
        <f t="shared" si="155"/>
        <v>0</v>
      </c>
    </row>
    <row r="4956" spans="1:48" x14ac:dyDescent="0.25">
      <c r="A4956" t="s">
        <v>18382</v>
      </c>
      <c r="B4956" t="s">
        <v>18382</v>
      </c>
      <c r="C4956" t="s">
        <v>13284</v>
      </c>
      <c r="D4956" t="s">
        <v>18383</v>
      </c>
      <c r="E4956" t="s">
        <v>2310</v>
      </c>
      <c r="F4956">
        <v>15</v>
      </c>
      <c r="G4956">
        <v>15.2</v>
      </c>
      <c r="H4956" t="s">
        <v>2323</v>
      </c>
      <c r="I4956" s="21">
        <v>42781.619803240741</v>
      </c>
      <c r="J4956">
        <v>2017</v>
      </c>
      <c r="K4956" s="21">
        <v>43154.607303240744</v>
      </c>
      <c r="L4956">
        <v>2018</v>
      </c>
      <c r="M4956" s="21">
        <v>43412.409174270833</v>
      </c>
      <c r="N4956">
        <v>2018</v>
      </c>
      <c r="Q4956" s="262">
        <v>600000</v>
      </c>
      <c r="R4956" s="262">
        <v>227000</v>
      </c>
      <c r="S4956" t="s">
        <v>13254</v>
      </c>
      <c r="W4956">
        <v>4320</v>
      </c>
      <c r="X4956">
        <v>0</v>
      </c>
      <c r="AC4956">
        <v>4320</v>
      </c>
      <c r="AU4956">
        <f t="shared" si="154"/>
        <v>0</v>
      </c>
      <c r="AV4956">
        <f t="shared" si="155"/>
        <v>0</v>
      </c>
    </row>
    <row r="4957" spans="1:48" x14ac:dyDescent="0.25">
      <c r="A4957" t="s">
        <v>18704</v>
      </c>
      <c r="B4957" t="s">
        <v>18704</v>
      </c>
      <c r="C4957" t="s">
        <v>18705</v>
      </c>
      <c r="D4957" t="s">
        <v>18706</v>
      </c>
      <c r="E4957" t="s">
        <v>2310</v>
      </c>
      <c r="F4957">
        <v>9</v>
      </c>
      <c r="G4957">
        <v>9.1999999999999993</v>
      </c>
      <c r="H4957" t="s">
        <v>2022</v>
      </c>
      <c r="I4957" s="21">
        <v>42782.435370370367</v>
      </c>
      <c r="J4957">
        <v>2017</v>
      </c>
      <c r="K4957" s="21">
        <v>42888.35837962963</v>
      </c>
      <c r="L4957">
        <v>2017</v>
      </c>
      <c r="M4957" s="21">
        <v>43185.420115740744</v>
      </c>
      <c r="N4957">
        <v>2018</v>
      </c>
      <c r="Q4957" s="262">
        <v>300000</v>
      </c>
      <c r="R4957" s="262">
        <v>94000</v>
      </c>
      <c r="S4957" t="s">
        <v>13253</v>
      </c>
      <c r="T4957">
        <v>7409</v>
      </c>
      <c r="V4957">
        <v>671</v>
      </c>
      <c r="W4957">
        <v>292</v>
      </c>
      <c r="X4957">
        <v>0</v>
      </c>
      <c r="AC4957">
        <v>292</v>
      </c>
      <c r="AU4957">
        <f t="shared" si="154"/>
        <v>0</v>
      </c>
      <c r="AV4957">
        <f t="shared" si="155"/>
        <v>0</v>
      </c>
    </row>
    <row r="4958" spans="1:48" x14ac:dyDescent="0.25">
      <c r="A4958" t="s">
        <v>17965</v>
      </c>
      <c r="B4958" t="s">
        <v>17965</v>
      </c>
      <c r="C4958" t="s">
        <v>13256</v>
      </c>
      <c r="D4958" t="s">
        <v>17966</v>
      </c>
      <c r="E4958" t="s">
        <v>2310</v>
      </c>
      <c r="F4958">
        <v>9</v>
      </c>
      <c r="G4958">
        <v>9.1999999999999993</v>
      </c>
      <c r="H4958" t="s">
        <v>2022</v>
      </c>
      <c r="I4958" s="21">
        <v>42782.590138888889</v>
      </c>
      <c r="J4958">
        <v>2017</v>
      </c>
      <c r="K4958" s="21">
        <v>42864.55395833333</v>
      </c>
      <c r="L4958">
        <v>2017</v>
      </c>
      <c r="M4958" s="21">
        <v>43137.684629629628</v>
      </c>
      <c r="N4958">
        <v>2018</v>
      </c>
      <c r="Q4958" s="262">
        <v>110000</v>
      </c>
      <c r="R4958" s="262">
        <v>30000</v>
      </c>
      <c r="S4958" t="s">
        <v>13254</v>
      </c>
      <c r="W4958">
        <v>672</v>
      </c>
      <c r="X4958">
        <v>0</v>
      </c>
      <c r="AC4958">
        <v>672</v>
      </c>
      <c r="AU4958">
        <f t="shared" si="154"/>
        <v>0</v>
      </c>
      <c r="AV4958">
        <f t="shared" si="155"/>
        <v>0</v>
      </c>
    </row>
    <row r="4959" spans="1:48" x14ac:dyDescent="0.25">
      <c r="A4959" t="s">
        <v>18240</v>
      </c>
      <c r="B4959" t="s">
        <v>18240</v>
      </c>
      <c r="C4959" t="s">
        <v>18241</v>
      </c>
      <c r="D4959" t="s">
        <v>18242</v>
      </c>
      <c r="E4959" t="s">
        <v>2310</v>
      </c>
      <c r="F4959">
        <v>13</v>
      </c>
      <c r="G4959">
        <v>13.2</v>
      </c>
      <c r="H4959" t="s">
        <v>2327</v>
      </c>
      <c r="I4959" s="21">
        <v>42783.436319444445</v>
      </c>
      <c r="J4959">
        <v>2017</v>
      </c>
      <c r="K4959" s="21">
        <v>42843.642939814818</v>
      </c>
      <c r="L4959">
        <v>2017</v>
      </c>
      <c r="M4959" s="21">
        <v>43342.432889317133</v>
      </c>
      <c r="N4959">
        <v>2018</v>
      </c>
      <c r="Q4959" s="262">
        <v>1413300</v>
      </c>
      <c r="R4959" s="262">
        <v>593000</v>
      </c>
      <c r="S4959" t="s">
        <v>13254</v>
      </c>
      <c r="W4959">
        <v>4711</v>
      </c>
      <c r="X4959">
        <v>1</v>
      </c>
      <c r="AC4959">
        <v>4711</v>
      </c>
      <c r="AO4959">
        <v>1</v>
      </c>
      <c r="AU4959">
        <f t="shared" si="154"/>
        <v>1</v>
      </c>
      <c r="AV4959">
        <f t="shared" si="155"/>
        <v>0</v>
      </c>
    </row>
    <row r="4960" spans="1:48" x14ac:dyDescent="0.25">
      <c r="A4960" t="s">
        <v>18154</v>
      </c>
      <c r="B4960" t="s">
        <v>18154</v>
      </c>
      <c r="C4960" t="s">
        <v>18155</v>
      </c>
      <c r="D4960" t="s">
        <v>18156</v>
      </c>
      <c r="E4960" t="s">
        <v>2310</v>
      </c>
      <c r="F4960">
        <v>12</v>
      </c>
      <c r="G4960">
        <v>12.3</v>
      </c>
      <c r="H4960" t="s">
        <v>2017</v>
      </c>
      <c r="I4960" s="21">
        <v>42783.595879629633</v>
      </c>
      <c r="J4960">
        <v>2017</v>
      </c>
      <c r="K4960" s="21">
        <v>42810.527928240743</v>
      </c>
      <c r="L4960">
        <v>2017</v>
      </c>
      <c r="M4960" s="21">
        <v>43294.452647719911</v>
      </c>
      <c r="N4960">
        <v>2018</v>
      </c>
      <c r="Q4960" s="262">
        <v>1000000</v>
      </c>
      <c r="R4960" s="262">
        <v>431000</v>
      </c>
      <c r="S4960" t="s">
        <v>13254</v>
      </c>
      <c r="W4960">
        <v>3778</v>
      </c>
      <c r="X4960">
        <v>1</v>
      </c>
      <c r="AC4960">
        <v>3778</v>
      </c>
      <c r="AO4960">
        <v>1</v>
      </c>
      <c r="AU4960">
        <f t="shared" si="154"/>
        <v>1</v>
      </c>
      <c r="AV4960">
        <f t="shared" si="155"/>
        <v>0</v>
      </c>
    </row>
    <row r="4961" spans="1:48" x14ac:dyDescent="0.25">
      <c r="A4961" t="s">
        <v>13485</v>
      </c>
      <c r="C4961" t="s">
        <v>11879</v>
      </c>
      <c r="D4961" t="s">
        <v>5787</v>
      </c>
      <c r="E4961" t="s">
        <v>1663</v>
      </c>
      <c r="F4961">
        <v>6</v>
      </c>
      <c r="G4961">
        <v>6.1</v>
      </c>
      <c r="H4961" t="s">
        <v>2017</v>
      </c>
      <c r="I4961" s="21">
        <v>42788</v>
      </c>
      <c r="J4961">
        <v>2017</v>
      </c>
      <c r="K4961" s="21">
        <v>42871</v>
      </c>
      <c r="L4961">
        <v>2017</v>
      </c>
      <c r="M4961" s="21">
        <v>43896</v>
      </c>
      <c r="N4961">
        <v>2020</v>
      </c>
      <c r="Q4961" s="262">
        <v>10000</v>
      </c>
      <c r="S4961" t="s">
        <v>114</v>
      </c>
      <c r="T4961" t="s">
        <v>114</v>
      </c>
      <c r="W4961">
        <v>0</v>
      </c>
      <c r="X4961">
        <v>0</v>
      </c>
      <c r="AU4961">
        <f t="shared" si="154"/>
        <v>0</v>
      </c>
      <c r="AV4961">
        <f t="shared" si="155"/>
        <v>0</v>
      </c>
    </row>
    <row r="4962" spans="1:48" x14ac:dyDescent="0.25">
      <c r="A4962" t="s">
        <v>18246</v>
      </c>
      <c r="B4962" t="s">
        <v>18246</v>
      </c>
      <c r="C4962" t="s">
        <v>615</v>
      </c>
      <c r="D4962" t="s">
        <v>13933</v>
      </c>
      <c r="E4962" t="s">
        <v>2310</v>
      </c>
      <c r="F4962">
        <v>7</v>
      </c>
      <c r="G4962">
        <v>7.2</v>
      </c>
      <c r="H4962" t="s">
        <v>2017</v>
      </c>
      <c r="I4962" s="21">
        <v>42788.448263888888</v>
      </c>
      <c r="J4962">
        <v>2017</v>
      </c>
      <c r="K4962" s="21">
        <v>43321.428659687503</v>
      </c>
      <c r="L4962">
        <v>2018</v>
      </c>
      <c r="M4962" s="21">
        <v>43342.462827199073</v>
      </c>
      <c r="N4962">
        <v>2018</v>
      </c>
      <c r="Q4962" s="262">
        <v>26000000</v>
      </c>
      <c r="R4962" s="262">
        <v>11088000</v>
      </c>
      <c r="S4962" t="s">
        <v>13254</v>
      </c>
      <c r="W4962">
        <v>81419</v>
      </c>
      <c r="X4962">
        <v>0</v>
      </c>
      <c r="AM4962">
        <v>81419</v>
      </c>
      <c r="AU4962">
        <f t="shared" si="154"/>
        <v>0</v>
      </c>
      <c r="AV4962">
        <f t="shared" si="155"/>
        <v>81419</v>
      </c>
    </row>
    <row r="4963" spans="1:48" x14ac:dyDescent="0.25">
      <c r="A4963" t="s">
        <v>17927</v>
      </c>
      <c r="B4963" t="s">
        <v>17927</v>
      </c>
      <c r="C4963" t="s">
        <v>17928</v>
      </c>
      <c r="D4963" t="s">
        <v>17929</v>
      </c>
      <c r="E4963" t="s">
        <v>2310</v>
      </c>
      <c r="F4963">
        <v>9</v>
      </c>
      <c r="G4963">
        <v>9.3000000000000007</v>
      </c>
      <c r="H4963" t="s">
        <v>2323</v>
      </c>
      <c r="I4963" s="21">
        <v>42788.576886574076</v>
      </c>
      <c r="J4963">
        <v>2017</v>
      </c>
      <c r="K4963" s="21">
        <v>43108.356192129628</v>
      </c>
      <c r="L4963">
        <v>2018</v>
      </c>
      <c r="M4963" s="21">
        <v>43116.37940972222</v>
      </c>
      <c r="N4963">
        <v>2018</v>
      </c>
      <c r="Q4963" s="262">
        <v>550000</v>
      </c>
      <c r="R4963" s="262">
        <v>360489.66</v>
      </c>
      <c r="S4963" t="s">
        <v>13254</v>
      </c>
      <c r="W4963">
        <v>4104</v>
      </c>
      <c r="X4963">
        <v>1</v>
      </c>
      <c r="AC4963">
        <v>4104</v>
      </c>
      <c r="AO4963">
        <v>1</v>
      </c>
      <c r="AU4963">
        <f t="shared" si="154"/>
        <v>1</v>
      </c>
      <c r="AV4963">
        <f t="shared" si="155"/>
        <v>0</v>
      </c>
    </row>
    <row r="4964" spans="1:48" x14ac:dyDescent="0.25">
      <c r="A4964" t="s">
        <v>13488</v>
      </c>
      <c r="C4964" t="s">
        <v>11879</v>
      </c>
      <c r="D4964" t="s">
        <v>13489</v>
      </c>
      <c r="E4964" t="s">
        <v>1663</v>
      </c>
      <c r="F4964">
        <v>6</v>
      </c>
      <c r="G4964">
        <v>6.2</v>
      </c>
      <c r="H4964" t="s">
        <v>2017</v>
      </c>
      <c r="I4964" s="21">
        <v>42789</v>
      </c>
      <c r="J4964">
        <v>2017</v>
      </c>
      <c r="K4964" s="21">
        <v>42801</v>
      </c>
      <c r="L4964">
        <v>2017</v>
      </c>
      <c r="P4964" s="21">
        <v>43078</v>
      </c>
      <c r="Q4964" s="262">
        <v>130000</v>
      </c>
      <c r="S4964" t="s">
        <v>114</v>
      </c>
      <c r="T4964" t="s">
        <v>114</v>
      </c>
      <c r="W4964">
        <v>0</v>
      </c>
      <c r="X4964">
        <v>0</v>
      </c>
      <c r="AU4964">
        <f t="shared" si="154"/>
        <v>0</v>
      </c>
      <c r="AV4964">
        <f t="shared" si="155"/>
        <v>0</v>
      </c>
    </row>
    <row r="4965" spans="1:48" x14ac:dyDescent="0.25">
      <c r="A4965" t="s">
        <v>17436</v>
      </c>
      <c r="C4965" t="s">
        <v>11879</v>
      </c>
      <c r="D4965" t="s">
        <v>12468</v>
      </c>
      <c r="E4965" t="s">
        <v>1663</v>
      </c>
      <c r="F4965">
        <v>3</v>
      </c>
      <c r="G4965">
        <v>3.1</v>
      </c>
      <c r="H4965" t="s">
        <v>2017</v>
      </c>
      <c r="I4965" s="21">
        <v>42789</v>
      </c>
      <c r="J4965">
        <v>2017</v>
      </c>
      <c r="K4965" s="21">
        <v>42808</v>
      </c>
      <c r="L4965">
        <v>2017</v>
      </c>
      <c r="M4965" s="21">
        <v>43024</v>
      </c>
      <c r="N4965">
        <v>2017</v>
      </c>
      <c r="Q4965" s="262">
        <v>200000</v>
      </c>
      <c r="S4965" t="s">
        <v>114</v>
      </c>
      <c r="T4965" t="s">
        <v>114</v>
      </c>
      <c r="W4965">
        <v>0</v>
      </c>
      <c r="X4965">
        <v>0</v>
      </c>
      <c r="AU4965">
        <f t="shared" si="154"/>
        <v>0</v>
      </c>
      <c r="AV4965">
        <f t="shared" si="155"/>
        <v>0</v>
      </c>
    </row>
    <row r="4966" spans="1:48" x14ac:dyDescent="0.25">
      <c r="A4966" t="s">
        <v>13490</v>
      </c>
      <c r="B4966" t="s">
        <v>13490</v>
      </c>
      <c r="C4966" t="s">
        <v>13491</v>
      </c>
      <c r="D4966" t="s">
        <v>13492</v>
      </c>
      <c r="E4966" t="s">
        <v>2310</v>
      </c>
      <c r="F4966">
        <v>9</v>
      </c>
      <c r="G4966">
        <v>9.1</v>
      </c>
      <c r="H4966" t="s">
        <v>2323</v>
      </c>
      <c r="I4966" s="21">
        <v>42789.5557638889</v>
      </c>
      <c r="J4966">
        <v>2017</v>
      </c>
      <c r="K4966" s="21">
        <v>43643.605637997702</v>
      </c>
      <c r="L4966">
        <v>2019</v>
      </c>
      <c r="M4966" s="21">
        <v>43670.430800729198</v>
      </c>
      <c r="N4966">
        <v>2019</v>
      </c>
      <c r="Q4966" s="262">
        <v>75000</v>
      </c>
      <c r="R4966" s="262">
        <v>36000</v>
      </c>
      <c r="S4966" t="s">
        <v>114</v>
      </c>
      <c r="T4966" t="s">
        <v>114</v>
      </c>
      <c r="W4966">
        <v>0</v>
      </c>
      <c r="X4966">
        <v>0</v>
      </c>
      <c r="AU4966">
        <f t="shared" si="154"/>
        <v>0</v>
      </c>
      <c r="AV4966">
        <f t="shared" si="155"/>
        <v>0</v>
      </c>
    </row>
    <row r="4967" spans="1:48" x14ac:dyDescent="0.25">
      <c r="A4967" t="s">
        <v>18243</v>
      </c>
      <c r="B4967" t="s">
        <v>18243</v>
      </c>
      <c r="C4967" t="s">
        <v>18244</v>
      </c>
      <c r="D4967" t="s">
        <v>18245</v>
      </c>
      <c r="E4967" t="s">
        <v>2310</v>
      </c>
      <c r="F4967">
        <v>13</v>
      </c>
      <c r="G4967">
        <v>13.2</v>
      </c>
      <c r="H4967" t="s">
        <v>2327</v>
      </c>
      <c r="I4967" s="21">
        <v>42789.594675925924</v>
      </c>
      <c r="J4967">
        <v>2017</v>
      </c>
      <c r="K4967" s="21">
        <v>42845.371990740743</v>
      </c>
      <c r="L4967">
        <v>2017</v>
      </c>
      <c r="M4967" s="21">
        <v>43342.437566782406</v>
      </c>
      <c r="N4967">
        <v>2018</v>
      </c>
      <c r="Q4967" s="262">
        <v>1413300</v>
      </c>
      <c r="R4967" s="262">
        <v>593000</v>
      </c>
      <c r="S4967" t="s">
        <v>13254</v>
      </c>
      <c r="W4967">
        <v>4711</v>
      </c>
      <c r="X4967">
        <v>1</v>
      </c>
      <c r="AC4967">
        <v>4711</v>
      </c>
      <c r="AO4967">
        <v>1</v>
      </c>
      <c r="AU4967">
        <f t="shared" si="154"/>
        <v>1</v>
      </c>
      <c r="AV4967">
        <f t="shared" si="155"/>
        <v>0</v>
      </c>
    </row>
    <row r="4968" spans="1:48" x14ac:dyDescent="0.25">
      <c r="A4968" t="s">
        <v>18003</v>
      </c>
      <c r="B4968" t="s">
        <v>18003</v>
      </c>
      <c r="C4968" t="s">
        <v>18004</v>
      </c>
      <c r="D4968" t="s">
        <v>18005</v>
      </c>
      <c r="E4968" t="s">
        <v>2310</v>
      </c>
      <c r="F4968">
        <v>9</v>
      </c>
      <c r="G4968">
        <v>9.1999999999999993</v>
      </c>
      <c r="H4968" t="s">
        <v>2022</v>
      </c>
      <c r="I4968" s="21">
        <v>42790.466331018521</v>
      </c>
      <c r="J4968">
        <v>2017</v>
      </c>
      <c r="K4968" s="21">
        <v>42856.552557870367</v>
      </c>
      <c r="L4968">
        <v>2017</v>
      </c>
      <c r="M4968" s="21">
        <v>43626.407043321757</v>
      </c>
      <c r="N4968">
        <v>2019</v>
      </c>
      <c r="Q4968" s="262">
        <v>300000</v>
      </c>
      <c r="R4968" s="262">
        <v>79000</v>
      </c>
      <c r="S4968" t="s">
        <v>13253</v>
      </c>
      <c r="T4968">
        <v>2715</v>
      </c>
      <c r="V4968">
        <v>672</v>
      </c>
      <c r="W4968">
        <v>0</v>
      </c>
      <c r="X4968">
        <v>1</v>
      </c>
      <c r="AC4968">
        <v>-672</v>
      </c>
      <c r="AF4968">
        <v>672</v>
      </c>
      <c r="AR4968">
        <v>1</v>
      </c>
      <c r="AU4968">
        <f t="shared" si="154"/>
        <v>0</v>
      </c>
      <c r="AV4968">
        <f t="shared" si="155"/>
        <v>0</v>
      </c>
    </row>
    <row r="4969" spans="1:48" x14ac:dyDescent="0.25">
      <c r="A4969" t="s">
        <v>18764</v>
      </c>
      <c r="B4969" t="s">
        <v>18764</v>
      </c>
      <c r="C4969" t="s">
        <v>18765</v>
      </c>
      <c r="D4969" t="s">
        <v>18273</v>
      </c>
      <c r="E4969" t="s">
        <v>2310</v>
      </c>
      <c r="F4969">
        <v>8</v>
      </c>
      <c r="G4969">
        <v>8.1</v>
      </c>
      <c r="H4969" t="s">
        <v>2323</v>
      </c>
      <c r="I4969" s="21">
        <v>42790.618877314817</v>
      </c>
      <c r="J4969">
        <v>2017</v>
      </c>
      <c r="K4969" s="21">
        <v>42865.618194444447</v>
      </c>
      <c r="L4969">
        <v>2017</v>
      </c>
      <c r="M4969" s="21">
        <v>43622.413073923613</v>
      </c>
      <c r="N4969">
        <v>2019</v>
      </c>
      <c r="Q4969" s="262">
        <v>900000</v>
      </c>
      <c r="R4969" s="262">
        <v>120000</v>
      </c>
      <c r="S4969" t="s">
        <v>13254</v>
      </c>
      <c r="W4969">
        <v>1000</v>
      </c>
      <c r="X4969">
        <v>1</v>
      </c>
      <c r="AF4969">
        <v>1000</v>
      </c>
      <c r="AR4969">
        <v>1</v>
      </c>
      <c r="AU4969">
        <f t="shared" si="154"/>
        <v>0</v>
      </c>
      <c r="AV4969">
        <f t="shared" si="155"/>
        <v>0</v>
      </c>
    </row>
    <row r="4970" spans="1:48" x14ac:dyDescent="0.25">
      <c r="A4970" t="s">
        <v>13493</v>
      </c>
      <c r="C4970" t="s">
        <v>13494</v>
      </c>
      <c r="D4970" t="s">
        <v>3267</v>
      </c>
      <c r="E4970" t="s">
        <v>1663</v>
      </c>
      <c r="F4970">
        <v>2</v>
      </c>
      <c r="G4970">
        <v>2.2999999999999998</v>
      </c>
      <c r="H4970" t="s">
        <v>2327</v>
      </c>
      <c r="I4970" s="21">
        <v>42793</v>
      </c>
      <c r="J4970">
        <v>2017</v>
      </c>
      <c r="K4970" s="21">
        <v>42793</v>
      </c>
      <c r="L4970">
        <v>2017</v>
      </c>
      <c r="P4970" s="21">
        <v>42973</v>
      </c>
      <c r="Q4970" s="262">
        <v>0</v>
      </c>
      <c r="S4970" t="s">
        <v>114</v>
      </c>
      <c r="T4970" t="s">
        <v>114</v>
      </c>
      <c r="W4970">
        <v>0</v>
      </c>
      <c r="X4970">
        <v>0</v>
      </c>
      <c r="AU4970">
        <f t="shared" si="154"/>
        <v>0</v>
      </c>
      <c r="AV4970">
        <f t="shared" si="155"/>
        <v>0</v>
      </c>
    </row>
    <row r="4971" spans="1:48" x14ac:dyDescent="0.25">
      <c r="A4971" t="s">
        <v>17212</v>
      </c>
      <c r="B4971" t="s">
        <v>114</v>
      </c>
      <c r="C4971" t="s">
        <v>13509</v>
      </c>
      <c r="D4971" t="s">
        <v>17213</v>
      </c>
      <c r="E4971" t="s">
        <v>1663</v>
      </c>
      <c r="F4971">
        <v>2</v>
      </c>
      <c r="G4971">
        <v>2.1</v>
      </c>
      <c r="H4971" t="s">
        <v>2327</v>
      </c>
      <c r="I4971" s="21">
        <v>42794</v>
      </c>
      <c r="J4971">
        <v>2017</v>
      </c>
      <c r="K4971" s="21">
        <v>42877</v>
      </c>
      <c r="L4971">
        <v>2017</v>
      </c>
      <c r="M4971" s="21">
        <v>43517</v>
      </c>
      <c r="N4971">
        <v>2019</v>
      </c>
      <c r="S4971" t="s">
        <v>9529</v>
      </c>
      <c r="T4971">
        <v>9284</v>
      </c>
      <c r="U4971">
        <v>12</v>
      </c>
      <c r="W4971">
        <v>-2100</v>
      </c>
      <c r="X4971">
        <v>0</v>
      </c>
      <c r="Y4971">
        <v>0</v>
      </c>
      <c r="Z4971">
        <v>0</v>
      </c>
      <c r="AA4971">
        <v>0</v>
      </c>
      <c r="AB4971">
        <v>0</v>
      </c>
      <c r="AC4971">
        <v>0</v>
      </c>
      <c r="AD4971">
        <v>0</v>
      </c>
      <c r="AE4971">
        <v>0</v>
      </c>
      <c r="AF4971">
        <v>0</v>
      </c>
      <c r="AG4971">
        <v>0</v>
      </c>
      <c r="AH4971">
        <v>0</v>
      </c>
      <c r="AI4971">
        <v>0</v>
      </c>
      <c r="AJ4971">
        <v>-2100</v>
      </c>
      <c r="AK4971">
        <v>0</v>
      </c>
      <c r="AL4971">
        <v>0</v>
      </c>
      <c r="AM4971">
        <v>0</v>
      </c>
      <c r="AN4971">
        <v>0</v>
      </c>
      <c r="AO4971">
        <v>0</v>
      </c>
      <c r="AP4971">
        <v>0</v>
      </c>
      <c r="AQ4971">
        <v>0</v>
      </c>
      <c r="AR4971">
        <v>0</v>
      </c>
      <c r="AS4971">
        <v>0</v>
      </c>
      <c r="AT4971">
        <v>0</v>
      </c>
      <c r="AU4971">
        <f t="shared" si="154"/>
        <v>0</v>
      </c>
      <c r="AV4971">
        <f t="shared" si="155"/>
        <v>-2100</v>
      </c>
    </row>
    <row r="4972" spans="1:48" x14ac:dyDescent="0.25">
      <c r="A4972" t="s">
        <v>17212</v>
      </c>
      <c r="B4972" t="s">
        <v>114</v>
      </c>
      <c r="C4972" t="s">
        <v>13509</v>
      </c>
      <c r="D4972" t="s">
        <v>17213</v>
      </c>
      <c r="E4972" t="s">
        <v>1663</v>
      </c>
      <c r="F4972">
        <v>2</v>
      </c>
      <c r="G4972">
        <v>2.1</v>
      </c>
      <c r="H4972" t="s">
        <v>2327</v>
      </c>
      <c r="I4972" s="21">
        <v>42794</v>
      </c>
      <c r="J4972">
        <v>2017</v>
      </c>
      <c r="K4972" s="21">
        <v>42877</v>
      </c>
      <c r="L4972">
        <v>2017</v>
      </c>
      <c r="M4972" s="21">
        <v>43517</v>
      </c>
      <c r="N4972">
        <v>2019</v>
      </c>
      <c r="Q4972" s="262">
        <v>27000000</v>
      </c>
      <c r="S4972" t="s">
        <v>12464</v>
      </c>
      <c r="T4972">
        <v>9284</v>
      </c>
      <c r="W4972">
        <v>88765</v>
      </c>
      <c r="X4972">
        <v>34</v>
      </c>
      <c r="AD4972">
        <v>85790</v>
      </c>
      <c r="AJ4972">
        <v>2975</v>
      </c>
      <c r="AP4972">
        <v>34</v>
      </c>
      <c r="AU4972">
        <f t="shared" si="154"/>
        <v>34</v>
      </c>
      <c r="AV4972">
        <f t="shared" si="155"/>
        <v>2975</v>
      </c>
    </row>
    <row r="4973" spans="1:48" x14ac:dyDescent="0.25">
      <c r="A4973" t="s">
        <v>19385</v>
      </c>
      <c r="B4973" t="s">
        <v>19385</v>
      </c>
      <c r="C4973" t="s">
        <v>19386</v>
      </c>
      <c r="D4973" t="s">
        <v>11714</v>
      </c>
      <c r="E4973" t="s">
        <v>2310</v>
      </c>
      <c r="F4973">
        <v>9</v>
      </c>
      <c r="G4973">
        <v>9.3000000000000007</v>
      </c>
      <c r="H4973" t="s">
        <v>2323</v>
      </c>
      <c r="I4973" s="21">
        <v>42795.561724537001</v>
      </c>
      <c r="J4973">
        <v>2017</v>
      </c>
      <c r="K4973" s="21">
        <v>42814.431030092601</v>
      </c>
      <c r="L4973">
        <v>2017</v>
      </c>
      <c r="M4973" s="21">
        <v>42954.370370370401</v>
      </c>
      <c r="N4973">
        <v>2017</v>
      </c>
      <c r="Q4973" s="262">
        <v>1000000</v>
      </c>
      <c r="R4973" s="262">
        <v>322000</v>
      </c>
      <c r="S4973" t="s">
        <v>114</v>
      </c>
      <c r="T4973" t="s">
        <v>114</v>
      </c>
      <c r="W4973">
        <v>3373</v>
      </c>
      <c r="X4973">
        <v>0</v>
      </c>
      <c r="AC4973">
        <v>3373</v>
      </c>
      <c r="AU4973">
        <f t="shared" si="154"/>
        <v>0</v>
      </c>
      <c r="AV4973">
        <f t="shared" si="155"/>
        <v>0</v>
      </c>
    </row>
    <row r="4974" spans="1:48" x14ac:dyDescent="0.25">
      <c r="A4974" t="s">
        <v>18171</v>
      </c>
      <c r="B4974" t="s">
        <v>18171</v>
      </c>
      <c r="C4974" t="s">
        <v>18172</v>
      </c>
      <c r="D4974" t="s">
        <v>10548</v>
      </c>
      <c r="E4974" t="s">
        <v>2310</v>
      </c>
      <c r="F4974">
        <v>9</v>
      </c>
      <c r="G4974">
        <v>9.1</v>
      </c>
      <c r="H4974" t="s">
        <v>2323</v>
      </c>
      <c r="I4974" s="21">
        <v>42795.603564814817</v>
      </c>
      <c r="J4974">
        <v>2017</v>
      </c>
      <c r="K4974" s="21">
        <v>42837.568449074075</v>
      </c>
      <c r="L4974">
        <v>2017</v>
      </c>
      <c r="M4974" s="21">
        <v>43307.392156828704</v>
      </c>
      <c r="N4974">
        <v>2018</v>
      </c>
      <c r="Q4974" s="262">
        <v>2000000</v>
      </c>
      <c r="R4974" s="262">
        <v>182000</v>
      </c>
      <c r="S4974" t="s">
        <v>13254</v>
      </c>
      <c r="W4974">
        <v>2421</v>
      </c>
      <c r="X4974">
        <v>1</v>
      </c>
      <c r="AC4974">
        <v>1438</v>
      </c>
      <c r="AF4974">
        <v>983</v>
      </c>
      <c r="AR4974">
        <v>1</v>
      </c>
      <c r="AU4974">
        <f t="shared" si="154"/>
        <v>0</v>
      </c>
      <c r="AV4974">
        <f t="shared" si="155"/>
        <v>0</v>
      </c>
    </row>
    <row r="4975" spans="1:48" x14ac:dyDescent="0.25">
      <c r="A4975" t="s">
        <v>18100</v>
      </c>
      <c r="B4975" t="s">
        <v>18100</v>
      </c>
      <c r="C4975" t="s">
        <v>18101</v>
      </c>
      <c r="D4975" t="s">
        <v>18102</v>
      </c>
      <c r="E4975" t="s">
        <v>2310</v>
      </c>
      <c r="F4975">
        <v>8</v>
      </c>
      <c r="G4975">
        <v>8.1</v>
      </c>
      <c r="H4975" t="s">
        <v>2323</v>
      </c>
      <c r="I4975" s="21">
        <v>42796.440729166665</v>
      </c>
      <c r="J4975">
        <v>2017</v>
      </c>
      <c r="K4975" s="21">
        <v>42839.556261574071</v>
      </c>
      <c r="L4975">
        <v>2017</v>
      </c>
      <c r="M4975" s="21">
        <v>43257.401433564817</v>
      </c>
      <c r="N4975">
        <v>2018</v>
      </c>
      <c r="Q4975" s="262">
        <v>1500000</v>
      </c>
      <c r="R4975" s="262">
        <v>586000</v>
      </c>
      <c r="S4975" t="s">
        <v>13254</v>
      </c>
      <c r="W4975">
        <v>2844</v>
      </c>
      <c r="X4975">
        <v>1</v>
      </c>
      <c r="AC4975">
        <v>2844</v>
      </c>
      <c r="AO4975">
        <v>1</v>
      </c>
      <c r="AU4975">
        <f t="shared" si="154"/>
        <v>1</v>
      </c>
      <c r="AV4975">
        <f t="shared" si="155"/>
        <v>0</v>
      </c>
    </row>
    <row r="4976" spans="1:48" x14ac:dyDescent="0.25">
      <c r="A4976" t="s">
        <v>13497</v>
      </c>
      <c r="C4976" t="s">
        <v>13498</v>
      </c>
      <c r="D4976" t="s">
        <v>3267</v>
      </c>
      <c r="E4976" t="s">
        <v>1663</v>
      </c>
      <c r="F4976">
        <v>2</v>
      </c>
      <c r="G4976">
        <v>2.2999999999999998</v>
      </c>
      <c r="H4976" t="s">
        <v>2327</v>
      </c>
      <c r="I4976" s="21">
        <v>42797</v>
      </c>
      <c r="J4976">
        <v>2017</v>
      </c>
      <c r="K4976" s="21">
        <v>42823</v>
      </c>
      <c r="L4976">
        <v>2017</v>
      </c>
      <c r="M4976" s="21">
        <v>43871</v>
      </c>
      <c r="N4976">
        <v>2020</v>
      </c>
      <c r="Q4976" s="262">
        <v>5000</v>
      </c>
      <c r="S4976" t="s">
        <v>114</v>
      </c>
      <c r="T4976" t="s">
        <v>114</v>
      </c>
      <c r="W4976">
        <v>0</v>
      </c>
      <c r="X4976">
        <v>0</v>
      </c>
      <c r="AU4976">
        <f t="shared" si="154"/>
        <v>0</v>
      </c>
      <c r="AV4976">
        <f t="shared" si="155"/>
        <v>0</v>
      </c>
    </row>
    <row r="4977" spans="1:48" x14ac:dyDescent="0.25">
      <c r="A4977" t="s">
        <v>18493</v>
      </c>
      <c r="B4977" t="s">
        <v>18493</v>
      </c>
      <c r="C4977" t="s">
        <v>18494</v>
      </c>
      <c r="D4977" t="s">
        <v>18495</v>
      </c>
      <c r="E4977" t="s">
        <v>2310</v>
      </c>
      <c r="F4977">
        <v>14</v>
      </c>
      <c r="G4977">
        <v>14.2</v>
      </c>
      <c r="H4977" t="s">
        <v>2017</v>
      </c>
      <c r="I4977" s="21">
        <v>42797.528564814813</v>
      </c>
      <c r="J4977">
        <v>2017</v>
      </c>
      <c r="K4977" s="21">
        <v>42835.452187499999</v>
      </c>
      <c r="L4977">
        <v>2017</v>
      </c>
      <c r="M4977" s="21">
        <v>43487.436254201391</v>
      </c>
      <c r="N4977">
        <v>2019</v>
      </c>
      <c r="Q4977" s="262">
        <v>2750000</v>
      </c>
      <c r="R4977" s="262">
        <v>1755000</v>
      </c>
      <c r="S4977" t="s">
        <v>13254</v>
      </c>
      <c r="W4977">
        <v>13062</v>
      </c>
      <c r="X4977">
        <v>1</v>
      </c>
      <c r="AC4977">
        <v>13062</v>
      </c>
      <c r="AO4977">
        <v>1</v>
      </c>
      <c r="AU4977">
        <f t="shared" si="154"/>
        <v>1</v>
      </c>
      <c r="AV4977">
        <f t="shared" si="155"/>
        <v>0</v>
      </c>
    </row>
    <row r="4978" spans="1:48" x14ac:dyDescent="0.25">
      <c r="A4978" t="s">
        <v>18600</v>
      </c>
      <c r="B4978" t="s">
        <v>18600</v>
      </c>
      <c r="C4978" t="s">
        <v>18601</v>
      </c>
      <c r="D4978" t="s">
        <v>18602</v>
      </c>
      <c r="E4978" t="s">
        <v>2310</v>
      </c>
      <c r="F4978">
        <v>8</v>
      </c>
      <c r="G4978">
        <v>8.1999999999999993</v>
      </c>
      <c r="H4978" t="s">
        <v>2022</v>
      </c>
      <c r="I4978" s="21">
        <v>42797.603368055556</v>
      </c>
      <c r="J4978">
        <v>2017</v>
      </c>
      <c r="K4978" s="21">
        <v>42853.48778935185</v>
      </c>
      <c r="L4978">
        <v>2017</v>
      </c>
      <c r="M4978" s="21">
        <v>43689.485287418982</v>
      </c>
      <c r="N4978">
        <v>2019</v>
      </c>
      <c r="Q4978" s="262">
        <v>500000</v>
      </c>
      <c r="R4978" s="262">
        <v>253000</v>
      </c>
      <c r="S4978" t="s">
        <v>13253</v>
      </c>
      <c r="T4978">
        <v>6557</v>
      </c>
      <c r="V4978">
        <v>2465</v>
      </c>
      <c r="W4978">
        <v>391</v>
      </c>
      <c r="X4978">
        <v>0</v>
      </c>
      <c r="AC4978">
        <v>391</v>
      </c>
      <c r="AU4978">
        <f t="shared" si="154"/>
        <v>0</v>
      </c>
      <c r="AV4978">
        <f t="shared" si="155"/>
        <v>0</v>
      </c>
    </row>
    <row r="4979" spans="1:48" x14ac:dyDescent="0.25">
      <c r="A4979" t="s">
        <v>17437</v>
      </c>
      <c r="C4979" t="s">
        <v>17438</v>
      </c>
      <c r="D4979" t="s">
        <v>17439</v>
      </c>
      <c r="E4979" t="s">
        <v>1663</v>
      </c>
      <c r="F4979">
        <v>6</v>
      </c>
      <c r="G4979">
        <v>6.1</v>
      </c>
      <c r="H4979" t="s">
        <v>2017</v>
      </c>
      <c r="I4979" s="21">
        <v>42800</v>
      </c>
      <c r="J4979">
        <v>2017</v>
      </c>
      <c r="K4979" s="21">
        <v>42814</v>
      </c>
      <c r="L4979">
        <v>2017</v>
      </c>
      <c r="M4979" s="21">
        <v>42978</v>
      </c>
      <c r="N4979">
        <v>2017</v>
      </c>
      <c r="Q4979" s="262">
        <v>24000</v>
      </c>
      <c r="S4979" t="s">
        <v>114</v>
      </c>
      <c r="T4979" t="s">
        <v>114</v>
      </c>
      <c r="W4979">
        <v>0</v>
      </c>
      <c r="X4979">
        <v>0</v>
      </c>
      <c r="AU4979">
        <f t="shared" si="154"/>
        <v>0</v>
      </c>
      <c r="AV4979">
        <f t="shared" si="155"/>
        <v>0</v>
      </c>
    </row>
    <row r="4980" spans="1:48" x14ac:dyDescent="0.25">
      <c r="A4980" t="s">
        <v>13502</v>
      </c>
      <c r="C4980" t="s">
        <v>13503</v>
      </c>
      <c r="D4980" t="s">
        <v>12603</v>
      </c>
      <c r="E4980" t="s">
        <v>1663</v>
      </c>
      <c r="F4980">
        <v>2</v>
      </c>
      <c r="G4980">
        <v>2.2999999999999998</v>
      </c>
      <c r="H4980" t="s">
        <v>2327</v>
      </c>
      <c r="I4980" s="21">
        <v>42800</v>
      </c>
      <c r="J4980">
        <v>2017</v>
      </c>
      <c r="K4980" s="21">
        <v>42879</v>
      </c>
      <c r="L4980">
        <v>2017</v>
      </c>
      <c r="M4980" s="21">
        <v>43111</v>
      </c>
      <c r="N4980">
        <v>2018</v>
      </c>
      <c r="Q4980" s="262">
        <v>380000</v>
      </c>
      <c r="S4980" t="s">
        <v>114</v>
      </c>
      <c r="T4980" t="s">
        <v>114</v>
      </c>
      <c r="W4980">
        <v>0</v>
      </c>
      <c r="X4980">
        <v>0</v>
      </c>
      <c r="AU4980">
        <f t="shared" si="154"/>
        <v>0</v>
      </c>
      <c r="AV4980">
        <f t="shared" si="155"/>
        <v>0</v>
      </c>
    </row>
    <row r="4981" spans="1:48" x14ac:dyDescent="0.25">
      <c r="A4981" t="s">
        <v>19398</v>
      </c>
      <c r="B4981" t="s">
        <v>19398</v>
      </c>
      <c r="C4981" t="s">
        <v>19399</v>
      </c>
      <c r="D4981" t="s">
        <v>12010</v>
      </c>
      <c r="E4981" t="s">
        <v>2310</v>
      </c>
      <c r="F4981">
        <v>15</v>
      </c>
      <c r="G4981">
        <v>15.3</v>
      </c>
      <c r="H4981" t="s">
        <v>2022</v>
      </c>
      <c r="I4981" s="21">
        <v>42801.442662037036</v>
      </c>
      <c r="J4981">
        <v>2017</v>
      </c>
      <c r="K4981" s="21">
        <v>42837.447106481479</v>
      </c>
      <c r="L4981">
        <v>2017</v>
      </c>
      <c r="M4981" s="21">
        <v>42894.678356481483</v>
      </c>
      <c r="N4981">
        <v>2017</v>
      </c>
      <c r="Q4981" s="262">
        <v>30000</v>
      </c>
      <c r="R4981" s="262">
        <v>28000</v>
      </c>
      <c r="S4981" t="s">
        <v>13254</v>
      </c>
      <c r="W4981">
        <v>240</v>
      </c>
      <c r="X4981">
        <v>1</v>
      </c>
      <c r="AE4981">
        <v>240</v>
      </c>
      <c r="AQ4981">
        <v>1</v>
      </c>
      <c r="AU4981">
        <f t="shared" si="154"/>
        <v>1</v>
      </c>
      <c r="AV4981">
        <f t="shared" si="155"/>
        <v>0</v>
      </c>
    </row>
    <row r="4982" spans="1:48" x14ac:dyDescent="0.25">
      <c r="A4982" t="s">
        <v>19419</v>
      </c>
      <c r="B4982" t="s">
        <v>19419</v>
      </c>
      <c r="C4982" t="s">
        <v>19420</v>
      </c>
      <c r="D4982" t="s">
        <v>12010</v>
      </c>
      <c r="E4982" t="s">
        <v>2310</v>
      </c>
      <c r="F4982">
        <v>15</v>
      </c>
      <c r="G4982">
        <v>15.3</v>
      </c>
      <c r="H4982" t="s">
        <v>2022</v>
      </c>
      <c r="I4982" s="21">
        <v>42801.456875000003</v>
      </c>
      <c r="J4982">
        <v>2017</v>
      </c>
      <c r="K4982" s="21">
        <v>42837.448437500003</v>
      </c>
      <c r="L4982">
        <v>2017</v>
      </c>
      <c r="M4982" s="21">
        <v>42894.676458333335</v>
      </c>
      <c r="N4982">
        <v>2017</v>
      </c>
      <c r="Q4982" s="262">
        <v>30000</v>
      </c>
      <c r="R4982" s="262">
        <v>28000</v>
      </c>
      <c r="S4982" t="s">
        <v>13254</v>
      </c>
      <c r="W4982">
        <v>240</v>
      </c>
      <c r="X4982">
        <v>1</v>
      </c>
      <c r="AE4982">
        <v>240</v>
      </c>
      <c r="AQ4982">
        <v>1</v>
      </c>
      <c r="AU4982">
        <f t="shared" si="154"/>
        <v>1</v>
      </c>
      <c r="AV4982">
        <f t="shared" si="155"/>
        <v>0</v>
      </c>
    </row>
    <row r="4983" spans="1:48" x14ac:dyDescent="0.25">
      <c r="A4983" t="s">
        <v>19528</v>
      </c>
      <c r="B4983" t="s">
        <v>19528</v>
      </c>
      <c r="C4983" t="s">
        <v>19529</v>
      </c>
      <c r="D4983" t="s">
        <v>12010</v>
      </c>
      <c r="E4983" t="s">
        <v>2310</v>
      </c>
      <c r="F4983">
        <v>15</v>
      </c>
      <c r="G4983">
        <v>15.3</v>
      </c>
      <c r="H4983" t="s">
        <v>2022</v>
      </c>
      <c r="I4983" s="21">
        <v>42801.46125</v>
      </c>
      <c r="J4983">
        <v>2017</v>
      </c>
      <c r="K4983" s="21">
        <v>42837.449548611112</v>
      </c>
      <c r="L4983">
        <v>2017</v>
      </c>
      <c r="M4983" s="21">
        <v>42894.677337962959</v>
      </c>
      <c r="N4983">
        <v>2017</v>
      </c>
      <c r="Q4983" s="262">
        <v>30000</v>
      </c>
      <c r="R4983" s="262">
        <v>0</v>
      </c>
      <c r="S4983" t="s">
        <v>13254</v>
      </c>
      <c r="W4983">
        <v>240</v>
      </c>
      <c r="X4983">
        <v>1</v>
      </c>
      <c r="AE4983">
        <v>240</v>
      </c>
      <c r="AQ4983">
        <v>1</v>
      </c>
      <c r="AU4983">
        <f t="shared" si="154"/>
        <v>1</v>
      </c>
      <c r="AV4983">
        <f t="shared" si="155"/>
        <v>0</v>
      </c>
    </row>
    <row r="4984" spans="1:48" x14ac:dyDescent="0.25">
      <c r="A4984" t="s">
        <v>18010</v>
      </c>
      <c r="B4984" t="s">
        <v>18010</v>
      </c>
      <c r="C4984" t="s">
        <v>18011</v>
      </c>
      <c r="D4984" t="s">
        <v>18012</v>
      </c>
      <c r="E4984" t="s">
        <v>2310</v>
      </c>
      <c r="F4984">
        <v>8</v>
      </c>
      <c r="G4984">
        <v>8.1</v>
      </c>
      <c r="H4984" t="s">
        <v>2323</v>
      </c>
      <c r="I4984" s="21">
        <v>42802.563784722202</v>
      </c>
      <c r="J4984">
        <v>2017</v>
      </c>
      <c r="K4984" s="21">
        <v>42839.669050925899</v>
      </c>
      <c r="L4984">
        <v>2017</v>
      </c>
      <c r="M4984" s="21">
        <v>44028.449428784697</v>
      </c>
      <c r="N4984">
        <v>2020</v>
      </c>
      <c r="S4984" t="s">
        <v>9529</v>
      </c>
      <c r="T4984">
        <v>2752</v>
      </c>
      <c r="U4984">
        <v>5</v>
      </c>
      <c r="W4984">
        <v>-9613</v>
      </c>
      <c r="X4984">
        <v>-1</v>
      </c>
      <c r="Y4984">
        <v>0</v>
      </c>
      <c r="Z4984">
        <v>0</v>
      </c>
      <c r="AA4984">
        <v>0</v>
      </c>
      <c r="AB4984">
        <v>0</v>
      </c>
      <c r="AC4984">
        <v>-9613</v>
      </c>
      <c r="AD4984">
        <v>0</v>
      </c>
      <c r="AE4984">
        <v>0</v>
      </c>
      <c r="AF4984">
        <v>0</v>
      </c>
      <c r="AG4984">
        <v>0</v>
      </c>
      <c r="AH4984">
        <v>0</v>
      </c>
      <c r="AI4984">
        <v>0</v>
      </c>
      <c r="AJ4984">
        <v>0</v>
      </c>
      <c r="AK4984">
        <v>0</v>
      </c>
      <c r="AL4984">
        <v>0</v>
      </c>
      <c r="AM4984">
        <v>0</v>
      </c>
      <c r="AN4984">
        <v>0</v>
      </c>
      <c r="AO4984">
        <v>-1</v>
      </c>
      <c r="AP4984">
        <v>0</v>
      </c>
      <c r="AQ4984">
        <v>0</v>
      </c>
      <c r="AR4984">
        <v>0</v>
      </c>
      <c r="AS4984">
        <v>0</v>
      </c>
      <c r="AT4984">
        <v>0</v>
      </c>
      <c r="AU4984">
        <f t="shared" si="154"/>
        <v>-1</v>
      </c>
      <c r="AV4984">
        <f t="shared" si="155"/>
        <v>0</v>
      </c>
    </row>
    <row r="4985" spans="1:48" x14ac:dyDescent="0.25">
      <c r="A4985" t="s">
        <v>18010</v>
      </c>
      <c r="B4985" t="s">
        <v>18010</v>
      </c>
      <c r="C4985" t="s">
        <v>18011</v>
      </c>
      <c r="D4985" t="s">
        <v>18012</v>
      </c>
      <c r="E4985" t="s">
        <v>2310</v>
      </c>
      <c r="F4985">
        <v>8</v>
      </c>
      <c r="G4985">
        <v>8.1</v>
      </c>
      <c r="H4985" t="s">
        <v>2323</v>
      </c>
      <c r="I4985" s="21">
        <v>42802.563784722224</v>
      </c>
      <c r="J4985">
        <v>2017</v>
      </c>
      <c r="K4985" s="21">
        <v>42839.669050925928</v>
      </c>
      <c r="L4985">
        <v>2017</v>
      </c>
      <c r="M4985" s="21">
        <v>44028.449428784719</v>
      </c>
      <c r="N4985">
        <v>2020</v>
      </c>
      <c r="Q4985" s="262">
        <v>7477501</v>
      </c>
      <c r="R4985" s="262">
        <v>1377000</v>
      </c>
      <c r="S4985" t="s">
        <v>12464</v>
      </c>
      <c r="T4985">
        <v>2752</v>
      </c>
      <c r="W4985">
        <v>9371</v>
      </c>
      <c r="X4985">
        <v>1</v>
      </c>
      <c r="AC4985">
        <v>9371</v>
      </c>
      <c r="AO4985">
        <v>1</v>
      </c>
      <c r="AU4985">
        <f t="shared" si="154"/>
        <v>1</v>
      </c>
      <c r="AV4985">
        <f t="shared" si="155"/>
        <v>0</v>
      </c>
    </row>
    <row r="4986" spans="1:48" x14ac:dyDescent="0.25">
      <c r="A4986" t="s">
        <v>19857</v>
      </c>
      <c r="B4986" t="s">
        <v>19857</v>
      </c>
      <c r="C4986" t="s">
        <v>19858</v>
      </c>
      <c r="D4986" t="s">
        <v>18012</v>
      </c>
      <c r="E4986" t="s">
        <v>2310</v>
      </c>
      <c r="F4986">
        <v>8</v>
      </c>
      <c r="G4986">
        <v>8.1</v>
      </c>
      <c r="H4986" t="s">
        <v>2323</v>
      </c>
      <c r="I4986" s="21">
        <v>42802.577094907399</v>
      </c>
      <c r="J4986">
        <v>2017</v>
      </c>
      <c r="K4986" s="21">
        <v>42839.671446759297</v>
      </c>
      <c r="L4986">
        <v>2017</v>
      </c>
      <c r="M4986" s="21">
        <v>44200</v>
      </c>
      <c r="N4986">
        <v>2021</v>
      </c>
      <c r="Q4986" s="262">
        <v>598200</v>
      </c>
      <c r="R4986" s="262">
        <v>37000</v>
      </c>
      <c r="S4986" t="s">
        <v>13254</v>
      </c>
      <c r="U4986">
        <v>5</v>
      </c>
      <c r="W4986">
        <v>812</v>
      </c>
      <c r="X4986">
        <v>0</v>
      </c>
      <c r="AC4986">
        <v>812</v>
      </c>
      <c r="AU4986">
        <f t="shared" si="154"/>
        <v>0</v>
      </c>
      <c r="AV4986">
        <f t="shared" si="155"/>
        <v>0</v>
      </c>
    </row>
    <row r="4987" spans="1:48" x14ac:dyDescent="0.25">
      <c r="A4987" t="s">
        <v>18560</v>
      </c>
      <c r="B4987" t="s">
        <v>18560</v>
      </c>
      <c r="C4987" t="s">
        <v>18561</v>
      </c>
      <c r="D4987" t="s">
        <v>18562</v>
      </c>
      <c r="E4987" t="s">
        <v>2310</v>
      </c>
      <c r="F4987">
        <v>9</v>
      </c>
      <c r="G4987">
        <v>9.3000000000000007</v>
      </c>
      <c r="H4987" t="s">
        <v>2323</v>
      </c>
      <c r="I4987" s="21">
        <v>42802.610335648147</v>
      </c>
      <c r="J4987">
        <v>2017</v>
      </c>
      <c r="K4987" s="21">
        <v>42836.587395833332</v>
      </c>
      <c r="L4987">
        <v>2017</v>
      </c>
      <c r="M4987" s="21">
        <v>43525.554770104165</v>
      </c>
      <c r="N4987">
        <v>2019</v>
      </c>
      <c r="Q4987" s="262">
        <v>300000</v>
      </c>
      <c r="R4987" s="262">
        <v>113000</v>
      </c>
      <c r="S4987" t="s">
        <v>13254</v>
      </c>
      <c r="W4987">
        <v>998</v>
      </c>
      <c r="X4987">
        <v>1</v>
      </c>
      <c r="AF4987">
        <v>998</v>
      </c>
      <c r="AR4987">
        <v>1</v>
      </c>
      <c r="AU4987">
        <f t="shared" si="154"/>
        <v>0</v>
      </c>
      <c r="AV4987">
        <f t="shared" si="155"/>
        <v>0</v>
      </c>
    </row>
    <row r="4988" spans="1:48" x14ac:dyDescent="0.25">
      <c r="A4988" t="s">
        <v>17861</v>
      </c>
      <c r="B4988" t="s">
        <v>17861</v>
      </c>
      <c r="C4988" t="s">
        <v>17862</v>
      </c>
      <c r="D4988" t="s">
        <v>2813</v>
      </c>
      <c r="E4988" t="s">
        <v>2310</v>
      </c>
      <c r="F4988">
        <v>10</v>
      </c>
      <c r="G4988">
        <v>10.1</v>
      </c>
      <c r="H4988" t="s">
        <v>2323</v>
      </c>
      <c r="I4988" s="21">
        <v>42803.447824074072</v>
      </c>
      <c r="J4988">
        <v>2017</v>
      </c>
      <c r="K4988" s="21">
        <v>42829.577777777777</v>
      </c>
      <c r="L4988">
        <v>2017</v>
      </c>
      <c r="M4988" s="21">
        <v>43405.429100196758</v>
      </c>
      <c r="N4988">
        <v>2018</v>
      </c>
      <c r="Q4988" s="262">
        <v>150000</v>
      </c>
      <c r="R4988" s="262">
        <v>95000</v>
      </c>
      <c r="S4988" t="s">
        <v>13253</v>
      </c>
      <c r="T4988">
        <v>1919</v>
      </c>
      <c r="V4988">
        <v>650</v>
      </c>
      <c r="W4988">
        <v>348</v>
      </c>
      <c r="X4988">
        <v>0</v>
      </c>
      <c r="AC4988">
        <v>348</v>
      </c>
      <c r="AU4988">
        <f t="shared" si="154"/>
        <v>0</v>
      </c>
      <c r="AV4988">
        <f t="shared" si="155"/>
        <v>0</v>
      </c>
    </row>
    <row r="4989" spans="1:48" x14ac:dyDescent="0.25">
      <c r="A4989" t="s">
        <v>13504</v>
      </c>
      <c r="C4989" t="s">
        <v>13505</v>
      </c>
      <c r="D4989" t="s">
        <v>13506</v>
      </c>
      <c r="E4989" t="s">
        <v>1663</v>
      </c>
      <c r="F4989">
        <v>2</v>
      </c>
      <c r="G4989">
        <v>2.6</v>
      </c>
      <c r="H4989" t="s">
        <v>2327</v>
      </c>
      <c r="I4989" s="21">
        <v>42804</v>
      </c>
      <c r="J4989">
        <v>2017</v>
      </c>
      <c r="Q4989" s="262">
        <v>2919125</v>
      </c>
      <c r="S4989" t="s">
        <v>114</v>
      </c>
      <c r="T4989" t="s">
        <v>114</v>
      </c>
      <c r="W4989">
        <v>9620</v>
      </c>
      <c r="X4989">
        <v>5</v>
      </c>
      <c r="AD4989">
        <v>5528</v>
      </c>
      <c r="AI4989">
        <v>2504</v>
      </c>
      <c r="AM4989">
        <v>1588</v>
      </c>
      <c r="AP4989">
        <v>1</v>
      </c>
      <c r="AT4989">
        <v>4</v>
      </c>
      <c r="AU4989">
        <f t="shared" si="154"/>
        <v>1</v>
      </c>
      <c r="AV4989">
        <f t="shared" si="155"/>
        <v>4092</v>
      </c>
    </row>
    <row r="4990" spans="1:48" x14ac:dyDescent="0.25">
      <c r="A4990" t="s">
        <v>19539</v>
      </c>
      <c r="B4990" t="s">
        <v>19539</v>
      </c>
      <c r="C4990" t="s">
        <v>19540</v>
      </c>
      <c r="D4990" t="s">
        <v>10887</v>
      </c>
      <c r="E4990" t="s">
        <v>2310</v>
      </c>
      <c r="F4990">
        <v>11</v>
      </c>
      <c r="G4990">
        <v>11.2</v>
      </c>
      <c r="H4990" t="s">
        <v>2017</v>
      </c>
      <c r="I4990" s="21">
        <v>42804.470173611102</v>
      </c>
      <c r="J4990">
        <v>2017</v>
      </c>
      <c r="K4990" s="21">
        <v>43048.6404861111</v>
      </c>
      <c r="L4990">
        <v>2017</v>
      </c>
      <c r="M4990" s="21">
        <v>43032.444849537002</v>
      </c>
      <c r="N4990">
        <v>2017</v>
      </c>
      <c r="Q4990" s="262">
        <v>6000</v>
      </c>
      <c r="R4990" s="262">
        <v>2000</v>
      </c>
      <c r="S4990" t="s">
        <v>114</v>
      </c>
      <c r="T4990" t="s">
        <v>114</v>
      </c>
      <c r="W4990">
        <v>0</v>
      </c>
      <c r="X4990">
        <v>0</v>
      </c>
      <c r="AU4990">
        <f t="shared" si="154"/>
        <v>0</v>
      </c>
      <c r="AV4990">
        <f t="shared" si="155"/>
        <v>0</v>
      </c>
    </row>
    <row r="4991" spans="1:48" x14ac:dyDescent="0.25">
      <c r="A4991" t="s">
        <v>18987</v>
      </c>
      <c r="B4991" t="s">
        <v>18987</v>
      </c>
      <c r="C4991" t="s">
        <v>18986</v>
      </c>
      <c r="D4991" t="s">
        <v>3626</v>
      </c>
      <c r="E4991" t="s">
        <v>2310</v>
      </c>
      <c r="F4991">
        <v>15</v>
      </c>
      <c r="G4991">
        <v>15.1</v>
      </c>
      <c r="H4991" t="s">
        <v>2022</v>
      </c>
      <c r="I4991" s="21">
        <v>42808.441111111111</v>
      </c>
      <c r="J4991">
        <v>2017</v>
      </c>
      <c r="K4991" s="21">
        <v>42930.645208333335</v>
      </c>
      <c r="L4991">
        <v>2017</v>
      </c>
      <c r="M4991" s="21">
        <v>43699.353799537035</v>
      </c>
      <c r="N4991">
        <v>2019</v>
      </c>
      <c r="Q4991" s="262">
        <v>600000</v>
      </c>
      <c r="R4991" s="262">
        <v>320000</v>
      </c>
      <c r="S4991" t="s">
        <v>13254</v>
      </c>
      <c r="W4991">
        <v>1440</v>
      </c>
      <c r="X4991">
        <v>4</v>
      </c>
      <c r="AE4991">
        <v>1440</v>
      </c>
      <c r="AQ4991">
        <v>4</v>
      </c>
      <c r="AU4991">
        <f t="shared" si="154"/>
        <v>4</v>
      </c>
      <c r="AV4991">
        <f t="shared" si="155"/>
        <v>0</v>
      </c>
    </row>
    <row r="4992" spans="1:48" x14ac:dyDescent="0.25">
      <c r="A4992" t="s">
        <v>18985</v>
      </c>
      <c r="B4992" t="s">
        <v>18985</v>
      </c>
      <c r="C4992" t="s">
        <v>18986</v>
      </c>
      <c r="D4992" t="s">
        <v>3626</v>
      </c>
      <c r="E4992" t="s">
        <v>2310</v>
      </c>
      <c r="F4992">
        <v>15</v>
      </c>
      <c r="G4992">
        <v>15.1</v>
      </c>
      <c r="H4992" t="s">
        <v>2022</v>
      </c>
      <c r="I4992" s="21">
        <v>42808.466828703706</v>
      </c>
      <c r="J4992">
        <v>2017</v>
      </c>
      <c r="K4992" s="21">
        <v>42930.58185185185</v>
      </c>
      <c r="L4992">
        <v>2017</v>
      </c>
      <c r="M4992" s="21">
        <v>43699.351900810187</v>
      </c>
      <c r="N4992">
        <v>2019</v>
      </c>
      <c r="Q4992" s="262">
        <v>600000</v>
      </c>
      <c r="R4992" s="262">
        <v>320000</v>
      </c>
      <c r="S4992" t="s">
        <v>13254</v>
      </c>
      <c r="W4992">
        <v>1440</v>
      </c>
      <c r="X4992">
        <v>4</v>
      </c>
      <c r="AE4992">
        <v>1440</v>
      </c>
      <c r="AQ4992">
        <v>4</v>
      </c>
      <c r="AU4992">
        <f t="shared" si="154"/>
        <v>4</v>
      </c>
      <c r="AV4992">
        <f t="shared" si="155"/>
        <v>0</v>
      </c>
    </row>
    <row r="4993" spans="1:48" x14ac:dyDescent="0.25">
      <c r="A4993" t="s">
        <v>19963</v>
      </c>
      <c r="C4993" t="s">
        <v>19964</v>
      </c>
      <c r="D4993" t="s">
        <v>19965</v>
      </c>
      <c r="E4993" t="s">
        <v>1663</v>
      </c>
      <c r="F4993">
        <v>3</v>
      </c>
      <c r="G4993">
        <v>3.2</v>
      </c>
      <c r="H4993" t="s">
        <v>2327</v>
      </c>
      <c r="I4993" s="21">
        <v>42809</v>
      </c>
      <c r="J4993">
        <v>2017</v>
      </c>
      <c r="K4993" s="21">
        <v>42986</v>
      </c>
      <c r="L4993">
        <v>2017</v>
      </c>
      <c r="M4993" s="21">
        <v>44340</v>
      </c>
      <c r="N4993">
        <v>2021</v>
      </c>
      <c r="Q4993" s="262">
        <v>250000</v>
      </c>
      <c r="S4993" t="s">
        <v>13254</v>
      </c>
      <c r="U4993">
        <v>17</v>
      </c>
      <c r="W4993">
        <v>1442</v>
      </c>
      <c r="X4993">
        <v>1</v>
      </c>
      <c r="AC4993">
        <v>652</v>
      </c>
      <c r="AE4993">
        <v>790</v>
      </c>
      <c r="AQ4993">
        <v>1</v>
      </c>
      <c r="AU4993">
        <f t="shared" si="154"/>
        <v>1</v>
      </c>
      <c r="AV4993">
        <f t="shared" si="155"/>
        <v>0</v>
      </c>
    </row>
    <row r="4994" spans="1:48" x14ac:dyDescent="0.25">
      <c r="A4994" t="s">
        <v>13513</v>
      </c>
      <c r="C4994" t="s">
        <v>11246</v>
      </c>
      <c r="D4994" t="s">
        <v>13514</v>
      </c>
      <c r="E4994" t="s">
        <v>1663</v>
      </c>
      <c r="F4994">
        <v>3</v>
      </c>
      <c r="G4994">
        <v>3.2</v>
      </c>
      <c r="H4994" t="s">
        <v>2327</v>
      </c>
      <c r="I4994" s="21">
        <v>42810</v>
      </c>
      <c r="J4994">
        <v>2017</v>
      </c>
      <c r="Q4994" s="262">
        <v>450000</v>
      </c>
      <c r="S4994" t="s">
        <v>114</v>
      </c>
      <c r="T4994" t="s">
        <v>114</v>
      </c>
      <c r="W4994">
        <v>2888</v>
      </c>
      <c r="X4994">
        <v>1</v>
      </c>
      <c r="AC4994">
        <v>2888</v>
      </c>
      <c r="AO4994">
        <v>1</v>
      </c>
      <c r="AU4994">
        <f t="shared" si="154"/>
        <v>1</v>
      </c>
      <c r="AV4994">
        <f t="shared" si="155"/>
        <v>0</v>
      </c>
    </row>
    <row r="4995" spans="1:48" x14ac:dyDescent="0.25">
      <c r="A4995" t="s">
        <v>17442</v>
      </c>
      <c r="C4995" t="s">
        <v>11879</v>
      </c>
      <c r="D4995" t="s">
        <v>8165</v>
      </c>
      <c r="E4995" t="s">
        <v>1663</v>
      </c>
      <c r="F4995">
        <v>3</v>
      </c>
      <c r="G4995">
        <v>3.1</v>
      </c>
      <c r="H4995" t="s">
        <v>2017</v>
      </c>
      <c r="I4995" s="21">
        <v>42810</v>
      </c>
      <c r="J4995">
        <v>2017</v>
      </c>
      <c r="K4995" s="21">
        <v>42836</v>
      </c>
      <c r="L4995">
        <v>2017</v>
      </c>
      <c r="M4995" s="21">
        <v>43038</v>
      </c>
      <c r="N4995">
        <v>2017</v>
      </c>
      <c r="Q4995" s="262">
        <v>75000</v>
      </c>
      <c r="S4995" t="s">
        <v>114</v>
      </c>
      <c r="T4995" t="s">
        <v>114</v>
      </c>
      <c r="W4995">
        <v>0</v>
      </c>
      <c r="X4995">
        <v>0</v>
      </c>
      <c r="AU4995">
        <f t="shared" si="154"/>
        <v>0</v>
      </c>
      <c r="AV4995">
        <f t="shared" si="155"/>
        <v>0</v>
      </c>
    </row>
    <row r="4996" spans="1:48" x14ac:dyDescent="0.25">
      <c r="A4996" t="s">
        <v>17443</v>
      </c>
      <c r="C4996" t="s">
        <v>17444</v>
      </c>
      <c r="D4996" t="s">
        <v>11780</v>
      </c>
      <c r="E4996" t="s">
        <v>1663</v>
      </c>
      <c r="F4996">
        <v>1</v>
      </c>
      <c r="G4996">
        <v>1.2</v>
      </c>
      <c r="H4996" t="s">
        <v>2017</v>
      </c>
      <c r="I4996" s="21">
        <v>42810</v>
      </c>
      <c r="J4996">
        <v>2017</v>
      </c>
      <c r="K4996" s="21">
        <v>42835</v>
      </c>
      <c r="L4996">
        <v>2017</v>
      </c>
      <c r="M4996" s="21">
        <v>42872</v>
      </c>
      <c r="N4996">
        <v>2017</v>
      </c>
      <c r="Q4996" s="262">
        <v>25000</v>
      </c>
      <c r="S4996" t="s">
        <v>114</v>
      </c>
      <c r="T4996" t="s">
        <v>114</v>
      </c>
      <c r="W4996">
        <v>0</v>
      </c>
      <c r="X4996">
        <v>0</v>
      </c>
      <c r="AU4996">
        <f t="shared" si="154"/>
        <v>0</v>
      </c>
      <c r="AV4996">
        <f t="shared" si="155"/>
        <v>0</v>
      </c>
    </row>
    <row r="4997" spans="1:48" x14ac:dyDescent="0.25">
      <c r="A4997" t="s">
        <v>18265</v>
      </c>
      <c r="B4997" t="s">
        <v>18265</v>
      </c>
      <c r="C4997" t="s">
        <v>18266</v>
      </c>
      <c r="D4997" t="s">
        <v>8708</v>
      </c>
      <c r="E4997" t="s">
        <v>2310</v>
      </c>
      <c r="F4997">
        <v>12</v>
      </c>
      <c r="G4997">
        <v>12.3</v>
      </c>
      <c r="H4997" t="s">
        <v>2017</v>
      </c>
      <c r="I4997" s="21">
        <v>42810.459849537037</v>
      </c>
      <c r="J4997">
        <v>2017</v>
      </c>
      <c r="K4997" s="21">
        <v>43207.527384259258</v>
      </c>
      <c r="L4997">
        <v>2018</v>
      </c>
      <c r="M4997" s="21">
        <v>43207.506736111114</v>
      </c>
      <c r="N4997">
        <v>2018</v>
      </c>
      <c r="Q4997" s="262">
        <v>250000</v>
      </c>
      <c r="R4997" s="262">
        <v>85000</v>
      </c>
      <c r="S4997" t="s">
        <v>13253</v>
      </c>
      <c r="T4997">
        <v>4270</v>
      </c>
      <c r="V4997">
        <v>308</v>
      </c>
      <c r="W4997">
        <v>460</v>
      </c>
      <c r="X4997">
        <v>0</v>
      </c>
      <c r="AC4997">
        <v>460</v>
      </c>
      <c r="AU4997">
        <f t="shared" si="154"/>
        <v>0</v>
      </c>
      <c r="AV4997">
        <f t="shared" si="155"/>
        <v>0</v>
      </c>
    </row>
    <row r="4998" spans="1:48" x14ac:dyDescent="0.25">
      <c r="A4998" t="s">
        <v>17922</v>
      </c>
      <c r="B4998" t="s">
        <v>17922</v>
      </c>
      <c r="C4998" t="s">
        <v>17923</v>
      </c>
      <c r="D4998" t="s">
        <v>17924</v>
      </c>
      <c r="E4998" t="s">
        <v>2310</v>
      </c>
      <c r="F4998">
        <v>8</v>
      </c>
      <c r="G4998">
        <v>8.1</v>
      </c>
      <c r="H4998" t="s">
        <v>2323</v>
      </c>
      <c r="I4998" s="21">
        <v>42810.559861111113</v>
      </c>
      <c r="J4998">
        <v>2017</v>
      </c>
      <c r="K4998" s="21">
        <v>42832.500856481478</v>
      </c>
      <c r="L4998">
        <v>2017</v>
      </c>
      <c r="M4998" s="21">
        <v>43108.600439814814</v>
      </c>
      <c r="N4998">
        <v>2018</v>
      </c>
      <c r="Q4998" s="262">
        <v>400000</v>
      </c>
      <c r="R4998" s="262">
        <v>164000</v>
      </c>
      <c r="S4998" t="s">
        <v>13254</v>
      </c>
      <c r="W4998">
        <v>2116</v>
      </c>
      <c r="X4998">
        <v>1</v>
      </c>
      <c r="AC4998">
        <v>2116</v>
      </c>
      <c r="AO4998">
        <v>1</v>
      </c>
      <c r="AU4998">
        <f t="shared" si="154"/>
        <v>1</v>
      </c>
      <c r="AV4998">
        <f t="shared" si="155"/>
        <v>0</v>
      </c>
    </row>
    <row r="4999" spans="1:48" x14ac:dyDescent="0.25">
      <c r="A4999" t="s">
        <v>17997</v>
      </c>
      <c r="B4999" t="s">
        <v>17997</v>
      </c>
      <c r="C4999" t="s">
        <v>17998</v>
      </c>
      <c r="D4999" t="s">
        <v>12913</v>
      </c>
      <c r="E4999" t="s">
        <v>2310</v>
      </c>
      <c r="F4999">
        <v>10</v>
      </c>
      <c r="G4999">
        <v>10.1</v>
      </c>
      <c r="H4999" t="s">
        <v>2323</v>
      </c>
      <c r="I4999" s="21">
        <v>42810.601168981484</v>
      </c>
      <c r="J4999">
        <v>2017</v>
      </c>
      <c r="K4999" s="21">
        <v>42842.569363425922</v>
      </c>
      <c r="L4999">
        <v>2017</v>
      </c>
      <c r="M4999" s="21">
        <v>43164.406099537038</v>
      </c>
      <c r="N4999">
        <v>2018</v>
      </c>
      <c r="Q4999" s="262">
        <v>350000</v>
      </c>
      <c r="R4999" s="262">
        <v>244000</v>
      </c>
      <c r="S4999" t="s">
        <v>13254</v>
      </c>
      <c r="W4999">
        <v>2430</v>
      </c>
      <c r="X4999">
        <v>1</v>
      </c>
      <c r="AC4999">
        <v>2430</v>
      </c>
      <c r="AO4999">
        <v>1</v>
      </c>
      <c r="AU4999">
        <f t="shared" si="154"/>
        <v>1</v>
      </c>
      <c r="AV4999">
        <f t="shared" si="155"/>
        <v>0</v>
      </c>
    </row>
    <row r="5000" spans="1:48" x14ac:dyDescent="0.25">
      <c r="A5000" t="s">
        <v>19543</v>
      </c>
      <c r="B5000" t="s">
        <v>19543</v>
      </c>
      <c r="C5000" t="s">
        <v>19544</v>
      </c>
      <c r="D5000" t="s">
        <v>5635</v>
      </c>
      <c r="E5000" t="s">
        <v>2310</v>
      </c>
      <c r="F5000">
        <v>15</v>
      </c>
      <c r="G5000">
        <v>15.3</v>
      </c>
      <c r="H5000" t="s">
        <v>2022</v>
      </c>
      <c r="I5000" s="21">
        <v>42811.462013888886</v>
      </c>
      <c r="J5000">
        <v>2017</v>
      </c>
      <c r="K5000" s="21">
        <v>42835.394479166665</v>
      </c>
      <c r="L5000">
        <v>2017</v>
      </c>
      <c r="M5000" s="21">
        <v>43054.436701388891</v>
      </c>
      <c r="N5000">
        <v>2017</v>
      </c>
      <c r="Q5000" s="262">
        <v>400000</v>
      </c>
      <c r="R5000" s="262">
        <v>237000</v>
      </c>
      <c r="S5000" t="s">
        <v>13254</v>
      </c>
      <c r="W5000">
        <v>4224</v>
      </c>
      <c r="X5000">
        <v>0</v>
      </c>
      <c r="AC5000">
        <v>4224</v>
      </c>
      <c r="AU5000">
        <f t="shared" si="154"/>
        <v>0</v>
      </c>
      <c r="AV5000">
        <f t="shared" si="155"/>
        <v>0</v>
      </c>
    </row>
    <row r="5001" spans="1:48" x14ac:dyDescent="0.25">
      <c r="A5001" t="s">
        <v>18204</v>
      </c>
      <c r="B5001" t="s">
        <v>18204</v>
      </c>
      <c r="C5001" t="s">
        <v>18205</v>
      </c>
      <c r="D5001" t="s">
        <v>13350</v>
      </c>
      <c r="E5001" t="s">
        <v>2310</v>
      </c>
      <c r="F5001">
        <v>7</v>
      </c>
      <c r="G5001">
        <v>7.1</v>
      </c>
      <c r="H5001" t="s">
        <v>2017</v>
      </c>
      <c r="I5001" s="21">
        <v>42811.572268518517</v>
      </c>
      <c r="J5001">
        <v>2017</v>
      </c>
      <c r="K5001" s="21">
        <v>43327.681379247682</v>
      </c>
      <c r="L5001">
        <v>2018</v>
      </c>
      <c r="M5001" s="21">
        <v>43325.697192824075</v>
      </c>
      <c r="N5001">
        <v>2018</v>
      </c>
      <c r="Q5001" s="262">
        <v>800000</v>
      </c>
      <c r="R5001" s="262">
        <v>565000</v>
      </c>
      <c r="S5001" t="s">
        <v>13254</v>
      </c>
      <c r="W5001">
        <v>4992</v>
      </c>
      <c r="X5001">
        <v>3</v>
      </c>
      <c r="AA5001">
        <v>2496</v>
      </c>
      <c r="AE5001">
        <v>2496</v>
      </c>
      <c r="AQ5001">
        <v>3</v>
      </c>
      <c r="AU5001">
        <f t="shared" si="154"/>
        <v>3</v>
      </c>
      <c r="AV5001">
        <f t="shared" si="155"/>
        <v>2496</v>
      </c>
    </row>
    <row r="5002" spans="1:48" x14ac:dyDescent="0.25">
      <c r="A5002" t="s">
        <v>13515</v>
      </c>
      <c r="B5002" t="s">
        <v>13515</v>
      </c>
      <c r="C5002" t="s">
        <v>13516</v>
      </c>
      <c r="D5002" t="s">
        <v>13517</v>
      </c>
      <c r="E5002" t="s">
        <v>2310</v>
      </c>
      <c r="F5002">
        <v>15</v>
      </c>
      <c r="G5002">
        <v>15.3</v>
      </c>
      <c r="H5002" t="s">
        <v>2022</v>
      </c>
      <c r="I5002" s="21">
        <v>42815.4527199074</v>
      </c>
      <c r="J5002">
        <v>2017</v>
      </c>
      <c r="K5002" s="21">
        <v>42835.6183101852</v>
      </c>
      <c r="L5002">
        <v>2017</v>
      </c>
      <c r="O5002" s="21">
        <v>43292.413533877298</v>
      </c>
      <c r="Q5002" s="262">
        <v>200000</v>
      </c>
      <c r="R5002" s="262">
        <v>11000</v>
      </c>
      <c r="S5002" t="s">
        <v>114</v>
      </c>
      <c r="T5002" t="s">
        <v>114</v>
      </c>
      <c r="W5002">
        <v>240</v>
      </c>
      <c r="X5002">
        <v>0</v>
      </c>
      <c r="AA5002">
        <v>240</v>
      </c>
      <c r="AU5002">
        <f t="shared" si="154"/>
        <v>0</v>
      </c>
      <c r="AV5002">
        <f t="shared" si="155"/>
        <v>240</v>
      </c>
    </row>
    <row r="5003" spans="1:48" x14ac:dyDescent="0.25">
      <c r="A5003" t="s">
        <v>18531</v>
      </c>
      <c r="B5003" t="s">
        <v>18531</v>
      </c>
      <c r="C5003" t="s">
        <v>13256</v>
      </c>
      <c r="D5003" t="s">
        <v>4853</v>
      </c>
      <c r="E5003" t="s">
        <v>2310</v>
      </c>
      <c r="F5003">
        <v>9</v>
      </c>
      <c r="G5003">
        <v>9.1</v>
      </c>
      <c r="H5003" t="s">
        <v>2323</v>
      </c>
      <c r="I5003" s="21">
        <v>42815.59715277778</v>
      </c>
      <c r="J5003">
        <v>2017</v>
      </c>
      <c r="K5003" s="21">
        <v>43489.639423182867</v>
      </c>
      <c r="L5003">
        <v>2019</v>
      </c>
      <c r="M5003" s="21">
        <v>43503.619046180553</v>
      </c>
      <c r="N5003">
        <v>2019</v>
      </c>
      <c r="Q5003" s="262">
        <v>65000</v>
      </c>
      <c r="R5003" s="262">
        <v>65000</v>
      </c>
      <c r="S5003" t="s">
        <v>13254</v>
      </c>
      <c r="W5003">
        <v>1308</v>
      </c>
      <c r="X5003">
        <v>0</v>
      </c>
      <c r="AC5003">
        <v>1308</v>
      </c>
      <c r="AU5003">
        <f t="shared" si="154"/>
        <v>0</v>
      </c>
      <c r="AV5003">
        <f t="shared" si="155"/>
        <v>0</v>
      </c>
    </row>
    <row r="5004" spans="1:48" x14ac:dyDescent="0.25">
      <c r="A5004" t="s">
        <v>18006</v>
      </c>
      <c r="B5004" t="s">
        <v>18006</v>
      </c>
      <c r="C5004" t="s">
        <v>13256</v>
      </c>
      <c r="D5004" t="s">
        <v>18007</v>
      </c>
      <c r="E5004" t="s">
        <v>2310</v>
      </c>
      <c r="F5004">
        <v>10</v>
      </c>
      <c r="G5004">
        <v>10.1</v>
      </c>
      <c r="H5004" t="s">
        <v>2323</v>
      </c>
      <c r="I5004" s="21">
        <v>42816.567395833335</v>
      </c>
      <c r="J5004">
        <v>2017</v>
      </c>
      <c r="K5004" s="21">
        <v>42852.459293981483</v>
      </c>
      <c r="L5004">
        <v>2017</v>
      </c>
      <c r="M5004" s="21">
        <v>43175.459849537037</v>
      </c>
      <c r="N5004">
        <v>2018</v>
      </c>
      <c r="Q5004" s="262">
        <v>50000</v>
      </c>
      <c r="R5004" s="262">
        <v>32000</v>
      </c>
      <c r="S5004" t="s">
        <v>13254</v>
      </c>
      <c r="W5004">
        <v>712</v>
      </c>
      <c r="X5004">
        <v>0</v>
      </c>
      <c r="AC5004">
        <v>712</v>
      </c>
      <c r="AU5004">
        <f t="shared" si="154"/>
        <v>0</v>
      </c>
      <c r="AV5004">
        <f t="shared" si="155"/>
        <v>0</v>
      </c>
    </row>
    <row r="5005" spans="1:48" x14ac:dyDescent="0.25">
      <c r="A5005" t="s">
        <v>18148</v>
      </c>
      <c r="B5005" t="s">
        <v>18148</v>
      </c>
      <c r="C5005" t="s">
        <v>18149</v>
      </c>
      <c r="D5005" t="s">
        <v>13187</v>
      </c>
      <c r="E5005" t="s">
        <v>2310</v>
      </c>
      <c r="F5005">
        <v>7</v>
      </c>
      <c r="G5005">
        <v>7.2</v>
      </c>
      <c r="H5005" t="s">
        <v>2017</v>
      </c>
      <c r="I5005" s="21">
        <v>42817.435717592591</v>
      </c>
      <c r="J5005">
        <v>2017</v>
      </c>
      <c r="K5005" s="21">
        <v>42860.555937500001</v>
      </c>
      <c r="L5005">
        <v>2017</v>
      </c>
      <c r="M5005" s="21">
        <v>43283.65274730324</v>
      </c>
      <c r="N5005">
        <v>2018</v>
      </c>
      <c r="Q5005" s="262">
        <v>15000</v>
      </c>
      <c r="R5005" s="262">
        <v>50000</v>
      </c>
      <c r="S5005" t="s">
        <v>13254</v>
      </c>
      <c r="W5005">
        <v>440</v>
      </c>
      <c r="X5005">
        <v>1</v>
      </c>
      <c r="AF5005">
        <v>440</v>
      </c>
      <c r="AR5005">
        <v>1</v>
      </c>
      <c r="AU5005">
        <f t="shared" si="154"/>
        <v>0</v>
      </c>
      <c r="AV5005">
        <f t="shared" si="155"/>
        <v>0</v>
      </c>
    </row>
    <row r="5006" spans="1:48" x14ac:dyDescent="0.25">
      <c r="A5006" t="s">
        <v>18535</v>
      </c>
      <c r="B5006" t="s">
        <v>18535</v>
      </c>
      <c r="C5006" t="s">
        <v>13256</v>
      </c>
      <c r="D5006" t="s">
        <v>18536</v>
      </c>
      <c r="E5006" t="s">
        <v>2310</v>
      </c>
      <c r="F5006">
        <v>15</v>
      </c>
      <c r="G5006">
        <v>15.3</v>
      </c>
      <c r="H5006" t="s">
        <v>2022</v>
      </c>
      <c r="I5006" s="21">
        <v>42817.620289351849</v>
      </c>
      <c r="J5006">
        <v>2017</v>
      </c>
      <c r="K5006" s="21">
        <v>42895.498842592591</v>
      </c>
      <c r="L5006">
        <v>2017</v>
      </c>
      <c r="M5006" s="21">
        <v>43507.545710104168</v>
      </c>
      <c r="N5006">
        <v>2019</v>
      </c>
      <c r="Q5006" s="262">
        <v>400000</v>
      </c>
      <c r="R5006" s="262">
        <v>90000</v>
      </c>
      <c r="S5006" t="s">
        <v>13254</v>
      </c>
      <c r="W5006">
        <v>2016</v>
      </c>
      <c r="X5006">
        <v>0</v>
      </c>
      <c r="AC5006">
        <v>2016</v>
      </c>
      <c r="AU5006">
        <f t="shared" si="154"/>
        <v>0</v>
      </c>
      <c r="AV5006">
        <f t="shared" si="155"/>
        <v>0</v>
      </c>
    </row>
    <row r="5007" spans="1:48" x14ac:dyDescent="0.25">
      <c r="A5007" t="s">
        <v>18614</v>
      </c>
      <c r="B5007" t="s">
        <v>18614</v>
      </c>
      <c r="C5007" t="s">
        <v>13422</v>
      </c>
      <c r="D5007" t="s">
        <v>18615</v>
      </c>
      <c r="E5007" t="s">
        <v>2310</v>
      </c>
      <c r="F5007">
        <v>15</v>
      </c>
      <c r="G5007">
        <v>15.3</v>
      </c>
      <c r="H5007" t="s">
        <v>2022</v>
      </c>
      <c r="I5007" s="21">
        <v>42817.638414351852</v>
      </c>
      <c r="J5007">
        <v>2017</v>
      </c>
      <c r="K5007" s="21">
        <v>42944.418703703705</v>
      </c>
      <c r="L5007">
        <v>2017</v>
      </c>
      <c r="M5007" s="21">
        <v>43556.570528668984</v>
      </c>
      <c r="N5007">
        <v>2019</v>
      </c>
      <c r="Q5007" s="262">
        <v>900000</v>
      </c>
      <c r="R5007" s="262">
        <v>384000</v>
      </c>
      <c r="S5007" t="s">
        <v>13254</v>
      </c>
      <c r="W5007">
        <v>3737</v>
      </c>
      <c r="X5007">
        <v>1</v>
      </c>
      <c r="AC5007">
        <v>3737</v>
      </c>
      <c r="AO5007">
        <v>1</v>
      </c>
      <c r="AU5007">
        <f t="shared" si="154"/>
        <v>1</v>
      </c>
      <c r="AV5007">
        <f t="shared" si="155"/>
        <v>0</v>
      </c>
    </row>
    <row r="5008" spans="1:48" x14ac:dyDescent="0.25">
      <c r="A5008" t="s">
        <v>19577</v>
      </c>
      <c r="B5008" t="s">
        <v>19577</v>
      </c>
      <c r="C5008" t="s">
        <v>17998</v>
      </c>
      <c r="D5008" t="s">
        <v>19578</v>
      </c>
      <c r="E5008" t="s">
        <v>2310</v>
      </c>
      <c r="F5008">
        <v>9</v>
      </c>
      <c r="G5008">
        <v>9.1</v>
      </c>
      <c r="H5008" t="s">
        <v>2323</v>
      </c>
      <c r="I5008" s="21">
        <v>42818.47320601852</v>
      </c>
      <c r="J5008">
        <v>2017</v>
      </c>
      <c r="K5008" s="21">
        <v>42835.681689814817</v>
      </c>
      <c r="L5008">
        <v>2017</v>
      </c>
      <c r="M5008" s="21">
        <v>43076.347534722219</v>
      </c>
      <c r="N5008">
        <v>2017</v>
      </c>
      <c r="Q5008" s="262">
        <v>1000000</v>
      </c>
      <c r="R5008" s="262">
        <v>323000</v>
      </c>
      <c r="S5008" t="s">
        <v>13254</v>
      </c>
      <c r="W5008">
        <v>3245</v>
      </c>
      <c r="X5008">
        <v>1</v>
      </c>
      <c r="AC5008">
        <v>3245</v>
      </c>
      <c r="AO5008">
        <v>1</v>
      </c>
      <c r="AU5008">
        <f t="shared" si="154"/>
        <v>1</v>
      </c>
      <c r="AV5008">
        <f t="shared" si="155"/>
        <v>0</v>
      </c>
    </row>
    <row r="5009" spans="1:48" x14ac:dyDescent="0.25">
      <c r="A5009" t="s">
        <v>18253</v>
      </c>
      <c r="B5009" t="s">
        <v>18253</v>
      </c>
      <c r="C5009" t="s">
        <v>18254</v>
      </c>
      <c r="D5009" t="s">
        <v>16240</v>
      </c>
      <c r="E5009" t="s">
        <v>2310</v>
      </c>
      <c r="F5009">
        <v>8</v>
      </c>
      <c r="G5009">
        <v>8.1</v>
      </c>
      <c r="H5009" t="s">
        <v>2323</v>
      </c>
      <c r="I5009" s="21">
        <v>42818.576898148145</v>
      </c>
      <c r="J5009">
        <v>2017</v>
      </c>
      <c r="K5009" s="21">
        <v>42850.649861111109</v>
      </c>
      <c r="L5009">
        <v>2017</v>
      </c>
      <c r="M5009" s="21">
        <v>43343.391590393519</v>
      </c>
      <c r="N5009">
        <v>2018</v>
      </c>
      <c r="Q5009" s="262">
        <v>2600000</v>
      </c>
      <c r="R5009" s="262">
        <v>669000</v>
      </c>
      <c r="S5009" t="s">
        <v>13254</v>
      </c>
      <c r="W5009">
        <v>5323</v>
      </c>
      <c r="X5009">
        <v>1</v>
      </c>
      <c r="AC5009">
        <v>5323</v>
      </c>
      <c r="AO5009">
        <v>1</v>
      </c>
      <c r="AU5009">
        <f t="shared" si="154"/>
        <v>1</v>
      </c>
      <c r="AV5009">
        <f t="shared" si="155"/>
        <v>0</v>
      </c>
    </row>
    <row r="5010" spans="1:48" x14ac:dyDescent="0.25">
      <c r="A5010" t="s">
        <v>17565</v>
      </c>
      <c r="B5010" t="s">
        <v>17565</v>
      </c>
      <c r="C5010" t="s">
        <v>17566</v>
      </c>
      <c r="D5010" t="s">
        <v>9073</v>
      </c>
      <c r="E5010" t="s">
        <v>2310</v>
      </c>
      <c r="F5010">
        <v>15</v>
      </c>
      <c r="G5010">
        <v>15.1</v>
      </c>
      <c r="H5010" t="s">
        <v>2022</v>
      </c>
      <c r="I5010" s="21">
        <v>42818.608564814815</v>
      </c>
      <c r="J5010">
        <v>2017</v>
      </c>
      <c r="K5010" s="21">
        <v>43042.380810185183</v>
      </c>
      <c r="L5010">
        <v>2017</v>
      </c>
      <c r="M5010" s="21">
        <v>43892.429394641207</v>
      </c>
      <c r="N5010">
        <v>2020</v>
      </c>
      <c r="Q5010" s="262">
        <v>70000</v>
      </c>
      <c r="R5010" s="262">
        <v>29000</v>
      </c>
      <c r="S5010" t="s">
        <v>13253</v>
      </c>
      <c r="T5010">
        <v>478</v>
      </c>
      <c r="W5010">
        <v>250</v>
      </c>
      <c r="X5010">
        <v>0</v>
      </c>
      <c r="AC5010">
        <v>250</v>
      </c>
      <c r="AU5010">
        <f t="shared" si="154"/>
        <v>0</v>
      </c>
      <c r="AV5010">
        <f t="shared" si="155"/>
        <v>0</v>
      </c>
    </row>
    <row r="5011" spans="1:48" x14ac:dyDescent="0.25">
      <c r="A5011" t="s">
        <v>18771</v>
      </c>
      <c r="B5011" t="s">
        <v>114</v>
      </c>
      <c r="C5011" t="s">
        <v>18772</v>
      </c>
      <c r="D5011" t="s">
        <v>18773</v>
      </c>
      <c r="E5011" t="s">
        <v>1663</v>
      </c>
      <c r="F5011">
        <v>6</v>
      </c>
      <c r="G5011">
        <v>6.2</v>
      </c>
      <c r="H5011" t="s">
        <v>2017</v>
      </c>
      <c r="I5011" s="21">
        <v>42822</v>
      </c>
      <c r="J5011">
        <v>2017</v>
      </c>
      <c r="K5011" s="21">
        <v>42839</v>
      </c>
      <c r="L5011">
        <v>2017</v>
      </c>
      <c r="M5011" s="21">
        <v>43167</v>
      </c>
      <c r="N5011">
        <v>2018</v>
      </c>
      <c r="Q5011" s="262">
        <v>200000</v>
      </c>
      <c r="S5011" t="s">
        <v>13253</v>
      </c>
      <c r="T5011">
        <v>9182</v>
      </c>
      <c r="W5011">
        <v>965</v>
      </c>
      <c r="X5011">
        <v>0</v>
      </c>
      <c r="AC5011">
        <v>965</v>
      </c>
      <c r="AU5011">
        <f t="shared" si="154"/>
        <v>0</v>
      </c>
      <c r="AV5011">
        <f t="shared" si="155"/>
        <v>0</v>
      </c>
    </row>
    <row r="5012" spans="1:48" x14ac:dyDescent="0.25">
      <c r="A5012" t="s">
        <v>18067</v>
      </c>
      <c r="B5012" t="s">
        <v>114</v>
      </c>
      <c r="C5012" t="s">
        <v>11240</v>
      </c>
      <c r="D5012" t="s">
        <v>18068</v>
      </c>
      <c r="E5012" t="s">
        <v>1663</v>
      </c>
      <c r="F5012">
        <v>6</v>
      </c>
      <c r="G5012">
        <v>6.1</v>
      </c>
      <c r="H5012" t="s">
        <v>2017</v>
      </c>
      <c r="I5012" s="21">
        <v>42822</v>
      </c>
      <c r="J5012">
        <v>2017</v>
      </c>
      <c r="K5012" s="21">
        <v>42850</v>
      </c>
      <c r="L5012">
        <v>2017</v>
      </c>
      <c r="M5012" s="21">
        <v>43221</v>
      </c>
      <c r="N5012">
        <v>2018</v>
      </c>
      <c r="Q5012" s="262">
        <v>1300000</v>
      </c>
      <c r="S5012" t="s">
        <v>13254</v>
      </c>
      <c r="W5012">
        <v>4871</v>
      </c>
      <c r="X5012">
        <v>1</v>
      </c>
      <c r="AC5012">
        <v>4871</v>
      </c>
      <c r="AO5012">
        <v>1</v>
      </c>
      <c r="AU5012">
        <f t="shared" si="154"/>
        <v>1</v>
      </c>
      <c r="AV5012">
        <f t="shared" si="155"/>
        <v>0</v>
      </c>
    </row>
    <row r="5013" spans="1:48" x14ac:dyDescent="0.25">
      <c r="A5013" t="s">
        <v>16788</v>
      </c>
      <c r="B5013" t="s">
        <v>114</v>
      </c>
      <c r="C5013" t="s">
        <v>11246</v>
      </c>
      <c r="D5013" t="s">
        <v>16789</v>
      </c>
      <c r="E5013" t="s">
        <v>1663</v>
      </c>
      <c r="F5013">
        <v>3</v>
      </c>
      <c r="G5013">
        <v>3.1</v>
      </c>
      <c r="H5013" t="s">
        <v>2017</v>
      </c>
      <c r="I5013" s="21">
        <v>42822</v>
      </c>
      <c r="J5013">
        <v>2017</v>
      </c>
      <c r="K5013" s="21">
        <v>42865</v>
      </c>
      <c r="L5013">
        <v>2017</v>
      </c>
      <c r="M5013" s="21">
        <v>43301</v>
      </c>
      <c r="N5013">
        <v>2018</v>
      </c>
      <c r="S5013" t="s">
        <v>9529</v>
      </c>
      <c r="T5013">
        <v>10338</v>
      </c>
      <c r="U5013">
        <v>5</v>
      </c>
      <c r="W5013">
        <v>-2480</v>
      </c>
      <c r="X5013">
        <v>-1</v>
      </c>
      <c r="Y5013">
        <v>0</v>
      </c>
      <c r="Z5013">
        <v>0</v>
      </c>
      <c r="AA5013">
        <v>0</v>
      </c>
      <c r="AB5013">
        <v>0</v>
      </c>
      <c r="AC5013">
        <v>-2480</v>
      </c>
      <c r="AD5013">
        <v>0</v>
      </c>
      <c r="AE5013">
        <v>0</v>
      </c>
      <c r="AF5013">
        <v>0</v>
      </c>
      <c r="AG5013">
        <v>0</v>
      </c>
      <c r="AH5013">
        <v>0</v>
      </c>
      <c r="AI5013">
        <v>0</v>
      </c>
      <c r="AJ5013">
        <v>0</v>
      </c>
      <c r="AK5013">
        <v>0</v>
      </c>
      <c r="AL5013">
        <v>0</v>
      </c>
      <c r="AM5013">
        <v>0</v>
      </c>
      <c r="AN5013">
        <v>0</v>
      </c>
      <c r="AO5013">
        <v>-1</v>
      </c>
      <c r="AP5013">
        <v>0</v>
      </c>
      <c r="AQ5013">
        <v>0</v>
      </c>
      <c r="AR5013">
        <v>0</v>
      </c>
      <c r="AS5013">
        <v>0</v>
      </c>
      <c r="AT5013">
        <v>0</v>
      </c>
      <c r="AU5013">
        <f t="shared" si="154"/>
        <v>-1</v>
      </c>
      <c r="AV5013">
        <f t="shared" si="155"/>
        <v>0</v>
      </c>
    </row>
    <row r="5014" spans="1:48" x14ac:dyDescent="0.25">
      <c r="A5014" t="s">
        <v>18886</v>
      </c>
      <c r="B5014" t="s">
        <v>114</v>
      </c>
      <c r="C5014" t="s">
        <v>11240</v>
      </c>
      <c r="D5014" t="s">
        <v>18887</v>
      </c>
      <c r="E5014" t="s">
        <v>1663</v>
      </c>
      <c r="F5014">
        <v>3</v>
      </c>
      <c r="G5014">
        <v>3.1</v>
      </c>
      <c r="H5014" t="s">
        <v>2017</v>
      </c>
      <c r="I5014" s="21">
        <v>42822</v>
      </c>
      <c r="J5014">
        <v>2017</v>
      </c>
      <c r="K5014" s="21">
        <v>42863</v>
      </c>
      <c r="L5014">
        <v>2017</v>
      </c>
      <c r="M5014" s="21">
        <v>43657</v>
      </c>
      <c r="N5014">
        <v>2019</v>
      </c>
      <c r="Q5014" s="262">
        <v>400000</v>
      </c>
      <c r="S5014" t="s">
        <v>13254</v>
      </c>
      <c r="W5014">
        <v>4214</v>
      </c>
      <c r="X5014">
        <v>1</v>
      </c>
      <c r="AC5014">
        <v>4214</v>
      </c>
      <c r="AO5014">
        <v>1</v>
      </c>
      <c r="AU5014">
        <f t="shared" si="154"/>
        <v>1</v>
      </c>
      <c r="AV5014">
        <f t="shared" si="155"/>
        <v>0</v>
      </c>
    </row>
    <row r="5015" spans="1:48" x14ac:dyDescent="0.25">
      <c r="A5015" t="s">
        <v>16788</v>
      </c>
      <c r="B5015" t="s">
        <v>114</v>
      </c>
      <c r="C5015" t="s">
        <v>11246</v>
      </c>
      <c r="D5015" t="s">
        <v>16789</v>
      </c>
      <c r="E5015" t="s">
        <v>1663</v>
      </c>
      <c r="F5015">
        <v>3</v>
      </c>
      <c r="G5015">
        <v>3.1</v>
      </c>
      <c r="H5015" t="s">
        <v>2017</v>
      </c>
      <c r="I5015" s="21">
        <v>42822</v>
      </c>
      <c r="J5015">
        <v>2017</v>
      </c>
      <c r="K5015" s="21">
        <v>42865</v>
      </c>
      <c r="L5015">
        <v>2017</v>
      </c>
      <c r="M5015" s="21">
        <v>43301</v>
      </c>
      <c r="N5015">
        <v>2018</v>
      </c>
      <c r="Q5015" s="262">
        <v>1300000</v>
      </c>
      <c r="S5015" t="s">
        <v>12464</v>
      </c>
      <c r="T5015">
        <v>10338</v>
      </c>
      <c r="W5015">
        <v>4999</v>
      </c>
      <c r="X5015">
        <v>1</v>
      </c>
      <c r="AC5015">
        <v>4999</v>
      </c>
      <c r="AO5015">
        <v>1</v>
      </c>
      <c r="AU5015">
        <f t="shared" si="154"/>
        <v>1</v>
      </c>
      <c r="AV5015">
        <f t="shared" si="155"/>
        <v>0</v>
      </c>
    </row>
    <row r="5016" spans="1:48" x14ac:dyDescent="0.25">
      <c r="A5016" t="s">
        <v>13518</v>
      </c>
      <c r="B5016" t="s">
        <v>13518</v>
      </c>
      <c r="C5016" t="s">
        <v>13519</v>
      </c>
      <c r="D5016" t="s">
        <v>13520</v>
      </c>
      <c r="E5016" t="s">
        <v>2310</v>
      </c>
      <c r="F5016">
        <v>8</v>
      </c>
      <c r="G5016">
        <v>8.1999999999999993</v>
      </c>
      <c r="H5016" t="s">
        <v>2022</v>
      </c>
      <c r="I5016" s="21">
        <v>42822.426319444399</v>
      </c>
      <c r="J5016">
        <v>2017</v>
      </c>
      <c r="K5016" s="21">
        <v>42835.641087962998</v>
      </c>
      <c r="L5016">
        <v>2017</v>
      </c>
      <c r="M5016" s="21">
        <v>43328.358525578697</v>
      </c>
      <c r="N5016">
        <v>2018</v>
      </c>
      <c r="Q5016" s="262">
        <v>500000</v>
      </c>
      <c r="R5016" s="262">
        <v>437000</v>
      </c>
      <c r="S5016" t="s">
        <v>114</v>
      </c>
      <c r="T5016" t="s">
        <v>114</v>
      </c>
      <c r="V5016">
        <v>4277</v>
      </c>
      <c r="W5016">
        <v>0</v>
      </c>
      <c r="X5016">
        <v>0</v>
      </c>
      <c r="AU5016">
        <f t="shared" si="154"/>
        <v>0</v>
      </c>
      <c r="AV5016">
        <f t="shared" si="155"/>
        <v>0</v>
      </c>
    </row>
    <row r="5017" spans="1:48" x14ac:dyDescent="0.25">
      <c r="A5017" t="s">
        <v>19629</v>
      </c>
      <c r="B5017" t="s">
        <v>19629</v>
      </c>
      <c r="C5017" t="s">
        <v>19630</v>
      </c>
      <c r="D5017" t="s">
        <v>19631</v>
      </c>
      <c r="E5017" t="s">
        <v>2310</v>
      </c>
      <c r="F5017">
        <v>9</v>
      </c>
      <c r="G5017">
        <v>9.3000000000000007</v>
      </c>
      <c r="H5017" t="s">
        <v>2323</v>
      </c>
      <c r="I5017" s="21">
        <v>42822.452349537038</v>
      </c>
      <c r="J5017">
        <v>2017</v>
      </c>
      <c r="K5017" s="21">
        <v>42842.635092592594</v>
      </c>
      <c r="L5017">
        <v>2017</v>
      </c>
      <c r="M5017" s="21">
        <v>43077.463449074072</v>
      </c>
      <c r="N5017">
        <v>2017</v>
      </c>
      <c r="Q5017" s="262">
        <v>425000</v>
      </c>
      <c r="R5017" s="262">
        <v>174000</v>
      </c>
      <c r="S5017" t="s">
        <v>13254</v>
      </c>
      <c r="W5017">
        <v>2129</v>
      </c>
      <c r="X5017">
        <v>1</v>
      </c>
      <c r="AC5017">
        <v>1049</v>
      </c>
      <c r="AF5017">
        <v>1080</v>
      </c>
      <c r="AR5017">
        <v>1</v>
      </c>
      <c r="AU5017">
        <f t="shared" ref="AU5017:AU5080" si="156">SUM(AN5017:AQ5017,AS5017)</f>
        <v>0</v>
      </c>
      <c r="AV5017">
        <f t="shared" ref="AV5017:AV5080" si="157">SUM(Y5017:AB5017,AH5017:AM5017)</f>
        <v>0</v>
      </c>
    </row>
    <row r="5018" spans="1:48" x14ac:dyDescent="0.25">
      <c r="A5018" t="s">
        <v>13523</v>
      </c>
      <c r="C5018" t="s">
        <v>13524</v>
      </c>
      <c r="D5018" t="s">
        <v>13210</v>
      </c>
      <c r="E5018" t="s">
        <v>1663</v>
      </c>
      <c r="F5018">
        <v>2</v>
      </c>
      <c r="G5018">
        <v>2.6</v>
      </c>
      <c r="H5018" t="s">
        <v>2327</v>
      </c>
      <c r="I5018" s="21">
        <v>42823</v>
      </c>
      <c r="J5018">
        <v>2017</v>
      </c>
      <c r="K5018" s="21">
        <v>42835</v>
      </c>
      <c r="L5018">
        <v>2017</v>
      </c>
      <c r="P5018" s="21">
        <v>43079</v>
      </c>
      <c r="Q5018" s="262">
        <v>0</v>
      </c>
      <c r="S5018" t="s">
        <v>114</v>
      </c>
      <c r="T5018" t="s">
        <v>114</v>
      </c>
      <c r="W5018">
        <v>0</v>
      </c>
      <c r="X5018">
        <v>0</v>
      </c>
      <c r="AU5018">
        <f t="shared" si="156"/>
        <v>0</v>
      </c>
      <c r="AV5018">
        <f t="shared" si="157"/>
        <v>0</v>
      </c>
    </row>
    <row r="5019" spans="1:48" x14ac:dyDescent="0.25">
      <c r="A5019" t="s">
        <v>13521</v>
      </c>
      <c r="C5019" t="s">
        <v>13522</v>
      </c>
      <c r="D5019" t="s">
        <v>4692</v>
      </c>
      <c r="E5019" t="s">
        <v>1663</v>
      </c>
      <c r="F5019">
        <v>2</v>
      </c>
      <c r="G5019">
        <v>2.2000000000000002</v>
      </c>
      <c r="H5019" t="s">
        <v>2327</v>
      </c>
      <c r="I5019" s="21">
        <v>42823</v>
      </c>
      <c r="J5019">
        <v>2017</v>
      </c>
      <c r="K5019" s="21">
        <v>42824</v>
      </c>
      <c r="L5019">
        <v>2017</v>
      </c>
      <c r="P5019" s="21">
        <v>43054</v>
      </c>
      <c r="Q5019" s="262">
        <v>24000</v>
      </c>
      <c r="S5019" t="s">
        <v>114</v>
      </c>
      <c r="T5019" t="s">
        <v>114</v>
      </c>
      <c r="W5019">
        <v>0</v>
      </c>
      <c r="X5019">
        <v>0</v>
      </c>
      <c r="AU5019">
        <f t="shared" si="156"/>
        <v>0</v>
      </c>
      <c r="AV5019">
        <f t="shared" si="157"/>
        <v>0</v>
      </c>
    </row>
    <row r="5020" spans="1:48" x14ac:dyDescent="0.25">
      <c r="A5020" t="s">
        <v>18206</v>
      </c>
      <c r="B5020" t="s">
        <v>18206</v>
      </c>
      <c r="C5020" t="s">
        <v>18207</v>
      </c>
      <c r="D5020" t="s">
        <v>18208</v>
      </c>
      <c r="E5020" t="s">
        <v>2310</v>
      </c>
      <c r="F5020">
        <v>10</v>
      </c>
      <c r="G5020">
        <v>10.1</v>
      </c>
      <c r="H5020" t="s">
        <v>2323</v>
      </c>
      <c r="I5020" s="21">
        <v>42823.552256944444</v>
      </c>
      <c r="J5020">
        <v>2017</v>
      </c>
      <c r="K5020" s="21">
        <v>43327.685608680556</v>
      </c>
      <c r="L5020">
        <v>2018</v>
      </c>
      <c r="M5020" s="21">
        <v>43327.687196562503</v>
      </c>
      <c r="N5020">
        <v>2018</v>
      </c>
      <c r="Q5020" s="262">
        <v>535000</v>
      </c>
      <c r="R5020" s="262">
        <v>281000</v>
      </c>
      <c r="S5020" t="s">
        <v>13254</v>
      </c>
      <c r="W5020">
        <v>2779</v>
      </c>
      <c r="X5020">
        <v>1</v>
      </c>
      <c r="AC5020">
        <v>2779</v>
      </c>
      <c r="AO5020">
        <v>1</v>
      </c>
      <c r="AU5020">
        <f t="shared" si="156"/>
        <v>1</v>
      </c>
      <c r="AV5020">
        <f t="shared" si="157"/>
        <v>0</v>
      </c>
    </row>
    <row r="5021" spans="1:48" x14ac:dyDescent="0.25">
      <c r="A5021" t="s">
        <v>13525</v>
      </c>
      <c r="B5021" t="s">
        <v>13525</v>
      </c>
      <c r="C5021" t="s">
        <v>13526</v>
      </c>
      <c r="D5021" t="s">
        <v>5907</v>
      </c>
      <c r="E5021" t="s">
        <v>2310</v>
      </c>
      <c r="F5021">
        <v>9</v>
      </c>
      <c r="G5021">
        <v>9.1999999999999993</v>
      </c>
      <c r="H5021" t="s">
        <v>2022</v>
      </c>
      <c r="I5021" s="21">
        <v>42823.6385069444</v>
      </c>
      <c r="J5021">
        <v>2017</v>
      </c>
      <c r="K5021" s="21">
        <v>43061.359525462998</v>
      </c>
      <c r="L5021">
        <v>2017</v>
      </c>
      <c r="O5021" s="21">
        <v>43264.522468518502</v>
      </c>
      <c r="Q5021" s="262">
        <v>680000</v>
      </c>
      <c r="R5021" s="262">
        <v>136000</v>
      </c>
      <c r="S5021" t="s">
        <v>114</v>
      </c>
      <c r="T5021" t="s">
        <v>114</v>
      </c>
      <c r="W5021">
        <v>1215</v>
      </c>
      <c r="X5021">
        <v>1</v>
      </c>
      <c r="AC5021">
        <v>215</v>
      </c>
      <c r="AF5021">
        <v>1000</v>
      </c>
      <c r="AR5021">
        <v>1</v>
      </c>
      <c r="AU5021">
        <f t="shared" si="156"/>
        <v>0</v>
      </c>
      <c r="AV5021">
        <f t="shared" si="157"/>
        <v>0</v>
      </c>
    </row>
    <row r="5022" spans="1:48" x14ac:dyDescent="0.25">
      <c r="A5022" t="s">
        <v>18329</v>
      </c>
      <c r="B5022" t="s">
        <v>18329</v>
      </c>
      <c r="C5022" t="s">
        <v>18330</v>
      </c>
      <c r="D5022" t="s">
        <v>5907</v>
      </c>
      <c r="E5022" t="s">
        <v>2310</v>
      </c>
      <c r="F5022">
        <v>9</v>
      </c>
      <c r="G5022">
        <v>9.1999999999999993</v>
      </c>
      <c r="H5022" t="s">
        <v>2022</v>
      </c>
      <c r="I5022" s="21">
        <v>42823.654467592591</v>
      </c>
      <c r="J5022">
        <v>2017</v>
      </c>
      <c r="K5022" s="21">
        <v>43061.359884259262</v>
      </c>
      <c r="L5022">
        <v>2017</v>
      </c>
      <c r="M5022" s="21">
        <v>43591.661619328705</v>
      </c>
      <c r="N5022">
        <v>2019</v>
      </c>
      <c r="Q5022" s="262">
        <v>2200000</v>
      </c>
      <c r="R5022" s="262">
        <v>503000</v>
      </c>
      <c r="S5022" t="s">
        <v>13253</v>
      </c>
      <c r="T5022">
        <v>4473</v>
      </c>
      <c r="V5022">
        <v>3636</v>
      </c>
      <c r="W5022">
        <v>1415</v>
      </c>
      <c r="X5022">
        <v>0</v>
      </c>
      <c r="AC5022">
        <v>1415</v>
      </c>
      <c r="AU5022">
        <f t="shared" si="156"/>
        <v>0</v>
      </c>
      <c r="AV5022">
        <f t="shared" si="157"/>
        <v>0</v>
      </c>
    </row>
    <row r="5023" spans="1:48" x14ac:dyDescent="0.25">
      <c r="A5023" t="s">
        <v>17536</v>
      </c>
      <c r="B5023" t="s">
        <v>17536</v>
      </c>
      <c r="C5023" t="s">
        <v>17537</v>
      </c>
      <c r="D5023" t="s">
        <v>5200</v>
      </c>
      <c r="E5023" t="s">
        <v>2310</v>
      </c>
      <c r="F5023">
        <v>12</v>
      </c>
      <c r="G5023">
        <v>12.1</v>
      </c>
      <c r="H5023" t="s">
        <v>2327</v>
      </c>
      <c r="I5023" s="21">
        <v>42824.423483796301</v>
      </c>
      <c r="J5023">
        <v>2017</v>
      </c>
      <c r="K5023" s="21">
        <v>42900.7020023148</v>
      </c>
      <c r="L5023">
        <v>2017</v>
      </c>
      <c r="M5023" s="21">
        <v>43003.627256944397</v>
      </c>
      <c r="N5023">
        <v>2017</v>
      </c>
      <c r="Q5023" s="262">
        <v>225000</v>
      </c>
      <c r="R5023" s="262">
        <v>177000</v>
      </c>
      <c r="S5023" t="s">
        <v>114</v>
      </c>
      <c r="T5023" t="s">
        <v>114</v>
      </c>
      <c r="W5023">
        <v>0</v>
      </c>
      <c r="X5023">
        <v>0</v>
      </c>
      <c r="AU5023">
        <f t="shared" si="156"/>
        <v>0</v>
      </c>
      <c r="AV5023">
        <f t="shared" si="157"/>
        <v>0</v>
      </c>
    </row>
    <row r="5024" spans="1:48" x14ac:dyDescent="0.25">
      <c r="A5024" t="s">
        <v>17599</v>
      </c>
      <c r="B5024" t="s">
        <v>17599</v>
      </c>
      <c r="C5024" t="s">
        <v>17600</v>
      </c>
      <c r="D5024" t="s">
        <v>17601</v>
      </c>
      <c r="E5024" t="s">
        <v>2310</v>
      </c>
      <c r="F5024">
        <v>8</v>
      </c>
      <c r="G5024">
        <v>8.3000000000000007</v>
      </c>
      <c r="H5024" t="s">
        <v>2323</v>
      </c>
      <c r="I5024" s="21">
        <v>42824.452777777777</v>
      </c>
      <c r="J5024">
        <v>2017</v>
      </c>
      <c r="K5024" s="21">
        <v>42864.642650462964</v>
      </c>
      <c r="L5024">
        <v>2017</v>
      </c>
      <c r="M5024" s="21">
        <v>43382.426366238426</v>
      </c>
      <c r="N5024">
        <v>2018</v>
      </c>
      <c r="Q5024" s="262">
        <v>300000</v>
      </c>
      <c r="R5024" s="262">
        <v>96000</v>
      </c>
      <c r="S5024" t="s">
        <v>13253</v>
      </c>
      <c r="T5024">
        <v>738</v>
      </c>
      <c r="W5024">
        <v>844</v>
      </c>
      <c r="X5024">
        <v>0</v>
      </c>
      <c r="AC5024">
        <v>844</v>
      </c>
      <c r="AU5024">
        <f t="shared" si="156"/>
        <v>0</v>
      </c>
      <c r="AV5024">
        <f t="shared" si="157"/>
        <v>0</v>
      </c>
    </row>
    <row r="5025" spans="1:48" x14ac:dyDescent="0.25">
      <c r="A5025" t="s">
        <v>13530</v>
      </c>
      <c r="B5025" t="s">
        <v>13530</v>
      </c>
      <c r="C5025" t="s">
        <v>13531</v>
      </c>
      <c r="D5025" t="s">
        <v>13532</v>
      </c>
      <c r="E5025" t="s">
        <v>2310</v>
      </c>
      <c r="F5025">
        <v>9</v>
      </c>
      <c r="G5025">
        <v>9.1</v>
      </c>
      <c r="H5025" t="s">
        <v>2323</v>
      </c>
      <c r="I5025" s="21">
        <v>42825.561909722201</v>
      </c>
      <c r="J5025">
        <v>2017</v>
      </c>
      <c r="O5025" s="21">
        <v>43157.437210648102</v>
      </c>
      <c r="Q5025" s="262">
        <v>3860000</v>
      </c>
      <c r="R5025" s="262">
        <v>1191000</v>
      </c>
      <c r="S5025" t="s">
        <v>114</v>
      </c>
      <c r="T5025" t="s">
        <v>114</v>
      </c>
      <c r="W5025">
        <v>8127</v>
      </c>
      <c r="X5025">
        <v>1</v>
      </c>
      <c r="AC5025">
        <v>8127</v>
      </c>
      <c r="AO5025">
        <v>1</v>
      </c>
      <c r="AU5025">
        <f t="shared" si="156"/>
        <v>1</v>
      </c>
      <c r="AV5025">
        <f t="shared" si="157"/>
        <v>0</v>
      </c>
    </row>
    <row r="5026" spans="1:48" x14ac:dyDescent="0.25">
      <c r="A5026" t="s">
        <v>17445</v>
      </c>
      <c r="C5026" t="s">
        <v>17446</v>
      </c>
      <c r="D5026" t="s">
        <v>17447</v>
      </c>
      <c r="E5026" t="s">
        <v>1663</v>
      </c>
      <c r="F5026">
        <v>3</v>
      </c>
      <c r="G5026">
        <v>3.2</v>
      </c>
      <c r="H5026" t="s">
        <v>2327</v>
      </c>
      <c r="I5026" s="21">
        <v>42828</v>
      </c>
      <c r="J5026">
        <v>2017</v>
      </c>
      <c r="K5026" s="21">
        <v>42864</v>
      </c>
      <c r="L5026">
        <v>2017</v>
      </c>
      <c r="M5026" s="21">
        <v>43049</v>
      </c>
      <c r="N5026">
        <v>2017</v>
      </c>
      <c r="Q5026" s="262">
        <v>50000</v>
      </c>
      <c r="S5026" t="s">
        <v>114</v>
      </c>
      <c r="T5026" t="s">
        <v>114</v>
      </c>
      <c r="W5026">
        <v>0</v>
      </c>
      <c r="X5026">
        <v>0</v>
      </c>
      <c r="AU5026">
        <f t="shared" si="156"/>
        <v>0</v>
      </c>
      <c r="AV5026">
        <f t="shared" si="157"/>
        <v>0</v>
      </c>
    </row>
    <row r="5027" spans="1:48" x14ac:dyDescent="0.25">
      <c r="A5027" t="s">
        <v>17448</v>
      </c>
      <c r="C5027" t="s">
        <v>17449</v>
      </c>
      <c r="D5027" t="s">
        <v>17450</v>
      </c>
      <c r="E5027" t="s">
        <v>1663</v>
      </c>
      <c r="F5027">
        <v>2</v>
      </c>
      <c r="G5027">
        <v>2.2999999999999998</v>
      </c>
      <c r="H5027" t="s">
        <v>2327</v>
      </c>
      <c r="I5027" s="21">
        <v>42828</v>
      </c>
      <c r="J5027">
        <v>2017</v>
      </c>
      <c r="K5027" s="21">
        <v>42835</v>
      </c>
      <c r="L5027">
        <v>2017</v>
      </c>
      <c r="M5027" s="21">
        <v>42878</v>
      </c>
      <c r="N5027">
        <v>2017</v>
      </c>
      <c r="Q5027" s="262">
        <v>75000</v>
      </c>
      <c r="S5027" t="s">
        <v>114</v>
      </c>
      <c r="T5027" t="s">
        <v>114</v>
      </c>
      <c r="W5027">
        <v>0</v>
      </c>
      <c r="X5027">
        <v>0</v>
      </c>
      <c r="AU5027">
        <f t="shared" si="156"/>
        <v>0</v>
      </c>
      <c r="AV5027">
        <f t="shared" si="157"/>
        <v>0</v>
      </c>
    </row>
    <row r="5028" spans="1:48" x14ac:dyDescent="0.25">
      <c r="A5028" t="s">
        <v>16830</v>
      </c>
      <c r="B5028" t="s">
        <v>114</v>
      </c>
      <c r="C5028" t="s">
        <v>11240</v>
      </c>
      <c r="D5028" t="s">
        <v>16831</v>
      </c>
      <c r="E5028" t="s">
        <v>1663</v>
      </c>
      <c r="F5028">
        <v>6</v>
      </c>
      <c r="G5028">
        <v>6.1</v>
      </c>
      <c r="H5028" t="s">
        <v>2017</v>
      </c>
      <c r="I5028" s="21">
        <v>42829</v>
      </c>
      <c r="J5028">
        <v>2017</v>
      </c>
      <c r="K5028" s="21">
        <v>42860</v>
      </c>
      <c r="L5028">
        <v>2017</v>
      </c>
      <c r="M5028" s="21">
        <v>43112</v>
      </c>
      <c r="N5028">
        <v>2018</v>
      </c>
      <c r="S5028" t="s">
        <v>9529</v>
      </c>
      <c r="T5028">
        <v>13087</v>
      </c>
      <c r="U5028">
        <v>5</v>
      </c>
      <c r="W5028">
        <v>-3270</v>
      </c>
      <c r="X5028">
        <v>-1</v>
      </c>
      <c r="Y5028">
        <v>0</v>
      </c>
      <c r="Z5028">
        <v>0</v>
      </c>
      <c r="AA5028">
        <v>0</v>
      </c>
      <c r="AB5028">
        <v>0</v>
      </c>
      <c r="AC5028">
        <v>-3270</v>
      </c>
      <c r="AD5028">
        <v>0</v>
      </c>
      <c r="AE5028">
        <v>0</v>
      </c>
      <c r="AF5028">
        <v>0</v>
      </c>
      <c r="AG5028">
        <v>0</v>
      </c>
      <c r="AH5028">
        <v>0</v>
      </c>
      <c r="AI5028">
        <v>0</v>
      </c>
      <c r="AJ5028">
        <v>0</v>
      </c>
      <c r="AK5028">
        <v>0</v>
      </c>
      <c r="AL5028">
        <v>0</v>
      </c>
      <c r="AM5028">
        <v>0</v>
      </c>
      <c r="AN5028">
        <v>0</v>
      </c>
      <c r="AO5028">
        <v>-1</v>
      </c>
      <c r="AP5028">
        <v>0</v>
      </c>
      <c r="AQ5028">
        <v>0</v>
      </c>
      <c r="AR5028">
        <v>0</v>
      </c>
      <c r="AS5028">
        <v>0</v>
      </c>
      <c r="AT5028">
        <v>0</v>
      </c>
      <c r="AU5028">
        <f t="shared" si="156"/>
        <v>-1</v>
      </c>
      <c r="AV5028">
        <f t="shared" si="157"/>
        <v>0</v>
      </c>
    </row>
    <row r="5029" spans="1:48" x14ac:dyDescent="0.25">
      <c r="A5029" t="s">
        <v>16830</v>
      </c>
      <c r="B5029" t="s">
        <v>114</v>
      </c>
      <c r="C5029" t="s">
        <v>11240</v>
      </c>
      <c r="D5029" t="s">
        <v>13685</v>
      </c>
      <c r="E5029" t="s">
        <v>1663</v>
      </c>
      <c r="F5029">
        <v>6</v>
      </c>
      <c r="G5029">
        <v>6.1</v>
      </c>
      <c r="H5029" t="s">
        <v>2017</v>
      </c>
      <c r="I5029" s="21">
        <v>42829</v>
      </c>
      <c r="J5029">
        <v>2017</v>
      </c>
      <c r="K5029" s="21">
        <v>42860</v>
      </c>
      <c r="L5029">
        <v>2017</v>
      </c>
      <c r="M5029" s="21">
        <v>43112</v>
      </c>
      <c r="N5029">
        <v>2018</v>
      </c>
      <c r="Q5029" s="262">
        <v>700000</v>
      </c>
      <c r="S5029" t="s">
        <v>12464</v>
      </c>
      <c r="T5029">
        <v>13087</v>
      </c>
      <c r="W5029">
        <v>4157</v>
      </c>
      <c r="X5029">
        <v>1</v>
      </c>
      <c r="AC5029">
        <v>4157</v>
      </c>
      <c r="AO5029">
        <v>1</v>
      </c>
      <c r="AU5029">
        <f t="shared" si="156"/>
        <v>1</v>
      </c>
      <c r="AV5029">
        <f t="shared" si="157"/>
        <v>0</v>
      </c>
    </row>
    <row r="5030" spans="1:48" x14ac:dyDescent="0.25">
      <c r="A5030" t="s">
        <v>19350</v>
      </c>
      <c r="B5030" t="s">
        <v>114</v>
      </c>
      <c r="C5030" t="s">
        <v>11246</v>
      </c>
      <c r="D5030" t="s">
        <v>13683</v>
      </c>
      <c r="E5030" t="s">
        <v>1663</v>
      </c>
      <c r="F5030">
        <v>6</v>
      </c>
      <c r="G5030">
        <v>6.1</v>
      </c>
      <c r="H5030" t="s">
        <v>2017</v>
      </c>
      <c r="I5030" s="21">
        <v>42829</v>
      </c>
      <c r="J5030">
        <v>2017</v>
      </c>
      <c r="K5030" s="21">
        <v>42860</v>
      </c>
      <c r="L5030">
        <v>2017</v>
      </c>
      <c r="M5030" s="21">
        <v>43158</v>
      </c>
      <c r="N5030">
        <v>2018</v>
      </c>
      <c r="Q5030" s="262">
        <v>700000</v>
      </c>
      <c r="S5030" t="s">
        <v>12464</v>
      </c>
      <c r="T5030">
        <v>13087</v>
      </c>
      <c r="W5030">
        <v>4157</v>
      </c>
      <c r="X5030">
        <v>1</v>
      </c>
      <c r="AC5030">
        <v>4157</v>
      </c>
      <c r="AO5030">
        <v>1</v>
      </c>
      <c r="AU5030">
        <f t="shared" si="156"/>
        <v>1</v>
      </c>
      <c r="AV5030">
        <f t="shared" si="157"/>
        <v>0</v>
      </c>
    </row>
    <row r="5031" spans="1:48" x14ac:dyDescent="0.25">
      <c r="A5031" t="s">
        <v>13539</v>
      </c>
      <c r="C5031" t="s">
        <v>13540</v>
      </c>
      <c r="D5031" t="s">
        <v>13289</v>
      </c>
      <c r="E5031" t="s">
        <v>1663</v>
      </c>
      <c r="F5031">
        <v>1</v>
      </c>
      <c r="G5031">
        <v>1.2</v>
      </c>
      <c r="H5031" t="s">
        <v>2017</v>
      </c>
      <c r="I5031" s="21">
        <v>42829</v>
      </c>
      <c r="J5031">
        <v>2017</v>
      </c>
      <c r="K5031" s="21">
        <v>42885</v>
      </c>
      <c r="L5031">
        <v>2017</v>
      </c>
      <c r="P5031" s="21">
        <v>43110</v>
      </c>
      <c r="Q5031" s="262">
        <v>100000</v>
      </c>
      <c r="S5031" t="s">
        <v>114</v>
      </c>
      <c r="T5031" t="s">
        <v>114</v>
      </c>
      <c r="W5031">
        <v>0</v>
      </c>
      <c r="X5031">
        <v>0</v>
      </c>
      <c r="AU5031">
        <f t="shared" si="156"/>
        <v>0</v>
      </c>
      <c r="AV5031">
        <f t="shared" si="157"/>
        <v>0</v>
      </c>
    </row>
    <row r="5032" spans="1:48" x14ac:dyDescent="0.25">
      <c r="A5032" t="s">
        <v>18941</v>
      </c>
      <c r="B5032" t="s">
        <v>18941</v>
      </c>
      <c r="C5032" t="s">
        <v>18942</v>
      </c>
      <c r="D5032" t="s">
        <v>18943</v>
      </c>
      <c r="E5032" t="s">
        <v>2310</v>
      </c>
      <c r="F5032">
        <v>9</v>
      </c>
      <c r="G5032">
        <v>9.3000000000000007</v>
      </c>
      <c r="H5032" t="s">
        <v>2323</v>
      </c>
      <c r="I5032" s="21">
        <v>42829.58011574074</v>
      </c>
      <c r="J5032">
        <v>2017</v>
      </c>
      <c r="K5032" s="21">
        <v>42923.324108796296</v>
      </c>
      <c r="L5032">
        <v>2017</v>
      </c>
      <c r="M5032" s="21">
        <v>43677.459150150462</v>
      </c>
      <c r="N5032">
        <v>2019</v>
      </c>
      <c r="R5032" s="262">
        <v>1274000</v>
      </c>
      <c r="S5032" t="s">
        <v>13254</v>
      </c>
      <c r="W5032">
        <v>8892</v>
      </c>
      <c r="X5032">
        <v>1</v>
      </c>
      <c r="AC5032">
        <v>8892</v>
      </c>
      <c r="AO5032">
        <v>1</v>
      </c>
      <c r="AU5032">
        <f t="shared" si="156"/>
        <v>1</v>
      </c>
      <c r="AV5032">
        <f t="shared" si="157"/>
        <v>0</v>
      </c>
    </row>
    <row r="5033" spans="1:48" x14ac:dyDescent="0.25">
      <c r="A5033" t="s">
        <v>18836</v>
      </c>
      <c r="B5033" t="s">
        <v>18836</v>
      </c>
      <c r="C5033" t="s">
        <v>18837</v>
      </c>
      <c r="D5033" t="s">
        <v>15573</v>
      </c>
      <c r="E5033" t="s">
        <v>2310</v>
      </c>
      <c r="F5033">
        <v>13</v>
      </c>
      <c r="G5033">
        <v>13.2</v>
      </c>
      <c r="H5033" t="s">
        <v>2327</v>
      </c>
      <c r="I5033" s="21">
        <v>42830.438368055555</v>
      </c>
      <c r="J5033">
        <v>2017</v>
      </c>
      <c r="K5033" s="21">
        <v>43222.635289965277</v>
      </c>
      <c r="L5033">
        <v>2018</v>
      </c>
      <c r="M5033" s="21">
        <v>43637.620438275466</v>
      </c>
      <c r="N5033">
        <v>2019</v>
      </c>
      <c r="Q5033" s="262">
        <v>4000000</v>
      </c>
      <c r="R5033" s="262">
        <v>973000</v>
      </c>
      <c r="S5033" t="s">
        <v>13254</v>
      </c>
      <c r="W5033">
        <v>7028</v>
      </c>
      <c r="X5033">
        <v>1</v>
      </c>
      <c r="AC5033">
        <v>7028</v>
      </c>
      <c r="AO5033">
        <v>1</v>
      </c>
      <c r="AU5033">
        <f t="shared" si="156"/>
        <v>1</v>
      </c>
      <c r="AV5033">
        <f t="shared" si="157"/>
        <v>0</v>
      </c>
    </row>
    <row r="5034" spans="1:48" x14ac:dyDescent="0.25">
      <c r="A5034" t="s">
        <v>18332</v>
      </c>
      <c r="B5034" t="s">
        <v>114</v>
      </c>
      <c r="C5034" t="s">
        <v>18333</v>
      </c>
      <c r="D5034" t="s">
        <v>12713</v>
      </c>
      <c r="E5034" t="s">
        <v>1663</v>
      </c>
      <c r="F5034">
        <v>4</v>
      </c>
      <c r="G5034">
        <v>4.3</v>
      </c>
      <c r="H5034" t="s">
        <v>2327</v>
      </c>
      <c r="I5034" s="21">
        <v>42831</v>
      </c>
      <c r="J5034">
        <v>2017</v>
      </c>
      <c r="K5034" s="21">
        <v>42866</v>
      </c>
      <c r="L5034">
        <v>2017</v>
      </c>
      <c r="M5034" s="21">
        <v>43391</v>
      </c>
      <c r="N5034">
        <v>2018</v>
      </c>
      <c r="Q5034" s="262">
        <v>1069000</v>
      </c>
      <c r="S5034" t="s">
        <v>13254</v>
      </c>
      <c r="W5034">
        <v>4735</v>
      </c>
      <c r="X5034">
        <v>4</v>
      </c>
      <c r="AD5034">
        <v>4735</v>
      </c>
      <c r="AP5034">
        <v>4</v>
      </c>
      <c r="AU5034">
        <f t="shared" si="156"/>
        <v>4</v>
      </c>
      <c r="AV5034">
        <f t="shared" si="157"/>
        <v>0</v>
      </c>
    </row>
    <row r="5035" spans="1:48" x14ac:dyDescent="0.25">
      <c r="A5035" t="s">
        <v>18334</v>
      </c>
      <c r="B5035" t="s">
        <v>114</v>
      </c>
      <c r="C5035" t="s">
        <v>18335</v>
      </c>
      <c r="D5035" t="s">
        <v>12713</v>
      </c>
      <c r="E5035" t="s">
        <v>1663</v>
      </c>
      <c r="F5035">
        <v>4</v>
      </c>
      <c r="G5035">
        <v>4.3</v>
      </c>
      <c r="H5035" t="s">
        <v>2327</v>
      </c>
      <c r="I5035" s="21">
        <v>42831</v>
      </c>
      <c r="J5035">
        <v>2017</v>
      </c>
      <c r="K5035" s="21">
        <v>42866</v>
      </c>
      <c r="L5035">
        <v>2017</v>
      </c>
      <c r="M5035" s="21">
        <v>43391</v>
      </c>
      <c r="N5035">
        <v>2018</v>
      </c>
      <c r="Q5035" s="262">
        <v>1069000</v>
      </c>
      <c r="S5035" t="s">
        <v>13254</v>
      </c>
      <c r="W5035">
        <v>4735</v>
      </c>
      <c r="X5035">
        <v>4</v>
      </c>
      <c r="AD5035">
        <v>4735</v>
      </c>
      <c r="AP5035">
        <v>4</v>
      </c>
      <c r="AU5035">
        <f t="shared" si="156"/>
        <v>4</v>
      </c>
      <c r="AV5035">
        <f t="shared" si="157"/>
        <v>0</v>
      </c>
    </row>
    <row r="5036" spans="1:48" x14ac:dyDescent="0.25">
      <c r="A5036" t="s">
        <v>19235</v>
      </c>
      <c r="B5036" t="s">
        <v>114</v>
      </c>
      <c r="C5036" t="s">
        <v>19236</v>
      </c>
      <c r="D5036" t="s">
        <v>12713</v>
      </c>
      <c r="E5036" t="s">
        <v>1663</v>
      </c>
      <c r="F5036">
        <v>4</v>
      </c>
      <c r="G5036">
        <v>4.3</v>
      </c>
      <c r="H5036" t="s">
        <v>2327</v>
      </c>
      <c r="I5036" s="21">
        <v>42831</v>
      </c>
      <c r="J5036">
        <v>2017</v>
      </c>
      <c r="K5036" s="21">
        <v>42866</v>
      </c>
      <c r="L5036">
        <v>2017</v>
      </c>
      <c r="M5036" s="21">
        <v>43874</v>
      </c>
      <c r="N5036">
        <v>2020</v>
      </c>
      <c r="Q5036" s="262">
        <v>1069000</v>
      </c>
      <c r="S5036" t="s">
        <v>13254</v>
      </c>
      <c r="W5036">
        <v>4735</v>
      </c>
      <c r="X5036">
        <v>4</v>
      </c>
      <c r="AD5036">
        <v>4735</v>
      </c>
      <c r="AP5036">
        <v>4</v>
      </c>
      <c r="AU5036">
        <f t="shared" si="156"/>
        <v>4</v>
      </c>
      <c r="AV5036">
        <f t="shared" si="157"/>
        <v>0</v>
      </c>
    </row>
    <row r="5037" spans="1:48" x14ac:dyDescent="0.25">
      <c r="A5037" t="s">
        <v>19237</v>
      </c>
      <c r="B5037" t="s">
        <v>114</v>
      </c>
      <c r="C5037" t="s">
        <v>19238</v>
      </c>
      <c r="D5037" t="s">
        <v>12713</v>
      </c>
      <c r="E5037" t="s">
        <v>1663</v>
      </c>
      <c r="F5037">
        <v>4</v>
      </c>
      <c r="G5037">
        <v>4.3</v>
      </c>
      <c r="H5037" t="s">
        <v>2327</v>
      </c>
      <c r="I5037" s="21">
        <v>42831</v>
      </c>
      <c r="J5037">
        <v>2017</v>
      </c>
      <c r="K5037" s="21">
        <v>43203</v>
      </c>
      <c r="L5037">
        <v>2018</v>
      </c>
      <c r="M5037" s="21">
        <v>43874</v>
      </c>
      <c r="N5037">
        <v>2020</v>
      </c>
      <c r="Q5037" s="262">
        <v>1069000</v>
      </c>
      <c r="S5037" t="s">
        <v>13254</v>
      </c>
      <c r="W5037">
        <v>4735</v>
      </c>
      <c r="X5037">
        <v>4</v>
      </c>
      <c r="AD5037">
        <v>4735</v>
      </c>
      <c r="AP5037">
        <v>4</v>
      </c>
      <c r="AU5037">
        <f t="shared" si="156"/>
        <v>4</v>
      </c>
      <c r="AV5037">
        <f t="shared" si="157"/>
        <v>0</v>
      </c>
    </row>
    <row r="5038" spans="1:48" x14ac:dyDescent="0.25">
      <c r="A5038" t="s">
        <v>19940</v>
      </c>
      <c r="C5038" t="s">
        <v>19941</v>
      </c>
      <c r="D5038" t="s">
        <v>12713</v>
      </c>
      <c r="E5038" t="s">
        <v>1663</v>
      </c>
      <c r="F5038">
        <v>4</v>
      </c>
      <c r="G5038">
        <v>4.3</v>
      </c>
      <c r="H5038" t="s">
        <v>2327</v>
      </c>
      <c r="I5038" s="21">
        <v>42831</v>
      </c>
      <c r="J5038">
        <v>2017</v>
      </c>
      <c r="K5038" s="21">
        <v>43406</v>
      </c>
      <c r="L5038">
        <v>2018</v>
      </c>
      <c r="M5038" s="21">
        <v>44336</v>
      </c>
      <c r="N5038">
        <v>2021</v>
      </c>
      <c r="Q5038" s="262">
        <v>1069000</v>
      </c>
      <c r="S5038" t="s">
        <v>13254</v>
      </c>
      <c r="U5038">
        <v>6</v>
      </c>
      <c r="W5038">
        <v>4735</v>
      </c>
      <c r="X5038">
        <v>4</v>
      </c>
      <c r="AD5038">
        <v>4735</v>
      </c>
      <c r="AP5038">
        <v>4</v>
      </c>
      <c r="AU5038">
        <f t="shared" si="156"/>
        <v>4</v>
      </c>
      <c r="AV5038">
        <f t="shared" si="157"/>
        <v>0</v>
      </c>
    </row>
    <row r="5039" spans="1:48" x14ac:dyDescent="0.25">
      <c r="A5039" t="s">
        <v>19942</v>
      </c>
      <c r="C5039" t="s">
        <v>18335</v>
      </c>
      <c r="D5039" t="s">
        <v>12713</v>
      </c>
      <c r="E5039" t="s">
        <v>1663</v>
      </c>
      <c r="F5039">
        <v>4</v>
      </c>
      <c r="G5039">
        <v>4.3</v>
      </c>
      <c r="H5039" t="s">
        <v>2327</v>
      </c>
      <c r="I5039" s="21">
        <v>42831</v>
      </c>
      <c r="J5039">
        <v>2017</v>
      </c>
      <c r="K5039" s="21">
        <v>43704</v>
      </c>
      <c r="L5039">
        <v>2019</v>
      </c>
      <c r="M5039" s="21">
        <v>44343</v>
      </c>
      <c r="N5039">
        <v>2021</v>
      </c>
      <c r="Q5039" s="262">
        <v>1069000</v>
      </c>
      <c r="S5039" t="s">
        <v>13254</v>
      </c>
      <c r="U5039">
        <v>6</v>
      </c>
      <c r="W5039">
        <v>4735</v>
      </c>
      <c r="X5039">
        <v>4</v>
      </c>
      <c r="AD5039">
        <v>4735</v>
      </c>
      <c r="AP5039">
        <v>4</v>
      </c>
      <c r="AU5039">
        <f t="shared" si="156"/>
        <v>4</v>
      </c>
      <c r="AV5039">
        <f t="shared" si="157"/>
        <v>0</v>
      </c>
    </row>
    <row r="5040" spans="1:48" x14ac:dyDescent="0.25">
      <c r="A5040" t="s">
        <v>18185</v>
      </c>
      <c r="B5040" t="s">
        <v>18185</v>
      </c>
      <c r="C5040" t="s">
        <v>18186</v>
      </c>
      <c r="D5040" t="s">
        <v>7785</v>
      </c>
      <c r="E5040" t="s">
        <v>2310</v>
      </c>
      <c r="F5040">
        <v>8</v>
      </c>
      <c r="G5040">
        <v>8.1</v>
      </c>
      <c r="H5040" t="s">
        <v>2323</v>
      </c>
      <c r="I5040" s="21">
        <v>42832.597881944399</v>
      </c>
      <c r="J5040">
        <v>2017</v>
      </c>
      <c r="K5040" s="21">
        <v>42864.451377314799</v>
      </c>
      <c r="L5040">
        <v>2017</v>
      </c>
      <c r="M5040" s="21">
        <v>43501.513865127301</v>
      </c>
      <c r="N5040">
        <v>2019</v>
      </c>
      <c r="S5040" t="s">
        <v>9529</v>
      </c>
      <c r="T5040">
        <v>4049</v>
      </c>
      <c r="U5040">
        <v>5</v>
      </c>
      <c r="W5040">
        <v>-5600</v>
      </c>
      <c r="X5040">
        <v>-1</v>
      </c>
      <c r="Y5040">
        <v>0</v>
      </c>
      <c r="Z5040">
        <v>0</v>
      </c>
      <c r="AA5040">
        <v>0</v>
      </c>
      <c r="AB5040">
        <v>0</v>
      </c>
      <c r="AC5040">
        <v>-5600</v>
      </c>
      <c r="AD5040">
        <v>0</v>
      </c>
      <c r="AE5040">
        <v>0</v>
      </c>
      <c r="AF5040">
        <v>0</v>
      </c>
      <c r="AG5040">
        <v>0</v>
      </c>
      <c r="AH5040">
        <v>0</v>
      </c>
      <c r="AI5040">
        <v>0</v>
      </c>
      <c r="AJ5040">
        <v>0</v>
      </c>
      <c r="AK5040">
        <v>0</v>
      </c>
      <c r="AL5040">
        <v>0</v>
      </c>
      <c r="AM5040">
        <v>0</v>
      </c>
      <c r="AN5040">
        <v>0</v>
      </c>
      <c r="AO5040">
        <v>-1</v>
      </c>
      <c r="AP5040">
        <v>0</v>
      </c>
      <c r="AQ5040">
        <v>0</v>
      </c>
      <c r="AR5040">
        <v>0</v>
      </c>
      <c r="AS5040">
        <v>0</v>
      </c>
      <c r="AT5040">
        <v>0</v>
      </c>
      <c r="AU5040">
        <f t="shared" si="156"/>
        <v>-1</v>
      </c>
      <c r="AV5040">
        <f t="shared" si="157"/>
        <v>0</v>
      </c>
    </row>
    <row r="5041" spans="1:48" x14ac:dyDescent="0.25">
      <c r="A5041" t="s">
        <v>18185</v>
      </c>
      <c r="B5041" t="s">
        <v>18185</v>
      </c>
      <c r="C5041" t="s">
        <v>18186</v>
      </c>
      <c r="D5041" t="s">
        <v>7785</v>
      </c>
      <c r="E5041" t="s">
        <v>2310</v>
      </c>
      <c r="F5041">
        <v>8</v>
      </c>
      <c r="G5041">
        <v>8.1</v>
      </c>
      <c r="H5041" t="s">
        <v>2323</v>
      </c>
      <c r="I5041" s="21">
        <v>42832.597881944443</v>
      </c>
      <c r="J5041">
        <v>2017</v>
      </c>
      <c r="K5041" s="21">
        <v>42864.451377314814</v>
      </c>
      <c r="L5041">
        <v>2017</v>
      </c>
      <c r="M5041" s="21">
        <v>43501.513865127316</v>
      </c>
      <c r="N5041">
        <v>2019</v>
      </c>
      <c r="Q5041" s="262">
        <v>6684041</v>
      </c>
      <c r="R5041" s="262">
        <v>774000</v>
      </c>
      <c r="S5041" t="s">
        <v>12464</v>
      </c>
      <c r="T5041">
        <v>4049</v>
      </c>
      <c r="W5041">
        <v>6610</v>
      </c>
      <c r="X5041">
        <v>1</v>
      </c>
      <c r="AC5041">
        <v>6610</v>
      </c>
      <c r="AO5041">
        <v>1</v>
      </c>
      <c r="AU5041">
        <f t="shared" si="156"/>
        <v>1</v>
      </c>
      <c r="AV5041">
        <f t="shared" si="157"/>
        <v>0</v>
      </c>
    </row>
    <row r="5042" spans="1:48" x14ac:dyDescent="0.25">
      <c r="A5042" t="s">
        <v>16860</v>
      </c>
      <c r="B5042" t="s">
        <v>114</v>
      </c>
      <c r="C5042" t="s">
        <v>14529</v>
      </c>
      <c r="D5042" t="s">
        <v>13514</v>
      </c>
      <c r="E5042" t="s">
        <v>1663</v>
      </c>
      <c r="F5042">
        <v>3</v>
      </c>
      <c r="G5042">
        <v>3.2</v>
      </c>
      <c r="H5042" t="s">
        <v>2327</v>
      </c>
      <c r="I5042" s="21">
        <v>42835</v>
      </c>
      <c r="J5042">
        <v>2017</v>
      </c>
      <c r="K5042" s="21">
        <v>42871</v>
      </c>
      <c r="L5042">
        <v>2017</v>
      </c>
      <c r="M5042" s="21">
        <v>43354</v>
      </c>
      <c r="N5042">
        <v>2018</v>
      </c>
      <c r="S5042" t="s">
        <v>9529</v>
      </c>
      <c r="T5042">
        <v>9695</v>
      </c>
      <c r="U5042">
        <v>9</v>
      </c>
      <c r="W5042">
        <v>-1216</v>
      </c>
      <c r="X5042">
        <v>-1</v>
      </c>
      <c r="Y5042">
        <v>0</v>
      </c>
      <c r="Z5042">
        <v>0</v>
      </c>
      <c r="AA5042">
        <v>0</v>
      </c>
      <c r="AB5042">
        <v>0</v>
      </c>
      <c r="AC5042">
        <v>0</v>
      </c>
      <c r="AD5042">
        <v>0</v>
      </c>
      <c r="AE5042">
        <v>0</v>
      </c>
      <c r="AF5042">
        <v>0</v>
      </c>
      <c r="AG5042">
        <v>-1216</v>
      </c>
      <c r="AH5042">
        <v>0</v>
      </c>
      <c r="AI5042">
        <v>0</v>
      </c>
      <c r="AJ5042">
        <v>0</v>
      </c>
      <c r="AK5042">
        <v>0</v>
      </c>
      <c r="AL5042">
        <v>0</v>
      </c>
      <c r="AM5042">
        <v>0</v>
      </c>
      <c r="AN5042">
        <v>0</v>
      </c>
      <c r="AO5042">
        <v>0</v>
      </c>
      <c r="AP5042">
        <v>0</v>
      </c>
      <c r="AQ5042">
        <v>0</v>
      </c>
      <c r="AR5042">
        <v>0</v>
      </c>
      <c r="AS5042">
        <v>-1</v>
      </c>
      <c r="AT5042">
        <v>0</v>
      </c>
      <c r="AU5042">
        <f t="shared" si="156"/>
        <v>-1</v>
      </c>
      <c r="AV5042">
        <f t="shared" si="157"/>
        <v>0</v>
      </c>
    </row>
    <row r="5043" spans="1:48" x14ac:dyDescent="0.25">
      <c r="A5043" t="s">
        <v>16860</v>
      </c>
      <c r="B5043" t="s">
        <v>114</v>
      </c>
      <c r="C5043" t="s">
        <v>14529</v>
      </c>
      <c r="D5043" t="s">
        <v>13514</v>
      </c>
      <c r="E5043" t="s">
        <v>1663</v>
      </c>
      <c r="F5043">
        <v>3</v>
      </c>
      <c r="G5043">
        <v>3.2</v>
      </c>
      <c r="H5043" t="s">
        <v>2327</v>
      </c>
      <c r="I5043" s="21">
        <v>42835</v>
      </c>
      <c r="J5043">
        <v>2017</v>
      </c>
      <c r="K5043" s="21">
        <v>42871</v>
      </c>
      <c r="L5043">
        <v>2017</v>
      </c>
      <c r="M5043" s="21">
        <v>43354</v>
      </c>
      <c r="N5043">
        <v>2018</v>
      </c>
      <c r="S5043" t="s">
        <v>9529</v>
      </c>
      <c r="T5043">
        <v>9696</v>
      </c>
      <c r="U5043">
        <v>9</v>
      </c>
      <c r="W5043">
        <v>-1216</v>
      </c>
      <c r="X5043">
        <v>-1</v>
      </c>
      <c r="Y5043">
        <v>0</v>
      </c>
      <c r="Z5043">
        <v>0</v>
      </c>
      <c r="AA5043">
        <v>0</v>
      </c>
      <c r="AB5043">
        <v>0</v>
      </c>
      <c r="AC5043">
        <v>0</v>
      </c>
      <c r="AD5043">
        <v>0</v>
      </c>
      <c r="AE5043">
        <v>0</v>
      </c>
      <c r="AF5043">
        <v>0</v>
      </c>
      <c r="AG5043">
        <v>-1216</v>
      </c>
      <c r="AH5043">
        <v>0</v>
      </c>
      <c r="AI5043">
        <v>0</v>
      </c>
      <c r="AJ5043">
        <v>0</v>
      </c>
      <c r="AK5043">
        <v>0</v>
      </c>
      <c r="AL5043">
        <v>0</v>
      </c>
      <c r="AM5043">
        <v>0</v>
      </c>
      <c r="AN5043">
        <v>0</v>
      </c>
      <c r="AO5043">
        <v>0</v>
      </c>
      <c r="AP5043">
        <v>0</v>
      </c>
      <c r="AQ5043">
        <v>0</v>
      </c>
      <c r="AR5043">
        <v>0</v>
      </c>
      <c r="AS5043">
        <v>-1</v>
      </c>
      <c r="AT5043">
        <v>0</v>
      </c>
      <c r="AU5043">
        <f t="shared" si="156"/>
        <v>-1</v>
      </c>
      <c r="AV5043">
        <f t="shared" si="157"/>
        <v>0</v>
      </c>
    </row>
    <row r="5044" spans="1:48" x14ac:dyDescent="0.25">
      <c r="A5044" t="s">
        <v>18267</v>
      </c>
      <c r="B5044" t="s">
        <v>114</v>
      </c>
      <c r="C5044" t="s">
        <v>14920</v>
      </c>
      <c r="D5044" t="s">
        <v>18268</v>
      </c>
      <c r="E5044" t="s">
        <v>1663</v>
      </c>
      <c r="F5044">
        <v>3</v>
      </c>
      <c r="G5044">
        <v>3.2</v>
      </c>
      <c r="H5044" t="s">
        <v>2327</v>
      </c>
      <c r="I5044" s="21">
        <v>42835</v>
      </c>
      <c r="J5044">
        <v>2017</v>
      </c>
      <c r="K5044" s="21">
        <v>42871</v>
      </c>
      <c r="L5044">
        <v>2017</v>
      </c>
      <c r="M5044" s="21">
        <v>43354</v>
      </c>
      <c r="N5044">
        <v>2018</v>
      </c>
      <c r="Q5044" s="262">
        <v>53000</v>
      </c>
      <c r="S5044" t="s">
        <v>13254</v>
      </c>
      <c r="W5044">
        <v>432</v>
      </c>
      <c r="X5044">
        <v>1</v>
      </c>
      <c r="AE5044">
        <v>432</v>
      </c>
      <c r="AQ5044">
        <v>1</v>
      </c>
      <c r="AU5044">
        <f t="shared" si="156"/>
        <v>1</v>
      </c>
      <c r="AV5044">
        <f t="shared" si="157"/>
        <v>0</v>
      </c>
    </row>
    <row r="5045" spans="1:48" x14ac:dyDescent="0.25">
      <c r="A5045" t="s">
        <v>16860</v>
      </c>
      <c r="B5045" t="s">
        <v>114</v>
      </c>
      <c r="C5045" t="s">
        <v>14529</v>
      </c>
      <c r="D5045" t="s">
        <v>13514</v>
      </c>
      <c r="E5045" t="s">
        <v>1663</v>
      </c>
      <c r="F5045">
        <v>3</v>
      </c>
      <c r="G5045">
        <v>3.2</v>
      </c>
      <c r="H5045" t="s">
        <v>2327</v>
      </c>
      <c r="I5045" s="21">
        <v>42835</v>
      </c>
      <c r="J5045">
        <v>2017</v>
      </c>
      <c r="K5045" s="21">
        <v>42871</v>
      </c>
      <c r="L5045">
        <v>2017</v>
      </c>
      <c r="M5045" s="21">
        <v>43354</v>
      </c>
      <c r="N5045">
        <v>2018</v>
      </c>
      <c r="Q5045" s="262">
        <v>450000</v>
      </c>
      <c r="S5045" t="s">
        <v>12464</v>
      </c>
      <c r="T5045" t="s">
        <v>19600</v>
      </c>
      <c r="W5045">
        <v>3656</v>
      </c>
      <c r="X5045">
        <v>2</v>
      </c>
      <c r="AC5045">
        <v>3320</v>
      </c>
      <c r="AE5045">
        <v>336</v>
      </c>
      <c r="AO5045">
        <v>1</v>
      </c>
      <c r="AQ5045">
        <v>1</v>
      </c>
      <c r="AU5045">
        <f t="shared" si="156"/>
        <v>2</v>
      </c>
      <c r="AV5045">
        <f t="shared" si="157"/>
        <v>0</v>
      </c>
    </row>
    <row r="5046" spans="1:48" x14ac:dyDescent="0.25">
      <c r="A5046" t="s">
        <v>13541</v>
      </c>
      <c r="C5046" t="s">
        <v>13542</v>
      </c>
      <c r="D5046" t="s">
        <v>12476</v>
      </c>
      <c r="E5046" t="s">
        <v>1663</v>
      </c>
      <c r="F5046">
        <v>2</v>
      </c>
      <c r="G5046">
        <v>2.2999999999999998</v>
      </c>
      <c r="H5046" t="s">
        <v>2327</v>
      </c>
      <c r="I5046" s="21">
        <v>42835</v>
      </c>
      <c r="J5046">
        <v>2017</v>
      </c>
      <c r="K5046" s="21">
        <v>42899</v>
      </c>
      <c r="L5046">
        <v>2017</v>
      </c>
      <c r="P5046" s="21">
        <v>43347</v>
      </c>
      <c r="Q5046" s="262">
        <v>450000</v>
      </c>
      <c r="S5046" t="s">
        <v>114</v>
      </c>
      <c r="T5046" t="s">
        <v>114</v>
      </c>
      <c r="W5046">
        <v>3738</v>
      </c>
      <c r="X5046">
        <v>4</v>
      </c>
      <c r="AE5046">
        <v>3738</v>
      </c>
      <c r="AQ5046">
        <v>4</v>
      </c>
      <c r="AU5046">
        <f t="shared" si="156"/>
        <v>4</v>
      </c>
      <c r="AV5046">
        <f t="shared" si="157"/>
        <v>0</v>
      </c>
    </row>
    <row r="5047" spans="1:48" x14ac:dyDescent="0.25">
      <c r="A5047" t="s">
        <v>17451</v>
      </c>
      <c r="B5047" t="s">
        <v>114</v>
      </c>
      <c r="C5047" t="s">
        <v>17452</v>
      </c>
      <c r="D5047" t="s">
        <v>13199</v>
      </c>
      <c r="E5047" t="s">
        <v>1663</v>
      </c>
      <c r="F5047">
        <v>4</v>
      </c>
      <c r="G5047">
        <v>4.3</v>
      </c>
      <c r="H5047" t="s">
        <v>2327</v>
      </c>
      <c r="I5047" s="21">
        <v>42836</v>
      </c>
      <c r="J5047">
        <v>2017</v>
      </c>
      <c r="K5047" s="21">
        <v>42935</v>
      </c>
      <c r="L5047">
        <v>2017</v>
      </c>
      <c r="M5047" s="21">
        <v>43074</v>
      </c>
      <c r="N5047">
        <v>2017</v>
      </c>
      <c r="Q5047" s="262">
        <v>750000</v>
      </c>
      <c r="S5047" t="s">
        <v>13253</v>
      </c>
      <c r="T5047">
        <v>14020</v>
      </c>
      <c r="V5047">
        <v>1473</v>
      </c>
      <c r="W5047">
        <v>0</v>
      </c>
      <c r="X5047">
        <v>0</v>
      </c>
      <c r="AJ5047">
        <v>1473</v>
      </c>
      <c r="AK5047">
        <v>-1473</v>
      </c>
      <c r="AU5047">
        <f t="shared" si="156"/>
        <v>0</v>
      </c>
      <c r="AV5047">
        <f t="shared" si="157"/>
        <v>0</v>
      </c>
    </row>
    <row r="5048" spans="1:48" x14ac:dyDescent="0.25">
      <c r="A5048" t="s">
        <v>13543</v>
      </c>
      <c r="B5048" t="s">
        <v>13543</v>
      </c>
      <c r="C5048" t="s">
        <v>13544</v>
      </c>
      <c r="D5048" t="s">
        <v>13545</v>
      </c>
      <c r="E5048" t="s">
        <v>2310</v>
      </c>
      <c r="F5048">
        <v>12</v>
      </c>
      <c r="G5048">
        <v>12.1</v>
      </c>
      <c r="H5048" t="s">
        <v>2327</v>
      </c>
      <c r="I5048" s="21">
        <v>42836.5934837963</v>
      </c>
      <c r="J5048">
        <v>2017</v>
      </c>
      <c r="K5048" s="21">
        <v>42885.600312499999</v>
      </c>
      <c r="L5048">
        <v>2017</v>
      </c>
      <c r="P5048" s="21">
        <v>43679.685311921297</v>
      </c>
      <c r="Q5048" s="262">
        <v>6000</v>
      </c>
      <c r="R5048" s="262">
        <v>22000</v>
      </c>
      <c r="S5048" t="s">
        <v>114</v>
      </c>
      <c r="T5048" t="s">
        <v>114</v>
      </c>
      <c r="V5048">
        <v>166</v>
      </c>
      <c r="W5048">
        <v>0</v>
      </c>
      <c r="X5048">
        <v>0</v>
      </c>
      <c r="AU5048">
        <f t="shared" si="156"/>
        <v>0</v>
      </c>
      <c r="AV5048">
        <f t="shared" si="157"/>
        <v>0</v>
      </c>
    </row>
    <row r="5049" spans="1:48" x14ac:dyDescent="0.25">
      <c r="A5049" t="s">
        <v>13546</v>
      </c>
      <c r="C5049" t="s">
        <v>13547</v>
      </c>
      <c r="D5049" t="s">
        <v>13548</v>
      </c>
      <c r="E5049" t="s">
        <v>1663</v>
      </c>
      <c r="F5049">
        <v>4</v>
      </c>
      <c r="G5049">
        <v>4.2</v>
      </c>
      <c r="H5049" t="s">
        <v>2327</v>
      </c>
      <c r="I5049" s="21">
        <v>42837</v>
      </c>
      <c r="J5049">
        <v>2017</v>
      </c>
      <c r="P5049" s="21">
        <v>43143</v>
      </c>
      <c r="Q5049" s="262">
        <v>900000</v>
      </c>
      <c r="S5049" t="s">
        <v>114</v>
      </c>
      <c r="T5049" t="s">
        <v>114</v>
      </c>
      <c r="W5049">
        <v>7392</v>
      </c>
      <c r="X5049">
        <v>4</v>
      </c>
      <c r="AD5049">
        <v>7392</v>
      </c>
      <c r="AP5049">
        <v>4</v>
      </c>
      <c r="AU5049">
        <f t="shared" si="156"/>
        <v>4</v>
      </c>
      <c r="AV5049">
        <f t="shared" si="157"/>
        <v>0</v>
      </c>
    </row>
    <row r="5050" spans="1:48" x14ac:dyDescent="0.25">
      <c r="A5050" t="s">
        <v>13549</v>
      </c>
      <c r="C5050" t="s">
        <v>13550</v>
      </c>
      <c r="D5050" t="s">
        <v>13548</v>
      </c>
      <c r="E5050" t="s">
        <v>1663</v>
      </c>
      <c r="F5050">
        <v>4</v>
      </c>
      <c r="G5050">
        <v>4.2</v>
      </c>
      <c r="H5050" t="s">
        <v>2327</v>
      </c>
      <c r="I5050" s="21">
        <v>42837</v>
      </c>
      <c r="J5050">
        <v>2017</v>
      </c>
      <c r="M5050" s="21">
        <v>43200</v>
      </c>
      <c r="N5050">
        <v>2018</v>
      </c>
      <c r="Q5050" s="262">
        <v>900000</v>
      </c>
      <c r="S5050" t="s">
        <v>114</v>
      </c>
      <c r="T5050" t="s">
        <v>114</v>
      </c>
      <c r="W5050">
        <v>7392</v>
      </c>
      <c r="X5050">
        <v>4</v>
      </c>
      <c r="AD5050">
        <v>7392</v>
      </c>
      <c r="AP5050">
        <v>4</v>
      </c>
      <c r="AU5050">
        <f t="shared" si="156"/>
        <v>4</v>
      </c>
      <c r="AV5050">
        <f t="shared" si="157"/>
        <v>0</v>
      </c>
    </row>
    <row r="5051" spans="1:48" x14ac:dyDescent="0.25">
      <c r="A5051" t="s">
        <v>13551</v>
      </c>
      <c r="C5051" t="s">
        <v>13550</v>
      </c>
      <c r="D5051" t="s">
        <v>13548</v>
      </c>
      <c r="E5051" t="s">
        <v>1663</v>
      </c>
      <c r="F5051">
        <v>4</v>
      </c>
      <c r="G5051">
        <v>4.2</v>
      </c>
      <c r="H5051" t="s">
        <v>2327</v>
      </c>
      <c r="I5051" s="21">
        <v>42837</v>
      </c>
      <c r="J5051">
        <v>2017</v>
      </c>
      <c r="M5051" s="21">
        <v>43200</v>
      </c>
      <c r="N5051">
        <v>2018</v>
      </c>
      <c r="Q5051" s="262">
        <v>900000</v>
      </c>
      <c r="S5051" t="s">
        <v>114</v>
      </c>
      <c r="T5051" t="s">
        <v>114</v>
      </c>
      <c r="W5051">
        <v>7392</v>
      </c>
      <c r="X5051">
        <v>4</v>
      </c>
      <c r="AD5051">
        <v>7392</v>
      </c>
      <c r="AP5051">
        <v>4</v>
      </c>
      <c r="AU5051">
        <f t="shared" si="156"/>
        <v>4</v>
      </c>
      <c r="AV5051">
        <f t="shared" si="157"/>
        <v>0</v>
      </c>
    </row>
    <row r="5052" spans="1:48" x14ac:dyDescent="0.25">
      <c r="A5052" t="s">
        <v>13552</v>
      </c>
      <c r="C5052" t="s">
        <v>13547</v>
      </c>
      <c r="D5052" t="s">
        <v>13548</v>
      </c>
      <c r="E5052" t="s">
        <v>1663</v>
      </c>
      <c r="F5052">
        <v>4</v>
      </c>
      <c r="G5052">
        <v>4.2</v>
      </c>
      <c r="H5052" t="s">
        <v>2327</v>
      </c>
      <c r="I5052" s="21">
        <v>42837</v>
      </c>
      <c r="J5052">
        <v>2017</v>
      </c>
      <c r="M5052" s="21">
        <v>43200</v>
      </c>
      <c r="N5052">
        <v>2018</v>
      </c>
      <c r="Q5052" s="262">
        <v>900000</v>
      </c>
      <c r="S5052" t="s">
        <v>114</v>
      </c>
      <c r="T5052" t="s">
        <v>114</v>
      </c>
      <c r="W5052">
        <v>7392</v>
      </c>
      <c r="X5052">
        <v>4</v>
      </c>
      <c r="AD5052">
        <v>7392</v>
      </c>
      <c r="AP5052">
        <v>4</v>
      </c>
      <c r="AU5052">
        <f t="shared" si="156"/>
        <v>4</v>
      </c>
      <c r="AV5052">
        <f t="shared" si="157"/>
        <v>0</v>
      </c>
    </row>
    <row r="5053" spans="1:48" x14ac:dyDescent="0.25">
      <c r="A5053" t="s">
        <v>19632</v>
      </c>
      <c r="B5053" t="s">
        <v>19632</v>
      </c>
      <c r="C5053" t="s">
        <v>13256</v>
      </c>
      <c r="D5053" t="s">
        <v>9832</v>
      </c>
      <c r="E5053" t="s">
        <v>2310</v>
      </c>
      <c r="F5053">
        <v>10</v>
      </c>
      <c r="G5053">
        <v>10.1</v>
      </c>
      <c r="H5053" t="s">
        <v>2323</v>
      </c>
      <c r="I5053" s="21">
        <v>42837.457280092596</v>
      </c>
      <c r="J5053">
        <v>2017</v>
      </c>
      <c r="K5053" s="21">
        <v>42863.626747685186</v>
      </c>
      <c r="L5053">
        <v>2017</v>
      </c>
      <c r="M5053" s="21">
        <v>42993.647152777776</v>
      </c>
      <c r="N5053">
        <v>2017</v>
      </c>
      <c r="Q5053" s="262">
        <v>75000</v>
      </c>
      <c r="R5053" s="262">
        <v>36000</v>
      </c>
      <c r="S5053" t="s">
        <v>13254</v>
      </c>
      <c r="W5053">
        <v>798</v>
      </c>
      <c r="X5053">
        <v>0</v>
      </c>
      <c r="AC5053">
        <v>798</v>
      </c>
      <c r="AU5053">
        <f t="shared" si="156"/>
        <v>0</v>
      </c>
      <c r="AV5053">
        <f t="shared" si="157"/>
        <v>0</v>
      </c>
    </row>
    <row r="5054" spans="1:48" x14ac:dyDescent="0.25">
      <c r="A5054" t="s">
        <v>18164</v>
      </c>
      <c r="B5054" t="s">
        <v>18164</v>
      </c>
      <c r="C5054" t="s">
        <v>18165</v>
      </c>
      <c r="D5054" t="s">
        <v>17089</v>
      </c>
      <c r="E5054" t="s">
        <v>2310</v>
      </c>
      <c r="F5054">
        <v>9</v>
      </c>
      <c r="G5054">
        <v>9.3000000000000007</v>
      </c>
      <c r="H5054" t="s">
        <v>2323</v>
      </c>
      <c r="I5054" s="21">
        <v>42838.556643518517</v>
      </c>
      <c r="J5054">
        <v>2017</v>
      </c>
      <c r="K5054" s="21">
        <v>42866.590277777781</v>
      </c>
      <c r="L5054">
        <v>2017</v>
      </c>
      <c r="M5054" s="21">
        <v>43166.630289351851</v>
      </c>
      <c r="N5054">
        <v>2018</v>
      </c>
      <c r="Q5054" s="262">
        <v>275000</v>
      </c>
      <c r="R5054" s="262">
        <v>88000</v>
      </c>
      <c r="S5054" t="s">
        <v>13253</v>
      </c>
      <c r="T5054">
        <v>3971</v>
      </c>
      <c r="W5054">
        <v>773</v>
      </c>
      <c r="X5054">
        <v>0</v>
      </c>
      <c r="AC5054">
        <v>773</v>
      </c>
      <c r="AU5054">
        <f t="shared" si="156"/>
        <v>0</v>
      </c>
      <c r="AV5054">
        <f t="shared" si="157"/>
        <v>0</v>
      </c>
    </row>
    <row r="5055" spans="1:48" x14ac:dyDescent="0.25">
      <c r="A5055" t="s">
        <v>18038</v>
      </c>
      <c r="B5055" t="s">
        <v>18038</v>
      </c>
      <c r="C5055" t="s">
        <v>13284</v>
      </c>
      <c r="D5055" t="s">
        <v>8142</v>
      </c>
      <c r="E5055" t="s">
        <v>2310</v>
      </c>
      <c r="F5055">
        <v>14</v>
      </c>
      <c r="G5055">
        <v>14.1</v>
      </c>
      <c r="H5055" t="s">
        <v>2022</v>
      </c>
      <c r="I5055" s="21">
        <v>42838.601342592592</v>
      </c>
      <c r="J5055">
        <v>2017</v>
      </c>
      <c r="K5055" s="21">
        <v>42866.497928240744</v>
      </c>
      <c r="L5055">
        <v>2017</v>
      </c>
      <c r="M5055" s="21">
        <v>43187.613217592596</v>
      </c>
      <c r="N5055">
        <v>2018</v>
      </c>
      <c r="Q5055" s="262">
        <v>70000</v>
      </c>
      <c r="R5055" s="262">
        <v>67000</v>
      </c>
      <c r="S5055" t="s">
        <v>13254</v>
      </c>
      <c r="W5055">
        <v>1488</v>
      </c>
      <c r="X5055">
        <v>0</v>
      </c>
      <c r="AC5055">
        <v>1488</v>
      </c>
      <c r="AU5055">
        <f t="shared" si="156"/>
        <v>0</v>
      </c>
      <c r="AV5055">
        <f t="shared" si="157"/>
        <v>0</v>
      </c>
    </row>
    <row r="5056" spans="1:48" x14ac:dyDescent="0.25">
      <c r="A5056" t="s">
        <v>17917</v>
      </c>
      <c r="B5056" t="s">
        <v>17917</v>
      </c>
      <c r="C5056" t="s">
        <v>17918</v>
      </c>
      <c r="D5056" t="s">
        <v>17916</v>
      </c>
      <c r="E5056" t="s">
        <v>2310</v>
      </c>
      <c r="F5056">
        <v>10</v>
      </c>
      <c r="G5056">
        <v>10.1</v>
      </c>
      <c r="H5056" t="s">
        <v>2323</v>
      </c>
      <c r="I5056" s="21">
        <v>42839.615312499998</v>
      </c>
      <c r="J5056">
        <v>2017</v>
      </c>
      <c r="K5056" s="21">
        <v>42871.440937500003</v>
      </c>
      <c r="L5056">
        <v>2017</v>
      </c>
      <c r="M5056" s="21">
        <v>43105.566122685188</v>
      </c>
      <c r="N5056">
        <v>2018</v>
      </c>
      <c r="Q5056" s="262">
        <v>200000</v>
      </c>
      <c r="R5056" s="262">
        <v>113000</v>
      </c>
      <c r="S5056" t="s">
        <v>13254</v>
      </c>
      <c r="W5056">
        <v>996</v>
      </c>
      <c r="X5056">
        <v>1</v>
      </c>
      <c r="AC5056">
        <v>0</v>
      </c>
      <c r="AF5056">
        <v>996</v>
      </c>
      <c r="AR5056">
        <v>1</v>
      </c>
      <c r="AU5056">
        <f t="shared" si="156"/>
        <v>0</v>
      </c>
      <c r="AV5056">
        <f t="shared" si="157"/>
        <v>0</v>
      </c>
    </row>
    <row r="5057" spans="1:48" x14ac:dyDescent="0.25">
      <c r="A5057" t="s">
        <v>17914</v>
      </c>
      <c r="B5057" t="s">
        <v>17914</v>
      </c>
      <c r="C5057" t="s">
        <v>17915</v>
      </c>
      <c r="D5057" t="s">
        <v>17916</v>
      </c>
      <c r="E5057" t="s">
        <v>2310</v>
      </c>
      <c r="F5057">
        <v>10</v>
      </c>
      <c r="G5057">
        <v>10.1</v>
      </c>
      <c r="H5057" t="s">
        <v>2323</v>
      </c>
      <c r="I5057" s="21">
        <v>42839.628634259258</v>
      </c>
      <c r="J5057">
        <v>2017</v>
      </c>
      <c r="K5057" s="21">
        <v>42871.440381944441</v>
      </c>
      <c r="L5057">
        <v>2017</v>
      </c>
      <c r="M5057" s="21">
        <v>43105.564328703702</v>
      </c>
      <c r="N5057">
        <v>2018</v>
      </c>
      <c r="Q5057" s="262">
        <v>100000</v>
      </c>
      <c r="R5057" s="262">
        <v>33000</v>
      </c>
      <c r="S5057" t="s">
        <v>13254</v>
      </c>
      <c r="W5057">
        <v>729</v>
      </c>
      <c r="X5057">
        <v>1</v>
      </c>
      <c r="AC5057">
        <v>729</v>
      </c>
      <c r="AR5057">
        <v>1</v>
      </c>
      <c r="AU5057">
        <f t="shared" si="156"/>
        <v>0</v>
      </c>
      <c r="AV5057">
        <f t="shared" si="157"/>
        <v>0</v>
      </c>
    </row>
    <row r="5058" spans="1:48" x14ac:dyDescent="0.25">
      <c r="A5058" t="s">
        <v>19065</v>
      </c>
      <c r="B5058" t="s">
        <v>19065</v>
      </c>
      <c r="C5058" t="s">
        <v>19066</v>
      </c>
      <c r="D5058" t="s">
        <v>19067</v>
      </c>
      <c r="E5058" t="s">
        <v>2310</v>
      </c>
      <c r="F5058">
        <v>15</v>
      </c>
      <c r="G5058">
        <v>15.2</v>
      </c>
      <c r="H5058" t="s">
        <v>2323</v>
      </c>
      <c r="I5058" s="21">
        <v>42843.438298611109</v>
      </c>
      <c r="J5058">
        <v>2017</v>
      </c>
      <c r="K5058" s="21">
        <v>42885.506006944444</v>
      </c>
      <c r="L5058">
        <v>2017</v>
      </c>
      <c r="M5058" s="21">
        <v>43746.347836342589</v>
      </c>
      <c r="N5058">
        <v>2019</v>
      </c>
      <c r="Q5058" s="262">
        <v>4400000</v>
      </c>
      <c r="R5058" s="262">
        <v>511000</v>
      </c>
      <c r="S5058" t="s">
        <v>13254</v>
      </c>
      <c r="W5058">
        <v>3999</v>
      </c>
      <c r="X5058">
        <v>1</v>
      </c>
      <c r="AC5058">
        <v>3999</v>
      </c>
      <c r="AO5058">
        <v>1</v>
      </c>
      <c r="AU5058">
        <f t="shared" si="156"/>
        <v>1</v>
      </c>
      <c r="AV5058">
        <f t="shared" si="157"/>
        <v>0</v>
      </c>
    </row>
    <row r="5059" spans="1:48" x14ac:dyDescent="0.25">
      <c r="A5059" t="s">
        <v>19068</v>
      </c>
      <c r="B5059" t="s">
        <v>19068</v>
      </c>
      <c r="C5059" t="s">
        <v>13256</v>
      </c>
      <c r="D5059" t="s">
        <v>19067</v>
      </c>
      <c r="E5059" t="s">
        <v>2310</v>
      </c>
      <c r="F5059">
        <v>15</v>
      </c>
      <c r="G5059">
        <v>15.2</v>
      </c>
      <c r="H5059" t="s">
        <v>2323</v>
      </c>
      <c r="I5059" s="21">
        <v>42843.454259259262</v>
      </c>
      <c r="J5059">
        <v>2017</v>
      </c>
      <c r="K5059" s="21">
        <v>42885.483148148145</v>
      </c>
      <c r="L5059">
        <v>2017</v>
      </c>
      <c r="M5059" s="21">
        <v>43746.351895451386</v>
      </c>
      <c r="N5059">
        <v>2019</v>
      </c>
      <c r="Q5059" s="262">
        <v>200000</v>
      </c>
      <c r="R5059" s="262">
        <v>35000</v>
      </c>
      <c r="S5059" t="s">
        <v>13254</v>
      </c>
      <c r="W5059">
        <v>784</v>
      </c>
      <c r="X5059">
        <v>0</v>
      </c>
      <c r="AC5059">
        <v>784</v>
      </c>
      <c r="AU5059">
        <f t="shared" si="156"/>
        <v>0</v>
      </c>
      <c r="AV5059">
        <f t="shared" si="157"/>
        <v>0</v>
      </c>
    </row>
    <row r="5060" spans="1:48" x14ac:dyDescent="0.25">
      <c r="A5060" t="s">
        <v>17722</v>
      </c>
      <c r="B5060" t="s">
        <v>17722</v>
      </c>
      <c r="C5060" t="s">
        <v>17723</v>
      </c>
      <c r="D5060" t="s">
        <v>4200</v>
      </c>
      <c r="E5060" t="s">
        <v>2310</v>
      </c>
      <c r="F5060">
        <v>10</v>
      </c>
      <c r="G5060">
        <v>10.1</v>
      </c>
      <c r="H5060" t="s">
        <v>2323</v>
      </c>
      <c r="I5060" s="21">
        <v>42843.474907407406</v>
      </c>
      <c r="J5060">
        <v>2017</v>
      </c>
      <c r="K5060" s="21">
        <v>42909.608981481484</v>
      </c>
      <c r="L5060">
        <v>2017</v>
      </c>
      <c r="M5060" s="21">
        <v>43447.378936493056</v>
      </c>
      <c r="N5060">
        <v>2018</v>
      </c>
      <c r="Q5060" s="262">
        <v>181000</v>
      </c>
      <c r="R5060" s="262">
        <v>98000</v>
      </c>
      <c r="S5060" t="s">
        <v>13253</v>
      </c>
      <c r="T5060">
        <v>1625</v>
      </c>
      <c r="V5060">
        <v>1087</v>
      </c>
      <c r="W5060">
        <v>0</v>
      </c>
      <c r="X5060">
        <v>0</v>
      </c>
      <c r="AU5060">
        <f t="shared" si="156"/>
        <v>0</v>
      </c>
      <c r="AV5060">
        <f t="shared" si="157"/>
        <v>0</v>
      </c>
    </row>
    <row r="5061" spans="1:48" x14ac:dyDescent="0.25">
      <c r="A5061" t="s">
        <v>13553</v>
      </c>
      <c r="B5061" t="s">
        <v>13553</v>
      </c>
      <c r="C5061" t="s">
        <v>13554</v>
      </c>
      <c r="D5061" t="s">
        <v>13555</v>
      </c>
      <c r="E5061" t="s">
        <v>2310</v>
      </c>
      <c r="F5061">
        <v>11</v>
      </c>
      <c r="G5061">
        <v>11.1</v>
      </c>
      <c r="H5061" t="s">
        <v>2327</v>
      </c>
      <c r="I5061" s="21">
        <v>42843.591284722199</v>
      </c>
      <c r="J5061">
        <v>2017</v>
      </c>
      <c r="K5061" s="21">
        <v>42866.450752314799</v>
      </c>
      <c r="L5061">
        <v>2017</v>
      </c>
      <c r="M5061" s="21">
        <v>43104.4135185185</v>
      </c>
      <c r="N5061">
        <v>2018</v>
      </c>
      <c r="Q5061" s="262">
        <v>600</v>
      </c>
      <c r="R5061" s="262">
        <v>15000</v>
      </c>
      <c r="S5061" t="s">
        <v>114</v>
      </c>
      <c r="T5061" t="s">
        <v>114</v>
      </c>
      <c r="V5061">
        <v>325</v>
      </c>
      <c r="W5061">
        <v>0</v>
      </c>
      <c r="X5061">
        <v>0</v>
      </c>
      <c r="AU5061">
        <f t="shared" si="156"/>
        <v>0</v>
      </c>
      <c r="AV5061">
        <f t="shared" si="157"/>
        <v>0</v>
      </c>
    </row>
    <row r="5062" spans="1:48" x14ac:dyDescent="0.25">
      <c r="A5062" t="s">
        <v>13556</v>
      </c>
      <c r="C5062" t="s">
        <v>13557</v>
      </c>
      <c r="D5062" t="s">
        <v>13548</v>
      </c>
      <c r="E5062" t="s">
        <v>1663</v>
      </c>
      <c r="F5062">
        <v>4</v>
      </c>
      <c r="G5062">
        <v>4.2</v>
      </c>
      <c r="H5062" t="s">
        <v>2327</v>
      </c>
      <c r="I5062" s="21">
        <v>42845</v>
      </c>
      <c r="J5062">
        <v>2017</v>
      </c>
      <c r="M5062" s="21">
        <v>43200</v>
      </c>
      <c r="N5062">
        <v>2018</v>
      </c>
      <c r="Q5062" s="262">
        <v>1100000</v>
      </c>
      <c r="S5062" t="s">
        <v>114</v>
      </c>
      <c r="T5062" t="s">
        <v>114</v>
      </c>
      <c r="W5062">
        <v>3410</v>
      </c>
      <c r="X5062">
        <v>2</v>
      </c>
      <c r="AD5062">
        <v>3410</v>
      </c>
      <c r="AP5062">
        <v>2</v>
      </c>
      <c r="AU5062">
        <f t="shared" si="156"/>
        <v>2</v>
      </c>
      <c r="AV5062">
        <f t="shared" si="157"/>
        <v>0</v>
      </c>
    </row>
    <row r="5063" spans="1:48" x14ac:dyDescent="0.25">
      <c r="A5063" t="s">
        <v>13558</v>
      </c>
      <c r="C5063" t="s">
        <v>13557</v>
      </c>
      <c r="D5063" t="s">
        <v>13548</v>
      </c>
      <c r="E5063" t="s">
        <v>1663</v>
      </c>
      <c r="F5063">
        <v>4</v>
      </c>
      <c r="G5063">
        <v>4.2</v>
      </c>
      <c r="H5063" t="s">
        <v>2327</v>
      </c>
      <c r="I5063" s="21">
        <v>42845</v>
      </c>
      <c r="J5063">
        <v>2017</v>
      </c>
      <c r="M5063" s="21">
        <v>43200</v>
      </c>
      <c r="N5063">
        <v>2018</v>
      </c>
      <c r="Q5063" s="262">
        <v>1100000</v>
      </c>
      <c r="S5063" t="s">
        <v>114</v>
      </c>
      <c r="T5063" t="s">
        <v>114</v>
      </c>
      <c r="W5063">
        <v>5092</v>
      </c>
      <c r="X5063">
        <v>2</v>
      </c>
      <c r="AD5063">
        <v>5092</v>
      </c>
      <c r="AP5063">
        <v>2</v>
      </c>
      <c r="AU5063">
        <f t="shared" si="156"/>
        <v>2</v>
      </c>
      <c r="AV5063">
        <f t="shared" si="157"/>
        <v>0</v>
      </c>
    </row>
    <row r="5064" spans="1:48" x14ac:dyDescent="0.25">
      <c r="A5064" t="s">
        <v>16961</v>
      </c>
      <c r="B5064" t="s">
        <v>114</v>
      </c>
      <c r="C5064" t="s">
        <v>16962</v>
      </c>
      <c r="D5064" t="s">
        <v>16963</v>
      </c>
      <c r="E5064" t="s">
        <v>1663</v>
      </c>
      <c r="F5064">
        <v>5</v>
      </c>
      <c r="G5064">
        <v>5.0999999999999996</v>
      </c>
      <c r="H5064" t="s">
        <v>2327</v>
      </c>
      <c r="I5064" s="21">
        <v>42846</v>
      </c>
      <c r="J5064">
        <v>2017</v>
      </c>
      <c r="K5064" s="21">
        <v>42914</v>
      </c>
      <c r="L5064">
        <v>2017</v>
      </c>
      <c r="M5064" s="21">
        <v>43269</v>
      </c>
      <c r="N5064">
        <v>2018</v>
      </c>
      <c r="S5064" t="s">
        <v>9529</v>
      </c>
      <c r="T5064">
        <v>12167</v>
      </c>
      <c r="U5064">
        <v>13</v>
      </c>
      <c r="W5064">
        <v>-2400</v>
      </c>
      <c r="X5064">
        <v>0</v>
      </c>
      <c r="Y5064">
        <v>0</v>
      </c>
      <c r="Z5064">
        <v>0</v>
      </c>
      <c r="AA5064">
        <v>0</v>
      </c>
      <c r="AB5064">
        <v>0</v>
      </c>
      <c r="AC5064">
        <v>0</v>
      </c>
      <c r="AD5064">
        <v>0</v>
      </c>
      <c r="AE5064">
        <v>0</v>
      </c>
      <c r="AF5064">
        <v>0</v>
      </c>
      <c r="AG5064">
        <v>0</v>
      </c>
      <c r="AH5064">
        <v>0</v>
      </c>
      <c r="AI5064">
        <v>0</v>
      </c>
      <c r="AJ5064">
        <v>0</v>
      </c>
      <c r="AK5064">
        <v>-2400</v>
      </c>
      <c r="AL5064">
        <v>0</v>
      </c>
      <c r="AM5064">
        <v>0</v>
      </c>
      <c r="AN5064">
        <v>0</v>
      </c>
      <c r="AO5064">
        <v>0</v>
      </c>
      <c r="AP5064">
        <v>0</v>
      </c>
      <c r="AQ5064">
        <v>0</v>
      </c>
      <c r="AR5064">
        <v>0</v>
      </c>
      <c r="AS5064">
        <v>0</v>
      </c>
      <c r="AT5064">
        <v>0</v>
      </c>
      <c r="AU5064">
        <f t="shared" si="156"/>
        <v>0</v>
      </c>
      <c r="AV5064">
        <f t="shared" si="157"/>
        <v>-2400</v>
      </c>
    </row>
    <row r="5065" spans="1:48" x14ac:dyDescent="0.25">
      <c r="A5065" t="s">
        <v>16961</v>
      </c>
      <c r="B5065" t="s">
        <v>114</v>
      </c>
      <c r="C5065" t="s">
        <v>16962</v>
      </c>
      <c r="D5065" t="s">
        <v>16963</v>
      </c>
      <c r="E5065" t="s">
        <v>1663</v>
      </c>
      <c r="F5065">
        <v>5</v>
      </c>
      <c r="G5065">
        <v>5.0999999999999996</v>
      </c>
      <c r="H5065" t="s">
        <v>2327</v>
      </c>
      <c r="I5065" s="21">
        <v>42846</v>
      </c>
      <c r="J5065">
        <v>2017</v>
      </c>
      <c r="K5065" s="21">
        <v>42914</v>
      </c>
      <c r="L5065">
        <v>2017</v>
      </c>
      <c r="M5065" s="21">
        <v>43269</v>
      </c>
      <c r="N5065">
        <v>2018</v>
      </c>
      <c r="Q5065" s="262">
        <v>2000000</v>
      </c>
      <c r="S5065" t="s">
        <v>12464</v>
      </c>
      <c r="T5065">
        <v>12167</v>
      </c>
      <c r="W5065">
        <v>4538</v>
      </c>
      <c r="X5065">
        <v>0</v>
      </c>
      <c r="AJ5065">
        <v>4538</v>
      </c>
      <c r="AU5065">
        <f t="shared" si="156"/>
        <v>0</v>
      </c>
      <c r="AV5065">
        <f t="shared" si="157"/>
        <v>4538</v>
      </c>
    </row>
    <row r="5066" spans="1:48" x14ac:dyDescent="0.25">
      <c r="A5066" t="s">
        <v>13559</v>
      </c>
      <c r="C5066" t="s">
        <v>13560</v>
      </c>
      <c r="D5066" t="s">
        <v>13561</v>
      </c>
      <c r="E5066" t="s">
        <v>1663</v>
      </c>
      <c r="F5066">
        <v>4</v>
      </c>
      <c r="G5066">
        <v>4.3</v>
      </c>
      <c r="H5066" t="s">
        <v>2327</v>
      </c>
      <c r="I5066" s="21">
        <v>42846</v>
      </c>
      <c r="J5066">
        <v>2017</v>
      </c>
      <c r="K5066" s="21">
        <v>42874</v>
      </c>
      <c r="L5066">
        <v>2017</v>
      </c>
      <c r="M5066" s="21">
        <v>43481</v>
      </c>
      <c r="N5066">
        <v>2019</v>
      </c>
      <c r="Q5066" s="262">
        <v>1000000</v>
      </c>
      <c r="S5066" t="s">
        <v>114</v>
      </c>
      <c r="T5066" t="s">
        <v>114</v>
      </c>
      <c r="W5066">
        <v>0</v>
      </c>
      <c r="X5066">
        <v>0</v>
      </c>
      <c r="AU5066">
        <f t="shared" si="156"/>
        <v>0</v>
      </c>
      <c r="AV5066">
        <f t="shared" si="157"/>
        <v>0</v>
      </c>
    </row>
    <row r="5067" spans="1:48" x14ac:dyDescent="0.25">
      <c r="A5067" t="s">
        <v>18854</v>
      </c>
      <c r="B5067" t="s">
        <v>114</v>
      </c>
      <c r="C5067" t="s">
        <v>18855</v>
      </c>
      <c r="D5067" t="s">
        <v>18856</v>
      </c>
      <c r="E5067" t="s">
        <v>1663</v>
      </c>
      <c r="F5067">
        <v>3</v>
      </c>
      <c r="G5067">
        <v>3.1</v>
      </c>
      <c r="H5067" t="s">
        <v>2017</v>
      </c>
      <c r="I5067" s="21">
        <v>42846</v>
      </c>
      <c r="J5067">
        <v>2017</v>
      </c>
      <c r="K5067" s="21">
        <v>42866</v>
      </c>
      <c r="L5067">
        <v>2017</v>
      </c>
      <c r="M5067" s="21">
        <v>43385</v>
      </c>
      <c r="N5067">
        <v>2018</v>
      </c>
      <c r="Q5067" s="262">
        <v>325000</v>
      </c>
      <c r="S5067" t="s">
        <v>13253</v>
      </c>
      <c r="T5067">
        <v>9854</v>
      </c>
      <c r="W5067">
        <v>916</v>
      </c>
      <c r="X5067">
        <v>1</v>
      </c>
      <c r="AC5067">
        <v>118</v>
      </c>
      <c r="AE5067">
        <v>798</v>
      </c>
      <c r="AQ5067">
        <v>1</v>
      </c>
      <c r="AU5067">
        <f t="shared" si="156"/>
        <v>1</v>
      </c>
      <c r="AV5067">
        <f t="shared" si="157"/>
        <v>0</v>
      </c>
    </row>
    <row r="5068" spans="1:48" x14ac:dyDescent="0.25">
      <c r="A5068" t="s">
        <v>17455</v>
      </c>
      <c r="C5068" t="s">
        <v>17456</v>
      </c>
      <c r="D5068" t="s">
        <v>13510</v>
      </c>
      <c r="E5068" t="s">
        <v>1663</v>
      </c>
      <c r="F5068">
        <v>2</v>
      </c>
      <c r="G5068">
        <v>2.2999999999999998</v>
      </c>
      <c r="H5068" t="s">
        <v>2327</v>
      </c>
      <c r="I5068" s="21">
        <v>42846</v>
      </c>
      <c r="J5068">
        <v>2017</v>
      </c>
      <c r="K5068" s="21">
        <v>42871</v>
      </c>
      <c r="L5068">
        <v>2017</v>
      </c>
      <c r="M5068" s="21">
        <v>43031</v>
      </c>
      <c r="N5068">
        <v>2017</v>
      </c>
      <c r="Q5068" s="262">
        <v>350000</v>
      </c>
      <c r="S5068" t="s">
        <v>114</v>
      </c>
      <c r="T5068" t="s">
        <v>114</v>
      </c>
      <c r="W5068">
        <v>0</v>
      </c>
      <c r="X5068">
        <v>0</v>
      </c>
      <c r="AU5068">
        <f t="shared" si="156"/>
        <v>0</v>
      </c>
      <c r="AV5068">
        <f t="shared" si="157"/>
        <v>0</v>
      </c>
    </row>
    <row r="5069" spans="1:48" x14ac:dyDescent="0.25">
      <c r="A5069" t="s">
        <v>18201</v>
      </c>
      <c r="B5069" t="s">
        <v>18201</v>
      </c>
      <c r="C5069" t="s">
        <v>18202</v>
      </c>
      <c r="D5069" t="s">
        <v>18203</v>
      </c>
      <c r="E5069" t="s">
        <v>2310</v>
      </c>
      <c r="F5069">
        <v>8</v>
      </c>
      <c r="G5069">
        <v>8.3000000000000007</v>
      </c>
      <c r="H5069" t="s">
        <v>2323</v>
      </c>
      <c r="I5069" s="21">
        <v>42846.47047453704</v>
      </c>
      <c r="J5069">
        <v>2017</v>
      </c>
      <c r="K5069" s="21">
        <v>43154.60533564815</v>
      </c>
      <c r="L5069">
        <v>2018</v>
      </c>
      <c r="M5069" s="21">
        <v>43325.348121215276</v>
      </c>
      <c r="N5069">
        <v>2018</v>
      </c>
      <c r="Q5069" s="262">
        <v>300000</v>
      </c>
      <c r="R5069" s="262">
        <v>114000</v>
      </c>
      <c r="S5069" t="s">
        <v>13254</v>
      </c>
      <c r="W5069">
        <v>2535</v>
      </c>
      <c r="X5069">
        <v>0</v>
      </c>
      <c r="AC5069">
        <v>2535</v>
      </c>
      <c r="AU5069">
        <f t="shared" si="156"/>
        <v>0</v>
      </c>
      <c r="AV5069">
        <f t="shared" si="157"/>
        <v>0</v>
      </c>
    </row>
    <row r="5070" spans="1:48" x14ac:dyDescent="0.25">
      <c r="A5070" t="s">
        <v>19654</v>
      </c>
      <c r="B5070" t="s">
        <v>19654</v>
      </c>
      <c r="C5070" t="s">
        <v>13284</v>
      </c>
      <c r="D5070" t="s">
        <v>15564</v>
      </c>
      <c r="E5070" t="s">
        <v>2310</v>
      </c>
      <c r="F5070">
        <v>8</v>
      </c>
      <c r="G5070">
        <v>8.3000000000000007</v>
      </c>
      <c r="H5070" t="s">
        <v>2323</v>
      </c>
      <c r="I5070" s="21">
        <v>42846.552210648151</v>
      </c>
      <c r="J5070">
        <v>2017</v>
      </c>
      <c r="K5070" s="21">
        <v>42886.614699074074</v>
      </c>
      <c r="L5070">
        <v>2017</v>
      </c>
      <c r="M5070" s="21">
        <v>43032.466678240744</v>
      </c>
      <c r="N5070">
        <v>2017</v>
      </c>
      <c r="Q5070" s="262">
        <v>100000</v>
      </c>
      <c r="R5070" s="262">
        <v>58000</v>
      </c>
      <c r="S5070" t="s">
        <v>13254</v>
      </c>
      <c r="W5070">
        <v>1296</v>
      </c>
      <c r="X5070">
        <v>0</v>
      </c>
      <c r="AC5070">
        <v>1296</v>
      </c>
      <c r="AU5070">
        <f t="shared" si="156"/>
        <v>0</v>
      </c>
      <c r="AV5070">
        <f t="shared" si="157"/>
        <v>0</v>
      </c>
    </row>
    <row r="5071" spans="1:48" x14ac:dyDescent="0.25">
      <c r="A5071" t="s">
        <v>19285</v>
      </c>
      <c r="B5071" t="s">
        <v>19285</v>
      </c>
      <c r="C5071" t="s">
        <v>19286</v>
      </c>
      <c r="D5071" t="s">
        <v>13329</v>
      </c>
      <c r="E5071" t="s">
        <v>2310</v>
      </c>
      <c r="F5071">
        <v>9</v>
      </c>
      <c r="G5071">
        <v>9.3000000000000007</v>
      </c>
      <c r="H5071" t="s">
        <v>2323</v>
      </c>
      <c r="I5071" s="21">
        <v>42846.625567129631</v>
      </c>
      <c r="J5071">
        <v>2017</v>
      </c>
      <c r="K5071" s="21">
        <v>42913.693831018521</v>
      </c>
      <c r="L5071">
        <v>2017</v>
      </c>
      <c r="M5071" s="21">
        <v>43902.691200231478</v>
      </c>
      <c r="N5071">
        <v>2020</v>
      </c>
      <c r="Q5071" s="262">
        <v>2536000</v>
      </c>
      <c r="R5071" s="262">
        <v>649000</v>
      </c>
      <c r="S5071" t="s">
        <v>13254</v>
      </c>
      <c r="W5071">
        <v>5072</v>
      </c>
      <c r="X5071">
        <v>1</v>
      </c>
      <c r="AC5071">
        <v>5072</v>
      </c>
      <c r="AO5071">
        <v>1</v>
      </c>
      <c r="AU5071">
        <f t="shared" si="156"/>
        <v>1</v>
      </c>
      <c r="AV5071">
        <f t="shared" si="157"/>
        <v>0</v>
      </c>
    </row>
    <row r="5072" spans="1:48" x14ac:dyDescent="0.25">
      <c r="A5072" t="s">
        <v>13564</v>
      </c>
      <c r="B5072" t="s">
        <v>13564</v>
      </c>
      <c r="C5072" t="s">
        <v>13565</v>
      </c>
      <c r="D5072" t="s">
        <v>13329</v>
      </c>
      <c r="E5072" t="s">
        <v>2310</v>
      </c>
      <c r="F5072">
        <v>9</v>
      </c>
      <c r="G5072">
        <v>9.3000000000000007</v>
      </c>
      <c r="H5072" t="s">
        <v>2323</v>
      </c>
      <c r="I5072" s="21">
        <v>42846.641863425903</v>
      </c>
      <c r="J5072">
        <v>2017</v>
      </c>
      <c r="K5072" s="21">
        <v>43489.458486342599</v>
      </c>
      <c r="L5072">
        <v>2019</v>
      </c>
      <c r="O5072" s="21">
        <v>43902.676059919002</v>
      </c>
      <c r="P5072" s="21">
        <v>43339.695611423602</v>
      </c>
      <c r="Q5072" s="262">
        <v>550000</v>
      </c>
      <c r="R5072" s="262">
        <v>112000</v>
      </c>
      <c r="S5072" t="s">
        <v>114</v>
      </c>
      <c r="T5072" t="s">
        <v>114</v>
      </c>
      <c r="W5072">
        <v>1100</v>
      </c>
      <c r="X5072">
        <v>1</v>
      </c>
      <c r="AC5072">
        <v>392</v>
      </c>
      <c r="AF5072">
        <v>708</v>
      </c>
      <c r="AR5072">
        <v>1</v>
      </c>
      <c r="AU5072">
        <f t="shared" si="156"/>
        <v>0</v>
      </c>
      <c r="AV5072">
        <f t="shared" si="157"/>
        <v>0</v>
      </c>
    </row>
    <row r="5073" spans="1:48" x14ac:dyDescent="0.25">
      <c r="A5073" t="s">
        <v>13566</v>
      </c>
      <c r="C5073" t="s">
        <v>13567</v>
      </c>
      <c r="D5073" t="s">
        <v>13568</v>
      </c>
      <c r="E5073" t="s">
        <v>1663</v>
      </c>
      <c r="F5073">
        <v>6</v>
      </c>
      <c r="G5073">
        <v>6.1</v>
      </c>
      <c r="H5073" t="s">
        <v>2017</v>
      </c>
      <c r="I5073" s="21">
        <v>42850</v>
      </c>
      <c r="J5073">
        <v>2017</v>
      </c>
      <c r="K5073" s="21">
        <v>42943</v>
      </c>
      <c r="L5073">
        <v>2017</v>
      </c>
      <c r="M5073" s="21">
        <v>44021</v>
      </c>
      <c r="N5073">
        <v>2020</v>
      </c>
      <c r="Q5073" s="262">
        <v>36000</v>
      </c>
      <c r="S5073" t="s">
        <v>114</v>
      </c>
      <c r="T5073" t="s">
        <v>114</v>
      </c>
      <c r="W5073">
        <v>0</v>
      </c>
      <c r="X5073">
        <v>0</v>
      </c>
      <c r="AU5073">
        <f t="shared" si="156"/>
        <v>0</v>
      </c>
      <c r="AV5073">
        <f t="shared" si="157"/>
        <v>0</v>
      </c>
    </row>
    <row r="5074" spans="1:48" x14ac:dyDescent="0.25">
      <c r="A5074" t="s">
        <v>18135</v>
      </c>
      <c r="B5074" t="s">
        <v>114</v>
      </c>
      <c r="C5074" t="s">
        <v>11240</v>
      </c>
      <c r="D5074" t="s">
        <v>18136</v>
      </c>
      <c r="E5074" t="s">
        <v>1663</v>
      </c>
      <c r="F5074">
        <v>6</v>
      </c>
      <c r="G5074">
        <v>6.1</v>
      </c>
      <c r="H5074" t="s">
        <v>2017</v>
      </c>
      <c r="I5074" s="21">
        <v>42850</v>
      </c>
      <c r="J5074">
        <v>2017</v>
      </c>
      <c r="K5074" s="21">
        <v>42873</v>
      </c>
      <c r="L5074">
        <v>2017</v>
      </c>
      <c r="M5074" s="21">
        <v>43277</v>
      </c>
      <c r="N5074">
        <v>2018</v>
      </c>
      <c r="Q5074" s="262">
        <v>900000</v>
      </c>
      <c r="S5074" t="s">
        <v>13254</v>
      </c>
      <c r="W5074">
        <v>4685</v>
      </c>
      <c r="X5074">
        <v>1</v>
      </c>
      <c r="AC5074">
        <v>4685</v>
      </c>
      <c r="AO5074">
        <v>1</v>
      </c>
      <c r="AU5074">
        <f t="shared" si="156"/>
        <v>1</v>
      </c>
      <c r="AV5074">
        <f t="shared" si="157"/>
        <v>0</v>
      </c>
    </row>
    <row r="5075" spans="1:48" x14ac:dyDescent="0.25">
      <c r="A5075" t="s">
        <v>13569</v>
      </c>
      <c r="C5075" t="s">
        <v>13570</v>
      </c>
      <c r="D5075" t="s">
        <v>6627</v>
      </c>
      <c r="E5075" t="s">
        <v>1663</v>
      </c>
      <c r="F5075">
        <v>2</v>
      </c>
      <c r="G5075">
        <v>2.2999999999999998</v>
      </c>
      <c r="H5075" t="s">
        <v>2327</v>
      </c>
      <c r="I5075" s="21">
        <v>42851</v>
      </c>
      <c r="J5075">
        <v>2017</v>
      </c>
      <c r="K5075" s="21">
        <v>42865</v>
      </c>
      <c r="L5075">
        <v>2017</v>
      </c>
      <c r="P5075" s="21">
        <v>43045</v>
      </c>
      <c r="Q5075" s="262">
        <v>15000</v>
      </c>
      <c r="S5075" t="s">
        <v>114</v>
      </c>
      <c r="T5075" t="s">
        <v>114</v>
      </c>
      <c r="W5075">
        <v>0</v>
      </c>
      <c r="X5075">
        <v>0</v>
      </c>
      <c r="AU5075">
        <f t="shared" si="156"/>
        <v>0</v>
      </c>
      <c r="AV5075">
        <f t="shared" si="157"/>
        <v>0</v>
      </c>
    </row>
    <row r="5076" spans="1:48" x14ac:dyDescent="0.25">
      <c r="A5076" t="s">
        <v>17962</v>
      </c>
      <c r="B5076" t="s">
        <v>17962</v>
      </c>
      <c r="C5076" t="s">
        <v>17963</v>
      </c>
      <c r="D5076" t="s">
        <v>14669</v>
      </c>
      <c r="E5076" t="s">
        <v>2310</v>
      </c>
      <c r="F5076">
        <v>9</v>
      </c>
      <c r="G5076">
        <v>9.3000000000000007</v>
      </c>
      <c r="H5076" t="s">
        <v>2323</v>
      </c>
      <c r="I5076" s="21">
        <v>42851.59480324074</v>
      </c>
      <c r="J5076">
        <v>2017</v>
      </c>
      <c r="K5076" s="21">
        <v>42909.652511574073</v>
      </c>
      <c r="L5076">
        <v>2017</v>
      </c>
      <c r="M5076" s="21">
        <v>43133.565844907411</v>
      </c>
      <c r="N5076">
        <v>2018</v>
      </c>
      <c r="Q5076" s="262">
        <v>500000</v>
      </c>
      <c r="R5076" s="262">
        <v>281000</v>
      </c>
      <c r="S5076" t="s">
        <v>13254</v>
      </c>
      <c r="W5076">
        <v>4800</v>
      </c>
      <c r="X5076">
        <v>0</v>
      </c>
      <c r="AM5076">
        <v>4800</v>
      </c>
      <c r="AU5076">
        <f t="shared" si="156"/>
        <v>0</v>
      </c>
      <c r="AV5076">
        <f t="shared" si="157"/>
        <v>4800</v>
      </c>
    </row>
    <row r="5077" spans="1:48" x14ac:dyDescent="0.25">
      <c r="A5077" t="s">
        <v>18633</v>
      </c>
      <c r="B5077" t="s">
        <v>18633</v>
      </c>
      <c r="C5077" t="s">
        <v>18634</v>
      </c>
      <c r="D5077" t="s">
        <v>14837</v>
      </c>
      <c r="E5077" t="s">
        <v>2310</v>
      </c>
      <c r="F5077">
        <v>15</v>
      </c>
      <c r="G5077">
        <v>15.1</v>
      </c>
      <c r="H5077" t="s">
        <v>2022</v>
      </c>
      <c r="I5077" s="21">
        <v>42852.479363425926</v>
      </c>
      <c r="J5077">
        <v>2017</v>
      </c>
      <c r="K5077" s="21">
        <v>43173.550081018519</v>
      </c>
      <c r="L5077">
        <v>2018</v>
      </c>
      <c r="M5077" s="21">
        <v>43584.560058912037</v>
      </c>
      <c r="N5077">
        <v>2019</v>
      </c>
      <c r="Q5077" s="262">
        <v>121000</v>
      </c>
      <c r="R5077" s="262">
        <v>113000</v>
      </c>
      <c r="S5077" t="s">
        <v>13254</v>
      </c>
      <c r="W5077">
        <v>997</v>
      </c>
      <c r="X5077">
        <v>1</v>
      </c>
      <c r="AC5077">
        <v>0</v>
      </c>
      <c r="AF5077">
        <v>997</v>
      </c>
      <c r="AR5077">
        <v>1</v>
      </c>
      <c r="AU5077">
        <f t="shared" si="156"/>
        <v>0</v>
      </c>
      <c r="AV5077">
        <f t="shared" si="157"/>
        <v>0</v>
      </c>
    </row>
    <row r="5078" spans="1:48" x14ac:dyDescent="0.25">
      <c r="A5078" t="s">
        <v>17457</v>
      </c>
      <c r="B5078" t="s">
        <v>114</v>
      </c>
      <c r="C5078" t="s">
        <v>17458</v>
      </c>
      <c r="D5078" t="s">
        <v>17459</v>
      </c>
      <c r="E5078" t="s">
        <v>1663</v>
      </c>
      <c r="F5078">
        <v>6</v>
      </c>
      <c r="G5078">
        <v>6.2</v>
      </c>
      <c r="H5078" t="s">
        <v>17460</v>
      </c>
      <c r="I5078" s="21">
        <v>42853</v>
      </c>
      <c r="J5078">
        <v>2017</v>
      </c>
      <c r="K5078" s="21">
        <v>42867</v>
      </c>
      <c r="L5078">
        <v>2017</v>
      </c>
      <c r="M5078" s="21">
        <v>42908</v>
      </c>
      <c r="N5078">
        <v>2017</v>
      </c>
      <c r="Q5078" s="262">
        <v>8600</v>
      </c>
      <c r="S5078" t="s">
        <v>13253</v>
      </c>
      <c r="T5078">
        <v>9203</v>
      </c>
      <c r="W5078">
        <v>0</v>
      </c>
      <c r="X5078">
        <v>1</v>
      </c>
      <c r="AC5078">
        <v>-456</v>
      </c>
      <c r="AE5078">
        <v>456</v>
      </c>
      <c r="AQ5078">
        <v>1</v>
      </c>
      <c r="AU5078">
        <f t="shared" si="156"/>
        <v>1</v>
      </c>
      <c r="AV5078">
        <f t="shared" si="157"/>
        <v>0</v>
      </c>
    </row>
    <row r="5079" spans="1:48" x14ac:dyDescent="0.25">
      <c r="A5079" t="s">
        <v>18557</v>
      </c>
      <c r="B5079" t="s">
        <v>18557</v>
      </c>
      <c r="C5079" t="s">
        <v>18558</v>
      </c>
      <c r="D5079" t="s">
        <v>18559</v>
      </c>
      <c r="E5079" t="s">
        <v>2310</v>
      </c>
      <c r="F5079">
        <v>15</v>
      </c>
      <c r="G5079">
        <v>15.1</v>
      </c>
      <c r="H5079" t="s">
        <v>2022</v>
      </c>
      <c r="I5079" s="21">
        <v>42853.568171296298</v>
      </c>
      <c r="J5079">
        <v>2017</v>
      </c>
      <c r="K5079" s="21">
        <v>42954.695706018516</v>
      </c>
      <c r="L5079">
        <v>2017</v>
      </c>
      <c r="M5079" s="21">
        <v>43525.550820833334</v>
      </c>
      <c r="N5079">
        <v>2019</v>
      </c>
      <c r="Q5079" s="262">
        <v>750000</v>
      </c>
      <c r="R5079" s="262">
        <v>164000</v>
      </c>
      <c r="S5079" t="s">
        <v>13254</v>
      </c>
      <c r="W5079">
        <v>1916</v>
      </c>
      <c r="X5079">
        <v>1</v>
      </c>
      <c r="AC5079">
        <v>916</v>
      </c>
      <c r="AF5079">
        <v>1000</v>
      </c>
      <c r="AR5079">
        <v>1</v>
      </c>
      <c r="AU5079">
        <f t="shared" si="156"/>
        <v>0</v>
      </c>
      <c r="AV5079">
        <f t="shared" si="157"/>
        <v>0</v>
      </c>
    </row>
    <row r="5080" spans="1:48" x14ac:dyDescent="0.25">
      <c r="A5080" t="s">
        <v>13571</v>
      </c>
      <c r="C5080" t="s">
        <v>13572</v>
      </c>
      <c r="D5080" t="s">
        <v>13573</v>
      </c>
      <c r="E5080" t="s">
        <v>1663</v>
      </c>
      <c r="F5080">
        <v>5</v>
      </c>
      <c r="G5080">
        <v>5.5</v>
      </c>
      <c r="H5080" t="s">
        <v>2017</v>
      </c>
      <c r="I5080" s="21">
        <v>42859</v>
      </c>
      <c r="J5080">
        <v>2017</v>
      </c>
      <c r="K5080" s="21">
        <v>42859</v>
      </c>
      <c r="L5080">
        <v>2017</v>
      </c>
      <c r="P5080" s="21">
        <v>43039</v>
      </c>
      <c r="Q5080" s="262">
        <v>0</v>
      </c>
      <c r="S5080" t="s">
        <v>114</v>
      </c>
      <c r="T5080" t="s">
        <v>114</v>
      </c>
      <c r="W5080">
        <v>0</v>
      </c>
      <c r="X5080">
        <v>0</v>
      </c>
      <c r="AU5080">
        <f t="shared" si="156"/>
        <v>0</v>
      </c>
      <c r="AV5080">
        <f t="shared" si="157"/>
        <v>0</v>
      </c>
    </row>
    <row r="5081" spans="1:48" x14ac:dyDescent="0.25">
      <c r="A5081" t="s">
        <v>18474</v>
      </c>
      <c r="B5081" t="s">
        <v>18474</v>
      </c>
      <c r="C5081" t="s">
        <v>18141</v>
      </c>
      <c r="D5081" t="s">
        <v>18475</v>
      </c>
      <c r="E5081" t="s">
        <v>2310</v>
      </c>
      <c r="F5081">
        <v>9</v>
      </c>
      <c r="G5081">
        <v>9.3000000000000007</v>
      </c>
      <c r="H5081" t="s">
        <v>2323</v>
      </c>
      <c r="I5081" s="21">
        <v>42859.616886574076</v>
      </c>
      <c r="J5081">
        <v>2017</v>
      </c>
      <c r="K5081" s="21">
        <v>42913.414930555555</v>
      </c>
      <c r="L5081">
        <v>2017</v>
      </c>
      <c r="M5081" s="21">
        <v>43455.392983333331</v>
      </c>
      <c r="N5081">
        <v>2018</v>
      </c>
      <c r="Q5081" s="262">
        <v>1500000</v>
      </c>
      <c r="R5081" s="262">
        <v>545000</v>
      </c>
      <c r="S5081" t="s">
        <v>13254</v>
      </c>
      <c r="W5081">
        <v>4564</v>
      </c>
      <c r="X5081">
        <v>1</v>
      </c>
      <c r="AC5081">
        <v>4564</v>
      </c>
      <c r="AO5081">
        <v>1</v>
      </c>
      <c r="AU5081">
        <f t="shared" ref="AU5081:AU5144" si="158">SUM(AN5081:AQ5081,AS5081)</f>
        <v>1</v>
      </c>
      <c r="AV5081">
        <f t="shared" ref="AV5081:AV5144" si="159">SUM(Y5081:AB5081,AH5081:AM5081)</f>
        <v>0</v>
      </c>
    </row>
    <row r="5082" spans="1:48" x14ac:dyDescent="0.25">
      <c r="A5082" t="s">
        <v>18092</v>
      </c>
      <c r="B5082" t="s">
        <v>18092</v>
      </c>
      <c r="C5082" t="s">
        <v>18093</v>
      </c>
      <c r="D5082" t="s">
        <v>18094</v>
      </c>
      <c r="E5082" t="s">
        <v>2310</v>
      </c>
      <c r="F5082">
        <v>9</v>
      </c>
      <c r="G5082">
        <v>9.3000000000000007</v>
      </c>
      <c r="H5082" t="s">
        <v>2323</v>
      </c>
      <c r="I5082" s="21">
        <v>42863.339641203704</v>
      </c>
      <c r="J5082">
        <v>2017</v>
      </c>
      <c r="K5082" s="21">
        <v>42909.601168981484</v>
      </c>
      <c r="L5082">
        <v>2017</v>
      </c>
      <c r="M5082" s="21">
        <v>43629.384943900463</v>
      </c>
      <c r="N5082">
        <v>2019</v>
      </c>
      <c r="Q5082" s="262">
        <v>1500000</v>
      </c>
      <c r="R5082" s="262">
        <v>482000</v>
      </c>
      <c r="S5082" t="s">
        <v>13253</v>
      </c>
      <c r="T5082">
        <v>3277</v>
      </c>
      <c r="V5082">
        <v>2316</v>
      </c>
      <c r="W5082">
        <v>3244</v>
      </c>
      <c r="X5082">
        <v>0</v>
      </c>
      <c r="AC5082">
        <v>3244</v>
      </c>
      <c r="AU5082">
        <f t="shared" si="158"/>
        <v>0</v>
      </c>
      <c r="AV5082">
        <f t="shared" si="159"/>
        <v>0</v>
      </c>
    </row>
    <row r="5083" spans="1:48" x14ac:dyDescent="0.25">
      <c r="A5083" t="s">
        <v>18232</v>
      </c>
      <c r="B5083" t="s">
        <v>18232</v>
      </c>
      <c r="C5083" t="s">
        <v>18233</v>
      </c>
      <c r="D5083" t="s">
        <v>8907</v>
      </c>
      <c r="E5083" t="s">
        <v>2310</v>
      </c>
      <c r="F5083">
        <v>8</v>
      </c>
      <c r="G5083">
        <v>8.1</v>
      </c>
      <c r="H5083" t="s">
        <v>2323</v>
      </c>
      <c r="I5083" s="21">
        <v>42863.38175925926</v>
      </c>
      <c r="J5083">
        <v>2017</v>
      </c>
      <c r="K5083" s="21">
        <v>42916.701886574076</v>
      </c>
      <c r="L5083">
        <v>2017</v>
      </c>
      <c r="M5083" s="21">
        <v>43256.537432557867</v>
      </c>
      <c r="N5083">
        <v>2018</v>
      </c>
      <c r="Q5083" s="262">
        <v>75000</v>
      </c>
      <c r="R5083" s="262">
        <v>38000</v>
      </c>
      <c r="S5083" t="s">
        <v>13253</v>
      </c>
      <c r="T5083">
        <v>4188</v>
      </c>
      <c r="W5083">
        <v>345</v>
      </c>
      <c r="X5083">
        <v>0</v>
      </c>
      <c r="AC5083">
        <v>345</v>
      </c>
      <c r="AU5083">
        <f t="shared" si="158"/>
        <v>0</v>
      </c>
      <c r="AV5083">
        <f t="shared" si="159"/>
        <v>0</v>
      </c>
    </row>
    <row r="5084" spans="1:48" x14ac:dyDescent="0.25">
      <c r="A5084" t="s">
        <v>18551</v>
      </c>
      <c r="B5084" t="s">
        <v>18551</v>
      </c>
      <c r="C5084" t="s">
        <v>18552</v>
      </c>
      <c r="D5084" t="s">
        <v>18553</v>
      </c>
      <c r="E5084" t="s">
        <v>2310</v>
      </c>
      <c r="F5084">
        <v>8</v>
      </c>
      <c r="G5084">
        <v>8.1</v>
      </c>
      <c r="H5084" t="s">
        <v>2323</v>
      </c>
      <c r="I5084" s="21">
        <v>42864.441770833335</v>
      </c>
      <c r="J5084">
        <v>2017</v>
      </c>
      <c r="K5084" s="21">
        <v>43242.659830983794</v>
      </c>
      <c r="L5084">
        <v>2018</v>
      </c>
      <c r="M5084" s="21">
        <v>43521.388287303242</v>
      </c>
      <c r="N5084">
        <v>2019</v>
      </c>
      <c r="Q5084" s="262">
        <v>562000</v>
      </c>
      <c r="R5084" s="262">
        <v>562000</v>
      </c>
      <c r="S5084" t="s">
        <v>13254</v>
      </c>
      <c r="W5084">
        <v>4660</v>
      </c>
      <c r="X5084">
        <v>1</v>
      </c>
      <c r="AC5084">
        <v>4660</v>
      </c>
      <c r="AO5084">
        <v>1</v>
      </c>
      <c r="AU5084">
        <f t="shared" si="158"/>
        <v>1</v>
      </c>
      <c r="AV5084">
        <f t="shared" si="159"/>
        <v>0</v>
      </c>
    </row>
    <row r="5085" spans="1:48" x14ac:dyDescent="0.25">
      <c r="A5085" t="s">
        <v>18140</v>
      </c>
      <c r="B5085" t="s">
        <v>18140</v>
      </c>
      <c r="C5085" t="s">
        <v>18141</v>
      </c>
      <c r="D5085" t="s">
        <v>18142</v>
      </c>
      <c r="E5085" t="s">
        <v>2310</v>
      </c>
      <c r="F5085">
        <v>10</v>
      </c>
      <c r="G5085">
        <v>10.1</v>
      </c>
      <c r="H5085" t="s">
        <v>2323</v>
      </c>
      <c r="I5085" s="21">
        <v>42864.482372685183</v>
      </c>
      <c r="J5085">
        <v>2017</v>
      </c>
      <c r="K5085" s="21">
        <v>42895.642858796295</v>
      </c>
      <c r="L5085">
        <v>2017</v>
      </c>
      <c r="M5085" s="21">
        <v>43283.626262418984</v>
      </c>
      <c r="N5085">
        <v>2018</v>
      </c>
      <c r="Q5085" s="262">
        <v>750000</v>
      </c>
      <c r="R5085" s="262">
        <v>547000</v>
      </c>
      <c r="S5085" t="s">
        <v>13254</v>
      </c>
      <c r="W5085">
        <v>4683</v>
      </c>
      <c r="X5085">
        <v>1</v>
      </c>
      <c r="AC5085">
        <v>4683</v>
      </c>
      <c r="AO5085">
        <v>1</v>
      </c>
      <c r="AU5085">
        <f t="shared" si="158"/>
        <v>1</v>
      </c>
      <c r="AV5085">
        <f t="shared" si="159"/>
        <v>0</v>
      </c>
    </row>
    <row r="5086" spans="1:48" x14ac:dyDescent="0.25">
      <c r="A5086" t="s">
        <v>17719</v>
      </c>
      <c r="B5086" t="s">
        <v>17719</v>
      </c>
      <c r="C5086" t="s">
        <v>17720</v>
      </c>
      <c r="D5086" t="s">
        <v>17721</v>
      </c>
      <c r="E5086" t="s">
        <v>2310</v>
      </c>
      <c r="F5086">
        <v>10</v>
      </c>
      <c r="G5086">
        <v>10.1</v>
      </c>
      <c r="H5086" t="s">
        <v>2323</v>
      </c>
      <c r="I5086" s="21">
        <v>42865.43236111111</v>
      </c>
      <c r="J5086">
        <v>2017</v>
      </c>
      <c r="K5086" s="21">
        <v>42900.622881944444</v>
      </c>
      <c r="L5086">
        <v>2017</v>
      </c>
      <c r="M5086" s="21">
        <v>43213.616898148146</v>
      </c>
      <c r="N5086">
        <v>2018</v>
      </c>
      <c r="Q5086" s="262">
        <v>40000</v>
      </c>
      <c r="R5086" s="262">
        <v>14000</v>
      </c>
      <c r="S5086" t="s">
        <v>13253</v>
      </c>
      <c r="T5086">
        <v>1574</v>
      </c>
      <c r="W5086">
        <v>120</v>
      </c>
      <c r="X5086">
        <v>0</v>
      </c>
      <c r="AC5086">
        <v>120</v>
      </c>
      <c r="AU5086">
        <f t="shared" si="158"/>
        <v>0</v>
      </c>
      <c r="AV5086">
        <f t="shared" si="159"/>
        <v>0</v>
      </c>
    </row>
    <row r="5087" spans="1:48" x14ac:dyDescent="0.25">
      <c r="A5087" t="s">
        <v>18501</v>
      </c>
      <c r="B5087" t="s">
        <v>18501</v>
      </c>
      <c r="C5087" t="s">
        <v>18502</v>
      </c>
      <c r="D5087" t="s">
        <v>18500</v>
      </c>
      <c r="E5087" t="s">
        <v>2310</v>
      </c>
      <c r="F5087">
        <v>8</v>
      </c>
      <c r="G5087">
        <v>8.1</v>
      </c>
      <c r="H5087" t="s">
        <v>2323</v>
      </c>
      <c r="I5087" s="21">
        <v>42865.609120370369</v>
      </c>
      <c r="J5087">
        <v>2017</v>
      </c>
      <c r="K5087" s="21">
        <v>43145.525555555556</v>
      </c>
      <c r="L5087">
        <v>2018</v>
      </c>
      <c r="M5087" s="21">
        <v>43313.468042592591</v>
      </c>
      <c r="N5087">
        <v>2018</v>
      </c>
      <c r="Q5087" s="262">
        <v>250000</v>
      </c>
      <c r="R5087" s="262">
        <v>122000</v>
      </c>
      <c r="S5087" t="s">
        <v>13253</v>
      </c>
      <c r="T5087">
        <v>5731</v>
      </c>
      <c r="W5087">
        <v>1162</v>
      </c>
      <c r="X5087">
        <v>0</v>
      </c>
      <c r="AC5087">
        <v>1162</v>
      </c>
      <c r="AU5087">
        <f t="shared" si="158"/>
        <v>0</v>
      </c>
      <c r="AV5087">
        <f t="shared" si="159"/>
        <v>0</v>
      </c>
    </row>
    <row r="5088" spans="1:48" x14ac:dyDescent="0.25">
      <c r="A5088" t="s">
        <v>13574</v>
      </c>
      <c r="C5088" t="s">
        <v>13575</v>
      </c>
      <c r="D5088" t="s">
        <v>13576</v>
      </c>
      <c r="E5088" t="s">
        <v>1663</v>
      </c>
      <c r="F5088">
        <v>3</v>
      </c>
      <c r="G5088">
        <v>3.2</v>
      </c>
      <c r="H5088" t="s">
        <v>2327</v>
      </c>
      <c r="I5088" s="21">
        <v>42866</v>
      </c>
      <c r="J5088">
        <v>2017</v>
      </c>
      <c r="K5088" s="21">
        <v>42901</v>
      </c>
      <c r="L5088">
        <v>2017</v>
      </c>
      <c r="P5088" s="21">
        <v>43463</v>
      </c>
      <c r="Q5088" s="262">
        <v>629275</v>
      </c>
      <c r="S5088" t="s">
        <v>114</v>
      </c>
      <c r="T5088" t="s">
        <v>114</v>
      </c>
      <c r="W5088">
        <v>1446</v>
      </c>
      <c r="X5088">
        <v>1</v>
      </c>
      <c r="AC5088">
        <v>1446</v>
      </c>
      <c r="AO5088">
        <v>1</v>
      </c>
      <c r="AU5088">
        <f t="shared" si="158"/>
        <v>1</v>
      </c>
      <c r="AV5088">
        <f t="shared" si="159"/>
        <v>0</v>
      </c>
    </row>
    <row r="5089" spans="1:48" x14ac:dyDescent="0.25">
      <c r="A5089" t="s">
        <v>17461</v>
      </c>
      <c r="B5089" t="s">
        <v>114</v>
      </c>
      <c r="C5089" t="s">
        <v>17462</v>
      </c>
      <c r="D5089" t="s">
        <v>17463</v>
      </c>
      <c r="E5089" t="s">
        <v>1663</v>
      </c>
      <c r="F5089">
        <v>3</v>
      </c>
      <c r="G5089">
        <v>3.2</v>
      </c>
      <c r="H5089" t="s">
        <v>2327</v>
      </c>
      <c r="I5089" s="21">
        <v>42866</v>
      </c>
      <c r="J5089">
        <v>2017</v>
      </c>
      <c r="K5089" s="21">
        <v>42898</v>
      </c>
      <c r="L5089">
        <v>2017</v>
      </c>
      <c r="M5089" s="21">
        <v>43096</v>
      </c>
      <c r="N5089">
        <v>2017</v>
      </c>
      <c r="Q5089" s="262">
        <v>150000</v>
      </c>
      <c r="S5089" t="s">
        <v>13254</v>
      </c>
      <c r="W5089">
        <v>800</v>
      </c>
      <c r="X5089">
        <v>1</v>
      </c>
      <c r="AE5089">
        <v>800</v>
      </c>
      <c r="AQ5089">
        <v>1</v>
      </c>
      <c r="AU5089">
        <f t="shared" si="158"/>
        <v>1</v>
      </c>
      <c r="AV5089">
        <f t="shared" si="159"/>
        <v>0</v>
      </c>
    </row>
    <row r="5090" spans="1:48" x14ac:dyDescent="0.25">
      <c r="A5090" t="s">
        <v>18078</v>
      </c>
      <c r="B5090" t="s">
        <v>18078</v>
      </c>
      <c r="C5090" t="s">
        <v>18079</v>
      </c>
      <c r="D5090" t="s">
        <v>15928</v>
      </c>
      <c r="E5090" t="s">
        <v>2310</v>
      </c>
      <c r="F5090">
        <v>14</v>
      </c>
      <c r="G5090">
        <v>14.1</v>
      </c>
      <c r="H5090" t="s">
        <v>2022</v>
      </c>
      <c r="I5090" s="21">
        <v>42866.433125000003</v>
      </c>
      <c r="J5090">
        <v>2017</v>
      </c>
      <c r="K5090" s="21">
        <v>42899.575243055559</v>
      </c>
      <c r="L5090">
        <v>2017</v>
      </c>
      <c r="M5090" s="21">
        <v>43245.372399918982</v>
      </c>
      <c r="N5090">
        <v>2018</v>
      </c>
      <c r="Q5090" s="262">
        <v>350000</v>
      </c>
      <c r="R5090" s="262">
        <v>168000</v>
      </c>
      <c r="S5090" t="s">
        <v>13254</v>
      </c>
      <c r="W5090">
        <v>2225</v>
      </c>
      <c r="X5090">
        <v>1</v>
      </c>
      <c r="AC5090">
        <v>1228</v>
      </c>
      <c r="AF5090">
        <v>997</v>
      </c>
      <c r="AR5090">
        <v>1</v>
      </c>
      <c r="AU5090">
        <f t="shared" si="158"/>
        <v>0</v>
      </c>
      <c r="AV5090">
        <f t="shared" si="159"/>
        <v>0</v>
      </c>
    </row>
    <row r="5091" spans="1:48" x14ac:dyDescent="0.25">
      <c r="A5091" t="s">
        <v>18416</v>
      </c>
      <c r="B5091" t="s">
        <v>18416</v>
      </c>
      <c r="C5091" t="s">
        <v>18417</v>
      </c>
      <c r="D5091" t="s">
        <v>18418</v>
      </c>
      <c r="E5091" t="s">
        <v>2310</v>
      </c>
      <c r="F5091">
        <v>15</v>
      </c>
      <c r="G5091">
        <v>15.4</v>
      </c>
      <c r="H5091" t="s">
        <v>2323</v>
      </c>
      <c r="I5091" s="21">
        <v>42871.613206018519</v>
      </c>
      <c r="J5091">
        <v>2017</v>
      </c>
      <c r="K5091" s="21">
        <v>42912.561643518522</v>
      </c>
      <c r="L5091">
        <v>2017</v>
      </c>
      <c r="M5091" s="21">
        <v>43437.435486458337</v>
      </c>
      <c r="N5091">
        <v>2018</v>
      </c>
      <c r="Q5091" s="262">
        <v>1250000</v>
      </c>
      <c r="R5091" s="262">
        <v>366000</v>
      </c>
      <c r="S5091" t="s">
        <v>13254</v>
      </c>
      <c r="W5091">
        <v>3283</v>
      </c>
      <c r="X5091">
        <v>1</v>
      </c>
      <c r="AC5091">
        <v>3283</v>
      </c>
      <c r="AO5091">
        <v>1</v>
      </c>
      <c r="AU5091">
        <f t="shared" si="158"/>
        <v>1</v>
      </c>
      <c r="AV5091">
        <f t="shared" si="159"/>
        <v>0</v>
      </c>
    </row>
    <row r="5092" spans="1:48" x14ac:dyDescent="0.25">
      <c r="A5092" t="s">
        <v>19626</v>
      </c>
      <c r="B5092" t="s">
        <v>19626</v>
      </c>
      <c r="C5092" t="s">
        <v>19627</v>
      </c>
      <c r="D5092" t="s">
        <v>11665</v>
      </c>
      <c r="E5092" t="s">
        <v>2310</v>
      </c>
      <c r="F5092">
        <v>9</v>
      </c>
      <c r="G5092">
        <v>9.1999999999999993</v>
      </c>
      <c r="H5092" t="s">
        <v>2022</v>
      </c>
      <c r="I5092" s="21">
        <v>42872.549143518503</v>
      </c>
      <c r="J5092">
        <v>2017</v>
      </c>
      <c r="K5092" s="21">
        <v>43039.700983796298</v>
      </c>
      <c r="L5092">
        <v>2017</v>
      </c>
      <c r="M5092" s="21">
        <v>43654.362713310198</v>
      </c>
      <c r="N5092">
        <v>2019</v>
      </c>
      <c r="S5092" t="s">
        <v>9529</v>
      </c>
      <c r="T5092">
        <v>5005</v>
      </c>
      <c r="U5092">
        <v>5</v>
      </c>
      <c r="W5092">
        <v>-4898</v>
      </c>
      <c r="X5092">
        <v>-1</v>
      </c>
      <c r="Y5092">
        <v>0</v>
      </c>
      <c r="Z5092">
        <v>0</v>
      </c>
      <c r="AA5092">
        <v>0</v>
      </c>
      <c r="AB5092">
        <v>0</v>
      </c>
      <c r="AC5092">
        <v>-4898</v>
      </c>
      <c r="AD5092">
        <v>0</v>
      </c>
      <c r="AE5092">
        <v>0</v>
      </c>
      <c r="AF5092">
        <v>0</v>
      </c>
      <c r="AG5092">
        <v>0</v>
      </c>
      <c r="AH5092">
        <v>0</v>
      </c>
      <c r="AI5092">
        <v>0</v>
      </c>
      <c r="AJ5092">
        <v>0</v>
      </c>
      <c r="AK5092">
        <v>0</v>
      </c>
      <c r="AL5092">
        <v>0</v>
      </c>
      <c r="AM5092">
        <v>0</v>
      </c>
      <c r="AN5092">
        <v>0</v>
      </c>
      <c r="AO5092">
        <v>-1</v>
      </c>
      <c r="AP5092">
        <v>0</v>
      </c>
      <c r="AQ5092">
        <v>0</v>
      </c>
      <c r="AR5092">
        <v>0</v>
      </c>
      <c r="AS5092">
        <v>0</v>
      </c>
      <c r="AT5092">
        <v>0</v>
      </c>
      <c r="AU5092">
        <f t="shared" si="158"/>
        <v>-1</v>
      </c>
      <c r="AV5092">
        <f t="shared" si="159"/>
        <v>0</v>
      </c>
    </row>
    <row r="5093" spans="1:48" x14ac:dyDescent="0.25">
      <c r="A5093" t="s">
        <v>19626</v>
      </c>
      <c r="B5093" t="s">
        <v>19626</v>
      </c>
      <c r="C5093" t="s">
        <v>19627</v>
      </c>
      <c r="D5093" t="s">
        <v>11665</v>
      </c>
      <c r="E5093" t="s">
        <v>2310</v>
      </c>
      <c r="F5093">
        <v>9</v>
      </c>
      <c r="G5093">
        <v>9.1999999999999993</v>
      </c>
      <c r="H5093" t="s">
        <v>2022</v>
      </c>
      <c r="I5093" s="21">
        <v>42872.549143518503</v>
      </c>
      <c r="J5093">
        <v>2017</v>
      </c>
      <c r="K5093" s="21">
        <v>43039.700983796298</v>
      </c>
      <c r="L5093">
        <v>2017</v>
      </c>
      <c r="M5093" s="21">
        <v>43654.362713310198</v>
      </c>
      <c r="N5093">
        <v>2019</v>
      </c>
      <c r="S5093" t="s">
        <v>9529</v>
      </c>
      <c r="T5093">
        <v>5006</v>
      </c>
      <c r="U5093">
        <v>5</v>
      </c>
      <c r="W5093">
        <v>-1260</v>
      </c>
      <c r="X5093">
        <v>0</v>
      </c>
      <c r="Y5093">
        <v>0</v>
      </c>
      <c r="Z5093">
        <v>0</v>
      </c>
      <c r="AA5093">
        <v>0</v>
      </c>
      <c r="AB5093">
        <v>0</v>
      </c>
      <c r="AC5093">
        <v>-1260</v>
      </c>
      <c r="AD5093">
        <v>0</v>
      </c>
      <c r="AE5093">
        <v>0</v>
      </c>
      <c r="AF5093">
        <v>0</v>
      </c>
      <c r="AG5093">
        <v>0</v>
      </c>
      <c r="AH5093">
        <v>0</v>
      </c>
      <c r="AI5093">
        <v>0</v>
      </c>
      <c r="AJ5093">
        <v>0</v>
      </c>
      <c r="AK5093">
        <v>0</v>
      </c>
      <c r="AL5093">
        <v>0</v>
      </c>
      <c r="AM5093">
        <v>0</v>
      </c>
      <c r="AN5093">
        <v>0</v>
      </c>
      <c r="AO5093">
        <v>0</v>
      </c>
      <c r="AP5093">
        <v>0</v>
      </c>
      <c r="AQ5093">
        <v>0</v>
      </c>
      <c r="AR5093">
        <v>0</v>
      </c>
      <c r="AS5093">
        <v>0</v>
      </c>
      <c r="AT5093">
        <v>0</v>
      </c>
      <c r="AU5093">
        <f t="shared" si="158"/>
        <v>0</v>
      </c>
      <c r="AV5093">
        <f t="shared" si="159"/>
        <v>0</v>
      </c>
    </row>
    <row r="5094" spans="1:48" x14ac:dyDescent="0.25">
      <c r="A5094" t="s">
        <v>19626</v>
      </c>
      <c r="B5094" t="s">
        <v>19626</v>
      </c>
      <c r="C5094" t="s">
        <v>19627</v>
      </c>
      <c r="D5094" t="s">
        <v>11665</v>
      </c>
      <c r="E5094" t="s">
        <v>2310</v>
      </c>
      <c r="F5094">
        <v>9</v>
      </c>
      <c r="G5094">
        <v>9.1999999999999993</v>
      </c>
      <c r="H5094" t="s">
        <v>2022</v>
      </c>
      <c r="I5094" s="21">
        <v>42872.549143518518</v>
      </c>
      <c r="J5094">
        <v>2017</v>
      </c>
      <c r="K5094" s="21">
        <v>43039.700983796298</v>
      </c>
      <c r="L5094">
        <v>2017</v>
      </c>
      <c r="M5094" s="21">
        <v>43654.362713310184</v>
      </c>
      <c r="N5094">
        <v>2019</v>
      </c>
      <c r="Q5094" s="262">
        <v>1600000</v>
      </c>
      <c r="R5094" s="262">
        <v>749000</v>
      </c>
      <c r="S5094" t="s">
        <v>12464</v>
      </c>
      <c r="T5094" t="s">
        <v>19628</v>
      </c>
      <c r="W5094">
        <v>7221</v>
      </c>
      <c r="X5094">
        <v>1</v>
      </c>
      <c r="AC5094">
        <v>7221</v>
      </c>
      <c r="AO5094">
        <v>1</v>
      </c>
      <c r="AU5094">
        <f t="shared" si="158"/>
        <v>1</v>
      </c>
      <c r="AV5094">
        <f t="shared" si="159"/>
        <v>0</v>
      </c>
    </row>
    <row r="5095" spans="1:48" x14ac:dyDescent="0.25">
      <c r="A5095" t="s">
        <v>17046</v>
      </c>
      <c r="B5095" t="s">
        <v>17046</v>
      </c>
      <c r="C5095" t="s">
        <v>17047</v>
      </c>
      <c r="D5095" t="s">
        <v>17048</v>
      </c>
      <c r="E5095" t="s">
        <v>2310</v>
      </c>
      <c r="F5095">
        <v>9</v>
      </c>
      <c r="G5095">
        <v>9.1999999999999993</v>
      </c>
      <c r="H5095" t="s">
        <v>2022</v>
      </c>
      <c r="I5095" s="21">
        <v>42872.601041666669</v>
      </c>
      <c r="J5095">
        <v>2017</v>
      </c>
      <c r="K5095" s="21">
        <v>42928.606307870374</v>
      </c>
      <c r="L5095">
        <v>2017</v>
      </c>
      <c r="M5095" s="21">
        <v>43306.455183796294</v>
      </c>
      <c r="N5095">
        <v>2018</v>
      </c>
      <c r="Q5095" s="262">
        <v>500000</v>
      </c>
      <c r="R5095" s="262">
        <v>252000</v>
      </c>
      <c r="S5095" t="s">
        <v>12464</v>
      </c>
      <c r="T5095">
        <v>4493</v>
      </c>
      <c r="W5095">
        <v>2567</v>
      </c>
      <c r="X5095">
        <v>1</v>
      </c>
      <c r="AC5095">
        <v>2567</v>
      </c>
      <c r="AO5095">
        <v>1</v>
      </c>
      <c r="AU5095">
        <f t="shared" si="158"/>
        <v>1</v>
      </c>
      <c r="AV5095">
        <f t="shared" si="159"/>
        <v>0</v>
      </c>
    </row>
    <row r="5096" spans="1:48" x14ac:dyDescent="0.25">
      <c r="A5096" t="s">
        <v>17046</v>
      </c>
      <c r="B5096" t="s">
        <v>17046</v>
      </c>
      <c r="C5096" t="s">
        <v>17047</v>
      </c>
      <c r="D5096" t="s">
        <v>17048</v>
      </c>
      <c r="E5096" t="s">
        <v>2310</v>
      </c>
      <c r="F5096">
        <v>9</v>
      </c>
      <c r="G5096">
        <v>9.1999999999999993</v>
      </c>
      <c r="H5096" t="s">
        <v>2022</v>
      </c>
      <c r="I5096" s="21">
        <v>42872.601041666698</v>
      </c>
      <c r="J5096">
        <v>2017</v>
      </c>
      <c r="K5096" s="21">
        <v>42928.606307870403</v>
      </c>
      <c r="L5096">
        <v>2017</v>
      </c>
      <c r="M5096" s="21">
        <v>43306.455183796301</v>
      </c>
      <c r="N5096">
        <v>2018</v>
      </c>
      <c r="S5096" t="s">
        <v>9529</v>
      </c>
      <c r="T5096">
        <v>4493</v>
      </c>
      <c r="U5096">
        <v>5</v>
      </c>
      <c r="W5096">
        <v>-864</v>
      </c>
      <c r="X5096">
        <v>-1</v>
      </c>
      <c r="Y5096">
        <v>0</v>
      </c>
      <c r="Z5096">
        <v>0</v>
      </c>
      <c r="AA5096">
        <v>0</v>
      </c>
      <c r="AB5096">
        <v>0</v>
      </c>
      <c r="AC5096">
        <v>-864</v>
      </c>
      <c r="AD5096">
        <v>0</v>
      </c>
      <c r="AE5096">
        <v>0</v>
      </c>
      <c r="AF5096">
        <v>0</v>
      </c>
      <c r="AG5096">
        <v>0</v>
      </c>
      <c r="AH5096">
        <v>0</v>
      </c>
      <c r="AI5096">
        <v>0</v>
      </c>
      <c r="AJ5096">
        <v>0</v>
      </c>
      <c r="AK5096">
        <v>0</v>
      </c>
      <c r="AL5096">
        <v>0</v>
      </c>
      <c r="AM5096">
        <v>0</v>
      </c>
      <c r="AN5096">
        <v>0</v>
      </c>
      <c r="AO5096">
        <v>-1</v>
      </c>
      <c r="AP5096">
        <v>0</v>
      </c>
      <c r="AQ5096">
        <v>0</v>
      </c>
      <c r="AR5096">
        <v>0</v>
      </c>
      <c r="AS5096">
        <v>0</v>
      </c>
      <c r="AT5096">
        <v>0</v>
      </c>
      <c r="AU5096">
        <f t="shared" si="158"/>
        <v>-1</v>
      </c>
      <c r="AV5096">
        <f t="shared" si="159"/>
        <v>0</v>
      </c>
    </row>
    <row r="5097" spans="1:48" x14ac:dyDescent="0.25">
      <c r="A5097" t="s">
        <v>13582</v>
      </c>
      <c r="C5097" t="s">
        <v>13583</v>
      </c>
      <c r="D5097" t="s">
        <v>13402</v>
      </c>
      <c r="E5097" t="s">
        <v>1663</v>
      </c>
      <c r="F5097">
        <v>5</v>
      </c>
      <c r="G5097">
        <v>5.5</v>
      </c>
      <c r="H5097" t="s">
        <v>2017</v>
      </c>
      <c r="I5097" s="21">
        <v>42877</v>
      </c>
      <c r="J5097">
        <v>2017</v>
      </c>
      <c r="K5097" s="21">
        <v>42906</v>
      </c>
      <c r="L5097">
        <v>2017</v>
      </c>
      <c r="M5097" s="21">
        <v>43231</v>
      </c>
      <c r="N5097">
        <v>2018</v>
      </c>
      <c r="Q5097" s="262">
        <v>25000</v>
      </c>
      <c r="S5097" t="s">
        <v>114</v>
      </c>
      <c r="T5097" t="s">
        <v>114</v>
      </c>
      <c r="W5097">
        <v>0</v>
      </c>
      <c r="X5097">
        <v>0</v>
      </c>
      <c r="AU5097">
        <f t="shared" si="158"/>
        <v>0</v>
      </c>
      <c r="AV5097">
        <f t="shared" si="159"/>
        <v>0</v>
      </c>
    </row>
    <row r="5098" spans="1:48" x14ac:dyDescent="0.25">
      <c r="A5098" t="s">
        <v>13579</v>
      </c>
      <c r="C5098" t="s">
        <v>13580</v>
      </c>
      <c r="D5098" t="s">
        <v>13316</v>
      </c>
      <c r="E5098" t="s">
        <v>1663</v>
      </c>
      <c r="F5098">
        <v>5</v>
      </c>
      <c r="G5098">
        <v>5.2</v>
      </c>
      <c r="H5098" t="s">
        <v>2327</v>
      </c>
      <c r="I5098" s="21">
        <v>42877</v>
      </c>
      <c r="J5098">
        <v>2017</v>
      </c>
      <c r="K5098" s="21">
        <v>42935</v>
      </c>
      <c r="L5098">
        <v>2017</v>
      </c>
      <c r="M5098" s="21">
        <v>43306</v>
      </c>
      <c r="N5098">
        <v>2018</v>
      </c>
      <c r="Q5098" s="262">
        <v>0</v>
      </c>
      <c r="S5098" t="s">
        <v>114</v>
      </c>
      <c r="T5098" t="s">
        <v>114</v>
      </c>
      <c r="W5098">
        <v>0</v>
      </c>
      <c r="X5098">
        <v>0</v>
      </c>
      <c r="AU5098">
        <f t="shared" si="158"/>
        <v>0</v>
      </c>
      <c r="AV5098">
        <f t="shared" si="159"/>
        <v>0</v>
      </c>
    </row>
    <row r="5099" spans="1:48" x14ac:dyDescent="0.25">
      <c r="A5099" t="s">
        <v>17469</v>
      </c>
      <c r="C5099" t="s">
        <v>17470</v>
      </c>
      <c r="D5099" t="s">
        <v>13153</v>
      </c>
      <c r="E5099" t="s">
        <v>1663</v>
      </c>
      <c r="F5099">
        <v>5</v>
      </c>
      <c r="G5099">
        <v>5.2</v>
      </c>
      <c r="H5099" t="s">
        <v>2327</v>
      </c>
      <c r="I5099" s="21">
        <v>42877</v>
      </c>
      <c r="J5099">
        <v>2017</v>
      </c>
      <c r="K5099" s="21">
        <v>42942</v>
      </c>
      <c r="L5099">
        <v>2017</v>
      </c>
      <c r="M5099" s="21">
        <v>42984</v>
      </c>
      <c r="N5099">
        <v>2017</v>
      </c>
      <c r="Q5099" s="262">
        <v>475000</v>
      </c>
      <c r="S5099" t="s">
        <v>114</v>
      </c>
      <c r="T5099" t="s">
        <v>114</v>
      </c>
      <c r="W5099">
        <v>0</v>
      </c>
      <c r="X5099">
        <v>0</v>
      </c>
      <c r="AU5099">
        <f t="shared" si="158"/>
        <v>0</v>
      </c>
      <c r="AV5099">
        <f t="shared" si="159"/>
        <v>0</v>
      </c>
    </row>
    <row r="5100" spans="1:48" x14ac:dyDescent="0.25">
      <c r="A5100" t="s">
        <v>19107</v>
      </c>
      <c r="B5100" t="s">
        <v>114</v>
      </c>
      <c r="C5100" t="s">
        <v>19108</v>
      </c>
      <c r="D5100" t="s">
        <v>15728</v>
      </c>
      <c r="E5100" t="s">
        <v>1663</v>
      </c>
      <c r="F5100">
        <v>3</v>
      </c>
      <c r="G5100">
        <v>3.4</v>
      </c>
      <c r="H5100" t="s">
        <v>2017</v>
      </c>
      <c r="I5100" s="21">
        <v>42877</v>
      </c>
      <c r="J5100">
        <v>2017</v>
      </c>
      <c r="K5100" s="21">
        <v>42943</v>
      </c>
      <c r="L5100">
        <v>2017</v>
      </c>
      <c r="M5100" s="21">
        <v>43598</v>
      </c>
      <c r="N5100">
        <v>2019</v>
      </c>
      <c r="Q5100" s="262">
        <v>500000</v>
      </c>
      <c r="S5100" t="s">
        <v>13253</v>
      </c>
      <c r="T5100">
        <v>10649</v>
      </c>
      <c r="W5100">
        <v>720</v>
      </c>
      <c r="X5100">
        <v>0</v>
      </c>
      <c r="AC5100">
        <v>720</v>
      </c>
      <c r="AU5100">
        <f t="shared" si="158"/>
        <v>0</v>
      </c>
      <c r="AV5100">
        <f t="shared" si="159"/>
        <v>0</v>
      </c>
    </row>
    <row r="5101" spans="1:48" x14ac:dyDescent="0.25">
      <c r="A5101" t="s">
        <v>17464</v>
      </c>
      <c r="C5101" t="s">
        <v>17465</v>
      </c>
      <c r="D5101" t="s">
        <v>17466</v>
      </c>
      <c r="E5101" t="s">
        <v>1663</v>
      </c>
      <c r="F5101">
        <v>1</v>
      </c>
      <c r="G5101">
        <v>1.1000000000000001</v>
      </c>
      <c r="H5101" t="s">
        <v>2017</v>
      </c>
      <c r="I5101" s="21">
        <v>42877</v>
      </c>
      <c r="J5101">
        <v>2017</v>
      </c>
      <c r="K5101" s="21">
        <v>42916</v>
      </c>
      <c r="L5101">
        <v>2017</v>
      </c>
      <c r="M5101" s="21">
        <v>43020</v>
      </c>
      <c r="N5101">
        <v>2017</v>
      </c>
      <c r="Q5101" s="262">
        <v>19000</v>
      </c>
      <c r="S5101" t="s">
        <v>114</v>
      </c>
      <c r="T5101" t="s">
        <v>114</v>
      </c>
      <c r="W5101">
        <v>0</v>
      </c>
      <c r="X5101">
        <v>0</v>
      </c>
      <c r="AU5101">
        <f t="shared" si="158"/>
        <v>0</v>
      </c>
      <c r="AV5101">
        <f t="shared" si="159"/>
        <v>0</v>
      </c>
    </row>
    <row r="5102" spans="1:48" x14ac:dyDescent="0.25">
      <c r="A5102" t="s">
        <v>18115</v>
      </c>
      <c r="B5102" t="s">
        <v>18115</v>
      </c>
      <c r="C5102" t="s">
        <v>18116</v>
      </c>
      <c r="D5102" t="s">
        <v>18117</v>
      </c>
      <c r="E5102" t="s">
        <v>2310</v>
      </c>
      <c r="F5102">
        <v>9</v>
      </c>
      <c r="G5102">
        <v>9.1</v>
      </c>
      <c r="H5102" t="s">
        <v>2323</v>
      </c>
      <c r="I5102" s="21">
        <v>42878.464456018519</v>
      </c>
      <c r="J5102">
        <v>2017</v>
      </c>
      <c r="K5102" s="21">
        <v>43325.704233368058</v>
      </c>
      <c r="L5102">
        <v>2018</v>
      </c>
      <c r="M5102" s="21">
        <v>43263.701124305553</v>
      </c>
      <c r="N5102">
        <v>2018</v>
      </c>
      <c r="Q5102" s="262">
        <v>450000</v>
      </c>
      <c r="R5102" s="262">
        <v>343000</v>
      </c>
      <c r="S5102" t="s">
        <v>13254</v>
      </c>
      <c r="W5102">
        <v>1264</v>
      </c>
      <c r="X5102">
        <v>1</v>
      </c>
      <c r="AC5102">
        <v>1264</v>
      </c>
      <c r="AO5102">
        <v>1</v>
      </c>
      <c r="AU5102">
        <f t="shared" si="158"/>
        <v>1</v>
      </c>
      <c r="AV5102">
        <f t="shared" si="159"/>
        <v>0</v>
      </c>
    </row>
    <row r="5103" spans="1:48" x14ac:dyDescent="0.25">
      <c r="A5103" t="s">
        <v>18122</v>
      </c>
      <c r="B5103" t="s">
        <v>18122</v>
      </c>
      <c r="C5103" t="s">
        <v>18123</v>
      </c>
      <c r="D5103" t="s">
        <v>18117</v>
      </c>
      <c r="E5103" t="s">
        <v>2310</v>
      </c>
      <c r="F5103">
        <v>9</v>
      </c>
      <c r="G5103">
        <v>9.1</v>
      </c>
      <c r="H5103" t="s">
        <v>2323</v>
      </c>
      <c r="I5103" s="21">
        <v>42878.486747685187</v>
      </c>
      <c r="J5103">
        <v>2017</v>
      </c>
      <c r="K5103" s="21">
        <v>42928.699756944443</v>
      </c>
      <c r="L5103">
        <v>2017</v>
      </c>
      <c r="M5103" s="21">
        <v>43266.410070798614</v>
      </c>
      <c r="N5103">
        <v>2018</v>
      </c>
      <c r="Q5103" s="262">
        <v>350000</v>
      </c>
      <c r="R5103" s="262">
        <v>147000</v>
      </c>
      <c r="S5103" t="s">
        <v>13254</v>
      </c>
      <c r="W5103">
        <v>1775</v>
      </c>
      <c r="X5103">
        <v>1</v>
      </c>
      <c r="AC5103">
        <v>780</v>
      </c>
      <c r="AF5103">
        <v>995</v>
      </c>
      <c r="AR5103">
        <v>1</v>
      </c>
      <c r="AU5103">
        <f t="shared" si="158"/>
        <v>0</v>
      </c>
      <c r="AV5103">
        <f t="shared" si="159"/>
        <v>0</v>
      </c>
    </row>
    <row r="5104" spans="1:48" x14ac:dyDescent="0.25">
      <c r="A5104" t="s">
        <v>18484</v>
      </c>
      <c r="B5104" t="s">
        <v>18484</v>
      </c>
      <c r="C5104" t="s">
        <v>18485</v>
      </c>
      <c r="D5104" t="s">
        <v>18486</v>
      </c>
      <c r="E5104" t="s">
        <v>2310</v>
      </c>
      <c r="F5104">
        <v>15</v>
      </c>
      <c r="G5104">
        <v>15.4</v>
      </c>
      <c r="H5104" t="s">
        <v>2323</v>
      </c>
      <c r="I5104" s="21">
        <v>42878.565000000002</v>
      </c>
      <c r="J5104">
        <v>2017</v>
      </c>
      <c r="K5104" s="21">
        <v>43292.388031712966</v>
      </c>
      <c r="L5104">
        <v>2018</v>
      </c>
      <c r="M5104" s="21">
        <v>43395.377197685186</v>
      </c>
      <c r="N5104">
        <v>2018</v>
      </c>
      <c r="Q5104" s="262">
        <v>200000</v>
      </c>
      <c r="R5104" s="262">
        <v>94000</v>
      </c>
      <c r="S5104" t="s">
        <v>13253</v>
      </c>
      <c r="T5104">
        <v>5629</v>
      </c>
      <c r="V5104">
        <v>690</v>
      </c>
      <c r="W5104">
        <v>310</v>
      </c>
      <c r="X5104">
        <v>0</v>
      </c>
      <c r="AC5104">
        <v>310</v>
      </c>
      <c r="AU5104">
        <f t="shared" si="158"/>
        <v>0</v>
      </c>
      <c r="AV5104">
        <f t="shared" si="159"/>
        <v>0</v>
      </c>
    </row>
    <row r="5105" spans="1:48" x14ac:dyDescent="0.25">
      <c r="A5105" t="s">
        <v>18095</v>
      </c>
      <c r="B5105" t="s">
        <v>18095</v>
      </c>
      <c r="C5105" t="s">
        <v>18096</v>
      </c>
      <c r="D5105" t="s">
        <v>18097</v>
      </c>
      <c r="E5105" t="s">
        <v>2310</v>
      </c>
      <c r="F5105">
        <v>8</v>
      </c>
      <c r="G5105">
        <v>8.1999999999999993</v>
      </c>
      <c r="H5105" t="s">
        <v>2022</v>
      </c>
      <c r="I5105" s="21">
        <v>42879.439247685186</v>
      </c>
      <c r="J5105">
        <v>2017</v>
      </c>
      <c r="K5105" s="21">
        <v>42956.394641203704</v>
      </c>
      <c r="L5105">
        <v>2017</v>
      </c>
      <c r="M5105" s="21">
        <v>43257.396843865739</v>
      </c>
      <c r="N5105">
        <v>2018</v>
      </c>
      <c r="Q5105" s="262">
        <v>320000</v>
      </c>
      <c r="R5105" s="262">
        <v>56000</v>
      </c>
      <c r="S5105" t="s">
        <v>13254</v>
      </c>
      <c r="W5105">
        <v>1239</v>
      </c>
      <c r="X5105">
        <v>0</v>
      </c>
      <c r="AC5105">
        <v>1239</v>
      </c>
      <c r="AU5105">
        <f t="shared" si="158"/>
        <v>0</v>
      </c>
      <c r="AV5105">
        <f t="shared" si="159"/>
        <v>0</v>
      </c>
    </row>
    <row r="5106" spans="1:48" x14ac:dyDescent="0.25">
      <c r="A5106" t="s">
        <v>18503</v>
      </c>
      <c r="B5106" t="s">
        <v>18503</v>
      </c>
      <c r="C5106" t="s">
        <v>18504</v>
      </c>
      <c r="D5106" t="s">
        <v>18097</v>
      </c>
      <c r="E5106" t="s">
        <v>2310</v>
      </c>
      <c r="F5106">
        <v>8</v>
      </c>
      <c r="G5106">
        <v>8.1999999999999993</v>
      </c>
      <c r="H5106" t="s">
        <v>2022</v>
      </c>
      <c r="I5106" s="21">
        <v>42879.465648148151</v>
      </c>
      <c r="J5106">
        <v>2017</v>
      </c>
      <c r="K5106" s="21">
        <v>42928.491446759261</v>
      </c>
      <c r="L5106">
        <v>2017</v>
      </c>
      <c r="M5106" s="21">
        <v>43257.399611261571</v>
      </c>
      <c r="N5106">
        <v>2018</v>
      </c>
      <c r="Q5106" s="262">
        <v>30000</v>
      </c>
      <c r="R5106" s="262">
        <v>5000</v>
      </c>
      <c r="S5106" t="s">
        <v>13253</v>
      </c>
      <c r="T5106">
        <v>5759</v>
      </c>
      <c r="W5106">
        <v>105</v>
      </c>
      <c r="X5106">
        <v>0</v>
      </c>
      <c r="AC5106">
        <v>105</v>
      </c>
      <c r="AU5106">
        <f t="shared" si="158"/>
        <v>0</v>
      </c>
      <c r="AV5106">
        <f t="shared" si="159"/>
        <v>0</v>
      </c>
    </row>
    <row r="5107" spans="1:48" x14ac:dyDescent="0.25">
      <c r="A5107" t="s">
        <v>18455</v>
      </c>
      <c r="B5107" t="s">
        <v>18455</v>
      </c>
      <c r="C5107" t="s">
        <v>18456</v>
      </c>
      <c r="D5107" t="s">
        <v>18457</v>
      </c>
      <c r="E5107" t="s">
        <v>2310</v>
      </c>
      <c r="F5107">
        <v>13</v>
      </c>
      <c r="G5107">
        <v>13.2</v>
      </c>
      <c r="H5107" t="s">
        <v>2327</v>
      </c>
      <c r="I5107" s="21">
        <v>42879.562824074077</v>
      </c>
      <c r="J5107">
        <v>2017</v>
      </c>
      <c r="K5107" s="21">
        <v>42927.56658564815</v>
      </c>
      <c r="L5107">
        <v>2017</v>
      </c>
      <c r="M5107" s="21">
        <v>43448.476776388889</v>
      </c>
      <c r="N5107">
        <v>2018</v>
      </c>
      <c r="Q5107" s="262">
        <v>5000000</v>
      </c>
      <c r="R5107" s="262">
        <v>1417000</v>
      </c>
      <c r="S5107" t="s">
        <v>13254</v>
      </c>
      <c r="W5107">
        <v>9245</v>
      </c>
      <c r="X5107">
        <v>1</v>
      </c>
      <c r="AC5107">
        <v>9245</v>
      </c>
      <c r="AO5107">
        <v>1</v>
      </c>
      <c r="AU5107">
        <f t="shared" si="158"/>
        <v>1</v>
      </c>
      <c r="AV5107">
        <f t="shared" si="159"/>
        <v>0</v>
      </c>
    </row>
    <row r="5108" spans="1:48" x14ac:dyDescent="0.25">
      <c r="A5108" t="s">
        <v>17475</v>
      </c>
      <c r="C5108" t="s">
        <v>12530</v>
      </c>
      <c r="D5108" t="s">
        <v>15764</v>
      </c>
      <c r="E5108" t="s">
        <v>1663</v>
      </c>
      <c r="F5108">
        <v>2</v>
      </c>
      <c r="G5108">
        <v>2.2999999999999998</v>
      </c>
      <c r="H5108" t="s">
        <v>2327</v>
      </c>
      <c r="I5108" s="21">
        <v>42885</v>
      </c>
      <c r="J5108">
        <v>2017</v>
      </c>
      <c r="K5108" s="21">
        <v>42977</v>
      </c>
      <c r="L5108">
        <v>2017</v>
      </c>
      <c r="M5108" s="21">
        <v>43053</v>
      </c>
      <c r="N5108">
        <v>2017</v>
      </c>
      <c r="Q5108" s="262">
        <v>1300000</v>
      </c>
      <c r="S5108" t="s">
        <v>114</v>
      </c>
      <c r="T5108" t="s">
        <v>114</v>
      </c>
      <c r="W5108">
        <v>0</v>
      </c>
      <c r="X5108">
        <v>0</v>
      </c>
      <c r="AU5108">
        <f t="shared" si="158"/>
        <v>0</v>
      </c>
      <c r="AV5108">
        <f t="shared" si="159"/>
        <v>0</v>
      </c>
    </row>
    <row r="5109" spans="1:48" x14ac:dyDescent="0.25">
      <c r="A5109" t="s">
        <v>18520</v>
      </c>
      <c r="B5109" t="s">
        <v>18520</v>
      </c>
      <c r="C5109" t="s">
        <v>18521</v>
      </c>
      <c r="D5109" t="s">
        <v>18522</v>
      </c>
      <c r="E5109" t="s">
        <v>2310</v>
      </c>
      <c r="F5109">
        <v>9</v>
      </c>
      <c r="G5109">
        <v>9.1</v>
      </c>
      <c r="H5109" t="s">
        <v>2323</v>
      </c>
      <c r="I5109" s="21">
        <v>42885.441851851851</v>
      </c>
      <c r="J5109">
        <v>2017</v>
      </c>
      <c r="K5109" s="21">
        <v>43299.407710069441</v>
      </c>
      <c r="L5109">
        <v>2018</v>
      </c>
      <c r="M5109" s="21">
        <v>43305.479955092589</v>
      </c>
      <c r="N5109">
        <v>2018</v>
      </c>
      <c r="Q5109" s="262">
        <v>800000</v>
      </c>
      <c r="R5109" s="262">
        <v>267000</v>
      </c>
      <c r="S5109" t="s">
        <v>13253</v>
      </c>
      <c r="T5109">
        <v>5934</v>
      </c>
      <c r="V5109">
        <v>2768</v>
      </c>
      <c r="W5109">
        <v>0</v>
      </c>
      <c r="X5109">
        <v>0</v>
      </c>
      <c r="AU5109">
        <f t="shared" si="158"/>
        <v>0</v>
      </c>
      <c r="AV5109">
        <f t="shared" si="159"/>
        <v>0</v>
      </c>
    </row>
    <row r="5110" spans="1:48" x14ac:dyDescent="0.25">
      <c r="A5110" t="s">
        <v>17476</v>
      </c>
      <c r="C5110" t="s">
        <v>17477</v>
      </c>
      <c r="D5110" t="s">
        <v>11780</v>
      </c>
      <c r="E5110" t="s">
        <v>1663</v>
      </c>
      <c r="F5110">
        <v>1</v>
      </c>
      <c r="G5110">
        <v>1.2</v>
      </c>
      <c r="H5110" t="s">
        <v>2017</v>
      </c>
      <c r="I5110" s="21">
        <v>42886</v>
      </c>
      <c r="J5110">
        <v>2017</v>
      </c>
      <c r="K5110" s="21">
        <v>42915</v>
      </c>
      <c r="L5110">
        <v>2017</v>
      </c>
      <c r="M5110" s="21">
        <v>42941</v>
      </c>
      <c r="N5110">
        <v>2017</v>
      </c>
      <c r="Q5110" s="262">
        <v>5000</v>
      </c>
      <c r="S5110" t="s">
        <v>114</v>
      </c>
      <c r="T5110" t="s">
        <v>114</v>
      </c>
      <c r="W5110">
        <v>0</v>
      </c>
      <c r="X5110">
        <v>0</v>
      </c>
      <c r="AU5110">
        <f t="shared" si="158"/>
        <v>0</v>
      </c>
      <c r="AV5110">
        <f t="shared" si="159"/>
        <v>0</v>
      </c>
    </row>
    <row r="5111" spans="1:48" x14ac:dyDescent="0.25">
      <c r="A5111" t="s">
        <v>18603</v>
      </c>
      <c r="B5111" t="s">
        <v>18603</v>
      </c>
      <c r="C5111" t="s">
        <v>18604</v>
      </c>
      <c r="D5111" t="s">
        <v>18605</v>
      </c>
      <c r="E5111" t="s">
        <v>2310</v>
      </c>
      <c r="F5111">
        <v>8</v>
      </c>
      <c r="G5111">
        <v>8.1</v>
      </c>
      <c r="H5111" t="s">
        <v>2323</v>
      </c>
      <c r="I5111" s="21">
        <v>42887.43340277778</v>
      </c>
      <c r="J5111">
        <v>2017</v>
      </c>
      <c r="K5111" s="21">
        <v>42957.671724537038</v>
      </c>
      <c r="L5111">
        <v>2017</v>
      </c>
      <c r="M5111" s="21">
        <v>43551.370409525465</v>
      </c>
      <c r="N5111">
        <v>2019</v>
      </c>
      <c r="Q5111" s="262">
        <v>3500000</v>
      </c>
      <c r="R5111" s="262">
        <v>1062000</v>
      </c>
      <c r="S5111" t="s">
        <v>13254</v>
      </c>
      <c r="W5111">
        <v>8260</v>
      </c>
      <c r="X5111">
        <v>1</v>
      </c>
      <c r="AC5111">
        <v>8260</v>
      </c>
      <c r="AO5111">
        <v>1</v>
      </c>
      <c r="AU5111">
        <f t="shared" si="158"/>
        <v>1</v>
      </c>
      <c r="AV5111">
        <f t="shared" si="159"/>
        <v>0</v>
      </c>
    </row>
    <row r="5112" spans="1:48" x14ac:dyDescent="0.25">
      <c r="A5112" t="s">
        <v>19343</v>
      </c>
      <c r="B5112" t="s">
        <v>19343</v>
      </c>
      <c r="C5112" t="s">
        <v>19344</v>
      </c>
      <c r="D5112" t="s">
        <v>19340</v>
      </c>
      <c r="E5112" t="s">
        <v>2310</v>
      </c>
      <c r="F5112">
        <v>15</v>
      </c>
      <c r="G5112">
        <v>15.3</v>
      </c>
      <c r="H5112" t="s">
        <v>2022</v>
      </c>
      <c r="I5112" s="21">
        <v>42887.62300925926</v>
      </c>
      <c r="J5112">
        <v>2017</v>
      </c>
      <c r="K5112" s="21">
        <v>42923.687986111108</v>
      </c>
      <c r="L5112">
        <v>2017</v>
      </c>
      <c r="M5112" s="21">
        <v>43979.501633645836</v>
      </c>
      <c r="N5112">
        <v>2020</v>
      </c>
      <c r="Q5112" s="262">
        <v>500000</v>
      </c>
      <c r="R5112" s="262">
        <v>112000</v>
      </c>
      <c r="S5112" t="s">
        <v>13254</v>
      </c>
      <c r="W5112">
        <v>988</v>
      </c>
      <c r="X5112">
        <v>1</v>
      </c>
      <c r="AC5112">
        <v>0</v>
      </c>
      <c r="AF5112">
        <v>988</v>
      </c>
      <c r="AR5112">
        <v>1</v>
      </c>
      <c r="AU5112">
        <f t="shared" si="158"/>
        <v>0</v>
      </c>
      <c r="AV5112">
        <f t="shared" si="159"/>
        <v>0</v>
      </c>
    </row>
    <row r="5113" spans="1:48" x14ac:dyDescent="0.25">
      <c r="A5113" t="s">
        <v>18555</v>
      </c>
      <c r="B5113" t="s">
        <v>18555</v>
      </c>
      <c r="C5113" t="s">
        <v>18556</v>
      </c>
      <c r="D5113" t="s">
        <v>18536</v>
      </c>
      <c r="E5113" t="s">
        <v>2310</v>
      </c>
      <c r="F5113">
        <v>15</v>
      </c>
      <c r="G5113">
        <v>15.3</v>
      </c>
      <c r="H5113" t="s">
        <v>2022</v>
      </c>
      <c r="I5113" s="21">
        <v>42887.649004629631</v>
      </c>
      <c r="J5113">
        <v>2017</v>
      </c>
      <c r="K5113" s="21">
        <v>42923.689074074071</v>
      </c>
      <c r="L5113">
        <v>2017</v>
      </c>
      <c r="M5113" s="21">
        <v>43524.364336886574</v>
      </c>
      <c r="N5113">
        <v>2019</v>
      </c>
      <c r="Q5113" s="262">
        <v>500000</v>
      </c>
      <c r="R5113" s="262">
        <v>113000</v>
      </c>
      <c r="S5113" t="s">
        <v>13254</v>
      </c>
      <c r="W5113">
        <v>1000</v>
      </c>
      <c r="X5113">
        <v>1</v>
      </c>
      <c r="AC5113">
        <v>0</v>
      </c>
      <c r="AF5113">
        <v>1000</v>
      </c>
      <c r="AR5113">
        <v>1</v>
      </c>
      <c r="AU5113">
        <f t="shared" si="158"/>
        <v>0</v>
      </c>
      <c r="AV5113">
        <f t="shared" si="159"/>
        <v>0</v>
      </c>
    </row>
    <row r="5114" spans="1:48" x14ac:dyDescent="0.25">
      <c r="A5114" t="s">
        <v>13590</v>
      </c>
      <c r="C5114" t="s">
        <v>11559</v>
      </c>
      <c r="D5114" t="s">
        <v>13591</v>
      </c>
      <c r="E5114" t="s">
        <v>1663</v>
      </c>
      <c r="F5114">
        <v>6</v>
      </c>
      <c r="G5114">
        <v>6.1</v>
      </c>
      <c r="H5114" t="s">
        <v>2017</v>
      </c>
      <c r="I5114" s="21">
        <v>42888</v>
      </c>
      <c r="J5114">
        <v>2017</v>
      </c>
      <c r="M5114" s="21">
        <v>43623</v>
      </c>
      <c r="N5114">
        <v>2019</v>
      </c>
      <c r="Q5114" s="262">
        <v>1500000</v>
      </c>
      <c r="S5114" t="s">
        <v>114</v>
      </c>
      <c r="T5114" t="s">
        <v>114</v>
      </c>
      <c r="W5114">
        <v>3932</v>
      </c>
      <c r="X5114">
        <v>1</v>
      </c>
      <c r="AC5114">
        <v>3932</v>
      </c>
      <c r="AO5114">
        <v>1</v>
      </c>
      <c r="AU5114">
        <f t="shared" si="158"/>
        <v>1</v>
      </c>
      <c r="AV5114">
        <f t="shared" si="159"/>
        <v>0</v>
      </c>
    </row>
    <row r="5115" spans="1:48" x14ac:dyDescent="0.25">
      <c r="A5115" t="s">
        <v>17478</v>
      </c>
      <c r="C5115" t="s">
        <v>13941</v>
      </c>
      <c r="D5115" t="s">
        <v>17479</v>
      </c>
      <c r="E5115" t="s">
        <v>1663</v>
      </c>
      <c r="F5115">
        <v>6</v>
      </c>
      <c r="G5115">
        <v>6.1</v>
      </c>
      <c r="H5115" t="s">
        <v>2017</v>
      </c>
      <c r="I5115" s="21">
        <v>42888</v>
      </c>
      <c r="J5115">
        <v>2017</v>
      </c>
      <c r="K5115" s="21">
        <v>42914</v>
      </c>
      <c r="L5115">
        <v>2017</v>
      </c>
      <c r="M5115" s="21">
        <v>43049</v>
      </c>
      <c r="N5115">
        <v>2017</v>
      </c>
      <c r="Q5115" s="262">
        <v>75000</v>
      </c>
      <c r="S5115" t="s">
        <v>114</v>
      </c>
      <c r="T5115" t="s">
        <v>114</v>
      </c>
      <c r="W5115">
        <v>0</v>
      </c>
      <c r="X5115">
        <v>0</v>
      </c>
      <c r="AU5115">
        <f t="shared" si="158"/>
        <v>0</v>
      </c>
      <c r="AV5115">
        <f t="shared" si="159"/>
        <v>0</v>
      </c>
    </row>
    <row r="5116" spans="1:48" x14ac:dyDescent="0.25">
      <c r="A5116" t="s">
        <v>13594</v>
      </c>
      <c r="C5116" t="s">
        <v>13528</v>
      </c>
      <c r="D5116" t="s">
        <v>13595</v>
      </c>
      <c r="E5116" t="s">
        <v>1663</v>
      </c>
      <c r="F5116">
        <v>4</v>
      </c>
      <c r="G5116">
        <v>4.4000000000000004</v>
      </c>
      <c r="H5116" t="s">
        <v>2017</v>
      </c>
      <c r="I5116" s="21">
        <v>42888</v>
      </c>
      <c r="J5116">
        <v>2017</v>
      </c>
      <c r="K5116" s="21">
        <v>42942</v>
      </c>
      <c r="L5116">
        <v>2017</v>
      </c>
      <c r="P5116" s="21">
        <v>43228</v>
      </c>
      <c r="Q5116" s="262">
        <v>20000</v>
      </c>
      <c r="S5116" t="s">
        <v>114</v>
      </c>
      <c r="T5116" t="s">
        <v>114</v>
      </c>
      <c r="W5116">
        <v>181</v>
      </c>
      <c r="X5116">
        <v>0</v>
      </c>
      <c r="AC5116">
        <v>181</v>
      </c>
      <c r="AU5116">
        <f t="shared" si="158"/>
        <v>0</v>
      </c>
      <c r="AV5116">
        <f t="shared" si="159"/>
        <v>0</v>
      </c>
    </row>
    <row r="5117" spans="1:48" x14ac:dyDescent="0.25">
      <c r="A5117" t="s">
        <v>18127</v>
      </c>
      <c r="B5117" t="s">
        <v>18127</v>
      </c>
      <c r="C5117" t="s">
        <v>18128</v>
      </c>
      <c r="D5117" t="s">
        <v>16454</v>
      </c>
      <c r="E5117" t="s">
        <v>2310</v>
      </c>
      <c r="F5117">
        <v>8</v>
      </c>
      <c r="G5117">
        <v>8.1</v>
      </c>
      <c r="H5117" t="s">
        <v>2323</v>
      </c>
      <c r="I5117" s="21">
        <v>42892.555844907409</v>
      </c>
      <c r="J5117">
        <v>2017</v>
      </c>
      <c r="K5117" s="21">
        <v>42942.406504629631</v>
      </c>
      <c r="L5117">
        <v>2017</v>
      </c>
      <c r="M5117" s="21">
        <v>43270.419281516202</v>
      </c>
      <c r="N5117">
        <v>2018</v>
      </c>
      <c r="Q5117" s="262">
        <v>1000000</v>
      </c>
      <c r="R5117" s="262">
        <v>180000</v>
      </c>
      <c r="S5117" t="s">
        <v>13254</v>
      </c>
      <c r="W5117">
        <v>1891</v>
      </c>
      <c r="X5117">
        <v>1</v>
      </c>
      <c r="AC5117">
        <v>893</v>
      </c>
      <c r="AF5117">
        <v>998</v>
      </c>
      <c r="AR5117">
        <v>1</v>
      </c>
      <c r="AU5117">
        <f t="shared" si="158"/>
        <v>0</v>
      </c>
      <c r="AV5117">
        <f t="shared" si="159"/>
        <v>0</v>
      </c>
    </row>
    <row r="5118" spans="1:48" x14ac:dyDescent="0.25">
      <c r="A5118" t="s">
        <v>18619</v>
      </c>
      <c r="B5118" t="s">
        <v>114</v>
      </c>
      <c r="C5118" t="s">
        <v>11246</v>
      </c>
      <c r="D5118" t="s">
        <v>18620</v>
      </c>
      <c r="E5118" t="s">
        <v>1663</v>
      </c>
      <c r="F5118">
        <v>6</v>
      </c>
      <c r="G5118">
        <v>6.1</v>
      </c>
      <c r="H5118" t="s">
        <v>2017</v>
      </c>
      <c r="I5118" s="21">
        <v>42894</v>
      </c>
      <c r="J5118">
        <v>2017</v>
      </c>
      <c r="K5118" s="21">
        <v>42934</v>
      </c>
      <c r="L5118">
        <v>2017</v>
      </c>
      <c r="M5118" s="21">
        <v>43560</v>
      </c>
      <c r="N5118">
        <v>2019</v>
      </c>
      <c r="Q5118" s="262">
        <v>1000000</v>
      </c>
      <c r="S5118" t="s">
        <v>13254</v>
      </c>
      <c r="W5118">
        <v>4198</v>
      </c>
      <c r="X5118">
        <v>1</v>
      </c>
      <c r="AC5118">
        <v>4198</v>
      </c>
      <c r="AO5118">
        <v>1</v>
      </c>
      <c r="AU5118">
        <f t="shared" si="158"/>
        <v>1</v>
      </c>
      <c r="AV5118">
        <f t="shared" si="159"/>
        <v>0</v>
      </c>
    </row>
    <row r="5119" spans="1:48" x14ac:dyDescent="0.25">
      <c r="A5119" t="s">
        <v>17480</v>
      </c>
      <c r="C5119" t="s">
        <v>17481</v>
      </c>
      <c r="D5119" t="s">
        <v>17482</v>
      </c>
      <c r="E5119" t="s">
        <v>1663</v>
      </c>
      <c r="F5119">
        <v>2</v>
      </c>
      <c r="G5119">
        <v>2.6</v>
      </c>
      <c r="H5119" t="s">
        <v>2327</v>
      </c>
      <c r="I5119" s="21">
        <v>42894</v>
      </c>
      <c r="J5119">
        <v>2017</v>
      </c>
      <c r="K5119" s="21">
        <v>42950</v>
      </c>
      <c r="L5119">
        <v>2017</v>
      </c>
      <c r="M5119" s="21">
        <v>43025</v>
      </c>
      <c r="N5119">
        <v>2017</v>
      </c>
      <c r="Q5119" s="262">
        <v>230000</v>
      </c>
      <c r="S5119" t="s">
        <v>114</v>
      </c>
      <c r="T5119" t="s">
        <v>114</v>
      </c>
      <c r="W5119">
        <v>0</v>
      </c>
      <c r="X5119">
        <v>0</v>
      </c>
      <c r="AU5119">
        <f t="shared" si="158"/>
        <v>0</v>
      </c>
      <c r="AV5119">
        <f t="shared" si="159"/>
        <v>0</v>
      </c>
    </row>
    <row r="5120" spans="1:48" x14ac:dyDescent="0.25">
      <c r="A5120" t="s">
        <v>18150</v>
      </c>
      <c r="B5120" t="s">
        <v>114</v>
      </c>
      <c r="C5120" t="s">
        <v>11246</v>
      </c>
      <c r="D5120" t="s">
        <v>14258</v>
      </c>
      <c r="E5120" t="s">
        <v>1663</v>
      </c>
      <c r="F5120">
        <v>6</v>
      </c>
      <c r="G5120">
        <v>6.1</v>
      </c>
      <c r="H5120" t="s">
        <v>2017</v>
      </c>
      <c r="I5120" s="21">
        <v>42898</v>
      </c>
      <c r="J5120">
        <v>2017</v>
      </c>
      <c r="K5120" s="21">
        <v>42965</v>
      </c>
      <c r="L5120">
        <v>2017</v>
      </c>
      <c r="M5120" s="21">
        <v>43291</v>
      </c>
      <c r="N5120">
        <v>2018</v>
      </c>
      <c r="Q5120" s="262">
        <v>793367</v>
      </c>
      <c r="S5120" t="s">
        <v>13254</v>
      </c>
      <c r="W5120">
        <v>3898</v>
      </c>
      <c r="X5120">
        <v>1</v>
      </c>
      <c r="AC5120">
        <v>3898</v>
      </c>
      <c r="AO5120">
        <v>1</v>
      </c>
      <c r="AU5120">
        <f t="shared" si="158"/>
        <v>1</v>
      </c>
      <c r="AV5120">
        <f t="shared" si="159"/>
        <v>0</v>
      </c>
    </row>
    <row r="5121" spans="1:48" x14ac:dyDescent="0.25">
      <c r="A5121" t="s">
        <v>13602</v>
      </c>
      <c r="C5121" t="s">
        <v>13603</v>
      </c>
      <c r="D5121" t="s">
        <v>13576</v>
      </c>
      <c r="E5121" t="s">
        <v>1663</v>
      </c>
      <c r="F5121">
        <v>3</v>
      </c>
      <c r="G5121">
        <v>3.2</v>
      </c>
      <c r="H5121" t="s">
        <v>2327</v>
      </c>
      <c r="I5121" s="21">
        <v>42899</v>
      </c>
      <c r="J5121">
        <v>2017</v>
      </c>
      <c r="K5121" s="21">
        <v>42956</v>
      </c>
      <c r="L5121">
        <v>2017</v>
      </c>
      <c r="P5121" s="21">
        <v>43374</v>
      </c>
      <c r="Q5121" s="262">
        <v>15000</v>
      </c>
      <c r="S5121" t="s">
        <v>114</v>
      </c>
      <c r="T5121" t="s">
        <v>114</v>
      </c>
      <c r="W5121">
        <v>0</v>
      </c>
      <c r="X5121">
        <v>0</v>
      </c>
      <c r="AU5121">
        <f t="shared" si="158"/>
        <v>0</v>
      </c>
      <c r="AV5121">
        <f t="shared" si="159"/>
        <v>0</v>
      </c>
    </row>
    <row r="5122" spans="1:48" x14ac:dyDescent="0.25">
      <c r="A5122" t="s">
        <v>13597</v>
      </c>
      <c r="C5122" t="s">
        <v>11240</v>
      </c>
      <c r="D5122" t="s">
        <v>13598</v>
      </c>
      <c r="E5122" t="s">
        <v>1663</v>
      </c>
      <c r="F5122">
        <v>3</v>
      </c>
      <c r="G5122">
        <v>3.1</v>
      </c>
      <c r="H5122" t="s">
        <v>2017</v>
      </c>
      <c r="I5122" s="21">
        <v>42899</v>
      </c>
      <c r="J5122">
        <v>2017</v>
      </c>
      <c r="M5122" s="21">
        <v>43691</v>
      </c>
      <c r="N5122">
        <v>2019</v>
      </c>
      <c r="Q5122" s="262">
        <v>850000</v>
      </c>
      <c r="S5122" t="s">
        <v>114</v>
      </c>
      <c r="T5122" t="s">
        <v>114</v>
      </c>
      <c r="W5122">
        <v>3157</v>
      </c>
      <c r="X5122">
        <v>1</v>
      </c>
      <c r="AC5122">
        <v>3157</v>
      </c>
      <c r="AO5122">
        <v>1</v>
      </c>
      <c r="AU5122">
        <f t="shared" si="158"/>
        <v>1</v>
      </c>
      <c r="AV5122">
        <f t="shared" si="159"/>
        <v>0</v>
      </c>
    </row>
    <row r="5123" spans="1:48" x14ac:dyDescent="0.25">
      <c r="A5123" t="s">
        <v>13599</v>
      </c>
      <c r="C5123" t="s">
        <v>13600</v>
      </c>
      <c r="D5123" t="s">
        <v>13601</v>
      </c>
      <c r="E5123" t="s">
        <v>1663</v>
      </c>
      <c r="F5123">
        <v>2</v>
      </c>
      <c r="G5123">
        <v>2.2999999999999998</v>
      </c>
      <c r="H5123" t="s">
        <v>2327</v>
      </c>
      <c r="I5123" s="21">
        <v>42899</v>
      </c>
      <c r="J5123">
        <v>2017</v>
      </c>
      <c r="M5123" s="21">
        <v>43663</v>
      </c>
      <c r="N5123">
        <v>2019</v>
      </c>
      <c r="Q5123" s="262">
        <v>20000</v>
      </c>
      <c r="S5123" t="s">
        <v>114</v>
      </c>
      <c r="T5123" t="s">
        <v>114</v>
      </c>
      <c r="W5123">
        <v>0</v>
      </c>
      <c r="X5123">
        <v>0</v>
      </c>
      <c r="AU5123">
        <f t="shared" si="158"/>
        <v>0</v>
      </c>
      <c r="AV5123">
        <f t="shared" si="159"/>
        <v>0</v>
      </c>
    </row>
    <row r="5124" spans="1:48" x14ac:dyDescent="0.25">
      <c r="A5124" t="s">
        <v>13604</v>
      </c>
      <c r="B5124" t="s">
        <v>13604</v>
      </c>
      <c r="C5124" t="s">
        <v>13605</v>
      </c>
      <c r="D5124" t="s">
        <v>13344</v>
      </c>
      <c r="E5124" t="s">
        <v>2310</v>
      </c>
      <c r="F5124">
        <v>8</v>
      </c>
      <c r="G5124">
        <v>8.1999999999999993</v>
      </c>
      <c r="H5124" t="s">
        <v>2022</v>
      </c>
      <c r="I5124" s="21">
        <v>42899.432557870401</v>
      </c>
      <c r="J5124">
        <v>2017</v>
      </c>
      <c r="K5124" s="21">
        <v>43075.575671296298</v>
      </c>
      <c r="L5124">
        <v>2017</v>
      </c>
      <c r="O5124" s="21">
        <v>43236.392220254602</v>
      </c>
      <c r="Q5124" s="262">
        <v>77000</v>
      </c>
      <c r="R5124" s="262">
        <v>59000</v>
      </c>
      <c r="S5124" t="s">
        <v>114</v>
      </c>
      <c r="T5124" t="s">
        <v>114</v>
      </c>
      <c r="V5124">
        <v>1287</v>
      </c>
      <c r="W5124">
        <v>0</v>
      </c>
      <c r="X5124">
        <v>0</v>
      </c>
      <c r="AU5124">
        <f t="shared" si="158"/>
        <v>0</v>
      </c>
      <c r="AV5124">
        <f t="shared" si="159"/>
        <v>0</v>
      </c>
    </row>
    <row r="5125" spans="1:48" x14ac:dyDescent="0.25">
      <c r="A5125" t="s">
        <v>18342</v>
      </c>
      <c r="B5125" t="s">
        <v>18342</v>
      </c>
      <c r="C5125" t="s">
        <v>18343</v>
      </c>
      <c r="D5125" t="s">
        <v>18344</v>
      </c>
      <c r="E5125" t="s">
        <v>2310</v>
      </c>
      <c r="F5125">
        <v>14</v>
      </c>
      <c r="G5125">
        <v>14.2</v>
      </c>
      <c r="H5125" t="s">
        <v>2017</v>
      </c>
      <c r="I5125" s="21">
        <v>42899.608229166668</v>
      </c>
      <c r="J5125">
        <v>2017</v>
      </c>
      <c r="K5125" s="21">
        <v>42947.425729166665</v>
      </c>
      <c r="L5125">
        <v>2017</v>
      </c>
      <c r="M5125" s="21">
        <v>43392.429768518516</v>
      </c>
      <c r="N5125">
        <v>2018</v>
      </c>
      <c r="Q5125" s="262">
        <v>30000</v>
      </c>
      <c r="R5125" s="262">
        <v>28000</v>
      </c>
      <c r="S5125" t="s">
        <v>13254</v>
      </c>
      <c r="V5125">
        <v>512</v>
      </c>
      <c r="W5125">
        <v>0</v>
      </c>
      <c r="X5125">
        <v>0</v>
      </c>
      <c r="AU5125">
        <f t="shared" si="158"/>
        <v>0</v>
      </c>
      <c r="AV5125">
        <f t="shared" si="159"/>
        <v>0</v>
      </c>
    </row>
    <row r="5126" spans="1:48" x14ac:dyDescent="0.25">
      <c r="A5126" t="s">
        <v>18339</v>
      </c>
      <c r="B5126" t="s">
        <v>18339</v>
      </c>
      <c r="C5126" t="s">
        <v>18340</v>
      </c>
      <c r="D5126" t="s">
        <v>18341</v>
      </c>
      <c r="E5126" t="s">
        <v>2310</v>
      </c>
      <c r="F5126">
        <v>11</v>
      </c>
      <c r="G5126">
        <v>11.2</v>
      </c>
      <c r="H5126" t="s">
        <v>2017</v>
      </c>
      <c r="I5126" s="21">
        <v>42901.438414351855</v>
      </c>
      <c r="J5126">
        <v>2017</v>
      </c>
      <c r="K5126" s="21">
        <v>42956.39984953704</v>
      </c>
      <c r="L5126">
        <v>2017</v>
      </c>
      <c r="M5126" s="21">
        <v>43257.438484606479</v>
      </c>
      <c r="N5126">
        <v>2018</v>
      </c>
      <c r="Q5126" s="262">
        <v>400000</v>
      </c>
      <c r="R5126" s="262">
        <v>151000</v>
      </c>
      <c r="S5126" t="s">
        <v>13253</v>
      </c>
      <c r="T5126">
        <v>4602</v>
      </c>
      <c r="W5126">
        <v>1190</v>
      </c>
      <c r="X5126">
        <v>0</v>
      </c>
      <c r="AC5126">
        <v>1190</v>
      </c>
      <c r="AU5126">
        <f t="shared" si="158"/>
        <v>0</v>
      </c>
      <c r="AV5126">
        <f t="shared" si="159"/>
        <v>0</v>
      </c>
    </row>
    <row r="5127" spans="1:48" x14ac:dyDescent="0.25">
      <c r="A5127" t="s">
        <v>19555</v>
      </c>
      <c r="B5127" t="s">
        <v>19555</v>
      </c>
      <c r="C5127" t="s">
        <v>19556</v>
      </c>
      <c r="D5127" t="s">
        <v>19557</v>
      </c>
      <c r="E5127" t="s">
        <v>2310</v>
      </c>
      <c r="F5127">
        <v>9</v>
      </c>
      <c r="G5127">
        <v>9.1999999999999993</v>
      </c>
      <c r="H5127" t="s">
        <v>2022</v>
      </c>
      <c r="I5127" s="21">
        <v>42902.444398148145</v>
      </c>
      <c r="J5127">
        <v>2017</v>
      </c>
      <c r="K5127" s="21">
        <v>43763.446911261577</v>
      </c>
      <c r="L5127">
        <v>2019</v>
      </c>
      <c r="M5127" s="21">
        <v>44124.380875694442</v>
      </c>
      <c r="N5127">
        <v>2020</v>
      </c>
      <c r="Q5127" s="262">
        <v>150000</v>
      </c>
      <c r="R5127" s="262">
        <v>113000</v>
      </c>
      <c r="S5127" t="s">
        <v>13254</v>
      </c>
      <c r="W5127">
        <v>1991</v>
      </c>
      <c r="X5127">
        <v>0</v>
      </c>
      <c r="AC5127">
        <v>1991</v>
      </c>
      <c r="AU5127">
        <f t="shared" si="158"/>
        <v>0</v>
      </c>
      <c r="AV5127">
        <f t="shared" si="159"/>
        <v>0</v>
      </c>
    </row>
    <row r="5128" spans="1:48" x14ac:dyDescent="0.25">
      <c r="A5128" t="s">
        <v>18515</v>
      </c>
      <c r="B5128" t="s">
        <v>18515</v>
      </c>
      <c r="C5128" t="s">
        <v>18516</v>
      </c>
      <c r="D5128" t="s">
        <v>17900</v>
      </c>
      <c r="E5128" t="s">
        <v>2310</v>
      </c>
      <c r="F5128">
        <v>14</v>
      </c>
      <c r="G5128">
        <v>14.1</v>
      </c>
      <c r="H5128" t="s">
        <v>2022</v>
      </c>
      <c r="I5128" s="21">
        <v>42902.624548611115</v>
      </c>
      <c r="J5128">
        <v>2017</v>
      </c>
      <c r="K5128" s="21">
        <v>43293.695342974534</v>
      </c>
      <c r="L5128">
        <v>2018</v>
      </c>
      <c r="M5128" s="21">
        <v>43501.532719525465</v>
      </c>
      <c r="N5128">
        <v>2019</v>
      </c>
      <c r="Q5128" s="262">
        <v>110000</v>
      </c>
      <c r="R5128" s="262">
        <v>92000</v>
      </c>
      <c r="S5128" t="s">
        <v>13254</v>
      </c>
      <c r="W5128">
        <v>707</v>
      </c>
      <c r="X5128">
        <v>1</v>
      </c>
      <c r="AC5128">
        <v>0</v>
      </c>
      <c r="AF5128">
        <v>707</v>
      </c>
      <c r="AR5128">
        <v>1</v>
      </c>
      <c r="AU5128">
        <f t="shared" si="158"/>
        <v>0</v>
      </c>
      <c r="AV5128">
        <f t="shared" si="159"/>
        <v>0</v>
      </c>
    </row>
    <row r="5129" spans="1:48" x14ac:dyDescent="0.25">
      <c r="A5129" t="s">
        <v>19046</v>
      </c>
      <c r="B5129" t="s">
        <v>19046</v>
      </c>
      <c r="C5129" t="s">
        <v>19047</v>
      </c>
      <c r="D5129" t="s">
        <v>19048</v>
      </c>
      <c r="E5129" t="s">
        <v>2310</v>
      </c>
      <c r="F5129">
        <v>13</v>
      </c>
      <c r="G5129">
        <v>13.2</v>
      </c>
      <c r="H5129" t="s">
        <v>2327</v>
      </c>
      <c r="I5129" s="21">
        <v>42906.434976851851</v>
      </c>
      <c r="J5129">
        <v>2017</v>
      </c>
      <c r="K5129" s="21">
        <v>43641.500376006945</v>
      </c>
      <c r="L5129">
        <v>2019</v>
      </c>
      <c r="M5129" s="21">
        <v>43733.424858715276</v>
      </c>
      <c r="N5129">
        <v>2019</v>
      </c>
      <c r="Q5129" s="262">
        <v>5000000</v>
      </c>
      <c r="R5129" s="262">
        <v>1416000</v>
      </c>
      <c r="S5129" t="s">
        <v>13254</v>
      </c>
      <c r="W5129">
        <v>9244</v>
      </c>
      <c r="X5129">
        <v>1</v>
      </c>
      <c r="AC5129">
        <v>9244</v>
      </c>
      <c r="AO5129">
        <v>1</v>
      </c>
      <c r="AU5129">
        <f t="shared" si="158"/>
        <v>1</v>
      </c>
      <c r="AV5129">
        <f t="shared" si="159"/>
        <v>0</v>
      </c>
    </row>
    <row r="5130" spans="1:48" x14ac:dyDescent="0.25">
      <c r="A5130" t="s">
        <v>18405</v>
      </c>
      <c r="B5130" t="s">
        <v>18405</v>
      </c>
      <c r="C5130" t="s">
        <v>18222</v>
      </c>
      <c r="D5130" t="s">
        <v>18406</v>
      </c>
      <c r="E5130" t="s">
        <v>2310</v>
      </c>
      <c r="F5130">
        <v>10</v>
      </c>
      <c r="G5130">
        <v>10.1</v>
      </c>
      <c r="H5130" t="s">
        <v>2323</v>
      </c>
      <c r="I5130" s="21">
        <v>42906.476284722223</v>
      </c>
      <c r="J5130">
        <v>2017</v>
      </c>
      <c r="K5130" s="21">
        <v>42933.508275462962</v>
      </c>
      <c r="L5130">
        <v>2017</v>
      </c>
      <c r="M5130" s="21">
        <v>43425.420822025466</v>
      </c>
      <c r="N5130">
        <v>2018</v>
      </c>
      <c r="Q5130" s="262">
        <v>450000</v>
      </c>
      <c r="R5130" s="262">
        <v>363000</v>
      </c>
      <c r="S5130" t="s">
        <v>13254</v>
      </c>
      <c r="W5130">
        <v>3598</v>
      </c>
      <c r="X5130">
        <v>1</v>
      </c>
      <c r="AC5130">
        <v>3598</v>
      </c>
      <c r="AO5130">
        <v>1</v>
      </c>
      <c r="AU5130">
        <f t="shared" si="158"/>
        <v>1</v>
      </c>
      <c r="AV5130">
        <f t="shared" si="159"/>
        <v>0</v>
      </c>
    </row>
    <row r="5131" spans="1:48" x14ac:dyDescent="0.25">
      <c r="A5131" t="s">
        <v>19346</v>
      </c>
      <c r="B5131" t="s">
        <v>19346</v>
      </c>
      <c r="C5131" t="s">
        <v>18837</v>
      </c>
      <c r="D5131" t="s">
        <v>19347</v>
      </c>
      <c r="E5131" t="s">
        <v>2310</v>
      </c>
      <c r="F5131">
        <v>9</v>
      </c>
      <c r="G5131">
        <v>9.1999999999999993</v>
      </c>
      <c r="H5131" t="s">
        <v>2022</v>
      </c>
      <c r="I5131" s="21">
        <v>42906.617534722223</v>
      </c>
      <c r="J5131">
        <v>2017</v>
      </c>
      <c r="K5131" s="21">
        <v>43031.547627314816</v>
      </c>
      <c r="L5131">
        <v>2017</v>
      </c>
      <c r="M5131" s="21">
        <v>43980.648058680556</v>
      </c>
      <c r="N5131">
        <v>2020</v>
      </c>
      <c r="Q5131" s="262">
        <v>3000000</v>
      </c>
      <c r="R5131" s="262">
        <v>1134000</v>
      </c>
      <c r="S5131" t="s">
        <v>13254</v>
      </c>
      <c r="W5131">
        <v>7907</v>
      </c>
      <c r="X5131">
        <v>1</v>
      </c>
      <c r="AC5131">
        <v>7907</v>
      </c>
      <c r="AO5131">
        <v>1</v>
      </c>
      <c r="AU5131">
        <f t="shared" si="158"/>
        <v>1</v>
      </c>
      <c r="AV5131">
        <f t="shared" si="159"/>
        <v>0</v>
      </c>
    </row>
    <row r="5132" spans="1:48" x14ac:dyDescent="0.25">
      <c r="A5132" t="s">
        <v>17583</v>
      </c>
      <c r="B5132" t="s">
        <v>17583</v>
      </c>
      <c r="C5132" t="s">
        <v>17584</v>
      </c>
      <c r="D5132" t="s">
        <v>17585</v>
      </c>
      <c r="E5132" t="s">
        <v>2310</v>
      </c>
      <c r="F5132">
        <v>8</v>
      </c>
      <c r="G5132">
        <v>8.3000000000000007</v>
      </c>
      <c r="H5132" t="s">
        <v>2323</v>
      </c>
      <c r="I5132" s="21">
        <v>42907.555555555555</v>
      </c>
      <c r="J5132">
        <v>2017</v>
      </c>
      <c r="K5132" s="21">
        <v>43053.610625000001</v>
      </c>
      <c r="L5132">
        <v>2017</v>
      </c>
      <c r="M5132" s="21">
        <v>43494.377294560189</v>
      </c>
      <c r="N5132">
        <v>2019</v>
      </c>
      <c r="Q5132" s="262">
        <v>250000</v>
      </c>
      <c r="R5132" s="262">
        <v>65000</v>
      </c>
      <c r="S5132" t="s">
        <v>13253</v>
      </c>
      <c r="T5132">
        <v>730</v>
      </c>
      <c r="V5132">
        <v>289</v>
      </c>
      <c r="W5132">
        <v>353</v>
      </c>
      <c r="X5132">
        <v>0</v>
      </c>
      <c r="AC5132">
        <v>353</v>
      </c>
      <c r="AU5132">
        <f t="shared" si="158"/>
        <v>0</v>
      </c>
      <c r="AV5132">
        <f t="shared" si="159"/>
        <v>0</v>
      </c>
    </row>
    <row r="5133" spans="1:48" x14ac:dyDescent="0.25">
      <c r="A5133" t="s">
        <v>19098</v>
      </c>
      <c r="B5133" t="s">
        <v>19098</v>
      </c>
      <c r="C5133" t="s">
        <v>19099</v>
      </c>
      <c r="D5133" t="s">
        <v>19100</v>
      </c>
      <c r="E5133" t="s">
        <v>2310</v>
      </c>
      <c r="F5133">
        <v>8</v>
      </c>
      <c r="G5133">
        <v>8.1</v>
      </c>
      <c r="H5133" t="s">
        <v>2323</v>
      </c>
      <c r="I5133" s="21">
        <v>42908.491249999999</v>
      </c>
      <c r="J5133">
        <v>2017</v>
      </c>
      <c r="K5133" s="21">
        <v>43054.664270833331</v>
      </c>
      <c r="L5133">
        <v>2017</v>
      </c>
      <c r="M5133" s="21">
        <v>43761.385214548609</v>
      </c>
      <c r="N5133">
        <v>2019</v>
      </c>
      <c r="Q5133" s="262">
        <v>1700000</v>
      </c>
      <c r="R5133" s="262">
        <v>448000</v>
      </c>
      <c r="S5133" t="s">
        <v>13254</v>
      </c>
      <c r="W5133">
        <v>4232</v>
      </c>
      <c r="X5133">
        <v>1</v>
      </c>
      <c r="AC5133">
        <v>4232</v>
      </c>
      <c r="AO5133">
        <v>1</v>
      </c>
      <c r="AU5133">
        <f t="shared" si="158"/>
        <v>1</v>
      </c>
      <c r="AV5133">
        <f t="shared" si="159"/>
        <v>0</v>
      </c>
    </row>
    <row r="5134" spans="1:48" x14ac:dyDescent="0.25">
      <c r="A5134" t="s">
        <v>18221</v>
      </c>
      <c r="B5134" t="s">
        <v>18221</v>
      </c>
      <c r="C5134" t="s">
        <v>18222</v>
      </c>
      <c r="D5134" t="s">
        <v>11508</v>
      </c>
      <c r="E5134" t="s">
        <v>2310</v>
      </c>
      <c r="F5134">
        <v>15</v>
      </c>
      <c r="G5134">
        <v>15.2</v>
      </c>
      <c r="H5134" t="s">
        <v>2323</v>
      </c>
      <c r="I5134" s="21">
        <v>42908.619571759256</v>
      </c>
      <c r="J5134">
        <v>2017</v>
      </c>
      <c r="K5134" s="21">
        <v>42956.364687499998</v>
      </c>
      <c r="L5134">
        <v>2017</v>
      </c>
      <c r="M5134" s="21">
        <v>43333.486977314817</v>
      </c>
      <c r="N5134">
        <v>2018</v>
      </c>
      <c r="Q5134" s="262">
        <v>357025</v>
      </c>
      <c r="R5134" s="262">
        <v>389000</v>
      </c>
      <c r="S5134" t="s">
        <v>13254</v>
      </c>
      <c r="W5134">
        <v>3564</v>
      </c>
      <c r="X5134">
        <v>1</v>
      </c>
      <c r="AC5134">
        <v>3564</v>
      </c>
      <c r="AO5134">
        <v>1</v>
      </c>
      <c r="AU5134">
        <f t="shared" si="158"/>
        <v>1</v>
      </c>
      <c r="AV5134">
        <f t="shared" si="159"/>
        <v>0</v>
      </c>
    </row>
    <row r="5135" spans="1:48" x14ac:dyDescent="0.25">
      <c r="A5135" t="s">
        <v>13609</v>
      </c>
      <c r="C5135" t="s">
        <v>13610</v>
      </c>
      <c r="D5135" t="s">
        <v>13611</v>
      </c>
      <c r="E5135" t="s">
        <v>1663</v>
      </c>
      <c r="F5135">
        <v>6</v>
      </c>
      <c r="G5135">
        <v>6.1</v>
      </c>
      <c r="H5135" t="s">
        <v>2017</v>
      </c>
      <c r="I5135" s="21">
        <v>42909</v>
      </c>
      <c r="J5135">
        <v>2017</v>
      </c>
      <c r="K5135" s="21">
        <v>42975</v>
      </c>
      <c r="L5135">
        <v>2017</v>
      </c>
      <c r="M5135" s="21">
        <v>43896</v>
      </c>
      <c r="N5135">
        <v>2020</v>
      </c>
      <c r="Q5135" s="262">
        <v>15000</v>
      </c>
      <c r="S5135" t="s">
        <v>114</v>
      </c>
      <c r="T5135" t="s">
        <v>114</v>
      </c>
      <c r="W5135">
        <v>0</v>
      </c>
      <c r="X5135">
        <v>0</v>
      </c>
      <c r="AU5135">
        <f t="shared" si="158"/>
        <v>0</v>
      </c>
      <c r="AV5135">
        <f t="shared" si="159"/>
        <v>0</v>
      </c>
    </row>
    <row r="5136" spans="1:48" x14ac:dyDescent="0.25">
      <c r="A5136" t="s">
        <v>13606</v>
      </c>
      <c r="C5136" t="s">
        <v>13607</v>
      </c>
      <c r="D5136" t="s">
        <v>13608</v>
      </c>
      <c r="E5136" t="s">
        <v>1663</v>
      </c>
      <c r="F5136">
        <v>5</v>
      </c>
      <c r="G5136">
        <v>5.2</v>
      </c>
      <c r="H5136" t="s">
        <v>2327</v>
      </c>
      <c r="I5136" s="21">
        <v>42909</v>
      </c>
      <c r="J5136">
        <v>2017</v>
      </c>
      <c r="K5136" s="21">
        <v>42947</v>
      </c>
      <c r="L5136">
        <v>2017</v>
      </c>
      <c r="M5136" s="21">
        <v>43333</v>
      </c>
      <c r="N5136">
        <v>2018</v>
      </c>
      <c r="Q5136" s="262">
        <v>2500</v>
      </c>
      <c r="S5136" t="s">
        <v>114</v>
      </c>
      <c r="T5136" t="s">
        <v>114</v>
      </c>
      <c r="W5136">
        <v>0</v>
      </c>
      <c r="X5136">
        <v>0</v>
      </c>
      <c r="AU5136">
        <f t="shared" si="158"/>
        <v>0</v>
      </c>
      <c r="AV5136">
        <f t="shared" si="159"/>
        <v>0</v>
      </c>
    </row>
    <row r="5137" spans="1:48" x14ac:dyDescent="0.25">
      <c r="A5137" t="s">
        <v>18083</v>
      </c>
      <c r="B5137" t="s">
        <v>114</v>
      </c>
      <c r="C5137" t="s">
        <v>18084</v>
      </c>
      <c r="D5137" t="s">
        <v>18085</v>
      </c>
      <c r="E5137" t="s">
        <v>1663</v>
      </c>
      <c r="F5137">
        <v>3</v>
      </c>
      <c r="G5137">
        <v>3.2</v>
      </c>
      <c r="H5137" t="s">
        <v>2327</v>
      </c>
      <c r="I5137" s="21">
        <v>42909</v>
      </c>
      <c r="J5137">
        <v>2017</v>
      </c>
      <c r="K5137" s="21">
        <v>42971</v>
      </c>
      <c r="L5137">
        <v>2017</v>
      </c>
      <c r="M5137" s="21">
        <v>43251</v>
      </c>
      <c r="N5137">
        <v>2018</v>
      </c>
      <c r="Q5137" s="262">
        <v>650000</v>
      </c>
      <c r="S5137" t="s">
        <v>13254</v>
      </c>
      <c r="W5137">
        <v>3157</v>
      </c>
      <c r="X5137">
        <v>1</v>
      </c>
      <c r="AC5137">
        <v>3157</v>
      </c>
      <c r="AO5137">
        <v>1</v>
      </c>
      <c r="AU5137">
        <f t="shared" si="158"/>
        <v>1</v>
      </c>
      <c r="AV5137">
        <f t="shared" si="159"/>
        <v>0</v>
      </c>
    </row>
    <row r="5138" spans="1:48" x14ac:dyDescent="0.25">
      <c r="A5138" t="s">
        <v>18566</v>
      </c>
      <c r="B5138" t="s">
        <v>18566</v>
      </c>
      <c r="C5138" t="s">
        <v>18567</v>
      </c>
      <c r="D5138" t="s">
        <v>18568</v>
      </c>
      <c r="E5138" t="s">
        <v>2310</v>
      </c>
      <c r="F5138">
        <v>13</v>
      </c>
      <c r="G5138">
        <v>13.2</v>
      </c>
      <c r="H5138" t="s">
        <v>2327</v>
      </c>
      <c r="I5138" s="21">
        <v>42909.539710648147</v>
      </c>
      <c r="J5138">
        <v>2017</v>
      </c>
      <c r="K5138" s="21">
        <v>43529.681592442132</v>
      </c>
      <c r="L5138">
        <v>2019</v>
      </c>
      <c r="M5138" s="21">
        <v>43529.683209490744</v>
      </c>
      <c r="N5138">
        <v>2019</v>
      </c>
      <c r="Q5138" s="262">
        <v>1458000</v>
      </c>
      <c r="R5138" s="262">
        <v>606000</v>
      </c>
      <c r="S5138" t="s">
        <v>13254</v>
      </c>
      <c r="W5138">
        <v>4860</v>
      </c>
      <c r="X5138">
        <v>1</v>
      </c>
      <c r="AC5138">
        <v>4860</v>
      </c>
      <c r="AO5138">
        <v>1</v>
      </c>
      <c r="AU5138">
        <f t="shared" si="158"/>
        <v>1</v>
      </c>
      <c r="AV5138">
        <f t="shared" si="159"/>
        <v>0</v>
      </c>
    </row>
    <row r="5139" spans="1:48" x14ac:dyDescent="0.25">
      <c r="A5139" t="s">
        <v>19492</v>
      </c>
      <c r="B5139" t="s">
        <v>19492</v>
      </c>
      <c r="C5139" t="s">
        <v>19493</v>
      </c>
      <c r="D5139" t="s">
        <v>19494</v>
      </c>
      <c r="E5139" t="s">
        <v>2310</v>
      </c>
      <c r="F5139">
        <v>10</v>
      </c>
      <c r="G5139">
        <v>10.1</v>
      </c>
      <c r="H5139" t="s">
        <v>2323</v>
      </c>
      <c r="I5139" s="21">
        <v>42909.614722222221</v>
      </c>
      <c r="J5139">
        <v>2017</v>
      </c>
      <c r="K5139" s="21">
        <v>42971.544398148151</v>
      </c>
      <c r="L5139">
        <v>2017</v>
      </c>
      <c r="M5139" s="21">
        <v>44063.397912731481</v>
      </c>
      <c r="N5139">
        <v>2020</v>
      </c>
      <c r="Q5139" s="262">
        <v>85000</v>
      </c>
      <c r="R5139" s="262">
        <v>67000</v>
      </c>
      <c r="S5139" t="s">
        <v>13254</v>
      </c>
      <c r="W5139">
        <v>1500</v>
      </c>
      <c r="X5139">
        <v>0</v>
      </c>
      <c r="AC5139">
        <v>1500</v>
      </c>
      <c r="AU5139">
        <f t="shared" si="158"/>
        <v>0</v>
      </c>
      <c r="AV5139">
        <f t="shared" si="159"/>
        <v>0</v>
      </c>
    </row>
    <row r="5140" spans="1:48" x14ac:dyDescent="0.25">
      <c r="A5140" t="s">
        <v>18647</v>
      </c>
      <c r="B5140" t="s">
        <v>18647</v>
      </c>
      <c r="C5140" t="s">
        <v>18648</v>
      </c>
      <c r="D5140" t="s">
        <v>12105</v>
      </c>
      <c r="E5140" t="s">
        <v>2310</v>
      </c>
      <c r="F5140">
        <v>13</v>
      </c>
      <c r="G5140">
        <v>13.3</v>
      </c>
      <c r="H5140" t="s">
        <v>2017</v>
      </c>
      <c r="I5140" s="21">
        <v>42913.60732638889</v>
      </c>
      <c r="J5140">
        <v>2017</v>
      </c>
      <c r="K5140" s="21">
        <v>42993.559560185182</v>
      </c>
      <c r="L5140">
        <v>2017</v>
      </c>
      <c r="M5140" s="21">
        <v>44124.388342592596</v>
      </c>
      <c r="N5140">
        <v>2020</v>
      </c>
      <c r="Q5140" s="262">
        <v>4000000</v>
      </c>
      <c r="R5140" s="262">
        <v>1124000</v>
      </c>
      <c r="S5140" t="s">
        <v>12464</v>
      </c>
      <c r="T5140">
        <v>6822</v>
      </c>
      <c r="W5140">
        <v>7773</v>
      </c>
      <c r="X5140">
        <v>1</v>
      </c>
      <c r="AC5140">
        <v>7773</v>
      </c>
      <c r="AO5140">
        <v>1</v>
      </c>
      <c r="AU5140">
        <f t="shared" si="158"/>
        <v>1</v>
      </c>
      <c r="AV5140">
        <f t="shared" si="159"/>
        <v>0</v>
      </c>
    </row>
    <row r="5141" spans="1:48" x14ac:dyDescent="0.25">
      <c r="A5141" t="s">
        <v>18647</v>
      </c>
      <c r="B5141" t="s">
        <v>18647</v>
      </c>
      <c r="C5141" t="s">
        <v>18648</v>
      </c>
      <c r="D5141" t="s">
        <v>12105</v>
      </c>
      <c r="E5141" t="s">
        <v>2310</v>
      </c>
      <c r="F5141">
        <v>13</v>
      </c>
      <c r="G5141">
        <v>13.3</v>
      </c>
      <c r="H5141" t="s">
        <v>2017</v>
      </c>
      <c r="I5141" s="21">
        <v>42913.607326388897</v>
      </c>
      <c r="J5141">
        <v>2017</v>
      </c>
      <c r="K5141" s="21">
        <v>42993.559560185196</v>
      </c>
      <c r="L5141">
        <v>2017</v>
      </c>
      <c r="M5141" s="21">
        <v>44124.388342592603</v>
      </c>
      <c r="N5141">
        <v>2020</v>
      </c>
      <c r="S5141" t="s">
        <v>9529</v>
      </c>
      <c r="T5141">
        <v>6822</v>
      </c>
      <c r="U5141">
        <v>5</v>
      </c>
      <c r="W5141">
        <v>-4457</v>
      </c>
      <c r="X5141">
        <v>-1</v>
      </c>
      <c r="Y5141">
        <v>0</v>
      </c>
      <c r="Z5141">
        <v>0</v>
      </c>
      <c r="AA5141">
        <v>0</v>
      </c>
      <c r="AB5141">
        <v>0</v>
      </c>
      <c r="AC5141">
        <v>-4457</v>
      </c>
      <c r="AD5141">
        <v>0</v>
      </c>
      <c r="AE5141">
        <v>0</v>
      </c>
      <c r="AF5141">
        <v>0</v>
      </c>
      <c r="AG5141">
        <v>0</v>
      </c>
      <c r="AH5141">
        <v>0</v>
      </c>
      <c r="AI5141">
        <v>0</v>
      </c>
      <c r="AJ5141">
        <v>0</v>
      </c>
      <c r="AK5141">
        <v>0</v>
      </c>
      <c r="AL5141">
        <v>0</v>
      </c>
      <c r="AM5141">
        <v>0</v>
      </c>
      <c r="AN5141">
        <v>0</v>
      </c>
      <c r="AO5141">
        <v>-1</v>
      </c>
      <c r="AP5141">
        <v>0</v>
      </c>
      <c r="AQ5141">
        <v>0</v>
      </c>
      <c r="AR5141">
        <v>0</v>
      </c>
      <c r="AS5141">
        <v>0</v>
      </c>
      <c r="AT5141">
        <v>0</v>
      </c>
      <c r="AU5141">
        <f t="shared" si="158"/>
        <v>-1</v>
      </c>
      <c r="AV5141">
        <f t="shared" si="159"/>
        <v>0</v>
      </c>
    </row>
    <row r="5142" spans="1:48" x14ac:dyDescent="0.25">
      <c r="A5142" t="s">
        <v>19296</v>
      </c>
      <c r="B5142" t="s">
        <v>19296</v>
      </c>
      <c r="C5142" t="s">
        <v>18494</v>
      </c>
      <c r="D5142" t="s">
        <v>19297</v>
      </c>
      <c r="E5142" t="s">
        <v>2310</v>
      </c>
      <c r="F5142">
        <v>8</v>
      </c>
      <c r="G5142">
        <v>8.3000000000000007</v>
      </c>
      <c r="H5142" t="s">
        <v>2323</v>
      </c>
      <c r="I5142" s="21">
        <v>42914.574525462966</v>
      </c>
      <c r="J5142">
        <v>2017</v>
      </c>
      <c r="K5142" s="21">
        <v>42965.552847222221</v>
      </c>
      <c r="L5142">
        <v>2017</v>
      </c>
      <c r="M5142" s="21">
        <v>43908.465169594907</v>
      </c>
      <c r="N5142">
        <v>2020</v>
      </c>
      <c r="Q5142" s="262">
        <v>910000</v>
      </c>
      <c r="R5142" s="262">
        <v>501000</v>
      </c>
      <c r="S5142" t="s">
        <v>13254</v>
      </c>
      <c r="W5142">
        <v>4264</v>
      </c>
      <c r="X5142">
        <v>1</v>
      </c>
      <c r="AC5142">
        <v>4264</v>
      </c>
      <c r="AO5142">
        <v>1</v>
      </c>
      <c r="AU5142">
        <f t="shared" si="158"/>
        <v>1</v>
      </c>
      <c r="AV5142">
        <f t="shared" si="159"/>
        <v>0</v>
      </c>
    </row>
    <row r="5143" spans="1:48" x14ac:dyDescent="0.25">
      <c r="A5143" t="s">
        <v>18919</v>
      </c>
      <c r="B5143" t="s">
        <v>18919</v>
      </c>
      <c r="C5143" t="s">
        <v>18920</v>
      </c>
      <c r="D5143" t="s">
        <v>8370</v>
      </c>
      <c r="E5143" t="s">
        <v>2310</v>
      </c>
      <c r="F5143">
        <v>9</v>
      </c>
      <c r="G5143">
        <v>9.1</v>
      </c>
      <c r="H5143" t="s">
        <v>2323</v>
      </c>
      <c r="I5143" s="21">
        <v>42915.437199074076</v>
      </c>
      <c r="J5143">
        <v>2017</v>
      </c>
      <c r="K5143" s="21">
        <v>42964.452060185184</v>
      </c>
      <c r="L5143">
        <v>2017</v>
      </c>
      <c r="M5143" s="21">
        <v>43672.4791133912</v>
      </c>
      <c r="N5143">
        <v>2019</v>
      </c>
      <c r="Q5143" s="262">
        <v>400000</v>
      </c>
      <c r="R5143" s="262">
        <v>145000</v>
      </c>
      <c r="S5143" t="s">
        <v>13254</v>
      </c>
      <c r="W5143">
        <v>1713</v>
      </c>
      <c r="X5143">
        <v>1</v>
      </c>
      <c r="AC5143">
        <v>717</v>
      </c>
      <c r="AF5143">
        <v>996</v>
      </c>
      <c r="AR5143">
        <v>1</v>
      </c>
      <c r="AU5143">
        <f t="shared" si="158"/>
        <v>0</v>
      </c>
      <c r="AV5143">
        <f t="shared" si="159"/>
        <v>0</v>
      </c>
    </row>
    <row r="5144" spans="1:48" x14ac:dyDescent="0.25">
      <c r="A5144" t="s">
        <v>18069</v>
      </c>
      <c r="B5144" t="s">
        <v>18069</v>
      </c>
      <c r="C5144" t="s">
        <v>18070</v>
      </c>
      <c r="D5144" t="s">
        <v>18071</v>
      </c>
      <c r="E5144" t="s">
        <v>2310</v>
      </c>
      <c r="F5144">
        <v>9</v>
      </c>
      <c r="G5144">
        <v>9.1999999999999993</v>
      </c>
      <c r="H5144" t="s">
        <v>2022</v>
      </c>
      <c r="I5144" s="21">
        <v>42915.572025462963</v>
      </c>
      <c r="J5144">
        <v>2017</v>
      </c>
      <c r="K5144" s="21">
        <v>42950.568784722222</v>
      </c>
      <c r="L5144">
        <v>2017</v>
      </c>
      <c r="M5144" s="21">
        <v>43222.452009375003</v>
      </c>
      <c r="N5144">
        <v>2018</v>
      </c>
      <c r="Q5144" s="262">
        <v>989832</v>
      </c>
      <c r="R5144" s="262">
        <v>489000</v>
      </c>
      <c r="S5144" t="s">
        <v>13254</v>
      </c>
      <c r="W5144">
        <v>4150</v>
      </c>
      <c r="X5144">
        <v>1</v>
      </c>
      <c r="AC5144">
        <v>4150</v>
      </c>
      <c r="AO5144">
        <v>1</v>
      </c>
      <c r="AU5144">
        <f t="shared" si="158"/>
        <v>1</v>
      </c>
      <c r="AV5144">
        <f t="shared" si="159"/>
        <v>0</v>
      </c>
    </row>
    <row r="5145" spans="1:48" x14ac:dyDescent="0.25">
      <c r="A5145" t="s">
        <v>19096</v>
      </c>
      <c r="B5145" t="s">
        <v>19096</v>
      </c>
      <c r="C5145" t="s">
        <v>19097</v>
      </c>
      <c r="D5145" t="s">
        <v>4025</v>
      </c>
      <c r="E5145" t="s">
        <v>2310</v>
      </c>
      <c r="F5145">
        <v>15</v>
      </c>
      <c r="G5145">
        <v>15.2</v>
      </c>
      <c r="H5145" t="s">
        <v>2323</v>
      </c>
      <c r="I5145" s="21">
        <v>42921.450219907405</v>
      </c>
      <c r="J5145">
        <v>2017</v>
      </c>
      <c r="K5145" s="21">
        <v>43367.645198182872</v>
      </c>
      <c r="L5145">
        <v>2018</v>
      </c>
      <c r="M5145" s="21">
        <v>43760.462750231483</v>
      </c>
      <c r="N5145">
        <v>2019</v>
      </c>
      <c r="Q5145" s="262">
        <v>400000</v>
      </c>
      <c r="R5145" s="262">
        <v>99000</v>
      </c>
      <c r="S5145" t="s">
        <v>13254</v>
      </c>
      <c r="W5145">
        <v>2155</v>
      </c>
      <c r="X5145">
        <v>0</v>
      </c>
      <c r="AC5145">
        <v>2155</v>
      </c>
      <c r="AU5145">
        <f t="shared" ref="AU5145:AU5208" si="160">SUM(AN5145:AQ5145,AS5145)</f>
        <v>0</v>
      </c>
      <c r="AV5145">
        <f t="shared" ref="AV5145:AV5208" si="161">SUM(Y5145:AB5145,AH5145:AM5145)</f>
        <v>0</v>
      </c>
    </row>
    <row r="5146" spans="1:48" x14ac:dyDescent="0.25">
      <c r="A5146" t="s">
        <v>18424</v>
      </c>
      <c r="B5146" t="s">
        <v>18424</v>
      </c>
      <c r="C5146" t="s">
        <v>18425</v>
      </c>
      <c r="D5146" t="s">
        <v>18426</v>
      </c>
      <c r="E5146" t="s">
        <v>2310</v>
      </c>
      <c r="F5146">
        <v>9</v>
      </c>
      <c r="G5146">
        <v>9.1</v>
      </c>
      <c r="H5146" t="s">
        <v>2323</v>
      </c>
      <c r="I5146" s="21">
        <v>42921.582743055558</v>
      </c>
      <c r="J5146">
        <v>2017</v>
      </c>
      <c r="K5146" s="21">
        <v>43224.538530358797</v>
      </c>
      <c r="L5146">
        <v>2018</v>
      </c>
      <c r="M5146" s="21">
        <v>43437.462032951385</v>
      </c>
      <c r="N5146">
        <v>2018</v>
      </c>
      <c r="Q5146" s="262">
        <v>850000</v>
      </c>
      <c r="R5146" s="262">
        <v>397000</v>
      </c>
      <c r="S5146" t="s">
        <v>13254</v>
      </c>
      <c r="W5146">
        <v>3632</v>
      </c>
      <c r="X5146">
        <v>1</v>
      </c>
      <c r="AC5146">
        <v>3632</v>
      </c>
      <c r="AO5146">
        <v>1</v>
      </c>
      <c r="AU5146">
        <f t="shared" si="160"/>
        <v>1</v>
      </c>
      <c r="AV5146">
        <f t="shared" si="161"/>
        <v>0</v>
      </c>
    </row>
    <row r="5147" spans="1:48" x14ac:dyDescent="0.25">
      <c r="A5147" t="s">
        <v>18921</v>
      </c>
      <c r="B5147" t="s">
        <v>114</v>
      </c>
      <c r="C5147" t="s">
        <v>11488</v>
      </c>
      <c r="D5147" t="s">
        <v>14594</v>
      </c>
      <c r="E5147" t="s">
        <v>1663</v>
      </c>
      <c r="F5147">
        <v>3</v>
      </c>
      <c r="G5147">
        <v>3.4</v>
      </c>
      <c r="H5147" t="s">
        <v>2017</v>
      </c>
      <c r="I5147" s="21">
        <v>42922</v>
      </c>
      <c r="J5147">
        <v>2017</v>
      </c>
      <c r="K5147" s="21">
        <v>42975</v>
      </c>
      <c r="L5147">
        <v>2017</v>
      </c>
      <c r="M5147" s="21">
        <v>43378</v>
      </c>
      <c r="N5147">
        <v>2018</v>
      </c>
      <c r="Q5147" s="262">
        <v>77982</v>
      </c>
      <c r="S5147" t="s">
        <v>13253</v>
      </c>
      <c r="T5147">
        <v>10225</v>
      </c>
      <c r="W5147">
        <v>202</v>
      </c>
      <c r="X5147">
        <v>0</v>
      </c>
      <c r="AC5147">
        <v>202</v>
      </c>
      <c r="AU5147">
        <f t="shared" si="160"/>
        <v>0</v>
      </c>
      <c r="AV5147">
        <f t="shared" si="161"/>
        <v>0</v>
      </c>
    </row>
    <row r="5148" spans="1:48" x14ac:dyDescent="0.25">
      <c r="A5148" t="s">
        <v>13612</v>
      </c>
      <c r="B5148" t="s">
        <v>13612</v>
      </c>
      <c r="C5148" t="s">
        <v>13613</v>
      </c>
      <c r="D5148" t="s">
        <v>13614</v>
      </c>
      <c r="E5148" t="s">
        <v>2310</v>
      </c>
      <c r="F5148">
        <v>8</v>
      </c>
      <c r="G5148">
        <v>8.3000000000000007</v>
      </c>
      <c r="H5148" t="s">
        <v>2323</v>
      </c>
      <c r="I5148" s="21">
        <v>42922.455671296302</v>
      </c>
      <c r="J5148">
        <v>2017</v>
      </c>
      <c r="K5148" s="21">
        <v>42965.546689814801</v>
      </c>
      <c r="L5148">
        <v>2017</v>
      </c>
      <c r="M5148" s="21">
        <v>43270.404359027802</v>
      </c>
      <c r="N5148">
        <v>2018</v>
      </c>
      <c r="Q5148" s="262">
        <v>20000</v>
      </c>
      <c r="R5148" s="262">
        <v>106000</v>
      </c>
      <c r="S5148" t="s">
        <v>114</v>
      </c>
      <c r="T5148" t="s">
        <v>114</v>
      </c>
      <c r="V5148">
        <v>1860</v>
      </c>
      <c r="W5148">
        <v>0</v>
      </c>
      <c r="X5148">
        <v>0</v>
      </c>
      <c r="AU5148">
        <f t="shared" si="160"/>
        <v>0</v>
      </c>
      <c r="AV5148">
        <f t="shared" si="161"/>
        <v>0</v>
      </c>
    </row>
    <row r="5149" spans="1:48" x14ac:dyDescent="0.25">
      <c r="A5149" t="s">
        <v>17571</v>
      </c>
      <c r="B5149" t="s">
        <v>17571</v>
      </c>
      <c r="C5149" t="s">
        <v>17572</v>
      </c>
      <c r="D5149" t="s">
        <v>17573</v>
      </c>
      <c r="E5149" t="s">
        <v>2310</v>
      </c>
      <c r="F5149">
        <v>8</v>
      </c>
      <c r="G5149">
        <v>8.4</v>
      </c>
      <c r="H5149" t="s">
        <v>2017</v>
      </c>
      <c r="I5149" s="21">
        <v>42922.541030092594</v>
      </c>
      <c r="J5149">
        <v>2017</v>
      </c>
      <c r="K5149" s="21">
        <v>43080.659421296295</v>
      </c>
      <c r="L5149">
        <v>2017</v>
      </c>
      <c r="M5149" s="21">
        <v>43413.343773807872</v>
      </c>
      <c r="N5149">
        <v>2018</v>
      </c>
      <c r="Q5149" s="262">
        <v>10000</v>
      </c>
      <c r="R5149" s="262">
        <v>72000</v>
      </c>
      <c r="S5149" t="s">
        <v>13253</v>
      </c>
      <c r="T5149">
        <v>641</v>
      </c>
      <c r="V5149">
        <v>842</v>
      </c>
      <c r="W5149">
        <v>0</v>
      </c>
      <c r="X5149">
        <v>1</v>
      </c>
      <c r="AC5149">
        <v>-842</v>
      </c>
      <c r="AF5149">
        <v>842</v>
      </c>
      <c r="AR5149">
        <v>1</v>
      </c>
      <c r="AU5149">
        <f t="shared" si="160"/>
        <v>0</v>
      </c>
      <c r="AV5149">
        <f t="shared" si="161"/>
        <v>0</v>
      </c>
    </row>
    <row r="5150" spans="1:48" x14ac:dyDescent="0.25">
      <c r="A5150" t="s">
        <v>18024</v>
      </c>
      <c r="B5150" t="s">
        <v>18024</v>
      </c>
      <c r="C5150" t="s">
        <v>13256</v>
      </c>
      <c r="D5150" t="s">
        <v>18025</v>
      </c>
      <c r="E5150" t="s">
        <v>2310</v>
      </c>
      <c r="F5150">
        <v>9</v>
      </c>
      <c r="G5150">
        <v>9.1</v>
      </c>
      <c r="H5150" t="s">
        <v>2323</v>
      </c>
      <c r="I5150" s="21">
        <v>42922.566655092596</v>
      </c>
      <c r="J5150">
        <v>2017</v>
      </c>
      <c r="K5150" s="21">
        <v>42964.403449074074</v>
      </c>
      <c r="L5150">
        <v>2017</v>
      </c>
      <c r="M5150" s="21">
        <v>43182.391643518517</v>
      </c>
      <c r="N5150">
        <v>2018</v>
      </c>
      <c r="Q5150" s="262">
        <v>50000</v>
      </c>
      <c r="R5150" s="262">
        <v>39000</v>
      </c>
      <c r="S5150" t="s">
        <v>13254</v>
      </c>
      <c r="W5150">
        <v>864</v>
      </c>
      <c r="X5150">
        <v>0</v>
      </c>
      <c r="AC5150">
        <v>864</v>
      </c>
      <c r="AU5150">
        <f t="shared" si="160"/>
        <v>0</v>
      </c>
      <c r="AV5150">
        <f t="shared" si="161"/>
        <v>0</v>
      </c>
    </row>
    <row r="5151" spans="1:48" x14ac:dyDescent="0.25">
      <c r="A5151" t="s">
        <v>18056</v>
      </c>
      <c r="B5151" t="s">
        <v>18056</v>
      </c>
      <c r="C5151" t="s">
        <v>18057</v>
      </c>
      <c r="D5151" t="s">
        <v>18058</v>
      </c>
      <c r="E5151" t="s">
        <v>2310</v>
      </c>
      <c r="F5151">
        <v>9</v>
      </c>
      <c r="G5151">
        <v>9.4</v>
      </c>
      <c r="H5151" t="s">
        <v>2323</v>
      </c>
      <c r="I5151" s="21">
        <v>42923.61005787037</v>
      </c>
      <c r="J5151">
        <v>2017</v>
      </c>
      <c r="K5151" s="21">
        <v>43229.588209872687</v>
      </c>
      <c r="L5151">
        <v>2018</v>
      </c>
      <c r="M5151" s="21">
        <v>43501.540057060185</v>
      </c>
      <c r="N5151">
        <v>2019</v>
      </c>
      <c r="Q5151" s="262">
        <v>1500000</v>
      </c>
      <c r="R5151" s="262">
        <v>556000</v>
      </c>
      <c r="S5151" t="s">
        <v>13253</v>
      </c>
      <c r="T5151">
        <v>3016</v>
      </c>
      <c r="V5151">
        <v>4766</v>
      </c>
      <c r="W5151">
        <v>986</v>
      </c>
      <c r="X5151">
        <v>0</v>
      </c>
      <c r="AC5151">
        <v>986</v>
      </c>
      <c r="AU5151">
        <f t="shared" si="160"/>
        <v>0</v>
      </c>
      <c r="AV5151">
        <f t="shared" si="161"/>
        <v>0</v>
      </c>
    </row>
    <row r="5152" spans="1:48" x14ac:dyDescent="0.25">
      <c r="A5152" t="s">
        <v>18833</v>
      </c>
      <c r="B5152" t="s">
        <v>114</v>
      </c>
      <c r="C5152" t="s">
        <v>18834</v>
      </c>
      <c r="D5152" t="s">
        <v>18835</v>
      </c>
      <c r="E5152" t="s">
        <v>1663</v>
      </c>
      <c r="F5152">
        <v>2</v>
      </c>
      <c r="G5152">
        <v>2.2000000000000002</v>
      </c>
      <c r="H5152" t="s">
        <v>2327</v>
      </c>
      <c r="I5152" s="21">
        <v>42926</v>
      </c>
      <c r="J5152">
        <v>2017</v>
      </c>
      <c r="K5152" s="21">
        <v>42989</v>
      </c>
      <c r="L5152">
        <v>2017</v>
      </c>
      <c r="M5152" s="21">
        <v>43977</v>
      </c>
      <c r="N5152">
        <v>2020</v>
      </c>
      <c r="Q5152" s="262">
        <v>2700000</v>
      </c>
      <c r="S5152" t="s">
        <v>12464</v>
      </c>
      <c r="T5152">
        <v>9731</v>
      </c>
      <c r="W5152">
        <v>6292</v>
      </c>
      <c r="X5152">
        <v>2</v>
      </c>
      <c r="AC5152">
        <v>5529</v>
      </c>
      <c r="AE5152">
        <v>763</v>
      </c>
      <c r="AO5152">
        <v>1</v>
      </c>
      <c r="AQ5152">
        <v>1</v>
      </c>
      <c r="AU5152">
        <f t="shared" si="160"/>
        <v>2</v>
      </c>
      <c r="AV5152">
        <f t="shared" si="161"/>
        <v>0</v>
      </c>
    </row>
    <row r="5153" spans="1:48" x14ac:dyDescent="0.25">
      <c r="A5153" t="s">
        <v>18833</v>
      </c>
      <c r="B5153" t="s">
        <v>114</v>
      </c>
      <c r="C5153" t="s">
        <v>18834</v>
      </c>
      <c r="D5153" t="s">
        <v>19658</v>
      </c>
      <c r="E5153" t="s">
        <v>1663</v>
      </c>
      <c r="F5153">
        <v>2</v>
      </c>
      <c r="G5153">
        <v>2.2000000000000002</v>
      </c>
      <c r="H5153" t="s">
        <v>2327</v>
      </c>
      <c r="I5153" s="21">
        <v>42926</v>
      </c>
      <c r="J5153">
        <v>2017</v>
      </c>
      <c r="K5153" s="21">
        <v>42989</v>
      </c>
      <c r="L5153">
        <v>2017</v>
      </c>
      <c r="M5153" s="21">
        <v>43977</v>
      </c>
      <c r="N5153">
        <v>2020</v>
      </c>
      <c r="S5153" t="s">
        <v>9529</v>
      </c>
      <c r="T5153">
        <v>9731</v>
      </c>
      <c r="U5153">
        <v>5</v>
      </c>
      <c r="W5153">
        <v>-2477</v>
      </c>
      <c r="X5153">
        <v>-1</v>
      </c>
      <c r="Y5153">
        <v>0</v>
      </c>
      <c r="Z5153">
        <v>0</v>
      </c>
      <c r="AA5153">
        <v>0</v>
      </c>
      <c r="AB5153">
        <v>0</v>
      </c>
      <c r="AC5153">
        <v>-2477</v>
      </c>
      <c r="AD5153">
        <v>0</v>
      </c>
      <c r="AE5153">
        <v>0</v>
      </c>
      <c r="AF5153">
        <v>0</v>
      </c>
      <c r="AG5153">
        <v>0</v>
      </c>
      <c r="AH5153">
        <v>0</v>
      </c>
      <c r="AI5153">
        <v>0</v>
      </c>
      <c r="AJ5153">
        <v>0</v>
      </c>
      <c r="AK5153">
        <v>0</v>
      </c>
      <c r="AL5153">
        <v>0</v>
      </c>
      <c r="AM5153">
        <v>0</v>
      </c>
      <c r="AN5153">
        <v>0</v>
      </c>
      <c r="AO5153">
        <v>-1</v>
      </c>
      <c r="AP5153">
        <v>0</v>
      </c>
      <c r="AQ5153">
        <v>0</v>
      </c>
      <c r="AR5153">
        <v>0</v>
      </c>
      <c r="AS5153">
        <v>0</v>
      </c>
      <c r="AT5153">
        <v>0</v>
      </c>
      <c r="AU5153">
        <f t="shared" si="160"/>
        <v>-1</v>
      </c>
      <c r="AV5153">
        <f t="shared" si="161"/>
        <v>0</v>
      </c>
    </row>
    <row r="5154" spans="1:48" x14ac:dyDescent="0.25">
      <c r="A5154" t="s">
        <v>18209</v>
      </c>
      <c r="B5154" t="s">
        <v>18209</v>
      </c>
      <c r="C5154" t="s">
        <v>18210</v>
      </c>
      <c r="D5154" t="s">
        <v>18211</v>
      </c>
      <c r="E5154" t="s">
        <v>2310</v>
      </c>
      <c r="F5154">
        <v>8</v>
      </c>
      <c r="G5154">
        <v>8.3000000000000007</v>
      </c>
      <c r="H5154" t="s">
        <v>2323</v>
      </c>
      <c r="I5154" s="21">
        <v>42927.425613425927</v>
      </c>
      <c r="J5154">
        <v>2017</v>
      </c>
      <c r="K5154" s="21">
        <v>43327.69807337963</v>
      </c>
      <c r="L5154">
        <v>2018</v>
      </c>
      <c r="M5154" s="21">
        <v>43327.699569328703</v>
      </c>
      <c r="N5154">
        <v>2018</v>
      </c>
      <c r="Q5154" s="262">
        <v>155000</v>
      </c>
      <c r="R5154" s="262">
        <v>114000</v>
      </c>
      <c r="S5154" t="s">
        <v>13254</v>
      </c>
      <c r="W5154">
        <v>980</v>
      </c>
      <c r="X5154">
        <v>1</v>
      </c>
      <c r="AC5154">
        <v>0</v>
      </c>
      <c r="AF5154">
        <v>980</v>
      </c>
      <c r="AR5154">
        <v>1</v>
      </c>
      <c r="AU5154">
        <f t="shared" si="160"/>
        <v>0</v>
      </c>
      <c r="AV5154">
        <f t="shared" si="161"/>
        <v>0</v>
      </c>
    </row>
    <row r="5155" spans="1:48" x14ac:dyDescent="0.25">
      <c r="A5155" t="s">
        <v>18331</v>
      </c>
      <c r="B5155" t="s">
        <v>18331</v>
      </c>
      <c r="C5155" t="s">
        <v>17047</v>
      </c>
      <c r="D5155" t="s">
        <v>6386</v>
      </c>
      <c r="E5155" t="s">
        <v>2310</v>
      </c>
      <c r="F5155">
        <v>10</v>
      </c>
      <c r="G5155">
        <v>10.1</v>
      </c>
      <c r="H5155" t="s">
        <v>2323</v>
      </c>
      <c r="I5155" s="21">
        <v>42929.615740740737</v>
      </c>
      <c r="J5155">
        <v>2017</v>
      </c>
      <c r="K5155" s="21">
        <v>42963.671180555553</v>
      </c>
      <c r="L5155">
        <v>2017</v>
      </c>
      <c r="M5155" s="21">
        <v>43385.454178009262</v>
      </c>
      <c r="N5155">
        <v>2018</v>
      </c>
      <c r="Q5155" s="262">
        <v>445000</v>
      </c>
      <c r="R5155" s="262">
        <v>319000</v>
      </c>
      <c r="S5155" t="s">
        <v>13254</v>
      </c>
      <c r="W5155">
        <v>3205</v>
      </c>
      <c r="X5155">
        <v>1</v>
      </c>
      <c r="AC5155">
        <v>3205</v>
      </c>
      <c r="AO5155">
        <v>1</v>
      </c>
      <c r="AU5155">
        <f t="shared" si="160"/>
        <v>1</v>
      </c>
      <c r="AV5155">
        <f t="shared" si="161"/>
        <v>0</v>
      </c>
    </row>
    <row r="5156" spans="1:48" x14ac:dyDescent="0.25">
      <c r="A5156" t="s">
        <v>18106</v>
      </c>
      <c r="B5156" t="s">
        <v>18106</v>
      </c>
      <c r="C5156" t="s">
        <v>18107</v>
      </c>
      <c r="D5156" t="s">
        <v>18108</v>
      </c>
      <c r="E5156" t="s">
        <v>2310</v>
      </c>
      <c r="F5156">
        <v>7</v>
      </c>
      <c r="G5156">
        <v>7.1</v>
      </c>
      <c r="H5156" t="s">
        <v>2017</v>
      </c>
      <c r="I5156" s="21">
        <v>42933.431909722225</v>
      </c>
      <c r="J5156">
        <v>2017</v>
      </c>
      <c r="K5156" s="21">
        <v>42983.359780092593</v>
      </c>
      <c r="L5156">
        <v>2017</v>
      </c>
      <c r="M5156" s="21">
        <v>43258.351593784719</v>
      </c>
      <c r="N5156">
        <v>2018</v>
      </c>
      <c r="Q5156" s="262">
        <v>200000</v>
      </c>
      <c r="R5156" s="262">
        <v>105000</v>
      </c>
      <c r="S5156" t="s">
        <v>13254</v>
      </c>
      <c r="W5156">
        <v>800</v>
      </c>
      <c r="X5156">
        <v>0</v>
      </c>
      <c r="AL5156">
        <v>800</v>
      </c>
      <c r="AU5156">
        <f t="shared" si="160"/>
        <v>0</v>
      </c>
      <c r="AV5156">
        <f t="shared" si="161"/>
        <v>800</v>
      </c>
    </row>
    <row r="5157" spans="1:48" x14ac:dyDescent="0.25">
      <c r="A5157" t="s">
        <v>13615</v>
      </c>
      <c r="C5157" t="s">
        <v>13616</v>
      </c>
      <c r="D5157" t="s">
        <v>13617</v>
      </c>
      <c r="E5157" t="s">
        <v>1663</v>
      </c>
      <c r="F5157">
        <v>3</v>
      </c>
      <c r="G5157">
        <v>3.1</v>
      </c>
      <c r="H5157" t="s">
        <v>2017</v>
      </c>
      <c r="I5157" s="21">
        <v>42934</v>
      </c>
      <c r="J5157">
        <v>2017</v>
      </c>
      <c r="K5157" s="21">
        <v>42986</v>
      </c>
      <c r="L5157">
        <v>2017</v>
      </c>
      <c r="M5157" s="21">
        <v>43780</v>
      </c>
      <c r="N5157">
        <v>2019</v>
      </c>
      <c r="Q5157" s="262">
        <v>8000</v>
      </c>
      <c r="S5157" t="s">
        <v>114</v>
      </c>
      <c r="T5157" t="s">
        <v>114</v>
      </c>
      <c r="W5157">
        <v>0</v>
      </c>
      <c r="X5157">
        <v>0</v>
      </c>
      <c r="AU5157">
        <f t="shared" si="160"/>
        <v>0</v>
      </c>
      <c r="AV5157">
        <f t="shared" si="161"/>
        <v>0</v>
      </c>
    </row>
    <row r="5158" spans="1:48" x14ac:dyDescent="0.25">
      <c r="A5158" t="s">
        <v>17483</v>
      </c>
      <c r="C5158" t="s">
        <v>17484</v>
      </c>
      <c r="D5158" t="s">
        <v>17485</v>
      </c>
      <c r="E5158" t="s">
        <v>1663</v>
      </c>
      <c r="F5158">
        <v>3</v>
      </c>
      <c r="G5158">
        <v>3.1</v>
      </c>
      <c r="H5158" t="s">
        <v>2017</v>
      </c>
      <c r="I5158" s="21">
        <v>42934</v>
      </c>
      <c r="J5158">
        <v>2017</v>
      </c>
      <c r="K5158" s="21">
        <v>42957</v>
      </c>
      <c r="L5158">
        <v>2017</v>
      </c>
      <c r="M5158" s="21">
        <v>42999</v>
      </c>
      <c r="N5158">
        <v>2017</v>
      </c>
      <c r="Q5158" s="262">
        <v>17000</v>
      </c>
      <c r="S5158" t="s">
        <v>114</v>
      </c>
      <c r="T5158" t="s">
        <v>114</v>
      </c>
      <c r="W5158">
        <v>0</v>
      </c>
      <c r="X5158">
        <v>0</v>
      </c>
      <c r="AU5158">
        <f t="shared" si="160"/>
        <v>0</v>
      </c>
      <c r="AV5158">
        <f t="shared" si="161"/>
        <v>0</v>
      </c>
    </row>
    <row r="5159" spans="1:48" x14ac:dyDescent="0.25">
      <c r="A5159" t="s">
        <v>19208</v>
      </c>
      <c r="B5159" t="s">
        <v>19208</v>
      </c>
      <c r="C5159" t="s">
        <v>18141</v>
      </c>
      <c r="D5159" t="s">
        <v>19209</v>
      </c>
      <c r="E5159" t="s">
        <v>2310</v>
      </c>
      <c r="F5159">
        <v>8</v>
      </c>
      <c r="G5159">
        <v>8.3000000000000007</v>
      </c>
      <c r="H5159" t="s">
        <v>2323</v>
      </c>
      <c r="I5159" s="21">
        <v>42934.441782407404</v>
      </c>
      <c r="J5159">
        <v>2017</v>
      </c>
      <c r="K5159" s="21">
        <v>43571.431593553243</v>
      </c>
      <c r="L5159">
        <v>2019</v>
      </c>
      <c r="M5159" s="21">
        <v>43846.410130243057</v>
      </c>
      <c r="N5159">
        <v>2020</v>
      </c>
      <c r="Q5159" s="262">
        <v>910000</v>
      </c>
      <c r="R5159" s="262">
        <v>501000</v>
      </c>
      <c r="S5159" t="s">
        <v>13254</v>
      </c>
      <c r="W5159">
        <v>4264</v>
      </c>
      <c r="X5159">
        <v>1</v>
      </c>
      <c r="AC5159">
        <v>4264</v>
      </c>
      <c r="AO5159">
        <v>1</v>
      </c>
      <c r="AU5159">
        <f t="shared" si="160"/>
        <v>1</v>
      </c>
      <c r="AV5159">
        <f t="shared" si="161"/>
        <v>0</v>
      </c>
    </row>
    <row r="5160" spans="1:48" x14ac:dyDescent="0.25">
      <c r="A5160" t="s">
        <v>19146</v>
      </c>
      <c r="B5160" t="s">
        <v>19146</v>
      </c>
      <c r="C5160" t="s">
        <v>18141</v>
      </c>
      <c r="D5160" t="s">
        <v>19147</v>
      </c>
      <c r="E5160" t="s">
        <v>2310</v>
      </c>
      <c r="F5160">
        <v>8</v>
      </c>
      <c r="G5160">
        <v>8.3000000000000007</v>
      </c>
      <c r="H5160" t="s">
        <v>2323</v>
      </c>
      <c r="I5160" s="21">
        <v>42934.471064814818</v>
      </c>
      <c r="J5160">
        <v>2017</v>
      </c>
      <c r="K5160" s="21">
        <v>42965.5703587963</v>
      </c>
      <c r="L5160">
        <v>2017</v>
      </c>
      <c r="M5160" s="21">
        <v>43794.372741053237</v>
      </c>
      <c r="N5160">
        <v>2019</v>
      </c>
      <c r="Q5160" s="262">
        <v>910000</v>
      </c>
      <c r="R5160" s="262">
        <v>501000</v>
      </c>
      <c r="S5160" t="s">
        <v>13254</v>
      </c>
      <c r="W5160">
        <v>4264</v>
      </c>
      <c r="X5160">
        <v>1</v>
      </c>
      <c r="AC5160">
        <v>4264</v>
      </c>
      <c r="AO5160">
        <v>1</v>
      </c>
      <c r="AU5160">
        <f t="shared" si="160"/>
        <v>1</v>
      </c>
      <c r="AV5160">
        <f t="shared" si="161"/>
        <v>0</v>
      </c>
    </row>
    <row r="5161" spans="1:48" x14ac:dyDescent="0.25">
      <c r="A5161" t="s">
        <v>19403</v>
      </c>
      <c r="B5161" t="s">
        <v>19403</v>
      </c>
      <c r="C5161" t="s">
        <v>18141</v>
      </c>
      <c r="D5161" t="s">
        <v>19404</v>
      </c>
      <c r="E5161" t="s">
        <v>2310</v>
      </c>
      <c r="F5161">
        <v>8</v>
      </c>
      <c r="G5161">
        <v>8.3000000000000007</v>
      </c>
      <c r="H5161" t="s">
        <v>2323</v>
      </c>
      <c r="I5161" s="21">
        <v>42934.494953703703</v>
      </c>
      <c r="J5161">
        <v>2017</v>
      </c>
      <c r="K5161" s="21">
        <v>42965.57230324074</v>
      </c>
      <c r="L5161">
        <v>2017</v>
      </c>
      <c r="M5161" s="21">
        <v>44012.702369328705</v>
      </c>
      <c r="N5161">
        <v>2020</v>
      </c>
      <c r="Q5161" s="262">
        <v>910000</v>
      </c>
      <c r="R5161" s="262">
        <v>501000</v>
      </c>
      <c r="S5161" t="s">
        <v>13254</v>
      </c>
      <c r="W5161">
        <v>4264</v>
      </c>
      <c r="X5161">
        <v>1</v>
      </c>
      <c r="AC5161">
        <v>4264</v>
      </c>
      <c r="AO5161">
        <v>1</v>
      </c>
      <c r="AU5161">
        <f t="shared" si="160"/>
        <v>1</v>
      </c>
      <c r="AV5161">
        <f t="shared" si="161"/>
        <v>0</v>
      </c>
    </row>
    <row r="5162" spans="1:48" x14ac:dyDescent="0.25">
      <c r="A5162" t="s">
        <v>18517</v>
      </c>
      <c r="B5162" t="s">
        <v>18517</v>
      </c>
      <c r="C5162" t="s">
        <v>18518</v>
      </c>
      <c r="D5162" t="s">
        <v>18519</v>
      </c>
      <c r="E5162" t="s">
        <v>2310</v>
      </c>
      <c r="F5162">
        <v>12</v>
      </c>
      <c r="G5162">
        <v>12.3</v>
      </c>
      <c r="H5162" t="s">
        <v>2017</v>
      </c>
      <c r="I5162" s="21">
        <v>42936.441412037035</v>
      </c>
      <c r="J5162">
        <v>2017</v>
      </c>
      <c r="K5162" s="21">
        <v>42963.551087962966</v>
      </c>
      <c r="L5162">
        <v>2017</v>
      </c>
      <c r="M5162" s="21">
        <v>43501.536071909723</v>
      </c>
      <c r="N5162">
        <v>2019</v>
      </c>
      <c r="Q5162" s="262">
        <v>1400000</v>
      </c>
      <c r="R5162" s="262">
        <v>500000</v>
      </c>
      <c r="S5162" t="s">
        <v>13254</v>
      </c>
      <c r="W5162">
        <v>4490</v>
      </c>
      <c r="X5162">
        <v>1</v>
      </c>
      <c r="AC5162">
        <v>4490</v>
      </c>
      <c r="AO5162">
        <v>1</v>
      </c>
      <c r="AU5162">
        <f t="shared" si="160"/>
        <v>1</v>
      </c>
      <c r="AV5162">
        <f t="shared" si="161"/>
        <v>0</v>
      </c>
    </row>
    <row r="5163" spans="1:48" x14ac:dyDescent="0.25">
      <c r="A5163" t="s">
        <v>18548</v>
      </c>
      <c r="B5163" t="s">
        <v>18548</v>
      </c>
      <c r="C5163" t="s">
        <v>18549</v>
      </c>
      <c r="D5163" t="s">
        <v>18550</v>
      </c>
      <c r="E5163" t="s">
        <v>2310</v>
      </c>
      <c r="F5163">
        <v>9</v>
      </c>
      <c r="G5163">
        <v>9.1</v>
      </c>
      <c r="H5163" t="s">
        <v>2323</v>
      </c>
      <c r="I5163" s="21">
        <v>42936.482152777775</v>
      </c>
      <c r="J5163">
        <v>2017</v>
      </c>
      <c r="K5163" s="21">
        <v>42972.384791666664</v>
      </c>
      <c r="L5163">
        <v>2017</v>
      </c>
      <c r="M5163" s="21">
        <v>43283.64658792824</v>
      </c>
      <c r="N5163">
        <v>2018</v>
      </c>
      <c r="Q5163" s="262">
        <v>120000</v>
      </c>
      <c r="R5163" s="262">
        <v>30000</v>
      </c>
      <c r="S5163" t="s">
        <v>13253</v>
      </c>
      <c r="T5163">
        <v>5956</v>
      </c>
      <c r="W5163">
        <v>650</v>
      </c>
      <c r="X5163">
        <v>0</v>
      </c>
      <c r="AC5163">
        <v>650</v>
      </c>
      <c r="AU5163">
        <f t="shared" si="160"/>
        <v>0</v>
      </c>
      <c r="AV5163">
        <f t="shared" si="161"/>
        <v>0</v>
      </c>
    </row>
    <row r="5164" spans="1:48" x14ac:dyDescent="0.25">
      <c r="A5164" t="s">
        <v>13620</v>
      </c>
      <c r="B5164" t="s">
        <v>13620</v>
      </c>
      <c r="C5164" t="s">
        <v>13621</v>
      </c>
      <c r="D5164" t="s">
        <v>3471</v>
      </c>
      <c r="E5164" t="s">
        <v>2310</v>
      </c>
      <c r="F5164">
        <v>7</v>
      </c>
      <c r="G5164">
        <v>7.1</v>
      </c>
      <c r="H5164" t="s">
        <v>2017</v>
      </c>
      <c r="I5164" s="21">
        <v>42936.558946759302</v>
      </c>
      <c r="J5164">
        <v>2017</v>
      </c>
      <c r="O5164" s="21">
        <v>43158.382025462997</v>
      </c>
      <c r="Q5164" s="262">
        <v>7500</v>
      </c>
      <c r="R5164" s="262">
        <v>6000</v>
      </c>
      <c r="S5164" t="s">
        <v>114</v>
      </c>
      <c r="T5164" t="s">
        <v>114</v>
      </c>
      <c r="W5164">
        <v>0</v>
      </c>
      <c r="X5164">
        <v>0</v>
      </c>
      <c r="AU5164">
        <f t="shared" si="160"/>
        <v>0</v>
      </c>
      <c r="AV5164">
        <f t="shared" si="161"/>
        <v>0</v>
      </c>
    </row>
    <row r="5165" spans="1:48" x14ac:dyDescent="0.25">
      <c r="A5165" t="s">
        <v>18668</v>
      </c>
      <c r="B5165" t="s">
        <v>18668</v>
      </c>
      <c r="C5165" t="s">
        <v>18669</v>
      </c>
      <c r="D5165" t="s">
        <v>5849</v>
      </c>
      <c r="E5165" t="s">
        <v>2310</v>
      </c>
      <c r="F5165">
        <v>14</v>
      </c>
      <c r="G5165">
        <v>14.1</v>
      </c>
      <c r="H5165" t="s">
        <v>2022</v>
      </c>
      <c r="I5165" s="21">
        <v>42937.440740740742</v>
      </c>
      <c r="J5165">
        <v>2017</v>
      </c>
      <c r="K5165" s="21">
        <v>43410.48808815972</v>
      </c>
      <c r="L5165">
        <v>2018</v>
      </c>
      <c r="M5165" s="21">
        <v>43602.361932557869</v>
      </c>
      <c r="N5165">
        <v>2019</v>
      </c>
      <c r="Q5165" s="262">
        <v>375000</v>
      </c>
      <c r="R5165" s="262">
        <v>139000</v>
      </c>
      <c r="S5165" t="s">
        <v>13254</v>
      </c>
      <c r="W5165">
        <v>2472</v>
      </c>
      <c r="X5165">
        <v>0</v>
      </c>
      <c r="AC5165">
        <v>2472</v>
      </c>
      <c r="AU5165">
        <f t="shared" si="160"/>
        <v>0</v>
      </c>
      <c r="AV5165">
        <f t="shared" si="161"/>
        <v>0</v>
      </c>
    </row>
    <row r="5166" spans="1:48" x14ac:dyDescent="0.25">
      <c r="A5166" t="s">
        <v>13622</v>
      </c>
      <c r="B5166" t="s">
        <v>13622</v>
      </c>
      <c r="C5166" t="s">
        <v>13623</v>
      </c>
      <c r="D5166" t="s">
        <v>13624</v>
      </c>
      <c r="E5166" t="s">
        <v>2310</v>
      </c>
      <c r="F5166">
        <v>9</v>
      </c>
      <c r="G5166">
        <v>9.3000000000000007</v>
      </c>
      <c r="H5166" t="s">
        <v>2323</v>
      </c>
      <c r="I5166" s="21">
        <v>42937.586238425902</v>
      </c>
      <c r="J5166">
        <v>2017</v>
      </c>
      <c r="K5166" s="21">
        <v>43200.636932870402</v>
      </c>
      <c r="L5166">
        <v>2018</v>
      </c>
      <c r="M5166" s="21">
        <v>43199.4223263889</v>
      </c>
      <c r="N5166">
        <v>2018</v>
      </c>
      <c r="Q5166" s="262">
        <v>75000</v>
      </c>
      <c r="R5166" s="262">
        <v>111000</v>
      </c>
      <c r="S5166" t="s">
        <v>114</v>
      </c>
      <c r="T5166" t="s">
        <v>114</v>
      </c>
      <c r="V5166">
        <v>1200</v>
      </c>
      <c r="W5166">
        <v>0</v>
      </c>
      <c r="X5166">
        <v>0</v>
      </c>
      <c r="AU5166">
        <f t="shared" si="160"/>
        <v>0</v>
      </c>
      <c r="AV5166">
        <f t="shared" si="161"/>
        <v>0</v>
      </c>
    </row>
    <row r="5167" spans="1:48" x14ac:dyDescent="0.25">
      <c r="A5167" t="s">
        <v>18492</v>
      </c>
      <c r="B5167" t="s">
        <v>18492</v>
      </c>
      <c r="C5167" t="s">
        <v>13284</v>
      </c>
      <c r="D5167" t="s">
        <v>7998</v>
      </c>
      <c r="E5167" t="s">
        <v>2310</v>
      </c>
      <c r="F5167">
        <v>15</v>
      </c>
      <c r="G5167">
        <v>15.2</v>
      </c>
      <c r="H5167" t="s">
        <v>2323</v>
      </c>
      <c r="I5167" s="21">
        <v>42937.619270833333</v>
      </c>
      <c r="J5167">
        <v>2017</v>
      </c>
      <c r="K5167" s="21">
        <v>42985.613032407404</v>
      </c>
      <c r="L5167">
        <v>2017</v>
      </c>
      <c r="M5167" s="21">
        <v>43475.544675659723</v>
      </c>
      <c r="N5167">
        <v>2019</v>
      </c>
      <c r="Q5167" s="262">
        <v>40000</v>
      </c>
      <c r="R5167" s="262">
        <v>40000</v>
      </c>
      <c r="S5167" t="s">
        <v>13254</v>
      </c>
      <c r="W5167">
        <v>720</v>
      </c>
      <c r="X5167">
        <v>0</v>
      </c>
      <c r="AC5167">
        <v>720</v>
      </c>
      <c r="AU5167">
        <f t="shared" si="160"/>
        <v>0</v>
      </c>
      <c r="AV5167">
        <f t="shared" si="161"/>
        <v>0</v>
      </c>
    </row>
    <row r="5168" spans="1:48" x14ac:dyDescent="0.25">
      <c r="A5168" t="s">
        <v>13625</v>
      </c>
      <c r="B5168" t="s">
        <v>13625</v>
      </c>
      <c r="C5168" t="s">
        <v>10585</v>
      </c>
      <c r="D5168" t="s">
        <v>11283</v>
      </c>
      <c r="E5168" t="s">
        <v>2310</v>
      </c>
      <c r="F5168">
        <v>14</v>
      </c>
      <c r="G5168">
        <v>14.1</v>
      </c>
      <c r="H5168" t="s">
        <v>2022</v>
      </c>
      <c r="I5168" s="21">
        <v>42942.434085648201</v>
      </c>
      <c r="J5168">
        <v>2017</v>
      </c>
      <c r="O5168" s="21">
        <v>43255.555384143503</v>
      </c>
      <c r="Q5168" s="262">
        <v>50000</v>
      </c>
      <c r="R5168" s="262">
        <v>26000</v>
      </c>
      <c r="S5168" t="s">
        <v>114</v>
      </c>
      <c r="T5168" t="s">
        <v>114</v>
      </c>
      <c r="W5168">
        <v>572</v>
      </c>
      <c r="X5168">
        <v>0</v>
      </c>
      <c r="AC5168">
        <v>572</v>
      </c>
      <c r="AU5168">
        <f t="shared" si="160"/>
        <v>0</v>
      </c>
      <c r="AV5168">
        <f t="shared" si="161"/>
        <v>0</v>
      </c>
    </row>
    <row r="5169" spans="1:48" x14ac:dyDescent="0.25">
      <c r="A5169" t="s">
        <v>19127</v>
      </c>
      <c r="B5169" t="s">
        <v>19127</v>
      </c>
      <c r="C5169" t="s">
        <v>19128</v>
      </c>
      <c r="D5169" t="s">
        <v>19129</v>
      </c>
      <c r="E5169" t="s">
        <v>2310</v>
      </c>
      <c r="F5169">
        <v>9</v>
      </c>
      <c r="G5169">
        <v>9.3000000000000007</v>
      </c>
      <c r="H5169" t="s">
        <v>2323</v>
      </c>
      <c r="I5169" s="21">
        <v>42942.563981481479</v>
      </c>
      <c r="J5169">
        <v>2017</v>
      </c>
      <c r="K5169" s="21">
        <v>43021.652858796297</v>
      </c>
      <c r="L5169">
        <v>2017</v>
      </c>
      <c r="M5169" s="21">
        <v>43787.453277233799</v>
      </c>
      <c r="N5169">
        <v>2019</v>
      </c>
      <c r="Q5169" s="262">
        <v>150000</v>
      </c>
      <c r="R5169" s="262">
        <v>112000</v>
      </c>
      <c r="S5169" t="s">
        <v>13254</v>
      </c>
      <c r="W5169">
        <v>992</v>
      </c>
      <c r="X5169">
        <v>1</v>
      </c>
      <c r="AC5169">
        <v>0</v>
      </c>
      <c r="AF5169">
        <v>992</v>
      </c>
      <c r="AR5169">
        <v>1</v>
      </c>
      <c r="AU5169">
        <f t="shared" si="160"/>
        <v>0</v>
      </c>
      <c r="AV5169">
        <f t="shared" si="161"/>
        <v>0</v>
      </c>
    </row>
    <row r="5170" spans="1:48" x14ac:dyDescent="0.25">
      <c r="A5170" t="s">
        <v>13626</v>
      </c>
      <c r="C5170" t="s">
        <v>13627</v>
      </c>
      <c r="D5170" t="s">
        <v>13628</v>
      </c>
      <c r="E5170" t="s">
        <v>1663</v>
      </c>
      <c r="F5170">
        <v>4</v>
      </c>
      <c r="G5170">
        <v>4.3</v>
      </c>
      <c r="H5170" t="s">
        <v>2327</v>
      </c>
      <c r="I5170" s="21">
        <v>42948</v>
      </c>
      <c r="J5170">
        <v>2017</v>
      </c>
      <c r="K5170" s="21">
        <v>42983</v>
      </c>
      <c r="L5170">
        <v>2017</v>
      </c>
      <c r="M5170" s="21">
        <v>44511</v>
      </c>
      <c r="N5170">
        <v>2021</v>
      </c>
      <c r="Q5170" s="262">
        <v>35000</v>
      </c>
      <c r="S5170" t="s">
        <v>114</v>
      </c>
      <c r="T5170" t="s">
        <v>114</v>
      </c>
      <c r="W5170">
        <v>0</v>
      </c>
      <c r="X5170">
        <v>0</v>
      </c>
      <c r="AU5170">
        <f t="shared" si="160"/>
        <v>0</v>
      </c>
      <c r="AV5170">
        <f t="shared" si="161"/>
        <v>0</v>
      </c>
    </row>
    <row r="5171" spans="1:48" x14ac:dyDescent="0.25">
      <c r="A5171" t="s">
        <v>18507</v>
      </c>
      <c r="B5171" t="s">
        <v>114</v>
      </c>
      <c r="C5171" t="s">
        <v>18508</v>
      </c>
      <c r="D5171" t="s">
        <v>18509</v>
      </c>
      <c r="E5171" t="s">
        <v>1663</v>
      </c>
      <c r="F5171">
        <v>3</v>
      </c>
      <c r="G5171">
        <v>3.2</v>
      </c>
      <c r="H5171" t="s">
        <v>2327</v>
      </c>
      <c r="I5171" s="21">
        <v>42948</v>
      </c>
      <c r="J5171">
        <v>2017</v>
      </c>
      <c r="K5171" s="21">
        <v>43220</v>
      </c>
      <c r="L5171">
        <v>2018</v>
      </c>
      <c r="M5171" s="21">
        <v>43496</v>
      </c>
      <c r="N5171">
        <v>2019</v>
      </c>
      <c r="Q5171" s="262">
        <v>400000</v>
      </c>
      <c r="S5171" t="s">
        <v>13254</v>
      </c>
      <c r="W5171">
        <v>2208</v>
      </c>
      <c r="X5171">
        <v>2</v>
      </c>
      <c r="AC5171">
        <v>1718</v>
      </c>
      <c r="AE5171">
        <v>490</v>
      </c>
      <c r="AO5171">
        <v>1</v>
      </c>
      <c r="AQ5171">
        <v>1</v>
      </c>
      <c r="AU5171">
        <f t="shared" si="160"/>
        <v>2</v>
      </c>
      <c r="AV5171">
        <f t="shared" si="161"/>
        <v>0</v>
      </c>
    </row>
    <row r="5172" spans="1:48" x14ac:dyDescent="0.25">
      <c r="A5172" t="s">
        <v>18912</v>
      </c>
      <c r="B5172" t="s">
        <v>114</v>
      </c>
      <c r="C5172" t="s">
        <v>18913</v>
      </c>
      <c r="D5172" t="s">
        <v>13475</v>
      </c>
      <c r="E5172" t="s">
        <v>1663</v>
      </c>
      <c r="F5172">
        <v>3</v>
      </c>
      <c r="G5172">
        <v>3.1</v>
      </c>
      <c r="H5172" t="s">
        <v>2017</v>
      </c>
      <c r="I5172" s="21">
        <v>42948</v>
      </c>
      <c r="J5172">
        <v>2017</v>
      </c>
      <c r="K5172" s="21">
        <v>42992</v>
      </c>
      <c r="L5172">
        <v>2017</v>
      </c>
      <c r="M5172" s="21">
        <v>43305</v>
      </c>
      <c r="N5172">
        <v>2018</v>
      </c>
      <c r="Q5172" s="262">
        <v>80000</v>
      </c>
      <c r="S5172" t="s">
        <v>13253</v>
      </c>
      <c r="T5172">
        <v>10065</v>
      </c>
      <c r="W5172">
        <v>320</v>
      </c>
      <c r="X5172">
        <v>0</v>
      </c>
      <c r="AC5172">
        <v>320</v>
      </c>
      <c r="AU5172">
        <f t="shared" si="160"/>
        <v>0</v>
      </c>
      <c r="AV5172">
        <f t="shared" si="161"/>
        <v>0</v>
      </c>
    </row>
    <row r="5173" spans="1:48" x14ac:dyDescent="0.25">
      <c r="A5173" t="s">
        <v>17486</v>
      </c>
      <c r="C5173" t="s">
        <v>17487</v>
      </c>
      <c r="D5173" t="s">
        <v>13169</v>
      </c>
      <c r="E5173" t="s">
        <v>1663</v>
      </c>
      <c r="F5173">
        <v>1</v>
      </c>
      <c r="G5173">
        <v>1.1000000000000001</v>
      </c>
      <c r="H5173" t="s">
        <v>2017</v>
      </c>
      <c r="I5173" s="21">
        <v>42948</v>
      </c>
      <c r="J5173">
        <v>2017</v>
      </c>
      <c r="K5173" s="21">
        <v>42991</v>
      </c>
      <c r="L5173">
        <v>2017</v>
      </c>
      <c r="M5173" s="21">
        <v>43069</v>
      </c>
      <c r="N5173">
        <v>2017</v>
      </c>
      <c r="Q5173" s="262">
        <v>82000</v>
      </c>
      <c r="S5173" t="s">
        <v>114</v>
      </c>
      <c r="T5173" t="s">
        <v>114</v>
      </c>
      <c r="W5173">
        <v>0</v>
      </c>
      <c r="X5173">
        <v>0</v>
      </c>
      <c r="AU5173">
        <f t="shared" si="160"/>
        <v>0</v>
      </c>
      <c r="AV5173">
        <f t="shared" si="161"/>
        <v>0</v>
      </c>
    </row>
    <row r="5174" spans="1:48" x14ac:dyDescent="0.25">
      <c r="A5174" t="s">
        <v>17538</v>
      </c>
      <c r="B5174" t="s">
        <v>17538</v>
      </c>
      <c r="C5174" t="s">
        <v>17539</v>
      </c>
      <c r="D5174" t="s">
        <v>2342</v>
      </c>
      <c r="E5174" t="s">
        <v>2310</v>
      </c>
      <c r="F5174">
        <v>13</v>
      </c>
      <c r="G5174">
        <v>13.1</v>
      </c>
      <c r="H5174" t="s">
        <v>2327</v>
      </c>
      <c r="I5174" s="21">
        <v>42948.428958333301</v>
      </c>
      <c r="J5174">
        <v>2017</v>
      </c>
      <c r="K5174" s="21">
        <v>42977.592395833301</v>
      </c>
      <c r="L5174">
        <v>2017</v>
      </c>
      <c r="M5174" s="21">
        <v>43074.632476851897</v>
      </c>
      <c r="N5174">
        <v>2017</v>
      </c>
      <c r="Q5174" s="262">
        <v>75000</v>
      </c>
      <c r="R5174" s="262">
        <v>61000</v>
      </c>
      <c r="S5174" t="s">
        <v>114</v>
      </c>
      <c r="T5174" t="s">
        <v>114</v>
      </c>
      <c r="V5174">
        <v>610</v>
      </c>
      <c r="W5174">
        <v>0</v>
      </c>
      <c r="X5174">
        <v>0</v>
      </c>
      <c r="AU5174">
        <f t="shared" si="160"/>
        <v>0</v>
      </c>
      <c r="AV5174">
        <f t="shared" si="161"/>
        <v>0</v>
      </c>
    </row>
    <row r="5175" spans="1:48" x14ac:dyDescent="0.25">
      <c r="A5175" t="s">
        <v>19338</v>
      </c>
      <c r="B5175" t="s">
        <v>19338</v>
      </c>
      <c r="C5175" t="s">
        <v>19339</v>
      </c>
      <c r="D5175" t="s">
        <v>19340</v>
      </c>
      <c r="E5175" t="s">
        <v>2310</v>
      </c>
      <c r="F5175">
        <v>15</v>
      </c>
      <c r="G5175">
        <v>15.3</v>
      </c>
      <c r="H5175" t="s">
        <v>2022</v>
      </c>
      <c r="I5175" s="21">
        <v>42948.468784722223</v>
      </c>
      <c r="J5175">
        <v>2017</v>
      </c>
      <c r="K5175" s="21">
        <v>42985.384548611109</v>
      </c>
      <c r="L5175">
        <v>2017</v>
      </c>
      <c r="M5175" s="21">
        <v>43979.493636493055</v>
      </c>
      <c r="N5175">
        <v>2020</v>
      </c>
      <c r="Q5175" s="262">
        <v>500000</v>
      </c>
      <c r="R5175" s="262">
        <v>41000</v>
      </c>
      <c r="S5175" t="s">
        <v>13254</v>
      </c>
      <c r="W5175">
        <v>903</v>
      </c>
      <c r="X5175">
        <v>0</v>
      </c>
      <c r="AC5175">
        <v>903</v>
      </c>
      <c r="AU5175">
        <f t="shared" si="160"/>
        <v>0</v>
      </c>
      <c r="AV5175">
        <f t="shared" si="161"/>
        <v>0</v>
      </c>
    </row>
    <row r="5176" spans="1:48" x14ac:dyDescent="0.25">
      <c r="A5176" t="s">
        <v>13633</v>
      </c>
      <c r="C5176" t="s">
        <v>13634</v>
      </c>
      <c r="D5176" t="s">
        <v>13635</v>
      </c>
      <c r="E5176" t="s">
        <v>1663</v>
      </c>
      <c r="F5176">
        <v>2</v>
      </c>
      <c r="G5176">
        <v>2.6</v>
      </c>
      <c r="H5176" t="s">
        <v>2327</v>
      </c>
      <c r="I5176" s="21">
        <v>42949</v>
      </c>
      <c r="J5176">
        <v>2017</v>
      </c>
      <c r="K5176" s="21">
        <v>43178</v>
      </c>
      <c r="L5176">
        <v>2018</v>
      </c>
      <c r="M5176" s="21">
        <v>43375</v>
      </c>
      <c r="N5176">
        <v>2018</v>
      </c>
      <c r="Q5176" s="262">
        <v>65000</v>
      </c>
      <c r="S5176" t="s">
        <v>114</v>
      </c>
      <c r="T5176" t="s">
        <v>114</v>
      </c>
      <c r="W5176">
        <v>0</v>
      </c>
      <c r="X5176">
        <v>0</v>
      </c>
      <c r="AU5176">
        <f t="shared" si="160"/>
        <v>0</v>
      </c>
      <c r="AV5176">
        <f t="shared" si="161"/>
        <v>0</v>
      </c>
    </row>
    <row r="5177" spans="1:48" x14ac:dyDescent="0.25">
      <c r="A5177" t="s">
        <v>18616</v>
      </c>
      <c r="B5177" t="s">
        <v>18616</v>
      </c>
      <c r="C5177" t="s">
        <v>18617</v>
      </c>
      <c r="D5177" t="s">
        <v>18618</v>
      </c>
      <c r="E5177" t="s">
        <v>2310</v>
      </c>
      <c r="F5177">
        <v>15</v>
      </c>
      <c r="G5177">
        <v>15.3</v>
      </c>
      <c r="H5177" t="s">
        <v>2022</v>
      </c>
      <c r="I5177" s="21">
        <v>42950.610347222224</v>
      </c>
      <c r="J5177">
        <v>2017</v>
      </c>
      <c r="K5177" s="21">
        <v>43006.412835648145</v>
      </c>
      <c r="L5177">
        <v>2017</v>
      </c>
      <c r="M5177" s="21">
        <v>43556.575538773148</v>
      </c>
      <c r="N5177">
        <v>2019</v>
      </c>
      <c r="Q5177" s="262">
        <v>850000</v>
      </c>
      <c r="R5177" s="262">
        <v>345000</v>
      </c>
      <c r="S5177" t="s">
        <v>13254</v>
      </c>
      <c r="W5177">
        <v>2870</v>
      </c>
      <c r="X5177">
        <v>1</v>
      </c>
      <c r="AC5177">
        <v>2870</v>
      </c>
      <c r="AO5177">
        <v>1</v>
      </c>
      <c r="AU5177">
        <f t="shared" si="160"/>
        <v>1</v>
      </c>
      <c r="AV5177">
        <f t="shared" si="161"/>
        <v>0</v>
      </c>
    </row>
    <row r="5178" spans="1:48" x14ac:dyDescent="0.25">
      <c r="A5178" t="s">
        <v>17911</v>
      </c>
      <c r="B5178" t="s">
        <v>17911</v>
      </c>
      <c r="C5178" t="s">
        <v>17912</v>
      </c>
      <c r="D5178" t="s">
        <v>17913</v>
      </c>
      <c r="E5178" t="s">
        <v>2310</v>
      </c>
      <c r="F5178">
        <v>12</v>
      </c>
      <c r="G5178">
        <v>12.2</v>
      </c>
      <c r="H5178" t="s">
        <v>2017</v>
      </c>
      <c r="I5178" s="21">
        <v>42951.553946759261</v>
      </c>
      <c r="J5178">
        <v>2017</v>
      </c>
      <c r="K5178" s="21">
        <v>43160.533703703702</v>
      </c>
      <c r="L5178">
        <v>2018</v>
      </c>
      <c r="M5178" s="21">
        <v>43104.663240740738</v>
      </c>
      <c r="N5178">
        <v>2018</v>
      </c>
      <c r="Q5178" s="262">
        <v>185000</v>
      </c>
      <c r="R5178" s="262">
        <v>130000</v>
      </c>
      <c r="S5178" t="s">
        <v>13254</v>
      </c>
      <c r="W5178">
        <v>1404</v>
      </c>
      <c r="X5178">
        <v>1</v>
      </c>
      <c r="AC5178">
        <v>416</v>
      </c>
      <c r="AF5178">
        <v>988</v>
      </c>
      <c r="AR5178">
        <v>1</v>
      </c>
      <c r="AU5178">
        <f t="shared" si="160"/>
        <v>0</v>
      </c>
      <c r="AV5178">
        <f t="shared" si="161"/>
        <v>0</v>
      </c>
    </row>
    <row r="5179" spans="1:48" x14ac:dyDescent="0.25">
      <c r="A5179" t="s">
        <v>17990</v>
      </c>
      <c r="B5179" t="s">
        <v>17990</v>
      </c>
      <c r="C5179" t="s">
        <v>17991</v>
      </c>
      <c r="D5179" t="s">
        <v>17913</v>
      </c>
      <c r="E5179" t="s">
        <v>2310</v>
      </c>
      <c r="F5179">
        <v>12</v>
      </c>
      <c r="G5179">
        <v>12.2</v>
      </c>
      <c r="H5179" t="s">
        <v>2017</v>
      </c>
      <c r="I5179" s="21">
        <v>42951.574282407404</v>
      </c>
      <c r="J5179">
        <v>2017</v>
      </c>
      <c r="K5179" s="21">
        <v>43160.535694444443</v>
      </c>
      <c r="L5179">
        <v>2018</v>
      </c>
      <c r="M5179" s="21">
        <v>43160.536516203705</v>
      </c>
      <c r="N5179">
        <v>2018</v>
      </c>
      <c r="Q5179" s="262">
        <v>240000</v>
      </c>
      <c r="R5179" s="262">
        <v>212000</v>
      </c>
      <c r="S5179" t="s">
        <v>13254</v>
      </c>
      <c r="W5179">
        <v>2040</v>
      </c>
      <c r="X5179">
        <v>1</v>
      </c>
      <c r="AC5179">
        <v>2040</v>
      </c>
      <c r="AO5179">
        <v>1</v>
      </c>
      <c r="AU5179">
        <f t="shared" si="160"/>
        <v>1</v>
      </c>
      <c r="AV5179">
        <f t="shared" si="161"/>
        <v>0</v>
      </c>
    </row>
    <row r="5180" spans="1:48" x14ac:dyDescent="0.25">
      <c r="A5180" t="s">
        <v>18397</v>
      </c>
      <c r="B5180" t="s">
        <v>18397</v>
      </c>
      <c r="C5180" t="s">
        <v>18398</v>
      </c>
      <c r="D5180" t="s">
        <v>18399</v>
      </c>
      <c r="E5180" t="s">
        <v>2310</v>
      </c>
      <c r="F5180">
        <v>9</v>
      </c>
      <c r="G5180">
        <v>9.3000000000000007</v>
      </c>
      <c r="H5180" t="s">
        <v>2323</v>
      </c>
      <c r="I5180" s="21">
        <v>42955.430949074071</v>
      </c>
      <c r="J5180">
        <v>2017</v>
      </c>
      <c r="K5180" s="21">
        <v>43006.503784722219</v>
      </c>
      <c r="L5180">
        <v>2017</v>
      </c>
      <c r="M5180" s="21">
        <v>43425.40732604167</v>
      </c>
      <c r="N5180">
        <v>2018</v>
      </c>
      <c r="Q5180" s="262">
        <v>1500000</v>
      </c>
      <c r="R5180" s="262">
        <v>428000</v>
      </c>
      <c r="S5180" t="s">
        <v>13254</v>
      </c>
      <c r="W5180">
        <v>3923</v>
      </c>
      <c r="X5180">
        <v>1</v>
      </c>
      <c r="AC5180">
        <v>3923</v>
      </c>
      <c r="AO5180">
        <v>1</v>
      </c>
      <c r="AU5180">
        <f t="shared" si="160"/>
        <v>1</v>
      </c>
      <c r="AV5180">
        <f t="shared" si="161"/>
        <v>0</v>
      </c>
    </row>
    <row r="5181" spans="1:48" x14ac:dyDescent="0.25">
      <c r="A5181" t="s">
        <v>18345</v>
      </c>
      <c r="B5181" t="s">
        <v>18345</v>
      </c>
      <c r="C5181" t="s">
        <v>18346</v>
      </c>
      <c r="D5181" t="s">
        <v>18344</v>
      </c>
      <c r="E5181" t="s">
        <v>2310</v>
      </c>
      <c r="F5181">
        <v>14</v>
      </c>
      <c r="G5181">
        <v>14.2</v>
      </c>
      <c r="H5181" t="s">
        <v>2017</v>
      </c>
      <c r="I5181" s="21">
        <v>42955.470254629632</v>
      </c>
      <c r="J5181">
        <v>2017</v>
      </c>
      <c r="K5181" s="21">
        <v>42996.635474537034</v>
      </c>
      <c r="L5181">
        <v>2017</v>
      </c>
      <c r="M5181" s="21">
        <v>43392.431377048611</v>
      </c>
      <c r="N5181">
        <v>2018</v>
      </c>
      <c r="Q5181" s="262">
        <v>220000</v>
      </c>
      <c r="R5181" s="262">
        <v>171000</v>
      </c>
      <c r="S5181" t="s">
        <v>13254</v>
      </c>
      <c r="W5181">
        <v>1468</v>
      </c>
      <c r="X5181">
        <v>1</v>
      </c>
      <c r="AC5181">
        <v>1468</v>
      </c>
      <c r="AO5181">
        <v>1</v>
      </c>
      <c r="AU5181">
        <f t="shared" si="160"/>
        <v>1</v>
      </c>
      <c r="AV5181">
        <f t="shared" si="161"/>
        <v>0</v>
      </c>
    </row>
    <row r="5182" spans="1:48" x14ac:dyDescent="0.25">
      <c r="A5182" t="s">
        <v>13636</v>
      </c>
      <c r="B5182" t="s">
        <v>13636</v>
      </c>
      <c r="C5182" t="s">
        <v>13637</v>
      </c>
      <c r="D5182" t="s">
        <v>13638</v>
      </c>
      <c r="E5182" t="s">
        <v>2310</v>
      </c>
      <c r="F5182">
        <v>9</v>
      </c>
      <c r="G5182">
        <v>9.1</v>
      </c>
      <c r="H5182" t="s">
        <v>2323</v>
      </c>
      <c r="I5182" s="21">
        <v>42955.555</v>
      </c>
      <c r="J5182">
        <v>2017</v>
      </c>
      <c r="O5182" s="21">
        <v>43119.590636574103</v>
      </c>
      <c r="Q5182" s="262">
        <v>7000000</v>
      </c>
      <c r="R5182" s="262">
        <v>1221000</v>
      </c>
      <c r="S5182" t="s">
        <v>114</v>
      </c>
      <c r="T5182" t="s">
        <v>114</v>
      </c>
      <c r="W5182">
        <v>8211</v>
      </c>
      <c r="X5182">
        <v>1</v>
      </c>
      <c r="AC5182">
        <v>8211</v>
      </c>
      <c r="AO5182">
        <v>1</v>
      </c>
      <c r="AU5182">
        <f t="shared" si="160"/>
        <v>1</v>
      </c>
      <c r="AV5182">
        <f t="shared" si="161"/>
        <v>0</v>
      </c>
    </row>
    <row r="5183" spans="1:48" x14ac:dyDescent="0.25">
      <c r="A5183" t="s">
        <v>13639</v>
      </c>
      <c r="B5183" t="s">
        <v>13639</v>
      </c>
      <c r="C5183" t="s">
        <v>13640</v>
      </c>
      <c r="D5183" t="s">
        <v>13638</v>
      </c>
      <c r="E5183" t="s">
        <v>2310</v>
      </c>
      <c r="F5183">
        <v>9</v>
      </c>
      <c r="G5183">
        <v>9.1</v>
      </c>
      <c r="H5183" t="s">
        <v>2323</v>
      </c>
      <c r="I5183" s="21">
        <v>42955.579212962999</v>
      </c>
      <c r="J5183">
        <v>2017</v>
      </c>
      <c r="O5183" s="21">
        <v>43119.590185185203</v>
      </c>
      <c r="Q5183" s="262">
        <v>2000000</v>
      </c>
      <c r="R5183" s="262">
        <v>167000</v>
      </c>
      <c r="S5183" t="s">
        <v>114</v>
      </c>
      <c r="T5183" t="s">
        <v>114</v>
      </c>
      <c r="W5183">
        <v>2211</v>
      </c>
      <c r="X5183">
        <v>1</v>
      </c>
      <c r="AC5183">
        <v>1212</v>
      </c>
      <c r="AF5183">
        <v>999</v>
      </c>
      <c r="AR5183">
        <v>1</v>
      </c>
      <c r="AU5183">
        <f t="shared" si="160"/>
        <v>0</v>
      </c>
      <c r="AV5183">
        <f t="shared" si="161"/>
        <v>0</v>
      </c>
    </row>
    <row r="5184" spans="1:48" x14ac:dyDescent="0.25">
      <c r="A5184" t="s">
        <v>18384</v>
      </c>
      <c r="B5184" t="s">
        <v>18384</v>
      </c>
      <c r="C5184" t="s">
        <v>18385</v>
      </c>
      <c r="D5184" t="s">
        <v>18386</v>
      </c>
      <c r="E5184" t="s">
        <v>2310</v>
      </c>
      <c r="F5184">
        <v>9</v>
      </c>
      <c r="G5184">
        <v>9.1999999999999993</v>
      </c>
      <c r="H5184" t="s">
        <v>2022</v>
      </c>
      <c r="I5184" s="21">
        <v>42956.439664351848</v>
      </c>
      <c r="J5184">
        <v>2017</v>
      </c>
      <c r="K5184" s="21">
        <v>42996.602002314816</v>
      </c>
      <c r="L5184">
        <v>2017</v>
      </c>
      <c r="M5184" s="21">
        <v>43412.581907673608</v>
      </c>
      <c r="N5184">
        <v>2018</v>
      </c>
      <c r="Q5184" s="262">
        <v>1110280</v>
      </c>
      <c r="R5184" s="262">
        <v>24000</v>
      </c>
      <c r="S5184" t="s">
        <v>13254</v>
      </c>
      <c r="W5184">
        <v>536</v>
      </c>
      <c r="X5184">
        <v>0</v>
      </c>
      <c r="AM5184">
        <v>536</v>
      </c>
      <c r="AU5184">
        <f t="shared" si="160"/>
        <v>0</v>
      </c>
      <c r="AV5184">
        <f t="shared" si="161"/>
        <v>536</v>
      </c>
    </row>
    <row r="5185" spans="1:48" x14ac:dyDescent="0.25">
      <c r="A5185" t="s">
        <v>13641</v>
      </c>
      <c r="B5185" t="s">
        <v>13641</v>
      </c>
      <c r="C5185" t="s">
        <v>13642</v>
      </c>
      <c r="D5185" t="s">
        <v>9045</v>
      </c>
      <c r="E5185" t="s">
        <v>2310</v>
      </c>
      <c r="F5185">
        <v>11</v>
      </c>
      <c r="G5185">
        <v>11.2</v>
      </c>
      <c r="H5185" t="s">
        <v>2017</v>
      </c>
      <c r="I5185" s="21">
        <v>42956.545381944401</v>
      </c>
      <c r="J5185">
        <v>2017</v>
      </c>
      <c r="Q5185" s="262">
        <v>200000</v>
      </c>
      <c r="R5185" s="262">
        <v>45000</v>
      </c>
      <c r="S5185" t="s">
        <v>114</v>
      </c>
      <c r="T5185" t="s">
        <v>114</v>
      </c>
      <c r="W5185">
        <v>434</v>
      </c>
      <c r="X5185">
        <v>0</v>
      </c>
      <c r="AC5185">
        <v>434</v>
      </c>
      <c r="AU5185">
        <f t="shared" si="160"/>
        <v>0</v>
      </c>
      <c r="AV5185">
        <f t="shared" si="161"/>
        <v>0</v>
      </c>
    </row>
    <row r="5186" spans="1:48" x14ac:dyDescent="0.25">
      <c r="A5186" t="s">
        <v>18250</v>
      </c>
      <c r="B5186" t="s">
        <v>18250</v>
      </c>
      <c r="C5186" t="s">
        <v>18251</v>
      </c>
      <c r="D5186" t="s">
        <v>18252</v>
      </c>
      <c r="E5186" t="s">
        <v>2310</v>
      </c>
      <c r="F5186">
        <v>7</v>
      </c>
      <c r="G5186">
        <v>7.1</v>
      </c>
      <c r="H5186" t="s">
        <v>2017</v>
      </c>
      <c r="I5186" s="21">
        <v>42957.44259259259</v>
      </c>
      <c r="J5186">
        <v>2017</v>
      </c>
      <c r="K5186" s="21">
        <v>43200.541377314818</v>
      </c>
      <c r="L5186">
        <v>2018</v>
      </c>
      <c r="M5186" s="21">
        <v>43343.373057372686</v>
      </c>
      <c r="N5186">
        <v>2018</v>
      </c>
      <c r="Q5186" s="262">
        <v>1700000</v>
      </c>
      <c r="R5186" s="262">
        <v>728000</v>
      </c>
      <c r="S5186" t="s">
        <v>13254</v>
      </c>
      <c r="W5186">
        <v>8325</v>
      </c>
      <c r="X5186">
        <v>5</v>
      </c>
      <c r="AE5186">
        <v>4230</v>
      </c>
      <c r="AJ5186">
        <v>420</v>
      </c>
      <c r="AL5186">
        <v>3675</v>
      </c>
      <c r="AQ5186">
        <v>5</v>
      </c>
      <c r="AU5186">
        <f t="shared" si="160"/>
        <v>5</v>
      </c>
      <c r="AV5186">
        <f t="shared" si="161"/>
        <v>4095</v>
      </c>
    </row>
    <row r="5187" spans="1:48" x14ac:dyDescent="0.25">
      <c r="A5187" t="s">
        <v>18288</v>
      </c>
      <c r="B5187" t="s">
        <v>18288</v>
      </c>
      <c r="C5187" t="s">
        <v>18289</v>
      </c>
      <c r="D5187" t="s">
        <v>18290</v>
      </c>
      <c r="E5187" t="s">
        <v>2310</v>
      </c>
      <c r="F5187">
        <v>15</v>
      </c>
      <c r="G5187">
        <v>15.2</v>
      </c>
      <c r="H5187" t="s">
        <v>2323</v>
      </c>
      <c r="I5187" s="21">
        <v>42962.572002314817</v>
      </c>
      <c r="J5187">
        <v>2017</v>
      </c>
      <c r="K5187" s="21">
        <v>43360.525110648145</v>
      </c>
      <c r="L5187">
        <v>2018</v>
      </c>
      <c r="M5187" s="21">
        <v>43362.45038263889</v>
      </c>
      <c r="N5187">
        <v>2018</v>
      </c>
      <c r="Q5187" s="262">
        <v>900000</v>
      </c>
      <c r="R5187" s="262">
        <v>220000</v>
      </c>
      <c r="S5187" t="s">
        <v>13254</v>
      </c>
      <c r="W5187">
        <v>2291</v>
      </c>
      <c r="X5187">
        <v>1</v>
      </c>
      <c r="AC5187">
        <v>2291</v>
      </c>
      <c r="AO5187">
        <v>1</v>
      </c>
      <c r="AU5187">
        <f t="shared" si="160"/>
        <v>1</v>
      </c>
      <c r="AV5187">
        <f t="shared" si="161"/>
        <v>0</v>
      </c>
    </row>
    <row r="5188" spans="1:48" x14ac:dyDescent="0.25">
      <c r="A5188" t="s">
        <v>13643</v>
      </c>
      <c r="C5188" t="s">
        <v>13644</v>
      </c>
      <c r="D5188" t="s">
        <v>13645</v>
      </c>
      <c r="E5188" t="s">
        <v>1663</v>
      </c>
      <c r="F5188">
        <v>5</v>
      </c>
      <c r="G5188">
        <v>5.5</v>
      </c>
      <c r="H5188" t="s">
        <v>2017</v>
      </c>
      <c r="I5188" s="21">
        <v>42963</v>
      </c>
      <c r="J5188">
        <v>2017</v>
      </c>
      <c r="K5188" s="21">
        <v>43073</v>
      </c>
      <c r="L5188">
        <v>2017</v>
      </c>
      <c r="P5188" s="21">
        <v>43332</v>
      </c>
      <c r="Q5188" s="262">
        <v>550000</v>
      </c>
      <c r="S5188" t="s">
        <v>114</v>
      </c>
      <c r="T5188" t="s">
        <v>114</v>
      </c>
      <c r="W5188">
        <v>300</v>
      </c>
      <c r="X5188">
        <v>0</v>
      </c>
      <c r="AC5188">
        <v>300</v>
      </c>
      <c r="AU5188">
        <f t="shared" si="160"/>
        <v>0</v>
      </c>
      <c r="AV5188">
        <f t="shared" si="161"/>
        <v>0</v>
      </c>
    </row>
    <row r="5189" spans="1:48" x14ac:dyDescent="0.25">
      <c r="A5189" t="s">
        <v>18052</v>
      </c>
      <c r="B5189" t="s">
        <v>18052</v>
      </c>
      <c r="C5189" t="s">
        <v>10589</v>
      </c>
      <c r="D5189" t="s">
        <v>5856</v>
      </c>
      <c r="E5189" t="s">
        <v>2310</v>
      </c>
      <c r="F5189">
        <v>12</v>
      </c>
      <c r="G5189">
        <v>12.3</v>
      </c>
      <c r="H5189" t="s">
        <v>2017</v>
      </c>
      <c r="I5189" s="21">
        <v>42963.439953703702</v>
      </c>
      <c r="J5189">
        <v>2017</v>
      </c>
      <c r="K5189" s="21">
        <v>43024.566076388888</v>
      </c>
      <c r="L5189">
        <v>2017</v>
      </c>
      <c r="M5189" s="21">
        <v>43206.674340277779</v>
      </c>
      <c r="N5189">
        <v>2018</v>
      </c>
      <c r="Q5189" s="262">
        <v>75000</v>
      </c>
      <c r="R5189" s="262">
        <v>17000</v>
      </c>
      <c r="S5189" t="s">
        <v>13254</v>
      </c>
      <c r="W5189">
        <v>360</v>
      </c>
      <c r="X5189">
        <v>0</v>
      </c>
      <c r="AC5189">
        <v>360</v>
      </c>
      <c r="AU5189">
        <f t="shared" si="160"/>
        <v>0</v>
      </c>
      <c r="AV5189">
        <f t="shared" si="161"/>
        <v>0</v>
      </c>
    </row>
    <row r="5190" spans="1:48" x14ac:dyDescent="0.25">
      <c r="A5190" t="s">
        <v>18899</v>
      </c>
      <c r="B5190" t="s">
        <v>18899</v>
      </c>
      <c r="C5190" t="s">
        <v>18900</v>
      </c>
      <c r="D5190" t="s">
        <v>17101</v>
      </c>
      <c r="E5190" t="s">
        <v>2310</v>
      </c>
      <c r="F5190">
        <v>9</v>
      </c>
      <c r="G5190">
        <v>9.3000000000000007</v>
      </c>
      <c r="H5190" t="s">
        <v>2323</v>
      </c>
      <c r="I5190" s="21">
        <v>42963.611064814817</v>
      </c>
      <c r="J5190">
        <v>2017</v>
      </c>
      <c r="K5190" s="21">
        <v>43014.539733796293</v>
      </c>
      <c r="L5190">
        <v>2017</v>
      </c>
      <c r="M5190" s="21">
        <v>43663.453328553238</v>
      </c>
      <c r="N5190">
        <v>2019</v>
      </c>
      <c r="Q5190" s="262">
        <v>2100000</v>
      </c>
      <c r="R5190" s="262">
        <v>636000</v>
      </c>
      <c r="S5190" t="s">
        <v>13254</v>
      </c>
      <c r="W5190">
        <v>4980</v>
      </c>
      <c r="X5190">
        <v>1</v>
      </c>
      <c r="AC5190">
        <v>4980</v>
      </c>
      <c r="AO5190">
        <v>1</v>
      </c>
      <c r="AU5190">
        <f t="shared" si="160"/>
        <v>1</v>
      </c>
      <c r="AV5190">
        <f t="shared" si="161"/>
        <v>0</v>
      </c>
    </row>
    <row r="5191" spans="1:48" x14ac:dyDescent="0.25">
      <c r="A5191" t="s">
        <v>18944</v>
      </c>
      <c r="B5191" t="s">
        <v>18944</v>
      </c>
      <c r="C5191" t="s">
        <v>18945</v>
      </c>
      <c r="D5191" t="s">
        <v>18946</v>
      </c>
      <c r="E5191" t="s">
        <v>2310</v>
      </c>
      <c r="F5191">
        <v>8</v>
      </c>
      <c r="G5191">
        <v>8.3000000000000007</v>
      </c>
      <c r="H5191" t="s">
        <v>2323</v>
      </c>
      <c r="I5191" s="21">
        <v>42964.448125000003</v>
      </c>
      <c r="J5191">
        <v>2017</v>
      </c>
      <c r="K5191" s="21">
        <v>43003.4766087963</v>
      </c>
      <c r="L5191">
        <v>2017</v>
      </c>
      <c r="M5191" s="21">
        <v>43678.372122881941</v>
      </c>
      <c r="N5191">
        <v>2019</v>
      </c>
      <c r="Q5191" s="262">
        <v>910000</v>
      </c>
      <c r="R5191" s="262">
        <v>501000</v>
      </c>
      <c r="S5191" t="s">
        <v>13254</v>
      </c>
      <c r="W5191">
        <v>4264</v>
      </c>
      <c r="X5191">
        <v>1</v>
      </c>
      <c r="AC5191">
        <v>4264</v>
      </c>
      <c r="AO5191">
        <v>1</v>
      </c>
      <c r="AU5191">
        <f t="shared" si="160"/>
        <v>1</v>
      </c>
      <c r="AV5191">
        <f t="shared" si="161"/>
        <v>0</v>
      </c>
    </row>
    <row r="5192" spans="1:48" x14ac:dyDescent="0.25">
      <c r="A5192" t="s">
        <v>19124</v>
      </c>
      <c r="B5192" t="s">
        <v>19124</v>
      </c>
      <c r="C5192" t="s">
        <v>19125</v>
      </c>
      <c r="D5192" t="s">
        <v>19126</v>
      </c>
      <c r="E5192" t="s">
        <v>2310</v>
      </c>
      <c r="F5192">
        <v>8</v>
      </c>
      <c r="G5192">
        <v>8.3000000000000007</v>
      </c>
      <c r="H5192" t="s">
        <v>2323</v>
      </c>
      <c r="I5192" s="21">
        <v>42964.469143518516</v>
      </c>
      <c r="J5192">
        <v>2017</v>
      </c>
      <c r="K5192" s="21">
        <v>43782.544229895837</v>
      </c>
      <c r="L5192">
        <v>2019</v>
      </c>
      <c r="M5192" s="21">
        <v>43782.545579166668</v>
      </c>
      <c r="N5192">
        <v>2019</v>
      </c>
      <c r="Q5192" s="262">
        <v>910000</v>
      </c>
      <c r="R5192" s="262">
        <v>501000</v>
      </c>
      <c r="S5192" t="s">
        <v>13254</v>
      </c>
      <c r="W5192">
        <v>4264</v>
      </c>
      <c r="X5192">
        <v>1</v>
      </c>
      <c r="AC5192">
        <v>4264</v>
      </c>
      <c r="AO5192">
        <v>1</v>
      </c>
      <c r="AU5192">
        <f t="shared" si="160"/>
        <v>1</v>
      </c>
      <c r="AV5192">
        <f t="shared" si="161"/>
        <v>0</v>
      </c>
    </row>
    <row r="5193" spans="1:48" x14ac:dyDescent="0.25">
      <c r="A5193" t="s">
        <v>18808</v>
      </c>
      <c r="B5193" t="s">
        <v>18808</v>
      </c>
      <c r="C5193" t="s">
        <v>18809</v>
      </c>
      <c r="D5193" t="s">
        <v>18810</v>
      </c>
      <c r="E5193" t="s">
        <v>2310</v>
      </c>
      <c r="F5193">
        <v>8</v>
      </c>
      <c r="G5193">
        <v>8.3000000000000007</v>
      </c>
      <c r="H5193" t="s">
        <v>2323</v>
      </c>
      <c r="I5193" s="21">
        <v>42964.485000000001</v>
      </c>
      <c r="J5193">
        <v>2017</v>
      </c>
      <c r="K5193" s="21">
        <v>43214.70517361111</v>
      </c>
      <c r="L5193">
        <v>2018</v>
      </c>
      <c r="M5193" s="21">
        <v>43629.625793553241</v>
      </c>
      <c r="N5193">
        <v>2019</v>
      </c>
      <c r="Q5193" s="262">
        <v>910000</v>
      </c>
      <c r="R5193" s="262">
        <v>501000</v>
      </c>
      <c r="S5193" t="s">
        <v>13254</v>
      </c>
      <c r="W5193">
        <v>4264</v>
      </c>
      <c r="X5193">
        <v>1</v>
      </c>
      <c r="AC5193">
        <v>4264</v>
      </c>
      <c r="AO5193">
        <v>1</v>
      </c>
      <c r="AU5193">
        <f t="shared" si="160"/>
        <v>1</v>
      </c>
      <c r="AV5193">
        <f t="shared" si="161"/>
        <v>0</v>
      </c>
    </row>
    <row r="5194" spans="1:48" x14ac:dyDescent="0.25">
      <c r="A5194" t="s">
        <v>19050</v>
      </c>
      <c r="B5194" t="s">
        <v>19050</v>
      </c>
      <c r="C5194" t="s">
        <v>18809</v>
      </c>
      <c r="D5194" t="s">
        <v>19051</v>
      </c>
      <c r="E5194" t="s">
        <v>2310</v>
      </c>
      <c r="F5194">
        <v>8</v>
      </c>
      <c r="G5194">
        <v>8.3000000000000007</v>
      </c>
      <c r="H5194" t="s">
        <v>2323</v>
      </c>
      <c r="I5194" s="21">
        <v>42964.49726851852</v>
      </c>
      <c r="J5194">
        <v>2017</v>
      </c>
      <c r="K5194" s="21">
        <v>43740.668654861111</v>
      </c>
      <c r="L5194">
        <v>2019</v>
      </c>
      <c r="M5194" s="21">
        <v>43735.648555706015</v>
      </c>
      <c r="N5194">
        <v>2019</v>
      </c>
      <c r="Q5194" s="262">
        <v>910000</v>
      </c>
      <c r="R5194" s="262">
        <v>501000</v>
      </c>
      <c r="S5194" t="s">
        <v>13254</v>
      </c>
      <c r="W5194">
        <v>4264</v>
      </c>
      <c r="X5194">
        <v>1</v>
      </c>
      <c r="AC5194">
        <v>4264</v>
      </c>
      <c r="AO5194">
        <v>1</v>
      </c>
      <c r="AU5194">
        <f t="shared" si="160"/>
        <v>1</v>
      </c>
      <c r="AV5194">
        <f t="shared" si="161"/>
        <v>0</v>
      </c>
    </row>
    <row r="5195" spans="1:48" x14ac:dyDescent="0.25">
      <c r="A5195" t="s">
        <v>19218</v>
      </c>
      <c r="B5195" t="s">
        <v>19218</v>
      </c>
      <c r="C5195" t="s">
        <v>19219</v>
      </c>
      <c r="D5195" t="s">
        <v>19220</v>
      </c>
      <c r="E5195" t="s">
        <v>2310</v>
      </c>
      <c r="F5195">
        <v>9</v>
      </c>
      <c r="G5195">
        <v>9.1</v>
      </c>
      <c r="H5195" t="s">
        <v>2323</v>
      </c>
      <c r="I5195" s="21">
        <v>42964.614004629628</v>
      </c>
      <c r="J5195">
        <v>2017</v>
      </c>
      <c r="K5195" s="21">
        <v>43017.439629629633</v>
      </c>
      <c r="L5195">
        <v>2017</v>
      </c>
      <c r="M5195" s="21">
        <v>43857.369187581018</v>
      </c>
      <c r="N5195">
        <v>2020</v>
      </c>
      <c r="Q5195" s="262">
        <v>3500000</v>
      </c>
      <c r="R5195" s="262">
        <v>1204000</v>
      </c>
      <c r="S5195" t="s">
        <v>13254</v>
      </c>
      <c r="W5195">
        <v>8108</v>
      </c>
      <c r="X5195">
        <v>1</v>
      </c>
      <c r="AC5195">
        <v>8108</v>
      </c>
      <c r="AO5195">
        <v>1</v>
      </c>
      <c r="AU5195">
        <f t="shared" si="160"/>
        <v>1</v>
      </c>
      <c r="AV5195">
        <f t="shared" si="161"/>
        <v>0</v>
      </c>
    </row>
    <row r="5196" spans="1:48" x14ac:dyDescent="0.25">
      <c r="A5196" t="s">
        <v>18715</v>
      </c>
      <c r="B5196" t="s">
        <v>18715</v>
      </c>
      <c r="C5196" t="s">
        <v>18716</v>
      </c>
      <c r="D5196" t="s">
        <v>1881</v>
      </c>
      <c r="E5196" t="s">
        <v>2310</v>
      </c>
      <c r="F5196">
        <v>14</v>
      </c>
      <c r="G5196">
        <v>14.3</v>
      </c>
      <c r="H5196" t="s">
        <v>2327</v>
      </c>
      <c r="I5196" s="21">
        <v>42965.54277777778</v>
      </c>
      <c r="J5196">
        <v>2017</v>
      </c>
      <c r="K5196" s="21">
        <v>42989.652060185188</v>
      </c>
      <c r="L5196">
        <v>2017</v>
      </c>
      <c r="M5196" s="21">
        <v>43322.631586111114</v>
      </c>
      <c r="N5196">
        <v>2018</v>
      </c>
      <c r="Q5196" s="262">
        <v>50000</v>
      </c>
      <c r="R5196" s="262">
        <v>93000</v>
      </c>
      <c r="S5196" t="s">
        <v>13253</v>
      </c>
      <c r="T5196">
        <v>7667</v>
      </c>
      <c r="W5196">
        <v>0</v>
      </c>
      <c r="X5196">
        <v>0</v>
      </c>
      <c r="AU5196">
        <f t="shared" si="160"/>
        <v>0</v>
      </c>
      <c r="AV5196">
        <f t="shared" si="161"/>
        <v>0</v>
      </c>
    </row>
    <row r="5197" spans="1:48" x14ac:dyDescent="0.25">
      <c r="A5197" t="s">
        <v>13646</v>
      </c>
      <c r="B5197" t="s">
        <v>13646</v>
      </c>
      <c r="C5197" t="s">
        <v>13647</v>
      </c>
      <c r="D5197" t="s">
        <v>13648</v>
      </c>
      <c r="E5197" t="s">
        <v>2310</v>
      </c>
      <c r="F5197">
        <v>13</v>
      </c>
      <c r="G5197">
        <v>13.1</v>
      </c>
      <c r="H5197" t="s">
        <v>2327</v>
      </c>
      <c r="I5197" s="21">
        <v>42969.4387615741</v>
      </c>
      <c r="J5197">
        <v>2017</v>
      </c>
      <c r="K5197" s="21">
        <v>43003.597905092603</v>
      </c>
      <c r="L5197">
        <v>2017</v>
      </c>
      <c r="M5197" s="21">
        <v>43234.463278703697</v>
      </c>
      <c r="N5197">
        <v>2018</v>
      </c>
      <c r="Q5197" s="262">
        <v>235000</v>
      </c>
      <c r="R5197" s="262">
        <v>553000</v>
      </c>
      <c r="S5197" t="s">
        <v>114</v>
      </c>
      <c r="T5197" t="s">
        <v>114</v>
      </c>
      <c r="V5197">
        <v>5616</v>
      </c>
      <c r="W5197">
        <v>0</v>
      </c>
      <c r="X5197">
        <v>0</v>
      </c>
      <c r="AU5197">
        <f t="shared" si="160"/>
        <v>0</v>
      </c>
      <c r="AV5197">
        <f t="shared" si="161"/>
        <v>0</v>
      </c>
    </row>
    <row r="5198" spans="1:48" x14ac:dyDescent="0.25">
      <c r="A5198" t="s">
        <v>18366</v>
      </c>
      <c r="B5198" t="s">
        <v>18366</v>
      </c>
      <c r="C5198" t="s">
        <v>18367</v>
      </c>
      <c r="D5198" t="s">
        <v>10375</v>
      </c>
      <c r="E5198" t="s">
        <v>2310</v>
      </c>
      <c r="F5198">
        <v>15</v>
      </c>
      <c r="G5198">
        <v>15.1</v>
      </c>
      <c r="H5198" t="s">
        <v>2022</v>
      </c>
      <c r="I5198" s="21">
        <v>42969.605486111112</v>
      </c>
      <c r="J5198">
        <v>2017</v>
      </c>
      <c r="K5198" s="21">
        <v>43018.632199074076</v>
      </c>
      <c r="L5198">
        <v>2017</v>
      </c>
      <c r="M5198" s="21">
        <v>43403.654952858793</v>
      </c>
      <c r="N5198">
        <v>2018</v>
      </c>
      <c r="Q5198" s="262">
        <v>75000</v>
      </c>
      <c r="R5198" s="262">
        <v>0</v>
      </c>
      <c r="S5198" t="s">
        <v>13254</v>
      </c>
      <c r="W5198">
        <v>4320</v>
      </c>
      <c r="X5198">
        <v>0</v>
      </c>
      <c r="AC5198">
        <v>4320</v>
      </c>
      <c r="AU5198">
        <f t="shared" si="160"/>
        <v>0</v>
      </c>
      <c r="AV5198">
        <f t="shared" si="161"/>
        <v>0</v>
      </c>
    </row>
    <row r="5199" spans="1:48" x14ac:dyDescent="0.25">
      <c r="A5199" t="s">
        <v>19241</v>
      </c>
      <c r="B5199" t="s">
        <v>19241</v>
      </c>
      <c r="C5199" t="s">
        <v>19242</v>
      </c>
      <c r="D5199" t="s">
        <v>19243</v>
      </c>
      <c r="E5199" t="s">
        <v>2310</v>
      </c>
      <c r="F5199">
        <v>9</v>
      </c>
      <c r="G5199">
        <v>9.1999999999999993</v>
      </c>
      <c r="H5199" t="s">
        <v>2022</v>
      </c>
      <c r="I5199" s="21">
        <v>42969.626863425925</v>
      </c>
      <c r="J5199">
        <v>2017</v>
      </c>
      <c r="K5199" s="21">
        <v>43637.385935451392</v>
      </c>
      <c r="L5199">
        <v>2019</v>
      </c>
      <c r="M5199" s="21">
        <v>43879.386762812501</v>
      </c>
      <c r="N5199">
        <v>2020</v>
      </c>
      <c r="Q5199" s="262">
        <v>1900000</v>
      </c>
      <c r="R5199" s="262">
        <v>1409000</v>
      </c>
      <c r="S5199" t="s">
        <v>13254</v>
      </c>
      <c r="W5199">
        <v>9707</v>
      </c>
      <c r="X5199">
        <v>1</v>
      </c>
      <c r="AC5199">
        <v>9707</v>
      </c>
      <c r="AO5199">
        <v>1</v>
      </c>
      <c r="AU5199">
        <f t="shared" si="160"/>
        <v>1</v>
      </c>
      <c r="AV5199">
        <f t="shared" si="161"/>
        <v>0</v>
      </c>
    </row>
    <row r="5200" spans="1:48" x14ac:dyDescent="0.25">
      <c r="A5200" t="s">
        <v>18916</v>
      </c>
      <c r="B5200" t="s">
        <v>18916</v>
      </c>
      <c r="C5200" t="s">
        <v>18917</v>
      </c>
      <c r="D5200" t="s">
        <v>18918</v>
      </c>
      <c r="E5200" t="s">
        <v>2310</v>
      </c>
      <c r="F5200">
        <v>13</v>
      </c>
      <c r="G5200">
        <v>13.2</v>
      </c>
      <c r="H5200" t="s">
        <v>2327</v>
      </c>
      <c r="I5200" s="21">
        <v>42971.487280092595</v>
      </c>
      <c r="J5200">
        <v>2017</v>
      </c>
      <c r="K5200" s="21">
        <v>43032.646296296298</v>
      </c>
      <c r="L5200">
        <v>2017</v>
      </c>
      <c r="M5200" s="21">
        <v>43672.469471064818</v>
      </c>
      <c r="N5200">
        <v>2019</v>
      </c>
      <c r="Q5200" s="262">
        <v>5500000</v>
      </c>
      <c r="R5200" s="262">
        <v>766000</v>
      </c>
      <c r="S5200" t="s">
        <v>13254</v>
      </c>
      <c r="W5200">
        <v>5932</v>
      </c>
      <c r="X5200">
        <v>1</v>
      </c>
      <c r="AC5200">
        <v>5932</v>
      </c>
      <c r="AO5200">
        <v>1</v>
      </c>
      <c r="AU5200">
        <f t="shared" si="160"/>
        <v>1</v>
      </c>
      <c r="AV5200">
        <f t="shared" si="161"/>
        <v>0</v>
      </c>
    </row>
    <row r="5201" spans="1:48" x14ac:dyDescent="0.25">
      <c r="A5201" t="s">
        <v>18476</v>
      </c>
      <c r="B5201" t="s">
        <v>18476</v>
      </c>
      <c r="C5201" t="s">
        <v>18477</v>
      </c>
      <c r="D5201" t="s">
        <v>18478</v>
      </c>
      <c r="E5201" t="s">
        <v>2310</v>
      </c>
      <c r="F5201">
        <v>9</v>
      </c>
      <c r="G5201">
        <v>9.1</v>
      </c>
      <c r="H5201" t="s">
        <v>2323</v>
      </c>
      <c r="I5201" s="21">
        <v>42971.618449074071</v>
      </c>
      <c r="J5201">
        <v>2017</v>
      </c>
      <c r="K5201" s="21">
        <v>43273.635011886574</v>
      </c>
      <c r="L5201">
        <v>2018</v>
      </c>
      <c r="M5201" s="21">
        <v>43467.428210532409</v>
      </c>
      <c r="N5201">
        <v>2019</v>
      </c>
      <c r="Q5201" s="262">
        <v>100000</v>
      </c>
      <c r="R5201" s="262">
        <v>58000</v>
      </c>
      <c r="S5201" t="s">
        <v>13254</v>
      </c>
      <c r="W5201">
        <v>1296</v>
      </c>
      <c r="X5201">
        <v>0</v>
      </c>
      <c r="AC5201">
        <v>1296</v>
      </c>
      <c r="AU5201">
        <f t="shared" si="160"/>
        <v>0</v>
      </c>
      <c r="AV5201">
        <f t="shared" si="161"/>
        <v>0</v>
      </c>
    </row>
    <row r="5202" spans="1:48" x14ac:dyDescent="0.25">
      <c r="A5202" t="s">
        <v>13649</v>
      </c>
      <c r="C5202" t="s">
        <v>13650</v>
      </c>
      <c r="D5202" t="s">
        <v>3130</v>
      </c>
      <c r="E5202" t="s">
        <v>1663</v>
      </c>
      <c r="F5202">
        <v>6</v>
      </c>
      <c r="G5202">
        <v>6.1</v>
      </c>
      <c r="H5202" t="s">
        <v>2017</v>
      </c>
      <c r="I5202" s="21">
        <v>42975</v>
      </c>
      <c r="J5202">
        <v>2017</v>
      </c>
      <c r="K5202" s="21">
        <v>43028</v>
      </c>
      <c r="L5202">
        <v>2017</v>
      </c>
      <c r="P5202" s="21">
        <v>43267</v>
      </c>
      <c r="Q5202" s="262">
        <v>90000</v>
      </c>
      <c r="S5202" t="s">
        <v>114</v>
      </c>
      <c r="T5202" t="s">
        <v>114</v>
      </c>
      <c r="W5202">
        <v>0</v>
      </c>
      <c r="X5202">
        <v>0</v>
      </c>
      <c r="AU5202">
        <f t="shared" si="160"/>
        <v>0</v>
      </c>
      <c r="AV5202">
        <f t="shared" si="161"/>
        <v>0</v>
      </c>
    </row>
    <row r="5203" spans="1:48" x14ac:dyDescent="0.25">
      <c r="A5203" t="s">
        <v>13651</v>
      </c>
      <c r="C5203" t="s">
        <v>13652</v>
      </c>
      <c r="D5203" t="s">
        <v>13653</v>
      </c>
      <c r="E5203" t="s">
        <v>1663</v>
      </c>
      <c r="F5203">
        <v>6</v>
      </c>
      <c r="G5203">
        <v>6.1</v>
      </c>
      <c r="H5203" t="s">
        <v>2017</v>
      </c>
      <c r="I5203" s="21">
        <v>42976</v>
      </c>
      <c r="J5203">
        <v>2017</v>
      </c>
      <c r="M5203" s="21">
        <v>43663</v>
      </c>
      <c r="N5203">
        <v>2019</v>
      </c>
      <c r="Q5203" s="262">
        <v>7500</v>
      </c>
      <c r="S5203" t="s">
        <v>114</v>
      </c>
      <c r="T5203" t="s">
        <v>114</v>
      </c>
      <c r="W5203">
        <v>192</v>
      </c>
      <c r="X5203">
        <v>0</v>
      </c>
      <c r="AC5203">
        <v>192</v>
      </c>
      <c r="AU5203">
        <f t="shared" si="160"/>
        <v>0</v>
      </c>
      <c r="AV5203">
        <f t="shared" si="161"/>
        <v>0</v>
      </c>
    </row>
    <row r="5204" spans="1:48" x14ac:dyDescent="0.25">
      <c r="A5204" t="s">
        <v>18626</v>
      </c>
      <c r="B5204" t="s">
        <v>18626</v>
      </c>
      <c r="C5204" t="s">
        <v>18627</v>
      </c>
      <c r="D5204" t="s">
        <v>18628</v>
      </c>
      <c r="E5204" t="s">
        <v>2310</v>
      </c>
      <c r="F5204">
        <v>8</v>
      </c>
      <c r="G5204">
        <v>8.3000000000000007</v>
      </c>
      <c r="H5204" t="s">
        <v>2323</v>
      </c>
      <c r="I5204" s="21">
        <v>42976.457754629628</v>
      </c>
      <c r="J5204">
        <v>2017</v>
      </c>
      <c r="K5204" s="21">
        <v>43024.679212962961</v>
      </c>
      <c r="L5204">
        <v>2017</v>
      </c>
      <c r="M5204" s="21">
        <v>43570.668605752318</v>
      </c>
      <c r="N5204">
        <v>2019</v>
      </c>
      <c r="Q5204" s="262">
        <v>910000</v>
      </c>
      <c r="R5204" s="262">
        <v>303000</v>
      </c>
      <c r="S5204" t="s">
        <v>13254</v>
      </c>
      <c r="W5204">
        <v>2623</v>
      </c>
      <c r="X5204">
        <v>1</v>
      </c>
      <c r="AC5204">
        <v>2623</v>
      </c>
      <c r="AO5204">
        <v>1</v>
      </c>
      <c r="AU5204">
        <f t="shared" si="160"/>
        <v>1</v>
      </c>
      <c r="AV5204">
        <f t="shared" si="161"/>
        <v>0</v>
      </c>
    </row>
    <row r="5205" spans="1:48" x14ac:dyDescent="0.25">
      <c r="A5205" t="s">
        <v>18629</v>
      </c>
      <c r="B5205" t="s">
        <v>18629</v>
      </c>
      <c r="C5205" t="s">
        <v>18630</v>
      </c>
      <c r="D5205" t="s">
        <v>18628</v>
      </c>
      <c r="E5205" t="s">
        <v>2310</v>
      </c>
      <c r="F5205">
        <v>8</v>
      </c>
      <c r="G5205">
        <v>8.3000000000000007</v>
      </c>
      <c r="H5205" t="s">
        <v>2323</v>
      </c>
      <c r="I5205" s="21">
        <v>42976.470706018517</v>
      </c>
      <c r="J5205">
        <v>2017</v>
      </c>
      <c r="K5205" s="21">
        <v>43350.42596443287</v>
      </c>
      <c r="L5205">
        <v>2018</v>
      </c>
      <c r="M5205" s="21">
        <v>43570.680342013889</v>
      </c>
      <c r="N5205">
        <v>2019</v>
      </c>
      <c r="Q5205" s="262">
        <v>910000</v>
      </c>
      <c r="R5205" s="262">
        <v>28000</v>
      </c>
      <c r="S5205" t="s">
        <v>13254</v>
      </c>
      <c r="W5205">
        <v>613</v>
      </c>
      <c r="X5205">
        <v>0</v>
      </c>
      <c r="AC5205">
        <v>613</v>
      </c>
      <c r="AU5205">
        <f t="shared" si="160"/>
        <v>0</v>
      </c>
      <c r="AV5205">
        <f t="shared" si="161"/>
        <v>0</v>
      </c>
    </row>
    <row r="5206" spans="1:48" x14ac:dyDescent="0.25">
      <c r="A5206" t="s">
        <v>18569</v>
      </c>
      <c r="B5206" t="s">
        <v>18569</v>
      </c>
      <c r="C5206" t="s">
        <v>18570</v>
      </c>
      <c r="D5206" t="s">
        <v>18571</v>
      </c>
      <c r="E5206" t="s">
        <v>2310</v>
      </c>
      <c r="F5206">
        <v>8</v>
      </c>
      <c r="G5206">
        <v>8.3000000000000007</v>
      </c>
      <c r="H5206" t="s">
        <v>2323</v>
      </c>
      <c r="I5206" s="21">
        <v>42976.479872685188</v>
      </c>
      <c r="J5206">
        <v>2017</v>
      </c>
      <c r="K5206" s="21">
        <v>43024.673622685186</v>
      </c>
      <c r="L5206">
        <v>2017</v>
      </c>
      <c r="M5206" s="21">
        <v>43532.419463541664</v>
      </c>
      <c r="N5206">
        <v>2019</v>
      </c>
      <c r="Q5206" s="262">
        <v>910000</v>
      </c>
      <c r="R5206" s="262">
        <v>303000</v>
      </c>
      <c r="S5206" t="s">
        <v>13254</v>
      </c>
      <c r="W5206">
        <v>2623</v>
      </c>
      <c r="X5206">
        <v>1</v>
      </c>
      <c r="AC5206">
        <v>2623</v>
      </c>
      <c r="AO5206">
        <v>1</v>
      </c>
      <c r="AU5206">
        <f t="shared" si="160"/>
        <v>1</v>
      </c>
      <c r="AV5206">
        <f t="shared" si="161"/>
        <v>0</v>
      </c>
    </row>
    <row r="5207" spans="1:48" x14ac:dyDescent="0.25">
      <c r="A5207" t="s">
        <v>18572</v>
      </c>
      <c r="B5207" t="s">
        <v>18572</v>
      </c>
      <c r="C5207" t="s">
        <v>18573</v>
      </c>
      <c r="D5207" t="s">
        <v>18571</v>
      </c>
      <c r="E5207" t="s">
        <v>2310</v>
      </c>
      <c r="F5207">
        <v>8</v>
      </c>
      <c r="G5207">
        <v>8.3000000000000007</v>
      </c>
      <c r="H5207" t="s">
        <v>2323</v>
      </c>
      <c r="I5207" s="21">
        <v>42976.490729166668</v>
      </c>
      <c r="J5207">
        <v>2017</v>
      </c>
      <c r="K5207" s="21">
        <v>43283.686386458336</v>
      </c>
      <c r="L5207">
        <v>2018</v>
      </c>
      <c r="M5207" s="21">
        <v>43535.353601539355</v>
      </c>
      <c r="N5207">
        <v>2019</v>
      </c>
      <c r="Q5207" s="262">
        <v>910000</v>
      </c>
      <c r="R5207" s="262">
        <v>28000</v>
      </c>
      <c r="S5207" t="s">
        <v>13254</v>
      </c>
      <c r="W5207">
        <v>613</v>
      </c>
      <c r="X5207">
        <v>0</v>
      </c>
      <c r="AC5207">
        <v>613</v>
      </c>
      <c r="AU5207">
        <f t="shared" si="160"/>
        <v>0</v>
      </c>
      <c r="AV5207">
        <f t="shared" si="161"/>
        <v>0</v>
      </c>
    </row>
    <row r="5208" spans="1:48" x14ac:dyDescent="0.25">
      <c r="A5208" t="s">
        <v>18652</v>
      </c>
      <c r="B5208" t="s">
        <v>18652</v>
      </c>
      <c r="C5208" t="s">
        <v>18653</v>
      </c>
      <c r="D5208" t="s">
        <v>18654</v>
      </c>
      <c r="E5208" t="s">
        <v>2310</v>
      </c>
      <c r="F5208">
        <v>8</v>
      </c>
      <c r="G5208">
        <v>8.3000000000000007</v>
      </c>
      <c r="H5208" t="s">
        <v>2323</v>
      </c>
      <c r="I5208" s="21">
        <v>42976.500023148146</v>
      </c>
      <c r="J5208">
        <v>2017</v>
      </c>
      <c r="K5208" s="21">
        <v>43024.668402777781</v>
      </c>
      <c r="L5208">
        <v>2017</v>
      </c>
      <c r="M5208" s="21">
        <v>43594.37366809028</v>
      </c>
      <c r="N5208">
        <v>2019</v>
      </c>
      <c r="Q5208" s="262">
        <v>910000</v>
      </c>
      <c r="R5208" s="262">
        <v>303000</v>
      </c>
      <c r="S5208" t="s">
        <v>13254</v>
      </c>
      <c r="W5208">
        <v>2623</v>
      </c>
      <c r="X5208">
        <v>1</v>
      </c>
      <c r="AC5208">
        <v>2623</v>
      </c>
      <c r="AO5208">
        <v>1</v>
      </c>
      <c r="AU5208">
        <f t="shared" si="160"/>
        <v>1</v>
      </c>
      <c r="AV5208">
        <f t="shared" si="161"/>
        <v>0</v>
      </c>
    </row>
    <row r="5209" spans="1:48" x14ac:dyDescent="0.25">
      <c r="A5209" t="s">
        <v>18655</v>
      </c>
      <c r="B5209" t="s">
        <v>18655</v>
      </c>
      <c r="C5209" t="s">
        <v>18573</v>
      </c>
      <c r="D5209" t="s">
        <v>18654</v>
      </c>
      <c r="E5209" t="s">
        <v>2310</v>
      </c>
      <c r="F5209">
        <v>8</v>
      </c>
      <c r="G5209">
        <v>8.3000000000000007</v>
      </c>
      <c r="H5209" t="s">
        <v>2323</v>
      </c>
      <c r="I5209" s="21">
        <v>42976.508009259262</v>
      </c>
      <c r="J5209">
        <v>2017</v>
      </c>
      <c r="K5209" s="21">
        <v>43350.431624155091</v>
      </c>
      <c r="L5209">
        <v>2018</v>
      </c>
      <c r="M5209" s="21">
        <v>43594.377279050925</v>
      </c>
      <c r="N5209">
        <v>2019</v>
      </c>
      <c r="Q5209" s="262">
        <v>910000</v>
      </c>
      <c r="R5209" s="262">
        <v>28000</v>
      </c>
      <c r="S5209" t="s">
        <v>13254</v>
      </c>
      <c r="W5209">
        <v>613</v>
      </c>
      <c r="X5209">
        <v>0</v>
      </c>
      <c r="AC5209">
        <v>613</v>
      </c>
      <c r="AU5209">
        <f t="shared" ref="AU5209:AU5272" si="162">SUM(AN5209:AQ5209,AS5209)</f>
        <v>0</v>
      </c>
      <c r="AV5209">
        <f t="shared" ref="AV5209:AV5272" si="163">SUM(Y5209:AB5209,AH5209:AM5209)</f>
        <v>0</v>
      </c>
    </row>
    <row r="5210" spans="1:48" x14ac:dyDescent="0.25">
      <c r="A5210" t="s">
        <v>18575</v>
      </c>
      <c r="B5210" t="s">
        <v>18575</v>
      </c>
      <c r="C5210" t="s">
        <v>18576</v>
      </c>
      <c r="D5210" t="s">
        <v>18577</v>
      </c>
      <c r="E5210" t="s">
        <v>2310</v>
      </c>
      <c r="F5210">
        <v>8</v>
      </c>
      <c r="G5210">
        <v>8.3000000000000007</v>
      </c>
      <c r="H5210" t="s">
        <v>2323</v>
      </c>
      <c r="I5210" s="21">
        <v>42976.519282407404</v>
      </c>
      <c r="J5210">
        <v>2017</v>
      </c>
      <c r="K5210" s="21">
        <v>43024.661539351851</v>
      </c>
      <c r="L5210">
        <v>2017</v>
      </c>
      <c r="M5210" s="21">
        <v>43535.358544560186</v>
      </c>
      <c r="N5210">
        <v>2019</v>
      </c>
      <c r="Q5210" s="262">
        <v>910000</v>
      </c>
      <c r="R5210" s="262">
        <v>303000</v>
      </c>
      <c r="S5210" t="s">
        <v>13254</v>
      </c>
      <c r="W5210">
        <v>2623</v>
      </c>
      <c r="X5210">
        <v>1</v>
      </c>
      <c r="AC5210">
        <v>2623</v>
      </c>
      <c r="AO5210">
        <v>1</v>
      </c>
      <c r="AU5210">
        <f t="shared" si="162"/>
        <v>1</v>
      </c>
      <c r="AV5210">
        <f t="shared" si="163"/>
        <v>0</v>
      </c>
    </row>
    <row r="5211" spans="1:48" x14ac:dyDescent="0.25">
      <c r="A5211" t="s">
        <v>18578</v>
      </c>
      <c r="B5211" t="s">
        <v>18578</v>
      </c>
      <c r="C5211" t="s">
        <v>18573</v>
      </c>
      <c r="D5211" t="s">
        <v>18577</v>
      </c>
      <c r="E5211" t="s">
        <v>2310</v>
      </c>
      <c r="F5211">
        <v>8</v>
      </c>
      <c r="G5211">
        <v>8.3000000000000007</v>
      </c>
      <c r="H5211" t="s">
        <v>2323</v>
      </c>
      <c r="I5211" s="21">
        <v>42976.52579861111</v>
      </c>
      <c r="J5211">
        <v>2017</v>
      </c>
      <c r="K5211" s="21">
        <v>43283.688089432871</v>
      </c>
      <c r="L5211">
        <v>2018</v>
      </c>
      <c r="M5211" s="21">
        <v>43535.359846840278</v>
      </c>
      <c r="N5211">
        <v>2019</v>
      </c>
      <c r="Q5211" s="262">
        <v>910000</v>
      </c>
      <c r="R5211" s="262">
        <v>28000</v>
      </c>
      <c r="S5211" t="s">
        <v>13254</v>
      </c>
      <c r="W5211">
        <v>613</v>
      </c>
      <c r="X5211">
        <v>0</v>
      </c>
      <c r="AC5211">
        <v>613</v>
      </c>
      <c r="AU5211">
        <f t="shared" si="162"/>
        <v>0</v>
      </c>
      <c r="AV5211">
        <f t="shared" si="163"/>
        <v>0</v>
      </c>
    </row>
    <row r="5212" spans="1:48" x14ac:dyDescent="0.25">
      <c r="A5212" t="s">
        <v>18649</v>
      </c>
      <c r="B5212" t="s">
        <v>18649</v>
      </c>
      <c r="C5212" t="s">
        <v>18576</v>
      </c>
      <c r="D5212" t="s">
        <v>18650</v>
      </c>
      <c r="E5212" t="s">
        <v>2310</v>
      </c>
      <c r="F5212">
        <v>8</v>
      </c>
      <c r="G5212">
        <v>8.3000000000000007</v>
      </c>
      <c r="H5212" t="s">
        <v>2323</v>
      </c>
      <c r="I5212" s="21">
        <v>42976.53670138889</v>
      </c>
      <c r="J5212">
        <v>2017</v>
      </c>
      <c r="K5212" s="21">
        <v>43024.655856481484</v>
      </c>
      <c r="L5212">
        <v>2017</v>
      </c>
      <c r="M5212" s="21">
        <v>43593.471208252318</v>
      </c>
      <c r="N5212">
        <v>2019</v>
      </c>
      <c r="Q5212" s="262">
        <v>910000</v>
      </c>
      <c r="R5212" s="262">
        <v>303000</v>
      </c>
      <c r="S5212" t="s">
        <v>13254</v>
      </c>
      <c r="W5212">
        <v>2623</v>
      </c>
      <c r="X5212">
        <v>1</v>
      </c>
      <c r="AC5212">
        <v>2623</v>
      </c>
      <c r="AO5212">
        <v>1</v>
      </c>
      <c r="AU5212">
        <f t="shared" si="162"/>
        <v>1</v>
      </c>
      <c r="AV5212">
        <f t="shared" si="163"/>
        <v>0</v>
      </c>
    </row>
    <row r="5213" spans="1:48" x14ac:dyDescent="0.25">
      <c r="A5213" t="s">
        <v>18651</v>
      </c>
      <c r="B5213" t="s">
        <v>18651</v>
      </c>
      <c r="C5213" t="s">
        <v>17875</v>
      </c>
      <c r="D5213" t="s">
        <v>18650</v>
      </c>
      <c r="E5213" t="s">
        <v>2310</v>
      </c>
      <c r="F5213">
        <v>8</v>
      </c>
      <c r="G5213">
        <v>8.3000000000000007</v>
      </c>
      <c r="H5213" t="s">
        <v>2323</v>
      </c>
      <c r="I5213" s="21">
        <v>42976.541851851849</v>
      </c>
      <c r="J5213">
        <v>2017</v>
      </c>
      <c r="K5213" s="21">
        <v>43350.413891284719</v>
      </c>
      <c r="L5213">
        <v>2018</v>
      </c>
      <c r="M5213" s="21">
        <v>43593.472783912039</v>
      </c>
      <c r="N5213">
        <v>2019</v>
      </c>
      <c r="Q5213" s="262">
        <v>910000</v>
      </c>
      <c r="R5213" s="262">
        <v>28000</v>
      </c>
      <c r="S5213" t="s">
        <v>13254</v>
      </c>
      <c r="W5213">
        <v>613</v>
      </c>
      <c r="X5213">
        <v>0</v>
      </c>
      <c r="AC5213">
        <v>613</v>
      </c>
      <c r="AU5213">
        <f t="shared" si="162"/>
        <v>0</v>
      </c>
      <c r="AV5213">
        <f t="shared" si="163"/>
        <v>0</v>
      </c>
    </row>
    <row r="5214" spans="1:48" x14ac:dyDescent="0.25">
      <c r="A5214" t="s">
        <v>18371</v>
      </c>
      <c r="B5214" t="s">
        <v>18371</v>
      </c>
      <c r="C5214" t="s">
        <v>18372</v>
      </c>
      <c r="D5214" t="s">
        <v>18373</v>
      </c>
      <c r="E5214" t="s">
        <v>2310</v>
      </c>
      <c r="F5214">
        <v>8</v>
      </c>
      <c r="G5214">
        <v>8.3000000000000007</v>
      </c>
      <c r="H5214" t="s">
        <v>2323</v>
      </c>
      <c r="I5214" s="21">
        <v>42976.549675925926</v>
      </c>
      <c r="J5214">
        <v>2017</v>
      </c>
      <c r="K5214" s="21">
        <v>43024.649004629631</v>
      </c>
      <c r="L5214">
        <v>2017</v>
      </c>
      <c r="M5214" s="21">
        <v>43406.363248148147</v>
      </c>
      <c r="N5214">
        <v>2018</v>
      </c>
      <c r="Q5214" s="262">
        <v>910000</v>
      </c>
      <c r="R5214" s="262">
        <v>303000</v>
      </c>
      <c r="S5214" t="s">
        <v>13254</v>
      </c>
      <c r="W5214">
        <v>2623</v>
      </c>
      <c r="X5214">
        <v>1</v>
      </c>
      <c r="AC5214">
        <v>2623</v>
      </c>
      <c r="AO5214">
        <v>1</v>
      </c>
      <c r="AU5214">
        <f t="shared" si="162"/>
        <v>1</v>
      </c>
      <c r="AV5214">
        <f t="shared" si="163"/>
        <v>0</v>
      </c>
    </row>
    <row r="5215" spans="1:48" x14ac:dyDescent="0.25">
      <c r="A5215" t="s">
        <v>18574</v>
      </c>
      <c r="B5215" t="s">
        <v>18574</v>
      </c>
      <c r="C5215" t="s">
        <v>18573</v>
      </c>
      <c r="D5215" t="s">
        <v>18373</v>
      </c>
      <c r="E5215" t="s">
        <v>2310</v>
      </c>
      <c r="F5215">
        <v>8</v>
      </c>
      <c r="G5215">
        <v>8.3000000000000007</v>
      </c>
      <c r="H5215" t="s">
        <v>2323</v>
      </c>
      <c r="I5215" s="21">
        <v>42976.553356481483</v>
      </c>
      <c r="J5215">
        <v>2017</v>
      </c>
      <c r="K5215" s="21">
        <v>43354.479652974536</v>
      </c>
      <c r="L5215">
        <v>2018</v>
      </c>
      <c r="M5215" s="21">
        <v>43535.356535567131</v>
      </c>
      <c r="N5215">
        <v>2019</v>
      </c>
      <c r="Q5215" s="262">
        <v>910000</v>
      </c>
      <c r="R5215" s="262">
        <v>28000</v>
      </c>
      <c r="S5215" t="s">
        <v>13254</v>
      </c>
      <c r="W5215">
        <v>613</v>
      </c>
      <c r="X5215">
        <v>0</v>
      </c>
      <c r="AC5215">
        <v>613</v>
      </c>
      <c r="AU5215">
        <f t="shared" si="162"/>
        <v>0</v>
      </c>
      <c r="AV5215">
        <f t="shared" si="163"/>
        <v>0</v>
      </c>
    </row>
    <row r="5216" spans="1:48" x14ac:dyDescent="0.25">
      <c r="A5216" t="s">
        <v>17488</v>
      </c>
      <c r="C5216" t="s">
        <v>17489</v>
      </c>
      <c r="D5216" t="s">
        <v>13765</v>
      </c>
      <c r="E5216" t="s">
        <v>1663</v>
      </c>
      <c r="F5216">
        <v>6</v>
      </c>
      <c r="G5216">
        <v>6.1</v>
      </c>
      <c r="H5216" t="s">
        <v>2017</v>
      </c>
      <c r="I5216" s="21">
        <v>42977</v>
      </c>
      <c r="J5216">
        <v>2017</v>
      </c>
      <c r="K5216" s="21">
        <v>42998</v>
      </c>
      <c r="L5216">
        <v>2017</v>
      </c>
      <c r="M5216" s="21">
        <v>43069</v>
      </c>
      <c r="N5216">
        <v>2017</v>
      </c>
      <c r="Q5216" s="262">
        <v>17000</v>
      </c>
      <c r="S5216" t="s">
        <v>114</v>
      </c>
      <c r="T5216" t="s">
        <v>114</v>
      </c>
      <c r="W5216">
        <v>0</v>
      </c>
      <c r="X5216">
        <v>0</v>
      </c>
      <c r="AU5216">
        <f t="shared" si="162"/>
        <v>0</v>
      </c>
      <c r="AV5216">
        <f t="shared" si="163"/>
        <v>0</v>
      </c>
    </row>
    <row r="5217" spans="1:48" x14ac:dyDescent="0.25">
      <c r="A5217" t="s">
        <v>18624</v>
      </c>
      <c r="B5217" t="s">
        <v>18624</v>
      </c>
      <c r="C5217" t="s">
        <v>18625</v>
      </c>
      <c r="D5217" t="s">
        <v>9535</v>
      </c>
      <c r="E5217" t="s">
        <v>2310</v>
      </c>
      <c r="F5217">
        <v>9</v>
      </c>
      <c r="G5217">
        <v>9.3000000000000007</v>
      </c>
      <c r="H5217" t="s">
        <v>2323</v>
      </c>
      <c r="I5217" s="21">
        <v>42978.600185185183</v>
      </c>
      <c r="J5217">
        <v>2017</v>
      </c>
      <c r="K5217" s="21">
        <v>43007.628263888888</v>
      </c>
      <c r="L5217">
        <v>2017</v>
      </c>
      <c r="M5217" s="21">
        <v>43570.473482210647</v>
      </c>
      <c r="N5217">
        <v>2019</v>
      </c>
      <c r="Q5217" s="262">
        <v>45000</v>
      </c>
      <c r="R5217" s="262">
        <v>12000</v>
      </c>
      <c r="S5217" t="s">
        <v>13254</v>
      </c>
      <c r="W5217">
        <v>224</v>
      </c>
      <c r="X5217">
        <v>0</v>
      </c>
      <c r="AC5217">
        <v>224</v>
      </c>
      <c r="AU5217">
        <f t="shared" si="162"/>
        <v>0</v>
      </c>
      <c r="AV5217">
        <f t="shared" si="163"/>
        <v>0</v>
      </c>
    </row>
    <row r="5218" spans="1:48" x14ac:dyDescent="0.25">
      <c r="A5218" t="s">
        <v>13657</v>
      </c>
      <c r="C5218" t="s">
        <v>13658</v>
      </c>
      <c r="D5218" t="s">
        <v>13659</v>
      </c>
      <c r="E5218" t="s">
        <v>1663</v>
      </c>
      <c r="F5218">
        <v>6</v>
      </c>
      <c r="G5218">
        <v>6.1</v>
      </c>
      <c r="H5218" t="s">
        <v>2017</v>
      </c>
      <c r="I5218" s="21">
        <v>42979</v>
      </c>
      <c r="J5218">
        <v>2017</v>
      </c>
      <c r="Q5218" s="262">
        <v>289000</v>
      </c>
      <c r="S5218" t="s">
        <v>114</v>
      </c>
      <c r="T5218" t="s">
        <v>114</v>
      </c>
      <c r="W5218">
        <v>0</v>
      </c>
      <c r="X5218">
        <v>0</v>
      </c>
      <c r="AU5218">
        <f t="shared" si="162"/>
        <v>0</v>
      </c>
      <c r="AV5218">
        <f t="shared" si="163"/>
        <v>0</v>
      </c>
    </row>
    <row r="5219" spans="1:48" x14ac:dyDescent="0.25">
      <c r="A5219" t="s">
        <v>18640</v>
      </c>
      <c r="B5219" t="s">
        <v>18640</v>
      </c>
      <c r="C5219" t="s">
        <v>18641</v>
      </c>
      <c r="D5219" t="s">
        <v>8595</v>
      </c>
      <c r="E5219" t="s">
        <v>2310</v>
      </c>
      <c r="F5219">
        <v>8</v>
      </c>
      <c r="G5219">
        <v>8.1999999999999993</v>
      </c>
      <c r="H5219" t="s">
        <v>2022</v>
      </c>
      <c r="I5219" s="21">
        <v>42983.431504629632</v>
      </c>
      <c r="J5219">
        <v>2017</v>
      </c>
      <c r="K5219" s="21">
        <v>43020.597013888888</v>
      </c>
      <c r="L5219">
        <v>2017</v>
      </c>
      <c r="M5219" s="21">
        <v>43182.393472222226</v>
      </c>
      <c r="N5219">
        <v>2018</v>
      </c>
      <c r="Q5219" s="262">
        <v>349200</v>
      </c>
      <c r="R5219" s="262">
        <v>87000</v>
      </c>
      <c r="S5219" t="s">
        <v>13253</v>
      </c>
      <c r="T5219">
        <v>6605</v>
      </c>
      <c r="W5219">
        <v>766</v>
      </c>
      <c r="X5219">
        <v>0</v>
      </c>
      <c r="AC5219">
        <v>766</v>
      </c>
      <c r="AU5219">
        <f t="shared" si="162"/>
        <v>0</v>
      </c>
      <c r="AV5219">
        <f t="shared" si="163"/>
        <v>0</v>
      </c>
    </row>
    <row r="5220" spans="1:48" x14ac:dyDescent="0.25">
      <c r="A5220" t="s">
        <v>18498</v>
      </c>
      <c r="B5220" t="s">
        <v>18498</v>
      </c>
      <c r="C5220" t="s">
        <v>18499</v>
      </c>
      <c r="D5220" t="s">
        <v>18500</v>
      </c>
      <c r="E5220" t="s">
        <v>2310</v>
      </c>
      <c r="F5220">
        <v>8</v>
      </c>
      <c r="G5220">
        <v>8.1</v>
      </c>
      <c r="H5220" t="s">
        <v>2323</v>
      </c>
      <c r="I5220" s="21">
        <v>42983.543738425928</v>
      </c>
      <c r="J5220">
        <v>2017</v>
      </c>
      <c r="K5220" s="21">
        <v>43271.483073229167</v>
      </c>
      <c r="L5220">
        <v>2018</v>
      </c>
      <c r="M5220" s="21">
        <v>43490.61931091435</v>
      </c>
      <c r="N5220">
        <v>2019</v>
      </c>
      <c r="Q5220" s="262">
        <v>350000</v>
      </c>
      <c r="R5220" s="262">
        <v>118000</v>
      </c>
      <c r="S5220" t="s">
        <v>13254</v>
      </c>
      <c r="W5220">
        <v>1694</v>
      </c>
      <c r="X5220">
        <v>0</v>
      </c>
      <c r="AC5220">
        <v>1694</v>
      </c>
      <c r="AU5220">
        <f t="shared" si="162"/>
        <v>0</v>
      </c>
      <c r="AV5220">
        <f t="shared" si="163"/>
        <v>0</v>
      </c>
    </row>
    <row r="5221" spans="1:48" x14ac:dyDescent="0.25">
      <c r="A5221" t="s">
        <v>18469</v>
      </c>
      <c r="B5221" t="s">
        <v>18469</v>
      </c>
      <c r="C5221" t="s">
        <v>18470</v>
      </c>
      <c r="D5221" t="s">
        <v>10238</v>
      </c>
      <c r="E5221" t="s">
        <v>2310</v>
      </c>
      <c r="F5221">
        <v>15</v>
      </c>
      <c r="G5221">
        <v>15.3</v>
      </c>
      <c r="H5221" t="s">
        <v>2022</v>
      </c>
      <c r="I5221" s="21">
        <v>42983.562025462961</v>
      </c>
      <c r="J5221">
        <v>2017</v>
      </c>
      <c r="K5221" s="21">
        <v>43027.408796296295</v>
      </c>
      <c r="L5221">
        <v>2017</v>
      </c>
      <c r="M5221" s="21">
        <v>43454.360314432874</v>
      </c>
      <c r="N5221">
        <v>2018</v>
      </c>
      <c r="Q5221" s="262">
        <v>350000</v>
      </c>
      <c r="R5221" s="262">
        <v>153000</v>
      </c>
      <c r="S5221" t="s">
        <v>13254</v>
      </c>
      <c r="W5221">
        <v>1857</v>
      </c>
      <c r="X5221">
        <v>1</v>
      </c>
      <c r="AC5221">
        <v>900</v>
      </c>
      <c r="AF5221">
        <v>957</v>
      </c>
      <c r="AR5221">
        <v>1</v>
      </c>
      <c r="AU5221">
        <f t="shared" si="162"/>
        <v>0</v>
      </c>
      <c r="AV5221">
        <f t="shared" si="163"/>
        <v>0</v>
      </c>
    </row>
    <row r="5222" spans="1:48" x14ac:dyDescent="0.25">
      <c r="A5222" t="s">
        <v>13660</v>
      </c>
      <c r="C5222" t="s">
        <v>13661</v>
      </c>
      <c r="D5222" t="s">
        <v>9079</v>
      </c>
      <c r="E5222" t="s">
        <v>1663</v>
      </c>
      <c r="F5222">
        <v>6</v>
      </c>
      <c r="G5222">
        <v>6.1</v>
      </c>
      <c r="H5222" t="s">
        <v>2017</v>
      </c>
      <c r="I5222" s="21">
        <v>42985</v>
      </c>
      <c r="J5222">
        <v>2017</v>
      </c>
      <c r="Q5222" s="262">
        <v>350000</v>
      </c>
      <c r="S5222" t="s">
        <v>114</v>
      </c>
      <c r="T5222" t="s">
        <v>114</v>
      </c>
      <c r="W5222">
        <v>0</v>
      </c>
      <c r="X5222">
        <v>0</v>
      </c>
      <c r="AU5222">
        <f t="shared" si="162"/>
        <v>0</v>
      </c>
      <c r="AV5222">
        <f t="shared" si="163"/>
        <v>0</v>
      </c>
    </row>
    <row r="5223" spans="1:48" x14ac:dyDescent="0.25">
      <c r="A5223" t="s">
        <v>18850</v>
      </c>
      <c r="B5223" t="s">
        <v>114</v>
      </c>
      <c r="C5223" t="s">
        <v>18851</v>
      </c>
      <c r="D5223" t="s">
        <v>13195</v>
      </c>
      <c r="E5223" t="s">
        <v>1663</v>
      </c>
      <c r="F5223">
        <v>3</v>
      </c>
      <c r="G5223">
        <v>3.2</v>
      </c>
      <c r="H5223" t="s">
        <v>2327</v>
      </c>
      <c r="I5223" s="21">
        <v>42985</v>
      </c>
      <c r="J5223">
        <v>2017</v>
      </c>
      <c r="K5223" s="21">
        <v>43035</v>
      </c>
      <c r="L5223">
        <v>2017</v>
      </c>
      <c r="M5223" s="21">
        <v>43539</v>
      </c>
      <c r="N5223">
        <v>2019</v>
      </c>
      <c r="Q5223" s="262">
        <v>100000</v>
      </c>
      <c r="S5223" t="s">
        <v>13253</v>
      </c>
      <c r="T5223">
        <v>9746</v>
      </c>
      <c r="W5223">
        <v>632</v>
      </c>
      <c r="X5223">
        <v>0</v>
      </c>
      <c r="AC5223">
        <v>632</v>
      </c>
      <c r="AU5223">
        <f t="shared" si="162"/>
        <v>0</v>
      </c>
      <c r="AV5223">
        <f t="shared" si="163"/>
        <v>0</v>
      </c>
    </row>
    <row r="5224" spans="1:48" x14ac:dyDescent="0.25">
      <c r="A5224" t="s">
        <v>13662</v>
      </c>
      <c r="B5224" t="s">
        <v>13662</v>
      </c>
      <c r="C5224" t="s">
        <v>13663</v>
      </c>
      <c r="D5224" t="s">
        <v>5200</v>
      </c>
      <c r="E5224" t="s">
        <v>2310</v>
      </c>
      <c r="F5224">
        <v>12</v>
      </c>
      <c r="G5224">
        <v>12.1</v>
      </c>
      <c r="H5224" t="s">
        <v>2327</v>
      </c>
      <c r="I5224" s="21">
        <v>42985.469907407401</v>
      </c>
      <c r="J5224">
        <v>2017</v>
      </c>
      <c r="K5224" s="21">
        <v>43014.420324074097</v>
      </c>
      <c r="L5224">
        <v>2017</v>
      </c>
      <c r="M5224" s="21">
        <v>43109.440405092602</v>
      </c>
      <c r="N5224">
        <v>2018</v>
      </c>
      <c r="Q5224" s="262">
        <v>75000</v>
      </c>
      <c r="R5224" s="262">
        <v>93000</v>
      </c>
      <c r="S5224" t="s">
        <v>114</v>
      </c>
      <c r="T5224" t="s">
        <v>114</v>
      </c>
      <c r="V5224">
        <v>757</v>
      </c>
      <c r="W5224">
        <v>0</v>
      </c>
      <c r="X5224">
        <v>0</v>
      </c>
      <c r="AU5224">
        <f t="shared" si="162"/>
        <v>0</v>
      </c>
      <c r="AV5224">
        <f t="shared" si="163"/>
        <v>0</v>
      </c>
    </row>
    <row r="5225" spans="1:48" x14ac:dyDescent="0.25">
      <c r="A5225" t="s">
        <v>18445</v>
      </c>
      <c r="B5225" t="s">
        <v>18445</v>
      </c>
      <c r="C5225" t="s">
        <v>18446</v>
      </c>
      <c r="D5225" t="s">
        <v>18447</v>
      </c>
      <c r="E5225" t="s">
        <v>2310</v>
      </c>
      <c r="F5225">
        <v>15</v>
      </c>
      <c r="G5225">
        <v>15.2</v>
      </c>
      <c r="H5225" t="s">
        <v>2323</v>
      </c>
      <c r="I5225" s="21">
        <v>42990.55369212963</v>
      </c>
      <c r="J5225">
        <v>2017</v>
      </c>
      <c r="K5225" s="21">
        <v>43025.686724537038</v>
      </c>
      <c r="L5225">
        <v>2017</v>
      </c>
      <c r="M5225" s="21">
        <v>43493.383526701386</v>
      </c>
      <c r="N5225">
        <v>2019</v>
      </c>
      <c r="Q5225" s="262">
        <v>198000</v>
      </c>
      <c r="R5225" s="262">
        <v>102000</v>
      </c>
      <c r="S5225" t="s">
        <v>13253</v>
      </c>
      <c r="T5225">
        <v>5278</v>
      </c>
      <c r="W5225">
        <v>856</v>
      </c>
      <c r="X5225">
        <v>0</v>
      </c>
      <c r="AC5225">
        <v>856</v>
      </c>
      <c r="AU5225">
        <f t="shared" si="162"/>
        <v>0</v>
      </c>
      <c r="AV5225">
        <f t="shared" si="163"/>
        <v>0</v>
      </c>
    </row>
    <row r="5226" spans="1:48" x14ac:dyDescent="0.25">
      <c r="A5226" t="s">
        <v>17494</v>
      </c>
      <c r="C5226" t="s">
        <v>11879</v>
      </c>
      <c r="D5226" t="s">
        <v>13765</v>
      </c>
      <c r="E5226" t="s">
        <v>1663</v>
      </c>
      <c r="F5226">
        <v>6</v>
      </c>
      <c r="G5226">
        <v>6.1</v>
      </c>
      <c r="H5226" t="s">
        <v>2017</v>
      </c>
      <c r="I5226" s="21">
        <v>42991</v>
      </c>
      <c r="J5226">
        <v>2017</v>
      </c>
      <c r="K5226" s="21">
        <v>43007</v>
      </c>
      <c r="L5226">
        <v>2017</v>
      </c>
      <c r="M5226" s="21">
        <v>43069</v>
      </c>
      <c r="N5226">
        <v>2017</v>
      </c>
      <c r="Q5226" s="262">
        <v>45000</v>
      </c>
      <c r="S5226" t="s">
        <v>114</v>
      </c>
      <c r="T5226" t="s">
        <v>114</v>
      </c>
      <c r="W5226">
        <v>0</v>
      </c>
      <c r="X5226">
        <v>0</v>
      </c>
      <c r="AU5226">
        <f t="shared" si="162"/>
        <v>0</v>
      </c>
      <c r="AV5226">
        <f t="shared" si="163"/>
        <v>0</v>
      </c>
    </row>
    <row r="5227" spans="1:48" x14ac:dyDescent="0.25">
      <c r="A5227" t="s">
        <v>19375</v>
      </c>
      <c r="B5227" t="s">
        <v>114</v>
      </c>
      <c r="C5227" t="s">
        <v>19376</v>
      </c>
      <c r="D5227" t="s">
        <v>19377</v>
      </c>
      <c r="E5227" t="s">
        <v>1663</v>
      </c>
      <c r="F5227">
        <v>5</v>
      </c>
      <c r="G5227">
        <v>5.5</v>
      </c>
      <c r="H5227" t="s">
        <v>2017</v>
      </c>
      <c r="I5227" s="21">
        <v>42991</v>
      </c>
      <c r="J5227">
        <v>2017</v>
      </c>
      <c r="K5227" s="21">
        <v>43186</v>
      </c>
      <c r="L5227">
        <v>2018</v>
      </c>
      <c r="M5227" s="21">
        <v>43433</v>
      </c>
      <c r="N5227">
        <v>2018</v>
      </c>
      <c r="Q5227" s="262">
        <v>30000</v>
      </c>
      <c r="S5227" t="s">
        <v>13253</v>
      </c>
      <c r="T5227">
        <v>13471</v>
      </c>
      <c r="W5227">
        <v>288</v>
      </c>
      <c r="X5227">
        <v>0</v>
      </c>
      <c r="AC5227">
        <v>288</v>
      </c>
      <c r="AU5227">
        <f t="shared" si="162"/>
        <v>0</v>
      </c>
      <c r="AV5227">
        <f t="shared" si="163"/>
        <v>0</v>
      </c>
    </row>
    <row r="5228" spans="1:48" x14ac:dyDescent="0.25">
      <c r="A5228" t="s">
        <v>13664</v>
      </c>
      <c r="C5228" t="s">
        <v>13665</v>
      </c>
      <c r="D5228" t="s">
        <v>13153</v>
      </c>
      <c r="E5228" t="s">
        <v>1663</v>
      </c>
      <c r="F5228">
        <v>5</v>
      </c>
      <c r="G5228">
        <v>5.2</v>
      </c>
      <c r="H5228" t="s">
        <v>2327</v>
      </c>
      <c r="I5228" s="21">
        <v>42991</v>
      </c>
      <c r="J5228">
        <v>2017</v>
      </c>
      <c r="K5228" s="21">
        <v>43032</v>
      </c>
      <c r="L5228">
        <v>2017</v>
      </c>
      <c r="P5228" s="21">
        <v>43262</v>
      </c>
      <c r="Q5228" s="262">
        <v>70797</v>
      </c>
      <c r="S5228" t="s">
        <v>114</v>
      </c>
      <c r="T5228" t="s">
        <v>114</v>
      </c>
      <c r="W5228">
        <v>0</v>
      </c>
      <c r="X5228">
        <v>0</v>
      </c>
      <c r="AU5228">
        <f t="shared" si="162"/>
        <v>0</v>
      </c>
      <c r="AV5228">
        <f t="shared" si="163"/>
        <v>0</v>
      </c>
    </row>
    <row r="5229" spans="1:48" x14ac:dyDescent="0.25">
      <c r="A5229" t="s">
        <v>13668</v>
      </c>
      <c r="C5229" t="s">
        <v>13669</v>
      </c>
      <c r="D5229" t="s">
        <v>6255</v>
      </c>
      <c r="E5229" t="s">
        <v>1663</v>
      </c>
      <c r="F5229">
        <v>3</v>
      </c>
      <c r="G5229">
        <v>3.3</v>
      </c>
      <c r="H5229" t="s">
        <v>2017</v>
      </c>
      <c r="I5229" s="21">
        <v>42991</v>
      </c>
      <c r="J5229">
        <v>2017</v>
      </c>
      <c r="K5229" s="21">
        <v>43304</v>
      </c>
      <c r="L5229">
        <v>2018</v>
      </c>
      <c r="M5229" s="21">
        <v>43616</v>
      </c>
      <c r="N5229">
        <v>2019</v>
      </c>
      <c r="Q5229" s="262">
        <v>650000</v>
      </c>
      <c r="S5229" t="s">
        <v>114</v>
      </c>
      <c r="T5229" t="s">
        <v>114</v>
      </c>
      <c r="W5229">
        <v>0</v>
      </c>
      <c r="X5229">
        <v>0</v>
      </c>
      <c r="AU5229">
        <f t="shared" si="162"/>
        <v>0</v>
      </c>
      <c r="AV5229">
        <f t="shared" si="163"/>
        <v>0</v>
      </c>
    </row>
    <row r="5230" spans="1:48" x14ac:dyDescent="0.25">
      <c r="A5230" t="s">
        <v>18008</v>
      </c>
      <c r="B5230" t="s">
        <v>18008</v>
      </c>
      <c r="C5230" t="s">
        <v>18009</v>
      </c>
      <c r="D5230" t="s">
        <v>18005</v>
      </c>
      <c r="E5230" t="s">
        <v>2310</v>
      </c>
      <c r="F5230">
        <v>9</v>
      </c>
      <c r="G5230">
        <v>9.1999999999999993</v>
      </c>
      <c r="H5230" t="s">
        <v>2022</v>
      </c>
      <c r="I5230" s="21">
        <v>42991.672118055554</v>
      </c>
      <c r="J5230">
        <v>2017</v>
      </c>
      <c r="K5230" s="21">
        <v>43242.368191435184</v>
      </c>
      <c r="L5230">
        <v>2018</v>
      </c>
      <c r="M5230" s="21">
        <v>43628.416682060182</v>
      </c>
      <c r="N5230">
        <v>2019</v>
      </c>
      <c r="Q5230" s="262">
        <v>1800000</v>
      </c>
      <c r="R5230" s="262">
        <v>601000</v>
      </c>
      <c r="S5230" t="s">
        <v>12464</v>
      </c>
      <c r="T5230">
        <v>2715</v>
      </c>
      <c r="W5230">
        <v>4885</v>
      </c>
      <c r="X5230">
        <v>1</v>
      </c>
      <c r="AC5230">
        <v>4885</v>
      </c>
      <c r="AO5230">
        <v>1</v>
      </c>
      <c r="AU5230">
        <f t="shared" si="162"/>
        <v>1</v>
      </c>
      <c r="AV5230">
        <f t="shared" si="163"/>
        <v>0</v>
      </c>
    </row>
    <row r="5231" spans="1:48" x14ac:dyDescent="0.25">
      <c r="A5231" t="s">
        <v>18008</v>
      </c>
      <c r="B5231" t="s">
        <v>18008</v>
      </c>
      <c r="C5231" t="s">
        <v>18009</v>
      </c>
      <c r="D5231" t="s">
        <v>18005</v>
      </c>
      <c r="E5231" t="s">
        <v>2310</v>
      </c>
      <c r="F5231">
        <v>9</v>
      </c>
      <c r="G5231">
        <v>9.1999999999999993</v>
      </c>
      <c r="H5231" t="s">
        <v>2022</v>
      </c>
      <c r="I5231" s="21">
        <v>42991.672118055554</v>
      </c>
      <c r="J5231">
        <v>2017</v>
      </c>
      <c r="K5231" s="21">
        <v>43242.368191435184</v>
      </c>
      <c r="L5231">
        <v>2018</v>
      </c>
      <c r="M5231" s="21">
        <v>43628.416682060182</v>
      </c>
      <c r="N5231">
        <v>2019</v>
      </c>
      <c r="Q5231" s="262">
        <v>1800000</v>
      </c>
      <c r="R5231" s="262">
        <v>601000</v>
      </c>
      <c r="S5231" t="s">
        <v>13254</v>
      </c>
      <c r="W5231">
        <v>672</v>
      </c>
      <c r="X5231">
        <v>0</v>
      </c>
      <c r="AC5231">
        <v>672</v>
      </c>
      <c r="AU5231">
        <f t="shared" si="162"/>
        <v>0</v>
      </c>
      <c r="AV5231">
        <f t="shared" si="163"/>
        <v>0</v>
      </c>
    </row>
    <row r="5232" spans="1:48" x14ac:dyDescent="0.25">
      <c r="A5232" t="s">
        <v>18664</v>
      </c>
      <c r="B5232" t="s">
        <v>18664</v>
      </c>
      <c r="C5232" t="s">
        <v>18665</v>
      </c>
      <c r="D5232" t="s">
        <v>18666</v>
      </c>
      <c r="E5232" t="s">
        <v>2310</v>
      </c>
      <c r="F5232">
        <v>8</v>
      </c>
      <c r="G5232">
        <v>8.3000000000000007</v>
      </c>
      <c r="H5232" t="s">
        <v>2323</v>
      </c>
      <c r="I5232" s="21">
        <v>42992.452835648146</v>
      </c>
      <c r="J5232">
        <v>2017</v>
      </c>
      <c r="K5232" s="21">
        <v>43045.441319444442</v>
      </c>
      <c r="L5232">
        <v>2017</v>
      </c>
      <c r="M5232" s="21">
        <v>43601.593317164348</v>
      </c>
      <c r="N5232">
        <v>2019</v>
      </c>
      <c r="Q5232" s="262">
        <v>910000</v>
      </c>
      <c r="R5232" s="262">
        <v>303000</v>
      </c>
      <c r="S5232" t="s">
        <v>13254</v>
      </c>
      <c r="W5232">
        <v>2623</v>
      </c>
      <c r="X5232">
        <v>1</v>
      </c>
      <c r="AC5232">
        <v>2623</v>
      </c>
      <c r="AO5232">
        <v>1</v>
      </c>
      <c r="AU5232">
        <f t="shared" si="162"/>
        <v>1</v>
      </c>
      <c r="AV5232">
        <f t="shared" si="163"/>
        <v>0</v>
      </c>
    </row>
    <row r="5233" spans="1:48" x14ac:dyDescent="0.25">
      <c r="A5233" t="s">
        <v>18667</v>
      </c>
      <c r="B5233" t="s">
        <v>18667</v>
      </c>
      <c r="C5233" t="s">
        <v>18598</v>
      </c>
      <c r="D5233" t="s">
        <v>18666</v>
      </c>
      <c r="E5233" t="s">
        <v>2310</v>
      </c>
      <c r="F5233">
        <v>8</v>
      </c>
      <c r="G5233">
        <v>8.3000000000000007</v>
      </c>
      <c r="H5233" t="s">
        <v>2323</v>
      </c>
      <c r="I5233" s="21">
        <v>42992.461539351854</v>
      </c>
      <c r="J5233">
        <v>2017</v>
      </c>
      <c r="K5233" s="21">
        <v>43350.41053645833</v>
      </c>
      <c r="L5233">
        <v>2018</v>
      </c>
      <c r="M5233" s="21">
        <v>43601.595759143522</v>
      </c>
      <c r="N5233">
        <v>2019</v>
      </c>
      <c r="Q5233" s="262">
        <v>910000</v>
      </c>
      <c r="R5233" s="262">
        <v>28000</v>
      </c>
      <c r="S5233" t="s">
        <v>13254</v>
      </c>
      <c r="W5233">
        <v>613</v>
      </c>
      <c r="X5233">
        <v>0</v>
      </c>
      <c r="AC5233">
        <v>613</v>
      </c>
      <c r="AU5233">
        <f t="shared" si="162"/>
        <v>0</v>
      </c>
      <c r="AV5233">
        <f t="shared" si="163"/>
        <v>0</v>
      </c>
    </row>
    <row r="5234" spans="1:48" x14ac:dyDescent="0.25">
      <c r="A5234" t="s">
        <v>18894</v>
      </c>
      <c r="B5234" t="s">
        <v>18894</v>
      </c>
      <c r="C5234" t="s">
        <v>18828</v>
      </c>
      <c r="D5234" t="s">
        <v>18671</v>
      </c>
      <c r="E5234" t="s">
        <v>2310</v>
      </c>
      <c r="F5234">
        <v>8</v>
      </c>
      <c r="G5234">
        <v>8.3000000000000007</v>
      </c>
      <c r="H5234" t="s">
        <v>2323</v>
      </c>
      <c r="I5234" s="21">
        <v>42992.520972222221</v>
      </c>
      <c r="J5234">
        <v>2017</v>
      </c>
      <c r="K5234" s="21">
        <v>43045.437326388892</v>
      </c>
      <c r="L5234">
        <v>2017</v>
      </c>
      <c r="M5234" s="21">
        <v>43661.625058877318</v>
      </c>
      <c r="N5234">
        <v>2019</v>
      </c>
      <c r="Q5234" s="262">
        <v>910000</v>
      </c>
      <c r="R5234" s="262">
        <v>303000</v>
      </c>
      <c r="S5234" t="s">
        <v>13254</v>
      </c>
      <c r="W5234">
        <v>2623</v>
      </c>
      <c r="X5234">
        <v>1</v>
      </c>
      <c r="AC5234">
        <v>2623</v>
      </c>
      <c r="AO5234">
        <v>1</v>
      </c>
      <c r="AU5234">
        <f t="shared" si="162"/>
        <v>1</v>
      </c>
      <c r="AV5234">
        <f t="shared" si="163"/>
        <v>0</v>
      </c>
    </row>
    <row r="5235" spans="1:48" x14ac:dyDescent="0.25">
      <c r="A5235" t="s">
        <v>18670</v>
      </c>
      <c r="B5235" t="s">
        <v>18670</v>
      </c>
      <c r="C5235" t="s">
        <v>18598</v>
      </c>
      <c r="D5235" t="s">
        <v>18671</v>
      </c>
      <c r="E5235" t="s">
        <v>2310</v>
      </c>
      <c r="F5235">
        <v>8</v>
      </c>
      <c r="G5235">
        <v>8.3000000000000007</v>
      </c>
      <c r="H5235" t="s">
        <v>2323</v>
      </c>
      <c r="I5235" s="21">
        <v>42992.527372685188</v>
      </c>
      <c r="J5235">
        <v>2017</v>
      </c>
      <c r="K5235" s="21">
        <v>43350.409316701393</v>
      </c>
      <c r="L5235">
        <v>2018</v>
      </c>
      <c r="M5235" s="21">
        <v>43602.365685104167</v>
      </c>
      <c r="N5235">
        <v>2019</v>
      </c>
      <c r="R5235" s="262">
        <v>28000</v>
      </c>
      <c r="S5235" t="s">
        <v>13254</v>
      </c>
      <c r="W5235">
        <v>613</v>
      </c>
      <c r="X5235">
        <v>0</v>
      </c>
      <c r="AC5235">
        <v>613</v>
      </c>
      <c r="AU5235">
        <f t="shared" si="162"/>
        <v>0</v>
      </c>
      <c r="AV5235">
        <f t="shared" si="163"/>
        <v>0</v>
      </c>
    </row>
    <row r="5236" spans="1:48" x14ac:dyDescent="0.25">
      <c r="A5236" t="s">
        <v>18895</v>
      </c>
      <c r="B5236" t="s">
        <v>18895</v>
      </c>
      <c r="C5236" t="s">
        <v>18828</v>
      </c>
      <c r="D5236" t="s">
        <v>18599</v>
      </c>
      <c r="E5236" t="s">
        <v>2310</v>
      </c>
      <c r="F5236">
        <v>8</v>
      </c>
      <c r="G5236">
        <v>8.3000000000000007</v>
      </c>
      <c r="H5236" t="s">
        <v>2323</v>
      </c>
      <c r="I5236" s="21">
        <v>42992.531018518515</v>
      </c>
      <c r="J5236">
        <v>2017</v>
      </c>
      <c r="K5236" s="21">
        <v>43045.433796296296</v>
      </c>
      <c r="L5236">
        <v>2017</v>
      </c>
      <c r="M5236" s="21">
        <v>43661.627242858798</v>
      </c>
      <c r="N5236">
        <v>2019</v>
      </c>
      <c r="Q5236" s="262">
        <v>910000</v>
      </c>
      <c r="R5236" s="262">
        <v>303000</v>
      </c>
      <c r="S5236" t="s">
        <v>13254</v>
      </c>
      <c r="W5236">
        <v>2623</v>
      </c>
      <c r="X5236">
        <v>1</v>
      </c>
      <c r="AC5236">
        <v>2623</v>
      </c>
      <c r="AO5236">
        <v>1</v>
      </c>
      <c r="AU5236">
        <f t="shared" si="162"/>
        <v>1</v>
      </c>
      <c r="AV5236">
        <f t="shared" si="163"/>
        <v>0</v>
      </c>
    </row>
    <row r="5237" spans="1:48" x14ac:dyDescent="0.25">
      <c r="A5237" t="s">
        <v>18597</v>
      </c>
      <c r="B5237" t="s">
        <v>18597</v>
      </c>
      <c r="C5237" t="s">
        <v>18598</v>
      </c>
      <c r="D5237" t="s">
        <v>18599</v>
      </c>
      <c r="E5237" t="s">
        <v>2310</v>
      </c>
      <c r="F5237">
        <v>8</v>
      </c>
      <c r="G5237">
        <v>8.3000000000000007</v>
      </c>
      <c r="H5237" t="s">
        <v>2323</v>
      </c>
      <c r="I5237" s="21">
        <v>42992.53534722222</v>
      </c>
      <c r="J5237">
        <v>2017</v>
      </c>
      <c r="K5237" s="21">
        <v>43350.40748642361</v>
      </c>
      <c r="L5237">
        <v>2018</v>
      </c>
      <c r="M5237" s="21">
        <v>43542.626556631942</v>
      </c>
      <c r="N5237">
        <v>2019</v>
      </c>
      <c r="Q5237" s="262">
        <v>910000</v>
      </c>
      <c r="R5237" s="262">
        <v>28000</v>
      </c>
      <c r="S5237" t="s">
        <v>13254</v>
      </c>
      <c r="W5237">
        <v>613</v>
      </c>
      <c r="X5237">
        <v>0</v>
      </c>
      <c r="AC5237">
        <v>613</v>
      </c>
      <c r="AU5237">
        <f t="shared" si="162"/>
        <v>0</v>
      </c>
      <c r="AV5237">
        <f t="shared" si="163"/>
        <v>0</v>
      </c>
    </row>
    <row r="5238" spans="1:48" x14ac:dyDescent="0.25">
      <c r="A5238" t="s">
        <v>18962</v>
      </c>
      <c r="B5238" t="s">
        <v>18962</v>
      </c>
      <c r="C5238" t="s">
        <v>18828</v>
      </c>
      <c r="D5238" t="s">
        <v>18963</v>
      </c>
      <c r="E5238" t="s">
        <v>2310</v>
      </c>
      <c r="F5238">
        <v>8</v>
      </c>
      <c r="G5238">
        <v>8.3000000000000007</v>
      </c>
      <c r="H5238" t="s">
        <v>2323</v>
      </c>
      <c r="I5238" s="21">
        <v>42992.538761574076</v>
      </c>
      <c r="J5238">
        <v>2017</v>
      </c>
      <c r="K5238" s="21">
        <v>43045.430208333331</v>
      </c>
      <c r="L5238">
        <v>2017</v>
      </c>
      <c r="M5238" s="21">
        <v>43689.461884988428</v>
      </c>
      <c r="N5238">
        <v>2019</v>
      </c>
      <c r="Q5238" s="262">
        <v>910000</v>
      </c>
      <c r="R5238" s="262">
        <v>303000</v>
      </c>
      <c r="S5238" t="s">
        <v>13254</v>
      </c>
      <c r="W5238">
        <v>2623</v>
      </c>
      <c r="X5238">
        <v>1</v>
      </c>
      <c r="AC5238">
        <v>2623</v>
      </c>
      <c r="AO5238">
        <v>1</v>
      </c>
      <c r="AU5238">
        <f t="shared" si="162"/>
        <v>1</v>
      </c>
      <c r="AV5238">
        <f t="shared" si="163"/>
        <v>0</v>
      </c>
    </row>
    <row r="5239" spans="1:48" x14ac:dyDescent="0.25">
      <c r="A5239" t="s">
        <v>19106</v>
      </c>
      <c r="B5239" t="s">
        <v>19106</v>
      </c>
      <c r="C5239" t="s">
        <v>18598</v>
      </c>
      <c r="D5239" t="s">
        <v>18963</v>
      </c>
      <c r="E5239" t="s">
        <v>2310</v>
      </c>
      <c r="F5239">
        <v>8</v>
      </c>
      <c r="G5239">
        <v>8.3000000000000007</v>
      </c>
      <c r="H5239" t="s">
        <v>2323</v>
      </c>
      <c r="I5239" s="21">
        <v>42992.542951388888</v>
      </c>
      <c r="J5239">
        <v>2017</v>
      </c>
      <c r="K5239" s="21">
        <v>43350.405991898151</v>
      </c>
      <c r="L5239">
        <v>2018</v>
      </c>
      <c r="M5239" s="21">
        <v>43768.436657523147</v>
      </c>
      <c r="N5239">
        <v>2019</v>
      </c>
      <c r="Q5239" s="262">
        <v>910000</v>
      </c>
      <c r="R5239" s="262">
        <v>28000</v>
      </c>
      <c r="S5239" t="s">
        <v>13254</v>
      </c>
      <c r="W5239">
        <v>613</v>
      </c>
      <c r="X5239">
        <v>0</v>
      </c>
      <c r="AC5239">
        <v>613</v>
      </c>
      <c r="AU5239">
        <f t="shared" si="162"/>
        <v>0</v>
      </c>
      <c r="AV5239">
        <f t="shared" si="163"/>
        <v>0</v>
      </c>
    </row>
    <row r="5240" spans="1:48" x14ac:dyDescent="0.25">
      <c r="A5240" t="s">
        <v>18827</v>
      </c>
      <c r="B5240" t="s">
        <v>18827</v>
      </c>
      <c r="C5240" t="s">
        <v>18828</v>
      </c>
      <c r="D5240" t="s">
        <v>18829</v>
      </c>
      <c r="E5240" t="s">
        <v>2310</v>
      </c>
      <c r="F5240">
        <v>8</v>
      </c>
      <c r="G5240">
        <v>8.3000000000000007</v>
      </c>
      <c r="H5240" t="s">
        <v>2323</v>
      </c>
      <c r="I5240" s="21">
        <v>42992.560925925929</v>
      </c>
      <c r="J5240">
        <v>2017</v>
      </c>
      <c r="K5240" s="21">
        <v>43045.424467592595</v>
      </c>
      <c r="L5240">
        <v>2017</v>
      </c>
      <c r="M5240" s="21">
        <v>43634.435697256944</v>
      </c>
      <c r="N5240">
        <v>2019</v>
      </c>
      <c r="Q5240" s="262">
        <v>910000</v>
      </c>
      <c r="R5240" s="262">
        <v>303000</v>
      </c>
      <c r="S5240" t="s">
        <v>13254</v>
      </c>
      <c r="W5240">
        <v>2623</v>
      </c>
      <c r="X5240">
        <v>1</v>
      </c>
      <c r="AC5240">
        <v>2623</v>
      </c>
      <c r="AO5240">
        <v>1</v>
      </c>
      <c r="AU5240">
        <f t="shared" si="162"/>
        <v>1</v>
      </c>
      <c r="AV5240">
        <f t="shared" si="163"/>
        <v>0</v>
      </c>
    </row>
    <row r="5241" spans="1:48" x14ac:dyDescent="0.25">
      <c r="A5241" t="s">
        <v>18832</v>
      </c>
      <c r="B5241" t="s">
        <v>18832</v>
      </c>
      <c r="C5241" t="s">
        <v>18598</v>
      </c>
      <c r="D5241" t="s">
        <v>18829</v>
      </c>
      <c r="E5241" t="s">
        <v>2310</v>
      </c>
      <c r="F5241">
        <v>8</v>
      </c>
      <c r="G5241">
        <v>8.3000000000000007</v>
      </c>
      <c r="H5241" t="s">
        <v>2323</v>
      </c>
      <c r="I5241" s="21">
        <v>42992.565428240741</v>
      </c>
      <c r="J5241">
        <v>2017</v>
      </c>
      <c r="K5241" s="21">
        <v>43350.395973460647</v>
      </c>
      <c r="L5241">
        <v>2018</v>
      </c>
      <c r="M5241" s="21">
        <v>43635.558785104164</v>
      </c>
      <c r="N5241">
        <v>2019</v>
      </c>
      <c r="Q5241" s="262">
        <v>910000</v>
      </c>
      <c r="R5241" s="262">
        <v>28000</v>
      </c>
      <c r="S5241" t="s">
        <v>13254</v>
      </c>
      <c r="W5241">
        <v>613</v>
      </c>
      <c r="X5241">
        <v>0</v>
      </c>
      <c r="AC5241">
        <v>613</v>
      </c>
      <c r="AU5241">
        <f t="shared" si="162"/>
        <v>0</v>
      </c>
      <c r="AV5241">
        <f t="shared" si="163"/>
        <v>0</v>
      </c>
    </row>
    <row r="5242" spans="1:48" x14ac:dyDescent="0.25">
      <c r="A5242" t="s">
        <v>18844</v>
      </c>
      <c r="B5242" t="s">
        <v>18844</v>
      </c>
      <c r="C5242" t="s">
        <v>18828</v>
      </c>
      <c r="D5242" t="s">
        <v>18845</v>
      </c>
      <c r="E5242" t="s">
        <v>2310</v>
      </c>
      <c r="F5242">
        <v>8</v>
      </c>
      <c r="G5242">
        <v>8.3000000000000007</v>
      </c>
      <c r="H5242" t="s">
        <v>2323</v>
      </c>
      <c r="I5242" s="21">
        <v>42992.567962962959</v>
      </c>
      <c r="J5242">
        <v>2017</v>
      </c>
      <c r="K5242" s="21">
        <v>43045.421041666668</v>
      </c>
      <c r="L5242">
        <v>2017</v>
      </c>
      <c r="M5242" s="21">
        <v>43641.648014699073</v>
      </c>
      <c r="N5242">
        <v>2019</v>
      </c>
      <c r="Q5242" s="262">
        <v>910000</v>
      </c>
      <c r="R5242" s="262">
        <v>303000</v>
      </c>
      <c r="S5242" t="s">
        <v>13254</v>
      </c>
      <c r="W5242">
        <v>2623</v>
      </c>
      <c r="X5242">
        <v>1</v>
      </c>
      <c r="AC5242">
        <v>2623</v>
      </c>
      <c r="AO5242">
        <v>1</v>
      </c>
      <c r="AU5242">
        <f t="shared" si="162"/>
        <v>1</v>
      </c>
      <c r="AV5242">
        <f t="shared" si="163"/>
        <v>0</v>
      </c>
    </row>
    <row r="5243" spans="1:48" x14ac:dyDescent="0.25">
      <c r="A5243" t="s">
        <v>19196</v>
      </c>
      <c r="B5243" t="s">
        <v>19196</v>
      </c>
      <c r="C5243" t="s">
        <v>18598</v>
      </c>
      <c r="D5243" t="s">
        <v>18845</v>
      </c>
      <c r="E5243" t="s">
        <v>2310</v>
      </c>
      <c r="F5243">
        <v>8</v>
      </c>
      <c r="G5243">
        <v>8.3000000000000007</v>
      </c>
      <c r="H5243" t="s">
        <v>2323</v>
      </c>
      <c r="I5243" s="21">
        <v>42992.574293981481</v>
      </c>
      <c r="J5243">
        <v>2017</v>
      </c>
      <c r="K5243" s="21">
        <v>43350.394191354164</v>
      </c>
      <c r="L5243">
        <v>2018</v>
      </c>
      <c r="M5243" s="21">
        <v>43833.366250960651</v>
      </c>
      <c r="N5243">
        <v>2020</v>
      </c>
      <c r="Q5243" s="262">
        <v>910000</v>
      </c>
      <c r="R5243" s="262">
        <v>28000</v>
      </c>
      <c r="S5243" t="s">
        <v>13254</v>
      </c>
      <c r="W5243">
        <v>613</v>
      </c>
      <c r="X5243">
        <v>0</v>
      </c>
      <c r="AC5243">
        <v>613</v>
      </c>
      <c r="AU5243">
        <f t="shared" si="162"/>
        <v>0</v>
      </c>
      <c r="AV5243">
        <f t="shared" si="163"/>
        <v>0</v>
      </c>
    </row>
    <row r="5244" spans="1:48" x14ac:dyDescent="0.25">
      <c r="A5244" t="s">
        <v>18407</v>
      </c>
      <c r="B5244" t="s">
        <v>18407</v>
      </c>
      <c r="C5244" t="s">
        <v>18408</v>
      </c>
      <c r="D5244" t="s">
        <v>18318</v>
      </c>
      <c r="E5244" t="s">
        <v>2310</v>
      </c>
      <c r="F5244">
        <v>13</v>
      </c>
      <c r="G5244">
        <v>13.1</v>
      </c>
      <c r="H5244" t="s">
        <v>2327</v>
      </c>
      <c r="I5244" s="21">
        <v>42992.600925925923</v>
      </c>
      <c r="J5244">
        <v>2017</v>
      </c>
      <c r="K5244" s="21">
        <v>43032.684606481482</v>
      </c>
      <c r="L5244">
        <v>2017</v>
      </c>
      <c r="M5244" s="21">
        <v>43430.470104131942</v>
      </c>
      <c r="N5244">
        <v>2018</v>
      </c>
      <c r="Q5244" s="262">
        <v>300000</v>
      </c>
      <c r="R5244" s="262">
        <v>173000</v>
      </c>
      <c r="S5244" t="s">
        <v>13254</v>
      </c>
      <c r="W5244">
        <v>1721</v>
      </c>
      <c r="X5244">
        <v>1</v>
      </c>
      <c r="AC5244">
        <v>1721</v>
      </c>
      <c r="AO5244">
        <v>1</v>
      </c>
      <c r="AU5244">
        <f t="shared" si="162"/>
        <v>1</v>
      </c>
      <c r="AV5244">
        <f t="shared" si="163"/>
        <v>0</v>
      </c>
    </row>
    <row r="5245" spans="1:48" x14ac:dyDescent="0.25">
      <c r="A5245" t="s">
        <v>18409</v>
      </c>
      <c r="B5245" t="s">
        <v>18409</v>
      </c>
      <c r="C5245" t="s">
        <v>18410</v>
      </c>
      <c r="D5245" t="s">
        <v>18318</v>
      </c>
      <c r="E5245" t="s">
        <v>2310</v>
      </c>
      <c r="F5245">
        <v>13</v>
      </c>
      <c r="G5245">
        <v>13.1</v>
      </c>
      <c r="H5245" t="s">
        <v>2327</v>
      </c>
      <c r="I5245" s="21">
        <v>42992.606817129628</v>
      </c>
      <c r="J5245">
        <v>2017</v>
      </c>
      <c r="K5245" s="21">
        <v>43054.684386574074</v>
      </c>
      <c r="L5245">
        <v>2017</v>
      </c>
      <c r="M5245" s="21">
        <v>43430.473589317131</v>
      </c>
      <c r="N5245">
        <v>2018</v>
      </c>
      <c r="Q5245" s="262">
        <v>300000</v>
      </c>
      <c r="R5245" s="262">
        <v>173000</v>
      </c>
      <c r="S5245" t="s">
        <v>13254</v>
      </c>
      <c r="W5245">
        <v>1721</v>
      </c>
      <c r="X5245">
        <v>1</v>
      </c>
      <c r="AC5245">
        <v>1721</v>
      </c>
      <c r="AO5245">
        <v>1</v>
      </c>
      <c r="AU5245">
        <f t="shared" si="162"/>
        <v>1</v>
      </c>
      <c r="AV5245">
        <f t="shared" si="163"/>
        <v>0</v>
      </c>
    </row>
    <row r="5246" spans="1:48" x14ac:dyDescent="0.25">
      <c r="A5246" t="s">
        <v>18360</v>
      </c>
      <c r="B5246" t="s">
        <v>18360</v>
      </c>
      <c r="C5246" t="s">
        <v>18317</v>
      </c>
      <c r="D5246" t="s">
        <v>18318</v>
      </c>
      <c r="E5246" t="s">
        <v>2310</v>
      </c>
      <c r="F5246">
        <v>13</v>
      </c>
      <c r="G5246">
        <v>13.1</v>
      </c>
      <c r="H5246" t="s">
        <v>2327</v>
      </c>
      <c r="I5246" s="21">
        <v>42992.615439814814</v>
      </c>
      <c r="J5246">
        <v>2017</v>
      </c>
      <c r="K5246" s="21">
        <v>43045.396064814813</v>
      </c>
      <c r="L5246">
        <v>2017</v>
      </c>
      <c r="M5246" s="21">
        <v>43402.419656562502</v>
      </c>
      <c r="N5246">
        <v>2018</v>
      </c>
      <c r="Q5246" s="262">
        <v>300000</v>
      </c>
      <c r="R5246" s="262">
        <v>173000</v>
      </c>
      <c r="S5246" t="s">
        <v>13254</v>
      </c>
      <c r="W5246">
        <v>1721</v>
      </c>
      <c r="X5246">
        <v>1</v>
      </c>
      <c r="AC5246">
        <v>1721</v>
      </c>
      <c r="AO5246">
        <v>1</v>
      </c>
      <c r="AU5246">
        <f t="shared" si="162"/>
        <v>1</v>
      </c>
      <c r="AV5246">
        <f t="shared" si="163"/>
        <v>0</v>
      </c>
    </row>
    <row r="5247" spans="1:48" x14ac:dyDescent="0.25">
      <c r="A5247" t="s">
        <v>18361</v>
      </c>
      <c r="B5247" t="s">
        <v>18361</v>
      </c>
      <c r="C5247" t="s">
        <v>18317</v>
      </c>
      <c r="D5247" t="s">
        <v>18318</v>
      </c>
      <c r="E5247" t="s">
        <v>2310</v>
      </c>
      <c r="F5247">
        <v>13</v>
      </c>
      <c r="G5247">
        <v>13.1</v>
      </c>
      <c r="H5247" t="s">
        <v>2327</v>
      </c>
      <c r="I5247" s="21">
        <v>42992.619733796295</v>
      </c>
      <c r="J5247">
        <v>2017</v>
      </c>
      <c r="K5247" s="21">
        <v>43054.686203703706</v>
      </c>
      <c r="L5247">
        <v>2017</v>
      </c>
      <c r="M5247" s="21">
        <v>43402.420690474537</v>
      </c>
      <c r="N5247">
        <v>2018</v>
      </c>
      <c r="Q5247" s="262">
        <v>300000</v>
      </c>
      <c r="R5247" s="262">
        <v>173000</v>
      </c>
      <c r="S5247" t="s">
        <v>13254</v>
      </c>
      <c r="W5247">
        <v>1721</v>
      </c>
      <c r="X5247">
        <v>1</v>
      </c>
      <c r="AC5247">
        <v>1721</v>
      </c>
      <c r="AO5247">
        <v>1</v>
      </c>
      <c r="AU5247">
        <f t="shared" si="162"/>
        <v>1</v>
      </c>
      <c r="AV5247">
        <f t="shared" si="163"/>
        <v>0</v>
      </c>
    </row>
    <row r="5248" spans="1:48" x14ac:dyDescent="0.25">
      <c r="A5248" t="s">
        <v>18362</v>
      </c>
      <c r="B5248" t="s">
        <v>18362</v>
      </c>
      <c r="C5248" t="s">
        <v>18317</v>
      </c>
      <c r="D5248" t="s">
        <v>18318</v>
      </c>
      <c r="E5248" t="s">
        <v>2310</v>
      </c>
      <c r="F5248">
        <v>13</v>
      </c>
      <c r="G5248">
        <v>13.1</v>
      </c>
      <c r="H5248" t="s">
        <v>2327</v>
      </c>
      <c r="I5248" s="21">
        <v>42992.624131944445</v>
      </c>
      <c r="J5248">
        <v>2017</v>
      </c>
      <c r="K5248" s="21">
        <v>43054.687037037038</v>
      </c>
      <c r="L5248">
        <v>2017</v>
      </c>
      <c r="M5248" s="21">
        <v>43402.421798495372</v>
      </c>
      <c r="N5248">
        <v>2018</v>
      </c>
      <c r="Q5248" s="262">
        <v>300000</v>
      </c>
      <c r="R5248" s="262">
        <v>173000</v>
      </c>
      <c r="S5248" t="s">
        <v>13254</v>
      </c>
      <c r="W5248">
        <v>1721</v>
      </c>
      <c r="X5248">
        <v>1</v>
      </c>
      <c r="AC5248">
        <v>1721</v>
      </c>
      <c r="AO5248">
        <v>1</v>
      </c>
      <c r="AU5248">
        <f t="shared" si="162"/>
        <v>1</v>
      </c>
      <c r="AV5248">
        <f t="shared" si="163"/>
        <v>0</v>
      </c>
    </row>
    <row r="5249" spans="1:48" x14ac:dyDescent="0.25">
      <c r="A5249" t="s">
        <v>18359</v>
      </c>
      <c r="B5249" t="s">
        <v>18359</v>
      </c>
      <c r="C5249" t="s">
        <v>18317</v>
      </c>
      <c r="D5249" t="s">
        <v>18318</v>
      </c>
      <c r="E5249" t="s">
        <v>2310</v>
      </c>
      <c r="F5249">
        <v>13</v>
      </c>
      <c r="G5249">
        <v>13.1</v>
      </c>
      <c r="H5249" t="s">
        <v>2327</v>
      </c>
      <c r="I5249" s="21">
        <v>42992.62767361111</v>
      </c>
      <c r="J5249">
        <v>2017</v>
      </c>
      <c r="K5249" s="21">
        <v>43054.68822916667</v>
      </c>
      <c r="L5249">
        <v>2017</v>
      </c>
      <c r="M5249" s="21">
        <v>43402.41842577546</v>
      </c>
      <c r="N5249">
        <v>2018</v>
      </c>
      <c r="Q5249" s="262">
        <v>300000</v>
      </c>
      <c r="R5249" s="262">
        <v>173000</v>
      </c>
      <c r="S5249" t="s">
        <v>13254</v>
      </c>
      <c r="W5249">
        <v>1721</v>
      </c>
      <c r="X5249">
        <v>1</v>
      </c>
      <c r="AC5249">
        <v>1721</v>
      </c>
      <c r="AO5249">
        <v>1</v>
      </c>
      <c r="AU5249">
        <f t="shared" si="162"/>
        <v>1</v>
      </c>
      <c r="AV5249">
        <f t="shared" si="163"/>
        <v>0</v>
      </c>
    </row>
    <row r="5250" spans="1:48" x14ac:dyDescent="0.25">
      <c r="A5250" t="s">
        <v>18316</v>
      </c>
      <c r="B5250" t="s">
        <v>18316</v>
      </c>
      <c r="C5250" t="s">
        <v>18317</v>
      </c>
      <c r="D5250" t="s">
        <v>18318</v>
      </c>
      <c r="E5250" t="s">
        <v>2310</v>
      </c>
      <c r="F5250">
        <v>13</v>
      </c>
      <c r="G5250">
        <v>13.1</v>
      </c>
      <c r="H5250" t="s">
        <v>2327</v>
      </c>
      <c r="I5250" s="21">
        <v>42992.631226851852</v>
      </c>
      <c r="J5250">
        <v>2017</v>
      </c>
      <c r="K5250" s="21">
        <v>43032.672013888892</v>
      </c>
      <c r="L5250">
        <v>2017</v>
      </c>
      <c r="M5250" s="21">
        <v>43377.363885185187</v>
      </c>
      <c r="N5250">
        <v>2018</v>
      </c>
      <c r="Q5250" s="262">
        <v>300000</v>
      </c>
      <c r="R5250" s="262">
        <v>173000</v>
      </c>
      <c r="S5250" t="s">
        <v>13254</v>
      </c>
      <c r="W5250">
        <v>1721</v>
      </c>
      <c r="X5250">
        <v>1</v>
      </c>
      <c r="AC5250">
        <v>1721</v>
      </c>
      <c r="AO5250">
        <v>1</v>
      </c>
      <c r="AU5250">
        <f t="shared" si="162"/>
        <v>1</v>
      </c>
      <c r="AV5250">
        <f t="shared" si="163"/>
        <v>0</v>
      </c>
    </row>
    <row r="5251" spans="1:48" x14ac:dyDescent="0.25">
      <c r="A5251" t="s">
        <v>18320</v>
      </c>
      <c r="B5251" t="s">
        <v>18320</v>
      </c>
      <c r="C5251" t="s">
        <v>18317</v>
      </c>
      <c r="D5251" t="s">
        <v>18318</v>
      </c>
      <c r="E5251" t="s">
        <v>2310</v>
      </c>
      <c r="F5251">
        <v>13</v>
      </c>
      <c r="G5251">
        <v>13.1</v>
      </c>
      <c r="H5251" t="s">
        <v>2327</v>
      </c>
      <c r="I5251" s="21">
        <v>42992.634432870371</v>
      </c>
      <c r="J5251">
        <v>2017</v>
      </c>
      <c r="K5251" s="21">
        <v>43032.669004629628</v>
      </c>
      <c r="L5251">
        <v>2017</v>
      </c>
      <c r="M5251" s="21">
        <v>43377.367426932869</v>
      </c>
      <c r="N5251">
        <v>2018</v>
      </c>
      <c r="Q5251" s="262">
        <v>300000</v>
      </c>
      <c r="R5251" s="262">
        <v>173000</v>
      </c>
      <c r="S5251" t="s">
        <v>13254</v>
      </c>
      <c r="W5251">
        <v>1721</v>
      </c>
      <c r="X5251">
        <v>1</v>
      </c>
      <c r="AC5251">
        <v>1721</v>
      </c>
      <c r="AO5251">
        <v>1</v>
      </c>
      <c r="AU5251">
        <f t="shared" si="162"/>
        <v>1</v>
      </c>
      <c r="AV5251">
        <f t="shared" si="163"/>
        <v>0</v>
      </c>
    </row>
    <row r="5252" spans="1:48" x14ac:dyDescent="0.25">
      <c r="A5252" t="s">
        <v>18321</v>
      </c>
      <c r="B5252" t="s">
        <v>18321</v>
      </c>
      <c r="C5252" t="s">
        <v>18317</v>
      </c>
      <c r="D5252" t="s">
        <v>18318</v>
      </c>
      <c r="E5252" t="s">
        <v>2310</v>
      </c>
      <c r="F5252">
        <v>13</v>
      </c>
      <c r="G5252">
        <v>13.1</v>
      </c>
      <c r="H5252" t="s">
        <v>2327</v>
      </c>
      <c r="I5252" s="21">
        <v>42992.637418981481</v>
      </c>
      <c r="J5252">
        <v>2017</v>
      </c>
      <c r="K5252" s="21">
        <v>43032.665868055556</v>
      </c>
      <c r="L5252">
        <v>2017</v>
      </c>
      <c r="M5252" s="21">
        <v>43377.368725231485</v>
      </c>
      <c r="N5252">
        <v>2018</v>
      </c>
      <c r="Q5252" s="262">
        <v>300000</v>
      </c>
      <c r="R5252" s="262">
        <v>173000</v>
      </c>
      <c r="S5252" t="s">
        <v>13254</v>
      </c>
      <c r="W5252">
        <v>1721</v>
      </c>
      <c r="X5252">
        <v>1</v>
      </c>
      <c r="AC5252">
        <v>1721</v>
      </c>
      <c r="AO5252">
        <v>1</v>
      </c>
      <c r="AU5252">
        <f t="shared" si="162"/>
        <v>1</v>
      </c>
      <c r="AV5252">
        <f t="shared" si="163"/>
        <v>0</v>
      </c>
    </row>
    <row r="5253" spans="1:48" x14ac:dyDescent="0.25">
      <c r="A5253" t="s">
        <v>18319</v>
      </c>
      <c r="B5253" t="s">
        <v>18319</v>
      </c>
      <c r="C5253" t="s">
        <v>18317</v>
      </c>
      <c r="D5253" t="s">
        <v>18318</v>
      </c>
      <c r="E5253" t="s">
        <v>2310</v>
      </c>
      <c r="F5253">
        <v>13</v>
      </c>
      <c r="G5253">
        <v>13.1</v>
      </c>
      <c r="H5253" t="s">
        <v>2327</v>
      </c>
      <c r="I5253" s="21">
        <v>42992.640497685185</v>
      </c>
      <c r="J5253">
        <v>2017</v>
      </c>
      <c r="K5253" s="21">
        <v>43032.654560185183</v>
      </c>
      <c r="L5253">
        <v>2017</v>
      </c>
      <c r="M5253" s="21">
        <v>43377.365127743054</v>
      </c>
      <c r="N5253">
        <v>2018</v>
      </c>
      <c r="Q5253" s="262">
        <v>300000</v>
      </c>
      <c r="R5253" s="262">
        <v>173000</v>
      </c>
      <c r="S5253" t="s">
        <v>13254</v>
      </c>
      <c r="W5253">
        <v>1721</v>
      </c>
      <c r="X5253">
        <v>1</v>
      </c>
      <c r="AC5253">
        <v>1721</v>
      </c>
      <c r="AO5253">
        <v>1</v>
      </c>
      <c r="AU5253">
        <f t="shared" si="162"/>
        <v>1</v>
      </c>
      <c r="AV5253">
        <f t="shared" si="163"/>
        <v>0</v>
      </c>
    </row>
    <row r="5254" spans="1:48" x14ac:dyDescent="0.25">
      <c r="A5254" t="s">
        <v>18960</v>
      </c>
      <c r="B5254" t="s">
        <v>18960</v>
      </c>
      <c r="C5254" t="s">
        <v>18961</v>
      </c>
      <c r="D5254" t="s">
        <v>18290</v>
      </c>
      <c r="E5254" t="s">
        <v>2310</v>
      </c>
      <c r="F5254">
        <v>15</v>
      </c>
      <c r="G5254">
        <v>15.2</v>
      </c>
      <c r="H5254" t="s">
        <v>2323</v>
      </c>
      <c r="I5254" s="21">
        <v>42996.655324074076</v>
      </c>
      <c r="J5254">
        <v>2017</v>
      </c>
      <c r="K5254" s="21">
        <v>43360.524995023145</v>
      </c>
      <c r="L5254">
        <v>2018</v>
      </c>
      <c r="M5254" s="21">
        <v>43685.4572934838</v>
      </c>
      <c r="N5254">
        <v>2019</v>
      </c>
      <c r="Q5254" s="262">
        <v>900000</v>
      </c>
      <c r="R5254" s="262">
        <v>34000</v>
      </c>
      <c r="S5254" t="s">
        <v>13254</v>
      </c>
      <c r="W5254">
        <v>748</v>
      </c>
      <c r="X5254">
        <v>0</v>
      </c>
      <c r="AC5254">
        <v>748</v>
      </c>
      <c r="AU5254">
        <f t="shared" si="162"/>
        <v>0</v>
      </c>
      <c r="AV5254">
        <f t="shared" si="163"/>
        <v>0</v>
      </c>
    </row>
    <row r="5255" spans="1:48" x14ac:dyDescent="0.25">
      <c r="A5255" t="s">
        <v>13670</v>
      </c>
      <c r="B5255" t="s">
        <v>13670</v>
      </c>
      <c r="C5255" t="s">
        <v>13671</v>
      </c>
      <c r="D5255" t="s">
        <v>9587</v>
      </c>
      <c r="E5255" t="s">
        <v>2310</v>
      </c>
      <c r="F5255">
        <v>11</v>
      </c>
      <c r="G5255">
        <v>11.1</v>
      </c>
      <c r="H5255" t="s">
        <v>2327</v>
      </c>
      <c r="I5255" s="21">
        <v>42997.559120370403</v>
      </c>
      <c r="J5255">
        <v>2017</v>
      </c>
      <c r="K5255" s="21">
        <v>43046.612534722197</v>
      </c>
      <c r="L5255">
        <v>2017</v>
      </c>
      <c r="M5255" s="21">
        <v>43222.406893669002</v>
      </c>
      <c r="N5255">
        <v>2018</v>
      </c>
      <c r="Q5255" s="262">
        <v>10000</v>
      </c>
      <c r="R5255" s="262">
        <v>109000</v>
      </c>
      <c r="S5255" t="s">
        <v>114</v>
      </c>
      <c r="T5255" t="s">
        <v>114</v>
      </c>
      <c r="V5255">
        <v>886</v>
      </c>
      <c r="W5255">
        <v>0</v>
      </c>
      <c r="X5255">
        <v>0</v>
      </c>
      <c r="AU5255">
        <f t="shared" si="162"/>
        <v>0</v>
      </c>
      <c r="AV5255">
        <f t="shared" si="163"/>
        <v>0</v>
      </c>
    </row>
    <row r="5256" spans="1:48" x14ac:dyDescent="0.25">
      <c r="A5256" t="s">
        <v>17971</v>
      </c>
      <c r="B5256" t="s">
        <v>17971</v>
      </c>
      <c r="C5256" t="s">
        <v>17972</v>
      </c>
      <c r="D5256" t="s">
        <v>5562</v>
      </c>
      <c r="E5256" t="s">
        <v>2310</v>
      </c>
      <c r="F5256">
        <v>9</v>
      </c>
      <c r="G5256">
        <v>9.3000000000000007</v>
      </c>
      <c r="H5256" t="s">
        <v>2323</v>
      </c>
      <c r="I5256" s="21">
        <v>42997.614432870374</v>
      </c>
      <c r="J5256">
        <v>2017</v>
      </c>
      <c r="K5256" s="21">
        <v>43061.500891203701</v>
      </c>
      <c r="L5256">
        <v>2017</v>
      </c>
      <c r="M5256" s="21">
        <v>43983.454722569448</v>
      </c>
      <c r="N5256">
        <v>2020</v>
      </c>
      <c r="Q5256" s="262">
        <v>5100000</v>
      </c>
      <c r="R5256" s="262">
        <v>270000</v>
      </c>
      <c r="S5256" t="s">
        <v>13253</v>
      </c>
      <c r="T5256">
        <v>2374</v>
      </c>
      <c r="W5256">
        <v>2170</v>
      </c>
      <c r="X5256">
        <v>0</v>
      </c>
      <c r="AC5256">
        <v>2170</v>
      </c>
      <c r="AU5256">
        <f t="shared" si="162"/>
        <v>0</v>
      </c>
      <c r="AV5256">
        <f t="shared" si="163"/>
        <v>0</v>
      </c>
    </row>
    <row r="5257" spans="1:48" x14ac:dyDescent="0.25">
      <c r="A5257" t="s">
        <v>13672</v>
      </c>
      <c r="C5257" t="s">
        <v>13673</v>
      </c>
      <c r="D5257" t="s">
        <v>13674</v>
      </c>
      <c r="E5257" t="s">
        <v>1663</v>
      </c>
      <c r="F5257">
        <v>6</v>
      </c>
      <c r="G5257">
        <v>6.1</v>
      </c>
      <c r="H5257" t="s">
        <v>2017</v>
      </c>
      <c r="I5257" s="21">
        <v>42998</v>
      </c>
      <c r="J5257">
        <v>2017</v>
      </c>
      <c r="K5257" s="21">
        <v>43007</v>
      </c>
      <c r="L5257">
        <v>2017</v>
      </c>
      <c r="M5257" s="21">
        <v>44413</v>
      </c>
      <c r="N5257">
        <v>2021</v>
      </c>
      <c r="Q5257" s="262">
        <v>50000</v>
      </c>
      <c r="S5257" t="s">
        <v>114</v>
      </c>
      <c r="T5257" t="s">
        <v>114</v>
      </c>
      <c r="W5257">
        <v>0</v>
      </c>
      <c r="X5257">
        <v>0</v>
      </c>
      <c r="AU5257">
        <f t="shared" si="162"/>
        <v>0</v>
      </c>
      <c r="AV5257">
        <f t="shared" si="163"/>
        <v>0</v>
      </c>
    </row>
    <row r="5258" spans="1:48" x14ac:dyDescent="0.25">
      <c r="A5258" t="s">
        <v>18066</v>
      </c>
      <c r="B5258" t="s">
        <v>18066</v>
      </c>
      <c r="C5258" t="s">
        <v>11002</v>
      </c>
      <c r="D5258" t="s">
        <v>17913</v>
      </c>
      <c r="E5258" t="s">
        <v>2310</v>
      </c>
      <c r="F5258">
        <v>12</v>
      </c>
      <c r="G5258">
        <v>12.2</v>
      </c>
      <c r="H5258" t="s">
        <v>2017</v>
      </c>
      <c r="I5258" s="21">
        <v>43003.577094907407</v>
      </c>
      <c r="J5258">
        <v>2017</v>
      </c>
      <c r="K5258" s="21">
        <v>43027.588495370372</v>
      </c>
      <c r="L5258">
        <v>2017</v>
      </c>
      <c r="M5258" s="21">
        <v>43217.458726851852</v>
      </c>
      <c r="N5258">
        <v>2018</v>
      </c>
      <c r="Q5258" s="262">
        <v>30000</v>
      </c>
      <c r="R5258" s="262">
        <v>40000</v>
      </c>
      <c r="S5258" t="s">
        <v>13254</v>
      </c>
      <c r="W5258">
        <v>884</v>
      </c>
      <c r="X5258">
        <v>0</v>
      </c>
      <c r="AC5258">
        <v>884</v>
      </c>
      <c r="AU5258">
        <f t="shared" si="162"/>
        <v>0</v>
      </c>
      <c r="AV5258">
        <f t="shared" si="163"/>
        <v>0</v>
      </c>
    </row>
    <row r="5259" spans="1:48" x14ac:dyDescent="0.25">
      <c r="A5259" t="s">
        <v>18841</v>
      </c>
      <c r="B5259" t="s">
        <v>18841</v>
      </c>
      <c r="C5259" t="s">
        <v>18842</v>
      </c>
      <c r="D5259" t="s">
        <v>18843</v>
      </c>
      <c r="E5259" t="s">
        <v>2310</v>
      </c>
      <c r="F5259">
        <v>13</v>
      </c>
      <c r="G5259">
        <v>13.2</v>
      </c>
      <c r="H5259" t="s">
        <v>2327</v>
      </c>
      <c r="I5259" s="21">
        <v>43004.480347222219</v>
      </c>
      <c r="J5259">
        <v>2017</v>
      </c>
      <c r="K5259" s="21">
        <v>43641.500083368053</v>
      </c>
      <c r="L5259">
        <v>2019</v>
      </c>
      <c r="M5259" s="21">
        <v>43641.501150115742</v>
      </c>
      <c r="N5259">
        <v>2019</v>
      </c>
      <c r="Q5259" s="262">
        <v>4500000</v>
      </c>
      <c r="R5259" s="262">
        <v>1200000</v>
      </c>
      <c r="S5259" t="s">
        <v>13254</v>
      </c>
      <c r="W5259">
        <v>8141</v>
      </c>
      <c r="X5259">
        <v>1</v>
      </c>
      <c r="AC5259">
        <v>8141</v>
      </c>
      <c r="AO5259">
        <v>1</v>
      </c>
      <c r="AU5259">
        <f t="shared" si="162"/>
        <v>1</v>
      </c>
      <c r="AV5259">
        <f t="shared" si="163"/>
        <v>0</v>
      </c>
    </row>
    <row r="5260" spans="1:48" x14ac:dyDescent="0.25">
      <c r="A5260" t="s">
        <v>19579</v>
      </c>
      <c r="B5260" t="s">
        <v>19579</v>
      </c>
      <c r="C5260" t="s">
        <v>19580</v>
      </c>
      <c r="D5260" t="s">
        <v>18293</v>
      </c>
      <c r="E5260" t="s">
        <v>2310</v>
      </c>
      <c r="F5260">
        <v>13</v>
      </c>
      <c r="G5260">
        <v>13.2</v>
      </c>
      <c r="H5260" t="s">
        <v>2327</v>
      </c>
      <c r="I5260" s="21">
        <v>43004.495416666665</v>
      </c>
      <c r="J5260">
        <v>2017</v>
      </c>
      <c r="K5260" s="21">
        <v>43341.433448923613</v>
      </c>
      <c r="L5260">
        <v>2018</v>
      </c>
      <c r="M5260" s="21">
        <v>43341.433861608799</v>
      </c>
      <c r="N5260">
        <v>2018</v>
      </c>
      <c r="Q5260" s="262">
        <v>500000</v>
      </c>
      <c r="R5260" s="262">
        <v>115000</v>
      </c>
      <c r="S5260" t="s">
        <v>13253</v>
      </c>
      <c r="T5260">
        <v>15162</v>
      </c>
      <c r="W5260">
        <v>1015</v>
      </c>
      <c r="X5260">
        <v>0</v>
      </c>
      <c r="AC5260">
        <v>1015</v>
      </c>
      <c r="AU5260">
        <f t="shared" si="162"/>
        <v>0</v>
      </c>
      <c r="AV5260">
        <f t="shared" si="163"/>
        <v>0</v>
      </c>
    </row>
    <row r="5261" spans="1:48" x14ac:dyDescent="0.25">
      <c r="A5261" t="s">
        <v>18380</v>
      </c>
      <c r="B5261" t="s">
        <v>18380</v>
      </c>
      <c r="C5261" t="s">
        <v>18381</v>
      </c>
      <c r="D5261" t="s">
        <v>17109</v>
      </c>
      <c r="E5261" t="s">
        <v>2310</v>
      </c>
      <c r="F5261">
        <v>9</v>
      </c>
      <c r="G5261">
        <v>9.1</v>
      </c>
      <c r="H5261" t="s">
        <v>2323</v>
      </c>
      <c r="I5261" s="21">
        <v>43004.646747685183</v>
      </c>
      <c r="J5261">
        <v>2017</v>
      </c>
      <c r="K5261" s="21">
        <v>43021.423518518517</v>
      </c>
      <c r="L5261">
        <v>2017</v>
      </c>
      <c r="M5261" s="21">
        <v>43409.432982094906</v>
      </c>
      <c r="N5261">
        <v>2018</v>
      </c>
      <c r="Q5261" s="262">
        <v>210000</v>
      </c>
      <c r="R5261" s="262">
        <v>24000</v>
      </c>
      <c r="S5261" t="s">
        <v>13254</v>
      </c>
      <c r="W5261">
        <v>527</v>
      </c>
      <c r="X5261">
        <v>0</v>
      </c>
      <c r="AL5261">
        <v>527</v>
      </c>
      <c r="AU5261">
        <f t="shared" si="162"/>
        <v>0</v>
      </c>
      <c r="AV5261">
        <f t="shared" si="163"/>
        <v>527</v>
      </c>
    </row>
    <row r="5262" spans="1:48" x14ac:dyDescent="0.25">
      <c r="A5262" t="s">
        <v>13675</v>
      </c>
      <c r="C5262" t="s">
        <v>13676</v>
      </c>
      <c r="D5262" t="s">
        <v>9079</v>
      </c>
      <c r="E5262" t="s">
        <v>1663</v>
      </c>
      <c r="F5262">
        <v>6</v>
      </c>
      <c r="G5262">
        <v>6.1</v>
      </c>
      <c r="H5262" t="s">
        <v>2017</v>
      </c>
      <c r="I5262" s="21">
        <v>43005</v>
      </c>
      <c r="J5262">
        <v>2017</v>
      </c>
      <c r="K5262" s="21">
        <v>43041</v>
      </c>
      <c r="L5262">
        <v>2017</v>
      </c>
      <c r="M5262" s="21">
        <v>43236</v>
      </c>
      <c r="N5262">
        <v>2018</v>
      </c>
      <c r="Q5262" s="262">
        <v>255000</v>
      </c>
      <c r="S5262" t="s">
        <v>114</v>
      </c>
      <c r="T5262" t="s">
        <v>114</v>
      </c>
      <c r="W5262">
        <v>0</v>
      </c>
      <c r="X5262">
        <v>0</v>
      </c>
      <c r="AU5262">
        <f t="shared" si="162"/>
        <v>0</v>
      </c>
      <c r="AV5262">
        <f t="shared" si="163"/>
        <v>0</v>
      </c>
    </row>
    <row r="5263" spans="1:48" x14ac:dyDescent="0.25">
      <c r="A5263" t="s">
        <v>18680</v>
      </c>
      <c r="B5263" t="s">
        <v>114</v>
      </c>
      <c r="C5263" t="s">
        <v>18681</v>
      </c>
      <c r="D5263" t="s">
        <v>18682</v>
      </c>
      <c r="E5263" t="s">
        <v>1663</v>
      </c>
      <c r="F5263">
        <v>3</v>
      </c>
      <c r="G5263">
        <v>3.2</v>
      </c>
      <c r="H5263" t="s">
        <v>2327</v>
      </c>
      <c r="I5263" s="21">
        <v>43005</v>
      </c>
      <c r="J5263">
        <v>2017</v>
      </c>
      <c r="K5263" s="21">
        <v>43145</v>
      </c>
      <c r="L5263">
        <v>2018</v>
      </c>
      <c r="M5263" s="21">
        <v>43615</v>
      </c>
      <c r="N5263">
        <v>2019</v>
      </c>
      <c r="Q5263" s="262">
        <v>1250000</v>
      </c>
      <c r="S5263" t="s">
        <v>13254</v>
      </c>
      <c r="W5263">
        <v>4095</v>
      </c>
      <c r="X5263">
        <v>2</v>
      </c>
      <c r="AC5263">
        <v>3743</v>
      </c>
      <c r="AE5263">
        <v>352</v>
      </c>
      <c r="AO5263">
        <v>1</v>
      </c>
      <c r="AQ5263">
        <v>1</v>
      </c>
      <c r="AU5263">
        <f t="shared" si="162"/>
        <v>2</v>
      </c>
      <c r="AV5263">
        <f t="shared" si="163"/>
        <v>0</v>
      </c>
    </row>
    <row r="5264" spans="1:48" x14ac:dyDescent="0.25">
      <c r="A5264" t="s">
        <v>19326</v>
      </c>
      <c r="B5264" t="s">
        <v>114</v>
      </c>
      <c r="C5264" t="s">
        <v>19327</v>
      </c>
      <c r="D5264" t="s">
        <v>19328</v>
      </c>
      <c r="E5264" t="s">
        <v>1663</v>
      </c>
      <c r="F5264">
        <v>1</v>
      </c>
      <c r="G5264">
        <v>1.1000000000000001</v>
      </c>
      <c r="H5264" t="s">
        <v>2017</v>
      </c>
      <c r="I5264" s="21">
        <v>43005</v>
      </c>
      <c r="J5264">
        <v>2017</v>
      </c>
      <c r="K5264" s="21">
        <v>43270</v>
      </c>
      <c r="L5264">
        <v>2018</v>
      </c>
      <c r="M5264" s="21">
        <v>43542</v>
      </c>
      <c r="N5264">
        <v>2019</v>
      </c>
      <c r="Q5264" s="262">
        <v>1250000</v>
      </c>
      <c r="S5264" t="s">
        <v>13253</v>
      </c>
      <c r="T5264">
        <v>13020</v>
      </c>
      <c r="W5264">
        <v>-1198</v>
      </c>
      <c r="X5264">
        <v>0</v>
      </c>
      <c r="AJ5264">
        <v>2552</v>
      </c>
      <c r="AK5264">
        <v>-3750</v>
      </c>
      <c r="AU5264">
        <f t="shared" si="162"/>
        <v>0</v>
      </c>
      <c r="AV5264">
        <f t="shared" si="163"/>
        <v>-1198</v>
      </c>
    </row>
    <row r="5265" spans="1:48" x14ac:dyDescent="0.25">
      <c r="A5265" t="s">
        <v>18045</v>
      </c>
      <c r="B5265" t="s">
        <v>18045</v>
      </c>
      <c r="C5265" t="s">
        <v>18046</v>
      </c>
      <c r="D5265" t="s">
        <v>18047</v>
      </c>
      <c r="E5265" t="s">
        <v>2310</v>
      </c>
      <c r="F5265">
        <v>10</v>
      </c>
      <c r="G5265">
        <v>10.1</v>
      </c>
      <c r="H5265" t="s">
        <v>2323</v>
      </c>
      <c r="I5265" s="21">
        <v>43006.44122685185</v>
      </c>
      <c r="J5265">
        <v>2017</v>
      </c>
      <c r="K5265" s="21">
        <v>43066.473194444443</v>
      </c>
      <c r="L5265">
        <v>2017</v>
      </c>
      <c r="M5265" s="21">
        <v>43201.445868055554</v>
      </c>
      <c r="N5265">
        <v>2018</v>
      </c>
      <c r="Q5265" s="262">
        <v>475000</v>
      </c>
      <c r="R5265" s="262">
        <v>261000</v>
      </c>
      <c r="S5265" t="s">
        <v>13254</v>
      </c>
      <c r="W5265">
        <v>2100</v>
      </c>
      <c r="X5265">
        <v>1</v>
      </c>
      <c r="AC5265">
        <v>2100</v>
      </c>
      <c r="AO5265">
        <v>1</v>
      </c>
      <c r="AU5265">
        <f t="shared" si="162"/>
        <v>1</v>
      </c>
      <c r="AV5265">
        <f t="shared" si="163"/>
        <v>0</v>
      </c>
    </row>
    <row r="5266" spans="1:48" x14ac:dyDescent="0.25">
      <c r="A5266" t="s">
        <v>18048</v>
      </c>
      <c r="B5266" t="s">
        <v>18048</v>
      </c>
      <c r="C5266" t="s">
        <v>18049</v>
      </c>
      <c r="D5266" t="s">
        <v>18047</v>
      </c>
      <c r="E5266" t="s">
        <v>2310</v>
      </c>
      <c r="F5266">
        <v>10</v>
      </c>
      <c r="G5266">
        <v>10.1</v>
      </c>
      <c r="H5266" t="s">
        <v>2323</v>
      </c>
      <c r="I5266" s="21">
        <v>43006.450856481482</v>
      </c>
      <c r="J5266">
        <v>2017</v>
      </c>
      <c r="K5266" s="21">
        <v>43066.473935185182</v>
      </c>
      <c r="L5266">
        <v>2017</v>
      </c>
      <c r="M5266" s="21">
        <v>43201.453576388885</v>
      </c>
      <c r="N5266">
        <v>2018</v>
      </c>
      <c r="Q5266" s="262">
        <v>475000</v>
      </c>
      <c r="R5266" s="262">
        <v>38000</v>
      </c>
      <c r="S5266" t="s">
        <v>13254</v>
      </c>
      <c r="W5266">
        <v>846</v>
      </c>
      <c r="X5266">
        <v>0</v>
      </c>
      <c r="AC5266">
        <v>846</v>
      </c>
      <c r="AU5266">
        <f t="shared" si="162"/>
        <v>0</v>
      </c>
      <c r="AV5266">
        <f t="shared" si="163"/>
        <v>0</v>
      </c>
    </row>
    <row r="5267" spans="1:48" x14ac:dyDescent="0.25">
      <c r="A5267" t="s">
        <v>13677</v>
      </c>
      <c r="B5267" t="s">
        <v>13677</v>
      </c>
      <c r="C5267" t="s">
        <v>13678</v>
      </c>
      <c r="D5267" t="s">
        <v>2716</v>
      </c>
      <c r="E5267" t="s">
        <v>2310</v>
      </c>
      <c r="F5267">
        <v>11</v>
      </c>
      <c r="G5267">
        <v>11.1</v>
      </c>
      <c r="H5267" t="s">
        <v>2327</v>
      </c>
      <c r="I5267" s="21">
        <v>43006.477349537003</v>
      </c>
      <c r="J5267">
        <v>2017</v>
      </c>
      <c r="K5267" s="21">
        <v>43052.704583333303</v>
      </c>
      <c r="L5267">
        <v>2017</v>
      </c>
      <c r="M5267" s="21">
        <v>43376.392323576401</v>
      </c>
      <c r="N5267">
        <v>2018</v>
      </c>
      <c r="Q5267" s="262">
        <v>250000</v>
      </c>
      <c r="R5267" s="262">
        <v>218000</v>
      </c>
      <c r="S5267" t="s">
        <v>114</v>
      </c>
      <c r="T5267" t="s">
        <v>114</v>
      </c>
      <c r="W5267">
        <v>0</v>
      </c>
      <c r="X5267">
        <v>0</v>
      </c>
      <c r="AU5267">
        <f t="shared" si="162"/>
        <v>0</v>
      </c>
      <c r="AV5267">
        <f t="shared" si="163"/>
        <v>0</v>
      </c>
    </row>
    <row r="5268" spans="1:48" x14ac:dyDescent="0.25">
      <c r="A5268" t="s">
        <v>18510</v>
      </c>
      <c r="B5268" t="s">
        <v>18510</v>
      </c>
      <c r="C5268" t="s">
        <v>18511</v>
      </c>
      <c r="D5268" t="s">
        <v>15888</v>
      </c>
      <c r="E5268" t="s">
        <v>2310</v>
      </c>
      <c r="F5268">
        <v>8</v>
      </c>
      <c r="G5268">
        <v>8.1</v>
      </c>
      <c r="H5268" t="s">
        <v>2323</v>
      </c>
      <c r="I5268" s="21">
        <v>43006.556458333333</v>
      </c>
      <c r="J5268">
        <v>2017</v>
      </c>
      <c r="K5268" s="21">
        <v>43034.559733796297</v>
      </c>
      <c r="L5268">
        <v>2017</v>
      </c>
      <c r="M5268" s="21">
        <v>43131.694768518515</v>
      </c>
      <c r="N5268">
        <v>2018</v>
      </c>
      <c r="Q5268" s="262">
        <v>100000</v>
      </c>
      <c r="R5268" s="262">
        <v>98000</v>
      </c>
      <c r="S5268" t="s">
        <v>13253</v>
      </c>
      <c r="T5268">
        <v>5827</v>
      </c>
      <c r="V5268">
        <v>980</v>
      </c>
      <c r="W5268">
        <v>130</v>
      </c>
      <c r="X5268">
        <v>0</v>
      </c>
      <c r="AC5268">
        <v>130</v>
      </c>
      <c r="AU5268">
        <f t="shared" si="162"/>
        <v>0</v>
      </c>
      <c r="AV5268">
        <f t="shared" si="163"/>
        <v>0</v>
      </c>
    </row>
    <row r="5269" spans="1:48" x14ac:dyDescent="0.25">
      <c r="A5269" t="s">
        <v>18458</v>
      </c>
      <c r="B5269" t="s">
        <v>18458</v>
      </c>
      <c r="C5269" t="s">
        <v>18459</v>
      </c>
      <c r="D5269" t="s">
        <v>2898</v>
      </c>
      <c r="E5269" t="s">
        <v>2310</v>
      </c>
      <c r="F5269">
        <v>9</v>
      </c>
      <c r="G5269">
        <v>9.3000000000000007</v>
      </c>
      <c r="H5269" t="s">
        <v>2323</v>
      </c>
      <c r="I5269" s="21">
        <v>43006.591122685182</v>
      </c>
      <c r="J5269">
        <v>2017</v>
      </c>
      <c r="K5269" s="21">
        <v>43054.410266203704</v>
      </c>
      <c r="L5269">
        <v>2017</v>
      </c>
      <c r="M5269" s="21">
        <v>43406.434195833332</v>
      </c>
      <c r="N5269">
        <v>2018</v>
      </c>
      <c r="Q5269" s="262">
        <v>225000</v>
      </c>
      <c r="R5269" s="262">
        <v>29000</v>
      </c>
      <c r="S5269" t="s">
        <v>13253</v>
      </c>
      <c r="T5269">
        <v>5414</v>
      </c>
      <c r="V5269">
        <v>337</v>
      </c>
      <c r="W5269">
        <v>234</v>
      </c>
      <c r="X5269">
        <v>0</v>
      </c>
      <c r="AC5269">
        <v>234</v>
      </c>
      <c r="AU5269">
        <f t="shared" si="162"/>
        <v>0</v>
      </c>
      <c r="AV5269">
        <f t="shared" si="163"/>
        <v>0</v>
      </c>
    </row>
    <row r="5270" spans="1:48" x14ac:dyDescent="0.25">
      <c r="A5270" t="s">
        <v>19210</v>
      </c>
      <c r="B5270" t="s">
        <v>19210</v>
      </c>
      <c r="C5270" t="s">
        <v>19211</v>
      </c>
      <c r="D5270" t="s">
        <v>19212</v>
      </c>
      <c r="E5270" t="s">
        <v>2310</v>
      </c>
      <c r="F5270">
        <v>10</v>
      </c>
      <c r="G5270">
        <v>10.1</v>
      </c>
      <c r="H5270" t="s">
        <v>2323</v>
      </c>
      <c r="I5270" s="21">
        <v>43011.485173611109</v>
      </c>
      <c r="J5270">
        <v>2017</v>
      </c>
      <c r="K5270" s="21">
        <v>43231.680564618058</v>
      </c>
      <c r="L5270">
        <v>2018</v>
      </c>
      <c r="M5270" s="21">
        <v>43852.406413657409</v>
      </c>
      <c r="N5270">
        <v>2020</v>
      </c>
      <c r="Q5270" s="262">
        <v>550000</v>
      </c>
      <c r="R5270" s="262">
        <v>253000</v>
      </c>
      <c r="S5270" t="s">
        <v>13254</v>
      </c>
      <c r="W5270">
        <v>2477</v>
      </c>
      <c r="X5270">
        <v>1</v>
      </c>
      <c r="AC5270">
        <v>2477</v>
      </c>
      <c r="AO5270">
        <v>1</v>
      </c>
      <c r="AU5270">
        <f t="shared" si="162"/>
        <v>1</v>
      </c>
      <c r="AV5270">
        <f t="shared" si="163"/>
        <v>0</v>
      </c>
    </row>
    <row r="5271" spans="1:48" x14ac:dyDescent="0.25">
      <c r="A5271" t="s">
        <v>13679</v>
      </c>
      <c r="B5271" t="s">
        <v>13679</v>
      </c>
      <c r="C5271" t="s">
        <v>13680</v>
      </c>
      <c r="D5271" t="s">
        <v>13681</v>
      </c>
      <c r="E5271" t="s">
        <v>2310</v>
      </c>
      <c r="F5271">
        <v>12</v>
      </c>
      <c r="G5271">
        <v>12.2</v>
      </c>
      <c r="H5271" t="s">
        <v>2017</v>
      </c>
      <c r="I5271" s="21">
        <v>43011.620555555601</v>
      </c>
      <c r="J5271">
        <v>2017</v>
      </c>
      <c r="K5271" s="21">
        <v>43045.688483796301</v>
      </c>
      <c r="L5271">
        <v>2017</v>
      </c>
      <c r="M5271" s="21">
        <v>43165.545358796298</v>
      </c>
      <c r="N5271">
        <v>2018</v>
      </c>
      <c r="Q5271" s="262">
        <v>108932.88</v>
      </c>
      <c r="R5271" s="262">
        <v>146000</v>
      </c>
      <c r="S5271" t="s">
        <v>114</v>
      </c>
      <c r="T5271" t="s">
        <v>114</v>
      </c>
      <c r="V5271">
        <v>2198</v>
      </c>
      <c r="W5271">
        <v>0</v>
      </c>
      <c r="X5271">
        <v>0</v>
      </c>
      <c r="AU5271">
        <f t="shared" si="162"/>
        <v>0</v>
      </c>
      <c r="AV5271">
        <f t="shared" si="163"/>
        <v>0</v>
      </c>
    </row>
    <row r="5272" spans="1:48" x14ac:dyDescent="0.25">
      <c r="A5272" t="s">
        <v>19971</v>
      </c>
      <c r="C5272" t="s">
        <v>18817</v>
      </c>
      <c r="D5272" t="s">
        <v>9991</v>
      </c>
      <c r="E5272" t="s">
        <v>1663</v>
      </c>
      <c r="F5272">
        <v>3</v>
      </c>
      <c r="G5272">
        <v>3.1</v>
      </c>
      <c r="H5272" t="s">
        <v>2017</v>
      </c>
      <c r="I5272" s="21">
        <v>43012</v>
      </c>
      <c r="J5272">
        <v>2017</v>
      </c>
      <c r="K5272" s="21">
        <v>43216</v>
      </c>
      <c r="L5272">
        <v>2018</v>
      </c>
      <c r="M5272" s="21">
        <v>44522</v>
      </c>
      <c r="N5272">
        <v>2021</v>
      </c>
      <c r="Q5272" s="262">
        <v>125000</v>
      </c>
      <c r="S5272" t="s">
        <v>13253</v>
      </c>
      <c r="T5272">
        <v>10022</v>
      </c>
      <c r="U5272">
        <v>5</v>
      </c>
      <c r="W5272">
        <v>980</v>
      </c>
      <c r="X5272">
        <v>0</v>
      </c>
      <c r="AC5272">
        <v>980</v>
      </c>
      <c r="AU5272">
        <f t="shared" si="162"/>
        <v>0</v>
      </c>
      <c r="AV5272">
        <f t="shared" si="163"/>
        <v>0</v>
      </c>
    </row>
    <row r="5273" spans="1:48" x14ac:dyDescent="0.25">
      <c r="A5273" t="s">
        <v>18442</v>
      </c>
      <c r="B5273" t="s">
        <v>18442</v>
      </c>
      <c r="C5273" t="s">
        <v>18443</v>
      </c>
      <c r="D5273" t="s">
        <v>18444</v>
      </c>
      <c r="E5273" t="s">
        <v>2310</v>
      </c>
      <c r="F5273">
        <v>9</v>
      </c>
      <c r="G5273">
        <v>9.4</v>
      </c>
      <c r="H5273" t="s">
        <v>2323</v>
      </c>
      <c r="I5273" s="21">
        <v>43013.605995370373</v>
      </c>
      <c r="J5273">
        <v>2017</v>
      </c>
      <c r="K5273" s="21">
        <v>43137.570601851854</v>
      </c>
      <c r="L5273">
        <v>2018</v>
      </c>
      <c r="M5273" s="21">
        <v>43444.419828090278</v>
      </c>
      <c r="N5273">
        <v>2018</v>
      </c>
      <c r="Q5273" s="262">
        <v>300000</v>
      </c>
      <c r="R5273" s="262">
        <v>94000</v>
      </c>
      <c r="S5273" t="s">
        <v>13254</v>
      </c>
      <c r="W5273">
        <v>754</v>
      </c>
      <c r="X5273">
        <v>1</v>
      </c>
      <c r="AC5273">
        <v>754</v>
      </c>
      <c r="AO5273">
        <v>1</v>
      </c>
      <c r="AU5273">
        <f t="shared" ref="AU5273:AU5336" si="164">SUM(AN5273:AQ5273,AS5273)</f>
        <v>1</v>
      </c>
      <c r="AV5273">
        <f t="shared" ref="AV5273:AV5336" si="165">SUM(Y5273:AB5273,AH5273:AM5273)</f>
        <v>0</v>
      </c>
    </row>
    <row r="5274" spans="1:48" x14ac:dyDescent="0.25">
      <c r="A5274" t="s">
        <v>16964</v>
      </c>
      <c r="B5274" t="s">
        <v>114</v>
      </c>
      <c r="C5274" t="s">
        <v>16965</v>
      </c>
      <c r="D5274" t="s">
        <v>18981</v>
      </c>
      <c r="E5274" t="s">
        <v>1663</v>
      </c>
      <c r="F5274">
        <v>3</v>
      </c>
      <c r="G5274">
        <v>3.2</v>
      </c>
      <c r="H5274" t="s">
        <v>2327</v>
      </c>
      <c r="I5274" s="21">
        <v>43014</v>
      </c>
      <c r="J5274">
        <v>2017</v>
      </c>
      <c r="K5274" s="21">
        <v>43052</v>
      </c>
      <c r="L5274">
        <v>2017</v>
      </c>
      <c r="M5274" s="21">
        <v>43363</v>
      </c>
      <c r="N5274">
        <v>2018</v>
      </c>
      <c r="Q5274" s="262">
        <v>300000</v>
      </c>
      <c r="S5274" t="s">
        <v>12464</v>
      </c>
      <c r="T5274">
        <v>10424</v>
      </c>
      <c r="W5274">
        <v>1766</v>
      </c>
      <c r="X5274">
        <v>1</v>
      </c>
      <c r="AC5274">
        <v>966</v>
      </c>
      <c r="AE5274">
        <v>800</v>
      </c>
      <c r="AQ5274">
        <v>1</v>
      </c>
      <c r="AU5274">
        <f t="shared" si="164"/>
        <v>1</v>
      </c>
      <c r="AV5274">
        <f t="shared" si="165"/>
        <v>0</v>
      </c>
    </row>
    <row r="5275" spans="1:48" x14ac:dyDescent="0.25">
      <c r="A5275" t="s">
        <v>16964</v>
      </c>
      <c r="B5275" t="s">
        <v>114</v>
      </c>
      <c r="C5275" t="s">
        <v>16965</v>
      </c>
      <c r="D5275" t="s">
        <v>16966</v>
      </c>
      <c r="E5275" t="s">
        <v>1663</v>
      </c>
      <c r="F5275">
        <v>3</v>
      </c>
      <c r="G5275">
        <v>3.1</v>
      </c>
      <c r="H5275" t="s">
        <v>2327</v>
      </c>
      <c r="I5275" s="21">
        <v>43014</v>
      </c>
      <c r="J5275">
        <v>2017</v>
      </c>
      <c r="K5275" s="21">
        <v>43052</v>
      </c>
      <c r="L5275">
        <v>2017</v>
      </c>
      <c r="M5275" s="21">
        <v>43363</v>
      </c>
      <c r="N5275">
        <v>2018</v>
      </c>
      <c r="S5275" t="s">
        <v>9529</v>
      </c>
      <c r="T5275">
        <v>10424</v>
      </c>
      <c r="U5275">
        <v>9</v>
      </c>
      <c r="W5275">
        <v>-1216</v>
      </c>
      <c r="X5275">
        <v>-1</v>
      </c>
      <c r="Y5275">
        <v>0</v>
      </c>
      <c r="Z5275">
        <v>0</v>
      </c>
      <c r="AA5275">
        <v>0</v>
      </c>
      <c r="AB5275">
        <v>0</v>
      </c>
      <c r="AC5275">
        <v>0</v>
      </c>
      <c r="AD5275">
        <v>0</v>
      </c>
      <c r="AE5275">
        <v>0</v>
      </c>
      <c r="AF5275">
        <v>0</v>
      </c>
      <c r="AG5275">
        <v>-1216</v>
      </c>
      <c r="AH5275">
        <v>0</v>
      </c>
      <c r="AI5275">
        <v>0</v>
      </c>
      <c r="AJ5275">
        <v>0</v>
      </c>
      <c r="AK5275">
        <v>0</v>
      </c>
      <c r="AL5275">
        <v>0</v>
      </c>
      <c r="AM5275">
        <v>0</v>
      </c>
      <c r="AN5275">
        <v>0</v>
      </c>
      <c r="AO5275">
        <v>0</v>
      </c>
      <c r="AP5275">
        <v>0</v>
      </c>
      <c r="AQ5275">
        <v>0</v>
      </c>
      <c r="AR5275">
        <v>0</v>
      </c>
      <c r="AS5275">
        <v>-1</v>
      </c>
      <c r="AT5275">
        <v>0</v>
      </c>
      <c r="AU5275">
        <f t="shared" si="164"/>
        <v>-1</v>
      </c>
      <c r="AV5275">
        <f t="shared" si="165"/>
        <v>0</v>
      </c>
    </row>
    <row r="5276" spans="1:48" x14ac:dyDescent="0.25">
      <c r="A5276" t="s">
        <v>18867</v>
      </c>
      <c r="B5276" t="s">
        <v>18867</v>
      </c>
      <c r="C5276" t="s">
        <v>18868</v>
      </c>
      <c r="D5276" t="s">
        <v>18869</v>
      </c>
      <c r="E5276" t="s">
        <v>2310</v>
      </c>
      <c r="F5276">
        <v>13</v>
      </c>
      <c r="G5276">
        <v>13.2</v>
      </c>
      <c r="H5276" t="s">
        <v>2327</v>
      </c>
      <c r="I5276" s="21">
        <v>43018.433506944442</v>
      </c>
      <c r="J5276">
        <v>2017</v>
      </c>
      <c r="K5276" s="21">
        <v>43621.471613576388</v>
      </c>
      <c r="L5276">
        <v>2019</v>
      </c>
      <c r="M5276" s="21">
        <v>43649.454167858799</v>
      </c>
      <c r="N5276">
        <v>2019</v>
      </c>
      <c r="Q5276" s="262">
        <v>3375885</v>
      </c>
      <c r="R5276" s="262">
        <v>449000</v>
      </c>
      <c r="S5276" t="s">
        <v>13254</v>
      </c>
      <c r="W5276">
        <v>4099</v>
      </c>
      <c r="X5276">
        <v>1</v>
      </c>
      <c r="AC5276">
        <v>4099</v>
      </c>
      <c r="AO5276">
        <v>1</v>
      </c>
      <c r="AU5276">
        <f t="shared" si="164"/>
        <v>1</v>
      </c>
      <c r="AV5276">
        <f t="shared" si="165"/>
        <v>0</v>
      </c>
    </row>
    <row r="5277" spans="1:48" x14ac:dyDescent="0.25">
      <c r="A5277" t="s">
        <v>13682</v>
      </c>
      <c r="C5277" t="s">
        <v>10850</v>
      </c>
      <c r="D5277" t="s">
        <v>13683</v>
      </c>
      <c r="E5277" t="s">
        <v>1663</v>
      </c>
      <c r="F5277">
        <v>6</v>
      </c>
      <c r="G5277">
        <v>6.1</v>
      </c>
      <c r="H5277" t="s">
        <v>2017</v>
      </c>
      <c r="I5277" s="21">
        <v>43019</v>
      </c>
      <c r="J5277">
        <v>2017</v>
      </c>
      <c r="K5277" s="21">
        <v>43047</v>
      </c>
      <c r="L5277">
        <v>2017</v>
      </c>
      <c r="M5277" s="21">
        <v>43158</v>
      </c>
      <c r="N5277">
        <v>2018</v>
      </c>
      <c r="Q5277" s="262">
        <v>25000</v>
      </c>
      <c r="S5277" t="s">
        <v>114</v>
      </c>
      <c r="T5277" t="s">
        <v>114</v>
      </c>
      <c r="W5277">
        <v>0</v>
      </c>
      <c r="X5277">
        <v>0</v>
      </c>
      <c r="AU5277">
        <f t="shared" si="164"/>
        <v>0</v>
      </c>
      <c r="AV5277">
        <f t="shared" si="165"/>
        <v>0</v>
      </c>
    </row>
    <row r="5278" spans="1:48" x14ac:dyDescent="0.25">
      <c r="A5278" t="s">
        <v>13684</v>
      </c>
      <c r="C5278" t="s">
        <v>11411</v>
      </c>
      <c r="D5278" t="s">
        <v>13685</v>
      </c>
      <c r="E5278" t="s">
        <v>1663</v>
      </c>
      <c r="F5278">
        <v>6</v>
      </c>
      <c r="G5278">
        <v>6.1</v>
      </c>
      <c r="H5278" t="s">
        <v>2017</v>
      </c>
      <c r="I5278" s="21">
        <v>43019</v>
      </c>
      <c r="J5278">
        <v>2017</v>
      </c>
      <c r="K5278" s="21">
        <v>43047</v>
      </c>
      <c r="L5278">
        <v>2017</v>
      </c>
      <c r="M5278" s="21">
        <v>43117</v>
      </c>
      <c r="N5278">
        <v>2018</v>
      </c>
      <c r="Q5278" s="262">
        <v>25000</v>
      </c>
      <c r="S5278" t="s">
        <v>114</v>
      </c>
      <c r="T5278" t="s">
        <v>114</v>
      </c>
      <c r="W5278">
        <v>0</v>
      </c>
      <c r="X5278">
        <v>0</v>
      </c>
      <c r="AU5278">
        <f t="shared" si="164"/>
        <v>0</v>
      </c>
      <c r="AV5278">
        <f t="shared" si="165"/>
        <v>0</v>
      </c>
    </row>
    <row r="5279" spans="1:48" x14ac:dyDescent="0.25">
      <c r="A5279" t="s">
        <v>13686</v>
      </c>
      <c r="C5279" t="s">
        <v>13687</v>
      </c>
      <c r="D5279" t="s">
        <v>7954</v>
      </c>
      <c r="E5279" t="s">
        <v>1663</v>
      </c>
      <c r="F5279">
        <v>2</v>
      </c>
      <c r="G5279">
        <v>2.2999999999999998</v>
      </c>
      <c r="H5279" t="s">
        <v>2327</v>
      </c>
      <c r="I5279" s="21">
        <v>43019</v>
      </c>
      <c r="J5279">
        <v>2017</v>
      </c>
      <c r="K5279" s="21">
        <v>43284</v>
      </c>
      <c r="L5279">
        <v>2018</v>
      </c>
      <c r="M5279" s="21">
        <v>43853</v>
      </c>
      <c r="N5279">
        <v>2020</v>
      </c>
      <c r="Q5279" s="262">
        <v>100000</v>
      </c>
      <c r="S5279" t="s">
        <v>114</v>
      </c>
      <c r="T5279" t="s">
        <v>114</v>
      </c>
      <c r="W5279">
        <v>0</v>
      </c>
      <c r="X5279">
        <v>0</v>
      </c>
      <c r="AU5279">
        <f t="shared" si="164"/>
        <v>0</v>
      </c>
      <c r="AV5279">
        <f t="shared" si="165"/>
        <v>0</v>
      </c>
    </row>
    <row r="5280" spans="1:48" x14ac:dyDescent="0.25">
      <c r="A5280" t="s">
        <v>18691</v>
      </c>
      <c r="B5280" t="s">
        <v>114</v>
      </c>
      <c r="C5280" t="s">
        <v>18692</v>
      </c>
      <c r="D5280" t="s">
        <v>18693</v>
      </c>
      <c r="E5280" t="s">
        <v>1663</v>
      </c>
      <c r="F5280">
        <v>4</v>
      </c>
      <c r="G5280">
        <v>4.3</v>
      </c>
      <c r="H5280" t="s">
        <v>2327</v>
      </c>
      <c r="I5280" s="21">
        <v>43020</v>
      </c>
      <c r="J5280">
        <v>2017</v>
      </c>
      <c r="K5280" s="21">
        <v>43154</v>
      </c>
      <c r="L5280">
        <v>2018</v>
      </c>
      <c r="M5280" s="21">
        <v>43621</v>
      </c>
      <c r="N5280">
        <v>2019</v>
      </c>
      <c r="Q5280" s="262">
        <v>200000</v>
      </c>
      <c r="S5280" t="s">
        <v>13254</v>
      </c>
      <c r="W5280">
        <v>1526</v>
      </c>
      <c r="X5280">
        <v>1</v>
      </c>
      <c r="AC5280">
        <v>729</v>
      </c>
      <c r="AE5280">
        <v>797</v>
      </c>
      <c r="AQ5280">
        <v>1</v>
      </c>
      <c r="AU5280">
        <f t="shared" si="164"/>
        <v>1</v>
      </c>
      <c r="AV5280">
        <f t="shared" si="165"/>
        <v>0</v>
      </c>
    </row>
    <row r="5281" spans="1:48" x14ac:dyDescent="0.25">
      <c r="A5281" t="s">
        <v>18356</v>
      </c>
      <c r="B5281" t="s">
        <v>18356</v>
      </c>
      <c r="C5281" t="s">
        <v>18357</v>
      </c>
      <c r="D5281" t="s">
        <v>18358</v>
      </c>
      <c r="E5281" t="s">
        <v>2310</v>
      </c>
      <c r="F5281">
        <v>9</v>
      </c>
      <c r="G5281">
        <v>9.1</v>
      </c>
      <c r="H5281" t="s">
        <v>2323</v>
      </c>
      <c r="I5281" s="21">
        <v>43020.607708333337</v>
      </c>
      <c r="J5281">
        <v>2017</v>
      </c>
      <c r="K5281" s="21">
        <v>43314.438306747688</v>
      </c>
      <c r="L5281">
        <v>2018</v>
      </c>
      <c r="M5281" s="21">
        <v>43399.465464583336</v>
      </c>
      <c r="N5281">
        <v>2018</v>
      </c>
      <c r="Q5281" s="262">
        <v>200000</v>
      </c>
      <c r="R5281" s="262">
        <v>112000</v>
      </c>
      <c r="S5281" t="s">
        <v>13254</v>
      </c>
      <c r="W5281">
        <v>2500</v>
      </c>
      <c r="X5281">
        <v>0</v>
      </c>
      <c r="AC5281">
        <v>2500</v>
      </c>
      <c r="AU5281">
        <f t="shared" si="164"/>
        <v>0</v>
      </c>
      <c r="AV5281">
        <f t="shared" si="165"/>
        <v>0</v>
      </c>
    </row>
    <row r="5282" spans="1:48" x14ac:dyDescent="0.25">
      <c r="A5282" t="s">
        <v>13688</v>
      </c>
      <c r="C5282" t="s">
        <v>13689</v>
      </c>
      <c r="D5282" t="s">
        <v>13690</v>
      </c>
      <c r="E5282" t="s">
        <v>1663</v>
      </c>
      <c r="F5282">
        <v>3</v>
      </c>
      <c r="G5282">
        <v>3.4</v>
      </c>
      <c r="H5282" t="s">
        <v>2017</v>
      </c>
      <c r="I5282" s="21">
        <v>43021</v>
      </c>
      <c r="J5282">
        <v>2017</v>
      </c>
      <c r="K5282" s="21">
        <v>43024</v>
      </c>
      <c r="L5282">
        <v>2017</v>
      </c>
      <c r="M5282" s="21">
        <v>43280</v>
      </c>
      <c r="N5282">
        <v>2018</v>
      </c>
      <c r="Q5282" s="262">
        <v>15000</v>
      </c>
      <c r="S5282" t="s">
        <v>114</v>
      </c>
      <c r="T5282" t="s">
        <v>114</v>
      </c>
      <c r="W5282">
        <v>0</v>
      </c>
      <c r="X5282">
        <v>0</v>
      </c>
      <c r="AU5282">
        <f t="shared" si="164"/>
        <v>0</v>
      </c>
      <c r="AV5282">
        <f t="shared" si="165"/>
        <v>0</v>
      </c>
    </row>
    <row r="5283" spans="1:48" x14ac:dyDescent="0.25">
      <c r="A5283" t="s">
        <v>13691</v>
      </c>
      <c r="C5283" t="s">
        <v>10094</v>
      </c>
      <c r="D5283" t="s">
        <v>6255</v>
      </c>
      <c r="E5283" t="s">
        <v>1663</v>
      </c>
      <c r="F5283">
        <v>3</v>
      </c>
      <c r="G5283">
        <v>3.3</v>
      </c>
      <c r="H5283" t="s">
        <v>2017</v>
      </c>
      <c r="I5283" s="21">
        <v>43025</v>
      </c>
      <c r="J5283">
        <v>2017</v>
      </c>
      <c r="M5283" s="21">
        <v>44067</v>
      </c>
      <c r="N5283">
        <v>2020</v>
      </c>
      <c r="Q5283" s="262">
        <v>275000</v>
      </c>
      <c r="S5283" t="s">
        <v>114</v>
      </c>
      <c r="T5283" t="s">
        <v>114</v>
      </c>
      <c r="W5283">
        <v>13500</v>
      </c>
      <c r="X5283">
        <v>0</v>
      </c>
      <c r="AM5283">
        <v>13500</v>
      </c>
      <c r="AU5283">
        <f t="shared" si="164"/>
        <v>0</v>
      </c>
      <c r="AV5283">
        <f t="shared" si="165"/>
        <v>13500</v>
      </c>
    </row>
    <row r="5284" spans="1:48" x14ac:dyDescent="0.25">
      <c r="A5284" t="s">
        <v>18976</v>
      </c>
      <c r="B5284" t="s">
        <v>114</v>
      </c>
      <c r="C5284" t="s">
        <v>18977</v>
      </c>
      <c r="D5284" t="s">
        <v>1844</v>
      </c>
      <c r="E5284" t="s">
        <v>1663</v>
      </c>
      <c r="F5284">
        <v>3</v>
      </c>
      <c r="G5284">
        <v>3.2</v>
      </c>
      <c r="H5284" t="s">
        <v>2327</v>
      </c>
      <c r="I5284" s="21">
        <v>43025</v>
      </c>
      <c r="J5284">
        <v>2017</v>
      </c>
      <c r="K5284" s="21">
        <v>43231</v>
      </c>
      <c r="L5284">
        <v>2018</v>
      </c>
      <c r="M5284" s="21">
        <v>43693</v>
      </c>
      <c r="N5284">
        <v>2019</v>
      </c>
      <c r="Q5284" s="262">
        <v>14800000</v>
      </c>
      <c r="S5284" t="s">
        <v>13254</v>
      </c>
      <c r="W5284">
        <v>93449</v>
      </c>
      <c r="X5284">
        <v>55</v>
      </c>
      <c r="AE5284">
        <v>93449</v>
      </c>
      <c r="AQ5284">
        <v>55</v>
      </c>
      <c r="AU5284">
        <f t="shared" si="164"/>
        <v>55</v>
      </c>
      <c r="AV5284">
        <f t="shared" si="165"/>
        <v>0</v>
      </c>
    </row>
    <row r="5285" spans="1:48" x14ac:dyDescent="0.25">
      <c r="A5285" t="s">
        <v>19170</v>
      </c>
      <c r="B5285" t="s">
        <v>114</v>
      </c>
      <c r="C5285" t="s">
        <v>19171</v>
      </c>
      <c r="D5285" t="s">
        <v>2623</v>
      </c>
      <c r="E5285" t="s">
        <v>1663</v>
      </c>
      <c r="F5285">
        <v>3</v>
      </c>
      <c r="G5285">
        <v>3.2</v>
      </c>
      <c r="H5285" t="s">
        <v>2327</v>
      </c>
      <c r="I5285" s="21">
        <v>43025</v>
      </c>
      <c r="J5285">
        <v>2017</v>
      </c>
      <c r="K5285" s="21">
        <v>43073</v>
      </c>
      <c r="L5285">
        <v>2017</v>
      </c>
      <c r="M5285" s="21">
        <v>43180</v>
      </c>
      <c r="N5285">
        <v>2018</v>
      </c>
      <c r="Q5285" s="262">
        <v>60000</v>
      </c>
      <c r="S5285" t="s">
        <v>13253</v>
      </c>
      <c r="T5285">
        <v>11549</v>
      </c>
      <c r="V5285">
        <v>800</v>
      </c>
      <c r="W5285">
        <v>0</v>
      </c>
      <c r="X5285">
        <v>1</v>
      </c>
      <c r="AC5285">
        <v>-800</v>
      </c>
      <c r="AE5285">
        <v>800</v>
      </c>
      <c r="AQ5285">
        <v>1</v>
      </c>
      <c r="AU5285">
        <f t="shared" si="164"/>
        <v>1</v>
      </c>
      <c r="AV5285">
        <f t="shared" si="165"/>
        <v>0</v>
      </c>
    </row>
    <row r="5286" spans="1:48" x14ac:dyDescent="0.25">
      <c r="A5286" t="s">
        <v>19781</v>
      </c>
      <c r="B5286" t="s">
        <v>19781</v>
      </c>
      <c r="C5286" t="s">
        <v>19782</v>
      </c>
      <c r="D5286" t="s">
        <v>18782</v>
      </c>
      <c r="E5286" t="s">
        <v>2310</v>
      </c>
      <c r="F5286">
        <v>10</v>
      </c>
      <c r="G5286">
        <v>10.1</v>
      </c>
      <c r="H5286" t="s">
        <v>2323</v>
      </c>
      <c r="I5286" s="21">
        <v>43025.4749884259</v>
      </c>
      <c r="J5286">
        <v>2017</v>
      </c>
      <c r="K5286" s="21">
        <v>43074.7037962963</v>
      </c>
      <c r="L5286">
        <v>2017</v>
      </c>
      <c r="M5286" s="21">
        <v>44292</v>
      </c>
      <c r="N5286">
        <v>2021</v>
      </c>
      <c r="Q5286" s="262">
        <v>450000</v>
      </c>
      <c r="R5286" s="262">
        <v>161000</v>
      </c>
      <c r="S5286" t="s">
        <v>13254</v>
      </c>
      <c r="U5286">
        <v>17</v>
      </c>
      <c r="W5286">
        <v>2079</v>
      </c>
      <c r="X5286">
        <v>1</v>
      </c>
      <c r="AC5286">
        <v>1080</v>
      </c>
      <c r="AF5286">
        <v>999</v>
      </c>
      <c r="AR5286">
        <v>1</v>
      </c>
      <c r="AU5286">
        <f t="shared" si="164"/>
        <v>0</v>
      </c>
      <c r="AV5286">
        <f t="shared" si="165"/>
        <v>0</v>
      </c>
    </row>
    <row r="5287" spans="1:48" x14ac:dyDescent="0.25">
      <c r="A5287" t="s">
        <v>13692</v>
      </c>
      <c r="B5287" t="s">
        <v>13692</v>
      </c>
      <c r="C5287" t="s">
        <v>13693</v>
      </c>
      <c r="D5287" t="s">
        <v>13694</v>
      </c>
      <c r="E5287" t="s">
        <v>2310</v>
      </c>
      <c r="F5287">
        <v>9</v>
      </c>
      <c r="G5287">
        <v>9.4</v>
      </c>
      <c r="H5287" t="s">
        <v>2323</v>
      </c>
      <c r="I5287" s="21">
        <v>43025.594131944403</v>
      </c>
      <c r="J5287">
        <v>2017</v>
      </c>
      <c r="K5287" s="21">
        <v>43061.369155092601</v>
      </c>
      <c r="L5287">
        <v>2017</v>
      </c>
      <c r="M5287" s="21">
        <v>43790.354233796301</v>
      </c>
      <c r="N5287">
        <v>2019</v>
      </c>
      <c r="Q5287" s="262">
        <v>120000</v>
      </c>
      <c r="R5287" s="262">
        <v>26000</v>
      </c>
      <c r="S5287" t="s">
        <v>114</v>
      </c>
      <c r="T5287" t="s">
        <v>114</v>
      </c>
      <c r="W5287">
        <v>0</v>
      </c>
      <c r="X5287">
        <v>0</v>
      </c>
      <c r="AU5287">
        <f t="shared" si="164"/>
        <v>0</v>
      </c>
      <c r="AV5287">
        <f t="shared" si="165"/>
        <v>0</v>
      </c>
    </row>
    <row r="5288" spans="1:48" x14ac:dyDescent="0.25">
      <c r="A5288" t="s">
        <v>18065</v>
      </c>
      <c r="B5288" t="s">
        <v>18065</v>
      </c>
      <c r="C5288" t="s">
        <v>5048</v>
      </c>
      <c r="D5288" t="s">
        <v>15567</v>
      </c>
      <c r="E5288" t="s">
        <v>2310</v>
      </c>
      <c r="F5288">
        <v>9</v>
      </c>
      <c r="G5288">
        <v>9.1</v>
      </c>
      <c r="H5288" t="s">
        <v>2323</v>
      </c>
      <c r="I5288" s="21">
        <v>43027.553229166668</v>
      </c>
      <c r="J5288">
        <v>2017</v>
      </c>
      <c r="K5288" s="21">
        <v>43105.424791666665</v>
      </c>
      <c r="L5288">
        <v>2018</v>
      </c>
      <c r="M5288" s="21">
        <v>43217.413090277776</v>
      </c>
      <c r="N5288">
        <v>2018</v>
      </c>
      <c r="Q5288" s="262">
        <v>130000</v>
      </c>
      <c r="R5288" s="262">
        <v>0</v>
      </c>
      <c r="S5288" t="s">
        <v>13254</v>
      </c>
      <c r="W5288">
        <v>1505</v>
      </c>
      <c r="X5288">
        <v>0</v>
      </c>
      <c r="AC5288">
        <v>1505</v>
      </c>
      <c r="AU5288">
        <f t="shared" si="164"/>
        <v>0</v>
      </c>
      <c r="AV5288">
        <f t="shared" si="165"/>
        <v>0</v>
      </c>
    </row>
    <row r="5289" spans="1:48" x14ac:dyDescent="0.25">
      <c r="A5289" t="s">
        <v>17544</v>
      </c>
      <c r="B5289" t="s">
        <v>17544</v>
      </c>
      <c r="C5289" t="s">
        <v>17545</v>
      </c>
      <c r="D5289" t="s">
        <v>4365</v>
      </c>
      <c r="E5289" t="s">
        <v>2310</v>
      </c>
      <c r="F5289">
        <v>9</v>
      </c>
      <c r="G5289">
        <v>9.1</v>
      </c>
      <c r="H5289" t="s">
        <v>2323</v>
      </c>
      <c r="I5289" s="21">
        <v>43027.577175925901</v>
      </c>
      <c r="J5289">
        <v>2017</v>
      </c>
      <c r="K5289" s="21">
        <v>43040.5547337963</v>
      </c>
      <c r="L5289">
        <v>2017</v>
      </c>
      <c r="M5289" s="21">
        <v>43083.354317129597</v>
      </c>
      <c r="N5289">
        <v>2017</v>
      </c>
      <c r="R5289" s="262">
        <v>73000</v>
      </c>
      <c r="S5289" t="s">
        <v>114</v>
      </c>
      <c r="T5289" t="s">
        <v>114</v>
      </c>
      <c r="V5289">
        <v>590</v>
      </c>
      <c r="W5289">
        <v>0</v>
      </c>
      <c r="X5289">
        <v>0</v>
      </c>
      <c r="AU5289">
        <f t="shared" si="164"/>
        <v>0</v>
      </c>
      <c r="AV5289">
        <f t="shared" si="165"/>
        <v>0</v>
      </c>
    </row>
    <row r="5290" spans="1:48" x14ac:dyDescent="0.25">
      <c r="A5290" t="s">
        <v>13697</v>
      </c>
      <c r="B5290" t="s">
        <v>13697</v>
      </c>
      <c r="C5290" t="s">
        <v>13698</v>
      </c>
      <c r="D5290" t="s">
        <v>13699</v>
      </c>
      <c r="E5290" t="s">
        <v>2310</v>
      </c>
      <c r="F5290">
        <v>9</v>
      </c>
      <c r="G5290">
        <v>9.3000000000000007</v>
      </c>
      <c r="H5290" t="s">
        <v>2323</v>
      </c>
      <c r="I5290" s="21">
        <v>43028.541122685201</v>
      </c>
      <c r="J5290">
        <v>2017</v>
      </c>
      <c r="K5290" s="21">
        <v>43047.604131944398</v>
      </c>
      <c r="L5290">
        <v>2017</v>
      </c>
      <c r="M5290" s="21">
        <v>43419.461150729199</v>
      </c>
      <c r="N5290">
        <v>2018</v>
      </c>
      <c r="Q5290" s="262">
        <v>34000</v>
      </c>
      <c r="R5290" s="262">
        <v>0</v>
      </c>
      <c r="S5290" t="s">
        <v>114</v>
      </c>
      <c r="T5290" t="s">
        <v>114</v>
      </c>
      <c r="W5290">
        <v>0</v>
      </c>
      <c r="X5290">
        <v>0</v>
      </c>
      <c r="AU5290">
        <f t="shared" si="164"/>
        <v>0</v>
      </c>
      <c r="AV5290">
        <f t="shared" si="165"/>
        <v>0</v>
      </c>
    </row>
    <row r="5291" spans="1:48" x14ac:dyDescent="0.25">
      <c r="A5291" t="s">
        <v>18967</v>
      </c>
      <c r="B5291" t="s">
        <v>114</v>
      </c>
      <c r="C5291" t="s">
        <v>11658</v>
      </c>
      <c r="D5291" t="s">
        <v>18968</v>
      </c>
      <c r="E5291" t="s">
        <v>1663</v>
      </c>
      <c r="F5291">
        <v>3</v>
      </c>
      <c r="G5291">
        <v>3.2</v>
      </c>
      <c r="H5291" t="s">
        <v>2327</v>
      </c>
      <c r="I5291" s="21">
        <v>43032</v>
      </c>
      <c r="J5291">
        <v>2017</v>
      </c>
      <c r="K5291" s="21">
        <v>43068</v>
      </c>
      <c r="L5291">
        <v>2017</v>
      </c>
      <c r="M5291" s="21">
        <v>43349</v>
      </c>
      <c r="N5291">
        <v>2018</v>
      </c>
      <c r="Q5291" s="262">
        <v>250000</v>
      </c>
      <c r="S5291" t="s">
        <v>12464</v>
      </c>
      <c r="T5291">
        <v>10423</v>
      </c>
      <c r="W5291">
        <v>1584</v>
      </c>
      <c r="X5291">
        <v>1</v>
      </c>
      <c r="AC5291">
        <v>784</v>
      </c>
      <c r="AE5291">
        <v>800</v>
      </c>
      <c r="AQ5291">
        <v>1</v>
      </c>
      <c r="AU5291">
        <f t="shared" si="164"/>
        <v>1</v>
      </c>
      <c r="AV5291">
        <f t="shared" si="165"/>
        <v>0</v>
      </c>
    </row>
    <row r="5292" spans="1:48" x14ac:dyDescent="0.25">
      <c r="A5292" t="s">
        <v>13700</v>
      </c>
      <c r="C5292" t="s">
        <v>13054</v>
      </c>
      <c r="D5292" t="s">
        <v>13701</v>
      </c>
      <c r="E5292" t="s">
        <v>1663</v>
      </c>
      <c r="F5292">
        <v>6</v>
      </c>
      <c r="G5292">
        <v>6.1</v>
      </c>
      <c r="H5292" t="s">
        <v>2017</v>
      </c>
      <c r="I5292" s="21">
        <v>43033</v>
      </c>
      <c r="J5292">
        <v>2017</v>
      </c>
      <c r="M5292" s="21">
        <v>43623</v>
      </c>
      <c r="N5292">
        <v>2019</v>
      </c>
      <c r="Q5292" s="262">
        <v>150000</v>
      </c>
      <c r="S5292" t="s">
        <v>114</v>
      </c>
      <c r="T5292" t="s">
        <v>114</v>
      </c>
      <c r="W5292">
        <v>0</v>
      </c>
      <c r="X5292">
        <v>0</v>
      </c>
      <c r="AU5292">
        <f t="shared" si="164"/>
        <v>0</v>
      </c>
      <c r="AV5292">
        <f t="shared" si="165"/>
        <v>0</v>
      </c>
    </row>
    <row r="5293" spans="1:48" x14ac:dyDescent="0.25">
      <c r="A5293" t="s">
        <v>13705</v>
      </c>
      <c r="C5293" t="s">
        <v>13706</v>
      </c>
      <c r="D5293" t="s">
        <v>13179</v>
      </c>
      <c r="E5293" t="s">
        <v>1663</v>
      </c>
      <c r="F5293">
        <v>4</v>
      </c>
      <c r="G5293">
        <v>4.2</v>
      </c>
      <c r="H5293" t="s">
        <v>2327</v>
      </c>
      <c r="I5293" s="21">
        <v>43034</v>
      </c>
      <c r="J5293">
        <v>2017</v>
      </c>
      <c r="Q5293" s="262">
        <v>200</v>
      </c>
      <c r="S5293" t="s">
        <v>114</v>
      </c>
      <c r="T5293" t="s">
        <v>114</v>
      </c>
      <c r="W5293">
        <v>990</v>
      </c>
      <c r="X5293">
        <v>0</v>
      </c>
      <c r="AC5293">
        <v>990</v>
      </c>
      <c r="AU5293">
        <f t="shared" si="164"/>
        <v>0</v>
      </c>
      <c r="AV5293">
        <f t="shared" si="165"/>
        <v>0</v>
      </c>
    </row>
    <row r="5294" spans="1:48" x14ac:dyDescent="0.25">
      <c r="A5294" t="s">
        <v>13702</v>
      </c>
      <c r="C5294" t="s">
        <v>13703</v>
      </c>
      <c r="D5294" t="s">
        <v>13704</v>
      </c>
      <c r="E5294" t="s">
        <v>1663</v>
      </c>
      <c r="F5294">
        <v>2</v>
      </c>
      <c r="G5294">
        <v>2.6</v>
      </c>
      <c r="H5294" t="s">
        <v>2327</v>
      </c>
      <c r="I5294" s="21">
        <v>43034</v>
      </c>
      <c r="J5294">
        <v>2017</v>
      </c>
      <c r="K5294" s="21">
        <v>43075</v>
      </c>
      <c r="L5294">
        <v>2017</v>
      </c>
      <c r="M5294" s="21">
        <v>43311</v>
      </c>
      <c r="N5294">
        <v>2018</v>
      </c>
      <c r="Q5294" s="262">
        <v>500</v>
      </c>
      <c r="S5294" t="s">
        <v>114</v>
      </c>
      <c r="T5294" t="s">
        <v>114</v>
      </c>
      <c r="W5294">
        <v>0</v>
      </c>
      <c r="X5294">
        <v>0</v>
      </c>
      <c r="AU5294">
        <f t="shared" si="164"/>
        <v>0</v>
      </c>
      <c r="AV5294">
        <f t="shared" si="165"/>
        <v>0</v>
      </c>
    </row>
    <row r="5295" spans="1:48" x14ac:dyDescent="0.25">
      <c r="A5295" t="s">
        <v>18969</v>
      </c>
      <c r="B5295" t="s">
        <v>18969</v>
      </c>
      <c r="C5295" t="s">
        <v>18970</v>
      </c>
      <c r="D5295" t="s">
        <v>18971</v>
      </c>
      <c r="E5295" t="s">
        <v>2310</v>
      </c>
      <c r="F5295">
        <v>14</v>
      </c>
      <c r="G5295">
        <v>14.1</v>
      </c>
      <c r="H5295" t="s">
        <v>2022</v>
      </c>
      <c r="I5295" s="21">
        <v>43034.391400462962</v>
      </c>
      <c r="J5295">
        <v>2017</v>
      </c>
      <c r="K5295" s="21">
        <v>43082.435532407406</v>
      </c>
      <c r="L5295">
        <v>2017</v>
      </c>
      <c r="M5295" s="21">
        <v>43690.486269560184</v>
      </c>
      <c r="N5295">
        <v>2019</v>
      </c>
      <c r="Q5295" s="262">
        <v>1500000</v>
      </c>
      <c r="R5295" s="262">
        <v>520000</v>
      </c>
      <c r="S5295" t="s">
        <v>13254</v>
      </c>
      <c r="W5295">
        <v>4756</v>
      </c>
      <c r="X5295">
        <v>1</v>
      </c>
      <c r="AC5295">
        <v>4756</v>
      </c>
      <c r="AO5295">
        <v>1</v>
      </c>
      <c r="AU5295">
        <f t="shared" si="164"/>
        <v>1</v>
      </c>
      <c r="AV5295">
        <f t="shared" si="165"/>
        <v>0</v>
      </c>
    </row>
    <row r="5296" spans="1:48" x14ac:dyDescent="0.25">
      <c r="A5296" t="s">
        <v>18021</v>
      </c>
      <c r="B5296" t="s">
        <v>18021</v>
      </c>
      <c r="C5296" t="s">
        <v>18022</v>
      </c>
      <c r="D5296" t="s">
        <v>18023</v>
      </c>
      <c r="E5296" t="s">
        <v>2310</v>
      </c>
      <c r="F5296">
        <v>15</v>
      </c>
      <c r="G5296">
        <v>15.1</v>
      </c>
      <c r="H5296" t="s">
        <v>2022</v>
      </c>
      <c r="I5296" s="21">
        <v>43034.577928240738</v>
      </c>
      <c r="J5296">
        <v>2017</v>
      </c>
      <c r="K5296" s="21">
        <v>43104.461608796293</v>
      </c>
      <c r="L5296">
        <v>2018</v>
      </c>
      <c r="M5296" s="21">
        <v>43181.670092592591</v>
      </c>
      <c r="N5296">
        <v>2018</v>
      </c>
      <c r="Q5296" s="262">
        <v>275000</v>
      </c>
      <c r="R5296" s="262">
        <v>536000</v>
      </c>
      <c r="S5296" t="s">
        <v>13254</v>
      </c>
      <c r="W5296">
        <v>4004</v>
      </c>
      <c r="X5296">
        <v>1</v>
      </c>
      <c r="AC5296">
        <v>4004</v>
      </c>
      <c r="AO5296">
        <v>1</v>
      </c>
      <c r="AU5296">
        <f t="shared" si="164"/>
        <v>1</v>
      </c>
      <c r="AV5296">
        <f t="shared" si="165"/>
        <v>0</v>
      </c>
    </row>
    <row r="5297" spans="1:48" x14ac:dyDescent="0.25">
      <c r="A5297" t="s">
        <v>13707</v>
      </c>
      <c r="C5297" t="s">
        <v>13708</v>
      </c>
      <c r="D5297" t="s">
        <v>13709</v>
      </c>
      <c r="E5297" t="s">
        <v>1663</v>
      </c>
      <c r="F5297">
        <v>6</v>
      </c>
      <c r="G5297">
        <v>6.1</v>
      </c>
      <c r="H5297" t="s">
        <v>2017</v>
      </c>
      <c r="I5297" s="21">
        <v>43039</v>
      </c>
      <c r="J5297">
        <v>2017</v>
      </c>
      <c r="M5297" s="21">
        <v>43761</v>
      </c>
      <c r="N5297">
        <v>2019</v>
      </c>
      <c r="Q5297" s="262">
        <v>1500</v>
      </c>
      <c r="S5297" t="s">
        <v>114</v>
      </c>
      <c r="T5297" t="s">
        <v>114</v>
      </c>
      <c r="W5297">
        <v>0</v>
      </c>
      <c r="X5297">
        <v>0</v>
      </c>
      <c r="AU5297">
        <f t="shared" si="164"/>
        <v>0</v>
      </c>
      <c r="AV5297">
        <f t="shared" si="165"/>
        <v>0</v>
      </c>
    </row>
    <row r="5298" spans="1:48" x14ac:dyDescent="0.25">
      <c r="A5298" t="s">
        <v>18606</v>
      </c>
      <c r="B5298" t="s">
        <v>18606</v>
      </c>
      <c r="C5298" t="s">
        <v>18607</v>
      </c>
      <c r="D5298" t="s">
        <v>18608</v>
      </c>
      <c r="E5298" t="s">
        <v>2310</v>
      </c>
      <c r="F5298">
        <v>15</v>
      </c>
      <c r="G5298">
        <v>15.1</v>
      </c>
      <c r="H5298" t="s">
        <v>2022</v>
      </c>
      <c r="I5298" s="21">
        <v>43041.500219907408</v>
      </c>
      <c r="J5298">
        <v>2017</v>
      </c>
      <c r="K5298" s="21">
        <v>43551.556706678239</v>
      </c>
      <c r="L5298">
        <v>2019</v>
      </c>
      <c r="M5298" s="21">
        <v>43551.549956215276</v>
      </c>
      <c r="N5298">
        <v>2019</v>
      </c>
      <c r="Q5298" s="262">
        <v>480000</v>
      </c>
      <c r="R5298" s="262">
        <v>208000</v>
      </c>
      <c r="S5298" t="s">
        <v>13254</v>
      </c>
      <c r="W5298">
        <v>1444</v>
      </c>
      <c r="X5298">
        <v>1</v>
      </c>
      <c r="AC5298">
        <v>1444</v>
      </c>
      <c r="AO5298">
        <v>1</v>
      </c>
      <c r="AU5298">
        <f t="shared" si="164"/>
        <v>1</v>
      </c>
      <c r="AV5298">
        <f t="shared" si="165"/>
        <v>0</v>
      </c>
    </row>
    <row r="5299" spans="1:48" x14ac:dyDescent="0.25">
      <c r="A5299" t="s">
        <v>13710</v>
      </c>
      <c r="C5299" t="s">
        <v>13711</v>
      </c>
      <c r="D5299" t="s">
        <v>13712</v>
      </c>
      <c r="E5299" t="s">
        <v>1663</v>
      </c>
      <c r="F5299">
        <v>3</v>
      </c>
      <c r="G5299">
        <v>3.2</v>
      </c>
      <c r="H5299" t="s">
        <v>2327</v>
      </c>
      <c r="I5299" s="21">
        <v>43046</v>
      </c>
      <c r="J5299">
        <v>2017</v>
      </c>
      <c r="K5299" s="21">
        <v>43080</v>
      </c>
      <c r="L5299">
        <v>2017</v>
      </c>
      <c r="M5299" s="21">
        <v>43483</v>
      </c>
      <c r="N5299">
        <v>2019</v>
      </c>
      <c r="Q5299" s="262">
        <v>1500</v>
      </c>
      <c r="S5299" t="s">
        <v>114</v>
      </c>
      <c r="T5299" t="s">
        <v>114</v>
      </c>
      <c r="W5299">
        <v>0</v>
      </c>
      <c r="X5299">
        <v>0</v>
      </c>
      <c r="AU5299">
        <f t="shared" si="164"/>
        <v>0</v>
      </c>
      <c r="AV5299">
        <f t="shared" si="165"/>
        <v>0</v>
      </c>
    </row>
    <row r="5300" spans="1:48" x14ac:dyDescent="0.25">
      <c r="A5300" t="s">
        <v>13713</v>
      </c>
      <c r="C5300" t="s">
        <v>13714</v>
      </c>
      <c r="D5300" t="s">
        <v>13715</v>
      </c>
      <c r="E5300" t="s">
        <v>1663</v>
      </c>
      <c r="F5300">
        <v>1</v>
      </c>
      <c r="G5300">
        <v>1.2</v>
      </c>
      <c r="H5300" t="s">
        <v>2017</v>
      </c>
      <c r="I5300" s="21">
        <v>43046</v>
      </c>
      <c r="J5300">
        <v>2017</v>
      </c>
      <c r="K5300" s="21">
        <v>43073</v>
      </c>
      <c r="L5300">
        <v>2017</v>
      </c>
      <c r="M5300" s="21">
        <v>43252</v>
      </c>
      <c r="N5300">
        <v>2018</v>
      </c>
      <c r="Q5300" s="262">
        <v>50000</v>
      </c>
      <c r="S5300" t="s">
        <v>114</v>
      </c>
      <c r="T5300" t="s">
        <v>114</v>
      </c>
      <c r="W5300">
        <v>0</v>
      </c>
      <c r="X5300">
        <v>0</v>
      </c>
      <c r="AU5300">
        <f t="shared" si="164"/>
        <v>0</v>
      </c>
      <c r="AV5300">
        <f t="shared" si="165"/>
        <v>0</v>
      </c>
    </row>
    <row r="5301" spans="1:48" x14ac:dyDescent="0.25">
      <c r="A5301" t="s">
        <v>18611</v>
      </c>
      <c r="B5301" t="s">
        <v>18611</v>
      </c>
      <c r="C5301" t="s">
        <v>18612</v>
      </c>
      <c r="D5301" t="s">
        <v>18613</v>
      </c>
      <c r="E5301" t="s">
        <v>2310</v>
      </c>
      <c r="F5301">
        <v>9</v>
      </c>
      <c r="G5301">
        <v>9.1</v>
      </c>
      <c r="H5301" t="s">
        <v>2323</v>
      </c>
      <c r="I5301" s="21">
        <v>43046.564930555556</v>
      </c>
      <c r="J5301">
        <v>2017</v>
      </c>
      <c r="K5301" s="21">
        <v>43059.458182870374</v>
      </c>
      <c r="L5301">
        <v>2017</v>
      </c>
      <c r="M5301" s="21">
        <v>43283.617825266207</v>
      </c>
      <c r="N5301">
        <v>2018</v>
      </c>
      <c r="Q5301" s="262">
        <v>98700</v>
      </c>
      <c r="R5301" s="262">
        <v>69000</v>
      </c>
      <c r="S5301" t="s">
        <v>13253</v>
      </c>
      <c r="T5301">
        <v>6595</v>
      </c>
      <c r="W5301">
        <v>610</v>
      </c>
      <c r="X5301">
        <v>0</v>
      </c>
      <c r="AC5301">
        <v>610</v>
      </c>
      <c r="AU5301">
        <f t="shared" si="164"/>
        <v>0</v>
      </c>
      <c r="AV5301">
        <f t="shared" si="165"/>
        <v>0</v>
      </c>
    </row>
    <row r="5302" spans="1:48" x14ac:dyDescent="0.25">
      <c r="A5302" t="s">
        <v>18658</v>
      </c>
      <c r="B5302" t="s">
        <v>18658</v>
      </c>
      <c r="C5302" t="s">
        <v>18659</v>
      </c>
      <c r="D5302" t="s">
        <v>18660</v>
      </c>
      <c r="E5302" t="s">
        <v>2310</v>
      </c>
      <c r="F5302">
        <v>9</v>
      </c>
      <c r="G5302">
        <v>9.3000000000000007</v>
      </c>
      <c r="H5302" t="s">
        <v>2323</v>
      </c>
      <c r="I5302" s="21">
        <v>43048.563645833332</v>
      </c>
      <c r="J5302">
        <v>2017</v>
      </c>
      <c r="K5302" s="21">
        <v>43080.544456018521</v>
      </c>
      <c r="L5302">
        <v>2017</v>
      </c>
      <c r="M5302" s="21">
        <v>43595.419682210646</v>
      </c>
      <c r="N5302">
        <v>2019</v>
      </c>
      <c r="Q5302" s="262">
        <v>2000000</v>
      </c>
      <c r="R5302" s="262">
        <v>697000</v>
      </c>
      <c r="S5302" t="s">
        <v>13254</v>
      </c>
      <c r="W5302">
        <v>5628</v>
      </c>
      <c r="X5302">
        <v>1</v>
      </c>
      <c r="AC5302">
        <v>5628</v>
      </c>
      <c r="AO5302">
        <v>1</v>
      </c>
      <c r="AU5302">
        <f t="shared" si="164"/>
        <v>1</v>
      </c>
      <c r="AV5302">
        <f t="shared" si="165"/>
        <v>0</v>
      </c>
    </row>
    <row r="5303" spans="1:48" x14ac:dyDescent="0.25">
      <c r="A5303" t="s">
        <v>17980</v>
      </c>
      <c r="B5303" t="s">
        <v>17980</v>
      </c>
      <c r="C5303" t="s">
        <v>17981</v>
      </c>
      <c r="D5303" t="s">
        <v>8755</v>
      </c>
      <c r="E5303" t="s">
        <v>2310</v>
      </c>
      <c r="F5303">
        <v>9</v>
      </c>
      <c r="G5303">
        <v>9.3000000000000007</v>
      </c>
      <c r="H5303" t="s">
        <v>2323</v>
      </c>
      <c r="I5303" s="21">
        <v>43048.659432870372</v>
      </c>
      <c r="J5303">
        <v>2017</v>
      </c>
      <c r="K5303" s="21">
        <v>43061.602511574078</v>
      </c>
      <c r="L5303">
        <v>2017</v>
      </c>
      <c r="M5303" s="21">
        <v>43494.378833599534</v>
      </c>
      <c r="N5303">
        <v>2019</v>
      </c>
      <c r="Q5303" s="262">
        <v>100000</v>
      </c>
      <c r="R5303" s="262">
        <v>23000</v>
      </c>
      <c r="S5303" t="s">
        <v>13253</v>
      </c>
      <c r="T5303">
        <v>2530</v>
      </c>
      <c r="W5303">
        <v>200</v>
      </c>
      <c r="X5303">
        <v>0</v>
      </c>
      <c r="AC5303">
        <v>200</v>
      </c>
      <c r="AU5303">
        <f t="shared" si="164"/>
        <v>0</v>
      </c>
      <c r="AV5303">
        <f t="shared" si="165"/>
        <v>0</v>
      </c>
    </row>
    <row r="5304" spans="1:48" x14ac:dyDescent="0.25">
      <c r="A5304" t="s">
        <v>13716</v>
      </c>
      <c r="C5304" t="s">
        <v>13717</v>
      </c>
      <c r="D5304" t="s">
        <v>13718</v>
      </c>
      <c r="E5304" t="s">
        <v>1663</v>
      </c>
      <c r="F5304">
        <v>3</v>
      </c>
      <c r="G5304">
        <v>3.2</v>
      </c>
      <c r="H5304" t="s">
        <v>2327</v>
      </c>
      <c r="I5304" s="21">
        <v>43056</v>
      </c>
      <c r="J5304">
        <v>2017</v>
      </c>
      <c r="Q5304" s="262">
        <v>20000</v>
      </c>
      <c r="S5304" t="s">
        <v>114</v>
      </c>
      <c r="T5304" t="s">
        <v>114</v>
      </c>
      <c r="W5304">
        <v>1701</v>
      </c>
      <c r="X5304">
        <v>1</v>
      </c>
      <c r="AC5304">
        <v>1701</v>
      </c>
      <c r="AO5304">
        <v>1</v>
      </c>
      <c r="AU5304">
        <f t="shared" si="164"/>
        <v>1</v>
      </c>
      <c r="AV5304">
        <f t="shared" si="165"/>
        <v>0</v>
      </c>
    </row>
    <row r="5305" spans="1:48" x14ac:dyDescent="0.25">
      <c r="A5305" t="s">
        <v>13719</v>
      </c>
      <c r="C5305" t="s">
        <v>13720</v>
      </c>
      <c r="D5305" t="s">
        <v>1844</v>
      </c>
      <c r="E5305" t="s">
        <v>1663</v>
      </c>
      <c r="F5305">
        <v>3</v>
      </c>
      <c r="G5305">
        <v>3.2</v>
      </c>
      <c r="H5305" t="s">
        <v>2327</v>
      </c>
      <c r="I5305" s="21">
        <v>43060</v>
      </c>
      <c r="J5305">
        <v>2017</v>
      </c>
      <c r="K5305" s="21">
        <v>43087</v>
      </c>
      <c r="L5305">
        <v>2017</v>
      </c>
      <c r="M5305" s="21">
        <v>43929</v>
      </c>
      <c r="N5305">
        <v>2020</v>
      </c>
      <c r="Q5305" s="262">
        <v>3000000</v>
      </c>
      <c r="S5305" t="s">
        <v>114</v>
      </c>
      <c r="T5305" t="s">
        <v>114</v>
      </c>
      <c r="W5305">
        <v>0</v>
      </c>
      <c r="X5305">
        <v>0</v>
      </c>
      <c r="AU5305">
        <f t="shared" si="164"/>
        <v>0</v>
      </c>
      <c r="AV5305">
        <f t="shared" si="165"/>
        <v>0</v>
      </c>
    </row>
    <row r="5306" spans="1:48" x14ac:dyDescent="0.25">
      <c r="A5306" t="s">
        <v>18434</v>
      </c>
      <c r="B5306" t="s">
        <v>18434</v>
      </c>
      <c r="C5306" t="s">
        <v>18435</v>
      </c>
      <c r="D5306" t="s">
        <v>4856</v>
      </c>
      <c r="E5306" t="s">
        <v>2310</v>
      </c>
      <c r="F5306">
        <v>9</v>
      </c>
      <c r="G5306">
        <v>9.3000000000000007</v>
      </c>
      <c r="H5306" t="s">
        <v>2323</v>
      </c>
      <c r="I5306" s="21">
        <v>43067.562418981484</v>
      </c>
      <c r="J5306">
        <v>2017</v>
      </c>
      <c r="K5306" s="21">
        <v>43075.485381944447</v>
      </c>
      <c r="L5306">
        <v>2017</v>
      </c>
      <c r="M5306" s="21">
        <v>43507.54823857639</v>
      </c>
      <c r="N5306">
        <v>2019</v>
      </c>
      <c r="Q5306" s="262">
        <v>300000</v>
      </c>
      <c r="R5306" s="262">
        <v>38000</v>
      </c>
      <c r="S5306" t="s">
        <v>13253</v>
      </c>
      <c r="T5306">
        <v>5147</v>
      </c>
      <c r="V5306">
        <v>438</v>
      </c>
      <c r="W5306">
        <v>411</v>
      </c>
      <c r="X5306">
        <v>0</v>
      </c>
      <c r="AC5306">
        <v>411</v>
      </c>
      <c r="AU5306">
        <f t="shared" si="164"/>
        <v>0</v>
      </c>
      <c r="AV5306">
        <f t="shared" si="165"/>
        <v>0</v>
      </c>
    </row>
    <row r="5307" spans="1:48" x14ac:dyDescent="0.25">
      <c r="A5307" t="s">
        <v>13721</v>
      </c>
      <c r="C5307" t="s">
        <v>13722</v>
      </c>
      <c r="D5307" t="s">
        <v>1844</v>
      </c>
      <c r="E5307" t="s">
        <v>1663</v>
      </c>
      <c r="F5307">
        <v>3</v>
      </c>
      <c r="G5307">
        <v>3.2</v>
      </c>
      <c r="H5307" t="s">
        <v>2327</v>
      </c>
      <c r="I5307" s="21">
        <v>43074</v>
      </c>
      <c r="J5307">
        <v>2017</v>
      </c>
      <c r="K5307" s="21">
        <v>43087</v>
      </c>
      <c r="L5307">
        <v>2017</v>
      </c>
      <c r="M5307" s="21">
        <v>43693</v>
      </c>
      <c r="N5307">
        <v>2019</v>
      </c>
      <c r="Q5307" s="262">
        <v>3000000</v>
      </c>
      <c r="S5307" t="s">
        <v>114</v>
      </c>
      <c r="T5307" t="s">
        <v>114</v>
      </c>
      <c r="W5307">
        <v>0</v>
      </c>
      <c r="X5307">
        <v>0</v>
      </c>
      <c r="AU5307">
        <f t="shared" si="164"/>
        <v>0</v>
      </c>
      <c r="AV5307">
        <f t="shared" si="165"/>
        <v>0</v>
      </c>
    </row>
    <row r="5308" spans="1:48" x14ac:dyDescent="0.25">
      <c r="A5308" t="s">
        <v>18768</v>
      </c>
      <c r="B5308" t="s">
        <v>18768</v>
      </c>
      <c r="C5308" t="s">
        <v>18769</v>
      </c>
      <c r="D5308" t="s">
        <v>18770</v>
      </c>
      <c r="E5308" t="s">
        <v>2310</v>
      </c>
      <c r="F5308">
        <v>10</v>
      </c>
      <c r="G5308">
        <v>10.1</v>
      </c>
      <c r="H5308" t="s">
        <v>2323</v>
      </c>
      <c r="I5308" s="21">
        <v>43074.56177083333</v>
      </c>
      <c r="J5308">
        <v>2017</v>
      </c>
      <c r="K5308" s="21">
        <v>43116.44494212963</v>
      </c>
      <c r="L5308">
        <v>2018</v>
      </c>
      <c r="M5308" s="21">
        <v>43622.588436342594</v>
      </c>
      <c r="N5308">
        <v>2019</v>
      </c>
      <c r="Q5308" s="262">
        <v>1000000</v>
      </c>
      <c r="R5308" s="262">
        <v>542000</v>
      </c>
      <c r="S5308" t="s">
        <v>13254</v>
      </c>
      <c r="W5308">
        <v>4775</v>
      </c>
      <c r="X5308">
        <v>1</v>
      </c>
      <c r="AC5308">
        <v>4775</v>
      </c>
      <c r="AO5308">
        <v>1</v>
      </c>
      <c r="AU5308">
        <f t="shared" si="164"/>
        <v>1</v>
      </c>
      <c r="AV5308">
        <f t="shared" si="165"/>
        <v>0</v>
      </c>
    </row>
    <row r="5309" spans="1:48" x14ac:dyDescent="0.25">
      <c r="A5309" t="s">
        <v>13723</v>
      </c>
      <c r="C5309" t="s">
        <v>13724</v>
      </c>
      <c r="D5309" t="s">
        <v>3362</v>
      </c>
      <c r="E5309" t="s">
        <v>1663</v>
      </c>
      <c r="F5309">
        <v>4</v>
      </c>
      <c r="G5309">
        <v>4.0999999999999996</v>
      </c>
      <c r="H5309" t="s">
        <v>2327</v>
      </c>
      <c r="I5309" s="21">
        <v>43077</v>
      </c>
      <c r="J5309">
        <v>2017</v>
      </c>
      <c r="K5309" s="21">
        <v>43103</v>
      </c>
      <c r="L5309">
        <v>2018</v>
      </c>
      <c r="M5309" s="21">
        <v>43227</v>
      </c>
      <c r="N5309">
        <v>2018</v>
      </c>
      <c r="Q5309" s="262">
        <v>16000</v>
      </c>
      <c r="S5309" t="s">
        <v>114</v>
      </c>
      <c r="T5309" t="s">
        <v>114</v>
      </c>
      <c r="W5309">
        <v>0</v>
      </c>
      <c r="X5309">
        <v>0</v>
      </c>
      <c r="AU5309">
        <f t="shared" si="164"/>
        <v>0</v>
      </c>
      <c r="AV5309">
        <f t="shared" si="165"/>
        <v>0</v>
      </c>
    </row>
    <row r="5310" spans="1:48" x14ac:dyDescent="0.25">
      <c r="A5310" t="s">
        <v>13725</v>
      </c>
      <c r="C5310" t="s">
        <v>13726</v>
      </c>
      <c r="D5310" t="s">
        <v>12537</v>
      </c>
      <c r="E5310" t="s">
        <v>1663</v>
      </c>
      <c r="F5310">
        <v>2</v>
      </c>
      <c r="G5310">
        <v>2.6</v>
      </c>
      <c r="H5310" t="s">
        <v>2327</v>
      </c>
      <c r="I5310" s="21">
        <v>43077</v>
      </c>
      <c r="J5310">
        <v>2017</v>
      </c>
      <c r="K5310" s="21">
        <v>43172</v>
      </c>
      <c r="L5310">
        <v>2018</v>
      </c>
      <c r="M5310" s="21">
        <v>43264</v>
      </c>
      <c r="N5310">
        <v>2018</v>
      </c>
      <c r="Q5310" s="262">
        <v>400000</v>
      </c>
      <c r="S5310" t="s">
        <v>114</v>
      </c>
      <c r="T5310" t="s">
        <v>114</v>
      </c>
      <c r="W5310">
        <v>1</v>
      </c>
      <c r="X5310">
        <v>0</v>
      </c>
      <c r="AI5310">
        <v>1</v>
      </c>
      <c r="AU5310">
        <f t="shared" si="164"/>
        <v>0</v>
      </c>
      <c r="AV5310">
        <f t="shared" si="165"/>
        <v>1</v>
      </c>
    </row>
    <row r="5311" spans="1:48" x14ac:dyDescent="0.25">
      <c r="A5311" t="s">
        <v>19154</v>
      </c>
      <c r="B5311" t="s">
        <v>19154</v>
      </c>
      <c r="C5311" t="s">
        <v>19155</v>
      </c>
      <c r="D5311" t="s">
        <v>3575</v>
      </c>
      <c r="E5311" t="s">
        <v>2310</v>
      </c>
      <c r="F5311">
        <v>13</v>
      </c>
      <c r="G5311">
        <v>13.3</v>
      </c>
      <c r="H5311" t="s">
        <v>2017</v>
      </c>
      <c r="I5311" s="21">
        <v>43088.597037037034</v>
      </c>
      <c r="J5311">
        <v>2017</v>
      </c>
      <c r="K5311" s="21">
        <v>43116.509699074071</v>
      </c>
      <c r="L5311">
        <v>2018</v>
      </c>
      <c r="M5311" s="21">
        <v>43803.414894641202</v>
      </c>
      <c r="N5311">
        <v>2019</v>
      </c>
      <c r="Q5311" s="262">
        <v>1500000</v>
      </c>
      <c r="R5311" s="262">
        <v>277000</v>
      </c>
      <c r="S5311" t="s">
        <v>13254</v>
      </c>
      <c r="W5311">
        <v>3151</v>
      </c>
      <c r="X5311">
        <v>1</v>
      </c>
      <c r="AC5311">
        <v>696</v>
      </c>
      <c r="AF5311">
        <v>2455</v>
      </c>
      <c r="AR5311">
        <v>1</v>
      </c>
      <c r="AU5311">
        <f t="shared" si="164"/>
        <v>0</v>
      </c>
      <c r="AV5311">
        <f t="shared" si="165"/>
        <v>0</v>
      </c>
    </row>
    <row r="5312" spans="1:48" x14ac:dyDescent="0.25">
      <c r="A5312" t="s">
        <v>19039</v>
      </c>
      <c r="B5312" t="s">
        <v>19039</v>
      </c>
      <c r="C5312" t="s">
        <v>19040</v>
      </c>
      <c r="D5312" t="s">
        <v>19041</v>
      </c>
      <c r="E5312" t="s">
        <v>2310</v>
      </c>
      <c r="F5312">
        <v>8</v>
      </c>
      <c r="G5312">
        <v>8.3000000000000007</v>
      </c>
      <c r="H5312" t="s">
        <v>2323</v>
      </c>
      <c r="I5312" s="21">
        <v>43089.383414351854</v>
      </c>
      <c r="J5312">
        <v>2017</v>
      </c>
      <c r="K5312" s="21">
        <v>43173.628530092596</v>
      </c>
      <c r="L5312">
        <v>2018</v>
      </c>
      <c r="M5312" s="21">
        <v>43732.381850810183</v>
      </c>
      <c r="N5312">
        <v>2019</v>
      </c>
      <c r="Q5312" s="262">
        <v>752263</v>
      </c>
      <c r="R5312" s="262">
        <v>303000</v>
      </c>
      <c r="S5312" t="s">
        <v>13254</v>
      </c>
      <c r="W5312">
        <v>2623</v>
      </c>
      <c r="X5312">
        <v>1</v>
      </c>
      <c r="AC5312">
        <v>2623</v>
      </c>
      <c r="AO5312">
        <v>1</v>
      </c>
      <c r="AU5312">
        <f t="shared" si="164"/>
        <v>1</v>
      </c>
      <c r="AV5312">
        <f t="shared" si="165"/>
        <v>0</v>
      </c>
    </row>
    <row r="5313" spans="1:48" x14ac:dyDescent="0.25">
      <c r="A5313" t="s">
        <v>19042</v>
      </c>
      <c r="B5313" t="s">
        <v>19042</v>
      </c>
      <c r="C5313" t="s">
        <v>19043</v>
      </c>
      <c r="D5313" t="s">
        <v>19041</v>
      </c>
      <c r="E5313" t="s">
        <v>2310</v>
      </c>
      <c r="F5313">
        <v>8</v>
      </c>
      <c r="G5313">
        <v>8.3000000000000007</v>
      </c>
      <c r="H5313" t="s">
        <v>2323</v>
      </c>
      <c r="I5313" s="21">
        <v>43089.393877314818</v>
      </c>
      <c r="J5313">
        <v>2017</v>
      </c>
      <c r="K5313" s="21">
        <v>43173.62709490741</v>
      </c>
      <c r="L5313">
        <v>2018</v>
      </c>
      <c r="M5313" s="21">
        <v>43732.384162997689</v>
      </c>
      <c r="N5313">
        <v>2019</v>
      </c>
      <c r="Q5313" s="262">
        <v>157737</v>
      </c>
      <c r="R5313" s="262">
        <v>25000</v>
      </c>
      <c r="S5313" t="s">
        <v>13254</v>
      </c>
      <c r="W5313">
        <v>550</v>
      </c>
      <c r="X5313">
        <v>0</v>
      </c>
      <c r="AC5313">
        <v>550</v>
      </c>
      <c r="AU5313">
        <f t="shared" si="164"/>
        <v>0</v>
      </c>
      <c r="AV5313">
        <f t="shared" si="165"/>
        <v>0</v>
      </c>
    </row>
    <row r="5314" spans="1:48" x14ac:dyDescent="0.25">
      <c r="A5314" t="s">
        <v>19093</v>
      </c>
      <c r="B5314" t="s">
        <v>19093</v>
      </c>
      <c r="C5314" t="s">
        <v>19094</v>
      </c>
      <c r="D5314" t="s">
        <v>19095</v>
      </c>
      <c r="E5314" t="s">
        <v>2310</v>
      </c>
      <c r="F5314">
        <v>8</v>
      </c>
      <c r="G5314">
        <v>8.3000000000000007</v>
      </c>
      <c r="H5314" t="s">
        <v>2323</v>
      </c>
      <c r="I5314" s="21">
        <v>43089.429467592592</v>
      </c>
      <c r="J5314">
        <v>2017</v>
      </c>
      <c r="K5314" s="21">
        <v>43307.667188344909</v>
      </c>
      <c r="L5314">
        <v>2018</v>
      </c>
      <c r="M5314" s="21">
        <v>43759.410872025466</v>
      </c>
      <c r="N5314">
        <v>2019</v>
      </c>
      <c r="Q5314" s="262">
        <v>752263</v>
      </c>
      <c r="R5314" s="262">
        <v>303000</v>
      </c>
      <c r="S5314" t="s">
        <v>13254</v>
      </c>
      <c r="W5314">
        <v>2623</v>
      </c>
      <c r="X5314">
        <v>1</v>
      </c>
      <c r="AC5314">
        <v>2623</v>
      </c>
      <c r="AO5314">
        <v>1</v>
      </c>
      <c r="AU5314">
        <f t="shared" si="164"/>
        <v>1</v>
      </c>
      <c r="AV5314">
        <f t="shared" si="165"/>
        <v>0</v>
      </c>
    </row>
    <row r="5315" spans="1:48" x14ac:dyDescent="0.25">
      <c r="A5315" t="s">
        <v>19197</v>
      </c>
      <c r="B5315" t="s">
        <v>19197</v>
      </c>
      <c r="C5315" t="s">
        <v>18873</v>
      </c>
      <c r="D5315" t="s">
        <v>19095</v>
      </c>
      <c r="E5315" t="s">
        <v>2310</v>
      </c>
      <c r="F5315">
        <v>8</v>
      </c>
      <c r="G5315">
        <v>8.3000000000000007</v>
      </c>
      <c r="H5315" t="s">
        <v>2323</v>
      </c>
      <c r="I5315" s="21">
        <v>43089.437824074077</v>
      </c>
      <c r="J5315">
        <v>2017</v>
      </c>
      <c r="K5315" s="21">
        <v>43405.698685532407</v>
      </c>
      <c r="L5315">
        <v>2018</v>
      </c>
      <c r="M5315" s="21">
        <v>43833.370346793985</v>
      </c>
      <c r="N5315">
        <v>2020</v>
      </c>
      <c r="Q5315" s="262">
        <v>157737</v>
      </c>
      <c r="R5315" s="262">
        <v>21000</v>
      </c>
      <c r="S5315" t="s">
        <v>13254</v>
      </c>
      <c r="W5315">
        <v>450</v>
      </c>
      <c r="X5315">
        <v>0</v>
      </c>
      <c r="AC5315">
        <v>450</v>
      </c>
      <c r="AU5315">
        <f t="shared" si="164"/>
        <v>0</v>
      </c>
      <c r="AV5315">
        <f t="shared" si="165"/>
        <v>0</v>
      </c>
    </row>
    <row r="5316" spans="1:48" x14ac:dyDescent="0.25">
      <c r="A5316" t="s">
        <v>19036</v>
      </c>
      <c r="B5316" t="s">
        <v>19036</v>
      </c>
      <c r="C5316" t="s">
        <v>18876</v>
      </c>
      <c r="D5316" t="s">
        <v>19037</v>
      </c>
      <c r="E5316" t="s">
        <v>2310</v>
      </c>
      <c r="F5316">
        <v>8</v>
      </c>
      <c r="G5316">
        <v>8.3000000000000007</v>
      </c>
      <c r="H5316" t="s">
        <v>2323</v>
      </c>
      <c r="I5316" s="21">
        <v>43089.448796296296</v>
      </c>
      <c r="J5316">
        <v>2017</v>
      </c>
      <c r="K5316" s="21">
        <v>43173.620243055557</v>
      </c>
      <c r="L5316">
        <v>2018</v>
      </c>
      <c r="M5316" s="21">
        <v>43732.375858067127</v>
      </c>
      <c r="N5316">
        <v>2019</v>
      </c>
      <c r="Q5316" s="262">
        <v>752263</v>
      </c>
      <c r="R5316" s="262">
        <v>303000</v>
      </c>
      <c r="S5316" t="s">
        <v>13254</v>
      </c>
      <c r="W5316">
        <v>2623</v>
      </c>
      <c r="X5316">
        <v>1</v>
      </c>
      <c r="AC5316">
        <v>2623</v>
      </c>
      <c r="AO5316">
        <v>1</v>
      </c>
      <c r="AU5316">
        <f t="shared" si="164"/>
        <v>1</v>
      </c>
      <c r="AV5316">
        <f t="shared" si="165"/>
        <v>0</v>
      </c>
    </row>
    <row r="5317" spans="1:48" x14ac:dyDescent="0.25">
      <c r="A5317" t="s">
        <v>19038</v>
      </c>
      <c r="B5317" t="s">
        <v>19038</v>
      </c>
      <c r="C5317" t="s">
        <v>11002</v>
      </c>
      <c r="D5317" t="s">
        <v>19037</v>
      </c>
      <c r="E5317" t="s">
        <v>2310</v>
      </c>
      <c r="F5317">
        <v>8</v>
      </c>
      <c r="G5317">
        <v>8.3000000000000007</v>
      </c>
      <c r="H5317" t="s">
        <v>2323</v>
      </c>
      <c r="I5317" s="21">
        <v>43089.476956018516</v>
      </c>
      <c r="J5317">
        <v>2017</v>
      </c>
      <c r="K5317" s="21">
        <v>43173.618564814817</v>
      </c>
      <c r="L5317">
        <v>2018</v>
      </c>
      <c r="M5317" s="21">
        <v>43732.379481481483</v>
      </c>
      <c r="N5317">
        <v>2019</v>
      </c>
      <c r="Q5317" s="262">
        <v>157737</v>
      </c>
      <c r="R5317" s="262">
        <v>21000</v>
      </c>
      <c r="S5317" t="s">
        <v>13254</v>
      </c>
      <c r="W5317">
        <v>450</v>
      </c>
      <c r="X5317">
        <v>0</v>
      </c>
      <c r="AC5317">
        <v>450</v>
      </c>
      <c r="AU5317">
        <f t="shared" si="164"/>
        <v>0</v>
      </c>
      <c r="AV5317">
        <f t="shared" si="165"/>
        <v>0</v>
      </c>
    </row>
    <row r="5318" spans="1:48" x14ac:dyDescent="0.25">
      <c r="A5318" t="s">
        <v>18929</v>
      </c>
      <c r="B5318" t="s">
        <v>18929</v>
      </c>
      <c r="C5318" t="s">
        <v>18876</v>
      </c>
      <c r="D5318" t="s">
        <v>18930</v>
      </c>
      <c r="E5318" t="s">
        <v>2310</v>
      </c>
      <c r="F5318">
        <v>8</v>
      </c>
      <c r="G5318">
        <v>8.3000000000000007</v>
      </c>
      <c r="H5318" t="s">
        <v>2323</v>
      </c>
      <c r="I5318" s="21">
        <v>43089.483090277776</v>
      </c>
      <c r="J5318">
        <v>2017</v>
      </c>
      <c r="K5318" s="21">
        <v>43173.615682870368</v>
      </c>
      <c r="L5318">
        <v>2018</v>
      </c>
      <c r="M5318" s="21">
        <v>43675.406672187499</v>
      </c>
      <c r="N5318">
        <v>2019</v>
      </c>
      <c r="Q5318" s="262">
        <v>752263</v>
      </c>
      <c r="R5318" s="262">
        <v>303000</v>
      </c>
      <c r="S5318" t="s">
        <v>13254</v>
      </c>
      <c r="W5318">
        <v>2623</v>
      </c>
      <c r="X5318">
        <v>1</v>
      </c>
      <c r="AC5318">
        <v>2623</v>
      </c>
      <c r="AO5318">
        <v>1</v>
      </c>
      <c r="AU5318">
        <f t="shared" si="164"/>
        <v>1</v>
      </c>
      <c r="AV5318">
        <f t="shared" si="165"/>
        <v>0</v>
      </c>
    </row>
    <row r="5319" spans="1:48" x14ac:dyDescent="0.25">
      <c r="A5319" t="s">
        <v>18931</v>
      </c>
      <c r="B5319" t="s">
        <v>18931</v>
      </c>
      <c r="C5319" t="s">
        <v>18928</v>
      </c>
      <c r="D5319" t="s">
        <v>18930</v>
      </c>
      <c r="E5319" t="s">
        <v>2310</v>
      </c>
      <c r="F5319">
        <v>8</v>
      </c>
      <c r="G5319">
        <v>8.3000000000000007</v>
      </c>
      <c r="H5319" t="s">
        <v>2323</v>
      </c>
      <c r="I5319" s="21">
        <v>43089.488576388889</v>
      </c>
      <c r="J5319">
        <v>2017</v>
      </c>
      <c r="K5319" s="21">
        <v>43173.614085648151</v>
      </c>
      <c r="L5319">
        <v>2018</v>
      </c>
      <c r="M5319" s="21">
        <v>43675.409722025463</v>
      </c>
      <c r="N5319">
        <v>2019</v>
      </c>
      <c r="Q5319" s="262">
        <v>157737</v>
      </c>
      <c r="R5319" s="262">
        <v>25000</v>
      </c>
      <c r="S5319" t="s">
        <v>13254</v>
      </c>
      <c r="W5319">
        <v>550</v>
      </c>
      <c r="X5319">
        <v>0</v>
      </c>
      <c r="AC5319">
        <v>550</v>
      </c>
      <c r="AU5319">
        <f t="shared" si="164"/>
        <v>0</v>
      </c>
      <c r="AV5319">
        <f t="shared" si="165"/>
        <v>0</v>
      </c>
    </row>
    <row r="5320" spans="1:48" x14ac:dyDescent="0.25">
      <c r="A5320" t="s">
        <v>18864</v>
      </c>
      <c r="B5320" t="s">
        <v>18864</v>
      </c>
      <c r="C5320" t="s">
        <v>18865</v>
      </c>
      <c r="D5320" t="s">
        <v>18866</v>
      </c>
      <c r="E5320" t="s">
        <v>2310</v>
      </c>
      <c r="F5320">
        <v>8</v>
      </c>
      <c r="G5320">
        <v>8.3000000000000007</v>
      </c>
      <c r="H5320" t="s">
        <v>2323</v>
      </c>
      <c r="I5320" s="21">
        <v>43089.533668981479</v>
      </c>
      <c r="J5320">
        <v>2017</v>
      </c>
      <c r="K5320" s="21">
        <v>43173.612488425926</v>
      </c>
      <c r="L5320">
        <v>2018</v>
      </c>
      <c r="M5320" s="21">
        <v>43648.701566701391</v>
      </c>
      <c r="N5320">
        <v>2019</v>
      </c>
      <c r="Q5320" s="262">
        <v>752263</v>
      </c>
      <c r="R5320" s="262">
        <v>303000</v>
      </c>
      <c r="S5320" t="s">
        <v>13254</v>
      </c>
      <c r="W5320">
        <v>2623</v>
      </c>
      <c r="X5320">
        <v>1</v>
      </c>
      <c r="AC5320">
        <v>2623</v>
      </c>
      <c r="AO5320">
        <v>1</v>
      </c>
      <c r="AU5320">
        <f t="shared" si="164"/>
        <v>1</v>
      </c>
      <c r="AV5320">
        <f t="shared" si="165"/>
        <v>0</v>
      </c>
    </row>
    <row r="5321" spans="1:48" x14ac:dyDescent="0.25">
      <c r="A5321" t="s">
        <v>18996</v>
      </c>
      <c r="B5321" t="s">
        <v>18996</v>
      </c>
      <c r="C5321" t="s">
        <v>18997</v>
      </c>
      <c r="D5321" t="s">
        <v>18866</v>
      </c>
      <c r="E5321" t="s">
        <v>2310</v>
      </c>
      <c r="F5321">
        <v>8</v>
      </c>
      <c r="G5321">
        <v>8.3000000000000007</v>
      </c>
      <c r="H5321" t="s">
        <v>2323</v>
      </c>
      <c r="I5321" s="21">
        <v>43089.540312500001</v>
      </c>
      <c r="J5321">
        <v>2017</v>
      </c>
      <c r="K5321" s="21">
        <v>43173.610671296294</v>
      </c>
      <c r="L5321">
        <v>2018</v>
      </c>
      <c r="M5321" s="21">
        <v>43703.467538773148</v>
      </c>
      <c r="N5321">
        <v>2019</v>
      </c>
      <c r="Q5321" s="262">
        <v>157737</v>
      </c>
      <c r="R5321" s="262">
        <v>21000</v>
      </c>
      <c r="S5321" t="s">
        <v>13254</v>
      </c>
      <c r="W5321">
        <v>450</v>
      </c>
      <c r="X5321">
        <v>0</v>
      </c>
      <c r="AC5321">
        <v>450</v>
      </c>
      <c r="AU5321">
        <f t="shared" si="164"/>
        <v>0</v>
      </c>
      <c r="AV5321">
        <f t="shared" si="165"/>
        <v>0</v>
      </c>
    </row>
    <row r="5322" spans="1:48" x14ac:dyDescent="0.25">
      <c r="A5322" t="s">
        <v>18875</v>
      </c>
      <c r="B5322" t="s">
        <v>18875</v>
      </c>
      <c r="C5322" t="s">
        <v>18876</v>
      </c>
      <c r="D5322" t="s">
        <v>18874</v>
      </c>
      <c r="E5322" t="s">
        <v>2310</v>
      </c>
      <c r="F5322">
        <v>8</v>
      </c>
      <c r="G5322">
        <v>8.3000000000000007</v>
      </c>
      <c r="H5322" t="s">
        <v>2323</v>
      </c>
      <c r="I5322" s="21">
        <v>43089.545613425929</v>
      </c>
      <c r="J5322">
        <v>2017</v>
      </c>
      <c r="K5322" s="21">
        <v>43173.608680555553</v>
      </c>
      <c r="L5322">
        <v>2018</v>
      </c>
      <c r="M5322" s="21">
        <v>43655.428776423614</v>
      </c>
      <c r="N5322">
        <v>2019</v>
      </c>
      <c r="Q5322" s="262">
        <v>752263</v>
      </c>
      <c r="R5322" s="262">
        <v>303000</v>
      </c>
      <c r="S5322" t="s">
        <v>13254</v>
      </c>
      <c r="W5322">
        <v>2623</v>
      </c>
      <c r="X5322">
        <v>1</v>
      </c>
      <c r="AC5322">
        <v>2623</v>
      </c>
      <c r="AO5322">
        <v>1</v>
      </c>
      <c r="AU5322">
        <f t="shared" si="164"/>
        <v>1</v>
      </c>
      <c r="AV5322">
        <f t="shared" si="165"/>
        <v>0</v>
      </c>
    </row>
    <row r="5323" spans="1:48" x14ac:dyDescent="0.25">
      <c r="A5323" t="s">
        <v>18872</v>
      </c>
      <c r="B5323" t="s">
        <v>18872</v>
      </c>
      <c r="C5323" t="s">
        <v>18873</v>
      </c>
      <c r="D5323" t="s">
        <v>18874</v>
      </c>
      <c r="E5323" t="s">
        <v>2310</v>
      </c>
      <c r="F5323">
        <v>8</v>
      </c>
      <c r="G5323">
        <v>8.3000000000000007</v>
      </c>
      <c r="H5323" t="s">
        <v>2323</v>
      </c>
      <c r="I5323" s="21">
        <v>43089.551354166666</v>
      </c>
      <c r="J5323">
        <v>2017</v>
      </c>
      <c r="K5323" s="21">
        <v>43173.606249999997</v>
      </c>
      <c r="L5323">
        <v>2018</v>
      </c>
      <c r="M5323" s="21">
        <v>43655.426506365744</v>
      </c>
      <c r="N5323">
        <v>2019</v>
      </c>
      <c r="Q5323" s="262">
        <v>157737</v>
      </c>
      <c r="R5323" s="262">
        <v>21000</v>
      </c>
      <c r="S5323" t="s">
        <v>13254</v>
      </c>
      <c r="W5323">
        <v>450</v>
      </c>
      <c r="X5323">
        <v>0</v>
      </c>
      <c r="AC5323">
        <v>450</v>
      </c>
      <c r="AU5323">
        <f t="shared" si="164"/>
        <v>0</v>
      </c>
      <c r="AV5323">
        <f t="shared" si="165"/>
        <v>0</v>
      </c>
    </row>
    <row r="5324" spans="1:48" x14ac:dyDescent="0.25">
      <c r="A5324" t="s">
        <v>18925</v>
      </c>
      <c r="B5324" t="s">
        <v>18925</v>
      </c>
      <c r="C5324" t="s">
        <v>18876</v>
      </c>
      <c r="D5324" t="s">
        <v>18926</v>
      </c>
      <c r="E5324" t="s">
        <v>2310</v>
      </c>
      <c r="F5324">
        <v>8</v>
      </c>
      <c r="G5324">
        <v>8.3000000000000007</v>
      </c>
      <c r="H5324" t="s">
        <v>2323</v>
      </c>
      <c r="I5324" s="21">
        <v>43089.565983796296</v>
      </c>
      <c r="J5324">
        <v>2017</v>
      </c>
      <c r="K5324" s="21">
        <v>43173.604016203702</v>
      </c>
      <c r="L5324">
        <v>2018</v>
      </c>
      <c r="M5324" s="21">
        <v>43675.398411192131</v>
      </c>
      <c r="N5324">
        <v>2019</v>
      </c>
      <c r="Q5324" s="262">
        <v>752263</v>
      </c>
      <c r="R5324" s="262">
        <v>303000</v>
      </c>
      <c r="S5324" t="s">
        <v>13254</v>
      </c>
      <c r="W5324">
        <v>2623</v>
      </c>
      <c r="X5324">
        <v>1</v>
      </c>
      <c r="AC5324">
        <v>2623</v>
      </c>
      <c r="AO5324">
        <v>1</v>
      </c>
      <c r="AU5324">
        <f t="shared" si="164"/>
        <v>1</v>
      </c>
      <c r="AV5324">
        <f t="shared" si="165"/>
        <v>0</v>
      </c>
    </row>
    <row r="5325" spans="1:48" x14ac:dyDescent="0.25">
      <c r="A5325" t="s">
        <v>18927</v>
      </c>
      <c r="B5325" t="s">
        <v>18927</v>
      </c>
      <c r="C5325" t="s">
        <v>18928</v>
      </c>
      <c r="D5325" t="s">
        <v>18926</v>
      </c>
      <c r="E5325" t="s">
        <v>2310</v>
      </c>
      <c r="F5325">
        <v>8</v>
      </c>
      <c r="G5325">
        <v>8.3000000000000007</v>
      </c>
      <c r="H5325" t="s">
        <v>2323</v>
      </c>
      <c r="I5325" s="21">
        <v>43089.591423611113</v>
      </c>
      <c r="J5325">
        <v>2017</v>
      </c>
      <c r="K5325" s="21">
        <v>43173.592048611114</v>
      </c>
      <c r="L5325">
        <v>2018</v>
      </c>
      <c r="M5325" s="21">
        <v>43675.403760104164</v>
      </c>
      <c r="N5325">
        <v>2019</v>
      </c>
      <c r="Q5325" s="262">
        <v>157737</v>
      </c>
      <c r="R5325" s="262">
        <v>25000</v>
      </c>
      <c r="S5325" t="s">
        <v>13254</v>
      </c>
      <c r="W5325">
        <v>550</v>
      </c>
      <c r="X5325">
        <v>0</v>
      </c>
      <c r="AC5325">
        <v>550</v>
      </c>
      <c r="AU5325">
        <f t="shared" si="164"/>
        <v>0</v>
      </c>
      <c r="AV5325">
        <f t="shared" si="165"/>
        <v>0</v>
      </c>
    </row>
    <row r="5326" spans="1:48" x14ac:dyDescent="0.25">
      <c r="A5326" t="s">
        <v>19378</v>
      </c>
      <c r="B5326" t="s">
        <v>114</v>
      </c>
      <c r="C5326" t="s">
        <v>19379</v>
      </c>
      <c r="D5326" t="s">
        <v>19380</v>
      </c>
      <c r="E5326" t="s">
        <v>1663</v>
      </c>
      <c r="F5326">
        <v>5</v>
      </c>
      <c r="G5326">
        <v>5.5</v>
      </c>
      <c r="H5326" t="s">
        <v>2017</v>
      </c>
      <c r="I5326" s="21">
        <v>43090</v>
      </c>
      <c r="J5326">
        <v>2017</v>
      </c>
      <c r="K5326" s="21">
        <v>43385</v>
      </c>
      <c r="L5326">
        <v>2018</v>
      </c>
      <c r="M5326" s="21">
        <v>43626</v>
      </c>
      <c r="N5326">
        <v>2019</v>
      </c>
      <c r="Q5326" s="262">
        <v>90000</v>
      </c>
      <c r="S5326" t="s">
        <v>13253</v>
      </c>
      <c r="T5326">
        <v>13479</v>
      </c>
      <c r="W5326">
        <v>1012</v>
      </c>
      <c r="X5326">
        <v>0</v>
      </c>
      <c r="AC5326">
        <v>1012</v>
      </c>
      <c r="AU5326">
        <f t="shared" si="164"/>
        <v>0</v>
      </c>
      <c r="AV5326">
        <f t="shared" si="165"/>
        <v>0</v>
      </c>
    </row>
    <row r="5327" spans="1:48" x14ac:dyDescent="0.25">
      <c r="A5327" t="s">
        <v>13727</v>
      </c>
      <c r="C5327" t="s">
        <v>13728</v>
      </c>
      <c r="D5327" t="s">
        <v>13729</v>
      </c>
      <c r="E5327" t="s">
        <v>1663</v>
      </c>
      <c r="F5327">
        <v>2</v>
      </c>
      <c r="G5327">
        <v>2.2000000000000002</v>
      </c>
      <c r="H5327" t="s">
        <v>2327</v>
      </c>
      <c r="I5327" s="21">
        <v>43090</v>
      </c>
      <c r="J5327">
        <v>2017</v>
      </c>
      <c r="K5327" s="21">
        <v>43206</v>
      </c>
      <c r="L5327">
        <v>2018</v>
      </c>
      <c r="P5327" s="21">
        <v>43570</v>
      </c>
      <c r="Q5327" s="262">
        <v>2600000</v>
      </c>
      <c r="S5327" t="s">
        <v>114</v>
      </c>
      <c r="T5327" t="s">
        <v>114</v>
      </c>
      <c r="W5327">
        <v>0</v>
      </c>
      <c r="X5327">
        <v>0</v>
      </c>
      <c r="AU5327">
        <f t="shared" si="164"/>
        <v>0</v>
      </c>
      <c r="AV5327">
        <f t="shared" si="165"/>
        <v>0</v>
      </c>
    </row>
    <row r="5328" spans="1:48" x14ac:dyDescent="0.25">
      <c r="A5328" t="s">
        <v>13730</v>
      </c>
      <c r="C5328" t="s">
        <v>13731</v>
      </c>
      <c r="D5328" t="s">
        <v>3362</v>
      </c>
      <c r="E5328" t="s">
        <v>1663</v>
      </c>
      <c r="F5328">
        <v>4</v>
      </c>
      <c r="G5328">
        <v>4.0999999999999996</v>
      </c>
      <c r="H5328" t="s">
        <v>2327</v>
      </c>
      <c r="I5328" s="21">
        <v>43102</v>
      </c>
      <c r="J5328">
        <v>2018</v>
      </c>
      <c r="K5328" s="21">
        <v>43117</v>
      </c>
      <c r="L5328">
        <v>2018</v>
      </c>
      <c r="M5328" s="21">
        <v>43217</v>
      </c>
      <c r="N5328">
        <v>2018</v>
      </c>
      <c r="Q5328" s="262">
        <v>30000</v>
      </c>
      <c r="S5328" t="s">
        <v>114</v>
      </c>
      <c r="T5328" t="s">
        <v>114</v>
      </c>
      <c r="W5328">
        <v>0</v>
      </c>
      <c r="X5328">
        <v>0</v>
      </c>
      <c r="AU5328">
        <f t="shared" si="164"/>
        <v>0</v>
      </c>
      <c r="AV5328">
        <f t="shared" si="165"/>
        <v>0</v>
      </c>
    </row>
    <row r="5329" spans="1:48" x14ac:dyDescent="0.25">
      <c r="A5329" t="s">
        <v>13732</v>
      </c>
      <c r="C5329" t="s">
        <v>13733</v>
      </c>
      <c r="D5329" t="s">
        <v>13734</v>
      </c>
      <c r="E5329" t="s">
        <v>1663</v>
      </c>
      <c r="F5329">
        <v>2</v>
      </c>
      <c r="G5329">
        <v>2.2999999999999998</v>
      </c>
      <c r="H5329" t="s">
        <v>2327</v>
      </c>
      <c r="I5329" s="21">
        <v>43102</v>
      </c>
      <c r="J5329">
        <v>2018</v>
      </c>
      <c r="Q5329" s="262">
        <v>150000</v>
      </c>
      <c r="S5329" t="s">
        <v>114</v>
      </c>
      <c r="T5329" t="s">
        <v>114</v>
      </c>
      <c r="W5329">
        <v>0</v>
      </c>
      <c r="X5329">
        <v>0</v>
      </c>
      <c r="AU5329">
        <f t="shared" si="164"/>
        <v>0</v>
      </c>
      <c r="AV5329">
        <f t="shared" si="165"/>
        <v>0</v>
      </c>
    </row>
    <row r="5330" spans="1:48" x14ac:dyDescent="0.25">
      <c r="A5330" t="s">
        <v>19912</v>
      </c>
      <c r="C5330" t="s">
        <v>19913</v>
      </c>
      <c r="D5330" t="s">
        <v>13734</v>
      </c>
      <c r="E5330" t="s">
        <v>1663</v>
      </c>
      <c r="F5330">
        <v>2</v>
      </c>
      <c r="G5330">
        <v>2.2999999999999998</v>
      </c>
      <c r="H5330" t="s">
        <v>2327</v>
      </c>
      <c r="I5330" s="21">
        <v>43102</v>
      </c>
      <c r="J5330">
        <v>2018</v>
      </c>
      <c r="K5330" s="21">
        <v>43803</v>
      </c>
      <c r="L5330">
        <v>2019</v>
      </c>
      <c r="M5330" s="21">
        <v>44378</v>
      </c>
      <c r="N5330">
        <v>2021</v>
      </c>
      <c r="Q5330" s="262">
        <v>800000</v>
      </c>
      <c r="S5330" t="s">
        <v>13253</v>
      </c>
      <c r="T5330">
        <v>12729</v>
      </c>
      <c r="U5330">
        <v>13</v>
      </c>
      <c r="W5330">
        <v>0</v>
      </c>
      <c r="X5330">
        <v>0</v>
      </c>
      <c r="AK5330">
        <v>616</v>
      </c>
      <c r="AL5330">
        <v>-616</v>
      </c>
      <c r="AU5330">
        <f t="shared" si="164"/>
        <v>0</v>
      </c>
      <c r="AV5330">
        <f t="shared" si="165"/>
        <v>0</v>
      </c>
    </row>
    <row r="5331" spans="1:48" x14ac:dyDescent="0.25">
      <c r="A5331" t="s">
        <v>13735</v>
      </c>
      <c r="B5331" t="s">
        <v>13735</v>
      </c>
      <c r="C5331" t="s">
        <v>13736</v>
      </c>
      <c r="D5331" t="s">
        <v>1918</v>
      </c>
      <c r="E5331" t="s">
        <v>2310</v>
      </c>
      <c r="F5331">
        <v>4</v>
      </c>
      <c r="G5331">
        <v>4.2</v>
      </c>
      <c r="H5331" t="s">
        <v>2327</v>
      </c>
      <c r="I5331" s="21">
        <v>43102.458171296297</v>
      </c>
      <c r="J5331">
        <v>2018</v>
      </c>
      <c r="K5331" s="21">
        <v>43112.377280092602</v>
      </c>
      <c r="L5331">
        <v>2018</v>
      </c>
      <c r="M5331" s="21">
        <v>43398.649651701402</v>
      </c>
      <c r="N5331">
        <v>2018</v>
      </c>
      <c r="Q5331" s="262">
        <v>10000</v>
      </c>
      <c r="R5331" s="262">
        <v>6000</v>
      </c>
      <c r="S5331" t="s">
        <v>114</v>
      </c>
      <c r="T5331" t="s">
        <v>114</v>
      </c>
      <c r="W5331">
        <v>0</v>
      </c>
      <c r="X5331">
        <v>0</v>
      </c>
      <c r="AU5331">
        <f t="shared" si="164"/>
        <v>0</v>
      </c>
      <c r="AV5331">
        <f t="shared" si="165"/>
        <v>0</v>
      </c>
    </row>
    <row r="5332" spans="1:48" x14ac:dyDescent="0.25">
      <c r="A5332" t="s">
        <v>13737</v>
      </c>
      <c r="C5332" t="s">
        <v>12530</v>
      </c>
      <c r="D5332" t="s">
        <v>13738</v>
      </c>
      <c r="E5332" t="s">
        <v>1663</v>
      </c>
      <c r="F5332">
        <v>6</v>
      </c>
      <c r="G5332">
        <v>6.2</v>
      </c>
      <c r="H5332" t="s">
        <v>2017</v>
      </c>
      <c r="I5332" s="21">
        <v>43105</v>
      </c>
      <c r="J5332">
        <v>2018</v>
      </c>
      <c r="K5332" s="21">
        <v>43174</v>
      </c>
      <c r="L5332">
        <v>2018</v>
      </c>
      <c r="M5332" s="21">
        <v>43896</v>
      </c>
      <c r="N5332">
        <v>2020</v>
      </c>
      <c r="Q5332" s="262">
        <v>25000</v>
      </c>
      <c r="S5332" t="s">
        <v>114</v>
      </c>
      <c r="T5332" t="s">
        <v>114</v>
      </c>
      <c r="W5332">
        <v>0</v>
      </c>
      <c r="X5332">
        <v>0</v>
      </c>
      <c r="AU5332">
        <f t="shared" si="164"/>
        <v>0</v>
      </c>
      <c r="AV5332">
        <f t="shared" si="165"/>
        <v>0</v>
      </c>
    </row>
    <row r="5333" spans="1:48" x14ac:dyDescent="0.25">
      <c r="A5333" t="s">
        <v>18394</v>
      </c>
      <c r="B5333" t="s">
        <v>18394</v>
      </c>
      <c r="C5333" t="s">
        <v>18395</v>
      </c>
      <c r="D5333" t="s">
        <v>18396</v>
      </c>
      <c r="E5333" t="s">
        <v>2310</v>
      </c>
      <c r="F5333">
        <v>15</v>
      </c>
      <c r="G5333">
        <v>15.1</v>
      </c>
      <c r="H5333" t="s">
        <v>2022</v>
      </c>
      <c r="I5333" s="21">
        <v>43109.621886574074</v>
      </c>
      <c r="J5333">
        <v>2018</v>
      </c>
      <c r="K5333" s="21">
        <v>43166.397997685184</v>
      </c>
      <c r="L5333">
        <v>2018</v>
      </c>
      <c r="M5333" s="21">
        <v>43423.353976851853</v>
      </c>
      <c r="N5333">
        <v>2018</v>
      </c>
      <c r="Q5333" s="262">
        <v>780000</v>
      </c>
      <c r="R5333" s="262">
        <v>375000</v>
      </c>
      <c r="S5333" t="s">
        <v>13254</v>
      </c>
      <c r="V5333">
        <v>0</v>
      </c>
      <c r="W5333">
        <v>3590</v>
      </c>
      <c r="X5333">
        <v>1</v>
      </c>
      <c r="AC5333">
        <v>3590</v>
      </c>
      <c r="AO5333">
        <v>1</v>
      </c>
      <c r="AU5333">
        <f t="shared" si="164"/>
        <v>1</v>
      </c>
      <c r="AV5333">
        <f t="shared" si="165"/>
        <v>0</v>
      </c>
    </row>
    <row r="5334" spans="1:48" x14ac:dyDescent="0.25">
      <c r="A5334" t="s">
        <v>19461</v>
      </c>
      <c r="B5334" t="s">
        <v>19461</v>
      </c>
      <c r="C5334" t="s">
        <v>19462</v>
      </c>
      <c r="D5334" t="s">
        <v>18238</v>
      </c>
      <c r="E5334" t="s">
        <v>2310</v>
      </c>
      <c r="F5334">
        <v>8</v>
      </c>
      <c r="G5334">
        <v>8.1999999999999993</v>
      </c>
      <c r="H5334" t="s">
        <v>2022</v>
      </c>
      <c r="I5334" s="21">
        <v>43109.660590277781</v>
      </c>
      <c r="J5334">
        <v>2018</v>
      </c>
      <c r="K5334" s="21">
        <v>43712.466877349536</v>
      </c>
      <c r="L5334">
        <v>2019</v>
      </c>
      <c r="M5334" s="21">
        <v>44047.619731365739</v>
      </c>
      <c r="N5334">
        <v>2020</v>
      </c>
      <c r="Q5334" s="262">
        <v>15000000</v>
      </c>
      <c r="R5334" s="262">
        <v>1365000</v>
      </c>
      <c r="S5334" t="s">
        <v>13254</v>
      </c>
      <c r="W5334">
        <v>10024</v>
      </c>
      <c r="X5334">
        <v>1</v>
      </c>
      <c r="AC5334">
        <v>10024</v>
      </c>
      <c r="AO5334">
        <v>1</v>
      </c>
      <c r="AU5334">
        <f t="shared" si="164"/>
        <v>1</v>
      </c>
      <c r="AV5334">
        <f t="shared" si="165"/>
        <v>0</v>
      </c>
    </row>
    <row r="5335" spans="1:48" x14ac:dyDescent="0.25">
      <c r="A5335" t="s">
        <v>13739</v>
      </c>
      <c r="C5335" t="s">
        <v>13740</v>
      </c>
      <c r="D5335" t="s">
        <v>3362</v>
      </c>
      <c r="E5335" t="s">
        <v>1663</v>
      </c>
      <c r="F5335">
        <v>4</v>
      </c>
      <c r="G5335">
        <v>4.0999999999999996</v>
      </c>
      <c r="H5335" t="s">
        <v>2327</v>
      </c>
      <c r="I5335" s="21">
        <v>43110</v>
      </c>
      <c r="J5335">
        <v>2018</v>
      </c>
      <c r="K5335" s="21">
        <v>43147</v>
      </c>
      <c r="L5335">
        <v>2018</v>
      </c>
      <c r="M5335" s="21">
        <v>43217</v>
      </c>
      <c r="N5335">
        <v>2018</v>
      </c>
      <c r="Q5335" s="262">
        <v>30000</v>
      </c>
      <c r="S5335" t="s">
        <v>114</v>
      </c>
      <c r="T5335" t="s">
        <v>114</v>
      </c>
      <c r="W5335">
        <v>0</v>
      </c>
      <c r="X5335">
        <v>0</v>
      </c>
      <c r="AU5335">
        <f t="shared" si="164"/>
        <v>0</v>
      </c>
      <c r="AV5335">
        <f t="shared" si="165"/>
        <v>0</v>
      </c>
    </row>
    <row r="5336" spans="1:48" x14ac:dyDescent="0.25">
      <c r="A5336" t="s">
        <v>13741</v>
      </c>
      <c r="C5336" t="s">
        <v>13742</v>
      </c>
      <c r="D5336" t="s">
        <v>3362</v>
      </c>
      <c r="E5336" t="s">
        <v>1663</v>
      </c>
      <c r="F5336">
        <v>4</v>
      </c>
      <c r="G5336">
        <v>4.0999999999999996</v>
      </c>
      <c r="H5336" t="s">
        <v>2327</v>
      </c>
      <c r="I5336" s="21">
        <v>43110</v>
      </c>
      <c r="J5336">
        <v>2018</v>
      </c>
      <c r="K5336" s="21">
        <v>43147</v>
      </c>
      <c r="L5336">
        <v>2018</v>
      </c>
      <c r="M5336" s="21">
        <v>43221</v>
      </c>
      <c r="N5336">
        <v>2018</v>
      </c>
      <c r="Q5336" s="262">
        <v>50000</v>
      </c>
      <c r="S5336" t="s">
        <v>114</v>
      </c>
      <c r="T5336" t="s">
        <v>114</v>
      </c>
      <c r="W5336">
        <v>0</v>
      </c>
      <c r="X5336">
        <v>0</v>
      </c>
      <c r="AU5336">
        <f t="shared" si="164"/>
        <v>0</v>
      </c>
      <c r="AV5336">
        <f t="shared" si="165"/>
        <v>0</v>
      </c>
    </row>
    <row r="5337" spans="1:48" x14ac:dyDescent="0.25">
      <c r="A5337" t="s">
        <v>13743</v>
      </c>
      <c r="C5337" t="s">
        <v>13744</v>
      </c>
      <c r="D5337" t="s">
        <v>3362</v>
      </c>
      <c r="E5337" t="s">
        <v>1663</v>
      </c>
      <c r="F5337">
        <v>4</v>
      </c>
      <c r="G5337">
        <v>4.0999999999999996</v>
      </c>
      <c r="H5337" t="s">
        <v>2327</v>
      </c>
      <c r="I5337" s="21">
        <v>43110</v>
      </c>
      <c r="J5337">
        <v>2018</v>
      </c>
      <c r="K5337" s="21">
        <v>43147</v>
      </c>
      <c r="L5337">
        <v>2018</v>
      </c>
      <c r="M5337" s="21">
        <v>43227</v>
      </c>
      <c r="N5337">
        <v>2018</v>
      </c>
      <c r="Q5337" s="262">
        <v>30000</v>
      </c>
      <c r="S5337" t="s">
        <v>114</v>
      </c>
      <c r="T5337" t="s">
        <v>114</v>
      </c>
      <c r="W5337">
        <v>0</v>
      </c>
      <c r="X5337">
        <v>0</v>
      </c>
      <c r="AU5337">
        <f t="shared" ref="AU5337:AU5400" si="166">SUM(AN5337:AQ5337,AS5337)</f>
        <v>0</v>
      </c>
      <c r="AV5337">
        <f t="shared" ref="AV5337:AV5400" si="167">SUM(Y5337:AB5337,AH5337:AM5337)</f>
        <v>0</v>
      </c>
    </row>
    <row r="5338" spans="1:48" x14ac:dyDescent="0.25">
      <c r="A5338" t="s">
        <v>13745</v>
      </c>
      <c r="B5338" t="s">
        <v>13745</v>
      </c>
      <c r="C5338" t="s">
        <v>13746</v>
      </c>
      <c r="D5338" t="s">
        <v>6005</v>
      </c>
      <c r="E5338" t="s">
        <v>2310</v>
      </c>
      <c r="F5338">
        <v>9</v>
      </c>
      <c r="G5338">
        <v>9.3000000000000007</v>
      </c>
      <c r="H5338" t="s">
        <v>2323</v>
      </c>
      <c r="I5338" s="21">
        <v>43116.4522222222</v>
      </c>
      <c r="J5338">
        <v>2018</v>
      </c>
      <c r="K5338" s="21">
        <v>43158.672650462999</v>
      </c>
      <c r="L5338">
        <v>2018</v>
      </c>
      <c r="M5338" s="21">
        <v>43283.642751932901</v>
      </c>
      <c r="N5338">
        <v>2018</v>
      </c>
      <c r="Q5338" s="262">
        <v>650000</v>
      </c>
      <c r="R5338" s="262">
        <v>443000</v>
      </c>
      <c r="S5338" t="s">
        <v>114</v>
      </c>
      <c r="T5338" t="s">
        <v>114</v>
      </c>
      <c r="V5338">
        <v>2949</v>
      </c>
      <c r="W5338">
        <v>0</v>
      </c>
      <c r="X5338">
        <v>0</v>
      </c>
      <c r="AU5338">
        <f t="shared" si="166"/>
        <v>0</v>
      </c>
      <c r="AV5338">
        <f t="shared" si="167"/>
        <v>0</v>
      </c>
    </row>
    <row r="5339" spans="1:48" x14ac:dyDescent="0.25">
      <c r="A5339" t="s">
        <v>18448</v>
      </c>
      <c r="B5339" t="s">
        <v>18448</v>
      </c>
      <c r="C5339" t="s">
        <v>18449</v>
      </c>
      <c r="D5339" t="s">
        <v>18450</v>
      </c>
      <c r="E5339" t="s">
        <v>2310</v>
      </c>
      <c r="F5339">
        <v>7</v>
      </c>
      <c r="G5339">
        <v>7.1</v>
      </c>
      <c r="H5339" t="s">
        <v>2017</v>
      </c>
      <c r="I5339" s="21">
        <v>43118.452962962961</v>
      </c>
      <c r="J5339">
        <v>2018</v>
      </c>
      <c r="K5339" s="21">
        <v>43369.623619756945</v>
      </c>
      <c r="L5339">
        <v>2018</v>
      </c>
      <c r="M5339" s="21">
        <v>43447.389899305555</v>
      </c>
      <c r="N5339">
        <v>2018</v>
      </c>
      <c r="Q5339" s="262">
        <v>1800000</v>
      </c>
      <c r="R5339" s="262">
        <v>728000</v>
      </c>
      <c r="S5339" t="s">
        <v>13254</v>
      </c>
      <c r="W5339">
        <v>8325</v>
      </c>
      <c r="X5339">
        <v>5</v>
      </c>
      <c r="AE5339">
        <v>4230</v>
      </c>
      <c r="AL5339">
        <v>4095</v>
      </c>
      <c r="AQ5339">
        <v>5</v>
      </c>
      <c r="AU5339">
        <f t="shared" si="166"/>
        <v>5</v>
      </c>
      <c r="AV5339">
        <f t="shared" si="167"/>
        <v>4095</v>
      </c>
    </row>
    <row r="5340" spans="1:48" x14ac:dyDescent="0.25">
      <c r="A5340" t="s">
        <v>20020</v>
      </c>
      <c r="B5340" t="s">
        <v>20020</v>
      </c>
      <c r="C5340" t="s">
        <v>20021</v>
      </c>
      <c r="D5340" t="s">
        <v>6056</v>
      </c>
      <c r="E5340" t="s">
        <v>2310</v>
      </c>
      <c r="F5340">
        <v>11</v>
      </c>
      <c r="G5340">
        <v>11.2</v>
      </c>
      <c r="H5340" t="s">
        <v>2017</v>
      </c>
      <c r="I5340" s="21">
        <v>43118.608541666697</v>
      </c>
      <c r="J5340">
        <v>2018</v>
      </c>
      <c r="K5340" s="21">
        <v>43217.562395833302</v>
      </c>
      <c r="L5340">
        <v>2018</v>
      </c>
      <c r="M5340" s="21">
        <v>44358</v>
      </c>
      <c r="N5340">
        <v>2021</v>
      </c>
      <c r="Q5340" s="262">
        <v>175000</v>
      </c>
      <c r="R5340" s="262">
        <v>55000</v>
      </c>
      <c r="S5340" t="s">
        <v>13254</v>
      </c>
      <c r="U5340">
        <v>8</v>
      </c>
      <c r="W5340">
        <v>483</v>
      </c>
      <c r="X5340">
        <v>1</v>
      </c>
      <c r="AF5340">
        <v>483</v>
      </c>
      <c r="AR5340">
        <v>1</v>
      </c>
      <c r="AU5340">
        <f t="shared" si="166"/>
        <v>0</v>
      </c>
      <c r="AV5340">
        <f t="shared" si="167"/>
        <v>0</v>
      </c>
    </row>
    <row r="5341" spans="1:48" x14ac:dyDescent="0.25">
      <c r="A5341" t="s">
        <v>20117</v>
      </c>
      <c r="B5341" t="s">
        <v>20117</v>
      </c>
      <c r="C5341" t="s">
        <v>20118</v>
      </c>
      <c r="D5341" t="s">
        <v>11367</v>
      </c>
      <c r="E5341" t="s">
        <v>2310</v>
      </c>
      <c r="F5341">
        <v>13</v>
      </c>
      <c r="G5341">
        <v>13.3</v>
      </c>
      <c r="H5341" t="s">
        <v>2017</v>
      </c>
      <c r="I5341" s="21">
        <v>43123.452708333301</v>
      </c>
      <c r="J5341">
        <v>2018</v>
      </c>
      <c r="K5341" s="21">
        <v>43173.574398148201</v>
      </c>
      <c r="L5341">
        <v>2018</v>
      </c>
      <c r="M5341" s="21">
        <v>44201</v>
      </c>
      <c r="N5341">
        <v>2021</v>
      </c>
      <c r="Q5341" s="262">
        <v>12500000</v>
      </c>
      <c r="R5341" s="262">
        <v>1801000</v>
      </c>
      <c r="S5341" t="s">
        <v>13254</v>
      </c>
      <c r="U5341">
        <v>5</v>
      </c>
      <c r="W5341">
        <v>14148</v>
      </c>
      <c r="X5341">
        <v>1</v>
      </c>
      <c r="AC5341">
        <v>14148</v>
      </c>
      <c r="AO5341">
        <v>1</v>
      </c>
      <c r="AU5341">
        <f t="shared" si="166"/>
        <v>1</v>
      </c>
      <c r="AV5341">
        <f t="shared" si="167"/>
        <v>0</v>
      </c>
    </row>
    <row r="5342" spans="1:48" x14ac:dyDescent="0.25">
      <c r="A5342" t="s">
        <v>19249</v>
      </c>
      <c r="B5342" t="s">
        <v>19249</v>
      </c>
      <c r="C5342" t="s">
        <v>19250</v>
      </c>
      <c r="D5342" t="s">
        <v>19204</v>
      </c>
      <c r="E5342" t="s">
        <v>2310</v>
      </c>
      <c r="F5342">
        <v>9</v>
      </c>
      <c r="G5342">
        <v>9.4</v>
      </c>
      <c r="H5342" t="s">
        <v>2323</v>
      </c>
      <c r="I5342" s="21">
        <v>43123.582777777781</v>
      </c>
      <c r="J5342">
        <v>2018</v>
      </c>
      <c r="K5342" s="21">
        <v>43222.6201491088</v>
      </c>
      <c r="L5342">
        <v>2018</v>
      </c>
      <c r="M5342" s="21">
        <v>43881.5562909375</v>
      </c>
      <c r="N5342">
        <v>2020</v>
      </c>
      <c r="Q5342" s="262">
        <v>2670000</v>
      </c>
      <c r="R5342" s="262">
        <v>885000</v>
      </c>
      <c r="S5342" t="s">
        <v>13254</v>
      </c>
      <c r="W5342">
        <v>7895</v>
      </c>
      <c r="X5342">
        <v>1</v>
      </c>
      <c r="AC5342">
        <v>7895</v>
      </c>
      <c r="AO5342">
        <v>1</v>
      </c>
      <c r="AU5342">
        <f t="shared" si="166"/>
        <v>1</v>
      </c>
      <c r="AV5342">
        <f t="shared" si="167"/>
        <v>0</v>
      </c>
    </row>
    <row r="5343" spans="1:48" x14ac:dyDescent="0.25">
      <c r="A5343" t="s">
        <v>19202</v>
      </c>
      <c r="B5343" t="s">
        <v>19202</v>
      </c>
      <c r="C5343" t="s">
        <v>19203</v>
      </c>
      <c r="D5343" t="s">
        <v>19204</v>
      </c>
      <c r="E5343" t="s">
        <v>2310</v>
      </c>
      <c r="F5343">
        <v>9</v>
      </c>
      <c r="G5343">
        <v>9.4</v>
      </c>
      <c r="H5343" t="s">
        <v>2323</v>
      </c>
      <c r="I5343" s="21">
        <v>43123.598055555558</v>
      </c>
      <c r="J5343">
        <v>2018</v>
      </c>
      <c r="K5343" s="21">
        <v>43440.702864317129</v>
      </c>
      <c r="L5343">
        <v>2018</v>
      </c>
      <c r="M5343" s="21">
        <v>43843.418286608794</v>
      </c>
      <c r="N5343">
        <v>2020</v>
      </c>
      <c r="Q5343" s="262">
        <v>2670000</v>
      </c>
      <c r="R5343" s="262">
        <v>73000</v>
      </c>
      <c r="S5343" t="s">
        <v>13254</v>
      </c>
      <c r="W5343">
        <v>644</v>
      </c>
      <c r="X5343">
        <v>1</v>
      </c>
      <c r="AF5343">
        <v>644</v>
      </c>
      <c r="AR5343">
        <v>1</v>
      </c>
      <c r="AU5343">
        <f t="shared" si="166"/>
        <v>0</v>
      </c>
      <c r="AV5343">
        <f t="shared" si="167"/>
        <v>0</v>
      </c>
    </row>
    <row r="5344" spans="1:48" x14ac:dyDescent="0.25">
      <c r="A5344" t="s">
        <v>13747</v>
      </c>
      <c r="C5344" t="s">
        <v>13129</v>
      </c>
      <c r="D5344" t="s">
        <v>12753</v>
      </c>
      <c r="E5344" t="s">
        <v>1663</v>
      </c>
      <c r="F5344">
        <v>2</v>
      </c>
      <c r="G5344">
        <v>2.2999999999999998</v>
      </c>
      <c r="H5344" t="s">
        <v>2327</v>
      </c>
      <c r="I5344" s="21">
        <v>43125</v>
      </c>
      <c r="J5344">
        <v>2018</v>
      </c>
      <c r="K5344" s="21">
        <v>43263</v>
      </c>
      <c r="L5344">
        <v>2018</v>
      </c>
      <c r="M5344" s="21">
        <v>43314</v>
      </c>
      <c r="N5344">
        <v>2018</v>
      </c>
      <c r="Q5344" s="262">
        <v>153260</v>
      </c>
      <c r="S5344" t="s">
        <v>114</v>
      </c>
      <c r="T5344" t="s">
        <v>114</v>
      </c>
      <c r="W5344">
        <v>0</v>
      </c>
      <c r="X5344">
        <v>0</v>
      </c>
      <c r="AU5344">
        <f t="shared" si="166"/>
        <v>0</v>
      </c>
      <c r="AV5344">
        <f t="shared" si="167"/>
        <v>0</v>
      </c>
    </row>
    <row r="5345" spans="1:48" x14ac:dyDescent="0.25">
      <c r="A5345" t="s">
        <v>19323</v>
      </c>
      <c r="B5345" t="s">
        <v>114</v>
      </c>
      <c r="C5345" t="s">
        <v>19324</v>
      </c>
      <c r="D5345" t="s">
        <v>19325</v>
      </c>
      <c r="E5345" t="s">
        <v>1663</v>
      </c>
      <c r="F5345">
        <v>1</v>
      </c>
      <c r="G5345">
        <v>1.1000000000000001</v>
      </c>
      <c r="H5345" t="s">
        <v>2017</v>
      </c>
      <c r="I5345" s="21">
        <v>43125</v>
      </c>
      <c r="J5345">
        <v>2018</v>
      </c>
      <c r="K5345" s="21">
        <v>43179</v>
      </c>
      <c r="L5345">
        <v>2018</v>
      </c>
      <c r="M5345" s="21">
        <v>43292</v>
      </c>
      <c r="N5345">
        <v>2018</v>
      </c>
      <c r="Q5345" s="262">
        <v>262500</v>
      </c>
      <c r="S5345" t="s">
        <v>13253</v>
      </c>
      <c r="T5345">
        <v>13012</v>
      </c>
      <c r="V5345">
        <v>8886</v>
      </c>
      <c r="W5345">
        <v>0</v>
      </c>
      <c r="X5345">
        <v>0</v>
      </c>
      <c r="AH5345">
        <v>8886</v>
      </c>
      <c r="AK5345">
        <v>-8886</v>
      </c>
      <c r="AU5345">
        <f t="shared" si="166"/>
        <v>0</v>
      </c>
      <c r="AV5345">
        <f t="shared" si="167"/>
        <v>0</v>
      </c>
    </row>
    <row r="5346" spans="1:48" x14ac:dyDescent="0.25">
      <c r="A5346" t="s">
        <v>18098</v>
      </c>
      <c r="B5346" t="s">
        <v>18098</v>
      </c>
      <c r="C5346" t="s">
        <v>18099</v>
      </c>
      <c r="D5346" t="s">
        <v>5811</v>
      </c>
      <c r="E5346" t="s">
        <v>2310</v>
      </c>
      <c r="F5346">
        <v>12</v>
      </c>
      <c r="G5346">
        <v>12.3</v>
      </c>
      <c r="H5346" t="s">
        <v>2017</v>
      </c>
      <c r="I5346" s="21">
        <v>43126.442175925928</v>
      </c>
      <c r="J5346">
        <v>2018</v>
      </c>
      <c r="K5346" s="21">
        <v>43139.548055555555</v>
      </c>
      <c r="L5346">
        <v>2018</v>
      </c>
      <c r="M5346" s="21">
        <v>43381.454058645832</v>
      </c>
      <c r="N5346">
        <v>2018</v>
      </c>
      <c r="Q5346" s="262">
        <v>20000</v>
      </c>
      <c r="R5346" s="262">
        <v>10000</v>
      </c>
      <c r="S5346" t="s">
        <v>13253</v>
      </c>
      <c r="T5346">
        <v>3361</v>
      </c>
      <c r="W5346">
        <v>114</v>
      </c>
      <c r="X5346">
        <v>0</v>
      </c>
      <c r="AC5346">
        <v>114</v>
      </c>
      <c r="AU5346">
        <f t="shared" si="166"/>
        <v>0</v>
      </c>
      <c r="AV5346">
        <f t="shared" si="167"/>
        <v>0</v>
      </c>
    </row>
    <row r="5347" spans="1:48" x14ac:dyDescent="0.25">
      <c r="A5347" t="s">
        <v>18001</v>
      </c>
      <c r="B5347" t="s">
        <v>18001</v>
      </c>
      <c r="C5347" t="s">
        <v>18002</v>
      </c>
      <c r="D5347" t="s">
        <v>2384</v>
      </c>
      <c r="E5347" t="s">
        <v>2310</v>
      </c>
      <c r="F5347">
        <v>15</v>
      </c>
      <c r="G5347">
        <v>15.2</v>
      </c>
      <c r="H5347" t="s">
        <v>2323</v>
      </c>
      <c r="I5347" s="21">
        <v>43126.493391203701</v>
      </c>
      <c r="J5347">
        <v>2018</v>
      </c>
      <c r="K5347" s="21">
        <v>43174.612326388888</v>
      </c>
      <c r="L5347">
        <v>2018</v>
      </c>
      <c r="M5347" s="21">
        <v>43740.597920798609</v>
      </c>
      <c r="N5347">
        <v>2019</v>
      </c>
      <c r="Q5347" s="262">
        <v>580000</v>
      </c>
      <c r="R5347" s="262">
        <v>135000</v>
      </c>
      <c r="S5347" t="s">
        <v>13253</v>
      </c>
      <c r="T5347">
        <v>2660</v>
      </c>
      <c r="W5347">
        <v>1087</v>
      </c>
      <c r="X5347">
        <v>0</v>
      </c>
      <c r="AC5347">
        <v>1087</v>
      </c>
      <c r="AU5347">
        <f t="shared" si="166"/>
        <v>0</v>
      </c>
      <c r="AV5347">
        <f t="shared" si="167"/>
        <v>0</v>
      </c>
    </row>
    <row r="5348" spans="1:48" x14ac:dyDescent="0.25">
      <c r="A5348" t="s">
        <v>18761</v>
      </c>
      <c r="B5348" t="s">
        <v>18761</v>
      </c>
      <c r="C5348" t="s">
        <v>18762</v>
      </c>
      <c r="D5348" t="s">
        <v>18763</v>
      </c>
      <c r="E5348" t="s">
        <v>2310</v>
      </c>
      <c r="F5348">
        <v>12</v>
      </c>
      <c r="G5348">
        <v>12.3</v>
      </c>
      <c r="H5348" t="s">
        <v>2017</v>
      </c>
      <c r="I5348" s="21">
        <v>43130.509733796294</v>
      </c>
      <c r="J5348">
        <v>2018</v>
      </c>
      <c r="K5348" s="21">
        <v>43199.60052083333</v>
      </c>
      <c r="L5348">
        <v>2018</v>
      </c>
      <c r="M5348" s="21">
        <v>43363.344431747682</v>
      </c>
      <c r="N5348">
        <v>2018</v>
      </c>
      <c r="Q5348" s="262">
        <v>30000</v>
      </c>
      <c r="R5348" s="262">
        <v>15000</v>
      </c>
      <c r="S5348" t="s">
        <v>13253</v>
      </c>
      <c r="T5348">
        <v>8909</v>
      </c>
      <c r="W5348">
        <v>320</v>
      </c>
      <c r="X5348">
        <v>0</v>
      </c>
      <c r="AM5348">
        <v>320</v>
      </c>
      <c r="AU5348">
        <f t="shared" si="166"/>
        <v>0</v>
      </c>
      <c r="AV5348">
        <f t="shared" si="167"/>
        <v>320</v>
      </c>
    </row>
    <row r="5349" spans="1:48" x14ac:dyDescent="0.25">
      <c r="A5349" t="s">
        <v>17105</v>
      </c>
      <c r="B5349" t="s">
        <v>17105</v>
      </c>
      <c r="C5349" t="s">
        <v>17106</v>
      </c>
      <c r="D5349" t="s">
        <v>16098</v>
      </c>
      <c r="E5349" t="s">
        <v>2310</v>
      </c>
      <c r="F5349">
        <v>15</v>
      </c>
      <c r="G5349">
        <v>15.1</v>
      </c>
      <c r="H5349" t="s">
        <v>2022</v>
      </c>
      <c r="I5349" s="21">
        <v>43130.632395833301</v>
      </c>
      <c r="J5349">
        <v>2018</v>
      </c>
      <c r="K5349" s="21">
        <v>43419.3932810185</v>
      </c>
      <c r="L5349">
        <v>2018</v>
      </c>
      <c r="M5349" s="21">
        <v>43392.604354247698</v>
      </c>
      <c r="N5349">
        <v>2018</v>
      </c>
      <c r="S5349" t="s">
        <v>9529</v>
      </c>
      <c r="T5349">
        <v>7454</v>
      </c>
      <c r="U5349">
        <v>5</v>
      </c>
      <c r="W5349">
        <v>-1496</v>
      </c>
      <c r="X5349">
        <v>-1</v>
      </c>
      <c r="Y5349">
        <v>0</v>
      </c>
      <c r="Z5349">
        <v>0</v>
      </c>
      <c r="AA5349">
        <v>0</v>
      </c>
      <c r="AB5349">
        <v>0</v>
      </c>
      <c r="AC5349">
        <v>-1496</v>
      </c>
      <c r="AD5349">
        <v>0</v>
      </c>
      <c r="AE5349">
        <v>0</v>
      </c>
      <c r="AF5349">
        <v>0</v>
      </c>
      <c r="AG5349">
        <v>0</v>
      </c>
      <c r="AH5349">
        <v>0</v>
      </c>
      <c r="AI5349">
        <v>0</v>
      </c>
      <c r="AJ5349">
        <v>0</v>
      </c>
      <c r="AK5349">
        <v>0</v>
      </c>
      <c r="AL5349">
        <v>0</v>
      </c>
      <c r="AM5349">
        <v>0</v>
      </c>
      <c r="AN5349">
        <v>0</v>
      </c>
      <c r="AO5349">
        <v>-1</v>
      </c>
      <c r="AP5349">
        <v>0</v>
      </c>
      <c r="AQ5349">
        <v>0</v>
      </c>
      <c r="AR5349">
        <v>0</v>
      </c>
      <c r="AS5349">
        <v>0</v>
      </c>
      <c r="AT5349">
        <v>0</v>
      </c>
      <c r="AU5349">
        <f t="shared" si="166"/>
        <v>-1</v>
      </c>
      <c r="AV5349">
        <f t="shared" si="167"/>
        <v>0</v>
      </c>
    </row>
    <row r="5350" spans="1:48" x14ac:dyDescent="0.25">
      <c r="A5350" t="s">
        <v>17105</v>
      </c>
      <c r="B5350" t="s">
        <v>17105</v>
      </c>
      <c r="C5350" t="s">
        <v>17106</v>
      </c>
      <c r="D5350" t="s">
        <v>16098</v>
      </c>
      <c r="E5350" t="s">
        <v>2310</v>
      </c>
      <c r="F5350">
        <v>15</v>
      </c>
      <c r="G5350">
        <v>15.1</v>
      </c>
      <c r="H5350" t="s">
        <v>2022</v>
      </c>
      <c r="I5350" s="21">
        <v>43130.632395833301</v>
      </c>
      <c r="J5350">
        <v>2018</v>
      </c>
      <c r="K5350" s="21">
        <v>43419.3932810185</v>
      </c>
      <c r="L5350">
        <v>2018</v>
      </c>
      <c r="M5350" s="21">
        <v>43392.604354247698</v>
      </c>
      <c r="N5350">
        <v>2018</v>
      </c>
      <c r="S5350" t="s">
        <v>9529</v>
      </c>
      <c r="T5350">
        <v>7455</v>
      </c>
      <c r="U5350">
        <v>5</v>
      </c>
      <c r="W5350">
        <v>-425</v>
      </c>
      <c r="X5350">
        <v>0</v>
      </c>
      <c r="Y5350">
        <v>0</v>
      </c>
      <c r="Z5350">
        <v>0</v>
      </c>
      <c r="AA5350">
        <v>0</v>
      </c>
      <c r="AB5350">
        <v>0</v>
      </c>
      <c r="AC5350">
        <v>-425</v>
      </c>
      <c r="AD5350">
        <v>0</v>
      </c>
      <c r="AE5350">
        <v>0</v>
      </c>
      <c r="AF5350">
        <v>0</v>
      </c>
      <c r="AG5350">
        <v>0</v>
      </c>
      <c r="AH5350">
        <v>0</v>
      </c>
      <c r="AI5350">
        <v>0</v>
      </c>
      <c r="AJ5350">
        <v>0</v>
      </c>
      <c r="AK5350">
        <v>0</v>
      </c>
      <c r="AL5350">
        <v>0</v>
      </c>
      <c r="AM5350">
        <v>0</v>
      </c>
      <c r="AN5350">
        <v>0</v>
      </c>
      <c r="AO5350">
        <v>0</v>
      </c>
      <c r="AP5350">
        <v>0</v>
      </c>
      <c r="AQ5350">
        <v>0</v>
      </c>
      <c r="AR5350">
        <v>0</v>
      </c>
      <c r="AS5350">
        <v>0</v>
      </c>
      <c r="AT5350">
        <v>0</v>
      </c>
      <c r="AU5350">
        <f t="shared" si="166"/>
        <v>0</v>
      </c>
      <c r="AV5350">
        <f t="shared" si="167"/>
        <v>0</v>
      </c>
    </row>
    <row r="5351" spans="1:48" x14ac:dyDescent="0.25">
      <c r="A5351" t="s">
        <v>17105</v>
      </c>
      <c r="B5351" t="s">
        <v>17105</v>
      </c>
      <c r="C5351" t="s">
        <v>17106</v>
      </c>
      <c r="D5351" t="s">
        <v>16098</v>
      </c>
      <c r="E5351" t="s">
        <v>2310</v>
      </c>
      <c r="F5351">
        <v>15</v>
      </c>
      <c r="G5351">
        <v>15.1</v>
      </c>
      <c r="H5351" t="s">
        <v>2022</v>
      </c>
      <c r="I5351" s="21">
        <v>43130.632395833331</v>
      </c>
      <c r="J5351">
        <v>2018</v>
      </c>
      <c r="K5351" s="21">
        <v>43419.393281018522</v>
      </c>
      <c r="L5351">
        <v>2018</v>
      </c>
      <c r="M5351" s="21">
        <v>43392.604354247684</v>
      </c>
      <c r="N5351">
        <v>2018</v>
      </c>
      <c r="Q5351" s="262">
        <v>4250000</v>
      </c>
      <c r="R5351" s="262">
        <v>453000</v>
      </c>
      <c r="S5351" t="s">
        <v>12464</v>
      </c>
      <c r="T5351" t="s">
        <v>19657</v>
      </c>
      <c r="W5351">
        <v>3920</v>
      </c>
      <c r="X5351">
        <v>1</v>
      </c>
      <c r="AC5351">
        <v>3920</v>
      </c>
      <c r="AO5351">
        <v>1</v>
      </c>
      <c r="AU5351">
        <f t="shared" si="166"/>
        <v>1</v>
      </c>
      <c r="AV5351">
        <f t="shared" si="167"/>
        <v>0</v>
      </c>
    </row>
    <row r="5352" spans="1:48" x14ac:dyDescent="0.25">
      <c r="A5352" t="s">
        <v>18354</v>
      </c>
      <c r="B5352" t="s">
        <v>18354</v>
      </c>
      <c r="C5352" t="s">
        <v>18355</v>
      </c>
      <c r="D5352" t="s">
        <v>18162</v>
      </c>
      <c r="E5352" t="s">
        <v>2310</v>
      </c>
      <c r="F5352">
        <v>9</v>
      </c>
      <c r="G5352">
        <v>9.1999999999999993</v>
      </c>
      <c r="H5352" t="s">
        <v>2022</v>
      </c>
      <c r="I5352" s="21">
        <v>43131.420381944445</v>
      </c>
      <c r="J5352">
        <v>2018</v>
      </c>
      <c r="K5352" s="21">
        <v>43203.379861111112</v>
      </c>
      <c r="L5352">
        <v>2018</v>
      </c>
      <c r="M5352" s="21">
        <v>43399.465145138885</v>
      </c>
      <c r="N5352">
        <v>2018</v>
      </c>
      <c r="Q5352" s="262">
        <v>415000</v>
      </c>
      <c r="R5352" s="262">
        <v>147000</v>
      </c>
      <c r="S5352" t="s">
        <v>13254</v>
      </c>
      <c r="W5352">
        <v>2005</v>
      </c>
      <c r="X5352">
        <v>1</v>
      </c>
      <c r="AC5352">
        <v>2005</v>
      </c>
      <c r="AO5352">
        <v>1</v>
      </c>
      <c r="AU5352">
        <f t="shared" si="166"/>
        <v>1</v>
      </c>
      <c r="AV5352">
        <f t="shared" si="167"/>
        <v>0</v>
      </c>
    </row>
    <row r="5353" spans="1:48" x14ac:dyDescent="0.25">
      <c r="A5353" t="s">
        <v>19115</v>
      </c>
      <c r="B5353" t="s">
        <v>19115</v>
      </c>
      <c r="C5353" t="s">
        <v>19116</v>
      </c>
      <c r="D5353" t="s">
        <v>19117</v>
      </c>
      <c r="E5353" t="s">
        <v>2310</v>
      </c>
      <c r="F5353">
        <v>9</v>
      </c>
      <c r="G5353">
        <v>9.1</v>
      </c>
      <c r="H5353" t="s">
        <v>2323</v>
      </c>
      <c r="I5353" s="21">
        <v>43132.61791666667</v>
      </c>
      <c r="J5353">
        <v>2018</v>
      </c>
      <c r="K5353" s="21">
        <v>43192.569293981483</v>
      </c>
      <c r="L5353">
        <v>2018</v>
      </c>
      <c r="M5353" s="21">
        <v>43773.379085300927</v>
      </c>
      <c r="N5353">
        <v>2019</v>
      </c>
      <c r="Q5353" s="262">
        <v>2000000</v>
      </c>
      <c r="R5353" s="262">
        <v>583000</v>
      </c>
      <c r="S5353" t="s">
        <v>13254</v>
      </c>
      <c r="W5353">
        <v>4985</v>
      </c>
      <c r="X5353">
        <v>1</v>
      </c>
      <c r="AC5353">
        <v>4985</v>
      </c>
      <c r="AO5353">
        <v>1</v>
      </c>
      <c r="AU5353">
        <f t="shared" si="166"/>
        <v>1</v>
      </c>
      <c r="AV5353">
        <f t="shared" si="167"/>
        <v>0</v>
      </c>
    </row>
    <row r="5354" spans="1:48" x14ac:dyDescent="0.25">
      <c r="A5354" t="s">
        <v>13748</v>
      </c>
      <c r="C5354" t="s">
        <v>12530</v>
      </c>
      <c r="D5354" t="s">
        <v>4686</v>
      </c>
      <c r="E5354" t="s">
        <v>1663</v>
      </c>
      <c r="F5354">
        <v>2</v>
      </c>
      <c r="G5354">
        <v>2.6</v>
      </c>
      <c r="H5354" t="s">
        <v>2327</v>
      </c>
      <c r="I5354" s="21">
        <v>43136</v>
      </c>
      <c r="J5354">
        <v>2018</v>
      </c>
      <c r="K5354" s="21">
        <v>43167</v>
      </c>
      <c r="L5354">
        <v>2018</v>
      </c>
      <c r="M5354" s="21">
        <v>43224</v>
      </c>
      <c r="N5354">
        <v>2018</v>
      </c>
      <c r="Q5354" s="262">
        <v>105000</v>
      </c>
      <c r="S5354" t="s">
        <v>114</v>
      </c>
      <c r="T5354" t="s">
        <v>114</v>
      </c>
      <c r="W5354">
        <v>0</v>
      </c>
      <c r="X5354">
        <v>0</v>
      </c>
      <c r="AU5354">
        <f t="shared" si="166"/>
        <v>0</v>
      </c>
      <c r="AV5354">
        <f t="shared" si="167"/>
        <v>0</v>
      </c>
    </row>
    <row r="5355" spans="1:48" x14ac:dyDescent="0.25">
      <c r="A5355" t="s">
        <v>19163</v>
      </c>
      <c r="B5355" t="s">
        <v>114</v>
      </c>
      <c r="C5355" t="s">
        <v>19164</v>
      </c>
      <c r="D5355" t="s">
        <v>19165</v>
      </c>
      <c r="E5355" t="s">
        <v>1663</v>
      </c>
      <c r="F5355">
        <v>3</v>
      </c>
      <c r="G5355">
        <v>3.2</v>
      </c>
      <c r="H5355" t="s">
        <v>2327</v>
      </c>
      <c r="I5355" s="21">
        <v>43137</v>
      </c>
      <c r="J5355">
        <v>2018</v>
      </c>
      <c r="K5355" s="21">
        <v>43201</v>
      </c>
      <c r="L5355">
        <v>2018</v>
      </c>
      <c r="M5355" s="21">
        <v>43364</v>
      </c>
      <c r="N5355">
        <v>2018</v>
      </c>
      <c r="Q5355" s="262">
        <v>96947</v>
      </c>
      <c r="S5355" t="s">
        <v>13253</v>
      </c>
      <c r="T5355">
        <v>11450</v>
      </c>
      <c r="V5355">
        <v>725</v>
      </c>
      <c r="W5355">
        <v>0</v>
      </c>
      <c r="X5355">
        <v>1</v>
      </c>
      <c r="AC5355">
        <v>-725</v>
      </c>
      <c r="AE5355">
        <v>725</v>
      </c>
      <c r="AQ5355">
        <v>1</v>
      </c>
      <c r="AU5355">
        <f t="shared" si="166"/>
        <v>1</v>
      </c>
      <c r="AV5355">
        <f t="shared" si="167"/>
        <v>0</v>
      </c>
    </row>
    <row r="5356" spans="1:48" x14ac:dyDescent="0.25">
      <c r="A5356" t="s">
        <v>19011</v>
      </c>
      <c r="B5356" t="s">
        <v>19011</v>
      </c>
      <c r="C5356" t="s">
        <v>19012</v>
      </c>
      <c r="D5356" t="s">
        <v>19013</v>
      </c>
      <c r="E5356" t="s">
        <v>2310</v>
      </c>
      <c r="F5356">
        <v>9</v>
      </c>
      <c r="G5356">
        <v>9.3000000000000007</v>
      </c>
      <c r="H5356" t="s">
        <v>2323</v>
      </c>
      <c r="I5356" s="21">
        <v>43137.621736111112</v>
      </c>
      <c r="J5356">
        <v>2018</v>
      </c>
      <c r="K5356" s="21">
        <v>43564.563278043985</v>
      </c>
      <c r="L5356">
        <v>2019</v>
      </c>
      <c r="M5356" s="21">
        <v>43707.411127974534</v>
      </c>
      <c r="N5356">
        <v>2019</v>
      </c>
      <c r="Q5356" s="262">
        <v>2000000</v>
      </c>
      <c r="R5356" s="262">
        <v>551000</v>
      </c>
      <c r="S5356" t="s">
        <v>13254</v>
      </c>
      <c r="W5356">
        <v>4628</v>
      </c>
      <c r="X5356">
        <v>1</v>
      </c>
      <c r="AC5356">
        <v>4628</v>
      </c>
      <c r="AO5356">
        <v>1</v>
      </c>
      <c r="AU5356">
        <f t="shared" si="166"/>
        <v>1</v>
      </c>
      <c r="AV5356">
        <f t="shared" si="167"/>
        <v>0</v>
      </c>
    </row>
    <row r="5357" spans="1:48" x14ac:dyDescent="0.25">
      <c r="A5357" t="s">
        <v>18696</v>
      </c>
      <c r="B5357" t="s">
        <v>18696</v>
      </c>
      <c r="C5357" t="s">
        <v>18697</v>
      </c>
      <c r="D5357" t="s">
        <v>18698</v>
      </c>
      <c r="E5357" t="s">
        <v>2310</v>
      </c>
      <c r="F5357">
        <v>9</v>
      </c>
      <c r="G5357">
        <v>9.3000000000000007</v>
      </c>
      <c r="H5357" t="s">
        <v>2323</v>
      </c>
      <c r="I5357" s="21">
        <v>43139.615185185183</v>
      </c>
      <c r="J5357">
        <v>2018</v>
      </c>
      <c r="K5357" s="21">
        <v>43642.659204594907</v>
      </c>
      <c r="L5357">
        <v>2019</v>
      </c>
      <c r="M5357" s="21">
        <v>43621.504840740738</v>
      </c>
      <c r="N5357">
        <v>2019</v>
      </c>
      <c r="Q5357" s="262">
        <v>1250000</v>
      </c>
      <c r="R5357" s="262">
        <v>1000</v>
      </c>
      <c r="S5357" t="s">
        <v>13254</v>
      </c>
      <c r="W5357">
        <v>5448</v>
      </c>
      <c r="X5357">
        <v>1</v>
      </c>
      <c r="AC5357">
        <v>5448</v>
      </c>
      <c r="AO5357">
        <v>1</v>
      </c>
      <c r="AU5357">
        <f t="shared" si="166"/>
        <v>1</v>
      </c>
      <c r="AV5357">
        <f t="shared" si="167"/>
        <v>0</v>
      </c>
    </row>
    <row r="5358" spans="1:48" x14ac:dyDescent="0.25">
      <c r="A5358" t="s">
        <v>13749</v>
      </c>
      <c r="C5358" t="s">
        <v>13750</v>
      </c>
      <c r="D5358" t="s">
        <v>13751</v>
      </c>
      <c r="E5358" t="s">
        <v>1663</v>
      </c>
      <c r="F5358">
        <v>5</v>
      </c>
      <c r="G5358">
        <v>5.0999999999999996</v>
      </c>
      <c r="H5358" t="s">
        <v>2327</v>
      </c>
      <c r="I5358" s="21">
        <v>43140</v>
      </c>
      <c r="J5358">
        <v>2018</v>
      </c>
      <c r="K5358" s="21">
        <v>43201</v>
      </c>
      <c r="L5358">
        <v>2018</v>
      </c>
      <c r="M5358" s="21">
        <v>43439</v>
      </c>
      <c r="N5358">
        <v>2018</v>
      </c>
      <c r="Q5358" s="262">
        <v>190000</v>
      </c>
      <c r="S5358" t="s">
        <v>114</v>
      </c>
      <c r="T5358" t="s">
        <v>114</v>
      </c>
      <c r="W5358">
        <v>0</v>
      </c>
      <c r="X5358">
        <v>0</v>
      </c>
      <c r="AU5358">
        <f t="shared" si="166"/>
        <v>0</v>
      </c>
      <c r="AV5358">
        <f t="shared" si="167"/>
        <v>0</v>
      </c>
    </row>
    <row r="5359" spans="1:48" x14ac:dyDescent="0.25">
      <c r="A5359" t="s">
        <v>13752</v>
      </c>
      <c r="C5359" t="s">
        <v>13750</v>
      </c>
      <c r="D5359" t="s">
        <v>13753</v>
      </c>
      <c r="E5359" t="s">
        <v>1663</v>
      </c>
      <c r="F5359">
        <v>5</v>
      </c>
      <c r="G5359">
        <v>5.0999999999999996</v>
      </c>
      <c r="H5359" t="s">
        <v>2327</v>
      </c>
      <c r="I5359" s="21">
        <v>43140</v>
      </c>
      <c r="J5359">
        <v>2018</v>
      </c>
      <c r="K5359" s="21">
        <v>43201</v>
      </c>
      <c r="L5359">
        <v>2018</v>
      </c>
      <c r="M5359" s="21">
        <v>43444</v>
      </c>
      <c r="N5359">
        <v>2018</v>
      </c>
      <c r="Q5359" s="262">
        <v>190000</v>
      </c>
      <c r="S5359" t="s">
        <v>114</v>
      </c>
      <c r="T5359" t="s">
        <v>114</v>
      </c>
      <c r="W5359">
        <v>0</v>
      </c>
      <c r="X5359">
        <v>0</v>
      </c>
      <c r="AU5359">
        <f t="shared" si="166"/>
        <v>0</v>
      </c>
      <c r="AV5359">
        <f t="shared" si="167"/>
        <v>0</v>
      </c>
    </row>
    <row r="5360" spans="1:48" x14ac:dyDescent="0.25">
      <c r="A5360" t="s">
        <v>13754</v>
      </c>
      <c r="C5360" t="s">
        <v>13750</v>
      </c>
      <c r="D5360" t="s">
        <v>13755</v>
      </c>
      <c r="E5360" t="s">
        <v>1663</v>
      </c>
      <c r="F5360">
        <v>5</v>
      </c>
      <c r="G5360">
        <v>5.0999999999999996</v>
      </c>
      <c r="H5360" t="s">
        <v>2327</v>
      </c>
      <c r="I5360" s="21">
        <v>43140</v>
      </c>
      <c r="J5360">
        <v>2018</v>
      </c>
      <c r="K5360" s="21">
        <v>43201</v>
      </c>
      <c r="L5360">
        <v>2018</v>
      </c>
      <c r="M5360" s="21">
        <v>43439</v>
      </c>
      <c r="N5360">
        <v>2018</v>
      </c>
      <c r="Q5360" s="262">
        <v>160000</v>
      </c>
      <c r="S5360" t="s">
        <v>114</v>
      </c>
      <c r="T5360" t="s">
        <v>114</v>
      </c>
      <c r="W5360">
        <v>0</v>
      </c>
      <c r="X5360">
        <v>0</v>
      </c>
      <c r="AU5360">
        <f t="shared" si="166"/>
        <v>0</v>
      </c>
      <c r="AV5360">
        <f t="shared" si="167"/>
        <v>0</v>
      </c>
    </row>
    <row r="5361" spans="1:48" x14ac:dyDescent="0.25">
      <c r="A5361" t="s">
        <v>18642</v>
      </c>
      <c r="B5361" t="s">
        <v>114</v>
      </c>
      <c r="C5361" t="s">
        <v>18643</v>
      </c>
      <c r="D5361" t="s">
        <v>18644</v>
      </c>
      <c r="E5361" t="s">
        <v>1663</v>
      </c>
      <c r="F5361">
        <v>5</v>
      </c>
      <c r="G5361">
        <v>5.0999999999999996</v>
      </c>
      <c r="H5361" t="s">
        <v>2327</v>
      </c>
      <c r="I5361" s="21">
        <v>43140</v>
      </c>
      <c r="J5361">
        <v>2018</v>
      </c>
      <c r="K5361" s="21">
        <v>43201</v>
      </c>
      <c r="L5361">
        <v>2018</v>
      </c>
      <c r="M5361" s="21">
        <v>43591</v>
      </c>
      <c r="N5361">
        <v>2019</v>
      </c>
      <c r="Q5361" s="262">
        <v>190000</v>
      </c>
      <c r="S5361" t="s">
        <v>13254</v>
      </c>
      <c r="W5361">
        <v>0</v>
      </c>
      <c r="X5361">
        <v>0</v>
      </c>
      <c r="AU5361">
        <f t="shared" si="166"/>
        <v>0</v>
      </c>
      <c r="AV5361">
        <f t="shared" si="167"/>
        <v>0</v>
      </c>
    </row>
    <row r="5362" spans="1:48" x14ac:dyDescent="0.25">
      <c r="A5362" t="s">
        <v>18672</v>
      </c>
      <c r="B5362" t="s">
        <v>114</v>
      </c>
      <c r="C5362" t="s">
        <v>13750</v>
      </c>
      <c r="D5362" t="s">
        <v>18673</v>
      </c>
      <c r="E5362" t="s">
        <v>1663</v>
      </c>
      <c r="F5362">
        <v>5</v>
      </c>
      <c r="G5362">
        <v>5.0999999999999996</v>
      </c>
      <c r="H5362" t="s">
        <v>2327</v>
      </c>
      <c r="I5362" s="21">
        <v>43140</v>
      </c>
      <c r="J5362">
        <v>2018</v>
      </c>
      <c r="K5362" s="21">
        <v>43201</v>
      </c>
      <c r="L5362">
        <v>2018</v>
      </c>
      <c r="M5362" s="21">
        <v>43605</v>
      </c>
      <c r="N5362">
        <v>2019</v>
      </c>
      <c r="Q5362" s="262">
        <v>160000</v>
      </c>
      <c r="S5362" t="s">
        <v>13254</v>
      </c>
      <c r="W5362">
        <v>0</v>
      </c>
      <c r="X5362">
        <v>0</v>
      </c>
      <c r="AU5362">
        <f t="shared" si="166"/>
        <v>0</v>
      </c>
      <c r="AV5362">
        <f t="shared" si="167"/>
        <v>0</v>
      </c>
    </row>
    <row r="5363" spans="1:48" x14ac:dyDescent="0.25">
      <c r="A5363" t="s">
        <v>18958</v>
      </c>
      <c r="B5363" t="s">
        <v>18958</v>
      </c>
      <c r="C5363" t="s">
        <v>18959</v>
      </c>
      <c r="D5363" t="s">
        <v>7142</v>
      </c>
      <c r="E5363" t="s">
        <v>2310</v>
      </c>
      <c r="F5363">
        <v>9</v>
      </c>
      <c r="G5363">
        <v>9.4</v>
      </c>
      <c r="H5363" t="s">
        <v>2323</v>
      </c>
      <c r="I5363" s="21">
        <v>43144.47923611111</v>
      </c>
      <c r="J5363">
        <v>2018</v>
      </c>
      <c r="K5363" s="21">
        <v>43185.407407407409</v>
      </c>
      <c r="L5363">
        <v>2018</v>
      </c>
      <c r="M5363" s="21">
        <v>43685.39740454861</v>
      </c>
      <c r="N5363">
        <v>2019</v>
      </c>
      <c r="Q5363" s="262">
        <v>1690000</v>
      </c>
      <c r="R5363" s="262">
        <v>468000</v>
      </c>
      <c r="S5363" t="s">
        <v>13254</v>
      </c>
      <c r="W5363">
        <v>4020</v>
      </c>
      <c r="X5363">
        <v>1</v>
      </c>
      <c r="AC5363">
        <v>4020</v>
      </c>
      <c r="AO5363">
        <v>1</v>
      </c>
      <c r="AU5363">
        <f t="shared" si="166"/>
        <v>1</v>
      </c>
      <c r="AV5363">
        <f t="shared" si="167"/>
        <v>0</v>
      </c>
    </row>
    <row r="5364" spans="1:48" x14ac:dyDescent="0.25">
      <c r="A5364" t="s">
        <v>18978</v>
      </c>
      <c r="B5364" t="s">
        <v>18978</v>
      </c>
      <c r="C5364" t="s">
        <v>18979</v>
      </c>
      <c r="D5364" t="s">
        <v>18980</v>
      </c>
      <c r="E5364" t="s">
        <v>2310</v>
      </c>
      <c r="F5364">
        <v>9</v>
      </c>
      <c r="G5364">
        <v>9.1</v>
      </c>
      <c r="H5364" t="s">
        <v>2323</v>
      </c>
      <c r="I5364" s="21">
        <v>43144.607847222222</v>
      </c>
      <c r="J5364">
        <v>2018</v>
      </c>
      <c r="K5364" s="21">
        <v>43223.409454942128</v>
      </c>
      <c r="L5364">
        <v>2018</v>
      </c>
      <c r="M5364" s="21">
        <v>43696.663003240741</v>
      </c>
      <c r="N5364">
        <v>2019</v>
      </c>
      <c r="Q5364" s="262">
        <v>1200000</v>
      </c>
      <c r="R5364" s="262">
        <v>395000</v>
      </c>
      <c r="S5364" t="s">
        <v>13254</v>
      </c>
      <c r="W5364">
        <v>3630</v>
      </c>
      <c r="X5364">
        <v>1</v>
      </c>
      <c r="AC5364">
        <v>3630</v>
      </c>
      <c r="AO5364">
        <v>1</v>
      </c>
      <c r="AU5364">
        <f t="shared" si="166"/>
        <v>1</v>
      </c>
      <c r="AV5364">
        <f t="shared" si="167"/>
        <v>0</v>
      </c>
    </row>
    <row r="5365" spans="1:48" x14ac:dyDescent="0.25">
      <c r="A5365" t="s">
        <v>13756</v>
      </c>
      <c r="C5365" t="s">
        <v>11237</v>
      </c>
      <c r="D5365" t="s">
        <v>13414</v>
      </c>
      <c r="E5365" t="s">
        <v>1663</v>
      </c>
      <c r="F5365">
        <v>2</v>
      </c>
      <c r="G5365">
        <v>2.2999999999999998</v>
      </c>
      <c r="H5365" t="s">
        <v>2327</v>
      </c>
      <c r="I5365" s="21">
        <v>43145</v>
      </c>
      <c r="J5365">
        <v>2018</v>
      </c>
      <c r="K5365" s="21">
        <v>43196</v>
      </c>
      <c r="L5365">
        <v>2018</v>
      </c>
      <c r="M5365" s="21">
        <v>43238</v>
      </c>
      <c r="N5365">
        <v>2018</v>
      </c>
      <c r="Q5365" s="262">
        <v>30000</v>
      </c>
      <c r="S5365" t="s">
        <v>114</v>
      </c>
      <c r="T5365" t="s">
        <v>114</v>
      </c>
      <c r="W5365">
        <v>0</v>
      </c>
      <c r="X5365">
        <v>0</v>
      </c>
      <c r="AU5365">
        <f t="shared" si="166"/>
        <v>0</v>
      </c>
      <c r="AV5365">
        <f t="shared" si="167"/>
        <v>0</v>
      </c>
    </row>
    <row r="5366" spans="1:48" x14ac:dyDescent="0.25">
      <c r="A5366" t="s">
        <v>19568</v>
      </c>
      <c r="B5366" t="s">
        <v>19568</v>
      </c>
      <c r="C5366" t="s">
        <v>19569</v>
      </c>
      <c r="D5366" t="s">
        <v>19570</v>
      </c>
      <c r="E5366" t="s">
        <v>2310</v>
      </c>
      <c r="F5366">
        <v>9</v>
      </c>
      <c r="G5366">
        <v>9.3000000000000007</v>
      </c>
      <c r="H5366" t="s">
        <v>2323</v>
      </c>
      <c r="I5366" s="21">
        <v>43146.514178240737</v>
      </c>
      <c r="J5366">
        <v>2018</v>
      </c>
      <c r="K5366" s="21">
        <v>43306.634382951386</v>
      </c>
      <c r="L5366">
        <v>2018</v>
      </c>
      <c r="M5366" s="21">
        <v>44131.633522881944</v>
      </c>
      <c r="N5366">
        <v>2020</v>
      </c>
      <c r="Q5366" s="262">
        <v>320000</v>
      </c>
      <c r="R5366" s="262">
        <v>194000</v>
      </c>
      <c r="S5366" t="s">
        <v>13254</v>
      </c>
      <c r="W5366">
        <v>3150</v>
      </c>
      <c r="X5366">
        <v>0</v>
      </c>
      <c r="AL5366">
        <v>3150</v>
      </c>
      <c r="AU5366">
        <f t="shared" si="166"/>
        <v>0</v>
      </c>
      <c r="AV5366">
        <f t="shared" si="167"/>
        <v>3150</v>
      </c>
    </row>
    <row r="5367" spans="1:48" x14ac:dyDescent="0.25">
      <c r="A5367" t="s">
        <v>19661</v>
      </c>
      <c r="B5367" t="s">
        <v>19661</v>
      </c>
      <c r="C5367" t="s">
        <v>19662</v>
      </c>
      <c r="D5367" t="s">
        <v>19570</v>
      </c>
      <c r="E5367" t="s">
        <v>2310</v>
      </c>
      <c r="F5367">
        <v>9</v>
      </c>
      <c r="G5367">
        <v>9.3000000000000007</v>
      </c>
      <c r="H5367" t="s">
        <v>2323</v>
      </c>
      <c r="I5367" s="21">
        <v>43146.624849537002</v>
      </c>
      <c r="J5367">
        <v>2018</v>
      </c>
      <c r="K5367" s="21">
        <v>43311.680513344902</v>
      </c>
      <c r="L5367">
        <v>2018</v>
      </c>
      <c r="M5367" s="21">
        <v>44321</v>
      </c>
      <c r="N5367">
        <v>2021</v>
      </c>
      <c r="S5367" t="s">
        <v>9529</v>
      </c>
      <c r="T5367">
        <v>4832</v>
      </c>
      <c r="U5367">
        <v>5</v>
      </c>
      <c r="W5367">
        <v>-4015</v>
      </c>
      <c r="X5367">
        <v>-1</v>
      </c>
      <c r="Y5367">
        <v>0</v>
      </c>
      <c r="Z5367">
        <v>0</v>
      </c>
      <c r="AA5367">
        <v>0</v>
      </c>
      <c r="AB5367">
        <v>0</v>
      </c>
      <c r="AC5367">
        <v>-4015</v>
      </c>
      <c r="AD5367">
        <v>0</v>
      </c>
      <c r="AE5367">
        <v>0</v>
      </c>
      <c r="AF5367">
        <v>0</v>
      </c>
      <c r="AG5367">
        <v>0</v>
      </c>
      <c r="AH5367">
        <v>0</v>
      </c>
      <c r="AI5367">
        <v>0</v>
      </c>
      <c r="AJ5367">
        <v>0</v>
      </c>
      <c r="AK5367">
        <v>0</v>
      </c>
      <c r="AL5367">
        <v>0</v>
      </c>
      <c r="AM5367">
        <v>0</v>
      </c>
      <c r="AN5367">
        <v>0</v>
      </c>
      <c r="AO5367">
        <v>-1</v>
      </c>
      <c r="AP5367">
        <v>0</v>
      </c>
      <c r="AQ5367">
        <v>0</v>
      </c>
      <c r="AR5367">
        <v>0</v>
      </c>
      <c r="AS5367">
        <v>0</v>
      </c>
      <c r="AT5367">
        <v>0</v>
      </c>
      <c r="AU5367">
        <f t="shared" si="166"/>
        <v>-1</v>
      </c>
      <c r="AV5367">
        <f t="shared" si="167"/>
        <v>0</v>
      </c>
    </row>
    <row r="5368" spans="1:48" x14ac:dyDescent="0.25">
      <c r="A5368" t="s">
        <v>19661</v>
      </c>
      <c r="B5368" t="s">
        <v>19661</v>
      </c>
      <c r="C5368" t="s">
        <v>19662</v>
      </c>
      <c r="D5368" t="s">
        <v>19570</v>
      </c>
      <c r="E5368" t="s">
        <v>2310</v>
      </c>
      <c r="F5368">
        <v>9</v>
      </c>
      <c r="G5368">
        <v>9.3000000000000007</v>
      </c>
      <c r="H5368" t="s">
        <v>2323</v>
      </c>
      <c r="I5368" s="21">
        <v>43146.624849537002</v>
      </c>
      <c r="J5368">
        <v>2018</v>
      </c>
      <c r="K5368" s="21">
        <v>43311.680513344902</v>
      </c>
      <c r="L5368">
        <v>2018</v>
      </c>
      <c r="M5368" s="21">
        <v>44321</v>
      </c>
      <c r="N5368">
        <v>2021</v>
      </c>
      <c r="Q5368" s="262">
        <v>300000</v>
      </c>
      <c r="R5368" s="262">
        <v>114000</v>
      </c>
      <c r="S5368" t="s">
        <v>13254</v>
      </c>
      <c r="U5368">
        <v>7</v>
      </c>
      <c r="W5368">
        <v>1115</v>
      </c>
      <c r="X5368">
        <v>1</v>
      </c>
      <c r="AE5368">
        <v>1115</v>
      </c>
      <c r="AQ5368">
        <v>1</v>
      </c>
      <c r="AU5368">
        <f t="shared" si="166"/>
        <v>1</v>
      </c>
      <c r="AV5368">
        <f t="shared" si="167"/>
        <v>0</v>
      </c>
    </row>
    <row r="5369" spans="1:48" x14ac:dyDescent="0.25">
      <c r="A5369" t="s">
        <v>20022</v>
      </c>
      <c r="B5369" t="s">
        <v>20022</v>
      </c>
      <c r="C5369" t="s">
        <v>20023</v>
      </c>
      <c r="D5369" t="s">
        <v>19570</v>
      </c>
      <c r="E5369" t="s">
        <v>2310</v>
      </c>
      <c r="F5369">
        <v>9</v>
      </c>
      <c r="G5369">
        <v>9.3000000000000007</v>
      </c>
      <c r="H5369" t="s">
        <v>2323</v>
      </c>
      <c r="I5369" s="21">
        <v>43146.652233796303</v>
      </c>
      <c r="J5369">
        <v>2018</v>
      </c>
      <c r="K5369" s="21">
        <v>43311.682157789299</v>
      </c>
      <c r="L5369">
        <v>2018</v>
      </c>
      <c r="M5369" s="21">
        <v>44321</v>
      </c>
      <c r="N5369">
        <v>2021</v>
      </c>
      <c r="Q5369" s="262">
        <v>300000</v>
      </c>
      <c r="R5369" s="262">
        <v>114000</v>
      </c>
      <c r="S5369" t="s">
        <v>13254</v>
      </c>
      <c r="U5369">
        <v>7</v>
      </c>
      <c r="W5369">
        <v>1115</v>
      </c>
      <c r="X5369">
        <v>1</v>
      </c>
      <c r="AE5369">
        <v>1115</v>
      </c>
      <c r="AQ5369">
        <v>1</v>
      </c>
      <c r="AU5369">
        <f t="shared" si="166"/>
        <v>1</v>
      </c>
      <c r="AV5369">
        <f t="shared" si="167"/>
        <v>0</v>
      </c>
    </row>
    <row r="5370" spans="1:48" x14ac:dyDescent="0.25">
      <c r="A5370" t="s">
        <v>20024</v>
      </c>
      <c r="B5370" t="s">
        <v>20024</v>
      </c>
      <c r="C5370" t="s">
        <v>20025</v>
      </c>
      <c r="D5370" t="s">
        <v>19570</v>
      </c>
      <c r="E5370" t="s">
        <v>2310</v>
      </c>
      <c r="F5370">
        <v>9</v>
      </c>
      <c r="G5370">
        <v>9.3000000000000007</v>
      </c>
      <c r="H5370" t="s">
        <v>2323</v>
      </c>
      <c r="I5370" s="21">
        <v>43146.659710648099</v>
      </c>
      <c r="J5370">
        <v>2018</v>
      </c>
      <c r="K5370" s="21">
        <v>43335.616530289299</v>
      </c>
      <c r="L5370">
        <v>2018</v>
      </c>
      <c r="M5370" s="21">
        <v>44321</v>
      </c>
      <c r="N5370">
        <v>2021</v>
      </c>
      <c r="Q5370" s="262">
        <v>300000</v>
      </c>
      <c r="R5370" s="262">
        <v>114000</v>
      </c>
      <c r="S5370" t="s">
        <v>13254</v>
      </c>
      <c r="U5370">
        <v>7</v>
      </c>
      <c r="W5370">
        <v>1115</v>
      </c>
      <c r="X5370">
        <v>1</v>
      </c>
      <c r="AE5370">
        <v>1115</v>
      </c>
      <c r="AQ5370">
        <v>1</v>
      </c>
      <c r="AU5370">
        <f t="shared" si="166"/>
        <v>1</v>
      </c>
      <c r="AV5370">
        <f t="shared" si="167"/>
        <v>0</v>
      </c>
    </row>
    <row r="5371" spans="1:48" x14ac:dyDescent="0.25">
      <c r="A5371" t="s">
        <v>20026</v>
      </c>
      <c r="B5371" t="s">
        <v>20026</v>
      </c>
      <c r="C5371" t="s">
        <v>20027</v>
      </c>
      <c r="D5371" t="s">
        <v>19570</v>
      </c>
      <c r="E5371" t="s">
        <v>2310</v>
      </c>
      <c r="F5371">
        <v>9</v>
      </c>
      <c r="G5371">
        <v>9.3000000000000007</v>
      </c>
      <c r="H5371" t="s">
        <v>2323</v>
      </c>
      <c r="I5371" s="21">
        <v>43146.661712963003</v>
      </c>
      <c r="J5371">
        <v>2018</v>
      </c>
      <c r="K5371" s="21">
        <v>43311.685456134299</v>
      </c>
      <c r="L5371">
        <v>2018</v>
      </c>
      <c r="M5371" s="21">
        <v>44321</v>
      </c>
      <c r="N5371">
        <v>2021</v>
      </c>
      <c r="Q5371" s="262">
        <v>300000</v>
      </c>
      <c r="R5371" s="262">
        <v>114000</v>
      </c>
      <c r="S5371" t="s">
        <v>13254</v>
      </c>
      <c r="U5371">
        <v>7</v>
      </c>
      <c r="W5371">
        <v>1115</v>
      </c>
      <c r="X5371">
        <v>1</v>
      </c>
      <c r="AE5371">
        <v>1115</v>
      </c>
      <c r="AQ5371">
        <v>1</v>
      </c>
      <c r="AU5371">
        <f t="shared" si="166"/>
        <v>1</v>
      </c>
      <c r="AV5371">
        <f t="shared" si="167"/>
        <v>0</v>
      </c>
    </row>
    <row r="5372" spans="1:48" x14ac:dyDescent="0.25">
      <c r="A5372" t="s">
        <v>20028</v>
      </c>
      <c r="B5372" t="s">
        <v>20028</v>
      </c>
      <c r="C5372" t="s">
        <v>20029</v>
      </c>
      <c r="D5372" t="s">
        <v>19570</v>
      </c>
      <c r="E5372" t="s">
        <v>2310</v>
      </c>
      <c r="F5372">
        <v>9</v>
      </c>
      <c r="G5372">
        <v>9.3000000000000007</v>
      </c>
      <c r="H5372" t="s">
        <v>2323</v>
      </c>
      <c r="I5372" s="21">
        <v>43146.663692129601</v>
      </c>
      <c r="J5372">
        <v>2018</v>
      </c>
      <c r="K5372" s="21">
        <v>43362.5587089931</v>
      </c>
      <c r="L5372">
        <v>2018</v>
      </c>
      <c r="M5372" s="21">
        <v>44322</v>
      </c>
      <c r="N5372">
        <v>2021</v>
      </c>
      <c r="Q5372" s="262">
        <v>300000</v>
      </c>
      <c r="R5372" s="262">
        <v>114000</v>
      </c>
      <c r="S5372" t="s">
        <v>13254</v>
      </c>
      <c r="U5372">
        <v>7</v>
      </c>
      <c r="W5372">
        <v>1115</v>
      </c>
      <c r="X5372">
        <v>1</v>
      </c>
      <c r="AE5372">
        <v>1115</v>
      </c>
      <c r="AQ5372">
        <v>1</v>
      </c>
      <c r="AU5372">
        <f t="shared" si="166"/>
        <v>1</v>
      </c>
      <c r="AV5372">
        <f t="shared" si="167"/>
        <v>0</v>
      </c>
    </row>
    <row r="5373" spans="1:48" x14ac:dyDescent="0.25">
      <c r="A5373" t="s">
        <v>20030</v>
      </c>
      <c r="B5373" t="s">
        <v>20030</v>
      </c>
      <c r="C5373" t="s">
        <v>20031</v>
      </c>
      <c r="D5373" t="s">
        <v>19570</v>
      </c>
      <c r="E5373" t="s">
        <v>2310</v>
      </c>
      <c r="F5373">
        <v>9</v>
      </c>
      <c r="G5373">
        <v>9.3000000000000007</v>
      </c>
      <c r="H5373" t="s">
        <v>2323</v>
      </c>
      <c r="I5373" s="21">
        <v>43146.665092592601</v>
      </c>
      <c r="J5373">
        <v>2018</v>
      </c>
      <c r="K5373" s="21">
        <v>43311.688962303197</v>
      </c>
      <c r="L5373">
        <v>2018</v>
      </c>
      <c r="M5373" s="21">
        <v>44321</v>
      </c>
      <c r="N5373">
        <v>2021</v>
      </c>
      <c r="Q5373" s="262">
        <v>300000</v>
      </c>
      <c r="R5373" s="262">
        <v>114000</v>
      </c>
      <c r="S5373" t="s">
        <v>13254</v>
      </c>
      <c r="U5373">
        <v>7</v>
      </c>
      <c r="W5373">
        <v>1115</v>
      </c>
      <c r="X5373">
        <v>1</v>
      </c>
      <c r="AE5373">
        <v>1115</v>
      </c>
      <c r="AQ5373">
        <v>1</v>
      </c>
      <c r="AU5373">
        <f t="shared" si="166"/>
        <v>1</v>
      </c>
      <c r="AV5373">
        <f t="shared" si="167"/>
        <v>0</v>
      </c>
    </row>
    <row r="5374" spans="1:48" x14ac:dyDescent="0.25">
      <c r="A5374" t="s">
        <v>20032</v>
      </c>
      <c r="B5374" t="s">
        <v>20032</v>
      </c>
      <c r="C5374" t="s">
        <v>20033</v>
      </c>
      <c r="D5374" t="s">
        <v>19570</v>
      </c>
      <c r="E5374" t="s">
        <v>2310</v>
      </c>
      <c r="F5374">
        <v>9</v>
      </c>
      <c r="G5374">
        <v>9.3000000000000007</v>
      </c>
      <c r="H5374" t="s">
        <v>2323</v>
      </c>
      <c r="I5374" s="21">
        <v>43146.6664467593</v>
      </c>
      <c r="J5374">
        <v>2018</v>
      </c>
      <c r="K5374" s="21">
        <v>43335.616218599498</v>
      </c>
      <c r="L5374">
        <v>2018</v>
      </c>
      <c r="M5374" s="21">
        <v>44321</v>
      </c>
      <c r="N5374">
        <v>2021</v>
      </c>
      <c r="Q5374" s="262">
        <v>300000</v>
      </c>
      <c r="R5374" s="262">
        <v>114000</v>
      </c>
      <c r="S5374" t="s">
        <v>13254</v>
      </c>
      <c r="U5374">
        <v>7</v>
      </c>
      <c r="W5374">
        <v>1115</v>
      </c>
      <c r="X5374">
        <v>1</v>
      </c>
      <c r="AE5374">
        <v>1115</v>
      </c>
      <c r="AQ5374">
        <v>1</v>
      </c>
      <c r="AU5374">
        <f t="shared" si="166"/>
        <v>1</v>
      </c>
      <c r="AV5374">
        <f t="shared" si="167"/>
        <v>0</v>
      </c>
    </row>
    <row r="5375" spans="1:48" x14ac:dyDescent="0.25">
      <c r="A5375" t="s">
        <v>20034</v>
      </c>
      <c r="B5375" t="s">
        <v>20034</v>
      </c>
      <c r="C5375" t="s">
        <v>20035</v>
      </c>
      <c r="D5375" t="s">
        <v>19570</v>
      </c>
      <c r="E5375" t="s">
        <v>2310</v>
      </c>
      <c r="F5375">
        <v>9</v>
      </c>
      <c r="G5375">
        <v>9.3000000000000007</v>
      </c>
      <c r="H5375" t="s">
        <v>2323</v>
      </c>
      <c r="I5375" s="21">
        <v>43146.667627314797</v>
      </c>
      <c r="J5375">
        <v>2018</v>
      </c>
      <c r="K5375" s="21">
        <v>43335.6159885417</v>
      </c>
      <c r="L5375">
        <v>2018</v>
      </c>
      <c r="M5375" s="21">
        <v>44321</v>
      </c>
      <c r="N5375">
        <v>2021</v>
      </c>
      <c r="Q5375" s="262">
        <v>300000</v>
      </c>
      <c r="R5375" s="262">
        <v>114000</v>
      </c>
      <c r="S5375" t="s">
        <v>13254</v>
      </c>
      <c r="U5375">
        <v>7</v>
      </c>
      <c r="W5375">
        <v>1115</v>
      </c>
      <c r="X5375">
        <v>1</v>
      </c>
      <c r="AE5375">
        <v>1115</v>
      </c>
      <c r="AQ5375">
        <v>1</v>
      </c>
      <c r="AU5375">
        <f t="shared" si="166"/>
        <v>1</v>
      </c>
      <c r="AV5375">
        <f t="shared" si="167"/>
        <v>0</v>
      </c>
    </row>
    <row r="5376" spans="1:48" x14ac:dyDescent="0.25">
      <c r="A5376" t="s">
        <v>20036</v>
      </c>
      <c r="B5376" t="s">
        <v>20036</v>
      </c>
      <c r="C5376" t="s">
        <v>20037</v>
      </c>
      <c r="D5376" t="s">
        <v>19570</v>
      </c>
      <c r="E5376" t="s">
        <v>2310</v>
      </c>
      <c r="F5376">
        <v>9</v>
      </c>
      <c r="G5376">
        <v>9.3000000000000007</v>
      </c>
      <c r="H5376" t="s">
        <v>2323</v>
      </c>
      <c r="I5376" s="21">
        <v>43146.669768518499</v>
      </c>
      <c r="J5376">
        <v>2018</v>
      </c>
      <c r="K5376" s="21">
        <v>43335.615854247699</v>
      </c>
      <c r="L5376">
        <v>2018</v>
      </c>
      <c r="M5376" s="21">
        <v>44321</v>
      </c>
      <c r="N5376">
        <v>2021</v>
      </c>
      <c r="Q5376" s="262">
        <v>300000</v>
      </c>
      <c r="R5376" s="262">
        <v>114000</v>
      </c>
      <c r="S5376" t="s">
        <v>13254</v>
      </c>
      <c r="U5376">
        <v>7</v>
      </c>
      <c r="W5376">
        <v>1115</v>
      </c>
      <c r="X5376">
        <v>1</v>
      </c>
      <c r="AE5376">
        <v>1115</v>
      </c>
      <c r="AQ5376">
        <v>1</v>
      </c>
      <c r="AU5376">
        <f t="shared" si="166"/>
        <v>1</v>
      </c>
      <c r="AV5376">
        <f t="shared" si="167"/>
        <v>0</v>
      </c>
    </row>
    <row r="5377" spans="1:48" x14ac:dyDescent="0.25">
      <c r="A5377" t="s">
        <v>20038</v>
      </c>
      <c r="B5377" t="s">
        <v>20038</v>
      </c>
      <c r="C5377" t="s">
        <v>20039</v>
      </c>
      <c r="D5377" t="s">
        <v>19570</v>
      </c>
      <c r="E5377" t="s">
        <v>2310</v>
      </c>
      <c r="F5377">
        <v>9</v>
      </c>
      <c r="G5377">
        <v>9.3000000000000007</v>
      </c>
      <c r="H5377" t="s">
        <v>2323</v>
      </c>
      <c r="I5377" s="21">
        <v>43146.670914351896</v>
      </c>
      <c r="J5377">
        <v>2018</v>
      </c>
      <c r="K5377" s="21">
        <v>43311.6955645833</v>
      </c>
      <c r="L5377">
        <v>2018</v>
      </c>
      <c r="M5377" s="21">
        <v>44321</v>
      </c>
      <c r="N5377">
        <v>2021</v>
      </c>
      <c r="Q5377" s="262">
        <v>300000</v>
      </c>
      <c r="R5377" s="262">
        <v>114000</v>
      </c>
      <c r="S5377" t="s">
        <v>13254</v>
      </c>
      <c r="U5377">
        <v>7</v>
      </c>
      <c r="W5377">
        <v>1115</v>
      </c>
      <c r="X5377">
        <v>1</v>
      </c>
      <c r="AE5377">
        <v>1115</v>
      </c>
      <c r="AQ5377">
        <v>1</v>
      </c>
      <c r="AU5377">
        <f t="shared" si="166"/>
        <v>1</v>
      </c>
      <c r="AV5377">
        <f t="shared" si="167"/>
        <v>0</v>
      </c>
    </row>
    <row r="5378" spans="1:48" x14ac:dyDescent="0.25">
      <c r="A5378" t="s">
        <v>20040</v>
      </c>
      <c r="B5378" t="s">
        <v>20040</v>
      </c>
      <c r="C5378" t="s">
        <v>20041</v>
      </c>
      <c r="D5378" t="s">
        <v>19570</v>
      </c>
      <c r="E5378" t="s">
        <v>2310</v>
      </c>
      <c r="F5378">
        <v>9</v>
      </c>
      <c r="G5378">
        <v>9.3000000000000007</v>
      </c>
      <c r="H5378" t="s">
        <v>2323</v>
      </c>
      <c r="I5378" s="21">
        <v>43146.672083333302</v>
      </c>
      <c r="J5378">
        <v>2018</v>
      </c>
      <c r="K5378" s="21">
        <v>43335.615520798601</v>
      </c>
      <c r="L5378">
        <v>2018</v>
      </c>
      <c r="M5378" s="21">
        <v>44321</v>
      </c>
      <c r="N5378">
        <v>2021</v>
      </c>
      <c r="Q5378" s="262">
        <v>300000</v>
      </c>
      <c r="R5378" s="262">
        <v>114000</v>
      </c>
      <c r="S5378" t="s">
        <v>13254</v>
      </c>
      <c r="U5378">
        <v>7</v>
      </c>
      <c r="W5378">
        <v>1115</v>
      </c>
      <c r="X5378">
        <v>1</v>
      </c>
      <c r="AE5378">
        <v>1115</v>
      </c>
      <c r="AQ5378">
        <v>1</v>
      </c>
      <c r="AU5378">
        <f t="shared" si="166"/>
        <v>1</v>
      </c>
      <c r="AV5378">
        <f t="shared" si="167"/>
        <v>0</v>
      </c>
    </row>
    <row r="5379" spans="1:48" x14ac:dyDescent="0.25">
      <c r="A5379" t="s">
        <v>20040</v>
      </c>
      <c r="B5379" t="s">
        <v>20040</v>
      </c>
      <c r="C5379" t="s">
        <v>20041</v>
      </c>
      <c r="D5379" t="s">
        <v>19570</v>
      </c>
      <c r="E5379" t="s">
        <v>2310</v>
      </c>
      <c r="F5379">
        <v>9</v>
      </c>
      <c r="G5379">
        <v>9.3000000000000007</v>
      </c>
      <c r="H5379" t="s">
        <v>2323</v>
      </c>
      <c r="I5379" s="21">
        <v>43146.672083333302</v>
      </c>
      <c r="J5379">
        <v>2018</v>
      </c>
      <c r="K5379" s="21">
        <v>43335.615520798601</v>
      </c>
      <c r="L5379">
        <v>2018</v>
      </c>
      <c r="M5379" s="21">
        <v>44321</v>
      </c>
      <c r="N5379">
        <v>2021</v>
      </c>
      <c r="Q5379" s="262">
        <v>300000</v>
      </c>
      <c r="R5379" s="262">
        <v>114000</v>
      </c>
      <c r="S5379" t="s">
        <v>13254</v>
      </c>
      <c r="U5379">
        <v>7</v>
      </c>
      <c r="W5379">
        <v>1115</v>
      </c>
      <c r="X5379">
        <v>1</v>
      </c>
      <c r="AE5379">
        <v>1115</v>
      </c>
      <c r="AQ5379">
        <v>1</v>
      </c>
      <c r="AU5379">
        <f t="shared" si="166"/>
        <v>1</v>
      </c>
      <c r="AV5379">
        <f t="shared" si="167"/>
        <v>0</v>
      </c>
    </row>
    <row r="5380" spans="1:48" x14ac:dyDescent="0.25">
      <c r="A5380" t="s">
        <v>20042</v>
      </c>
      <c r="B5380" t="s">
        <v>20042</v>
      </c>
      <c r="C5380" t="s">
        <v>20043</v>
      </c>
      <c r="D5380" t="s">
        <v>19570</v>
      </c>
      <c r="E5380" t="s">
        <v>2310</v>
      </c>
      <c r="F5380">
        <v>9</v>
      </c>
      <c r="G5380">
        <v>9.3000000000000007</v>
      </c>
      <c r="H5380" t="s">
        <v>2323</v>
      </c>
      <c r="I5380" s="21">
        <v>43146.673483796301</v>
      </c>
      <c r="J5380">
        <v>2018</v>
      </c>
      <c r="K5380" s="21">
        <v>43335.615348495397</v>
      </c>
      <c r="L5380">
        <v>2018</v>
      </c>
      <c r="M5380" s="21">
        <v>44321</v>
      </c>
      <c r="N5380">
        <v>2021</v>
      </c>
      <c r="Q5380" s="262">
        <v>300000</v>
      </c>
      <c r="R5380" s="262">
        <v>114000</v>
      </c>
      <c r="S5380" t="s">
        <v>13254</v>
      </c>
      <c r="U5380">
        <v>7</v>
      </c>
      <c r="W5380">
        <v>1115</v>
      </c>
      <c r="X5380">
        <v>1</v>
      </c>
      <c r="AE5380">
        <v>1115</v>
      </c>
      <c r="AQ5380">
        <v>1</v>
      </c>
      <c r="AU5380">
        <f t="shared" si="166"/>
        <v>1</v>
      </c>
      <c r="AV5380">
        <f t="shared" si="167"/>
        <v>0</v>
      </c>
    </row>
    <row r="5381" spans="1:48" x14ac:dyDescent="0.25">
      <c r="A5381" t="s">
        <v>13757</v>
      </c>
      <c r="C5381" t="s">
        <v>13758</v>
      </c>
      <c r="D5381" t="s">
        <v>13759</v>
      </c>
      <c r="E5381" t="s">
        <v>1663</v>
      </c>
      <c r="F5381">
        <v>6</v>
      </c>
      <c r="G5381">
        <v>6.1</v>
      </c>
      <c r="H5381" t="s">
        <v>2017</v>
      </c>
      <c r="I5381" s="21">
        <v>43150</v>
      </c>
      <c r="J5381">
        <v>2018</v>
      </c>
      <c r="M5381" s="21">
        <v>43663</v>
      </c>
      <c r="N5381">
        <v>2019</v>
      </c>
      <c r="Q5381" s="262">
        <v>400000</v>
      </c>
      <c r="S5381" t="s">
        <v>114</v>
      </c>
      <c r="T5381" t="s">
        <v>114</v>
      </c>
      <c r="W5381">
        <v>842</v>
      </c>
      <c r="X5381">
        <v>0</v>
      </c>
      <c r="AC5381">
        <v>842</v>
      </c>
      <c r="AU5381">
        <f t="shared" si="166"/>
        <v>0</v>
      </c>
      <c r="AV5381">
        <f t="shared" si="167"/>
        <v>0</v>
      </c>
    </row>
    <row r="5382" spans="1:48" x14ac:dyDescent="0.25">
      <c r="A5382" t="s">
        <v>13760</v>
      </c>
      <c r="C5382" t="s">
        <v>13761</v>
      </c>
      <c r="D5382" t="s">
        <v>13762</v>
      </c>
      <c r="E5382" t="s">
        <v>1663</v>
      </c>
      <c r="F5382">
        <v>4</v>
      </c>
      <c r="G5382">
        <v>4.3</v>
      </c>
      <c r="H5382" t="s">
        <v>2327</v>
      </c>
      <c r="I5382" s="21">
        <v>43150</v>
      </c>
      <c r="J5382">
        <v>2018</v>
      </c>
      <c r="M5382" s="21">
        <v>43623</v>
      </c>
      <c r="N5382">
        <v>2019</v>
      </c>
      <c r="Q5382" s="262">
        <v>600</v>
      </c>
      <c r="S5382" t="s">
        <v>114</v>
      </c>
      <c r="T5382" t="s">
        <v>114</v>
      </c>
      <c r="W5382">
        <v>0</v>
      </c>
      <c r="X5382">
        <v>0</v>
      </c>
      <c r="AU5382">
        <f t="shared" si="166"/>
        <v>0</v>
      </c>
      <c r="AV5382">
        <f t="shared" si="167"/>
        <v>0</v>
      </c>
    </row>
    <row r="5383" spans="1:48" x14ac:dyDescent="0.25">
      <c r="A5383" t="s">
        <v>18964</v>
      </c>
      <c r="B5383" t="s">
        <v>114</v>
      </c>
      <c r="C5383" t="s">
        <v>18965</v>
      </c>
      <c r="D5383" t="s">
        <v>18966</v>
      </c>
      <c r="E5383" t="s">
        <v>1663</v>
      </c>
      <c r="F5383">
        <v>3</v>
      </c>
      <c r="G5383">
        <v>3.1</v>
      </c>
      <c r="H5383" t="s">
        <v>2017</v>
      </c>
      <c r="I5383" s="21">
        <v>43150</v>
      </c>
      <c r="J5383">
        <v>2018</v>
      </c>
      <c r="K5383" s="21">
        <v>43203</v>
      </c>
      <c r="L5383">
        <v>2018</v>
      </c>
      <c r="M5383" s="21">
        <v>43790</v>
      </c>
      <c r="N5383">
        <v>2019</v>
      </c>
      <c r="Q5383" s="262">
        <v>200000</v>
      </c>
      <c r="S5383" t="s">
        <v>13253</v>
      </c>
      <c r="T5383">
        <v>10414</v>
      </c>
      <c r="W5383">
        <v>1351</v>
      </c>
      <c r="X5383">
        <v>1</v>
      </c>
      <c r="AC5383">
        <v>747</v>
      </c>
      <c r="AE5383">
        <v>604</v>
      </c>
      <c r="AQ5383">
        <v>1</v>
      </c>
      <c r="AU5383">
        <f t="shared" si="166"/>
        <v>1</v>
      </c>
      <c r="AV5383">
        <f t="shared" si="167"/>
        <v>0</v>
      </c>
    </row>
    <row r="5384" spans="1:48" x14ac:dyDescent="0.25">
      <c r="A5384" t="s">
        <v>13763</v>
      </c>
      <c r="C5384" t="s">
        <v>13764</v>
      </c>
      <c r="D5384" t="s">
        <v>13765</v>
      </c>
      <c r="E5384" t="s">
        <v>1663</v>
      </c>
      <c r="F5384">
        <v>6</v>
      </c>
      <c r="G5384">
        <v>6.1</v>
      </c>
      <c r="H5384" t="s">
        <v>2017</v>
      </c>
      <c r="I5384" s="21">
        <v>43153</v>
      </c>
      <c r="J5384">
        <v>2018</v>
      </c>
      <c r="M5384" s="21">
        <v>43623</v>
      </c>
      <c r="N5384">
        <v>2019</v>
      </c>
      <c r="Q5384" s="262">
        <v>200000</v>
      </c>
      <c r="S5384" t="s">
        <v>114</v>
      </c>
      <c r="T5384" t="s">
        <v>114</v>
      </c>
      <c r="W5384">
        <v>1238</v>
      </c>
      <c r="X5384">
        <v>1</v>
      </c>
      <c r="AC5384">
        <v>494</v>
      </c>
      <c r="AE5384">
        <v>744</v>
      </c>
      <c r="AQ5384">
        <v>1</v>
      </c>
      <c r="AU5384">
        <f t="shared" si="166"/>
        <v>1</v>
      </c>
      <c r="AV5384">
        <f t="shared" si="167"/>
        <v>0</v>
      </c>
    </row>
    <row r="5385" spans="1:48" x14ac:dyDescent="0.25">
      <c r="A5385" t="s">
        <v>13770</v>
      </c>
      <c r="C5385" t="s">
        <v>13771</v>
      </c>
      <c r="D5385" t="s">
        <v>13772</v>
      </c>
      <c r="E5385" t="s">
        <v>1663</v>
      </c>
      <c r="F5385">
        <v>6</v>
      </c>
      <c r="G5385">
        <v>6.1</v>
      </c>
      <c r="H5385" t="s">
        <v>2017</v>
      </c>
      <c r="I5385" s="21">
        <v>43158</v>
      </c>
      <c r="J5385">
        <v>2018</v>
      </c>
      <c r="K5385" s="21">
        <v>43192</v>
      </c>
      <c r="L5385">
        <v>2018</v>
      </c>
      <c r="M5385" s="21">
        <v>43896</v>
      </c>
      <c r="N5385">
        <v>2020</v>
      </c>
      <c r="Q5385" s="262">
        <v>4000</v>
      </c>
      <c r="S5385" t="s">
        <v>114</v>
      </c>
      <c r="T5385" t="s">
        <v>114</v>
      </c>
      <c r="W5385">
        <v>0</v>
      </c>
      <c r="X5385">
        <v>0</v>
      </c>
      <c r="AU5385">
        <f t="shared" si="166"/>
        <v>0</v>
      </c>
      <c r="AV5385">
        <f t="shared" si="167"/>
        <v>0</v>
      </c>
    </row>
    <row r="5386" spans="1:48" x14ac:dyDescent="0.25">
      <c r="A5386" t="s">
        <v>13773</v>
      </c>
      <c r="C5386" t="s">
        <v>13774</v>
      </c>
      <c r="D5386" t="s">
        <v>13601</v>
      </c>
      <c r="E5386" t="s">
        <v>1663</v>
      </c>
      <c r="F5386">
        <v>2</v>
      </c>
      <c r="G5386">
        <v>2.2999999999999998</v>
      </c>
      <c r="H5386" t="s">
        <v>2327</v>
      </c>
      <c r="I5386" s="21">
        <v>43158</v>
      </c>
      <c r="J5386">
        <v>2018</v>
      </c>
      <c r="K5386" s="21">
        <v>43242</v>
      </c>
      <c r="L5386">
        <v>2018</v>
      </c>
      <c r="M5386" s="21">
        <v>43815</v>
      </c>
      <c r="N5386">
        <v>2019</v>
      </c>
      <c r="Q5386" s="262">
        <v>500000</v>
      </c>
      <c r="S5386" t="s">
        <v>114</v>
      </c>
      <c r="T5386" t="s">
        <v>114</v>
      </c>
      <c r="W5386">
        <v>0</v>
      </c>
      <c r="X5386">
        <v>0</v>
      </c>
      <c r="AU5386">
        <f t="shared" si="166"/>
        <v>0</v>
      </c>
      <c r="AV5386">
        <f t="shared" si="167"/>
        <v>0</v>
      </c>
    </row>
    <row r="5387" spans="1:48" x14ac:dyDescent="0.25">
      <c r="A5387" t="s">
        <v>13768</v>
      </c>
      <c r="C5387" t="s">
        <v>11237</v>
      </c>
      <c r="D5387" t="s">
        <v>13769</v>
      </c>
      <c r="E5387" t="s">
        <v>1663</v>
      </c>
      <c r="F5387">
        <v>1</v>
      </c>
      <c r="G5387">
        <v>1.2</v>
      </c>
      <c r="H5387" t="s">
        <v>2017</v>
      </c>
      <c r="I5387" s="21">
        <v>43158</v>
      </c>
      <c r="J5387">
        <v>2018</v>
      </c>
      <c r="K5387" s="21">
        <v>43227</v>
      </c>
      <c r="L5387">
        <v>2018</v>
      </c>
      <c r="M5387" s="21">
        <v>43326</v>
      </c>
      <c r="N5387">
        <v>2018</v>
      </c>
      <c r="Q5387" s="262">
        <v>50000</v>
      </c>
      <c r="S5387" t="s">
        <v>114</v>
      </c>
      <c r="T5387" t="s">
        <v>114</v>
      </c>
      <c r="W5387">
        <v>0</v>
      </c>
      <c r="X5387">
        <v>0</v>
      </c>
      <c r="AU5387">
        <f t="shared" si="166"/>
        <v>0</v>
      </c>
      <c r="AV5387">
        <f t="shared" si="167"/>
        <v>0</v>
      </c>
    </row>
    <row r="5388" spans="1:48" x14ac:dyDescent="0.25">
      <c r="A5388" t="s">
        <v>13766</v>
      </c>
      <c r="C5388" t="s">
        <v>11237</v>
      </c>
      <c r="D5388" t="s">
        <v>13767</v>
      </c>
      <c r="E5388" t="s">
        <v>1663</v>
      </c>
      <c r="F5388">
        <v>1</v>
      </c>
      <c r="G5388">
        <v>1.1000000000000001</v>
      </c>
      <c r="H5388" t="s">
        <v>2017</v>
      </c>
      <c r="I5388" s="21">
        <v>43158</v>
      </c>
      <c r="J5388">
        <v>2018</v>
      </c>
      <c r="K5388" s="21">
        <v>43242</v>
      </c>
      <c r="L5388">
        <v>2018</v>
      </c>
      <c r="P5388" s="21">
        <v>43626</v>
      </c>
      <c r="Q5388" s="262">
        <v>750000</v>
      </c>
      <c r="S5388" t="s">
        <v>114</v>
      </c>
      <c r="T5388" t="s">
        <v>114</v>
      </c>
      <c r="W5388">
        <v>0</v>
      </c>
      <c r="X5388">
        <v>0</v>
      </c>
      <c r="AU5388">
        <f t="shared" si="166"/>
        <v>0</v>
      </c>
      <c r="AV5388">
        <f t="shared" si="167"/>
        <v>0</v>
      </c>
    </row>
    <row r="5389" spans="1:48" x14ac:dyDescent="0.25">
      <c r="A5389" t="s">
        <v>13775</v>
      </c>
      <c r="B5389" t="s">
        <v>13775</v>
      </c>
      <c r="C5389" t="s">
        <v>13776</v>
      </c>
      <c r="D5389" t="s">
        <v>2750</v>
      </c>
      <c r="E5389" t="s">
        <v>2310</v>
      </c>
      <c r="F5389">
        <v>9</v>
      </c>
      <c r="G5389">
        <v>9.1999999999999993</v>
      </c>
      <c r="H5389" t="s">
        <v>2022</v>
      </c>
      <c r="I5389" s="21">
        <v>43158.455208333296</v>
      </c>
      <c r="J5389">
        <v>2018</v>
      </c>
      <c r="K5389" s="21">
        <v>43178.479837963001</v>
      </c>
      <c r="L5389">
        <v>2018</v>
      </c>
      <c r="O5389" s="21">
        <v>43501.673880671297</v>
      </c>
      <c r="R5389" s="262">
        <v>537000</v>
      </c>
      <c r="S5389" t="s">
        <v>114</v>
      </c>
      <c r="T5389" t="s">
        <v>114</v>
      </c>
      <c r="W5389">
        <v>4906</v>
      </c>
      <c r="X5389">
        <v>1</v>
      </c>
      <c r="AC5389">
        <v>4906</v>
      </c>
      <c r="AO5389">
        <v>1</v>
      </c>
      <c r="AU5389">
        <f t="shared" si="166"/>
        <v>1</v>
      </c>
      <c r="AV5389">
        <f t="shared" si="167"/>
        <v>0</v>
      </c>
    </row>
    <row r="5390" spans="1:48" x14ac:dyDescent="0.25">
      <c r="A5390" t="s">
        <v>19481</v>
      </c>
      <c r="B5390" t="s">
        <v>19481</v>
      </c>
      <c r="C5390" t="s">
        <v>19482</v>
      </c>
      <c r="D5390" t="s">
        <v>19483</v>
      </c>
      <c r="E5390" t="s">
        <v>2310</v>
      </c>
      <c r="F5390">
        <v>9</v>
      </c>
      <c r="G5390">
        <v>9.3000000000000007</v>
      </c>
      <c r="H5390" t="s">
        <v>2323</v>
      </c>
      <c r="I5390" s="21">
        <v>43158.500706018516</v>
      </c>
      <c r="J5390">
        <v>2018</v>
      </c>
      <c r="K5390" s="21">
        <v>43220.496111111112</v>
      </c>
      <c r="L5390">
        <v>2018</v>
      </c>
      <c r="M5390" s="21">
        <v>44056.492840891202</v>
      </c>
      <c r="N5390">
        <v>2020</v>
      </c>
      <c r="Q5390" s="262">
        <v>663000</v>
      </c>
      <c r="R5390" s="262">
        <v>661000</v>
      </c>
      <c r="S5390" t="s">
        <v>13254</v>
      </c>
      <c r="W5390">
        <v>5206</v>
      </c>
      <c r="X5390">
        <v>1</v>
      </c>
      <c r="AC5390">
        <v>5206</v>
      </c>
      <c r="AO5390">
        <v>1</v>
      </c>
      <c r="AU5390">
        <f t="shared" si="166"/>
        <v>1</v>
      </c>
      <c r="AV5390">
        <f t="shared" si="167"/>
        <v>0</v>
      </c>
    </row>
    <row r="5391" spans="1:48" x14ac:dyDescent="0.25">
      <c r="A5391" t="s">
        <v>18892</v>
      </c>
      <c r="B5391" t="s">
        <v>18892</v>
      </c>
      <c r="C5391" t="s">
        <v>18893</v>
      </c>
      <c r="D5391" t="s">
        <v>4365</v>
      </c>
      <c r="E5391" t="s">
        <v>2310</v>
      </c>
      <c r="F5391">
        <v>9</v>
      </c>
      <c r="G5391">
        <v>9.1</v>
      </c>
      <c r="H5391" t="s">
        <v>2323</v>
      </c>
      <c r="I5391" s="21">
        <v>43158.624930555554</v>
      </c>
      <c r="J5391">
        <v>2018</v>
      </c>
      <c r="K5391" s="21">
        <v>43201.556689814817</v>
      </c>
      <c r="L5391">
        <v>2018</v>
      </c>
      <c r="M5391" s="21">
        <v>43661.5486815162</v>
      </c>
      <c r="N5391">
        <v>2019</v>
      </c>
      <c r="Q5391" s="262">
        <v>9500000</v>
      </c>
      <c r="R5391" s="262">
        <v>1811000</v>
      </c>
      <c r="S5391" t="s">
        <v>13254</v>
      </c>
      <c r="W5391">
        <v>30035</v>
      </c>
      <c r="X5391">
        <v>0</v>
      </c>
      <c r="AL5391">
        <v>30035</v>
      </c>
      <c r="AU5391">
        <f t="shared" si="166"/>
        <v>0</v>
      </c>
      <c r="AV5391">
        <f t="shared" si="167"/>
        <v>30035</v>
      </c>
    </row>
    <row r="5392" spans="1:48" x14ac:dyDescent="0.25">
      <c r="A5392" t="s">
        <v>18489</v>
      </c>
      <c r="B5392" t="s">
        <v>18489</v>
      </c>
      <c r="C5392" t="s">
        <v>18490</v>
      </c>
      <c r="D5392" t="s">
        <v>18491</v>
      </c>
      <c r="E5392" t="s">
        <v>2310</v>
      </c>
      <c r="F5392">
        <v>11</v>
      </c>
      <c r="G5392">
        <v>11.2</v>
      </c>
      <c r="H5392" t="s">
        <v>2017</v>
      </c>
      <c r="I5392" s="21">
        <v>43159.45349537037</v>
      </c>
      <c r="J5392">
        <v>2018</v>
      </c>
      <c r="K5392" s="21">
        <v>43475.423710451389</v>
      </c>
      <c r="L5392">
        <v>2019</v>
      </c>
      <c r="M5392" s="21">
        <v>43475.41498209491</v>
      </c>
      <c r="N5392">
        <v>2019</v>
      </c>
      <c r="Q5392" s="262">
        <v>570440</v>
      </c>
      <c r="R5392" s="262">
        <v>233000</v>
      </c>
      <c r="S5392" t="s">
        <v>13254</v>
      </c>
      <c r="W5392">
        <v>2330</v>
      </c>
      <c r="X5392">
        <v>1</v>
      </c>
      <c r="AC5392">
        <v>2330</v>
      </c>
      <c r="AO5392">
        <v>1</v>
      </c>
      <c r="AU5392">
        <f t="shared" si="166"/>
        <v>1</v>
      </c>
      <c r="AV5392">
        <f t="shared" si="167"/>
        <v>0</v>
      </c>
    </row>
    <row r="5393" spans="1:48" x14ac:dyDescent="0.25">
      <c r="A5393" t="s">
        <v>13777</v>
      </c>
      <c r="B5393" t="s">
        <v>13777</v>
      </c>
      <c r="C5393" t="s">
        <v>13778</v>
      </c>
      <c r="D5393" t="s">
        <v>13779</v>
      </c>
      <c r="E5393" t="s">
        <v>2310</v>
      </c>
      <c r="F5393">
        <v>15</v>
      </c>
      <c r="G5393">
        <v>15.2</v>
      </c>
      <c r="H5393" t="s">
        <v>2323</v>
      </c>
      <c r="I5393" s="21">
        <v>43159.509756944397</v>
      </c>
      <c r="J5393">
        <v>2018</v>
      </c>
      <c r="K5393" s="21">
        <v>43201.576296296298</v>
      </c>
      <c r="L5393">
        <v>2018</v>
      </c>
      <c r="M5393" s="21">
        <v>43398.4851482292</v>
      </c>
      <c r="N5393">
        <v>2018</v>
      </c>
      <c r="Q5393" s="262">
        <v>7000000</v>
      </c>
      <c r="R5393" s="262">
        <v>368000</v>
      </c>
      <c r="S5393" t="s">
        <v>114</v>
      </c>
      <c r="T5393" t="s">
        <v>114</v>
      </c>
      <c r="W5393">
        <v>4124</v>
      </c>
      <c r="X5393">
        <v>0</v>
      </c>
      <c r="AC5393">
        <v>4124</v>
      </c>
      <c r="AU5393">
        <f t="shared" si="166"/>
        <v>0</v>
      </c>
      <c r="AV5393">
        <f t="shared" si="167"/>
        <v>0</v>
      </c>
    </row>
    <row r="5394" spans="1:48" x14ac:dyDescent="0.25">
      <c r="A5394" t="s">
        <v>19135</v>
      </c>
      <c r="B5394" t="s">
        <v>19135</v>
      </c>
      <c r="C5394" t="s">
        <v>19136</v>
      </c>
      <c r="D5394" t="s">
        <v>19137</v>
      </c>
      <c r="E5394" t="s">
        <v>2310</v>
      </c>
      <c r="F5394">
        <v>8</v>
      </c>
      <c r="G5394">
        <v>8.1</v>
      </c>
      <c r="H5394" t="s">
        <v>2323</v>
      </c>
      <c r="I5394" s="21">
        <v>43160.383275462962</v>
      </c>
      <c r="J5394">
        <v>2018</v>
      </c>
      <c r="K5394" s="21">
        <v>43201.682997685188</v>
      </c>
      <c r="L5394">
        <v>2018</v>
      </c>
      <c r="M5394" s="21">
        <v>43787.476128854163</v>
      </c>
      <c r="N5394">
        <v>2019</v>
      </c>
      <c r="Q5394" s="262">
        <v>2800000</v>
      </c>
      <c r="R5394" s="262">
        <v>581000</v>
      </c>
      <c r="S5394" t="s">
        <v>13254</v>
      </c>
      <c r="W5394">
        <v>4739</v>
      </c>
      <c r="X5394">
        <v>1</v>
      </c>
      <c r="AC5394">
        <v>4739</v>
      </c>
      <c r="AO5394">
        <v>1</v>
      </c>
      <c r="AU5394">
        <f t="shared" si="166"/>
        <v>1</v>
      </c>
      <c r="AV5394">
        <f t="shared" si="167"/>
        <v>0</v>
      </c>
    </row>
    <row r="5395" spans="1:48" x14ac:dyDescent="0.25">
      <c r="A5395" t="s">
        <v>18731</v>
      </c>
      <c r="B5395" t="s">
        <v>18731</v>
      </c>
      <c r="C5395" t="s">
        <v>18732</v>
      </c>
      <c r="D5395" t="s">
        <v>1707</v>
      </c>
      <c r="E5395" t="s">
        <v>2310</v>
      </c>
      <c r="F5395">
        <v>8</v>
      </c>
      <c r="G5395">
        <v>8.1999999999999993</v>
      </c>
      <c r="H5395" t="s">
        <v>2022</v>
      </c>
      <c r="I5395" s="21">
        <v>43160.435381944444</v>
      </c>
      <c r="J5395">
        <v>2018</v>
      </c>
      <c r="K5395" s="21">
        <v>43199.57775462963</v>
      </c>
      <c r="L5395">
        <v>2018</v>
      </c>
      <c r="M5395" s="21">
        <v>43637.350480324072</v>
      </c>
      <c r="N5395">
        <v>2019</v>
      </c>
      <c r="Q5395" s="262">
        <v>200000</v>
      </c>
      <c r="R5395" s="262">
        <v>118000</v>
      </c>
      <c r="S5395" t="s">
        <v>13253</v>
      </c>
      <c r="T5395">
        <v>8246</v>
      </c>
      <c r="W5395">
        <v>1040</v>
      </c>
      <c r="X5395">
        <v>0</v>
      </c>
      <c r="AC5395">
        <v>1040</v>
      </c>
      <c r="AU5395">
        <f t="shared" si="166"/>
        <v>0</v>
      </c>
      <c r="AV5395">
        <f t="shared" si="167"/>
        <v>0</v>
      </c>
    </row>
    <row r="5396" spans="1:48" x14ac:dyDescent="0.25">
      <c r="A5396" t="s">
        <v>17969</v>
      </c>
      <c r="B5396" t="s">
        <v>17969</v>
      </c>
      <c r="C5396" t="s">
        <v>17970</v>
      </c>
      <c r="D5396" t="s">
        <v>5562</v>
      </c>
      <c r="E5396" t="s">
        <v>2310</v>
      </c>
      <c r="F5396">
        <v>9</v>
      </c>
      <c r="G5396">
        <v>9.3000000000000007</v>
      </c>
      <c r="H5396" t="s">
        <v>2323</v>
      </c>
      <c r="I5396" s="21">
        <v>43160.519953703704</v>
      </c>
      <c r="J5396">
        <v>2018</v>
      </c>
      <c r="K5396" s="21">
        <v>43237.639891979168</v>
      </c>
      <c r="L5396">
        <v>2018</v>
      </c>
      <c r="M5396" s="21">
        <v>43962.399173807869</v>
      </c>
      <c r="N5396">
        <v>2020</v>
      </c>
      <c r="Q5396" s="262">
        <v>630000</v>
      </c>
      <c r="R5396" s="262">
        <v>103000</v>
      </c>
      <c r="S5396" t="s">
        <v>13253</v>
      </c>
      <c r="T5396">
        <v>2374</v>
      </c>
      <c r="V5396">
        <v>855</v>
      </c>
      <c r="W5396">
        <v>145</v>
      </c>
      <c r="X5396">
        <v>0</v>
      </c>
      <c r="AC5396">
        <v>145</v>
      </c>
      <c r="AU5396">
        <f t="shared" si="166"/>
        <v>0</v>
      </c>
      <c r="AV5396">
        <f t="shared" si="167"/>
        <v>0</v>
      </c>
    </row>
    <row r="5397" spans="1:48" x14ac:dyDescent="0.25">
      <c r="A5397" t="s">
        <v>13780</v>
      </c>
      <c r="B5397" t="s">
        <v>13780</v>
      </c>
      <c r="C5397" t="s">
        <v>13781</v>
      </c>
      <c r="D5397" t="s">
        <v>5282</v>
      </c>
      <c r="E5397" t="s">
        <v>2310</v>
      </c>
      <c r="F5397">
        <v>8</v>
      </c>
      <c r="G5397">
        <v>8.1</v>
      </c>
      <c r="H5397" t="s">
        <v>2323</v>
      </c>
      <c r="I5397" s="21">
        <v>43160.564340277801</v>
      </c>
      <c r="J5397">
        <v>2018</v>
      </c>
      <c r="O5397" s="21">
        <v>43259.639773067101</v>
      </c>
      <c r="Q5397" s="262">
        <v>29000</v>
      </c>
      <c r="R5397" s="262">
        <v>27000</v>
      </c>
      <c r="S5397" t="s">
        <v>114</v>
      </c>
      <c r="T5397" t="s">
        <v>114</v>
      </c>
      <c r="W5397">
        <v>0</v>
      </c>
      <c r="X5397">
        <v>0</v>
      </c>
      <c r="AU5397">
        <f t="shared" si="166"/>
        <v>0</v>
      </c>
      <c r="AV5397">
        <f t="shared" si="167"/>
        <v>0</v>
      </c>
    </row>
    <row r="5398" spans="1:48" x14ac:dyDescent="0.25">
      <c r="A5398" t="s">
        <v>19473</v>
      </c>
      <c r="B5398" t="s">
        <v>19473</v>
      </c>
      <c r="C5398" t="s">
        <v>19474</v>
      </c>
      <c r="D5398" t="s">
        <v>19475</v>
      </c>
      <c r="E5398" t="s">
        <v>2310</v>
      </c>
      <c r="F5398">
        <v>9</v>
      </c>
      <c r="G5398">
        <v>9.4</v>
      </c>
      <c r="H5398" t="s">
        <v>2323</v>
      </c>
      <c r="I5398" s="21">
        <v>43160.615578703706</v>
      </c>
      <c r="J5398">
        <v>2018</v>
      </c>
      <c r="K5398" s="21">
        <v>43293.456176701387</v>
      </c>
      <c r="L5398">
        <v>2018</v>
      </c>
      <c r="M5398" s="21">
        <v>44049.37692584491</v>
      </c>
      <c r="N5398">
        <v>2020</v>
      </c>
      <c r="Q5398" s="262">
        <v>2500000</v>
      </c>
      <c r="R5398" s="262">
        <v>561000</v>
      </c>
      <c r="S5398" t="s">
        <v>13254</v>
      </c>
      <c r="W5398">
        <v>4999</v>
      </c>
      <c r="X5398">
        <v>0</v>
      </c>
      <c r="AC5398">
        <v>4999</v>
      </c>
      <c r="AU5398">
        <f t="shared" si="166"/>
        <v>0</v>
      </c>
      <c r="AV5398">
        <f t="shared" si="167"/>
        <v>0</v>
      </c>
    </row>
    <row r="5399" spans="1:48" x14ac:dyDescent="0.25">
      <c r="A5399" t="s">
        <v>18757</v>
      </c>
      <c r="B5399" t="s">
        <v>18757</v>
      </c>
      <c r="C5399" t="s">
        <v>18758</v>
      </c>
      <c r="D5399" t="s">
        <v>10092</v>
      </c>
      <c r="E5399" t="s">
        <v>2310</v>
      </c>
      <c r="F5399">
        <v>9</v>
      </c>
      <c r="G5399">
        <v>9.4</v>
      </c>
      <c r="H5399" t="s">
        <v>2323</v>
      </c>
      <c r="I5399" s="21">
        <v>43161.447754629633</v>
      </c>
      <c r="J5399">
        <v>2018</v>
      </c>
      <c r="K5399" s="21">
        <v>43189.338680555556</v>
      </c>
      <c r="L5399">
        <v>2018</v>
      </c>
      <c r="M5399" s="21">
        <v>43819.682809722224</v>
      </c>
      <c r="N5399">
        <v>2019</v>
      </c>
      <c r="Q5399" s="262">
        <v>200000</v>
      </c>
      <c r="R5399" s="262">
        <v>69000</v>
      </c>
      <c r="S5399" t="s">
        <v>13253</v>
      </c>
      <c r="T5399">
        <v>8906</v>
      </c>
      <c r="W5399">
        <v>577</v>
      </c>
      <c r="X5399">
        <v>0</v>
      </c>
      <c r="AM5399">
        <v>577</v>
      </c>
      <c r="AU5399">
        <f t="shared" si="166"/>
        <v>0</v>
      </c>
      <c r="AV5399">
        <f t="shared" si="167"/>
        <v>577</v>
      </c>
    </row>
    <row r="5400" spans="1:48" x14ac:dyDescent="0.25">
      <c r="A5400" t="s">
        <v>18033</v>
      </c>
      <c r="B5400" t="s">
        <v>18033</v>
      </c>
      <c r="C5400" t="s">
        <v>18034</v>
      </c>
      <c r="D5400" t="s">
        <v>5793</v>
      </c>
      <c r="E5400" t="s">
        <v>2310</v>
      </c>
      <c r="F5400">
        <v>9</v>
      </c>
      <c r="G5400">
        <v>9.4</v>
      </c>
      <c r="H5400" t="s">
        <v>2323</v>
      </c>
      <c r="I5400" s="21">
        <v>43165.553784722222</v>
      </c>
      <c r="J5400">
        <v>2018</v>
      </c>
      <c r="K5400" s="21">
        <v>43192.410844907405</v>
      </c>
      <c r="L5400">
        <v>2018</v>
      </c>
      <c r="M5400" s="21">
        <v>43731.467442361114</v>
      </c>
      <c r="N5400">
        <v>2019</v>
      </c>
      <c r="Q5400" s="262">
        <v>250000</v>
      </c>
      <c r="R5400" s="262">
        <v>95000</v>
      </c>
      <c r="S5400" t="s">
        <v>13253</v>
      </c>
      <c r="T5400">
        <v>2915</v>
      </c>
      <c r="V5400">
        <v>38</v>
      </c>
      <c r="W5400">
        <v>1613</v>
      </c>
      <c r="X5400">
        <v>0</v>
      </c>
      <c r="AC5400">
        <v>1613</v>
      </c>
      <c r="AU5400">
        <f t="shared" si="166"/>
        <v>0</v>
      </c>
      <c r="AV5400">
        <f t="shared" si="167"/>
        <v>0</v>
      </c>
    </row>
    <row r="5401" spans="1:48" x14ac:dyDescent="0.25">
      <c r="A5401" t="s">
        <v>17245</v>
      </c>
      <c r="B5401" t="s">
        <v>17245</v>
      </c>
      <c r="C5401" t="s">
        <v>17246</v>
      </c>
      <c r="D5401" t="s">
        <v>9496</v>
      </c>
      <c r="E5401" t="s">
        <v>2310</v>
      </c>
      <c r="F5401">
        <v>8</v>
      </c>
      <c r="G5401">
        <v>8.3000000000000007</v>
      </c>
      <c r="H5401" t="s">
        <v>2323</v>
      </c>
      <c r="I5401" s="21">
        <v>43165.598969907398</v>
      </c>
      <c r="J5401">
        <v>2018</v>
      </c>
      <c r="K5401" s="21">
        <v>43265.537228159701</v>
      </c>
      <c r="L5401">
        <v>2018</v>
      </c>
      <c r="M5401" s="21">
        <v>43626.376912881897</v>
      </c>
      <c r="N5401">
        <v>2019</v>
      </c>
      <c r="S5401" t="s">
        <v>9529</v>
      </c>
      <c r="T5401">
        <v>194</v>
      </c>
      <c r="U5401">
        <v>7</v>
      </c>
      <c r="W5401">
        <v>-1065</v>
      </c>
      <c r="X5401">
        <v>0</v>
      </c>
      <c r="Y5401">
        <v>0</v>
      </c>
      <c r="Z5401">
        <v>0</v>
      </c>
      <c r="AA5401">
        <v>0</v>
      </c>
      <c r="AB5401">
        <v>0</v>
      </c>
      <c r="AC5401">
        <v>0</v>
      </c>
      <c r="AD5401">
        <v>0</v>
      </c>
      <c r="AE5401">
        <v>-1065</v>
      </c>
      <c r="AF5401">
        <v>0</v>
      </c>
      <c r="AG5401">
        <v>0</v>
      </c>
      <c r="AH5401">
        <v>0</v>
      </c>
      <c r="AI5401">
        <v>0</v>
      </c>
      <c r="AJ5401">
        <v>0</v>
      </c>
      <c r="AK5401">
        <v>0</v>
      </c>
      <c r="AL5401">
        <v>0</v>
      </c>
      <c r="AM5401">
        <v>0</v>
      </c>
      <c r="AN5401">
        <v>0</v>
      </c>
      <c r="AO5401">
        <v>0</v>
      </c>
      <c r="AP5401">
        <v>0</v>
      </c>
      <c r="AQ5401">
        <v>0</v>
      </c>
      <c r="AR5401">
        <v>0</v>
      </c>
      <c r="AS5401">
        <v>0</v>
      </c>
      <c r="AT5401">
        <v>0</v>
      </c>
      <c r="AU5401">
        <f t="shared" ref="AU5401:AU5464" si="168">SUM(AN5401:AQ5401,AS5401)</f>
        <v>0</v>
      </c>
      <c r="AV5401">
        <f t="shared" ref="AV5401:AV5464" si="169">SUM(Y5401:AB5401,AH5401:AM5401)</f>
        <v>0</v>
      </c>
    </row>
    <row r="5402" spans="1:48" x14ac:dyDescent="0.25">
      <c r="A5402" t="s">
        <v>17245</v>
      </c>
      <c r="B5402" t="s">
        <v>17245</v>
      </c>
      <c r="C5402" t="s">
        <v>17246</v>
      </c>
      <c r="D5402" t="s">
        <v>9496</v>
      </c>
      <c r="E5402" t="s">
        <v>2310</v>
      </c>
      <c r="F5402">
        <v>8</v>
      </c>
      <c r="G5402">
        <v>8.3000000000000007</v>
      </c>
      <c r="H5402" t="s">
        <v>2323</v>
      </c>
      <c r="I5402" s="21">
        <v>43165.598969907398</v>
      </c>
      <c r="J5402">
        <v>2018</v>
      </c>
      <c r="K5402" s="21">
        <v>43265.537228159701</v>
      </c>
      <c r="L5402">
        <v>2018</v>
      </c>
      <c r="M5402" s="21">
        <v>43626.376912881897</v>
      </c>
      <c r="N5402">
        <v>2019</v>
      </c>
      <c r="S5402" t="s">
        <v>9529</v>
      </c>
      <c r="T5402">
        <v>247</v>
      </c>
      <c r="U5402">
        <v>15</v>
      </c>
      <c r="W5402">
        <v>-880</v>
      </c>
      <c r="X5402">
        <v>0</v>
      </c>
      <c r="Y5402">
        <v>0</v>
      </c>
      <c r="Z5402">
        <v>0</v>
      </c>
      <c r="AA5402">
        <v>0</v>
      </c>
      <c r="AB5402">
        <v>0</v>
      </c>
      <c r="AC5402">
        <v>0</v>
      </c>
      <c r="AD5402">
        <v>0</v>
      </c>
      <c r="AE5402">
        <v>0</v>
      </c>
      <c r="AF5402">
        <v>0</v>
      </c>
      <c r="AG5402">
        <v>0</v>
      </c>
      <c r="AH5402">
        <v>0</v>
      </c>
      <c r="AI5402">
        <v>0</v>
      </c>
      <c r="AJ5402">
        <v>0</v>
      </c>
      <c r="AK5402">
        <v>0</v>
      </c>
      <c r="AL5402">
        <v>0</v>
      </c>
      <c r="AM5402">
        <v>-880</v>
      </c>
      <c r="AN5402">
        <v>0</v>
      </c>
      <c r="AO5402">
        <v>0</v>
      </c>
      <c r="AP5402">
        <v>0</v>
      </c>
      <c r="AQ5402">
        <v>0</v>
      </c>
      <c r="AR5402">
        <v>0</v>
      </c>
      <c r="AS5402">
        <v>0</v>
      </c>
      <c r="AT5402">
        <v>0</v>
      </c>
      <c r="AU5402">
        <f t="shared" si="168"/>
        <v>0</v>
      </c>
      <c r="AV5402">
        <f t="shared" si="169"/>
        <v>-880</v>
      </c>
    </row>
    <row r="5403" spans="1:48" x14ac:dyDescent="0.25">
      <c r="A5403" t="s">
        <v>17245</v>
      </c>
      <c r="B5403" t="s">
        <v>17245</v>
      </c>
      <c r="C5403" t="s">
        <v>17246</v>
      </c>
      <c r="D5403" t="s">
        <v>9496</v>
      </c>
      <c r="E5403" t="s">
        <v>2310</v>
      </c>
      <c r="F5403">
        <v>8</v>
      </c>
      <c r="G5403">
        <v>8.3000000000000007</v>
      </c>
      <c r="H5403" t="s">
        <v>2323</v>
      </c>
      <c r="I5403" s="21">
        <v>43165.598969907398</v>
      </c>
      <c r="J5403">
        <v>2018</v>
      </c>
      <c r="K5403" s="21">
        <v>43265.537228159701</v>
      </c>
      <c r="L5403">
        <v>2018</v>
      </c>
      <c r="M5403" s="21">
        <v>43626.376912881897</v>
      </c>
      <c r="N5403">
        <v>2019</v>
      </c>
      <c r="S5403" t="s">
        <v>9529</v>
      </c>
      <c r="T5403">
        <v>249</v>
      </c>
      <c r="U5403">
        <v>7</v>
      </c>
      <c r="W5403">
        <v>-600</v>
      </c>
      <c r="X5403">
        <v>0</v>
      </c>
      <c r="Y5403">
        <v>0</v>
      </c>
      <c r="Z5403">
        <v>0</v>
      </c>
      <c r="AA5403">
        <v>0</v>
      </c>
      <c r="AB5403">
        <v>0</v>
      </c>
      <c r="AC5403">
        <v>0</v>
      </c>
      <c r="AD5403">
        <v>0</v>
      </c>
      <c r="AE5403">
        <v>-600</v>
      </c>
      <c r="AF5403">
        <v>0</v>
      </c>
      <c r="AG5403">
        <v>0</v>
      </c>
      <c r="AH5403">
        <v>0</v>
      </c>
      <c r="AI5403">
        <v>0</v>
      </c>
      <c r="AJ5403">
        <v>0</v>
      </c>
      <c r="AK5403">
        <v>0</v>
      </c>
      <c r="AL5403">
        <v>0</v>
      </c>
      <c r="AM5403">
        <v>0</v>
      </c>
      <c r="AN5403">
        <v>0</v>
      </c>
      <c r="AO5403">
        <v>0</v>
      </c>
      <c r="AP5403">
        <v>0</v>
      </c>
      <c r="AQ5403">
        <v>0</v>
      </c>
      <c r="AR5403">
        <v>0</v>
      </c>
      <c r="AS5403">
        <v>0</v>
      </c>
      <c r="AT5403">
        <v>0</v>
      </c>
      <c r="AU5403">
        <f t="shared" si="168"/>
        <v>0</v>
      </c>
      <c r="AV5403">
        <f t="shared" si="169"/>
        <v>0</v>
      </c>
    </row>
    <row r="5404" spans="1:48" x14ac:dyDescent="0.25">
      <c r="A5404" t="s">
        <v>17245</v>
      </c>
      <c r="B5404" t="s">
        <v>17245</v>
      </c>
      <c r="C5404" t="s">
        <v>17246</v>
      </c>
      <c r="D5404" t="s">
        <v>9496</v>
      </c>
      <c r="E5404" t="s">
        <v>2310</v>
      </c>
      <c r="F5404">
        <v>8</v>
      </c>
      <c r="G5404">
        <v>8.3000000000000007</v>
      </c>
      <c r="H5404" t="s">
        <v>2323</v>
      </c>
      <c r="I5404" s="21">
        <v>43165.598969907405</v>
      </c>
      <c r="J5404">
        <v>2018</v>
      </c>
      <c r="K5404" s="21">
        <v>43265.537228159723</v>
      </c>
      <c r="L5404">
        <v>2018</v>
      </c>
      <c r="M5404" s="21">
        <v>43626.376912881948</v>
      </c>
      <c r="N5404">
        <v>2019</v>
      </c>
      <c r="Q5404" s="262">
        <v>2100000</v>
      </c>
      <c r="R5404" s="262">
        <v>0</v>
      </c>
      <c r="S5404" t="s">
        <v>12464</v>
      </c>
      <c r="T5404" t="s">
        <v>19609</v>
      </c>
      <c r="W5404">
        <v>1373</v>
      </c>
      <c r="X5404">
        <v>0</v>
      </c>
      <c r="AM5404">
        <v>1373</v>
      </c>
      <c r="AU5404">
        <f t="shared" si="168"/>
        <v>0</v>
      </c>
      <c r="AV5404">
        <f t="shared" si="169"/>
        <v>1373</v>
      </c>
    </row>
    <row r="5405" spans="1:48" x14ac:dyDescent="0.25">
      <c r="A5405" t="s">
        <v>17334</v>
      </c>
      <c r="B5405" t="s">
        <v>17334</v>
      </c>
      <c r="C5405" t="s">
        <v>17335</v>
      </c>
      <c r="D5405" t="s">
        <v>9496</v>
      </c>
      <c r="E5405" t="s">
        <v>2310</v>
      </c>
      <c r="F5405">
        <v>8</v>
      </c>
      <c r="G5405">
        <v>8.3000000000000007</v>
      </c>
      <c r="H5405" t="s">
        <v>2323</v>
      </c>
      <c r="I5405" s="21">
        <v>43165.6561111111</v>
      </c>
      <c r="J5405">
        <v>2018</v>
      </c>
      <c r="K5405" s="21">
        <v>43265.534286539398</v>
      </c>
      <c r="L5405">
        <v>2018</v>
      </c>
      <c r="M5405" s="21">
        <v>43621.536280092601</v>
      </c>
      <c r="N5405">
        <v>2019</v>
      </c>
      <c r="S5405" t="s">
        <v>9529</v>
      </c>
      <c r="T5405">
        <v>218</v>
      </c>
      <c r="U5405">
        <v>7</v>
      </c>
      <c r="W5405">
        <v>-196</v>
      </c>
      <c r="X5405">
        <v>-1</v>
      </c>
      <c r="Y5405">
        <v>0</v>
      </c>
      <c r="Z5405">
        <v>0</v>
      </c>
      <c r="AA5405">
        <v>0</v>
      </c>
      <c r="AB5405">
        <v>0</v>
      </c>
      <c r="AC5405">
        <v>0</v>
      </c>
      <c r="AD5405">
        <v>0</v>
      </c>
      <c r="AE5405">
        <v>-196</v>
      </c>
      <c r="AF5405">
        <v>0</v>
      </c>
      <c r="AG5405">
        <v>0</v>
      </c>
      <c r="AH5405">
        <v>0</v>
      </c>
      <c r="AI5405">
        <v>0</v>
      </c>
      <c r="AJ5405">
        <v>0</v>
      </c>
      <c r="AK5405">
        <v>0</v>
      </c>
      <c r="AL5405">
        <v>0</v>
      </c>
      <c r="AM5405">
        <v>0</v>
      </c>
      <c r="AN5405">
        <v>0</v>
      </c>
      <c r="AO5405">
        <v>0</v>
      </c>
      <c r="AP5405">
        <v>0</v>
      </c>
      <c r="AQ5405">
        <v>-1</v>
      </c>
      <c r="AR5405">
        <v>0</v>
      </c>
      <c r="AS5405">
        <v>0</v>
      </c>
      <c r="AT5405">
        <v>0</v>
      </c>
      <c r="AU5405">
        <f t="shared" si="168"/>
        <v>-1</v>
      </c>
      <c r="AV5405">
        <f t="shared" si="169"/>
        <v>0</v>
      </c>
    </row>
    <row r="5406" spans="1:48" x14ac:dyDescent="0.25">
      <c r="A5406" t="s">
        <v>17334</v>
      </c>
      <c r="B5406" t="s">
        <v>17334</v>
      </c>
      <c r="C5406" t="s">
        <v>17335</v>
      </c>
      <c r="D5406" t="s">
        <v>9496</v>
      </c>
      <c r="E5406" t="s">
        <v>2310</v>
      </c>
      <c r="F5406">
        <v>8</v>
      </c>
      <c r="G5406">
        <v>8.3000000000000007</v>
      </c>
      <c r="H5406" t="s">
        <v>2323</v>
      </c>
      <c r="I5406" s="21">
        <v>43165.656111111108</v>
      </c>
      <c r="J5406">
        <v>2018</v>
      </c>
      <c r="K5406" s="21">
        <v>43265.534286539354</v>
      </c>
      <c r="L5406">
        <v>2018</v>
      </c>
      <c r="M5406" s="21">
        <v>43621.536280092594</v>
      </c>
      <c r="N5406">
        <v>2019</v>
      </c>
      <c r="Q5406" s="262">
        <v>80000</v>
      </c>
      <c r="R5406" s="262">
        <v>35000</v>
      </c>
      <c r="S5406" t="s">
        <v>12464</v>
      </c>
      <c r="T5406">
        <v>218</v>
      </c>
      <c r="W5406">
        <v>264</v>
      </c>
      <c r="X5406">
        <v>1</v>
      </c>
      <c r="AE5406">
        <v>264</v>
      </c>
      <c r="AQ5406">
        <v>1</v>
      </c>
      <c r="AU5406">
        <f t="shared" si="168"/>
        <v>1</v>
      </c>
      <c r="AV5406">
        <f t="shared" si="169"/>
        <v>0</v>
      </c>
    </row>
    <row r="5407" spans="1:48" x14ac:dyDescent="0.25">
      <c r="A5407" t="s">
        <v>17453</v>
      </c>
      <c r="B5407" t="s">
        <v>17453</v>
      </c>
      <c r="C5407" t="s">
        <v>17454</v>
      </c>
      <c r="D5407" t="s">
        <v>9496</v>
      </c>
      <c r="E5407" t="s">
        <v>2310</v>
      </c>
      <c r="F5407">
        <v>8</v>
      </c>
      <c r="G5407">
        <v>8.3000000000000007</v>
      </c>
      <c r="H5407" t="s">
        <v>2323</v>
      </c>
      <c r="I5407" s="21">
        <v>43165.675381944398</v>
      </c>
      <c r="J5407">
        <v>2018</v>
      </c>
      <c r="K5407" s="21">
        <v>43265.532709919004</v>
      </c>
      <c r="L5407">
        <v>2018</v>
      </c>
      <c r="M5407" s="21">
        <v>43621.539242974497</v>
      </c>
      <c r="N5407">
        <v>2019</v>
      </c>
      <c r="S5407" t="s">
        <v>9529</v>
      </c>
      <c r="T5407">
        <v>208</v>
      </c>
      <c r="U5407">
        <v>7</v>
      </c>
      <c r="W5407">
        <v>-196</v>
      </c>
      <c r="X5407">
        <v>-1</v>
      </c>
      <c r="Y5407">
        <v>0</v>
      </c>
      <c r="Z5407">
        <v>0</v>
      </c>
      <c r="AA5407">
        <v>0</v>
      </c>
      <c r="AB5407">
        <v>0</v>
      </c>
      <c r="AC5407">
        <v>0</v>
      </c>
      <c r="AD5407">
        <v>0</v>
      </c>
      <c r="AE5407">
        <v>-196</v>
      </c>
      <c r="AF5407">
        <v>0</v>
      </c>
      <c r="AG5407">
        <v>0</v>
      </c>
      <c r="AH5407">
        <v>0</v>
      </c>
      <c r="AI5407">
        <v>0</v>
      </c>
      <c r="AJ5407">
        <v>0</v>
      </c>
      <c r="AK5407">
        <v>0</v>
      </c>
      <c r="AL5407">
        <v>0</v>
      </c>
      <c r="AM5407">
        <v>0</v>
      </c>
      <c r="AN5407">
        <v>0</v>
      </c>
      <c r="AO5407">
        <v>0</v>
      </c>
      <c r="AP5407">
        <v>0</v>
      </c>
      <c r="AQ5407">
        <v>-1</v>
      </c>
      <c r="AR5407">
        <v>0</v>
      </c>
      <c r="AS5407">
        <v>0</v>
      </c>
      <c r="AT5407">
        <v>0</v>
      </c>
      <c r="AU5407">
        <f t="shared" si="168"/>
        <v>-1</v>
      </c>
      <c r="AV5407">
        <f t="shared" si="169"/>
        <v>0</v>
      </c>
    </row>
    <row r="5408" spans="1:48" x14ac:dyDescent="0.25">
      <c r="A5408" t="s">
        <v>17453</v>
      </c>
      <c r="B5408" t="s">
        <v>17453</v>
      </c>
      <c r="C5408" t="s">
        <v>17454</v>
      </c>
      <c r="D5408" t="s">
        <v>9496</v>
      </c>
      <c r="E5408" t="s">
        <v>2310</v>
      </c>
      <c r="F5408">
        <v>8</v>
      </c>
      <c r="G5408">
        <v>8.3000000000000007</v>
      </c>
      <c r="H5408" t="s">
        <v>2323</v>
      </c>
      <c r="I5408" s="21">
        <v>43165.675381944442</v>
      </c>
      <c r="J5408">
        <v>2018</v>
      </c>
      <c r="K5408" s="21">
        <v>43265.532709918982</v>
      </c>
      <c r="L5408">
        <v>2018</v>
      </c>
      <c r="M5408" s="21">
        <v>43621.539242974533</v>
      </c>
      <c r="N5408">
        <v>2019</v>
      </c>
      <c r="Q5408" s="262">
        <v>80000</v>
      </c>
      <c r="R5408" s="262">
        <v>35000</v>
      </c>
      <c r="S5408" t="s">
        <v>12464</v>
      </c>
      <c r="T5408">
        <v>208</v>
      </c>
      <c r="W5408">
        <v>264</v>
      </c>
      <c r="X5408">
        <v>1</v>
      </c>
      <c r="AE5408">
        <v>264</v>
      </c>
      <c r="AQ5408">
        <v>1</v>
      </c>
      <c r="AU5408">
        <f t="shared" si="168"/>
        <v>1</v>
      </c>
      <c r="AV5408">
        <f t="shared" si="169"/>
        <v>0</v>
      </c>
    </row>
    <row r="5409" spans="1:48" x14ac:dyDescent="0.25">
      <c r="A5409" t="s">
        <v>17467</v>
      </c>
      <c r="B5409" t="s">
        <v>17467</v>
      </c>
      <c r="C5409" t="s">
        <v>17468</v>
      </c>
      <c r="D5409" t="s">
        <v>9496</v>
      </c>
      <c r="E5409" t="s">
        <v>2310</v>
      </c>
      <c r="F5409">
        <v>8</v>
      </c>
      <c r="G5409">
        <v>8.3000000000000007</v>
      </c>
      <c r="H5409" t="s">
        <v>2323</v>
      </c>
      <c r="I5409" s="21">
        <v>43165.679837962962</v>
      </c>
      <c r="J5409">
        <v>2018</v>
      </c>
      <c r="K5409" s="21">
        <v>43265.531389548611</v>
      </c>
      <c r="L5409">
        <v>2018</v>
      </c>
      <c r="M5409" s="21">
        <v>43621.552587303238</v>
      </c>
      <c r="N5409">
        <v>2019</v>
      </c>
      <c r="Q5409" s="262">
        <v>80000</v>
      </c>
      <c r="R5409" s="262">
        <v>35000</v>
      </c>
      <c r="S5409" t="s">
        <v>12464</v>
      </c>
      <c r="T5409">
        <v>209</v>
      </c>
      <c r="W5409">
        <v>264</v>
      </c>
      <c r="X5409">
        <v>1</v>
      </c>
      <c r="AE5409">
        <v>264</v>
      </c>
      <c r="AQ5409">
        <v>1</v>
      </c>
      <c r="AU5409">
        <f t="shared" si="168"/>
        <v>1</v>
      </c>
      <c r="AV5409">
        <f t="shared" si="169"/>
        <v>0</v>
      </c>
    </row>
    <row r="5410" spans="1:48" x14ac:dyDescent="0.25">
      <c r="A5410" t="s">
        <v>17467</v>
      </c>
      <c r="B5410" t="s">
        <v>17467</v>
      </c>
      <c r="C5410" t="s">
        <v>17468</v>
      </c>
      <c r="D5410" t="s">
        <v>9496</v>
      </c>
      <c r="E5410" t="s">
        <v>2310</v>
      </c>
      <c r="F5410">
        <v>8</v>
      </c>
      <c r="G5410">
        <v>8.3000000000000007</v>
      </c>
      <c r="H5410" t="s">
        <v>2323</v>
      </c>
      <c r="I5410" s="21">
        <v>43165.679837962998</v>
      </c>
      <c r="J5410">
        <v>2018</v>
      </c>
      <c r="K5410" s="21">
        <v>43265.531389548603</v>
      </c>
      <c r="L5410">
        <v>2018</v>
      </c>
      <c r="M5410" s="21">
        <v>43621.552587303202</v>
      </c>
      <c r="N5410">
        <v>2019</v>
      </c>
      <c r="S5410" t="s">
        <v>9529</v>
      </c>
      <c r="T5410">
        <v>209</v>
      </c>
      <c r="U5410">
        <v>7</v>
      </c>
      <c r="W5410">
        <v>-196</v>
      </c>
      <c r="X5410">
        <v>-1</v>
      </c>
      <c r="Y5410">
        <v>0</v>
      </c>
      <c r="Z5410">
        <v>0</v>
      </c>
      <c r="AA5410">
        <v>0</v>
      </c>
      <c r="AB5410">
        <v>0</v>
      </c>
      <c r="AC5410">
        <v>0</v>
      </c>
      <c r="AD5410">
        <v>0</v>
      </c>
      <c r="AE5410">
        <v>-196</v>
      </c>
      <c r="AF5410">
        <v>0</v>
      </c>
      <c r="AG5410">
        <v>0</v>
      </c>
      <c r="AH5410">
        <v>0</v>
      </c>
      <c r="AI5410">
        <v>0</v>
      </c>
      <c r="AJ5410">
        <v>0</v>
      </c>
      <c r="AK5410">
        <v>0</v>
      </c>
      <c r="AL5410">
        <v>0</v>
      </c>
      <c r="AM5410">
        <v>0</v>
      </c>
      <c r="AN5410">
        <v>0</v>
      </c>
      <c r="AO5410">
        <v>0</v>
      </c>
      <c r="AP5410">
        <v>0</v>
      </c>
      <c r="AQ5410">
        <v>-1</v>
      </c>
      <c r="AR5410">
        <v>0</v>
      </c>
      <c r="AS5410">
        <v>0</v>
      </c>
      <c r="AT5410">
        <v>0</v>
      </c>
      <c r="AU5410">
        <f t="shared" si="168"/>
        <v>-1</v>
      </c>
      <c r="AV5410">
        <f t="shared" si="169"/>
        <v>0</v>
      </c>
    </row>
    <row r="5411" spans="1:48" x14ac:dyDescent="0.25">
      <c r="A5411" t="s">
        <v>17471</v>
      </c>
      <c r="B5411" t="s">
        <v>17471</v>
      </c>
      <c r="C5411" t="s">
        <v>17472</v>
      </c>
      <c r="D5411" t="s">
        <v>9496</v>
      </c>
      <c r="E5411" t="s">
        <v>2310</v>
      </c>
      <c r="F5411">
        <v>8</v>
      </c>
      <c r="G5411">
        <v>8.3000000000000007</v>
      </c>
      <c r="H5411" t="s">
        <v>2323</v>
      </c>
      <c r="I5411" s="21">
        <v>43165.681620370371</v>
      </c>
      <c r="J5411">
        <v>2018</v>
      </c>
      <c r="K5411" s="21">
        <v>43265.529962581022</v>
      </c>
      <c r="L5411">
        <v>2018</v>
      </c>
      <c r="M5411" s="21">
        <v>43621.555967442131</v>
      </c>
      <c r="N5411">
        <v>2019</v>
      </c>
      <c r="Q5411" s="262">
        <v>80000</v>
      </c>
      <c r="R5411" s="262">
        <v>35000</v>
      </c>
      <c r="S5411" t="s">
        <v>12464</v>
      </c>
      <c r="T5411">
        <v>210</v>
      </c>
      <c r="W5411">
        <v>264</v>
      </c>
      <c r="X5411">
        <v>1</v>
      </c>
      <c r="AE5411">
        <v>264</v>
      </c>
      <c r="AQ5411">
        <v>1</v>
      </c>
      <c r="AU5411">
        <f t="shared" si="168"/>
        <v>1</v>
      </c>
      <c r="AV5411">
        <f t="shared" si="169"/>
        <v>0</v>
      </c>
    </row>
    <row r="5412" spans="1:48" x14ac:dyDescent="0.25">
      <c r="A5412" t="s">
        <v>17471</v>
      </c>
      <c r="B5412" t="s">
        <v>17471</v>
      </c>
      <c r="C5412" t="s">
        <v>17472</v>
      </c>
      <c r="D5412" t="s">
        <v>9496</v>
      </c>
      <c r="E5412" t="s">
        <v>2310</v>
      </c>
      <c r="F5412">
        <v>8</v>
      </c>
      <c r="G5412">
        <v>8.3000000000000007</v>
      </c>
      <c r="H5412" t="s">
        <v>2323</v>
      </c>
      <c r="I5412" s="21">
        <v>43165.6816203704</v>
      </c>
      <c r="J5412">
        <v>2018</v>
      </c>
      <c r="K5412" s="21">
        <v>43265.529962581</v>
      </c>
      <c r="L5412">
        <v>2018</v>
      </c>
      <c r="M5412" s="21">
        <v>43621.555967442102</v>
      </c>
      <c r="N5412">
        <v>2019</v>
      </c>
      <c r="S5412" t="s">
        <v>9529</v>
      </c>
      <c r="T5412">
        <v>210</v>
      </c>
      <c r="U5412">
        <v>7</v>
      </c>
      <c r="W5412">
        <v>-196</v>
      </c>
      <c r="X5412">
        <v>-1</v>
      </c>
      <c r="Y5412">
        <v>0</v>
      </c>
      <c r="Z5412">
        <v>0</v>
      </c>
      <c r="AA5412">
        <v>0</v>
      </c>
      <c r="AB5412">
        <v>0</v>
      </c>
      <c r="AC5412">
        <v>0</v>
      </c>
      <c r="AD5412">
        <v>0</v>
      </c>
      <c r="AE5412">
        <v>-196</v>
      </c>
      <c r="AF5412">
        <v>0</v>
      </c>
      <c r="AG5412">
        <v>0</v>
      </c>
      <c r="AH5412">
        <v>0</v>
      </c>
      <c r="AI5412">
        <v>0</v>
      </c>
      <c r="AJ5412">
        <v>0</v>
      </c>
      <c r="AK5412">
        <v>0</v>
      </c>
      <c r="AL5412">
        <v>0</v>
      </c>
      <c r="AM5412">
        <v>0</v>
      </c>
      <c r="AN5412">
        <v>0</v>
      </c>
      <c r="AO5412">
        <v>0</v>
      </c>
      <c r="AP5412">
        <v>0</v>
      </c>
      <c r="AQ5412">
        <v>-1</v>
      </c>
      <c r="AR5412">
        <v>0</v>
      </c>
      <c r="AS5412">
        <v>0</v>
      </c>
      <c r="AT5412">
        <v>0</v>
      </c>
      <c r="AU5412">
        <f t="shared" si="168"/>
        <v>-1</v>
      </c>
      <c r="AV5412">
        <f t="shared" si="169"/>
        <v>0</v>
      </c>
    </row>
    <row r="5413" spans="1:48" x14ac:dyDescent="0.25">
      <c r="A5413" t="s">
        <v>17473</v>
      </c>
      <c r="B5413" t="s">
        <v>17473</v>
      </c>
      <c r="C5413" t="s">
        <v>17474</v>
      </c>
      <c r="D5413" t="s">
        <v>9496</v>
      </c>
      <c r="E5413" t="s">
        <v>2310</v>
      </c>
      <c r="F5413">
        <v>8</v>
      </c>
      <c r="G5413">
        <v>8.3000000000000007</v>
      </c>
      <c r="H5413" t="s">
        <v>2323</v>
      </c>
      <c r="I5413" s="21">
        <v>43165.682870370372</v>
      </c>
      <c r="J5413">
        <v>2018</v>
      </c>
      <c r="K5413" s="21">
        <v>43265.528412812499</v>
      </c>
      <c r="L5413">
        <v>2018</v>
      </c>
      <c r="M5413" s="21">
        <v>43621.558097222223</v>
      </c>
      <c r="N5413">
        <v>2019</v>
      </c>
      <c r="Q5413" s="262">
        <v>80000</v>
      </c>
      <c r="R5413" s="262">
        <v>35000</v>
      </c>
      <c r="S5413" t="s">
        <v>12464</v>
      </c>
      <c r="T5413">
        <v>211</v>
      </c>
      <c r="W5413">
        <v>264</v>
      </c>
      <c r="X5413">
        <v>1</v>
      </c>
      <c r="AE5413">
        <v>264</v>
      </c>
      <c r="AQ5413">
        <v>1</v>
      </c>
      <c r="AU5413">
        <f t="shared" si="168"/>
        <v>1</v>
      </c>
      <c r="AV5413">
        <f t="shared" si="169"/>
        <v>0</v>
      </c>
    </row>
    <row r="5414" spans="1:48" x14ac:dyDescent="0.25">
      <c r="A5414" t="s">
        <v>17473</v>
      </c>
      <c r="B5414" t="s">
        <v>17473</v>
      </c>
      <c r="C5414" t="s">
        <v>17474</v>
      </c>
      <c r="D5414" t="s">
        <v>9496</v>
      </c>
      <c r="E5414" t="s">
        <v>2310</v>
      </c>
      <c r="F5414">
        <v>8</v>
      </c>
      <c r="G5414">
        <v>8.3000000000000007</v>
      </c>
      <c r="H5414" t="s">
        <v>2323</v>
      </c>
      <c r="I5414" s="21">
        <v>43165.682870370401</v>
      </c>
      <c r="J5414">
        <v>2018</v>
      </c>
      <c r="K5414" s="21">
        <v>43265.528412812499</v>
      </c>
      <c r="L5414">
        <v>2018</v>
      </c>
      <c r="M5414" s="21">
        <v>43621.558097222201</v>
      </c>
      <c r="N5414">
        <v>2019</v>
      </c>
      <c r="S5414" t="s">
        <v>9529</v>
      </c>
      <c r="T5414">
        <v>211</v>
      </c>
      <c r="U5414">
        <v>7</v>
      </c>
      <c r="W5414">
        <v>-196</v>
      </c>
      <c r="X5414">
        <v>-1</v>
      </c>
      <c r="Y5414">
        <v>0</v>
      </c>
      <c r="Z5414">
        <v>0</v>
      </c>
      <c r="AA5414">
        <v>0</v>
      </c>
      <c r="AB5414">
        <v>0</v>
      </c>
      <c r="AC5414">
        <v>0</v>
      </c>
      <c r="AD5414">
        <v>0</v>
      </c>
      <c r="AE5414">
        <v>-196</v>
      </c>
      <c r="AF5414">
        <v>0</v>
      </c>
      <c r="AG5414">
        <v>0</v>
      </c>
      <c r="AH5414">
        <v>0</v>
      </c>
      <c r="AI5414">
        <v>0</v>
      </c>
      <c r="AJ5414">
        <v>0</v>
      </c>
      <c r="AK5414">
        <v>0</v>
      </c>
      <c r="AL5414">
        <v>0</v>
      </c>
      <c r="AM5414">
        <v>0</v>
      </c>
      <c r="AN5414">
        <v>0</v>
      </c>
      <c r="AO5414">
        <v>0</v>
      </c>
      <c r="AP5414">
        <v>0</v>
      </c>
      <c r="AQ5414">
        <v>-1</v>
      </c>
      <c r="AR5414">
        <v>0</v>
      </c>
      <c r="AS5414">
        <v>0</v>
      </c>
      <c r="AT5414">
        <v>0</v>
      </c>
      <c r="AU5414">
        <f t="shared" si="168"/>
        <v>-1</v>
      </c>
      <c r="AV5414">
        <f t="shared" si="169"/>
        <v>0</v>
      </c>
    </row>
    <row r="5415" spans="1:48" x14ac:dyDescent="0.25">
      <c r="A5415" t="s">
        <v>17490</v>
      </c>
      <c r="B5415" t="s">
        <v>17490</v>
      </c>
      <c r="C5415" t="s">
        <v>17491</v>
      </c>
      <c r="D5415" t="s">
        <v>9496</v>
      </c>
      <c r="E5415" t="s">
        <v>2310</v>
      </c>
      <c r="F5415">
        <v>8</v>
      </c>
      <c r="G5415">
        <v>8.3000000000000007</v>
      </c>
      <c r="H5415" t="s">
        <v>2323</v>
      </c>
      <c r="I5415" s="21">
        <v>43165.684097222198</v>
      </c>
      <c r="J5415">
        <v>2018</v>
      </c>
      <c r="K5415" s="21">
        <v>43265.527027430602</v>
      </c>
      <c r="L5415">
        <v>2018</v>
      </c>
      <c r="M5415" s="21">
        <v>43621.560448495402</v>
      </c>
      <c r="N5415">
        <v>2019</v>
      </c>
      <c r="S5415" t="s">
        <v>9529</v>
      </c>
      <c r="T5415">
        <v>212</v>
      </c>
      <c r="U5415">
        <v>7</v>
      </c>
      <c r="W5415">
        <v>-196</v>
      </c>
      <c r="X5415">
        <v>-1</v>
      </c>
      <c r="Y5415">
        <v>0</v>
      </c>
      <c r="Z5415">
        <v>0</v>
      </c>
      <c r="AA5415">
        <v>0</v>
      </c>
      <c r="AB5415">
        <v>0</v>
      </c>
      <c r="AC5415">
        <v>0</v>
      </c>
      <c r="AD5415">
        <v>0</v>
      </c>
      <c r="AE5415">
        <v>-196</v>
      </c>
      <c r="AF5415">
        <v>0</v>
      </c>
      <c r="AG5415">
        <v>0</v>
      </c>
      <c r="AH5415">
        <v>0</v>
      </c>
      <c r="AI5415">
        <v>0</v>
      </c>
      <c r="AJ5415">
        <v>0</v>
      </c>
      <c r="AK5415">
        <v>0</v>
      </c>
      <c r="AL5415">
        <v>0</v>
      </c>
      <c r="AM5415">
        <v>0</v>
      </c>
      <c r="AN5415">
        <v>0</v>
      </c>
      <c r="AO5415">
        <v>0</v>
      </c>
      <c r="AP5415">
        <v>0</v>
      </c>
      <c r="AQ5415">
        <v>-1</v>
      </c>
      <c r="AR5415">
        <v>0</v>
      </c>
      <c r="AS5415">
        <v>0</v>
      </c>
      <c r="AT5415">
        <v>0</v>
      </c>
      <c r="AU5415">
        <f t="shared" si="168"/>
        <v>-1</v>
      </c>
      <c r="AV5415">
        <f t="shared" si="169"/>
        <v>0</v>
      </c>
    </row>
    <row r="5416" spans="1:48" x14ac:dyDescent="0.25">
      <c r="A5416" t="s">
        <v>17490</v>
      </c>
      <c r="B5416" t="s">
        <v>17490</v>
      </c>
      <c r="C5416" t="s">
        <v>17491</v>
      </c>
      <c r="D5416" t="s">
        <v>9496</v>
      </c>
      <c r="E5416" t="s">
        <v>2310</v>
      </c>
      <c r="F5416">
        <v>8</v>
      </c>
      <c r="G5416">
        <v>8.3000000000000007</v>
      </c>
      <c r="H5416" t="s">
        <v>2323</v>
      </c>
      <c r="I5416" s="21">
        <v>43165.68409722222</v>
      </c>
      <c r="J5416">
        <v>2018</v>
      </c>
      <c r="K5416" s="21">
        <v>43265.527027430559</v>
      </c>
      <c r="L5416">
        <v>2018</v>
      </c>
      <c r="M5416" s="21">
        <v>43621.560448495373</v>
      </c>
      <c r="N5416">
        <v>2019</v>
      </c>
      <c r="Q5416" s="262">
        <v>80000</v>
      </c>
      <c r="R5416" s="262">
        <v>35000</v>
      </c>
      <c r="S5416" t="s">
        <v>12464</v>
      </c>
      <c r="T5416">
        <v>212</v>
      </c>
      <c r="W5416">
        <v>264</v>
      </c>
      <c r="X5416">
        <v>1</v>
      </c>
      <c r="AE5416">
        <v>264</v>
      </c>
      <c r="AQ5416">
        <v>1</v>
      </c>
      <c r="AU5416">
        <f t="shared" si="168"/>
        <v>1</v>
      </c>
      <c r="AV5416">
        <f t="shared" si="169"/>
        <v>0</v>
      </c>
    </row>
    <row r="5417" spans="1:48" x14ac:dyDescent="0.25">
      <c r="A5417" t="s">
        <v>17492</v>
      </c>
      <c r="B5417" t="s">
        <v>17492</v>
      </c>
      <c r="C5417" t="s">
        <v>17493</v>
      </c>
      <c r="D5417" t="s">
        <v>9496</v>
      </c>
      <c r="E5417" t="s">
        <v>2310</v>
      </c>
      <c r="F5417">
        <v>8</v>
      </c>
      <c r="G5417">
        <v>8.3000000000000007</v>
      </c>
      <c r="H5417" t="s">
        <v>2323</v>
      </c>
      <c r="I5417" s="21">
        <v>43165.685370370367</v>
      </c>
      <c r="J5417">
        <v>2018</v>
      </c>
      <c r="K5417" s="21">
        <v>43265.525504745368</v>
      </c>
      <c r="L5417">
        <v>2018</v>
      </c>
      <c r="M5417" s="21">
        <v>43621.562583368053</v>
      </c>
      <c r="N5417">
        <v>2019</v>
      </c>
      <c r="Q5417" s="262">
        <v>80000</v>
      </c>
      <c r="R5417" s="262">
        <v>35000</v>
      </c>
      <c r="S5417" t="s">
        <v>12464</v>
      </c>
      <c r="T5417">
        <v>213</v>
      </c>
      <c r="W5417">
        <v>264</v>
      </c>
      <c r="X5417">
        <v>1</v>
      </c>
      <c r="AE5417">
        <v>264</v>
      </c>
      <c r="AQ5417">
        <v>1</v>
      </c>
      <c r="AU5417">
        <f t="shared" si="168"/>
        <v>1</v>
      </c>
      <c r="AV5417">
        <f t="shared" si="169"/>
        <v>0</v>
      </c>
    </row>
    <row r="5418" spans="1:48" x14ac:dyDescent="0.25">
      <c r="A5418" t="s">
        <v>17492</v>
      </c>
      <c r="B5418" t="s">
        <v>17492</v>
      </c>
      <c r="C5418" t="s">
        <v>17493</v>
      </c>
      <c r="D5418" t="s">
        <v>9496</v>
      </c>
      <c r="E5418" t="s">
        <v>2310</v>
      </c>
      <c r="F5418">
        <v>8</v>
      </c>
      <c r="G5418">
        <v>8.3000000000000007</v>
      </c>
      <c r="H5418" t="s">
        <v>2323</v>
      </c>
      <c r="I5418" s="21">
        <v>43165.685370370396</v>
      </c>
      <c r="J5418">
        <v>2018</v>
      </c>
      <c r="K5418" s="21">
        <v>43265.525504745397</v>
      </c>
      <c r="L5418">
        <v>2018</v>
      </c>
      <c r="M5418" s="21">
        <v>43621.562583368097</v>
      </c>
      <c r="N5418">
        <v>2019</v>
      </c>
      <c r="S5418" t="s">
        <v>9529</v>
      </c>
      <c r="T5418">
        <v>213</v>
      </c>
      <c r="U5418">
        <v>7</v>
      </c>
      <c r="W5418">
        <v>-196</v>
      </c>
      <c r="X5418">
        <v>-1</v>
      </c>
      <c r="Y5418">
        <v>0</v>
      </c>
      <c r="Z5418">
        <v>0</v>
      </c>
      <c r="AA5418">
        <v>0</v>
      </c>
      <c r="AB5418">
        <v>0</v>
      </c>
      <c r="AC5418">
        <v>0</v>
      </c>
      <c r="AD5418">
        <v>0</v>
      </c>
      <c r="AE5418">
        <v>-196</v>
      </c>
      <c r="AF5418">
        <v>0</v>
      </c>
      <c r="AG5418">
        <v>0</v>
      </c>
      <c r="AH5418">
        <v>0</v>
      </c>
      <c r="AI5418">
        <v>0</v>
      </c>
      <c r="AJ5418">
        <v>0</v>
      </c>
      <c r="AK5418">
        <v>0</v>
      </c>
      <c r="AL5418">
        <v>0</v>
      </c>
      <c r="AM5418">
        <v>0</v>
      </c>
      <c r="AN5418">
        <v>0</v>
      </c>
      <c r="AO5418">
        <v>0</v>
      </c>
      <c r="AP5418">
        <v>0</v>
      </c>
      <c r="AQ5418">
        <v>-1</v>
      </c>
      <c r="AR5418">
        <v>0</v>
      </c>
      <c r="AS5418">
        <v>0</v>
      </c>
      <c r="AT5418">
        <v>0</v>
      </c>
      <c r="AU5418">
        <f t="shared" si="168"/>
        <v>-1</v>
      </c>
      <c r="AV5418">
        <f t="shared" si="169"/>
        <v>0</v>
      </c>
    </row>
    <row r="5419" spans="1:48" x14ac:dyDescent="0.25">
      <c r="A5419" t="s">
        <v>17495</v>
      </c>
      <c r="B5419" t="s">
        <v>17495</v>
      </c>
      <c r="C5419" t="s">
        <v>17496</v>
      </c>
      <c r="D5419" t="s">
        <v>9496</v>
      </c>
      <c r="E5419" t="s">
        <v>2310</v>
      </c>
      <c r="F5419">
        <v>8</v>
      </c>
      <c r="G5419">
        <v>8.3000000000000007</v>
      </c>
      <c r="H5419" t="s">
        <v>2323</v>
      </c>
      <c r="I5419" s="21">
        <v>43165.686365740701</v>
      </c>
      <c r="J5419">
        <v>2018</v>
      </c>
      <c r="K5419" s="21">
        <v>43265.523866169002</v>
      </c>
      <c r="L5419">
        <v>2018</v>
      </c>
      <c r="M5419" s="21">
        <v>43621.573707523101</v>
      </c>
      <c r="N5419">
        <v>2019</v>
      </c>
      <c r="S5419" t="s">
        <v>9529</v>
      </c>
      <c r="T5419">
        <v>214</v>
      </c>
      <c r="U5419">
        <v>7</v>
      </c>
      <c r="W5419">
        <v>-196</v>
      </c>
      <c r="X5419">
        <v>-1</v>
      </c>
      <c r="Y5419">
        <v>0</v>
      </c>
      <c r="Z5419">
        <v>0</v>
      </c>
      <c r="AA5419">
        <v>0</v>
      </c>
      <c r="AB5419">
        <v>0</v>
      </c>
      <c r="AC5419">
        <v>0</v>
      </c>
      <c r="AD5419">
        <v>0</v>
      </c>
      <c r="AE5419">
        <v>-196</v>
      </c>
      <c r="AF5419">
        <v>0</v>
      </c>
      <c r="AG5419">
        <v>0</v>
      </c>
      <c r="AH5419">
        <v>0</v>
      </c>
      <c r="AI5419">
        <v>0</v>
      </c>
      <c r="AJ5419">
        <v>0</v>
      </c>
      <c r="AK5419">
        <v>0</v>
      </c>
      <c r="AL5419">
        <v>0</v>
      </c>
      <c r="AM5419">
        <v>0</v>
      </c>
      <c r="AN5419">
        <v>0</v>
      </c>
      <c r="AO5419">
        <v>0</v>
      </c>
      <c r="AP5419">
        <v>0</v>
      </c>
      <c r="AQ5419">
        <v>-1</v>
      </c>
      <c r="AR5419">
        <v>0</v>
      </c>
      <c r="AS5419">
        <v>0</v>
      </c>
      <c r="AT5419">
        <v>0</v>
      </c>
      <c r="AU5419">
        <f t="shared" si="168"/>
        <v>-1</v>
      </c>
      <c r="AV5419">
        <f t="shared" si="169"/>
        <v>0</v>
      </c>
    </row>
    <row r="5420" spans="1:48" x14ac:dyDescent="0.25">
      <c r="A5420" t="s">
        <v>17495</v>
      </c>
      <c r="B5420" t="s">
        <v>17495</v>
      </c>
      <c r="C5420" t="s">
        <v>17496</v>
      </c>
      <c r="D5420" t="s">
        <v>9496</v>
      </c>
      <c r="E5420" t="s">
        <v>2310</v>
      </c>
      <c r="F5420">
        <v>8</v>
      </c>
      <c r="G5420">
        <v>8.3000000000000007</v>
      </c>
      <c r="H5420" t="s">
        <v>2323</v>
      </c>
      <c r="I5420" s="21">
        <v>43165.686365740738</v>
      </c>
      <c r="J5420">
        <v>2018</v>
      </c>
      <c r="K5420" s="21">
        <v>43265.52386616898</v>
      </c>
      <c r="L5420">
        <v>2018</v>
      </c>
      <c r="M5420" s="21">
        <v>43621.573707523145</v>
      </c>
      <c r="N5420">
        <v>2019</v>
      </c>
      <c r="Q5420" s="262">
        <v>80000</v>
      </c>
      <c r="R5420" s="262">
        <v>35000</v>
      </c>
      <c r="S5420" t="s">
        <v>12464</v>
      </c>
      <c r="T5420">
        <v>214</v>
      </c>
      <c r="W5420">
        <v>264</v>
      </c>
      <c r="X5420">
        <v>1</v>
      </c>
      <c r="AE5420">
        <v>264</v>
      </c>
      <c r="AQ5420">
        <v>1</v>
      </c>
      <c r="AU5420">
        <f t="shared" si="168"/>
        <v>1</v>
      </c>
      <c r="AV5420">
        <f t="shared" si="169"/>
        <v>0</v>
      </c>
    </row>
    <row r="5421" spans="1:48" x14ac:dyDescent="0.25">
      <c r="A5421" t="s">
        <v>17510</v>
      </c>
      <c r="B5421" t="s">
        <v>17510</v>
      </c>
      <c r="C5421" t="s">
        <v>17511</v>
      </c>
      <c r="D5421" t="s">
        <v>9496</v>
      </c>
      <c r="E5421" t="s">
        <v>2310</v>
      </c>
      <c r="F5421">
        <v>8</v>
      </c>
      <c r="G5421">
        <v>8.3000000000000007</v>
      </c>
      <c r="H5421" t="s">
        <v>2323</v>
      </c>
      <c r="I5421" s="21">
        <v>43165.687395833302</v>
      </c>
      <c r="J5421">
        <v>2018</v>
      </c>
      <c r="K5421" s="21">
        <v>43265.522261423597</v>
      </c>
      <c r="L5421">
        <v>2018</v>
      </c>
      <c r="M5421" s="21">
        <v>43621.575778854203</v>
      </c>
      <c r="N5421">
        <v>2019</v>
      </c>
      <c r="S5421" t="s">
        <v>9529</v>
      </c>
      <c r="T5421">
        <v>215</v>
      </c>
      <c r="U5421">
        <v>7</v>
      </c>
      <c r="W5421">
        <v>-196</v>
      </c>
      <c r="X5421">
        <v>-1</v>
      </c>
      <c r="Y5421">
        <v>0</v>
      </c>
      <c r="Z5421">
        <v>0</v>
      </c>
      <c r="AA5421">
        <v>0</v>
      </c>
      <c r="AB5421">
        <v>0</v>
      </c>
      <c r="AC5421">
        <v>0</v>
      </c>
      <c r="AD5421">
        <v>0</v>
      </c>
      <c r="AE5421">
        <v>-196</v>
      </c>
      <c r="AF5421">
        <v>0</v>
      </c>
      <c r="AG5421">
        <v>0</v>
      </c>
      <c r="AH5421">
        <v>0</v>
      </c>
      <c r="AI5421">
        <v>0</v>
      </c>
      <c r="AJ5421">
        <v>0</v>
      </c>
      <c r="AK5421">
        <v>0</v>
      </c>
      <c r="AL5421">
        <v>0</v>
      </c>
      <c r="AM5421">
        <v>0</v>
      </c>
      <c r="AN5421">
        <v>0</v>
      </c>
      <c r="AO5421">
        <v>0</v>
      </c>
      <c r="AP5421">
        <v>0</v>
      </c>
      <c r="AQ5421">
        <v>-1</v>
      </c>
      <c r="AR5421">
        <v>0</v>
      </c>
      <c r="AS5421">
        <v>0</v>
      </c>
      <c r="AT5421">
        <v>0</v>
      </c>
      <c r="AU5421">
        <f t="shared" si="168"/>
        <v>-1</v>
      </c>
      <c r="AV5421">
        <f t="shared" si="169"/>
        <v>0</v>
      </c>
    </row>
    <row r="5422" spans="1:48" x14ac:dyDescent="0.25">
      <c r="A5422" t="s">
        <v>17510</v>
      </c>
      <c r="B5422" t="s">
        <v>17510</v>
      </c>
      <c r="C5422" t="s">
        <v>17511</v>
      </c>
      <c r="D5422" t="s">
        <v>9496</v>
      </c>
      <c r="E5422" t="s">
        <v>2310</v>
      </c>
      <c r="F5422">
        <v>8</v>
      </c>
      <c r="G5422">
        <v>8.3000000000000007</v>
      </c>
      <c r="H5422" t="s">
        <v>2323</v>
      </c>
      <c r="I5422" s="21">
        <v>43165.687395833331</v>
      </c>
      <c r="J5422">
        <v>2018</v>
      </c>
      <c r="K5422" s="21">
        <v>43265.522261423612</v>
      </c>
      <c r="L5422">
        <v>2018</v>
      </c>
      <c r="M5422" s="21">
        <v>43621.575778854167</v>
      </c>
      <c r="N5422">
        <v>2019</v>
      </c>
      <c r="Q5422" s="262">
        <v>80000</v>
      </c>
      <c r="R5422" s="262">
        <v>35000</v>
      </c>
      <c r="S5422" t="s">
        <v>12464</v>
      </c>
      <c r="T5422">
        <v>215</v>
      </c>
      <c r="W5422">
        <v>264</v>
      </c>
      <c r="X5422">
        <v>1</v>
      </c>
      <c r="AE5422">
        <v>264</v>
      </c>
      <c r="AQ5422">
        <v>1</v>
      </c>
      <c r="AU5422">
        <f t="shared" si="168"/>
        <v>1</v>
      </c>
      <c r="AV5422">
        <f t="shared" si="169"/>
        <v>0</v>
      </c>
    </row>
    <row r="5423" spans="1:48" x14ac:dyDescent="0.25">
      <c r="A5423" t="s">
        <v>17534</v>
      </c>
      <c r="B5423" t="s">
        <v>17534</v>
      </c>
      <c r="C5423" t="s">
        <v>17535</v>
      </c>
      <c r="D5423" t="s">
        <v>9496</v>
      </c>
      <c r="E5423" t="s">
        <v>2310</v>
      </c>
      <c r="F5423">
        <v>8</v>
      </c>
      <c r="G5423">
        <v>8.3000000000000007</v>
      </c>
      <c r="H5423" t="s">
        <v>2323</v>
      </c>
      <c r="I5423" s="21">
        <v>43165.688321759262</v>
      </c>
      <c r="J5423">
        <v>2018</v>
      </c>
      <c r="K5423" s="21">
        <v>43265.520621724536</v>
      </c>
      <c r="L5423">
        <v>2018</v>
      </c>
      <c r="M5423" s="21">
        <v>43621.577237465281</v>
      </c>
      <c r="N5423">
        <v>2019</v>
      </c>
      <c r="Q5423" s="262">
        <v>80000</v>
      </c>
      <c r="R5423" s="262">
        <v>35000</v>
      </c>
      <c r="S5423" t="s">
        <v>12464</v>
      </c>
      <c r="T5423">
        <v>217</v>
      </c>
      <c r="W5423">
        <v>264</v>
      </c>
      <c r="X5423">
        <v>1</v>
      </c>
      <c r="AE5423">
        <v>264</v>
      </c>
      <c r="AQ5423">
        <v>1</v>
      </c>
      <c r="AU5423">
        <f t="shared" si="168"/>
        <v>1</v>
      </c>
      <c r="AV5423">
        <f t="shared" si="169"/>
        <v>0</v>
      </c>
    </row>
    <row r="5424" spans="1:48" x14ac:dyDescent="0.25">
      <c r="A5424" t="s">
        <v>17534</v>
      </c>
      <c r="B5424" t="s">
        <v>17534</v>
      </c>
      <c r="C5424" t="s">
        <v>17535</v>
      </c>
      <c r="D5424" t="s">
        <v>9496</v>
      </c>
      <c r="E5424" t="s">
        <v>2310</v>
      </c>
      <c r="F5424">
        <v>8</v>
      </c>
      <c r="G5424">
        <v>8.3000000000000007</v>
      </c>
      <c r="H5424" t="s">
        <v>2323</v>
      </c>
      <c r="I5424" s="21">
        <v>43165.688321759299</v>
      </c>
      <c r="J5424">
        <v>2018</v>
      </c>
      <c r="K5424" s="21">
        <v>43265.5206217245</v>
      </c>
      <c r="L5424">
        <v>2018</v>
      </c>
      <c r="M5424" s="21">
        <v>43621.577237465302</v>
      </c>
      <c r="N5424">
        <v>2019</v>
      </c>
      <c r="S5424" t="s">
        <v>9529</v>
      </c>
      <c r="T5424">
        <v>217</v>
      </c>
      <c r="U5424">
        <v>7</v>
      </c>
      <c r="W5424">
        <v>-196</v>
      </c>
      <c r="X5424">
        <v>-1</v>
      </c>
      <c r="Y5424">
        <v>0</v>
      </c>
      <c r="Z5424">
        <v>0</v>
      </c>
      <c r="AA5424">
        <v>0</v>
      </c>
      <c r="AB5424">
        <v>0</v>
      </c>
      <c r="AC5424">
        <v>0</v>
      </c>
      <c r="AD5424">
        <v>0</v>
      </c>
      <c r="AE5424">
        <v>-196</v>
      </c>
      <c r="AF5424">
        <v>0</v>
      </c>
      <c r="AG5424">
        <v>0</v>
      </c>
      <c r="AH5424">
        <v>0</v>
      </c>
      <c r="AI5424">
        <v>0</v>
      </c>
      <c r="AJ5424">
        <v>0</v>
      </c>
      <c r="AK5424">
        <v>0</v>
      </c>
      <c r="AL5424">
        <v>0</v>
      </c>
      <c r="AM5424">
        <v>0</v>
      </c>
      <c r="AN5424">
        <v>0</v>
      </c>
      <c r="AO5424">
        <v>0</v>
      </c>
      <c r="AP5424">
        <v>0</v>
      </c>
      <c r="AQ5424">
        <v>-1</v>
      </c>
      <c r="AR5424">
        <v>0</v>
      </c>
      <c r="AS5424">
        <v>0</v>
      </c>
      <c r="AT5424">
        <v>0</v>
      </c>
      <c r="AU5424">
        <f t="shared" si="168"/>
        <v>-1</v>
      </c>
      <c r="AV5424">
        <f t="shared" si="169"/>
        <v>0</v>
      </c>
    </row>
    <row r="5425" spans="1:48" x14ac:dyDescent="0.25">
      <c r="A5425" t="s">
        <v>17542</v>
      </c>
      <c r="B5425" t="s">
        <v>17542</v>
      </c>
      <c r="C5425" t="s">
        <v>17543</v>
      </c>
      <c r="D5425" t="s">
        <v>9496</v>
      </c>
      <c r="E5425" t="s">
        <v>2310</v>
      </c>
      <c r="F5425">
        <v>8</v>
      </c>
      <c r="G5425">
        <v>8.3000000000000007</v>
      </c>
      <c r="H5425" t="s">
        <v>2323</v>
      </c>
      <c r="I5425" s="21">
        <v>43165.689398148097</v>
      </c>
      <c r="J5425">
        <v>2018</v>
      </c>
      <c r="K5425" s="21">
        <v>43265.518712418998</v>
      </c>
      <c r="L5425">
        <v>2018</v>
      </c>
      <c r="M5425" s="21">
        <v>43621.578824536999</v>
      </c>
      <c r="N5425">
        <v>2019</v>
      </c>
      <c r="S5425" t="s">
        <v>9529</v>
      </c>
      <c r="T5425">
        <v>220</v>
      </c>
      <c r="U5425">
        <v>7</v>
      </c>
      <c r="W5425">
        <v>-196</v>
      </c>
      <c r="X5425">
        <v>-1</v>
      </c>
      <c r="Y5425">
        <v>0</v>
      </c>
      <c r="Z5425">
        <v>0</v>
      </c>
      <c r="AA5425">
        <v>0</v>
      </c>
      <c r="AB5425">
        <v>0</v>
      </c>
      <c r="AC5425">
        <v>0</v>
      </c>
      <c r="AD5425">
        <v>0</v>
      </c>
      <c r="AE5425">
        <v>-196</v>
      </c>
      <c r="AF5425">
        <v>0</v>
      </c>
      <c r="AG5425">
        <v>0</v>
      </c>
      <c r="AH5425">
        <v>0</v>
      </c>
      <c r="AI5425">
        <v>0</v>
      </c>
      <c r="AJ5425">
        <v>0</v>
      </c>
      <c r="AK5425">
        <v>0</v>
      </c>
      <c r="AL5425">
        <v>0</v>
      </c>
      <c r="AM5425">
        <v>0</v>
      </c>
      <c r="AN5425">
        <v>0</v>
      </c>
      <c r="AO5425">
        <v>0</v>
      </c>
      <c r="AP5425">
        <v>0</v>
      </c>
      <c r="AQ5425">
        <v>-1</v>
      </c>
      <c r="AR5425">
        <v>0</v>
      </c>
      <c r="AS5425">
        <v>0</v>
      </c>
      <c r="AT5425">
        <v>0</v>
      </c>
      <c r="AU5425">
        <f t="shared" si="168"/>
        <v>-1</v>
      </c>
      <c r="AV5425">
        <f t="shared" si="169"/>
        <v>0</v>
      </c>
    </row>
    <row r="5426" spans="1:48" x14ac:dyDescent="0.25">
      <c r="A5426" t="s">
        <v>17542</v>
      </c>
      <c r="B5426" t="s">
        <v>17542</v>
      </c>
      <c r="C5426" t="s">
        <v>17543</v>
      </c>
      <c r="D5426" t="s">
        <v>9496</v>
      </c>
      <c r="E5426" t="s">
        <v>2310</v>
      </c>
      <c r="F5426">
        <v>8</v>
      </c>
      <c r="G5426">
        <v>8.3000000000000007</v>
      </c>
      <c r="H5426" t="s">
        <v>2323</v>
      </c>
      <c r="I5426" s="21">
        <v>43165.689398148148</v>
      </c>
      <c r="J5426">
        <v>2018</v>
      </c>
      <c r="K5426" s="21">
        <v>43265.518712418983</v>
      </c>
      <c r="L5426">
        <v>2018</v>
      </c>
      <c r="M5426" s="21">
        <v>43621.578824537035</v>
      </c>
      <c r="N5426">
        <v>2019</v>
      </c>
      <c r="Q5426" s="262">
        <v>80000</v>
      </c>
      <c r="R5426" s="262">
        <v>35000</v>
      </c>
      <c r="S5426" t="s">
        <v>12464</v>
      </c>
      <c r="T5426">
        <v>220</v>
      </c>
      <c r="W5426">
        <v>264</v>
      </c>
      <c r="X5426">
        <v>1</v>
      </c>
      <c r="AE5426">
        <v>264</v>
      </c>
      <c r="AQ5426">
        <v>1</v>
      </c>
      <c r="AU5426">
        <f t="shared" si="168"/>
        <v>1</v>
      </c>
      <c r="AV5426">
        <f t="shared" si="169"/>
        <v>0</v>
      </c>
    </row>
    <row r="5427" spans="1:48" x14ac:dyDescent="0.25">
      <c r="A5427" t="s">
        <v>17558</v>
      </c>
      <c r="B5427" t="s">
        <v>17558</v>
      </c>
      <c r="C5427" t="s">
        <v>17559</v>
      </c>
      <c r="D5427" t="s">
        <v>9496</v>
      </c>
      <c r="E5427" t="s">
        <v>2310</v>
      </c>
      <c r="F5427">
        <v>8</v>
      </c>
      <c r="G5427">
        <v>8.3000000000000007</v>
      </c>
      <c r="H5427" t="s">
        <v>2323</v>
      </c>
      <c r="I5427" s="21">
        <v>43165.690578703703</v>
      </c>
      <c r="J5427">
        <v>2018</v>
      </c>
      <c r="K5427" s="21">
        <v>43265.515053784722</v>
      </c>
      <c r="L5427">
        <v>2018</v>
      </c>
      <c r="M5427" s="21">
        <v>43621.580113506941</v>
      </c>
      <c r="N5427">
        <v>2019</v>
      </c>
      <c r="Q5427" s="262">
        <v>80000</v>
      </c>
      <c r="R5427" s="262">
        <v>35000</v>
      </c>
      <c r="S5427" t="s">
        <v>12464</v>
      </c>
      <c r="T5427">
        <v>222</v>
      </c>
      <c r="W5427">
        <v>264</v>
      </c>
      <c r="X5427">
        <v>1</v>
      </c>
      <c r="AE5427">
        <v>264</v>
      </c>
      <c r="AQ5427">
        <v>1</v>
      </c>
      <c r="AU5427">
        <f t="shared" si="168"/>
        <v>1</v>
      </c>
      <c r="AV5427">
        <f t="shared" si="169"/>
        <v>0</v>
      </c>
    </row>
    <row r="5428" spans="1:48" x14ac:dyDescent="0.25">
      <c r="A5428" t="s">
        <v>17558</v>
      </c>
      <c r="B5428" t="s">
        <v>17558</v>
      </c>
      <c r="C5428" t="s">
        <v>17559</v>
      </c>
      <c r="D5428" t="s">
        <v>9496</v>
      </c>
      <c r="E5428" t="s">
        <v>2310</v>
      </c>
      <c r="F5428">
        <v>8</v>
      </c>
      <c r="G5428">
        <v>8.3000000000000007</v>
      </c>
      <c r="H5428" t="s">
        <v>2323</v>
      </c>
      <c r="I5428" s="21">
        <v>43165.690578703703</v>
      </c>
      <c r="J5428">
        <v>2018</v>
      </c>
      <c r="K5428" s="21">
        <v>43265.5150537847</v>
      </c>
      <c r="L5428">
        <v>2018</v>
      </c>
      <c r="M5428" s="21">
        <v>43621.580113506898</v>
      </c>
      <c r="N5428">
        <v>2019</v>
      </c>
      <c r="S5428" t="s">
        <v>9529</v>
      </c>
      <c r="T5428">
        <v>222</v>
      </c>
      <c r="U5428">
        <v>7</v>
      </c>
      <c r="W5428">
        <v>-196</v>
      </c>
      <c r="X5428">
        <v>-1</v>
      </c>
      <c r="Y5428">
        <v>0</v>
      </c>
      <c r="Z5428">
        <v>0</v>
      </c>
      <c r="AA5428">
        <v>0</v>
      </c>
      <c r="AB5428">
        <v>0</v>
      </c>
      <c r="AC5428">
        <v>0</v>
      </c>
      <c r="AD5428">
        <v>0</v>
      </c>
      <c r="AE5428">
        <v>-196</v>
      </c>
      <c r="AF5428">
        <v>0</v>
      </c>
      <c r="AG5428">
        <v>0</v>
      </c>
      <c r="AH5428">
        <v>0</v>
      </c>
      <c r="AI5428">
        <v>0</v>
      </c>
      <c r="AJ5428">
        <v>0</v>
      </c>
      <c r="AK5428">
        <v>0</v>
      </c>
      <c r="AL5428">
        <v>0</v>
      </c>
      <c r="AM5428">
        <v>0</v>
      </c>
      <c r="AN5428">
        <v>0</v>
      </c>
      <c r="AO5428">
        <v>0</v>
      </c>
      <c r="AP5428">
        <v>0</v>
      </c>
      <c r="AQ5428">
        <v>-1</v>
      </c>
      <c r="AR5428">
        <v>0</v>
      </c>
      <c r="AS5428">
        <v>0</v>
      </c>
      <c r="AT5428">
        <v>0</v>
      </c>
      <c r="AU5428">
        <f t="shared" si="168"/>
        <v>-1</v>
      </c>
      <c r="AV5428">
        <f t="shared" si="169"/>
        <v>0</v>
      </c>
    </row>
    <row r="5429" spans="1:48" x14ac:dyDescent="0.25">
      <c r="A5429" t="s">
        <v>17440</v>
      </c>
      <c r="B5429" t="s">
        <v>17440</v>
      </c>
      <c r="C5429" t="s">
        <v>17441</v>
      </c>
      <c r="D5429" t="s">
        <v>9496</v>
      </c>
      <c r="E5429" t="s">
        <v>2310</v>
      </c>
      <c r="F5429">
        <v>8</v>
      </c>
      <c r="G5429">
        <v>8.3000000000000007</v>
      </c>
      <c r="H5429" t="s">
        <v>2323</v>
      </c>
      <c r="I5429" s="21">
        <v>43165.692199074074</v>
      </c>
      <c r="J5429">
        <v>2018</v>
      </c>
      <c r="K5429" s="21">
        <v>43265.513736076391</v>
      </c>
      <c r="L5429">
        <v>2018</v>
      </c>
      <c r="M5429" s="21">
        <v>43621.581321331018</v>
      </c>
      <c r="N5429">
        <v>2019</v>
      </c>
      <c r="Q5429" s="262">
        <v>80000</v>
      </c>
      <c r="R5429" s="262">
        <v>35000</v>
      </c>
      <c r="S5429" t="s">
        <v>12464</v>
      </c>
      <c r="T5429">
        <v>207</v>
      </c>
      <c r="W5429">
        <v>264</v>
      </c>
      <c r="X5429">
        <v>1</v>
      </c>
      <c r="AE5429">
        <v>264</v>
      </c>
      <c r="AQ5429">
        <v>1</v>
      </c>
      <c r="AU5429">
        <f t="shared" si="168"/>
        <v>1</v>
      </c>
      <c r="AV5429">
        <f t="shared" si="169"/>
        <v>0</v>
      </c>
    </row>
    <row r="5430" spans="1:48" x14ac:dyDescent="0.25">
      <c r="A5430" t="s">
        <v>17440</v>
      </c>
      <c r="B5430" t="s">
        <v>17440</v>
      </c>
      <c r="C5430" t="s">
        <v>17441</v>
      </c>
      <c r="D5430" t="s">
        <v>9496</v>
      </c>
      <c r="E5430" t="s">
        <v>2310</v>
      </c>
      <c r="F5430">
        <v>8</v>
      </c>
      <c r="G5430">
        <v>8.3000000000000007</v>
      </c>
      <c r="H5430" t="s">
        <v>2323</v>
      </c>
      <c r="I5430" s="21">
        <v>43165.692199074103</v>
      </c>
      <c r="J5430">
        <v>2018</v>
      </c>
      <c r="K5430" s="21">
        <v>43265.513736076398</v>
      </c>
      <c r="L5430">
        <v>2018</v>
      </c>
      <c r="M5430" s="21">
        <v>43621.581321331003</v>
      </c>
      <c r="N5430">
        <v>2019</v>
      </c>
      <c r="S5430" t="s">
        <v>9529</v>
      </c>
      <c r="T5430">
        <v>207</v>
      </c>
      <c r="U5430">
        <v>7</v>
      </c>
      <c r="W5430">
        <v>-196</v>
      </c>
      <c r="X5430">
        <v>-1</v>
      </c>
      <c r="Y5430">
        <v>0</v>
      </c>
      <c r="Z5430">
        <v>0</v>
      </c>
      <c r="AA5430">
        <v>0</v>
      </c>
      <c r="AB5430">
        <v>0</v>
      </c>
      <c r="AC5430">
        <v>0</v>
      </c>
      <c r="AD5430">
        <v>0</v>
      </c>
      <c r="AE5430">
        <v>-196</v>
      </c>
      <c r="AF5430">
        <v>0</v>
      </c>
      <c r="AG5430">
        <v>0</v>
      </c>
      <c r="AH5430">
        <v>0</v>
      </c>
      <c r="AI5430">
        <v>0</v>
      </c>
      <c r="AJ5430">
        <v>0</v>
      </c>
      <c r="AK5430">
        <v>0</v>
      </c>
      <c r="AL5430">
        <v>0</v>
      </c>
      <c r="AM5430">
        <v>0</v>
      </c>
      <c r="AN5430">
        <v>0</v>
      </c>
      <c r="AO5430">
        <v>0</v>
      </c>
      <c r="AP5430">
        <v>0</v>
      </c>
      <c r="AQ5430">
        <v>-1</v>
      </c>
      <c r="AR5430">
        <v>0</v>
      </c>
      <c r="AS5430">
        <v>0</v>
      </c>
      <c r="AT5430">
        <v>0</v>
      </c>
      <c r="AU5430">
        <f t="shared" si="168"/>
        <v>-1</v>
      </c>
      <c r="AV5430">
        <f t="shared" si="169"/>
        <v>0</v>
      </c>
    </row>
    <row r="5431" spans="1:48" x14ac:dyDescent="0.25">
      <c r="A5431" t="s">
        <v>17520</v>
      </c>
      <c r="B5431" t="s">
        <v>17520</v>
      </c>
      <c r="C5431" t="s">
        <v>17521</v>
      </c>
      <c r="D5431" t="s">
        <v>9496</v>
      </c>
      <c r="E5431" t="s">
        <v>2310</v>
      </c>
      <c r="F5431">
        <v>8</v>
      </c>
      <c r="G5431">
        <v>8.3000000000000007</v>
      </c>
      <c r="H5431" t="s">
        <v>2323</v>
      </c>
      <c r="I5431" s="21">
        <v>43165.693148148152</v>
      </c>
      <c r="J5431">
        <v>2018</v>
      </c>
      <c r="K5431" s="21">
        <v>43265.51214791667</v>
      </c>
      <c r="L5431">
        <v>2018</v>
      </c>
      <c r="M5431" s="21">
        <v>43621.583265624999</v>
      </c>
      <c r="N5431">
        <v>2019</v>
      </c>
      <c r="Q5431" s="262">
        <v>80000</v>
      </c>
      <c r="R5431" s="262">
        <v>35000</v>
      </c>
      <c r="S5431" t="s">
        <v>12464</v>
      </c>
      <c r="T5431">
        <v>216</v>
      </c>
      <c r="W5431">
        <v>264</v>
      </c>
      <c r="X5431">
        <v>1</v>
      </c>
      <c r="AE5431">
        <v>264</v>
      </c>
      <c r="AQ5431">
        <v>1</v>
      </c>
      <c r="AU5431">
        <f t="shared" si="168"/>
        <v>1</v>
      </c>
      <c r="AV5431">
        <f t="shared" si="169"/>
        <v>0</v>
      </c>
    </row>
    <row r="5432" spans="1:48" x14ac:dyDescent="0.25">
      <c r="A5432" t="s">
        <v>17520</v>
      </c>
      <c r="B5432" t="s">
        <v>17520</v>
      </c>
      <c r="C5432" t="s">
        <v>17521</v>
      </c>
      <c r="D5432" t="s">
        <v>9496</v>
      </c>
      <c r="E5432" t="s">
        <v>2310</v>
      </c>
      <c r="F5432">
        <v>8</v>
      </c>
      <c r="G5432">
        <v>8.3000000000000007</v>
      </c>
      <c r="H5432" t="s">
        <v>2323</v>
      </c>
      <c r="I5432" s="21">
        <v>43165.693148148202</v>
      </c>
      <c r="J5432">
        <v>2018</v>
      </c>
      <c r="K5432" s="21">
        <v>43265.512147916699</v>
      </c>
      <c r="L5432">
        <v>2018</v>
      </c>
      <c r="M5432" s="21">
        <v>43621.583265624999</v>
      </c>
      <c r="N5432">
        <v>2019</v>
      </c>
      <c r="S5432" t="s">
        <v>9529</v>
      </c>
      <c r="T5432">
        <v>216</v>
      </c>
      <c r="U5432">
        <v>7</v>
      </c>
      <c r="W5432">
        <v>-196</v>
      </c>
      <c r="X5432">
        <v>-1</v>
      </c>
      <c r="Y5432">
        <v>0</v>
      </c>
      <c r="Z5432">
        <v>0</v>
      </c>
      <c r="AA5432">
        <v>0</v>
      </c>
      <c r="AB5432">
        <v>0</v>
      </c>
      <c r="AC5432">
        <v>0</v>
      </c>
      <c r="AD5432">
        <v>0</v>
      </c>
      <c r="AE5432">
        <v>-196</v>
      </c>
      <c r="AF5432">
        <v>0</v>
      </c>
      <c r="AG5432">
        <v>0</v>
      </c>
      <c r="AH5432">
        <v>0</v>
      </c>
      <c r="AI5432">
        <v>0</v>
      </c>
      <c r="AJ5432">
        <v>0</v>
      </c>
      <c r="AK5432">
        <v>0</v>
      </c>
      <c r="AL5432">
        <v>0</v>
      </c>
      <c r="AM5432">
        <v>0</v>
      </c>
      <c r="AN5432">
        <v>0</v>
      </c>
      <c r="AO5432">
        <v>0</v>
      </c>
      <c r="AP5432">
        <v>0</v>
      </c>
      <c r="AQ5432">
        <v>-1</v>
      </c>
      <c r="AR5432">
        <v>0</v>
      </c>
      <c r="AS5432">
        <v>0</v>
      </c>
      <c r="AT5432">
        <v>0</v>
      </c>
      <c r="AU5432">
        <f t="shared" si="168"/>
        <v>-1</v>
      </c>
      <c r="AV5432">
        <f t="shared" si="169"/>
        <v>0</v>
      </c>
    </row>
    <row r="5433" spans="1:48" x14ac:dyDescent="0.25">
      <c r="A5433" t="s">
        <v>17411</v>
      </c>
      <c r="B5433" t="s">
        <v>17411</v>
      </c>
      <c r="C5433" t="s">
        <v>17412</v>
      </c>
      <c r="D5433" t="s">
        <v>9496</v>
      </c>
      <c r="E5433" t="s">
        <v>2310</v>
      </c>
      <c r="F5433">
        <v>8</v>
      </c>
      <c r="G5433">
        <v>8.3000000000000007</v>
      </c>
      <c r="H5433" t="s">
        <v>2323</v>
      </c>
      <c r="I5433" s="21">
        <v>43166.469837962963</v>
      </c>
      <c r="J5433">
        <v>2018</v>
      </c>
      <c r="K5433" s="21">
        <v>43265.510626238429</v>
      </c>
      <c r="L5433">
        <v>2018</v>
      </c>
      <c r="M5433" s="21">
        <v>43621.584825266204</v>
      </c>
      <c r="N5433">
        <v>2019</v>
      </c>
      <c r="Q5433" s="262">
        <v>80000</v>
      </c>
      <c r="R5433" s="262">
        <v>35000</v>
      </c>
      <c r="S5433" t="s">
        <v>12464</v>
      </c>
      <c r="T5433">
        <v>199</v>
      </c>
      <c r="W5433">
        <v>264</v>
      </c>
      <c r="X5433">
        <v>1</v>
      </c>
      <c r="AE5433">
        <v>264</v>
      </c>
      <c r="AQ5433">
        <v>1</v>
      </c>
      <c r="AU5433">
        <f t="shared" si="168"/>
        <v>1</v>
      </c>
      <c r="AV5433">
        <f t="shared" si="169"/>
        <v>0</v>
      </c>
    </row>
    <row r="5434" spans="1:48" x14ac:dyDescent="0.25">
      <c r="A5434" t="s">
        <v>17411</v>
      </c>
      <c r="B5434" t="s">
        <v>17411</v>
      </c>
      <c r="C5434" t="s">
        <v>17412</v>
      </c>
      <c r="D5434" t="s">
        <v>9496</v>
      </c>
      <c r="E5434" t="s">
        <v>2310</v>
      </c>
      <c r="F5434">
        <v>8</v>
      </c>
      <c r="G5434">
        <v>8.3000000000000007</v>
      </c>
      <c r="H5434" t="s">
        <v>2323</v>
      </c>
      <c r="I5434" s="21">
        <v>43166.469837962999</v>
      </c>
      <c r="J5434">
        <v>2018</v>
      </c>
      <c r="K5434" s="21">
        <v>43265.5106262384</v>
      </c>
      <c r="L5434">
        <v>2018</v>
      </c>
      <c r="M5434" s="21">
        <v>43621.584825266204</v>
      </c>
      <c r="N5434">
        <v>2019</v>
      </c>
      <c r="S5434" t="s">
        <v>9529</v>
      </c>
      <c r="T5434">
        <v>199</v>
      </c>
      <c r="U5434">
        <v>7</v>
      </c>
      <c r="W5434">
        <v>-196</v>
      </c>
      <c r="X5434">
        <v>-1</v>
      </c>
      <c r="Y5434">
        <v>0</v>
      </c>
      <c r="Z5434">
        <v>0</v>
      </c>
      <c r="AA5434">
        <v>0</v>
      </c>
      <c r="AB5434">
        <v>0</v>
      </c>
      <c r="AC5434">
        <v>0</v>
      </c>
      <c r="AD5434">
        <v>0</v>
      </c>
      <c r="AE5434">
        <v>-196</v>
      </c>
      <c r="AF5434">
        <v>0</v>
      </c>
      <c r="AG5434">
        <v>0</v>
      </c>
      <c r="AH5434">
        <v>0</v>
      </c>
      <c r="AI5434">
        <v>0</v>
      </c>
      <c r="AJ5434">
        <v>0</v>
      </c>
      <c r="AK5434">
        <v>0</v>
      </c>
      <c r="AL5434">
        <v>0</v>
      </c>
      <c r="AM5434">
        <v>0</v>
      </c>
      <c r="AN5434">
        <v>0</v>
      </c>
      <c r="AO5434">
        <v>0</v>
      </c>
      <c r="AP5434">
        <v>0</v>
      </c>
      <c r="AQ5434">
        <v>-1</v>
      </c>
      <c r="AR5434">
        <v>0</v>
      </c>
      <c r="AS5434">
        <v>0</v>
      </c>
      <c r="AT5434">
        <v>0</v>
      </c>
      <c r="AU5434">
        <f t="shared" si="168"/>
        <v>-1</v>
      </c>
      <c r="AV5434">
        <f t="shared" si="169"/>
        <v>0</v>
      </c>
    </row>
    <row r="5435" spans="1:48" x14ac:dyDescent="0.25">
      <c r="A5435" t="s">
        <v>17551</v>
      </c>
      <c r="B5435" t="s">
        <v>17551</v>
      </c>
      <c r="C5435" t="s">
        <v>17552</v>
      </c>
      <c r="D5435" t="s">
        <v>9496</v>
      </c>
      <c r="E5435" t="s">
        <v>2310</v>
      </c>
      <c r="F5435">
        <v>8</v>
      </c>
      <c r="G5435">
        <v>8.3000000000000007</v>
      </c>
      <c r="H5435" t="s">
        <v>2323</v>
      </c>
      <c r="I5435" s="21">
        <v>43166.472800925898</v>
      </c>
      <c r="J5435">
        <v>2018</v>
      </c>
      <c r="K5435" s="21">
        <v>43621.586446793997</v>
      </c>
      <c r="L5435">
        <v>2019</v>
      </c>
      <c r="M5435" s="21">
        <v>43621.586019872702</v>
      </c>
      <c r="N5435">
        <v>2019</v>
      </c>
      <c r="S5435" t="s">
        <v>9529</v>
      </c>
      <c r="T5435">
        <v>221</v>
      </c>
      <c r="U5435">
        <v>7</v>
      </c>
      <c r="W5435">
        <v>-196</v>
      </c>
      <c r="X5435">
        <v>-1</v>
      </c>
      <c r="Y5435">
        <v>0</v>
      </c>
      <c r="Z5435">
        <v>0</v>
      </c>
      <c r="AA5435">
        <v>0</v>
      </c>
      <c r="AB5435">
        <v>0</v>
      </c>
      <c r="AC5435">
        <v>0</v>
      </c>
      <c r="AD5435">
        <v>0</v>
      </c>
      <c r="AE5435">
        <v>-196</v>
      </c>
      <c r="AF5435">
        <v>0</v>
      </c>
      <c r="AG5435">
        <v>0</v>
      </c>
      <c r="AH5435">
        <v>0</v>
      </c>
      <c r="AI5435">
        <v>0</v>
      </c>
      <c r="AJ5435">
        <v>0</v>
      </c>
      <c r="AK5435">
        <v>0</v>
      </c>
      <c r="AL5435">
        <v>0</v>
      </c>
      <c r="AM5435">
        <v>0</v>
      </c>
      <c r="AN5435">
        <v>0</v>
      </c>
      <c r="AO5435">
        <v>0</v>
      </c>
      <c r="AP5435">
        <v>0</v>
      </c>
      <c r="AQ5435">
        <v>-1</v>
      </c>
      <c r="AR5435">
        <v>0</v>
      </c>
      <c r="AS5435">
        <v>0</v>
      </c>
      <c r="AT5435">
        <v>0</v>
      </c>
      <c r="AU5435">
        <f t="shared" si="168"/>
        <v>-1</v>
      </c>
      <c r="AV5435">
        <f t="shared" si="169"/>
        <v>0</v>
      </c>
    </row>
    <row r="5436" spans="1:48" x14ac:dyDescent="0.25">
      <c r="A5436" t="s">
        <v>17551</v>
      </c>
      <c r="B5436" t="s">
        <v>17551</v>
      </c>
      <c r="C5436" t="s">
        <v>17552</v>
      </c>
      <c r="D5436" t="s">
        <v>9496</v>
      </c>
      <c r="E5436" t="s">
        <v>2310</v>
      </c>
      <c r="F5436">
        <v>8</v>
      </c>
      <c r="G5436">
        <v>8.3000000000000007</v>
      </c>
      <c r="H5436" t="s">
        <v>2323</v>
      </c>
      <c r="I5436" s="21">
        <v>43166.472800925927</v>
      </c>
      <c r="J5436">
        <v>2018</v>
      </c>
      <c r="K5436" s="21">
        <v>43621.586446793983</v>
      </c>
      <c r="L5436">
        <v>2019</v>
      </c>
      <c r="M5436" s="21">
        <v>43621.586019872688</v>
      </c>
      <c r="N5436">
        <v>2019</v>
      </c>
      <c r="Q5436" s="262">
        <v>80000</v>
      </c>
      <c r="R5436" s="262">
        <v>35000</v>
      </c>
      <c r="S5436" t="s">
        <v>12464</v>
      </c>
      <c r="T5436">
        <v>221</v>
      </c>
      <c r="W5436">
        <v>264</v>
      </c>
      <c r="X5436">
        <v>1</v>
      </c>
      <c r="AE5436">
        <v>264</v>
      </c>
      <c r="AQ5436">
        <v>1</v>
      </c>
      <c r="AU5436">
        <f t="shared" si="168"/>
        <v>1</v>
      </c>
      <c r="AV5436">
        <f t="shared" si="169"/>
        <v>0</v>
      </c>
    </row>
    <row r="5437" spans="1:48" x14ac:dyDescent="0.25">
      <c r="A5437" t="s">
        <v>17390</v>
      </c>
      <c r="B5437" t="s">
        <v>17390</v>
      </c>
      <c r="C5437" t="s">
        <v>17391</v>
      </c>
      <c r="D5437" t="s">
        <v>9496</v>
      </c>
      <c r="E5437" t="s">
        <v>2310</v>
      </c>
      <c r="F5437">
        <v>8</v>
      </c>
      <c r="G5437">
        <v>8.3000000000000007</v>
      </c>
      <c r="H5437" t="s">
        <v>2323</v>
      </c>
      <c r="I5437" s="21">
        <v>43166.472986111097</v>
      </c>
      <c r="J5437">
        <v>2018</v>
      </c>
      <c r="K5437" s="21">
        <v>43265.507336423601</v>
      </c>
      <c r="L5437">
        <v>2018</v>
      </c>
      <c r="M5437" s="21">
        <v>43621.589517476903</v>
      </c>
      <c r="N5437">
        <v>2019</v>
      </c>
      <c r="S5437" t="s">
        <v>9529</v>
      </c>
      <c r="T5437">
        <v>196</v>
      </c>
      <c r="U5437">
        <v>7</v>
      </c>
      <c r="W5437">
        <v>-196</v>
      </c>
      <c r="X5437">
        <v>-1</v>
      </c>
      <c r="Y5437">
        <v>0</v>
      </c>
      <c r="Z5437">
        <v>0</v>
      </c>
      <c r="AA5437">
        <v>0</v>
      </c>
      <c r="AB5437">
        <v>0</v>
      </c>
      <c r="AC5437">
        <v>0</v>
      </c>
      <c r="AD5437">
        <v>0</v>
      </c>
      <c r="AE5437">
        <v>-196</v>
      </c>
      <c r="AF5437">
        <v>0</v>
      </c>
      <c r="AG5437">
        <v>0</v>
      </c>
      <c r="AH5437">
        <v>0</v>
      </c>
      <c r="AI5437">
        <v>0</v>
      </c>
      <c r="AJ5437">
        <v>0</v>
      </c>
      <c r="AK5437">
        <v>0</v>
      </c>
      <c r="AL5437">
        <v>0</v>
      </c>
      <c r="AM5437">
        <v>0</v>
      </c>
      <c r="AN5437">
        <v>0</v>
      </c>
      <c r="AO5437">
        <v>0</v>
      </c>
      <c r="AP5437">
        <v>0</v>
      </c>
      <c r="AQ5437">
        <v>-1</v>
      </c>
      <c r="AR5437">
        <v>0</v>
      </c>
      <c r="AS5437">
        <v>0</v>
      </c>
      <c r="AT5437">
        <v>0</v>
      </c>
      <c r="AU5437">
        <f t="shared" si="168"/>
        <v>-1</v>
      </c>
      <c r="AV5437">
        <f t="shared" si="169"/>
        <v>0</v>
      </c>
    </row>
    <row r="5438" spans="1:48" x14ac:dyDescent="0.25">
      <c r="A5438" t="s">
        <v>17390</v>
      </c>
      <c r="B5438" t="s">
        <v>17390</v>
      </c>
      <c r="C5438" t="s">
        <v>17391</v>
      </c>
      <c r="D5438" t="s">
        <v>9496</v>
      </c>
      <c r="E5438" t="s">
        <v>2310</v>
      </c>
      <c r="F5438">
        <v>8</v>
      </c>
      <c r="G5438">
        <v>8.3000000000000007</v>
      </c>
      <c r="H5438" t="s">
        <v>2323</v>
      </c>
      <c r="I5438" s="21">
        <v>43166.472986111112</v>
      </c>
      <c r="J5438">
        <v>2018</v>
      </c>
      <c r="K5438" s="21">
        <v>43265.507336423609</v>
      </c>
      <c r="L5438">
        <v>2018</v>
      </c>
      <c r="M5438" s="21">
        <v>43621.589517476852</v>
      </c>
      <c r="N5438">
        <v>2019</v>
      </c>
      <c r="Q5438" s="262">
        <v>80000</v>
      </c>
      <c r="R5438" s="262">
        <v>35000</v>
      </c>
      <c r="S5438" t="s">
        <v>12464</v>
      </c>
      <c r="T5438">
        <v>196</v>
      </c>
      <c r="W5438">
        <v>264</v>
      </c>
      <c r="X5438">
        <v>1</v>
      </c>
      <c r="AE5438">
        <v>264</v>
      </c>
      <c r="AQ5438">
        <v>1</v>
      </c>
      <c r="AU5438">
        <f t="shared" si="168"/>
        <v>1</v>
      </c>
      <c r="AV5438">
        <f t="shared" si="169"/>
        <v>0</v>
      </c>
    </row>
    <row r="5439" spans="1:48" x14ac:dyDescent="0.25">
      <c r="A5439" t="s">
        <v>17388</v>
      </c>
      <c r="B5439" t="s">
        <v>17388</v>
      </c>
      <c r="C5439" t="s">
        <v>17389</v>
      </c>
      <c r="D5439" t="s">
        <v>9496</v>
      </c>
      <c r="E5439" t="s">
        <v>2310</v>
      </c>
      <c r="F5439">
        <v>8</v>
      </c>
      <c r="G5439">
        <v>8.3000000000000007</v>
      </c>
      <c r="H5439" t="s">
        <v>2323</v>
      </c>
      <c r="I5439" s="21">
        <v>43166.473182870373</v>
      </c>
      <c r="J5439">
        <v>2018</v>
      </c>
      <c r="K5439" s="21">
        <v>43265.490502048611</v>
      </c>
      <c r="L5439">
        <v>2018</v>
      </c>
      <c r="M5439" s="21">
        <v>43621.590798229168</v>
      </c>
      <c r="N5439">
        <v>2019</v>
      </c>
      <c r="Q5439" s="262">
        <v>80000</v>
      </c>
      <c r="R5439" s="262">
        <v>35000</v>
      </c>
      <c r="S5439" t="s">
        <v>12464</v>
      </c>
      <c r="T5439">
        <v>195</v>
      </c>
      <c r="W5439">
        <v>264</v>
      </c>
      <c r="X5439">
        <v>1</v>
      </c>
      <c r="AE5439">
        <v>264</v>
      </c>
      <c r="AQ5439">
        <v>1</v>
      </c>
      <c r="AU5439">
        <f t="shared" si="168"/>
        <v>1</v>
      </c>
      <c r="AV5439">
        <f t="shared" si="169"/>
        <v>0</v>
      </c>
    </row>
    <row r="5440" spans="1:48" x14ac:dyDescent="0.25">
      <c r="A5440" t="s">
        <v>17388</v>
      </c>
      <c r="B5440" t="s">
        <v>17388</v>
      </c>
      <c r="C5440" t="s">
        <v>17389</v>
      </c>
      <c r="D5440" t="s">
        <v>9496</v>
      </c>
      <c r="E5440" t="s">
        <v>2310</v>
      </c>
      <c r="F5440">
        <v>8</v>
      </c>
      <c r="G5440">
        <v>8.3000000000000007</v>
      </c>
      <c r="H5440" t="s">
        <v>2323</v>
      </c>
      <c r="I5440" s="21">
        <v>43166.473182870403</v>
      </c>
      <c r="J5440">
        <v>2018</v>
      </c>
      <c r="K5440" s="21">
        <v>43265.490502048597</v>
      </c>
      <c r="L5440">
        <v>2018</v>
      </c>
      <c r="M5440" s="21">
        <v>43621.590798229197</v>
      </c>
      <c r="N5440">
        <v>2019</v>
      </c>
      <c r="S5440" t="s">
        <v>9529</v>
      </c>
      <c r="T5440">
        <v>195</v>
      </c>
      <c r="U5440">
        <v>7</v>
      </c>
      <c r="W5440">
        <v>-196</v>
      </c>
      <c r="X5440">
        <v>-1</v>
      </c>
      <c r="Y5440">
        <v>0</v>
      </c>
      <c r="Z5440">
        <v>0</v>
      </c>
      <c r="AA5440">
        <v>0</v>
      </c>
      <c r="AB5440">
        <v>0</v>
      </c>
      <c r="AC5440">
        <v>0</v>
      </c>
      <c r="AD5440">
        <v>0</v>
      </c>
      <c r="AE5440">
        <v>-196</v>
      </c>
      <c r="AF5440">
        <v>0</v>
      </c>
      <c r="AG5440">
        <v>0</v>
      </c>
      <c r="AH5440">
        <v>0</v>
      </c>
      <c r="AI5440">
        <v>0</v>
      </c>
      <c r="AJ5440">
        <v>0</v>
      </c>
      <c r="AK5440">
        <v>0</v>
      </c>
      <c r="AL5440">
        <v>0</v>
      </c>
      <c r="AM5440">
        <v>0</v>
      </c>
      <c r="AN5440">
        <v>0</v>
      </c>
      <c r="AO5440">
        <v>0</v>
      </c>
      <c r="AP5440">
        <v>0</v>
      </c>
      <c r="AQ5440">
        <v>-1</v>
      </c>
      <c r="AR5440">
        <v>0</v>
      </c>
      <c r="AS5440">
        <v>0</v>
      </c>
      <c r="AT5440">
        <v>0</v>
      </c>
      <c r="AU5440">
        <f t="shared" si="168"/>
        <v>-1</v>
      </c>
      <c r="AV5440">
        <f t="shared" si="169"/>
        <v>0</v>
      </c>
    </row>
    <row r="5441" spans="1:48" x14ac:dyDescent="0.25">
      <c r="A5441" t="s">
        <v>17407</v>
      </c>
      <c r="B5441" t="s">
        <v>17407</v>
      </c>
      <c r="C5441" t="s">
        <v>17408</v>
      </c>
      <c r="D5441" t="s">
        <v>9496</v>
      </c>
      <c r="E5441" t="s">
        <v>2310</v>
      </c>
      <c r="F5441">
        <v>8</v>
      </c>
      <c r="G5441">
        <v>8.3000000000000007</v>
      </c>
      <c r="H5441" t="s">
        <v>2323</v>
      </c>
      <c r="I5441" s="21">
        <v>43166.473368055558</v>
      </c>
      <c r="J5441">
        <v>2018</v>
      </c>
      <c r="K5441" s="21">
        <v>43265.487923298613</v>
      </c>
      <c r="L5441">
        <v>2018</v>
      </c>
      <c r="M5441" s="21">
        <v>43621.591862696761</v>
      </c>
      <c r="N5441">
        <v>2019</v>
      </c>
      <c r="Q5441" s="262">
        <v>80000</v>
      </c>
      <c r="R5441" s="262">
        <v>35000</v>
      </c>
      <c r="S5441" t="s">
        <v>12464</v>
      </c>
      <c r="T5441">
        <v>198</v>
      </c>
      <c r="W5441">
        <v>264</v>
      </c>
      <c r="X5441">
        <v>1</v>
      </c>
      <c r="AE5441">
        <v>264</v>
      </c>
      <c r="AQ5441">
        <v>1</v>
      </c>
      <c r="AU5441">
        <f t="shared" si="168"/>
        <v>1</v>
      </c>
      <c r="AV5441">
        <f t="shared" si="169"/>
        <v>0</v>
      </c>
    </row>
    <row r="5442" spans="1:48" x14ac:dyDescent="0.25">
      <c r="A5442" t="s">
        <v>17407</v>
      </c>
      <c r="B5442" t="s">
        <v>17407</v>
      </c>
      <c r="C5442" t="s">
        <v>17408</v>
      </c>
      <c r="D5442" t="s">
        <v>9496</v>
      </c>
      <c r="E5442" t="s">
        <v>2310</v>
      </c>
      <c r="F5442">
        <v>8</v>
      </c>
      <c r="G5442">
        <v>8.3000000000000007</v>
      </c>
      <c r="H5442" t="s">
        <v>2323</v>
      </c>
      <c r="I5442" s="21">
        <v>43166.473368055602</v>
      </c>
      <c r="J5442">
        <v>2018</v>
      </c>
      <c r="K5442" s="21">
        <v>43265.487923298599</v>
      </c>
      <c r="L5442">
        <v>2018</v>
      </c>
      <c r="M5442" s="21">
        <v>43621.591862696798</v>
      </c>
      <c r="N5442">
        <v>2019</v>
      </c>
      <c r="S5442" t="s">
        <v>9529</v>
      </c>
      <c r="T5442">
        <v>198</v>
      </c>
      <c r="U5442">
        <v>7</v>
      </c>
      <c r="W5442">
        <v>-196</v>
      </c>
      <c r="X5442">
        <v>-1</v>
      </c>
      <c r="Y5442">
        <v>0</v>
      </c>
      <c r="Z5442">
        <v>0</v>
      </c>
      <c r="AA5442">
        <v>0</v>
      </c>
      <c r="AB5442">
        <v>0</v>
      </c>
      <c r="AC5442">
        <v>0</v>
      </c>
      <c r="AD5442">
        <v>0</v>
      </c>
      <c r="AE5442">
        <v>-196</v>
      </c>
      <c r="AF5442">
        <v>0</v>
      </c>
      <c r="AG5442">
        <v>0</v>
      </c>
      <c r="AH5442">
        <v>0</v>
      </c>
      <c r="AI5442">
        <v>0</v>
      </c>
      <c r="AJ5442">
        <v>0</v>
      </c>
      <c r="AK5442">
        <v>0</v>
      </c>
      <c r="AL5442">
        <v>0</v>
      </c>
      <c r="AM5442">
        <v>0</v>
      </c>
      <c r="AN5442">
        <v>0</v>
      </c>
      <c r="AO5442">
        <v>0</v>
      </c>
      <c r="AP5442">
        <v>0</v>
      </c>
      <c r="AQ5442">
        <v>-1</v>
      </c>
      <c r="AR5442">
        <v>0</v>
      </c>
      <c r="AS5442">
        <v>0</v>
      </c>
      <c r="AT5442">
        <v>0</v>
      </c>
      <c r="AU5442">
        <f t="shared" si="168"/>
        <v>-1</v>
      </c>
      <c r="AV5442">
        <f t="shared" si="169"/>
        <v>0</v>
      </c>
    </row>
    <row r="5443" spans="1:48" x14ac:dyDescent="0.25">
      <c r="A5443" t="s">
        <v>17392</v>
      </c>
      <c r="B5443" t="s">
        <v>17392</v>
      </c>
      <c r="C5443" t="s">
        <v>17393</v>
      </c>
      <c r="D5443" t="s">
        <v>9496</v>
      </c>
      <c r="E5443" t="s">
        <v>2310</v>
      </c>
      <c r="F5443">
        <v>8</v>
      </c>
      <c r="G5443">
        <v>8.3000000000000007</v>
      </c>
      <c r="H5443" t="s">
        <v>2323</v>
      </c>
      <c r="I5443" s="21">
        <v>43166.473553240699</v>
      </c>
      <c r="J5443">
        <v>2018</v>
      </c>
      <c r="K5443" s="21">
        <v>43265.486418090302</v>
      </c>
      <c r="L5443">
        <v>2018</v>
      </c>
      <c r="M5443" s="21">
        <v>43910.475827002301</v>
      </c>
      <c r="N5443">
        <v>2020</v>
      </c>
      <c r="S5443" t="s">
        <v>9529</v>
      </c>
      <c r="T5443">
        <v>197</v>
      </c>
      <c r="U5443">
        <v>7</v>
      </c>
      <c r="W5443">
        <v>-196</v>
      </c>
      <c r="X5443">
        <v>-1</v>
      </c>
      <c r="Y5443">
        <v>0</v>
      </c>
      <c r="Z5443">
        <v>0</v>
      </c>
      <c r="AA5443">
        <v>0</v>
      </c>
      <c r="AB5443">
        <v>0</v>
      </c>
      <c r="AC5443">
        <v>0</v>
      </c>
      <c r="AD5443">
        <v>0</v>
      </c>
      <c r="AE5443">
        <v>-196</v>
      </c>
      <c r="AF5443">
        <v>0</v>
      </c>
      <c r="AG5443">
        <v>0</v>
      </c>
      <c r="AH5443">
        <v>0</v>
      </c>
      <c r="AI5443">
        <v>0</v>
      </c>
      <c r="AJ5443">
        <v>0</v>
      </c>
      <c r="AK5443">
        <v>0</v>
      </c>
      <c r="AL5443">
        <v>0</v>
      </c>
      <c r="AM5443">
        <v>0</v>
      </c>
      <c r="AN5443">
        <v>0</v>
      </c>
      <c r="AO5443">
        <v>0</v>
      </c>
      <c r="AP5443">
        <v>0</v>
      </c>
      <c r="AQ5443">
        <v>-1</v>
      </c>
      <c r="AR5443">
        <v>0</v>
      </c>
      <c r="AS5443">
        <v>0</v>
      </c>
      <c r="AT5443">
        <v>0</v>
      </c>
      <c r="AU5443">
        <f t="shared" si="168"/>
        <v>-1</v>
      </c>
      <c r="AV5443">
        <f t="shared" si="169"/>
        <v>0</v>
      </c>
    </row>
    <row r="5444" spans="1:48" x14ac:dyDescent="0.25">
      <c r="A5444" t="s">
        <v>17392</v>
      </c>
      <c r="B5444" t="s">
        <v>17392</v>
      </c>
      <c r="C5444" t="s">
        <v>17393</v>
      </c>
      <c r="D5444" t="s">
        <v>9496</v>
      </c>
      <c r="E5444" t="s">
        <v>2310</v>
      </c>
      <c r="F5444">
        <v>8</v>
      </c>
      <c r="G5444">
        <v>8.3000000000000007</v>
      </c>
      <c r="H5444" t="s">
        <v>2323</v>
      </c>
      <c r="I5444" s="21">
        <v>43166.473553240743</v>
      </c>
      <c r="J5444">
        <v>2018</v>
      </c>
      <c r="K5444" s="21">
        <v>43265.48641809028</v>
      </c>
      <c r="L5444">
        <v>2018</v>
      </c>
      <c r="M5444" s="21">
        <v>43910.475827002316</v>
      </c>
      <c r="N5444">
        <v>2020</v>
      </c>
      <c r="Q5444" s="262">
        <v>80000</v>
      </c>
      <c r="R5444" s="262">
        <v>35000</v>
      </c>
      <c r="S5444" t="s">
        <v>12464</v>
      </c>
      <c r="T5444">
        <v>197</v>
      </c>
      <c r="W5444">
        <v>264</v>
      </c>
      <c r="X5444">
        <v>1</v>
      </c>
      <c r="AE5444">
        <v>264</v>
      </c>
      <c r="AQ5444">
        <v>1</v>
      </c>
      <c r="AU5444">
        <f t="shared" si="168"/>
        <v>1</v>
      </c>
      <c r="AV5444">
        <f t="shared" si="169"/>
        <v>0</v>
      </c>
    </row>
    <row r="5445" spans="1:48" x14ac:dyDescent="0.25">
      <c r="A5445" t="s">
        <v>17434</v>
      </c>
      <c r="B5445" t="s">
        <v>17434</v>
      </c>
      <c r="C5445" t="s">
        <v>17435</v>
      </c>
      <c r="D5445" t="s">
        <v>9496</v>
      </c>
      <c r="E5445" t="s">
        <v>2310</v>
      </c>
      <c r="F5445">
        <v>8</v>
      </c>
      <c r="G5445">
        <v>8.3000000000000007</v>
      </c>
      <c r="H5445" t="s">
        <v>2323</v>
      </c>
      <c r="I5445" s="21">
        <v>43166.473749999997</v>
      </c>
      <c r="J5445">
        <v>2018</v>
      </c>
      <c r="K5445" s="21">
        <v>43265.484576886571</v>
      </c>
      <c r="L5445">
        <v>2018</v>
      </c>
      <c r="M5445" s="21">
        <v>43621.595282604168</v>
      </c>
      <c r="N5445">
        <v>2019</v>
      </c>
      <c r="Q5445" s="262">
        <v>80000</v>
      </c>
      <c r="R5445" s="262">
        <v>35000</v>
      </c>
      <c r="S5445" t="s">
        <v>12464</v>
      </c>
      <c r="T5445">
        <v>206</v>
      </c>
      <c r="W5445">
        <v>264</v>
      </c>
      <c r="X5445">
        <v>1</v>
      </c>
      <c r="AE5445">
        <v>264</v>
      </c>
      <c r="AQ5445">
        <v>1</v>
      </c>
      <c r="AU5445">
        <f t="shared" si="168"/>
        <v>1</v>
      </c>
      <c r="AV5445">
        <f t="shared" si="169"/>
        <v>0</v>
      </c>
    </row>
    <row r="5446" spans="1:48" x14ac:dyDescent="0.25">
      <c r="A5446" t="s">
        <v>17434</v>
      </c>
      <c r="B5446" t="s">
        <v>17434</v>
      </c>
      <c r="C5446" t="s">
        <v>17435</v>
      </c>
      <c r="D5446" t="s">
        <v>9496</v>
      </c>
      <c r="E5446" t="s">
        <v>2310</v>
      </c>
      <c r="F5446">
        <v>8</v>
      </c>
      <c r="G5446">
        <v>8.3000000000000007</v>
      </c>
      <c r="H5446" t="s">
        <v>2323</v>
      </c>
      <c r="I5446" s="21">
        <v>43166.473749999997</v>
      </c>
      <c r="J5446">
        <v>2018</v>
      </c>
      <c r="K5446" s="21">
        <v>43265.4845768866</v>
      </c>
      <c r="L5446">
        <v>2018</v>
      </c>
      <c r="M5446" s="21">
        <v>43621.595282604198</v>
      </c>
      <c r="N5446">
        <v>2019</v>
      </c>
      <c r="S5446" t="s">
        <v>9529</v>
      </c>
      <c r="T5446">
        <v>206</v>
      </c>
      <c r="U5446">
        <v>7</v>
      </c>
      <c r="W5446">
        <v>-196</v>
      </c>
      <c r="X5446">
        <v>-1</v>
      </c>
      <c r="Y5446">
        <v>0</v>
      </c>
      <c r="Z5446">
        <v>0</v>
      </c>
      <c r="AA5446">
        <v>0</v>
      </c>
      <c r="AB5446">
        <v>0</v>
      </c>
      <c r="AC5446">
        <v>0</v>
      </c>
      <c r="AD5446">
        <v>0</v>
      </c>
      <c r="AE5446">
        <v>-196</v>
      </c>
      <c r="AF5446">
        <v>0</v>
      </c>
      <c r="AG5446">
        <v>0</v>
      </c>
      <c r="AH5446">
        <v>0</v>
      </c>
      <c r="AI5446">
        <v>0</v>
      </c>
      <c r="AJ5446">
        <v>0</v>
      </c>
      <c r="AK5446">
        <v>0</v>
      </c>
      <c r="AL5446">
        <v>0</v>
      </c>
      <c r="AM5446">
        <v>0</v>
      </c>
      <c r="AN5446">
        <v>0</v>
      </c>
      <c r="AO5446">
        <v>0</v>
      </c>
      <c r="AP5446">
        <v>0</v>
      </c>
      <c r="AQ5446">
        <v>-1</v>
      </c>
      <c r="AR5446">
        <v>0</v>
      </c>
      <c r="AS5446">
        <v>0</v>
      </c>
      <c r="AT5446">
        <v>0</v>
      </c>
      <c r="AU5446">
        <f t="shared" si="168"/>
        <v>-1</v>
      </c>
      <c r="AV5446">
        <f t="shared" si="169"/>
        <v>0</v>
      </c>
    </row>
    <row r="5447" spans="1:48" x14ac:dyDescent="0.25">
      <c r="A5447" t="s">
        <v>17413</v>
      </c>
      <c r="B5447" t="s">
        <v>17413</v>
      </c>
      <c r="C5447" t="s">
        <v>17414</v>
      </c>
      <c r="D5447" t="s">
        <v>9496</v>
      </c>
      <c r="E5447" t="s">
        <v>2310</v>
      </c>
      <c r="F5447">
        <v>8</v>
      </c>
      <c r="G5447">
        <v>8.3000000000000007</v>
      </c>
      <c r="H5447" t="s">
        <v>2323</v>
      </c>
      <c r="I5447" s="21">
        <v>43166.473935185182</v>
      </c>
      <c r="J5447">
        <v>2018</v>
      </c>
      <c r="K5447" s="21">
        <v>43265.481289039351</v>
      </c>
      <c r="L5447">
        <v>2018</v>
      </c>
      <c r="M5447" s="21">
        <v>43621.596382060183</v>
      </c>
      <c r="N5447">
        <v>2019</v>
      </c>
      <c r="Q5447" s="262">
        <v>80000</v>
      </c>
      <c r="R5447" s="262">
        <v>35000</v>
      </c>
      <c r="S5447" t="s">
        <v>12464</v>
      </c>
      <c r="T5447">
        <v>200</v>
      </c>
      <c r="W5447">
        <v>264</v>
      </c>
      <c r="X5447">
        <v>1</v>
      </c>
      <c r="AE5447">
        <v>264</v>
      </c>
      <c r="AQ5447">
        <v>1</v>
      </c>
      <c r="AU5447">
        <f t="shared" si="168"/>
        <v>1</v>
      </c>
      <c r="AV5447">
        <f t="shared" si="169"/>
        <v>0</v>
      </c>
    </row>
    <row r="5448" spans="1:48" x14ac:dyDescent="0.25">
      <c r="A5448" t="s">
        <v>17413</v>
      </c>
      <c r="B5448" t="s">
        <v>17413</v>
      </c>
      <c r="C5448" t="s">
        <v>17414</v>
      </c>
      <c r="D5448" t="s">
        <v>9496</v>
      </c>
      <c r="E5448" t="s">
        <v>2310</v>
      </c>
      <c r="F5448">
        <v>8</v>
      </c>
      <c r="G5448">
        <v>8.3000000000000007</v>
      </c>
      <c r="H5448" t="s">
        <v>2323</v>
      </c>
      <c r="I5448" s="21">
        <v>43166.473935185197</v>
      </c>
      <c r="J5448">
        <v>2018</v>
      </c>
      <c r="K5448" s="21">
        <v>43265.481289039402</v>
      </c>
      <c r="L5448">
        <v>2018</v>
      </c>
      <c r="M5448" s="21">
        <v>43621.596382060197</v>
      </c>
      <c r="N5448">
        <v>2019</v>
      </c>
      <c r="S5448" t="s">
        <v>9529</v>
      </c>
      <c r="T5448">
        <v>200</v>
      </c>
      <c r="U5448">
        <v>7</v>
      </c>
      <c r="W5448">
        <v>-196</v>
      </c>
      <c r="X5448">
        <v>-1</v>
      </c>
      <c r="Y5448">
        <v>0</v>
      </c>
      <c r="Z5448">
        <v>0</v>
      </c>
      <c r="AA5448">
        <v>0</v>
      </c>
      <c r="AB5448">
        <v>0</v>
      </c>
      <c r="AC5448">
        <v>0</v>
      </c>
      <c r="AD5448">
        <v>0</v>
      </c>
      <c r="AE5448">
        <v>-196</v>
      </c>
      <c r="AF5448">
        <v>0</v>
      </c>
      <c r="AG5448">
        <v>0</v>
      </c>
      <c r="AH5448">
        <v>0</v>
      </c>
      <c r="AI5448">
        <v>0</v>
      </c>
      <c r="AJ5448">
        <v>0</v>
      </c>
      <c r="AK5448">
        <v>0</v>
      </c>
      <c r="AL5448">
        <v>0</v>
      </c>
      <c r="AM5448">
        <v>0</v>
      </c>
      <c r="AN5448">
        <v>0</v>
      </c>
      <c r="AO5448">
        <v>0</v>
      </c>
      <c r="AP5448">
        <v>0</v>
      </c>
      <c r="AQ5448">
        <v>-1</v>
      </c>
      <c r="AR5448">
        <v>0</v>
      </c>
      <c r="AS5448">
        <v>0</v>
      </c>
      <c r="AT5448">
        <v>0</v>
      </c>
      <c r="AU5448">
        <f t="shared" si="168"/>
        <v>-1</v>
      </c>
      <c r="AV5448">
        <f t="shared" si="169"/>
        <v>0</v>
      </c>
    </row>
    <row r="5449" spans="1:48" x14ac:dyDescent="0.25">
      <c r="A5449" t="s">
        <v>17415</v>
      </c>
      <c r="B5449" t="s">
        <v>17415</v>
      </c>
      <c r="C5449" t="s">
        <v>17416</v>
      </c>
      <c r="D5449" t="s">
        <v>9496</v>
      </c>
      <c r="E5449" t="s">
        <v>2310</v>
      </c>
      <c r="F5449">
        <v>8</v>
      </c>
      <c r="G5449">
        <v>8.3000000000000007</v>
      </c>
      <c r="H5449" t="s">
        <v>2323</v>
      </c>
      <c r="I5449" s="21">
        <v>43166.474143518499</v>
      </c>
      <c r="J5449">
        <v>2018</v>
      </c>
      <c r="K5449" s="21">
        <v>43265.478330173602</v>
      </c>
      <c r="L5449">
        <v>2018</v>
      </c>
      <c r="M5449" s="21">
        <v>43621.597205208302</v>
      </c>
      <c r="N5449">
        <v>2019</v>
      </c>
      <c r="S5449" t="s">
        <v>9529</v>
      </c>
      <c r="T5449">
        <v>201</v>
      </c>
      <c r="U5449">
        <v>7</v>
      </c>
      <c r="W5449">
        <v>-196</v>
      </c>
      <c r="X5449">
        <v>-1</v>
      </c>
      <c r="Y5449">
        <v>0</v>
      </c>
      <c r="Z5449">
        <v>0</v>
      </c>
      <c r="AA5449">
        <v>0</v>
      </c>
      <c r="AB5449">
        <v>0</v>
      </c>
      <c r="AC5449">
        <v>0</v>
      </c>
      <c r="AD5449">
        <v>0</v>
      </c>
      <c r="AE5449">
        <v>-196</v>
      </c>
      <c r="AF5449">
        <v>0</v>
      </c>
      <c r="AG5449">
        <v>0</v>
      </c>
      <c r="AH5449">
        <v>0</v>
      </c>
      <c r="AI5449">
        <v>0</v>
      </c>
      <c r="AJ5449">
        <v>0</v>
      </c>
      <c r="AK5449">
        <v>0</v>
      </c>
      <c r="AL5449">
        <v>0</v>
      </c>
      <c r="AM5449">
        <v>0</v>
      </c>
      <c r="AN5449">
        <v>0</v>
      </c>
      <c r="AO5449">
        <v>0</v>
      </c>
      <c r="AP5449">
        <v>0</v>
      </c>
      <c r="AQ5449">
        <v>-1</v>
      </c>
      <c r="AR5449">
        <v>0</v>
      </c>
      <c r="AS5449">
        <v>0</v>
      </c>
      <c r="AT5449">
        <v>0</v>
      </c>
      <c r="AU5449">
        <f t="shared" si="168"/>
        <v>-1</v>
      </c>
      <c r="AV5449">
        <f t="shared" si="169"/>
        <v>0</v>
      </c>
    </row>
    <row r="5450" spans="1:48" x14ac:dyDescent="0.25">
      <c r="A5450" t="s">
        <v>17415</v>
      </c>
      <c r="B5450" t="s">
        <v>17415</v>
      </c>
      <c r="C5450" t="s">
        <v>17416</v>
      </c>
      <c r="D5450" t="s">
        <v>9496</v>
      </c>
      <c r="E5450" t="s">
        <v>2310</v>
      </c>
      <c r="F5450">
        <v>8</v>
      </c>
      <c r="G5450">
        <v>8.3000000000000007</v>
      </c>
      <c r="H5450" t="s">
        <v>2323</v>
      </c>
      <c r="I5450" s="21">
        <v>43166.474143518521</v>
      </c>
      <c r="J5450">
        <v>2018</v>
      </c>
      <c r="K5450" s="21">
        <v>43265.47833017361</v>
      </c>
      <c r="L5450">
        <v>2018</v>
      </c>
      <c r="M5450" s="21">
        <v>43621.597205208331</v>
      </c>
      <c r="N5450">
        <v>2019</v>
      </c>
      <c r="Q5450" s="262">
        <v>80000</v>
      </c>
      <c r="R5450" s="262">
        <v>35000</v>
      </c>
      <c r="S5450" t="s">
        <v>12464</v>
      </c>
      <c r="T5450">
        <v>201</v>
      </c>
      <c r="W5450">
        <v>264</v>
      </c>
      <c r="X5450">
        <v>1</v>
      </c>
      <c r="AE5450">
        <v>264</v>
      </c>
      <c r="AQ5450">
        <v>1</v>
      </c>
      <c r="AU5450">
        <f t="shared" si="168"/>
        <v>1</v>
      </c>
      <c r="AV5450">
        <f t="shared" si="169"/>
        <v>0</v>
      </c>
    </row>
    <row r="5451" spans="1:48" x14ac:dyDescent="0.25">
      <c r="A5451" t="s">
        <v>17540</v>
      </c>
      <c r="B5451" t="s">
        <v>17540</v>
      </c>
      <c r="C5451" t="s">
        <v>17541</v>
      </c>
      <c r="D5451" t="s">
        <v>9496</v>
      </c>
      <c r="E5451" t="s">
        <v>2310</v>
      </c>
      <c r="F5451">
        <v>8</v>
      </c>
      <c r="G5451">
        <v>8.3000000000000007</v>
      </c>
      <c r="H5451" t="s">
        <v>2323</v>
      </c>
      <c r="I5451" s="21">
        <v>43166.474328703698</v>
      </c>
      <c r="J5451">
        <v>2018</v>
      </c>
      <c r="K5451" s="21">
        <v>43265.476123495398</v>
      </c>
      <c r="L5451">
        <v>2018</v>
      </c>
      <c r="M5451" s="21">
        <v>43622.348932141198</v>
      </c>
      <c r="N5451">
        <v>2019</v>
      </c>
      <c r="S5451" t="s">
        <v>9529</v>
      </c>
      <c r="T5451">
        <v>219</v>
      </c>
      <c r="U5451">
        <v>7</v>
      </c>
      <c r="W5451">
        <v>-196</v>
      </c>
      <c r="X5451">
        <v>-1</v>
      </c>
      <c r="Y5451">
        <v>0</v>
      </c>
      <c r="Z5451">
        <v>0</v>
      </c>
      <c r="AA5451">
        <v>0</v>
      </c>
      <c r="AB5451">
        <v>0</v>
      </c>
      <c r="AC5451">
        <v>0</v>
      </c>
      <c r="AD5451">
        <v>0</v>
      </c>
      <c r="AE5451">
        <v>-196</v>
      </c>
      <c r="AF5451">
        <v>0</v>
      </c>
      <c r="AG5451">
        <v>0</v>
      </c>
      <c r="AH5451">
        <v>0</v>
      </c>
      <c r="AI5451">
        <v>0</v>
      </c>
      <c r="AJ5451">
        <v>0</v>
      </c>
      <c r="AK5451">
        <v>0</v>
      </c>
      <c r="AL5451">
        <v>0</v>
      </c>
      <c r="AM5451">
        <v>0</v>
      </c>
      <c r="AN5451">
        <v>0</v>
      </c>
      <c r="AO5451">
        <v>0</v>
      </c>
      <c r="AP5451">
        <v>0</v>
      </c>
      <c r="AQ5451">
        <v>-1</v>
      </c>
      <c r="AR5451">
        <v>0</v>
      </c>
      <c r="AS5451">
        <v>0</v>
      </c>
      <c r="AT5451">
        <v>0</v>
      </c>
      <c r="AU5451">
        <f t="shared" si="168"/>
        <v>-1</v>
      </c>
      <c r="AV5451">
        <f t="shared" si="169"/>
        <v>0</v>
      </c>
    </row>
    <row r="5452" spans="1:48" x14ac:dyDescent="0.25">
      <c r="A5452" t="s">
        <v>17540</v>
      </c>
      <c r="B5452" t="s">
        <v>17540</v>
      </c>
      <c r="C5452" t="s">
        <v>17541</v>
      </c>
      <c r="D5452" t="s">
        <v>9496</v>
      </c>
      <c r="E5452" t="s">
        <v>2310</v>
      </c>
      <c r="F5452">
        <v>8</v>
      </c>
      <c r="G5452">
        <v>8.3000000000000007</v>
      </c>
      <c r="H5452" t="s">
        <v>2323</v>
      </c>
      <c r="I5452" s="21">
        <v>43166.474328703705</v>
      </c>
      <c r="J5452">
        <v>2018</v>
      </c>
      <c r="K5452" s="21">
        <v>43265.476123495369</v>
      </c>
      <c r="L5452">
        <v>2018</v>
      </c>
      <c r="M5452" s="21">
        <v>43622.348932141205</v>
      </c>
      <c r="N5452">
        <v>2019</v>
      </c>
      <c r="Q5452" s="262">
        <v>80000</v>
      </c>
      <c r="R5452" s="262">
        <v>35000</v>
      </c>
      <c r="S5452" t="s">
        <v>12464</v>
      </c>
      <c r="T5452">
        <v>219</v>
      </c>
      <c r="W5452">
        <v>264</v>
      </c>
      <c r="X5452">
        <v>1</v>
      </c>
      <c r="AE5452">
        <v>264</v>
      </c>
      <c r="AQ5452">
        <v>1</v>
      </c>
      <c r="AU5452">
        <f t="shared" si="168"/>
        <v>1</v>
      </c>
      <c r="AV5452">
        <f t="shared" si="169"/>
        <v>0</v>
      </c>
    </row>
    <row r="5453" spans="1:48" x14ac:dyDescent="0.25">
      <c r="A5453" t="s">
        <v>17419</v>
      </c>
      <c r="B5453" t="s">
        <v>17419</v>
      </c>
      <c r="C5453" t="s">
        <v>17420</v>
      </c>
      <c r="D5453" t="s">
        <v>9496</v>
      </c>
      <c r="E5453" t="s">
        <v>2310</v>
      </c>
      <c r="F5453">
        <v>8</v>
      </c>
      <c r="G5453">
        <v>8.3000000000000007</v>
      </c>
      <c r="H5453" t="s">
        <v>2323</v>
      </c>
      <c r="I5453" s="21">
        <v>43166.474537037</v>
      </c>
      <c r="J5453">
        <v>2018</v>
      </c>
      <c r="K5453" s="21">
        <v>43265.473906863401</v>
      </c>
      <c r="L5453">
        <v>2018</v>
      </c>
      <c r="M5453" s="21">
        <v>43621.598285150503</v>
      </c>
      <c r="N5453">
        <v>2019</v>
      </c>
      <c r="S5453" t="s">
        <v>9529</v>
      </c>
      <c r="T5453">
        <v>202</v>
      </c>
      <c r="U5453">
        <v>7</v>
      </c>
      <c r="W5453">
        <v>-196</v>
      </c>
      <c r="X5453">
        <v>-1</v>
      </c>
      <c r="Y5453">
        <v>0</v>
      </c>
      <c r="Z5453">
        <v>0</v>
      </c>
      <c r="AA5453">
        <v>0</v>
      </c>
      <c r="AB5453">
        <v>0</v>
      </c>
      <c r="AC5453">
        <v>0</v>
      </c>
      <c r="AD5453">
        <v>0</v>
      </c>
      <c r="AE5453">
        <v>-196</v>
      </c>
      <c r="AF5453">
        <v>0</v>
      </c>
      <c r="AG5453">
        <v>0</v>
      </c>
      <c r="AH5453">
        <v>0</v>
      </c>
      <c r="AI5453">
        <v>0</v>
      </c>
      <c r="AJ5453">
        <v>0</v>
      </c>
      <c r="AK5453">
        <v>0</v>
      </c>
      <c r="AL5453">
        <v>0</v>
      </c>
      <c r="AM5453">
        <v>0</v>
      </c>
      <c r="AN5453">
        <v>0</v>
      </c>
      <c r="AO5453">
        <v>0</v>
      </c>
      <c r="AP5453">
        <v>0</v>
      </c>
      <c r="AQ5453">
        <v>-1</v>
      </c>
      <c r="AR5453">
        <v>0</v>
      </c>
      <c r="AS5453">
        <v>0</v>
      </c>
      <c r="AT5453">
        <v>0</v>
      </c>
      <c r="AU5453">
        <f t="shared" si="168"/>
        <v>-1</v>
      </c>
      <c r="AV5453">
        <f t="shared" si="169"/>
        <v>0</v>
      </c>
    </row>
    <row r="5454" spans="1:48" x14ac:dyDescent="0.25">
      <c r="A5454" t="s">
        <v>17419</v>
      </c>
      <c r="B5454" t="s">
        <v>17419</v>
      </c>
      <c r="C5454" t="s">
        <v>17420</v>
      </c>
      <c r="D5454" t="s">
        <v>9496</v>
      </c>
      <c r="E5454" t="s">
        <v>2310</v>
      </c>
      <c r="F5454">
        <v>8</v>
      </c>
      <c r="G5454">
        <v>8.3000000000000007</v>
      </c>
      <c r="H5454" t="s">
        <v>2323</v>
      </c>
      <c r="I5454" s="21">
        <v>43166.474537037036</v>
      </c>
      <c r="J5454">
        <v>2018</v>
      </c>
      <c r="K5454" s="21">
        <v>43265.473906863423</v>
      </c>
      <c r="L5454">
        <v>2018</v>
      </c>
      <c r="M5454" s="21">
        <v>43621.59828515046</v>
      </c>
      <c r="N5454">
        <v>2019</v>
      </c>
      <c r="Q5454" s="262">
        <v>80000</v>
      </c>
      <c r="R5454" s="262">
        <v>35000</v>
      </c>
      <c r="S5454" t="s">
        <v>12464</v>
      </c>
      <c r="T5454">
        <v>202</v>
      </c>
      <c r="W5454">
        <v>264</v>
      </c>
      <c r="X5454">
        <v>1</v>
      </c>
      <c r="AE5454">
        <v>264</v>
      </c>
      <c r="AQ5454">
        <v>1</v>
      </c>
      <c r="AU5454">
        <f t="shared" si="168"/>
        <v>1</v>
      </c>
      <c r="AV5454">
        <f t="shared" si="169"/>
        <v>0</v>
      </c>
    </row>
    <row r="5455" spans="1:48" x14ac:dyDescent="0.25">
      <c r="A5455" t="s">
        <v>17421</v>
      </c>
      <c r="B5455" t="s">
        <v>17421</v>
      </c>
      <c r="C5455" t="s">
        <v>17422</v>
      </c>
      <c r="D5455" t="s">
        <v>9496</v>
      </c>
      <c r="E5455" t="s">
        <v>2310</v>
      </c>
      <c r="F5455">
        <v>8</v>
      </c>
      <c r="G5455">
        <v>8.3000000000000007</v>
      </c>
      <c r="H5455" t="s">
        <v>2323</v>
      </c>
      <c r="I5455" s="21">
        <v>43166.474733796298</v>
      </c>
      <c r="J5455">
        <v>2018</v>
      </c>
      <c r="K5455" s="21">
        <v>43265.47186701389</v>
      </c>
      <c r="L5455">
        <v>2018</v>
      </c>
      <c r="M5455" s="21">
        <v>43621.599364618058</v>
      </c>
      <c r="N5455">
        <v>2019</v>
      </c>
      <c r="Q5455" s="262">
        <v>80000</v>
      </c>
      <c r="R5455" s="262">
        <v>35000</v>
      </c>
      <c r="S5455" t="s">
        <v>12464</v>
      </c>
      <c r="T5455">
        <v>203</v>
      </c>
      <c r="W5455">
        <v>264</v>
      </c>
      <c r="X5455">
        <v>1</v>
      </c>
      <c r="AE5455">
        <v>264</v>
      </c>
      <c r="AQ5455">
        <v>1</v>
      </c>
      <c r="AU5455">
        <f t="shared" si="168"/>
        <v>1</v>
      </c>
      <c r="AV5455">
        <f t="shared" si="169"/>
        <v>0</v>
      </c>
    </row>
    <row r="5456" spans="1:48" x14ac:dyDescent="0.25">
      <c r="A5456" t="s">
        <v>17421</v>
      </c>
      <c r="B5456" t="s">
        <v>17421</v>
      </c>
      <c r="C5456" t="s">
        <v>17422</v>
      </c>
      <c r="D5456" t="s">
        <v>9496</v>
      </c>
      <c r="E5456" t="s">
        <v>2310</v>
      </c>
      <c r="F5456">
        <v>8</v>
      </c>
      <c r="G5456">
        <v>8.3000000000000007</v>
      </c>
      <c r="H5456" t="s">
        <v>2323</v>
      </c>
      <c r="I5456" s="21">
        <v>43166.474733796298</v>
      </c>
      <c r="J5456">
        <v>2018</v>
      </c>
      <c r="K5456" s="21">
        <v>43265.471867013897</v>
      </c>
      <c r="L5456">
        <v>2018</v>
      </c>
      <c r="M5456" s="21">
        <v>43621.599364618101</v>
      </c>
      <c r="N5456">
        <v>2019</v>
      </c>
      <c r="S5456" t="s">
        <v>9529</v>
      </c>
      <c r="T5456">
        <v>203</v>
      </c>
      <c r="U5456">
        <v>7</v>
      </c>
      <c r="W5456">
        <v>-196</v>
      </c>
      <c r="X5456">
        <v>-1</v>
      </c>
      <c r="Y5456">
        <v>0</v>
      </c>
      <c r="Z5456">
        <v>0</v>
      </c>
      <c r="AA5456">
        <v>0</v>
      </c>
      <c r="AB5456">
        <v>0</v>
      </c>
      <c r="AC5456">
        <v>0</v>
      </c>
      <c r="AD5456">
        <v>0</v>
      </c>
      <c r="AE5456">
        <v>-196</v>
      </c>
      <c r="AF5456">
        <v>0</v>
      </c>
      <c r="AG5456">
        <v>0</v>
      </c>
      <c r="AH5456">
        <v>0</v>
      </c>
      <c r="AI5456">
        <v>0</v>
      </c>
      <c r="AJ5456">
        <v>0</v>
      </c>
      <c r="AK5456">
        <v>0</v>
      </c>
      <c r="AL5456">
        <v>0</v>
      </c>
      <c r="AM5456">
        <v>0</v>
      </c>
      <c r="AN5456">
        <v>0</v>
      </c>
      <c r="AO5456">
        <v>0</v>
      </c>
      <c r="AP5456">
        <v>0</v>
      </c>
      <c r="AQ5456">
        <v>-1</v>
      </c>
      <c r="AR5456">
        <v>0</v>
      </c>
      <c r="AS5456">
        <v>0</v>
      </c>
      <c r="AT5456">
        <v>0</v>
      </c>
      <c r="AU5456">
        <f t="shared" si="168"/>
        <v>-1</v>
      </c>
      <c r="AV5456">
        <f t="shared" si="169"/>
        <v>0</v>
      </c>
    </row>
    <row r="5457" spans="1:48" x14ac:dyDescent="0.25">
      <c r="A5457" t="s">
        <v>17427</v>
      </c>
      <c r="B5457" t="s">
        <v>17427</v>
      </c>
      <c r="C5457" t="s">
        <v>17428</v>
      </c>
      <c r="D5457" t="s">
        <v>9496</v>
      </c>
      <c r="E5457" t="s">
        <v>2310</v>
      </c>
      <c r="F5457">
        <v>8</v>
      </c>
      <c r="G5457">
        <v>8.3000000000000007</v>
      </c>
      <c r="H5457" t="s">
        <v>2323</v>
      </c>
      <c r="I5457" s="21">
        <v>43166.4749421296</v>
      </c>
      <c r="J5457">
        <v>2018</v>
      </c>
      <c r="K5457" s="21">
        <v>43265.469973692103</v>
      </c>
      <c r="L5457">
        <v>2018</v>
      </c>
      <c r="M5457" s="21">
        <v>43621.600279942097</v>
      </c>
      <c r="N5457">
        <v>2019</v>
      </c>
      <c r="S5457" t="s">
        <v>9529</v>
      </c>
      <c r="T5457">
        <v>204</v>
      </c>
      <c r="U5457">
        <v>7</v>
      </c>
      <c r="W5457">
        <v>-196</v>
      </c>
      <c r="X5457">
        <v>-1</v>
      </c>
      <c r="Y5457">
        <v>0</v>
      </c>
      <c r="Z5457">
        <v>0</v>
      </c>
      <c r="AA5457">
        <v>0</v>
      </c>
      <c r="AB5457">
        <v>0</v>
      </c>
      <c r="AC5457">
        <v>0</v>
      </c>
      <c r="AD5457">
        <v>0</v>
      </c>
      <c r="AE5457">
        <v>-196</v>
      </c>
      <c r="AF5457">
        <v>0</v>
      </c>
      <c r="AG5457">
        <v>0</v>
      </c>
      <c r="AH5457">
        <v>0</v>
      </c>
      <c r="AI5457">
        <v>0</v>
      </c>
      <c r="AJ5457">
        <v>0</v>
      </c>
      <c r="AK5457">
        <v>0</v>
      </c>
      <c r="AL5457">
        <v>0</v>
      </c>
      <c r="AM5457">
        <v>0</v>
      </c>
      <c r="AN5457">
        <v>0</v>
      </c>
      <c r="AO5457">
        <v>0</v>
      </c>
      <c r="AP5457">
        <v>0</v>
      </c>
      <c r="AQ5457">
        <v>-1</v>
      </c>
      <c r="AR5457">
        <v>0</v>
      </c>
      <c r="AS5457">
        <v>0</v>
      </c>
      <c r="AT5457">
        <v>0</v>
      </c>
      <c r="AU5457">
        <f t="shared" si="168"/>
        <v>-1</v>
      </c>
      <c r="AV5457">
        <f t="shared" si="169"/>
        <v>0</v>
      </c>
    </row>
    <row r="5458" spans="1:48" x14ac:dyDescent="0.25">
      <c r="A5458" t="s">
        <v>17427</v>
      </c>
      <c r="B5458" t="s">
        <v>17427</v>
      </c>
      <c r="C5458" t="s">
        <v>17428</v>
      </c>
      <c r="D5458" t="s">
        <v>9496</v>
      </c>
      <c r="E5458" t="s">
        <v>2310</v>
      </c>
      <c r="F5458">
        <v>8</v>
      </c>
      <c r="G5458">
        <v>8.3000000000000007</v>
      </c>
      <c r="H5458" t="s">
        <v>2323</v>
      </c>
      <c r="I5458" s="21">
        <v>43166.474942129629</v>
      </c>
      <c r="J5458">
        <v>2018</v>
      </c>
      <c r="K5458" s="21">
        <v>43265.469973692132</v>
      </c>
      <c r="L5458">
        <v>2018</v>
      </c>
      <c r="M5458" s="21">
        <v>43621.600279942133</v>
      </c>
      <c r="N5458">
        <v>2019</v>
      </c>
      <c r="Q5458" s="262">
        <v>80000</v>
      </c>
      <c r="R5458" s="262">
        <v>35000</v>
      </c>
      <c r="S5458" t="s">
        <v>12464</v>
      </c>
      <c r="T5458">
        <v>204</v>
      </c>
      <c r="W5458">
        <v>264</v>
      </c>
      <c r="X5458">
        <v>1</v>
      </c>
      <c r="AE5458">
        <v>264</v>
      </c>
      <c r="AQ5458">
        <v>1</v>
      </c>
      <c r="AU5458">
        <f t="shared" si="168"/>
        <v>1</v>
      </c>
      <c r="AV5458">
        <f t="shared" si="169"/>
        <v>0</v>
      </c>
    </row>
    <row r="5459" spans="1:48" x14ac:dyDescent="0.25">
      <c r="A5459" t="s">
        <v>17432</v>
      </c>
      <c r="B5459" t="s">
        <v>17432</v>
      </c>
      <c r="C5459" t="s">
        <v>17433</v>
      </c>
      <c r="D5459" t="s">
        <v>9496</v>
      </c>
      <c r="E5459" t="s">
        <v>2310</v>
      </c>
      <c r="F5459">
        <v>8</v>
      </c>
      <c r="G5459">
        <v>8.3000000000000007</v>
      </c>
      <c r="H5459" t="s">
        <v>2323</v>
      </c>
      <c r="I5459" s="21">
        <v>43166.47515046296</v>
      </c>
      <c r="J5459">
        <v>2018</v>
      </c>
      <c r="K5459" s="21">
        <v>43265.46743070602</v>
      </c>
      <c r="L5459">
        <v>2018</v>
      </c>
      <c r="M5459" s="21">
        <v>43621.603201192127</v>
      </c>
      <c r="N5459">
        <v>2019</v>
      </c>
      <c r="Q5459" s="262">
        <v>80000</v>
      </c>
      <c r="R5459" s="262">
        <v>35000</v>
      </c>
      <c r="S5459" t="s">
        <v>12464</v>
      </c>
      <c r="T5459">
        <v>205</v>
      </c>
      <c r="W5459">
        <v>264</v>
      </c>
      <c r="X5459">
        <v>1</v>
      </c>
      <c r="AE5459">
        <v>264</v>
      </c>
      <c r="AQ5459">
        <v>1</v>
      </c>
      <c r="AU5459">
        <f t="shared" si="168"/>
        <v>1</v>
      </c>
      <c r="AV5459">
        <f t="shared" si="169"/>
        <v>0</v>
      </c>
    </row>
    <row r="5460" spans="1:48" x14ac:dyDescent="0.25">
      <c r="A5460" t="s">
        <v>17432</v>
      </c>
      <c r="B5460" t="s">
        <v>17432</v>
      </c>
      <c r="C5460" t="s">
        <v>17433</v>
      </c>
      <c r="D5460" t="s">
        <v>9496</v>
      </c>
      <c r="E5460" t="s">
        <v>2310</v>
      </c>
      <c r="F5460">
        <v>8</v>
      </c>
      <c r="G5460">
        <v>8.3000000000000007</v>
      </c>
      <c r="H5460" t="s">
        <v>2323</v>
      </c>
      <c r="I5460" s="21">
        <v>43166.475150462997</v>
      </c>
      <c r="J5460">
        <v>2018</v>
      </c>
      <c r="K5460" s="21">
        <v>43265.467430705998</v>
      </c>
      <c r="L5460">
        <v>2018</v>
      </c>
      <c r="M5460" s="21">
        <v>43621.603201192098</v>
      </c>
      <c r="N5460">
        <v>2019</v>
      </c>
      <c r="S5460" t="s">
        <v>9529</v>
      </c>
      <c r="T5460">
        <v>205</v>
      </c>
      <c r="U5460">
        <v>7</v>
      </c>
      <c r="W5460">
        <v>-196</v>
      </c>
      <c r="X5460">
        <v>-1</v>
      </c>
      <c r="Y5460">
        <v>0</v>
      </c>
      <c r="Z5460">
        <v>0</v>
      </c>
      <c r="AA5460">
        <v>0</v>
      </c>
      <c r="AB5460">
        <v>0</v>
      </c>
      <c r="AC5460">
        <v>0</v>
      </c>
      <c r="AD5460">
        <v>0</v>
      </c>
      <c r="AE5460">
        <v>-196</v>
      </c>
      <c r="AF5460">
        <v>0</v>
      </c>
      <c r="AG5460">
        <v>0</v>
      </c>
      <c r="AH5460">
        <v>0</v>
      </c>
      <c r="AI5460">
        <v>0</v>
      </c>
      <c r="AJ5460">
        <v>0</v>
      </c>
      <c r="AK5460">
        <v>0</v>
      </c>
      <c r="AL5460">
        <v>0</v>
      </c>
      <c r="AM5460">
        <v>0</v>
      </c>
      <c r="AN5460">
        <v>0</v>
      </c>
      <c r="AO5460">
        <v>0</v>
      </c>
      <c r="AP5460">
        <v>0</v>
      </c>
      <c r="AQ5460">
        <v>-1</v>
      </c>
      <c r="AR5460">
        <v>0</v>
      </c>
      <c r="AS5460">
        <v>0</v>
      </c>
      <c r="AT5460">
        <v>0</v>
      </c>
      <c r="AU5460">
        <f t="shared" si="168"/>
        <v>-1</v>
      </c>
      <c r="AV5460">
        <f t="shared" si="169"/>
        <v>0</v>
      </c>
    </row>
    <row r="5461" spans="1:48" x14ac:dyDescent="0.25">
      <c r="A5461" t="s">
        <v>19138</v>
      </c>
      <c r="B5461" t="s">
        <v>19138</v>
      </c>
      <c r="C5461" t="s">
        <v>19139</v>
      </c>
      <c r="D5461" t="s">
        <v>9496</v>
      </c>
      <c r="E5461" t="s">
        <v>2310</v>
      </c>
      <c r="F5461">
        <v>8</v>
      </c>
      <c r="G5461">
        <v>8.3000000000000007</v>
      </c>
      <c r="H5461" t="s">
        <v>2323</v>
      </c>
      <c r="I5461" s="21">
        <v>43166.475347222222</v>
      </c>
      <c r="J5461">
        <v>2018</v>
      </c>
      <c r="K5461" s="21">
        <v>43265.465527928238</v>
      </c>
      <c r="L5461">
        <v>2018</v>
      </c>
      <c r="M5461" s="21">
        <v>43789.47128888889</v>
      </c>
      <c r="N5461">
        <v>2019</v>
      </c>
      <c r="Q5461" s="262">
        <v>80000</v>
      </c>
      <c r="R5461" s="262">
        <v>35000</v>
      </c>
      <c r="S5461" t="s">
        <v>13254</v>
      </c>
      <c r="W5461">
        <v>264</v>
      </c>
      <c r="X5461">
        <v>1</v>
      </c>
      <c r="AE5461">
        <v>264</v>
      </c>
      <c r="AQ5461">
        <v>1</v>
      </c>
      <c r="AU5461">
        <f t="shared" si="168"/>
        <v>1</v>
      </c>
      <c r="AV5461">
        <f t="shared" si="169"/>
        <v>0</v>
      </c>
    </row>
    <row r="5462" spans="1:48" x14ac:dyDescent="0.25">
      <c r="A5462" t="s">
        <v>18759</v>
      </c>
      <c r="B5462" t="s">
        <v>18759</v>
      </c>
      <c r="C5462" t="s">
        <v>18760</v>
      </c>
      <c r="D5462" t="s">
        <v>9496</v>
      </c>
      <c r="E5462" t="s">
        <v>2310</v>
      </c>
      <c r="F5462">
        <v>8</v>
      </c>
      <c r="G5462">
        <v>8.3000000000000007</v>
      </c>
      <c r="H5462" t="s">
        <v>2323</v>
      </c>
      <c r="I5462" s="21">
        <v>43166.475601851853</v>
      </c>
      <c r="J5462">
        <v>2018</v>
      </c>
      <c r="K5462" s="21">
        <v>43265.461973645833</v>
      </c>
      <c r="L5462">
        <v>2018</v>
      </c>
      <c r="M5462" s="21">
        <v>43621.629635219906</v>
      </c>
      <c r="N5462">
        <v>2019</v>
      </c>
      <c r="Q5462" s="262">
        <v>80000</v>
      </c>
      <c r="R5462" s="262">
        <v>35000</v>
      </c>
      <c r="S5462" t="s">
        <v>13254</v>
      </c>
      <c r="W5462">
        <v>264</v>
      </c>
      <c r="X5462">
        <v>1</v>
      </c>
      <c r="AE5462">
        <v>264</v>
      </c>
      <c r="AQ5462">
        <v>1</v>
      </c>
      <c r="AU5462">
        <f t="shared" si="168"/>
        <v>1</v>
      </c>
      <c r="AV5462">
        <f t="shared" si="169"/>
        <v>0</v>
      </c>
    </row>
    <row r="5463" spans="1:48" x14ac:dyDescent="0.25">
      <c r="A5463" t="s">
        <v>18755</v>
      </c>
      <c r="B5463" t="s">
        <v>18755</v>
      </c>
      <c r="C5463" t="s">
        <v>18756</v>
      </c>
      <c r="D5463" t="s">
        <v>14669</v>
      </c>
      <c r="E5463" t="s">
        <v>2310</v>
      </c>
      <c r="F5463">
        <v>9</v>
      </c>
      <c r="G5463">
        <v>9.3000000000000007</v>
      </c>
      <c r="H5463" t="s">
        <v>2323</v>
      </c>
      <c r="I5463" s="21">
        <v>43166.516851851855</v>
      </c>
      <c r="J5463">
        <v>2018</v>
      </c>
      <c r="K5463" s="21">
        <v>43326.375359178244</v>
      </c>
      <c r="L5463">
        <v>2018</v>
      </c>
      <c r="M5463" s="21">
        <v>43689.487422303238</v>
      </c>
      <c r="N5463">
        <v>2019</v>
      </c>
      <c r="Q5463" s="262">
        <v>5498307</v>
      </c>
      <c r="R5463" s="262">
        <v>1370000</v>
      </c>
      <c r="S5463" t="s">
        <v>12464</v>
      </c>
      <c r="T5463">
        <v>8894</v>
      </c>
      <c r="W5463">
        <v>22861</v>
      </c>
      <c r="X5463">
        <v>0</v>
      </c>
      <c r="AM5463">
        <v>22861</v>
      </c>
      <c r="AU5463">
        <f t="shared" si="168"/>
        <v>0</v>
      </c>
      <c r="AV5463">
        <f t="shared" si="169"/>
        <v>22861</v>
      </c>
    </row>
    <row r="5464" spans="1:48" x14ac:dyDescent="0.25">
      <c r="A5464" t="s">
        <v>18755</v>
      </c>
      <c r="B5464" t="s">
        <v>18755</v>
      </c>
      <c r="C5464" t="s">
        <v>18756</v>
      </c>
      <c r="D5464" t="s">
        <v>14669</v>
      </c>
      <c r="E5464" t="s">
        <v>2310</v>
      </c>
      <c r="F5464">
        <v>9</v>
      </c>
      <c r="G5464">
        <v>9.3000000000000007</v>
      </c>
      <c r="H5464" t="s">
        <v>2323</v>
      </c>
      <c r="I5464" s="21">
        <v>43166.516851851899</v>
      </c>
      <c r="J5464">
        <v>2018</v>
      </c>
      <c r="K5464" s="21">
        <v>43326.375359178201</v>
      </c>
      <c r="L5464">
        <v>2018</v>
      </c>
      <c r="M5464" s="21">
        <v>43689.487422303202</v>
      </c>
      <c r="N5464">
        <v>2019</v>
      </c>
      <c r="S5464" t="s">
        <v>9529</v>
      </c>
      <c r="T5464">
        <v>8894</v>
      </c>
      <c r="U5464">
        <v>15</v>
      </c>
      <c r="W5464">
        <v>-6700</v>
      </c>
      <c r="X5464">
        <v>0</v>
      </c>
      <c r="Y5464">
        <v>0</v>
      </c>
      <c r="Z5464">
        <v>0</v>
      </c>
      <c r="AA5464">
        <v>0</v>
      </c>
      <c r="AB5464">
        <v>0</v>
      </c>
      <c r="AC5464">
        <v>0</v>
      </c>
      <c r="AD5464">
        <v>0</v>
      </c>
      <c r="AE5464">
        <v>0</v>
      </c>
      <c r="AF5464">
        <v>0</v>
      </c>
      <c r="AG5464">
        <v>0</v>
      </c>
      <c r="AH5464">
        <v>0</v>
      </c>
      <c r="AI5464">
        <v>0</v>
      </c>
      <c r="AJ5464">
        <v>0</v>
      </c>
      <c r="AK5464">
        <v>0</v>
      </c>
      <c r="AL5464">
        <v>0</v>
      </c>
      <c r="AM5464">
        <v>-6700</v>
      </c>
      <c r="AN5464">
        <v>0</v>
      </c>
      <c r="AO5464">
        <v>0</v>
      </c>
      <c r="AP5464">
        <v>0</v>
      </c>
      <c r="AQ5464">
        <v>0</v>
      </c>
      <c r="AR5464">
        <v>0</v>
      </c>
      <c r="AS5464">
        <v>0</v>
      </c>
      <c r="AT5464">
        <v>0</v>
      </c>
      <c r="AU5464">
        <f t="shared" si="168"/>
        <v>0</v>
      </c>
      <c r="AV5464">
        <f t="shared" si="169"/>
        <v>-6700</v>
      </c>
    </row>
    <row r="5465" spans="1:48" x14ac:dyDescent="0.25">
      <c r="A5465" t="s">
        <v>19451</v>
      </c>
      <c r="B5465" t="s">
        <v>114</v>
      </c>
      <c r="C5465" t="s">
        <v>19452</v>
      </c>
      <c r="D5465" t="s">
        <v>19453</v>
      </c>
      <c r="E5465" t="s">
        <v>1663</v>
      </c>
      <c r="F5465">
        <v>6</v>
      </c>
      <c r="G5465">
        <v>6.2</v>
      </c>
      <c r="H5465" t="s">
        <v>2017</v>
      </c>
      <c r="I5465" s="21">
        <v>43167</v>
      </c>
      <c r="J5465">
        <v>2018</v>
      </c>
      <c r="K5465" s="21">
        <v>43398</v>
      </c>
      <c r="L5465">
        <v>2018</v>
      </c>
      <c r="M5465" s="21">
        <v>44041</v>
      </c>
      <c r="N5465">
        <v>2020</v>
      </c>
      <c r="Q5465" s="262">
        <v>1292000</v>
      </c>
      <c r="S5465" t="s">
        <v>13254</v>
      </c>
      <c r="W5465">
        <v>5421</v>
      </c>
      <c r="X5465">
        <v>1</v>
      </c>
      <c r="AC5465">
        <v>5421</v>
      </c>
      <c r="AO5465">
        <v>1</v>
      </c>
      <c r="AU5465">
        <f t="shared" ref="AU5465:AU5528" si="170">SUM(AN5465:AQ5465,AS5465)</f>
        <v>1</v>
      </c>
      <c r="AV5465">
        <f t="shared" ref="AV5465:AV5528" si="171">SUM(Y5465:AB5465,AH5465:AM5465)</f>
        <v>0</v>
      </c>
    </row>
    <row r="5466" spans="1:48" x14ac:dyDescent="0.25">
      <c r="A5466" t="s">
        <v>18739</v>
      </c>
      <c r="B5466" t="s">
        <v>18739</v>
      </c>
      <c r="C5466" t="s">
        <v>18740</v>
      </c>
      <c r="D5466" t="s">
        <v>13648</v>
      </c>
      <c r="E5466" t="s">
        <v>2310</v>
      </c>
      <c r="F5466">
        <v>13</v>
      </c>
      <c r="G5466">
        <v>13.1</v>
      </c>
      <c r="H5466" t="s">
        <v>2327</v>
      </c>
      <c r="I5466" s="21">
        <v>43167.540729166663</v>
      </c>
      <c r="J5466">
        <v>2018</v>
      </c>
      <c r="K5466" s="21">
        <v>43601.339605821762</v>
      </c>
      <c r="L5466">
        <v>2019</v>
      </c>
      <c r="M5466" s="21">
        <v>43840.65183480324</v>
      </c>
      <c r="N5466">
        <v>2020</v>
      </c>
      <c r="Q5466" s="262">
        <v>7400000</v>
      </c>
      <c r="R5466" s="262">
        <v>984111.95</v>
      </c>
      <c r="S5466" t="s">
        <v>13253</v>
      </c>
      <c r="T5466">
        <v>8390</v>
      </c>
      <c r="V5466">
        <v>9375</v>
      </c>
      <c r="W5466">
        <v>0</v>
      </c>
      <c r="X5466">
        <v>2</v>
      </c>
      <c r="AH5466">
        <v>-705</v>
      </c>
      <c r="AI5466">
        <v>705</v>
      </c>
      <c r="AT5466">
        <v>2</v>
      </c>
      <c r="AU5466">
        <f t="shared" si="170"/>
        <v>0</v>
      </c>
      <c r="AV5466">
        <f t="shared" si="171"/>
        <v>0</v>
      </c>
    </row>
    <row r="5467" spans="1:48" x14ac:dyDescent="0.25">
      <c r="A5467" t="s">
        <v>13782</v>
      </c>
      <c r="C5467" t="s">
        <v>13129</v>
      </c>
      <c r="D5467" t="s">
        <v>9694</v>
      </c>
      <c r="E5467" t="s">
        <v>1663</v>
      </c>
      <c r="F5467">
        <v>2</v>
      </c>
      <c r="G5467">
        <v>2.2999999999999998</v>
      </c>
      <c r="H5467" t="s">
        <v>2327</v>
      </c>
      <c r="I5467" s="21">
        <v>43168</v>
      </c>
      <c r="J5467">
        <v>2018</v>
      </c>
      <c r="K5467" s="21">
        <v>43202</v>
      </c>
      <c r="L5467">
        <v>2018</v>
      </c>
      <c r="M5467" s="21">
        <v>43334</v>
      </c>
      <c r="N5467">
        <v>2018</v>
      </c>
      <c r="Q5467" s="262">
        <v>96830</v>
      </c>
      <c r="S5467" t="s">
        <v>114</v>
      </c>
      <c r="T5467" t="s">
        <v>114</v>
      </c>
      <c r="W5467">
        <v>0</v>
      </c>
      <c r="X5467">
        <v>0</v>
      </c>
      <c r="AU5467">
        <f t="shared" si="170"/>
        <v>0</v>
      </c>
      <c r="AV5467">
        <f t="shared" si="171"/>
        <v>0</v>
      </c>
    </row>
    <row r="5468" spans="1:48" x14ac:dyDescent="0.25">
      <c r="A5468" t="s">
        <v>19486</v>
      </c>
      <c r="B5468" t="s">
        <v>19486</v>
      </c>
      <c r="C5468" t="s">
        <v>19487</v>
      </c>
      <c r="D5468" t="s">
        <v>19488</v>
      </c>
      <c r="E5468" t="s">
        <v>2310</v>
      </c>
      <c r="F5468">
        <v>13</v>
      </c>
      <c r="G5468">
        <v>13.3</v>
      </c>
      <c r="H5468" t="s">
        <v>2017</v>
      </c>
      <c r="I5468" s="21">
        <v>43172.475266203706</v>
      </c>
      <c r="J5468">
        <v>2018</v>
      </c>
      <c r="K5468" s="21">
        <v>43213.652337962965</v>
      </c>
      <c r="L5468">
        <v>2018</v>
      </c>
      <c r="M5468" s="21">
        <v>44061.43086458333</v>
      </c>
      <c r="N5468">
        <v>2020</v>
      </c>
      <c r="Q5468" s="262">
        <v>4800000</v>
      </c>
      <c r="R5468" s="262">
        <v>738000</v>
      </c>
      <c r="S5468" t="s">
        <v>13254</v>
      </c>
      <c r="W5468">
        <v>5732</v>
      </c>
      <c r="X5468">
        <v>1</v>
      </c>
      <c r="AC5468">
        <v>5732</v>
      </c>
      <c r="AO5468">
        <v>1</v>
      </c>
      <c r="AU5468">
        <f t="shared" si="170"/>
        <v>1</v>
      </c>
      <c r="AV5468">
        <f t="shared" si="171"/>
        <v>0</v>
      </c>
    </row>
    <row r="5469" spans="1:48" x14ac:dyDescent="0.25">
      <c r="A5469" t="s">
        <v>13783</v>
      </c>
      <c r="C5469" t="s">
        <v>13784</v>
      </c>
      <c r="D5469" t="s">
        <v>13785</v>
      </c>
      <c r="E5469" t="s">
        <v>1663</v>
      </c>
      <c r="F5469">
        <v>2</v>
      </c>
      <c r="G5469">
        <v>2.6</v>
      </c>
      <c r="H5469" t="s">
        <v>2327</v>
      </c>
      <c r="I5469" s="21">
        <v>43173</v>
      </c>
      <c r="J5469">
        <v>2018</v>
      </c>
      <c r="K5469" s="21">
        <v>43210</v>
      </c>
      <c r="L5469">
        <v>2018</v>
      </c>
      <c r="M5469" s="21">
        <v>43307</v>
      </c>
      <c r="N5469">
        <v>2018</v>
      </c>
      <c r="Q5469" s="262">
        <v>10000</v>
      </c>
      <c r="S5469" t="s">
        <v>114</v>
      </c>
      <c r="T5469" t="s">
        <v>114</v>
      </c>
      <c r="W5469">
        <v>0</v>
      </c>
      <c r="X5469">
        <v>0</v>
      </c>
      <c r="AU5469">
        <f t="shared" si="170"/>
        <v>0</v>
      </c>
      <c r="AV5469">
        <f t="shared" si="171"/>
        <v>0</v>
      </c>
    </row>
    <row r="5470" spans="1:48" x14ac:dyDescent="0.25">
      <c r="A5470" t="s">
        <v>19156</v>
      </c>
      <c r="B5470" t="s">
        <v>19156</v>
      </c>
      <c r="C5470" t="s">
        <v>19157</v>
      </c>
      <c r="D5470" t="s">
        <v>19158</v>
      </c>
      <c r="E5470" t="s">
        <v>2310</v>
      </c>
      <c r="F5470">
        <v>13</v>
      </c>
      <c r="G5470">
        <v>13.2</v>
      </c>
      <c r="H5470" t="s">
        <v>2327</v>
      </c>
      <c r="I5470" s="21">
        <v>43173.633738425924</v>
      </c>
      <c r="J5470">
        <v>2018</v>
      </c>
      <c r="K5470" s="21">
        <v>43641.49981415509</v>
      </c>
      <c r="L5470">
        <v>2019</v>
      </c>
      <c r="M5470" s="21">
        <v>43803.418489317133</v>
      </c>
      <c r="N5470">
        <v>2019</v>
      </c>
      <c r="Q5470" s="262">
        <v>3500000</v>
      </c>
      <c r="R5470" s="262">
        <v>1440000</v>
      </c>
      <c r="S5470" t="s">
        <v>13254</v>
      </c>
      <c r="W5470">
        <v>9382</v>
      </c>
      <c r="X5470">
        <v>1</v>
      </c>
      <c r="AC5470">
        <v>9382</v>
      </c>
      <c r="AO5470">
        <v>1</v>
      </c>
      <c r="AU5470">
        <f t="shared" si="170"/>
        <v>1</v>
      </c>
      <c r="AV5470">
        <f t="shared" si="171"/>
        <v>0</v>
      </c>
    </row>
    <row r="5471" spans="1:48" x14ac:dyDescent="0.25">
      <c r="A5471" t="s">
        <v>18438</v>
      </c>
      <c r="B5471" t="s">
        <v>18438</v>
      </c>
      <c r="C5471" t="s">
        <v>18439</v>
      </c>
      <c r="D5471" t="s">
        <v>8084</v>
      </c>
      <c r="E5471" t="s">
        <v>2310</v>
      </c>
      <c r="F5471">
        <v>9</v>
      </c>
      <c r="G5471">
        <v>9.3000000000000007</v>
      </c>
      <c r="H5471" t="s">
        <v>2323</v>
      </c>
      <c r="I5471" s="21">
        <v>43174.456944444442</v>
      </c>
      <c r="J5471">
        <v>2018</v>
      </c>
      <c r="K5471" s="21">
        <v>43207.571956018517</v>
      </c>
      <c r="L5471">
        <v>2018</v>
      </c>
      <c r="M5471" s="21">
        <v>43746.355884571756</v>
      </c>
      <c r="N5471">
        <v>2019</v>
      </c>
      <c r="Q5471" s="262">
        <v>1100000</v>
      </c>
      <c r="R5471" s="262">
        <v>62000</v>
      </c>
      <c r="S5471" t="s">
        <v>13253</v>
      </c>
      <c r="T5471">
        <v>5158</v>
      </c>
      <c r="V5471">
        <v>415</v>
      </c>
      <c r="W5471">
        <v>179</v>
      </c>
      <c r="X5471">
        <v>0</v>
      </c>
      <c r="AC5471">
        <v>179</v>
      </c>
      <c r="AU5471">
        <f t="shared" si="170"/>
        <v>0</v>
      </c>
      <c r="AV5471">
        <f t="shared" si="171"/>
        <v>0</v>
      </c>
    </row>
    <row r="5472" spans="1:48" x14ac:dyDescent="0.25">
      <c r="A5472" t="s">
        <v>17689</v>
      </c>
      <c r="B5472" t="s">
        <v>17689</v>
      </c>
      <c r="C5472" t="s">
        <v>17690</v>
      </c>
      <c r="D5472" t="s">
        <v>2424</v>
      </c>
      <c r="E5472" t="s">
        <v>2310</v>
      </c>
      <c r="F5472">
        <v>10</v>
      </c>
      <c r="G5472">
        <v>10.1</v>
      </c>
      <c r="H5472" t="s">
        <v>2323</v>
      </c>
      <c r="I5472" s="21">
        <v>43174.552754629629</v>
      </c>
      <c r="J5472">
        <v>2018</v>
      </c>
      <c r="K5472" s="21">
        <v>43322.686819062503</v>
      </c>
      <c r="L5472">
        <v>2018</v>
      </c>
      <c r="M5472" s="21">
        <v>43847.365241747684</v>
      </c>
      <c r="N5472">
        <v>2020</v>
      </c>
      <c r="Q5472" s="262">
        <v>225000</v>
      </c>
      <c r="R5472" s="262">
        <v>98000</v>
      </c>
      <c r="S5472" t="s">
        <v>13253</v>
      </c>
      <c r="T5472">
        <v>1454</v>
      </c>
      <c r="W5472">
        <v>865</v>
      </c>
      <c r="X5472">
        <v>0</v>
      </c>
      <c r="AC5472">
        <v>865</v>
      </c>
      <c r="AU5472">
        <f t="shared" si="170"/>
        <v>0</v>
      </c>
      <c r="AV5472">
        <f t="shared" si="171"/>
        <v>0</v>
      </c>
    </row>
    <row r="5473" spans="1:48" x14ac:dyDescent="0.25">
      <c r="A5473" t="s">
        <v>20114</v>
      </c>
      <c r="B5473" t="s">
        <v>20114</v>
      </c>
      <c r="C5473" t="s">
        <v>20115</v>
      </c>
      <c r="D5473" t="s">
        <v>20116</v>
      </c>
      <c r="E5473" t="s">
        <v>2310</v>
      </c>
      <c r="F5473">
        <v>13</v>
      </c>
      <c r="G5473">
        <v>13.3</v>
      </c>
      <c r="H5473" t="s">
        <v>2017</v>
      </c>
      <c r="I5473" s="21">
        <v>43174.691388888903</v>
      </c>
      <c r="J5473">
        <v>2018</v>
      </c>
      <c r="K5473" s="21">
        <v>43235.618464780098</v>
      </c>
      <c r="L5473">
        <v>2018</v>
      </c>
      <c r="M5473" s="21">
        <v>44208</v>
      </c>
      <c r="N5473">
        <v>2021</v>
      </c>
      <c r="Q5473" s="262">
        <v>8200000</v>
      </c>
      <c r="R5473" s="262">
        <v>1623000</v>
      </c>
      <c r="S5473" t="s">
        <v>13254</v>
      </c>
      <c r="U5473">
        <v>5</v>
      </c>
      <c r="W5473">
        <v>9940</v>
      </c>
      <c r="X5473">
        <v>1</v>
      </c>
      <c r="AC5473">
        <v>9940</v>
      </c>
      <c r="AO5473">
        <v>1</v>
      </c>
      <c r="AU5473">
        <f t="shared" si="170"/>
        <v>1</v>
      </c>
      <c r="AV5473">
        <f t="shared" si="171"/>
        <v>0</v>
      </c>
    </row>
    <row r="5474" spans="1:48" x14ac:dyDescent="0.25">
      <c r="A5474" t="s">
        <v>18352</v>
      </c>
      <c r="B5474" t="s">
        <v>18352</v>
      </c>
      <c r="C5474" t="s">
        <v>18353</v>
      </c>
      <c r="D5474" t="s">
        <v>3899</v>
      </c>
      <c r="E5474" t="s">
        <v>2310</v>
      </c>
      <c r="F5474">
        <v>14</v>
      </c>
      <c r="G5474">
        <v>14.1</v>
      </c>
      <c r="H5474" t="s">
        <v>2022</v>
      </c>
      <c r="I5474" s="21">
        <v>43174.705520833333</v>
      </c>
      <c r="J5474">
        <v>2018</v>
      </c>
      <c r="K5474" s="21">
        <v>43230.69783344907</v>
      </c>
      <c r="L5474">
        <v>2018</v>
      </c>
      <c r="M5474" s="21">
        <v>43396.405952581015</v>
      </c>
      <c r="N5474">
        <v>2018</v>
      </c>
      <c r="Q5474" s="262">
        <v>500000</v>
      </c>
      <c r="R5474" s="262">
        <v>110000</v>
      </c>
      <c r="S5474" t="s">
        <v>13254</v>
      </c>
      <c r="W5474">
        <v>972</v>
      </c>
      <c r="X5474">
        <v>1</v>
      </c>
      <c r="AF5474">
        <v>972</v>
      </c>
      <c r="AR5474">
        <v>1</v>
      </c>
      <c r="AU5474">
        <f t="shared" si="170"/>
        <v>0</v>
      </c>
      <c r="AV5474">
        <f t="shared" si="171"/>
        <v>0</v>
      </c>
    </row>
    <row r="5475" spans="1:48" x14ac:dyDescent="0.25">
      <c r="A5475" t="s">
        <v>18631</v>
      </c>
      <c r="B5475" t="s">
        <v>18631</v>
      </c>
      <c r="C5475" t="s">
        <v>18632</v>
      </c>
      <c r="D5475" t="s">
        <v>3899</v>
      </c>
      <c r="E5475" t="s">
        <v>2310</v>
      </c>
      <c r="F5475">
        <v>14</v>
      </c>
      <c r="G5475">
        <v>14.1</v>
      </c>
      <c r="H5475" t="s">
        <v>2022</v>
      </c>
      <c r="I5475" s="21">
        <v>43174.710428240738</v>
      </c>
      <c r="J5475">
        <v>2018</v>
      </c>
      <c r="K5475" s="21">
        <v>43223.625994826391</v>
      </c>
      <c r="L5475">
        <v>2018</v>
      </c>
      <c r="M5475" s="21">
        <v>43584.505592280089</v>
      </c>
      <c r="N5475">
        <v>2019</v>
      </c>
      <c r="Q5475" s="262">
        <v>80000</v>
      </c>
      <c r="R5475" s="262">
        <v>58000</v>
      </c>
      <c r="S5475" t="s">
        <v>13254</v>
      </c>
      <c r="W5475">
        <v>1285</v>
      </c>
      <c r="X5475">
        <v>0</v>
      </c>
      <c r="AC5475">
        <v>1285</v>
      </c>
      <c r="AU5475">
        <f t="shared" si="170"/>
        <v>0</v>
      </c>
      <c r="AV5475">
        <f t="shared" si="171"/>
        <v>0</v>
      </c>
    </row>
    <row r="5476" spans="1:48" x14ac:dyDescent="0.25">
      <c r="A5476" t="s">
        <v>13786</v>
      </c>
      <c r="B5476" t="s">
        <v>13786</v>
      </c>
      <c r="C5476" t="s">
        <v>13787</v>
      </c>
      <c r="D5476" t="s">
        <v>3899</v>
      </c>
      <c r="E5476" t="s">
        <v>2310</v>
      </c>
      <c r="F5476">
        <v>14</v>
      </c>
      <c r="G5476">
        <v>14.1</v>
      </c>
      <c r="H5476" t="s">
        <v>2022</v>
      </c>
      <c r="I5476" s="21">
        <v>43174.712083333303</v>
      </c>
      <c r="J5476">
        <v>2018</v>
      </c>
      <c r="K5476" s="21">
        <v>43230.700260844897</v>
      </c>
      <c r="L5476">
        <v>2018</v>
      </c>
      <c r="O5476" s="21">
        <v>43396.388249305601</v>
      </c>
      <c r="Q5476" s="262">
        <v>500000</v>
      </c>
      <c r="R5476" s="262">
        <v>274000</v>
      </c>
      <c r="S5476" t="s">
        <v>114</v>
      </c>
      <c r="T5476" t="s">
        <v>114</v>
      </c>
      <c r="V5476">
        <v>2989</v>
      </c>
      <c r="W5476">
        <v>0</v>
      </c>
      <c r="X5476">
        <v>0</v>
      </c>
      <c r="AU5476">
        <f t="shared" si="170"/>
        <v>0</v>
      </c>
      <c r="AV5476">
        <f t="shared" si="171"/>
        <v>0</v>
      </c>
    </row>
    <row r="5477" spans="1:48" x14ac:dyDescent="0.25">
      <c r="A5477" t="s">
        <v>19293</v>
      </c>
      <c r="B5477" t="s">
        <v>19293</v>
      </c>
      <c r="C5477" t="s">
        <v>19294</v>
      </c>
      <c r="D5477" t="s">
        <v>19295</v>
      </c>
      <c r="E5477" t="s">
        <v>2310</v>
      </c>
      <c r="F5477">
        <v>9</v>
      </c>
      <c r="G5477">
        <v>9.1</v>
      </c>
      <c r="H5477" t="s">
        <v>2323</v>
      </c>
      <c r="I5477" s="21">
        <v>43175.602233796293</v>
      </c>
      <c r="J5477">
        <v>2018</v>
      </c>
      <c r="K5477" s="21">
        <v>43229.425931678241</v>
      </c>
      <c r="L5477">
        <v>2018</v>
      </c>
      <c r="M5477" s="21">
        <v>43903.400388113427</v>
      </c>
      <c r="N5477">
        <v>2020</v>
      </c>
      <c r="Q5477" s="262">
        <v>4000000</v>
      </c>
      <c r="R5477" s="262">
        <v>633000</v>
      </c>
      <c r="S5477" t="s">
        <v>13254</v>
      </c>
      <c r="W5477">
        <v>4962</v>
      </c>
      <c r="X5477">
        <v>1</v>
      </c>
      <c r="AC5477">
        <v>4962</v>
      </c>
      <c r="AO5477">
        <v>1</v>
      </c>
      <c r="AU5477">
        <f t="shared" si="170"/>
        <v>1</v>
      </c>
      <c r="AV5477">
        <f t="shared" si="171"/>
        <v>0</v>
      </c>
    </row>
    <row r="5478" spans="1:48" x14ac:dyDescent="0.25">
      <c r="A5478" t="s">
        <v>13788</v>
      </c>
      <c r="C5478" t="s">
        <v>13789</v>
      </c>
      <c r="D5478" t="s">
        <v>12689</v>
      </c>
      <c r="E5478" t="s">
        <v>1663</v>
      </c>
      <c r="F5478">
        <v>2</v>
      </c>
      <c r="G5478">
        <v>2.2999999999999998</v>
      </c>
      <c r="H5478" t="s">
        <v>2327</v>
      </c>
      <c r="I5478" s="21">
        <v>43178</v>
      </c>
      <c r="J5478">
        <v>2018</v>
      </c>
      <c r="K5478" s="21">
        <v>43221</v>
      </c>
      <c r="L5478">
        <v>2018</v>
      </c>
      <c r="M5478" s="21">
        <v>43903</v>
      </c>
      <c r="N5478">
        <v>2020</v>
      </c>
      <c r="Q5478" s="262">
        <v>18500</v>
      </c>
      <c r="S5478" t="s">
        <v>114</v>
      </c>
      <c r="T5478" t="s">
        <v>114</v>
      </c>
      <c r="W5478">
        <v>0</v>
      </c>
      <c r="X5478">
        <v>0</v>
      </c>
      <c r="AU5478">
        <f t="shared" si="170"/>
        <v>0</v>
      </c>
      <c r="AV5478">
        <f t="shared" si="171"/>
        <v>0</v>
      </c>
    </row>
    <row r="5479" spans="1:48" x14ac:dyDescent="0.25">
      <c r="A5479" t="s">
        <v>18750</v>
      </c>
      <c r="B5479" t="s">
        <v>18750</v>
      </c>
      <c r="C5479" t="s">
        <v>18751</v>
      </c>
      <c r="D5479" t="s">
        <v>9562</v>
      </c>
      <c r="E5479" t="s">
        <v>2310</v>
      </c>
      <c r="F5479">
        <v>9</v>
      </c>
      <c r="G5479">
        <v>9.4</v>
      </c>
      <c r="H5479" t="s">
        <v>2323</v>
      </c>
      <c r="I5479" s="21">
        <v>43179.477824074071</v>
      </c>
      <c r="J5479">
        <v>2018</v>
      </c>
      <c r="K5479" s="21">
        <v>43199.425937499997</v>
      </c>
      <c r="L5479">
        <v>2018</v>
      </c>
      <c r="M5479" s="21">
        <v>43437.41768943287</v>
      </c>
      <c r="N5479">
        <v>2018</v>
      </c>
      <c r="Q5479" s="262">
        <v>1000000</v>
      </c>
      <c r="R5479" s="262">
        <v>87000</v>
      </c>
      <c r="S5479" t="s">
        <v>13253</v>
      </c>
      <c r="T5479">
        <v>8688</v>
      </c>
      <c r="V5479">
        <v>757</v>
      </c>
      <c r="W5479">
        <v>198</v>
      </c>
      <c r="X5479">
        <v>0</v>
      </c>
      <c r="AC5479">
        <v>198</v>
      </c>
      <c r="AU5479">
        <f t="shared" si="170"/>
        <v>0</v>
      </c>
      <c r="AV5479">
        <f t="shared" si="171"/>
        <v>0</v>
      </c>
    </row>
    <row r="5480" spans="1:48" x14ac:dyDescent="0.25">
      <c r="A5480" t="s">
        <v>19463</v>
      </c>
      <c r="B5480" t="s">
        <v>19463</v>
      </c>
      <c r="C5480" t="s">
        <v>19464</v>
      </c>
      <c r="D5480" t="s">
        <v>18238</v>
      </c>
      <c r="E5480" t="s">
        <v>2310</v>
      </c>
      <c r="F5480">
        <v>8</v>
      </c>
      <c r="G5480">
        <v>8.1999999999999993</v>
      </c>
      <c r="H5480" t="s">
        <v>2022</v>
      </c>
      <c r="I5480" s="21">
        <v>43179.670648148145</v>
      </c>
      <c r="J5480">
        <v>2018</v>
      </c>
      <c r="K5480" s="21">
        <v>43202.523738425924</v>
      </c>
      <c r="L5480">
        <v>2018</v>
      </c>
      <c r="M5480" s="21">
        <v>44047.627146493054</v>
      </c>
      <c r="N5480">
        <v>2020</v>
      </c>
      <c r="Q5480" s="262">
        <v>15000000</v>
      </c>
      <c r="R5480" s="262">
        <v>90000</v>
      </c>
      <c r="S5480" t="s">
        <v>13254</v>
      </c>
      <c r="W5480">
        <v>1767</v>
      </c>
      <c r="X5480">
        <v>0</v>
      </c>
      <c r="AC5480">
        <v>1767</v>
      </c>
      <c r="AU5480">
        <f t="shared" si="170"/>
        <v>0</v>
      </c>
      <c r="AV5480">
        <f t="shared" si="171"/>
        <v>0</v>
      </c>
    </row>
    <row r="5481" spans="1:48" x14ac:dyDescent="0.25">
      <c r="A5481" t="s">
        <v>19221</v>
      </c>
      <c r="B5481" t="s">
        <v>114</v>
      </c>
      <c r="C5481" t="s">
        <v>19222</v>
      </c>
      <c r="D5481" t="s">
        <v>13936</v>
      </c>
      <c r="E5481" t="s">
        <v>1663</v>
      </c>
      <c r="F5481">
        <v>2</v>
      </c>
      <c r="G5481">
        <v>2.2999999999999998</v>
      </c>
      <c r="H5481" t="s">
        <v>2327</v>
      </c>
      <c r="I5481" s="21">
        <v>43180</v>
      </c>
      <c r="J5481">
        <v>2018</v>
      </c>
      <c r="K5481" s="21">
        <v>43224</v>
      </c>
      <c r="L5481">
        <v>2018</v>
      </c>
      <c r="M5481" s="21">
        <v>43451</v>
      </c>
      <c r="N5481">
        <v>2018</v>
      </c>
      <c r="Q5481" s="262">
        <v>1800000</v>
      </c>
      <c r="S5481" t="s">
        <v>13253</v>
      </c>
      <c r="T5481">
        <v>11794</v>
      </c>
      <c r="V5481">
        <v>3010</v>
      </c>
      <c r="W5481">
        <v>0</v>
      </c>
      <c r="X5481">
        <v>0</v>
      </c>
      <c r="AH5481">
        <v>-3010</v>
      </c>
      <c r="AJ5481">
        <v>3010</v>
      </c>
      <c r="AU5481">
        <f t="shared" si="170"/>
        <v>0</v>
      </c>
      <c r="AV5481">
        <f t="shared" si="171"/>
        <v>0</v>
      </c>
    </row>
    <row r="5482" spans="1:48" x14ac:dyDescent="0.25">
      <c r="A5482" t="s">
        <v>18453</v>
      </c>
      <c r="B5482" t="s">
        <v>18453</v>
      </c>
      <c r="C5482" t="s">
        <v>18454</v>
      </c>
      <c r="D5482" t="s">
        <v>13792</v>
      </c>
      <c r="E5482" t="s">
        <v>2310</v>
      </c>
      <c r="F5482">
        <v>13</v>
      </c>
      <c r="G5482">
        <v>13.3</v>
      </c>
      <c r="H5482" t="s">
        <v>2017</v>
      </c>
      <c r="I5482" s="21">
        <v>43181.441354166665</v>
      </c>
      <c r="J5482">
        <v>2018</v>
      </c>
      <c r="K5482" s="21">
        <v>43222.40896119213</v>
      </c>
      <c r="L5482">
        <v>2018</v>
      </c>
      <c r="M5482" s="21">
        <v>43448.394763391203</v>
      </c>
      <c r="N5482">
        <v>2018</v>
      </c>
      <c r="Q5482" s="262">
        <v>250000</v>
      </c>
      <c r="R5482" s="262">
        <v>52000</v>
      </c>
      <c r="S5482" t="s">
        <v>13254</v>
      </c>
      <c r="W5482">
        <v>1152</v>
      </c>
      <c r="X5482">
        <v>0</v>
      </c>
      <c r="AC5482">
        <v>1152</v>
      </c>
      <c r="AU5482">
        <f t="shared" si="170"/>
        <v>0</v>
      </c>
      <c r="AV5482">
        <f t="shared" si="171"/>
        <v>0</v>
      </c>
    </row>
    <row r="5483" spans="1:48" x14ac:dyDescent="0.25">
      <c r="A5483" t="s">
        <v>13790</v>
      </c>
      <c r="B5483" t="s">
        <v>13790</v>
      </c>
      <c r="C5483" t="s">
        <v>13791</v>
      </c>
      <c r="D5483" t="s">
        <v>13792</v>
      </c>
      <c r="E5483" t="s">
        <v>2310</v>
      </c>
      <c r="F5483">
        <v>13</v>
      </c>
      <c r="G5483">
        <v>13.3</v>
      </c>
      <c r="H5483" t="s">
        <v>2017</v>
      </c>
      <c r="I5483" s="21">
        <v>43181.463564814803</v>
      </c>
      <c r="J5483">
        <v>2018</v>
      </c>
      <c r="K5483" s="21">
        <v>43222.412286886603</v>
      </c>
      <c r="L5483">
        <v>2018</v>
      </c>
      <c r="M5483" s="21">
        <v>43448.397032719899</v>
      </c>
      <c r="N5483">
        <v>2018</v>
      </c>
      <c r="Q5483" s="262">
        <v>700000</v>
      </c>
      <c r="R5483" s="262">
        <v>197000</v>
      </c>
      <c r="S5483" t="s">
        <v>114</v>
      </c>
      <c r="T5483" t="s">
        <v>114</v>
      </c>
      <c r="V5483">
        <v>2914</v>
      </c>
      <c r="W5483">
        <v>0</v>
      </c>
      <c r="X5483">
        <v>0</v>
      </c>
      <c r="AU5483">
        <f t="shared" si="170"/>
        <v>0</v>
      </c>
      <c r="AV5483">
        <f t="shared" si="171"/>
        <v>0</v>
      </c>
    </row>
    <row r="5484" spans="1:48" x14ac:dyDescent="0.25">
      <c r="A5484" t="s">
        <v>19541</v>
      </c>
      <c r="B5484" t="s">
        <v>19541</v>
      </c>
      <c r="C5484" t="s">
        <v>19542</v>
      </c>
      <c r="D5484" t="s">
        <v>19289</v>
      </c>
      <c r="E5484" t="s">
        <v>2310</v>
      </c>
      <c r="F5484">
        <v>13</v>
      </c>
      <c r="G5484">
        <v>13.2</v>
      </c>
      <c r="H5484" t="s">
        <v>2327</v>
      </c>
      <c r="I5484" s="21">
        <v>43181.587581018517</v>
      </c>
      <c r="J5484">
        <v>2018</v>
      </c>
      <c r="K5484" s="21">
        <v>43691.667143668979</v>
      </c>
      <c r="L5484">
        <v>2019</v>
      </c>
      <c r="M5484" s="21">
        <v>44103.431603553239</v>
      </c>
      <c r="N5484">
        <v>2020</v>
      </c>
      <c r="Q5484" s="262">
        <v>1413300</v>
      </c>
      <c r="R5484" s="262">
        <v>590000</v>
      </c>
      <c r="S5484" t="s">
        <v>13254</v>
      </c>
      <c r="W5484">
        <v>4711</v>
      </c>
      <c r="X5484">
        <v>1</v>
      </c>
      <c r="AC5484">
        <v>4711</v>
      </c>
      <c r="AO5484">
        <v>1</v>
      </c>
      <c r="AU5484">
        <f t="shared" si="170"/>
        <v>1</v>
      </c>
      <c r="AV5484">
        <f t="shared" si="171"/>
        <v>0</v>
      </c>
    </row>
    <row r="5485" spans="1:48" x14ac:dyDescent="0.25">
      <c r="A5485" t="s">
        <v>19287</v>
      </c>
      <c r="B5485" t="s">
        <v>19287</v>
      </c>
      <c r="C5485" t="s">
        <v>19288</v>
      </c>
      <c r="D5485" t="s">
        <v>19289</v>
      </c>
      <c r="E5485" t="s">
        <v>2310</v>
      </c>
      <c r="F5485">
        <v>13</v>
      </c>
      <c r="G5485">
        <v>13.2</v>
      </c>
      <c r="H5485" t="s">
        <v>2327</v>
      </c>
      <c r="I5485" s="21">
        <v>43181.606828703705</v>
      </c>
      <c r="J5485">
        <v>2018</v>
      </c>
      <c r="K5485" s="21">
        <v>43691.668024456019</v>
      </c>
      <c r="L5485">
        <v>2019</v>
      </c>
      <c r="M5485" s="21">
        <v>43903.378566701387</v>
      </c>
      <c r="N5485">
        <v>2020</v>
      </c>
      <c r="Q5485" s="262">
        <v>1413300</v>
      </c>
      <c r="R5485" s="262">
        <v>590000</v>
      </c>
      <c r="S5485" t="s">
        <v>13254</v>
      </c>
      <c r="W5485">
        <v>4711</v>
      </c>
      <c r="X5485">
        <v>1</v>
      </c>
      <c r="AC5485">
        <v>4711</v>
      </c>
      <c r="AO5485">
        <v>1</v>
      </c>
      <c r="AU5485">
        <f t="shared" si="170"/>
        <v>1</v>
      </c>
      <c r="AV5485">
        <f t="shared" si="171"/>
        <v>0</v>
      </c>
    </row>
    <row r="5486" spans="1:48" x14ac:dyDescent="0.25">
      <c r="A5486" t="s">
        <v>19329</v>
      </c>
      <c r="B5486" t="s">
        <v>19329</v>
      </c>
      <c r="C5486" t="s">
        <v>19330</v>
      </c>
      <c r="D5486" t="s">
        <v>19289</v>
      </c>
      <c r="E5486" t="s">
        <v>2310</v>
      </c>
      <c r="F5486">
        <v>13</v>
      </c>
      <c r="G5486">
        <v>13.2</v>
      </c>
      <c r="H5486" t="s">
        <v>2327</v>
      </c>
      <c r="I5486" s="21">
        <v>43181.606863425928</v>
      </c>
      <c r="J5486">
        <v>2018</v>
      </c>
      <c r="K5486" s="21">
        <v>43266.403098761577</v>
      </c>
      <c r="L5486">
        <v>2018</v>
      </c>
      <c r="M5486" s="21">
        <v>43978.390104432867</v>
      </c>
      <c r="N5486">
        <v>2020</v>
      </c>
      <c r="Q5486" s="262">
        <v>1413300</v>
      </c>
      <c r="R5486" s="262">
        <v>590000</v>
      </c>
      <c r="S5486" t="s">
        <v>13254</v>
      </c>
      <c r="W5486">
        <v>4711</v>
      </c>
      <c r="X5486">
        <v>1</v>
      </c>
      <c r="AC5486">
        <v>4711</v>
      </c>
      <c r="AO5486">
        <v>1</v>
      </c>
      <c r="AU5486">
        <f t="shared" si="170"/>
        <v>1</v>
      </c>
      <c r="AV5486">
        <f t="shared" si="171"/>
        <v>0</v>
      </c>
    </row>
    <row r="5487" spans="1:48" x14ac:dyDescent="0.25">
      <c r="A5487" t="s">
        <v>19655</v>
      </c>
      <c r="B5487" t="s">
        <v>19655</v>
      </c>
      <c r="C5487" t="s">
        <v>19656</v>
      </c>
      <c r="D5487" t="s">
        <v>19289</v>
      </c>
      <c r="E5487" t="s">
        <v>2310</v>
      </c>
      <c r="F5487">
        <v>13</v>
      </c>
      <c r="G5487">
        <v>13.2</v>
      </c>
      <c r="H5487" t="s">
        <v>2327</v>
      </c>
      <c r="I5487" s="21">
        <v>43181.606898148151</v>
      </c>
      <c r="J5487">
        <v>2018</v>
      </c>
      <c r="K5487" s="21">
        <v>43222.491545983794</v>
      </c>
      <c r="L5487">
        <v>2018</v>
      </c>
      <c r="M5487" s="21">
        <v>44195.558764733796</v>
      </c>
      <c r="N5487">
        <v>2020</v>
      </c>
      <c r="Q5487" s="262">
        <v>1413300</v>
      </c>
      <c r="R5487" s="262">
        <v>590000</v>
      </c>
      <c r="S5487" t="s">
        <v>13254</v>
      </c>
      <c r="W5487">
        <v>4711</v>
      </c>
      <c r="X5487">
        <v>1</v>
      </c>
      <c r="AC5487">
        <v>4711</v>
      </c>
      <c r="AO5487">
        <v>1</v>
      </c>
      <c r="AU5487">
        <f t="shared" si="170"/>
        <v>1</v>
      </c>
      <c r="AV5487">
        <f t="shared" si="171"/>
        <v>0</v>
      </c>
    </row>
    <row r="5488" spans="1:48" x14ac:dyDescent="0.25">
      <c r="A5488" t="s">
        <v>19479</v>
      </c>
      <c r="B5488" t="s">
        <v>19479</v>
      </c>
      <c r="C5488" t="s">
        <v>19480</v>
      </c>
      <c r="D5488" t="s">
        <v>19289</v>
      </c>
      <c r="E5488" t="s">
        <v>2310</v>
      </c>
      <c r="F5488">
        <v>13</v>
      </c>
      <c r="G5488">
        <v>13.2</v>
      </c>
      <c r="H5488" t="s">
        <v>2327</v>
      </c>
      <c r="I5488" s="21">
        <v>43181.606944444444</v>
      </c>
      <c r="J5488">
        <v>2018</v>
      </c>
      <c r="K5488" s="21">
        <v>43622.635098067127</v>
      </c>
      <c r="L5488">
        <v>2019</v>
      </c>
      <c r="M5488" s="21">
        <v>44056.468473576388</v>
      </c>
      <c r="N5488">
        <v>2020</v>
      </c>
      <c r="Q5488" s="262">
        <v>1413300</v>
      </c>
      <c r="R5488" s="262">
        <v>590000</v>
      </c>
      <c r="S5488" t="s">
        <v>13254</v>
      </c>
      <c r="W5488">
        <v>4711</v>
      </c>
      <c r="X5488">
        <v>1</v>
      </c>
      <c r="AC5488">
        <v>4711</v>
      </c>
      <c r="AO5488">
        <v>1</v>
      </c>
      <c r="AU5488">
        <f t="shared" si="170"/>
        <v>1</v>
      </c>
      <c r="AV5488">
        <f t="shared" si="171"/>
        <v>0</v>
      </c>
    </row>
    <row r="5489" spans="1:48" x14ac:dyDescent="0.25">
      <c r="A5489" t="s">
        <v>20122</v>
      </c>
      <c r="B5489" t="s">
        <v>20122</v>
      </c>
      <c r="C5489" t="s">
        <v>20123</v>
      </c>
      <c r="D5489" t="s">
        <v>19289</v>
      </c>
      <c r="E5489" t="s">
        <v>2310</v>
      </c>
      <c r="F5489">
        <v>13</v>
      </c>
      <c r="G5489">
        <v>13.2</v>
      </c>
      <c r="H5489" t="s">
        <v>2327</v>
      </c>
      <c r="I5489" s="21">
        <v>43181.606979166703</v>
      </c>
      <c r="J5489">
        <v>2018</v>
      </c>
      <c r="K5489" s="21">
        <v>43657.408130057898</v>
      </c>
      <c r="L5489">
        <v>2019</v>
      </c>
      <c r="M5489" s="21">
        <v>44229</v>
      </c>
      <c r="N5489">
        <v>2021</v>
      </c>
      <c r="Q5489" s="262">
        <v>1413300</v>
      </c>
      <c r="R5489" s="262">
        <v>590000</v>
      </c>
      <c r="S5489" t="s">
        <v>13254</v>
      </c>
      <c r="U5489">
        <v>5</v>
      </c>
      <c r="W5489">
        <v>4711</v>
      </c>
      <c r="X5489">
        <v>1</v>
      </c>
      <c r="AC5489">
        <v>4711</v>
      </c>
      <c r="AO5489">
        <v>1</v>
      </c>
      <c r="AU5489">
        <f t="shared" si="170"/>
        <v>1</v>
      </c>
      <c r="AV5489">
        <f t="shared" si="171"/>
        <v>0</v>
      </c>
    </row>
    <row r="5490" spans="1:48" x14ac:dyDescent="0.25">
      <c r="A5490" t="s">
        <v>13793</v>
      </c>
      <c r="B5490" t="s">
        <v>13793</v>
      </c>
      <c r="C5490" t="s">
        <v>13794</v>
      </c>
      <c r="D5490" t="s">
        <v>13795</v>
      </c>
      <c r="E5490" t="s">
        <v>2310</v>
      </c>
      <c r="F5490">
        <v>8</v>
      </c>
      <c r="G5490">
        <v>8.1</v>
      </c>
      <c r="H5490" t="s">
        <v>2323</v>
      </c>
      <c r="I5490" s="21">
        <v>43181.653842592597</v>
      </c>
      <c r="J5490">
        <v>2018</v>
      </c>
      <c r="K5490" s="21">
        <v>43691.4498284375</v>
      </c>
      <c r="L5490">
        <v>2019</v>
      </c>
      <c r="P5490" s="21">
        <v>43894.477380439799</v>
      </c>
      <c r="Q5490" s="262">
        <v>750000</v>
      </c>
      <c r="R5490" s="262">
        <v>410000</v>
      </c>
      <c r="S5490" t="s">
        <v>114</v>
      </c>
      <c r="T5490" t="s">
        <v>114</v>
      </c>
      <c r="V5490">
        <v>4062</v>
      </c>
      <c r="W5490">
        <v>0</v>
      </c>
      <c r="X5490">
        <v>0</v>
      </c>
      <c r="AU5490">
        <f t="shared" si="170"/>
        <v>0</v>
      </c>
      <c r="AV5490">
        <f t="shared" si="171"/>
        <v>0</v>
      </c>
    </row>
    <row r="5491" spans="1:48" x14ac:dyDescent="0.25">
      <c r="A5491" t="s">
        <v>18310</v>
      </c>
      <c r="B5491" t="s">
        <v>18310</v>
      </c>
      <c r="C5491" t="s">
        <v>18311</v>
      </c>
      <c r="D5491" t="s">
        <v>18312</v>
      </c>
      <c r="E5491" t="s">
        <v>2310</v>
      </c>
      <c r="F5491">
        <v>10</v>
      </c>
      <c r="G5491">
        <v>10.1</v>
      </c>
      <c r="H5491" t="s">
        <v>2323</v>
      </c>
      <c r="I5491" s="21">
        <v>43182.461053240739</v>
      </c>
      <c r="J5491">
        <v>2018</v>
      </c>
      <c r="K5491" s="21">
        <v>43203.438969907409</v>
      </c>
      <c r="L5491">
        <v>2018</v>
      </c>
      <c r="M5491" s="21">
        <v>43371.549883946762</v>
      </c>
      <c r="N5491">
        <v>2018</v>
      </c>
      <c r="Q5491" s="262">
        <v>140000</v>
      </c>
      <c r="R5491" s="262">
        <v>94000</v>
      </c>
      <c r="S5491" t="s">
        <v>13254</v>
      </c>
      <c r="W5491">
        <v>807</v>
      </c>
      <c r="X5491">
        <v>1</v>
      </c>
      <c r="AF5491">
        <v>807</v>
      </c>
      <c r="AR5491">
        <v>1</v>
      </c>
      <c r="AU5491">
        <f t="shared" si="170"/>
        <v>0</v>
      </c>
      <c r="AV5491">
        <f t="shared" si="171"/>
        <v>0</v>
      </c>
    </row>
    <row r="5492" spans="1:48" x14ac:dyDescent="0.25">
      <c r="A5492" t="s">
        <v>18525</v>
      </c>
      <c r="B5492" t="s">
        <v>18525</v>
      </c>
      <c r="C5492" t="s">
        <v>18526</v>
      </c>
      <c r="D5492" t="s">
        <v>18527</v>
      </c>
      <c r="E5492" t="s">
        <v>2310</v>
      </c>
      <c r="F5492">
        <v>10</v>
      </c>
      <c r="G5492">
        <v>10.1</v>
      </c>
      <c r="H5492" t="s">
        <v>2323</v>
      </c>
      <c r="I5492" s="21">
        <v>43182.489328703705</v>
      </c>
      <c r="J5492">
        <v>2018</v>
      </c>
      <c r="K5492" s="21">
        <v>43207.479733796295</v>
      </c>
      <c r="L5492">
        <v>2018</v>
      </c>
      <c r="M5492" s="21">
        <v>43502.604630671296</v>
      </c>
      <c r="N5492">
        <v>2019</v>
      </c>
      <c r="Q5492" s="262">
        <v>350000</v>
      </c>
      <c r="R5492" s="262">
        <v>291000</v>
      </c>
      <c r="S5492" t="s">
        <v>13254</v>
      </c>
      <c r="W5492">
        <v>2950</v>
      </c>
      <c r="X5492">
        <v>1</v>
      </c>
      <c r="AC5492">
        <v>2950</v>
      </c>
      <c r="AO5492">
        <v>1</v>
      </c>
      <c r="AU5492">
        <f t="shared" si="170"/>
        <v>1</v>
      </c>
      <c r="AV5492">
        <f t="shared" si="171"/>
        <v>0</v>
      </c>
    </row>
    <row r="5493" spans="1:48" x14ac:dyDescent="0.25">
      <c r="A5493" t="s">
        <v>19052</v>
      </c>
      <c r="B5493" t="s">
        <v>19052</v>
      </c>
      <c r="C5493" t="s">
        <v>19053</v>
      </c>
      <c r="D5493" t="s">
        <v>19054</v>
      </c>
      <c r="E5493" t="s">
        <v>2310</v>
      </c>
      <c r="F5493">
        <v>14</v>
      </c>
      <c r="G5493">
        <v>14.2</v>
      </c>
      <c r="H5493" t="s">
        <v>2017</v>
      </c>
      <c r="I5493" s="21">
        <v>43182.608807870369</v>
      </c>
      <c r="J5493">
        <v>2018</v>
      </c>
      <c r="K5493" s="21">
        <v>43244.419898645836</v>
      </c>
      <c r="L5493">
        <v>2018</v>
      </c>
      <c r="M5493" s="21">
        <v>43739.370135879632</v>
      </c>
      <c r="N5493">
        <v>2019</v>
      </c>
      <c r="Q5493" s="262">
        <v>400000</v>
      </c>
      <c r="R5493" s="262">
        <v>255000</v>
      </c>
      <c r="S5493" t="s">
        <v>13254</v>
      </c>
      <c r="W5493">
        <v>2124</v>
      </c>
      <c r="X5493">
        <v>1</v>
      </c>
      <c r="AC5493">
        <v>2124</v>
      </c>
      <c r="AO5493">
        <v>1</v>
      </c>
      <c r="AU5493">
        <f t="shared" si="170"/>
        <v>1</v>
      </c>
      <c r="AV5493">
        <f t="shared" si="171"/>
        <v>0</v>
      </c>
    </row>
    <row r="5494" spans="1:48" x14ac:dyDescent="0.25">
      <c r="A5494" t="s">
        <v>19055</v>
      </c>
      <c r="B5494" t="s">
        <v>19055</v>
      </c>
      <c r="C5494" t="s">
        <v>19056</v>
      </c>
      <c r="D5494" t="s">
        <v>19054</v>
      </c>
      <c r="E5494" t="s">
        <v>2310</v>
      </c>
      <c r="F5494">
        <v>14</v>
      </c>
      <c r="G5494">
        <v>14.2</v>
      </c>
      <c r="H5494" t="s">
        <v>2017</v>
      </c>
      <c r="I5494" s="21">
        <v>43182.642638888887</v>
      </c>
      <c r="J5494">
        <v>2018</v>
      </c>
      <c r="K5494" s="21">
        <v>43244.547957442126</v>
      </c>
      <c r="L5494">
        <v>2018</v>
      </c>
      <c r="M5494" s="21">
        <v>43739.373448113423</v>
      </c>
      <c r="N5494">
        <v>2019</v>
      </c>
      <c r="Q5494" s="262">
        <v>75000</v>
      </c>
      <c r="R5494" s="262">
        <v>34000</v>
      </c>
      <c r="S5494" t="s">
        <v>13254</v>
      </c>
      <c r="W5494">
        <v>752</v>
      </c>
      <c r="X5494">
        <v>0</v>
      </c>
      <c r="AC5494">
        <v>752</v>
      </c>
      <c r="AU5494">
        <f t="shared" si="170"/>
        <v>0</v>
      </c>
      <c r="AV5494">
        <f t="shared" si="171"/>
        <v>0</v>
      </c>
    </row>
    <row r="5495" spans="1:48" x14ac:dyDescent="0.25">
      <c r="A5495" t="s">
        <v>19264</v>
      </c>
      <c r="B5495" t="s">
        <v>114</v>
      </c>
      <c r="C5495" t="s">
        <v>19265</v>
      </c>
      <c r="D5495" t="s">
        <v>13863</v>
      </c>
      <c r="E5495" t="s">
        <v>1663</v>
      </c>
      <c r="F5495">
        <v>4</v>
      </c>
      <c r="G5495">
        <v>4.0999999999999996</v>
      </c>
      <c r="H5495" t="s">
        <v>2327</v>
      </c>
      <c r="I5495" s="21">
        <v>43185</v>
      </c>
      <c r="J5495">
        <v>2018</v>
      </c>
      <c r="K5495" s="21">
        <v>43250</v>
      </c>
      <c r="L5495">
        <v>2018</v>
      </c>
      <c r="M5495" s="21">
        <v>43804</v>
      </c>
      <c r="N5495">
        <v>2019</v>
      </c>
      <c r="Q5495" s="262">
        <v>3500000</v>
      </c>
      <c r="S5495" t="s">
        <v>13253</v>
      </c>
      <c r="T5495">
        <v>12380</v>
      </c>
      <c r="W5495">
        <v>10247</v>
      </c>
      <c r="X5495">
        <v>2</v>
      </c>
      <c r="AJ5495">
        <v>10247</v>
      </c>
      <c r="AQ5495">
        <v>2</v>
      </c>
      <c r="AU5495">
        <f t="shared" si="170"/>
        <v>2</v>
      </c>
      <c r="AV5495">
        <f t="shared" si="171"/>
        <v>10247</v>
      </c>
    </row>
    <row r="5496" spans="1:48" x14ac:dyDescent="0.25">
      <c r="A5496" t="s">
        <v>19757</v>
      </c>
      <c r="C5496" t="s">
        <v>11488</v>
      </c>
      <c r="D5496" t="s">
        <v>19758</v>
      </c>
      <c r="E5496" t="s">
        <v>1663</v>
      </c>
      <c r="F5496">
        <v>6</v>
      </c>
      <c r="G5496">
        <v>6.1</v>
      </c>
      <c r="H5496" t="s">
        <v>2017</v>
      </c>
      <c r="I5496" s="21">
        <v>43186</v>
      </c>
      <c r="J5496">
        <v>2018</v>
      </c>
      <c r="K5496" s="21">
        <v>43214</v>
      </c>
      <c r="L5496">
        <v>2018</v>
      </c>
      <c r="M5496" s="21">
        <v>44512</v>
      </c>
      <c r="N5496">
        <v>2021</v>
      </c>
      <c r="Q5496" s="262">
        <v>25000</v>
      </c>
      <c r="S5496" t="s">
        <v>13253</v>
      </c>
      <c r="T5496">
        <v>13846</v>
      </c>
      <c r="U5496">
        <v>5</v>
      </c>
      <c r="W5496">
        <v>207</v>
      </c>
      <c r="X5496">
        <v>0</v>
      </c>
      <c r="AC5496">
        <v>207</v>
      </c>
      <c r="AU5496">
        <f t="shared" si="170"/>
        <v>0</v>
      </c>
      <c r="AV5496">
        <f t="shared" si="171"/>
        <v>0</v>
      </c>
    </row>
    <row r="5497" spans="1:48" x14ac:dyDescent="0.25">
      <c r="A5497" t="s">
        <v>19387</v>
      </c>
      <c r="B5497" t="s">
        <v>114</v>
      </c>
      <c r="C5497" t="s">
        <v>11488</v>
      </c>
      <c r="D5497" t="s">
        <v>19388</v>
      </c>
      <c r="E5497" t="s">
        <v>1663</v>
      </c>
      <c r="F5497">
        <v>5</v>
      </c>
      <c r="G5497">
        <v>5.5</v>
      </c>
      <c r="H5497" t="s">
        <v>2017</v>
      </c>
      <c r="I5497" s="21">
        <v>43186</v>
      </c>
      <c r="J5497">
        <v>2018</v>
      </c>
      <c r="K5497" s="21">
        <v>43223</v>
      </c>
      <c r="L5497">
        <v>2018</v>
      </c>
      <c r="M5497" s="21">
        <v>43451</v>
      </c>
      <c r="N5497">
        <v>2018</v>
      </c>
      <c r="Q5497" s="262">
        <v>100000</v>
      </c>
      <c r="S5497" t="s">
        <v>13253</v>
      </c>
      <c r="T5497">
        <v>13527</v>
      </c>
      <c r="W5497">
        <v>760</v>
      </c>
      <c r="X5497">
        <v>0</v>
      </c>
      <c r="AC5497">
        <v>760</v>
      </c>
      <c r="AU5497">
        <f t="shared" si="170"/>
        <v>0</v>
      </c>
      <c r="AV5497">
        <f t="shared" si="171"/>
        <v>0</v>
      </c>
    </row>
    <row r="5498" spans="1:48" x14ac:dyDescent="0.25">
      <c r="A5498" t="s">
        <v>19415</v>
      </c>
      <c r="B5498" t="s">
        <v>114</v>
      </c>
      <c r="C5498" t="s">
        <v>12299</v>
      </c>
      <c r="D5498" t="s">
        <v>19416</v>
      </c>
      <c r="E5498" t="s">
        <v>1663</v>
      </c>
      <c r="F5498">
        <v>4</v>
      </c>
      <c r="G5498">
        <v>4.4000000000000004</v>
      </c>
      <c r="H5498" t="s">
        <v>2017</v>
      </c>
      <c r="I5498" s="21">
        <v>43186</v>
      </c>
      <c r="J5498">
        <v>2018</v>
      </c>
      <c r="K5498" s="21">
        <v>43207</v>
      </c>
      <c r="L5498">
        <v>2018</v>
      </c>
      <c r="M5498" s="21">
        <v>43850</v>
      </c>
      <c r="N5498">
        <v>2020</v>
      </c>
      <c r="Q5498" s="262">
        <v>60000</v>
      </c>
      <c r="S5498" t="s">
        <v>13253</v>
      </c>
      <c r="T5498">
        <v>13899</v>
      </c>
      <c r="W5498">
        <v>185</v>
      </c>
      <c r="X5498">
        <v>0</v>
      </c>
      <c r="AC5498">
        <v>185</v>
      </c>
      <c r="AU5498">
        <f t="shared" si="170"/>
        <v>0</v>
      </c>
      <c r="AV5498">
        <f t="shared" si="171"/>
        <v>0</v>
      </c>
    </row>
    <row r="5499" spans="1:48" x14ac:dyDescent="0.25">
      <c r="A5499" t="s">
        <v>18594</v>
      </c>
      <c r="B5499" t="s">
        <v>18594</v>
      </c>
      <c r="C5499" t="s">
        <v>18595</v>
      </c>
      <c r="D5499" t="s">
        <v>18596</v>
      </c>
      <c r="E5499" t="s">
        <v>2310</v>
      </c>
      <c r="F5499">
        <v>9</v>
      </c>
      <c r="G5499">
        <v>9.1</v>
      </c>
      <c r="H5499" t="s">
        <v>2323</v>
      </c>
      <c r="I5499" s="21">
        <v>43186.436377314814</v>
      </c>
      <c r="J5499">
        <v>2018</v>
      </c>
      <c r="K5499" s="21">
        <v>43227.675016435183</v>
      </c>
      <c r="L5499">
        <v>2018</v>
      </c>
      <c r="M5499" s="21">
        <v>43676.366100844905</v>
      </c>
      <c r="N5499">
        <v>2019</v>
      </c>
      <c r="Q5499" s="262">
        <v>525000</v>
      </c>
      <c r="R5499" s="262">
        <v>119000</v>
      </c>
      <c r="S5499" t="s">
        <v>13253</v>
      </c>
      <c r="T5499">
        <v>6506</v>
      </c>
      <c r="V5499">
        <v>100</v>
      </c>
      <c r="W5499">
        <v>1099</v>
      </c>
      <c r="X5499">
        <v>0</v>
      </c>
      <c r="AC5499">
        <v>1099</v>
      </c>
      <c r="AU5499">
        <f t="shared" si="170"/>
        <v>0</v>
      </c>
      <c r="AV5499">
        <f t="shared" si="171"/>
        <v>0</v>
      </c>
    </row>
    <row r="5500" spans="1:48" x14ac:dyDescent="0.25">
      <c r="A5500" t="s">
        <v>13796</v>
      </c>
      <c r="B5500" t="s">
        <v>13796</v>
      </c>
      <c r="C5500" t="s">
        <v>13797</v>
      </c>
      <c r="D5500" t="s">
        <v>2599</v>
      </c>
      <c r="E5500" t="s">
        <v>2310</v>
      </c>
      <c r="F5500">
        <v>13</v>
      </c>
      <c r="G5500">
        <v>13.1</v>
      </c>
      <c r="H5500" t="s">
        <v>2327</v>
      </c>
      <c r="I5500" s="21">
        <v>43186.479513888902</v>
      </c>
      <c r="J5500">
        <v>2018</v>
      </c>
      <c r="K5500" s="21">
        <v>43256.547316898097</v>
      </c>
      <c r="L5500">
        <v>2018</v>
      </c>
      <c r="M5500" s="21">
        <v>43448.532122951401</v>
      </c>
      <c r="N5500">
        <v>2018</v>
      </c>
      <c r="Q5500" s="262">
        <v>1000000</v>
      </c>
      <c r="R5500" s="262">
        <v>475000</v>
      </c>
      <c r="S5500" t="s">
        <v>114</v>
      </c>
      <c r="T5500" t="s">
        <v>114</v>
      </c>
      <c r="V5500">
        <v>3166</v>
      </c>
      <c r="W5500">
        <v>0</v>
      </c>
      <c r="X5500">
        <v>0</v>
      </c>
      <c r="AU5500">
        <f t="shared" si="170"/>
        <v>0</v>
      </c>
      <c r="AV5500">
        <f t="shared" si="171"/>
        <v>0</v>
      </c>
    </row>
    <row r="5501" spans="1:48" x14ac:dyDescent="0.25">
      <c r="A5501" t="s">
        <v>18050</v>
      </c>
      <c r="B5501" t="s">
        <v>18050</v>
      </c>
      <c r="C5501" t="s">
        <v>18051</v>
      </c>
      <c r="D5501" t="s">
        <v>13694</v>
      </c>
      <c r="E5501" t="s">
        <v>2310</v>
      </c>
      <c r="F5501">
        <v>9</v>
      </c>
      <c r="G5501">
        <v>9.4</v>
      </c>
      <c r="H5501" t="s">
        <v>2323</v>
      </c>
      <c r="I5501" s="21">
        <v>43186.62027777778</v>
      </c>
      <c r="J5501">
        <v>2018</v>
      </c>
      <c r="K5501" s="21">
        <v>43284.328251886574</v>
      </c>
      <c r="L5501">
        <v>2018</v>
      </c>
      <c r="M5501" s="21">
        <v>43643.646662615742</v>
      </c>
      <c r="N5501">
        <v>2019</v>
      </c>
      <c r="Q5501" s="262">
        <v>1100000</v>
      </c>
      <c r="R5501" s="262">
        <v>241000</v>
      </c>
      <c r="S5501" t="s">
        <v>13253</v>
      </c>
      <c r="T5501">
        <v>2966</v>
      </c>
      <c r="V5501">
        <v>100</v>
      </c>
      <c r="W5501">
        <v>2201</v>
      </c>
      <c r="X5501">
        <v>0</v>
      </c>
      <c r="AC5501">
        <v>2201</v>
      </c>
      <c r="AU5501">
        <f t="shared" si="170"/>
        <v>0</v>
      </c>
      <c r="AV5501">
        <f t="shared" si="171"/>
        <v>0</v>
      </c>
    </row>
    <row r="5502" spans="1:48" x14ac:dyDescent="0.25">
      <c r="A5502" t="s">
        <v>18582</v>
      </c>
      <c r="B5502" t="s">
        <v>18582</v>
      </c>
      <c r="C5502" t="s">
        <v>18583</v>
      </c>
      <c r="D5502" t="s">
        <v>18584</v>
      </c>
      <c r="E5502" t="s">
        <v>2310</v>
      </c>
      <c r="F5502">
        <v>9</v>
      </c>
      <c r="G5502">
        <v>9.1</v>
      </c>
      <c r="H5502" t="s">
        <v>2323</v>
      </c>
      <c r="I5502" s="21">
        <v>43186.657847222225</v>
      </c>
      <c r="J5502">
        <v>2018</v>
      </c>
      <c r="K5502" s="21">
        <v>43210.443819444445</v>
      </c>
      <c r="L5502">
        <v>2018</v>
      </c>
      <c r="M5502" s="21">
        <v>43707.588665659721</v>
      </c>
      <c r="N5502">
        <v>2019</v>
      </c>
      <c r="Q5502" s="262">
        <v>750000</v>
      </c>
      <c r="R5502" s="262">
        <v>290000</v>
      </c>
      <c r="S5502" t="s">
        <v>13253</v>
      </c>
      <c r="T5502">
        <v>6125</v>
      </c>
      <c r="W5502">
        <v>2699</v>
      </c>
      <c r="X5502">
        <v>1</v>
      </c>
      <c r="AC5502">
        <v>2699</v>
      </c>
      <c r="AO5502">
        <v>1</v>
      </c>
      <c r="AU5502">
        <f t="shared" si="170"/>
        <v>1</v>
      </c>
      <c r="AV5502">
        <f t="shared" si="171"/>
        <v>0</v>
      </c>
    </row>
    <row r="5503" spans="1:48" x14ac:dyDescent="0.25">
      <c r="A5503" t="s">
        <v>18678</v>
      </c>
      <c r="B5503" t="s">
        <v>114</v>
      </c>
      <c r="C5503" t="s">
        <v>11240</v>
      </c>
      <c r="D5503" t="s">
        <v>18679</v>
      </c>
      <c r="E5503" t="s">
        <v>1663</v>
      </c>
      <c r="F5503">
        <v>6</v>
      </c>
      <c r="G5503">
        <v>6.1</v>
      </c>
      <c r="H5503" t="s">
        <v>2017</v>
      </c>
      <c r="I5503" s="21">
        <v>43187</v>
      </c>
      <c r="J5503">
        <v>2018</v>
      </c>
      <c r="K5503" s="21">
        <v>43252</v>
      </c>
      <c r="L5503">
        <v>2018</v>
      </c>
      <c r="M5503" s="21">
        <v>43609</v>
      </c>
      <c r="N5503">
        <v>2019</v>
      </c>
      <c r="Q5503" s="262">
        <v>1100000</v>
      </c>
      <c r="S5503" t="s">
        <v>13254</v>
      </c>
      <c r="W5503">
        <v>4459</v>
      </c>
      <c r="X5503">
        <v>1</v>
      </c>
      <c r="AC5503">
        <v>4459</v>
      </c>
      <c r="AO5503">
        <v>1</v>
      </c>
      <c r="AU5503">
        <f t="shared" si="170"/>
        <v>1</v>
      </c>
      <c r="AV5503">
        <f t="shared" si="171"/>
        <v>0</v>
      </c>
    </row>
    <row r="5504" spans="1:48" x14ac:dyDescent="0.25">
      <c r="A5504" t="s">
        <v>19034</v>
      </c>
      <c r="B5504" t="s">
        <v>114</v>
      </c>
      <c r="C5504" t="s">
        <v>11488</v>
      </c>
      <c r="D5504" t="s">
        <v>19035</v>
      </c>
      <c r="E5504" t="s">
        <v>1663</v>
      </c>
      <c r="F5504">
        <v>3</v>
      </c>
      <c r="G5504">
        <v>3.1</v>
      </c>
      <c r="H5504" t="s">
        <v>2017</v>
      </c>
      <c r="I5504" s="21">
        <v>43187</v>
      </c>
      <c r="J5504">
        <v>2018</v>
      </c>
      <c r="K5504" s="21">
        <v>43213</v>
      </c>
      <c r="L5504">
        <v>2018</v>
      </c>
      <c r="M5504" s="21">
        <v>43770</v>
      </c>
      <c r="N5504">
        <v>2019</v>
      </c>
      <c r="Q5504" s="262">
        <v>96360</v>
      </c>
      <c r="S5504" t="s">
        <v>13253</v>
      </c>
      <c r="T5504">
        <v>10471</v>
      </c>
      <c r="W5504">
        <v>584</v>
      </c>
      <c r="X5504">
        <v>0</v>
      </c>
      <c r="AC5504">
        <v>584</v>
      </c>
      <c r="AU5504">
        <f t="shared" si="170"/>
        <v>0</v>
      </c>
      <c r="AV5504">
        <f t="shared" si="171"/>
        <v>0</v>
      </c>
    </row>
    <row r="5505" spans="1:48" x14ac:dyDescent="0.25">
      <c r="A5505" t="s">
        <v>18859</v>
      </c>
      <c r="B5505" t="s">
        <v>114</v>
      </c>
      <c r="C5505" t="s">
        <v>18860</v>
      </c>
      <c r="D5505" t="s">
        <v>18861</v>
      </c>
      <c r="E5505" t="s">
        <v>1663</v>
      </c>
      <c r="F5505">
        <v>2</v>
      </c>
      <c r="G5505">
        <v>2.6</v>
      </c>
      <c r="H5505" t="s">
        <v>2327</v>
      </c>
      <c r="I5505" s="21">
        <v>43188</v>
      </c>
      <c r="J5505">
        <v>2018</v>
      </c>
      <c r="K5505" s="21">
        <v>43244</v>
      </c>
      <c r="L5505">
        <v>2018</v>
      </c>
      <c r="M5505" s="21">
        <v>43367</v>
      </c>
      <c r="N5505">
        <v>2018</v>
      </c>
      <c r="Q5505" s="262">
        <v>25000</v>
      </c>
      <c r="S5505" t="s">
        <v>13253</v>
      </c>
      <c r="T5505">
        <v>9916</v>
      </c>
      <c r="V5505">
        <v>2364</v>
      </c>
      <c r="W5505">
        <v>0</v>
      </c>
      <c r="X5505">
        <v>0</v>
      </c>
      <c r="AJ5505">
        <v>-2364</v>
      </c>
      <c r="AM5505">
        <v>2364</v>
      </c>
      <c r="AU5505">
        <f t="shared" si="170"/>
        <v>0</v>
      </c>
      <c r="AV5505">
        <f t="shared" si="171"/>
        <v>0</v>
      </c>
    </row>
    <row r="5506" spans="1:48" x14ac:dyDescent="0.25">
      <c r="A5506" t="s">
        <v>13798</v>
      </c>
      <c r="B5506" t="s">
        <v>13798</v>
      </c>
      <c r="C5506" t="s">
        <v>13799</v>
      </c>
      <c r="D5506" t="s">
        <v>4886</v>
      </c>
      <c r="E5506" t="s">
        <v>2310</v>
      </c>
      <c r="F5506">
        <v>9</v>
      </c>
      <c r="G5506">
        <v>9.1</v>
      </c>
      <c r="H5506" t="s">
        <v>2323</v>
      </c>
      <c r="I5506" s="21">
        <v>43188.4462152778</v>
      </c>
      <c r="J5506">
        <v>2018</v>
      </c>
      <c r="K5506" s="21">
        <v>43251.691366747698</v>
      </c>
      <c r="L5506">
        <v>2018</v>
      </c>
      <c r="M5506" s="21">
        <v>43409.395881481498</v>
      </c>
      <c r="N5506">
        <v>2018</v>
      </c>
      <c r="Q5506" s="262">
        <v>10000</v>
      </c>
      <c r="R5506" s="262">
        <v>1000</v>
      </c>
      <c r="S5506" t="s">
        <v>114</v>
      </c>
      <c r="T5506" t="s">
        <v>114</v>
      </c>
      <c r="W5506">
        <v>5</v>
      </c>
      <c r="X5506">
        <v>0</v>
      </c>
      <c r="AM5506">
        <v>5</v>
      </c>
      <c r="AU5506">
        <f t="shared" si="170"/>
        <v>0</v>
      </c>
      <c r="AV5506">
        <f t="shared" si="171"/>
        <v>5</v>
      </c>
    </row>
    <row r="5507" spans="1:48" x14ac:dyDescent="0.25">
      <c r="A5507" t="s">
        <v>13800</v>
      </c>
      <c r="B5507" t="s">
        <v>13800</v>
      </c>
      <c r="C5507" t="s">
        <v>13799</v>
      </c>
      <c r="D5507" t="s">
        <v>5802</v>
      </c>
      <c r="E5507" t="s">
        <v>2310</v>
      </c>
      <c r="F5507">
        <v>13</v>
      </c>
      <c r="G5507">
        <v>13.1</v>
      </c>
      <c r="H5507" t="s">
        <v>2327</v>
      </c>
      <c r="I5507" s="21">
        <v>43188.461261574099</v>
      </c>
      <c r="J5507">
        <v>2018</v>
      </c>
      <c r="K5507" s="21">
        <v>43251.699029016199</v>
      </c>
      <c r="L5507">
        <v>2018</v>
      </c>
      <c r="M5507" s="21">
        <v>43398.651050891203</v>
      </c>
      <c r="N5507">
        <v>2018</v>
      </c>
      <c r="Q5507" s="262">
        <v>10000</v>
      </c>
      <c r="R5507" s="262">
        <v>1000</v>
      </c>
      <c r="S5507" t="s">
        <v>114</v>
      </c>
      <c r="T5507" t="s">
        <v>114</v>
      </c>
      <c r="W5507">
        <v>5</v>
      </c>
      <c r="X5507">
        <v>0</v>
      </c>
      <c r="AM5507">
        <v>5</v>
      </c>
      <c r="AU5507">
        <f t="shared" si="170"/>
        <v>0</v>
      </c>
      <c r="AV5507">
        <f t="shared" si="171"/>
        <v>5</v>
      </c>
    </row>
    <row r="5508" spans="1:48" x14ac:dyDescent="0.25">
      <c r="A5508" t="s">
        <v>13801</v>
      </c>
      <c r="B5508" t="s">
        <v>13801</v>
      </c>
      <c r="C5508" t="s">
        <v>13799</v>
      </c>
      <c r="D5508" t="s">
        <v>1918</v>
      </c>
      <c r="E5508" t="s">
        <v>2310</v>
      </c>
      <c r="F5508">
        <v>4</v>
      </c>
      <c r="G5508">
        <v>4.2</v>
      </c>
      <c r="H5508" t="s">
        <v>2327</v>
      </c>
      <c r="I5508" s="21">
        <v>43188.4612962963</v>
      </c>
      <c r="J5508">
        <v>2018</v>
      </c>
      <c r="K5508" s="21">
        <v>43251.703782060198</v>
      </c>
      <c r="L5508">
        <v>2018</v>
      </c>
      <c r="M5508" s="21">
        <v>43398.653472303202</v>
      </c>
      <c r="N5508">
        <v>2018</v>
      </c>
      <c r="Q5508" s="262">
        <v>10000</v>
      </c>
      <c r="R5508" s="262">
        <v>1000</v>
      </c>
      <c r="S5508" t="s">
        <v>114</v>
      </c>
      <c r="T5508" t="s">
        <v>114</v>
      </c>
      <c r="W5508">
        <v>5</v>
      </c>
      <c r="X5508">
        <v>0</v>
      </c>
      <c r="AM5508">
        <v>5</v>
      </c>
      <c r="AU5508">
        <f t="shared" si="170"/>
        <v>0</v>
      </c>
      <c r="AV5508">
        <f t="shared" si="171"/>
        <v>5</v>
      </c>
    </row>
    <row r="5509" spans="1:48" x14ac:dyDescent="0.25">
      <c r="A5509" t="s">
        <v>19109</v>
      </c>
      <c r="B5509" t="s">
        <v>114</v>
      </c>
      <c r="C5509" t="s">
        <v>19110</v>
      </c>
      <c r="D5509" t="s">
        <v>19111</v>
      </c>
      <c r="E5509" t="s">
        <v>1663</v>
      </c>
      <c r="F5509">
        <v>3</v>
      </c>
      <c r="G5509">
        <v>3.2</v>
      </c>
      <c r="H5509" t="s">
        <v>2327</v>
      </c>
      <c r="I5509" s="21">
        <v>43189</v>
      </c>
      <c r="J5509">
        <v>2018</v>
      </c>
      <c r="K5509" s="21">
        <v>43294</v>
      </c>
      <c r="L5509">
        <v>2018</v>
      </c>
      <c r="M5509" s="21">
        <v>43773</v>
      </c>
      <c r="N5509">
        <v>2019</v>
      </c>
      <c r="Q5509" s="262">
        <v>0</v>
      </c>
      <c r="S5509" t="s">
        <v>13254</v>
      </c>
      <c r="W5509">
        <v>2940</v>
      </c>
      <c r="X5509">
        <v>2</v>
      </c>
      <c r="AC5509">
        <v>2140</v>
      </c>
      <c r="AE5509">
        <v>800</v>
      </c>
      <c r="AO5509">
        <v>1</v>
      </c>
      <c r="AQ5509">
        <v>1</v>
      </c>
      <c r="AU5509">
        <f t="shared" si="170"/>
        <v>2</v>
      </c>
      <c r="AV5509">
        <f t="shared" si="171"/>
        <v>0</v>
      </c>
    </row>
    <row r="5510" spans="1:48" x14ac:dyDescent="0.25">
      <c r="A5510" t="s">
        <v>19112</v>
      </c>
      <c r="B5510" t="s">
        <v>114</v>
      </c>
      <c r="C5510" t="s">
        <v>19113</v>
      </c>
      <c r="D5510" t="s">
        <v>19114</v>
      </c>
      <c r="E5510" t="s">
        <v>1663</v>
      </c>
      <c r="F5510">
        <v>3</v>
      </c>
      <c r="G5510">
        <v>3.2</v>
      </c>
      <c r="H5510" t="s">
        <v>2327</v>
      </c>
      <c r="I5510" s="21">
        <v>43189</v>
      </c>
      <c r="J5510">
        <v>2018</v>
      </c>
      <c r="K5510" s="21">
        <v>43294</v>
      </c>
      <c r="L5510">
        <v>2018</v>
      </c>
      <c r="M5510" s="21">
        <v>43773</v>
      </c>
      <c r="N5510">
        <v>2019</v>
      </c>
      <c r="Q5510" s="262">
        <v>1600000</v>
      </c>
      <c r="S5510" t="s">
        <v>13254</v>
      </c>
      <c r="W5510">
        <v>4157</v>
      </c>
      <c r="X5510">
        <v>2</v>
      </c>
      <c r="AC5510">
        <v>3357</v>
      </c>
      <c r="AE5510">
        <v>800</v>
      </c>
      <c r="AO5510">
        <v>1</v>
      </c>
      <c r="AQ5510">
        <v>1</v>
      </c>
      <c r="AU5510">
        <f t="shared" si="170"/>
        <v>2</v>
      </c>
      <c r="AV5510">
        <f t="shared" si="171"/>
        <v>0</v>
      </c>
    </row>
    <row r="5511" spans="1:48" x14ac:dyDescent="0.25">
      <c r="A5511" t="s">
        <v>19178</v>
      </c>
      <c r="B5511" t="s">
        <v>114</v>
      </c>
      <c r="C5511" t="s">
        <v>19179</v>
      </c>
      <c r="D5511" t="s">
        <v>19111</v>
      </c>
      <c r="E5511" t="s">
        <v>1663</v>
      </c>
      <c r="F5511">
        <v>3</v>
      </c>
      <c r="G5511">
        <v>3.2</v>
      </c>
      <c r="H5511" t="s">
        <v>2327</v>
      </c>
      <c r="I5511" s="21">
        <v>43189</v>
      </c>
      <c r="J5511">
        <v>2018</v>
      </c>
      <c r="K5511" s="21">
        <v>43294</v>
      </c>
      <c r="L5511">
        <v>2018</v>
      </c>
      <c r="M5511" s="21">
        <v>43817</v>
      </c>
      <c r="N5511">
        <v>2019</v>
      </c>
      <c r="Q5511" s="262">
        <v>1400000</v>
      </c>
      <c r="S5511" t="s">
        <v>13254</v>
      </c>
      <c r="W5511">
        <v>2698</v>
      </c>
      <c r="X5511">
        <v>2</v>
      </c>
      <c r="AC5511">
        <v>2126</v>
      </c>
      <c r="AE5511">
        <v>572</v>
      </c>
      <c r="AO5511">
        <v>1</v>
      </c>
      <c r="AQ5511">
        <v>1</v>
      </c>
      <c r="AU5511">
        <f t="shared" si="170"/>
        <v>2</v>
      </c>
      <c r="AV5511">
        <f t="shared" si="171"/>
        <v>0</v>
      </c>
    </row>
    <row r="5512" spans="1:48" x14ac:dyDescent="0.25">
      <c r="A5512" t="s">
        <v>19180</v>
      </c>
      <c r="B5512" t="s">
        <v>114</v>
      </c>
      <c r="C5512" t="s">
        <v>19181</v>
      </c>
      <c r="D5512" t="s">
        <v>19114</v>
      </c>
      <c r="E5512" t="s">
        <v>1663</v>
      </c>
      <c r="F5512">
        <v>3</v>
      </c>
      <c r="G5512">
        <v>3.2</v>
      </c>
      <c r="H5512" t="s">
        <v>2327</v>
      </c>
      <c r="I5512" s="21">
        <v>43189</v>
      </c>
      <c r="J5512">
        <v>2018</v>
      </c>
      <c r="K5512" s="21">
        <v>43294</v>
      </c>
      <c r="L5512">
        <v>2018</v>
      </c>
      <c r="M5512" s="21">
        <v>43817</v>
      </c>
      <c r="N5512">
        <v>2019</v>
      </c>
      <c r="Q5512" s="262">
        <v>1600000</v>
      </c>
      <c r="S5512" t="s">
        <v>13254</v>
      </c>
      <c r="W5512">
        <v>4162</v>
      </c>
      <c r="X5512">
        <v>2</v>
      </c>
      <c r="AC5512">
        <v>3362</v>
      </c>
      <c r="AE5512">
        <v>800</v>
      </c>
      <c r="AO5512">
        <v>1</v>
      </c>
      <c r="AQ5512">
        <v>1</v>
      </c>
      <c r="AU5512">
        <f t="shared" si="170"/>
        <v>2</v>
      </c>
      <c r="AV5512">
        <f t="shared" si="171"/>
        <v>0</v>
      </c>
    </row>
    <row r="5513" spans="1:48" x14ac:dyDescent="0.25">
      <c r="A5513" t="s">
        <v>18838</v>
      </c>
      <c r="B5513" t="s">
        <v>114</v>
      </c>
      <c r="C5513" t="s">
        <v>18839</v>
      </c>
      <c r="D5513" t="s">
        <v>18840</v>
      </c>
      <c r="E5513" t="s">
        <v>1663</v>
      </c>
      <c r="F5513">
        <v>3</v>
      </c>
      <c r="G5513">
        <v>3.1</v>
      </c>
      <c r="H5513" t="s">
        <v>2017</v>
      </c>
      <c r="I5513" s="21">
        <v>43189</v>
      </c>
      <c r="J5513">
        <v>2018</v>
      </c>
      <c r="K5513" s="21">
        <v>43230</v>
      </c>
      <c r="L5513">
        <v>2018</v>
      </c>
      <c r="M5513" s="21">
        <v>43640</v>
      </c>
      <c r="N5513">
        <v>2019</v>
      </c>
      <c r="Q5513" s="262">
        <v>700000</v>
      </c>
      <c r="S5513" t="s">
        <v>13254</v>
      </c>
      <c r="W5513">
        <v>4277</v>
      </c>
      <c r="X5513">
        <v>2</v>
      </c>
      <c r="AC5513">
        <v>3477</v>
      </c>
      <c r="AE5513">
        <v>800</v>
      </c>
      <c r="AO5513">
        <v>1</v>
      </c>
      <c r="AQ5513">
        <v>1</v>
      </c>
      <c r="AU5513">
        <f t="shared" si="170"/>
        <v>2</v>
      </c>
      <c r="AV5513">
        <f t="shared" si="171"/>
        <v>0</v>
      </c>
    </row>
    <row r="5514" spans="1:48" x14ac:dyDescent="0.25">
      <c r="A5514" t="s">
        <v>19598</v>
      </c>
      <c r="B5514" t="s">
        <v>19598</v>
      </c>
      <c r="C5514" t="s">
        <v>19599</v>
      </c>
      <c r="D5514" t="s">
        <v>13532</v>
      </c>
      <c r="E5514" t="s">
        <v>2310</v>
      </c>
      <c r="F5514">
        <v>9</v>
      </c>
      <c r="G5514">
        <v>9.1</v>
      </c>
      <c r="H5514" t="s">
        <v>2323</v>
      </c>
      <c r="I5514" s="21">
        <v>43189.439467592594</v>
      </c>
      <c r="J5514">
        <v>2018</v>
      </c>
      <c r="K5514" s="21">
        <v>43353.5813494213</v>
      </c>
      <c r="L5514">
        <v>2018</v>
      </c>
      <c r="M5514" s="21">
        <v>44154.698344293982</v>
      </c>
      <c r="N5514">
        <v>2020</v>
      </c>
      <c r="Q5514" s="262">
        <v>3600000</v>
      </c>
      <c r="R5514" s="262">
        <v>1071000</v>
      </c>
      <c r="S5514" t="s">
        <v>13254</v>
      </c>
      <c r="W5514">
        <v>7434</v>
      </c>
      <c r="X5514">
        <v>1</v>
      </c>
      <c r="AC5514">
        <v>7434</v>
      </c>
      <c r="AO5514">
        <v>1</v>
      </c>
      <c r="AU5514">
        <f t="shared" si="170"/>
        <v>1</v>
      </c>
      <c r="AV5514">
        <f t="shared" si="171"/>
        <v>0</v>
      </c>
    </row>
    <row r="5515" spans="1:48" x14ac:dyDescent="0.25">
      <c r="A5515" t="s">
        <v>19234</v>
      </c>
      <c r="B5515" t="s">
        <v>114</v>
      </c>
      <c r="C5515" t="s">
        <v>11246</v>
      </c>
      <c r="D5515" t="s">
        <v>12264</v>
      </c>
      <c r="E5515" t="s">
        <v>1663</v>
      </c>
      <c r="F5515">
        <v>6</v>
      </c>
      <c r="G5515">
        <v>6.1</v>
      </c>
      <c r="H5515" t="s">
        <v>2017</v>
      </c>
      <c r="I5515" s="21">
        <v>43192</v>
      </c>
      <c r="J5515">
        <v>2018</v>
      </c>
      <c r="K5515" s="21">
        <v>43251</v>
      </c>
      <c r="L5515">
        <v>2018</v>
      </c>
      <c r="M5515" s="21">
        <v>43872</v>
      </c>
      <c r="N5515">
        <v>2020</v>
      </c>
      <c r="Q5515" s="262">
        <v>2250000</v>
      </c>
      <c r="S5515" t="s">
        <v>13254</v>
      </c>
      <c r="W5515">
        <v>4992</v>
      </c>
      <c r="X5515">
        <v>1</v>
      </c>
      <c r="AC5515">
        <v>4992</v>
      </c>
      <c r="AO5515">
        <v>1</v>
      </c>
      <c r="AU5515">
        <f t="shared" si="170"/>
        <v>1</v>
      </c>
      <c r="AV5515">
        <f t="shared" si="171"/>
        <v>0</v>
      </c>
    </row>
    <row r="5516" spans="1:48" x14ac:dyDescent="0.25">
      <c r="A5516" t="s">
        <v>13804</v>
      </c>
      <c r="C5516" t="s">
        <v>11879</v>
      </c>
      <c r="D5516" t="s">
        <v>8801</v>
      </c>
      <c r="E5516" t="s">
        <v>1663</v>
      </c>
      <c r="F5516">
        <v>4</v>
      </c>
      <c r="G5516">
        <v>4.0999999999999996</v>
      </c>
      <c r="H5516" t="s">
        <v>2327</v>
      </c>
      <c r="I5516" s="21">
        <v>43194</v>
      </c>
      <c r="J5516">
        <v>2018</v>
      </c>
      <c r="K5516" s="21">
        <v>43251</v>
      </c>
      <c r="L5516">
        <v>2018</v>
      </c>
      <c r="M5516" s="21">
        <v>43404</v>
      </c>
      <c r="N5516">
        <v>2018</v>
      </c>
      <c r="Q5516" s="262">
        <v>400000</v>
      </c>
      <c r="S5516" t="s">
        <v>114</v>
      </c>
      <c r="T5516" t="s">
        <v>114</v>
      </c>
      <c r="W5516">
        <v>0</v>
      </c>
      <c r="X5516">
        <v>0</v>
      </c>
      <c r="AU5516">
        <f t="shared" si="170"/>
        <v>0</v>
      </c>
      <c r="AV5516">
        <f t="shared" si="171"/>
        <v>0</v>
      </c>
    </row>
    <row r="5517" spans="1:48" x14ac:dyDescent="0.25">
      <c r="A5517" t="s">
        <v>13802</v>
      </c>
      <c r="C5517" t="s">
        <v>13129</v>
      </c>
      <c r="D5517" t="s">
        <v>13803</v>
      </c>
      <c r="E5517" t="s">
        <v>1663</v>
      </c>
      <c r="F5517">
        <v>3</v>
      </c>
      <c r="G5517">
        <v>3.2</v>
      </c>
      <c r="H5517" t="s">
        <v>2327</v>
      </c>
      <c r="I5517" s="21">
        <v>43194</v>
      </c>
      <c r="J5517">
        <v>2018</v>
      </c>
      <c r="K5517" s="21">
        <v>43221</v>
      </c>
      <c r="L5517">
        <v>2018</v>
      </c>
      <c r="M5517" s="21">
        <v>44511</v>
      </c>
      <c r="N5517">
        <v>2021</v>
      </c>
      <c r="Q5517" s="262">
        <v>50000</v>
      </c>
      <c r="S5517" t="s">
        <v>114</v>
      </c>
      <c r="T5517" t="s">
        <v>114</v>
      </c>
      <c r="W5517">
        <v>0</v>
      </c>
      <c r="X5517">
        <v>0</v>
      </c>
      <c r="AU5517">
        <f t="shared" si="170"/>
        <v>0</v>
      </c>
      <c r="AV5517">
        <f t="shared" si="171"/>
        <v>0</v>
      </c>
    </row>
    <row r="5518" spans="1:48" x14ac:dyDescent="0.25">
      <c r="A5518" t="s">
        <v>13805</v>
      </c>
      <c r="B5518" t="s">
        <v>13805</v>
      </c>
      <c r="C5518" t="s">
        <v>13806</v>
      </c>
      <c r="D5518" t="s">
        <v>6736</v>
      </c>
      <c r="E5518" t="s">
        <v>2310</v>
      </c>
      <c r="F5518">
        <v>11</v>
      </c>
      <c r="G5518">
        <v>11.2</v>
      </c>
      <c r="H5518" t="s">
        <v>2017</v>
      </c>
      <c r="I5518" s="21">
        <v>43194.629479166702</v>
      </c>
      <c r="J5518">
        <v>2018</v>
      </c>
      <c r="K5518" s="21">
        <v>43251.694891203697</v>
      </c>
      <c r="L5518">
        <v>2018</v>
      </c>
      <c r="M5518" s="21">
        <v>43398.652041516201</v>
      </c>
      <c r="N5518">
        <v>2018</v>
      </c>
      <c r="Q5518" s="262">
        <v>10000</v>
      </c>
      <c r="R5518" s="262">
        <v>1000</v>
      </c>
      <c r="S5518" t="s">
        <v>114</v>
      </c>
      <c r="T5518" t="s">
        <v>114</v>
      </c>
      <c r="W5518">
        <v>0</v>
      </c>
      <c r="X5518">
        <v>0</v>
      </c>
      <c r="AU5518">
        <f t="shared" si="170"/>
        <v>0</v>
      </c>
      <c r="AV5518">
        <f t="shared" si="171"/>
        <v>0</v>
      </c>
    </row>
    <row r="5519" spans="1:48" x14ac:dyDescent="0.25">
      <c r="A5519" t="s">
        <v>13807</v>
      </c>
      <c r="B5519" t="s">
        <v>13807</v>
      </c>
      <c r="C5519" t="s">
        <v>13808</v>
      </c>
      <c r="D5519" t="s">
        <v>6005</v>
      </c>
      <c r="E5519" t="s">
        <v>2310</v>
      </c>
      <c r="F5519">
        <v>9</v>
      </c>
      <c r="G5519">
        <v>9.3000000000000007</v>
      </c>
      <c r="H5519" t="s">
        <v>2323</v>
      </c>
      <c r="I5519" s="21">
        <v>43194.638576388897</v>
      </c>
      <c r="J5519">
        <v>2018</v>
      </c>
      <c r="K5519" s="21">
        <v>43251.697123460603</v>
      </c>
      <c r="L5519">
        <v>2018</v>
      </c>
      <c r="M5519" s="21">
        <v>43307.372103472197</v>
      </c>
      <c r="N5519">
        <v>2018</v>
      </c>
      <c r="Q5519" s="262">
        <v>10000</v>
      </c>
      <c r="R5519" s="262">
        <v>1000</v>
      </c>
      <c r="S5519" t="s">
        <v>114</v>
      </c>
      <c r="T5519" t="s">
        <v>114</v>
      </c>
      <c r="W5519">
        <v>0</v>
      </c>
      <c r="X5519">
        <v>0</v>
      </c>
      <c r="AU5519">
        <f t="shared" si="170"/>
        <v>0</v>
      </c>
      <c r="AV5519">
        <f t="shared" si="171"/>
        <v>0</v>
      </c>
    </row>
    <row r="5520" spans="1:48" x14ac:dyDescent="0.25">
      <c r="A5520" t="s">
        <v>13809</v>
      </c>
      <c r="B5520" t="s">
        <v>13809</v>
      </c>
      <c r="C5520" t="s">
        <v>13810</v>
      </c>
      <c r="D5520" t="s">
        <v>3943</v>
      </c>
      <c r="E5520" t="s">
        <v>2310</v>
      </c>
      <c r="F5520">
        <v>9</v>
      </c>
      <c r="G5520">
        <v>9.3000000000000007</v>
      </c>
      <c r="H5520" t="s">
        <v>2323</v>
      </c>
      <c r="I5520" s="21">
        <v>43194.643530092602</v>
      </c>
      <c r="J5520">
        <v>2018</v>
      </c>
      <c r="K5520" s="21">
        <v>43255.445735069399</v>
      </c>
      <c r="L5520">
        <v>2018</v>
      </c>
      <c r="M5520" s="21">
        <v>43665.352753391198</v>
      </c>
      <c r="N5520">
        <v>2019</v>
      </c>
      <c r="Q5520" s="262">
        <v>10000</v>
      </c>
      <c r="R5520" s="262">
        <v>1000</v>
      </c>
      <c r="S5520" t="s">
        <v>114</v>
      </c>
      <c r="T5520" t="s">
        <v>114</v>
      </c>
      <c r="W5520">
        <v>0</v>
      </c>
      <c r="X5520">
        <v>0</v>
      </c>
      <c r="AU5520">
        <f t="shared" si="170"/>
        <v>0</v>
      </c>
      <c r="AV5520">
        <f t="shared" si="171"/>
        <v>0</v>
      </c>
    </row>
    <row r="5521" spans="1:48" x14ac:dyDescent="0.25">
      <c r="A5521" t="s">
        <v>17669</v>
      </c>
      <c r="B5521" t="s">
        <v>17669</v>
      </c>
      <c r="C5521" t="s">
        <v>17670</v>
      </c>
      <c r="D5521" t="s">
        <v>4813</v>
      </c>
      <c r="E5521" t="s">
        <v>2310</v>
      </c>
      <c r="F5521">
        <v>10</v>
      </c>
      <c r="G5521">
        <v>10.1</v>
      </c>
      <c r="H5521" t="s">
        <v>2323</v>
      </c>
      <c r="I5521" s="21">
        <v>43195.428854166668</v>
      </c>
      <c r="J5521">
        <v>2018</v>
      </c>
      <c r="K5521" s="21">
        <v>43229.435337152776</v>
      </c>
      <c r="L5521">
        <v>2018</v>
      </c>
      <c r="M5521" s="21">
        <v>43356.394031863427</v>
      </c>
      <c r="N5521">
        <v>2018</v>
      </c>
      <c r="Q5521" s="262">
        <v>75000</v>
      </c>
      <c r="R5521" s="262">
        <v>34000</v>
      </c>
      <c r="S5521" t="s">
        <v>13253</v>
      </c>
      <c r="T5521">
        <v>1389</v>
      </c>
      <c r="V5521">
        <v>200</v>
      </c>
      <c r="W5521">
        <v>378</v>
      </c>
      <c r="X5521">
        <v>0</v>
      </c>
      <c r="AC5521">
        <v>378</v>
      </c>
      <c r="AU5521">
        <f t="shared" si="170"/>
        <v>0</v>
      </c>
      <c r="AV5521">
        <f t="shared" si="171"/>
        <v>0</v>
      </c>
    </row>
    <row r="5522" spans="1:48" x14ac:dyDescent="0.25">
      <c r="A5522" t="s">
        <v>18972</v>
      </c>
      <c r="B5522" t="s">
        <v>18972</v>
      </c>
      <c r="C5522" t="s">
        <v>18973</v>
      </c>
      <c r="D5522" t="s">
        <v>8489</v>
      </c>
      <c r="E5522" t="s">
        <v>2310</v>
      </c>
      <c r="F5522">
        <v>9</v>
      </c>
      <c r="G5522">
        <v>9.4</v>
      </c>
      <c r="H5522" t="s">
        <v>2323</v>
      </c>
      <c r="I5522" s="21">
        <v>43195.579247685186</v>
      </c>
      <c r="J5522">
        <v>2018</v>
      </c>
      <c r="K5522" s="21">
        <v>43266.447855787039</v>
      </c>
      <c r="L5522">
        <v>2018</v>
      </c>
      <c r="M5522" s="21">
        <v>43690.512862962962</v>
      </c>
      <c r="N5522">
        <v>2019</v>
      </c>
      <c r="Q5522" s="262">
        <v>750000</v>
      </c>
      <c r="R5522" s="262">
        <v>114000</v>
      </c>
      <c r="S5522" t="s">
        <v>13254</v>
      </c>
      <c r="W5522">
        <v>1036</v>
      </c>
      <c r="X5522">
        <v>1</v>
      </c>
      <c r="AC5522">
        <v>40</v>
      </c>
      <c r="AF5522">
        <v>996</v>
      </c>
      <c r="AR5522">
        <v>1</v>
      </c>
      <c r="AU5522">
        <f t="shared" si="170"/>
        <v>0</v>
      </c>
      <c r="AV5522">
        <f t="shared" si="171"/>
        <v>0</v>
      </c>
    </row>
    <row r="5523" spans="1:48" x14ac:dyDescent="0.25">
      <c r="A5523" t="s">
        <v>18707</v>
      </c>
      <c r="B5523" t="s">
        <v>18707</v>
      </c>
      <c r="C5523" t="s">
        <v>18708</v>
      </c>
      <c r="D5523" t="s">
        <v>18709</v>
      </c>
      <c r="E5523" t="s">
        <v>2310</v>
      </c>
      <c r="F5523">
        <v>9</v>
      </c>
      <c r="G5523">
        <v>9.1999999999999993</v>
      </c>
      <c r="H5523" t="s">
        <v>2022</v>
      </c>
      <c r="I5523" s="21">
        <v>43195.614733796298</v>
      </c>
      <c r="J5523">
        <v>2018</v>
      </c>
      <c r="K5523" s="21">
        <v>43265.637496261574</v>
      </c>
      <c r="L5523">
        <v>2018</v>
      </c>
      <c r="M5523" s="21">
        <v>43880.421483020837</v>
      </c>
      <c r="N5523">
        <v>2020</v>
      </c>
      <c r="Q5523" s="262">
        <v>1500000</v>
      </c>
      <c r="R5523" s="262">
        <v>529000</v>
      </c>
      <c r="S5523" t="s">
        <v>12464</v>
      </c>
      <c r="T5523">
        <v>7411</v>
      </c>
      <c r="W5523">
        <v>4522</v>
      </c>
      <c r="X5523">
        <v>1</v>
      </c>
      <c r="AC5523">
        <v>4522</v>
      </c>
      <c r="AO5523">
        <v>1</v>
      </c>
      <c r="AU5523">
        <f t="shared" si="170"/>
        <v>1</v>
      </c>
      <c r="AV5523">
        <f t="shared" si="171"/>
        <v>0</v>
      </c>
    </row>
    <row r="5524" spans="1:48" x14ac:dyDescent="0.25">
      <c r="A5524" t="s">
        <v>18707</v>
      </c>
      <c r="B5524" t="s">
        <v>18707</v>
      </c>
      <c r="C5524" t="s">
        <v>18708</v>
      </c>
      <c r="D5524" t="s">
        <v>18709</v>
      </c>
      <c r="E5524" t="s">
        <v>2310</v>
      </c>
      <c r="F5524">
        <v>9</v>
      </c>
      <c r="G5524">
        <v>9.1999999999999993</v>
      </c>
      <c r="H5524" t="s">
        <v>2022</v>
      </c>
      <c r="I5524" s="21">
        <v>43195.614733796298</v>
      </c>
      <c r="J5524">
        <v>2018</v>
      </c>
      <c r="K5524" s="21">
        <v>43265.637496261603</v>
      </c>
      <c r="L5524">
        <v>2018</v>
      </c>
      <c r="M5524" s="21">
        <v>43880.4214830208</v>
      </c>
      <c r="N5524">
        <v>2020</v>
      </c>
      <c r="S5524" t="s">
        <v>9529</v>
      </c>
      <c r="T5524">
        <v>7411</v>
      </c>
      <c r="U5524">
        <v>5</v>
      </c>
      <c r="W5524">
        <v>-1472</v>
      </c>
      <c r="X5524">
        <v>-1</v>
      </c>
      <c r="Y5524">
        <v>0</v>
      </c>
      <c r="Z5524">
        <v>0</v>
      </c>
      <c r="AA5524">
        <v>0</v>
      </c>
      <c r="AB5524">
        <v>0</v>
      </c>
      <c r="AC5524">
        <v>-1472</v>
      </c>
      <c r="AD5524">
        <v>0</v>
      </c>
      <c r="AE5524">
        <v>0</v>
      </c>
      <c r="AF5524">
        <v>0</v>
      </c>
      <c r="AG5524">
        <v>0</v>
      </c>
      <c r="AH5524">
        <v>0</v>
      </c>
      <c r="AI5524">
        <v>0</v>
      </c>
      <c r="AJ5524">
        <v>0</v>
      </c>
      <c r="AK5524">
        <v>0</v>
      </c>
      <c r="AL5524">
        <v>0</v>
      </c>
      <c r="AM5524">
        <v>0</v>
      </c>
      <c r="AN5524">
        <v>0</v>
      </c>
      <c r="AO5524">
        <v>-1</v>
      </c>
      <c r="AP5524">
        <v>0</v>
      </c>
      <c r="AQ5524">
        <v>0</v>
      </c>
      <c r="AR5524">
        <v>0</v>
      </c>
      <c r="AS5524">
        <v>0</v>
      </c>
      <c r="AT5524">
        <v>0</v>
      </c>
      <c r="AU5524">
        <f t="shared" si="170"/>
        <v>-1</v>
      </c>
      <c r="AV5524">
        <f t="shared" si="171"/>
        <v>0</v>
      </c>
    </row>
    <row r="5525" spans="1:48" x14ac:dyDescent="0.25">
      <c r="A5525" t="s">
        <v>13811</v>
      </c>
      <c r="B5525" t="s">
        <v>13811</v>
      </c>
      <c r="C5525" t="s">
        <v>13812</v>
      </c>
      <c r="D5525" t="s">
        <v>13813</v>
      </c>
      <c r="E5525" t="s">
        <v>2310</v>
      </c>
      <c r="F5525">
        <v>8</v>
      </c>
      <c r="G5525">
        <v>8.3000000000000007</v>
      </c>
      <c r="H5525" t="s">
        <v>2323</v>
      </c>
      <c r="I5525" s="21">
        <v>43196.4714930556</v>
      </c>
      <c r="J5525">
        <v>2018</v>
      </c>
      <c r="K5525" s="21">
        <v>43228.605299039402</v>
      </c>
      <c r="L5525">
        <v>2018</v>
      </c>
      <c r="M5525" s="21">
        <v>43837.411660729202</v>
      </c>
      <c r="N5525">
        <v>2020</v>
      </c>
      <c r="Q5525" s="262">
        <v>100000</v>
      </c>
      <c r="R5525" s="262">
        <v>208000</v>
      </c>
      <c r="S5525" t="s">
        <v>114</v>
      </c>
      <c r="T5525" t="s">
        <v>114</v>
      </c>
      <c r="V5525">
        <v>1602</v>
      </c>
      <c r="W5525">
        <v>0</v>
      </c>
      <c r="X5525">
        <v>0</v>
      </c>
      <c r="AU5525">
        <f t="shared" si="170"/>
        <v>0</v>
      </c>
      <c r="AV5525">
        <f t="shared" si="171"/>
        <v>0</v>
      </c>
    </row>
    <row r="5526" spans="1:48" x14ac:dyDescent="0.25">
      <c r="A5526" t="s">
        <v>13814</v>
      </c>
      <c r="B5526" t="s">
        <v>13814</v>
      </c>
      <c r="C5526" t="s">
        <v>13815</v>
      </c>
      <c r="D5526" t="s">
        <v>13816</v>
      </c>
      <c r="E5526" t="s">
        <v>2310</v>
      </c>
      <c r="F5526">
        <v>9</v>
      </c>
      <c r="G5526">
        <v>9.1</v>
      </c>
      <c r="H5526" t="s">
        <v>2323</v>
      </c>
      <c r="I5526" s="21">
        <v>43196.593171296299</v>
      </c>
      <c r="J5526">
        <v>2018</v>
      </c>
      <c r="K5526" s="21">
        <v>43210.554710648103</v>
      </c>
      <c r="L5526">
        <v>2018</v>
      </c>
      <c r="M5526" s="21">
        <v>43654.366956909696</v>
      </c>
      <c r="N5526">
        <v>2019</v>
      </c>
      <c r="Q5526" s="262">
        <v>400000</v>
      </c>
      <c r="R5526" s="262">
        <v>99000</v>
      </c>
      <c r="S5526" t="s">
        <v>114</v>
      </c>
      <c r="T5526" t="s">
        <v>114</v>
      </c>
      <c r="V5526">
        <v>1170</v>
      </c>
      <c r="W5526">
        <v>0</v>
      </c>
      <c r="X5526">
        <v>0</v>
      </c>
      <c r="AU5526">
        <f t="shared" si="170"/>
        <v>0</v>
      </c>
      <c r="AV5526">
        <f t="shared" si="171"/>
        <v>0</v>
      </c>
    </row>
    <row r="5527" spans="1:48" x14ac:dyDescent="0.25">
      <c r="A5527" t="s">
        <v>18726</v>
      </c>
      <c r="B5527" t="s">
        <v>18726</v>
      </c>
      <c r="C5527" t="s">
        <v>18727</v>
      </c>
      <c r="D5527" t="s">
        <v>18536</v>
      </c>
      <c r="E5527" t="s">
        <v>2310</v>
      </c>
      <c r="F5527">
        <v>15</v>
      </c>
      <c r="G5527">
        <v>15.3</v>
      </c>
      <c r="H5527" t="s">
        <v>2022</v>
      </c>
      <c r="I5527" s="21">
        <v>43201.533541666664</v>
      </c>
      <c r="J5527">
        <v>2018</v>
      </c>
      <c r="K5527" s="21">
        <v>43293.458061805555</v>
      </c>
      <c r="L5527">
        <v>2018</v>
      </c>
      <c r="M5527" s="21">
        <v>43979.495737500001</v>
      </c>
      <c r="N5527">
        <v>2020</v>
      </c>
      <c r="Q5527" s="262">
        <v>50000</v>
      </c>
      <c r="R5527" s="262">
        <v>12000</v>
      </c>
      <c r="S5527" t="s">
        <v>13253</v>
      </c>
      <c r="T5527">
        <v>8038</v>
      </c>
      <c r="V5527">
        <v>21</v>
      </c>
      <c r="W5527">
        <v>88</v>
      </c>
      <c r="X5527">
        <v>0</v>
      </c>
      <c r="AC5527">
        <v>88</v>
      </c>
      <c r="AU5527">
        <f t="shared" si="170"/>
        <v>0</v>
      </c>
      <c r="AV5527">
        <f t="shared" si="171"/>
        <v>0</v>
      </c>
    </row>
    <row r="5528" spans="1:48" x14ac:dyDescent="0.25">
      <c r="A5528" t="s">
        <v>17950</v>
      </c>
      <c r="B5528" t="s">
        <v>17950</v>
      </c>
      <c r="C5528" t="s">
        <v>17951</v>
      </c>
      <c r="D5528" t="s">
        <v>5276</v>
      </c>
      <c r="E5528" t="s">
        <v>2310</v>
      </c>
      <c r="F5528">
        <v>15</v>
      </c>
      <c r="G5528">
        <v>15.2</v>
      </c>
      <c r="H5528" t="s">
        <v>2323</v>
      </c>
      <c r="I5528" s="21">
        <v>43202.581319444442</v>
      </c>
      <c r="J5528">
        <v>2018</v>
      </c>
      <c r="K5528" s="21">
        <v>43228.431222997686</v>
      </c>
      <c r="L5528">
        <v>2018</v>
      </c>
      <c r="M5528" s="21">
        <v>44154.70133434028</v>
      </c>
      <c r="N5528">
        <v>2020</v>
      </c>
      <c r="Q5528" s="262">
        <v>60000</v>
      </c>
      <c r="R5528" s="262">
        <v>39000</v>
      </c>
      <c r="S5528" t="s">
        <v>13253</v>
      </c>
      <c r="T5528">
        <v>2290</v>
      </c>
      <c r="W5528">
        <v>305</v>
      </c>
      <c r="X5528">
        <v>0</v>
      </c>
      <c r="AC5528">
        <v>305</v>
      </c>
      <c r="AU5528">
        <f t="shared" si="170"/>
        <v>0</v>
      </c>
      <c r="AV5528">
        <f t="shared" si="171"/>
        <v>0</v>
      </c>
    </row>
    <row r="5529" spans="1:48" x14ac:dyDescent="0.25">
      <c r="A5529" t="s">
        <v>19348</v>
      </c>
      <c r="B5529" t="s">
        <v>114</v>
      </c>
      <c r="C5529" t="s">
        <v>13717</v>
      </c>
      <c r="D5529" t="s">
        <v>19349</v>
      </c>
      <c r="E5529" t="s">
        <v>1663</v>
      </c>
      <c r="F5529">
        <v>6</v>
      </c>
      <c r="G5529">
        <v>6.1</v>
      </c>
      <c r="H5529" t="s">
        <v>2017</v>
      </c>
      <c r="I5529" s="21">
        <v>43203</v>
      </c>
      <c r="J5529">
        <v>2018</v>
      </c>
      <c r="K5529" s="21">
        <v>43277</v>
      </c>
      <c r="L5529">
        <v>2018</v>
      </c>
      <c r="M5529" s="21">
        <v>43858</v>
      </c>
      <c r="N5529">
        <v>2020</v>
      </c>
      <c r="Q5529" s="262">
        <v>1500000</v>
      </c>
      <c r="S5529" t="s">
        <v>12464</v>
      </c>
      <c r="T5529">
        <v>13068</v>
      </c>
      <c r="W5529">
        <v>4964</v>
      </c>
      <c r="X5529">
        <v>1</v>
      </c>
      <c r="AC5529">
        <v>4964</v>
      </c>
      <c r="AO5529">
        <v>1</v>
      </c>
      <c r="AU5529">
        <f t="shared" ref="AU5529:AU5592" si="172">SUM(AN5529:AQ5529,AS5529)</f>
        <v>1</v>
      </c>
      <c r="AV5529">
        <f t="shared" ref="AV5529:AV5592" si="173">SUM(Y5529:AB5529,AH5529:AM5529)</f>
        <v>0</v>
      </c>
    </row>
    <row r="5530" spans="1:48" x14ac:dyDescent="0.25">
      <c r="A5530" t="s">
        <v>19348</v>
      </c>
      <c r="B5530" t="s">
        <v>114</v>
      </c>
      <c r="C5530" t="s">
        <v>13717</v>
      </c>
      <c r="D5530" t="s">
        <v>19349</v>
      </c>
      <c r="E5530" t="s">
        <v>1663</v>
      </c>
      <c r="F5530">
        <v>6</v>
      </c>
      <c r="G5530">
        <v>6.1</v>
      </c>
      <c r="H5530" t="s">
        <v>2017</v>
      </c>
      <c r="I5530" s="21">
        <v>43203</v>
      </c>
      <c r="J5530">
        <v>2018</v>
      </c>
      <c r="K5530" s="21">
        <v>43277</v>
      </c>
      <c r="L5530">
        <v>2018</v>
      </c>
      <c r="M5530" s="21">
        <v>43858</v>
      </c>
      <c r="N5530">
        <v>2020</v>
      </c>
      <c r="S5530" t="s">
        <v>9529</v>
      </c>
      <c r="T5530">
        <v>13068</v>
      </c>
      <c r="U5530">
        <v>5</v>
      </c>
      <c r="W5530">
        <v>-1330</v>
      </c>
      <c r="X5530">
        <v>-1</v>
      </c>
      <c r="Y5530">
        <v>0</v>
      </c>
      <c r="Z5530">
        <v>0</v>
      </c>
      <c r="AA5530">
        <v>0</v>
      </c>
      <c r="AB5530">
        <v>0</v>
      </c>
      <c r="AC5530">
        <v>-1330</v>
      </c>
      <c r="AD5530">
        <v>0</v>
      </c>
      <c r="AE5530">
        <v>0</v>
      </c>
      <c r="AF5530">
        <v>0</v>
      </c>
      <c r="AG5530">
        <v>0</v>
      </c>
      <c r="AH5530">
        <v>0</v>
      </c>
      <c r="AI5530">
        <v>0</v>
      </c>
      <c r="AJ5530">
        <v>0</v>
      </c>
      <c r="AK5530">
        <v>0</v>
      </c>
      <c r="AL5530">
        <v>0</v>
      </c>
      <c r="AM5530">
        <v>0</v>
      </c>
      <c r="AN5530">
        <v>0</v>
      </c>
      <c r="AO5530">
        <v>-1</v>
      </c>
      <c r="AP5530">
        <v>0</v>
      </c>
      <c r="AQ5530">
        <v>0</v>
      </c>
      <c r="AR5530">
        <v>0</v>
      </c>
      <c r="AS5530">
        <v>0</v>
      </c>
      <c r="AT5530">
        <v>0</v>
      </c>
      <c r="AU5530">
        <f t="shared" si="172"/>
        <v>-1</v>
      </c>
      <c r="AV5530">
        <f t="shared" si="173"/>
        <v>0</v>
      </c>
    </row>
    <row r="5531" spans="1:48" x14ac:dyDescent="0.25">
      <c r="A5531" t="s">
        <v>18877</v>
      </c>
      <c r="B5531" t="s">
        <v>18877</v>
      </c>
      <c r="C5531" t="s">
        <v>18878</v>
      </c>
      <c r="D5531" t="s">
        <v>18879</v>
      </c>
      <c r="E5531" t="s">
        <v>2310</v>
      </c>
      <c r="F5531">
        <v>9</v>
      </c>
      <c r="G5531">
        <v>9.1</v>
      </c>
      <c r="H5531" t="s">
        <v>2323</v>
      </c>
      <c r="I5531" s="21">
        <v>43203.486574074072</v>
      </c>
      <c r="J5531">
        <v>2018</v>
      </c>
      <c r="K5531" s="21">
        <v>43251.537429050928</v>
      </c>
      <c r="L5531">
        <v>2018</v>
      </c>
      <c r="M5531" s="21">
        <v>43656.390225925927</v>
      </c>
      <c r="N5531">
        <v>2019</v>
      </c>
      <c r="Q5531" s="262">
        <v>1500000</v>
      </c>
      <c r="R5531" s="262">
        <v>403000</v>
      </c>
      <c r="S5531" t="s">
        <v>13254</v>
      </c>
      <c r="W5531">
        <v>4334</v>
      </c>
      <c r="X5531">
        <v>1</v>
      </c>
      <c r="AC5531">
        <v>4334</v>
      </c>
      <c r="AO5531">
        <v>1</v>
      </c>
      <c r="AU5531">
        <f t="shared" si="172"/>
        <v>1</v>
      </c>
      <c r="AV5531">
        <f t="shared" si="173"/>
        <v>0</v>
      </c>
    </row>
    <row r="5532" spans="1:48" x14ac:dyDescent="0.25">
      <c r="A5532" t="s">
        <v>19266</v>
      </c>
      <c r="B5532" t="s">
        <v>19266</v>
      </c>
      <c r="C5532" t="s">
        <v>19267</v>
      </c>
      <c r="D5532" t="s">
        <v>17989</v>
      </c>
      <c r="E5532" t="s">
        <v>2310</v>
      </c>
      <c r="F5532">
        <v>13</v>
      </c>
      <c r="G5532">
        <v>13.2</v>
      </c>
      <c r="H5532" t="s">
        <v>2327</v>
      </c>
      <c r="I5532" s="21">
        <v>43203.514409722222</v>
      </c>
      <c r="J5532">
        <v>2018</v>
      </c>
      <c r="K5532" s="21">
        <v>43641.498855902777</v>
      </c>
      <c r="L5532">
        <v>2019</v>
      </c>
      <c r="M5532" s="21">
        <v>43892.411299108797</v>
      </c>
      <c r="N5532">
        <v>2020</v>
      </c>
      <c r="Q5532" s="262">
        <v>250000</v>
      </c>
      <c r="R5532" s="262">
        <v>112000</v>
      </c>
      <c r="S5532" t="s">
        <v>13254</v>
      </c>
      <c r="W5532">
        <v>998</v>
      </c>
      <c r="X5532">
        <v>1</v>
      </c>
      <c r="AC5532">
        <v>18</v>
      </c>
      <c r="AF5532">
        <v>980</v>
      </c>
      <c r="AR5532">
        <v>1</v>
      </c>
      <c r="AU5532">
        <f t="shared" si="172"/>
        <v>0</v>
      </c>
      <c r="AV5532">
        <f t="shared" si="173"/>
        <v>0</v>
      </c>
    </row>
    <row r="5533" spans="1:48" x14ac:dyDescent="0.25">
      <c r="A5533" t="s">
        <v>18523</v>
      </c>
      <c r="B5533" t="s">
        <v>114</v>
      </c>
      <c r="C5533" t="s">
        <v>13717</v>
      </c>
      <c r="D5533" t="s">
        <v>18524</v>
      </c>
      <c r="E5533" t="s">
        <v>1663</v>
      </c>
      <c r="F5533">
        <v>6</v>
      </c>
      <c r="G5533">
        <v>6.1</v>
      </c>
      <c r="H5533" t="s">
        <v>2017</v>
      </c>
      <c r="I5533" s="21">
        <v>43207</v>
      </c>
      <c r="J5533">
        <v>2018</v>
      </c>
      <c r="K5533" s="21">
        <v>43252</v>
      </c>
      <c r="L5533">
        <v>2018</v>
      </c>
      <c r="M5533" s="21">
        <v>43502</v>
      </c>
      <c r="N5533">
        <v>2019</v>
      </c>
      <c r="Q5533" s="262">
        <v>600000</v>
      </c>
      <c r="S5533" t="s">
        <v>13254</v>
      </c>
      <c r="W5533">
        <v>2848</v>
      </c>
      <c r="X5533">
        <v>1</v>
      </c>
      <c r="AC5533">
        <v>2848</v>
      </c>
      <c r="AO5533">
        <v>1</v>
      </c>
      <c r="AU5533">
        <f t="shared" si="172"/>
        <v>1</v>
      </c>
      <c r="AV5533">
        <f t="shared" si="173"/>
        <v>0</v>
      </c>
    </row>
    <row r="5534" spans="1:48" x14ac:dyDescent="0.25">
      <c r="A5534" t="s">
        <v>19279</v>
      </c>
      <c r="B5534" t="s">
        <v>114</v>
      </c>
      <c r="C5534" t="s">
        <v>16558</v>
      </c>
      <c r="D5534" t="s">
        <v>19280</v>
      </c>
      <c r="E5534" t="s">
        <v>1663</v>
      </c>
      <c r="F5534">
        <v>5</v>
      </c>
      <c r="G5534">
        <v>5.5</v>
      </c>
      <c r="H5534" t="s">
        <v>2017</v>
      </c>
      <c r="I5534" s="21">
        <v>43207</v>
      </c>
      <c r="J5534">
        <v>2018</v>
      </c>
      <c r="K5534" s="21">
        <v>43269</v>
      </c>
      <c r="L5534">
        <v>2018</v>
      </c>
      <c r="M5534" s="21">
        <v>43545</v>
      </c>
      <c r="N5534">
        <v>2019</v>
      </c>
      <c r="Q5534" s="262">
        <v>550000</v>
      </c>
      <c r="S5534" t="s">
        <v>13253</v>
      </c>
      <c r="T5534">
        <v>12423</v>
      </c>
      <c r="W5534">
        <v>1474</v>
      </c>
      <c r="X5534">
        <v>0</v>
      </c>
      <c r="AC5534">
        <v>1474</v>
      </c>
      <c r="AU5534">
        <f t="shared" si="172"/>
        <v>0</v>
      </c>
      <c r="AV5534">
        <f t="shared" si="173"/>
        <v>0</v>
      </c>
    </row>
    <row r="5535" spans="1:48" x14ac:dyDescent="0.25">
      <c r="A5535" t="s">
        <v>13817</v>
      </c>
      <c r="C5535" t="s">
        <v>13818</v>
      </c>
      <c r="D5535" t="s">
        <v>13819</v>
      </c>
      <c r="E5535" t="s">
        <v>1663</v>
      </c>
      <c r="F5535">
        <v>2</v>
      </c>
      <c r="G5535">
        <v>2.1</v>
      </c>
      <c r="H5535" t="s">
        <v>2327</v>
      </c>
      <c r="I5535" s="21">
        <v>43207</v>
      </c>
      <c r="J5535">
        <v>2018</v>
      </c>
      <c r="K5535" s="21">
        <v>43300</v>
      </c>
      <c r="L5535">
        <v>2018</v>
      </c>
      <c r="M5535" s="21">
        <v>43873</v>
      </c>
      <c r="N5535">
        <v>2020</v>
      </c>
      <c r="Q5535" s="262">
        <v>7500</v>
      </c>
      <c r="S5535" t="s">
        <v>114</v>
      </c>
      <c r="T5535" t="s">
        <v>114</v>
      </c>
      <c r="W5535">
        <v>0</v>
      </c>
      <c r="X5535">
        <v>0</v>
      </c>
      <c r="AU5535">
        <f t="shared" si="172"/>
        <v>0</v>
      </c>
      <c r="AV5535">
        <f t="shared" si="173"/>
        <v>0</v>
      </c>
    </row>
    <row r="5536" spans="1:48" x14ac:dyDescent="0.25">
      <c r="A5536" t="s">
        <v>13820</v>
      </c>
      <c r="C5536" t="s">
        <v>13821</v>
      </c>
      <c r="D5536" t="s">
        <v>13822</v>
      </c>
      <c r="E5536" t="s">
        <v>1663</v>
      </c>
      <c r="F5536">
        <v>2</v>
      </c>
      <c r="G5536">
        <v>2.1</v>
      </c>
      <c r="H5536" t="s">
        <v>2327</v>
      </c>
      <c r="I5536" s="21">
        <v>43207</v>
      </c>
      <c r="J5536">
        <v>2018</v>
      </c>
      <c r="K5536" s="21">
        <v>43300</v>
      </c>
      <c r="L5536">
        <v>2018</v>
      </c>
      <c r="M5536" s="21">
        <v>43873</v>
      </c>
      <c r="N5536">
        <v>2020</v>
      </c>
      <c r="Q5536" s="262">
        <v>7500</v>
      </c>
      <c r="S5536" t="s">
        <v>114</v>
      </c>
      <c r="T5536" t="s">
        <v>114</v>
      </c>
      <c r="W5536">
        <v>0</v>
      </c>
      <c r="X5536">
        <v>0</v>
      </c>
      <c r="AU5536">
        <f t="shared" si="172"/>
        <v>0</v>
      </c>
      <c r="AV5536">
        <f t="shared" si="173"/>
        <v>0</v>
      </c>
    </row>
    <row r="5537" spans="1:48" x14ac:dyDescent="0.25">
      <c r="A5537" t="s">
        <v>18589</v>
      </c>
      <c r="B5537" t="s">
        <v>114</v>
      </c>
      <c r="C5537" t="s">
        <v>18590</v>
      </c>
      <c r="D5537" t="s">
        <v>18591</v>
      </c>
      <c r="E5537" t="s">
        <v>1663</v>
      </c>
      <c r="F5537">
        <v>3</v>
      </c>
      <c r="G5537">
        <v>3.2</v>
      </c>
      <c r="H5537" t="s">
        <v>2327</v>
      </c>
      <c r="I5537" s="21">
        <v>43208</v>
      </c>
      <c r="J5537">
        <v>2018</v>
      </c>
      <c r="K5537" s="21">
        <v>43235</v>
      </c>
      <c r="L5537">
        <v>2018</v>
      </c>
      <c r="M5537" s="21">
        <v>43539</v>
      </c>
      <c r="N5537">
        <v>2019</v>
      </c>
      <c r="Q5537" s="262">
        <v>300000</v>
      </c>
      <c r="S5537" t="s">
        <v>13254</v>
      </c>
      <c r="W5537">
        <v>1752</v>
      </c>
      <c r="X5537">
        <v>1</v>
      </c>
      <c r="AC5537">
        <v>1200</v>
      </c>
      <c r="AE5537">
        <v>552</v>
      </c>
      <c r="AQ5537">
        <v>1</v>
      </c>
      <c r="AU5537">
        <f t="shared" si="172"/>
        <v>1</v>
      </c>
      <c r="AV5537">
        <f t="shared" si="173"/>
        <v>0</v>
      </c>
    </row>
    <row r="5538" spans="1:48" x14ac:dyDescent="0.25">
      <c r="A5538" t="s">
        <v>13823</v>
      </c>
      <c r="C5538" t="s">
        <v>11879</v>
      </c>
      <c r="D5538" t="s">
        <v>13824</v>
      </c>
      <c r="E5538" t="s">
        <v>1663</v>
      </c>
      <c r="F5538">
        <v>2</v>
      </c>
      <c r="G5538">
        <v>2.2999999999999998</v>
      </c>
      <c r="H5538" t="s">
        <v>2327</v>
      </c>
      <c r="I5538" s="21">
        <v>43208</v>
      </c>
      <c r="J5538">
        <v>2018</v>
      </c>
      <c r="M5538" s="21">
        <v>43690</v>
      </c>
      <c r="N5538">
        <v>2019</v>
      </c>
      <c r="Q5538" s="262">
        <v>14000</v>
      </c>
      <c r="S5538" t="s">
        <v>114</v>
      </c>
      <c r="T5538" t="s">
        <v>114</v>
      </c>
      <c r="W5538">
        <v>0</v>
      </c>
      <c r="X5538">
        <v>0</v>
      </c>
      <c r="AU5538">
        <f t="shared" si="172"/>
        <v>0</v>
      </c>
      <c r="AV5538">
        <f t="shared" si="173"/>
        <v>0</v>
      </c>
    </row>
    <row r="5539" spans="1:48" x14ac:dyDescent="0.25">
      <c r="A5539" t="s">
        <v>18637</v>
      </c>
      <c r="B5539" t="s">
        <v>114</v>
      </c>
      <c r="C5539" t="s">
        <v>18638</v>
      </c>
      <c r="D5539" t="s">
        <v>18639</v>
      </c>
      <c r="E5539" t="s">
        <v>1663</v>
      </c>
      <c r="F5539">
        <v>6</v>
      </c>
      <c r="G5539">
        <v>6.2</v>
      </c>
      <c r="H5539" t="s">
        <v>2017</v>
      </c>
      <c r="I5539" s="21">
        <v>43209</v>
      </c>
      <c r="J5539">
        <v>2018</v>
      </c>
      <c r="K5539" s="21">
        <v>43301</v>
      </c>
      <c r="L5539">
        <v>2018</v>
      </c>
      <c r="M5539" s="21">
        <v>43587</v>
      </c>
      <c r="N5539">
        <v>2019</v>
      </c>
      <c r="Q5539" s="262">
        <v>200000</v>
      </c>
      <c r="S5539" t="s">
        <v>13254</v>
      </c>
      <c r="W5539">
        <v>1816</v>
      </c>
      <c r="X5539">
        <v>1</v>
      </c>
      <c r="AC5539">
        <v>1148</v>
      </c>
      <c r="AE5539">
        <v>668</v>
      </c>
      <c r="AQ5539">
        <v>1</v>
      </c>
      <c r="AU5539">
        <f t="shared" si="172"/>
        <v>1</v>
      </c>
      <c r="AV5539">
        <f t="shared" si="173"/>
        <v>0</v>
      </c>
    </row>
    <row r="5540" spans="1:48" x14ac:dyDescent="0.25">
      <c r="A5540" t="s">
        <v>20134</v>
      </c>
      <c r="B5540" t="s">
        <v>20134</v>
      </c>
      <c r="C5540" t="s">
        <v>20135</v>
      </c>
      <c r="D5540" t="s">
        <v>20136</v>
      </c>
      <c r="E5540" t="s">
        <v>2310</v>
      </c>
      <c r="F5540">
        <v>14</v>
      </c>
      <c r="G5540">
        <v>14.1</v>
      </c>
      <c r="H5540" t="s">
        <v>2022</v>
      </c>
      <c r="I5540" s="21">
        <v>43209.448449074102</v>
      </c>
      <c r="J5540">
        <v>2018</v>
      </c>
      <c r="K5540" s="21">
        <v>43336.599438773097</v>
      </c>
      <c r="L5540">
        <v>2018</v>
      </c>
      <c r="M5540" s="21">
        <v>44278</v>
      </c>
      <c r="N5540">
        <v>2021</v>
      </c>
      <c r="Q5540" s="262">
        <v>750000</v>
      </c>
      <c r="R5540" s="262">
        <v>375000</v>
      </c>
      <c r="S5540" t="s">
        <v>13254</v>
      </c>
      <c r="U5540">
        <v>5</v>
      </c>
      <c r="W5540">
        <v>3664</v>
      </c>
      <c r="X5540">
        <v>1</v>
      </c>
      <c r="AC5540">
        <v>3664</v>
      </c>
      <c r="AO5540">
        <v>1</v>
      </c>
      <c r="AU5540">
        <f t="shared" si="172"/>
        <v>1</v>
      </c>
      <c r="AV5540">
        <f t="shared" si="173"/>
        <v>0</v>
      </c>
    </row>
    <row r="5541" spans="1:48" x14ac:dyDescent="0.25">
      <c r="A5541" t="s">
        <v>15313</v>
      </c>
      <c r="B5541" t="s">
        <v>15313</v>
      </c>
      <c r="C5541" t="s">
        <v>15314</v>
      </c>
      <c r="D5541" t="s">
        <v>15315</v>
      </c>
      <c r="E5541" t="s">
        <v>2310</v>
      </c>
      <c r="F5541">
        <v>15</v>
      </c>
      <c r="G5541">
        <v>15.2</v>
      </c>
      <c r="H5541" t="s">
        <v>2323</v>
      </c>
      <c r="I5541" s="21">
        <v>43209.597118055601</v>
      </c>
      <c r="J5541">
        <v>2018</v>
      </c>
      <c r="K5541" s="21">
        <v>43263.634200196801</v>
      </c>
      <c r="L5541">
        <v>2018</v>
      </c>
      <c r="M5541" s="21">
        <v>44795.469350694446</v>
      </c>
      <c r="N5541">
        <v>2022</v>
      </c>
      <c r="Q5541" s="262">
        <v>4000000</v>
      </c>
      <c r="R5541" s="262">
        <v>1109000</v>
      </c>
      <c r="S5541" t="s">
        <v>13253</v>
      </c>
      <c r="T5541">
        <v>5399</v>
      </c>
      <c r="V5541">
        <v>8659</v>
      </c>
      <c r="W5541">
        <v>0</v>
      </c>
      <c r="X5541">
        <v>0</v>
      </c>
      <c r="AU5541">
        <f t="shared" si="172"/>
        <v>0</v>
      </c>
      <c r="AV5541">
        <f t="shared" si="173"/>
        <v>0</v>
      </c>
    </row>
    <row r="5542" spans="1:48" x14ac:dyDescent="0.25">
      <c r="A5542" t="s">
        <v>19120</v>
      </c>
      <c r="B5542" t="s">
        <v>114</v>
      </c>
      <c r="C5542" t="s">
        <v>11246</v>
      </c>
      <c r="D5542" t="s">
        <v>19121</v>
      </c>
      <c r="E5542" t="s">
        <v>1663</v>
      </c>
      <c r="F5542">
        <v>6</v>
      </c>
      <c r="G5542">
        <v>6.2</v>
      </c>
      <c r="H5542" t="s">
        <v>2017</v>
      </c>
      <c r="I5542" s="21">
        <v>43210</v>
      </c>
      <c r="J5542">
        <v>2018</v>
      </c>
      <c r="K5542" s="21">
        <v>43320</v>
      </c>
      <c r="L5542">
        <v>2018</v>
      </c>
      <c r="M5542" s="21">
        <v>43777</v>
      </c>
      <c r="N5542">
        <v>2019</v>
      </c>
      <c r="Q5542" s="262">
        <v>1700000</v>
      </c>
      <c r="S5542" t="s">
        <v>13254</v>
      </c>
      <c r="W5542">
        <v>4329</v>
      </c>
      <c r="X5542">
        <v>1</v>
      </c>
      <c r="AC5542">
        <v>4329</v>
      </c>
      <c r="AO5542">
        <v>1</v>
      </c>
      <c r="AU5542">
        <f t="shared" si="172"/>
        <v>1</v>
      </c>
      <c r="AV5542">
        <f t="shared" si="173"/>
        <v>0</v>
      </c>
    </row>
    <row r="5543" spans="1:48" x14ac:dyDescent="0.25">
      <c r="A5543" t="s">
        <v>13825</v>
      </c>
      <c r="C5543" t="s">
        <v>13826</v>
      </c>
      <c r="D5543" t="s">
        <v>13827</v>
      </c>
      <c r="E5543" t="s">
        <v>1663</v>
      </c>
      <c r="F5543">
        <v>6</v>
      </c>
      <c r="G5543">
        <v>6.1</v>
      </c>
      <c r="H5543" t="s">
        <v>2017</v>
      </c>
      <c r="I5543" s="21">
        <v>43210</v>
      </c>
      <c r="J5543">
        <v>2018</v>
      </c>
      <c r="K5543" s="21">
        <v>43220</v>
      </c>
      <c r="L5543">
        <v>2018</v>
      </c>
      <c r="M5543" s="21">
        <v>43355</v>
      </c>
      <c r="N5543">
        <v>2018</v>
      </c>
      <c r="Q5543" s="262">
        <v>1500</v>
      </c>
      <c r="S5543" t="s">
        <v>114</v>
      </c>
      <c r="T5543" t="s">
        <v>114</v>
      </c>
      <c r="W5543">
        <v>0</v>
      </c>
      <c r="X5543">
        <v>0</v>
      </c>
      <c r="AU5543">
        <f t="shared" si="172"/>
        <v>0</v>
      </c>
      <c r="AV5543">
        <f t="shared" si="173"/>
        <v>0</v>
      </c>
    </row>
    <row r="5544" spans="1:48" x14ac:dyDescent="0.25">
      <c r="A5544" t="s">
        <v>18683</v>
      </c>
      <c r="B5544" t="s">
        <v>114</v>
      </c>
      <c r="C5544" t="s">
        <v>18684</v>
      </c>
      <c r="D5544" t="s">
        <v>12691</v>
      </c>
      <c r="E5544" t="s">
        <v>1663</v>
      </c>
      <c r="F5544">
        <v>6</v>
      </c>
      <c r="G5544">
        <v>6.1</v>
      </c>
      <c r="H5544" t="s">
        <v>2017</v>
      </c>
      <c r="I5544" s="21">
        <v>43210</v>
      </c>
      <c r="J5544">
        <v>2018</v>
      </c>
      <c r="K5544" s="21">
        <v>43286</v>
      </c>
      <c r="L5544">
        <v>2018</v>
      </c>
      <c r="M5544" s="21">
        <v>43616</v>
      </c>
      <c r="N5544">
        <v>2019</v>
      </c>
      <c r="Q5544" s="262">
        <v>683000</v>
      </c>
      <c r="S5544" t="s">
        <v>13254</v>
      </c>
      <c r="W5544">
        <v>4166</v>
      </c>
      <c r="X5544">
        <v>1</v>
      </c>
      <c r="AC5544">
        <v>4166</v>
      </c>
      <c r="AO5544">
        <v>1</v>
      </c>
      <c r="AU5544">
        <f t="shared" si="172"/>
        <v>1</v>
      </c>
      <c r="AV5544">
        <f t="shared" si="173"/>
        <v>0</v>
      </c>
    </row>
    <row r="5545" spans="1:48" x14ac:dyDescent="0.25">
      <c r="A5545" t="s">
        <v>18103</v>
      </c>
      <c r="B5545" t="s">
        <v>18103</v>
      </c>
      <c r="C5545" t="s">
        <v>18104</v>
      </c>
      <c r="D5545" t="s">
        <v>18105</v>
      </c>
      <c r="E5545" t="s">
        <v>2310</v>
      </c>
      <c r="F5545">
        <v>12</v>
      </c>
      <c r="G5545">
        <v>12.3</v>
      </c>
      <c r="H5545" t="s">
        <v>2017</v>
      </c>
      <c r="I5545" s="21">
        <v>43210.433842592596</v>
      </c>
      <c r="J5545">
        <v>2018</v>
      </c>
      <c r="K5545" s="21">
        <v>43272.683037268522</v>
      </c>
      <c r="L5545">
        <v>2018</v>
      </c>
      <c r="M5545" s="21">
        <v>43474.465697337961</v>
      </c>
      <c r="N5545">
        <v>2019</v>
      </c>
      <c r="Q5545" s="262">
        <v>318000</v>
      </c>
      <c r="R5545" s="262">
        <v>60000</v>
      </c>
      <c r="S5545" t="s">
        <v>13253</v>
      </c>
      <c r="T5545">
        <v>3364</v>
      </c>
      <c r="W5545">
        <v>480</v>
      </c>
      <c r="X5545">
        <v>0</v>
      </c>
      <c r="AC5545">
        <v>480</v>
      </c>
      <c r="AU5545">
        <f t="shared" si="172"/>
        <v>0</v>
      </c>
      <c r="AV5545">
        <f t="shared" si="173"/>
        <v>0</v>
      </c>
    </row>
    <row r="5546" spans="1:48" x14ac:dyDescent="0.25">
      <c r="A5546" t="s">
        <v>13828</v>
      </c>
      <c r="B5546" t="s">
        <v>13828</v>
      </c>
      <c r="C5546" t="s">
        <v>13829</v>
      </c>
      <c r="D5546" t="s">
        <v>5825</v>
      </c>
      <c r="E5546" t="s">
        <v>2310</v>
      </c>
      <c r="F5546">
        <v>9</v>
      </c>
      <c r="G5546">
        <v>9.4</v>
      </c>
      <c r="H5546" t="s">
        <v>2323</v>
      </c>
      <c r="I5546" s="21">
        <v>43210.621192129598</v>
      </c>
      <c r="J5546">
        <v>2018</v>
      </c>
      <c r="O5546" s="21">
        <v>43213.402337963002</v>
      </c>
      <c r="R5546" s="262">
        <v>0</v>
      </c>
      <c r="S5546" t="s">
        <v>114</v>
      </c>
      <c r="T5546" t="s">
        <v>114</v>
      </c>
      <c r="W5546">
        <v>0</v>
      </c>
      <c r="X5546">
        <v>0</v>
      </c>
      <c r="AU5546">
        <f t="shared" si="172"/>
        <v>0</v>
      </c>
      <c r="AV5546">
        <f t="shared" si="173"/>
        <v>0</v>
      </c>
    </row>
    <row r="5547" spans="1:48" x14ac:dyDescent="0.25">
      <c r="A5547" t="s">
        <v>13830</v>
      </c>
      <c r="B5547" t="s">
        <v>13830</v>
      </c>
      <c r="C5547" t="s">
        <v>13829</v>
      </c>
      <c r="D5547" t="s">
        <v>13831</v>
      </c>
      <c r="E5547" t="s">
        <v>2310</v>
      </c>
      <c r="F5547">
        <v>9</v>
      </c>
      <c r="G5547">
        <v>9.1</v>
      </c>
      <c r="H5547" t="s">
        <v>2323</v>
      </c>
      <c r="I5547" s="21">
        <v>43210.631493055596</v>
      </c>
      <c r="J5547">
        <v>2018</v>
      </c>
      <c r="O5547" s="21">
        <v>43213.402870370403</v>
      </c>
      <c r="R5547" s="262">
        <v>0</v>
      </c>
      <c r="S5547" t="s">
        <v>114</v>
      </c>
      <c r="T5547" t="s">
        <v>114</v>
      </c>
      <c r="W5547">
        <v>0</v>
      </c>
      <c r="X5547">
        <v>0</v>
      </c>
      <c r="AU5547">
        <f t="shared" si="172"/>
        <v>0</v>
      </c>
      <c r="AV5547">
        <f t="shared" si="173"/>
        <v>0</v>
      </c>
    </row>
    <row r="5548" spans="1:48" x14ac:dyDescent="0.25">
      <c r="A5548" t="s">
        <v>13832</v>
      </c>
      <c r="B5548" t="s">
        <v>13832</v>
      </c>
      <c r="C5548" t="s">
        <v>13833</v>
      </c>
      <c r="D5548" t="s">
        <v>5825</v>
      </c>
      <c r="E5548" t="s">
        <v>2310</v>
      </c>
      <c r="F5548">
        <v>9</v>
      </c>
      <c r="G5548">
        <v>9.4</v>
      </c>
      <c r="H5548" t="s">
        <v>2323</v>
      </c>
      <c r="I5548" s="21">
        <v>43210.665810185201</v>
      </c>
      <c r="J5548">
        <v>2018</v>
      </c>
      <c r="K5548" s="21">
        <v>43263.641715659702</v>
      </c>
      <c r="L5548">
        <v>2018</v>
      </c>
      <c r="O5548" s="21">
        <v>43678.438104131899</v>
      </c>
      <c r="P5548" s="21">
        <v>43396.702074189801</v>
      </c>
      <c r="Q5548" s="262">
        <v>600000</v>
      </c>
      <c r="R5548" s="262">
        <v>117000</v>
      </c>
      <c r="S5548" t="s">
        <v>114</v>
      </c>
      <c r="T5548" t="s">
        <v>114</v>
      </c>
      <c r="W5548">
        <v>1301</v>
      </c>
      <c r="X5548">
        <v>1</v>
      </c>
      <c r="AC5548">
        <v>444</v>
      </c>
      <c r="AF5548">
        <v>857</v>
      </c>
      <c r="AR5548">
        <v>1</v>
      </c>
      <c r="AU5548">
        <f t="shared" si="172"/>
        <v>0</v>
      </c>
      <c r="AV5548">
        <f t="shared" si="173"/>
        <v>0</v>
      </c>
    </row>
    <row r="5549" spans="1:48" x14ac:dyDescent="0.25">
      <c r="A5549" t="s">
        <v>18766</v>
      </c>
      <c r="B5549" t="s">
        <v>18766</v>
      </c>
      <c r="C5549" t="s">
        <v>18767</v>
      </c>
      <c r="D5549" t="s">
        <v>13831</v>
      </c>
      <c r="E5549" t="s">
        <v>2310</v>
      </c>
      <c r="F5549">
        <v>9</v>
      </c>
      <c r="G5549">
        <v>9.1</v>
      </c>
      <c r="H5549" t="s">
        <v>2323</v>
      </c>
      <c r="I5549" s="21">
        <v>43213.372141203705</v>
      </c>
      <c r="J5549">
        <v>2018</v>
      </c>
      <c r="K5549" s="21">
        <v>43256.686123263891</v>
      </c>
      <c r="L5549">
        <v>2018</v>
      </c>
      <c r="M5549" s="21">
        <v>43622.417543518517</v>
      </c>
      <c r="N5549">
        <v>2019</v>
      </c>
      <c r="Q5549" s="262">
        <v>975000</v>
      </c>
      <c r="R5549" s="262">
        <v>399000</v>
      </c>
      <c r="S5549" t="s">
        <v>13254</v>
      </c>
      <c r="W5549">
        <v>4943</v>
      </c>
      <c r="X5549">
        <v>1</v>
      </c>
      <c r="AC5549">
        <v>4943</v>
      </c>
      <c r="AO5549">
        <v>1</v>
      </c>
      <c r="AU5549">
        <f t="shared" si="172"/>
        <v>1</v>
      </c>
      <c r="AV5549">
        <f t="shared" si="173"/>
        <v>0</v>
      </c>
    </row>
    <row r="5550" spans="1:48" x14ac:dyDescent="0.25">
      <c r="A5550" t="s">
        <v>18392</v>
      </c>
      <c r="B5550" t="s">
        <v>18392</v>
      </c>
      <c r="C5550" t="s">
        <v>18393</v>
      </c>
      <c r="D5550" t="s">
        <v>13699</v>
      </c>
      <c r="E5550" t="s">
        <v>2310</v>
      </c>
      <c r="F5550">
        <v>9</v>
      </c>
      <c r="G5550">
        <v>9.3000000000000007</v>
      </c>
      <c r="H5550" t="s">
        <v>2323</v>
      </c>
      <c r="I5550" s="21">
        <v>43215.640370370369</v>
      </c>
      <c r="J5550">
        <v>2018</v>
      </c>
      <c r="K5550" s="21">
        <v>43314.325120868052</v>
      </c>
      <c r="L5550">
        <v>2018</v>
      </c>
      <c r="M5550" s="21">
        <v>43419.457787268519</v>
      </c>
      <c r="N5550">
        <v>2018</v>
      </c>
      <c r="Q5550" s="262">
        <v>325000</v>
      </c>
      <c r="R5550" s="262">
        <v>38000</v>
      </c>
      <c r="S5550" t="s">
        <v>13254</v>
      </c>
      <c r="W5550">
        <v>2257</v>
      </c>
      <c r="X5550">
        <v>0</v>
      </c>
      <c r="AC5550">
        <v>2257</v>
      </c>
      <c r="AU5550">
        <f t="shared" si="172"/>
        <v>0</v>
      </c>
      <c r="AV5550">
        <f t="shared" si="173"/>
        <v>0</v>
      </c>
    </row>
    <row r="5551" spans="1:48" x14ac:dyDescent="0.25">
      <c r="A5551" t="s">
        <v>20077</v>
      </c>
      <c r="B5551" t="s">
        <v>20077</v>
      </c>
      <c r="C5551" t="s">
        <v>20078</v>
      </c>
      <c r="D5551" t="s">
        <v>20079</v>
      </c>
      <c r="E5551" t="s">
        <v>2310</v>
      </c>
      <c r="F5551">
        <v>8</v>
      </c>
      <c r="G5551">
        <v>8.1</v>
      </c>
      <c r="H5551" t="s">
        <v>2323</v>
      </c>
      <c r="I5551" s="21">
        <v>43217.461215277799</v>
      </c>
      <c r="J5551">
        <v>2018</v>
      </c>
      <c r="K5551" s="21">
        <v>43559.354331597198</v>
      </c>
      <c r="L5551">
        <v>2019</v>
      </c>
      <c r="M5551" s="21">
        <v>44278</v>
      </c>
      <c r="N5551">
        <v>2021</v>
      </c>
      <c r="Q5551" s="262">
        <v>1376589</v>
      </c>
      <c r="R5551" s="262">
        <v>1358000</v>
      </c>
      <c r="S5551" t="s">
        <v>13253</v>
      </c>
      <c r="T5551">
        <v>5728</v>
      </c>
      <c r="U5551">
        <v>5</v>
      </c>
      <c r="V5551">
        <v>2586</v>
      </c>
      <c r="W5551">
        <v>1301</v>
      </c>
      <c r="X5551">
        <v>0</v>
      </c>
      <c r="AC5551">
        <v>1301</v>
      </c>
      <c r="AU5551">
        <f t="shared" si="172"/>
        <v>0</v>
      </c>
      <c r="AV5551">
        <f t="shared" si="173"/>
        <v>0</v>
      </c>
    </row>
    <row r="5552" spans="1:48" x14ac:dyDescent="0.25">
      <c r="A5552" t="s">
        <v>18528</v>
      </c>
      <c r="B5552" t="s">
        <v>18528</v>
      </c>
      <c r="C5552" t="s">
        <v>18529</v>
      </c>
      <c r="D5552" t="s">
        <v>18530</v>
      </c>
      <c r="E5552" t="s">
        <v>2310</v>
      </c>
      <c r="F5552">
        <v>9</v>
      </c>
      <c r="G5552">
        <v>9.4</v>
      </c>
      <c r="H5552" t="s">
        <v>2323</v>
      </c>
      <c r="I5552" s="21">
        <v>43217.47515046296</v>
      </c>
      <c r="J5552">
        <v>2018</v>
      </c>
      <c r="K5552" s="21">
        <v>43259.703692939816</v>
      </c>
      <c r="L5552">
        <v>2018</v>
      </c>
      <c r="M5552" s="21">
        <v>43502.61222210648</v>
      </c>
      <c r="N5552">
        <v>2019</v>
      </c>
      <c r="Q5552" s="262">
        <v>485000</v>
      </c>
      <c r="R5552" s="262">
        <v>4000</v>
      </c>
      <c r="S5552" t="s">
        <v>13254</v>
      </c>
      <c r="W5552">
        <v>2047</v>
      </c>
      <c r="X5552">
        <v>1</v>
      </c>
      <c r="AC5552">
        <v>1050</v>
      </c>
      <c r="AF5552">
        <v>997</v>
      </c>
      <c r="AR5552">
        <v>1</v>
      </c>
      <c r="AU5552">
        <f t="shared" si="172"/>
        <v>0</v>
      </c>
      <c r="AV5552">
        <f t="shared" si="173"/>
        <v>0</v>
      </c>
    </row>
    <row r="5553" spans="1:48" x14ac:dyDescent="0.25">
      <c r="A5553" t="s">
        <v>13834</v>
      </c>
      <c r="B5553" t="s">
        <v>13834</v>
      </c>
      <c r="C5553" t="s">
        <v>13835</v>
      </c>
      <c r="D5553" t="s">
        <v>13520</v>
      </c>
      <c r="E5553" t="s">
        <v>2310</v>
      </c>
      <c r="F5553">
        <v>8</v>
      </c>
      <c r="G5553">
        <v>8.1999999999999993</v>
      </c>
      <c r="H5553" t="s">
        <v>2022</v>
      </c>
      <c r="I5553" s="21">
        <v>43217.574097222197</v>
      </c>
      <c r="J5553">
        <v>2018</v>
      </c>
      <c r="K5553" s="21">
        <v>43676.544293981497</v>
      </c>
      <c r="L5553">
        <v>2019</v>
      </c>
      <c r="M5553" s="21">
        <v>43726.455509490697</v>
      </c>
      <c r="N5553">
        <v>2019</v>
      </c>
      <c r="Q5553" s="262">
        <v>100000</v>
      </c>
      <c r="R5553" s="262">
        <v>37000</v>
      </c>
      <c r="S5553" t="s">
        <v>114</v>
      </c>
      <c r="T5553" t="s">
        <v>114</v>
      </c>
      <c r="W5553">
        <v>0</v>
      </c>
      <c r="X5553">
        <v>0</v>
      </c>
      <c r="AU5553">
        <f t="shared" si="172"/>
        <v>0</v>
      </c>
      <c r="AV5553">
        <f t="shared" si="173"/>
        <v>0</v>
      </c>
    </row>
    <row r="5554" spans="1:48" x14ac:dyDescent="0.25">
      <c r="A5554" t="s">
        <v>14494</v>
      </c>
      <c r="C5554" t="s">
        <v>14495</v>
      </c>
      <c r="D5554" t="s">
        <v>14496</v>
      </c>
      <c r="E5554" t="s">
        <v>1663</v>
      </c>
      <c r="F5554">
        <v>2</v>
      </c>
      <c r="G5554">
        <v>2.6</v>
      </c>
      <c r="H5554" t="s">
        <v>2327</v>
      </c>
      <c r="I5554" s="21">
        <v>43220</v>
      </c>
      <c r="J5554">
        <v>2018</v>
      </c>
      <c r="K5554" s="21">
        <v>43341</v>
      </c>
      <c r="L5554">
        <v>2018</v>
      </c>
      <c r="M5554" s="21">
        <v>44755</v>
      </c>
      <c r="N5554">
        <v>2022</v>
      </c>
      <c r="P5554" s="21">
        <v>43625</v>
      </c>
      <c r="Q5554" s="262">
        <v>50000</v>
      </c>
      <c r="S5554" t="s">
        <v>13254</v>
      </c>
      <c r="W5554">
        <v>1040</v>
      </c>
      <c r="X5554">
        <v>0</v>
      </c>
      <c r="AC5554">
        <v>1040</v>
      </c>
      <c r="AU5554">
        <f t="shared" si="172"/>
        <v>0</v>
      </c>
      <c r="AV5554">
        <f t="shared" si="173"/>
        <v>0</v>
      </c>
    </row>
    <row r="5555" spans="1:48" x14ac:dyDescent="0.25">
      <c r="A5555" t="s">
        <v>13839</v>
      </c>
      <c r="C5555" t="s">
        <v>13840</v>
      </c>
      <c r="D5555" t="s">
        <v>13841</v>
      </c>
      <c r="E5555" t="s">
        <v>1663</v>
      </c>
      <c r="F5555">
        <v>1</v>
      </c>
      <c r="G5555">
        <v>1.1000000000000001</v>
      </c>
      <c r="H5555" t="s">
        <v>2017</v>
      </c>
      <c r="I5555" s="21">
        <v>43220</v>
      </c>
      <c r="J5555">
        <v>2018</v>
      </c>
      <c r="K5555" s="21">
        <v>43376</v>
      </c>
      <c r="L5555">
        <v>2018</v>
      </c>
      <c r="M5555" s="21">
        <v>43398</v>
      </c>
      <c r="N5555">
        <v>2018</v>
      </c>
      <c r="Q5555" s="262">
        <v>7500</v>
      </c>
      <c r="S5555" t="s">
        <v>114</v>
      </c>
      <c r="T5555" t="s">
        <v>114</v>
      </c>
      <c r="W5555">
        <v>0</v>
      </c>
      <c r="X5555">
        <v>0</v>
      </c>
      <c r="AU5555">
        <f t="shared" si="172"/>
        <v>0</v>
      </c>
      <c r="AV5555">
        <f t="shared" si="173"/>
        <v>0</v>
      </c>
    </row>
    <row r="5556" spans="1:48" x14ac:dyDescent="0.25">
      <c r="A5556" t="s">
        <v>13842</v>
      </c>
      <c r="C5556" t="s">
        <v>13843</v>
      </c>
      <c r="D5556" t="s">
        <v>13844</v>
      </c>
      <c r="E5556" t="s">
        <v>1663</v>
      </c>
      <c r="F5556">
        <v>6</v>
      </c>
      <c r="G5556">
        <v>6.1</v>
      </c>
      <c r="H5556" t="s">
        <v>2017</v>
      </c>
      <c r="I5556" s="21">
        <v>43222</v>
      </c>
      <c r="J5556">
        <v>2018</v>
      </c>
      <c r="K5556" s="21">
        <v>43227</v>
      </c>
      <c r="L5556">
        <v>2018</v>
      </c>
      <c r="P5556" s="21">
        <v>43913</v>
      </c>
      <c r="Q5556" s="262">
        <v>11000</v>
      </c>
      <c r="S5556" t="s">
        <v>114</v>
      </c>
      <c r="T5556" t="s">
        <v>114</v>
      </c>
      <c r="W5556">
        <v>0</v>
      </c>
      <c r="X5556">
        <v>0</v>
      </c>
      <c r="AU5556">
        <f t="shared" si="172"/>
        <v>0</v>
      </c>
      <c r="AV5556">
        <f t="shared" si="173"/>
        <v>0</v>
      </c>
    </row>
    <row r="5557" spans="1:48" x14ac:dyDescent="0.25">
      <c r="A5557" t="s">
        <v>19929</v>
      </c>
      <c r="C5557" t="s">
        <v>19930</v>
      </c>
      <c r="D5557" t="s">
        <v>1863</v>
      </c>
      <c r="E5557" t="s">
        <v>1663</v>
      </c>
      <c r="F5557">
        <v>4</v>
      </c>
      <c r="G5557">
        <v>4.0999999999999996</v>
      </c>
      <c r="H5557" t="s">
        <v>2327</v>
      </c>
      <c r="I5557" s="21">
        <v>43222</v>
      </c>
      <c r="J5557">
        <v>2018</v>
      </c>
      <c r="K5557" s="21">
        <v>43784</v>
      </c>
      <c r="L5557">
        <v>2019</v>
      </c>
      <c r="M5557" s="21">
        <v>44456</v>
      </c>
      <c r="N5557">
        <v>2021</v>
      </c>
      <c r="Q5557" s="262">
        <v>19877000</v>
      </c>
      <c r="S5557" t="s">
        <v>13254</v>
      </c>
      <c r="U5557">
        <v>7</v>
      </c>
      <c r="W5557">
        <v>59327</v>
      </c>
      <c r="X5557">
        <v>90</v>
      </c>
      <c r="AE5557">
        <v>59327</v>
      </c>
      <c r="AQ5557">
        <v>90</v>
      </c>
      <c r="AU5557">
        <f t="shared" si="172"/>
        <v>90</v>
      </c>
      <c r="AV5557">
        <f t="shared" si="173"/>
        <v>0</v>
      </c>
    </row>
    <row r="5558" spans="1:48" x14ac:dyDescent="0.25">
      <c r="A5558" t="s">
        <v>19547</v>
      </c>
      <c r="B5558" t="s">
        <v>114</v>
      </c>
      <c r="C5558" t="s">
        <v>19548</v>
      </c>
      <c r="D5558" t="s">
        <v>13895</v>
      </c>
      <c r="E5558" t="s">
        <v>1663</v>
      </c>
      <c r="F5558">
        <v>3</v>
      </c>
      <c r="G5558">
        <v>3.3</v>
      </c>
      <c r="H5558" t="s">
        <v>2017</v>
      </c>
      <c r="I5558" s="21">
        <v>43222</v>
      </c>
      <c r="J5558">
        <v>2018</v>
      </c>
      <c r="K5558" s="21">
        <v>43518</v>
      </c>
      <c r="L5558">
        <v>2019</v>
      </c>
      <c r="M5558" s="21">
        <v>44116</v>
      </c>
      <c r="N5558">
        <v>2020</v>
      </c>
      <c r="Q5558" s="262">
        <v>7521000</v>
      </c>
      <c r="S5558" t="s">
        <v>13254</v>
      </c>
      <c r="W5558">
        <v>20470</v>
      </c>
      <c r="X5558">
        <v>21</v>
      </c>
      <c r="AE5558">
        <v>4425</v>
      </c>
      <c r="AJ5558">
        <v>4370</v>
      </c>
      <c r="AL5558">
        <v>11675</v>
      </c>
      <c r="AQ5558">
        <v>21</v>
      </c>
      <c r="AU5558">
        <f t="shared" si="172"/>
        <v>21</v>
      </c>
      <c r="AV5558">
        <f t="shared" si="173"/>
        <v>16045</v>
      </c>
    </row>
    <row r="5559" spans="1:48" x14ac:dyDescent="0.25">
      <c r="A5559" t="s">
        <v>18587</v>
      </c>
      <c r="B5559" t="s">
        <v>18587</v>
      </c>
      <c r="C5559" t="s">
        <v>18588</v>
      </c>
      <c r="D5559" t="s">
        <v>8714</v>
      </c>
      <c r="E5559" t="s">
        <v>2310</v>
      </c>
      <c r="F5559">
        <v>9</v>
      </c>
      <c r="G5559">
        <v>9.1</v>
      </c>
      <c r="H5559" t="s">
        <v>2323</v>
      </c>
      <c r="I5559" s="21">
        <v>43222.592206828704</v>
      </c>
      <c r="J5559">
        <v>2018</v>
      </c>
      <c r="K5559" s="21">
        <v>43264.599326886571</v>
      </c>
      <c r="L5559">
        <v>2018</v>
      </c>
      <c r="M5559" s="21">
        <v>43425.413198958333</v>
      </c>
      <c r="N5559">
        <v>2018</v>
      </c>
      <c r="Q5559" s="262">
        <v>400000</v>
      </c>
      <c r="R5559" s="262">
        <v>15000</v>
      </c>
      <c r="S5559" t="s">
        <v>13253</v>
      </c>
      <c r="T5559">
        <v>6146</v>
      </c>
      <c r="W5559">
        <v>126</v>
      </c>
      <c r="X5559">
        <v>0</v>
      </c>
      <c r="AC5559">
        <v>126</v>
      </c>
      <c r="AU5559">
        <f t="shared" si="172"/>
        <v>0</v>
      </c>
      <c r="AV5559">
        <f t="shared" si="173"/>
        <v>0</v>
      </c>
    </row>
    <row r="5560" spans="1:48" x14ac:dyDescent="0.25">
      <c r="A5560" t="s">
        <v>20065</v>
      </c>
      <c r="B5560" t="s">
        <v>20065</v>
      </c>
      <c r="C5560" t="s">
        <v>20066</v>
      </c>
      <c r="D5560" t="s">
        <v>20067</v>
      </c>
      <c r="E5560" t="s">
        <v>2310</v>
      </c>
      <c r="F5560">
        <v>9</v>
      </c>
      <c r="G5560">
        <v>9.3000000000000007</v>
      </c>
      <c r="H5560" t="s">
        <v>2323</v>
      </c>
      <c r="I5560" s="21">
        <v>43222.647241400497</v>
      </c>
      <c r="J5560">
        <v>2018</v>
      </c>
      <c r="K5560" s="21">
        <v>43292.620472025497</v>
      </c>
      <c r="L5560">
        <v>2018</v>
      </c>
      <c r="M5560" s="21">
        <v>44448</v>
      </c>
      <c r="N5560">
        <v>2021</v>
      </c>
      <c r="Q5560" s="262">
        <v>495000</v>
      </c>
      <c r="R5560" s="262">
        <v>62000</v>
      </c>
      <c r="S5560" t="s">
        <v>12464</v>
      </c>
      <c r="T5560">
        <v>5410</v>
      </c>
      <c r="U5560">
        <v>5</v>
      </c>
      <c r="W5560">
        <v>7127</v>
      </c>
      <c r="X5560">
        <v>1</v>
      </c>
      <c r="AC5560">
        <v>7127</v>
      </c>
      <c r="AO5560">
        <v>1</v>
      </c>
      <c r="AU5560">
        <f t="shared" si="172"/>
        <v>1</v>
      </c>
      <c r="AV5560">
        <f t="shared" si="173"/>
        <v>0</v>
      </c>
    </row>
    <row r="5561" spans="1:48" x14ac:dyDescent="0.25">
      <c r="A5561" t="s">
        <v>20065</v>
      </c>
      <c r="B5561" t="s">
        <v>20065</v>
      </c>
      <c r="C5561" t="s">
        <v>20066</v>
      </c>
      <c r="D5561" t="s">
        <v>20067</v>
      </c>
      <c r="E5561" t="s">
        <v>2310</v>
      </c>
      <c r="F5561">
        <v>9</v>
      </c>
      <c r="G5561">
        <v>9.3000000000000007</v>
      </c>
      <c r="H5561" t="s">
        <v>2323</v>
      </c>
      <c r="I5561" s="21">
        <v>43222.647241400497</v>
      </c>
      <c r="J5561">
        <v>2018</v>
      </c>
      <c r="K5561" s="21">
        <v>43292.620472025497</v>
      </c>
      <c r="L5561">
        <v>2018</v>
      </c>
      <c r="M5561" s="21">
        <v>44448</v>
      </c>
      <c r="N5561">
        <v>2021</v>
      </c>
      <c r="Q5561" s="262">
        <v>495000</v>
      </c>
      <c r="R5561" s="262">
        <v>62000</v>
      </c>
      <c r="S5561" t="s">
        <v>9529</v>
      </c>
      <c r="T5561">
        <v>5410</v>
      </c>
      <c r="U5561">
        <v>5</v>
      </c>
      <c r="W5561">
        <v>-4179</v>
      </c>
      <c r="X5561">
        <v>-1</v>
      </c>
      <c r="Y5561">
        <v>0</v>
      </c>
      <c r="Z5561">
        <v>0</v>
      </c>
      <c r="AA5561">
        <v>0</v>
      </c>
      <c r="AB5561">
        <v>0</v>
      </c>
      <c r="AC5561">
        <v>-4179</v>
      </c>
      <c r="AD5561">
        <v>0</v>
      </c>
      <c r="AE5561">
        <v>0</v>
      </c>
      <c r="AF5561">
        <v>0</v>
      </c>
      <c r="AG5561">
        <v>0</v>
      </c>
      <c r="AH5561">
        <v>0</v>
      </c>
      <c r="AI5561">
        <v>0</v>
      </c>
      <c r="AJ5561">
        <v>0</v>
      </c>
      <c r="AK5561">
        <v>0</v>
      </c>
      <c r="AL5561">
        <v>0</v>
      </c>
      <c r="AM5561">
        <v>0</v>
      </c>
      <c r="AN5561">
        <v>0</v>
      </c>
      <c r="AO5561">
        <v>-1</v>
      </c>
      <c r="AP5561">
        <v>0</v>
      </c>
      <c r="AQ5561">
        <v>0</v>
      </c>
      <c r="AR5561">
        <v>0</v>
      </c>
      <c r="AS5561">
        <v>0</v>
      </c>
      <c r="AT5561">
        <v>0</v>
      </c>
      <c r="AU5561">
        <f t="shared" si="172"/>
        <v>-1</v>
      </c>
      <c r="AV5561">
        <f t="shared" si="173"/>
        <v>0</v>
      </c>
    </row>
    <row r="5562" spans="1:48" x14ac:dyDescent="0.25">
      <c r="A5562" t="s">
        <v>19428</v>
      </c>
      <c r="B5562" t="s">
        <v>19428</v>
      </c>
      <c r="C5562" t="s">
        <v>19429</v>
      </c>
      <c r="D5562" t="s">
        <v>19430</v>
      </c>
      <c r="E5562" t="s">
        <v>2310</v>
      </c>
      <c r="F5562">
        <v>13</v>
      </c>
      <c r="G5562">
        <v>13.2</v>
      </c>
      <c r="H5562" t="s">
        <v>2327</v>
      </c>
      <c r="I5562" s="21">
        <v>43223.571973958336</v>
      </c>
      <c r="J5562">
        <v>2018</v>
      </c>
      <c r="K5562" s="21">
        <v>43641.499074537038</v>
      </c>
      <c r="L5562">
        <v>2019</v>
      </c>
      <c r="M5562" s="21">
        <v>44035.411564849535</v>
      </c>
      <c r="N5562">
        <v>2020</v>
      </c>
      <c r="Q5562" s="262">
        <v>3500000</v>
      </c>
      <c r="R5562" s="262">
        <v>654000</v>
      </c>
      <c r="S5562" t="s">
        <v>13254</v>
      </c>
      <c r="W5562">
        <v>9085</v>
      </c>
      <c r="X5562">
        <v>1</v>
      </c>
      <c r="AC5562">
        <v>9085</v>
      </c>
      <c r="AO5562">
        <v>1</v>
      </c>
      <c r="AU5562">
        <f t="shared" si="172"/>
        <v>1</v>
      </c>
      <c r="AV5562">
        <f t="shared" si="173"/>
        <v>0</v>
      </c>
    </row>
    <row r="5563" spans="1:48" x14ac:dyDescent="0.25">
      <c r="A5563" t="s">
        <v>18788</v>
      </c>
      <c r="B5563" t="s">
        <v>18788</v>
      </c>
      <c r="C5563" t="s">
        <v>18789</v>
      </c>
      <c r="D5563" t="s">
        <v>10583</v>
      </c>
      <c r="E5563" t="s">
        <v>2310</v>
      </c>
      <c r="F5563">
        <v>10</v>
      </c>
      <c r="G5563">
        <v>10.1</v>
      </c>
      <c r="H5563" t="s">
        <v>2323</v>
      </c>
      <c r="I5563" s="21">
        <v>43223.611858564815</v>
      </c>
      <c r="J5563">
        <v>2018</v>
      </c>
      <c r="K5563" s="21">
        <v>43482.540007442127</v>
      </c>
      <c r="L5563">
        <v>2019</v>
      </c>
      <c r="M5563" s="21">
        <v>43629.528294942131</v>
      </c>
      <c r="N5563">
        <v>2019</v>
      </c>
      <c r="Q5563" s="262">
        <v>150000</v>
      </c>
      <c r="R5563" s="262">
        <v>145000</v>
      </c>
      <c r="S5563" t="s">
        <v>13254</v>
      </c>
      <c r="W5563">
        <v>2520</v>
      </c>
      <c r="X5563">
        <v>0</v>
      </c>
      <c r="Y5563">
        <v>2520</v>
      </c>
      <c r="AU5563">
        <f t="shared" si="172"/>
        <v>0</v>
      </c>
      <c r="AV5563">
        <f t="shared" si="173"/>
        <v>2520</v>
      </c>
    </row>
    <row r="5564" spans="1:48" x14ac:dyDescent="0.25">
      <c r="A5564" t="s">
        <v>13845</v>
      </c>
      <c r="B5564" t="s">
        <v>13845</v>
      </c>
      <c r="C5564" t="s">
        <v>13846</v>
      </c>
      <c r="D5564" t="s">
        <v>13847</v>
      </c>
      <c r="E5564" t="s">
        <v>2310</v>
      </c>
      <c r="F5564">
        <v>9</v>
      </c>
      <c r="G5564">
        <v>9.3000000000000007</v>
      </c>
      <c r="H5564" t="s">
        <v>2323</v>
      </c>
      <c r="I5564" s="21">
        <v>43224.607323148099</v>
      </c>
      <c r="J5564">
        <v>2018</v>
      </c>
      <c r="P5564" s="21">
        <v>43423.357332256899</v>
      </c>
      <c r="Q5564" s="262">
        <v>2800000</v>
      </c>
      <c r="R5564" s="262">
        <v>626000</v>
      </c>
      <c r="S5564" t="s">
        <v>114</v>
      </c>
      <c r="T5564" t="s">
        <v>114</v>
      </c>
      <c r="W5564">
        <v>5128</v>
      </c>
      <c r="X5564">
        <v>1</v>
      </c>
      <c r="AC5564">
        <v>5128</v>
      </c>
      <c r="AO5564">
        <v>1</v>
      </c>
      <c r="AU5564">
        <f t="shared" si="172"/>
        <v>1</v>
      </c>
      <c r="AV5564">
        <f t="shared" si="173"/>
        <v>0</v>
      </c>
    </row>
    <row r="5565" spans="1:48" x14ac:dyDescent="0.25">
      <c r="A5565" t="s">
        <v>13848</v>
      </c>
      <c r="C5565" t="s">
        <v>13849</v>
      </c>
      <c r="D5565" t="s">
        <v>13850</v>
      </c>
      <c r="E5565" t="s">
        <v>1663</v>
      </c>
      <c r="F5565">
        <v>3</v>
      </c>
      <c r="G5565">
        <v>3.4</v>
      </c>
      <c r="H5565" t="s">
        <v>2017</v>
      </c>
      <c r="I5565" s="21">
        <v>43227</v>
      </c>
      <c r="J5565">
        <v>2018</v>
      </c>
      <c r="K5565" s="21">
        <v>43238</v>
      </c>
      <c r="L5565">
        <v>2018</v>
      </c>
      <c r="P5565" s="21">
        <v>43418</v>
      </c>
      <c r="Q5565" s="262">
        <v>0</v>
      </c>
      <c r="S5565" t="s">
        <v>114</v>
      </c>
      <c r="T5565" t="s">
        <v>114</v>
      </c>
      <c r="W5565">
        <v>0</v>
      </c>
      <c r="X5565">
        <v>0</v>
      </c>
      <c r="AU5565">
        <f t="shared" si="172"/>
        <v>0</v>
      </c>
      <c r="AV5565">
        <f t="shared" si="173"/>
        <v>0</v>
      </c>
    </row>
    <row r="5566" spans="1:48" x14ac:dyDescent="0.25">
      <c r="A5566" t="s">
        <v>18955</v>
      </c>
      <c r="B5566" t="s">
        <v>114</v>
      </c>
      <c r="C5566" t="s">
        <v>18956</v>
      </c>
      <c r="D5566" t="s">
        <v>18957</v>
      </c>
      <c r="E5566" t="s">
        <v>1663</v>
      </c>
      <c r="F5566">
        <v>9</v>
      </c>
      <c r="G5566">
        <v>9.4</v>
      </c>
      <c r="H5566" t="s">
        <v>2323</v>
      </c>
      <c r="I5566" s="21">
        <v>43230</v>
      </c>
      <c r="J5566">
        <v>2018</v>
      </c>
      <c r="K5566" s="21">
        <v>43283</v>
      </c>
      <c r="L5566">
        <v>2018</v>
      </c>
      <c r="M5566" s="21">
        <v>43685</v>
      </c>
      <c r="N5566">
        <v>2019</v>
      </c>
      <c r="Q5566" s="262">
        <v>1200000</v>
      </c>
      <c r="S5566" t="s">
        <v>13254</v>
      </c>
      <c r="W5566">
        <v>4706</v>
      </c>
      <c r="X5566">
        <v>1</v>
      </c>
      <c r="AC5566">
        <v>4706</v>
      </c>
      <c r="AO5566">
        <v>1</v>
      </c>
      <c r="AU5566">
        <f t="shared" si="172"/>
        <v>1</v>
      </c>
      <c r="AV5566">
        <f t="shared" si="173"/>
        <v>0</v>
      </c>
    </row>
    <row r="5567" spans="1:48" x14ac:dyDescent="0.25">
      <c r="A5567" t="s">
        <v>13851</v>
      </c>
      <c r="C5567" t="s">
        <v>13852</v>
      </c>
      <c r="D5567" t="s">
        <v>13738</v>
      </c>
      <c r="E5567" t="s">
        <v>1663</v>
      </c>
      <c r="F5567">
        <v>6</v>
      </c>
      <c r="G5567">
        <v>6.2</v>
      </c>
      <c r="H5567" t="s">
        <v>2017</v>
      </c>
      <c r="I5567" s="21">
        <v>43230</v>
      </c>
      <c r="J5567">
        <v>2018</v>
      </c>
      <c r="M5567" s="21">
        <v>43663</v>
      </c>
      <c r="N5567">
        <v>2019</v>
      </c>
      <c r="Q5567" s="262">
        <v>25000</v>
      </c>
      <c r="S5567" t="s">
        <v>114</v>
      </c>
      <c r="T5567" t="s">
        <v>114</v>
      </c>
      <c r="W5567">
        <v>1728</v>
      </c>
      <c r="X5567">
        <v>0</v>
      </c>
      <c r="AC5567">
        <v>1728</v>
      </c>
      <c r="AU5567">
        <f t="shared" si="172"/>
        <v>0</v>
      </c>
      <c r="AV5567">
        <f t="shared" si="173"/>
        <v>0</v>
      </c>
    </row>
    <row r="5568" spans="1:48" x14ac:dyDescent="0.25">
      <c r="A5568" t="s">
        <v>18281</v>
      </c>
      <c r="B5568" t="s">
        <v>18281</v>
      </c>
      <c r="C5568" t="s">
        <v>18282</v>
      </c>
      <c r="D5568" t="s">
        <v>18064</v>
      </c>
      <c r="E5568" t="s">
        <v>2310</v>
      </c>
      <c r="F5568">
        <v>14</v>
      </c>
      <c r="G5568">
        <v>14.1</v>
      </c>
      <c r="H5568" t="s">
        <v>2022</v>
      </c>
      <c r="I5568" s="21">
        <v>43230.524271261573</v>
      </c>
      <c r="J5568">
        <v>2018</v>
      </c>
      <c r="K5568" s="21">
        <v>43249.649129282407</v>
      </c>
      <c r="L5568">
        <v>2018</v>
      </c>
      <c r="M5568" s="21">
        <v>43357.416558993056</v>
      </c>
      <c r="N5568">
        <v>2018</v>
      </c>
      <c r="Q5568" s="262">
        <v>30000</v>
      </c>
      <c r="R5568" s="262">
        <v>12000</v>
      </c>
      <c r="S5568" t="s">
        <v>13254</v>
      </c>
      <c r="W5568">
        <v>252</v>
      </c>
      <c r="X5568">
        <v>0</v>
      </c>
      <c r="AC5568">
        <v>252</v>
      </c>
      <c r="AU5568">
        <f t="shared" si="172"/>
        <v>0</v>
      </c>
      <c r="AV5568">
        <f t="shared" si="173"/>
        <v>0</v>
      </c>
    </row>
    <row r="5569" spans="1:48" x14ac:dyDescent="0.25">
      <c r="A5569" t="s">
        <v>17664</v>
      </c>
      <c r="B5569" t="s">
        <v>17664</v>
      </c>
      <c r="C5569" t="s">
        <v>17665</v>
      </c>
      <c r="D5569" t="s">
        <v>17666</v>
      </c>
      <c r="E5569" t="s">
        <v>2310</v>
      </c>
      <c r="F5569">
        <v>10</v>
      </c>
      <c r="G5569">
        <v>10.1</v>
      </c>
      <c r="H5569" t="s">
        <v>2323</v>
      </c>
      <c r="I5569" s="21">
        <v>43230.570102280093</v>
      </c>
      <c r="J5569">
        <v>2018</v>
      </c>
      <c r="K5569" s="21">
        <v>43265.629435185183</v>
      </c>
      <c r="L5569">
        <v>2018</v>
      </c>
      <c r="M5569" s="21">
        <v>43753.404258298608</v>
      </c>
      <c r="N5569">
        <v>2019</v>
      </c>
      <c r="Q5569" s="262">
        <v>175000</v>
      </c>
      <c r="R5569" s="262">
        <v>326000</v>
      </c>
      <c r="S5569" t="s">
        <v>13253</v>
      </c>
      <c r="T5569">
        <v>1379</v>
      </c>
      <c r="V5569">
        <v>2456</v>
      </c>
      <c r="W5569">
        <v>945</v>
      </c>
      <c r="X5569">
        <v>0</v>
      </c>
      <c r="AC5569">
        <v>945</v>
      </c>
      <c r="AU5569">
        <f t="shared" si="172"/>
        <v>0</v>
      </c>
      <c r="AV5569">
        <f t="shared" si="173"/>
        <v>0</v>
      </c>
    </row>
    <row r="5570" spans="1:48" x14ac:dyDescent="0.25">
      <c r="A5570" t="s">
        <v>13853</v>
      </c>
      <c r="C5570" t="s">
        <v>13854</v>
      </c>
      <c r="D5570" t="s">
        <v>13855</v>
      </c>
      <c r="E5570" t="s">
        <v>1663</v>
      </c>
      <c r="F5570">
        <v>2</v>
      </c>
      <c r="G5570">
        <v>2.2999999999999998</v>
      </c>
      <c r="H5570" t="s">
        <v>2327</v>
      </c>
      <c r="I5570" s="21">
        <v>43231</v>
      </c>
      <c r="J5570">
        <v>2018</v>
      </c>
      <c r="K5570" s="21">
        <v>43251</v>
      </c>
      <c r="L5570">
        <v>2018</v>
      </c>
      <c r="M5570" s="21">
        <v>43865</v>
      </c>
      <c r="N5570">
        <v>2020</v>
      </c>
      <c r="Q5570" s="262">
        <v>34600</v>
      </c>
      <c r="S5570" t="s">
        <v>114</v>
      </c>
      <c r="T5570" t="s">
        <v>114</v>
      </c>
      <c r="W5570">
        <v>0</v>
      </c>
      <c r="X5570">
        <v>0</v>
      </c>
      <c r="AU5570">
        <f t="shared" si="172"/>
        <v>0</v>
      </c>
      <c r="AV5570">
        <f t="shared" si="173"/>
        <v>0</v>
      </c>
    </row>
    <row r="5571" spans="1:48" x14ac:dyDescent="0.25">
      <c r="A5571" t="s">
        <v>19151</v>
      </c>
      <c r="B5571" t="s">
        <v>19151</v>
      </c>
      <c r="C5571" t="s">
        <v>19152</v>
      </c>
      <c r="D5571" t="s">
        <v>8689</v>
      </c>
      <c r="E5571" t="s">
        <v>2310</v>
      </c>
      <c r="F5571">
        <v>8</v>
      </c>
      <c r="G5571">
        <v>8.3000000000000007</v>
      </c>
      <c r="H5571" t="s">
        <v>2323</v>
      </c>
      <c r="I5571" s="21">
        <v>43231.432992210648</v>
      </c>
      <c r="J5571">
        <v>2018</v>
      </c>
      <c r="K5571" s="21">
        <v>43515.654514155096</v>
      </c>
      <c r="L5571">
        <v>2019</v>
      </c>
      <c r="M5571" s="21">
        <v>43794.398222418982</v>
      </c>
      <c r="N5571">
        <v>2019</v>
      </c>
      <c r="Q5571" s="262">
        <v>600000</v>
      </c>
      <c r="R5571" s="262">
        <v>186000</v>
      </c>
      <c r="S5571" t="s">
        <v>13254</v>
      </c>
      <c r="W5571">
        <v>2670</v>
      </c>
      <c r="X5571">
        <v>1</v>
      </c>
      <c r="AC5571">
        <v>1698</v>
      </c>
      <c r="AF5571">
        <v>972</v>
      </c>
      <c r="AR5571">
        <v>1</v>
      </c>
      <c r="AU5571">
        <f t="shared" si="172"/>
        <v>0</v>
      </c>
      <c r="AV5571">
        <f t="shared" si="173"/>
        <v>0</v>
      </c>
    </row>
    <row r="5572" spans="1:48" x14ac:dyDescent="0.25">
      <c r="A5572" t="s">
        <v>19448</v>
      </c>
      <c r="B5572" t="s">
        <v>19448</v>
      </c>
      <c r="C5572" t="s">
        <v>19449</v>
      </c>
      <c r="D5572" t="s">
        <v>19450</v>
      </c>
      <c r="E5572" t="s">
        <v>2310</v>
      </c>
      <c r="F5572">
        <v>9</v>
      </c>
      <c r="G5572">
        <v>9.4</v>
      </c>
      <c r="H5572" t="s">
        <v>2323</v>
      </c>
      <c r="I5572" s="21">
        <v>43231.52659533565</v>
      </c>
      <c r="J5572">
        <v>2018</v>
      </c>
      <c r="K5572" s="21">
        <v>43312.430490196763</v>
      </c>
      <c r="L5572">
        <v>2018</v>
      </c>
      <c r="M5572" s="21">
        <v>44036.637983796296</v>
      </c>
      <c r="N5572">
        <v>2020</v>
      </c>
      <c r="Q5572" s="262">
        <v>2000000</v>
      </c>
      <c r="R5572" s="262">
        <v>656000</v>
      </c>
      <c r="S5572" t="s">
        <v>13254</v>
      </c>
      <c r="W5572">
        <v>5717</v>
      </c>
      <c r="X5572">
        <v>1</v>
      </c>
      <c r="AC5572">
        <v>5717</v>
      </c>
      <c r="AO5572">
        <v>1</v>
      </c>
      <c r="AU5572">
        <f t="shared" si="172"/>
        <v>1</v>
      </c>
      <c r="AV5572">
        <f t="shared" si="173"/>
        <v>0</v>
      </c>
    </row>
    <row r="5573" spans="1:48" x14ac:dyDescent="0.25">
      <c r="A5573" t="s">
        <v>18635</v>
      </c>
      <c r="B5573" t="s">
        <v>114</v>
      </c>
      <c r="C5573" t="s">
        <v>14027</v>
      </c>
      <c r="D5573" t="s">
        <v>18636</v>
      </c>
      <c r="E5573" t="s">
        <v>1663</v>
      </c>
      <c r="F5573">
        <v>5</v>
      </c>
      <c r="G5573">
        <v>5.5</v>
      </c>
      <c r="H5573" t="s">
        <v>2017</v>
      </c>
      <c r="I5573" s="21">
        <v>43234</v>
      </c>
      <c r="J5573">
        <v>2018</v>
      </c>
      <c r="K5573" s="21">
        <v>43265</v>
      </c>
      <c r="L5573">
        <v>2018</v>
      </c>
      <c r="M5573" s="21">
        <v>43586</v>
      </c>
      <c r="N5573">
        <v>2019</v>
      </c>
      <c r="Q5573" s="262">
        <v>545000</v>
      </c>
      <c r="S5573" t="s">
        <v>13254</v>
      </c>
      <c r="W5573">
        <v>3053</v>
      </c>
      <c r="X5573">
        <v>1</v>
      </c>
      <c r="AC5573">
        <v>3053</v>
      </c>
      <c r="AO5573">
        <v>1</v>
      </c>
      <c r="AU5573">
        <f t="shared" si="172"/>
        <v>1</v>
      </c>
      <c r="AV5573">
        <f t="shared" si="173"/>
        <v>0</v>
      </c>
    </row>
    <row r="5574" spans="1:48" x14ac:dyDescent="0.25">
      <c r="A5574" t="s">
        <v>13856</v>
      </c>
      <c r="C5574" t="s">
        <v>13857</v>
      </c>
      <c r="D5574" t="s">
        <v>13065</v>
      </c>
      <c r="E5574" t="s">
        <v>1663</v>
      </c>
      <c r="F5574">
        <v>2</v>
      </c>
      <c r="G5574">
        <v>2.2999999999999998</v>
      </c>
      <c r="H5574" t="s">
        <v>2327</v>
      </c>
      <c r="I5574" s="21">
        <v>43235</v>
      </c>
      <c r="J5574">
        <v>2018</v>
      </c>
      <c r="K5574" s="21">
        <v>43304</v>
      </c>
      <c r="L5574">
        <v>2018</v>
      </c>
      <c r="M5574" s="21">
        <v>43896</v>
      </c>
      <c r="N5574">
        <v>2020</v>
      </c>
      <c r="Q5574" s="262">
        <v>22500</v>
      </c>
      <c r="S5574" t="s">
        <v>114</v>
      </c>
      <c r="T5574" t="s">
        <v>114</v>
      </c>
      <c r="W5574">
        <v>0</v>
      </c>
      <c r="X5574">
        <v>0</v>
      </c>
      <c r="AU5574">
        <f t="shared" si="172"/>
        <v>0</v>
      </c>
      <c r="AV5574">
        <f t="shared" si="173"/>
        <v>0</v>
      </c>
    </row>
    <row r="5575" spans="1:48" x14ac:dyDescent="0.25">
      <c r="A5575" t="s">
        <v>18479</v>
      </c>
      <c r="B5575" t="s">
        <v>18479</v>
      </c>
      <c r="C5575" t="s">
        <v>18480</v>
      </c>
      <c r="D5575" t="s">
        <v>18481</v>
      </c>
      <c r="E5575" t="s">
        <v>2310</v>
      </c>
      <c r="F5575">
        <v>14</v>
      </c>
      <c r="G5575">
        <v>14.1</v>
      </c>
      <c r="H5575" t="s">
        <v>2022</v>
      </c>
      <c r="I5575" s="21">
        <v>43235.442000497686</v>
      </c>
      <c r="J5575">
        <v>2018</v>
      </c>
      <c r="K5575" s="21">
        <v>43305.565282256946</v>
      </c>
      <c r="L5575">
        <v>2018</v>
      </c>
      <c r="M5575" s="21">
        <v>43474.462805474534</v>
      </c>
      <c r="N5575">
        <v>2019</v>
      </c>
      <c r="Q5575" s="262">
        <v>335000</v>
      </c>
      <c r="R5575" s="262">
        <v>170000</v>
      </c>
      <c r="S5575" t="s">
        <v>13254</v>
      </c>
      <c r="W5575">
        <v>1503</v>
      </c>
      <c r="X5575">
        <v>1</v>
      </c>
      <c r="AC5575">
        <v>1503</v>
      </c>
      <c r="AO5575">
        <v>1</v>
      </c>
      <c r="AU5575">
        <f t="shared" si="172"/>
        <v>1</v>
      </c>
      <c r="AV5575">
        <f t="shared" si="173"/>
        <v>0</v>
      </c>
    </row>
    <row r="5576" spans="1:48" x14ac:dyDescent="0.25">
      <c r="A5576" t="s">
        <v>18482</v>
      </c>
      <c r="B5576" t="s">
        <v>18482</v>
      </c>
      <c r="C5576" t="s">
        <v>18483</v>
      </c>
      <c r="D5576" t="s">
        <v>18481</v>
      </c>
      <c r="E5576" t="s">
        <v>2310</v>
      </c>
      <c r="F5576">
        <v>14</v>
      </c>
      <c r="G5576">
        <v>14.1</v>
      </c>
      <c r="H5576" t="s">
        <v>2022</v>
      </c>
      <c r="I5576" s="21">
        <v>43235.474756365744</v>
      </c>
      <c r="J5576">
        <v>2018</v>
      </c>
      <c r="K5576" s="21">
        <v>43305.566622916667</v>
      </c>
      <c r="L5576">
        <v>2018</v>
      </c>
      <c r="M5576" s="21">
        <v>43474.464451967593</v>
      </c>
      <c r="N5576">
        <v>2019</v>
      </c>
      <c r="Q5576" s="262">
        <v>250000</v>
      </c>
      <c r="R5576" s="262">
        <v>52000</v>
      </c>
      <c r="S5576" t="s">
        <v>13254</v>
      </c>
      <c r="W5576">
        <v>1152</v>
      </c>
      <c r="X5576">
        <v>0</v>
      </c>
      <c r="AC5576">
        <v>1152</v>
      </c>
      <c r="AU5576">
        <f t="shared" si="172"/>
        <v>0</v>
      </c>
      <c r="AV5576">
        <f t="shared" si="173"/>
        <v>0</v>
      </c>
    </row>
    <row r="5577" spans="1:48" x14ac:dyDescent="0.25">
      <c r="A5577" t="s">
        <v>13858</v>
      </c>
      <c r="B5577" t="s">
        <v>13858</v>
      </c>
      <c r="C5577" t="s">
        <v>13859</v>
      </c>
      <c r="D5577" t="s">
        <v>13860</v>
      </c>
      <c r="E5577" t="s">
        <v>2310</v>
      </c>
      <c r="F5577">
        <v>9</v>
      </c>
      <c r="G5577">
        <v>9.1999999999999993</v>
      </c>
      <c r="H5577" t="s">
        <v>2022</v>
      </c>
      <c r="I5577" s="21">
        <v>43237.609894675901</v>
      </c>
      <c r="J5577">
        <v>2018</v>
      </c>
      <c r="O5577" s="21">
        <v>43424.526629664397</v>
      </c>
      <c r="P5577" s="21">
        <v>43420.586687962998</v>
      </c>
      <c r="R5577" s="262">
        <v>277000</v>
      </c>
      <c r="S5577" t="s">
        <v>114</v>
      </c>
      <c r="T5577" t="s">
        <v>114</v>
      </c>
      <c r="W5577">
        <v>0</v>
      </c>
      <c r="X5577">
        <v>0</v>
      </c>
      <c r="AU5577">
        <f t="shared" si="172"/>
        <v>0</v>
      </c>
      <c r="AV5577">
        <f t="shared" si="173"/>
        <v>0</v>
      </c>
    </row>
    <row r="5578" spans="1:48" x14ac:dyDescent="0.25">
      <c r="A5578" t="s">
        <v>13861</v>
      </c>
      <c r="C5578" t="s">
        <v>13862</v>
      </c>
      <c r="D5578" t="s">
        <v>13863</v>
      </c>
      <c r="E5578" t="s">
        <v>1663</v>
      </c>
      <c r="F5578">
        <v>4</v>
      </c>
      <c r="G5578">
        <v>4.0999999999999996</v>
      </c>
      <c r="H5578" t="s">
        <v>2327</v>
      </c>
      <c r="I5578" s="21">
        <v>43238</v>
      </c>
      <c r="J5578">
        <v>2018</v>
      </c>
      <c r="K5578" s="21">
        <v>43238</v>
      </c>
      <c r="L5578">
        <v>2018</v>
      </c>
      <c r="P5578" s="21">
        <v>43418</v>
      </c>
      <c r="Q5578" s="262">
        <v>249600</v>
      </c>
      <c r="S5578" t="s">
        <v>114</v>
      </c>
      <c r="T5578" t="s">
        <v>114</v>
      </c>
      <c r="W5578">
        <v>0</v>
      </c>
      <c r="X5578">
        <v>0</v>
      </c>
      <c r="AU5578">
        <f t="shared" si="172"/>
        <v>0</v>
      </c>
      <c r="AV5578">
        <f t="shared" si="173"/>
        <v>0</v>
      </c>
    </row>
    <row r="5579" spans="1:48" x14ac:dyDescent="0.25">
      <c r="A5579" t="s">
        <v>19601</v>
      </c>
      <c r="B5579" t="s">
        <v>19601</v>
      </c>
      <c r="C5579" t="s">
        <v>19602</v>
      </c>
      <c r="D5579" t="s">
        <v>19603</v>
      </c>
      <c r="E5579" t="s">
        <v>2310</v>
      </c>
      <c r="F5579">
        <v>8</v>
      </c>
      <c r="G5579">
        <v>8.1</v>
      </c>
      <c r="H5579" t="s">
        <v>2323</v>
      </c>
      <c r="I5579" s="21">
        <v>43242.578262002316</v>
      </c>
      <c r="J5579">
        <v>2018</v>
      </c>
      <c r="K5579" s="21">
        <v>43307.681550428242</v>
      </c>
      <c r="L5579">
        <v>2018</v>
      </c>
      <c r="M5579" s="21">
        <v>44160.538472453707</v>
      </c>
      <c r="N5579">
        <v>2020</v>
      </c>
      <c r="Q5579" s="262">
        <v>1200000</v>
      </c>
      <c r="R5579" s="262">
        <v>457000</v>
      </c>
      <c r="S5579" t="s">
        <v>13254</v>
      </c>
      <c r="W5579">
        <v>3971</v>
      </c>
      <c r="X5579">
        <v>1</v>
      </c>
      <c r="AC5579">
        <v>3971</v>
      </c>
      <c r="AO5579">
        <v>1</v>
      </c>
      <c r="AU5579">
        <f t="shared" si="172"/>
        <v>1</v>
      </c>
      <c r="AV5579">
        <f t="shared" si="173"/>
        <v>0</v>
      </c>
    </row>
    <row r="5580" spans="1:48" x14ac:dyDescent="0.25">
      <c r="A5580" t="s">
        <v>13864</v>
      </c>
      <c r="B5580" t="s">
        <v>13864</v>
      </c>
      <c r="C5580" t="s">
        <v>13865</v>
      </c>
      <c r="D5580" t="s">
        <v>5937</v>
      </c>
      <c r="E5580" t="s">
        <v>2310</v>
      </c>
      <c r="F5580">
        <v>13</v>
      </c>
      <c r="G5580">
        <v>13.3</v>
      </c>
      <c r="H5580" t="s">
        <v>2017</v>
      </c>
      <c r="I5580" s="21">
        <v>43242.633014548599</v>
      </c>
      <c r="J5580">
        <v>2018</v>
      </c>
      <c r="K5580" s="21">
        <v>43517.638610451402</v>
      </c>
      <c r="L5580">
        <v>2019</v>
      </c>
      <c r="Q5580" s="262">
        <v>1500000</v>
      </c>
      <c r="R5580" s="262">
        <v>523000</v>
      </c>
      <c r="S5580" t="s">
        <v>114</v>
      </c>
      <c r="T5580" t="s">
        <v>114</v>
      </c>
      <c r="W5580">
        <v>3971</v>
      </c>
      <c r="X5580">
        <v>1</v>
      </c>
      <c r="AC5580">
        <v>3971</v>
      </c>
      <c r="AO5580">
        <v>1</v>
      </c>
      <c r="AU5580">
        <f t="shared" si="172"/>
        <v>1</v>
      </c>
      <c r="AV5580">
        <f t="shared" si="173"/>
        <v>0</v>
      </c>
    </row>
    <row r="5581" spans="1:48" x14ac:dyDescent="0.25">
      <c r="A5581" t="s">
        <v>19229</v>
      </c>
      <c r="B5581" t="s">
        <v>19229</v>
      </c>
      <c r="C5581" t="s">
        <v>19230</v>
      </c>
      <c r="D5581" t="s">
        <v>7935</v>
      </c>
      <c r="E5581" t="s">
        <v>2310</v>
      </c>
      <c r="F5581">
        <v>9</v>
      </c>
      <c r="G5581">
        <v>9.1999999999999993</v>
      </c>
      <c r="H5581" t="s">
        <v>2022</v>
      </c>
      <c r="I5581" s="21">
        <v>43244.592213344906</v>
      </c>
      <c r="J5581">
        <v>2018</v>
      </c>
      <c r="K5581" s="21">
        <v>43706.549185300923</v>
      </c>
      <c r="L5581">
        <v>2019</v>
      </c>
      <c r="M5581" s="21">
        <v>43860.366390972224</v>
      </c>
      <c r="N5581">
        <v>2020</v>
      </c>
      <c r="Q5581" s="262">
        <v>500000</v>
      </c>
      <c r="R5581" s="262">
        <v>163000</v>
      </c>
      <c r="S5581" t="s">
        <v>13254</v>
      </c>
      <c r="W5581">
        <v>1731</v>
      </c>
      <c r="X5581">
        <v>1</v>
      </c>
      <c r="AC5581">
        <v>1731</v>
      </c>
      <c r="AO5581">
        <v>1</v>
      </c>
      <c r="AU5581">
        <f t="shared" si="172"/>
        <v>1</v>
      </c>
      <c r="AV5581">
        <f t="shared" si="173"/>
        <v>0</v>
      </c>
    </row>
    <row r="5582" spans="1:48" x14ac:dyDescent="0.25">
      <c r="A5582" t="s">
        <v>13866</v>
      </c>
      <c r="B5582" t="s">
        <v>13866</v>
      </c>
      <c r="C5582" t="s">
        <v>13867</v>
      </c>
      <c r="D5582" t="s">
        <v>13868</v>
      </c>
      <c r="E5582" t="s">
        <v>2310</v>
      </c>
      <c r="F5582">
        <v>14</v>
      </c>
      <c r="G5582">
        <v>14.2</v>
      </c>
      <c r="H5582" t="s">
        <v>2017</v>
      </c>
      <c r="I5582" s="21">
        <v>43244.6736542824</v>
      </c>
      <c r="J5582">
        <v>2018</v>
      </c>
      <c r="P5582" s="21">
        <v>43425.578259872702</v>
      </c>
      <c r="Q5582" s="262">
        <v>2500000</v>
      </c>
      <c r="R5582" s="262">
        <v>1030000</v>
      </c>
      <c r="S5582" t="s">
        <v>114</v>
      </c>
      <c r="T5582" t="s">
        <v>114</v>
      </c>
      <c r="W5582">
        <v>7323</v>
      </c>
      <c r="X5582">
        <v>1</v>
      </c>
      <c r="AC5582">
        <v>7323</v>
      </c>
      <c r="AO5582">
        <v>1</v>
      </c>
      <c r="AU5582">
        <f t="shared" si="172"/>
        <v>1</v>
      </c>
      <c r="AV5582">
        <f t="shared" si="173"/>
        <v>0</v>
      </c>
    </row>
    <row r="5583" spans="1:48" x14ac:dyDescent="0.25">
      <c r="A5583" t="s">
        <v>19413</v>
      </c>
      <c r="B5583" t="s">
        <v>19413</v>
      </c>
      <c r="C5583" t="s">
        <v>19414</v>
      </c>
      <c r="D5583" t="s">
        <v>19289</v>
      </c>
      <c r="E5583" t="s">
        <v>2310</v>
      </c>
      <c r="F5583">
        <v>13</v>
      </c>
      <c r="G5583">
        <v>13.2</v>
      </c>
      <c r="H5583" t="s">
        <v>2327</v>
      </c>
      <c r="I5583" s="21">
        <v>43245.439948344909</v>
      </c>
      <c r="J5583">
        <v>2018</v>
      </c>
      <c r="K5583" s="21">
        <v>43308.393685416668</v>
      </c>
      <c r="L5583">
        <v>2018</v>
      </c>
      <c r="M5583" s="21">
        <v>44025.500198807873</v>
      </c>
      <c r="N5583">
        <v>2020</v>
      </c>
      <c r="Q5583" s="262">
        <v>1783000</v>
      </c>
      <c r="R5583" s="262">
        <v>775000</v>
      </c>
      <c r="S5583" t="s">
        <v>13254</v>
      </c>
      <c r="W5583">
        <v>5928</v>
      </c>
      <c r="X5583">
        <v>1</v>
      </c>
      <c r="AC5583">
        <v>5928</v>
      </c>
      <c r="AO5583">
        <v>1</v>
      </c>
      <c r="AU5583">
        <f t="shared" si="172"/>
        <v>1</v>
      </c>
      <c r="AV5583">
        <f t="shared" si="173"/>
        <v>0</v>
      </c>
    </row>
    <row r="5584" spans="1:48" x14ac:dyDescent="0.25">
      <c r="A5584" t="s">
        <v>19426</v>
      </c>
      <c r="B5584" t="s">
        <v>19426</v>
      </c>
      <c r="C5584" t="s">
        <v>19414</v>
      </c>
      <c r="D5584" t="s">
        <v>19289</v>
      </c>
      <c r="E5584" t="s">
        <v>2310</v>
      </c>
      <c r="F5584">
        <v>13</v>
      </c>
      <c r="G5584">
        <v>13.2</v>
      </c>
      <c r="H5584" t="s">
        <v>2327</v>
      </c>
      <c r="I5584" s="21">
        <v>43245.46777314815</v>
      </c>
      <c r="J5584">
        <v>2018</v>
      </c>
      <c r="K5584" s="21">
        <v>43308.379709409724</v>
      </c>
      <c r="L5584">
        <v>2018</v>
      </c>
      <c r="M5584" s="21">
        <v>44035.395079548609</v>
      </c>
      <c r="N5584">
        <v>2020</v>
      </c>
      <c r="Q5584" s="262">
        <v>1783000</v>
      </c>
      <c r="R5584" s="262">
        <v>775000</v>
      </c>
      <c r="S5584" t="s">
        <v>13254</v>
      </c>
      <c r="W5584">
        <v>5928</v>
      </c>
      <c r="X5584">
        <v>1</v>
      </c>
      <c r="AC5584">
        <v>5928</v>
      </c>
      <c r="AO5584">
        <v>1</v>
      </c>
      <c r="AU5584">
        <f t="shared" si="172"/>
        <v>1</v>
      </c>
      <c r="AV5584">
        <f t="shared" si="173"/>
        <v>0</v>
      </c>
    </row>
    <row r="5585" spans="1:48" x14ac:dyDescent="0.25">
      <c r="A5585" t="s">
        <v>19425</v>
      </c>
      <c r="B5585" t="s">
        <v>19425</v>
      </c>
      <c r="C5585" t="s">
        <v>19414</v>
      </c>
      <c r="D5585" t="s">
        <v>19289</v>
      </c>
      <c r="E5585" t="s">
        <v>2310</v>
      </c>
      <c r="F5585">
        <v>13</v>
      </c>
      <c r="G5585">
        <v>13.2</v>
      </c>
      <c r="H5585" t="s">
        <v>2327</v>
      </c>
      <c r="I5585" s="21">
        <v>43245.46779884259</v>
      </c>
      <c r="J5585">
        <v>2018</v>
      </c>
      <c r="K5585" s="21">
        <v>43308.37721327546</v>
      </c>
      <c r="L5585">
        <v>2018</v>
      </c>
      <c r="M5585" s="21">
        <v>44035.390118715281</v>
      </c>
      <c r="N5585">
        <v>2020</v>
      </c>
      <c r="Q5585" s="262">
        <v>1783000</v>
      </c>
      <c r="R5585" s="262">
        <v>774000</v>
      </c>
      <c r="S5585" t="s">
        <v>13254</v>
      </c>
      <c r="W5585">
        <v>5928</v>
      </c>
      <c r="X5585">
        <v>1</v>
      </c>
      <c r="AC5585">
        <v>5928</v>
      </c>
      <c r="AO5585">
        <v>1</v>
      </c>
      <c r="AU5585">
        <f t="shared" si="172"/>
        <v>1</v>
      </c>
      <c r="AV5585">
        <f t="shared" si="173"/>
        <v>0</v>
      </c>
    </row>
    <row r="5586" spans="1:48" x14ac:dyDescent="0.25">
      <c r="A5586" t="s">
        <v>13869</v>
      </c>
      <c r="B5586" t="s">
        <v>13869</v>
      </c>
      <c r="C5586" t="s">
        <v>13870</v>
      </c>
      <c r="D5586" t="s">
        <v>13871</v>
      </c>
      <c r="E5586" t="s">
        <v>2310</v>
      </c>
      <c r="F5586">
        <v>12</v>
      </c>
      <c r="G5586">
        <v>12.3</v>
      </c>
      <c r="H5586" t="s">
        <v>2017</v>
      </c>
      <c r="I5586" s="21">
        <v>43249.4500501968</v>
      </c>
      <c r="J5586">
        <v>2018</v>
      </c>
      <c r="P5586" s="21">
        <v>43430.658731631898</v>
      </c>
      <c r="Q5586" s="262">
        <v>220000</v>
      </c>
      <c r="R5586" s="262">
        <v>84000</v>
      </c>
      <c r="S5586" t="s">
        <v>114</v>
      </c>
      <c r="T5586" t="s">
        <v>114</v>
      </c>
      <c r="W5586">
        <v>742</v>
      </c>
      <c r="X5586">
        <v>0</v>
      </c>
      <c r="AC5586">
        <v>742</v>
      </c>
      <c r="AU5586">
        <f t="shared" si="172"/>
        <v>0</v>
      </c>
      <c r="AV5586">
        <f t="shared" si="173"/>
        <v>0</v>
      </c>
    </row>
    <row r="5587" spans="1:48" x14ac:dyDescent="0.25">
      <c r="A5587" t="s">
        <v>18349</v>
      </c>
      <c r="B5587" t="s">
        <v>18349</v>
      </c>
      <c r="C5587" t="s">
        <v>18350</v>
      </c>
      <c r="D5587" t="s">
        <v>18351</v>
      </c>
      <c r="E5587" t="s">
        <v>2310</v>
      </c>
      <c r="F5587">
        <v>11</v>
      </c>
      <c r="G5587">
        <v>11.3</v>
      </c>
      <c r="H5587" t="s">
        <v>2017</v>
      </c>
      <c r="I5587" s="21">
        <v>43249.480768321759</v>
      </c>
      <c r="J5587">
        <v>2018</v>
      </c>
      <c r="K5587" s="21">
        <v>43409.68398105324</v>
      </c>
      <c r="L5587">
        <v>2018</v>
      </c>
      <c r="M5587" s="21">
        <v>43746.353863391203</v>
      </c>
      <c r="N5587">
        <v>2019</v>
      </c>
      <c r="Q5587" s="262">
        <v>1200000</v>
      </c>
      <c r="R5587" s="262">
        <v>293000</v>
      </c>
      <c r="S5587" t="s">
        <v>13253</v>
      </c>
      <c r="T5587">
        <v>4771</v>
      </c>
      <c r="V5587">
        <v>1898</v>
      </c>
      <c r="W5587">
        <v>1090</v>
      </c>
      <c r="X5587">
        <v>0</v>
      </c>
      <c r="AC5587">
        <v>1090</v>
      </c>
      <c r="AU5587">
        <f t="shared" si="172"/>
        <v>0</v>
      </c>
      <c r="AV5587">
        <f t="shared" si="173"/>
        <v>0</v>
      </c>
    </row>
    <row r="5588" spans="1:48" x14ac:dyDescent="0.25">
      <c r="A5588" t="s">
        <v>13872</v>
      </c>
      <c r="C5588" t="s">
        <v>13873</v>
      </c>
      <c r="D5588" t="s">
        <v>13874</v>
      </c>
      <c r="E5588" t="s">
        <v>1663</v>
      </c>
      <c r="F5588">
        <v>3</v>
      </c>
      <c r="G5588">
        <v>3.2</v>
      </c>
      <c r="H5588" t="s">
        <v>2327</v>
      </c>
      <c r="I5588" s="21">
        <v>43251</v>
      </c>
      <c r="J5588">
        <v>2018</v>
      </c>
      <c r="M5588" s="21">
        <v>43761</v>
      </c>
      <c r="N5588">
        <v>2019</v>
      </c>
      <c r="Q5588" s="262">
        <v>2000</v>
      </c>
      <c r="S5588" t="s">
        <v>114</v>
      </c>
      <c r="T5588" t="s">
        <v>114</v>
      </c>
      <c r="W5588">
        <v>0</v>
      </c>
      <c r="X5588">
        <v>0</v>
      </c>
      <c r="AU5588">
        <f t="shared" si="172"/>
        <v>0</v>
      </c>
      <c r="AV5588">
        <f t="shared" si="173"/>
        <v>0</v>
      </c>
    </row>
    <row r="5589" spans="1:48" x14ac:dyDescent="0.25">
      <c r="A5589" t="s">
        <v>19076</v>
      </c>
      <c r="B5589" t="s">
        <v>114</v>
      </c>
      <c r="C5589" t="s">
        <v>19077</v>
      </c>
      <c r="D5589" t="s">
        <v>13445</v>
      </c>
      <c r="E5589" t="s">
        <v>1663</v>
      </c>
      <c r="F5589">
        <v>3</v>
      </c>
      <c r="G5589">
        <v>3.2</v>
      </c>
      <c r="H5589" t="s">
        <v>2327</v>
      </c>
      <c r="I5589" s="21">
        <v>43251</v>
      </c>
      <c r="J5589">
        <v>2018</v>
      </c>
      <c r="K5589" s="21">
        <v>43293</v>
      </c>
      <c r="L5589">
        <v>2018</v>
      </c>
      <c r="M5589" s="21">
        <v>43448</v>
      </c>
      <c r="N5589">
        <v>2018</v>
      </c>
      <c r="Q5589" s="262">
        <v>20000</v>
      </c>
      <c r="S5589" t="s">
        <v>13253</v>
      </c>
      <c r="T5589">
        <v>10564</v>
      </c>
      <c r="W5589">
        <v>0</v>
      </c>
      <c r="X5589">
        <v>0</v>
      </c>
      <c r="AU5589">
        <f t="shared" si="172"/>
        <v>0</v>
      </c>
      <c r="AV5589">
        <f t="shared" si="173"/>
        <v>0</v>
      </c>
    </row>
    <row r="5590" spans="1:48" x14ac:dyDescent="0.25">
      <c r="A5590" t="s">
        <v>18830</v>
      </c>
      <c r="B5590" t="s">
        <v>114</v>
      </c>
      <c r="C5590" t="s">
        <v>11246</v>
      </c>
      <c r="D5590" t="s">
        <v>18831</v>
      </c>
      <c r="E5590" t="s">
        <v>1663</v>
      </c>
      <c r="F5590">
        <v>6</v>
      </c>
      <c r="G5590">
        <v>6.1</v>
      </c>
      <c r="H5590" t="s">
        <v>2017</v>
      </c>
      <c r="I5590" s="21">
        <v>43252</v>
      </c>
      <c r="J5590">
        <v>2018</v>
      </c>
      <c r="K5590" s="21">
        <v>43294</v>
      </c>
      <c r="L5590">
        <v>2018</v>
      </c>
      <c r="M5590" s="21">
        <v>43635</v>
      </c>
      <c r="N5590">
        <v>2019</v>
      </c>
      <c r="Q5590" s="262">
        <v>1000000</v>
      </c>
      <c r="S5590" t="s">
        <v>13254</v>
      </c>
      <c r="W5590">
        <v>3465</v>
      </c>
      <c r="X5590">
        <v>1</v>
      </c>
      <c r="AC5590">
        <v>3465</v>
      </c>
      <c r="AO5590">
        <v>1</v>
      </c>
      <c r="AU5590">
        <f t="shared" si="172"/>
        <v>1</v>
      </c>
      <c r="AV5590">
        <f t="shared" si="173"/>
        <v>0</v>
      </c>
    </row>
    <row r="5591" spans="1:48" x14ac:dyDescent="0.25">
      <c r="A5591" t="s">
        <v>18086</v>
      </c>
      <c r="B5591" t="s">
        <v>114</v>
      </c>
      <c r="C5591" t="s">
        <v>18087</v>
      </c>
      <c r="D5591" t="s">
        <v>18088</v>
      </c>
      <c r="E5591" t="s">
        <v>1663</v>
      </c>
      <c r="F5591">
        <v>4</v>
      </c>
      <c r="G5591">
        <v>4.0999999999999996</v>
      </c>
      <c r="H5591" t="s">
        <v>2327</v>
      </c>
      <c r="I5591" s="21">
        <v>43252</v>
      </c>
      <c r="J5591">
        <v>2018</v>
      </c>
      <c r="K5591" s="21">
        <v>43494</v>
      </c>
      <c r="L5591">
        <v>2019</v>
      </c>
      <c r="M5591" s="21">
        <v>43724</v>
      </c>
      <c r="N5591">
        <v>2019</v>
      </c>
      <c r="Q5591" s="262">
        <v>30000</v>
      </c>
      <c r="S5591" t="s">
        <v>13253</v>
      </c>
      <c r="T5591">
        <v>3248</v>
      </c>
      <c r="V5591">
        <v>450</v>
      </c>
      <c r="W5591">
        <v>0</v>
      </c>
      <c r="X5591">
        <v>1</v>
      </c>
      <c r="AE5591">
        <v>450</v>
      </c>
      <c r="AK5591">
        <v>-450</v>
      </c>
      <c r="AQ5591">
        <v>1</v>
      </c>
      <c r="AU5591">
        <f t="shared" si="172"/>
        <v>1</v>
      </c>
      <c r="AV5591">
        <f t="shared" si="173"/>
        <v>-450</v>
      </c>
    </row>
    <row r="5592" spans="1:48" x14ac:dyDescent="0.25">
      <c r="A5592" t="s">
        <v>19357</v>
      </c>
      <c r="B5592" t="s">
        <v>114</v>
      </c>
      <c r="C5592" t="s">
        <v>19358</v>
      </c>
      <c r="D5592" t="s">
        <v>19359</v>
      </c>
      <c r="E5592" t="s">
        <v>1663</v>
      </c>
      <c r="F5592">
        <v>2</v>
      </c>
      <c r="G5592">
        <v>2.6</v>
      </c>
      <c r="H5592" t="s">
        <v>2327</v>
      </c>
      <c r="I5592" s="21">
        <v>43252</v>
      </c>
      <c r="J5592">
        <v>2018</v>
      </c>
      <c r="K5592" s="21">
        <v>43602</v>
      </c>
      <c r="L5592">
        <v>2019</v>
      </c>
      <c r="M5592" s="21">
        <v>44083</v>
      </c>
      <c r="N5592">
        <v>2020</v>
      </c>
      <c r="Q5592" s="262">
        <v>1000000</v>
      </c>
      <c r="S5592" t="s">
        <v>12464</v>
      </c>
      <c r="T5592">
        <v>13115</v>
      </c>
      <c r="W5592">
        <v>10902</v>
      </c>
      <c r="X5592">
        <v>20</v>
      </c>
      <c r="AE5592">
        <v>2192</v>
      </c>
      <c r="AI5592">
        <v>8710</v>
      </c>
      <c r="AQ5592">
        <v>6</v>
      </c>
      <c r="AT5592">
        <v>14</v>
      </c>
      <c r="AU5592">
        <f t="shared" si="172"/>
        <v>6</v>
      </c>
      <c r="AV5592">
        <f t="shared" si="173"/>
        <v>8710</v>
      </c>
    </row>
    <row r="5593" spans="1:48" x14ac:dyDescent="0.25">
      <c r="A5593" t="s">
        <v>19357</v>
      </c>
      <c r="B5593" t="s">
        <v>114</v>
      </c>
      <c r="C5593" t="s">
        <v>19358</v>
      </c>
      <c r="D5593" t="s">
        <v>19359</v>
      </c>
      <c r="E5593" t="s">
        <v>1663</v>
      </c>
      <c r="F5593">
        <v>2</v>
      </c>
      <c r="G5593">
        <v>2.6</v>
      </c>
      <c r="H5593" t="s">
        <v>2327</v>
      </c>
      <c r="I5593" s="21">
        <v>43252</v>
      </c>
      <c r="J5593">
        <v>2018</v>
      </c>
      <c r="K5593" s="21">
        <v>43602</v>
      </c>
      <c r="L5593">
        <v>2019</v>
      </c>
      <c r="M5593" s="21">
        <v>44083</v>
      </c>
      <c r="N5593">
        <v>2020</v>
      </c>
      <c r="S5593" t="s">
        <v>9529</v>
      </c>
      <c r="T5593">
        <v>13115</v>
      </c>
      <c r="U5593">
        <v>12</v>
      </c>
      <c r="W5593">
        <v>-2717</v>
      </c>
      <c r="X5593">
        <v>0</v>
      </c>
      <c r="Y5593">
        <v>0</v>
      </c>
      <c r="Z5593">
        <v>0</v>
      </c>
      <c r="AA5593">
        <v>0</v>
      </c>
      <c r="AB5593">
        <v>0</v>
      </c>
      <c r="AC5593">
        <v>0</v>
      </c>
      <c r="AD5593">
        <v>0</v>
      </c>
      <c r="AE5593">
        <v>0</v>
      </c>
      <c r="AF5593">
        <v>0</v>
      </c>
      <c r="AG5593">
        <v>0</v>
      </c>
      <c r="AH5593">
        <v>0</v>
      </c>
      <c r="AI5593">
        <v>0</v>
      </c>
      <c r="AJ5593">
        <v>-2717</v>
      </c>
      <c r="AK5593">
        <v>0</v>
      </c>
      <c r="AL5593">
        <v>0</v>
      </c>
      <c r="AM5593">
        <v>0</v>
      </c>
      <c r="AN5593">
        <v>0</v>
      </c>
      <c r="AO5593">
        <v>0</v>
      </c>
      <c r="AP5593">
        <v>0</v>
      </c>
      <c r="AQ5593">
        <v>0</v>
      </c>
      <c r="AR5593">
        <v>0</v>
      </c>
      <c r="AS5593">
        <v>0</v>
      </c>
      <c r="AT5593">
        <v>0</v>
      </c>
      <c r="AU5593">
        <f t="shared" ref="AU5593:AU5656" si="174">SUM(AN5593:AQ5593,AS5593)</f>
        <v>0</v>
      </c>
      <c r="AV5593">
        <f t="shared" ref="AV5593:AV5656" si="175">SUM(Y5593:AB5593,AH5593:AM5593)</f>
        <v>-2717</v>
      </c>
    </row>
    <row r="5594" spans="1:48" x14ac:dyDescent="0.25">
      <c r="A5594" t="s">
        <v>19261</v>
      </c>
      <c r="B5594" t="s">
        <v>19261</v>
      </c>
      <c r="C5594" t="s">
        <v>19262</v>
      </c>
      <c r="D5594" t="s">
        <v>19263</v>
      </c>
      <c r="E5594" t="s">
        <v>2310</v>
      </c>
      <c r="F5594">
        <v>9</v>
      </c>
      <c r="G5594">
        <v>9.4</v>
      </c>
      <c r="H5594" t="s">
        <v>2323</v>
      </c>
      <c r="I5594" s="21">
        <v>43256.469160729168</v>
      </c>
      <c r="J5594">
        <v>2018</v>
      </c>
      <c r="K5594" s="21">
        <v>43326.55646832176</v>
      </c>
      <c r="L5594">
        <v>2018</v>
      </c>
      <c r="M5594" s="21">
        <v>43885.446470104165</v>
      </c>
      <c r="N5594">
        <v>2020</v>
      </c>
      <c r="Q5594" s="262">
        <v>2000000</v>
      </c>
      <c r="R5594" s="262">
        <v>1106000</v>
      </c>
      <c r="S5594" t="s">
        <v>13254</v>
      </c>
      <c r="W5594">
        <v>8352</v>
      </c>
      <c r="X5594">
        <v>1</v>
      </c>
      <c r="AC5594">
        <v>8352</v>
      </c>
      <c r="AO5594">
        <v>1</v>
      </c>
      <c r="AU5594">
        <f t="shared" si="174"/>
        <v>1</v>
      </c>
      <c r="AV5594">
        <f t="shared" si="175"/>
        <v>0</v>
      </c>
    </row>
    <row r="5595" spans="1:48" x14ac:dyDescent="0.25">
      <c r="A5595" t="s">
        <v>18563</v>
      </c>
      <c r="B5595" t="s">
        <v>18563</v>
      </c>
      <c r="C5595" t="s">
        <v>18564</v>
      </c>
      <c r="D5595" t="s">
        <v>18565</v>
      </c>
      <c r="E5595" t="s">
        <v>2310</v>
      </c>
      <c r="F5595">
        <v>9</v>
      </c>
      <c r="G5595">
        <v>9.1</v>
      </c>
      <c r="H5595" t="s">
        <v>2323</v>
      </c>
      <c r="I5595" s="21">
        <v>43258.657690624997</v>
      </c>
      <c r="J5595">
        <v>2018</v>
      </c>
      <c r="K5595" s="21">
        <v>43311.590724421294</v>
      </c>
      <c r="L5595">
        <v>2018</v>
      </c>
      <c r="M5595" s="21">
        <v>43536.477044212967</v>
      </c>
      <c r="N5595">
        <v>2019</v>
      </c>
      <c r="Q5595" s="262">
        <v>408000</v>
      </c>
      <c r="R5595" s="262">
        <v>295000</v>
      </c>
      <c r="S5595" t="s">
        <v>12464</v>
      </c>
      <c r="T5595">
        <v>6103</v>
      </c>
      <c r="W5595">
        <v>3155</v>
      </c>
      <c r="X5595">
        <v>1</v>
      </c>
      <c r="AC5595">
        <v>3155</v>
      </c>
      <c r="AO5595">
        <v>1</v>
      </c>
      <c r="AU5595">
        <f t="shared" si="174"/>
        <v>1</v>
      </c>
      <c r="AV5595">
        <f t="shared" si="175"/>
        <v>0</v>
      </c>
    </row>
    <row r="5596" spans="1:48" x14ac:dyDescent="0.25">
      <c r="A5596" t="s">
        <v>18563</v>
      </c>
      <c r="B5596" t="s">
        <v>18563</v>
      </c>
      <c r="C5596" t="s">
        <v>18564</v>
      </c>
      <c r="D5596" t="s">
        <v>18565</v>
      </c>
      <c r="E5596" t="s">
        <v>2310</v>
      </c>
      <c r="F5596">
        <v>9</v>
      </c>
      <c r="G5596">
        <v>9.1</v>
      </c>
      <c r="H5596" t="s">
        <v>2323</v>
      </c>
      <c r="I5596" s="21">
        <v>43258.657690624997</v>
      </c>
      <c r="J5596">
        <v>2018</v>
      </c>
      <c r="K5596" s="21">
        <v>43311.590724421301</v>
      </c>
      <c r="L5596">
        <v>2018</v>
      </c>
      <c r="M5596" s="21">
        <v>43536.477044213003</v>
      </c>
      <c r="N5596">
        <v>2019</v>
      </c>
      <c r="S5596" t="s">
        <v>9529</v>
      </c>
      <c r="T5596">
        <v>6103</v>
      </c>
      <c r="U5596">
        <v>5</v>
      </c>
      <c r="W5596">
        <v>-4419</v>
      </c>
      <c r="X5596">
        <v>-1</v>
      </c>
      <c r="Y5596">
        <v>0</v>
      </c>
      <c r="Z5596">
        <v>0</v>
      </c>
      <c r="AA5596">
        <v>0</v>
      </c>
      <c r="AB5596">
        <v>0</v>
      </c>
      <c r="AC5596">
        <v>-4419</v>
      </c>
      <c r="AD5596">
        <v>0</v>
      </c>
      <c r="AE5596">
        <v>0</v>
      </c>
      <c r="AF5596">
        <v>0</v>
      </c>
      <c r="AG5596">
        <v>0</v>
      </c>
      <c r="AH5596">
        <v>0</v>
      </c>
      <c r="AI5596">
        <v>0</v>
      </c>
      <c r="AJ5596">
        <v>0</v>
      </c>
      <c r="AK5596">
        <v>0</v>
      </c>
      <c r="AL5596">
        <v>0</v>
      </c>
      <c r="AM5596">
        <v>0</v>
      </c>
      <c r="AN5596">
        <v>0</v>
      </c>
      <c r="AO5596">
        <v>-1</v>
      </c>
      <c r="AP5596">
        <v>0</v>
      </c>
      <c r="AQ5596">
        <v>0</v>
      </c>
      <c r="AR5596">
        <v>0</v>
      </c>
      <c r="AS5596">
        <v>0</v>
      </c>
      <c r="AT5596">
        <v>0</v>
      </c>
      <c r="AU5596">
        <f t="shared" si="174"/>
        <v>-1</v>
      </c>
      <c r="AV5596">
        <f t="shared" si="175"/>
        <v>0</v>
      </c>
    </row>
    <row r="5597" spans="1:48" x14ac:dyDescent="0.25">
      <c r="A5597" t="s">
        <v>13875</v>
      </c>
      <c r="B5597" t="s">
        <v>13875</v>
      </c>
      <c r="C5597" t="s">
        <v>13876</v>
      </c>
      <c r="D5597" t="s">
        <v>13877</v>
      </c>
      <c r="E5597" t="s">
        <v>2310</v>
      </c>
      <c r="F5597">
        <v>9</v>
      </c>
      <c r="G5597">
        <v>9.3000000000000007</v>
      </c>
      <c r="H5597" t="s">
        <v>2323</v>
      </c>
      <c r="I5597" s="21">
        <v>43258.679524155101</v>
      </c>
      <c r="J5597">
        <v>2018</v>
      </c>
      <c r="O5597" s="21">
        <v>43867.3725511921</v>
      </c>
      <c r="P5597" s="21">
        <v>43440.616927743104</v>
      </c>
      <c r="R5597" s="262">
        <v>2567000</v>
      </c>
      <c r="S5597" t="s">
        <v>114</v>
      </c>
      <c r="T5597" t="s">
        <v>114</v>
      </c>
      <c r="W5597">
        <v>4941</v>
      </c>
      <c r="X5597">
        <v>1</v>
      </c>
      <c r="AC5597">
        <v>4941</v>
      </c>
      <c r="AO5597">
        <v>1</v>
      </c>
      <c r="AU5597">
        <f t="shared" si="174"/>
        <v>1</v>
      </c>
      <c r="AV5597">
        <f t="shared" si="175"/>
        <v>0</v>
      </c>
    </row>
    <row r="5598" spans="1:48" x14ac:dyDescent="0.25">
      <c r="A5598" t="s">
        <v>13878</v>
      </c>
      <c r="B5598" t="s">
        <v>13878</v>
      </c>
      <c r="C5598" t="s">
        <v>13879</v>
      </c>
      <c r="D5598" t="s">
        <v>13877</v>
      </c>
      <c r="E5598" t="s">
        <v>2310</v>
      </c>
      <c r="F5598">
        <v>9</v>
      </c>
      <c r="G5598">
        <v>9.3000000000000007</v>
      </c>
      <c r="H5598" t="s">
        <v>2323</v>
      </c>
      <c r="I5598" s="21">
        <v>43258.691364930601</v>
      </c>
      <c r="J5598">
        <v>2018</v>
      </c>
      <c r="O5598" s="21">
        <v>43867.373314930599</v>
      </c>
      <c r="P5598" s="21">
        <v>43440.637760034697</v>
      </c>
      <c r="R5598" s="262">
        <v>40000</v>
      </c>
      <c r="S5598" t="s">
        <v>114</v>
      </c>
      <c r="T5598" t="s">
        <v>114</v>
      </c>
      <c r="W5598">
        <v>713</v>
      </c>
      <c r="X5598">
        <v>0</v>
      </c>
      <c r="AC5598">
        <v>713</v>
      </c>
      <c r="AU5598">
        <f t="shared" si="174"/>
        <v>0</v>
      </c>
      <c r="AV5598">
        <f t="shared" si="175"/>
        <v>0</v>
      </c>
    </row>
    <row r="5599" spans="1:48" x14ac:dyDescent="0.25">
      <c r="A5599" t="s">
        <v>19003</v>
      </c>
      <c r="B5599" t="s">
        <v>19003</v>
      </c>
      <c r="C5599" t="s">
        <v>19004</v>
      </c>
      <c r="D5599" t="s">
        <v>14669</v>
      </c>
      <c r="E5599" t="s">
        <v>2310</v>
      </c>
      <c r="F5599">
        <v>9</v>
      </c>
      <c r="G5599">
        <v>9.3000000000000007</v>
      </c>
      <c r="H5599" t="s">
        <v>2323</v>
      </c>
      <c r="I5599" s="21">
        <v>43259.556610451385</v>
      </c>
      <c r="J5599">
        <v>2018</v>
      </c>
      <c r="K5599" s="21">
        <v>43278.361079629627</v>
      </c>
      <c r="L5599">
        <v>2018</v>
      </c>
      <c r="M5599" s="21">
        <v>43704.572491469909</v>
      </c>
      <c r="N5599">
        <v>2019</v>
      </c>
      <c r="Q5599" s="262">
        <v>150000</v>
      </c>
      <c r="R5599" s="262">
        <v>447000</v>
      </c>
      <c r="S5599" t="s">
        <v>13254</v>
      </c>
      <c r="W5599">
        <v>10000</v>
      </c>
      <c r="X5599">
        <v>0</v>
      </c>
      <c r="AL5599">
        <v>10000</v>
      </c>
      <c r="AU5599">
        <f t="shared" si="174"/>
        <v>0</v>
      </c>
      <c r="AV5599">
        <f t="shared" si="175"/>
        <v>10000</v>
      </c>
    </row>
    <row r="5600" spans="1:48" x14ac:dyDescent="0.25">
      <c r="A5600" t="s">
        <v>19161</v>
      </c>
      <c r="B5600" t="s">
        <v>19161</v>
      </c>
      <c r="C5600" t="s">
        <v>19162</v>
      </c>
      <c r="D5600" t="s">
        <v>13882</v>
      </c>
      <c r="E5600" t="s">
        <v>2310</v>
      </c>
      <c r="F5600">
        <v>15</v>
      </c>
      <c r="G5600">
        <v>15.2</v>
      </c>
      <c r="H5600" t="s">
        <v>2323</v>
      </c>
      <c r="I5600" s="21">
        <v>43259.579537812497</v>
      </c>
      <c r="J5600">
        <v>2018</v>
      </c>
      <c r="K5600" s="21">
        <v>43375.620882326388</v>
      </c>
      <c r="L5600">
        <v>2018</v>
      </c>
      <c r="M5600" s="21">
        <v>43808.441354050927</v>
      </c>
      <c r="N5600">
        <v>2019</v>
      </c>
      <c r="Q5600" s="262">
        <v>278924</v>
      </c>
      <c r="R5600" s="262">
        <v>87000</v>
      </c>
      <c r="S5600" t="s">
        <v>13254</v>
      </c>
      <c r="W5600">
        <v>747</v>
      </c>
      <c r="X5600">
        <v>1</v>
      </c>
      <c r="AC5600">
        <v>747</v>
      </c>
      <c r="AO5600">
        <v>1</v>
      </c>
      <c r="AU5600">
        <f t="shared" si="174"/>
        <v>1</v>
      </c>
      <c r="AV5600">
        <f t="shared" si="175"/>
        <v>0</v>
      </c>
    </row>
    <row r="5601" spans="1:48" x14ac:dyDescent="0.25">
      <c r="A5601" t="s">
        <v>13880</v>
      </c>
      <c r="B5601" t="s">
        <v>13880</v>
      </c>
      <c r="C5601" t="s">
        <v>13881</v>
      </c>
      <c r="D5601" t="s">
        <v>13882</v>
      </c>
      <c r="E5601" t="s">
        <v>2310</v>
      </c>
      <c r="F5601">
        <v>15</v>
      </c>
      <c r="G5601">
        <v>15.2</v>
      </c>
      <c r="H5601" t="s">
        <v>2323</v>
      </c>
      <c r="I5601" s="21">
        <v>43259.613950497704</v>
      </c>
      <c r="J5601">
        <v>2018</v>
      </c>
      <c r="O5601" s="21">
        <v>43440.461441238403</v>
      </c>
      <c r="Q5601" s="262">
        <v>11000</v>
      </c>
      <c r="R5601" s="262">
        <v>36000</v>
      </c>
      <c r="S5601" t="s">
        <v>114</v>
      </c>
      <c r="T5601" t="s">
        <v>114</v>
      </c>
      <c r="W5601">
        <v>796</v>
      </c>
      <c r="X5601">
        <v>0</v>
      </c>
      <c r="AC5601">
        <v>796</v>
      </c>
      <c r="AU5601">
        <f t="shared" si="174"/>
        <v>0</v>
      </c>
      <c r="AV5601">
        <f t="shared" si="175"/>
        <v>0</v>
      </c>
    </row>
    <row r="5602" spans="1:48" x14ac:dyDescent="0.25">
      <c r="A5602" t="s">
        <v>18816</v>
      </c>
      <c r="B5602" t="s">
        <v>114</v>
      </c>
      <c r="C5602" t="s">
        <v>18817</v>
      </c>
      <c r="D5602" t="s">
        <v>18818</v>
      </c>
      <c r="E5602" t="s">
        <v>1663</v>
      </c>
      <c r="F5602">
        <v>6</v>
      </c>
      <c r="G5602">
        <v>6.2</v>
      </c>
      <c r="H5602" t="s">
        <v>2017</v>
      </c>
      <c r="I5602" s="21">
        <v>43263</v>
      </c>
      <c r="J5602">
        <v>2018</v>
      </c>
      <c r="K5602" s="21">
        <v>43369</v>
      </c>
      <c r="L5602">
        <v>2018</v>
      </c>
      <c r="M5602" s="21">
        <v>43983</v>
      </c>
      <c r="N5602">
        <v>2020</v>
      </c>
      <c r="Q5602" s="262">
        <v>300000</v>
      </c>
      <c r="S5602" t="s">
        <v>13253</v>
      </c>
      <c r="T5602">
        <v>9274</v>
      </c>
      <c r="W5602">
        <v>515</v>
      </c>
      <c r="X5602">
        <v>0</v>
      </c>
      <c r="AC5602">
        <v>515</v>
      </c>
      <c r="AU5602">
        <f t="shared" si="174"/>
        <v>0</v>
      </c>
      <c r="AV5602">
        <f t="shared" si="175"/>
        <v>0</v>
      </c>
    </row>
    <row r="5603" spans="1:48" x14ac:dyDescent="0.25">
      <c r="A5603" t="s">
        <v>13883</v>
      </c>
      <c r="C5603" t="s">
        <v>11879</v>
      </c>
      <c r="D5603" t="s">
        <v>13884</v>
      </c>
      <c r="E5603" t="s">
        <v>1663</v>
      </c>
      <c r="F5603">
        <v>4</v>
      </c>
      <c r="G5603">
        <v>4.4000000000000004</v>
      </c>
      <c r="H5603" t="s">
        <v>2017</v>
      </c>
      <c r="I5603" s="21">
        <v>43263</v>
      </c>
      <c r="J5603">
        <v>2018</v>
      </c>
      <c r="K5603" s="21">
        <v>43312</v>
      </c>
      <c r="L5603">
        <v>2018</v>
      </c>
      <c r="M5603" s="21">
        <v>43608</v>
      </c>
      <c r="N5603">
        <v>2019</v>
      </c>
      <c r="Q5603" s="262">
        <v>8000</v>
      </c>
      <c r="S5603" t="s">
        <v>114</v>
      </c>
      <c r="T5603" t="s">
        <v>114</v>
      </c>
      <c r="W5603">
        <v>0</v>
      </c>
      <c r="X5603">
        <v>0</v>
      </c>
      <c r="AU5603">
        <f t="shared" si="174"/>
        <v>0</v>
      </c>
      <c r="AV5603">
        <f t="shared" si="175"/>
        <v>0</v>
      </c>
    </row>
    <row r="5604" spans="1:48" x14ac:dyDescent="0.25">
      <c r="A5604" t="s">
        <v>13885</v>
      </c>
      <c r="C5604" t="s">
        <v>13886</v>
      </c>
      <c r="D5604" t="s">
        <v>13767</v>
      </c>
      <c r="E5604" t="s">
        <v>1663</v>
      </c>
      <c r="F5604">
        <v>1</v>
      </c>
      <c r="G5604">
        <v>1.1000000000000001</v>
      </c>
      <c r="H5604" t="s">
        <v>2017</v>
      </c>
      <c r="I5604" s="21">
        <v>43263</v>
      </c>
      <c r="J5604">
        <v>2018</v>
      </c>
      <c r="K5604" s="21">
        <v>43313</v>
      </c>
      <c r="L5604">
        <v>2018</v>
      </c>
      <c r="M5604" s="21">
        <v>43724</v>
      </c>
      <c r="N5604">
        <v>2019</v>
      </c>
      <c r="Q5604" s="262">
        <v>40000</v>
      </c>
      <c r="S5604" t="s">
        <v>114</v>
      </c>
      <c r="T5604" t="s">
        <v>114</v>
      </c>
      <c r="W5604">
        <v>0</v>
      </c>
      <c r="X5604">
        <v>0</v>
      </c>
      <c r="AU5604">
        <f t="shared" si="174"/>
        <v>0</v>
      </c>
      <c r="AV5604">
        <f t="shared" si="175"/>
        <v>0</v>
      </c>
    </row>
    <row r="5605" spans="1:48" x14ac:dyDescent="0.25">
      <c r="A5605" t="s">
        <v>18857</v>
      </c>
      <c r="B5605" t="s">
        <v>114</v>
      </c>
      <c r="C5605" t="s">
        <v>18858</v>
      </c>
      <c r="D5605" t="s">
        <v>13059</v>
      </c>
      <c r="E5605" t="s">
        <v>1663</v>
      </c>
      <c r="F5605">
        <v>3</v>
      </c>
      <c r="G5605">
        <v>3.2</v>
      </c>
      <c r="H5605" t="s">
        <v>2327</v>
      </c>
      <c r="I5605" s="21">
        <v>43264</v>
      </c>
      <c r="J5605">
        <v>2018</v>
      </c>
      <c r="K5605" s="21">
        <v>43321</v>
      </c>
      <c r="L5605">
        <v>2018</v>
      </c>
      <c r="M5605" s="21">
        <v>43644</v>
      </c>
      <c r="N5605">
        <v>2019</v>
      </c>
      <c r="Q5605" s="262">
        <v>100000</v>
      </c>
      <c r="S5605" t="s">
        <v>13254</v>
      </c>
      <c r="W5605">
        <v>696</v>
      </c>
      <c r="X5605">
        <v>1</v>
      </c>
      <c r="AC5605">
        <v>348</v>
      </c>
      <c r="AE5605">
        <v>348</v>
      </c>
      <c r="AQ5605">
        <v>1</v>
      </c>
      <c r="AU5605">
        <f t="shared" si="174"/>
        <v>1</v>
      </c>
      <c r="AV5605">
        <f t="shared" si="175"/>
        <v>0</v>
      </c>
    </row>
    <row r="5606" spans="1:48" x14ac:dyDescent="0.25">
      <c r="A5606" t="s">
        <v>19166</v>
      </c>
      <c r="B5606" t="s">
        <v>114</v>
      </c>
      <c r="C5606" t="s">
        <v>19167</v>
      </c>
      <c r="D5606" t="s">
        <v>13576</v>
      </c>
      <c r="E5606" t="s">
        <v>1663</v>
      </c>
      <c r="F5606">
        <v>3</v>
      </c>
      <c r="G5606">
        <v>3.2</v>
      </c>
      <c r="H5606" t="s">
        <v>2327</v>
      </c>
      <c r="I5606" s="21">
        <v>43264</v>
      </c>
      <c r="J5606">
        <v>2018</v>
      </c>
      <c r="K5606" s="21">
        <v>43322</v>
      </c>
      <c r="L5606">
        <v>2018</v>
      </c>
      <c r="M5606" s="21">
        <v>43858</v>
      </c>
      <c r="N5606">
        <v>2020</v>
      </c>
      <c r="Q5606" s="262">
        <v>629275</v>
      </c>
      <c r="S5606" t="s">
        <v>13253</v>
      </c>
      <c r="T5606">
        <v>11541</v>
      </c>
      <c r="W5606">
        <v>1044</v>
      </c>
      <c r="X5606">
        <v>0</v>
      </c>
      <c r="AC5606">
        <v>1044</v>
      </c>
      <c r="AU5606">
        <f t="shared" si="174"/>
        <v>0</v>
      </c>
      <c r="AV5606">
        <f t="shared" si="175"/>
        <v>0</v>
      </c>
    </row>
    <row r="5607" spans="1:48" x14ac:dyDescent="0.25">
      <c r="A5607" t="s">
        <v>18324</v>
      </c>
      <c r="B5607" t="s">
        <v>18324</v>
      </c>
      <c r="C5607" t="s">
        <v>18325</v>
      </c>
      <c r="D5607" t="s">
        <v>18326</v>
      </c>
      <c r="E5607" t="s">
        <v>2310</v>
      </c>
      <c r="F5607">
        <v>9</v>
      </c>
      <c r="G5607">
        <v>9.3000000000000007</v>
      </c>
      <c r="H5607" t="s">
        <v>2323</v>
      </c>
      <c r="I5607" s="21">
        <v>43264.634559953702</v>
      </c>
      <c r="J5607">
        <v>2018</v>
      </c>
      <c r="K5607" s="21">
        <v>43524.609271296293</v>
      </c>
      <c r="L5607">
        <v>2019</v>
      </c>
      <c r="M5607" s="21">
        <v>43893.673233252317</v>
      </c>
      <c r="N5607">
        <v>2020</v>
      </c>
      <c r="Q5607" s="262">
        <v>1350000</v>
      </c>
      <c r="R5607" s="262">
        <v>296000</v>
      </c>
      <c r="S5607" t="s">
        <v>13253</v>
      </c>
      <c r="T5607">
        <v>4329</v>
      </c>
      <c r="V5607">
        <v>1492</v>
      </c>
      <c r="W5607">
        <v>1484</v>
      </c>
      <c r="X5607">
        <v>0</v>
      </c>
      <c r="AC5607">
        <v>1484</v>
      </c>
      <c r="AU5607">
        <f t="shared" si="174"/>
        <v>0</v>
      </c>
      <c r="AV5607">
        <f t="shared" si="175"/>
        <v>0</v>
      </c>
    </row>
    <row r="5608" spans="1:48" x14ac:dyDescent="0.25">
      <c r="A5608" t="s">
        <v>19274</v>
      </c>
      <c r="B5608" t="s">
        <v>114</v>
      </c>
      <c r="C5608" t="s">
        <v>19275</v>
      </c>
      <c r="D5608" t="s">
        <v>14048</v>
      </c>
      <c r="E5608" t="s">
        <v>1663</v>
      </c>
      <c r="F5608">
        <v>4</v>
      </c>
      <c r="G5608">
        <v>4.3</v>
      </c>
      <c r="H5608" t="s">
        <v>2327</v>
      </c>
      <c r="I5608" s="21">
        <v>43265</v>
      </c>
      <c r="J5608">
        <v>2018</v>
      </c>
      <c r="K5608" s="21">
        <v>43347</v>
      </c>
      <c r="L5608">
        <v>2018</v>
      </c>
      <c r="M5608" s="21">
        <v>43556</v>
      </c>
      <c r="N5608">
        <v>2019</v>
      </c>
      <c r="Q5608" s="262">
        <v>125000</v>
      </c>
      <c r="S5608" t="s">
        <v>13253</v>
      </c>
      <c r="T5608">
        <v>12384</v>
      </c>
      <c r="V5608">
        <v>8400</v>
      </c>
      <c r="W5608">
        <v>0</v>
      </c>
      <c r="X5608">
        <v>0</v>
      </c>
      <c r="AL5608">
        <v>-8400</v>
      </c>
      <c r="AM5608">
        <v>8400</v>
      </c>
      <c r="AU5608">
        <f t="shared" si="174"/>
        <v>0</v>
      </c>
      <c r="AV5608">
        <f t="shared" si="175"/>
        <v>0</v>
      </c>
    </row>
    <row r="5609" spans="1:48" x14ac:dyDescent="0.25">
      <c r="A5609" t="s">
        <v>17767</v>
      </c>
      <c r="B5609" t="s">
        <v>17767</v>
      </c>
      <c r="C5609" t="s">
        <v>17768</v>
      </c>
      <c r="D5609" t="s">
        <v>12007</v>
      </c>
      <c r="E5609" t="s">
        <v>2310</v>
      </c>
      <c r="F5609">
        <v>10</v>
      </c>
      <c r="G5609">
        <v>10.1</v>
      </c>
      <c r="H5609" t="s">
        <v>2323</v>
      </c>
      <c r="I5609" s="21">
        <v>43265.603613923609</v>
      </c>
      <c r="J5609">
        <v>2018</v>
      </c>
      <c r="K5609" s="21">
        <v>43343.679540081015</v>
      </c>
      <c r="L5609">
        <v>2018</v>
      </c>
      <c r="M5609" s="21">
        <v>43753.386157025459</v>
      </c>
      <c r="N5609">
        <v>2019</v>
      </c>
      <c r="Q5609" s="262">
        <v>60000</v>
      </c>
      <c r="R5609" s="262">
        <v>86000</v>
      </c>
      <c r="S5609" t="s">
        <v>13253</v>
      </c>
      <c r="T5609">
        <v>1653</v>
      </c>
      <c r="W5609">
        <v>762</v>
      </c>
      <c r="X5609">
        <v>0</v>
      </c>
      <c r="AC5609">
        <v>762</v>
      </c>
      <c r="AU5609">
        <f t="shared" si="174"/>
        <v>0</v>
      </c>
      <c r="AV5609">
        <f t="shared" si="175"/>
        <v>0</v>
      </c>
    </row>
    <row r="5610" spans="1:48" x14ac:dyDescent="0.25">
      <c r="A5610" t="s">
        <v>19005</v>
      </c>
      <c r="B5610" t="s">
        <v>19005</v>
      </c>
      <c r="C5610" t="s">
        <v>19006</v>
      </c>
      <c r="D5610" t="s">
        <v>19007</v>
      </c>
      <c r="E5610" t="s">
        <v>2310</v>
      </c>
      <c r="F5610">
        <v>9</v>
      </c>
      <c r="G5610">
        <v>9.1</v>
      </c>
      <c r="H5610" t="s">
        <v>2323</v>
      </c>
      <c r="I5610" s="21">
        <v>43266.442965011571</v>
      </c>
      <c r="J5610">
        <v>2018</v>
      </c>
      <c r="K5610" s="21">
        <v>43342.646486226855</v>
      </c>
      <c r="L5610">
        <v>2018</v>
      </c>
      <c r="M5610" s="21">
        <v>43706.390082951388</v>
      </c>
      <c r="N5610">
        <v>2019</v>
      </c>
      <c r="Q5610" s="262">
        <v>1000000</v>
      </c>
      <c r="R5610" s="262">
        <v>413000</v>
      </c>
      <c r="S5610" t="s">
        <v>13254</v>
      </c>
      <c r="W5610">
        <v>3827</v>
      </c>
      <c r="X5610">
        <v>1</v>
      </c>
      <c r="AC5610">
        <v>3827</v>
      </c>
      <c r="AO5610">
        <v>1</v>
      </c>
      <c r="AU5610">
        <f t="shared" si="174"/>
        <v>1</v>
      </c>
      <c r="AV5610">
        <f t="shared" si="175"/>
        <v>0</v>
      </c>
    </row>
    <row r="5611" spans="1:48" x14ac:dyDescent="0.25">
      <c r="A5611" t="s">
        <v>18990</v>
      </c>
      <c r="B5611" t="s">
        <v>18990</v>
      </c>
      <c r="C5611" t="s">
        <v>18991</v>
      </c>
      <c r="D5611" t="s">
        <v>1748</v>
      </c>
      <c r="E5611" t="s">
        <v>2310</v>
      </c>
      <c r="F5611">
        <v>8</v>
      </c>
      <c r="G5611">
        <v>8.1</v>
      </c>
      <c r="H5611" t="s">
        <v>2323</v>
      </c>
      <c r="I5611" s="21">
        <v>43266.559971064817</v>
      </c>
      <c r="J5611">
        <v>2018</v>
      </c>
      <c r="K5611" s="21">
        <v>43367.417836921297</v>
      </c>
      <c r="L5611">
        <v>2018</v>
      </c>
      <c r="M5611" s="21">
        <v>43703.439093865738</v>
      </c>
      <c r="N5611">
        <v>2019</v>
      </c>
      <c r="Q5611" s="262">
        <v>48500</v>
      </c>
      <c r="R5611" s="262">
        <v>65000</v>
      </c>
      <c r="S5611" t="s">
        <v>13254</v>
      </c>
      <c r="W5611">
        <v>523</v>
      </c>
      <c r="X5611">
        <v>0</v>
      </c>
      <c r="AJ5611">
        <v>523</v>
      </c>
      <c r="AU5611">
        <f t="shared" si="174"/>
        <v>0</v>
      </c>
      <c r="AV5611">
        <f t="shared" si="175"/>
        <v>523</v>
      </c>
    </row>
    <row r="5612" spans="1:48" x14ac:dyDescent="0.25">
      <c r="A5612" t="s">
        <v>15195</v>
      </c>
      <c r="B5612" t="s">
        <v>15195</v>
      </c>
      <c r="C5612" t="s">
        <v>15196</v>
      </c>
      <c r="D5612" t="s">
        <v>1748</v>
      </c>
      <c r="E5612" t="s">
        <v>2310</v>
      </c>
      <c r="F5612">
        <v>8</v>
      </c>
      <c r="G5612">
        <v>8.1</v>
      </c>
      <c r="H5612" t="s">
        <v>2323</v>
      </c>
      <c r="I5612" s="21">
        <v>43266.5716131597</v>
      </c>
      <c r="J5612">
        <v>2018</v>
      </c>
      <c r="K5612" s="21">
        <v>43301.481931331</v>
      </c>
      <c r="L5612">
        <v>2018</v>
      </c>
      <c r="M5612" s="21">
        <v>44657.692094710648</v>
      </c>
      <c r="N5612">
        <v>2022</v>
      </c>
      <c r="Q5612" s="262">
        <v>54000</v>
      </c>
      <c r="R5612" s="262">
        <v>38000</v>
      </c>
      <c r="S5612" t="s">
        <v>13254</v>
      </c>
      <c r="T5612">
        <v>0</v>
      </c>
      <c r="W5612">
        <v>660</v>
      </c>
      <c r="X5612">
        <v>0</v>
      </c>
      <c r="AB5612">
        <v>660</v>
      </c>
      <c r="AU5612">
        <f t="shared" si="174"/>
        <v>0</v>
      </c>
      <c r="AV5612">
        <f t="shared" si="175"/>
        <v>660</v>
      </c>
    </row>
    <row r="5613" spans="1:48" x14ac:dyDescent="0.25">
      <c r="A5613" t="s">
        <v>18992</v>
      </c>
      <c r="B5613" t="s">
        <v>18992</v>
      </c>
      <c r="C5613" t="s">
        <v>18993</v>
      </c>
      <c r="D5613" t="s">
        <v>1748</v>
      </c>
      <c r="E5613" t="s">
        <v>2310</v>
      </c>
      <c r="F5613">
        <v>8</v>
      </c>
      <c r="G5613">
        <v>8.1</v>
      </c>
      <c r="H5613" t="s">
        <v>2323</v>
      </c>
      <c r="I5613" s="21">
        <v>43266.571640428243</v>
      </c>
      <c r="J5613">
        <v>2018</v>
      </c>
      <c r="K5613" s="21">
        <v>43367.417210219908</v>
      </c>
      <c r="L5613">
        <v>2018</v>
      </c>
      <c r="M5613" s="21">
        <v>43703.444672650461</v>
      </c>
      <c r="N5613">
        <v>2019</v>
      </c>
      <c r="Q5613" s="262">
        <v>85500</v>
      </c>
      <c r="R5613" s="262">
        <v>11000</v>
      </c>
      <c r="S5613" t="s">
        <v>13254</v>
      </c>
      <c r="W5613">
        <v>237</v>
      </c>
      <c r="X5613">
        <v>0</v>
      </c>
      <c r="AB5613">
        <v>237</v>
      </c>
      <c r="AU5613">
        <f t="shared" si="174"/>
        <v>0</v>
      </c>
      <c r="AV5613">
        <f t="shared" si="175"/>
        <v>237</v>
      </c>
    </row>
    <row r="5614" spans="1:48" x14ac:dyDescent="0.25">
      <c r="A5614" t="s">
        <v>13888</v>
      </c>
      <c r="B5614" t="s">
        <v>13888</v>
      </c>
      <c r="C5614" t="s">
        <v>13889</v>
      </c>
      <c r="D5614" t="s">
        <v>12398</v>
      </c>
      <c r="E5614" t="s">
        <v>2310</v>
      </c>
      <c r="F5614">
        <v>15</v>
      </c>
      <c r="G5614">
        <v>15.1</v>
      </c>
      <c r="H5614" t="s">
        <v>2022</v>
      </c>
      <c r="I5614" s="21">
        <v>43269.560558877303</v>
      </c>
      <c r="J5614">
        <v>2018</v>
      </c>
      <c r="K5614" s="21">
        <v>43291.666595717601</v>
      </c>
      <c r="L5614">
        <v>2018</v>
      </c>
      <c r="M5614" s="21">
        <v>43601.585203588002</v>
      </c>
      <c r="N5614">
        <v>2019</v>
      </c>
      <c r="Q5614" s="262">
        <v>10000</v>
      </c>
      <c r="R5614" s="262">
        <v>1000</v>
      </c>
      <c r="S5614" t="s">
        <v>114</v>
      </c>
      <c r="T5614" t="s">
        <v>114</v>
      </c>
      <c r="W5614">
        <v>0</v>
      </c>
      <c r="X5614">
        <v>0</v>
      </c>
      <c r="AU5614">
        <f t="shared" si="174"/>
        <v>0</v>
      </c>
      <c r="AV5614">
        <f t="shared" si="175"/>
        <v>0</v>
      </c>
    </row>
    <row r="5615" spans="1:48" x14ac:dyDescent="0.25">
      <c r="A5615" t="s">
        <v>13890</v>
      </c>
      <c r="B5615" t="s">
        <v>13890</v>
      </c>
      <c r="C5615" t="s">
        <v>13889</v>
      </c>
      <c r="D5615" t="s">
        <v>4381</v>
      </c>
      <c r="E5615" t="s">
        <v>2310</v>
      </c>
      <c r="F5615">
        <v>7</v>
      </c>
      <c r="G5615">
        <v>7.1</v>
      </c>
      <c r="H5615" t="s">
        <v>2017</v>
      </c>
      <c r="I5615" s="21">
        <v>43269.566015046301</v>
      </c>
      <c r="J5615">
        <v>2018</v>
      </c>
      <c r="K5615" s="21">
        <v>43291.668069594903</v>
      </c>
      <c r="L5615">
        <v>2018</v>
      </c>
      <c r="M5615" s="21">
        <v>43398.654685069399</v>
      </c>
      <c r="N5615">
        <v>2018</v>
      </c>
      <c r="Q5615" s="262">
        <v>10000</v>
      </c>
      <c r="R5615" s="262">
        <v>1000</v>
      </c>
      <c r="S5615" t="s">
        <v>114</v>
      </c>
      <c r="T5615" t="s">
        <v>114</v>
      </c>
      <c r="W5615">
        <v>0</v>
      </c>
      <c r="X5615">
        <v>0</v>
      </c>
      <c r="AU5615">
        <f t="shared" si="174"/>
        <v>0</v>
      </c>
      <c r="AV5615">
        <f t="shared" si="175"/>
        <v>0</v>
      </c>
    </row>
    <row r="5616" spans="1:48" x14ac:dyDescent="0.25">
      <c r="A5616" t="s">
        <v>13890</v>
      </c>
      <c r="B5616" t="s">
        <v>13890</v>
      </c>
      <c r="C5616" t="s">
        <v>13889</v>
      </c>
      <c r="D5616" t="s">
        <v>4381</v>
      </c>
      <c r="E5616" t="s">
        <v>2310</v>
      </c>
      <c r="F5616">
        <v>7</v>
      </c>
      <c r="G5616">
        <v>7.1</v>
      </c>
      <c r="H5616" t="s">
        <v>2017</v>
      </c>
      <c r="I5616" s="21">
        <v>43269.566015046301</v>
      </c>
      <c r="J5616">
        <v>2018</v>
      </c>
      <c r="K5616" s="21">
        <v>43291.668069594903</v>
      </c>
      <c r="L5616">
        <v>2018</v>
      </c>
      <c r="M5616" s="21">
        <v>43398.654685069399</v>
      </c>
      <c r="N5616">
        <v>2018</v>
      </c>
      <c r="Q5616" s="262">
        <v>10000</v>
      </c>
      <c r="R5616" s="262">
        <v>1000</v>
      </c>
      <c r="S5616" t="s">
        <v>114</v>
      </c>
      <c r="T5616" t="s">
        <v>114</v>
      </c>
      <c r="W5616">
        <v>0</v>
      </c>
      <c r="X5616">
        <v>0</v>
      </c>
      <c r="AU5616">
        <f t="shared" si="174"/>
        <v>0</v>
      </c>
      <c r="AV5616">
        <f t="shared" si="175"/>
        <v>0</v>
      </c>
    </row>
    <row r="5617" spans="1:48" x14ac:dyDescent="0.25">
      <c r="A5617" t="s">
        <v>20166</v>
      </c>
      <c r="B5617" t="s">
        <v>20166</v>
      </c>
      <c r="C5617" t="s">
        <v>20167</v>
      </c>
      <c r="D5617" t="s">
        <v>20168</v>
      </c>
      <c r="E5617" t="s">
        <v>2310</v>
      </c>
      <c r="F5617">
        <v>14</v>
      </c>
      <c r="G5617">
        <v>14.1</v>
      </c>
      <c r="H5617" t="s">
        <v>2022</v>
      </c>
      <c r="I5617" s="21">
        <v>43270.511825347203</v>
      </c>
      <c r="J5617">
        <v>2018</v>
      </c>
      <c r="K5617" s="21">
        <v>43353.489114814802</v>
      </c>
      <c r="L5617">
        <v>2018</v>
      </c>
      <c r="M5617" s="21">
        <v>44228</v>
      </c>
      <c r="N5617">
        <v>2021</v>
      </c>
      <c r="Q5617" s="262">
        <v>1200000</v>
      </c>
      <c r="R5617" s="262">
        <v>481000</v>
      </c>
      <c r="S5617" t="s">
        <v>13254</v>
      </c>
      <c r="U5617">
        <v>5</v>
      </c>
      <c r="W5617">
        <v>3799</v>
      </c>
      <c r="X5617">
        <v>1</v>
      </c>
      <c r="AC5617">
        <v>3799</v>
      </c>
      <c r="AO5617">
        <v>1</v>
      </c>
      <c r="AU5617">
        <f t="shared" si="174"/>
        <v>1</v>
      </c>
      <c r="AV5617">
        <f t="shared" si="175"/>
        <v>0</v>
      </c>
    </row>
    <row r="5618" spans="1:48" x14ac:dyDescent="0.25">
      <c r="A5618" t="s">
        <v>13891</v>
      </c>
      <c r="B5618" t="s">
        <v>13891</v>
      </c>
      <c r="C5618" t="s">
        <v>13892</v>
      </c>
      <c r="D5618" t="s">
        <v>3332</v>
      </c>
      <c r="E5618" t="s">
        <v>2310</v>
      </c>
      <c r="F5618">
        <v>7</v>
      </c>
      <c r="G5618">
        <v>7.1</v>
      </c>
      <c r="H5618" t="s">
        <v>2017</v>
      </c>
      <c r="I5618" s="21">
        <v>43270.548518437499</v>
      </c>
      <c r="J5618">
        <v>2018</v>
      </c>
      <c r="K5618" s="21">
        <v>43286.5936008102</v>
      </c>
      <c r="L5618">
        <v>2018</v>
      </c>
      <c r="M5618" s="21">
        <v>43752.379199965297</v>
      </c>
      <c r="N5618">
        <v>2019</v>
      </c>
      <c r="Q5618" s="262">
        <v>100000</v>
      </c>
      <c r="R5618" s="262">
        <v>320000</v>
      </c>
      <c r="S5618" t="s">
        <v>114</v>
      </c>
      <c r="T5618" t="s">
        <v>114</v>
      </c>
      <c r="V5618">
        <v>2600</v>
      </c>
      <c r="W5618">
        <v>0</v>
      </c>
      <c r="X5618">
        <v>0</v>
      </c>
      <c r="AU5618">
        <f t="shared" si="174"/>
        <v>0</v>
      </c>
      <c r="AV5618">
        <f t="shared" si="175"/>
        <v>0</v>
      </c>
    </row>
    <row r="5619" spans="1:48" x14ac:dyDescent="0.25">
      <c r="A5619" t="s">
        <v>18938</v>
      </c>
      <c r="B5619" t="s">
        <v>18938</v>
      </c>
      <c r="C5619" t="s">
        <v>18939</v>
      </c>
      <c r="D5619" t="s">
        <v>18940</v>
      </c>
      <c r="E5619" t="s">
        <v>2310</v>
      </c>
      <c r="F5619">
        <v>8</v>
      </c>
      <c r="G5619">
        <v>8.3000000000000007</v>
      </c>
      <c r="H5619" t="s">
        <v>2323</v>
      </c>
      <c r="I5619" s="21">
        <v>43270.589303969908</v>
      </c>
      <c r="J5619">
        <v>2018</v>
      </c>
      <c r="K5619" s="21">
        <v>43377.576580706016</v>
      </c>
      <c r="L5619">
        <v>2018</v>
      </c>
      <c r="M5619" s="21">
        <v>43677.423738923608</v>
      </c>
      <c r="N5619">
        <v>2019</v>
      </c>
      <c r="Q5619" s="262">
        <v>670000</v>
      </c>
      <c r="R5619" s="262">
        <v>750000</v>
      </c>
      <c r="S5619" t="s">
        <v>13254</v>
      </c>
      <c r="W5619">
        <v>5654</v>
      </c>
      <c r="X5619">
        <v>1</v>
      </c>
      <c r="AC5619">
        <v>5654</v>
      </c>
      <c r="AO5619">
        <v>1</v>
      </c>
      <c r="AU5619">
        <f t="shared" si="174"/>
        <v>1</v>
      </c>
      <c r="AV5619">
        <f t="shared" si="175"/>
        <v>0</v>
      </c>
    </row>
    <row r="5620" spans="1:48" x14ac:dyDescent="0.25">
      <c r="A5620" t="s">
        <v>19834</v>
      </c>
      <c r="B5620" t="s">
        <v>19834</v>
      </c>
      <c r="C5620" t="s">
        <v>19835</v>
      </c>
      <c r="D5620" t="s">
        <v>19836</v>
      </c>
      <c r="E5620" t="s">
        <v>2310</v>
      </c>
      <c r="F5620">
        <v>9</v>
      </c>
      <c r="G5620">
        <v>9.3000000000000007</v>
      </c>
      <c r="H5620" t="s">
        <v>2323</v>
      </c>
      <c r="I5620" s="21">
        <v>43271.606280752298</v>
      </c>
      <c r="J5620">
        <v>2018</v>
      </c>
      <c r="K5620" s="21">
        <v>43747.6479736111</v>
      </c>
      <c r="L5620">
        <v>2019</v>
      </c>
      <c r="M5620" s="21">
        <v>44279</v>
      </c>
      <c r="N5620">
        <v>2021</v>
      </c>
      <c r="Q5620" s="262">
        <v>3250000</v>
      </c>
      <c r="R5620" s="262">
        <v>669000</v>
      </c>
      <c r="S5620" t="s">
        <v>13254</v>
      </c>
      <c r="U5620">
        <v>5</v>
      </c>
      <c r="W5620">
        <v>5420</v>
      </c>
      <c r="X5620">
        <v>1</v>
      </c>
      <c r="AC5620">
        <v>5420</v>
      </c>
      <c r="AO5620">
        <v>1</v>
      </c>
      <c r="AU5620">
        <f t="shared" si="174"/>
        <v>1</v>
      </c>
      <c r="AV5620">
        <f t="shared" si="175"/>
        <v>0</v>
      </c>
    </row>
    <row r="5621" spans="1:48" x14ac:dyDescent="0.25">
      <c r="A5621" t="s">
        <v>19947</v>
      </c>
      <c r="C5621" t="s">
        <v>11488</v>
      </c>
      <c r="D5621" t="s">
        <v>19948</v>
      </c>
      <c r="E5621" t="s">
        <v>1663</v>
      </c>
      <c r="F5621">
        <v>6</v>
      </c>
      <c r="G5621">
        <v>6.1</v>
      </c>
      <c r="H5621" t="s">
        <v>2017</v>
      </c>
      <c r="I5621" s="21">
        <v>43272</v>
      </c>
      <c r="J5621">
        <v>2018</v>
      </c>
      <c r="K5621" s="21">
        <v>43348</v>
      </c>
      <c r="L5621">
        <v>2018</v>
      </c>
      <c r="M5621" s="21">
        <v>44522</v>
      </c>
      <c r="N5621">
        <v>2021</v>
      </c>
      <c r="Q5621" s="262">
        <v>250000</v>
      </c>
      <c r="S5621" t="s">
        <v>13253</v>
      </c>
      <c r="T5621">
        <v>10628</v>
      </c>
      <c r="U5621">
        <v>5</v>
      </c>
      <c r="W5621">
        <v>1151</v>
      </c>
      <c r="X5621">
        <v>0</v>
      </c>
      <c r="AC5621">
        <v>1151</v>
      </c>
      <c r="AU5621">
        <f t="shared" si="174"/>
        <v>0</v>
      </c>
      <c r="AV5621">
        <f t="shared" si="175"/>
        <v>0</v>
      </c>
    </row>
    <row r="5622" spans="1:48" x14ac:dyDescent="0.25">
      <c r="A5622" t="s">
        <v>14503</v>
      </c>
      <c r="C5622" t="s">
        <v>14504</v>
      </c>
      <c r="D5622" t="s">
        <v>14505</v>
      </c>
      <c r="E5622" t="s">
        <v>1663</v>
      </c>
      <c r="F5622">
        <v>2</v>
      </c>
      <c r="G5622">
        <v>2.6</v>
      </c>
      <c r="H5622" t="s">
        <v>2327</v>
      </c>
      <c r="I5622" s="21">
        <v>43272</v>
      </c>
      <c r="J5622">
        <v>2018</v>
      </c>
      <c r="K5622" s="21">
        <v>43616</v>
      </c>
      <c r="L5622">
        <v>2019</v>
      </c>
      <c r="M5622" s="21">
        <v>44635</v>
      </c>
      <c r="N5622">
        <v>2022</v>
      </c>
      <c r="P5622" s="21">
        <v>43976</v>
      </c>
      <c r="Q5622" s="262">
        <v>400000</v>
      </c>
      <c r="S5622" t="s">
        <v>13254</v>
      </c>
      <c r="V5622">
        <v>560</v>
      </c>
      <c r="W5622">
        <v>2475</v>
      </c>
      <c r="X5622">
        <v>1</v>
      </c>
      <c r="AE5622">
        <v>560</v>
      </c>
      <c r="AJ5622">
        <v>1915</v>
      </c>
      <c r="AQ5622">
        <v>1</v>
      </c>
      <c r="AU5622">
        <f t="shared" si="174"/>
        <v>1</v>
      </c>
      <c r="AV5622">
        <f t="shared" si="175"/>
        <v>1915</v>
      </c>
    </row>
    <row r="5623" spans="1:48" x14ac:dyDescent="0.25">
      <c r="A5623" t="s">
        <v>18994</v>
      </c>
      <c r="B5623" t="s">
        <v>18994</v>
      </c>
      <c r="C5623" t="s">
        <v>18995</v>
      </c>
      <c r="D5623" t="s">
        <v>1748</v>
      </c>
      <c r="E5623" t="s">
        <v>2310</v>
      </c>
      <c r="F5623">
        <v>8</v>
      </c>
      <c r="G5623">
        <v>8.1</v>
      </c>
      <c r="H5623" t="s">
        <v>2323</v>
      </c>
      <c r="I5623" s="21">
        <v>43272.480481516206</v>
      </c>
      <c r="J5623">
        <v>2018</v>
      </c>
      <c r="K5623" s="21">
        <v>43367.41699351852</v>
      </c>
      <c r="L5623">
        <v>2018</v>
      </c>
      <c r="M5623" s="21">
        <v>43703.447286493058</v>
      </c>
      <c r="N5623">
        <v>2019</v>
      </c>
      <c r="Q5623" s="262">
        <v>10000</v>
      </c>
      <c r="R5623" s="262">
        <v>20000</v>
      </c>
      <c r="S5623" t="s">
        <v>13254</v>
      </c>
      <c r="W5623">
        <v>0</v>
      </c>
      <c r="X5623">
        <v>0</v>
      </c>
      <c r="AU5623">
        <f t="shared" si="174"/>
        <v>0</v>
      </c>
      <c r="AV5623">
        <f t="shared" si="175"/>
        <v>0</v>
      </c>
    </row>
    <row r="5624" spans="1:48" x14ac:dyDescent="0.25">
      <c r="A5624" t="s">
        <v>13893</v>
      </c>
      <c r="C5624" t="s">
        <v>13894</v>
      </c>
      <c r="D5624" t="s">
        <v>13895</v>
      </c>
      <c r="E5624" t="s">
        <v>1663</v>
      </c>
      <c r="F5624">
        <v>3</v>
      </c>
      <c r="G5624">
        <v>3.3</v>
      </c>
      <c r="H5624" t="s">
        <v>2017</v>
      </c>
      <c r="I5624" s="21">
        <v>43273</v>
      </c>
      <c r="J5624">
        <v>2018</v>
      </c>
      <c r="K5624" s="21">
        <v>43300</v>
      </c>
      <c r="L5624">
        <v>2018</v>
      </c>
      <c r="M5624" s="21">
        <v>43356</v>
      </c>
      <c r="N5624">
        <v>2018</v>
      </c>
      <c r="Q5624" s="262">
        <v>0</v>
      </c>
      <c r="S5624" t="s">
        <v>114</v>
      </c>
      <c r="T5624" t="s">
        <v>114</v>
      </c>
      <c r="W5624">
        <v>0</v>
      </c>
      <c r="X5624">
        <v>0</v>
      </c>
      <c r="AU5624">
        <f t="shared" si="174"/>
        <v>0</v>
      </c>
      <c r="AV5624">
        <f t="shared" si="175"/>
        <v>0</v>
      </c>
    </row>
    <row r="5625" spans="1:48" x14ac:dyDescent="0.25">
      <c r="A5625" t="s">
        <v>13896</v>
      </c>
      <c r="B5625" t="s">
        <v>13896</v>
      </c>
      <c r="C5625" t="s">
        <v>13897</v>
      </c>
      <c r="D5625" t="s">
        <v>13898</v>
      </c>
      <c r="E5625" t="s">
        <v>2310</v>
      </c>
      <c r="F5625">
        <v>8</v>
      </c>
      <c r="G5625">
        <v>8.4</v>
      </c>
      <c r="H5625" t="s">
        <v>2017</v>
      </c>
      <c r="I5625" s="21">
        <v>43273.559073148099</v>
      </c>
      <c r="J5625">
        <v>2018</v>
      </c>
      <c r="K5625" s="21">
        <v>43413.625949074099</v>
      </c>
      <c r="L5625">
        <v>2018</v>
      </c>
      <c r="M5625" s="21">
        <v>44231</v>
      </c>
      <c r="N5625">
        <v>2021</v>
      </c>
      <c r="Q5625" s="262">
        <v>249645.92</v>
      </c>
      <c r="R5625" s="262">
        <v>8000</v>
      </c>
      <c r="S5625" t="s">
        <v>114</v>
      </c>
      <c r="T5625" t="s">
        <v>114</v>
      </c>
      <c r="W5625">
        <v>0</v>
      </c>
      <c r="X5625">
        <v>0</v>
      </c>
      <c r="AU5625">
        <f t="shared" si="174"/>
        <v>0</v>
      </c>
      <c r="AV5625">
        <f t="shared" si="175"/>
        <v>0</v>
      </c>
    </row>
    <row r="5626" spans="1:48" x14ac:dyDescent="0.25">
      <c r="A5626" t="s">
        <v>18947</v>
      </c>
      <c r="B5626" t="s">
        <v>18947</v>
      </c>
      <c r="C5626" t="s">
        <v>18948</v>
      </c>
      <c r="D5626" t="s">
        <v>18949</v>
      </c>
      <c r="E5626" t="s">
        <v>2310</v>
      </c>
      <c r="F5626">
        <v>15</v>
      </c>
      <c r="G5626">
        <v>15.1</v>
      </c>
      <c r="H5626" t="s">
        <v>2022</v>
      </c>
      <c r="I5626" s="21">
        <v>43277.4694934375</v>
      </c>
      <c r="J5626">
        <v>2018</v>
      </c>
      <c r="K5626" s="21">
        <v>43327.413850266203</v>
      </c>
      <c r="L5626">
        <v>2018</v>
      </c>
      <c r="M5626" s="21">
        <v>43679.392636493052</v>
      </c>
      <c r="N5626">
        <v>2019</v>
      </c>
      <c r="Q5626" s="262">
        <v>315000</v>
      </c>
      <c r="R5626" s="262">
        <v>189000</v>
      </c>
      <c r="S5626" t="s">
        <v>13254</v>
      </c>
      <c r="W5626">
        <v>2788</v>
      </c>
      <c r="X5626">
        <v>1</v>
      </c>
      <c r="AC5626">
        <v>2788</v>
      </c>
      <c r="AO5626">
        <v>1</v>
      </c>
      <c r="AU5626">
        <f t="shared" si="174"/>
        <v>1</v>
      </c>
      <c r="AV5626">
        <f t="shared" si="175"/>
        <v>0</v>
      </c>
    </row>
    <row r="5627" spans="1:48" x14ac:dyDescent="0.25">
      <c r="A5627" t="s">
        <v>13899</v>
      </c>
      <c r="B5627" t="s">
        <v>13899</v>
      </c>
      <c r="C5627" t="s">
        <v>13900</v>
      </c>
      <c r="D5627" t="s">
        <v>3042</v>
      </c>
      <c r="E5627" t="s">
        <v>2310</v>
      </c>
      <c r="F5627">
        <v>15</v>
      </c>
      <c r="G5627">
        <v>15.2</v>
      </c>
      <c r="H5627" t="s">
        <v>2323</v>
      </c>
      <c r="I5627" s="21">
        <v>43277.553841666697</v>
      </c>
      <c r="J5627">
        <v>2018</v>
      </c>
      <c r="K5627" s="21">
        <v>43312.572851770798</v>
      </c>
      <c r="L5627">
        <v>2018</v>
      </c>
      <c r="M5627" s="21">
        <v>43984.685518368096</v>
      </c>
      <c r="N5627">
        <v>2020</v>
      </c>
      <c r="Q5627" s="262">
        <v>30000</v>
      </c>
      <c r="R5627" s="262">
        <v>85000</v>
      </c>
      <c r="S5627" t="s">
        <v>114</v>
      </c>
      <c r="T5627" t="s">
        <v>114</v>
      </c>
      <c r="V5627">
        <v>1000</v>
      </c>
      <c r="W5627">
        <v>0</v>
      </c>
      <c r="X5627">
        <v>0</v>
      </c>
      <c r="AU5627">
        <f t="shared" si="174"/>
        <v>0</v>
      </c>
      <c r="AV5627">
        <f t="shared" si="175"/>
        <v>0</v>
      </c>
    </row>
    <row r="5628" spans="1:48" x14ac:dyDescent="0.25">
      <c r="A5628" t="s">
        <v>13901</v>
      </c>
      <c r="B5628" t="s">
        <v>13901</v>
      </c>
      <c r="C5628" t="s">
        <v>13902</v>
      </c>
      <c r="D5628" t="s">
        <v>13903</v>
      </c>
      <c r="E5628" t="s">
        <v>2310</v>
      </c>
      <c r="F5628">
        <v>14</v>
      </c>
      <c r="G5628">
        <v>14.2</v>
      </c>
      <c r="H5628" t="s">
        <v>2017</v>
      </c>
      <c r="I5628" s="21">
        <v>43277.571645520802</v>
      </c>
      <c r="J5628">
        <v>2018</v>
      </c>
      <c r="K5628" s="21">
        <v>43335.494173113402</v>
      </c>
      <c r="L5628">
        <v>2018</v>
      </c>
      <c r="P5628" s="21">
        <v>44104.614007256903</v>
      </c>
      <c r="Q5628" s="262">
        <v>35000</v>
      </c>
      <c r="R5628" s="262">
        <v>78000</v>
      </c>
      <c r="S5628" t="s">
        <v>114</v>
      </c>
      <c r="T5628" t="s">
        <v>114</v>
      </c>
      <c r="W5628">
        <v>1739</v>
      </c>
      <c r="X5628">
        <v>0</v>
      </c>
      <c r="AC5628">
        <v>1739</v>
      </c>
      <c r="AU5628">
        <f t="shared" si="174"/>
        <v>0</v>
      </c>
      <c r="AV5628">
        <f t="shared" si="175"/>
        <v>0</v>
      </c>
    </row>
    <row r="5629" spans="1:48" x14ac:dyDescent="0.25">
      <c r="A5629" t="s">
        <v>18013</v>
      </c>
      <c r="B5629" t="s">
        <v>18013</v>
      </c>
      <c r="C5629" t="s">
        <v>18014</v>
      </c>
      <c r="D5629" t="s">
        <v>18015</v>
      </c>
      <c r="E5629" t="s">
        <v>2310</v>
      </c>
      <c r="F5629">
        <v>8</v>
      </c>
      <c r="G5629">
        <v>8.1</v>
      </c>
      <c r="H5629" t="s">
        <v>2323</v>
      </c>
      <c r="I5629" s="21">
        <v>43277.614092627315</v>
      </c>
      <c r="J5629">
        <v>2018</v>
      </c>
      <c r="K5629" s="21">
        <v>43315.603153009259</v>
      </c>
      <c r="L5629">
        <v>2018</v>
      </c>
      <c r="M5629" s="21">
        <v>44133.391568749998</v>
      </c>
      <c r="N5629">
        <v>2020</v>
      </c>
      <c r="Q5629" s="262">
        <v>200000</v>
      </c>
      <c r="R5629" s="262">
        <v>90000</v>
      </c>
      <c r="S5629" t="s">
        <v>13253</v>
      </c>
      <c r="T5629">
        <v>2788</v>
      </c>
      <c r="W5629">
        <v>798</v>
      </c>
      <c r="X5629">
        <v>1</v>
      </c>
      <c r="AF5629">
        <v>798</v>
      </c>
      <c r="AR5629">
        <v>1</v>
      </c>
      <c r="AU5629">
        <f t="shared" si="174"/>
        <v>0</v>
      </c>
      <c r="AV5629">
        <f t="shared" si="175"/>
        <v>0</v>
      </c>
    </row>
    <row r="5630" spans="1:48" x14ac:dyDescent="0.25">
      <c r="A5630" t="s">
        <v>13904</v>
      </c>
      <c r="C5630" t="s">
        <v>13905</v>
      </c>
      <c r="D5630" t="s">
        <v>13906</v>
      </c>
      <c r="E5630" t="s">
        <v>1663</v>
      </c>
      <c r="F5630">
        <v>2</v>
      </c>
      <c r="G5630">
        <v>2.2999999999999998</v>
      </c>
      <c r="H5630" t="s">
        <v>2327</v>
      </c>
      <c r="I5630" s="21">
        <v>43279</v>
      </c>
      <c r="J5630">
        <v>2018</v>
      </c>
      <c r="K5630" s="21">
        <v>43763</v>
      </c>
      <c r="L5630">
        <v>2019</v>
      </c>
      <c r="P5630" s="21">
        <v>44348</v>
      </c>
      <c r="Q5630" s="262">
        <v>5499495</v>
      </c>
      <c r="S5630" t="s">
        <v>114</v>
      </c>
      <c r="T5630" t="s">
        <v>114</v>
      </c>
      <c r="W5630">
        <v>16500</v>
      </c>
      <c r="X5630">
        <v>39</v>
      </c>
      <c r="AE5630">
        <v>852</v>
      </c>
      <c r="AI5630">
        <v>15648</v>
      </c>
      <c r="AQ5630">
        <v>2</v>
      </c>
      <c r="AT5630">
        <v>37</v>
      </c>
      <c r="AU5630">
        <f t="shared" si="174"/>
        <v>2</v>
      </c>
      <c r="AV5630">
        <f t="shared" si="175"/>
        <v>15648</v>
      </c>
    </row>
    <row r="5631" spans="1:48" x14ac:dyDescent="0.25">
      <c r="A5631" t="s">
        <v>18512</v>
      </c>
      <c r="B5631" t="s">
        <v>18512</v>
      </c>
      <c r="C5631" t="s">
        <v>18513</v>
      </c>
      <c r="D5631" t="s">
        <v>18514</v>
      </c>
      <c r="E5631" t="s">
        <v>2310</v>
      </c>
      <c r="F5631">
        <v>8</v>
      </c>
      <c r="G5631">
        <v>8.1</v>
      </c>
      <c r="H5631" t="s">
        <v>2323</v>
      </c>
      <c r="I5631" s="21">
        <v>43279.427092557868</v>
      </c>
      <c r="J5631">
        <v>2018</v>
      </c>
      <c r="K5631" s="21">
        <v>43348.637284525466</v>
      </c>
      <c r="L5631">
        <v>2018</v>
      </c>
      <c r="M5631" s="21">
        <v>43539.562187731484</v>
      </c>
      <c r="N5631">
        <v>2019</v>
      </c>
      <c r="Q5631" s="262">
        <v>30000</v>
      </c>
      <c r="R5631" s="262">
        <v>8000</v>
      </c>
      <c r="S5631" t="s">
        <v>13253</v>
      </c>
      <c r="T5631">
        <v>5912</v>
      </c>
      <c r="W5631">
        <v>162</v>
      </c>
      <c r="X5631">
        <v>0</v>
      </c>
      <c r="AC5631">
        <v>162</v>
      </c>
      <c r="AU5631">
        <f t="shared" si="174"/>
        <v>0</v>
      </c>
      <c r="AV5631">
        <f t="shared" si="175"/>
        <v>0</v>
      </c>
    </row>
    <row r="5632" spans="1:48" x14ac:dyDescent="0.25">
      <c r="A5632" t="s">
        <v>18327</v>
      </c>
      <c r="B5632" t="s">
        <v>114</v>
      </c>
      <c r="C5632" t="s">
        <v>18328</v>
      </c>
      <c r="D5632" t="s">
        <v>12124</v>
      </c>
      <c r="E5632" t="s">
        <v>1663</v>
      </c>
      <c r="F5632">
        <v>2</v>
      </c>
      <c r="G5632">
        <v>2.2999999999999998</v>
      </c>
      <c r="H5632" t="s">
        <v>2327</v>
      </c>
      <c r="I5632" s="21">
        <v>43280</v>
      </c>
      <c r="J5632">
        <v>2018</v>
      </c>
      <c r="K5632" s="21">
        <v>43453</v>
      </c>
      <c r="L5632">
        <v>2018</v>
      </c>
      <c r="M5632" s="21">
        <v>44042</v>
      </c>
      <c r="N5632">
        <v>2020</v>
      </c>
      <c r="Q5632" s="262">
        <v>850000</v>
      </c>
      <c r="S5632" t="s">
        <v>13253</v>
      </c>
      <c r="T5632">
        <v>4426</v>
      </c>
      <c r="W5632">
        <v>1225</v>
      </c>
      <c r="X5632">
        <v>0</v>
      </c>
      <c r="AH5632">
        <v>1225</v>
      </c>
      <c r="AU5632">
        <f t="shared" si="174"/>
        <v>0</v>
      </c>
      <c r="AV5632">
        <f t="shared" si="175"/>
        <v>1225</v>
      </c>
    </row>
    <row r="5633" spans="1:48" x14ac:dyDescent="0.25">
      <c r="A5633" t="s">
        <v>18884</v>
      </c>
      <c r="B5633" t="s">
        <v>18884</v>
      </c>
      <c r="C5633" t="s">
        <v>18885</v>
      </c>
      <c r="D5633" t="s">
        <v>6804</v>
      </c>
      <c r="E5633" t="s">
        <v>2310</v>
      </c>
      <c r="F5633">
        <v>8</v>
      </c>
      <c r="G5633">
        <v>8.1999999999999993</v>
      </c>
      <c r="H5633" t="s">
        <v>2022</v>
      </c>
      <c r="I5633" s="21">
        <v>43280.359671377315</v>
      </c>
      <c r="J5633">
        <v>2018</v>
      </c>
      <c r="K5633" s="21">
        <v>43332.649404826392</v>
      </c>
      <c r="L5633">
        <v>2018</v>
      </c>
      <c r="M5633" s="21">
        <v>43656.395239618054</v>
      </c>
      <c r="N5633">
        <v>2019</v>
      </c>
      <c r="Q5633" s="262">
        <v>130000</v>
      </c>
      <c r="R5633" s="262">
        <v>53000</v>
      </c>
      <c r="S5633" t="s">
        <v>13254</v>
      </c>
      <c r="W5633">
        <v>439</v>
      </c>
      <c r="X5633">
        <v>1</v>
      </c>
      <c r="AE5633">
        <v>439</v>
      </c>
      <c r="AQ5633">
        <v>1</v>
      </c>
      <c r="AU5633">
        <f t="shared" si="174"/>
        <v>1</v>
      </c>
      <c r="AV5633">
        <f t="shared" si="175"/>
        <v>0</v>
      </c>
    </row>
    <row r="5634" spans="1:48" x14ac:dyDescent="0.25">
      <c r="A5634" t="s">
        <v>18790</v>
      </c>
      <c r="B5634" t="s">
        <v>18790</v>
      </c>
      <c r="C5634" t="s">
        <v>18791</v>
      </c>
      <c r="D5634" t="s">
        <v>6804</v>
      </c>
      <c r="E5634" t="s">
        <v>2310</v>
      </c>
      <c r="F5634">
        <v>8</v>
      </c>
      <c r="G5634">
        <v>8.1999999999999993</v>
      </c>
      <c r="H5634" t="s">
        <v>2022</v>
      </c>
      <c r="I5634" s="21">
        <v>43280.375235219908</v>
      </c>
      <c r="J5634">
        <v>2018</v>
      </c>
      <c r="K5634" s="21">
        <v>43332.639255092596</v>
      </c>
      <c r="L5634">
        <v>2018</v>
      </c>
      <c r="M5634" s="21">
        <v>43629.617171608799</v>
      </c>
      <c r="N5634">
        <v>2019</v>
      </c>
      <c r="Q5634" s="262">
        <v>130000</v>
      </c>
      <c r="R5634" s="262">
        <v>71000</v>
      </c>
      <c r="S5634" t="s">
        <v>13254</v>
      </c>
      <c r="W5634">
        <v>605</v>
      </c>
      <c r="X5634">
        <v>1</v>
      </c>
      <c r="AE5634">
        <v>605</v>
      </c>
      <c r="AQ5634">
        <v>1</v>
      </c>
      <c r="AU5634">
        <f t="shared" si="174"/>
        <v>1</v>
      </c>
      <c r="AV5634">
        <f t="shared" si="175"/>
        <v>0</v>
      </c>
    </row>
    <row r="5635" spans="1:48" x14ac:dyDescent="0.25">
      <c r="A5635" t="s">
        <v>18792</v>
      </c>
      <c r="B5635" t="s">
        <v>18792</v>
      </c>
      <c r="C5635" t="s">
        <v>18793</v>
      </c>
      <c r="D5635" t="s">
        <v>6804</v>
      </c>
      <c r="E5635" t="s">
        <v>2310</v>
      </c>
      <c r="F5635">
        <v>8</v>
      </c>
      <c r="G5635">
        <v>8.1999999999999993</v>
      </c>
      <c r="H5635" t="s">
        <v>2022</v>
      </c>
      <c r="I5635" s="21">
        <v>43280.375247187498</v>
      </c>
      <c r="J5635">
        <v>2018</v>
      </c>
      <c r="K5635" s="21">
        <v>43332.637550844905</v>
      </c>
      <c r="L5635">
        <v>2018</v>
      </c>
      <c r="M5635" s="21">
        <v>43629.618206712963</v>
      </c>
      <c r="N5635">
        <v>2019</v>
      </c>
      <c r="Q5635" s="262">
        <v>130000</v>
      </c>
      <c r="R5635" s="262">
        <v>71000</v>
      </c>
      <c r="S5635" t="s">
        <v>13254</v>
      </c>
      <c r="W5635">
        <v>605</v>
      </c>
      <c r="X5635">
        <v>1</v>
      </c>
      <c r="AE5635">
        <v>605</v>
      </c>
      <c r="AQ5635">
        <v>1</v>
      </c>
      <c r="AU5635">
        <f t="shared" si="174"/>
        <v>1</v>
      </c>
      <c r="AV5635">
        <f t="shared" si="175"/>
        <v>0</v>
      </c>
    </row>
    <row r="5636" spans="1:48" x14ac:dyDescent="0.25">
      <c r="A5636" t="s">
        <v>18794</v>
      </c>
      <c r="B5636" t="s">
        <v>18794</v>
      </c>
      <c r="C5636" t="s">
        <v>18795</v>
      </c>
      <c r="D5636" t="s">
        <v>6804</v>
      </c>
      <c r="E5636" t="s">
        <v>2310</v>
      </c>
      <c r="F5636">
        <v>8</v>
      </c>
      <c r="G5636">
        <v>8.1999999999999993</v>
      </c>
      <c r="H5636" t="s">
        <v>2022</v>
      </c>
      <c r="I5636" s="21">
        <v>43280.375259293978</v>
      </c>
      <c r="J5636">
        <v>2018</v>
      </c>
      <c r="K5636" s="21">
        <v>43332.636006828703</v>
      </c>
      <c r="L5636">
        <v>2018</v>
      </c>
      <c r="M5636" s="21">
        <v>43629.619108217594</v>
      </c>
      <c r="N5636">
        <v>2019</v>
      </c>
      <c r="Q5636" s="262">
        <v>130000</v>
      </c>
      <c r="R5636" s="262">
        <v>71000</v>
      </c>
      <c r="S5636" t="s">
        <v>13254</v>
      </c>
      <c r="W5636">
        <v>605</v>
      </c>
      <c r="X5636">
        <v>1</v>
      </c>
      <c r="AE5636">
        <v>605</v>
      </c>
      <c r="AQ5636">
        <v>1</v>
      </c>
      <c r="AU5636">
        <f t="shared" si="174"/>
        <v>1</v>
      </c>
      <c r="AV5636">
        <f t="shared" si="175"/>
        <v>0</v>
      </c>
    </row>
    <row r="5637" spans="1:48" x14ac:dyDescent="0.25">
      <c r="A5637" t="s">
        <v>18796</v>
      </c>
      <c r="B5637" t="s">
        <v>18796</v>
      </c>
      <c r="C5637" t="s">
        <v>18797</v>
      </c>
      <c r="D5637" t="s">
        <v>6804</v>
      </c>
      <c r="E5637" t="s">
        <v>2310</v>
      </c>
      <c r="F5637">
        <v>8</v>
      </c>
      <c r="G5637">
        <v>8.1999999999999993</v>
      </c>
      <c r="H5637" t="s">
        <v>2022</v>
      </c>
      <c r="I5637" s="21">
        <v>43280.375271874997</v>
      </c>
      <c r="J5637">
        <v>2018</v>
      </c>
      <c r="K5637" s="21">
        <v>43332.634560219907</v>
      </c>
      <c r="L5637">
        <v>2018</v>
      </c>
      <c r="M5637" s="21">
        <v>43629.620554166664</v>
      </c>
      <c r="N5637">
        <v>2019</v>
      </c>
      <c r="Q5637" s="262">
        <v>130000</v>
      </c>
      <c r="R5637" s="262">
        <v>71000</v>
      </c>
      <c r="S5637" t="s">
        <v>13254</v>
      </c>
      <c r="W5637">
        <v>605</v>
      </c>
      <c r="X5637">
        <v>1</v>
      </c>
      <c r="AE5637">
        <v>605</v>
      </c>
      <c r="AQ5637">
        <v>1</v>
      </c>
      <c r="AU5637">
        <f t="shared" si="174"/>
        <v>1</v>
      </c>
      <c r="AV5637">
        <f t="shared" si="175"/>
        <v>0</v>
      </c>
    </row>
    <row r="5638" spans="1:48" x14ac:dyDescent="0.25">
      <c r="A5638" t="s">
        <v>18798</v>
      </c>
      <c r="B5638" t="s">
        <v>18798</v>
      </c>
      <c r="C5638" t="s">
        <v>18799</v>
      </c>
      <c r="D5638" t="s">
        <v>6804</v>
      </c>
      <c r="E5638" t="s">
        <v>2310</v>
      </c>
      <c r="F5638">
        <v>8</v>
      </c>
      <c r="G5638">
        <v>8.1999999999999993</v>
      </c>
      <c r="H5638" t="s">
        <v>2022</v>
      </c>
      <c r="I5638" s="21">
        <v>43280.375283946756</v>
      </c>
      <c r="J5638">
        <v>2018</v>
      </c>
      <c r="K5638" s="21">
        <v>43332.632985497687</v>
      </c>
      <c r="L5638">
        <v>2018</v>
      </c>
      <c r="M5638" s="21">
        <v>43629.621414699075</v>
      </c>
      <c r="N5638">
        <v>2019</v>
      </c>
      <c r="Q5638" s="262">
        <v>130000</v>
      </c>
      <c r="R5638" s="262">
        <v>71000</v>
      </c>
      <c r="S5638" t="s">
        <v>13254</v>
      </c>
      <c r="W5638">
        <v>605</v>
      </c>
      <c r="X5638">
        <v>1</v>
      </c>
      <c r="AE5638">
        <v>605</v>
      </c>
      <c r="AQ5638">
        <v>1</v>
      </c>
      <c r="AU5638">
        <f t="shared" si="174"/>
        <v>1</v>
      </c>
      <c r="AV5638">
        <f t="shared" si="175"/>
        <v>0</v>
      </c>
    </row>
    <row r="5639" spans="1:48" x14ac:dyDescent="0.25">
      <c r="A5639" t="s">
        <v>18800</v>
      </c>
      <c r="B5639" t="s">
        <v>18800</v>
      </c>
      <c r="C5639" t="s">
        <v>18801</v>
      </c>
      <c r="D5639" t="s">
        <v>6804</v>
      </c>
      <c r="E5639" t="s">
        <v>2310</v>
      </c>
      <c r="F5639">
        <v>8</v>
      </c>
      <c r="G5639">
        <v>8.1999999999999993</v>
      </c>
      <c r="H5639" t="s">
        <v>2022</v>
      </c>
      <c r="I5639" s="21">
        <v>43280.375296412036</v>
      </c>
      <c r="J5639">
        <v>2018</v>
      </c>
      <c r="K5639" s="21">
        <v>43332.631290972226</v>
      </c>
      <c r="L5639">
        <v>2018</v>
      </c>
      <c r="M5639" s="21">
        <v>43629.622310613428</v>
      </c>
      <c r="N5639">
        <v>2019</v>
      </c>
      <c r="Q5639" s="262">
        <v>130000</v>
      </c>
      <c r="R5639" s="262">
        <v>71000</v>
      </c>
      <c r="S5639" t="s">
        <v>13254</v>
      </c>
      <c r="W5639">
        <v>605</v>
      </c>
      <c r="X5639">
        <v>1</v>
      </c>
      <c r="AE5639">
        <v>605</v>
      </c>
      <c r="AQ5639">
        <v>1</v>
      </c>
      <c r="AU5639">
        <f t="shared" si="174"/>
        <v>1</v>
      </c>
      <c r="AV5639">
        <f t="shared" si="175"/>
        <v>0</v>
      </c>
    </row>
    <row r="5640" spans="1:48" x14ac:dyDescent="0.25">
      <c r="A5640" t="s">
        <v>18802</v>
      </c>
      <c r="B5640" t="s">
        <v>18802</v>
      </c>
      <c r="C5640" t="s">
        <v>18803</v>
      </c>
      <c r="D5640" t="s">
        <v>6804</v>
      </c>
      <c r="E5640" t="s">
        <v>2310</v>
      </c>
      <c r="F5640">
        <v>8</v>
      </c>
      <c r="G5640">
        <v>8.1999999999999993</v>
      </c>
      <c r="H5640" t="s">
        <v>2022</v>
      </c>
      <c r="I5640" s="21">
        <v>43280.375312118056</v>
      </c>
      <c r="J5640">
        <v>2018</v>
      </c>
      <c r="K5640" s="21">
        <v>43332.629289583332</v>
      </c>
      <c r="L5640">
        <v>2018</v>
      </c>
      <c r="M5640" s="21">
        <v>43629.622943668983</v>
      </c>
      <c r="N5640">
        <v>2019</v>
      </c>
      <c r="Q5640" s="262">
        <v>130000</v>
      </c>
      <c r="R5640" s="262">
        <v>71000</v>
      </c>
      <c r="S5640" t="s">
        <v>13254</v>
      </c>
      <c r="W5640">
        <v>605</v>
      </c>
      <c r="X5640">
        <v>1</v>
      </c>
      <c r="AE5640">
        <v>605</v>
      </c>
      <c r="AQ5640">
        <v>1</v>
      </c>
      <c r="AU5640">
        <f t="shared" si="174"/>
        <v>1</v>
      </c>
      <c r="AV5640">
        <f t="shared" si="175"/>
        <v>0</v>
      </c>
    </row>
    <row r="5641" spans="1:48" x14ac:dyDescent="0.25">
      <c r="A5641" t="s">
        <v>18804</v>
      </c>
      <c r="B5641" t="s">
        <v>18804</v>
      </c>
      <c r="C5641" t="s">
        <v>18805</v>
      </c>
      <c r="D5641" t="s">
        <v>6804</v>
      </c>
      <c r="E5641" t="s">
        <v>2310</v>
      </c>
      <c r="F5641">
        <v>8</v>
      </c>
      <c r="G5641">
        <v>8.1999999999999993</v>
      </c>
      <c r="H5641" t="s">
        <v>2022</v>
      </c>
      <c r="I5641" s="21">
        <v>43280.37532619213</v>
      </c>
      <c r="J5641">
        <v>2018</v>
      </c>
      <c r="K5641" s="21">
        <v>43332.620895370368</v>
      </c>
      <c r="L5641">
        <v>2018</v>
      </c>
      <c r="M5641" s="21">
        <v>43629.623536423613</v>
      </c>
      <c r="N5641">
        <v>2019</v>
      </c>
      <c r="Q5641" s="262">
        <v>130000</v>
      </c>
      <c r="R5641" s="262">
        <v>71000</v>
      </c>
      <c r="S5641" t="s">
        <v>13254</v>
      </c>
      <c r="W5641">
        <v>605</v>
      </c>
      <c r="X5641">
        <v>1</v>
      </c>
      <c r="AE5641">
        <v>605</v>
      </c>
      <c r="AQ5641">
        <v>1</v>
      </c>
      <c r="AU5641">
        <f t="shared" si="174"/>
        <v>1</v>
      </c>
      <c r="AV5641">
        <f t="shared" si="175"/>
        <v>0</v>
      </c>
    </row>
    <row r="5642" spans="1:48" x14ac:dyDescent="0.25">
      <c r="A5642" t="s">
        <v>18806</v>
      </c>
      <c r="B5642" t="s">
        <v>18806</v>
      </c>
      <c r="C5642" t="s">
        <v>18807</v>
      </c>
      <c r="D5642" t="s">
        <v>6804</v>
      </c>
      <c r="E5642" t="s">
        <v>2310</v>
      </c>
      <c r="F5642">
        <v>8</v>
      </c>
      <c r="G5642">
        <v>8.1999999999999993</v>
      </c>
      <c r="H5642" t="s">
        <v>2022</v>
      </c>
      <c r="I5642" s="21">
        <v>43280.375338888887</v>
      </c>
      <c r="J5642">
        <v>2018</v>
      </c>
      <c r="K5642" s="21">
        <v>43332.618630173609</v>
      </c>
      <c r="L5642">
        <v>2018</v>
      </c>
      <c r="M5642" s="21">
        <v>43629.624619479167</v>
      </c>
      <c r="N5642">
        <v>2019</v>
      </c>
      <c r="Q5642" s="262">
        <v>130000</v>
      </c>
      <c r="R5642" s="262">
        <v>71000</v>
      </c>
      <c r="S5642" t="s">
        <v>13254</v>
      </c>
      <c r="W5642">
        <v>605</v>
      </c>
      <c r="X5642">
        <v>1</v>
      </c>
      <c r="AE5642">
        <v>605</v>
      </c>
      <c r="AQ5642">
        <v>1</v>
      </c>
      <c r="AU5642">
        <f t="shared" si="174"/>
        <v>1</v>
      </c>
      <c r="AV5642">
        <f t="shared" si="175"/>
        <v>0</v>
      </c>
    </row>
    <row r="5643" spans="1:48" x14ac:dyDescent="0.25">
      <c r="A5643" t="s">
        <v>18882</v>
      </c>
      <c r="B5643" t="s">
        <v>18882</v>
      </c>
      <c r="C5643" t="s">
        <v>18883</v>
      </c>
      <c r="D5643" t="s">
        <v>6804</v>
      </c>
      <c r="E5643" t="s">
        <v>2310</v>
      </c>
      <c r="F5643">
        <v>8</v>
      </c>
      <c r="G5643">
        <v>8.1999999999999993</v>
      </c>
      <c r="H5643" t="s">
        <v>2022</v>
      </c>
      <c r="I5643" s="21">
        <v>43280.375351041665</v>
      </c>
      <c r="J5643">
        <v>2018</v>
      </c>
      <c r="K5643" s="21">
        <v>43332.614628622687</v>
      </c>
      <c r="L5643">
        <v>2018</v>
      </c>
      <c r="M5643" s="21">
        <v>43656.393239502315</v>
      </c>
      <c r="N5643">
        <v>2019</v>
      </c>
      <c r="Q5643" s="262">
        <v>130000</v>
      </c>
      <c r="R5643" s="262">
        <v>83000</v>
      </c>
      <c r="S5643" t="s">
        <v>13254</v>
      </c>
      <c r="W5643">
        <v>708</v>
      </c>
      <c r="X5643">
        <v>1</v>
      </c>
      <c r="AE5643">
        <v>708</v>
      </c>
      <c r="AQ5643">
        <v>1</v>
      </c>
      <c r="AU5643">
        <f t="shared" si="174"/>
        <v>1</v>
      </c>
      <c r="AV5643">
        <f t="shared" si="175"/>
        <v>0</v>
      </c>
    </row>
    <row r="5644" spans="1:48" x14ac:dyDescent="0.25">
      <c r="A5644" t="s">
        <v>18880</v>
      </c>
      <c r="B5644" t="s">
        <v>18880</v>
      </c>
      <c r="C5644" t="s">
        <v>18881</v>
      </c>
      <c r="D5644" t="s">
        <v>6804</v>
      </c>
      <c r="E5644" t="s">
        <v>2310</v>
      </c>
      <c r="F5644">
        <v>8</v>
      </c>
      <c r="G5644">
        <v>8.1999999999999993</v>
      </c>
      <c r="H5644" t="s">
        <v>2022</v>
      </c>
      <c r="I5644" s="21">
        <v>43280.375364004627</v>
      </c>
      <c r="J5644">
        <v>2018</v>
      </c>
      <c r="K5644" s="21">
        <v>43739.695118483796</v>
      </c>
      <c r="L5644">
        <v>2019</v>
      </c>
      <c r="M5644" s="21">
        <v>43656.392207604164</v>
      </c>
      <c r="N5644">
        <v>2019</v>
      </c>
      <c r="Q5644" s="262">
        <v>130000</v>
      </c>
      <c r="R5644" s="262">
        <v>83000</v>
      </c>
      <c r="S5644" t="s">
        <v>13254</v>
      </c>
      <c r="W5644">
        <v>708</v>
      </c>
      <c r="X5644">
        <v>1</v>
      </c>
      <c r="AE5644">
        <v>708</v>
      </c>
      <c r="AQ5644">
        <v>1</v>
      </c>
      <c r="AU5644">
        <f t="shared" si="174"/>
        <v>1</v>
      </c>
      <c r="AV5644">
        <f t="shared" si="175"/>
        <v>0</v>
      </c>
    </row>
    <row r="5645" spans="1:48" x14ac:dyDescent="0.25">
      <c r="A5645" t="s">
        <v>18953</v>
      </c>
      <c r="B5645" t="s">
        <v>114</v>
      </c>
      <c r="C5645" t="s">
        <v>11246</v>
      </c>
      <c r="D5645" t="s">
        <v>18954</v>
      </c>
      <c r="E5645" t="s">
        <v>1663</v>
      </c>
      <c r="F5645">
        <v>6</v>
      </c>
      <c r="G5645">
        <v>6.1</v>
      </c>
      <c r="H5645" t="s">
        <v>2017</v>
      </c>
      <c r="I5645" s="21">
        <v>43284</v>
      </c>
      <c r="J5645">
        <v>2018</v>
      </c>
      <c r="K5645" s="21">
        <v>43350</v>
      </c>
      <c r="L5645">
        <v>2018</v>
      </c>
      <c r="M5645" s="21">
        <v>43683</v>
      </c>
      <c r="N5645">
        <v>2019</v>
      </c>
      <c r="Q5645" s="262">
        <v>600000</v>
      </c>
      <c r="S5645" t="s">
        <v>13254</v>
      </c>
      <c r="W5645">
        <v>3081</v>
      </c>
      <c r="X5645">
        <v>1</v>
      </c>
      <c r="AC5645">
        <v>3081</v>
      </c>
      <c r="AO5645">
        <v>1</v>
      </c>
      <c r="AU5645">
        <f t="shared" si="174"/>
        <v>1</v>
      </c>
      <c r="AV5645">
        <f t="shared" si="175"/>
        <v>0</v>
      </c>
    </row>
    <row r="5646" spans="1:48" x14ac:dyDescent="0.25">
      <c r="A5646" t="s">
        <v>13907</v>
      </c>
      <c r="C5646" t="s">
        <v>13509</v>
      </c>
      <c r="D5646" t="s">
        <v>13908</v>
      </c>
      <c r="E5646" t="s">
        <v>1663</v>
      </c>
      <c r="F5646">
        <v>2</v>
      </c>
      <c r="G5646">
        <v>2.2000000000000002</v>
      </c>
      <c r="H5646" t="s">
        <v>2327</v>
      </c>
      <c r="I5646" s="21">
        <v>43284</v>
      </c>
      <c r="J5646">
        <v>2018</v>
      </c>
      <c r="K5646" s="21">
        <v>44077</v>
      </c>
      <c r="L5646">
        <v>2020</v>
      </c>
      <c r="P5646" s="21">
        <v>44423</v>
      </c>
      <c r="Q5646" s="262">
        <v>4750000</v>
      </c>
      <c r="S5646" t="s">
        <v>114</v>
      </c>
      <c r="T5646" t="s">
        <v>114</v>
      </c>
      <c r="W5646">
        <v>11669</v>
      </c>
      <c r="X5646">
        <v>4</v>
      </c>
      <c r="AD5646">
        <v>3530</v>
      </c>
      <c r="AJ5646">
        <v>8139</v>
      </c>
      <c r="AP5646">
        <v>4</v>
      </c>
      <c r="AU5646">
        <f t="shared" si="174"/>
        <v>4</v>
      </c>
      <c r="AV5646">
        <f t="shared" si="175"/>
        <v>8139</v>
      </c>
    </row>
    <row r="5647" spans="1:48" x14ac:dyDescent="0.25">
      <c r="A5647" t="s">
        <v>19722</v>
      </c>
      <c r="B5647" t="s">
        <v>19722</v>
      </c>
      <c r="C5647" t="s">
        <v>19723</v>
      </c>
      <c r="D5647" t="s">
        <v>13921</v>
      </c>
      <c r="E5647" t="s">
        <v>2310</v>
      </c>
      <c r="F5647">
        <v>8</v>
      </c>
      <c r="G5647">
        <v>8.3000000000000007</v>
      </c>
      <c r="H5647" t="s">
        <v>2323</v>
      </c>
      <c r="I5647" s="21">
        <v>43284.444458946797</v>
      </c>
      <c r="J5647">
        <v>2018</v>
      </c>
      <c r="K5647" s="21">
        <v>43788.638192210601</v>
      </c>
      <c r="L5647">
        <v>2019</v>
      </c>
      <c r="M5647" s="21">
        <v>44508</v>
      </c>
      <c r="N5647">
        <v>2021</v>
      </c>
      <c r="Q5647" s="262">
        <v>650000</v>
      </c>
      <c r="R5647" s="262">
        <v>324000</v>
      </c>
      <c r="S5647" t="s">
        <v>13254</v>
      </c>
      <c r="U5647">
        <v>5</v>
      </c>
      <c r="W5647">
        <v>2623</v>
      </c>
      <c r="X5647">
        <v>1</v>
      </c>
      <c r="AC5647">
        <v>2623</v>
      </c>
      <c r="AO5647">
        <v>1</v>
      </c>
      <c r="AU5647">
        <f t="shared" si="174"/>
        <v>1</v>
      </c>
      <c r="AV5647">
        <f t="shared" si="175"/>
        <v>0</v>
      </c>
    </row>
    <row r="5648" spans="1:48" x14ac:dyDescent="0.25">
      <c r="A5648" t="s">
        <v>18735</v>
      </c>
      <c r="B5648" t="s">
        <v>18735</v>
      </c>
      <c r="C5648" t="s">
        <v>18736</v>
      </c>
      <c r="D5648" t="s">
        <v>1577</v>
      </c>
      <c r="E5648" t="s">
        <v>2310</v>
      </c>
      <c r="F5648">
        <v>15</v>
      </c>
      <c r="G5648">
        <v>15.4</v>
      </c>
      <c r="H5648" t="s">
        <v>2323</v>
      </c>
      <c r="I5648" s="21">
        <v>43284.586993599536</v>
      </c>
      <c r="J5648">
        <v>2018</v>
      </c>
      <c r="K5648" s="21">
        <v>43362.65314869213</v>
      </c>
      <c r="L5648">
        <v>2018</v>
      </c>
      <c r="M5648" s="21">
        <v>43658.358717476855</v>
      </c>
      <c r="N5648">
        <v>2019</v>
      </c>
      <c r="Q5648" s="262">
        <v>300000</v>
      </c>
      <c r="R5648" s="262">
        <v>92000</v>
      </c>
      <c r="S5648" t="s">
        <v>13253</v>
      </c>
      <c r="T5648">
        <v>8330</v>
      </c>
      <c r="V5648">
        <v>732</v>
      </c>
      <c r="W5648">
        <v>344</v>
      </c>
      <c r="X5648">
        <v>1</v>
      </c>
      <c r="AC5648">
        <v>-732</v>
      </c>
      <c r="AF5648">
        <v>1076</v>
      </c>
      <c r="AR5648">
        <v>1</v>
      </c>
      <c r="AU5648">
        <f t="shared" si="174"/>
        <v>0</v>
      </c>
      <c r="AV5648">
        <f t="shared" si="175"/>
        <v>0</v>
      </c>
    </row>
    <row r="5649" spans="1:48" x14ac:dyDescent="0.25">
      <c r="A5649" t="s">
        <v>19172</v>
      </c>
      <c r="B5649" t="s">
        <v>114</v>
      </c>
      <c r="C5649" t="s">
        <v>19173</v>
      </c>
      <c r="D5649" t="s">
        <v>19174</v>
      </c>
      <c r="E5649" t="s">
        <v>1663</v>
      </c>
      <c r="F5649">
        <v>6</v>
      </c>
      <c r="G5649">
        <v>6.2</v>
      </c>
      <c r="H5649" t="s">
        <v>2017</v>
      </c>
      <c r="I5649" s="21">
        <v>43291</v>
      </c>
      <c r="J5649">
        <v>2018</v>
      </c>
      <c r="K5649" s="21">
        <v>43413</v>
      </c>
      <c r="L5649">
        <v>2018</v>
      </c>
      <c r="M5649" s="21">
        <v>43812</v>
      </c>
      <c r="N5649">
        <v>2019</v>
      </c>
      <c r="Q5649" s="262">
        <v>250000</v>
      </c>
      <c r="S5649" t="s">
        <v>13254</v>
      </c>
      <c r="W5649">
        <v>990</v>
      </c>
      <c r="X5649">
        <v>1</v>
      </c>
      <c r="AC5649">
        <v>495</v>
      </c>
      <c r="AE5649">
        <v>495</v>
      </c>
      <c r="AQ5649">
        <v>1</v>
      </c>
      <c r="AU5649">
        <f t="shared" si="174"/>
        <v>1</v>
      </c>
      <c r="AV5649">
        <f t="shared" si="175"/>
        <v>0</v>
      </c>
    </row>
    <row r="5650" spans="1:48" x14ac:dyDescent="0.25">
      <c r="A5650" t="s">
        <v>13909</v>
      </c>
      <c r="C5650" t="s">
        <v>13910</v>
      </c>
      <c r="D5650" t="s">
        <v>13911</v>
      </c>
      <c r="E5650" t="s">
        <v>1663</v>
      </c>
      <c r="F5650">
        <v>6</v>
      </c>
      <c r="G5650">
        <v>6.1</v>
      </c>
      <c r="H5650" t="s">
        <v>2017</v>
      </c>
      <c r="I5650" s="21">
        <v>43291</v>
      </c>
      <c r="J5650">
        <v>2018</v>
      </c>
      <c r="K5650" s="21">
        <v>43336</v>
      </c>
      <c r="L5650">
        <v>2018</v>
      </c>
      <c r="M5650" s="21">
        <v>43398</v>
      </c>
      <c r="N5650">
        <v>2018</v>
      </c>
      <c r="Q5650" s="262">
        <v>15500</v>
      </c>
      <c r="S5650" t="s">
        <v>114</v>
      </c>
      <c r="T5650" t="s">
        <v>114</v>
      </c>
      <c r="W5650">
        <v>0</v>
      </c>
      <c r="X5650">
        <v>0</v>
      </c>
      <c r="AU5650">
        <f t="shared" si="174"/>
        <v>0</v>
      </c>
      <c r="AV5650">
        <f t="shared" si="175"/>
        <v>0</v>
      </c>
    </row>
    <row r="5651" spans="1:48" x14ac:dyDescent="0.25">
      <c r="A5651" t="s">
        <v>13912</v>
      </c>
      <c r="C5651" t="s">
        <v>13913</v>
      </c>
      <c r="D5651" t="s">
        <v>13914</v>
      </c>
      <c r="E5651" t="s">
        <v>1663</v>
      </c>
      <c r="F5651">
        <v>3</v>
      </c>
      <c r="G5651">
        <v>3.1</v>
      </c>
      <c r="H5651" t="s">
        <v>2017</v>
      </c>
      <c r="I5651" s="21">
        <v>43291</v>
      </c>
      <c r="J5651">
        <v>2018</v>
      </c>
      <c r="K5651" s="21">
        <v>43419</v>
      </c>
      <c r="L5651">
        <v>2018</v>
      </c>
      <c r="M5651" s="21">
        <v>43621</v>
      </c>
      <c r="N5651">
        <v>2019</v>
      </c>
      <c r="Q5651" s="262">
        <v>0</v>
      </c>
      <c r="S5651" t="s">
        <v>114</v>
      </c>
      <c r="T5651" t="s">
        <v>114</v>
      </c>
      <c r="W5651">
        <v>0</v>
      </c>
      <c r="X5651">
        <v>0</v>
      </c>
      <c r="AU5651">
        <f t="shared" si="174"/>
        <v>0</v>
      </c>
      <c r="AV5651">
        <f t="shared" si="175"/>
        <v>0</v>
      </c>
    </row>
    <row r="5652" spans="1:48" x14ac:dyDescent="0.25">
      <c r="A5652" t="s">
        <v>18035</v>
      </c>
      <c r="B5652" t="s">
        <v>18035</v>
      </c>
      <c r="C5652" t="s">
        <v>18036</v>
      </c>
      <c r="D5652" t="s">
        <v>18037</v>
      </c>
      <c r="E5652" t="s">
        <v>2310</v>
      </c>
      <c r="F5652">
        <v>9</v>
      </c>
      <c r="G5652">
        <v>9.4</v>
      </c>
      <c r="H5652" t="s">
        <v>2323</v>
      </c>
      <c r="I5652" s="21">
        <v>43291.492844791668</v>
      </c>
      <c r="J5652">
        <v>2018</v>
      </c>
      <c r="K5652" s="21">
        <v>43396.446797222219</v>
      </c>
      <c r="L5652">
        <v>2018</v>
      </c>
      <c r="M5652" s="21">
        <v>43896.447313923614</v>
      </c>
      <c r="N5652">
        <v>2020</v>
      </c>
      <c r="Q5652" s="262">
        <v>1800000</v>
      </c>
      <c r="R5652" s="262">
        <v>53000</v>
      </c>
      <c r="S5652" t="s">
        <v>13253</v>
      </c>
      <c r="T5652">
        <v>2925</v>
      </c>
      <c r="V5652">
        <v>346</v>
      </c>
      <c r="W5652">
        <v>146</v>
      </c>
      <c r="X5652">
        <v>0</v>
      </c>
      <c r="AC5652">
        <v>146</v>
      </c>
      <c r="AU5652">
        <f t="shared" si="174"/>
        <v>0</v>
      </c>
      <c r="AV5652">
        <f t="shared" si="175"/>
        <v>0</v>
      </c>
    </row>
    <row r="5653" spans="1:48" x14ac:dyDescent="0.25">
      <c r="A5653" t="s">
        <v>19610</v>
      </c>
      <c r="B5653" t="s">
        <v>19610</v>
      </c>
      <c r="C5653" t="s">
        <v>19611</v>
      </c>
      <c r="D5653" t="s">
        <v>19612</v>
      </c>
      <c r="E5653" t="s">
        <v>2310</v>
      </c>
      <c r="F5653">
        <v>8</v>
      </c>
      <c r="G5653">
        <v>8.1</v>
      </c>
      <c r="H5653" t="s">
        <v>2323</v>
      </c>
      <c r="I5653" s="21">
        <v>43291.613504594905</v>
      </c>
      <c r="J5653">
        <v>2018</v>
      </c>
      <c r="K5653" s="21">
        <v>43378.403119988427</v>
      </c>
      <c r="L5653">
        <v>2018</v>
      </c>
      <c r="M5653" s="21">
        <v>44173.400455173614</v>
      </c>
      <c r="N5653">
        <v>2020</v>
      </c>
      <c r="Q5653" s="262">
        <v>4000000</v>
      </c>
      <c r="R5653" s="262">
        <v>912000</v>
      </c>
      <c r="S5653" t="s">
        <v>13254</v>
      </c>
      <c r="W5653">
        <v>7552</v>
      </c>
      <c r="X5653">
        <v>1</v>
      </c>
      <c r="AC5653">
        <v>7552</v>
      </c>
      <c r="AO5653">
        <v>1</v>
      </c>
      <c r="AU5653">
        <f t="shared" si="174"/>
        <v>1</v>
      </c>
      <c r="AV5653">
        <f t="shared" si="175"/>
        <v>0</v>
      </c>
    </row>
    <row r="5654" spans="1:48" x14ac:dyDescent="0.25">
      <c r="A5654" t="s">
        <v>13915</v>
      </c>
      <c r="C5654" t="s">
        <v>13916</v>
      </c>
      <c r="D5654" t="s">
        <v>8960</v>
      </c>
      <c r="E5654" t="s">
        <v>1663</v>
      </c>
      <c r="F5654">
        <v>2</v>
      </c>
      <c r="G5654">
        <v>2.2999999999999998</v>
      </c>
      <c r="H5654" t="s">
        <v>2327</v>
      </c>
      <c r="I5654" s="21">
        <v>43293</v>
      </c>
      <c r="J5654">
        <v>2018</v>
      </c>
      <c r="K5654" s="21">
        <v>43370</v>
      </c>
      <c r="L5654">
        <v>2018</v>
      </c>
      <c r="M5654" s="21">
        <v>43462</v>
      </c>
      <c r="N5654">
        <v>2018</v>
      </c>
      <c r="Q5654" s="262">
        <v>136000</v>
      </c>
      <c r="S5654" t="s">
        <v>114</v>
      </c>
      <c r="T5654" t="s">
        <v>114</v>
      </c>
      <c r="W5654">
        <v>0</v>
      </c>
      <c r="X5654">
        <v>0</v>
      </c>
      <c r="AU5654">
        <f t="shared" si="174"/>
        <v>0</v>
      </c>
      <c r="AV5654">
        <f t="shared" si="175"/>
        <v>0</v>
      </c>
    </row>
    <row r="5655" spans="1:48" x14ac:dyDescent="0.25">
      <c r="A5655" t="s">
        <v>18852</v>
      </c>
      <c r="B5655" t="s">
        <v>18852</v>
      </c>
      <c r="C5655" t="s">
        <v>18853</v>
      </c>
      <c r="D5655" t="s">
        <v>13462</v>
      </c>
      <c r="E5655" t="s">
        <v>2310</v>
      </c>
      <c r="F5655">
        <v>11</v>
      </c>
      <c r="G5655">
        <v>11.2</v>
      </c>
      <c r="H5655" t="s">
        <v>2017</v>
      </c>
      <c r="I5655" s="21">
        <v>43293.430721643519</v>
      </c>
      <c r="J5655">
        <v>2018</v>
      </c>
      <c r="K5655" s="21">
        <v>43634.599707870373</v>
      </c>
      <c r="L5655">
        <v>2019</v>
      </c>
      <c r="M5655" s="21">
        <v>43643.643941666669</v>
      </c>
      <c r="N5655">
        <v>2019</v>
      </c>
      <c r="Q5655" s="262">
        <v>1000000</v>
      </c>
      <c r="R5655" s="262">
        <v>231000</v>
      </c>
      <c r="S5655" t="s">
        <v>13254</v>
      </c>
      <c r="W5655">
        <v>2412</v>
      </c>
      <c r="X5655">
        <v>1</v>
      </c>
      <c r="AC5655">
        <v>2412</v>
      </c>
      <c r="AO5655">
        <v>1</v>
      </c>
      <c r="AU5655">
        <f t="shared" si="174"/>
        <v>1</v>
      </c>
      <c r="AV5655">
        <f t="shared" si="175"/>
        <v>0</v>
      </c>
    </row>
    <row r="5656" spans="1:48" x14ac:dyDescent="0.25">
      <c r="A5656" t="s">
        <v>18322</v>
      </c>
      <c r="B5656" t="s">
        <v>18322</v>
      </c>
      <c r="C5656" t="s">
        <v>18323</v>
      </c>
      <c r="D5656" t="s">
        <v>5784</v>
      </c>
      <c r="E5656" t="s">
        <v>2310</v>
      </c>
      <c r="F5656">
        <v>9</v>
      </c>
      <c r="G5656">
        <v>9.3000000000000007</v>
      </c>
      <c r="H5656" t="s">
        <v>2323</v>
      </c>
      <c r="I5656" s="21">
        <v>43293.620865243058</v>
      </c>
      <c r="J5656">
        <v>2018</v>
      </c>
      <c r="K5656" s="21">
        <v>43320.511142939817</v>
      </c>
      <c r="L5656">
        <v>2018</v>
      </c>
      <c r="M5656" s="21">
        <v>44082.351555671296</v>
      </c>
      <c r="N5656">
        <v>2020</v>
      </c>
      <c r="Q5656" s="262">
        <v>1250000</v>
      </c>
      <c r="R5656" s="262">
        <v>47000</v>
      </c>
      <c r="S5656" t="s">
        <v>13253</v>
      </c>
      <c r="T5656">
        <v>4328</v>
      </c>
      <c r="W5656">
        <v>641</v>
      </c>
      <c r="X5656">
        <v>1</v>
      </c>
      <c r="AF5656">
        <v>641</v>
      </c>
      <c r="AR5656">
        <v>1</v>
      </c>
      <c r="AU5656">
        <f t="shared" si="174"/>
        <v>0</v>
      </c>
      <c r="AV5656">
        <f t="shared" si="175"/>
        <v>0</v>
      </c>
    </row>
    <row r="5657" spans="1:48" x14ac:dyDescent="0.25">
      <c r="A5657" t="s">
        <v>19140</v>
      </c>
      <c r="B5657" t="s">
        <v>114</v>
      </c>
      <c r="C5657" t="s">
        <v>19141</v>
      </c>
      <c r="D5657" t="s">
        <v>19142</v>
      </c>
      <c r="E5657" t="s">
        <v>1663</v>
      </c>
      <c r="F5657">
        <v>3</v>
      </c>
      <c r="G5657">
        <v>3.2</v>
      </c>
      <c r="H5657" t="s">
        <v>2327</v>
      </c>
      <c r="I5657" s="21">
        <v>43294</v>
      </c>
      <c r="J5657">
        <v>2018</v>
      </c>
      <c r="K5657" s="21">
        <v>43587</v>
      </c>
      <c r="L5657">
        <v>2019</v>
      </c>
      <c r="M5657" s="21">
        <v>44007</v>
      </c>
      <c r="N5657">
        <v>2020</v>
      </c>
      <c r="Q5657" s="262">
        <v>350000</v>
      </c>
      <c r="S5657" t="s">
        <v>13253</v>
      </c>
      <c r="T5657">
        <v>10809</v>
      </c>
      <c r="W5657">
        <v>1425</v>
      </c>
      <c r="X5657">
        <v>1</v>
      </c>
      <c r="AC5657">
        <v>625</v>
      </c>
      <c r="AE5657">
        <v>800</v>
      </c>
      <c r="AQ5657">
        <v>1</v>
      </c>
      <c r="AU5657">
        <f t="shared" ref="AU5657:AU5720" si="176">SUM(AN5657:AQ5657,AS5657)</f>
        <v>1</v>
      </c>
      <c r="AV5657">
        <f t="shared" ref="AV5657:AV5720" si="177">SUM(Y5657:AB5657,AH5657:AM5657)</f>
        <v>0</v>
      </c>
    </row>
    <row r="5658" spans="1:48" x14ac:dyDescent="0.25">
      <c r="A5658" t="s">
        <v>13917</v>
      </c>
      <c r="C5658" t="s">
        <v>13918</v>
      </c>
      <c r="D5658" t="s">
        <v>12476</v>
      </c>
      <c r="E5658" t="s">
        <v>1663</v>
      </c>
      <c r="F5658">
        <v>2</v>
      </c>
      <c r="G5658">
        <v>2.2999999999999998</v>
      </c>
      <c r="H5658" t="s">
        <v>2327</v>
      </c>
      <c r="I5658" s="21">
        <v>43294</v>
      </c>
      <c r="J5658">
        <v>2018</v>
      </c>
      <c r="K5658" s="21">
        <v>43390</v>
      </c>
      <c r="L5658">
        <v>2018</v>
      </c>
      <c r="M5658" s="21">
        <v>43563</v>
      </c>
      <c r="N5658">
        <v>2019</v>
      </c>
      <c r="Q5658" s="262">
        <v>20000</v>
      </c>
      <c r="S5658" t="s">
        <v>114</v>
      </c>
      <c r="T5658" t="s">
        <v>114</v>
      </c>
      <c r="W5658">
        <v>0</v>
      </c>
      <c r="X5658">
        <v>0</v>
      </c>
      <c r="AU5658">
        <f t="shared" si="176"/>
        <v>0</v>
      </c>
      <c r="AV5658">
        <f t="shared" si="177"/>
        <v>0</v>
      </c>
    </row>
    <row r="5659" spans="1:48" x14ac:dyDescent="0.25">
      <c r="A5659" t="s">
        <v>13919</v>
      </c>
      <c r="B5659" t="s">
        <v>13919</v>
      </c>
      <c r="C5659" t="s">
        <v>13920</v>
      </c>
      <c r="D5659" t="s">
        <v>13921</v>
      </c>
      <c r="E5659" t="s">
        <v>2310</v>
      </c>
      <c r="F5659">
        <v>8</v>
      </c>
      <c r="G5659">
        <v>8.3000000000000007</v>
      </c>
      <c r="H5659" t="s">
        <v>2323</v>
      </c>
      <c r="I5659" s="21">
        <v>43294.5873613773</v>
      </c>
      <c r="J5659">
        <v>2018</v>
      </c>
      <c r="O5659" s="21">
        <v>43517.574983599501</v>
      </c>
      <c r="P5659" s="21">
        <v>43474.661764467601</v>
      </c>
      <c r="Q5659" s="262">
        <v>50000</v>
      </c>
      <c r="R5659" s="262">
        <v>22000</v>
      </c>
      <c r="S5659" t="s">
        <v>114</v>
      </c>
      <c r="T5659" t="s">
        <v>114</v>
      </c>
      <c r="W5659">
        <v>478</v>
      </c>
      <c r="X5659">
        <v>0</v>
      </c>
      <c r="AC5659">
        <v>478</v>
      </c>
      <c r="AU5659">
        <f t="shared" si="176"/>
        <v>0</v>
      </c>
      <c r="AV5659">
        <f t="shared" si="177"/>
        <v>0</v>
      </c>
    </row>
    <row r="5660" spans="1:48" x14ac:dyDescent="0.25">
      <c r="A5660" t="s">
        <v>13922</v>
      </c>
      <c r="C5660" t="s">
        <v>13923</v>
      </c>
      <c r="D5660" t="s">
        <v>13895</v>
      </c>
      <c r="E5660" t="s">
        <v>1663</v>
      </c>
      <c r="F5660">
        <v>3</v>
      </c>
      <c r="G5660">
        <v>3.3</v>
      </c>
      <c r="H5660" t="s">
        <v>2017</v>
      </c>
      <c r="I5660" s="21">
        <v>43297</v>
      </c>
      <c r="J5660">
        <v>2018</v>
      </c>
      <c r="K5660" s="21">
        <v>43313</v>
      </c>
      <c r="L5660">
        <v>2018</v>
      </c>
      <c r="M5660" s="21">
        <v>44116</v>
      </c>
      <c r="N5660">
        <v>2020</v>
      </c>
      <c r="Q5660" s="262">
        <v>1504200</v>
      </c>
      <c r="S5660" t="s">
        <v>114</v>
      </c>
      <c r="T5660" t="s">
        <v>114</v>
      </c>
      <c r="W5660">
        <v>0</v>
      </c>
      <c r="X5660">
        <v>0</v>
      </c>
      <c r="AU5660">
        <f t="shared" si="176"/>
        <v>0</v>
      </c>
      <c r="AV5660">
        <f t="shared" si="177"/>
        <v>0</v>
      </c>
    </row>
    <row r="5661" spans="1:48" x14ac:dyDescent="0.25">
      <c r="A5661" t="s">
        <v>19574</v>
      </c>
      <c r="B5661" t="s">
        <v>19574</v>
      </c>
      <c r="C5661" t="s">
        <v>19575</v>
      </c>
      <c r="D5661" t="s">
        <v>19576</v>
      </c>
      <c r="E5661" t="s">
        <v>2310</v>
      </c>
      <c r="F5661">
        <v>9</v>
      </c>
      <c r="G5661">
        <v>9.4</v>
      </c>
      <c r="H5661" t="s">
        <v>2323</v>
      </c>
      <c r="I5661" s="21">
        <v>43298.498363738428</v>
      </c>
      <c r="J5661">
        <v>2018</v>
      </c>
      <c r="K5661" s="21">
        <v>43585.709528622683</v>
      </c>
      <c r="L5661">
        <v>2019</v>
      </c>
      <c r="M5661" s="21">
        <v>44131.692130474534</v>
      </c>
      <c r="N5661">
        <v>2020</v>
      </c>
      <c r="Q5661" s="262">
        <v>2400000</v>
      </c>
      <c r="R5661" s="262">
        <v>611000</v>
      </c>
      <c r="S5661" t="s">
        <v>13254</v>
      </c>
      <c r="W5661">
        <v>4293</v>
      </c>
      <c r="X5661">
        <v>1</v>
      </c>
      <c r="AC5661">
        <v>4293</v>
      </c>
      <c r="AO5661">
        <v>1</v>
      </c>
      <c r="AU5661">
        <f t="shared" si="176"/>
        <v>1</v>
      </c>
      <c r="AV5661">
        <f t="shared" si="177"/>
        <v>0</v>
      </c>
    </row>
    <row r="5662" spans="1:48" x14ac:dyDescent="0.25">
      <c r="A5662" t="s">
        <v>19521</v>
      </c>
      <c r="B5662" t="s">
        <v>114</v>
      </c>
      <c r="C5662" t="s">
        <v>19522</v>
      </c>
      <c r="D5662" t="s">
        <v>7187</v>
      </c>
      <c r="E5662" t="s">
        <v>1663</v>
      </c>
      <c r="F5662">
        <v>3</v>
      </c>
      <c r="G5662">
        <v>3.1</v>
      </c>
      <c r="H5662" t="s">
        <v>2017</v>
      </c>
      <c r="I5662" s="21">
        <v>43300</v>
      </c>
      <c r="J5662">
        <v>2018</v>
      </c>
      <c r="K5662" s="21">
        <v>43341</v>
      </c>
      <c r="L5662">
        <v>2018</v>
      </c>
      <c r="M5662" s="21">
        <v>43692</v>
      </c>
      <c r="N5662">
        <v>2019</v>
      </c>
      <c r="Q5662" s="262">
        <v>60065</v>
      </c>
      <c r="S5662" t="s">
        <v>13253</v>
      </c>
      <c r="T5662">
        <v>13967</v>
      </c>
      <c r="W5662">
        <v>181</v>
      </c>
      <c r="X5662">
        <v>0</v>
      </c>
      <c r="AC5662">
        <v>181</v>
      </c>
      <c r="AU5662">
        <f t="shared" si="176"/>
        <v>0</v>
      </c>
      <c r="AV5662">
        <f t="shared" si="177"/>
        <v>0</v>
      </c>
    </row>
    <row r="5663" spans="1:48" x14ac:dyDescent="0.25">
      <c r="A5663" t="s">
        <v>18143</v>
      </c>
      <c r="B5663" t="s">
        <v>18143</v>
      </c>
      <c r="C5663" t="s">
        <v>18144</v>
      </c>
      <c r="D5663" t="s">
        <v>9120</v>
      </c>
      <c r="E5663" t="s">
        <v>2310</v>
      </c>
      <c r="F5663">
        <v>8</v>
      </c>
      <c r="G5663">
        <v>8.1</v>
      </c>
      <c r="H5663" t="s">
        <v>2323</v>
      </c>
      <c r="I5663" s="21">
        <v>43300.601582175928</v>
      </c>
      <c r="J5663">
        <v>2018</v>
      </c>
      <c r="K5663" s="21">
        <v>43325.613401354167</v>
      </c>
      <c r="L5663">
        <v>2018</v>
      </c>
      <c r="M5663" s="21">
        <v>43670.461358680557</v>
      </c>
      <c r="N5663">
        <v>2019</v>
      </c>
      <c r="Q5663" s="262">
        <v>275000</v>
      </c>
      <c r="R5663" s="262">
        <v>62000</v>
      </c>
      <c r="S5663" t="s">
        <v>13253</v>
      </c>
      <c r="T5663">
        <v>3912</v>
      </c>
      <c r="W5663">
        <v>544</v>
      </c>
      <c r="X5663">
        <v>0</v>
      </c>
      <c r="AC5663">
        <v>544</v>
      </c>
      <c r="AU5663">
        <f t="shared" si="176"/>
        <v>0</v>
      </c>
      <c r="AV5663">
        <f t="shared" si="177"/>
        <v>0</v>
      </c>
    </row>
    <row r="5664" spans="1:48" x14ac:dyDescent="0.25">
      <c r="A5664" t="s">
        <v>13924</v>
      </c>
      <c r="C5664" t="s">
        <v>13925</v>
      </c>
      <c r="D5664" t="s">
        <v>13926</v>
      </c>
      <c r="E5664" t="s">
        <v>1663</v>
      </c>
      <c r="F5664">
        <v>6</v>
      </c>
      <c r="G5664">
        <v>6.2</v>
      </c>
      <c r="H5664" t="s">
        <v>2017</v>
      </c>
      <c r="I5664" s="21">
        <v>43301</v>
      </c>
      <c r="J5664">
        <v>2018</v>
      </c>
      <c r="Q5664" s="262">
        <v>30000</v>
      </c>
      <c r="S5664" t="s">
        <v>114</v>
      </c>
      <c r="T5664" t="s">
        <v>114</v>
      </c>
      <c r="W5664">
        <v>358</v>
      </c>
      <c r="X5664">
        <v>0</v>
      </c>
      <c r="AC5664">
        <v>358</v>
      </c>
      <c r="AU5664">
        <f t="shared" si="176"/>
        <v>0</v>
      </c>
      <c r="AV5664">
        <f t="shared" si="177"/>
        <v>0</v>
      </c>
    </row>
    <row r="5665" spans="1:48" x14ac:dyDescent="0.25">
      <c r="A5665" t="s">
        <v>13927</v>
      </c>
      <c r="C5665" t="s">
        <v>11237</v>
      </c>
      <c r="D5665" t="s">
        <v>13928</v>
      </c>
      <c r="E5665" t="s">
        <v>1663</v>
      </c>
      <c r="F5665">
        <v>4</v>
      </c>
      <c r="G5665">
        <v>4.4000000000000004</v>
      </c>
      <c r="H5665" t="s">
        <v>2017</v>
      </c>
      <c r="I5665" s="21">
        <v>43305</v>
      </c>
      <c r="J5665">
        <v>2018</v>
      </c>
      <c r="K5665" s="21">
        <v>43369</v>
      </c>
      <c r="L5665">
        <v>2018</v>
      </c>
      <c r="M5665" s="21">
        <v>43577</v>
      </c>
      <c r="N5665">
        <v>2019</v>
      </c>
      <c r="Q5665" s="262">
        <v>22506</v>
      </c>
      <c r="S5665" t="s">
        <v>114</v>
      </c>
      <c r="T5665" t="s">
        <v>114</v>
      </c>
      <c r="W5665">
        <v>0</v>
      </c>
      <c r="X5665">
        <v>0</v>
      </c>
      <c r="AU5665">
        <f t="shared" si="176"/>
        <v>0</v>
      </c>
      <c r="AV5665">
        <f t="shared" si="177"/>
        <v>0</v>
      </c>
    </row>
    <row r="5666" spans="1:48" x14ac:dyDescent="0.25">
      <c r="A5666" t="s">
        <v>18870</v>
      </c>
      <c r="B5666" t="s">
        <v>18870</v>
      </c>
      <c r="C5666" t="s">
        <v>18871</v>
      </c>
      <c r="D5666" t="s">
        <v>12026</v>
      </c>
      <c r="E5666" t="s">
        <v>2310</v>
      </c>
      <c r="F5666">
        <v>9</v>
      </c>
      <c r="G5666">
        <v>9.3000000000000007</v>
      </c>
      <c r="H5666" t="s">
        <v>2323</v>
      </c>
      <c r="I5666" s="21">
        <v>43305.568034606484</v>
      </c>
      <c r="J5666">
        <v>2018</v>
      </c>
      <c r="K5666" s="21">
        <v>43333.678243599534</v>
      </c>
      <c r="L5666">
        <v>2018</v>
      </c>
      <c r="M5666" s="21">
        <v>43654.37574452546</v>
      </c>
      <c r="N5666">
        <v>2019</v>
      </c>
      <c r="Q5666" s="262">
        <v>300000</v>
      </c>
      <c r="R5666" s="262">
        <v>92000</v>
      </c>
      <c r="S5666" t="s">
        <v>13254</v>
      </c>
      <c r="W5666">
        <v>1481</v>
      </c>
      <c r="X5666">
        <v>0</v>
      </c>
      <c r="AC5666">
        <v>1481</v>
      </c>
      <c r="AU5666">
        <f t="shared" si="176"/>
        <v>0</v>
      </c>
      <c r="AV5666">
        <f t="shared" si="177"/>
        <v>0</v>
      </c>
    </row>
    <row r="5667" spans="1:48" x14ac:dyDescent="0.25">
      <c r="A5667" t="s">
        <v>13929</v>
      </c>
      <c r="B5667" t="s">
        <v>13929</v>
      </c>
      <c r="C5667" t="s">
        <v>13930</v>
      </c>
      <c r="D5667" t="s">
        <v>9468</v>
      </c>
      <c r="E5667" t="s">
        <v>2310</v>
      </c>
      <c r="F5667">
        <v>9</v>
      </c>
      <c r="G5667">
        <v>9.3000000000000007</v>
      </c>
      <c r="H5667" t="s">
        <v>2323</v>
      </c>
      <c r="I5667" s="21">
        <v>43305.5714934028</v>
      </c>
      <c r="J5667">
        <v>2018</v>
      </c>
      <c r="K5667" s="21">
        <v>43348.514900428199</v>
      </c>
      <c r="L5667">
        <v>2018</v>
      </c>
      <c r="M5667" s="21">
        <v>43454.363539780097</v>
      </c>
      <c r="N5667">
        <v>2018</v>
      </c>
      <c r="Q5667" s="262">
        <v>1230000</v>
      </c>
      <c r="R5667" s="262">
        <v>4374000</v>
      </c>
      <c r="S5667" t="s">
        <v>114</v>
      </c>
      <c r="T5667" t="s">
        <v>114</v>
      </c>
      <c r="W5667">
        <v>0</v>
      </c>
      <c r="X5667">
        <v>0</v>
      </c>
      <c r="AU5667">
        <f t="shared" si="176"/>
        <v>0</v>
      </c>
      <c r="AV5667">
        <f t="shared" si="177"/>
        <v>0</v>
      </c>
    </row>
    <row r="5668" spans="1:48" x14ac:dyDescent="0.25">
      <c r="A5668" t="s">
        <v>13931</v>
      </c>
      <c r="B5668" t="s">
        <v>13931</v>
      </c>
      <c r="C5668" t="s">
        <v>13932</v>
      </c>
      <c r="D5668" t="s">
        <v>13933</v>
      </c>
      <c r="E5668" t="s">
        <v>2310</v>
      </c>
      <c r="F5668">
        <v>7</v>
      </c>
      <c r="G5668">
        <v>7.2</v>
      </c>
      <c r="H5668" t="s">
        <v>2017</v>
      </c>
      <c r="I5668" s="21">
        <v>43305.606117395801</v>
      </c>
      <c r="J5668">
        <v>2018</v>
      </c>
      <c r="K5668" s="21">
        <v>43319.438026354197</v>
      </c>
      <c r="L5668">
        <v>2018</v>
      </c>
      <c r="M5668" s="21">
        <v>43455.576185300903</v>
      </c>
      <c r="N5668">
        <v>2018</v>
      </c>
      <c r="Q5668" s="262">
        <v>402474</v>
      </c>
      <c r="R5668" s="262">
        <v>2180000</v>
      </c>
      <c r="S5668" t="s">
        <v>114</v>
      </c>
      <c r="T5668" t="s">
        <v>114</v>
      </c>
      <c r="W5668">
        <v>0</v>
      </c>
      <c r="X5668">
        <v>0</v>
      </c>
      <c r="AU5668">
        <f t="shared" si="176"/>
        <v>0</v>
      </c>
      <c r="AV5668">
        <f t="shared" si="177"/>
        <v>0</v>
      </c>
    </row>
    <row r="5669" spans="1:48" x14ac:dyDescent="0.25">
      <c r="A5669" t="s">
        <v>20160</v>
      </c>
      <c r="B5669" t="s">
        <v>20160</v>
      </c>
      <c r="C5669" t="s">
        <v>20161</v>
      </c>
      <c r="D5669" t="s">
        <v>20162</v>
      </c>
      <c r="E5669" t="s">
        <v>2310</v>
      </c>
      <c r="F5669">
        <v>14</v>
      </c>
      <c r="G5669">
        <v>14.2</v>
      </c>
      <c r="H5669" t="s">
        <v>2017</v>
      </c>
      <c r="I5669" s="21">
        <v>43305.621104432903</v>
      </c>
      <c r="J5669">
        <v>2018</v>
      </c>
      <c r="K5669" s="21">
        <v>43403.575148148098</v>
      </c>
      <c r="L5669">
        <v>2018</v>
      </c>
      <c r="M5669" s="21">
        <v>44309</v>
      </c>
      <c r="N5669">
        <v>2021</v>
      </c>
      <c r="Q5669" s="262">
        <v>2000000</v>
      </c>
      <c r="R5669" s="262">
        <v>1238000</v>
      </c>
      <c r="S5669" t="s">
        <v>13254</v>
      </c>
      <c r="U5669">
        <v>17</v>
      </c>
      <c r="W5669">
        <v>11020</v>
      </c>
      <c r="X5669">
        <v>2</v>
      </c>
      <c r="AC5669">
        <v>10204</v>
      </c>
      <c r="AF5669">
        <v>816</v>
      </c>
      <c r="AO5669">
        <v>1</v>
      </c>
      <c r="AR5669">
        <v>1</v>
      </c>
      <c r="AU5669">
        <f t="shared" si="176"/>
        <v>1</v>
      </c>
      <c r="AV5669">
        <f t="shared" si="177"/>
        <v>0</v>
      </c>
    </row>
    <row r="5670" spans="1:48" x14ac:dyDescent="0.25">
      <c r="A5670" t="s">
        <v>19198</v>
      </c>
      <c r="B5670" t="s">
        <v>114</v>
      </c>
      <c r="C5670" t="s">
        <v>19199</v>
      </c>
      <c r="D5670" t="s">
        <v>8960</v>
      </c>
      <c r="E5670" t="s">
        <v>1663</v>
      </c>
      <c r="F5670">
        <v>2</v>
      </c>
      <c r="G5670">
        <v>2.2999999999999998</v>
      </c>
      <c r="H5670" t="s">
        <v>2327</v>
      </c>
      <c r="I5670" s="21">
        <v>43306</v>
      </c>
      <c r="J5670">
        <v>2018</v>
      </c>
      <c r="K5670" s="21">
        <v>43411</v>
      </c>
      <c r="L5670">
        <v>2018</v>
      </c>
      <c r="M5670" s="21">
        <v>44076</v>
      </c>
      <c r="N5670">
        <v>2020</v>
      </c>
      <c r="Q5670" s="262">
        <v>5000000</v>
      </c>
      <c r="S5670" t="s">
        <v>12464</v>
      </c>
      <c r="T5670">
        <v>11685</v>
      </c>
      <c r="W5670">
        <v>22244</v>
      </c>
      <c r="X5670">
        <v>22</v>
      </c>
      <c r="AE5670">
        <v>942</v>
      </c>
      <c r="AI5670">
        <v>21302</v>
      </c>
      <c r="AQ5670">
        <v>2</v>
      </c>
      <c r="AT5670">
        <v>20</v>
      </c>
      <c r="AU5670">
        <f t="shared" si="176"/>
        <v>2</v>
      </c>
      <c r="AV5670">
        <f t="shared" si="177"/>
        <v>21302</v>
      </c>
    </row>
    <row r="5671" spans="1:48" x14ac:dyDescent="0.25">
      <c r="A5671" t="s">
        <v>19198</v>
      </c>
      <c r="B5671" t="s">
        <v>114</v>
      </c>
      <c r="C5671" t="s">
        <v>19199</v>
      </c>
      <c r="D5671" t="s">
        <v>8960</v>
      </c>
      <c r="E5671" t="s">
        <v>1663</v>
      </c>
      <c r="F5671">
        <v>2</v>
      </c>
      <c r="G5671">
        <v>2.2999999999999998</v>
      </c>
      <c r="H5671" t="s">
        <v>2327</v>
      </c>
      <c r="I5671" s="21">
        <v>43306</v>
      </c>
      <c r="J5671">
        <v>2018</v>
      </c>
      <c r="K5671" s="21">
        <v>43411</v>
      </c>
      <c r="L5671">
        <v>2018</v>
      </c>
      <c r="M5671" s="21">
        <v>44076</v>
      </c>
      <c r="N5671">
        <v>2020</v>
      </c>
      <c r="S5671" t="s">
        <v>9529</v>
      </c>
      <c r="T5671">
        <v>11685</v>
      </c>
      <c r="U5671">
        <v>11</v>
      </c>
      <c r="W5671">
        <v>-1152</v>
      </c>
      <c r="X5671">
        <v>0</v>
      </c>
      <c r="Y5671">
        <v>0</v>
      </c>
      <c r="Z5671">
        <v>0</v>
      </c>
      <c r="AA5671">
        <v>0</v>
      </c>
      <c r="AB5671">
        <v>0</v>
      </c>
      <c r="AC5671">
        <v>0</v>
      </c>
      <c r="AD5671">
        <v>0</v>
      </c>
      <c r="AE5671">
        <v>0</v>
      </c>
      <c r="AF5671">
        <v>0</v>
      </c>
      <c r="AG5671">
        <v>0</v>
      </c>
      <c r="AH5671">
        <v>0</v>
      </c>
      <c r="AI5671">
        <v>-1152</v>
      </c>
      <c r="AJ5671">
        <v>0</v>
      </c>
      <c r="AK5671">
        <v>0</v>
      </c>
      <c r="AL5671">
        <v>0</v>
      </c>
      <c r="AM5671">
        <v>0</v>
      </c>
      <c r="AN5671">
        <v>0</v>
      </c>
      <c r="AO5671">
        <v>0</v>
      </c>
      <c r="AP5671">
        <v>0</v>
      </c>
      <c r="AQ5671">
        <v>0</v>
      </c>
      <c r="AR5671">
        <v>0</v>
      </c>
      <c r="AS5671">
        <v>0</v>
      </c>
      <c r="AT5671">
        <v>0</v>
      </c>
      <c r="AU5671">
        <f t="shared" si="176"/>
        <v>0</v>
      </c>
      <c r="AV5671">
        <f t="shared" si="177"/>
        <v>-1152</v>
      </c>
    </row>
    <row r="5672" spans="1:48" x14ac:dyDescent="0.25">
      <c r="A5672" t="s">
        <v>13934</v>
      </c>
      <c r="C5672" t="s">
        <v>13935</v>
      </c>
      <c r="D5672" t="s">
        <v>13936</v>
      </c>
      <c r="E5672" t="s">
        <v>1663</v>
      </c>
      <c r="F5672">
        <v>2</v>
      </c>
      <c r="G5672">
        <v>2.2999999999999998</v>
      </c>
      <c r="H5672" t="s">
        <v>2327</v>
      </c>
      <c r="I5672" s="21">
        <v>43307</v>
      </c>
      <c r="J5672">
        <v>2018</v>
      </c>
      <c r="K5672" s="21">
        <v>43341</v>
      </c>
      <c r="L5672">
        <v>2018</v>
      </c>
      <c r="M5672" s="21">
        <v>43451</v>
      </c>
      <c r="N5672">
        <v>2018</v>
      </c>
      <c r="Q5672" s="262">
        <v>400000</v>
      </c>
      <c r="S5672" t="s">
        <v>114</v>
      </c>
      <c r="T5672" t="s">
        <v>114</v>
      </c>
      <c r="W5672">
        <v>0</v>
      </c>
      <c r="X5672">
        <v>0</v>
      </c>
      <c r="AU5672">
        <f t="shared" si="176"/>
        <v>0</v>
      </c>
      <c r="AV5672">
        <f t="shared" si="177"/>
        <v>0</v>
      </c>
    </row>
    <row r="5673" spans="1:48" x14ac:dyDescent="0.25">
      <c r="A5673" t="s">
        <v>19392</v>
      </c>
      <c r="B5673" t="s">
        <v>19392</v>
      </c>
      <c r="C5673" t="s">
        <v>19393</v>
      </c>
      <c r="D5673" t="s">
        <v>13939</v>
      </c>
      <c r="E5673" t="s">
        <v>2310</v>
      </c>
      <c r="F5673">
        <v>13</v>
      </c>
      <c r="G5673">
        <v>13.2</v>
      </c>
      <c r="H5673" t="s">
        <v>2327</v>
      </c>
      <c r="I5673" s="21">
        <v>43307.501031562497</v>
      </c>
      <c r="J5673">
        <v>2018</v>
      </c>
      <c r="K5673" s="21">
        <v>43349.660360381946</v>
      </c>
      <c r="L5673">
        <v>2018</v>
      </c>
      <c r="M5673" s="21">
        <v>44007.366986423614</v>
      </c>
      <c r="N5673">
        <v>2020</v>
      </c>
      <c r="Q5673" s="262">
        <v>2500000</v>
      </c>
      <c r="R5673" s="262">
        <v>194000</v>
      </c>
      <c r="S5673" t="s">
        <v>13254</v>
      </c>
      <c r="W5673">
        <v>2447</v>
      </c>
      <c r="X5673">
        <v>1</v>
      </c>
      <c r="AC5673">
        <v>2447</v>
      </c>
      <c r="AO5673">
        <v>1</v>
      </c>
      <c r="AU5673">
        <f t="shared" si="176"/>
        <v>1</v>
      </c>
      <c r="AV5673">
        <f t="shared" si="177"/>
        <v>0</v>
      </c>
    </row>
    <row r="5674" spans="1:48" x14ac:dyDescent="0.25">
      <c r="A5674" t="s">
        <v>19205</v>
      </c>
      <c r="B5674" t="s">
        <v>19205</v>
      </c>
      <c r="C5674" t="s">
        <v>19206</v>
      </c>
      <c r="D5674" t="s">
        <v>19207</v>
      </c>
      <c r="E5674" t="s">
        <v>2310</v>
      </c>
      <c r="F5674">
        <v>9</v>
      </c>
      <c r="G5674">
        <v>9.4</v>
      </c>
      <c r="H5674" t="s">
        <v>2323</v>
      </c>
      <c r="I5674" s="21">
        <v>43307.554664965275</v>
      </c>
      <c r="J5674">
        <v>2018</v>
      </c>
      <c r="K5674" s="21">
        <v>43738.674784456016</v>
      </c>
      <c r="L5674">
        <v>2019</v>
      </c>
      <c r="M5674" s="21">
        <v>43845.440232025459</v>
      </c>
      <c r="N5674">
        <v>2020</v>
      </c>
      <c r="Q5674" s="262">
        <v>2543000</v>
      </c>
      <c r="R5674" s="262">
        <v>687000</v>
      </c>
      <c r="S5674" t="s">
        <v>13254</v>
      </c>
      <c r="W5674">
        <v>5301</v>
      </c>
      <c r="X5674">
        <v>1</v>
      </c>
      <c r="AC5674">
        <v>5301</v>
      </c>
      <c r="AO5674">
        <v>1</v>
      </c>
      <c r="AU5674">
        <f t="shared" si="176"/>
        <v>1</v>
      </c>
      <c r="AV5674">
        <f t="shared" si="177"/>
        <v>0</v>
      </c>
    </row>
    <row r="5675" spans="1:48" x14ac:dyDescent="0.25">
      <c r="A5675" t="s">
        <v>13937</v>
      </c>
      <c r="B5675" t="s">
        <v>13937</v>
      </c>
      <c r="C5675" t="s">
        <v>13938</v>
      </c>
      <c r="D5675" t="s">
        <v>13939</v>
      </c>
      <c r="E5675" t="s">
        <v>2310</v>
      </c>
      <c r="F5675">
        <v>13</v>
      </c>
      <c r="G5675">
        <v>13.2</v>
      </c>
      <c r="H5675" t="s">
        <v>2327</v>
      </c>
      <c r="I5675" s="21">
        <v>43307.615470868099</v>
      </c>
      <c r="J5675">
        <v>2018</v>
      </c>
      <c r="K5675" s="21">
        <v>43349.661507025499</v>
      </c>
      <c r="L5675">
        <v>2018</v>
      </c>
      <c r="M5675" s="21">
        <v>44208</v>
      </c>
      <c r="N5675">
        <v>2021</v>
      </c>
      <c r="Q5675" s="262">
        <v>20000</v>
      </c>
      <c r="R5675" s="262">
        <v>15000</v>
      </c>
      <c r="S5675" t="s">
        <v>114</v>
      </c>
      <c r="T5675" t="s">
        <v>114</v>
      </c>
      <c r="W5675">
        <v>0</v>
      </c>
      <c r="X5675">
        <v>0</v>
      </c>
      <c r="AU5675">
        <f t="shared" si="176"/>
        <v>0</v>
      </c>
      <c r="AV5675">
        <f t="shared" si="177"/>
        <v>0</v>
      </c>
    </row>
    <row r="5676" spans="1:48" x14ac:dyDescent="0.25">
      <c r="A5676" t="s">
        <v>13940</v>
      </c>
      <c r="C5676" t="s">
        <v>13941</v>
      </c>
      <c r="D5676" t="s">
        <v>13942</v>
      </c>
      <c r="E5676" t="s">
        <v>1663</v>
      </c>
      <c r="F5676">
        <v>6</v>
      </c>
      <c r="G5676">
        <v>6.1</v>
      </c>
      <c r="H5676" t="s">
        <v>2017</v>
      </c>
      <c r="I5676" s="21">
        <v>43308</v>
      </c>
      <c r="J5676">
        <v>2018</v>
      </c>
      <c r="K5676" s="21">
        <v>43325</v>
      </c>
      <c r="L5676">
        <v>2018</v>
      </c>
      <c r="M5676" s="21">
        <v>43490</v>
      </c>
      <c r="N5676">
        <v>2019</v>
      </c>
      <c r="Q5676" s="262">
        <v>25000</v>
      </c>
      <c r="S5676" t="s">
        <v>114</v>
      </c>
      <c r="T5676" t="s">
        <v>114</v>
      </c>
      <c r="W5676">
        <v>0</v>
      </c>
      <c r="X5676">
        <v>0</v>
      </c>
      <c r="AU5676">
        <f t="shared" si="176"/>
        <v>0</v>
      </c>
      <c r="AV5676">
        <f t="shared" si="177"/>
        <v>0</v>
      </c>
    </row>
    <row r="5677" spans="1:48" x14ac:dyDescent="0.25">
      <c r="A5677" t="s">
        <v>13943</v>
      </c>
      <c r="C5677" t="s">
        <v>13944</v>
      </c>
      <c r="D5677" t="s">
        <v>2081</v>
      </c>
      <c r="E5677" t="s">
        <v>1663</v>
      </c>
      <c r="F5677">
        <v>2</v>
      </c>
      <c r="G5677">
        <v>2.2999999999999998</v>
      </c>
      <c r="H5677" t="s">
        <v>2327</v>
      </c>
      <c r="I5677" s="21">
        <v>43308</v>
      </c>
      <c r="J5677">
        <v>2018</v>
      </c>
      <c r="K5677" s="21">
        <v>43615</v>
      </c>
      <c r="L5677">
        <v>2019</v>
      </c>
      <c r="M5677" s="21">
        <v>44006</v>
      </c>
      <c r="N5677">
        <v>2020</v>
      </c>
      <c r="Q5677" s="262">
        <v>400000</v>
      </c>
      <c r="S5677" t="s">
        <v>114</v>
      </c>
      <c r="T5677" t="s">
        <v>114</v>
      </c>
      <c r="W5677">
        <v>0</v>
      </c>
      <c r="X5677">
        <v>0</v>
      </c>
      <c r="AU5677">
        <f t="shared" si="176"/>
        <v>0</v>
      </c>
      <c r="AV5677">
        <f t="shared" si="177"/>
        <v>0</v>
      </c>
    </row>
    <row r="5678" spans="1:48" x14ac:dyDescent="0.25">
      <c r="A5678" t="s">
        <v>19646</v>
      </c>
      <c r="B5678" t="s">
        <v>19646</v>
      </c>
      <c r="C5678" t="s">
        <v>19647</v>
      </c>
      <c r="D5678" t="s">
        <v>19648</v>
      </c>
      <c r="E5678" t="s">
        <v>2310</v>
      </c>
      <c r="F5678">
        <v>8</v>
      </c>
      <c r="G5678">
        <v>8.1</v>
      </c>
      <c r="H5678" t="s">
        <v>2323</v>
      </c>
      <c r="I5678" s="21">
        <v>43312.566913622686</v>
      </c>
      <c r="J5678">
        <v>2018</v>
      </c>
      <c r="K5678" s="21">
        <v>43363.573493715281</v>
      </c>
      <c r="L5678">
        <v>2018</v>
      </c>
      <c r="M5678" s="21">
        <v>44188.401454363426</v>
      </c>
      <c r="N5678">
        <v>2020</v>
      </c>
      <c r="Q5678" s="262">
        <v>8800000</v>
      </c>
      <c r="R5678" s="262">
        <v>1479000</v>
      </c>
      <c r="S5678" t="s">
        <v>13254</v>
      </c>
      <c r="W5678">
        <v>9825</v>
      </c>
      <c r="X5678">
        <v>1</v>
      </c>
      <c r="AC5678">
        <v>9825</v>
      </c>
      <c r="AO5678">
        <v>1</v>
      </c>
      <c r="AU5678">
        <f t="shared" si="176"/>
        <v>1</v>
      </c>
      <c r="AV5678">
        <f t="shared" si="177"/>
        <v>0</v>
      </c>
    </row>
    <row r="5679" spans="1:48" x14ac:dyDescent="0.25">
      <c r="A5679" t="s">
        <v>19372</v>
      </c>
      <c r="B5679" t="s">
        <v>114</v>
      </c>
      <c r="C5679" t="s">
        <v>19373</v>
      </c>
      <c r="D5679" t="s">
        <v>19374</v>
      </c>
      <c r="E5679" t="s">
        <v>1663</v>
      </c>
      <c r="F5679">
        <v>5</v>
      </c>
      <c r="G5679">
        <v>5.5</v>
      </c>
      <c r="H5679" t="s">
        <v>2017</v>
      </c>
      <c r="I5679" s="21">
        <v>43313</v>
      </c>
      <c r="J5679">
        <v>2018</v>
      </c>
      <c r="K5679" s="21">
        <v>43362</v>
      </c>
      <c r="L5679">
        <v>2018</v>
      </c>
      <c r="M5679" s="21">
        <v>43545</v>
      </c>
      <c r="N5679">
        <v>2019</v>
      </c>
      <c r="Q5679" s="262">
        <v>150000</v>
      </c>
      <c r="S5679" t="s">
        <v>13253</v>
      </c>
      <c r="T5679">
        <v>13404</v>
      </c>
      <c r="W5679">
        <v>780</v>
      </c>
      <c r="X5679">
        <v>0</v>
      </c>
      <c r="AD5679">
        <v>780</v>
      </c>
      <c r="AU5679">
        <f t="shared" si="176"/>
        <v>0</v>
      </c>
      <c r="AV5679">
        <f t="shared" si="177"/>
        <v>0</v>
      </c>
    </row>
    <row r="5680" spans="1:48" x14ac:dyDescent="0.25">
      <c r="A5680" t="s">
        <v>19595</v>
      </c>
      <c r="B5680" t="s">
        <v>19595</v>
      </c>
      <c r="C5680" t="s">
        <v>19596</v>
      </c>
      <c r="D5680" t="s">
        <v>19597</v>
      </c>
      <c r="E5680" t="s">
        <v>2310</v>
      </c>
      <c r="F5680">
        <v>9</v>
      </c>
      <c r="G5680">
        <v>9.3000000000000007</v>
      </c>
      <c r="H5680" t="s">
        <v>2323</v>
      </c>
      <c r="I5680" s="21">
        <v>43313.546624849536</v>
      </c>
      <c r="J5680">
        <v>2018</v>
      </c>
      <c r="K5680" s="21">
        <v>43367.583859641207</v>
      </c>
      <c r="L5680">
        <v>2018</v>
      </c>
      <c r="M5680" s="21">
        <v>44154.695098576391</v>
      </c>
      <c r="N5680">
        <v>2020</v>
      </c>
      <c r="Q5680" s="262">
        <v>4500000</v>
      </c>
      <c r="R5680" s="262">
        <v>4735000</v>
      </c>
      <c r="S5680" t="s">
        <v>13254</v>
      </c>
      <c r="W5680">
        <v>11274</v>
      </c>
      <c r="X5680">
        <v>1</v>
      </c>
      <c r="AC5680">
        <v>11274</v>
      </c>
      <c r="AO5680">
        <v>1</v>
      </c>
      <c r="AU5680">
        <f t="shared" si="176"/>
        <v>1</v>
      </c>
      <c r="AV5680">
        <f t="shared" si="177"/>
        <v>0</v>
      </c>
    </row>
    <row r="5681" spans="1:48" x14ac:dyDescent="0.25">
      <c r="A5681" t="s">
        <v>19148</v>
      </c>
      <c r="B5681" t="s">
        <v>19148</v>
      </c>
      <c r="C5681" t="s">
        <v>19149</v>
      </c>
      <c r="D5681" t="s">
        <v>19150</v>
      </c>
      <c r="E5681" t="s">
        <v>2310</v>
      </c>
      <c r="F5681">
        <v>9</v>
      </c>
      <c r="G5681">
        <v>9.3000000000000007</v>
      </c>
      <c r="H5681" t="s">
        <v>2323</v>
      </c>
      <c r="I5681" s="21">
        <v>43314.45644490741</v>
      </c>
      <c r="J5681">
        <v>2018</v>
      </c>
      <c r="K5681" s="21">
        <v>43350.525932256947</v>
      </c>
      <c r="L5681">
        <v>2018</v>
      </c>
      <c r="M5681" s="21">
        <v>43794.384605011575</v>
      </c>
      <c r="N5681">
        <v>2019</v>
      </c>
      <c r="Q5681" s="262">
        <v>1250000</v>
      </c>
      <c r="R5681" s="262">
        <v>692000</v>
      </c>
      <c r="S5681" t="s">
        <v>13254</v>
      </c>
      <c r="W5681">
        <v>5604</v>
      </c>
      <c r="X5681">
        <v>1</v>
      </c>
      <c r="AC5681">
        <v>5604</v>
      </c>
      <c r="AO5681">
        <v>1</v>
      </c>
      <c r="AU5681">
        <f t="shared" si="176"/>
        <v>1</v>
      </c>
      <c r="AV5681">
        <f t="shared" si="177"/>
        <v>0</v>
      </c>
    </row>
    <row r="5682" spans="1:48" x14ac:dyDescent="0.25">
      <c r="A5682" t="s">
        <v>18537</v>
      </c>
      <c r="B5682" t="s">
        <v>18537</v>
      </c>
      <c r="C5682" t="s">
        <v>18538</v>
      </c>
      <c r="D5682" t="s">
        <v>18522</v>
      </c>
      <c r="E5682" t="s">
        <v>2310</v>
      </c>
      <c r="F5682">
        <v>9</v>
      </c>
      <c r="G5682">
        <v>9.1</v>
      </c>
      <c r="H5682" t="s">
        <v>2323</v>
      </c>
      <c r="I5682" s="21">
        <v>43314.553743518518</v>
      </c>
      <c r="J5682">
        <v>2018</v>
      </c>
      <c r="K5682" s="21">
        <v>43333.601292164349</v>
      </c>
      <c r="L5682">
        <v>2018</v>
      </c>
      <c r="M5682" s="21">
        <v>43501.517403668979</v>
      </c>
      <c r="N5682">
        <v>2019</v>
      </c>
      <c r="Q5682" s="262">
        <v>50000</v>
      </c>
      <c r="R5682" s="262">
        <v>26000</v>
      </c>
      <c r="S5682" t="s">
        <v>13253</v>
      </c>
      <c r="T5682">
        <v>5935</v>
      </c>
      <c r="W5682">
        <v>225</v>
      </c>
      <c r="X5682">
        <v>0</v>
      </c>
      <c r="AF5682">
        <v>225</v>
      </c>
      <c r="AU5682">
        <f t="shared" si="176"/>
        <v>0</v>
      </c>
      <c r="AV5682">
        <f t="shared" si="177"/>
        <v>0</v>
      </c>
    </row>
    <row r="5683" spans="1:48" x14ac:dyDescent="0.25">
      <c r="A5683" t="s">
        <v>19468</v>
      </c>
      <c r="B5683" t="s">
        <v>19468</v>
      </c>
      <c r="C5683" t="s">
        <v>19469</v>
      </c>
      <c r="D5683" t="s">
        <v>19470</v>
      </c>
      <c r="E5683" t="s">
        <v>2310</v>
      </c>
      <c r="F5683">
        <v>8</v>
      </c>
      <c r="G5683">
        <v>8.1</v>
      </c>
      <c r="H5683" t="s">
        <v>2323</v>
      </c>
      <c r="I5683" s="21">
        <v>43314.597674884259</v>
      </c>
      <c r="J5683">
        <v>2018</v>
      </c>
      <c r="K5683" s="21">
        <v>43558.570644479165</v>
      </c>
      <c r="L5683">
        <v>2019</v>
      </c>
      <c r="M5683" s="21">
        <v>44048.583605821761</v>
      </c>
      <c r="N5683">
        <v>2020</v>
      </c>
      <c r="Q5683" s="262">
        <v>1000000</v>
      </c>
      <c r="R5683" s="262">
        <v>508000</v>
      </c>
      <c r="S5683" t="s">
        <v>13254</v>
      </c>
      <c r="W5683">
        <v>4192</v>
      </c>
      <c r="X5683">
        <v>1</v>
      </c>
      <c r="AC5683">
        <v>4192</v>
      </c>
      <c r="AO5683">
        <v>1</v>
      </c>
      <c r="AU5683">
        <f t="shared" si="176"/>
        <v>1</v>
      </c>
      <c r="AV5683">
        <f t="shared" si="177"/>
        <v>0</v>
      </c>
    </row>
    <row r="5684" spans="1:48" x14ac:dyDescent="0.25">
      <c r="A5684" t="s">
        <v>19503</v>
      </c>
      <c r="B5684" t="s">
        <v>19503</v>
      </c>
      <c r="C5684" t="s">
        <v>19504</v>
      </c>
      <c r="D5684" t="s">
        <v>19505</v>
      </c>
      <c r="E5684" t="s">
        <v>2310</v>
      </c>
      <c r="F5684">
        <v>9</v>
      </c>
      <c r="G5684">
        <v>9.1</v>
      </c>
      <c r="H5684" t="s">
        <v>2323</v>
      </c>
      <c r="I5684" s="21">
        <v>43315.350858020836</v>
      </c>
      <c r="J5684">
        <v>2018</v>
      </c>
      <c r="K5684" s="21">
        <v>43355.60822908565</v>
      </c>
      <c r="L5684">
        <v>2018</v>
      </c>
      <c r="M5684" s="21">
        <v>44070.582102465276</v>
      </c>
      <c r="N5684">
        <v>2020</v>
      </c>
      <c r="Q5684" s="262">
        <v>5286303</v>
      </c>
      <c r="R5684" s="262">
        <v>1018000</v>
      </c>
      <c r="S5684" t="s">
        <v>13254</v>
      </c>
      <c r="W5684">
        <v>6309</v>
      </c>
      <c r="X5684">
        <v>1</v>
      </c>
      <c r="AC5684">
        <v>6309</v>
      </c>
      <c r="AO5684">
        <v>1</v>
      </c>
      <c r="AU5684">
        <f t="shared" si="176"/>
        <v>1</v>
      </c>
      <c r="AV5684">
        <f t="shared" si="177"/>
        <v>0</v>
      </c>
    </row>
    <row r="5685" spans="1:48" x14ac:dyDescent="0.25">
      <c r="A5685" t="s">
        <v>18922</v>
      </c>
      <c r="B5685" t="s">
        <v>18922</v>
      </c>
      <c r="C5685" t="s">
        <v>18923</v>
      </c>
      <c r="D5685" t="s">
        <v>18924</v>
      </c>
      <c r="E5685" t="s">
        <v>2310</v>
      </c>
      <c r="F5685">
        <v>9</v>
      </c>
      <c r="G5685">
        <v>9.1</v>
      </c>
      <c r="H5685" t="s">
        <v>2323</v>
      </c>
      <c r="I5685" s="21">
        <v>43319.47500489583</v>
      </c>
      <c r="J5685">
        <v>2018</v>
      </c>
      <c r="K5685" s="21">
        <v>43363.491200775461</v>
      </c>
      <c r="L5685">
        <v>2018</v>
      </c>
      <c r="M5685" s="21">
        <v>43675.389798993056</v>
      </c>
      <c r="N5685">
        <v>2019</v>
      </c>
      <c r="Q5685" s="262">
        <v>900000</v>
      </c>
      <c r="R5685" s="262">
        <v>323000</v>
      </c>
      <c r="S5685" t="s">
        <v>13254</v>
      </c>
      <c r="W5685">
        <v>3124</v>
      </c>
      <c r="X5685">
        <v>1</v>
      </c>
      <c r="AC5685">
        <v>3124</v>
      </c>
      <c r="AO5685">
        <v>1</v>
      </c>
      <c r="AU5685">
        <f t="shared" si="176"/>
        <v>1</v>
      </c>
      <c r="AV5685">
        <f t="shared" si="177"/>
        <v>0</v>
      </c>
    </row>
    <row r="5686" spans="1:48" x14ac:dyDescent="0.25">
      <c r="A5686" t="s">
        <v>13945</v>
      </c>
      <c r="C5686" t="s">
        <v>13946</v>
      </c>
      <c r="D5686" t="s">
        <v>11238</v>
      </c>
      <c r="E5686" t="s">
        <v>1663</v>
      </c>
      <c r="F5686">
        <v>2</v>
      </c>
      <c r="G5686">
        <v>2.1</v>
      </c>
      <c r="H5686" t="s">
        <v>2327</v>
      </c>
      <c r="I5686" s="21">
        <v>43321</v>
      </c>
      <c r="J5686">
        <v>2018</v>
      </c>
      <c r="K5686" s="21">
        <v>43376</v>
      </c>
      <c r="L5686">
        <v>2018</v>
      </c>
      <c r="M5686" s="21">
        <v>44511</v>
      </c>
      <c r="N5686">
        <v>2021</v>
      </c>
      <c r="Q5686" s="262">
        <v>20000</v>
      </c>
      <c r="S5686" t="s">
        <v>114</v>
      </c>
      <c r="T5686" t="s">
        <v>114</v>
      </c>
      <c r="W5686">
        <v>0</v>
      </c>
      <c r="X5686">
        <v>0</v>
      </c>
      <c r="AU5686">
        <f t="shared" si="176"/>
        <v>0</v>
      </c>
      <c r="AV5686">
        <f t="shared" si="177"/>
        <v>0</v>
      </c>
    </row>
    <row r="5687" spans="1:48" x14ac:dyDescent="0.25">
      <c r="A5687" t="s">
        <v>19213</v>
      </c>
      <c r="B5687" t="s">
        <v>19213</v>
      </c>
      <c r="C5687" t="s">
        <v>19214</v>
      </c>
      <c r="D5687" t="s">
        <v>5732</v>
      </c>
      <c r="E5687" t="s">
        <v>2310</v>
      </c>
      <c r="F5687">
        <v>9</v>
      </c>
      <c r="G5687">
        <v>9.3000000000000007</v>
      </c>
      <c r="H5687" t="s">
        <v>2323</v>
      </c>
      <c r="I5687" s="21">
        <v>43321.446140706015</v>
      </c>
      <c r="J5687">
        <v>2018</v>
      </c>
      <c r="K5687" s="21">
        <v>43382.666534918979</v>
      </c>
      <c r="L5687">
        <v>2018</v>
      </c>
      <c r="M5687" s="21">
        <v>43853.365441747686</v>
      </c>
      <c r="N5687">
        <v>2020</v>
      </c>
      <c r="Q5687" s="262">
        <v>295000</v>
      </c>
      <c r="R5687" s="262">
        <v>13000</v>
      </c>
      <c r="S5687" t="s">
        <v>13254</v>
      </c>
      <c r="W5687">
        <v>286</v>
      </c>
      <c r="X5687">
        <v>0</v>
      </c>
      <c r="AC5687">
        <v>286</v>
      </c>
      <c r="AU5687">
        <f t="shared" si="176"/>
        <v>0</v>
      </c>
      <c r="AV5687">
        <f t="shared" si="177"/>
        <v>0</v>
      </c>
    </row>
    <row r="5688" spans="1:48" x14ac:dyDescent="0.25">
      <c r="A5688" t="s">
        <v>13947</v>
      </c>
      <c r="C5688" t="s">
        <v>13948</v>
      </c>
      <c r="D5688" t="s">
        <v>13949</v>
      </c>
      <c r="E5688" t="s">
        <v>1663</v>
      </c>
      <c r="F5688">
        <v>3</v>
      </c>
      <c r="G5688">
        <v>3.2</v>
      </c>
      <c r="H5688" t="s">
        <v>2327</v>
      </c>
      <c r="I5688" s="21">
        <v>43325</v>
      </c>
      <c r="J5688">
        <v>2018</v>
      </c>
      <c r="K5688" s="21">
        <v>43434</v>
      </c>
      <c r="L5688">
        <v>2018</v>
      </c>
      <c r="M5688" s="21">
        <v>44028</v>
      </c>
      <c r="N5688">
        <v>2020</v>
      </c>
      <c r="Q5688" s="262">
        <v>1800000</v>
      </c>
      <c r="S5688" t="s">
        <v>114</v>
      </c>
      <c r="T5688" t="s">
        <v>114</v>
      </c>
      <c r="W5688">
        <v>0</v>
      </c>
      <c r="X5688">
        <v>0</v>
      </c>
      <c r="AU5688">
        <f t="shared" si="176"/>
        <v>0</v>
      </c>
      <c r="AV5688">
        <f t="shared" si="177"/>
        <v>0</v>
      </c>
    </row>
    <row r="5689" spans="1:48" x14ac:dyDescent="0.25">
      <c r="A5689" t="s">
        <v>19641</v>
      </c>
      <c r="B5689" t="s">
        <v>19641</v>
      </c>
      <c r="C5689" t="s">
        <v>19642</v>
      </c>
      <c r="D5689" t="s">
        <v>19643</v>
      </c>
      <c r="E5689" t="s">
        <v>2310</v>
      </c>
      <c r="F5689">
        <v>9</v>
      </c>
      <c r="G5689">
        <v>9.1</v>
      </c>
      <c r="H5689" t="s">
        <v>2323</v>
      </c>
      <c r="I5689" s="21">
        <v>43325.578269594909</v>
      </c>
      <c r="J5689">
        <v>2018</v>
      </c>
      <c r="K5689" s="21">
        <v>43605.681833333336</v>
      </c>
      <c r="L5689">
        <v>2019</v>
      </c>
      <c r="M5689" s="21">
        <v>44188.362354745368</v>
      </c>
      <c r="N5689">
        <v>2020</v>
      </c>
      <c r="Q5689" s="262">
        <v>800000</v>
      </c>
      <c r="R5689" s="262">
        <v>373000</v>
      </c>
      <c r="S5689" t="s">
        <v>13254</v>
      </c>
      <c r="W5689">
        <v>2672</v>
      </c>
      <c r="X5689">
        <v>1</v>
      </c>
      <c r="AC5689">
        <v>2672</v>
      </c>
      <c r="AO5689">
        <v>1</v>
      </c>
      <c r="AU5689">
        <f t="shared" si="176"/>
        <v>1</v>
      </c>
      <c r="AV5689">
        <f t="shared" si="177"/>
        <v>0</v>
      </c>
    </row>
    <row r="5690" spans="1:48" x14ac:dyDescent="0.25">
      <c r="A5690" t="s">
        <v>13950</v>
      </c>
      <c r="C5690" t="s">
        <v>11237</v>
      </c>
      <c r="D5690" t="s">
        <v>3370</v>
      </c>
      <c r="E5690" t="s">
        <v>1663</v>
      </c>
      <c r="F5690">
        <v>6</v>
      </c>
      <c r="G5690">
        <v>6.1</v>
      </c>
      <c r="H5690" t="s">
        <v>2017</v>
      </c>
      <c r="I5690" s="21">
        <v>43326</v>
      </c>
      <c r="J5690">
        <v>2018</v>
      </c>
      <c r="K5690" s="21">
        <v>43343</v>
      </c>
      <c r="L5690">
        <v>2018</v>
      </c>
      <c r="P5690" s="21">
        <v>44054</v>
      </c>
      <c r="Q5690" s="262">
        <v>20000</v>
      </c>
      <c r="S5690" t="s">
        <v>114</v>
      </c>
      <c r="T5690" t="s">
        <v>114</v>
      </c>
      <c r="W5690">
        <v>0</v>
      </c>
      <c r="X5690">
        <v>0</v>
      </c>
      <c r="AU5690">
        <f t="shared" si="176"/>
        <v>0</v>
      </c>
      <c r="AV5690">
        <f t="shared" si="177"/>
        <v>0</v>
      </c>
    </row>
    <row r="5691" spans="1:48" x14ac:dyDescent="0.25">
      <c r="A5691" t="s">
        <v>19320</v>
      </c>
      <c r="B5691" t="s">
        <v>114</v>
      </c>
      <c r="C5691" t="s">
        <v>11246</v>
      </c>
      <c r="D5691" t="s">
        <v>19321</v>
      </c>
      <c r="E5691" t="s">
        <v>1663</v>
      </c>
      <c r="F5691">
        <v>6</v>
      </c>
      <c r="G5691">
        <v>6.1</v>
      </c>
      <c r="H5691" t="s">
        <v>2017</v>
      </c>
      <c r="I5691" s="21">
        <v>43328</v>
      </c>
      <c r="J5691">
        <v>2018</v>
      </c>
      <c r="K5691" s="21">
        <v>43409</v>
      </c>
      <c r="L5691">
        <v>2018</v>
      </c>
      <c r="M5691" s="21">
        <v>43965</v>
      </c>
      <c r="N5691">
        <v>2020</v>
      </c>
      <c r="Q5691" s="262">
        <v>1600000</v>
      </c>
      <c r="S5691" t="s">
        <v>13254</v>
      </c>
      <c r="W5691">
        <v>4654</v>
      </c>
      <c r="X5691">
        <v>1</v>
      </c>
      <c r="AC5691">
        <v>4654</v>
      </c>
      <c r="AO5691">
        <v>1</v>
      </c>
      <c r="AU5691">
        <f t="shared" si="176"/>
        <v>1</v>
      </c>
      <c r="AV5691">
        <f t="shared" si="177"/>
        <v>0</v>
      </c>
    </row>
    <row r="5692" spans="1:48" x14ac:dyDescent="0.25">
      <c r="A5692" t="s">
        <v>20068</v>
      </c>
      <c r="B5692" t="s">
        <v>20068</v>
      </c>
      <c r="C5692" t="s">
        <v>20069</v>
      </c>
      <c r="D5692" t="s">
        <v>20067</v>
      </c>
      <c r="E5692" t="s">
        <v>2310</v>
      </c>
      <c r="F5692">
        <v>9</v>
      </c>
      <c r="G5692">
        <v>9.3000000000000007</v>
      </c>
      <c r="H5692" t="s">
        <v>2323</v>
      </c>
      <c r="I5692" s="21">
        <v>43328.607873958303</v>
      </c>
      <c r="J5692">
        <v>2018</v>
      </c>
      <c r="K5692" s="21">
        <v>43369.701842557901</v>
      </c>
      <c r="L5692">
        <v>2018</v>
      </c>
      <c r="M5692" s="21">
        <v>44467</v>
      </c>
      <c r="N5692">
        <v>2021</v>
      </c>
      <c r="Q5692" s="262">
        <v>820000</v>
      </c>
      <c r="R5692" s="262">
        <v>113000</v>
      </c>
      <c r="S5692" t="s">
        <v>13254</v>
      </c>
      <c r="U5692">
        <v>8</v>
      </c>
      <c r="W5692">
        <v>1000</v>
      </c>
      <c r="X5692">
        <v>1</v>
      </c>
      <c r="AF5692">
        <v>1000</v>
      </c>
      <c r="AR5692">
        <v>1</v>
      </c>
      <c r="AU5692">
        <f t="shared" si="176"/>
        <v>0</v>
      </c>
      <c r="AV5692">
        <f t="shared" si="177"/>
        <v>0</v>
      </c>
    </row>
    <row r="5693" spans="1:48" x14ac:dyDescent="0.25">
      <c r="A5693" t="s">
        <v>19637</v>
      </c>
      <c r="B5693" t="s">
        <v>19637</v>
      </c>
      <c r="C5693" t="s">
        <v>19638</v>
      </c>
      <c r="D5693" t="s">
        <v>18225</v>
      </c>
      <c r="E5693" t="s">
        <v>2310</v>
      </c>
      <c r="F5693">
        <v>9</v>
      </c>
      <c r="G5693">
        <v>9.1</v>
      </c>
      <c r="H5693" t="s">
        <v>2323</v>
      </c>
      <c r="I5693" s="21">
        <v>43333.642569062496</v>
      </c>
      <c r="J5693">
        <v>2018</v>
      </c>
      <c r="K5693" s="21">
        <v>43517.417602314817</v>
      </c>
      <c r="L5693">
        <v>2019</v>
      </c>
      <c r="M5693" s="21">
        <v>44186.423480671299</v>
      </c>
      <c r="N5693">
        <v>2020</v>
      </c>
      <c r="Q5693" s="262">
        <v>500000</v>
      </c>
      <c r="R5693" s="262">
        <v>251000</v>
      </c>
      <c r="S5693" t="s">
        <v>13254</v>
      </c>
      <c r="W5693">
        <v>2225</v>
      </c>
      <c r="X5693">
        <v>1</v>
      </c>
      <c r="AC5693">
        <v>2225</v>
      </c>
      <c r="AO5693">
        <v>1</v>
      </c>
      <c r="AU5693">
        <f t="shared" si="176"/>
        <v>1</v>
      </c>
      <c r="AV5693">
        <f t="shared" si="177"/>
        <v>0</v>
      </c>
    </row>
    <row r="5694" spans="1:48" x14ac:dyDescent="0.25">
      <c r="A5694" t="s">
        <v>19639</v>
      </c>
      <c r="B5694" t="s">
        <v>19639</v>
      </c>
      <c r="C5694" t="s">
        <v>19640</v>
      </c>
      <c r="D5694" t="s">
        <v>18225</v>
      </c>
      <c r="E5694" t="s">
        <v>2310</v>
      </c>
      <c r="F5694">
        <v>9</v>
      </c>
      <c r="G5694">
        <v>9.1</v>
      </c>
      <c r="H5694" t="s">
        <v>2323</v>
      </c>
      <c r="I5694" s="21">
        <v>43333.65721380787</v>
      </c>
      <c r="J5694">
        <v>2018</v>
      </c>
      <c r="K5694" s="21">
        <v>43517.418628738429</v>
      </c>
      <c r="L5694">
        <v>2019</v>
      </c>
      <c r="M5694" s="21">
        <v>44186.429479016202</v>
      </c>
      <c r="N5694">
        <v>2020</v>
      </c>
      <c r="Q5694" s="262">
        <v>100000</v>
      </c>
      <c r="R5694" s="262">
        <v>15000</v>
      </c>
      <c r="S5694" t="s">
        <v>13254</v>
      </c>
      <c r="W5694">
        <v>325</v>
      </c>
      <c r="X5694">
        <v>0</v>
      </c>
      <c r="AC5694">
        <v>325</v>
      </c>
      <c r="AU5694">
        <f t="shared" si="176"/>
        <v>0</v>
      </c>
      <c r="AV5694">
        <f t="shared" si="177"/>
        <v>0</v>
      </c>
    </row>
    <row r="5695" spans="1:48" x14ac:dyDescent="0.25">
      <c r="A5695" t="s">
        <v>13951</v>
      </c>
      <c r="C5695" t="s">
        <v>13054</v>
      </c>
      <c r="D5695" t="s">
        <v>6096</v>
      </c>
      <c r="E5695" t="s">
        <v>1663</v>
      </c>
      <c r="F5695">
        <v>6</v>
      </c>
      <c r="G5695">
        <v>6.1</v>
      </c>
      <c r="H5695" t="s">
        <v>2017</v>
      </c>
      <c r="I5695" s="21">
        <v>43334</v>
      </c>
      <c r="J5695">
        <v>2018</v>
      </c>
      <c r="K5695" s="21">
        <v>43655</v>
      </c>
      <c r="L5695">
        <v>2019</v>
      </c>
      <c r="M5695" s="21">
        <v>44511</v>
      </c>
      <c r="N5695">
        <v>2021</v>
      </c>
      <c r="Q5695" s="262">
        <v>185000</v>
      </c>
      <c r="S5695" t="s">
        <v>114</v>
      </c>
      <c r="T5695" t="s">
        <v>114</v>
      </c>
      <c r="W5695">
        <v>0</v>
      </c>
      <c r="X5695">
        <v>0</v>
      </c>
      <c r="AU5695">
        <f t="shared" si="176"/>
        <v>0</v>
      </c>
      <c r="AV5695">
        <f t="shared" si="177"/>
        <v>0</v>
      </c>
    </row>
    <row r="5696" spans="1:48" x14ac:dyDescent="0.25">
      <c r="A5696" t="s">
        <v>18825</v>
      </c>
      <c r="B5696" t="s">
        <v>114</v>
      </c>
      <c r="C5696" t="s">
        <v>18826</v>
      </c>
      <c r="D5696" t="s">
        <v>8465</v>
      </c>
      <c r="E5696" t="s">
        <v>1663</v>
      </c>
      <c r="F5696">
        <v>3</v>
      </c>
      <c r="G5696">
        <v>3.2</v>
      </c>
      <c r="H5696" t="s">
        <v>2327</v>
      </c>
      <c r="I5696" s="21">
        <v>43334</v>
      </c>
      <c r="J5696">
        <v>2018</v>
      </c>
      <c r="K5696" s="21">
        <v>43385</v>
      </c>
      <c r="L5696">
        <v>2018</v>
      </c>
      <c r="M5696" s="21">
        <v>43634</v>
      </c>
      <c r="N5696">
        <v>2019</v>
      </c>
      <c r="Q5696" s="262">
        <v>600000</v>
      </c>
      <c r="S5696" t="s">
        <v>13254</v>
      </c>
      <c r="W5696">
        <v>236</v>
      </c>
      <c r="X5696">
        <v>1</v>
      </c>
      <c r="AI5696">
        <v>236</v>
      </c>
      <c r="AT5696">
        <v>1</v>
      </c>
      <c r="AU5696">
        <f t="shared" si="176"/>
        <v>0</v>
      </c>
      <c r="AV5696">
        <f t="shared" si="177"/>
        <v>236</v>
      </c>
    </row>
    <row r="5697" spans="1:48" x14ac:dyDescent="0.25">
      <c r="A5697" t="s">
        <v>18825</v>
      </c>
      <c r="B5697" t="s">
        <v>114</v>
      </c>
      <c r="C5697" t="s">
        <v>18826</v>
      </c>
      <c r="D5697" t="s">
        <v>8465</v>
      </c>
      <c r="E5697" t="s">
        <v>1663</v>
      </c>
      <c r="F5697">
        <v>3</v>
      </c>
      <c r="G5697">
        <v>3.2</v>
      </c>
      <c r="H5697" t="s">
        <v>2327</v>
      </c>
      <c r="I5697" s="21">
        <v>43334</v>
      </c>
      <c r="J5697">
        <v>2018</v>
      </c>
      <c r="K5697" s="21">
        <v>43385</v>
      </c>
      <c r="L5697">
        <v>2018</v>
      </c>
      <c r="M5697" s="21">
        <v>43634</v>
      </c>
      <c r="N5697">
        <v>2019</v>
      </c>
      <c r="Q5697" s="262">
        <v>600000</v>
      </c>
      <c r="S5697" t="s">
        <v>13254</v>
      </c>
      <c r="W5697">
        <v>236</v>
      </c>
      <c r="X5697">
        <v>1</v>
      </c>
      <c r="AI5697">
        <v>236</v>
      </c>
      <c r="AT5697">
        <v>1</v>
      </c>
      <c r="AU5697">
        <f t="shared" si="176"/>
        <v>0</v>
      </c>
      <c r="AV5697">
        <f t="shared" si="177"/>
        <v>236</v>
      </c>
    </row>
    <row r="5698" spans="1:48" x14ac:dyDescent="0.25">
      <c r="A5698" t="s">
        <v>18825</v>
      </c>
      <c r="B5698" t="s">
        <v>114</v>
      </c>
      <c r="C5698" t="s">
        <v>18826</v>
      </c>
      <c r="D5698" t="s">
        <v>8465</v>
      </c>
      <c r="E5698" t="s">
        <v>1663</v>
      </c>
      <c r="F5698">
        <v>3</v>
      </c>
      <c r="G5698">
        <v>3.2</v>
      </c>
      <c r="H5698" t="s">
        <v>2327</v>
      </c>
      <c r="I5698" s="21">
        <v>43334</v>
      </c>
      <c r="J5698">
        <v>2018</v>
      </c>
      <c r="K5698" s="21">
        <v>43385</v>
      </c>
      <c r="L5698">
        <v>2018</v>
      </c>
      <c r="M5698" s="21">
        <v>43634</v>
      </c>
      <c r="N5698">
        <v>2019</v>
      </c>
      <c r="Q5698" s="262">
        <v>600000</v>
      </c>
      <c r="S5698" t="s">
        <v>13254</v>
      </c>
      <c r="W5698">
        <v>236</v>
      </c>
      <c r="X5698">
        <v>1</v>
      </c>
      <c r="AI5698">
        <v>236</v>
      </c>
      <c r="AT5698">
        <v>1</v>
      </c>
      <c r="AU5698">
        <f t="shared" si="176"/>
        <v>0</v>
      </c>
      <c r="AV5698">
        <f t="shared" si="177"/>
        <v>236</v>
      </c>
    </row>
    <row r="5699" spans="1:48" x14ac:dyDescent="0.25">
      <c r="A5699" t="s">
        <v>18825</v>
      </c>
      <c r="B5699" t="s">
        <v>114</v>
      </c>
      <c r="C5699" t="s">
        <v>18826</v>
      </c>
      <c r="D5699" t="s">
        <v>8465</v>
      </c>
      <c r="E5699" t="s">
        <v>1663</v>
      </c>
      <c r="F5699">
        <v>3</v>
      </c>
      <c r="G5699">
        <v>3.2</v>
      </c>
      <c r="H5699" t="s">
        <v>2327</v>
      </c>
      <c r="I5699" s="21">
        <v>43334</v>
      </c>
      <c r="J5699">
        <v>2018</v>
      </c>
      <c r="K5699" s="21">
        <v>43385</v>
      </c>
      <c r="L5699">
        <v>2018</v>
      </c>
      <c r="M5699" s="21">
        <v>43634</v>
      </c>
      <c r="N5699">
        <v>2019</v>
      </c>
      <c r="Q5699" s="262">
        <v>600000</v>
      </c>
      <c r="S5699" t="s">
        <v>13253</v>
      </c>
      <c r="T5699">
        <v>11724</v>
      </c>
      <c r="V5699">
        <v>312</v>
      </c>
      <c r="W5699">
        <v>-76</v>
      </c>
      <c r="X5699">
        <v>0</v>
      </c>
      <c r="AI5699">
        <v>-76</v>
      </c>
      <c r="AU5699">
        <f t="shared" si="176"/>
        <v>0</v>
      </c>
      <c r="AV5699">
        <f t="shared" si="177"/>
        <v>-76</v>
      </c>
    </row>
    <row r="5700" spans="1:48" x14ac:dyDescent="0.25">
      <c r="A5700" t="s">
        <v>18825</v>
      </c>
      <c r="B5700" t="s">
        <v>114</v>
      </c>
      <c r="C5700" t="s">
        <v>18826</v>
      </c>
      <c r="D5700" t="s">
        <v>8465</v>
      </c>
      <c r="E5700" t="s">
        <v>1663</v>
      </c>
      <c r="F5700">
        <v>3</v>
      </c>
      <c r="G5700">
        <v>3.2</v>
      </c>
      <c r="H5700" t="s">
        <v>2327</v>
      </c>
      <c r="I5700" s="21">
        <v>43334</v>
      </c>
      <c r="J5700">
        <v>2018</v>
      </c>
      <c r="K5700" s="21">
        <v>43385</v>
      </c>
      <c r="L5700">
        <v>2018</v>
      </c>
      <c r="M5700" s="21">
        <v>43634</v>
      </c>
      <c r="N5700">
        <v>2019</v>
      </c>
      <c r="Q5700" s="262">
        <v>600000</v>
      </c>
      <c r="S5700" t="s">
        <v>13253</v>
      </c>
      <c r="T5700">
        <v>11725</v>
      </c>
      <c r="V5700">
        <v>312</v>
      </c>
      <c r="W5700">
        <v>-76</v>
      </c>
      <c r="X5700">
        <v>0</v>
      </c>
      <c r="AI5700">
        <v>-76</v>
      </c>
      <c r="AU5700">
        <f t="shared" si="176"/>
        <v>0</v>
      </c>
      <c r="AV5700">
        <f t="shared" si="177"/>
        <v>-76</v>
      </c>
    </row>
    <row r="5701" spans="1:48" x14ac:dyDescent="0.25">
      <c r="A5701" t="s">
        <v>18825</v>
      </c>
      <c r="B5701" t="s">
        <v>114</v>
      </c>
      <c r="C5701" t="s">
        <v>18826</v>
      </c>
      <c r="D5701" t="s">
        <v>8465</v>
      </c>
      <c r="E5701" t="s">
        <v>1663</v>
      </c>
      <c r="F5701">
        <v>3</v>
      </c>
      <c r="G5701">
        <v>3.2</v>
      </c>
      <c r="H5701" t="s">
        <v>2327</v>
      </c>
      <c r="I5701" s="21">
        <v>43334</v>
      </c>
      <c r="J5701">
        <v>2018</v>
      </c>
      <c r="K5701" s="21">
        <v>43385</v>
      </c>
      <c r="L5701">
        <v>2018</v>
      </c>
      <c r="M5701" s="21">
        <v>43634</v>
      </c>
      <c r="N5701">
        <v>2019</v>
      </c>
      <c r="Q5701" s="262">
        <v>600000</v>
      </c>
      <c r="S5701" t="s">
        <v>13253</v>
      </c>
      <c r="T5701">
        <v>11726</v>
      </c>
      <c r="V5701">
        <v>312</v>
      </c>
      <c r="W5701">
        <v>-76</v>
      </c>
      <c r="X5701">
        <v>0</v>
      </c>
      <c r="AI5701">
        <v>-76</v>
      </c>
      <c r="AU5701">
        <f t="shared" si="176"/>
        <v>0</v>
      </c>
      <c r="AV5701">
        <f t="shared" si="177"/>
        <v>-76</v>
      </c>
    </row>
    <row r="5702" spans="1:48" x14ac:dyDescent="0.25">
      <c r="A5702" t="s">
        <v>18825</v>
      </c>
      <c r="B5702" t="s">
        <v>114</v>
      </c>
      <c r="C5702" t="s">
        <v>18826</v>
      </c>
      <c r="D5702" t="s">
        <v>8465</v>
      </c>
      <c r="E5702" t="s">
        <v>1663</v>
      </c>
      <c r="F5702">
        <v>3</v>
      </c>
      <c r="G5702">
        <v>3.2</v>
      </c>
      <c r="H5702" t="s">
        <v>2327</v>
      </c>
      <c r="I5702" s="21">
        <v>43334</v>
      </c>
      <c r="J5702">
        <v>2018</v>
      </c>
      <c r="K5702" s="21">
        <v>43385</v>
      </c>
      <c r="L5702">
        <v>2018</v>
      </c>
      <c r="M5702" s="21">
        <v>43634</v>
      </c>
      <c r="N5702">
        <v>2019</v>
      </c>
      <c r="Q5702" s="262">
        <v>600000</v>
      </c>
      <c r="S5702" t="s">
        <v>13253</v>
      </c>
      <c r="T5702">
        <v>11727</v>
      </c>
      <c r="V5702">
        <v>312</v>
      </c>
      <c r="W5702">
        <v>-76</v>
      </c>
      <c r="X5702">
        <v>0</v>
      </c>
      <c r="AI5702">
        <v>-76</v>
      </c>
      <c r="AU5702">
        <f t="shared" si="176"/>
        <v>0</v>
      </c>
      <c r="AV5702">
        <f t="shared" si="177"/>
        <v>-76</v>
      </c>
    </row>
    <row r="5703" spans="1:48" x14ac:dyDescent="0.25">
      <c r="A5703" t="s">
        <v>18825</v>
      </c>
      <c r="B5703" t="s">
        <v>114</v>
      </c>
      <c r="C5703" t="s">
        <v>18826</v>
      </c>
      <c r="D5703" t="s">
        <v>8465</v>
      </c>
      <c r="E5703" t="s">
        <v>1663</v>
      </c>
      <c r="F5703">
        <v>3</v>
      </c>
      <c r="G5703">
        <v>3.2</v>
      </c>
      <c r="H5703" t="s">
        <v>2327</v>
      </c>
      <c r="I5703" s="21">
        <v>43334</v>
      </c>
      <c r="J5703">
        <v>2018</v>
      </c>
      <c r="K5703" s="21">
        <v>43385</v>
      </c>
      <c r="L5703">
        <v>2018</v>
      </c>
      <c r="M5703" s="21">
        <v>43634</v>
      </c>
      <c r="N5703">
        <v>2019</v>
      </c>
      <c r="Q5703" s="262">
        <v>600000</v>
      </c>
      <c r="S5703" t="s">
        <v>13253</v>
      </c>
      <c r="T5703">
        <v>11728</v>
      </c>
      <c r="V5703">
        <v>312</v>
      </c>
      <c r="W5703">
        <v>-76</v>
      </c>
      <c r="X5703">
        <v>0</v>
      </c>
      <c r="AI5703">
        <v>-76</v>
      </c>
      <c r="AU5703">
        <f t="shared" si="176"/>
        <v>0</v>
      </c>
      <c r="AV5703">
        <f t="shared" si="177"/>
        <v>-76</v>
      </c>
    </row>
    <row r="5704" spans="1:48" x14ac:dyDescent="0.25">
      <c r="A5704" t="s">
        <v>18825</v>
      </c>
      <c r="B5704" t="s">
        <v>114</v>
      </c>
      <c r="C5704" t="s">
        <v>18826</v>
      </c>
      <c r="D5704" t="s">
        <v>8465</v>
      </c>
      <c r="E5704" t="s">
        <v>1663</v>
      </c>
      <c r="F5704">
        <v>3</v>
      </c>
      <c r="G5704">
        <v>3.2</v>
      </c>
      <c r="H5704" t="s">
        <v>2327</v>
      </c>
      <c r="I5704" s="21">
        <v>43334</v>
      </c>
      <c r="J5704">
        <v>2018</v>
      </c>
      <c r="K5704" s="21">
        <v>43385</v>
      </c>
      <c r="L5704">
        <v>2018</v>
      </c>
      <c r="M5704" s="21">
        <v>43634</v>
      </c>
      <c r="N5704">
        <v>2019</v>
      </c>
      <c r="Q5704" s="262">
        <v>600000</v>
      </c>
      <c r="S5704" t="s">
        <v>13253</v>
      </c>
      <c r="T5704">
        <v>11729</v>
      </c>
      <c r="V5704">
        <v>312</v>
      </c>
      <c r="W5704">
        <v>-76</v>
      </c>
      <c r="X5704">
        <v>0</v>
      </c>
      <c r="AI5704">
        <v>-76</v>
      </c>
      <c r="AU5704">
        <f t="shared" si="176"/>
        <v>0</v>
      </c>
      <c r="AV5704">
        <f t="shared" si="177"/>
        <v>-76</v>
      </c>
    </row>
    <row r="5705" spans="1:48" x14ac:dyDescent="0.25">
      <c r="A5705" t="s">
        <v>19644</v>
      </c>
      <c r="B5705" t="s">
        <v>19644</v>
      </c>
      <c r="C5705" t="s">
        <v>19645</v>
      </c>
      <c r="D5705" t="s">
        <v>19643</v>
      </c>
      <c r="E5705" t="s">
        <v>2310</v>
      </c>
      <c r="F5705">
        <v>9</v>
      </c>
      <c r="G5705">
        <v>9.1</v>
      </c>
      <c r="H5705" t="s">
        <v>2323</v>
      </c>
      <c r="I5705" s="21">
        <v>43334.564421643518</v>
      </c>
      <c r="J5705">
        <v>2018</v>
      </c>
      <c r="K5705" s="21">
        <v>43605.683328819447</v>
      </c>
      <c r="L5705">
        <v>2019</v>
      </c>
      <c r="M5705" s="21">
        <v>44188.367421331015</v>
      </c>
      <c r="N5705">
        <v>2020</v>
      </c>
      <c r="Q5705" s="262">
        <v>800000</v>
      </c>
      <c r="R5705" s="262">
        <v>62000</v>
      </c>
      <c r="S5705" t="s">
        <v>13254</v>
      </c>
      <c r="W5705">
        <v>1378</v>
      </c>
      <c r="X5705">
        <v>0</v>
      </c>
      <c r="AC5705">
        <v>1378</v>
      </c>
      <c r="AU5705">
        <f t="shared" si="176"/>
        <v>0</v>
      </c>
      <c r="AV5705">
        <f t="shared" si="177"/>
        <v>0</v>
      </c>
    </row>
    <row r="5706" spans="1:48" x14ac:dyDescent="0.25">
      <c r="A5706" t="s">
        <v>19823</v>
      </c>
      <c r="B5706" t="s">
        <v>19823</v>
      </c>
      <c r="C5706" t="s">
        <v>19824</v>
      </c>
      <c r="D5706" t="s">
        <v>16971</v>
      </c>
      <c r="E5706" t="s">
        <v>2310</v>
      </c>
      <c r="F5706">
        <v>15</v>
      </c>
      <c r="G5706">
        <v>15.2</v>
      </c>
      <c r="H5706" t="s">
        <v>2323</v>
      </c>
      <c r="I5706" s="21">
        <v>43335.379868286996</v>
      </c>
      <c r="J5706">
        <v>2018</v>
      </c>
      <c r="K5706" s="21">
        <v>43376.591810567101</v>
      </c>
      <c r="L5706">
        <v>2018</v>
      </c>
      <c r="M5706" s="21">
        <v>44279</v>
      </c>
      <c r="N5706">
        <v>2021</v>
      </c>
      <c r="R5706" s="262">
        <v>247000</v>
      </c>
      <c r="S5706" t="s">
        <v>13254</v>
      </c>
      <c r="U5706">
        <v>5</v>
      </c>
      <c r="W5706">
        <v>4625</v>
      </c>
      <c r="X5706">
        <v>0</v>
      </c>
      <c r="AC5706">
        <v>4625</v>
      </c>
      <c r="AU5706">
        <f t="shared" si="176"/>
        <v>0</v>
      </c>
      <c r="AV5706">
        <f t="shared" si="177"/>
        <v>0</v>
      </c>
    </row>
    <row r="5707" spans="1:48" x14ac:dyDescent="0.25">
      <c r="A5707" t="s">
        <v>18988</v>
      </c>
      <c r="B5707" t="s">
        <v>18988</v>
      </c>
      <c r="C5707" t="s">
        <v>18989</v>
      </c>
      <c r="D5707" t="s">
        <v>1748</v>
      </c>
      <c r="E5707" t="s">
        <v>2310</v>
      </c>
      <c r="F5707">
        <v>8</v>
      </c>
      <c r="G5707">
        <v>8.1</v>
      </c>
      <c r="H5707" t="s">
        <v>2323</v>
      </c>
      <c r="I5707" s="21">
        <v>43335.568783645831</v>
      </c>
      <c r="J5707">
        <v>2018</v>
      </c>
      <c r="K5707" s="21">
        <v>43367.44651238426</v>
      </c>
      <c r="L5707">
        <v>2018</v>
      </c>
      <c r="M5707" s="21">
        <v>43699.470824456017</v>
      </c>
      <c r="N5707">
        <v>2019</v>
      </c>
      <c r="Q5707" s="262">
        <v>375000</v>
      </c>
      <c r="R5707" s="262">
        <v>109000</v>
      </c>
      <c r="S5707" t="s">
        <v>13254</v>
      </c>
      <c r="W5707">
        <v>961</v>
      </c>
      <c r="X5707">
        <v>1</v>
      </c>
      <c r="AF5707">
        <v>961</v>
      </c>
      <c r="AR5707">
        <v>1</v>
      </c>
      <c r="AU5707">
        <f t="shared" si="176"/>
        <v>0</v>
      </c>
      <c r="AV5707">
        <f t="shared" si="177"/>
        <v>0</v>
      </c>
    </row>
    <row r="5708" spans="1:48" x14ac:dyDescent="0.25">
      <c r="A5708" t="s">
        <v>18294</v>
      </c>
      <c r="B5708" t="s">
        <v>18294</v>
      </c>
      <c r="C5708" t="s">
        <v>18295</v>
      </c>
      <c r="D5708" t="s">
        <v>18296</v>
      </c>
      <c r="E5708" t="s">
        <v>2310</v>
      </c>
      <c r="F5708">
        <v>12</v>
      </c>
      <c r="G5708">
        <v>12.3</v>
      </c>
      <c r="H5708" t="s">
        <v>2017</v>
      </c>
      <c r="I5708" s="21">
        <v>43335.590922604169</v>
      </c>
      <c r="J5708">
        <v>2018</v>
      </c>
      <c r="K5708" s="21">
        <v>43343.430878321757</v>
      </c>
      <c r="L5708">
        <v>2018</v>
      </c>
      <c r="M5708" s="21">
        <v>43747.45348611111</v>
      </c>
      <c r="N5708">
        <v>2019</v>
      </c>
      <c r="Q5708" s="262">
        <v>167700</v>
      </c>
      <c r="R5708" s="262">
        <v>63000</v>
      </c>
      <c r="S5708" t="s">
        <v>13253</v>
      </c>
      <c r="T5708">
        <v>4281</v>
      </c>
      <c r="W5708">
        <v>559</v>
      </c>
      <c r="X5708">
        <v>0</v>
      </c>
      <c r="AC5708">
        <v>559</v>
      </c>
      <c r="AU5708">
        <f t="shared" si="176"/>
        <v>0</v>
      </c>
      <c r="AV5708">
        <f t="shared" si="177"/>
        <v>0</v>
      </c>
    </row>
    <row r="5709" spans="1:48" x14ac:dyDescent="0.25">
      <c r="A5709" t="s">
        <v>17982</v>
      </c>
      <c r="B5709" t="s">
        <v>17982</v>
      </c>
      <c r="C5709" t="s">
        <v>17983</v>
      </c>
      <c r="D5709" t="s">
        <v>4323</v>
      </c>
      <c r="E5709" t="s">
        <v>2310</v>
      </c>
      <c r="F5709">
        <v>9</v>
      </c>
      <c r="G5709">
        <v>9.3000000000000007</v>
      </c>
      <c r="H5709" t="s">
        <v>2323</v>
      </c>
      <c r="I5709" s="21">
        <v>43335.604588576389</v>
      </c>
      <c r="J5709">
        <v>2018</v>
      </c>
      <c r="K5709" s="21">
        <v>43353.456629629633</v>
      </c>
      <c r="L5709">
        <v>2018</v>
      </c>
      <c r="M5709" s="21">
        <v>43454.365001041668</v>
      </c>
      <c r="N5709">
        <v>2018</v>
      </c>
      <c r="Q5709" s="262">
        <v>80000</v>
      </c>
      <c r="R5709" s="262">
        <v>9000</v>
      </c>
      <c r="S5709" t="s">
        <v>13253</v>
      </c>
      <c r="T5709">
        <v>2583</v>
      </c>
      <c r="W5709">
        <v>187</v>
      </c>
      <c r="X5709">
        <v>0</v>
      </c>
      <c r="AB5709">
        <v>187</v>
      </c>
      <c r="AU5709">
        <f t="shared" si="176"/>
        <v>0</v>
      </c>
      <c r="AV5709">
        <f t="shared" si="177"/>
        <v>187</v>
      </c>
    </row>
    <row r="5710" spans="1:48" x14ac:dyDescent="0.25">
      <c r="A5710" t="s">
        <v>13952</v>
      </c>
      <c r="C5710" t="s">
        <v>13953</v>
      </c>
      <c r="D5710" t="s">
        <v>13844</v>
      </c>
      <c r="E5710" t="s">
        <v>1663</v>
      </c>
      <c r="F5710">
        <v>6</v>
      </c>
      <c r="G5710">
        <v>6.1</v>
      </c>
      <c r="H5710" t="s">
        <v>2017</v>
      </c>
      <c r="I5710" s="21">
        <v>43336</v>
      </c>
      <c r="J5710">
        <v>2018</v>
      </c>
      <c r="K5710" s="21">
        <v>43367</v>
      </c>
      <c r="L5710">
        <v>2018</v>
      </c>
      <c r="M5710" s="21">
        <v>43665</v>
      </c>
      <c r="N5710">
        <v>2019</v>
      </c>
      <c r="Q5710" s="262">
        <v>500000</v>
      </c>
      <c r="S5710" t="s">
        <v>114</v>
      </c>
      <c r="T5710" t="s">
        <v>114</v>
      </c>
      <c r="W5710">
        <v>0</v>
      </c>
      <c r="X5710">
        <v>0</v>
      </c>
      <c r="AU5710">
        <f t="shared" si="176"/>
        <v>0</v>
      </c>
      <c r="AV5710">
        <f t="shared" si="177"/>
        <v>0</v>
      </c>
    </row>
    <row r="5711" spans="1:48" x14ac:dyDescent="0.25">
      <c r="A5711" t="s">
        <v>19008</v>
      </c>
      <c r="B5711" t="s">
        <v>114</v>
      </c>
      <c r="C5711" t="s">
        <v>19009</v>
      </c>
      <c r="D5711" t="s">
        <v>19010</v>
      </c>
      <c r="E5711" t="s">
        <v>1663</v>
      </c>
      <c r="F5711">
        <v>3</v>
      </c>
      <c r="G5711">
        <v>3.1</v>
      </c>
      <c r="H5711" t="s">
        <v>2017</v>
      </c>
      <c r="I5711" s="21">
        <v>43336</v>
      </c>
      <c r="J5711">
        <v>2018</v>
      </c>
      <c r="K5711" s="21">
        <v>43434</v>
      </c>
      <c r="L5711">
        <v>2018</v>
      </c>
      <c r="M5711" s="21">
        <v>44001</v>
      </c>
      <c r="N5711">
        <v>2020</v>
      </c>
      <c r="Q5711" s="262">
        <v>200000</v>
      </c>
      <c r="S5711" t="s">
        <v>12464</v>
      </c>
      <c r="T5711">
        <v>10430</v>
      </c>
      <c r="W5711">
        <v>1008</v>
      </c>
      <c r="X5711">
        <v>1</v>
      </c>
      <c r="AC5711">
        <v>576</v>
      </c>
      <c r="AE5711">
        <v>432</v>
      </c>
      <c r="AQ5711">
        <v>1</v>
      </c>
      <c r="AU5711">
        <f t="shared" si="176"/>
        <v>1</v>
      </c>
      <c r="AV5711">
        <f t="shared" si="177"/>
        <v>0</v>
      </c>
    </row>
    <row r="5712" spans="1:48" x14ac:dyDescent="0.25">
      <c r="A5712" t="s">
        <v>19024</v>
      </c>
      <c r="B5712" t="s">
        <v>114</v>
      </c>
      <c r="C5712" t="s">
        <v>19025</v>
      </c>
      <c r="D5712" t="s">
        <v>19010</v>
      </c>
      <c r="E5712" t="s">
        <v>1663</v>
      </c>
      <c r="F5712">
        <v>3</v>
      </c>
      <c r="G5712">
        <v>3.1</v>
      </c>
      <c r="H5712" t="s">
        <v>2017</v>
      </c>
      <c r="I5712" s="21">
        <v>43336</v>
      </c>
      <c r="J5712">
        <v>2018</v>
      </c>
      <c r="K5712" s="21">
        <v>43434</v>
      </c>
      <c r="L5712">
        <v>2018</v>
      </c>
      <c r="M5712" s="21">
        <v>44001</v>
      </c>
      <c r="N5712">
        <v>2020</v>
      </c>
      <c r="Q5712" s="262">
        <v>1300000</v>
      </c>
      <c r="S5712" t="s">
        <v>12464</v>
      </c>
      <c r="T5712">
        <v>10431</v>
      </c>
      <c r="W5712">
        <v>3608</v>
      </c>
      <c r="X5712">
        <v>2</v>
      </c>
      <c r="AC5712">
        <v>2810</v>
      </c>
      <c r="AE5712">
        <v>798</v>
      </c>
      <c r="AO5712">
        <v>1</v>
      </c>
      <c r="AQ5712">
        <v>1</v>
      </c>
      <c r="AU5712">
        <f t="shared" si="176"/>
        <v>2</v>
      </c>
      <c r="AV5712">
        <f t="shared" si="177"/>
        <v>0</v>
      </c>
    </row>
    <row r="5713" spans="1:48" x14ac:dyDescent="0.25">
      <c r="A5713" t="s">
        <v>19024</v>
      </c>
      <c r="B5713" t="s">
        <v>114</v>
      </c>
      <c r="C5713" t="s">
        <v>19025</v>
      </c>
      <c r="D5713" t="s">
        <v>19010</v>
      </c>
      <c r="E5713" t="s">
        <v>1663</v>
      </c>
      <c r="F5713">
        <v>3</v>
      </c>
      <c r="G5713">
        <v>3.1</v>
      </c>
      <c r="H5713" t="s">
        <v>2017</v>
      </c>
      <c r="I5713" s="21">
        <v>43336</v>
      </c>
      <c r="J5713">
        <v>2018</v>
      </c>
      <c r="K5713" s="21">
        <v>43434</v>
      </c>
      <c r="L5713">
        <v>2018</v>
      </c>
      <c r="M5713" s="21">
        <v>44221</v>
      </c>
      <c r="N5713">
        <v>2021</v>
      </c>
      <c r="S5713" t="s">
        <v>9529</v>
      </c>
      <c r="T5713">
        <v>10431</v>
      </c>
      <c r="U5713">
        <v>7</v>
      </c>
      <c r="W5713">
        <v>-1792</v>
      </c>
      <c r="X5713">
        <v>-1</v>
      </c>
      <c r="Y5713">
        <v>0</v>
      </c>
      <c r="Z5713">
        <v>0</v>
      </c>
      <c r="AA5713">
        <v>0</v>
      </c>
      <c r="AB5713">
        <v>0</v>
      </c>
      <c r="AC5713">
        <v>0</v>
      </c>
      <c r="AD5713">
        <v>0</v>
      </c>
      <c r="AE5713">
        <v>-1792</v>
      </c>
      <c r="AF5713">
        <v>0</v>
      </c>
      <c r="AG5713">
        <v>0</v>
      </c>
      <c r="AH5713">
        <v>0</v>
      </c>
      <c r="AI5713">
        <v>0</v>
      </c>
      <c r="AJ5713">
        <v>0</v>
      </c>
      <c r="AK5713">
        <v>0</v>
      </c>
      <c r="AL5713">
        <v>0</v>
      </c>
      <c r="AM5713">
        <v>0</v>
      </c>
      <c r="AN5713">
        <v>0</v>
      </c>
      <c r="AO5713">
        <v>0</v>
      </c>
      <c r="AP5713">
        <v>0</v>
      </c>
      <c r="AQ5713">
        <v>-1</v>
      </c>
      <c r="AR5713">
        <v>0</v>
      </c>
      <c r="AS5713">
        <v>0</v>
      </c>
      <c r="AT5713">
        <v>0</v>
      </c>
      <c r="AU5713">
        <f t="shared" si="176"/>
        <v>-1</v>
      </c>
      <c r="AV5713">
        <f t="shared" si="177"/>
        <v>0</v>
      </c>
    </row>
    <row r="5714" spans="1:48" x14ac:dyDescent="0.25">
      <c r="A5714" t="s">
        <v>19008</v>
      </c>
      <c r="B5714" t="s">
        <v>114</v>
      </c>
      <c r="C5714" t="s">
        <v>19009</v>
      </c>
      <c r="D5714" t="s">
        <v>19010</v>
      </c>
      <c r="E5714" t="s">
        <v>1663</v>
      </c>
      <c r="F5714">
        <v>3</v>
      </c>
      <c r="G5714">
        <v>3.1</v>
      </c>
      <c r="H5714" t="s">
        <v>2017</v>
      </c>
      <c r="I5714" s="21">
        <v>43336</v>
      </c>
      <c r="J5714">
        <v>2018</v>
      </c>
      <c r="K5714" s="21">
        <v>43434</v>
      </c>
      <c r="L5714">
        <v>2018</v>
      </c>
      <c r="M5714" s="21">
        <v>44221</v>
      </c>
      <c r="N5714">
        <v>2021</v>
      </c>
      <c r="S5714" t="s">
        <v>9529</v>
      </c>
      <c r="T5714">
        <v>10430</v>
      </c>
      <c r="U5714">
        <v>7</v>
      </c>
      <c r="W5714">
        <v>-672</v>
      </c>
      <c r="X5714">
        <v>-1</v>
      </c>
      <c r="Y5714">
        <v>0</v>
      </c>
      <c r="Z5714">
        <v>0</v>
      </c>
      <c r="AA5714">
        <v>0</v>
      </c>
      <c r="AB5714">
        <v>0</v>
      </c>
      <c r="AC5714">
        <v>0</v>
      </c>
      <c r="AD5714">
        <v>0</v>
      </c>
      <c r="AE5714">
        <v>-672</v>
      </c>
      <c r="AF5714">
        <v>0</v>
      </c>
      <c r="AG5714">
        <v>0</v>
      </c>
      <c r="AH5714">
        <v>0</v>
      </c>
      <c r="AI5714">
        <v>0</v>
      </c>
      <c r="AJ5714">
        <v>0</v>
      </c>
      <c r="AK5714">
        <v>0</v>
      </c>
      <c r="AL5714">
        <v>0</v>
      </c>
      <c r="AM5714">
        <v>0</v>
      </c>
      <c r="AN5714">
        <v>0</v>
      </c>
      <c r="AO5714">
        <v>0</v>
      </c>
      <c r="AP5714">
        <v>0</v>
      </c>
      <c r="AQ5714">
        <v>-1</v>
      </c>
      <c r="AR5714">
        <v>0</v>
      </c>
      <c r="AS5714">
        <v>0</v>
      </c>
      <c r="AT5714">
        <v>0</v>
      </c>
      <c r="AU5714">
        <f t="shared" si="176"/>
        <v>-1</v>
      </c>
      <c r="AV5714">
        <f t="shared" si="177"/>
        <v>0</v>
      </c>
    </row>
    <row r="5715" spans="1:48" x14ac:dyDescent="0.25">
      <c r="A5715" t="s">
        <v>19361</v>
      </c>
      <c r="B5715" t="s">
        <v>114</v>
      </c>
      <c r="C5715" t="s">
        <v>19362</v>
      </c>
      <c r="D5715" t="s">
        <v>16465</v>
      </c>
      <c r="E5715" t="s">
        <v>1663</v>
      </c>
      <c r="F5715">
        <v>2</v>
      </c>
      <c r="G5715">
        <v>2.4</v>
      </c>
      <c r="H5715" t="s">
        <v>2017</v>
      </c>
      <c r="I5715" s="21">
        <v>43336</v>
      </c>
      <c r="J5715">
        <v>2018</v>
      </c>
      <c r="K5715" s="21">
        <v>43395</v>
      </c>
      <c r="L5715">
        <v>2018</v>
      </c>
      <c r="M5715" s="21">
        <v>43588</v>
      </c>
      <c r="N5715">
        <v>2019</v>
      </c>
      <c r="Q5715" s="262">
        <v>2200000</v>
      </c>
      <c r="S5715" t="s">
        <v>13253</v>
      </c>
      <c r="T5715">
        <v>13151</v>
      </c>
      <c r="W5715">
        <v>1695</v>
      </c>
      <c r="X5715">
        <v>0</v>
      </c>
      <c r="AM5715">
        <v>1695</v>
      </c>
      <c r="AU5715">
        <f t="shared" si="176"/>
        <v>0</v>
      </c>
      <c r="AV5715">
        <f t="shared" si="177"/>
        <v>1695</v>
      </c>
    </row>
    <row r="5716" spans="1:48" x14ac:dyDescent="0.25">
      <c r="A5716" t="s">
        <v>19026</v>
      </c>
      <c r="B5716" t="s">
        <v>114</v>
      </c>
      <c r="C5716" t="s">
        <v>11240</v>
      </c>
      <c r="D5716" t="s">
        <v>19027</v>
      </c>
      <c r="E5716" t="s">
        <v>1663</v>
      </c>
      <c r="F5716">
        <v>5</v>
      </c>
      <c r="G5716">
        <v>5.5</v>
      </c>
      <c r="H5716" t="s">
        <v>2017</v>
      </c>
      <c r="I5716" s="21">
        <v>43339</v>
      </c>
      <c r="J5716">
        <v>2018</v>
      </c>
      <c r="K5716" s="21">
        <v>43375</v>
      </c>
      <c r="L5716">
        <v>2018</v>
      </c>
      <c r="M5716" s="21">
        <v>43724</v>
      </c>
      <c r="N5716">
        <v>2019</v>
      </c>
      <c r="Q5716" s="262">
        <v>650000</v>
      </c>
      <c r="S5716" t="s">
        <v>13254</v>
      </c>
      <c r="W5716">
        <v>2864</v>
      </c>
      <c r="X5716">
        <v>1</v>
      </c>
      <c r="AC5716">
        <v>2864</v>
      </c>
      <c r="AO5716">
        <v>1</v>
      </c>
      <c r="AU5716">
        <f t="shared" si="176"/>
        <v>1</v>
      </c>
      <c r="AV5716">
        <f t="shared" si="177"/>
        <v>0</v>
      </c>
    </row>
    <row r="5717" spans="1:48" x14ac:dyDescent="0.25">
      <c r="A5717" t="s">
        <v>19014</v>
      </c>
      <c r="B5717" t="s">
        <v>114</v>
      </c>
      <c r="C5717" t="s">
        <v>19015</v>
      </c>
      <c r="D5717" t="s">
        <v>19010</v>
      </c>
      <c r="E5717" t="s">
        <v>1663</v>
      </c>
      <c r="F5717">
        <v>3</v>
      </c>
      <c r="G5717">
        <v>3.1</v>
      </c>
      <c r="H5717" t="s">
        <v>2017</v>
      </c>
      <c r="I5717" s="21">
        <v>43339</v>
      </c>
      <c r="J5717">
        <v>2018</v>
      </c>
      <c r="K5717" s="21">
        <v>43432</v>
      </c>
      <c r="L5717">
        <v>2018</v>
      </c>
      <c r="M5717" s="21">
        <v>44001</v>
      </c>
      <c r="N5717">
        <v>2020</v>
      </c>
      <c r="Q5717" s="262">
        <v>200000</v>
      </c>
      <c r="S5717" t="s">
        <v>12464</v>
      </c>
      <c r="T5717">
        <v>10430</v>
      </c>
      <c r="W5717">
        <v>1008</v>
      </c>
      <c r="X5717">
        <v>1</v>
      </c>
      <c r="AC5717">
        <v>576</v>
      </c>
      <c r="AE5717">
        <v>432</v>
      </c>
      <c r="AQ5717">
        <v>1</v>
      </c>
      <c r="AU5717">
        <f t="shared" si="176"/>
        <v>1</v>
      </c>
      <c r="AV5717">
        <f t="shared" si="177"/>
        <v>0</v>
      </c>
    </row>
    <row r="5718" spans="1:48" x14ac:dyDescent="0.25">
      <c r="A5718" t="s">
        <v>19028</v>
      </c>
      <c r="B5718" t="s">
        <v>114</v>
      </c>
      <c r="C5718" t="s">
        <v>14289</v>
      </c>
      <c r="D5718" t="s">
        <v>19010</v>
      </c>
      <c r="E5718" t="s">
        <v>1663</v>
      </c>
      <c r="F5718">
        <v>3</v>
      </c>
      <c r="G5718">
        <v>3.1</v>
      </c>
      <c r="H5718" t="s">
        <v>2017</v>
      </c>
      <c r="I5718" s="21">
        <v>43339</v>
      </c>
      <c r="J5718">
        <v>2018</v>
      </c>
      <c r="K5718" s="21">
        <v>43432</v>
      </c>
      <c r="L5718">
        <v>2018</v>
      </c>
      <c r="M5718" s="21">
        <v>44001</v>
      </c>
      <c r="N5718">
        <v>2020</v>
      </c>
      <c r="Q5718" s="262">
        <v>1300000</v>
      </c>
      <c r="S5718" t="s">
        <v>12464</v>
      </c>
      <c r="T5718">
        <v>10432</v>
      </c>
      <c r="W5718">
        <v>3608</v>
      </c>
      <c r="X5718">
        <v>2</v>
      </c>
      <c r="AC5718">
        <v>2810</v>
      </c>
      <c r="AE5718">
        <v>798</v>
      </c>
      <c r="AO5718">
        <v>1</v>
      </c>
      <c r="AQ5718">
        <v>1</v>
      </c>
      <c r="AU5718">
        <f t="shared" si="176"/>
        <v>2</v>
      </c>
      <c r="AV5718">
        <f t="shared" si="177"/>
        <v>0</v>
      </c>
    </row>
    <row r="5719" spans="1:48" x14ac:dyDescent="0.25">
      <c r="A5719" t="s">
        <v>19028</v>
      </c>
      <c r="B5719" t="s">
        <v>114</v>
      </c>
      <c r="C5719" t="s">
        <v>14289</v>
      </c>
      <c r="D5719" t="s">
        <v>19010</v>
      </c>
      <c r="E5719" t="s">
        <v>1663</v>
      </c>
      <c r="F5719">
        <v>3</v>
      </c>
      <c r="G5719">
        <v>3.1</v>
      </c>
      <c r="H5719" t="s">
        <v>2017</v>
      </c>
      <c r="I5719" s="21">
        <v>43339</v>
      </c>
      <c r="J5719">
        <v>2018</v>
      </c>
      <c r="K5719" s="21">
        <v>43432</v>
      </c>
      <c r="L5719">
        <v>2018</v>
      </c>
      <c r="M5719" s="21">
        <v>44001</v>
      </c>
      <c r="N5719">
        <v>2020</v>
      </c>
      <c r="S5719" t="s">
        <v>9529</v>
      </c>
      <c r="T5719">
        <v>10432</v>
      </c>
      <c r="U5719">
        <v>5</v>
      </c>
      <c r="W5719">
        <v>-3012</v>
      </c>
      <c r="X5719">
        <v>-1</v>
      </c>
      <c r="Y5719">
        <v>0</v>
      </c>
      <c r="Z5719">
        <v>0</v>
      </c>
      <c r="AA5719">
        <v>0</v>
      </c>
      <c r="AB5719">
        <v>0</v>
      </c>
      <c r="AC5719">
        <v>-3012</v>
      </c>
      <c r="AD5719">
        <v>0</v>
      </c>
      <c r="AE5719">
        <v>0</v>
      </c>
      <c r="AF5719">
        <v>0</v>
      </c>
      <c r="AG5719">
        <v>0</v>
      </c>
      <c r="AH5719">
        <v>0</v>
      </c>
      <c r="AI5719">
        <v>0</v>
      </c>
      <c r="AJ5719">
        <v>0</v>
      </c>
      <c r="AK5719">
        <v>0</v>
      </c>
      <c r="AL5719">
        <v>0</v>
      </c>
      <c r="AM5719">
        <v>0</v>
      </c>
      <c r="AN5719">
        <v>0</v>
      </c>
      <c r="AO5719">
        <v>-1</v>
      </c>
      <c r="AP5719">
        <v>0</v>
      </c>
      <c r="AQ5719">
        <v>0</v>
      </c>
      <c r="AR5719">
        <v>0</v>
      </c>
      <c r="AS5719">
        <v>0</v>
      </c>
      <c r="AT5719">
        <v>0</v>
      </c>
      <c r="AU5719">
        <f t="shared" si="176"/>
        <v>-1</v>
      </c>
      <c r="AV5719">
        <f t="shared" si="177"/>
        <v>0</v>
      </c>
    </row>
    <row r="5720" spans="1:48" x14ac:dyDescent="0.25">
      <c r="A5720" t="s">
        <v>18896</v>
      </c>
      <c r="B5720" t="s">
        <v>18896</v>
      </c>
      <c r="C5720" t="s">
        <v>18897</v>
      </c>
      <c r="D5720" t="s">
        <v>18898</v>
      </c>
      <c r="E5720" t="s">
        <v>2310</v>
      </c>
      <c r="F5720">
        <v>13</v>
      </c>
      <c r="G5720">
        <v>13.1</v>
      </c>
      <c r="H5720" t="s">
        <v>2327</v>
      </c>
      <c r="I5720" s="21">
        <v>43340.459252465276</v>
      </c>
      <c r="J5720">
        <v>2018</v>
      </c>
      <c r="K5720" s="21">
        <v>43374.421097569444</v>
      </c>
      <c r="L5720">
        <v>2018</v>
      </c>
      <c r="M5720" s="21">
        <v>43663.444599039351</v>
      </c>
      <c r="N5720">
        <v>2019</v>
      </c>
      <c r="Q5720" s="262">
        <v>1200000</v>
      </c>
      <c r="R5720" s="262">
        <v>736000</v>
      </c>
      <c r="S5720" t="s">
        <v>13254</v>
      </c>
      <c r="V5720">
        <v>4356</v>
      </c>
      <c r="W5720">
        <v>547</v>
      </c>
      <c r="X5720">
        <v>0</v>
      </c>
      <c r="AH5720">
        <v>547</v>
      </c>
      <c r="AU5720">
        <f t="shared" si="176"/>
        <v>0</v>
      </c>
      <c r="AV5720">
        <f t="shared" si="177"/>
        <v>547</v>
      </c>
    </row>
    <row r="5721" spans="1:48" x14ac:dyDescent="0.25">
      <c r="A5721" t="s">
        <v>19814</v>
      </c>
      <c r="B5721" t="s">
        <v>19814</v>
      </c>
      <c r="C5721" t="s">
        <v>19815</v>
      </c>
      <c r="D5721" t="s">
        <v>19816</v>
      </c>
      <c r="E5721" t="s">
        <v>2310</v>
      </c>
      <c r="F5721">
        <v>15</v>
      </c>
      <c r="G5721">
        <v>15.2</v>
      </c>
      <c r="H5721" t="s">
        <v>2323</v>
      </c>
      <c r="I5721" s="21">
        <v>43340.666897916701</v>
      </c>
      <c r="J5721">
        <v>2018</v>
      </c>
      <c r="K5721" s="21">
        <v>43490.689897835597</v>
      </c>
      <c r="L5721">
        <v>2019</v>
      </c>
      <c r="M5721" s="21">
        <v>44466</v>
      </c>
      <c r="N5721">
        <v>2021</v>
      </c>
      <c r="Q5721" s="262">
        <v>6000000</v>
      </c>
      <c r="R5721" s="262">
        <v>815000</v>
      </c>
      <c r="S5721" t="s">
        <v>13254</v>
      </c>
      <c r="U5721">
        <v>5</v>
      </c>
      <c r="W5721">
        <v>6163</v>
      </c>
      <c r="X5721">
        <v>1</v>
      </c>
      <c r="AC5721">
        <v>6163</v>
      </c>
      <c r="AO5721">
        <v>1</v>
      </c>
      <c r="AU5721">
        <f t="shared" ref="AU5721:AU5784" si="178">SUM(AN5721:AQ5721,AS5721)</f>
        <v>1</v>
      </c>
      <c r="AV5721">
        <f t="shared" ref="AV5721:AV5784" si="179">SUM(Y5721:AB5721,AH5721:AM5721)</f>
        <v>0</v>
      </c>
    </row>
    <row r="5722" spans="1:48" x14ac:dyDescent="0.25">
      <c r="A5722" t="s">
        <v>19322</v>
      </c>
      <c r="B5722" t="s">
        <v>114</v>
      </c>
      <c r="C5722" t="s">
        <v>14289</v>
      </c>
      <c r="D5722" t="s">
        <v>14695</v>
      </c>
      <c r="E5722" t="s">
        <v>1663</v>
      </c>
      <c r="F5722">
        <v>3</v>
      </c>
      <c r="G5722">
        <v>3.1</v>
      </c>
      <c r="H5722" t="s">
        <v>2017</v>
      </c>
      <c r="I5722" s="21">
        <v>43341</v>
      </c>
      <c r="J5722">
        <v>2018</v>
      </c>
      <c r="K5722" s="21">
        <v>43419</v>
      </c>
      <c r="L5722">
        <v>2018</v>
      </c>
      <c r="M5722" s="21">
        <v>43972</v>
      </c>
      <c r="N5722">
        <v>2020</v>
      </c>
      <c r="Q5722" s="262">
        <v>1600000</v>
      </c>
      <c r="S5722" t="s">
        <v>13254</v>
      </c>
      <c r="W5722">
        <v>3871</v>
      </c>
      <c r="X5722">
        <v>2</v>
      </c>
      <c r="AC5722">
        <v>3116</v>
      </c>
      <c r="AE5722">
        <v>755</v>
      </c>
      <c r="AO5722">
        <v>1</v>
      </c>
      <c r="AQ5722">
        <v>1</v>
      </c>
      <c r="AU5722">
        <f t="shared" si="178"/>
        <v>2</v>
      </c>
      <c r="AV5722">
        <f t="shared" si="179"/>
        <v>0</v>
      </c>
    </row>
    <row r="5723" spans="1:48" x14ac:dyDescent="0.25">
      <c r="A5723" t="s">
        <v>19966</v>
      </c>
      <c r="C5723" t="s">
        <v>19967</v>
      </c>
      <c r="D5723" t="s">
        <v>14695</v>
      </c>
      <c r="E5723" t="s">
        <v>1663</v>
      </c>
      <c r="F5723">
        <v>3</v>
      </c>
      <c r="G5723">
        <v>3.1</v>
      </c>
      <c r="H5723" t="s">
        <v>2017</v>
      </c>
      <c r="I5723" s="21">
        <v>43341</v>
      </c>
      <c r="J5723">
        <v>2018</v>
      </c>
      <c r="K5723" s="21">
        <v>43419</v>
      </c>
      <c r="L5723">
        <v>2018</v>
      </c>
      <c r="M5723" s="21">
        <v>44511</v>
      </c>
      <c r="N5723">
        <v>2021</v>
      </c>
      <c r="Q5723" s="262">
        <v>200000</v>
      </c>
      <c r="S5723" t="s">
        <v>13254</v>
      </c>
      <c r="U5723">
        <v>17</v>
      </c>
      <c r="W5723">
        <v>1008</v>
      </c>
      <c r="X5723">
        <v>1</v>
      </c>
      <c r="AC5723">
        <v>576</v>
      </c>
      <c r="AE5723">
        <v>432</v>
      </c>
      <c r="AQ5723">
        <v>1</v>
      </c>
      <c r="AU5723">
        <f t="shared" si="178"/>
        <v>1</v>
      </c>
      <c r="AV5723">
        <f t="shared" si="179"/>
        <v>0</v>
      </c>
    </row>
    <row r="5724" spans="1:48" x14ac:dyDescent="0.25">
      <c r="A5724" t="s">
        <v>13954</v>
      </c>
      <c r="B5724" t="s">
        <v>13954</v>
      </c>
      <c r="C5724" t="s">
        <v>13955</v>
      </c>
      <c r="D5724" t="s">
        <v>13956</v>
      </c>
      <c r="E5724" t="s">
        <v>2310</v>
      </c>
      <c r="F5724">
        <v>9</v>
      </c>
      <c r="G5724">
        <v>9.4</v>
      </c>
      <c r="H5724" t="s">
        <v>2323</v>
      </c>
      <c r="I5724" s="21">
        <v>43342.576109374997</v>
      </c>
      <c r="J5724">
        <v>2018</v>
      </c>
      <c r="K5724" s="21">
        <v>43522.521147604202</v>
      </c>
      <c r="L5724">
        <v>2019</v>
      </c>
      <c r="Q5724" s="262">
        <v>1650000</v>
      </c>
      <c r="R5724" s="262">
        <v>687000</v>
      </c>
      <c r="S5724" t="s">
        <v>114</v>
      </c>
      <c r="T5724" t="s">
        <v>114</v>
      </c>
      <c r="W5724">
        <v>5516</v>
      </c>
      <c r="X5724">
        <v>1</v>
      </c>
      <c r="AC5724">
        <v>5516</v>
      </c>
      <c r="AO5724">
        <v>1</v>
      </c>
      <c r="AU5724">
        <f t="shared" si="178"/>
        <v>1</v>
      </c>
      <c r="AV5724">
        <f t="shared" si="179"/>
        <v>0</v>
      </c>
    </row>
    <row r="5725" spans="1:48" x14ac:dyDescent="0.25">
      <c r="A5725" t="s">
        <v>19331</v>
      </c>
      <c r="B5725" t="s">
        <v>19331</v>
      </c>
      <c r="C5725" t="s">
        <v>19332</v>
      </c>
      <c r="D5725" t="s">
        <v>19333</v>
      </c>
      <c r="E5725" t="s">
        <v>2310</v>
      </c>
      <c r="F5725">
        <v>15</v>
      </c>
      <c r="G5725">
        <v>15.1</v>
      </c>
      <c r="H5725" t="s">
        <v>2022</v>
      </c>
      <c r="I5725" s="21">
        <v>43342.655086342595</v>
      </c>
      <c r="J5725">
        <v>2018</v>
      </c>
      <c r="K5725" s="21">
        <v>43502.409863043984</v>
      </c>
      <c r="L5725">
        <v>2019</v>
      </c>
      <c r="M5725" s="21">
        <v>43978.556721643516</v>
      </c>
      <c r="N5725">
        <v>2020</v>
      </c>
      <c r="Q5725" s="262">
        <v>175000</v>
      </c>
      <c r="R5725" s="262">
        <v>339000</v>
      </c>
      <c r="S5725" t="s">
        <v>13254</v>
      </c>
      <c r="W5725">
        <v>4041</v>
      </c>
      <c r="X5725">
        <v>1</v>
      </c>
      <c r="AC5725">
        <v>4041</v>
      </c>
      <c r="AO5725">
        <v>1</v>
      </c>
      <c r="AU5725">
        <f t="shared" si="178"/>
        <v>1</v>
      </c>
      <c r="AV5725">
        <f t="shared" si="179"/>
        <v>0</v>
      </c>
    </row>
    <row r="5726" spans="1:48" x14ac:dyDescent="0.25">
      <c r="A5726" t="s">
        <v>13957</v>
      </c>
      <c r="B5726" t="s">
        <v>13957</v>
      </c>
      <c r="C5726" t="s">
        <v>13958</v>
      </c>
      <c r="D5726" t="s">
        <v>3943</v>
      </c>
      <c r="E5726" t="s">
        <v>2310</v>
      </c>
      <c r="F5726">
        <v>9</v>
      </c>
      <c r="G5726">
        <v>9.3000000000000007</v>
      </c>
      <c r="H5726" t="s">
        <v>2323</v>
      </c>
      <c r="I5726" s="21">
        <v>43347.555173761597</v>
      </c>
      <c r="J5726">
        <v>2018</v>
      </c>
      <c r="K5726" s="21">
        <v>43564.7267945602</v>
      </c>
      <c r="L5726">
        <v>2019</v>
      </c>
      <c r="M5726" s="21">
        <v>43683.479148263898</v>
      </c>
      <c r="N5726">
        <v>2019</v>
      </c>
      <c r="Q5726" s="262">
        <v>85500</v>
      </c>
      <c r="R5726" s="262">
        <v>1000</v>
      </c>
      <c r="S5726" t="s">
        <v>114</v>
      </c>
      <c r="T5726" t="s">
        <v>114</v>
      </c>
      <c r="W5726">
        <v>0</v>
      </c>
      <c r="X5726">
        <v>0</v>
      </c>
      <c r="AU5726">
        <f t="shared" si="178"/>
        <v>0</v>
      </c>
      <c r="AV5726">
        <f t="shared" si="179"/>
        <v>0</v>
      </c>
    </row>
    <row r="5727" spans="1:48" x14ac:dyDescent="0.25">
      <c r="A5727" t="s">
        <v>19301</v>
      </c>
      <c r="B5727" t="s">
        <v>19301</v>
      </c>
      <c r="C5727" t="s">
        <v>16148</v>
      </c>
      <c r="D5727" t="s">
        <v>3206</v>
      </c>
      <c r="E5727" t="s">
        <v>2310</v>
      </c>
      <c r="F5727">
        <v>9</v>
      </c>
      <c r="G5727">
        <v>9.1</v>
      </c>
      <c r="H5727" t="s">
        <v>2323</v>
      </c>
      <c r="I5727" s="21">
        <v>43349.462589814815</v>
      </c>
      <c r="J5727">
        <v>2018</v>
      </c>
      <c r="K5727" s="21">
        <v>43357.433836574077</v>
      </c>
      <c r="L5727">
        <v>2018</v>
      </c>
      <c r="M5727" s="21">
        <v>43915.629462500001</v>
      </c>
      <c r="N5727">
        <v>2020</v>
      </c>
      <c r="Q5727" s="262">
        <v>434000</v>
      </c>
      <c r="R5727" s="262">
        <v>54000</v>
      </c>
      <c r="S5727" t="s">
        <v>13254</v>
      </c>
      <c r="W5727">
        <v>1200</v>
      </c>
      <c r="X5727">
        <v>0</v>
      </c>
      <c r="AC5727">
        <v>1200</v>
      </c>
      <c r="AU5727">
        <f t="shared" si="178"/>
        <v>0</v>
      </c>
      <c r="AV5727">
        <f t="shared" si="179"/>
        <v>0</v>
      </c>
    </row>
    <row r="5728" spans="1:48" x14ac:dyDescent="0.25">
      <c r="A5728" t="s">
        <v>18137</v>
      </c>
      <c r="B5728" t="s">
        <v>18137</v>
      </c>
      <c r="C5728" t="s">
        <v>18138</v>
      </c>
      <c r="D5728" t="s">
        <v>12905</v>
      </c>
      <c r="E5728" t="s">
        <v>2310</v>
      </c>
      <c r="F5728">
        <v>12</v>
      </c>
      <c r="G5728">
        <v>12.3</v>
      </c>
      <c r="H5728" t="s">
        <v>2017</v>
      </c>
      <c r="I5728" s="21">
        <v>43349.634225081019</v>
      </c>
      <c r="J5728">
        <v>2018</v>
      </c>
      <c r="K5728" s="21">
        <v>43404.60305853009</v>
      </c>
      <c r="L5728">
        <v>2018</v>
      </c>
      <c r="M5728" s="21">
        <v>43885.424339155092</v>
      </c>
      <c r="N5728">
        <v>2020</v>
      </c>
      <c r="Q5728" s="262">
        <v>250000</v>
      </c>
      <c r="R5728" s="262">
        <v>7000</v>
      </c>
      <c r="S5728" t="s">
        <v>13253</v>
      </c>
      <c r="T5728">
        <v>3841</v>
      </c>
      <c r="W5728">
        <v>150</v>
      </c>
      <c r="X5728">
        <v>0</v>
      </c>
      <c r="AM5728">
        <v>150</v>
      </c>
      <c r="AU5728">
        <f t="shared" si="178"/>
        <v>0</v>
      </c>
      <c r="AV5728">
        <f t="shared" si="179"/>
        <v>150</v>
      </c>
    </row>
    <row r="5729" spans="1:48" x14ac:dyDescent="0.25">
      <c r="A5729" t="s">
        <v>13959</v>
      </c>
      <c r="C5729" t="s">
        <v>11879</v>
      </c>
      <c r="D5729" t="s">
        <v>13960</v>
      </c>
      <c r="E5729" t="s">
        <v>1663</v>
      </c>
      <c r="F5729">
        <v>2</v>
      </c>
      <c r="G5729">
        <v>2.1</v>
      </c>
      <c r="H5729" t="s">
        <v>2327</v>
      </c>
      <c r="I5729" s="21">
        <v>43350</v>
      </c>
      <c r="J5729">
        <v>2018</v>
      </c>
      <c r="K5729" s="21">
        <v>43389</v>
      </c>
      <c r="L5729">
        <v>2018</v>
      </c>
      <c r="M5729" s="21">
        <v>43530</v>
      </c>
      <c r="N5729">
        <v>2019</v>
      </c>
      <c r="Q5729" s="262">
        <v>30000</v>
      </c>
      <c r="S5729" t="s">
        <v>114</v>
      </c>
      <c r="T5729" t="s">
        <v>114</v>
      </c>
      <c r="W5729">
        <v>0</v>
      </c>
      <c r="X5729">
        <v>0</v>
      </c>
      <c r="AU5729">
        <f t="shared" si="178"/>
        <v>0</v>
      </c>
      <c r="AV5729">
        <f t="shared" si="179"/>
        <v>0</v>
      </c>
    </row>
    <row r="5730" spans="1:48" x14ac:dyDescent="0.25">
      <c r="A5730" t="s">
        <v>13962</v>
      </c>
      <c r="C5730" t="s">
        <v>13963</v>
      </c>
      <c r="D5730" t="s">
        <v>13964</v>
      </c>
      <c r="E5730" t="s">
        <v>1663</v>
      </c>
      <c r="F5730">
        <v>5</v>
      </c>
      <c r="G5730">
        <v>5.0999999999999996</v>
      </c>
      <c r="H5730" t="s">
        <v>2327</v>
      </c>
      <c r="I5730" s="21">
        <v>43353</v>
      </c>
      <c r="J5730">
        <v>2018</v>
      </c>
      <c r="K5730" s="21">
        <v>43433</v>
      </c>
      <c r="L5730">
        <v>2018</v>
      </c>
      <c r="M5730" s="21">
        <v>44361</v>
      </c>
      <c r="N5730">
        <v>2021</v>
      </c>
      <c r="Q5730" s="262">
        <v>160000</v>
      </c>
      <c r="S5730" t="s">
        <v>114</v>
      </c>
      <c r="T5730" t="s">
        <v>114</v>
      </c>
      <c r="W5730">
        <v>0</v>
      </c>
      <c r="X5730">
        <v>0</v>
      </c>
      <c r="AU5730">
        <f t="shared" si="178"/>
        <v>0</v>
      </c>
      <c r="AV5730">
        <f t="shared" si="179"/>
        <v>0</v>
      </c>
    </row>
    <row r="5731" spans="1:48" x14ac:dyDescent="0.25">
      <c r="A5731" t="s">
        <v>13965</v>
      </c>
      <c r="C5731" t="s">
        <v>13966</v>
      </c>
      <c r="D5731" t="s">
        <v>13967</v>
      </c>
      <c r="E5731" t="s">
        <v>1663</v>
      </c>
      <c r="F5731">
        <v>5</v>
      </c>
      <c r="G5731">
        <v>5.0999999999999996</v>
      </c>
      <c r="H5731" t="s">
        <v>2327</v>
      </c>
      <c r="I5731" s="21">
        <v>43353</v>
      </c>
      <c r="J5731">
        <v>2018</v>
      </c>
      <c r="K5731" s="21">
        <v>43433</v>
      </c>
      <c r="L5731">
        <v>2018</v>
      </c>
      <c r="M5731" s="21">
        <v>43642</v>
      </c>
      <c r="N5731">
        <v>2019</v>
      </c>
      <c r="Q5731" s="262">
        <v>160000</v>
      </c>
      <c r="S5731" t="s">
        <v>114</v>
      </c>
      <c r="T5731" t="s">
        <v>114</v>
      </c>
      <c r="W5731">
        <v>0</v>
      </c>
      <c r="X5731">
        <v>0</v>
      </c>
      <c r="AU5731">
        <f t="shared" si="178"/>
        <v>0</v>
      </c>
      <c r="AV5731">
        <f t="shared" si="179"/>
        <v>0</v>
      </c>
    </row>
    <row r="5732" spans="1:48" x14ac:dyDescent="0.25">
      <c r="A5732" t="s">
        <v>13968</v>
      </c>
      <c r="C5732" t="s">
        <v>13969</v>
      </c>
      <c r="D5732" t="s">
        <v>13970</v>
      </c>
      <c r="E5732" t="s">
        <v>1663</v>
      </c>
      <c r="F5732">
        <v>5</v>
      </c>
      <c r="G5732">
        <v>5.0999999999999996</v>
      </c>
      <c r="H5732" t="s">
        <v>2327</v>
      </c>
      <c r="I5732" s="21">
        <v>43353</v>
      </c>
      <c r="J5732">
        <v>2018</v>
      </c>
      <c r="K5732" s="21">
        <v>43433</v>
      </c>
      <c r="L5732">
        <v>2018</v>
      </c>
      <c r="M5732" s="21">
        <v>43889</v>
      </c>
      <c r="N5732">
        <v>2020</v>
      </c>
      <c r="Q5732" s="262">
        <v>160000</v>
      </c>
      <c r="S5732" t="s">
        <v>114</v>
      </c>
      <c r="T5732" t="s">
        <v>114</v>
      </c>
      <c r="W5732">
        <v>0</v>
      </c>
      <c r="X5732">
        <v>0</v>
      </c>
      <c r="AU5732">
        <f t="shared" si="178"/>
        <v>0</v>
      </c>
      <c r="AV5732">
        <f t="shared" si="179"/>
        <v>0</v>
      </c>
    </row>
    <row r="5733" spans="1:48" x14ac:dyDescent="0.25">
      <c r="A5733" t="s">
        <v>13971</v>
      </c>
      <c r="C5733" t="s">
        <v>13972</v>
      </c>
      <c r="D5733" t="s">
        <v>13973</v>
      </c>
      <c r="E5733" t="s">
        <v>1663</v>
      </c>
      <c r="F5733">
        <v>5</v>
      </c>
      <c r="G5733">
        <v>5.0999999999999996</v>
      </c>
      <c r="H5733" t="s">
        <v>2327</v>
      </c>
      <c r="I5733" s="21">
        <v>43353</v>
      </c>
      <c r="J5733">
        <v>2018</v>
      </c>
      <c r="K5733" s="21">
        <v>43433</v>
      </c>
      <c r="L5733">
        <v>2018</v>
      </c>
      <c r="M5733" s="21">
        <v>43668</v>
      </c>
      <c r="N5733">
        <v>2019</v>
      </c>
      <c r="Q5733" s="262">
        <v>160000</v>
      </c>
      <c r="S5733" t="s">
        <v>114</v>
      </c>
      <c r="T5733" t="s">
        <v>114</v>
      </c>
      <c r="W5733">
        <v>0</v>
      </c>
      <c r="X5733">
        <v>0</v>
      </c>
      <c r="AU5733">
        <f t="shared" si="178"/>
        <v>0</v>
      </c>
      <c r="AV5733">
        <f t="shared" si="179"/>
        <v>0</v>
      </c>
    </row>
    <row r="5734" spans="1:48" x14ac:dyDescent="0.25">
      <c r="A5734" t="s">
        <v>13974</v>
      </c>
      <c r="C5734" t="s">
        <v>13975</v>
      </c>
      <c r="D5734" t="s">
        <v>13976</v>
      </c>
      <c r="E5734" t="s">
        <v>1663</v>
      </c>
      <c r="F5734">
        <v>5</v>
      </c>
      <c r="G5734">
        <v>5.0999999999999996</v>
      </c>
      <c r="H5734" t="s">
        <v>2327</v>
      </c>
      <c r="I5734" s="21">
        <v>43353</v>
      </c>
      <c r="J5734">
        <v>2018</v>
      </c>
      <c r="K5734" s="21">
        <v>43433</v>
      </c>
      <c r="L5734">
        <v>2018</v>
      </c>
      <c r="M5734" s="21">
        <v>43920</v>
      </c>
      <c r="N5734">
        <v>2020</v>
      </c>
      <c r="Q5734" s="262">
        <v>160000</v>
      </c>
      <c r="S5734" t="s">
        <v>114</v>
      </c>
      <c r="T5734" t="s">
        <v>114</v>
      </c>
      <c r="W5734">
        <v>0</v>
      </c>
      <c r="X5734">
        <v>0</v>
      </c>
      <c r="AU5734">
        <f t="shared" si="178"/>
        <v>0</v>
      </c>
      <c r="AV5734">
        <f t="shared" si="179"/>
        <v>0</v>
      </c>
    </row>
    <row r="5735" spans="1:48" x14ac:dyDescent="0.25">
      <c r="A5735" t="s">
        <v>13977</v>
      </c>
      <c r="C5735" t="s">
        <v>13978</v>
      </c>
      <c r="D5735" t="s">
        <v>13979</v>
      </c>
      <c r="E5735" t="s">
        <v>1663</v>
      </c>
      <c r="F5735">
        <v>5</v>
      </c>
      <c r="G5735">
        <v>5.0999999999999996</v>
      </c>
      <c r="H5735" t="s">
        <v>2327</v>
      </c>
      <c r="I5735" s="21">
        <v>43353</v>
      </c>
      <c r="J5735">
        <v>2018</v>
      </c>
      <c r="K5735" s="21">
        <v>43433</v>
      </c>
      <c r="L5735">
        <v>2018</v>
      </c>
      <c r="P5735" s="21">
        <v>43613</v>
      </c>
      <c r="Q5735" s="262">
        <v>200000</v>
      </c>
      <c r="S5735" t="s">
        <v>114</v>
      </c>
      <c r="T5735" t="s">
        <v>114</v>
      </c>
      <c r="W5735">
        <v>0</v>
      </c>
      <c r="X5735">
        <v>0</v>
      </c>
      <c r="AU5735">
        <f t="shared" si="178"/>
        <v>0</v>
      </c>
      <c r="AV5735">
        <f t="shared" si="179"/>
        <v>0</v>
      </c>
    </row>
    <row r="5736" spans="1:48" x14ac:dyDescent="0.25">
      <c r="A5736" t="s">
        <v>13980</v>
      </c>
      <c r="C5736" t="s">
        <v>13969</v>
      </c>
      <c r="D5736" t="s">
        <v>13981</v>
      </c>
      <c r="E5736" t="s">
        <v>1663</v>
      </c>
      <c r="F5736">
        <v>5</v>
      </c>
      <c r="G5736">
        <v>5.0999999999999996</v>
      </c>
      <c r="H5736" t="s">
        <v>2327</v>
      </c>
      <c r="I5736" s="21">
        <v>43353</v>
      </c>
      <c r="J5736">
        <v>2018</v>
      </c>
      <c r="K5736" s="21">
        <v>43433</v>
      </c>
      <c r="L5736">
        <v>2018</v>
      </c>
      <c r="M5736" s="21">
        <v>43962</v>
      </c>
      <c r="N5736">
        <v>2020</v>
      </c>
      <c r="Q5736" s="262">
        <v>225000</v>
      </c>
      <c r="S5736" t="s">
        <v>114</v>
      </c>
      <c r="T5736" t="s">
        <v>114</v>
      </c>
      <c r="W5736">
        <v>0</v>
      </c>
      <c r="X5736">
        <v>0</v>
      </c>
      <c r="AU5736">
        <f t="shared" si="178"/>
        <v>0</v>
      </c>
      <c r="AV5736">
        <f t="shared" si="179"/>
        <v>0</v>
      </c>
    </row>
    <row r="5737" spans="1:48" x14ac:dyDescent="0.25">
      <c r="A5737" t="s">
        <v>13982</v>
      </c>
      <c r="C5737" t="s">
        <v>13969</v>
      </c>
      <c r="D5737" t="s">
        <v>13983</v>
      </c>
      <c r="E5737" t="s">
        <v>1663</v>
      </c>
      <c r="F5737">
        <v>5</v>
      </c>
      <c r="G5737">
        <v>5.0999999999999996</v>
      </c>
      <c r="H5737" t="s">
        <v>2327</v>
      </c>
      <c r="I5737" s="21">
        <v>43353</v>
      </c>
      <c r="J5737">
        <v>2018</v>
      </c>
      <c r="K5737" s="21">
        <v>43433</v>
      </c>
      <c r="L5737">
        <v>2018</v>
      </c>
      <c r="M5737" s="21">
        <v>43839</v>
      </c>
      <c r="N5737">
        <v>2020</v>
      </c>
      <c r="Q5737" s="262">
        <v>170000</v>
      </c>
      <c r="S5737" t="s">
        <v>114</v>
      </c>
      <c r="T5737" t="s">
        <v>114</v>
      </c>
      <c r="W5737">
        <v>0</v>
      </c>
      <c r="X5737">
        <v>0</v>
      </c>
      <c r="AU5737">
        <f t="shared" si="178"/>
        <v>0</v>
      </c>
      <c r="AV5737">
        <f t="shared" si="179"/>
        <v>0</v>
      </c>
    </row>
    <row r="5738" spans="1:48" x14ac:dyDescent="0.25">
      <c r="A5738" t="s">
        <v>13961</v>
      </c>
      <c r="C5738" t="s">
        <v>11237</v>
      </c>
      <c r="D5738" t="s">
        <v>6754</v>
      </c>
      <c r="E5738" t="s">
        <v>1663</v>
      </c>
      <c r="F5738">
        <v>4</v>
      </c>
      <c r="G5738">
        <v>4.0999999999999996</v>
      </c>
      <c r="H5738" t="s">
        <v>2327</v>
      </c>
      <c r="I5738" s="21">
        <v>43353</v>
      </c>
      <c r="J5738">
        <v>2018</v>
      </c>
      <c r="K5738" s="21">
        <v>43402</v>
      </c>
      <c r="L5738">
        <v>2018</v>
      </c>
      <c r="M5738" s="21">
        <v>43444</v>
      </c>
      <c r="N5738">
        <v>2018</v>
      </c>
      <c r="Q5738" s="262">
        <v>192550</v>
      </c>
      <c r="S5738" t="s">
        <v>114</v>
      </c>
      <c r="T5738" t="s">
        <v>114</v>
      </c>
      <c r="W5738">
        <v>0</v>
      </c>
      <c r="X5738">
        <v>0</v>
      </c>
      <c r="AU5738">
        <f t="shared" si="178"/>
        <v>0</v>
      </c>
      <c r="AV5738">
        <f t="shared" si="179"/>
        <v>0</v>
      </c>
    </row>
    <row r="5739" spans="1:48" x14ac:dyDescent="0.25">
      <c r="A5739" t="s">
        <v>18016</v>
      </c>
      <c r="B5739" t="s">
        <v>18016</v>
      </c>
      <c r="C5739" t="s">
        <v>18017</v>
      </c>
      <c r="D5739" t="s">
        <v>18015</v>
      </c>
      <c r="E5739" t="s">
        <v>2310</v>
      </c>
      <c r="F5739">
        <v>8</v>
      </c>
      <c r="G5739">
        <v>8.1</v>
      </c>
      <c r="H5739" t="s">
        <v>2323</v>
      </c>
      <c r="I5739" s="21">
        <v>43354.451613888887</v>
      </c>
      <c r="J5739">
        <v>2018</v>
      </c>
      <c r="K5739" s="21">
        <v>43376.641024108794</v>
      </c>
      <c r="L5739">
        <v>2018</v>
      </c>
      <c r="M5739" s="21">
        <v>44133.397965543983</v>
      </c>
      <c r="N5739">
        <v>2020</v>
      </c>
      <c r="Q5739" s="262">
        <v>400000</v>
      </c>
      <c r="R5739" s="262">
        <v>111000</v>
      </c>
      <c r="S5739" t="s">
        <v>13253</v>
      </c>
      <c r="T5739">
        <v>2788</v>
      </c>
      <c r="V5739">
        <v>500</v>
      </c>
      <c r="W5739">
        <v>606</v>
      </c>
      <c r="X5739">
        <v>0</v>
      </c>
      <c r="AC5739">
        <v>606</v>
      </c>
      <c r="AU5739">
        <f t="shared" si="178"/>
        <v>0</v>
      </c>
      <c r="AV5739">
        <f t="shared" si="179"/>
        <v>0</v>
      </c>
    </row>
    <row r="5740" spans="1:48" x14ac:dyDescent="0.25">
      <c r="A5740" t="s">
        <v>18982</v>
      </c>
      <c r="B5740" t="s">
        <v>18982</v>
      </c>
      <c r="C5740" t="s">
        <v>18983</v>
      </c>
      <c r="D5740" t="s">
        <v>18984</v>
      </c>
      <c r="E5740" t="s">
        <v>2310</v>
      </c>
      <c r="F5740">
        <v>9</v>
      </c>
      <c r="G5740">
        <v>9.3000000000000007</v>
      </c>
      <c r="H5740" t="s">
        <v>2323</v>
      </c>
      <c r="I5740" s="21">
        <v>43354.500862303241</v>
      </c>
      <c r="J5740">
        <v>2018</v>
      </c>
      <c r="K5740" s="21">
        <v>43368.514158298611</v>
      </c>
      <c r="L5740">
        <v>2018</v>
      </c>
      <c r="M5740" s="21">
        <v>43698.704597303244</v>
      </c>
      <c r="N5740">
        <v>2019</v>
      </c>
      <c r="Q5740" s="262">
        <v>230000</v>
      </c>
      <c r="R5740" s="262">
        <v>139000</v>
      </c>
      <c r="S5740" t="s">
        <v>13254</v>
      </c>
      <c r="W5740">
        <v>1608</v>
      </c>
      <c r="X5740">
        <v>1</v>
      </c>
      <c r="AF5740">
        <v>1608</v>
      </c>
      <c r="AR5740">
        <v>1</v>
      </c>
      <c r="AU5740">
        <f t="shared" si="178"/>
        <v>0</v>
      </c>
      <c r="AV5740">
        <f t="shared" si="179"/>
        <v>0</v>
      </c>
    </row>
    <row r="5741" spans="1:48" x14ac:dyDescent="0.25">
      <c r="A5741" t="s">
        <v>19215</v>
      </c>
      <c r="B5741" t="s">
        <v>19215</v>
      </c>
      <c r="C5741" t="s">
        <v>19216</v>
      </c>
      <c r="D5741" t="s">
        <v>19217</v>
      </c>
      <c r="E5741" t="s">
        <v>2310</v>
      </c>
      <c r="F5741">
        <v>9</v>
      </c>
      <c r="G5741">
        <v>9.1999999999999993</v>
      </c>
      <c r="H5741" t="s">
        <v>2022</v>
      </c>
      <c r="I5741" s="21">
        <v>43354.578924918984</v>
      </c>
      <c r="J5741">
        <v>2018</v>
      </c>
      <c r="K5741" s="21">
        <v>43578.567974456018</v>
      </c>
      <c r="L5741">
        <v>2019</v>
      </c>
      <c r="M5741" s="21">
        <v>43853.368216747687</v>
      </c>
      <c r="N5741">
        <v>2020</v>
      </c>
      <c r="Q5741" s="262">
        <v>403990</v>
      </c>
      <c r="R5741" s="262">
        <v>150000</v>
      </c>
      <c r="S5741" t="s">
        <v>13254</v>
      </c>
      <c r="W5741">
        <v>1818</v>
      </c>
      <c r="X5741">
        <v>1</v>
      </c>
      <c r="AF5741">
        <v>1818</v>
      </c>
      <c r="AR5741">
        <v>1</v>
      </c>
      <c r="AU5741">
        <f t="shared" si="178"/>
        <v>0</v>
      </c>
      <c r="AV5741">
        <f t="shared" si="179"/>
        <v>0</v>
      </c>
    </row>
    <row r="5742" spans="1:48" x14ac:dyDescent="0.25">
      <c r="A5742" t="s">
        <v>19118</v>
      </c>
      <c r="B5742" t="s">
        <v>19118</v>
      </c>
      <c r="C5742" t="s">
        <v>19119</v>
      </c>
      <c r="D5742" t="s">
        <v>2842</v>
      </c>
      <c r="E5742" t="s">
        <v>2310</v>
      </c>
      <c r="F5742">
        <v>9</v>
      </c>
      <c r="G5742">
        <v>9.3000000000000007</v>
      </c>
      <c r="H5742" t="s">
        <v>2323</v>
      </c>
      <c r="I5742" s="21">
        <v>43354.636771608799</v>
      </c>
      <c r="J5742">
        <v>2018</v>
      </c>
      <c r="K5742" s="21">
        <v>43557.426138078707</v>
      </c>
      <c r="L5742">
        <v>2019</v>
      </c>
      <c r="M5742" s="21">
        <v>43775.383139965277</v>
      </c>
      <c r="N5742">
        <v>2019</v>
      </c>
      <c r="Q5742" s="262">
        <v>485000</v>
      </c>
      <c r="R5742" s="262">
        <v>147000</v>
      </c>
      <c r="S5742" t="s">
        <v>13254</v>
      </c>
      <c r="W5742">
        <v>2520</v>
      </c>
      <c r="X5742">
        <v>0</v>
      </c>
      <c r="AC5742">
        <v>2520</v>
      </c>
      <c r="AU5742">
        <f t="shared" si="178"/>
        <v>0</v>
      </c>
      <c r="AV5742">
        <f t="shared" si="179"/>
        <v>0</v>
      </c>
    </row>
    <row r="5743" spans="1:48" x14ac:dyDescent="0.25">
      <c r="A5743" t="s">
        <v>13984</v>
      </c>
      <c r="C5743" t="s">
        <v>13985</v>
      </c>
      <c r="D5743" t="s">
        <v>13986</v>
      </c>
      <c r="E5743" t="s">
        <v>1663</v>
      </c>
      <c r="F5743">
        <v>2</v>
      </c>
      <c r="G5743">
        <v>2.2999999999999998</v>
      </c>
      <c r="H5743" t="s">
        <v>2327</v>
      </c>
      <c r="I5743" s="21">
        <v>43357</v>
      </c>
      <c r="J5743">
        <v>2018</v>
      </c>
      <c r="K5743" s="21">
        <v>43368</v>
      </c>
      <c r="L5743">
        <v>2018</v>
      </c>
      <c r="M5743" s="21">
        <v>43402</v>
      </c>
      <c r="N5743">
        <v>2018</v>
      </c>
      <c r="Q5743" s="262">
        <v>10000</v>
      </c>
      <c r="S5743" t="s">
        <v>114</v>
      </c>
      <c r="T5743" t="s">
        <v>114</v>
      </c>
      <c r="W5743">
        <v>0</v>
      </c>
      <c r="X5743">
        <v>0</v>
      </c>
      <c r="AU5743">
        <f t="shared" si="178"/>
        <v>0</v>
      </c>
      <c r="AV5743">
        <f t="shared" si="179"/>
        <v>0</v>
      </c>
    </row>
    <row r="5744" spans="1:48" x14ac:dyDescent="0.25">
      <c r="A5744" t="s">
        <v>18471</v>
      </c>
      <c r="B5744" t="s">
        <v>18471</v>
      </c>
      <c r="C5744" t="s">
        <v>18472</v>
      </c>
      <c r="D5744" t="s">
        <v>18473</v>
      </c>
      <c r="E5744" t="s">
        <v>2310</v>
      </c>
      <c r="F5744">
        <v>15</v>
      </c>
      <c r="G5744">
        <v>15.4</v>
      </c>
      <c r="H5744" t="s">
        <v>2323</v>
      </c>
      <c r="I5744" s="21">
        <v>43361.465765706016</v>
      </c>
      <c r="J5744">
        <v>2018</v>
      </c>
      <c r="K5744" s="21">
        <v>43402.524770520831</v>
      </c>
      <c r="L5744">
        <v>2018</v>
      </c>
      <c r="M5744" s="21">
        <v>43789.693519479166</v>
      </c>
      <c r="N5744">
        <v>2019</v>
      </c>
      <c r="Q5744" s="262">
        <v>100000</v>
      </c>
      <c r="R5744" s="262">
        <v>50000</v>
      </c>
      <c r="S5744" t="s">
        <v>13253</v>
      </c>
      <c r="T5744">
        <v>5620</v>
      </c>
      <c r="W5744">
        <v>436</v>
      </c>
      <c r="X5744">
        <v>0</v>
      </c>
      <c r="AC5744">
        <v>436</v>
      </c>
      <c r="AU5744">
        <f t="shared" si="178"/>
        <v>0</v>
      </c>
      <c r="AV5744">
        <f t="shared" si="179"/>
        <v>0</v>
      </c>
    </row>
    <row r="5745" spans="1:48" x14ac:dyDescent="0.25">
      <c r="A5745" t="s">
        <v>19281</v>
      </c>
      <c r="B5745" t="s">
        <v>19281</v>
      </c>
      <c r="C5745" t="s">
        <v>19282</v>
      </c>
      <c r="D5745" t="s">
        <v>19283</v>
      </c>
      <c r="E5745" t="s">
        <v>2310</v>
      </c>
      <c r="F5745">
        <v>9</v>
      </c>
      <c r="G5745">
        <v>9.1999999999999993</v>
      </c>
      <c r="H5745" t="s">
        <v>2022</v>
      </c>
      <c r="I5745" s="21">
        <v>43362.47854059028</v>
      </c>
      <c r="J5745">
        <v>2018</v>
      </c>
      <c r="K5745" s="21">
        <v>43424.423786111111</v>
      </c>
      <c r="L5745">
        <v>2018</v>
      </c>
      <c r="M5745" s="21">
        <v>43896.424817210645</v>
      </c>
      <c r="N5745">
        <v>2020</v>
      </c>
      <c r="Q5745" s="262">
        <v>950000</v>
      </c>
      <c r="R5745" s="262">
        <v>503000</v>
      </c>
      <c r="S5745" t="s">
        <v>13254</v>
      </c>
      <c r="W5745">
        <v>4988</v>
      </c>
      <c r="X5745">
        <v>1</v>
      </c>
      <c r="AC5745">
        <v>4988</v>
      </c>
      <c r="AO5745">
        <v>1</v>
      </c>
      <c r="AU5745">
        <f t="shared" si="178"/>
        <v>1</v>
      </c>
      <c r="AV5745">
        <f t="shared" si="179"/>
        <v>0</v>
      </c>
    </row>
    <row r="5746" spans="1:48" x14ac:dyDescent="0.25">
      <c r="A5746" t="s">
        <v>19081</v>
      </c>
      <c r="B5746" t="s">
        <v>19081</v>
      </c>
      <c r="C5746" t="s">
        <v>19082</v>
      </c>
      <c r="D5746" t="s">
        <v>19083</v>
      </c>
      <c r="E5746" t="s">
        <v>2310</v>
      </c>
      <c r="F5746">
        <v>14</v>
      </c>
      <c r="G5746">
        <v>14.1</v>
      </c>
      <c r="H5746" t="s">
        <v>2022</v>
      </c>
      <c r="I5746" s="21">
        <v>43363.567412002318</v>
      </c>
      <c r="J5746">
        <v>2018</v>
      </c>
      <c r="K5746" s="21">
        <v>43487.504578125001</v>
      </c>
      <c r="L5746">
        <v>2019</v>
      </c>
      <c r="M5746" s="21">
        <v>43752.682980752317</v>
      </c>
      <c r="N5746">
        <v>2019</v>
      </c>
      <c r="Q5746" s="262">
        <v>100000</v>
      </c>
      <c r="R5746" s="262">
        <v>67000</v>
      </c>
      <c r="S5746" t="s">
        <v>13254</v>
      </c>
      <c r="W5746">
        <v>1480</v>
      </c>
      <c r="X5746">
        <v>0</v>
      </c>
      <c r="AC5746">
        <v>1480</v>
      </c>
      <c r="AU5746">
        <f t="shared" si="178"/>
        <v>0</v>
      </c>
      <c r="AV5746">
        <f t="shared" si="179"/>
        <v>0</v>
      </c>
    </row>
    <row r="5747" spans="1:48" x14ac:dyDescent="0.25">
      <c r="A5747" t="s">
        <v>18998</v>
      </c>
      <c r="B5747" t="s">
        <v>18998</v>
      </c>
      <c r="C5747" t="s">
        <v>18999</v>
      </c>
      <c r="D5747" t="s">
        <v>1832</v>
      </c>
      <c r="E5747" t="s">
        <v>2310</v>
      </c>
      <c r="F5747">
        <v>9</v>
      </c>
      <c r="G5747">
        <v>9.3000000000000007</v>
      </c>
      <c r="H5747" t="s">
        <v>2323</v>
      </c>
      <c r="I5747" s="21">
        <v>43363.628463391207</v>
      </c>
      <c r="J5747">
        <v>2018</v>
      </c>
      <c r="K5747" s="21">
        <v>43390.694963275462</v>
      </c>
      <c r="L5747">
        <v>2018</v>
      </c>
      <c r="M5747" s="21">
        <v>43704.430598761573</v>
      </c>
      <c r="N5747">
        <v>2019</v>
      </c>
      <c r="Q5747" s="262">
        <v>112825</v>
      </c>
      <c r="R5747" s="262">
        <v>21000</v>
      </c>
      <c r="S5747" t="s">
        <v>13254</v>
      </c>
      <c r="W5747">
        <v>451</v>
      </c>
      <c r="X5747">
        <v>0</v>
      </c>
      <c r="AM5747">
        <v>451</v>
      </c>
      <c r="AU5747">
        <f t="shared" si="178"/>
        <v>0</v>
      </c>
      <c r="AV5747">
        <f t="shared" si="179"/>
        <v>451</v>
      </c>
    </row>
    <row r="5748" spans="1:48" x14ac:dyDescent="0.25">
      <c r="A5748" t="s">
        <v>19400</v>
      </c>
      <c r="B5748" t="s">
        <v>19400</v>
      </c>
      <c r="C5748" t="s">
        <v>19401</v>
      </c>
      <c r="D5748" t="s">
        <v>19402</v>
      </c>
      <c r="E5748" t="s">
        <v>2310</v>
      </c>
      <c r="F5748">
        <v>15</v>
      </c>
      <c r="G5748">
        <v>15.4</v>
      </c>
      <c r="H5748" t="s">
        <v>2323</v>
      </c>
      <c r="I5748" s="21">
        <v>43368.476651620367</v>
      </c>
      <c r="J5748">
        <v>2018</v>
      </c>
      <c r="K5748" s="21">
        <v>43683.680428622683</v>
      </c>
      <c r="L5748">
        <v>2019</v>
      </c>
      <c r="M5748" s="21">
        <v>44012.419330752316</v>
      </c>
      <c r="N5748">
        <v>2020</v>
      </c>
      <c r="Q5748" s="262">
        <v>468000</v>
      </c>
      <c r="R5748" s="262">
        <v>216000</v>
      </c>
      <c r="S5748" t="s">
        <v>13254</v>
      </c>
      <c r="W5748">
        <v>3323</v>
      </c>
      <c r="X5748">
        <v>1</v>
      </c>
      <c r="AC5748">
        <v>2336</v>
      </c>
      <c r="AF5748">
        <v>987</v>
      </c>
      <c r="AR5748">
        <v>1</v>
      </c>
      <c r="AU5748">
        <f t="shared" si="178"/>
        <v>0</v>
      </c>
      <c r="AV5748">
        <f t="shared" si="179"/>
        <v>0</v>
      </c>
    </row>
    <row r="5749" spans="1:48" x14ac:dyDescent="0.25">
      <c r="A5749" t="s">
        <v>18414</v>
      </c>
      <c r="B5749" t="s">
        <v>18414</v>
      </c>
      <c r="C5749" t="s">
        <v>18415</v>
      </c>
      <c r="D5749" t="s">
        <v>5259</v>
      </c>
      <c r="E5749" t="s">
        <v>2310</v>
      </c>
      <c r="F5749">
        <v>9</v>
      </c>
      <c r="G5749">
        <v>9.3000000000000007</v>
      </c>
      <c r="H5749" t="s">
        <v>2323</v>
      </c>
      <c r="I5749" s="21">
        <v>43370.453951585645</v>
      </c>
      <c r="J5749">
        <v>2018</v>
      </c>
      <c r="K5749" s="21">
        <v>43383.500347766203</v>
      </c>
      <c r="L5749">
        <v>2018</v>
      </c>
      <c r="M5749" s="21">
        <v>43740.595371030089</v>
      </c>
      <c r="N5749">
        <v>2019</v>
      </c>
      <c r="Q5749" s="262">
        <v>600000</v>
      </c>
      <c r="R5749" s="262">
        <v>160000</v>
      </c>
      <c r="S5749" t="s">
        <v>13253</v>
      </c>
      <c r="T5749">
        <v>5076</v>
      </c>
      <c r="V5749">
        <v>625</v>
      </c>
      <c r="W5749">
        <v>950</v>
      </c>
      <c r="X5749">
        <v>0</v>
      </c>
      <c r="AC5749">
        <v>950</v>
      </c>
      <c r="AU5749">
        <f t="shared" si="178"/>
        <v>0</v>
      </c>
      <c r="AV5749">
        <f t="shared" si="179"/>
        <v>0</v>
      </c>
    </row>
    <row r="5750" spans="1:48" x14ac:dyDescent="0.25">
      <c r="A5750" t="s">
        <v>14210</v>
      </c>
      <c r="D5750" t="s">
        <v>14211</v>
      </c>
      <c r="E5750" t="s">
        <v>2310</v>
      </c>
      <c r="F5750">
        <v>8</v>
      </c>
      <c r="G5750">
        <v>8.3000000000000007</v>
      </c>
      <c r="H5750" t="s">
        <v>2323</v>
      </c>
      <c r="I5750" s="21">
        <v>43370.6515685185</v>
      </c>
      <c r="J5750">
        <v>2018</v>
      </c>
      <c r="K5750" s="21">
        <v>43560.592920451403</v>
      </c>
      <c r="L5750">
        <v>2019</v>
      </c>
      <c r="M5750" s="21">
        <v>44838.619692592591</v>
      </c>
      <c r="N5750">
        <v>2022</v>
      </c>
      <c r="O5750" s="21" t="s">
        <v>114</v>
      </c>
      <c r="P5750" s="21" t="s">
        <v>114</v>
      </c>
      <c r="Q5750" s="262">
        <v>660000</v>
      </c>
      <c r="R5750" s="262">
        <v>594000</v>
      </c>
      <c r="S5750" t="s">
        <v>9529</v>
      </c>
      <c r="T5750">
        <v>83</v>
      </c>
      <c r="U5750">
        <v>9</v>
      </c>
      <c r="W5750">
        <v>-1216</v>
      </c>
      <c r="X5750">
        <v>-1</v>
      </c>
      <c r="Y5750">
        <v>0</v>
      </c>
      <c r="Z5750">
        <v>0</v>
      </c>
      <c r="AA5750">
        <v>0</v>
      </c>
      <c r="AB5750">
        <v>0</v>
      </c>
      <c r="AC5750">
        <v>0</v>
      </c>
      <c r="AD5750">
        <v>0</v>
      </c>
      <c r="AE5750">
        <v>0</v>
      </c>
      <c r="AF5750">
        <v>0</v>
      </c>
      <c r="AG5750">
        <v>-1216</v>
      </c>
      <c r="AH5750">
        <v>0</v>
      </c>
      <c r="AI5750">
        <v>0</v>
      </c>
      <c r="AJ5750">
        <v>0</v>
      </c>
      <c r="AK5750">
        <v>0</v>
      </c>
      <c r="AL5750">
        <v>0</v>
      </c>
      <c r="AM5750">
        <v>0</v>
      </c>
      <c r="AN5750">
        <v>0</v>
      </c>
      <c r="AO5750">
        <v>0</v>
      </c>
      <c r="AP5750">
        <v>0</v>
      </c>
      <c r="AQ5750">
        <v>0</v>
      </c>
      <c r="AR5750">
        <v>0</v>
      </c>
      <c r="AS5750">
        <v>-1</v>
      </c>
      <c r="AT5750">
        <v>0</v>
      </c>
      <c r="AU5750">
        <f t="shared" si="178"/>
        <v>-1</v>
      </c>
      <c r="AV5750">
        <f t="shared" si="179"/>
        <v>0</v>
      </c>
    </row>
    <row r="5751" spans="1:48" x14ac:dyDescent="0.25">
      <c r="A5751" t="s">
        <v>14210</v>
      </c>
      <c r="B5751" t="s">
        <v>14210</v>
      </c>
      <c r="C5751" t="s">
        <v>14293</v>
      </c>
      <c r="D5751" t="s">
        <v>14211</v>
      </c>
      <c r="E5751" t="s">
        <v>2310</v>
      </c>
      <c r="F5751">
        <v>8</v>
      </c>
      <c r="G5751">
        <v>8.3000000000000007</v>
      </c>
      <c r="H5751" t="s">
        <v>2323</v>
      </c>
      <c r="I5751" s="21">
        <v>43370.6515685185</v>
      </c>
      <c r="J5751">
        <v>2018</v>
      </c>
      <c r="K5751" s="21">
        <v>43560.592920451403</v>
      </c>
      <c r="L5751">
        <v>2019</v>
      </c>
      <c r="M5751" s="21">
        <v>44838</v>
      </c>
      <c r="N5751">
        <v>2022</v>
      </c>
      <c r="Q5751" s="262">
        <v>660000</v>
      </c>
      <c r="R5751" s="262">
        <v>594000</v>
      </c>
      <c r="S5751" t="s">
        <v>12464</v>
      </c>
      <c r="T5751">
        <v>83</v>
      </c>
      <c r="W5751">
        <v>6779</v>
      </c>
      <c r="X5751">
        <v>2</v>
      </c>
      <c r="AC5751">
        <v>5979</v>
      </c>
      <c r="AF5751">
        <v>800</v>
      </c>
      <c r="AO5751">
        <v>1</v>
      </c>
      <c r="AR5751">
        <v>1</v>
      </c>
      <c r="AU5751">
        <f t="shared" si="178"/>
        <v>1</v>
      </c>
      <c r="AV5751">
        <f t="shared" si="179"/>
        <v>0</v>
      </c>
    </row>
    <row r="5752" spans="1:48" x14ac:dyDescent="0.25">
      <c r="A5752" t="s">
        <v>13987</v>
      </c>
      <c r="C5752" t="s">
        <v>13988</v>
      </c>
      <c r="D5752" t="s">
        <v>13065</v>
      </c>
      <c r="E5752" t="s">
        <v>1663</v>
      </c>
      <c r="F5752">
        <v>2</v>
      </c>
      <c r="G5752">
        <v>2.2999999999999998</v>
      </c>
      <c r="H5752" t="s">
        <v>2327</v>
      </c>
      <c r="I5752" s="21">
        <v>43371</v>
      </c>
      <c r="J5752">
        <v>2018</v>
      </c>
      <c r="K5752" s="21">
        <v>43409</v>
      </c>
      <c r="L5752">
        <v>2018</v>
      </c>
      <c r="M5752" s="21">
        <v>43718</v>
      </c>
      <c r="N5752">
        <v>2019</v>
      </c>
      <c r="Q5752" s="262">
        <v>300000</v>
      </c>
      <c r="S5752" t="s">
        <v>114</v>
      </c>
      <c r="T5752" t="s">
        <v>114</v>
      </c>
      <c r="W5752">
        <v>0</v>
      </c>
      <c r="X5752">
        <v>0</v>
      </c>
      <c r="AU5752">
        <f t="shared" si="178"/>
        <v>0</v>
      </c>
      <c r="AV5752">
        <f t="shared" si="179"/>
        <v>0</v>
      </c>
    </row>
    <row r="5753" spans="1:48" x14ac:dyDescent="0.25">
      <c r="A5753" t="s">
        <v>18777</v>
      </c>
      <c r="B5753" t="s">
        <v>114</v>
      </c>
      <c r="C5753" t="s">
        <v>13528</v>
      </c>
      <c r="D5753" t="s">
        <v>5719</v>
      </c>
      <c r="E5753" t="s">
        <v>1663</v>
      </c>
      <c r="F5753">
        <v>6</v>
      </c>
      <c r="G5753">
        <v>6.2</v>
      </c>
      <c r="H5753" t="s">
        <v>2017</v>
      </c>
      <c r="I5753" s="21">
        <v>43375</v>
      </c>
      <c r="J5753">
        <v>2018</v>
      </c>
      <c r="K5753" s="21">
        <v>43501</v>
      </c>
      <c r="L5753">
        <v>2019</v>
      </c>
      <c r="M5753" s="21">
        <v>43984</v>
      </c>
      <c r="N5753">
        <v>2020</v>
      </c>
      <c r="Q5753" s="262">
        <v>1200000</v>
      </c>
      <c r="S5753" t="s">
        <v>13253</v>
      </c>
      <c r="T5753">
        <v>9203</v>
      </c>
      <c r="W5753">
        <v>1682</v>
      </c>
      <c r="X5753">
        <v>0</v>
      </c>
      <c r="AC5753">
        <v>1682</v>
      </c>
      <c r="AU5753">
        <f t="shared" si="178"/>
        <v>0</v>
      </c>
      <c r="AV5753">
        <f t="shared" si="179"/>
        <v>0</v>
      </c>
    </row>
    <row r="5754" spans="1:48" x14ac:dyDescent="0.25">
      <c r="A5754" t="s">
        <v>18645</v>
      </c>
      <c r="B5754" t="s">
        <v>18645</v>
      </c>
      <c r="C5754" t="s">
        <v>18646</v>
      </c>
      <c r="D5754" t="s">
        <v>5907</v>
      </c>
      <c r="E5754" t="s">
        <v>2310</v>
      </c>
      <c r="F5754">
        <v>9</v>
      </c>
      <c r="G5754">
        <v>9.1999999999999993</v>
      </c>
      <c r="H5754" t="s">
        <v>2022</v>
      </c>
      <c r="I5754" s="21">
        <v>43375.433197534723</v>
      </c>
      <c r="J5754">
        <v>2018</v>
      </c>
      <c r="K5754" s="21">
        <v>43383.611904976853</v>
      </c>
      <c r="L5754">
        <v>2018</v>
      </c>
      <c r="M5754" s="21">
        <v>43591.636763043978</v>
      </c>
      <c r="N5754">
        <v>2019</v>
      </c>
      <c r="Q5754" s="262">
        <v>150000</v>
      </c>
      <c r="R5754" s="262">
        <v>36000</v>
      </c>
      <c r="S5754" t="s">
        <v>13254</v>
      </c>
      <c r="W5754">
        <v>800</v>
      </c>
      <c r="X5754">
        <v>0</v>
      </c>
      <c r="AC5754">
        <v>800</v>
      </c>
      <c r="AU5754">
        <f t="shared" si="178"/>
        <v>0</v>
      </c>
      <c r="AV5754">
        <f t="shared" si="179"/>
        <v>0</v>
      </c>
    </row>
    <row r="5755" spans="1:48" x14ac:dyDescent="0.25">
      <c r="A5755" t="s">
        <v>15322</v>
      </c>
      <c r="B5755" t="s">
        <v>15322</v>
      </c>
      <c r="C5755" t="s">
        <v>15323</v>
      </c>
      <c r="D5755" t="s">
        <v>8923</v>
      </c>
      <c r="E5755" t="s">
        <v>2310</v>
      </c>
      <c r="F5755">
        <v>9</v>
      </c>
      <c r="G5755">
        <v>9.3000000000000007</v>
      </c>
      <c r="H5755" t="s">
        <v>2323</v>
      </c>
      <c r="I5755" s="21">
        <v>43375.618187731503</v>
      </c>
      <c r="J5755">
        <v>2018</v>
      </c>
      <c r="K5755" s="21">
        <v>43413.485630787</v>
      </c>
      <c r="L5755">
        <v>2018</v>
      </c>
      <c r="M5755" s="21">
        <v>44823</v>
      </c>
      <c r="N5755">
        <v>2022</v>
      </c>
      <c r="Q5755" s="262">
        <v>8000000</v>
      </c>
      <c r="R5755" s="262">
        <v>1467000</v>
      </c>
      <c r="S5755" t="s">
        <v>13254</v>
      </c>
      <c r="T5755">
        <v>0</v>
      </c>
      <c r="W5755">
        <v>9962</v>
      </c>
      <c r="X5755">
        <v>1</v>
      </c>
      <c r="AC5755">
        <v>9962</v>
      </c>
      <c r="AO5755">
        <v>1</v>
      </c>
      <c r="AU5755">
        <f t="shared" si="178"/>
        <v>1</v>
      </c>
      <c r="AV5755">
        <f t="shared" si="179"/>
        <v>0</v>
      </c>
    </row>
    <row r="5756" spans="1:48" x14ac:dyDescent="0.25">
      <c r="A5756" t="s">
        <v>13991</v>
      </c>
      <c r="B5756" t="s">
        <v>13991</v>
      </c>
      <c r="C5756" t="s">
        <v>13992</v>
      </c>
      <c r="D5756" t="s">
        <v>13993</v>
      </c>
      <c r="E5756" t="s">
        <v>2310</v>
      </c>
      <c r="F5756">
        <v>8</v>
      </c>
      <c r="G5756">
        <v>8.3000000000000007</v>
      </c>
      <c r="H5756" t="s">
        <v>2323</v>
      </c>
      <c r="I5756" s="21">
        <v>43377.436855706001</v>
      </c>
      <c r="J5756">
        <v>2018</v>
      </c>
      <c r="K5756" s="21">
        <v>43517.632872685201</v>
      </c>
      <c r="L5756">
        <v>2019</v>
      </c>
      <c r="Q5756" s="262">
        <v>1500000</v>
      </c>
      <c r="R5756" s="262">
        <v>291000</v>
      </c>
      <c r="S5756" t="s">
        <v>114</v>
      </c>
      <c r="T5756" t="s">
        <v>114</v>
      </c>
      <c r="W5756">
        <v>2940</v>
      </c>
      <c r="X5756">
        <v>1</v>
      </c>
      <c r="AC5756">
        <v>2940</v>
      </c>
      <c r="AO5756">
        <v>1</v>
      </c>
      <c r="AU5756">
        <f t="shared" si="178"/>
        <v>1</v>
      </c>
      <c r="AV5756">
        <f t="shared" si="179"/>
        <v>0</v>
      </c>
    </row>
    <row r="5757" spans="1:48" x14ac:dyDescent="0.25">
      <c r="A5757" t="s">
        <v>18166</v>
      </c>
      <c r="B5757" t="s">
        <v>18166</v>
      </c>
      <c r="C5757" t="s">
        <v>18167</v>
      </c>
      <c r="D5757" t="s">
        <v>7738</v>
      </c>
      <c r="E5757" t="s">
        <v>2310</v>
      </c>
      <c r="F5757">
        <v>8</v>
      </c>
      <c r="G5757">
        <v>8.1</v>
      </c>
      <c r="H5757" t="s">
        <v>2323</v>
      </c>
      <c r="I5757" s="21">
        <v>43377.482983217589</v>
      </c>
      <c r="J5757">
        <v>2018</v>
      </c>
      <c r="K5757" s="21">
        <v>43384.439908715278</v>
      </c>
      <c r="L5757">
        <v>2018</v>
      </c>
      <c r="M5757" s="21">
        <v>43803.412469444447</v>
      </c>
      <c r="N5757">
        <v>2019</v>
      </c>
      <c r="Q5757" s="262">
        <v>350000</v>
      </c>
      <c r="R5757" s="262">
        <v>123000</v>
      </c>
      <c r="S5757" t="s">
        <v>13253</v>
      </c>
      <c r="T5757">
        <v>3973</v>
      </c>
      <c r="V5757">
        <v>498</v>
      </c>
      <c r="W5757">
        <v>712</v>
      </c>
      <c r="X5757">
        <v>0</v>
      </c>
      <c r="AC5757">
        <v>712</v>
      </c>
      <c r="AU5757">
        <f t="shared" si="178"/>
        <v>0</v>
      </c>
      <c r="AV5757">
        <f t="shared" si="179"/>
        <v>0</v>
      </c>
    </row>
    <row r="5758" spans="1:48" x14ac:dyDescent="0.25">
      <c r="A5758" t="s">
        <v>19536</v>
      </c>
      <c r="B5758" t="s">
        <v>19536</v>
      </c>
      <c r="C5758" t="s">
        <v>19537</v>
      </c>
      <c r="D5758" t="s">
        <v>19538</v>
      </c>
      <c r="E5758" t="s">
        <v>2310</v>
      </c>
      <c r="F5758">
        <v>10</v>
      </c>
      <c r="G5758">
        <v>10.1</v>
      </c>
      <c r="H5758" t="s">
        <v>2323</v>
      </c>
      <c r="I5758" s="21">
        <v>43377.601857905094</v>
      </c>
      <c r="J5758">
        <v>2018</v>
      </c>
      <c r="K5758" s="21">
        <v>43523.548071377314</v>
      </c>
      <c r="L5758">
        <v>2019</v>
      </c>
      <c r="M5758" s="21">
        <v>43808.469099224538</v>
      </c>
      <c r="N5758">
        <v>2019</v>
      </c>
      <c r="Q5758" s="262">
        <v>135000</v>
      </c>
      <c r="R5758" s="262">
        <v>56000</v>
      </c>
      <c r="S5758" t="s">
        <v>13253</v>
      </c>
      <c r="T5758">
        <v>14284</v>
      </c>
      <c r="W5758">
        <v>489</v>
      </c>
      <c r="X5758">
        <v>0</v>
      </c>
      <c r="AC5758">
        <v>489</v>
      </c>
      <c r="AU5758">
        <f t="shared" si="178"/>
        <v>0</v>
      </c>
      <c r="AV5758">
        <f t="shared" si="179"/>
        <v>0</v>
      </c>
    </row>
    <row r="5759" spans="1:48" x14ac:dyDescent="0.25">
      <c r="A5759" t="s">
        <v>17657</v>
      </c>
      <c r="B5759" t="s">
        <v>17657</v>
      </c>
      <c r="C5759" t="s">
        <v>17658</v>
      </c>
      <c r="D5759" t="s">
        <v>17659</v>
      </c>
      <c r="E5759" t="s">
        <v>2310</v>
      </c>
      <c r="F5759">
        <v>10</v>
      </c>
      <c r="G5759">
        <v>10.1</v>
      </c>
      <c r="H5759" t="s">
        <v>2323</v>
      </c>
      <c r="I5759" s="21">
        <v>43377.641319756942</v>
      </c>
      <c r="J5759">
        <v>2018</v>
      </c>
      <c r="K5759" s="21">
        <v>43447.602077314812</v>
      </c>
      <c r="L5759">
        <v>2018</v>
      </c>
      <c r="M5759" s="21">
        <v>43847.368829247687</v>
      </c>
      <c r="N5759">
        <v>2020</v>
      </c>
      <c r="Q5759" s="262">
        <v>80000</v>
      </c>
      <c r="R5759" s="262">
        <v>47000</v>
      </c>
      <c r="S5759" t="s">
        <v>13253</v>
      </c>
      <c r="T5759">
        <v>1344</v>
      </c>
      <c r="V5759">
        <v>134</v>
      </c>
      <c r="W5759">
        <v>314</v>
      </c>
      <c r="X5759">
        <v>0</v>
      </c>
      <c r="AC5759">
        <v>314</v>
      </c>
      <c r="AU5759">
        <f t="shared" si="178"/>
        <v>0</v>
      </c>
      <c r="AV5759">
        <f t="shared" si="179"/>
        <v>0</v>
      </c>
    </row>
    <row r="5760" spans="1:48" x14ac:dyDescent="0.25">
      <c r="A5760" t="s">
        <v>13994</v>
      </c>
      <c r="C5760" t="s">
        <v>13995</v>
      </c>
      <c r="D5760" t="s">
        <v>13906</v>
      </c>
      <c r="E5760" t="s">
        <v>1663</v>
      </c>
      <c r="F5760">
        <v>2</v>
      </c>
      <c r="G5760">
        <v>2.2999999999999998</v>
      </c>
      <c r="H5760" t="s">
        <v>2327</v>
      </c>
      <c r="I5760" s="21">
        <v>43382</v>
      </c>
      <c r="J5760">
        <v>2018</v>
      </c>
      <c r="M5760" s="21">
        <v>44264</v>
      </c>
      <c r="N5760">
        <v>2021</v>
      </c>
      <c r="Q5760" s="262">
        <v>38000</v>
      </c>
      <c r="S5760" t="s">
        <v>114</v>
      </c>
      <c r="T5760" t="s">
        <v>114</v>
      </c>
      <c r="W5760">
        <v>0</v>
      </c>
      <c r="X5760">
        <v>0</v>
      </c>
      <c r="AU5760">
        <f t="shared" si="178"/>
        <v>0</v>
      </c>
      <c r="AV5760">
        <f t="shared" si="179"/>
        <v>0</v>
      </c>
    </row>
    <row r="5761" spans="1:48" x14ac:dyDescent="0.25">
      <c r="A5761" t="s">
        <v>13996</v>
      </c>
      <c r="B5761" t="s">
        <v>13996</v>
      </c>
      <c r="C5761" t="s">
        <v>13997</v>
      </c>
      <c r="D5761" t="s">
        <v>6036</v>
      </c>
      <c r="E5761" t="s">
        <v>2310</v>
      </c>
      <c r="F5761">
        <v>15</v>
      </c>
      <c r="G5761">
        <v>15.2</v>
      </c>
      <c r="H5761" t="s">
        <v>2323</v>
      </c>
      <c r="I5761" s="21">
        <v>43382.494910381902</v>
      </c>
      <c r="J5761">
        <v>2018</v>
      </c>
      <c r="K5761" s="21">
        <v>43718.478517280098</v>
      </c>
      <c r="L5761">
        <v>2019</v>
      </c>
      <c r="M5761" s="21">
        <v>43998.438564849501</v>
      </c>
      <c r="N5761">
        <v>2020</v>
      </c>
      <c r="Q5761" s="262">
        <v>750000</v>
      </c>
      <c r="R5761" s="262">
        <v>163000</v>
      </c>
      <c r="S5761" t="s">
        <v>114</v>
      </c>
      <c r="T5761" t="s">
        <v>114</v>
      </c>
      <c r="V5761">
        <v>1926</v>
      </c>
      <c r="W5761">
        <v>0</v>
      </c>
      <c r="X5761">
        <v>0</v>
      </c>
      <c r="AU5761">
        <f t="shared" si="178"/>
        <v>0</v>
      </c>
      <c r="AV5761">
        <f t="shared" si="179"/>
        <v>0</v>
      </c>
    </row>
    <row r="5762" spans="1:48" x14ac:dyDescent="0.25">
      <c r="A5762" t="s">
        <v>18374</v>
      </c>
      <c r="B5762" t="s">
        <v>18374</v>
      </c>
      <c r="C5762" t="s">
        <v>18375</v>
      </c>
      <c r="D5762" t="s">
        <v>16429</v>
      </c>
      <c r="E5762" t="s">
        <v>2310</v>
      </c>
      <c r="F5762">
        <v>9</v>
      </c>
      <c r="G5762">
        <v>9.1999999999999993</v>
      </c>
      <c r="H5762" t="s">
        <v>2022</v>
      </c>
      <c r="I5762" s="21">
        <v>43382.565776967589</v>
      </c>
      <c r="J5762">
        <v>2018</v>
      </c>
      <c r="K5762" s="21">
        <v>43642.39065011574</v>
      </c>
      <c r="L5762">
        <v>2019</v>
      </c>
      <c r="M5762" s="21">
        <v>44057.559229664352</v>
      </c>
      <c r="N5762">
        <v>2020</v>
      </c>
      <c r="Q5762" s="262">
        <v>1750000</v>
      </c>
      <c r="R5762" s="262">
        <v>992000</v>
      </c>
      <c r="S5762" t="s">
        <v>13253</v>
      </c>
      <c r="T5762">
        <v>4976</v>
      </c>
      <c r="V5762">
        <v>5601</v>
      </c>
      <c r="W5762">
        <v>3947</v>
      </c>
      <c r="X5762">
        <v>0</v>
      </c>
      <c r="AC5762">
        <v>3947</v>
      </c>
      <c r="AU5762">
        <f t="shared" si="178"/>
        <v>0</v>
      </c>
      <c r="AV5762">
        <f t="shared" si="179"/>
        <v>0</v>
      </c>
    </row>
    <row r="5763" spans="1:48" x14ac:dyDescent="0.25">
      <c r="A5763" t="s">
        <v>13998</v>
      </c>
      <c r="B5763" t="s">
        <v>13998</v>
      </c>
      <c r="C5763" t="s">
        <v>13999</v>
      </c>
      <c r="D5763" t="s">
        <v>14000</v>
      </c>
      <c r="E5763" t="s">
        <v>2310</v>
      </c>
      <c r="F5763">
        <v>15</v>
      </c>
      <c r="G5763">
        <v>15.1</v>
      </c>
      <c r="H5763" t="s">
        <v>2022</v>
      </c>
      <c r="I5763" s="21">
        <v>43383.368817673603</v>
      </c>
      <c r="J5763">
        <v>2018</v>
      </c>
      <c r="O5763" s="21">
        <v>43564.729919444399</v>
      </c>
      <c r="Q5763" s="262">
        <v>700000</v>
      </c>
      <c r="R5763" s="262">
        <v>155000</v>
      </c>
      <c r="S5763" t="s">
        <v>114</v>
      </c>
      <c r="T5763" t="s">
        <v>114</v>
      </c>
      <c r="W5763">
        <v>1947</v>
      </c>
      <c r="X5763">
        <v>1</v>
      </c>
      <c r="AC5763">
        <v>948</v>
      </c>
      <c r="AF5763">
        <v>999</v>
      </c>
      <c r="AR5763">
        <v>1</v>
      </c>
      <c r="AU5763">
        <f t="shared" si="178"/>
        <v>0</v>
      </c>
      <c r="AV5763">
        <f t="shared" si="179"/>
        <v>0</v>
      </c>
    </row>
    <row r="5764" spans="1:48" x14ac:dyDescent="0.25">
      <c r="A5764" t="s">
        <v>14001</v>
      </c>
      <c r="C5764" t="s">
        <v>14002</v>
      </c>
      <c r="D5764" t="s">
        <v>14003</v>
      </c>
      <c r="E5764" t="s">
        <v>1663</v>
      </c>
      <c r="F5764">
        <v>6</v>
      </c>
      <c r="G5764">
        <v>6.1</v>
      </c>
      <c r="H5764" t="s">
        <v>2017</v>
      </c>
      <c r="I5764" s="21">
        <v>43384</v>
      </c>
      <c r="J5764">
        <v>2018</v>
      </c>
      <c r="K5764" s="21">
        <v>43385</v>
      </c>
      <c r="L5764">
        <v>2018</v>
      </c>
      <c r="M5764" s="21">
        <v>43405</v>
      </c>
      <c r="N5764">
        <v>2018</v>
      </c>
      <c r="Q5764" s="262">
        <v>30</v>
      </c>
      <c r="S5764" t="s">
        <v>114</v>
      </c>
      <c r="T5764" t="s">
        <v>114</v>
      </c>
      <c r="W5764">
        <v>0</v>
      </c>
      <c r="X5764">
        <v>0</v>
      </c>
      <c r="AU5764">
        <f t="shared" si="178"/>
        <v>0</v>
      </c>
      <c r="AV5764">
        <f t="shared" si="179"/>
        <v>0</v>
      </c>
    </row>
    <row r="5765" spans="1:48" x14ac:dyDescent="0.25">
      <c r="A5765" t="s">
        <v>19000</v>
      </c>
      <c r="B5765" t="s">
        <v>19000</v>
      </c>
      <c r="C5765" t="s">
        <v>19001</v>
      </c>
      <c r="D5765" t="s">
        <v>19002</v>
      </c>
      <c r="E5765" t="s">
        <v>2310</v>
      </c>
      <c r="F5765">
        <v>11</v>
      </c>
      <c r="G5765">
        <v>11.2</v>
      </c>
      <c r="H5765" t="s">
        <v>2017</v>
      </c>
      <c r="I5765" s="21">
        <v>43384.476830127314</v>
      </c>
      <c r="J5765">
        <v>2018</v>
      </c>
      <c r="K5765" s="21">
        <v>43430.368029594909</v>
      </c>
      <c r="L5765">
        <v>2018</v>
      </c>
      <c r="M5765" s="21">
        <v>43704.494820057873</v>
      </c>
      <c r="N5765">
        <v>2019</v>
      </c>
      <c r="Q5765" s="262">
        <v>450000</v>
      </c>
      <c r="R5765" s="262">
        <v>104000</v>
      </c>
      <c r="S5765" t="s">
        <v>13254</v>
      </c>
      <c r="W5765">
        <v>1296</v>
      </c>
      <c r="X5765">
        <v>1</v>
      </c>
      <c r="AC5765">
        <v>624</v>
      </c>
      <c r="AF5765">
        <v>672</v>
      </c>
      <c r="AR5765">
        <v>1</v>
      </c>
      <c r="AU5765">
        <f t="shared" si="178"/>
        <v>0</v>
      </c>
      <c r="AV5765">
        <f t="shared" si="179"/>
        <v>0</v>
      </c>
    </row>
    <row r="5766" spans="1:48" x14ac:dyDescent="0.25">
      <c r="A5766" t="s">
        <v>18903</v>
      </c>
      <c r="B5766" t="s">
        <v>18903</v>
      </c>
      <c r="C5766" t="s">
        <v>18904</v>
      </c>
      <c r="D5766" t="s">
        <v>18905</v>
      </c>
      <c r="E5766" t="s">
        <v>2310</v>
      </c>
      <c r="F5766">
        <v>7</v>
      </c>
      <c r="G5766">
        <v>7.1</v>
      </c>
      <c r="H5766" t="s">
        <v>2017</v>
      </c>
      <c r="I5766" s="21">
        <v>43384.56518020833</v>
      </c>
      <c r="J5766">
        <v>2018</v>
      </c>
      <c r="K5766" s="21">
        <v>43574.665396608798</v>
      </c>
      <c r="L5766">
        <v>2019</v>
      </c>
      <c r="M5766" s="21">
        <v>43665.683841238424</v>
      </c>
      <c r="N5766">
        <v>2019</v>
      </c>
      <c r="Q5766" s="262">
        <v>390000</v>
      </c>
      <c r="R5766" s="262">
        <v>43000</v>
      </c>
      <c r="S5766" t="s">
        <v>13254</v>
      </c>
      <c r="W5766">
        <v>960</v>
      </c>
      <c r="X5766">
        <v>0</v>
      </c>
      <c r="AM5766">
        <v>960</v>
      </c>
      <c r="AU5766">
        <f t="shared" si="178"/>
        <v>0</v>
      </c>
      <c r="AV5766">
        <f t="shared" si="179"/>
        <v>960</v>
      </c>
    </row>
    <row r="5767" spans="1:48" x14ac:dyDescent="0.25">
      <c r="A5767" t="s">
        <v>14004</v>
      </c>
      <c r="C5767" t="s">
        <v>14005</v>
      </c>
      <c r="D5767" t="s">
        <v>14006</v>
      </c>
      <c r="E5767" t="s">
        <v>1663</v>
      </c>
      <c r="F5767">
        <v>3</v>
      </c>
      <c r="G5767">
        <v>3.1</v>
      </c>
      <c r="H5767" t="s">
        <v>2017</v>
      </c>
      <c r="I5767" s="21">
        <v>43385</v>
      </c>
      <c r="J5767">
        <v>2018</v>
      </c>
      <c r="K5767" s="21">
        <v>43412</v>
      </c>
      <c r="L5767">
        <v>2018</v>
      </c>
      <c r="M5767" s="21">
        <v>43602</v>
      </c>
      <c r="N5767">
        <v>2019</v>
      </c>
      <c r="Q5767" s="262">
        <v>25000</v>
      </c>
      <c r="S5767" t="s">
        <v>114</v>
      </c>
      <c r="T5767" t="s">
        <v>114</v>
      </c>
      <c r="W5767">
        <v>0</v>
      </c>
      <c r="X5767">
        <v>0</v>
      </c>
      <c r="AU5767">
        <f t="shared" si="178"/>
        <v>0</v>
      </c>
      <c r="AV5767">
        <f t="shared" si="179"/>
        <v>0</v>
      </c>
    </row>
    <row r="5768" spans="1:48" x14ac:dyDescent="0.25">
      <c r="A5768" t="s">
        <v>18974</v>
      </c>
      <c r="B5768" t="s">
        <v>114</v>
      </c>
      <c r="C5768" t="s">
        <v>15760</v>
      </c>
      <c r="D5768" t="s">
        <v>18975</v>
      </c>
      <c r="E5768" t="s">
        <v>1663</v>
      </c>
      <c r="F5768">
        <v>3</v>
      </c>
      <c r="G5768">
        <v>3.1</v>
      </c>
      <c r="H5768" t="s">
        <v>2017</v>
      </c>
      <c r="I5768" s="21">
        <v>43385</v>
      </c>
      <c r="J5768">
        <v>2018</v>
      </c>
      <c r="K5768" s="21">
        <v>43529</v>
      </c>
      <c r="L5768">
        <v>2019</v>
      </c>
      <c r="M5768" s="21">
        <v>43977</v>
      </c>
      <c r="N5768">
        <v>2020</v>
      </c>
      <c r="Q5768" s="262">
        <v>500000</v>
      </c>
      <c r="S5768" t="s">
        <v>12464</v>
      </c>
      <c r="T5768">
        <v>10423</v>
      </c>
      <c r="W5768">
        <v>3804</v>
      </c>
      <c r="X5768">
        <v>2</v>
      </c>
      <c r="AC5768">
        <v>3004</v>
      </c>
      <c r="AE5768">
        <v>800</v>
      </c>
      <c r="AO5768">
        <v>1</v>
      </c>
      <c r="AQ5768">
        <v>1</v>
      </c>
      <c r="AU5768">
        <f t="shared" si="178"/>
        <v>2</v>
      </c>
      <c r="AV5768">
        <f t="shared" si="179"/>
        <v>0</v>
      </c>
    </row>
    <row r="5769" spans="1:48" x14ac:dyDescent="0.25">
      <c r="A5769" t="s">
        <v>18974</v>
      </c>
      <c r="B5769" t="s">
        <v>114</v>
      </c>
      <c r="C5769" t="s">
        <v>15760</v>
      </c>
      <c r="D5769" t="s">
        <v>16966</v>
      </c>
      <c r="E5769" t="s">
        <v>1663</v>
      </c>
      <c r="F5769">
        <v>3</v>
      </c>
      <c r="G5769">
        <v>3.1</v>
      </c>
      <c r="H5769" t="s">
        <v>2017</v>
      </c>
      <c r="I5769" s="21">
        <v>43385</v>
      </c>
      <c r="J5769">
        <v>2018</v>
      </c>
      <c r="K5769" s="21">
        <v>43529</v>
      </c>
      <c r="L5769">
        <v>2019</v>
      </c>
      <c r="M5769" s="21">
        <v>43977</v>
      </c>
      <c r="N5769">
        <v>2020</v>
      </c>
      <c r="S5769" t="s">
        <v>9529</v>
      </c>
      <c r="T5769">
        <v>10423</v>
      </c>
      <c r="U5769">
        <v>5</v>
      </c>
      <c r="W5769">
        <v>-3538</v>
      </c>
      <c r="X5769">
        <v>-1</v>
      </c>
      <c r="Y5769">
        <v>0</v>
      </c>
      <c r="Z5769">
        <v>0</v>
      </c>
      <c r="AA5769">
        <v>0</v>
      </c>
      <c r="AB5769">
        <v>0</v>
      </c>
      <c r="AC5769">
        <v>-3538</v>
      </c>
      <c r="AD5769">
        <v>0</v>
      </c>
      <c r="AE5769">
        <v>0</v>
      </c>
      <c r="AF5769">
        <v>0</v>
      </c>
      <c r="AG5769">
        <v>0</v>
      </c>
      <c r="AH5769">
        <v>0</v>
      </c>
      <c r="AI5769">
        <v>0</v>
      </c>
      <c r="AJ5769">
        <v>0</v>
      </c>
      <c r="AK5769">
        <v>0</v>
      </c>
      <c r="AL5769">
        <v>0</v>
      </c>
      <c r="AM5769">
        <v>0</v>
      </c>
      <c r="AN5769">
        <v>0</v>
      </c>
      <c r="AO5769">
        <v>-1</v>
      </c>
      <c r="AP5769">
        <v>0</v>
      </c>
      <c r="AQ5769">
        <v>0</v>
      </c>
      <c r="AR5769">
        <v>0</v>
      </c>
      <c r="AS5769">
        <v>0</v>
      </c>
      <c r="AT5769">
        <v>0</v>
      </c>
      <c r="AU5769">
        <f t="shared" si="178"/>
        <v>-1</v>
      </c>
      <c r="AV5769">
        <f t="shared" si="179"/>
        <v>0</v>
      </c>
    </row>
    <row r="5770" spans="1:48" x14ac:dyDescent="0.25">
      <c r="A5770" t="s">
        <v>14007</v>
      </c>
      <c r="B5770" t="s">
        <v>14007</v>
      </c>
      <c r="C5770" t="s">
        <v>14008</v>
      </c>
      <c r="D5770" t="s">
        <v>2326</v>
      </c>
      <c r="E5770" t="s">
        <v>2310</v>
      </c>
      <c r="F5770">
        <v>12</v>
      </c>
      <c r="G5770">
        <v>12.1</v>
      </c>
      <c r="H5770" t="s">
        <v>2327</v>
      </c>
      <c r="I5770" s="21">
        <v>43389.4486489583</v>
      </c>
      <c r="J5770">
        <v>2018</v>
      </c>
      <c r="K5770" s="21">
        <v>43441.667825428201</v>
      </c>
      <c r="L5770">
        <v>2018</v>
      </c>
      <c r="M5770" s="21">
        <v>43602.371593599499</v>
      </c>
      <c r="N5770">
        <v>2019</v>
      </c>
      <c r="Q5770" s="262">
        <v>500000</v>
      </c>
      <c r="R5770" s="262">
        <v>255000</v>
      </c>
      <c r="S5770" t="s">
        <v>114</v>
      </c>
      <c r="T5770" t="s">
        <v>114</v>
      </c>
      <c r="V5770">
        <v>2075</v>
      </c>
      <c r="W5770">
        <v>0</v>
      </c>
      <c r="X5770">
        <v>0</v>
      </c>
      <c r="AU5770">
        <f t="shared" si="178"/>
        <v>0</v>
      </c>
      <c r="AV5770">
        <f t="shared" si="179"/>
        <v>0</v>
      </c>
    </row>
    <row r="5771" spans="1:48" x14ac:dyDescent="0.25">
      <c r="A5771" t="s">
        <v>14009</v>
      </c>
      <c r="C5771" t="s">
        <v>14010</v>
      </c>
      <c r="D5771" t="s">
        <v>2081</v>
      </c>
      <c r="E5771" t="s">
        <v>1663</v>
      </c>
      <c r="F5771">
        <v>2</v>
      </c>
      <c r="G5771">
        <v>2.2999999999999998</v>
      </c>
      <c r="H5771" t="s">
        <v>2327</v>
      </c>
      <c r="I5771" s="21">
        <v>43395</v>
      </c>
      <c r="J5771">
        <v>2018</v>
      </c>
      <c r="K5771" s="21">
        <v>43445</v>
      </c>
      <c r="L5771">
        <v>2018</v>
      </c>
      <c r="M5771" s="21">
        <v>43657</v>
      </c>
      <c r="N5771">
        <v>2019</v>
      </c>
      <c r="Q5771" s="262">
        <v>50000</v>
      </c>
      <c r="S5771" t="s">
        <v>114</v>
      </c>
      <c r="T5771" t="s">
        <v>114</v>
      </c>
      <c r="W5771">
        <v>0</v>
      </c>
      <c r="X5771">
        <v>0</v>
      </c>
      <c r="AU5771">
        <f t="shared" si="178"/>
        <v>0</v>
      </c>
      <c r="AV5771">
        <f t="shared" si="179"/>
        <v>0</v>
      </c>
    </row>
    <row r="5772" spans="1:48" x14ac:dyDescent="0.25">
      <c r="A5772" t="s">
        <v>14011</v>
      </c>
      <c r="C5772" t="s">
        <v>14012</v>
      </c>
      <c r="D5772" t="s">
        <v>2081</v>
      </c>
      <c r="E5772" t="s">
        <v>1663</v>
      </c>
      <c r="F5772">
        <v>2</v>
      </c>
      <c r="G5772">
        <v>2.2999999999999998</v>
      </c>
      <c r="H5772" t="s">
        <v>2327</v>
      </c>
      <c r="I5772" s="21">
        <v>43395</v>
      </c>
      <c r="J5772">
        <v>2018</v>
      </c>
      <c r="K5772" s="21">
        <v>43448</v>
      </c>
      <c r="L5772">
        <v>2018</v>
      </c>
      <c r="M5772" s="21">
        <v>43657</v>
      </c>
      <c r="N5772">
        <v>2019</v>
      </c>
      <c r="Q5772" s="262">
        <v>75000</v>
      </c>
      <c r="S5772" t="s">
        <v>114</v>
      </c>
      <c r="T5772" t="s">
        <v>114</v>
      </c>
      <c r="W5772">
        <v>0</v>
      </c>
      <c r="X5772">
        <v>0</v>
      </c>
      <c r="AU5772">
        <f t="shared" si="178"/>
        <v>0</v>
      </c>
      <c r="AV5772">
        <f t="shared" si="179"/>
        <v>0</v>
      </c>
    </row>
    <row r="5773" spans="1:48" x14ac:dyDescent="0.25">
      <c r="A5773" t="s">
        <v>19132</v>
      </c>
      <c r="B5773" t="s">
        <v>19132</v>
      </c>
      <c r="C5773" t="s">
        <v>19133</v>
      </c>
      <c r="D5773" t="s">
        <v>19134</v>
      </c>
      <c r="E5773" t="s">
        <v>2310</v>
      </c>
      <c r="F5773">
        <v>13</v>
      </c>
      <c r="G5773">
        <v>13.2</v>
      </c>
      <c r="H5773" t="s">
        <v>2327</v>
      </c>
      <c r="I5773" s="21">
        <v>43398.439236840277</v>
      </c>
      <c r="J5773">
        <v>2018</v>
      </c>
      <c r="K5773" s="21">
        <v>43413.672448530095</v>
      </c>
      <c r="L5773">
        <v>2018</v>
      </c>
      <c r="M5773" s="21">
        <v>43787.467031134256</v>
      </c>
      <c r="N5773">
        <v>2019</v>
      </c>
      <c r="Q5773" s="262">
        <v>100000</v>
      </c>
      <c r="R5773" s="262">
        <v>39000</v>
      </c>
      <c r="S5773" t="s">
        <v>13254</v>
      </c>
      <c r="W5773">
        <v>864</v>
      </c>
      <c r="X5773">
        <v>0</v>
      </c>
      <c r="AC5773">
        <v>864</v>
      </c>
      <c r="AU5773">
        <f t="shared" si="178"/>
        <v>0</v>
      </c>
      <c r="AV5773">
        <f t="shared" si="179"/>
        <v>0</v>
      </c>
    </row>
    <row r="5774" spans="1:48" x14ac:dyDescent="0.25">
      <c r="A5774" t="s">
        <v>14015</v>
      </c>
      <c r="C5774" t="s">
        <v>11237</v>
      </c>
      <c r="D5774" t="s">
        <v>14016</v>
      </c>
      <c r="E5774" t="s">
        <v>1663</v>
      </c>
      <c r="F5774">
        <v>5</v>
      </c>
      <c r="G5774">
        <v>5.5</v>
      </c>
      <c r="H5774" t="s">
        <v>2017</v>
      </c>
      <c r="I5774" s="21">
        <v>43405</v>
      </c>
      <c r="J5774">
        <v>2018</v>
      </c>
      <c r="K5774" s="21">
        <v>43418</v>
      </c>
      <c r="L5774">
        <v>2018</v>
      </c>
      <c r="M5774" s="21">
        <v>43490</v>
      </c>
      <c r="N5774">
        <v>2019</v>
      </c>
      <c r="Q5774" s="262">
        <v>9800</v>
      </c>
      <c r="S5774" t="s">
        <v>114</v>
      </c>
      <c r="T5774" t="s">
        <v>114</v>
      </c>
      <c r="W5774">
        <v>0</v>
      </c>
      <c r="X5774">
        <v>0</v>
      </c>
      <c r="AU5774">
        <f t="shared" si="178"/>
        <v>0</v>
      </c>
      <c r="AV5774">
        <f t="shared" si="179"/>
        <v>0</v>
      </c>
    </row>
    <row r="5775" spans="1:48" x14ac:dyDescent="0.25">
      <c r="A5775" t="s">
        <v>14013</v>
      </c>
      <c r="C5775" t="s">
        <v>11237</v>
      </c>
      <c r="D5775" t="s">
        <v>14014</v>
      </c>
      <c r="E5775" t="s">
        <v>1663</v>
      </c>
      <c r="F5775">
        <v>3</v>
      </c>
      <c r="G5775">
        <v>3.2</v>
      </c>
      <c r="H5775" t="s">
        <v>2327</v>
      </c>
      <c r="I5775" s="21">
        <v>43405</v>
      </c>
      <c r="J5775">
        <v>2018</v>
      </c>
      <c r="Q5775" s="262">
        <v>0</v>
      </c>
      <c r="S5775" t="s">
        <v>114</v>
      </c>
      <c r="T5775" t="s">
        <v>114</v>
      </c>
      <c r="W5775">
        <v>0</v>
      </c>
      <c r="X5775">
        <v>0</v>
      </c>
      <c r="AU5775">
        <f t="shared" si="178"/>
        <v>0</v>
      </c>
      <c r="AV5775">
        <f t="shared" si="179"/>
        <v>0</v>
      </c>
    </row>
    <row r="5776" spans="1:48" x14ac:dyDescent="0.25">
      <c r="A5776" t="s">
        <v>19032</v>
      </c>
      <c r="B5776" t="s">
        <v>19032</v>
      </c>
      <c r="C5776" t="s">
        <v>19033</v>
      </c>
      <c r="D5776" t="s">
        <v>17946</v>
      </c>
      <c r="E5776" t="s">
        <v>2310</v>
      </c>
      <c r="F5776">
        <v>15</v>
      </c>
      <c r="G5776">
        <v>15.2</v>
      </c>
      <c r="H5776" t="s">
        <v>2323</v>
      </c>
      <c r="I5776" s="21">
        <v>43405.630147372685</v>
      </c>
      <c r="J5776">
        <v>2018</v>
      </c>
      <c r="K5776" s="21">
        <v>43508.444599803239</v>
      </c>
      <c r="L5776">
        <v>2019</v>
      </c>
      <c r="M5776" s="21">
        <v>43726.469308252315</v>
      </c>
      <c r="N5776">
        <v>2019</v>
      </c>
      <c r="Q5776" s="262">
        <v>430000</v>
      </c>
      <c r="R5776" s="262">
        <v>59000</v>
      </c>
      <c r="S5776" t="s">
        <v>13254</v>
      </c>
      <c r="W5776">
        <v>1151</v>
      </c>
      <c r="X5776">
        <v>0</v>
      </c>
      <c r="AC5776">
        <v>1151</v>
      </c>
      <c r="AU5776">
        <f t="shared" si="178"/>
        <v>0</v>
      </c>
      <c r="AV5776">
        <f t="shared" si="179"/>
        <v>0</v>
      </c>
    </row>
    <row r="5777" spans="1:48" x14ac:dyDescent="0.25">
      <c r="A5777" t="s">
        <v>14017</v>
      </c>
      <c r="C5777" t="s">
        <v>14018</v>
      </c>
      <c r="D5777" t="s">
        <v>14019</v>
      </c>
      <c r="E5777" t="s">
        <v>1663</v>
      </c>
      <c r="F5777">
        <v>2</v>
      </c>
      <c r="G5777">
        <v>2.2999999999999998</v>
      </c>
      <c r="H5777" t="s">
        <v>2327</v>
      </c>
      <c r="I5777" s="21">
        <v>43406</v>
      </c>
      <c r="J5777">
        <v>2018</v>
      </c>
      <c r="K5777" s="21">
        <v>43423</v>
      </c>
      <c r="L5777">
        <v>2018</v>
      </c>
      <c r="M5777" s="21">
        <v>43452</v>
      </c>
      <c r="N5777">
        <v>2018</v>
      </c>
      <c r="Q5777" s="262">
        <v>40000</v>
      </c>
      <c r="S5777" t="s">
        <v>114</v>
      </c>
      <c r="T5777" t="s">
        <v>114</v>
      </c>
      <c r="W5777">
        <v>0</v>
      </c>
      <c r="X5777">
        <v>0</v>
      </c>
      <c r="AU5777">
        <f t="shared" si="178"/>
        <v>0</v>
      </c>
      <c r="AV5777">
        <f t="shared" si="179"/>
        <v>0</v>
      </c>
    </row>
    <row r="5778" spans="1:48" x14ac:dyDescent="0.25">
      <c r="A5778" t="s">
        <v>19364</v>
      </c>
      <c r="B5778" t="s">
        <v>19364</v>
      </c>
      <c r="C5778" t="s">
        <v>19365</v>
      </c>
      <c r="D5778" t="s">
        <v>19366</v>
      </c>
      <c r="E5778" t="s">
        <v>2310</v>
      </c>
      <c r="F5778">
        <v>13</v>
      </c>
      <c r="G5778">
        <v>13.3</v>
      </c>
      <c r="H5778" t="s">
        <v>2017</v>
      </c>
      <c r="I5778" s="21">
        <v>43410.666976076391</v>
      </c>
      <c r="J5778">
        <v>2018</v>
      </c>
      <c r="K5778" s="21">
        <v>43545.519437037037</v>
      </c>
      <c r="L5778">
        <v>2019</v>
      </c>
      <c r="M5778" s="21">
        <v>43998.419491435183</v>
      </c>
      <c r="N5778">
        <v>2020</v>
      </c>
      <c r="Q5778" s="262">
        <v>600000</v>
      </c>
      <c r="R5778" s="262">
        <v>144000</v>
      </c>
      <c r="S5778" t="s">
        <v>13254</v>
      </c>
      <c r="W5778">
        <v>1784</v>
      </c>
      <c r="X5778">
        <v>1</v>
      </c>
      <c r="AC5778">
        <v>794</v>
      </c>
      <c r="AF5778">
        <v>990</v>
      </c>
      <c r="AR5778">
        <v>1</v>
      </c>
      <c r="AU5778">
        <f t="shared" si="178"/>
        <v>0</v>
      </c>
      <c r="AV5778">
        <f t="shared" si="179"/>
        <v>0</v>
      </c>
    </row>
    <row r="5779" spans="1:48" x14ac:dyDescent="0.25">
      <c r="A5779" t="s">
        <v>14020</v>
      </c>
      <c r="B5779" t="s">
        <v>14020</v>
      </c>
      <c r="C5779" t="s">
        <v>14021</v>
      </c>
      <c r="D5779" t="s">
        <v>13898</v>
      </c>
      <c r="E5779" t="s">
        <v>2310</v>
      </c>
      <c r="F5779">
        <v>8</v>
      </c>
      <c r="G5779">
        <v>8.4</v>
      </c>
      <c r="H5779" t="s">
        <v>2017</v>
      </c>
      <c r="I5779" s="21">
        <v>43413.626313576402</v>
      </c>
      <c r="J5779">
        <v>2018</v>
      </c>
      <c r="K5779" s="21">
        <v>43413.6263139699</v>
      </c>
      <c r="L5779">
        <v>2018</v>
      </c>
      <c r="M5779" s="21">
        <v>43672.340565127299</v>
      </c>
      <c r="N5779">
        <v>2019</v>
      </c>
      <c r="Q5779" s="262">
        <v>15000</v>
      </c>
      <c r="R5779" s="262">
        <v>10000</v>
      </c>
      <c r="S5779" t="s">
        <v>114</v>
      </c>
      <c r="T5779" t="s">
        <v>114</v>
      </c>
      <c r="W5779">
        <v>0</v>
      </c>
      <c r="X5779">
        <v>0</v>
      </c>
      <c r="AM5779">
        <v>0</v>
      </c>
      <c r="AU5779">
        <f t="shared" si="178"/>
        <v>0</v>
      </c>
      <c r="AV5779">
        <f t="shared" si="179"/>
        <v>0</v>
      </c>
    </row>
    <row r="5780" spans="1:48" x14ac:dyDescent="0.25">
      <c r="A5780" t="s">
        <v>14022</v>
      </c>
      <c r="B5780" t="s">
        <v>14022</v>
      </c>
      <c r="C5780" t="s">
        <v>14023</v>
      </c>
      <c r="D5780" t="s">
        <v>13898</v>
      </c>
      <c r="E5780" t="s">
        <v>2310</v>
      </c>
      <c r="F5780">
        <v>8</v>
      </c>
      <c r="G5780">
        <v>8.4</v>
      </c>
      <c r="H5780" t="s">
        <v>2017</v>
      </c>
      <c r="I5780" s="21">
        <v>43413.626374537002</v>
      </c>
      <c r="J5780">
        <v>2018</v>
      </c>
      <c r="K5780" s="21">
        <v>43727.388139814801</v>
      </c>
      <c r="L5780">
        <v>2019</v>
      </c>
      <c r="M5780" s="21">
        <v>43672.350410682899</v>
      </c>
      <c r="N5780">
        <v>2019</v>
      </c>
      <c r="Q5780" s="262">
        <v>15000</v>
      </c>
      <c r="R5780" s="262">
        <v>9000</v>
      </c>
      <c r="S5780" t="s">
        <v>114</v>
      </c>
      <c r="T5780" t="s">
        <v>114</v>
      </c>
      <c r="W5780">
        <v>0</v>
      </c>
      <c r="X5780">
        <v>0</v>
      </c>
      <c r="AU5780">
        <f t="shared" si="178"/>
        <v>0</v>
      </c>
      <c r="AV5780">
        <f t="shared" si="179"/>
        <v>0</v>
      </c>
    </row>
    <row r="5781" spans="1:48" x14ac:dyDescent="0.25">
      <c r="A5781" t="s">
        <v>14024</v>
      </c>
      <c r="B5781" t="s">
        <v>14024</v>
      </c>
      <c r="C5781" t="s">
        <v>14025</v>
      </c>
      <c r="D5781" t="s">
        <v>13898</v>
      </c>
      <c r="E5781" t="s">
        <v>2310</v>
      </c>
      <c r="F5781">
        <v>8</v>
      </c>
      <c r="G5781">
        <v>8.4</v>
      </c>
      <c r="H5781" t="s">
        <v>2017</v>
      </c>
      <c r="I5781" s="21">
        <v>43413.626435648097</v>
      </c>
      <c r="J5781">
        <v>2018</v>
      </c>
      <c r="K5781" s="21">
        <v>43413.626436030099</v>
      </c>
      <c r="L5781">
        <v>2018</v>
      </c>
      <c r="M5781" s="21">
        <v>43662.395361655101</v>
      </c>
      <c r="N5781">
        <v>2019</v>
      </c>
      <c r="Q5781" s="262">
        <v>15000</v>
      </c>
      <c r="R5781" s="262">
        <v>9000</v>
      </c>
      <c r="S5781" t="s">
        <v>114</v>
      </c>
      <c r="T5781" t="s">
        <v>114</v>
      </c>
      <c r="W5781">
        <v>0</v>
      </c>
      <c r="X5781">
        <v>0</v>
      </c>
      <c r="AU5781">
        <f t="shared" si="178"/>
        <v>0</v>
      </c>
      <c r="AV5781">
        <f t="shared" si="179"/>
        <v>0</v>
      </c>
    </row>
    <row r="5782" spans="1:48" x14ac:dyDescent="0.25">
      <c r="A5782" t="s">
        <v>19728</v>
      </c>
      <c r="B5782" t="s">
        <v>19728</v>
      </c>
      <c r="C5782" t="s">
        <v>19729</v>
      </c>
      <c r="D5782" t="s">
        <v>19730</v>
      </c>
      <c r="E5782" t="s">
        <v>2310</v>
      </c>
      <c r="F5782">
        <v>8</v>
      </c>
      <c r="G5782">
        <v>8.3000000000000007</v>
      </c>
      <c r="H5782" t="s">
        <v>2323</v>
      </c>
      <c r="I5782" s="21">
        <v>43417.484619294002</v>
      </c>
      <c r="J5782">
        <v>2018</v>
      </c>
      <c r="K5782" s="21">
        <v>43495.643056018504</v>
      </c>
      <c r="L5782">
        <v>2019</v>
      </c>
      <c r="M5782" s="21">
        <v>44344</v>
      </c>
      <c r="N5782">
        <v>2021</v>
      </c>
      <c r="Q5782" s="262">
        <v>910000</v>
      </c>
      <c r="R5782" s="262">
        <v>501000</v>
      </c>
      <c r="S5782" t="s">
        <v>13254</v>
      </c>
      <c r="U5782">
        <v>5</v>
      </c>
      <c r="W5782">
        <v>4264</v>
      </c>
      <c r="X5782">
        <v>1</v>
      </c>
      <c r="AC5782">
        <v>4264</v>
      </c>
      <c r="AO5782">
        <v>1</v>
      </c>
      <c r="AU5782">
        <f t="shared" si="178"/>
        <v>1</v>
      </c>
      <c r="AV5782">
        <f t="shared" si="179"/>
        <v>0</v>
      </c>
    </row>
    <row r="5783" spans="1:48" x14ac:dyDescent="0.25">
      <c r="A5783" t="s">
        <v>15324</v>
      </c>
      <c r="B5783" t="s">
        <v>15324</v>
      </c>
      <c r="C5783" t="s">
        <v>15325</v>
      </c>
      <c r="D5783" t="s">
        <v>15326</v>
      </c>
      <c r="E5783" t="s">
        <v>2310</v>
      </c>
      <c r="F5783">
        <v>9</v>
      </c>
      <c r="G5783">
        <v>9.3000000000000007</v>
      </c>
      <c r="H5783" t="s">
        <v>2323</v>
      </c>
      <c r="I5783" s="21">
        <v>43417.595902395798</v>
      </c>
      <c r="J5783">
        <v>2018</v>
      </c>
      <c r="K5783" s="21">
        <v>43819.407012581003</v>
      </c>
      <c r="L5783">
        <v>2019</v>
      </c>
      <c r="M5783" s="21">
        <v>44644</v>
      </c>
      <c r="N5783">
        <v>2022</v>
      </c>
      <c r="P5783" s="21">
        <v>43819.4046395486</v>
      </c>
      <c r="Q5783" s="262">
        <v>300000</v>
      </c>
      <c r="R5783" s="262">
        <v>74000</v>
      </c>
      <c r="S5783" t="s">
        <v>13254</v>
      </c>
      <c r="T5783">
        <v>0</v>
      </c>
      <c r="W5783">
        <v>1305</v>
      </c>
      <c r="X5783">
        <v>0</v>
      </c>
      <c r="AC5783">
        <v>1305</v>
      </c>
      <c r="AU5783">
        <f t="shared" si="178"/>
        <v>0</v>
      </c>
      <c r="AV5783">
        <f t="shared" si="179"/>
        <v>0</v>
      </c>
    </row>
    <row r="5784" spans="1:48" x14ac:dyDescent="0.25">
      <c r="A5784" t="s">
        <v>19968</v>
      </c>
      <c r="C5784" t="s">
        <v>14289</v>
      </c>
      <c r="D5784" t="s">
        <v>14783</v>
      </c>
      <c r="E5784" t="s">
        <v>1663</v>
      </c>
      <c r="F5784">
        <v>3</v>
      </c>
      <c r="G5784">
        <v>3.1</v>
      </c>
      <c r="H5784" t="s">
        <v>2017</v>
      </c>
      <c r="I5784" s="21">
        <v>43418</v>
      </c>
      <c r="J5784">
        <v>2018</v>
      </c>
      <c r="K5784" s="21">
        <v>43679</v>
      </c>
      <c r="L5784">
        <v>2019</v>
      </c>
      <c r="M5784" s="21">
        <v>44417</v>
      </c>
      <c r="N5784">
        <v>2021</v>
      </c>
      <c r="Q5784" s="262">
        <v>750000</v>
      </c>
      <c r="S5784" t="s">
        <v>13254</v>
      </c>
      <c r="U5784">
        <v>17</v>
      </c>
      <c r="W5784">
        <v>3489</v>
      </c>
      <c r="X5784">
        <v>2</v>
      </c>
      <c r="AC5784">
        <v>2689</v>
      </c>
      <c r="AE5784">
        <v>800</v>
      </c>
      <c r="AO5784">
        <v>1</v>
      </c>
      <c r="AQ5784">
        <v>1</v>
      </c>
      <c r="AU5784">
        <f t="shared" si="178"/>
        <v>2</v>
      </c>
      <c r="AV5784">
        <f t="shared" si="179"/>
        <v>0</v>
      </c>
    </row>
    <row r="5785" spans="1:48" x14ac:dyDescent="0.25">
      <c r="A5785" t="s">
        <v>14028</v>
      </c>
      <c r="C5785" t="s">
        <v>14029</v>
      </c>
      <c r="D5785" t="s">
        <v>14030</v>
      </c>
      <c r="E5785" t="s">
        <v>1663</v>
      </c>
      <c r="F5785">
        <v>4</v>
      </c>
      <c r="G5785">
        <v>4.4000000000000004</v>
      </c>
      <c r="H5785" t="s">
        <v>2017</v>
      </c>
      <c r="I5785" s="21">
        <v>43419</v>
      </c>
      <c r="J5785">
        <v>2018</v>
      </c>
      <c r="K5785" s="21">
        <v>43434</v>
      </c>
      <c r="L5785">
        <v>2018</v>
      </c>
      <c r="M5785" s="21">
        <v>43990</v>
      </c>
      <c r="N5785">
        <v>2020</v>
      </c>
      <c r="Q5785" s="262">
        <v>80000</v>
      </c>
      <c r="S5785" t="s">
        <v>114</v>
      </c>
      <c r="T5785" t="s">
        <v>114</v>
      </c>
      <c r="W5785">
        <v>0</v>
      </c>
      <c r="X5785">
        <v>0</v>
      </c>
      <c r="AU5785">
        <f t="shared" ref="AU5785:AU5848" si="180">SUM(AN5785:AQ5785,AS5785)</f>
        <v>0</v>
      </c>
      <c r="AV5785">
        <f t="shared" ref="AV5785:AV5848" si="181">SUM(Y5785:AB5785,AH5785:AM5785)</f>
        <v>0</v>
      </c>
    </row>
    <row r="5786" spans="1:48" x14ac:dyDescent="0.25">
      <c r="A5786" t="s">
        <v>14031</v>
      </c>
      <c r="C5786" t="s">
        <v>12663</v>
      </c>
      <c r="D5786" t="s">
        <v>14032</v>
      </c>
      <c r="E5786" t="s">
        <v>1663</v>
      </c>
      <c r="F5786">
        <v>1</v>
      </c>
      <c r="G5786">
        <v>1.2</v>
      </c>
      <c r="H5786" t="s">
        <v>2017</v>
      </c>
      <c r="I5786" s="21">
        <v>43419</v>
      </c>
      <c r="J5786">
        <v>2018</v>
      </c>
      <c r="K5786" s="21">
        <v>43425</v>
      </c>
      <c r="L5786">
        <v>2018</v>
      </c>
      <c r="M5786" s="21">
        <v>43490</v>
      </c>
      <c r="N5786">
        <v>2019</v>
      </c>
      <c r="Q5786" s="262">
        <v>82000</v>
      </c>
      <c r="S5786" t="s">
        <v>114</v>
      </c>
      <c r="T5786" t="s">
        <v>114</v>
      </c>
      <c r="W5786">
        <v>0</v>
      </c>
      <c r="X5786">
        <v>0</v>
      </c>
      <c r="AU5786">
        <f t="shared" si="180"/>
        <v>0</v>
      </c>
      <c r="AV5786">
        <f t="shared" si="181"/>
        <v>0</v>
      </c>
    </row>
    <row r="5787" spans="1:48" x14ac:dyDescent="0.25">
      <c r="A5787" t="s">
        <v>14035</v>
      </c>
      <c r="C5787" t="s">
        <v>14036</v>
      </c>
      <c r="D5787" t="s">
        <v>14037</v>
      </c>
      <c r="E5787" t="s">
        <v>1663</v>
      </c>
      <c r="F5787">
        <v>6</v>
      </c>
      <c r="G5787">
        <v>6.1</v>
      </c>
      <c r="H5787" t="s">
        <v>2017</v>
      </c>
      <c r="I5787" s="21">
        <v>43423</v>
      </c>
      <c r="J5787">
        <v>2018</v>
      </c>
      <c r="K5787" s="21">
        <v>43467</v>
      </c>
      <c r="L5787">
        <v>2019</v>
      </c>
      <c r="M5787" s="21">
        <v>43627</v>
      </c>
      <c r="N5787">
        <v>2019</v>
      </c>
      <c r="Q5787" s="262">
        <v>320000</v>
      </c>
      <c r="S5787" t="s">
        <v>114</v>
      </c>
      <c r="T5787" t="s">
        <v>114</v>
      </c>
      <c r="W5787">
        <v>0</v>
      </c>
      <c r="X5787">
        <v>0</v>
      </c>
      <c r="AU5787">
        <f t="shared" si="180"/>
        <v>0</v>
      </c>
      <c r="AV5787">
        <f t="shared" si="181"/>
        <v>0</v>
      </c>
    </row>
    <row r="5788" spans="1:48" x14ac:dyDescent="0.25">
      <c r="A5788" t="s">
        <v>14033</v>
      </c>
      <c r="C5788" t="s">
        <v>14034</v>
      </c>
      <c r="D5788" t="s">
        <v>4683</v>
      </c>
      <c r="E5788" t="s">
        <v>1663</v>
      </c>
      <c r="F5788">
        <v>2</v>
      </c>
      <c r="G5788">
        <v>2.6</v>
      </c>
      <c r="H5788" t="s">
        <v>2327</v>
      </c>
      <c r="I5788" s="21">
        <v>43423</v>
      </c>
      <c r="J5788">
        <v>2018</v>
      </c>
      <c r="K5788" s="21">
        <v>43483</v>
      </c>
      <c r="L5788">
        <v>2019</v>
      </c>
      <c r="M5788" s="21">
        <v>44084</v>
      </c>
      <c r="N5788">
        <v>2020</v>
      </c>
      <c r="Q5788" s="262">
        <v>500000</v>
      </c>
      <c r="S5788" t="s">
        <v>114</v>
      </c>
      <c r="T5788" t="s">
        <v>114</v>
      </c>
      <c r="W5788">
        <v>0</v>
      </c>
      <c r="X5788">
        <v>0</v>
      </c>
      <c r="AU5788">
        <f t="shared" si="180"/>
        <v>0</v>
      </c>
      <c r="AV5788">
        <f t="shared" si="181"/>
        <v>0</v>
      </c>
    </row>
    <row r="5789" spans="1:48" x14ac:dyDescent="0.25">
      <c r="A5789" t="s">
        <v>14506</v>
      </c>
      <c r="C5789" t="s">
        <v>14507</v>
      </c>
      <c r="D5789" t="s">
        <v>9205</v>
      </c>
      <c r="E5789" t="s">
        <v>1663</v>
      </c>
      <c r="F5789">
        <v>2</v>
      </c>
      <c r="G5789">
        <v>2.2999999999999998</v>
      </c>
      <c r="H5789" t="s">
        <v>2327</v>
      </c>
      <c r="I5789" s="21">
        <v>43423</v>
      </c>
      <c r="J5789">
        <v>2018</v>
      </c>
      <c r="K5789" s="21">
        <v>43679</v>
      </c>
      <c r="L5789">
        <v>2019</v>
      </c>
      <c r="M5789" s="21">
        <v>44676</v>
      </c>
      <c r="N5789">
        <v>2022</v>
      </c>
      <c r="P5789" s="21">
        <v>44061</v>
      </c>
      <c r="Q5789" s="262">
        <v>5443900</v>
      </c>
      <c r="S5789" t="s">
        <v>13253</v>
      </c>
      <c r="T5789">
        <v>9913</v>
      </c>
      <c r="V5789">
        <v>9339</v>
      </c>
      <c r="W5789">
        <v>15927</v>
      </c>
      <c r="X5789">
        <v>0</v>
      </c>
      <c r="AM5789">
        <v>15927</v>
      </c>
      <c r="AU5789">
        <f t="shared" si="180"/>
        <v>0</v>
      </c>
      <c r="AV5789">
        <f t="shared" si="181"/>
        <v>15927</v>
      </c>
    </row>
    <row r="5790" spans="1:48" x14ac:dyDescent="0.25">
      <c r="A5790" t="s">
        <v>14040</v>
      </c>
      <c r="C5790" t="s">
        <v>13129</v>
      </c>
      <c r="D5790" t="s">
        <v>14041</v>
      </c>
      <c r="E5790" t="s">
        <v>1663</v>
      </c>
      <c r="F5790">
        <v>3</v>
      </c>
      <c r="G5790">
        <v>3.1</v>
      </c>
      <c r="H5790" t="s">
        <v>2017</v>
      </c>
      <c r="I5790" s="21">
        <v>43424</v>
      </c>
      <c r="J5790">
        <v>2018</v>
      </c>
      <c r="K5790" s="21">
        <v>43444</v>
      </c>
      <c r="L5790">
        <v>2018</v>
      </c>
      <c r="M5790" s="21">
        <v>43913</v>
      </c>
      <c r="N5790">
        <v>2020</v>
      </c>
      <c r="Q5790" s="262">
        <v>1800</v>
      </c>
      <c r="S5790" t="s">
        <v>114</v>
      </c>
      <c r="T5790" t="s">
        <v>114</v>
      </c>
      <c r="W5790">
        <v>0</v>
      </c>
      <c r="X5790">
        <v>0</v>
      </c>
      <c r="AU5790">
        <f t="shared" si="180"/>
        <v>0</v>
      </c>
      <c r="AV5790">
        <f t="shared" si="181"/>
        <v>0</v>
      </c>
    </row>
    <row r="5791" spans="1:48" x14ac:dyDescent="0.25">
      <c r="A5791" t="s">
        <v>14038</v>
      </c>
      <c r="C5791" t="s">
        <v>14039</v>
      </c>
      <c r="D5791" t="s">
        <v>13936</v>
      </c>
      <c r="E5791" t="s">
        <v>1663</v>
      </c>
      <c r="F5791">
        <v>2</v>
      </c>
      <c r="G5791">
        <v>2.2999999999999998</v>
      </c>
      <c r="H5791" t="s">
        <v>2327</v>
      </c>
      <c r="I5791" s="21">
        <v>43424</v>
      </c>
      <c r="J5791">
        <v>2018</v>
      </c>
      <c r="K5791" s="21">
        <v>43451</v>
      </c>
      <c r="L5791">
        <v>2018</v>
      </c>
      <c r="M5791" s="21">
        <v>43453</v>
      </c>
      <c r="N5791">
        <v>2018</v>
      </c>
      <c r="Q5791" s="262">
        <v>35000</v>
      </c>
      <c r="S5791" t="s">
        <v>114</v>
      </c>
      <c r="T5791" t="s">
        <v>114</v>
      </c>
      <c r="W5791">
        <v>0</v>
      </c>
      <c r="X5791">
        <v>0</v>
      </c>
      <c r="AU5791">
        <f t="shared" si="180"/>
        <v>0</v>
      </c>
      <c r="AV5791">
        <f t="shared" si="181"/>
        <v>0</v>
      </c>
    </row>
    <row r="5792" spans="1:48" x14ac:dyDescent="0.25">
      <c r="A5792" t="s">
        <v>14042</v>
      </c>
      <c r="C5792" t="s">
        <v>14043</v>
      </c>
      <c r="D5792" t="s">
        <v>13986</v>
      </c>
      <c r="E5792" t="s">
        <v>1663</v>
      </c>
      <c r="F5792">
        <v>2</v>
      </c>
      <c r="G5792">
        <v>2.2999999999999998</v>
      </c>
      <c r="H5792" t="s">
        <v>2327</v>
      </c>
      <c r="I5792" s="21">
        <v>43424</v>
      </c>
      <c r="J5792">
        <v>2018</v>
      </c>
      <c r="K5792" s="21">
        <v>43440</v>
      </c>
      <c r="L5792">
        <v>2018</v>
      </c>
      <c r="M5792" s="21">
        <v>43539</v>
      </c>
      <c r="N5792">
        <v>2019</v>
      </c>
      <c r="Q5792" s="262">
        <v>59500</v>
      </c>
      <c r="S5792" t="s">
        <v>114</v>
      </c>
      <c r="T5792" t="s">
        <v>114</v>
      </c>
      <c r="W5792">
        <v>0</v>
      </c>
      <c r="X5792">
        <v>0</v>
      </c>
      <c r="AU5792">
        <f t="shared" si="180"/>
        <v>0</v>
      </c>
      <c r="AV5792">
        <f t="shared" si="181"/>
        <v>0</v>
      </c>
    </row>
    <row r="5793" spans="1:48" x14ac:dyDescent="0.25">
      <c r="A5793" t="s">
        <v>19516</v>
      </c>
      <c r="B5793" t="s">
        <v>19516</v>
      </c>
      <c r="C5793" t="s">
        <v>19517</v>
      </c>
      <c r="D5793" t="s">
        <v>19518</v>
      </c>
      <c r="E5793" t="s">
        <v>2310</v>
      </c>
      <c r="F5793">
        <v>8</v>
      </c>
      <c r="G5793">
        <v>8.3000000000000007</v>
      </c>
      <c r="H5793" t="s">
        <v>2323</v>
      </c>
      <c r="I5793" s="21">
        <v>43424.551686261577</v>
      </c>
      <c r="J5793">
        <v>2018</v>
      </c>
      <c r="K5793" s="21">
        <v>43724.494983680554</v>
      </c>
      <c r="L5793">
        <v>2019</v>
      </c>
      <c r="M5793" s="21">
        <v>44077.496007870373</v>
      </c>
      <c r="N5793">
        <v>2020</v>
      </c>
      <c r="Q5793" s="262">
        <v>910000</v>
      </c>
      <c r="R5793" s="262">
        <v>501000</v>
      </c>
      <c r="S5793" t="s">
        <v>13254</v>
      </c>
      <c r="W5793">
        <v>4264</v>
      </c>
      <c r="X5793">
        <v>1</v>
      </c>
      <c r="AC5793">
        <v>4264</v>
      </c>
      <c r="AO5793">
        <v>1</v>
      </c>
      <c r="AU5793">
        <f t="shared" si="180"/>
        <v>1</v>
      </c>
      <c r="AV5793">
        <f t="shared" si="181"/>
        <v>0</v>
      </c>
    </row>
    <row r="5794" spans="1:48" x14ac:dyDescent="0.25">
      <c r="A5794" t="s">
        <v>17787</v>
      </c>
      <c r="B5794" t="s">
        <v>17787</v>
      </c>
      <c r="C5794" t="s">
        <v>17788</v>
      </c>
      <c r="D5794" t="s">
        <v>17789</v>
      </c>
      <c r="E5794" t="s">
        <v>2310</v>
      </c>
      <c r="F5794">
        <v>10</v>
      </c>
      <c r="G5794">
        <v>10.1</v>
      </c>
      <c r="H5794" t="s">
        <v>2323</v>
      </c>
      <c r="I5794" s="21">
        <v>43424.601303587966</v>
      </c>
      <c r="J5794">
        <v>2018</v>
      </c>
      <c r="K5794" s="21">
        <v>43629.636049803237</v>
      </c>
      <c r="L5794">
        <v>2019</v>
      </c>
      <c r="M5794" s="21">
        <v>44035.43424047454</v>
      </c>
      <c r="N5794">
        <v>2020</v>
      </c>
      <c r="Q5794" s="262">
        <v>400000</v>
      </c>
      <c r="R5794" s="262">
        <v>199000</v>
      </c>
      <c r="S5794" t="s">
        <v>13253</v>
      </c>
      <c r="T5794">
        <v>1665</v>
      </c>
      <c r="V5794">
        <v>1320</v>
      </c>
      <c r="W5794">
        <v>664</v>
      </c>
      <c r="X5794">
        <v>0</v>
      </c>
      <c r="AC5794">
        <v>664</v>
      </c>
      <c r="AU5794">
        <f t="shared" si="180"/>
        <v>0</v>
      </c>
      <c r="AV5794">
        <f t="shared" si="181"/>
        <v>0</v>
      </c>
    </row>
    <row r="5795" spans="1:48" x14ac:dyDescent="0.25">
      <c r="A5795" t="s">
        <v>19305</v>
      </c>
      <c r="B5795" t="s">
        <v>114</v>
      </c>
      <c r="C5795" t="s">
        <v>19306</v>
      </c>
      <c r="D5795" t="s">
        <v>19105</v>
      </c>
      <c r="E5795" t="s">
        <v>1663</v>
      </c>
      <c r="F5795">
        <v>3</v>
      </c>
      <c r="G5795">
        <v>3.2</v>
      </c>
      <c r="H5795" t="s">
        <v>2327</v>
      </c>
      <c r="I5795" s="21">
        <v>43432</v>
      </c>
      <c r="J5795">
        <v>2018</v>
      </c>
      <c r="K5795" s="21">
        <v>43530</v>
      </c>
      <c r="L5795">
        <v>2019</v>
      </c>
      <c r="M5795" s="21">
        <v>43929</v>
      </c>
      <c r="N5795">
        <v>2020</v>
      </c>
      <c r="Q5795" s="262">
        <v>14800000</v>
      </c>
      <c r="S5795" t="s">
        <v>13254</v>
      </c>
      <c r="W5795">
        <v>47847</v>
      </c>
      <c r="X5795">
        <v>55</v>
      </c>
      <c r="AE5795">
        <v>47847</v>
      </c>
      <c r="AQ5795">
        <v>55</v>
      </c>
      <c r="AU5795">
        <f t="shared" si="180"/>
        <v>55</v>
      </c>
      <c r="AV5795">
        <f t="shared" si="181"/>
        <v>0</v>
      </c>
    </row>
    <row r="5796" spans="1:48" x14ac:dyDescent="0.25">
      <c r="A5796" t="s">
        <v>19188</v>
      </c>
      <c r="B5796" t="s">
        <v>19188</v>
      </c>
      <c r="C5796" t="s">
        <v>19189</v>
      </c>
      <c r="D5796" t="s">
        <v>19190</v>
      </c>
      <c r="E5796" t="s">
        <v>2310</v>
      </c>
      <c r="F5796">
        <v>9</v>
      </c>
      <c r="G5796">
        <v>9.3000000000000007</v>
      </c>
      <c r="H5796" t="s">
        <v>2323</v>
      </c>
      <c r="I5796" s="21">
        <v>43438.462668321758</v>
      </c>
      <c r="J5796">
        <v>2018</v>
      </c>
      <c r="K5796" s="21">
        <v>43550.52626712963</v>
      </c>
      <c r="L5796">
        <v>2019</v>
      </c>
      <c r="M5796" s="21">
        <v>43832.465575960647</v>
      </c>
      <c r="N5796">
        <v>2020</v>
      </c>
      <c r="Q5796" s="262">
        <v>326000</v>
      </c>
      <c r="R5796" s="262">
        <v>253000</v>
      </c>
      <c r="S5796" t="s">
        <v>13254</v>
      </c>
      <c r="W5796">
        <v>2788</v>
      </c>
      <c r="X5796">
        <v>1</v>
      </c>
      <c r="AC5796">
        <v>2788</v>
      </c>
      <c r="AO5796">
        <v>1</v>
      </c>
      <c r="AU5796">
        <f t="shared" si="180"/>
        <v>1</v>
      </c>
      <c r="AV5796">
        <f t="shared" si="181"/>
        <v>0</v>
      </c>
    </row>
    <row r="5797" spans="1:48" x14ac:dyDescent="0.25">
      <c r="A5797" t="s">
        <v>14044</v>
      </c>
      <c r="B5797" t="s">
        <v>14044</v>
      </c>
      <c r="C5797" t="s">
        <v>14045</v>
      </c>
      <c r="D5797" t="s">
        <v>1901</v>
      </c>
      <c r="E5797" t="s">
        <v>2310</v>
      </c>
      <c r="F5797">
        <v>8</v>
      </c>
      <c r="G5797">
        <v>8.1999999999999993</v>
      </c>
      <c r="H5797" t="s">
        <v>2022</v>
      </c>
      <c r="I5797" s="21">
        <v>43438.592212534699</v>
      </c>
      <c r="J5797">
        <v>2018</v>
      </c>
      <c r="O5797" s="21">
        <v>43640.352495289299</v>
      </c>
      <c r="Q5797" s="262">
        <v>550000</v>
      </c>
      <c r="R5797" s="262">
        <v>78000</v>
      </c>
      <c r="S5797" t="s">
        <v>114</v>
      </c>
      <c r="T5797" t="s">
        <v>114</v>
      </c>
      <c r="W5797">
        <v>1728</v>
      </c>
      <c r="X5797">
        <v>0</v>
      </c>
      <c r="AC5797">
        <v>1728</v>
      </c>
      <c r="AU5797">
        <f t="shared" si="180"/>
        <v>0</v>
      </c>
      <c r="AV5797">
        <f t="shared" si="181"/>
        <v>0</v>
      </c>
    </row>
    <row r="5798" spans="1:48" x14ac:dyDescent="0.25">
      <c r="A5798" t="s">
        <v>20052</v>
      </c>
      <c r="B5798" t="s">
        <v>20052</v>
      </c>
      <c r="C5798" t="s">
        <v>20053</v>
      </c>
      <c r="D5798" t="s">
        <v>5897</v>
      </c>
      <c r="E5798" t="s">
        <v>2310</v>
      </c>
      <c r="F5798">
        <v>9</v>
      </c>
      <c r="G5798">
        <v>9.3000000000000007</v>
      </c>
      <c r="H5798" t="s">
        <v>2323</v>
      </c>
      <c r="I5798" s="21">
        <v>43438.648628321796</v>
      </c>
      <c r="J5798">
        <v>2018</v>
      </c>
      <c r="K5798" s="21">
        <v>43480.3943175116</v>
      </c>
      <c r="L5798">
        <v>2019</v>
      </c>
      <c r="M5798" s="21">
        <v>44334</v>
      </c>
      <c r="N5798">
        <v>2021</v>
      </c>
      <c r="Q5798" s="262">
        <v>1500000</v>
      </c>
      <c r="R5798" s="262">
        <v>570000</v>
      </c>
      <c r="S5798" t="s">
        <v>13254</v>
      </c>
      <c r="U5798">
        <v>5</v>
      </c>
      <c r="W5798">
        <v>4593</v>
      </c>
      <c r="X5798">
        <v>1</v>
      </c>
      <c r="AC5798">
        <v>4593</v>
      </c>
      <c r="AO5798">
        <v>1</v>
      </c>
      <c r="AU5798">
        <f t="shared" si="180"/>
        <v>1</v>
      </c>
      <c r="AV5798">
        <f t="shared" si="181"/>
        <v>0</v>
      </c>
    </row>
    <row r="5799" spans="1:48" x14ac:dyDescent="0.25">
      <c r="A5799" t="s">
        <v>20084</v>
      </c>
      <c r="B5799" t="s">
        <v>20084</v>
      </c>
      <c r="C5799" t="s">
        <v>20085</v>
      </c>
      <c r="D5799" t="s">
        <v>20086</v>
      </c>
      <c r="E5799" t="s">
        <v>2310</v>
      </c>
      <c r="F5799">
        <v>8</v>
      </c>
      <c r="G5799">
        <v>8.1</v>
      </c>
      <c r="H5799" t="s">
        <v>2323</v>
      </c>
      <c r="I5799" s="21">
        <v>43438.674133680601</v>
      </c>
      <c r="J5799">
        <v>2018</v>
      </c>
      <c r="K5799" s="21">
        <v>43500.450870289402</v>
      </c>
      <c r="L5799">
        <v>2019</v>
      </c>
      <c r="M5799" s="21">
        <v>44452</v>
      </c>
      <c r="N5799">
        <v>2021</v>
      </c>
      <c r="Q5799" s="262">
        <v>3700000</v>
      </c>
      <c r="R5799" s="262">
        <v>949000</v>
      </c>
      <c r="S5799" t="s">
        <v>13254</v>
      </c>
      <c r="U5799">
        <v>5</v>
      </c>
      <c r="W5799">
        <v>7144</v>
      </c>
      <c r="X5799">
        <v>1</v>
      </c>
      <c r="AC5799">
        <v>7144</v>
      </c>
      <c r="AO5799">
        <v>1</v>
      </c>
      <c r="AU5799">
        <f t="shared" si="180"/>
        <v>1</v>
      </c>
      <c r="AV5799">
        <f t="shared" si="181"/>
        <v>0</v>
      </c>
    </row>
    <row r="5800" spans="1:48" x14ac:dyDescent="0.25">
      <c r="A5800" t="s">
        <v>14046</v>
      </c>
      <c r="C5800" t="s">
        <v>14047</v>
      </c>
      <c r="D5800" t="s">
        <v>14048</v>
      </c>
      <c r="E5800" t="s">
        <v>1663</v>
      </c>
      <c r="F5800">
        <v>4</v>
      </c>
      <c r="G5800">
        <v>4.3</v>
      </c>
      <c r="H5800" t="s">
        <v>2327</v>
      </c>
      <c r="I5800" s="21">
        <v>43440</v>
      </c>
      <c r="J5800">
        <v>2018</v>
      </c>
      <c r="K5800" s="21">
        <v>43504</v>
      </c>
      <c r="L5800">
        <v>2019</v>
      </c>
      <c r="M5800" s="21">
        <v>43865</v>
      </c>
      <c r="N5800">
        <v>2020</v>
      </c>
      <c r="Q5800" s="262">
        <v>75000</v>
      </c>
      <c r="S5800" t="s">
        <v>114</v>
      </c>
      <c r="T5800" t="s">
        <v>114</v>
      </c>
      <c r="W5800">
        <v>0</v>
      </c>
      <c r="X5800">
        <v>0</v>
      </c>
      <c r="AU5800">
        <f t="shared" si="180"/>
        <v>0</v>
      </c>
      <c r="AV5800">
        <f t="shared" si="181"/>
        <v>0</v>
      </c>
    </row>
    <row r="5801" spans="1:48" x14ac:dyDescent="0.25">
      <c r="A5801" t="s">
        <v>14049</v>
      </c>
      <c r="C5801" t="s">
        <v>11237</v>
      </c>
      <c r="D5801" t="s">
        <v>13986</v>
      </c>
      <c r="E5801" t="s">
        <v>1663</v>
      </c>
      <c r="F5801">
        <v>2</v>
      </c>
      <c r="G5801">
        <v>2.2999999999999998</v>
      </c>
      <c r="H5801" t="s">
        <v>2327</v>
      </c>
      <c r="I5801" s="21">
        <v>43440</v>
      </c>
      <c r="J5801">
        <v>2018</v>
      </c>
      <c r="K5801" s="21">
        <v>43453</v>
      </c>
      <c r="L5801">
        <v>2018</v>
      </c>
      <c r="M5801" s="21">
        <v>43613</v>
      </c>
      <c r="N5801">
        <v>2019</v>
      </c>
      <c r="Q5801" s="262">
        <v>0</v>
      </c>
      <c r="S5801" t="s">
        <v>114</v>
      </c>
      <c r="T5801" t="s">
        <v>114</v>
      </c>
      <c r="W5801">
        <v>0</v>
      </c>
      <c r="X5801">
        <v>0</v>
      </c>
      <c r="AU5801">
        <f t="shared" si="180"/>
        <v>0</v>
      </c>
      <c r="AV5801">
        <f t="shared" si="181"/>
        <v>0</v>
      </c>
    </row>
    <row r="5802" spans="1:48" x14ac:dyDescent="0.25">
      <c r="A5802" t="s">
        <v>14050</v>
      </c>
      <c r="C5802" t="s">
        <v>13129</v>
      </c>
      <c r="D5802" t="s">
        <v>14051</v>
      </c>
      <c r="E5802" t="s">
        <v>1663</v>
      </c>
      <c r="F5802">
        <v>4</v>
      </c>
      <c r="G5802">
        <v>4.0999999999999996</v>
      </c>
      <c r="H5802" t="s">
        <v>2327</v>
      </c>
      <c r="I5802" s="21">
        <v>43444</v>
      </c>
      <c r="J5802">
        <v>2018</v>
      </c>
      <c r="K5802" s="21">
        <v>43475</v>
      </c>
      <c r="L5802">
        <v>2019</v>
      </c>
      <c r="M5802" s="21">
        <v>43626</v>
      </c>
      <c r="N5802">
        <v>2019</v>
      </c>
      <c r="Q5802" s="262">
        <v>35000</v>
      </c>
      <c r="S5802" t="s">
        <v>114</v>
      </c>
      <c r="T5802" t="s">
        <v>114</v>
      </c>
      <c r="W5802">
        <v>0</v>
      </c>
      <c r="X5802">
        <v>0</v>
      </c>
      <c r="AU5802">
        <f t="shared" si="180"/>
        <v>0</v>
      </c>
      <c r="AV5802">
        <f t="shared" si="181"/>
        <v>0</v>
      </c>
    </row>
    <row r="5803" spans="1:48" x14ac:dyDescent="0.25">
      <c r="A5803" t="s">
        <v>14052</v>
      </c>
      <c r="C5803" t="s">
        <v>14053</v>
      </c>
      <c r="D5803" t="s">
        <v>12402</v>
      </c>
      <c r="E5803" t="s">
        <v>1663</v>
      </c>
      <c r="F5803">
        <v>2</v>
      </c>
      <c r="G5803">
        <v>2.2999999999999998</v>
      </c>
      <c r="H5803" t="s">
        <v>2327</v>
      </c>
      <c r="I5803" s="21">
        <v>43446</v>
      </c>
      <c r="J5803">
        <v>2018</v>
      </c>
      <c r="K5803" s="21">
        <v>43460</v>
      </c>
      <c r="L5803">
        <v>2018</v>
      </c>
      <c r="M5803" s="21">
        <v>43817</v>
      </c>
      <c r="N5803">
        <v>2019</v>
      </c>
      <c r="Q5803" s="262">
        <v>60000</v>
      </c>
      <c r="S5803" t="s">
        <v>114</v>
      </c>
      <c r="T5803" t="s">
        <v>114</v>
      </c>
      <c r="W5803">
        <v>0</v>
      </c>
      <c r="X5803">
        <v>0</v>
      </c>
      <c r="AU5803">
        <f t="shared" si="180"/>
        <v>0</v>
      </c>
      <c r="AV5803">
        <f t="shared" si="181"/>
        <v>0</v>
      </c>
    </row>
    <row r="5804" spans="1:48" x14ac:dyDescent="0.25">
      <c r="A5804" t="s">
        <v>14054</v>
      </c>
      <c r="C5804" t="s">
        <v>11879</v>
      </c>
      <c r="D5804" t="s">
        <v>13769</v>
      </c>
      <c r="E5804" t="s">
        <v>1663</v>
      </c>
      <c r="F5804">
        <v>1</v>
      </c>
      <c r="G5804">
        <v>1.2</v>
      </c>
      <c r="H5804" t="s">
        <v>2017</v>
      </c>
      <c r="I5804" s="21">
        <v>43447</v>
      </c>
      <c r="J5804">
        <v>2018</v>
      </c>
      <c r="K5804" s="21">
        <v>43475</v>
      </c>
      <c r="L5804">
        <v>2019</v>
      </c>
      <c r="M5804" s="21">
        <v>43515</v>
      </c>
      <c r="N5804">
        <v>2019</v>
      </c>
      <c r="Q5804" s="262">
        <v>40000</v>
      </c>
      <c r="S5804" t="s">
        <v>114</v>
      </c>
      <c r="T5804" t="s">
        <v>114</v>
      </c>
      <c r="W5804">
        <v>0</v>
      </c>
      <c r="X5804">
        <v>0</v>
      </c>
      <c r="AU5804">
        <f t="shared" si="180"/>
        <v>0</v>
      </c>
      <c r="AV5804">
        <f t="shared" si="181"/>
        <v>0</v>
      </c>
    </row>
    <row r="5805" spans="1:48" x14ac:dyDescent="0.25">
      <c r="A5805" t="s">
        <v>20154</v>
      </c>
      <c r="B5805" t="s">
        <v>20154</v>
      </c>
      <c r="C5805" t="s">
        <v>20155</v>
      </c>
      <c r="D5805" t="s">
        <v>20156</v>
      </c>
      <c r="E5805" t="s">
        <v>2310</v>
      </c>
      <c r="F5805">
        <v>14</v>
      </c>
      <c r="G5805">
        <v>14.2</v>
      </c>
      <c r="H5805" t="s">
        <v>2017</v>
      </c>
      <c r="I5805" s="21">
        <v>43447.482717974497</v>
      </c>
      <c r="J5805">
        <v>2018</v>
      </c>
      <c r="K5805" s="21">
        <v>43479.585148993101</v>
      </c>
      <c r="L5805">
        <v>2019</v>
      </c>
      <c r="M5805" s="21">
        <v>44270</v>
      </c>
      <c r="N5805">
        <v>2021</v>
      </c>
      <c r="Q5805" s="262">
        <v>750000</v>
      </c>
      <c r="R5805" s="262">
        <v>230000</v>
      </c>
      <c r="S5805" t="s">
        <v>13253</v>
      </c>
      <c r="T5805">
        <v>7752</v>
      </c>
      <c r="U5805">
        <v>5</v>
      </c>
      <c r="V5805">
        <v>1045</v>
      </c>
      <c r="W5805">
        <v>1490</v>
      </c>
      <c r="X5805">
        <v>0</v>
      </c>
      <c r="AC5805">
        <v>1490</v>
      </c>
      <c r="AU5805">
        <f t="shared" si="180"/>
        <v>0</v>
      </c>
      <c r="AV5805">
        <f t="shared" si="181"/>
        <v>0</v>
      </c>
    </row>
    <row r="5806" spans="1:48" x14ac:dyDescent="0.25">
      <c r="A5806" t="s">
        <v>19354</v>
      </c>
      <c r="B5806" t="s">
        <v>19354</v>
      </c>
      <c r="C5806" t="s">
        <v>19355</v>
      </c>
      <c r="D5806" t="s">
        <v>19356</v>
      </c>
      <c r="E5806" t="s">
        <v>2310</v>
      </c>
      <c r="F5806">
        <v>9</v>
      </c>
      <c r="G5806">
        <v>9.1</v>
      </c>
      <c r="H5806" t="s">
        <v>2323</v>
      </c>
      <c r="I5806" s="21">
        <v>43452.457981712963</v>
      </c>
      <c r="J5806">
        <v>2018</v>
      </c>
      <c r="K5806" s="21">
        <v>43501.46922890046</v>
      </c>
      <c r="L5806">
        <v>2019</v>
      </c>
      <c r="M5806" s="21">
        <v>43984.67859609954</v>
      </c>
      <c r="N5806">
        <v>2020</v>
      </c>
      <c r="Q5806" s="262">
        <v>2181299</v>
      </c>
      <c r="R5806" s="262">
        <v>575000</v>
      </c>
      <c r="S5806" t="s">
        <v>13254</v>
      </c>
      <c r="W5806">
        <v>4976</v>
      </c>
      <c r="X5806">
        <v>1</v>
      </c>
      <c r="AC5806">
        <v>4976</v>
      </c>
      <c r="AO5806">
        <v>1</v>
      </c>
      <c r="AU5806">
        <f t="shared" si="180"/>
        <v>1</v>
      </c>
      <c r="AV5806">
        <f t="shared" si="181"/>
        <v>0</v>
      </c>
    </row>
    <row r="5807" spans="1:48" x14ac:dyDescent="0.25">
      <c r="A5807" t="s">
        <v>14055</v>
      </c>
      <c r="C5807" t="s">
        <v>14056</v>
      </c>
      <c r="D5807" t="s">
        <v>14057</v>
      </c>
      <c r="E5807" t="s">
        <v>1663</v>
      </c>
      <c r="F5807">
        <v>3</v>
      </c>
      <c r="G5807">
        <v>3.2</v>
      </c>
      <c r="H5807" t="s">
        <v>2327</v>
      </c>
      <c r="I5807" s="21">
        <v>43454</v>
      </c>
      <c r="J5807">
        <v>2018</v>
      </c>
      <c r="K5807" s="21">
        <v>43649</v>
      </c>
      <c r="L5807">
        <v>2019</v>
      </c>
      <c r="M5807" s="21">
        <v>44511</v>
      </c>
      <c r="N5807">
        <v>2021</v>
      </c>
      <c r="Q5807" s="262">
        <v>90000</v>
      </c>
      <c r="S5807" t="s">
        <v>114</v>
      </c>
      <c r="T5807" t="s">
        <v>114</v>
      </c>
      <c r="W5807">
        <v>0</v>
      </c>
      <c r="X5807">
        <v>0</v>
      </c>
      <c r="AU5807">
        <f t="shared" si="180"/>
        <v>0</v>
      </c>
      <c r="AV5807">
        <f t="shared" si="181"/>
        <v>0</v>
      </c>
    </row>
    <row r="5808" spans="1:48" x14ac:dyDescent="0.25">
      <c r="A5808" t="s">
        <v>19811</v>
      </c>
      <c r="B5808" t="s">
        <v>19811</v>
      </c>
      <c r="C5808" t="s">
        <v>19812</v>
      </c>
      <c r="D5808" t="s">
        <v>19813</v>
      </c>
      <c r="E5808" t="s">
        <v>2310</v>
      </c>
      <c r="F5808">
        <v>8</v>
      </c>
      <c r="G5808">
        <v>8.1999999999999993</v>
      </c>
      <c r="H5808" t="s">
        <v>2022</v>
      </c>
      <c r="I5808" s="21">
        <v>43454.484512696799</v>
      </c>
      <c r="J5808">
        <v>2018</v>
      </c>
      <c r="K5808" s="21">
        <v>43535.416384919001</v>
      </c>
      <c r="L5808">
        <v>2019</v>
      </c>
      <c r="M5808" s="21">
        <v>44376</v>
      </c>
      <c r="N5808">
        <v>2021</v>
      </c>
      <c r="Q5808" s="262">
        <v>3800000</v>
      </c>
      <c r="R5808" s="262">
        <v>692000</v>
      </c>
      <c r="S5808" t="s">
        <v>12464</v>
      </c>
      <c r="T5808">
        <v>2406</v>
      </c>
      <c r="U5808">
        <v>5</v>
      </c>
      <c r="W5808">
        <v>4926</v>
      </c>
      <c r="X5808">
        <v>1</v>
      </c>
      <c r="AC5808">
        <v>4926</v>
      </c>
      <c r="AO5808">
        <v>1</v>
      </c>
      <c r="AU5808">
        <f t="shared" si="180"/>
        <v>1</v>
      </c>
      <c r="AV5808">
        <f t="shared" si="181"/>
        <v>0</v>
      </c>
    </row>
    <row r="5809" spans="1:48" x14ac:dyDescent="0.25">
      <c r="A5809" t="s">
        <v>19811</v>
      </c>
      <c r="B5809" t="s">
        <v>19811</v>
      </c>
      <c r="C5809" t="s">
        <v>19812</v>
      </c>
      <c r="D5809" t="s">
        <v>19813</v>
      </c>
      <c r="E5809" t="s">
        <v>2310</v>
      </c>
      <c r="F5809">
        <v>8</v>
      </c>
      <c r="G5809">
        <v>8.1999999999999993</v>
      </c>
      <c r="H5809" t="s">
        <v>2022</v>
      </c>
      <c r="I5809" s="21">
        <v>43454.484512696799</v>
      </c>
      <c r="J5809">
        <v>2018</v>
      </c>
      <c r="K5809" s="21">
        <v>43535.416384919001</v>
      </c>
      <c r="L5809">
        <v>2019</v>
      </c>
      <c r="M5809" s="21">
        <v>44376</v>
      </c>
      <c r="N5809">
        <v>2021</v>
      </c>
      <c r="Q5809" s="262">
        <v>3800000</v>
      </c>
      <c r="R5809" s="262">
        <v>692000</v>
      </c>
      <c r="S5809" t="s">
        <v>9529</v>
      </c>
      <c r="T5809">
        <v>2406</v>
      </c>
      <c r="U5809">
        <v>5</v>
      </c>
      <c r="W5809">
        <v>-2297</v>
      </c>
      <c r="X5809">
        <v>-1</v>
      </c>
      <c r="Y5809">
        <v>0</v>
      </c>
      <c r="Z5809">
        <v>0</v>
      </c>
      <c r="AA5809">
        <v>0</v>
      </c>
      <c r="AB5809">
        <v>0</v>
      </c>
      <c r="AC5809">
        <v>-2297</v>
      </c>
      <c r="AD5809">
        <v>0</v>
      </c>
      <c r="AE5809">
        <v>0</v>
      </c>
      <c r="AF5809">
        <v>0</v>
      </c>
      <c r="AG5809">
        <v>0</v>
      </c>
      <c r="AH5809">
        <v>0</v>
      </c>
      <c r="AI5809">
        <v>0</v>
      </c>
      <c r="AJ5809">
        <v>0</v>
      </c>
      <c r="AK5809">
        <v>0</v>
      </c>
      <c r="AL5809">
        <v>0</v>
      </c>
      <c r="AM5809">
        <v>0</v>
      </c>
      <c r="AN5809">
        <v>0</v>
      </c>
      <c r="AO5809">
        <v>-1</v>
      </c>
      <c r="AP5809">
        <v>0</v>
      </c>
      <c r="AQ5809">
        <v>0</v>
      </c>
      <c r="AR5809">
        <v>0</v>
      </c>
      <c r="AS5809">
        <v>0</v>
      </c>
      <c r="AT5809">
        <v>0</v>
      </c>
      <c r="AU5809">
        <f t="shared" si="180"/>
        <v>-1</v>
      </c>
      <c r="AV5809">
        <f t="shared" si="181"/>
        <v>0</v>
      </c>
    </row>
    <row r="5810" spans="1:48" x14ac:dyDescent="0.25">
      <c r="A5810" t="s">
        <v>18440</v>
      </c>
      <c r="B5810" t="s">
        <v>18440</v>
      </c>
      <c r="C5810" t="s">
        <v>18441</v>
      </c>
      <c r="D5810" t="s">
        <v>15132</v>
      </c>
      <c r="E5810" t="s">
        <v>2310</v>
      </c>
      <c r="F5810">
        <v>9</v>
      </c>
      <c r="G5810">
        <v>9.3000000000000007</v>
      </c>
      <c r="H5810" t="s">
        <v>2323</v>
      </c>
      <c r="I5810" s="21">
        <v>43454.60159244213</v>
      </c>
      <c r="J5810">
        <v>2018</v>
      </c>
      <c r="K5810" s="21">
        <v>43543.446486030094</v>
      </c>
      <c r="L5810">
        <v>2019</v>
      </c>
      <c r="M5810" s="21">
        <v>44186.374216932869</v>
      </c>
      <c r="N5810">
        <v>2020</v>
      </c>
      <c r="Q5810" s="262">
        <v>2000000</v>
      </c>
      <c r="R5810" s="262">
        <v>782000</v>
      </c>
      <c r="S5810" t="s">
        <v>13253</v>
      </c>
      <c r="T5810">
        <v>5159</v>
      </c>
      <c r="V5810">
        <v>5518</v>
      </c>
      <c r="W5810">
        <v>1256</v>
      </c>
      <c r="X5810">
        <v>0</v>
      </c>
      <c r="AC5810">
        <v>1256</v>
      </c>
      <c r="AU5810">
        <f t="shared" si="180"/>
        <v>0</v>
      </c>
      <c r="AV5810">
        <f t="shared" si="181"/>
        <v>0</v>
      </c>
    </row>
    <row r="5811" spans="1:48" x14ac:dyDescent="0.25">
      <c r="A5811" t="s">
        <v>19509</v>
      </c>
      <c r="B5811" t="s">
        <v>19509</v>
      </c>
      <c r="C5811" t="s">
        <v>19510</v>
      </c>
      <c r="D5811" t="s">
        <v>19511</v>
      </c>
      <c r="E5811" t="s">
        <v>2310</v>
      </c>
      <c r="F5811">
        <v>9</v>
      </c>
      <c r="G5811">
        <v>9.1</v>
      </c>
      <c r="H5811" t="s">
        <v>2323</v>
      </c>
      <c r="I5811" s="21">
        <v>43462.421628472221</v>
      </c>
      <c r="J5811">
        <v>2018</v>
      </c>
      <c r="K5811" s="21">
        <v>43560.568199189816</v>
      </c>
      <c r="L5811">
        <v>2019</v>
      </c>
      <c r="M5811" s="21">
        <v>44074.519781215276</v>
      </c>
      <c r="N5811">
        <v>2020</v>
      </c>
      <c r="Q5811" s="262">
        <v>2750000</v>
      </c>
      <c r="R5811" s="262">
        <v>575000</v>
      </c>
      <c r="S5811" t="s">
        <v>13254</v>
      </c>
      <c r="W5811">
        <v>5561</v>
      </c>
      <c r="X5811">
        <v>1</v>
      </c>
      <c r="AC5811">
        <v>5561</v>
      </c>
      <c r="AO5811">
        <v>1</v>
      </c>
      <c r="AU5811">
        <f t="shared" si="180"/>
        <v>1</v>
      </c>
      <c r="AV5811">
        <f t="shared" si="181"/>
        <v>0</v>
      </c>
    </row>
    <row r="5812" spans="1:48" x14ac:dyDescent="0.25">
      <c r="A5812" t="s">
        <v>14058</v>
      </c>
      <c r="C5812" t="s">
        <v>11237</v>
      </c>
      <c r="D5812" t="s">
        <v>11973</v>
      </c>
      <c r="E5812" t="s">
        <v>1663</v>
      </c>
      <c r="F5812">
        <v>4</v>
      </c>
      <c r="G5812">
        <v>4.0999999999999996</v>
      </c>
      <c r="H5812" t="s">
        <v>2327</v>
      </c>
      <c r="I5812" s="21">
        <v>43465</v>
      </c>
      <c r="J5812">
        <v>2018</v>
      </c>
      <c r="K5812" s="21">
        <v>43489</v>
      </c>
      <c r="L5812">
        <v>2019</v>
      </c>
      <c r="M5812" s="21">
        <v>43503</v>
      </c>
      <c r="N5812">
        <v>2019</v>
      </c>
      <c r="Q5812" s="262">
        <v>150000</v>
      </c>
      <c r="S5812" t="s">
        <v>114</v>
      </c>
      <c r="T5812" t="s">
        <v>114</v>
      </c>
      <c r="W5812">
        <v>0</v>
      </c>
      <c r="X5812">
        <v>0</v>
      </c>
      <c r="AU5812">
        <f t="shared" si="180"/>
        <v>0</v>
      </c>
      <c r="AV5812">
        <f t="shared" si="181"/>
        <v>0</v>
      </c>
    </row>
    <row r="5813" spans="1:48" x14ac:dyDescent="0.25">
      <c r="A5813" t="s">
        <v>19194</v>
      </c>
      <c r="B5813" t="s">
        <v>114</v>
      </c>
      <c r="C5813" t="s">
        <v>19195</v>
      </c>
      <c r="D5813" t="s">
        <v>8465</v>
      </c>
      <c r="E5813" t="s">
        <v>1663</v>
      </c>
      <c r="F5813">
        <v>3</v>
      </c>
      <c r="G5813">
        <v>3.2</v>
      </c>
      <c r="H5813" t="s">
        <v>2327</v>
      </c>
      <c r="I5813" s="21">
        <v>43465</v>
      </c>
      <c r="J5813">
        <v>2018</v>
      </c>
      <c r="K5813" s="21">
        <v>43482</v>
      </c>
      <c r="L5813">
        <v>2019</v>
      </c>
      <c r="M5813" s="21">
        <v>43707</v>
      </c>
      <c r="N5813">
        <v>2019</v>
      </c>
      <c r="Q5813" s="262">
        <v>25000</v>
      </c>
      <c r="S5813" t="s">
        <v>16604</v>
      </c>
      <c r="T5813">
        <v>11682</v>
      </c>
      <c r="W5813">
        <v>364</v>
      </c>
      <c r="X5813">
        <v>1</v>
      </c>
      <c r="AI5813">
        <v>364</v>
      </c>
      <c r="AT5813">
        <v>1</v>
      </c>
      <c r="AU5813">
        <f t="shared" si="180"/>
        <v>0</v>
      </c>
      <c r="AV5813">
        <f t="shared" si="181"/>
        <v>364</v>
      </c>
    </row>
    <row r="5814" spans="1:48" x14ac:dyDescent="0.25">
      <c r="A5814" t="s">
        <v>15206</v>
      </c>
      <c r="B5814" t="s">
        <v>15206</v>
      </c>
      <c r="C5814" t="s">
        <v>15207</v>
      </c>
      <c r="D5814" t="s">
        <v>14100</v>
      </c>
      <c r="E5814" t="s">
        <v>2310</v>
      </c>
      <c r="F5814">
        <v>8</v>
      </c>
      <c r="G5814">
        <v>8.3000000000000007</v>
      </c>
      <c r="H5814" t="s">
        <v>2323</v>
      </c>
      <c r="I5814" s="21">
        <v>43473.607212499999</v>
      </c>
      <c r="J5814">
        <v>2019</v>
      </c>
      <c r="K5814" s="21">
        <v>43517.634907372703</v>
      </c>
      <c r="L5814">
        <v>2019</v>
      </c>
      <c r="M5814" s="21">
        <v>44769.437655057867</v>
      </c>
      <c r="N5814">
        <v>2022</v>
      </c>
      <c r="Q5814" s="262">
        <v>327300</v>
      </c>
      <c r="R5814" s="262">
        <v>336000</v>
      </c>
      <c r="S5814" t="s">
        <v>13254</v>
      </c>
      <c r="T5814">
        <v>0</v>
      </c>
      <c r="V5814">
        <v>0</v>
      </c>
      <c r="W5814">
        <v>3273</v>
      </c>
      <c r="X5814">
        <v>18</v>
      </c>
      <c r="AE5814">
        <v>3273</v>
      </c>
      <c r="AQ5814">
        <v>18</v>
      </c>
      <c r="AU5814">
        <f t="shared" si="180"/>
        <v>18</v>
      </c>
      <c r="AV5814">
        <f t="shared" si="181"/>
        <v>0</v>
      </c>
    </row>
    <row r="5815" spans="1:48" x14ac:dyDescent="0.25">
      <c r="A5815" t="s">
        <v>17925</v>
      </c>
      <c r="B5815" t="s">
        <v>17925</v>
      </c>
      <c r="C5815" t="s">
        <v>17926</v>
      </c>
      <c r="D5815" t="s">
        <v>15914</v>
      </c>
      <c r="E5815" t="s">
        <v>2310</v>
      </c>
      <c r="F5815">
        <v>9</v>
      </c>
      <c r="G5815">
        <v>9.3000000000000007</v>
      </c>
      <c r="H5815" t="s">
        <v>2323</v>
      </c>
      <c r="I5815" s="21">
        <v>43475.475924386577</v>
      </c>
      <c r="J5815">
        <v>2019</v>
      </c>
      <c r="K5815" s="21">
        <v>43531.520629050923</v>
      </c>
      <c r="L5815">
        <v>2019</v>
      </c>
      <c r="M5815" s="21">
        <v>43808.447570752316</v>
      </c>
      <c r="N5815">
        <v>2019</v>
      </c>
      <c r="Q5815" s="262">
        <v>50000</v>
      </c>
      <c r="R5815" s="262">
        <v>268000</v>
      </c>
      <c r="S5815" t="s">
        <v>13253</v>
      </c>
      <c r="T5815">
        <v>2157</v>
      </c>
      <c r="V5815">
        <v>403</v>
      </c>
      <c r="W5815">
        <v>885</v>
      </c>
      <c r="X5815">
        <v>0</v>
      </c>
      <c r="AC5815">
        <v>885</v>
      </c>
      <c r="AU5815">
        <f t="shared" si="180"/>
        <v>0</v>
      </c>
      <c r="AV5815">
        <f t="shared" si="181"/>
        <v>0</v>
      </c>
    </row>
    <row r="5816" spans="1:48" x14ac:dyDescent="0.25">
      <c r="A5816" t="s">
        <v>19910</v>
      </c>
      <c r="B5816" t="s">
        <v>19910</v>
      </c>
      <c r="C5816" t="s">
        <v>19911</v>
      </c>
      <c r="D5816" t="s">
        <v>14062</v>
      </c>
      <c r="E5816" t="s">
        <v>2310</v>
      </c>
      <c r="F5816">
        <v>9</v>
      </c>
      <c r="G5816">
        <v>9.4</v>
      </c>
      <c r="H5816" t="s">
        <v>2323</v>
      </c>
      <c r="I5816" s="21">
        <v>43475.643914467597</v>
      </c>
      <c r="J5816">
        <v>2019</v>
      </c>
      <c r="K5816" s="21">
        <v>43818.6667745718</v>
      </c>
      <c r="L5816">
        <v>2019</v>
      </c>
      <c r="M5816" s="21">
        <v>44287</v>
      </c>
      <c r="N5816">
        <v>2021</v>
      </c>
      <c r="Q5816" s="262">
        <v>2000000</v>
      </c>
      <c r="R5816" s="262">
        <v>1362000</v>
      </c>
      <c r="S5816" t="s">
        <v>13254</v>
      </c>
      <c r="U5816">
        <v>5</v>
      </c>
      <c r="V5816">
        <v>0</v>
      </c>
      <c r="W5816">
        <v>7918</v>
      </c>
      <c r="X5816">
        <v>1</v>
      </c>
      <c r="AC5816">
        <v>7918</v>
      </c>
      <c r="AO5816">
        <v>1</v>
      </c>
      <c r="AU5816">
        <f t="shared" si="180"/>
        <v>1</v>
      </c>
      <c r="AV5816">
        <f t="shared" si="181"/>
        <v>0</v>
      </c>
    </row>
    <row r="5817" spans="1:48" x14ac:dyDescent="0.25">
      <c r="A5817" t="s">
        <v>14060</v>
      </c>
      <c r="B5817" t="s">
        <v>14060</v>
      </c>
      <c r="C5817" t="s">
        <v>14061</v>
      </c>
      <c r="D5817" t="s">
        <v>14062</v>
      </c>
      <c r="E5817" t="s">
        <v>2310</v>
      </c>
      <c r="F5817">
        <v>9</v>
      </c>
      <c r="G5817">
        <v>9.4</v>
      </c>
      <c r="H5817" t="s">
        <v>2323</v>
      </c>
      <c r="I5817" s="21">
        <v>43475.685984641197</v>
      </c>
      <c r="J5817">
        <v>2019</v>
      </c>
      <c r="K5817" s="21">
        <v>43565.405810451397</v>
      </c>
      <c r="L5817">
        <v>2019</v>
      </c>
      <c r="Q5817" s="262">
        <v>150000</v>
      </c>
      <c r="R5817" s="262">
        <v>158000</v>
      </c>
      <c r="S5817" t="s">
        <v>114</v>
      </c>
      <c r="T5817" t="s">
        <v>114</v>
      </c>
      <c r="V5817">
        <v>0</v>
      </c>
      <c r="W5817">
        <v>2000</v>
      </c>
      <c r="X5817">
        <v>1</v>
      </c>
      <c r="AC5817">
        <v>1000</v>
      </c>
      <c r="AF5817">
        <v>1000</v>
      </c>
      <c r="AR5817">
        <v>1</v>
      </c>
      <c r="AU5817">
        <f t="shared" si="180"/>
        <v>0</v>
      </c>
      <c r="AV5817">
        <f t="shared" si="181"/>
        <v>0</v>
      </c>
    </row>
    <row r="5818" spans="1:48" x14ac:dyDescent="0.25">
      <c r="A5818" t="s">
        <v>14063</v>
      </c>
      <c r="B5818" t="s">
        <v>14063</v>
      </c>
      <c r="C5818" t="s">
        <v>14064</v>
      </c>
      <c r="D5818" t="s">
        <v>14062</v>
      </c>
      <c r="E5818" t="s">
        <v>2310</v>
      </c>
      <c r="F5818">
        <v>9</v>
      </c>
      <c r="G5818">
        <v>9.4</v>
      </c>
      <c r="H5818" t="s">
        <v>2323</v>
      </c>
      <c r="I5818" s="21">
        <v>43475.686012696802</v>
      </c>
      <c r="J5818">
        <v>2019</v>
      </c>
      <c r="O5818" s="21">
        <v>43503.617361805598</v>
      </c>
      <c r="Q5818" s="262">
        <v>100000</v>
      </c>
      <c r="R5818" s="262">
        <v>84000</v>
      </c>
      <c r="S5818" t="s">
        <v>114</v>
      </c>
      <c r="T5818" t="s">
        <v>114</v>
      </c>
      <c r="V5818">
        <v>0</v>
      </c>
      <c r="W5818">
        <v>950</v>
      </c>
      <c r="X5818">
        <v>0</v>
      </c>
      <c r="AC5818">
        <v>950</v>
      </c>
      <c r="AU5818">
        <f t="shared" si="180"/>
        <v>0</v>
      </c>
      <c r="AV5818">
        <f t="shared" si="181"/>
        <v>0</v>
      </c>
    </row>
    <row r="5819" spans="1:48" x14ac:dyDescent="0.25">
      <c r="A5819" t="s">
        <v>14068</v>
      </c>
      <c r="C5819" t="s">
        <v>14069</v>
      </c>
      <c r="D5819" t="s">
        <v>14051</v>
      </c>
      <c r="E5819" t="s">
        <v>1663</v>
      </c>
      <c r="F5819">
        <v>4</v>
      </c>
      <c r="G5819">
        <v>4.0999999999999996</v>
      </c>
      <c r="H5819" t="s">
        <v>2327</v>
      </c>
      <c r="I5819" s="21">
        <v>43480</v>
      </c>
      <c r="J5819">
        <v>2019</v>
      </c>
      <c r="K5819" s="21">
        <v>43517</v>
      </c>
      <c r="L5819">
        <v>2019</v>
      </c>
      <c r="M5819" s="21">
        <v>43724</v>
      </c>
      <c r="N5819">
        <v>2019</v>
      </c>
      <c r="Q5819" s="262">
        <v>160000</v>
      </c>
      <c r="S5819" t="s">
        <v>114</v>
      </c>
      <c r="T5819" t="s">
        <v>114</v>
      </c>
      <c r="V5819">
        <v>0</v>
      </c>
      <c r="W5819">
        <v>0</v>
      </c>
      <c r="X5819">
        <v>0</v>
      </c>
      <c r="AU5819">
        <f t="shared" si="180"/>
        <v>0</v>
      </c>
      <c r="AV5819">
        <f t="shared" si="181"/>
        <v>0</v>
      </c>
    </row>
    <row r="5820" spans="1:48" x14ac:dyDescent="0.25">
      <c r="A5820" t="s">
        <v>14065</v>
      </c>
      <c r="C5820" t="s">
        <v>14066</v>
      </c>
      <c r="D5820" t="s">
        <v>14067</v>
      </c>
      <c r="E5820" t="s">
        <v>1663</v>
      </c>
      <c r="F5820">
        <v>2</v>
      </c>
      <c r="G5820">
        <v>2.2999999999999998</v>
      </c>
      <c r="H5820" t="s">
        <v>2327</v>
      </c>
      <c r="I5820" s="21">
        <v>43480</v>
      </c>
      <c r="J5820">
        <v>2019</v>
      </c>
      <c r="K5820" s="21">
        <v>43495</v>
      </c>
      <c r="L5820">
        <v>2019</v>
      </c>
      <c r="M5820" s="21">
        <v>43634</v>
      </c>
      <c r="N5820">
        <v>2019</v>
      </c>
      <c r="Q5820" s="262">
        <v>4700</v>
      </c>
      <c r="S5820" t="s">
        <v>114</v>
      </c>
      <c r="T5820" t="s">
        <v>114</v>
      </c>
      <c r="V5820">
        <v>0</v>
      </c>
      <c r="W5820">
        <v>0</v>
      </c>
      <c r="X5820">
        <v>0</v>
      </c>
      <c r="AU5820">
        <f t="shared" si="180"/>
        <v>0</v>
      </c>
      <c r="AV5820">
        <f t="shared" si="181"/>
        <v>0</v>
      </c>
    </row>
    <row r="5821" spans="1:48" x14ac:dyDescent="0.25">
      <c r="A5821" t="s">
        <v>18823</v>
      </c>
      <c r="B5821" t="s">
        <v>114</v>
      </c>
      <c r="C5821" t="s">
        <v>13003</v>
      </c>
      <c r="D5821" t="s">
        <v>18824</v>
      </c>
      <c r="E5821" t="s">
        <v>1663</v>
      </c>
      <c r="F5821">
        <v>2</v>
      </c>
      <c r="G5821">
        <v>2.2000000000000002</v>
      </c>
      <c r="H5821" t="s">
        <v>2327</v>
      </c>
      <c r="I5821" s="21">
        <v>43480</v>
      </c>
      <c r="J5821">
        <v>2019</v>
      </c>
      <c r="K5821" s="21">
        <v>43508</v>
      </c>
      <c r="L5821">
        <v>2019</v>
      </c>
      <c r="M5821" s="21">
        <v>43621</v>
      </c>
      <c r="N5821">
        <v>2019</v>
      </c>
      <c r="Q5821" s="262">
        <v>40000</v>
      </c>
      <c r="S5821" t="s">
        <v>13253</v>
      </c>
      <c r="T5821">
        <v>9616</v>
      </c>
      <c r="V5821">
        <v>1414</v>
      </c>
      <c r="W5821">
        <v>0</v>
      </c>
      <c r="X5821">
        <v>0</v>
      </c>
      <c r="AC5821">
        <v>-1414</v>
      </c>
      <c r="AJ5821">
        <v>1414</v>
      </c>
      <c r="AU5821">
        <f t="shared" si="180"/>
        <v>0</v>
      </c>
      <c r="AV5821">
        <f t="shared" si="181"/>
        <v>1414</v>
      </c>
    </row>
    <row r="5822" spans="1:48" x14ac:dyDescent="0.25">
      <c r="A5822" t="s">
        <v>14070</v>
      </c>
      <c r="B5822" t="s">
        <v>14070</v>
      </c>
      <c r="C5822" t="s">
        <v>14071</v>
      </c>
      <c r="D5822" t="s">
        <v>14072</v>
      </c>
      <c r="E5822" t="s">
        <v>2310</v>
      </c>
      <c r="F5822">
        <v>8</v>
      </c>
      <c r="G5822">
        <v>8.3000000000000007</v>
      </c>
      <c r="H5822" t="s">
        <v>2323</v>
      </c>
      <c r="I5822" s="21">
        <v>43480.492697604197</v>
      </c>
      <c r="J5822">
        <v>2019</v>
      </c>
      <c r="K5822" s="21">
        <v>43559.432346875001</v>
      </c>
      <c r="L5822">
        <v>2019</v>
      </c>
      <c r="Q5822" s="262">
        <v>1200000</v>
      </c>
      <c r="R5822" s="262">
        <v>317000</v>
      </c>
      <c r="S5822" t="s">
        <v>114</v>
      </c>
      <c r="T5822" t="s">
        <v>114</v>
      </c>
      <c r="V5822">
        <v>0</v>
      </c>
      <c r="W5822">
        <v>3054</v>
      </c>
      <c r="X5822">
        <v>1</v>
      </c>
      <c r="AC5822">
        <v>3054</v>
      </c>
      <c r="AO5822">
        <v>1</v>
      </c>
      <c r="AU5822">
        <f t="shared" si="180"/>
        <v>1</v>
      </c>
      <c r="AV5822">
        <f t="shared" si="181"/>
        <v>0</v>
      </c>
    </row>
    <row r="5823" spans="1:48" x14ac:dyDescent="0.25">
      <c r="A5823" t="s">
        <v>17855</v>
      </c>
      <c r="B5823" t="s">
        <v>17855</v>
      </c>
      <c r="C5823" t="s">
        <v>17856</v>
      </c>
      <c r="D5823" t="s">
        <v>17857</v>
      </c>
      <c r="E5823" t="s">
        <v>2310</v>
      </c>
      <c r="F5823">
        <v>10</v>
      </c>
      <c r="G5823">
        <v>10.1</v>
      </c>
      <c r="H5823" t="s">
        <v>2323</v>
      </c>
      <c r="I5823" s="21">
        <v>43480.569148761577</v>
      </c>
      <c r="J5823">
        <v>2019</v>
      </c>
      <c r="K5823" s="21">
        <v>43502.471277511577</v>
      </c>
      <c r="L5823">
        <v>2019</v>
      </c>
      <c r="M5823" s="21">
        <v>43697.350430937498</v>
      </c>
      <c r="N5823">
        <v>2019</v>
      </c>
      <c r="Q5823" s="262">
        <v>50000</v>
      </c>
      <c r="R5823" s="262">
        <v>10000</v>
      </c>
      <c r="S5823" t="s">
        <v>13253</v>
      </c>
      <c r="T5823">
        <v>1845</v>
      </c>
      <c r="V5823">
        <v>0</v>
      </c>
      <c r="W5823">
        <v>220</v>
      </c>
      <c r="X5823">
        <v>0</v>
      </c>
      <c r="AC5823">
        <v>220</v>
      </c>
      <c r="AU5823">
        <f t="shared" si="180"/>
        <v>0</v>
      </c>
      <c r="AV5823">
        <f t="shared" si="181"/>
        <v>0</v>
      </c>
    </row>
    <row r="5824" spans="1:48" x14ac:dyDescent="0.25">
      <c r="A5824" t="s">
        <v>19431</v>
      </c>
      <c r="B5824" t="s">
        <v>19431</v>
      </c>
      <c r="C5824" t="s">
        <v>19432</v>
      </c>
      <c r="D5824" t="s">
        <v>19433</v>
      </c>
      <c r="E5824" t="s">
        <v>2310</v>
      </c>
      <c r="F5824">
        <v>9</v>
      </c>
      <c r="G5824">
        <v>9.1</v>
      </c>
      <c r="H5824" t="s">
        <v>2323</v>
      </c>
      <c r="I5824" s="21">
        <v>43482.475359340278</v>
      </c>
      <c r="J5824">
        <v>2019</v>
      </c>
      <c r="K5824" s="21">
        <v>43544.628381400464</v>
      </c>
      <c r="L5824">
        <v>2019</v>
      </c>
      <c r="M5824" s="21">
        <v>44035.419506134262</v>
      </c>
      <c r="N5824">
        <v>2020</v>
      </c>
      <c r="Q5824" s="262">
        <v>1126000</v>
      </c>
      <c r="R5824" s="262">
        <v>326000</v>
      </c>
      <c r="S5824" t="s">
        <v>13254</v>
      </c>
      <c r="V5824">
        <v>0</v>
      </c>
      <c r="W5824">
        <v>3169</v>
      </c>
      <c r="X5824">
        <v>1</v>
      </c>
      <c r="AC5824">
        <v>3169</v>
      </c>
      <c r="AO5824">
        <v>1</v>
      </c>
      <c r="AU5824">
        <f t="shared" si="180"/>
        <v>1</v>
      </c>
      <c r="AV5824">
        <f t="shared" si="181"/>
        <v>0</v>
      </c>
    </row>
    <row r="5825" spans="1:48" x14ac:dyDescent="0.25">
      <c r="A5825" t="s">
        <v>14073</v>
      </c>
      <c r="C5825" t="s">
        <v>14074</v>
      </c>
      <c r="D5825" t="s">
        <v>4683</v>
      </c>
      <c r="E5825" t="s">
        <v>1663</v>
      </c>
      <c r="F5825">
        <v>2</v>
      </c>
      <c r="G5825">
        <v>2.6</v>
      </c>
      <c r="H5825" t="s">
        <v>2327</v>
      </c>
      <c r="I5825" s="21">
        <v>43486</v>
      </c>
      <c r="J5825">
        <v>2019</v>
      </c>
      <c r="K5825" s="21">
        <v>43516</v>
      </c>
      <c r="L5825">
        <v>2019</v>
      </c>
      <c r="M5825" s="21">
        <v>43734</v>
      </c>
      <c r="N5825">
        <v>2019</v>
      </c>
      <c r="Q5825" s="262">
        <v>50000</v>
      </c>
      <c r="S5825" t="s">
        <v>114</v>
      </c>
      <c r="T5825" t="s">
        <v>114</v>
      </c>
      <c r="V5825">
        <v>0</v>
      </c>
      <c r="W5825">
        <v>0</v>
      </c>
      <c r="X5825">
        <v>0</v>
      </c>
      <c r="AU5825">
        <f t="shared" si="180"/>
        <v>0</v>
      </c>
      <c r="AV5825">
        <f t="shared" si="181"/>
        <v>0</v>
      </c>
    </row>
    <row r="5826" spans="1:48" x14ac:dyDescent="0.25">
      <c r="A5826" t="s">
        <v>14075</v>
      </c>
      <c r="C5826" t="s">
        <v>14076</v>
      </c>
      <c r="D5826" t="s">
        <v>13457</v>
      </c>
      <c r="E5826" t="s">
        <v>1663</v>
      </c>
      <c r="F5826">
        <v>4</v>
      </c>
      <c r="G5826">
        <v>4.4000000000000004</v>
      </c>
      <c r="H5826" t="s">
        <v>2017</v>
      </c>
      <c r="I5826" s="21">
        <v>43487</v>
      </c>
      <c r="J5826">
        <v>2019</v>
      </c>
      <c r="K5826" s="21">
        <v>43507</v>
      </c>
      <c r="L5826">
        <v>2019</v>
      </c>
      <c r="M5826" s="21">
        <v>43887</v>
      </c>
      <c r="N5826">
        <v>2020</v>
      </c>
      <c r="Q5826" s="262">
        <v>30000</v>
      </c>
      <c r="S5826" t="s">
        <v>114</v>
      </c>
      <c r="T5826" t="s">
        <v>114</v>
      </c>
      <c r="V5826">
        <v>0</v>
      </c>
      <c r="W5826">
        <v>0</v>
      </c>
      <c r="X5826">
        <v>0</v>
      </c>
      <c r="AU5826">
        <f t="shared" si="180"/>
        <v>0</v>
      </c>
      <c r="AV5826">
        <f t="shared" si="181"/>
        <v>0</v>
      </c>
    </row>
    <row r="5827" spans="1:48" x14ac:dyDescent="0.25">
      <c r="A5827" t="s">
        <v>19103</v>
      </c>
      <c r="B5827" t="s">
        <v>114</v>
      </c>
      <c r="C5827" t="s">
        <v>19104</v>
      </c>
      <c r="D5827" t="s">
        <v>19105</v>
      </c>
      <c r="E5827" t="s">
        <v>1663</v>
      </c>
      <c r="F5827">
        <v>3</v>
      </c>
      <c r="G5827">
        <v>3.2</v>
      </c>
      <c r="H5827" t="s">
        <v>2327</v>
      </c>
      <c r="I5827" s="21">
        <v>43487</v>
      </c>
      <c r="J5827">
        <v>2019</v>
      </c>
      <c r="K5827" s="21">
        <v>43528</v>
      </c>
      <c r="L5827">
        <v>2019</v>
      </c>
      <c r="M5827" s="21">
        <v>43767</v>
      </c>
      <c r="N5827">
        <v>2019</v>
      </c>
      <c r="Q5827" s="262">
        <v>100000</v>
      </c>
      <c r="S5827" t="s">
        <v>13254</v>
      </c>
      <c r="V5827">
        <v>0</v>
      </c>
      <c r="W5827">
        <v>988</v>
      </c>
      <c r="X5827">
        <v>0</v>
      </c>
      <c r="AE5827">
        <v>988</v>
      </c>
      <c r="AU5827">
        <f t="shared" si="180"/>
        <v>0</v>
      </c>
      <c r="AV5827">
        <f t="shared" si="181"/>
        <v>0</v>
      </c>
    </row>
    <row r="5828" spans="1:48" x14ac:dyDescent="0.25">
      <c r="A5828" t="s">
        <v>19455</v>
      </c>
      <c r="B5828" t="s">
        <v>19455</v>
      </c>
      <c r="C5828" t="s">
        <v>19456</v>
      </c>
      <c r="D5828" t="s">
        <v>19457</v>
      </c>
      <c r="E5828" t="s">
        <v>2310</v>
      </c>
      <c r="F5828">
        <v>8</v>
      </c>
      <c r="G5828">
        <v>8.3000000000000007</v>
      </c>
      <c r="H5828" t="s">
        <v>2323</v>
      </c>
      <c r="I5828" s="21">
        <v>43489.612922997687</v>
      </c>
      <c r="J5828">
        <v>2019</v>
      </c>
      <c r="K5828" s="21">
        <v>43528.542066122682</v>
      </c>
      <c r="L5828">
        <v>2019</v>
      </c>
      <c r="M5828" s="21">
        <v>44047.389461574072</v>
      </c>
      <c r="N5828">
        <v>2020</v>
      </c>
      <c r="Q5828" s="262">
        <v>910000</v>
      </c>
      <c r="R5828" s="262">
        <v>501000</v>
      </c>
      <c r="S5828" t="s">
        <v>13254</v>
      </c>
      <c r="V5828">
        <v>0</v>
      </c>
      <c r="W5828">
        <v>4264</v>
      </c>
      <c r="X5828">
        <v>1</v>
      </c>
      <c r="AC5828">
        <v>4264</v>
      </c>
      <c r="AO5828">
        <v>1</v>
      </c>
      <c r="AU5828">
        <f t="shared" si="180"/>
        <v>1</v>
      </c>
      <c r="AV5828">
        <f t="shared" si="181"/>
        <v>0</v>
      </c>
    </row>
    <row r="5829" spans="1:48" x14ac:dyDescent="0.25">
      <c r="A5829" t="s">
        <v>19959</v>
      </c>
      <c r="C5829" t="s">
        <v>18638</v>
      </c>
      <c r="D5829" t="s">
        <v>19960</v>
      </c>
      <c r="E5829" t="s">
        <v>1663</v>
      </c>
      <c r="F5829">
        <v>3</v>
      </c>
      <c r="G5829">
        <v>3.1</v>
      </c>
      <c r="H5829" t="s">
        <v>2017</v>
      </c>
      <c r="I5829" s="21">
        <v>43490</v>
      </c>
      <c r="J5829">
        <v>2019</v>
      </c>
      <c r="K5829" s="21">
        <v>43724</v>
      </c>
      <c r="L5829">
        <v>2019</v>
      </c>
      <c r="M5829" s="21">
        <v>44277</v>
      </c>
      <c r="N5829">
        <v>2021</v>
      </c>
      <c r="Q5829" s="262">
        <v>425000</v>
      </c>
      <c r="S5829" t="s">
        <v>13254</v>
      </c>
      <c r="U5829">
        <v>17</v>
      </c>
      <c r="V5829">
        <v>0</v>
      </c>
      <c r="W5829">
        <v>1393</v>
      </c>
      <c r="X5829">
        <v>1</v>
      </c>
      <c r="AC5829">
        <v>893</v>
      </c>
      <c r="AF5829">
        <v>500</v>
      </c>
      <c r="AR5829">
        <v>1</v>
      </c>
      <c r="AU5829">
        <f t="shared" si="180"/>
        <v>0</v>
      </c>
      <c r="AV5829">
        <f t="shared" si="181"/>
        <v>0</v>
      </c>
    </row>
    <row r="5830" spans="1:48" x14ac:dyDescent="0.25">
      <c r="A5830" t="s">
        <v>14077</v>
      </c>
      <c r="C5830" t="s">
        <v>14078</v>
      </c>
      <c r="D5830" t="s">
        <v>14079</v>
      </c>
      <c r="E5830" t="s">
        <v>1663</v>
      </c>
      <c r="F5830">
        <v>2</v>
      </c>
      <c r="G5830">
        <v>2.2999999999999998</v>
      </c>
      <c r="H5830" t="s">
        <v>2327</v>
      </c>
      <c r="I5830" s="21">
        <v>43494</v>
      </c>
      <c r="J5830">
        <v>2019</v>
      </c>
      <c r="K5830" s="21">
        <v>43675</v>
      </c>
      <c r="L5830">
        <v>2019</v>
      </c>
      <c r="P5830" s="21">
        <v>44081</v>
      </c>
      <c r="Q5830" s="262">
        <v>23000</v>
      </c>
      <c r="S5830" t="s">
        <v>114</v>
      </c>
      <c r="T5830" t="s">
        <v>114</v>
      </c>
      <c r="V5830">
        <v>0</v>
      </c>
      <c r="W5830">
        <v>274</v>
      </c>
      <c r="X5830">
        <v>1</v>
      </c>
      <c r="AE5830">
        <v>274</v>
      </c>
      <c r="AQ5830">
        <v>1</v>
      </c>
      <c r="AU5830">
        <f t="shared" si="180"/>
        <v>1</v>
      </c>
      <c r="AV5830">
        <f t="shared" si="181"/>
        <v>0</v>
      </c>
    </row>
    <row r="5831" spans="1:48" x14ac:dyDescent="0.25">
      <c r="A5831" t="s">
        <v>14080</v>
      </c>
      <c r="C5831" t="s">
        <v>14078</v>
      </c>
      <c r="D5831" t="s">
        <v>14079</v>
      </c>
      <c r="E5831" t="s">
        <v>1663</v>
      </c>
      <c r="F5831">
        <v>2</v>
      </c>
      <c r="G5831">
        <v>2.2999999999999998</v>
      </c>
      <c r="H5831" t="s">
        <v>2327</v>
      </c>
      <c r="I5831" s="21">
        <v>43494</v>
      </c>
      <c r="J5831">
        <v>2019</v>
      </c>
      <c r="K5831" s="21">
        <v>43675</v>
      </c>
      <c r="L5831">
        <v>2019</v>
      </c>
      <c r="P5831" s="21">
        <v>43926</v>
      </c>
      <c r="Q5831" s="262">
        <v>23000</v>
      </c>
      <c r="S5831" t="s">
        <v>114</v>
      </c>
      <c r="T5831" t="s">
        <v>114</v>
      </c>
      <c r="V5831">
        <v>0</v>
      </c>
      <c r="W5831">
        <v>274</v>
      </c>
      <c r="X5831">
        <v>1</v>
      </c>
      <c r="AE5831">
        <v>274</v>
      </c>
      <c r="AQ5831">
        <v>1</v>
      </c>
      <c r="AU5831">
        <f t="shared" si="180"/>
        <v>1</v>
      </c>
      <c r="AV5831">
        <f t="shared" si="181"/>
        <v>0</v>
      </c>
    </row>
    <row r="5832" spans="1:48" x14ac:dyDescent="0.25">
      <c r="A5832" t="s">
        <v>19764</v>
      </c>
      <c r="C5832" t="s">
        <v>19765</v>
      </c>
      <c r="D5832" t="s">
        <v>2336</v>
      </c>
      <c r="E5832" t="s">
        <v>1663</v>
      </c>
      <c r="F5832">
        <v>5</v>
      </c>
      <c r="G5832">
        <v>5.4</v>
      </c>
      <c r="H5832" t="s">
        <v>2017</v>
      </c>
      <c r="I5832" s="21">
        <v>43497</v>
      </c>
      <c r="J5832">
        <v>2019</v>
      </c>
      <c r="K5832" s="21">
        <v>43847</v>
      </c>
      <c r="L5832">
        <v>2020</v>
      </c>
      <c r="M5832" s="21">
        <v>44425</v>
      </c>
      <c r="N5832">
        <v>2021</v>
      </c>
      <c r="Q5832" s="262">
        <v>128933</v>
      </c>
      <c r="S5832" t="s">
        <v>13254</v>
      </c>
      <c r="U5832">
        <v>4</v>
      </c>
      <c r="V5832">
        <v>0</v>
      </c>
      <c r="W5832">
        <v>3300</v>
      </c>
      <c r="X5832">
        <v>0</v>
      </c>
      <c r="AB5832">
        <v>3300</v>
      </c>
      <c r="AU5832">
        <f t="shared" si="180"/>
        <v>0</v>
      </c>
      <c r="AV5832">
        <f t="shared" si="181"/>
        <v>3300</v>
      </c>
    </row>
    <row r="5833" spans="1:48" x14ac:dyDescent="0.25">
      <c r="A5833" t="s">
        <v>20070</v>
      </c>
      <c r="B5833" t="s">
        <v>20070</v>
      </c>
      <c r="C5833" t="s">
        <v>20071</v>
      </c>
      <c r="D5833" t="s">
        <v>20072</v>
      </c>
      <c r="E5833" t="s">
        <v>2310</v>
      </c>
      <c r="F5833">
        <v>9</v>
      </c>
      <c r="G5833">
        <v>9.1999999999999993</v>
      </c>
      <c r="H5833" t="s">
        <v>2022</v>
      </c>
      <c r="I5833" s="21">
        <v>43501.563748877299</v>
      </c>
      <c r="J5833">
        <v>2019</v>
      </c>
      <c r="K5833" s="21">
        <v>43537.572110613401</v>
      </c>
      <c r="L5833">
        <v>2019</v>
      </c>
      <c r="M5833" s="21">
        <v>44316</v>
      </c>
      <c r="N5833">
        <v>2021</v>
      </c>
      <c r="Q5833" s="262">
        <v>10077000</v>
      </c>
      <c r="R5833" s="262">
        <v>768000</v>
      </c>
      <c r="S5833" t="s">
        <v>13254</v>
      </c>
      <c r="U5833">
        <v>5</v>
      </c>
      <c r="V5833">
        <v>0</v>
      </c>
      <c r="W5833">
        <v>6952</v>
      </c>
      <c r="X5833">
        <v>1</v>
      </c>
      <c r="AC5833">
        <v>6952</v>
      </c>
      <c r="AO5833">
        <v>1</v>
      </c>
      <c r="AU5833">
        <f t="shared" si="180"/>
        <v>1</v>
      </c>
      <c r="AV5833">
        <f t="shared" si="181"/>
        <v>0</v>
      </c>
    </row>
    <row r="5834" spans="1:48" x14ac:dyDescent="0.25">
      <c r="A5834" t="s">
        <v>18336</v>
      </c>
      <c r="B5834" t="s">
        <v>18336</v>
      </c>
      <c r="C5834" t="s">
        <v>18337</v>
      </c>
      <c r="D5834" t="s">
        <v>18338</v>
      </c>
      <c r="E5834" t="s">
        <v>2310</v>
      </c>
      <c r="F5834">
        <v>11</v>
      </c>
      <c r="G5834">
        <v>11.2</v>
      </c>
      <c r="H5834" t="s">
        <v>2017</v>
      </c>
      <c r="I5834" s="21">
        <v>43503.442002233794</v>
      </c>
      <c r="J5834">
        <v>2019</v>
      </c>
      <c r="K5834" s="21">
        <v>43517.680505520832</v>
      </c>
      <c r="L5834">
        <v>2019</v>
      </c>
      <c r="M5834" s="21">
        <v>43903.386367974534</v>
      </c>
      <c r="N5834">
        <v>2020</v>
      </c>
      <c r="Q5834" s="262">
        <v>1200000</v>
      </c>
      <c r="R5834" s="262">
        <v>144000</v>
      </c>
      <c r="S5834" t="s">
        <v>13253</v>
      </c>
      <c r="T5834">
        <v>4564</v>
      </c>
      <c r="V5834">
        <v>0</v>
      </c>
      <c r="W5834">
        <v>1276</v>
      </c>
      <c r="X5834">
        <v>0</v>
      </c>
      <c r="AC5834">
        <v>1276</v>
      </c>
      <c r="AU5834">
        <f t="shared" si="180"/>
        <v>0</v>
      </c>
      <c r="AV5834">
        <f t="shared" si="181"/>
        <v>0</v>
      </c>
    </row>
    <row r="5835" spans="1:48" x14ac:dyDescent="0.25">
      <c r="A5835" t="s">
        <v>19231</v>
      </c>
      <c r="B5835" t="s">
        <v>19231</v>
      </c>
      <c r="C5835" t="s">
        <v>19232</v>
      </c>
      <c r="D5835" t="s">
        <v>19233</v>
      </c>
      <c r="E5835" t="s">
        <v>2310</v>
      </c>
      <c r="F5835">
        <v>9</v>
      </c>
      <c r="G5835">
        <v>9.1</v>
      </c>
      <c r="H5835" t="s">
        <v>2323</v>
      </c>
      <c r="I5835" s="21">
        <v>43503.495982754626</v>
      </c>
      <c r="J5835">
        <v>2019</v>
      </c>
      <c r="K5835" s="21">
        <v>43567.565125729168</v>
      </c>
      <c r="L5835">
        <v>2019</v>
      </c>
      <c r="M5835" s="21">
        <v>43871.393223576386</v>
      </c>
      <c r="N5835">
        <v>2020</v>
      </c>
      <c r="Q5835" s="262">
        <v>800000</v>
      </c>
      <c r="R5835" s="262">
        <v>544000</v>
      </c>
      <c r="S5835" t="s">
        <v>13254</v>
      </c>
      <c r="V5835">
        <v>0</v>
      </c>
      <c r="W5835">
        <v>4608</v>
      </c>
      <c r="X5835">
        <v>1</v>
      </c>
      <c r="AC5835">
        <v>4608</v>
      </c>
      <c r="AO5835">
        <v>1</v>
      </c>
      <c r="AU5835">
        <f t="shared" si="180"/>
        <v>1</v>
      </c>
      <c r="AV5835">
        <f t="shared" si="181"/>
        <v>0</v>
      </c>
    </row>
    <row r="5836" spans="1:48" x14ac:dyDescent="0.25">
      <c r="A5836" t="s">
        <v>19613</v>
      </c>
      <c r="B5836" t="s">
        <v>19613</v>
      </c>
      <c r="C5836" t="s">
        <v>19614</v>
      </c>
      <c r="D5836" t="s">
        <v>19615</v>
      </c>
      <c r="E5836" t="s">
        <v>2310</v>
      </c>
      <c r="F5836">
        <v>9</v>
      </c>
      <c r="G5836">
        <v>9.1</v>
      </c>
      <c r="H5836" t="s">
        <v>2323</v>
      </c>
      <c r="I5836" s="21">
        <v>43503.520278935182</v>
      </c>
      <c r="J5836">
        <v>2019</v>
      </c>
      <c r="K5836" s="21">
        <v>43570.521562037036</v>
      </c>
      <c r="L5836">
        <v>2019</v>
      </c>
      <c r="M5836" s="21">
        <v>44173.412376539352</v>
      </c>
      <c r="N5836">
        <v>2020</v>
      </c>
      <c r="Q5836" s="262">
        <v>1100000</v>
      </c>
      <c r="R5836" s="262">
        <v>388000</v>
      </c>
      <c r="S5836" t="s">
        <v>13254</v>
      </c>
      <c r="V5836">
        <v>0</v>
      </c>
      <c r="W5836">
        <v>4945</v>
      </c>
      <c r="X5836">
        <v>1</v>
      </c>
      <c r="AC5836">
        <v>4945</v>
      </c>
      <c r="AO5836">
        <v>1</v>
      </c>
      <c r="AU5836">
        <f t="shared" si="180"/>
        <v>1</v>
      </c>
      <c r="AV5836">
        <f t="shared" si="181"/>
        <v>0</v>
      </c>
    </row>
    <row r="5837" spans="1:48" x14ac:dyDescent="0.25">
      <c r="A5837" t="s">
        <v>14083</v>
      </c>
      <c r="C5837" t="s">
        <v>11237</v>
      </c>
      <c r="D5837" t="s">
        <v>14084</v>
      </c>
      <c r="E5837" t="s">
        <v>1663</v>
      </c>
      <c r="F5837">
        <v>5</v>
      </c>
      <c r="G5837">
        <v>5.0999999999999996</v>
      </c>
      <c r="H5837" t="s">
        <v>2327</v>
      </c>
      <c r="I5837" s="21">
        <v>43504</v>
      </c>
      <c r="J5837">
        <v>2019</v>
      </c>
      <c r="Q5837" s="262">
        <v>4500</v>
      </c>
      <c r="S5837" t="s">
        <v>114</v>
      </c>
      <c r="T5837" t="s">
        <v>114</v>
      </c>
      <c r="V5837">
        <v>0</v>
      </c>
      <c r="W5837">
        <v>0</v>
      </c>
      <c r="X5837">
        <v>0</v>
      </c>
      <c r="AU5837">
        <f t="shared" si="180"/>
        <v>0</v>
      </c>
      <c r="AV5837">
        <f t="shared" si="181"/>
        <v>0</v>
      </c>
    </row>
    <row r="5838" spans="1:48" x14ac:dyDescent="0.25">
      <c r="A5838" t="s">
        <v>14081</v>
      </c>
      <c r="C5838" t="s">
        <v>14082</v>
      </c>
      <c r="D5838" t="s">
        <v>9528</v>
      </c>
      <c r="E5838" t="s">
        <v>1663</v>
      </c>
      <c r="F5838">
        <v>2</v>
      </c>
      <c r="G5838">
        <v>2.2999999999999998</v>
      </c>
      <c r="H5838" t="s">
        <v>2327</v>
      </c>
      <c r="I5838" s="21">
        <v>43504</v>
      </c>
      <c r="J5838">
        <v>2019</v>
      </c>
      <c r="K5838" s="21">
        <v>43560</v>
      </c>
      <c r="L5838">
        <v>2019</v>
      </c>
      <c r="M5838" s="21">
        <v>43658</v>
      </c>
      <c r="N5838">
        <v>2019</v>
      </c>
      <c r="Q5838" s="262">
        <v>300000</v>
      </c>
      <c r="S5838" t="s">
        <v>114</v>
      </c>
      <c r="T5838" t="s">
        <v>114</v>
      </c>
      <c r="V5838">
        <v>0</v>
      </c>
      <c r="W5838">
        <v>0</v>
      </c>
      <c r="X5838">
        <v>0</v>
      </c>
      <c r="AU5838">
        <f t="shared" si="180"/>
        <v>0</v>
      </c>
      <c r="AV5838">
        <f t="shared" si="181"/>
        <v>0</v>
      </c>
    </row>
    <row r="5839" spans="1:48" x14ac:dyDescent="0.25">
      <c r="A5839" t="s">
        <v>20073</v>
      </c>
      <c r="B5839" t="s">
        <v>20073</v>
      </c>
      <c r="C5839" t="s">
        <v>20074</v>
      </c>
      <c r="D5839" t="s">
        <v>20072</v>
      </c>
      <c r="E5839" t="s">
        <v>2310</v>
      </c>
      <c r="F5839">
        <v>9</v>
      </c>
      <c r="G5839">
        <v>9.1999999999999993</v>
      </c>
      <c r="H5839" t="s">
        <v>2022</v>
      </c>
      <c r="I5839" s="21">
        <v>43504.593544907402</v>
      </c>
      <c r="J5839">
        <v>2019</v>
      </c>
      <c r="K5839" s="21">
        <v>43537.571931099497</v>
      </c>
      <c r="L5839">
        <v>2019</v>
      </c>
      <c r="M5839" s="21">
        <v>44316</v>
      </c>
      <c r="N5839">
        <v>2021</v>
      </c>
      <c r="Q5839" s="262">
        <v>10077000</v>
      </c>
      <c r="R5839" s="262">
        <v>131000</v>
      </c>
      <c r="S5839" t="s">
        <v>13254</v>
      </c>
      <c r="U5839">
        <v>5</v>
      </c>
      <c r="V5839">
        <v>0</v>
      </c>
      <c r="W5839">
        <v>1157</v>
      </c>
      <c r="X5839">
        <v>0</v>
      </c>
      <c r="AC5839">
        <v>1157</v>
      </c>
      <c r="AU5839">
        <f t="shared" si="180"/>
        <v>0</v>
      </c>
      <c r="AV5839">
        <f t="shared" si="181"/>
        <v>0</v>
      </c>
    </row>
    <row r="5840" spans="1:48" x14ac:dyDescent="0.25">
      <c r="A5840" t="s">
        <v>17567</v>
      </c>
      <c r="B5840" t="s">
        <v>17567</v>
      </c>
      <c r="C5840" t="s">
        <v>17568</v>
      </c>
      <c r="D5840" t="s">
        <v>6594</v>
      </c>
      <c r="E5840" t="s">
        <v>2310</v>
      </c>
      <c r="F5840">
        <v>7</v>
      </c>
      <c r="G5840">
        <v>7.2</v>
      </c>
      <c r="H5840" t="s">
        <v>2017</v>
      </c>
      <c r="I5840" s="21">
        <v>43508.487233101849</v>
      </c>
      <c r="J5840">
        <v>2019</v>
      </c>
      <c r="K5840" s="21">
        <v>43662.442593749998</v>
      </c>
      <c r="L5840">
        <v>2019</v>
      </c>
      <c r="M5840" s="21">
        <v>43832.47675671296</v>
      </c>
      <c r="N5840">
        <v>2020</v>
      </c>
      <c r="Q5840" s="262">
        <v>850000</v>
      </c>
      <c r="R5840" s="262">
        <v>263000</v>
      </c>
      <c r="S5840" t="s">
        <v>13253</v>
      </c>
      <c r="T5840">
        <v>494</v>
      </c>
      <c r="V5840">
        <v>800</v>
      </c>
      <c r="W5840">
        <v>0</v>
      </c>
      <c r="X5840">
        <v>-1</v>
      </c>
      <c r="AE5840">
        <v>-800</v>
      </c>
      <c r="AK5840">
        <v>800</v>
      </c>
      <c r="AQ5840">
        <v>-1</v>
      </c>
      <c r="AU5840">
        <f t="shared" si="180"/>
        <v>-1</v>
      </c>
      <c r="AV5840">
        <f t="shared" si="181"/>
        <v>800</v>
      </c>
    </row>
    <row r="5841" spans="1:48" x14ac:dyDescent="0.25">
      <c r="A5841" t="s">
        <v>19465</v>
      </c>
      <c r="B5841" t="s">
        <v>19465</v>
      </c>
      <c r="C5841" t="s">
        <v>19466</v>
      </c>
      <c r="D5841" t="s">
        <v>19467</v>
      </c>
      <c r="E5841" t="s">
        <v>2310</v>
      </c>
      <c r="F5841">
        <v>8</v>
      </c>
      <c r="G5841">
        <v>8.1</v>
      </c>
      <c r="H5841" t="s">
        <v>2323</v>
      </c>
      <c r="I5841" s="21">
        <v>43510.490689930557</v>
      </c>
      <c r="J5841">
        <v>2019</v>
      </c>
      <c r="K5841" s="21">
        <v>43556.445227511576</v>
      </c>
      <c r="L5841">
        <v>2019</v>
      </c>
      <c r="M5841" s="21">
        <v>44047.688451851849</v>
      </c>
      <c r="N5841">
        <v>2020</v>
      </c>
      <c r="Q5841" s="262">
        <v>1700000</v>
      </c>
      <c r="R5841" s="262">
        <v>578000</v>
      </c>
      <c r="S5841" t="s">
        <v>13254</v>
      </c>
      <c r="V5841">
        <v>0</v>
      </c>
      <c r="W5841">
        <v>5000</v>
      </c>
      <c r="X5841">
        <v>1</v>
      </c>
      <c r="AC5841">
        <v>5000</v>
      </c>
      <c r="AO5841">
        <v>1</v>
      </c>
      <c r="AU5841">
        <f t="shared" si="180"/>
        <v>1</v>
      </c>
      <c r="AV5841">
        <f t="shared" si="181"/>
        <v>0</v>
      </c>
    </row>
    <row r="5842" spans="1:48" x14ac:dyDescent="0.25">
      <c r="A5842" t="s">
        <v>14085</v>
      </c>
      <c r="B5842" t="s">
        <v>14085</v>
      </c>
      <c r="C5842" t="s">
        <v>14086</v>
      </c>
      <c r="D5842" t="s">
        <v>4365</v>
      </c>
      <c r="E5842" t="s">
        <v>2310</v>
      </c>
      <c r="F5842">
        <v>9</v>
      </c>
      <c r="G5842">
        <v>9.1</v>
      </c>
      <c r="H5842" t="s">
        <v>2323</v>
      </c>
      <c r="I5842" s="21">
        <v>43515.423555405097</v>
      </c>
      <c r="J5842">
        <v>2019</v>
      </c>
      <c r="K5842" s="21">
        <v>43572.478962233799</v>
      </c>
      <c r="L5842">
        <v>2019</v>
      </c>
      <c r="M5842" s="21">
        <v>43676.380734919003</v>
      </c>
      <c r="N5842">
        <v>2019</v>
      </c>
      <c r="Q5842" s="262">
        <v>200000</v>
      </c>
      <c r="R5842" s="262">
        <v>50000</v>
      </c>
      <c r="S5842" t="s">
        <v>114</v>
      </c>
      <c r="T5842" t="s">
        <v>114</v>
      </c>
      <c r="V5842">
        <v>0</v>
      </c>
      <c r="W5842">
        <v>0</v>
      </c>
      <c r="X5842">
        <v>0</v>
      </c>
      <c r="AU5842">
        <f t="shared" si="180"/>
        <v>0</v>
      </c>
      <c r="AV5842">
        <f t="shared" si="181"/>
        <v>0</v>
      </c>
    </row>
    <row r="5843" spans="1:48" x14ac:dyDescent="0.25">
      <c r="A5843" t="s">
        <v>18717</v>
      </c>
      <c r="B5843" t="s">
        <v>18717</v>
      </c>
      <c r="C5843" t="s">
        <v>18718</v>
      </c>
      <c r="D5843" t="s">
        <v>18719</v>
      </c>
      <c r="E5843" t="s">
        <v>2310</v>
      </c>
      <c r="F5843">
        <v>14</v>
      </c>
      <c r="G5843">
        <v>14.1</v>
      </c>
      <c r="H5843" t="s">
        <v>2022</v>
      </c>
      <c r="I5843" s="21">
        <v>43515.475017858793</v>
      </c>
      <c r="J5843">
        <v>2019</v>
      </c>
      <c r="K5843" s="21">
        <v>43700.640939583333</v>
      </c>
      <c r="L5843">
        <v>2019</v>
      </c>
      <c r="M5843" s="21">
        <v>44035.372358067129</v>
      </c>
      <c r="N5843">
        <v>2020</v>
      </c>
      <c r="Q5843" s="262">
        <v>1000000</v>
      </c>
      <c r="R5843" s="262">
        <v>258000</v>
      </c>
      <c r="S5843" t="s">
        <v>13253</v>
      </c>
      <c r="T5843">
        <v>7728</v>
      </c>
      <c r="V5843">
        <v>0</v>
      </c>
      <c r="W5843">
        <v>2078</v>
      </c>
      <c r="X5843">
        <v>0</v>
      </c>
      <c r="AC5843">
        <v>2078</v>
      </c>
      <c r="AU5843">
        <f t="shared" si="180"/>
        <v>0</v>
      </c>
      <c r="AV5843">
        <f t="shared" si="181"/>
        <v>0</v>
      </c>
    </row>
    <row r="5844" spans="1:48" x14ac:dyDescent="0.25">
      <c r="A5844" t="s">
        <v>19423</v>
      </c>
      <c r="B5844" t="s">
        <v>19423</v>
      </c>
      <c r="C5844" t="s">
        <v>19424</v>
      </c>
      <c r="D5844" t="s">
        <v>18719</v>
      </c>
      <c r="E5844" t="s">
        <v>2310</v>
      </c>
      <c r="F5844">
        <v>14</v>
      </c>
      <c r="G5844">
        <v>14.1</v>
      </c>
      <c r="H5844" t="s">
        <v>2022</v>
      </c>
      <c r="I5844" s="21">
        <v>43515.490760335648</v>
      </c>
      <c r="J5844">
        <v>2019</v>
      </c>
      <c r="K5844" s="21">
        <v>43565.590389236109</v>
      </c>
      <c r="L5844">
        <v>2019</v>
      </c>
      <c r="M5844" s="21">
        <v>44035.375341435189</v>
      </c>
      <c r="N5844">
        <v>2020</v>
      </c>
      <c r="Q5844" s="262">
        <v>100000</v>
      </c>
      <c r="R5844" s="262">
        <v>50000</v>
      </c>
      <c r="S5844" t="s">
        <v>13254</v>
      </c>
      <c r="V5844">
        <v>0</v>
      </c>
      <c r="W5844">
        <v>1120</v>
      </c>
      <c r="X5844">
        <v>0</v>
      </c>
      <c r="AC5844">
        <v>1120</v>
      </c>
      <c r="AU5844">
        <f t="shared" si="180"/>
        <v>0</v>
      </c>
      <c r="AV5844">
        <f t="shared" si="181"/>
        <v>0</v>
      </c>
    </row>
    <row r="5845" spans="1:48" x14ac:dyDescent="0.25">
      <c r="A5845" t="s">
        <v>20075</v>
      </c>
      <c r="B5845" t="s">
        <v>20075</v>
      </c>
      <c r="C5845" t="s">
        <v>20076</v>
      </c>
      <c r="D5845" t="s">
        <v>5368</v>
      </c>
      <c r="E5845" t="s">
        <v>2310</v>
      </c>
      <c r="F5845">
        <v>15</v>
      </c>
      <c r="G5845">
        <v>15.1</v>
      </c>
      <c r="H5845" t="s">
        <v>2022</v>
      </c>
      <c r="I5845" s="21">
        <v>43515.6043545949</v>
      </c>
      <c r="J5845">
        <v>2019</v>
      </c>
      <c r="K5845" s="21">
        <v>43580.344634027802</v>
      </c>
      <c r="L5845">
        <v>2019</v>
      </c>
      <c r="M5845" s="21">
        <v>44321</v>
      </c>
      <c r="N5845">
        <v>2021</v>
      </c>
      <c r="Q5845" s="262">
        <v>218000</v>
      </c>
      <c r="R5845" s="262">
        <v>143000</v>
      </c>
      <c r="S5845" t="s">
        <v>13254</v>
      </c>
      <c r="U5845">
        <v>1</v>
      </c>
      <c r="V5845">
        <v>0</v>
      </c>
      <c r="W5845">
        <v>3024</v>
      </c>
      <c r="X5845">
        <v>1</v>
      </c>
      <c r="Y5845">
        <v>3024</v>
      </c>
      <c r="AN5845">
        <v>1</v>
      </c>
      <c r="AU5845">
        <f t="shared" si="180"/>
        <v>1</v>
      </c>
      <c r="AV5845">
        <f t="shared" si="181"/>
        <v>3024</v>
      </c>
    </row>
    <row r="5846" spans="1:48" x14ac:dyDescent="0.25">
      <c r="A5846" t="s">
        <v>14087</v>
      </c>
      <c r="C5846" t="s">
        <v>14088</v>
      </c>
      <c r="D5846" t="s">
        <v>4169</v>
      </c>
      <c r="E5846" t="s">
        <v>1663</v>
      </c>
      <c r="F5846">
        <v>5</v>
      </c>
      <c r="G5846">
        <v>5.2</v>
      </c>
      <c r="H5846" t="s">
        <v>2327</v>
      </c>
      <c r="I5846" s="21">
        <v>43517</v>
      </c>
      <c r="J5846">
        <v>2019</v>
      </c>
      <c r="K5846" s="21">
        <v>43619</v>
      </c>
      <c r="L5846">
        <v>2019</v>
      </c>
      <c r="M5846" s="21">
        <v>43815</v>
      </c>
      <c r="N5846">
        <v>2019</v>
      </c>
      <c r="Q5846" s="262">
        <v>160000</v>
      </c>
      <c r="S5846" t="s">
        <v>114</v>
      </c>
      <c r="T5846" t="s">
        <v>114</v>
      </c>
      <c r="V5846">
        <v>0</v>
      </c>
      <c r="W5846">
        <v>0</v>
      </c>
      <c r="X5846">
        <v>0</v>
      </c>
      <c r="AU5846">
        <f t="shared" si="180"/>
        <v>0</v>
      </c>
      <c r="AV5846">
        <f t="shared" si="181"/>
        <v>0</v>
      </c>
    </row>
    <row r="5847" spans="1:48" x14ac:dyDescent="0.25">
      <c r="A5847" t="s">
        <v>14089</v>
      </c>
      <c r="C5847" t="s">
        <v>14090</v>
      </c>
      <c r="D5847" t="s">
        <v>4683</v>
      </c>
      <c r="E5847" t="s">
        <v>1663</v>
      </c>
      <c r="F5847">
        <v>2</v>
      </c>
      <c r="G5847">
        <v>2.6</v>
      </c>
      <c r="H5847" t="s">
        <v>2327</v>
      </c>
      <c r="I5847" s="21">
        <v>43517</v>
      </c>
      <c r="J5847">
        <v>2019</v>
      </c>
      <c r="K5847" s="21">
        <v>43546</v>
      </c>
      <c r="L5847">
        <v>2019</v>
      </c>
      <c r="M5847" s="21">
        <v>44253</v>
      </c>
      <c r="N5847">
        <v>2021</v>
      </c>
      <c r="Q5847" s="262">
        <v>140000</v>
      </c>
      <c r="S5847" t="s">
        <v>114</v>
      </c>
      <c r="T5847" t="s">
        <v>114</v>
      </c>
      <c r="V5847">
        <v>0</v>
      </c>
      <c r="W5847">
        <v>0</v>
      </c>
      <c r="X5847">
        <v>0</v>
      </c>
      <c r="AU5847">
        <f t="shared" si="180"/>
        <v>0</v>
      </c>
      <c r="AV5847">
        <f t="shared" si="181"/>
        <v>0</v>
      </c>
    </row>
    <row r="5848" spans="1:48" x14ac:dyDescent="0.25">
      <c r="A5848" t="s">
        <v>14091</v>
      </c>
      <c r="B5848" t="s">
        <v>14091</v>
      </c>
      <c r="C5848" t="s">
        <v>14092</v>
      </c>
      <c r="D5848" t="s">
        <v>6015</v>
      </c>
      <c r="E5848" t="s">
        <v>2310</v>
      </c>
      <c r="F5848">
        <v>9</v>
      </c>
      <c r="G5848">
        <v>9.3000000000000007</v>
      </c>
      <c r="H5848" t="s">
        <v>2323</v>
      </c>
      <c r="I5848" s="21">
        <v>43517.442259409698</v>
      </c>
      <c r="J5848">
        <v>2019</v>
      </c>
      <c r="O5848" s="21">
        <v>43661.479003738401</v>
      </c>
      <c r="Q5848" s="262">
        <v>6000000</v>
      </c>
      <c r="R5848" s="262">
        <v>762000</v>
      </c>
      <c r="S5848" t="s">
        <v>114</v>
      </c>
      <c r="T5848" t="s">
        <v>114</v>
      </c>
      <c r="V5848">
        <v>0</v>
      </c>
      <c r="W5848">
        <v>0</v>
      </c>
      <c r="X5848">
        <v>0</v>
      </c>
      <c r="AU5848">
        <f t="shared" si="180"/>
        <v>0</v>
      </c>
      <c r="AV5848">
        <f t="shared" si="181"/>
        <v>0</v>
      </c>
    </row>
    <row r="5849" spans="1:48" x14ac:dyDescent="0.25">
      <c r="A5849" t="s">
        <v>14093</v>
      </c>
      <c r="B5849" t="s">
        <v>14093</v>
      </c>
      <c r="C5849" t="s">
        <v>14094</v>
      </c>
      <c r="D5849" t="s">
        <v>13921</v>
      </c>
      <c r="E5849" t="s">
        <v>2310</v>
      </c>
      <c r="F5849">
        <v>8</v>
      </c>
      <c r="G5849">
        <v>8.3000000000000007</v>
      </c>
      <c r="H5849" t="s">
        <v>2323</v>
      </c>
      <c r="I5849" s="21">
        <v>43517.649284108797</v>
      </c>
      <c r="J5849">
        <v>2019</v>
      </c>
      <c r="K5849" s="21">
        <v>43528.538233877298</v>
      </c>
      <c r="L5849">
        <v>2019</v>
      </c>
      <c r="P5849" s="21">
        <v>43711.641882326403</v>
      </c>
      <c r="Q5849" s="262">
        <v>50000</v>
      </c>
      <c r="R5849" s="262">
        <v>25000</v>
      </c>
      <c r="S5849" t="s">
        <v>114</v>
      </c>
      <c r="T5849" t="s">
        <v>114</v>
      </c>
      <c r="V5849">
        <v>0</v>
      </c>
      <c r="W5849">
        <v>550</v>
      </c>
      <c r="X5849">
        <v>0</v>
      </c>
      <c r="AC5849">
        <v>550</v>
      </c>
      <c r="AU5849">
        <f t="shared" ref="AU5849:AU5912" si="182">SUM(AN5849:AQ5849,AS5849)</f>
        <v>0</v>
      </c>
      <c r="AV5849">
        <f t="shared" ref="AV5849:AV5912" si="183">SUM(Y5849:AB5849,AH5849:AM5849)</f>
        <v>0</v>
      </c>
    </row>
    <row r="5850" spans="1:48" x14ac:dyDescent="0.25">
      <c r="A5850" t="s">
        <v>19246</v>
      </c>
      <c r="B5850" t="s">
        <v>114</v>
      </c>
      <c r="C5850" t="s">
        <v>19247</v>
      </c>
      <c r="D5850" t="s">
        <v>19248</v>
      </c>
      <c r="E5850" t="s">
        <v>1663</v>
      </c>
      <c r="F5850">
        <v>5</v>
      </c>
      <c r="G5850">
        <v>5.5</v>
      </c>
      <c r="H5850" t="s">
        <v>2017</v>
      </c>
      <c r="I5850" s="21">
        <v>43521</v>
      </c>
      <c r="J5850">
        <v>2019</v>
      </c>
      <c r="K5850" s="21">
        <v>43564</v>
      </c>
      <c r="L5850">
        <v>2019</v>
      </c>
      <c r="M5850" s="21">
        <v>43881</v>
      </c>
      <c r="N5850">
        <v>2020</v>
      </c>
      <c r="Q5850" s="262">
        <v>650000</v>
      </c>
      <c r="S5850" t="s">
        <v>13254</v>
      </c>
      <c r="V5850">
        <v>0</v>
      </c>
      <c r="W5850">
        <v>3124</v>
      </c>
      <c r="X5850">
        <v>1</v>
      </c>
      <c r="AC5850">
        <v>3124</v>
      </c>
      <c r="AO5850">
        <v>1</v>
      </c>
      <c r="AU5850">
        <f t="shared" si="182"/>
        <v>1</v>
      </c>
      <c r="AV5850">
        <f t="shared" si="183"/>
        <v>0</v>
      </c>
    </row>
    <row r="5851" spans="1:48" x14ac:dyDescent="0.25">
      <c r="A5851" t="s">
        <v>19307</v>
      </c>
      <c r="B5851" t="s">
        <v>114</v>
      </c>
      <c r="C5851" t="s">
        <v>19308</v>
      </c>
      <c r="D5851" t="s">
        <v>19309</v>
      </c>
      <c r="E5851" t="s">
        <v>1663</v>
      </c>
      <c r="F5851">
        <v>5</v>
      </c>
      <c r="G5851">
        <v>5.5</v>
      </c>
      <c r="H5851" t="s">
        <v>2017</v>
      </c>
      <c r="I5851" s="21">
        <v>43521</v>
      </c>
      <c r="J5851">
        <v>2019</v>
      </c>
      <c r="K5851" s="21">
        <v>43564</v>
      </c>
      <c r="L5851">
        <v>2019</v>
      </c>
      <c r="M5851" s="21">
        <v>43945</v>
      </c>
      <c r="N5851">
        <v>2020</v>
      </c>
      <c r="Q5851" s="262">
        <v>650000</v>
      </c>
      <c r="S5851" t="s">
        <v>13254</v>
      </c>
      <c r="V5851">
        <v>0</v>
      </c>
      <c r="W5851">
        <v>2842</v>
      </c>
      <c r="X5851">
        <v>1</v>
      </c>
      <c r="AC5851">
        <v>2842</v>
      </c>
      <c r="AO5851">
        <v>1</v>
      </c>
      <c r="AU5851">
        <f t="shared" si="182"/>
        <v>1</v>
      </c>
      <c r="AV5851">
        <f t="shared" si="183"/>
        <v>0</v>
      </c>
    </row>
    <row r="5852" spans="1:48" x14ac:dyDescent="0.25">
      <c r="A5852" t="s">
        <v>18888</v>
      </c>
      <c r="B5852" t="s">
        <v>114</v>
      </c>
      <c r="C5852" t="s">
        <v>18889</v>
      </c>
      <c r="D5852" t="s">
        <v>13059</v>
      </c>
      <c r="E5852" t="s">
        <v>1663</v>
      </c>
      <c r="F5852">
        <v>3</v>
      </c>
      <c r="G5852">
        <v>3.2</v>
      </c>
      <c r="H5852" t="s">
        <v>2327</v>
      </c>
      <c r="I5852" s="21">
        <v>43521</v>
      </c>
      <c r="J5852">
        <v>2019</v>
      </c>
      <c r="K5852" s="21">
        <v>43567</v>
      </c>
      <c r="L5852">
        <v>2019</v>
      </c>
      <c r="M5852" s="21">
        <v>43644</v>
      </c>
      <c r="N5852">
        <v>2019</v>
      </c>
      <c r="Q5852" s="262">
        <v>50000</v>
      </c>
      <c r="S5852" t="s">
        <v>13253</v>
      </c>
      <c r="T5852">
        <v>9948</v>
      </c>
      <c r="V5852">
        <v>0</v>
      </c>
      <c r="W5852">
        <v>348</v>
      </c>
      <c r="X5852">
        <v>1</v>
      </c>
      <c r="AE5852">
        <v>348</v>
      </c>
      <c r="AQ5852">
        <v>1</v>
      </c>
      <c r="AU5852">
        <f t="shared" si="182"/>
        <v>1</v>
      </c>
      <c r="AV5852">
        <f t="shared" si="183"/>
        <v>0</v>
      </c>
    </row>
    <row r="5853" spans="1:48" x14ac:dyDescent="0.25">
      <c r="A5853" t="s">
        <v>19896</v>
      </c>
      <c r="C5853" t="s">
        <v>9527</v>
      </c>
      <c r="D5853" t="s">
        <v>14698</v>
      </c>
      <c r="E5853" t="s">
        <v>1663</v>
      </c>
      <c r="F5853">
        <v>2</v>
      </c>
      <c r="G5853">
        <v>2.2999999999999998</v>
      </c>
      <c r="H5853" t="s">
        <v>2327</v>
      </c>
      <c r="I5853" s="21">
        <v>43521</v>
      </c>
      <c r="J5853">
        <v>2019</v>
      </c>
      <c r="K5853" s="21">
        <v>43641</v>
      </c>
      <c r="L5853">
        <v>2019</v>
      </c>
      <c r="M5853" s="21">
        <v>44309</v>
      </c>
      <c r="N5853">
        <v>2021</v>
      </c>
      <c r="Q5853" s="262">
        <v>40000000</v>
      </c>
      <c r="S5853" t="s">
        <v>12464</v>
      </c>
      <c r="T5853" t="s">
        <v>19897</v>
      </c>
      <c r="U5853">
        <v>21</v>
      </c>
      <c r="V5853">
        <v>0</v>
      </c>
      <c r="W5853">
        <v>110755</v>
      </c>
      <c r="X5853">
        <v>104</v>
      </c>
      <c r="AE5853">
        <v>4704</v>
      </c>
      <c r="AH5853">
        <v>3562</v>
      </c>
      <c r="AI5853">
        <v>101928</v>
      </c>
      <c r="AK5853">
        <v>561</v>
      </c>
      <c r="AQ5853">
        <v>4</v>
      </c>
      <c r="AT5853">
        <v>100</v>
      </c>
      <c r="AU5853">
        <f t="shared" si="182"/>
        <v>4</v>
      </c>
      <c r="AV5853">
        <f t="shared" si="183"/>
        <v>106051</v>
      </c>
    </row>
    <row r="5854" spans="1:48" x14ac:dyDescent="0.25">
      <c r="A5854" t="s">
        <v>19896</v>
      </c>
      <c r="C5854" t="s">
        <v>9527</v>
      </c>
      <c r="D5854" t="s">
        <v>20172</v>
      </c>
      <c r="E5854" t="s">
        <v>1663</v>
      </c>
      <c r="F5854">
        <v>2</v>
      </c>
      <c r="G5854">
        <v>2.2999999999999998</v>
      </c>
      <c r="H5854" t="s">
        <v>2327</v>
      </c>
      <c r="I5854" s="21">
        <v>43521</v>
      </c>
      <c r="J5854">
        <v>2019</v>
      </c>
      <c r="K5854" s="21">
        <v>43641</v>
      </c>
      <c r="L5854">
        <v>2019</v>
      </c>
      <c r="M5854" s="21">
        <v>44309</v>
      </c>
      <c r="N5854">
        <v>2021</v>
      </c>
      <c r="Q5854" s="262">
        <v>40000000</v>
      </c>
      <c r="R5854" s="262">
        <v>0</v>
      </c>
      <c r="S5854" t="s">
        <v>9529</v>
      </c>
      <c r="T5854">
        <v>13022</v>
      </c>
      <c r="U5854">
        <v>12</v>
      </c>
      <c r="W5854">
        <v>-2288</v>
      </c>
      <c r="X5854">
        <v>0</v>
      </c>
      <c r="Y5854">
        <v>0</v>
      </c>
      <c r="Z5854">
        <v>0</v>
      </c>
      <c r="AA5854">
        <v>0</v>
      </c>
      <c r="AB5854">
        <v>0</v>
      </c>
      <c r="AC5854">
        <v>0</v>
      </c>
      <c r="AD5854">
        <v>0</v>
      </c>
      <c r="AE5854">
        <v>0</v>
      </c>
      <c r="AF5854">
        <v>0</v>
      </c>
      <c r="AG5854">
        <v>0</v>
      </c>
      <c r="AH5854">
        <v>0</v>
      </c>
      <c r="AI5854">
        <v>0</v>
      </c>
      <c r="AJ5854">
        <v>-2288</v>
      </c>
      <c r="AK5854">
        <v>0</v>
      </c>
      <c r="AL5854">
        <v>0</v>
      </c>
      <c r="AM5854">
        <v>0</v>
      </c>
      <c r="AN5854">
        <v>0</v>
      </c>
      <c r="AO5854">
        <v>0</v>
      </c>
      <c r="AP5854">
        <v>0</v>
      </c>
      <c r="AQ5854">
        <v>0</v>
      </c>
      <c r="AR5854">
        <v>0</v>
      </c>
      <c r="AS5854">
        <v>0</v>
      </c>
      <c r="AT5854">
        <v>0</v>
      </c>
      <c r="AU5854">
        <f t="shared" si="182"/>
        <v>0</v>
      </c>
      <c r="AV5854">
        <f t="shared" si="183"/>
        <v>-2288</v>
      </c>
    </row>
    <row r="5855" spans="1:48" x14ac:dyDescent="0.25">
      <c r="A5855" t="s">
        <v>19896</v>
      </c>
      <c r="C5855" t="s">
        <v>9527</v>
      </c>
      <c r="D5855" t="s">
        <v>14698</v>
      </c>
      <c r="E5855" t="s">
        <v>1663</v>
      </c>
      <c r="F5855">
        <v>2</v>
      </c>
      <c r="G5855">
        <v>2.2999999999999998</v>
      </c>
      <c r="H5855" t="s">
        <v>2327</v>
      </c>
      <c r="I5855" s="21">
        <v>43521</v>
      </c>
      <c r="J5855">
        <v>2019</v>
      </c>
      <c r="K5855" s="21">
        <v>43641</v>
      </c>
      <c r="L5855">
        <v>2019</v>
      </c>
      <c r="M5855" s="21">
        <v>44309</v>
      </c>
      <c r="N5855">
        <v>2021</v>
      </c>
      <c r="Q5855" s="262">
        <v>40000000</v>
      </c>
      <c r="R5855" s="262">
        <v>0</v>
      </c>
      <c r="S5855" t="s">
        <v>9529</v>
      </c>
      <c r="T5855">
        <v>13021</v>
      </c>
      <c r="U5855">
        <v>12</v>
      </c>
      <c r="W5855">
        <v>-13109</v>
      </c>
      <c r="X5855">
        <v>0</v>
      </c>
      <c r="Y5855">
        <v>0</v>
      </c>
      <c r="Z5855">
        <v>0</v>
      </c>
      <c r="AA5855">
        <v>0</v>
      </c>
      <c r="AB5855">
        <v>0</v>
      </c>
      <c r="AC5855">
        <v>0</v>
      </c>
      <c r="AD5855">
        <v>0</v>
      </c>
      <c r="AE5855">
        <v>0</v>
      </c>
      <c r="AF5855">
        <v>0</v>
      </c>
      <c r="AG5855">
        <v>0</v>
      </c>
      <c r="AH5855">
        <v>0</v>
      </c>
      <c r="AI5855">
        <v>0</v>
      </c>
      <c r="AJ5855">
        <v>-13109</v>
      </c>
      <c r="AK5855">
        <v>0</v>
      </c>
      <c r="AL5855">
        <v>0</v>
      </c>
      <c r="AM5855">
        <v>0</v>
      </c>
      <c r="AN5855">
        <v>0</v>
      </c>
      <c r="AO5855">
        <v>0</v>
      </c>
      <c r="AP5855">
        <v>0</v>
      </c>
      <c r="AQ5855">
        <v>0</v>
      </c>
      <c r="AR5855">
        <v>0</v>
      </c>
      <c r="AS5855">
        <v>0</v>
      </c>
      <c r="AT5855">
        <v>0</v>
      </c>
      <c r="AU5855">
        <f t="shared" si="182"/>
        <v>0</v>
      </c>
      <c r="AV5855">
        <f t="shared" si="183"/>
        <v>-13109</v>
      </c>
    </row>
    <row r="5856" spans="1:48" x14ac:dyDescent="0.25">
      <c r="A5856" t="s">
        <v>19584</v>
      </c>
      <c r="B5856" t="s">
        <v>19584</v>
      </c>
      <c r="C5856" t="s">
        <v>19585</v>
      </c>
      <c r="D5856" t="s">
        <v>19586</v>
      </c>
      <c r="E5856" t="s">
        <v>2310</v>
      </c>
      <c r="F5856">
        <v>9</v>
      </c>
      <c r="G5856">
        <v>9.4</v>
      </c>
      <c r="H5856" t="s">
        <v>2323</v>
      </c>
      <c r="I5856" s="21">
        <v>43522.438281712966</v>
      </c>
      <c r="J5856">
        <v>2019</v>
      </c>
      <c r="K5856" s="21">
        <v>43642.626073032407</v>
      </c>
      <c r="L5856">
        <v>2019</v>
      </c>
      <c r="M5856" s="21">
        <v>44139.587919444442</v>
      </c>
      <c r="N5856">
        <v>2020</v>
      </c>
      <c r="Q5856" s="262">
        <v>2650000</v>
      </c>
      <c r="R5856" s="262">
        <v>579000</v>
      </c>
      <c r="S5856" t="s">
        <v>13254</v>
      </c>
      <c r="V5856">
        <v>0</v>
      </c>
      <c r="W5856">
        <v>4756</v>
      </c>
      <c r="X5856">
        <v>1</v>
      </c>
      <c r="AC5856">
        <v>4756</v>
      </c>
      <c r="AO5856">
        <v>1</v>
      </c>
      <c r="AU5856">
        <f t="shared" si="182"/>
        <v>1</v>
      </c>
      <c r="AV5856">
        <f t="shared" si="183"/>
        <v>0</v>
      </c>
    </row>
    <row r="5857" spans="1:48" x14ac:dyDescent="0.25">
      <c r="A5857" t="s">
        <v>18432</v>
      </c>
      <c r="B5857" t="s">
        <v>18432</v>
      </c>
      <c r="C5857" t="s">
        <v>18433</v>
      </c>
      <c r="D5857" t="s">
        <v>17071</v>
      </c>
      <c r="E5857" t="s">
        <v>2310</v>
      </c>
      <c r="F5857">
        <v>9</v>
      </c>
      <c r="G5857">
        <v>9.3000000000000007</v>
      </c>
      <c r="H5857" t="s">
        <v>2323</v>
      </c>
      <c r="I5857" s="21">
        <v>43522.567403009256</v>
      </c>
      <c r="J5857">
        <v>2019</v>
      </c>
      <c r="K5857" s="21">
        <v>43559.51638695602</v>
      </c>
      <c r="L5857">
        <v>2019</v>
      </c>
      <c r="M5857" s="21">
        <v>44175.656806747684</v>
      </c>
      <c r="N5857">
        <v>2020</v>
      </c>
      <c r="Q5857" s="262">
        <v>165000</v>
      </c>
      <c r="R5857" s="262">
        <v>190000</v>
      </c>
      <c r="S5857" t="s">
        <v>13253</v>
      </c>
      <c r="T5857">
        <v>5140</v>
      </c>
      <c r="V5857">
        <v>0</v>
      </c>
      <c r="W5857">
        <v>1558</v>
      </c>
      <c r="X5857">
        <v>0</v>
      </c>
      <c r="AC5857">
        <v>1558</v>
      </c>
      <c r="AU5857">
        <f t="shared" si="182"/>
        <v>0</v>
      </c>
      <c r="AV5857">
        <f t="shared" si="183"/>
        <v>0</v>
      </c>
    </row>
    <row r="5858" spans="1:48" x14ac:dyDescent="0.25">
      <c r="A5858" t="s">
        <v>14095</v>
      </c>
      <c r="C5858" t="s">
        <v>14096</v>
      </c>
      <c r="D5858" t="s">
        <v>14097</v>
      </c>
      <c r="E5858" t="s">
        <v>1663</v>
      </c>
      <c r="F5858">
        <v>1</v>
      </c>
      <c r="G5858">
        <v>1.2</v>
      </c>
      <c r="H5858" t="s">
        <v>2017</v>
      </c>
      <c r="I5858" s="21">
        <v>43524</v>
      </c>
      <c r="J5858">
        <v>2019</v>
      </c>
      <c r="K5858" s="21">
        <v>43530</v>
      </c>
      <c r="L5858">
        <v>2019</v>
      </c>
      <c r="M5858" s="21">
        <v>43595</v>
      </c>
      <c r="N5858">
        <v>2019</v>
      </c>
      <c r="Q5858" s="262">
        <v>2500</v>
      </c>
      <c r="S5858" t="s">
        <v>114</v>
      </c>
      <c r="T5858" t="s">
        <v>114</v>
      </c>
      <c r="V5858">
        <v>0</v>
      </c>
      <c r="W5858">
        <v>0</v>
      </c>
      <c r="X5858">
        <v>0</v>
      </c>
      <c r="AU5858">
        <f t="shared" si="182"/>
        <v>0</v>
      </c>
      <c r="AV5858">
        <f t="shared" si="183"/>
        <v>0</v>
      </c>
    </row>
    <row r="5859" spans="1:48" x14ac:dyDescent="0.25">
      <c r="A5859" t="s">
        <v>18713</v>
      </c>
      <c r="B5859" t="s">
        <v>18713</v>
      </c>
      <c r="C5859" t="s">
        <v>18714</v>
      </c>
      <c r="D5859" t="s">
        <v>5191</v>
      </c>
      <c r="E5859" t="s">
        <v>2310</v>
      </c>
      <c r="F5859">
        <v>14</v>
      </c>
      <c r="G5859">
        <v>14.1</v>
      </c>
      <c r="H5859" t="s">
        <v>2022</v>
      </c>
      <c r="I5859" s="21">
        <v>43529.455163657411</v>
      </c>
      <c r="J5859">
        <v>2019</v>
      </c>
      <c r="K5859" s="21">
        <v>43647.411366898152</v>
      </c>
      <c r="L5859">
        <v>2019</v>
      </c>
      <c r="M5859" s="21">
        <v>44047.409546793984</v>
      </c>
      <c r="N5859">
        <v>2020</v>
      </c>
      <c r="Q5859" s="262">
        <v>440000</v>
      </c>
      <c r="R5859" s="262">
        <v>210000</v>
      </c>
      <c r="S5859" t="s">
        <v>13253</v>
      </c>
      <c r="T5859">
        <v>7524</v>
      </c>
      <c r="V5859">
        <v>0</v>
      </c>
      <c r="W5859">
        <v>1758</v>
      </c>
      <c r="X5859">
        <v>0</v>
      </c>
      <c r="AC5859">
        <v>1758</v>
      </c>
      <c r="AU5859">
        <f t="shared" si="182"/>
        <v>0</v>
      </c>
      <c r="AV5859">
        <f t="shared" si="183"/>
        <v>0</v>
      </c>
    </row>
    <row r="5860" spans="1:48" x14ac:dyDescent="0.25">
      <c r="A5860" t="s">
        <v>19101</v>
      </c>
      <c r="B5860" t="s">
        <v>19101</v>
      </c>
      <c r="C5860" t="s">
        <v>19102</v>
      </c>
      <c r="D5860" t="s">
        <v>12145</v>
      </c>
      <c r="E5860" t="s">
        <v>2310</v>
      </c>
      <c r="F5860">
        <v>7</v>
      </c>
      <c r="G5860">
        <v>7.1</v>
      </c>
      <c r="H5860" t="s">
        <v>2017</v>
      </c>
      <c r="I5860" s="21">
        <v>43529.561265821758</v>
      </c>
      <c r="J5860">
        <v>2019</v>
      </c>
      <c r="K5860" s="21">
        <v>43662.351832905093</v>
      </c>
      <c r="L5860">
        <v>2019</v>
      </c>
      <c r="M5860" s="21">
        <v>43766.489673379627</v>
      </c>
      <c r="N5860">
        <v>2019</v>
      </c>
      <c r="Q5860" s="262">
        <v>850000</v>
      </c>
      <c r="R5860" s="262">
        <v>159000</v>
      </c>
      <c r="S5860" t="s">
        <v>13254</v>
      </c>
      <c r="V5860">
        <v>0</v>
      </c>
      <c r="W5860">
        <v>2441</v>
      </c>
      <c r="X5860">
        <v>0</v>
      </c>
      <c r="AM5860">
        <v>2441</v>
      </c>
      <c r="AU5860">
        <f t="shared" si="182"/>
        <v>0</v>
      </c>
      <c r="AV5860">
        <f t="shared" si="183"/>
        <v>2441</v>
      </c>
    </row>
    <row r="5861" spans="1:48" x14ac:dyDescent="0.25">
      <c r="A5861" t="s">
        <v>19417</v>
      </c>
      <c r="B5861" t="s">
        <v>114</v>
      </c>
      <c r="C5861" t="s">
        <v>19418</v>
      </c>
      <c r="D5861" t="s">
        <v>13949</v>
      </c>
      <c r="E5861" t="s">
        <v>1663</v>
      </c>
      <c r="F5861">
        <v>3</v>
      </c>
      <c r="G5861">
        <v>3.2</v>
      </c>
      <c r="H5861" t="s">
        <v>2327</v>
      </c>
      <c r="I5861" s="21">
        <v>43530</v>
      </c>
      <c r="J5861">
        <v>2019</v>
      </c>
      <c r="K5861" s="21">
        <v>43627</v>
      </c>
      <c r="L5861">
        <v>2019</v>
      </c>
      <c r="M5861" s="21">
        <v>44028</v>
      </c>
      <c r="N5861">
        <v>2020</v>
      </c>
      <c r="Q5861" s="262">
        <v>8000000</v>
      </c>
      <c r="S5861" t="s">
        <v>13254</v>
      </c>
      <c r="V5861">
        <v>0</v>
      </c>
      <c r="W5861">
        <v>43982</v>
      </c>
      <c r="X5861">
        <v>28</v>
      </c>
      <c r="AE5861">
        <v>43982</v>
      </c>
      <c r="AQ5861">
        <v>28</v>
      </c>
      <c r="AU5861">
        <f t="shared" si="182"/>
        <v>28</v>
      </c>
      <c r="AV5861">
        <f t="shared" si="183"/>
        <v>0</v>
      </c>
    </row>
    <row r="5862" spans="1:48" x14ac:dyDescent="0.25">
      <c r="A5862" t="s">
        <v>19434</v>
      </c>
      <c r="B5862" t="s">
        <v>19434</v>
      </c>
      <c r="C5862" t="s">
        <v>19435</v>
      </c>
      <c r="D5862" t="s">
        <v>19436</v>
      </c>
      <c r="E5862" t="s">
        <v>2310</v>
      </c>
      <c r="F5862">
        <v>9</v>
      </c>
      <c r="G5862">
        <v>9.3000000000000007</v>
      </c>
      <c r="H5862" t="s">
        <v>2323</v>
      </c>
      <c r="I5862" s="21">
        <v>43531.555145520833</v>
      </c>
      <c r="J5862">
        <v>2019</v>
      </c>
      <c r="K5862" s="21">
        <v>43564.501611423613</v>
      </c>
      <c r="L5862">
        <v>2019</v>
      </c>
      <c r="M5862" s="21">
        <v>44035.426633599534</v>
      </c>
      <c r="N5862">
        <v>2020</v>
      </c>
      <c r="Q5862" s="262">
        <v>1450000</v>
      </c>
      <c r="R5862" s="262">
        <v>688000</v>
      </c>
      <c r="S5862" t="s">
        <v>13254</v>
      </c>
      <c r="V5862">
        <v>0</v>
      </c>
      <c r="W5862">
        <v>5466</v>
      </c>
      <c r="X5862">
        <v>1</v>
      </c>
      <c r="AC5862">
        <v>5466</v>
      </c>
      <c r="AO5862">
        <v>1</v>
      </c>
      <c r="AU5862">
        <f t="shared" si="182"/>
        <v>1</v>
      </c>
      <c r="AV5862">
        <f t="shared" si="183"/>
        <v>0</v>
      </c>
    </row>
    <row r="5863" spans="1:48" x14ac:dyDescent="0.25">
      <c r="A5863" t="s">
        <v>19063</v>
      </c>
      <c r="B5863" t="s">
        <v>114</v>
      </c>
      <c r="C5863" t="s">
        <v>14289</v>
      </c>
      <c r="D5863" t="s">
        <v>19064</v>
      </c>
      <c r="E5863" t="s">
        <v>1663</v>
      </c>
      <c r="F5863">
        <v>3</v>
      </c>
      <c r="G5863">
        <v>3.1</v>
      </c>
      <c r="H5863" t="s">
        <v>2017</v>
      </c>
      <c r="I5863" s="21">
        <v>43532</v>
      </c>
      <c r="J5863">
        <v>2019</v>
      </c>
      <c r="K5863" s="21">
        <v>43573</v>
      </c>
      <c r="L5863">
        <v>2019</v>
      </c>
      <c r="M5863" s="21">
        <v>44098</v>
      </c>
      <c r="N5863">
        <v>2020</v>
      </c>
      <c r="Q5863" s="262">
        <v>2000000</v>
      </c>
      <c r="S5863" t="s">
        <v>12464</v>
      </c>
      <c r="T5863">
        <v>10495</v>
      </c>
      <c r="V5863">
        <v>0</v>
      </c>
      <c r="W5863">
        <v>4994</v>
      </c>
      <c r="X5863">
        <v>2</v>
      </c>
      <c r="AC5863">
        <v>4208</v>
      </c>
      <c r="AF5863">
        <v>786</v>
      </c>
      <c r="AO5863">
        <v>1</v>
      </c>
      <c r="AR5863">
        <v>1</v>
      </c>
      <c r="AU5863">
        <f t="shared" si="182"/>
        <v>1</v>
      </c>
      <c r="AV5863">
        <f t="shared" si="183"/>
        <v>0</v>
      </c>
    </row>
    <row r="5864" spans="1:48" x14ac:dyDescent="0.25">
      <c r="A5864" t="s">
        <v>19069</v>
      </c>
      <c r="B5864" t="s">
        <v>114</v>
      </c>
      <c r="C5864" t="s">
        <v>14289</v>
      </c>
      <c r="D5864" t="s">
        <v>19070</v>
      </c>
      <c r="E5864" t="s">
        <v>1663</v>
      </c>
      <c r="F5864">
        <v>3</v>
      </c>
      <c r="G5864">
        <v>3.1</v>
      </c>
      <c r="H5864" t="s">
        <v>2017</v>
      </c>
      <c r="I5864" s="21">
        <v>43532</v>
      </c>
      <c r="J5864">
        <v>2019</v>
      </c>
      <c r="K5864" s="21">
        <v>43573</v>
      </c>
      <c r="L5864">
        <v>2019</v>
      </c>
      <c r="M5864" s="21">
        <v>44077</v>
      </c>
      <c r="N5864">
        <v>2020</v>
      </c>
      <c r="Q5864" s="262">
        <v>2000000</v>
      </c>
      <c r="S5864" t="s">
        <v>12464</v>
      </c>
      <c r="T5864">
        <v>10496</v>
      </c>
      <c r="V5864">
        <v>0</v>
      </c>
      <c r="W5864">
        <v>4948</v>
      </c>
      <c r="X5864">
        <v>2</v>
      </c>
      <c r="AC5864">
        <v>4162</v>
      </c>
      <c r="AF5864">
        <v>786</v>
      </c>
      <c r="AO5864">
        <v>1</v>
      </c>
      <c r="AR5864">
        <v>1</v>
      </c>
      <c r="AU5864">
        <f t="shared" si="182"/>
        <v>1</v>
      </c>
      <c r="AV5864">
        <f t="shared" si="183"/>
        <v>0</v>
      </c>
    </row>
    <row r="5865" spans="1:48" x14ac:dyDescent="0.25">
      <c r="A5865" t="s">
        <v>19063</v>
      </c>
      <c r="B5865" t="s">
        <v>114</v>
      </c>
      <c r="C5865" t="s">
        <v>14289</v>
      </c>
      <c r="D5865" t="s">
        <v>19064</v>
      </c>
      <c r="E5865" t="s">
        <v>1663</v>
      </c>
      <c r="F5865">
        <v>3</v>
      </c>
      <c r="G5865">
        <v>3.1</v>
      </c>
      <c r="H5865" t="s">
        <v>2017</v>
      </c>
      <c r="I5865" s="21">
        <v>43532</v>
      </c>
      <c r="J5865">
        <v>2019</v>
      </c>
      <c r="K5865" s="21">
        <v>43573</v>
      </c>
      <c r="L5865">
        <v>2019</v>
      </c>
      <c r="M5865" s="21">
        <v>44098</v>
      </c>
      <c r="N5865">
        <v>2020</v>
      </c>
      <c r="S5865" t="s">
        <v>9529</v>
      </c>
      <c r="T5865">
        <v>10495</v>
      </c>
      <c r="U5865">
        <v>5</v>
      </c>
      <c r="W5865">
        <v>-120</v>
      </c>
      <c r="X5865">
        <v>0</v>
      </c>
      <c r="Y5865">
        <v>0</v>
      </c>
      <c r="Z5865">
        <v>0</v>
      </c>
      <c r="AA5865">
        <v>0</v>
      </c>
      <c r="AB5865">
        <v>0</v>
      </c>
      <c r="AC5865">
        <v>-120</v>
      </c>
      <c r="AD5865">
        <v>0</v>
      </c>
      <c r="AE5865">
        <v>0</v>
      </c>
      <c r="AF5865">
        <v>0</v>
      </c>
      <c r="AG5865">
        <v>0</v>
      </c>
      <c r="AH5865">
        <v>0</v>
      </c>
      <c r="AI5865">
        <v>0</v>
      </c>
      <c r="AJ5865">
        <v>0</v>
      </c>
      <c r="AK5865">
        <v>0</v>
      </c>
      <c r="AL5865">
        <v>0</v>
      </c>
      <c r="AM5865">
        <v>0</v>
      </c>
      <c r="AN5865">
        <v>0</v>
      </c>
      <c r="AO5865">
        <v>0</v>
      </c>
      <c r="AP5865">
        <v>0</v>
      </c>
      <c r="AQ5865">
        <v>0</v>
      </c>
      <c r="AR5865">
        <v>0</v>
      </c>
      <c r="AS5865">
        <v>0</v>
      </c>
      <c r="AT5865">
        <v>0</v>
      </c>
      <c r="AU5865">
        <f t="shared" si="182"/>
        <v>0</v>
      </c>
      <c r="AV5865">
        <f t="shared" si="183"/>
        <v>0</v>
      </c>
    </row>
    <row r="5866" spans="1:48" x14ac:dyDescent="0.25">
      <c r="A5866" t="s">
        <v>19069</v>
      </c>
      <c r="B5866" t="s">
        <v>114</v>
      </c>
      <c r="C5866" t="s">
        <v>14289</v>
      </c>
      <c r="D5866" t="s">
        <v>12453</v>
      </c>
      <c r="E5866" t="s">
        <v>1663</v>
      </c>
      <c r="F5866">
        <v>3</v>
      </c>
      <c r="G5866">
        <v>3.1</v>
      </c>
      <c r="H5866" t="s">
        <v>2017</v>
      </c>
      <c r="I5866" s="21">
        <v>43532</v>
      </c>
      <c r="J5866">
        <v>2019</v>
      </c>
      <c r="K5866" s="21">
        <v>43573</v>
      </c>
      <c r="L5866">
        <v>2019</v>
      </c>
      <c r="M5866" s="21">
        <v>44077</v>
      </c>
      <c r="N5866">
        <v>2020</v>
      </c>
      <c r="S5866" t="s">
        <v>9529</v>
      </c>
      <c r="T5866">
        <v>10496</v>
      </c>
      <c r="U5866">
        <v>5</v>
      </c>
      <c r="W5866">
        <v>-2778</v>
      </c>
      <c r="X5866">
        <v>-1</v>
      </c>
      <c r="Y5866">
        <v>0</v>
      </c>
      <c r="Z5866">
        <v>0</v>
      </c>
      <c r="AA5866">
        <v>0</v>
      </c>
      <c r="AB5866">
        <v>0</v>
      </c>
      <c r="AC5866">
        <v>-2778</v>
      </c>
      <c r="AD5866">
        <v>0</v>
      </c>
      <c r="AE5866">
        <v>0</v>
      </c>
      <c r="AF5866">
        <v>0</v>
      </c>
      <c r="AG5866">
        <v>0</v>
      </c>
      <c r="AH5866">
        <v>0</v>
      </c>
      <c r="AI5866">
        <v>0</v>
      </c>
      <c r="AJ5866">
        <v>0</v>
      </c>
      <c r="AK5866">
        <v>0</v>
      </c>
      <c r="AL5866">
        <v>0</v>
      </c>
      <c r="AM5866">
        <v>0</v>
      </c>
      <c r="AN5866">
        <v>0</v>
      </c>
      <c r="AO5866">
        <v>-1</v>
      </c>
      <c r="AP5866">
        <v>0</v>
      </c>
      <c r="AQ5866">
        <v>0</v>
      </c>
      <c r="AR5866">
        <v>0</v>
      </c>
      <c r="AS5866">
        <v>0</v>
      </c>
      <c r="AT5866">
        <v>0</v>
      </c>
      <c r="AU5866">
        <f t="shared" si="182"/>
        <v>-1</v>
      </c>
      <c r="AV5866">
        <f t="shared" si="183"/>
        <v>0</v>
      </c>
    </row>
    <row r="5867" spans="1:48" x14ac:dyDescent="0.25">
      <c r="A5867" t="s">
        <v>14098</v>
      </c>
      <c r="B5867" t="s">
        <v>14098</v>
      </c>
      <c r="C5867" t="s">
        <v>14099</v>
      </c>
      <c r="D5867" t="s">
        <v>14100</v>
      </c>
      <c r="E5867" t="s">
        <v>2310</v>
      </c>
      <c r="F5867">
        <v>8</v>
      </c>
      <c r="G5867">
        <v>8.3000000000000007</v>
      </c>
      <c r="H5867" t="s">
        <v>2323</v>
      </c>
      <c r="I5867" s="21">
        <v>43536.573822141203</v>
      </c>
      <c r="J5867">
        <v>2019</v>
      </c>
      <c r="K5867" s="21">
        <v>43570.384444710602</v>
      </c>
      <c r="L5867">
        <v>2019</v>
      </c>
      <c r="Q5867" s="262">
        <v>100000</v>
      </c>
      <c r="R5867" s="262">
        <v>86000</v>
      </c>
      <c r="S5867" t="s">
        <v>114</v>
      </c>
      <c r="T5867" t="s">
        <v>114</v>
      </c>
      <c r="V5867">
        <v>0</v>
      </c>
      <c r="W5867">
        <v>0</v>
      </c>
      <c r="X5867">
        <v>0</v>
      </c>
      <c r="AU5867">
        <f t="shared" si="182"/>
        <v>0</v>
      </c>
      <c r="AV5867">
        <f t="shared" si="183"/>
        <v>0</v>
      </c>
    </row>
    <row r="5868" spans="1:48" x14ac:dyDescent="0.25">
      <c r="A5868" t="s">
        <v>19523</v>
      </c>
      <c r="B5868" t="s">
        <v>19523</v>
      </c>
      <c r="C5868" t="s">
        <v>19524</v>
      </c>
      <c r="D5868" t="s">
        <v>14100</v>
      </c>
      <c r="E5868" t="s">
        <v>2310</v>
      </c>
      <c r="F5868">
        <v>8</v>
      </c>
      <c r="G5868">
        <v>8.3000000000000007</v>
      </c>
      <c r="H5868" t="s">
        <v>2323</v>
      </c>
      <c r="I5868" s="21">
        <v>43536.613311805559</v>
      </c>
      <c r="J5868">
        <v>2019</v>
      </c>
      <c r="K5868" s="21">
        <v>43608.410028321756</v>
      </c>
      <c r="L5868">
        <v>2019</v>
      </c>
      <c r="M5868" s="21">
        <v>44082.381662418979</v>
      </c>
      <c r="N5868">
        <v>2020</v>
      </c>
      <c r="Q5868" s="262">
        <v>1000000</v>
      </c>
      <c r="R5868" s="262">
        <v>191000</v>
      </c>
      <c r="S5868" t="s">
        <v>13254</v>
      </c>
      <c r="V5868">
        <v>0</v>
      </c>
      <c r="W5868">
        <v>1612</v>
      </c>
      <c r="X5868">
        <v>0</v>
      </c>
      <c r="AB5868">
        <v>1612</v>
      </c>
      <c r="AU5868">
        <f t="shared" si="182"/>
        <v>0</v>
      </c>
      <c r="AV5868">
        <f t="shared" si="183"/>
        <v>1612</v>
      </c>
    </row>
    <row r="5869" spans="1:48" x14ac:dyDescent="0.25">
      <c r="A5869" t="s">
        <v>15327</v>
      </c>
      <c r="B5869" t="s">
        <v>15327</v>
      </c>
      <c r="C5869" t="s">
        <v>15328</v>
      </c>
      <c r="D5869" t="s">
        <v>12181</v>
      </c>
      <c r="E5869" t="s">
        <v>2310</v>
      </c>
      <c r="F5869">
        <v>8</v>
      </c>
      <c r="G5869">
        <v>8.3000000000000007</v>
      </c>
      <c r="H5869" t="s">
        <v>2323</v>
      </c>
      <c r="I5869" s="21">
        <v>43536.634509988398</v>
      </c>
      <c r="J5869">
        <v>2019</v>
      </c>
      <c r="K5869" s="21">
        <v>43573.576394942102</v>
      </c>
      <c r="L5869">
        <v>2019</v>
      </c>
      <c r="M5869" s="21">
        <v>44564.464347222223</v>
      </c>
      <c r="N5869">
        <v>2022</v>
      </c>
      <c r="Q5869" s="262">
        <v>1100000</v>
      </c>
      <c r="R5869" s="262">
        <v>303000</v>
      </c>
      <c r="S5869" t="s">
        <v>13254</v>
      </c>
      <c r="T5869">
        <v>0</v>
      </c>
      <c r="V5869">
        <v>0</v>
      </c>
      <c r="W5869">
        <v>2623</v>
      </c>
      <c r="X5869">
        <v>1</v>
      </c>
      <c r="AC5869">
        <v>2623</v>
      </c>
      <c r="AO5869">
        <v>1</v>
      </c>
      <c r="AU5869">
        <f t="shared" si="182"/>
        <v>1</v>
      </c>
      <c r="AV5869">
        <f t="shared" si="183"/>
        <v>0</v>
      </c>
    </row>
    <row r="5870" spans="1:48" x14ac:dyDescent="0.25">
      <c r="A5870" t="s">
        <v>15341</v>
      </c>
      <c r="B5870" t="s">
        <v>15341</v>
      </c>
      <c r="C5870" t="s">
        <v>15342</v>
      </c>
      <c r="D5870" t="s">
        <v>12181</v>
      </c>
      <c r="E5870" t="s">
        <v>2310</v>
      </c>
      <c r="F5870">
        <v>8</v>
      </c>
      <c r="G5870">
        <v>8.3000000000000007</v>
      </c>
      <c r="H5870" t="s">
        <v>2323</v>
      </c>
      <c r="I5870" s="21">
        <v>43536.650537766203</v>
      </c>
      <c r="J5870">
        <v>2019</v>
      </c>
      <c r="K5870" s="21">
        <v>43573.577053090303</v>
      </c>
      <c r="L5870">
        <v>2019</v>
      </c>
      <c r="M5870" s="21">
        <v>44564</v>
      </c>
      <c r="N5870">
        <v>2022</v>
      </c>
      <c r="Q5870" s="262">
        <v>200000</v>
      </c>
      <c r="R5870" s="262">
        <v>29000</v>
      </c>
      <c r="S5870" t="s">
        <v>13254</v>
      </c>
      <c r="T5870">
        <v>0</v>
      </c>
      <c r="V5870">
        <v>0</v>
      </c>
      <c r="W5870">
        <v>606</v>
      </c>
      <c r="X5870">
        <v>0</v>
      </c>
      <c r="AC5870">
        <v>606</v>
      </c>
      <c r="AU5870">
        <f t="shared" si="182"/>
        <v>0</v>
      </c>
      <c r="AV5870">
        <f t="shared" si="183"/>
        <v>0</v>
      </c>
    </row>
    <row r="5871" spans="1:48" x14ac:dyDescent="0.25">
      <c r="A5871" t="s">
        <v>14103</v>
      </c>
      <c r="B5871" t="s">
        <v>14103</v>
      </c>
      <c r="C5871" t="s">
        <v>14104</v>
      </c>
      <c r="D5871" t="s">
        <v>14105</v>
      </c>
      <c r="E5871" t="s">
        <v>2310</v>
      </c>
      <c r="F5871">
        <v>7</v>
      </c>
      <c r="G5871">
        <v>7.1</v>
      </c>
      <c r="H5871" t="s">
        <v>2017</v>
      </c>
      <c r="I5871" s="21">
        <v>43538.470460300901</v>
      </c>
      <c r="J5871">
        <v>2019</v>
      </c>
      <c r="K5871" s="21">
        <v>43565.567469479203</v>
      </c>
      <c r="L5871">
        <v>2019</v>
      </c>
      <c r="M5871" s="21">
        <v>43726.452613229201</v>
      </c>
      <c r="N5871">
        <v>2019</v>
      </c>
      <c r="Q5871" s="262">
        <v>100000</v>
      </c>
      <c r="R5871" s="262">
        <v>1000</v>
      </c>
      <c r="S5871" t="s">
        <v>114</v>
      </c>
      <c r="T5871" t="s">
        <v>114</v>
      </c>
      <c r="V5871">
        <v>0</v>
      </c>
      <c r="W5871">
        <v>0</v>
      </c>
      <c r="X5871">
        <v>0</v>
      </c>
      <c r="AU5871">
        <f t="shared" si="182"/>
        <v>0</v>
      </c>
      <c r="AV5871">
        <f t="shared" si="183"/>
        <v>0</v>
      </c>
    </row>
    <row r="5872" spans="1:48" x14ac:dyDescent="0.25">
      <c r="A5872" t="s">
        <v>14106</v>
      </c>
      <c r="B5872" t="s">
        <v>14106</v>
      </c>
      <c r="C5872" t="s">
        <v>14107</v>
      </c>
      <c r="D5872" t="s">
        <v>3133</v>
      </c>
      <c r="E5872" t="s">
        <v>2310</v>
      </c>
      <c r="F5872">
        <v>7</v>
      </c>
      <c r="G5872">
        <v>7.1</v>
      </c>
      <c r="H5872" t="s">
        <v>2017</v>
      </c>
      <c r="I5872" s="21">
        <v>43538.5480467245</v>
      </c>
      <c r="J5872">
        <v>2019</v>
      </c>
      <c r="K5872" s="21">
        <v>43566.441665277802</v>
      </c>
      <c r="L5872">
        <v>2019</v>
      </c>
      <c r="Q5872" s="262">
        <v>10000</v>
      </c>
      <c r="R5872" s="262">
        <v>30000</v>
      </c>
      <c r="S5872" t="s">
        <v>114</v>
      </c>
      <c r="T5872" t="s">
        <v>114</v>
      </c>
      <c r="V5872">
        <v>0</v>
      </c>
      <c r="W5872">
        <v>0</v>
      </c>
      <c r="X5872">
        <v>0</v>
      </c>
      <c r="AU5872">
        <f t="shared" si="182"/>
        <v>0</v>
      </c>
      <c r="AV5872">
        <f t="shared" si="183"/>
        <v>0</v>
      </c>
    </row>
    <row r="5873" spans="1:48" x14ac:dyDescent="0.25">
      <c r="A5873" t="s">
        <v>20157</v>
      </c>
      <c r="B5873" t="s">
        <v>20157</v>
      </c>
      <c r="C5873" t="s">
        <v>20158</v>
      </c>
      <c r="D5873" t="s">
        <v>20159</v>
      </c>
      <c r="E5873" t="s">
        <v>2310</v>
      </c>
      <c r="F5873">
        <v>14</v>
      </c>
      <c r="G5873">
        <v>14.2</v>
      </c>
      <c r="H5873" t="s">
        <v>2017</v>
      </c>
      <c r="I5873" s="21">
        <v>43542.458618286997</v>
      </c>
      <c r="J5873">
        <v>2019</v>
      </c>
      <c r="K5873" s="21">
        <v>43584.695280868102</v>
      </c>
      <c r="L5873">
        <v>2019</v>
      </c>
      <c r="M5873" s="21">
        <v>44266</v>
      </c>
      <c r="N5873">
        <v>2021</v>
      </c>
      <c r="Q5873" s="262">
        <v>1800000</v>
      </c>
      <c r="R5873" s="262">
        <v>618000</v>
      </c>
      <c r="S5873" t="s">
        <v>13254</v>
      </c>
      <c r="U5873">
        <v>5</v>
      </c>
      <c r="V5873">
        <v>0</v>
      </c>
      <c r="W5873">
        <v>4964</v>
      </c>
      <c r="X5873">
        <v>1</v>
      </c>
      <c r="AC5873">
        <v>4964</v>
      </c>
      <c r="AO5873">
        <v>1</v>
      </c>
      <c r="AU5873">
        <f t="shared" si="182"/>
        <v>1</v>
      </c>
      <c r="AV5873">
        <f t="shared" si="183"/>
        <v>0</v>
      </c>
    </row>
    <row r="5874" spans="1:48" x14ac:dyDescent="0.25">
      <c r="A5874" t="s">
        <v>19731</v>
      </c>
      <c r="B5874" t="s">
        <v>19731</v>
      </c>
      <c r="C5874" t="s">
        <v>19732</v>
      </c>
      <c r="D5874" t="s">
        <v>19733</v>
      </c>
      <c r="E5874" t="s">
        <v>2310</v>
      </c>
      <c r="F5874">
        <v>15</v>
      </c>
      <c r="G5874">
        <v>15.1</v>
      </c>
      <c r="H5874" t="s">
        <v>2022</v>
      </c>
      <c r="I5874" s="21">
        <v>43543.523445173603</v>
      </c>
      <c r="J5874">
        <v>2019</v>
      </c>
      <c r="K5874" s="21">
        <v>43599.484275775503</v>
      </c>
      <c r="L5874">
        <v>2019</v>
      </c>
      <c r="M5874" s="21">
        <v>44243</v>
      </c>
      <c r="N5874">
        <v>2021</v>
      </c>
      <c r="Q5874" s="262">
        <v>825000</v>
      </c>
      <c r="R5874" s="262">
        <v>404000</v>
      </c>
      <c r="S5874" t="s">
        <v>13254</v>
      </c>
      <c r="U5874">
        <v>5</v>
      </c>
      <c r="V5874">
        <v>0</v>
      </c>
      <c r="W5874">
        <v>4274</v>
      </c>
      <c r="X5874">
        <v>1</v>
      </c>
      <c r="AC5874">
        <v>4274</v>
      </c>
      <c r="AO5874">
        <v>1</v>
      </c>
      <c r="AU5874">
        <f t="shared" si="182"/>
        <v>1</v>
      </c>
      <c r="AV5874">
        <f t="shared" si="183"/>
        <v>0</v>
      </c>
    </row>
    <row r="5875" spans="1:48" x14ac:dyDescent="0.25">
      <c r="A5875" t="s">
        <v>19445</v>
      </c>
      <c r="B5875" t="s">
        <v>19445</v>
      </c>
      <c r="C5875" t="s">
        <v>19446</v>
      </c>
      <c r="D5875" t="s">
        <v>19447</v>
      </c>
      <c r="E5875" t="s">
        <v>2310</v>
      </c>
      <c r="F5875">
        <v>9</v>
      </c>
      <c r="G5875">
        <v>9.4</v>
      </c>
      <c r="H5875" t="s">
        <v>2323</v>
      </c>
      <c r="I5875" s="21">
        <v>43543.599490891203</v>
      </c>
      <c r="J5875">
        <v>2019</v>
      </c>
      <c r="K5875" s="21">
        <v>43605.567991319447</v>
      </c>
      <c r="L5875">
        <v>2019</v>
      </c>
      <c r="M5875" s="21">
        <v>44036.633197488423</v>
      </c>
      <c r="N5875">
        <v>2020</v>
      </c>
      <c r="Q5875" s="262">
        <v>1200000</v>
      </c>
      <c r="R5875" s="262">
        <v>579000</v>
      </c>
      <c r="S5875" t="s">
        <v>13254</v>
      </c>
      <c r="V5875">
        <v>0</v>
      </c>
      <c r="W5875">
        <v>4930</v>
      </c>
      <c r="X5875">
        <v>1</v>
      </c>
      <c r="AC5875">
        <v>4930</v>
      </c>
      <c r="AO5875">
        <v>1</v>
      </c>
      <c r="AU5875">
        <f t="shared" si="182"/>
        <v>1</v>
      </c>
      <c r="AV5875">
        <f t="shared" si="183"/>
        <v>0</v>
      </c>
    </row>
    <row r="5876" spans="1:48" x14ac:dyDescent="0.25">
      <c r="A5876" t="s">
        <v>18720</v>
      </c>
      <c r="B5876" t="s">
        <v>18720</v>
      </c>
      <c r="C5876" t="s">
        <v>18721</v>
      </c>
      <c r="D5876" t="s">
        <v>18722</v>
      </c>
      <c r="E5876" t="s">
        <v>2310</v>
      </c>
      <c r="F5876">
        <v>14</v>
      </c>
      <c r="G5876">
        <v>14.2</v>
      </c>
      <c r="H5876" t="s">
        <v>2017</v>
      </c>
      <c r="I5876" s="21">
        <v>43545.446658831017</v>
      </c>
      <c r="J5876">
        <v>2019</v>
      </c>
      <c r="K5876" s="21">
        <v>43623.70688140046</v>
      </c>
      <c r="L5876">
        <v>2019</v>
      </c>
      <c r="M5876" s="21">
        <v>44035.40059892361</v>
      </c>
      <c r="N5876">
        <v>2020</v>
      </c>
      <c r="Q5876" s="262">
        <v>55000</v>
      </c>
      <c r="R5876" s="262">
        <v>42000</v>
      </c>
      <c r="S5876" t="s">
        <v>13253</v>
      </c>
      <c r="T5876">
        <v>7742</v>
      </c>
      <c r="V5876">
        <v>0</v>
      </c>
      <c r="W5876">
        <v>863</v>
      </c>
      <c r="X5876">
        <v>0</v>
      </c>
      <c r="AC5876">
        <v>863</v>
      </c>
      <c r="AU5876">
        <f t="shared" si="182"/>
        <v>0</v>
      </c>
      <c r="AV5876">
        <f t="shared" si="183"/>
        <v>0</v>
      </c>
    </row>
    <row r="5877" spans="1:48" x14ac:dyDescent="0.25">
      <c r="A5877" t="s">
        <v>19534</v>
      </c>
      <c r="B5877" t="s">
        <v>19534</v>
      </c>
      <c r="C5877" t="s">
        <v>19535</v>
      </c>
      <c r="D5877" t="s">
        <v>18170</v>
      </c>
      <c r="E5877" t="s">
        <v>2310</v>
      </c>
      <c r="F5877">
        <v>12</v>
      </c>
      <c r="G5877">
        <v>12.2</v>
      </c>
      <c r="H5877" t="s">
        <v>2017</v>
      </c>
      <c r="I5877" s="21">
        <v>43545.550731331015</v>
      </c>
      <c r="J5877">
        <v>2019</v>
      </c>
      <c r="K5877" s="21">
        <v>43565.591978703706</v>
      </c>
      <c r="L5877">
        <v>2019</v>
      </c>
      <c r="M5877" s="21">
        <v>44096.358409803244</v>
      </c>
      <c r="N5877">
        <v>2020</v>
      </c>
      <c r="Q5877" s="262">
        <v>675000</v>
      </c>
      <c r="R5877" s="262">
        <v>190000</v>
      </c>
      <c r="S5877" t="s">
        <v>13254</v>
      </c>
      <c r="V5877">
        <v>0</v>
      </c>
      <c r="W5877">
        <v>2496</v>
      </c>
      <c r="X5877">
        <v>1</v>
      </c>
      <c r="AC5877">
        <v>1496</v>
      </c>
      <c r="AF5877">
        <v>1000</v>
      </c>
      <c r="AR5877">
        <v>1</v>
      </c>
      <c r="AU5877">
        <f t="shared" si="182"/>
        <v>0</v>
      </c>
      <c r="AV5877">
        <f t="shared" si="183"/>
        <v>0</v>
      </c>
    </row>
    <row r="5878" spans="1:48" x14ac:dyDescent="0.25">
      <c r="A5878" t="s">
        <v>19405</v>
      </c>
      <c r="B5878" t="s">
        <v>19405</v>
      </c>
      <c r="C5878" t="s">
        <v>19406</v>
      </c>
      <c r="D5878" t="s">
        <v>12240</v>
      </c>
      <c r="E5878" t="s">
        <v>2310</v>
      </c>
      <c r="F5878">
        <v>9</v>
      </c>
      <c r="G5878">
        <v>9.1999999999999993</v>
      </c>
      <c r="H5878" t="s">
        <v>2022</v>
      </c>
      <c r="I5878" s="21">
        <v>43546.371515127314</v>
      </c>
      <c r="J5878">
        <v>2019</v>
      </c>
      <c r="K5878" s="21">
        <v>43630.707526076389</v>
      </c>
      <c r="L5878">
        <v>2019</v>
      </c>
      <c r="M5878" s="21">
        <v>44019.394328622686</v>
      </c>
      <c r="N5878">
        <v>2020</v>
      </c>
      <c r="Q5878" s="262">
        <v>1200000</v>
      </c>
      <c r="R5878" s="262">
        <v>552000</v>
      </c>
      <c r="S5878" t="s">
        <v>13254</v>
      </c>
      <c r="V5878">
        <v>0</v>
      </c>
      <c r="W5878">
        <v>4991</v>
      </c>
      <c r="X5878">
        <v>1</v>
      </c>
      <c r="AC5878">
        <v>4991</v>
      </c>
      <c r="AO5878">
        <v>1</v>
      </c>
      <c r="AU5878">
        <f t="shared" si="182"/>
        <v>1</v>
      </c>
      <c r="AV5878">
        <f t="shared" si="183"/>
        <v>0</v>
      </c>
    </row>
    <row r="5879" spans="1:48" x14ac:dyDescent="0.25">
      <c r="A5879" t="s">
        <v>14108</v>
      </c>
      <c r="B5879" t="s">
        <v>14108</v>
      </c>
      <c r="C5879" t="s">
        <v>14109</v>
      </c>
      <c r="D5879" t="s">
        <v>14110</v>
      </c>
      <c r="E5879" t="s">
        <v>2310</v>
      </c>
      <c r="F5879">
        <v>9</v>
      </c>
      <c r="G5879">
        <v>9.1999999999999993</v>
      </c>
      <c r="H5879" t="s">
        <v>2022</v>
      </c>
      <c r="I5879" s="21">
        <v>43549.421485960702</v>
      </c>
      <c r="J5879">
        <v>2019</v>
      </c>
      <c r="K5879" s="21">
        <v>43668.3813437153</v>
      </c>
      <c r="L5879">
        <v>2019</v>
      </c>
      <c r="Q5879" s="262">
        <v>700000</v>
      </c>
      <c r="R5879" s="262">
        <v>1027000</v>
      </c>
      <c r="S5879" t="s">
        <v>114</v>
      </c>
      <c r="T5879" t="s">
        <v>114</v>
      </c>
      <c r="V5879">
        <v>0</v>
      </c>
      <c r="W5879">
        <v>7257</v>
      </c>
      <c r="X5879">
        <v>1</v>
      </c>
      <c r="AC5879">
        <v>7257</v>
      </c>
      <c r="AO5879">
        <v>1</v>
      </c>
      <c r="AU5879">
        <f t="shared" si="182"/>
        <v>1</v>
      </c>
      <c r="AV5879">
        <f t="shared" si="183"/>
        <v>0</v>
      </c>
    </row>
    <row r="5880" spans="1:48" x14ac:dyDescent="0.25">
      <c r="A5880" t="s">
        <v>17620</v>
      </c>
      <c r="B5880" t="s">
        <v>17620</v>
      </c>
      <c r="C5880" t="s">
        <v>17621</v>
      </c>
      <c r="D5880" t="s">
        <v>17622</v>
      </c>
      <c r="E5880" t="s">
        <v>2310</v>
      </c>
      <c r="F5880">
        <v>10</v>
      </c>
      <c r="G5880">
        <v>10.1</v>
      </c>
      <c r="H5880" t="s">
        <v>2323</v>
      </c>
      <c r="I5880" s="21">
        <v>43550.466468055558</v>
      </c>
      <c r="J5880">
        <v>2019</v>
      </c>
      <c r="K5880" s="21">
        <v>43620.409512881946</v>
      </c>
      <c r="L5880">
        <v>2019</v>
      </c>
      <c r="M5880" s="21">
        <v>43816.424481562499</v>
      </c>
      <c r="N5880">
        <v>2019</v>
      </c>
      <c r="Q5880" s="262">
        <v>269400</v>
      </c>
      <c r="R5880" s="262">
        <v>107000</v>
      </c>
      <c r="S5880" t="s">
        <v>13253</v>
      </c>
      <c r="T5880">
        <v>1075</v>
      </c>
      <c r="V5880">
        <v>0</v>
      </c>
      <c r="W5880">
        <v>898</v>
      </c>
      <c r="X5880">
        <v>0</v>
      </c>
      <c r="AC5880">
        <v>898</v>
      </c>
      <c r="AU5880">
        <f t="shared" si="182"/>
        <v>0</v>
      </c>
      <c r="AV5880">
        <f t="shared" si="183"/>
        <v>0</v>
      </c>
    </row>
    <row r="5881" spans="1:48" x14ac:dyDescent="0.25">
      <c r="A5881" t="s">
        <v>18168</v>
      </c>
      <c r="B5881" t="s">
        <v>18168</v>
      </c>
      <c r="C5881" t="s">
        <v>18169</v>
      </c>
      <c r="D5881" t="s">
        <v>18170</v>
      </c>
      <c r="E5881" t="s">
        <v>2310</v>
      </c>
      <c r="F5881">
        <v>12</v>
      </c>
      <c r="G5881">
        <v>12.2</v>
      </c>
      <c r="H5881" t="s">
        <v>2017</v>
      </c>
      <c r="I5881" s="21">
        <v>43550.494258831</v>
      </c>
      <c r="J5881">
        <v>2019</v>
      </c>
      <c r="K5881" s="21">
        <v>43581.425213888899</v>
      </c>
      <c r="L5881">
        <v>2019</v>
      </c>
      <c r="M5881" s="21">
        <v>44089.682916585603</v>
      </c>
      <c r="N5881">
        <v>2020</v>
      </c>
      <c r="S5881" t="s">
        <v>9529</v>
      </c>
      <c r="T5881">
        <v>4005</v>
      </c>
      <c r="U5881">
        <v>17</v>
      </c>
      <c r="W5881">
        <v>-2000</v>
      </c>
      <c r="X5881">
        <v>-2</v>
      </c>
      <c r="Y5881">
        <v>0</v>
      </c>
      <c r="Z5881">
        <v>0</v>
      </c>
      <c r="AA5881">
        <v>0</v>
      </c>
      <c r="AB5881">
        <v>0</v>
      </c>
      <c r="AC5881">
        <v>0</v>
      </c>
      <c r="AD5881">
        <v>-1000</v>
      </c>
      <c r="AE5881">
        <v>0</v>
      </c>
      <c r="AF5881">
        <v>-1000</v>
      </c>
      <c r="AG5881">
        <v>0</v>
      </c>
      <c r="AH5881">
        <v>0</v>
      </c>
      <c r="AI5881">
        <v>0</v>
      </c>
      <c r="AJ5881">
        <v>0</v>
      </c>
      <c r="AK5881">
        <v>0</v>
      </c>
      <c r="AL5881">
        <v>0</v>
      </c>
      <c r="AM5881">
        <v>0</v>
      </c>
      <c r="AN5881">
        <v>0</v>
      </c>
      <c r="AO5881">
        <v>0</v>
      </c>
      <c r="AP5881">
        <v>-1</v>
      </c>
      <c r="AQ5881">
        <v>0</v>
      </c>
      <c r="AR5881">
        <v>-1</v>
      </c>
      <c r="AS5881">
        <v>0</v>
      </c>
      <c r="AT5881">
        <v>0</v>
      </c>
      <c r="AU5881">
        <f t="shared" si="182"/>
        <v>-1</v>
      </c>
      <c r="AV5881">
        <f t="shared" si="183"/>
        <v>0</v>
      </c>
    </row>
    <row r="5882" spans="1:48" x14ac:dyDescent="0.25">
      <c r="A5882" t="s">
        <v>18168</v>
      </c>
      <c r="B5882" t="s">
        <v>18168</v>
      </c>
      <c r="C5882" t="s">
        <v>18169</v>
      </c>
      <c r="D5882" t="s">
        <v>18170</v>
      </c>
      <c r="E5882" t="s">
        <v>2310</v>
      </c>
      <c r="F5882">
        <v>12</v>
      </c>
      <c r="G5882">
        <v>12.2</v>
      </c>
      <c r="H5882" t="s">
        <v>2017</v>
      </c>
      <c r="I5882" s="21">
        <v>43550.494258831015</v>
      </c>
      <c r="J5882">
        <v>2019</v>
      </c>
      <c r="K5882" s="21">
        <v>43581.425213888891</v>
      </c>
      <c r="L5882">
        <v>2019</v>
      </c>
      <c r="M5882" s="21">
        <v>44089.682916585647</v>
      </c>
      <c r="N5882">
        <v>2020</v>
      </c>
      <c r="Q5882" s="262">
        <v>700000</v>
      </c>
      <c r="R5882" s="262">
        <v>381000</v>
      </c>
      <c r="S5882" t="s">
        <v>12464</v>
      </c>
      <c r="T5882">
        <v>4005</v>
      </c>
      <c r="V5882">
        <v>0</v>
      </c>
      <c r="W5882">
        <v>3616</v>
      </c>
      <c r="X5882">
        <v>1</v>
      </c>
      <c r="AC5882">
        <v>3616</v>
      </c>
      <c r="AO5882">
        <v>1</v>
      </c>
      <c r="AU5882">
        <f t="shared" si="182"/>
        <v>1</v>
      </c>
      <c r="AV5882">
        <f t="shared" si="183"/>
        <v>0</v>
      </c>
    </row>
    <row r="5883" spans="1:48" x14ac:dyDescent="0.25">
      <c r="A5883" t="s">
        <v>18300</v>
      </c>
      <c r="B5883" t="s">
        <v>18300</v>
      </c>
      <c r="C5883" t="s">
        <v>18301</v>
      </c>
      <c r="D5883" t="s">
        <v>9198</v>
      </c>
      <c r="E5883" t="s">
        <v>2310</v>
      </c>
      <c r="F5883">
        <v>12</v>
      </c>
      <c r="G5883">
        <v>12.3</v>
      </c>
      <c r="H5883" t="s">
        <v>2017</v>
      </c>
      <c r="I5883" s="21">
        <v>43550.5514084838</v>
      </c>
      <c r="J5883">
        <v>2019</v>
      </c>
      <c r="K5883" s="21">
        <v>43581.605078622684</v>
      </c>
      <c r="L5883">
        <v>2019</v>
      </c>
      <c r="M5883" s="21">
        <v>43872.374904745368</v>
      </c>
      <c r="N5883">
        <v>2020</v>
      </c>
      <c r="Q5883" s="262">
        <v>100000</v>
      </c>
      <c r="R5883" s="262">
        <v>49000</v>
      </c>
      <c r="S5883" t="s">
        <v>13253</v>
      </c>
      <c r="T5883">
        <v>4302</v>
      </c>
      <c r="V5883">
        <v>0</v>
      </c>
      <c r="W5883">
        <v>410</v>
      </c>
      <c r="X5883">
        <v>0</v>
      </c>
      <c r="AC5883">
        <v>410</v>
      </c>
      <c r="AU5883">
        <f t="shared" si="182"/>
        <v>0</v>
      </c>
      <c r="AV5883">
        <f t="shared" si="183"/>
        <v>0</v>
      </c>
    </row>
    <row r="5884" spans="1:48" x14ac:dyDescent="0.25">
      <c r="A5884" t="s">
        <v>19635</v>
      </c>
      <c r="B5884" t="s">
        <v>19635</v>
      </c>
      <c r="C5884" t="s">
        <v>19636</v>
      </c>
      <c r="D5884" t="s">
        <v>14113</v>
      </c>
      <c r="E5884" t="s">
        <v>2310</v>
      </c>
      <c r="F5884">
        <v>8</v>
      </c>
      <c r="G5884">
        <v>8.3000000000000007</v>
      </c>
      <c r="H5884" t="s">
        <v>2323</v>
      </c>
      <c r="I5884" s="21">
        <v>43552.626576967596</v>
      </c>
      <c r="J5884">
        <v>2019</v>
      </c>
      <c r="K5884" s="21">
        <v>43594.649775150465</v>
      </c>
      <c r="L5884">
        <v>2019</v>
      </c>
      <c r="M5884" s="21">
        <v>44186.395682407405</v>
      </c>
      <c r="N5884">
        <v>2020</v>
      </c>
      <c r="Q5884" s="262">
        <v>910000</v>
      </c>
      <c r="R5884" s="262">
        <v>495000</v>
      </c>
      <c r="S5884" t="s">
        <v>13254</v>
      </c>
      <c r="V5884">
        <v>0</v>
      </c>
      <c r="W5884">
        <v>4264</v>
      </c>
      <c r="X5884">
        <v>1</v>
      </c>
      <c r="AC5884">
        <v>4264</v>
      </c>
      <c r="AO5884">
        <v>1</v>
      </c>
      <c r="AU5884">
        <f t="shared" si="182"/>
        <v>1</v>
      </c>
      <c r="AV5884">
        <f t="shared" si="183"/>
        <v>0</v>
      </c>
    </row>
    <row r="5885" spans="1:48" x14ac:dyDescent="0.25">
      <c r="A5885" t="s">
        <v>14111</v>
      </c>
      <c r="B5885" t="s">
        <v>14111</v>
      </c>
      <c r="C5885" t="s">
        <v>14112</v>
      </c>
      <c r="D5885" t="s">
        <v>14113</v>
      </c>
      <c r="E5885" t="s">
        <v>2310</v>
      </c>
      <c r="F5885">
        <v>8</v>
      </c>
      <c r="G5885">
        <v>8.3000000000000007</v>
      </c>
      <c r="H5885" t="s">
        <v>2323</v>
      </c>
      <c r="I5885" s="21">
        <v>43552.653735185202</v>
      </c>
      <c r="J5885">
        <v>2019</v>
      </c>
      <c r="K5885" s="21">
        <v>43594.639181365703</v>
      </c>
      <c r="L5885">
        <v>2019</v>
      </c>
      <c r="Q5885" s="262">
        <v>552000</v>
      </c>
      <c r="R5885" s="262">
        <v>104000</v>
      </c>
      <c r="S5885" t="s">
        <v>114</v>
      </c>
      <c r="T5885" t="s">
        <v>114</v>
      </c>
      <c r="V5885">
        <v>0</v>
      </c>
      <c r="W5885">
        <v>2160</v>
      </c>
      <c r="X5885">
        <v>0</v>
      </c>
      <c r="AC5885">
        <v>2160</v>
      </c>
      <c r="AU5885">
        <f t="shared" si="182"/>
        <v>0</v>
      </c>
      <c r="AV5885">
        <f t="shared" si="183"/>
        <v>0</v>
      </c>
    </row>
    <row r="5886" spans="1:48" x14ac:dyDescent="0.25">
      <c r="A5886" t="s">
        <v>19593</v>
      </c>
      <c r="B5886" t="s">
        <v>114</v>
      </c>
      <c r="C5886" t="s">
        <v>11246</v>
      </c>
      <c r="D5886" t="s">
        <v>19594</v>
      </c>
      <c r="E5886" t="s">
        <v>1663</v>
      </c>
      <c r="F5886">
        <v>9</v>
      </c>
      <c r="G5886">
        <v>9.4</v>
      </c>
      <c r="H5886" t="s">
        <v>2323</v>
      </c>
      <c r="I5886" s="21">
        <v>43553</v>
      </c>
      <c r="J5886">
        <v>2019</v>
      </c>
      <c r="K5886" s="21">
        <v>43608</v>
      </c>
      <c r="L5886">
        <v>2019</v>
      </c>
      <c r="M5886" s="21">
        <v>44154</v>
      </c>
      <c r="N5886">
        <v>2020</v>
      </c>
      <c r="Q5886" s="262">
        <v>2500000</v>
      </c>
      <c r="S5886" t="s">
        <v>13254</v>
      </c>
      <c r="V5886">
        <v>0</v>
      </c>
      <c r="W5886">
        <v>6990</v>
      </c>
      <c r="X5886">
        <v>1</v>
      </c>
      <c r="AC5886">
        <v>6990</v>
      </c>
      <c r="AO5886">
        <v>1</v>
      </c>
      <c r="AU5886">
        <f t="shared" si="182"/>
        <v>1</v>
      </c>
      <c r="AV5886">
        <f t="shared" si="183"/>
        <v>0</v>
      </c>
    </row>
    <row r="5887" spans="1:48" x14ac:dyDescent="0.25">
      <c r="A5887" t="s">
        <v>19071</v>
      </c>
      <c r="B5887" t="s">
        <v>114</v>
      </c>
      <c r="C5887" t="s">
        <v>15760</v>
      </c>
      <c r="D5887" t="s">
        <v>19072</v>
      </c>
      <c r="E5887" t="s">
        <v>1663</v>
      </c>
      <c r="F5887">
        <v>3</v>
      </c>
      <c r="G5887">
        <v>3.1</v>
      </c>
      <c r="H5887" t="s">
        <v>2017</v>
      </c>
      <c r="I5887" s="21">
        <v>43556</v>
      </c>
      <c r="J5887">
        <v>2019</v>
      </c>
      <c r="K5887" s="21">
        <v>43586</v>
      </c>
      <c r="L5887">
        <v>2019</v>
      </c>
      <c r="M5887" s="21">
        <v>44119</v>
      </c>
      <c r="N5887">
        <v>2020</v>
      </c>
      <c r="Q5887" s="262">
        <v>2000000</v>
      </c>
      <c r="S5887" t="s">
        <v>12464</v>
      </c>
      <c r="T5887">
        <v>10496</v>
      </c>
      <c r="V5887">
        <v>0</v>
      </c>
      <c r="W5887">
        <v>4981</v>
      </c>
      <c r="X5887">
        <v>2</v>
      </c>
      <c r="AC5887">
        <v>4195</v>
      </c>
      <c r="AF5887">
        <v>786</v>
      </c>
      <c r="AO5887">
        <v>1</v>
      </c>
      <c r="AR5887">
        <v>1</v>
      </c>
      <c r="AU5887">
        <f t="shared" si="182"/>
        <v>1</v>
      </c>
      <c r="AV5887">
        <f t="shared" si="183"/>
        <v>0</v>
      </c>
    </row>
    <row r="5888" spans="1:48" x14ac:dyDescent="0.25">
      <c r="A5888" t="s">
        <v>19410</v>
      </c>
      <c r="B5888" t="s">
        <v>114</v>
      </c>
      <c r="C5888" t="s">
        <v>19411</v>
      </c>
      <c r="D5888" t="s">
        <v>19412</v>
      </c>
      <c r="E5888" t="s">
        <v>1663</v>
      </c>
      <c r="F5888">
        <v>5</v>
      </c>
      <c r="G5888">
        <v>5.0999999999999996</v>
      </c>
      <c r="H5888" t="s">
        <v>2327</v>
      </c>
      <c r="I5888" s="21">
        <v>43557</v>
      </c>
      <c r="J5888">
        <v>2019</v>
      </c>
      <c r="K5888" s="21">
        <v>43623</v>
      </c>
      <c r="L5888">
        <v>2019</v>
      </c>
      <c r="M5888" s="21">
        <v>43812</v>
      </c>
      <c r="N5888">
        <v>2019</v>
      </c>
      <c r="Q5888" s="262">
        <v>200000</v>
      </c>
      <c r="S5888" t="s">
        <v>13253</v>
      </c>
      <c r="T5888">
        <v>13674</v>
      </c>
      <c r="V5888">
        <v>1140</v>
      </c>
      <c r="W5888">
        <v>0</v>
      </c>
      <c r="X5888">
        <v>0</v>
      </c>
      <c r="AJ5888">
        <v>1140</v>
      </c>
      <c r="AK5888">
        <v>-1140</v>
      </c>
      <c r="AU5888">
        <f t="shared" si="182"/>
        <v>0</v>
      </c>
      <c r="AV5888">
        <f t="shared" si="183"/>
        <v>0</v>
      </c>
    </row>
    <row r="5889" spans="1:48" x14ac:dyDescent="0.25">
      <c r="A5889" t="s">
        <v>19561</v>
      </c>
      <c r="B5889" t="s">
        <v>114</v>
      </c>
      <c r="C5889" t="s">
        <v>19562</v>
      </c>
      <c r="D5889" t="s">
        <v>19563</v>
      </c>
      <c r="E5889" t="s">
        <v>1663</v>
      </c>
      <c r="F5889">
        <v>5</v>
      </c>
      <c r="G5889">
        <v>5.0999999999999996</v>
      </c>
      <c r="H5889" t="s">
        <v>2327</v>
      </c>
      <c r="I5889" s="21">
        <v>43557</v>
      </c>
      <c r="J5889">
        <v>2019</v>
      </c>
      <c r="K5889" s="21">
        <v>43768</v>
      </c>
      <c r="L5889">
        <v>2019</v>
      </c>
      <c r="M5889" s="21">
        <v>44125</v>
      </c>
      <c r="N5889">
        <v>2020</v>
      </c>
      <c r="Q5889" s="262">
        <v>1100000</v>
      </c>
      <c r="S5889" t="s">
        <v>13254</v>
      </c>
      <c r="V5889">
        <v>0</v>
      </c>
      <c r="W5889">
        <v>5920</v>
      </c>
      <c r="X5889">
        <v>3</v>
      </c>
      <c r="AE5889">
        <v>1530</v>
      </c>
      <c r="AK5889">
        <v>1390</v>
      </c>
      <c r="AL5889">
        <v>3000</v>
      </c>
      <c r="AQ5889">
        <v>3</v>
      </c>
      <c r="AU5889">
        <f t="shared" si="182"/>
        <v>3</v>
      </c>
      <c r="AV5889">
        <f t="shared" si="183"/>
        <v>4390</v>
      </c>
    </row>
    <row r="5890" spans="1:48" x14ac:dyDescent="0.25">
      <c r="A5890" t="s">
        <v>19334</v>
      </c>
      <c r="B5890" t="s">
        <v>19334</v>
      </c>
      <c r="C5890" t="s">
        <v>16462</v>
      </c>
      <c r="D5890" t="s">
        <v>19335</v>
      </c>
      <c r="E5890" t="s">
        <v>2310</v>
      </c>
      <c r="F5890">
        <v>9</v>
      </c>
      <c r="G5890">
        <v>9.3000000000000007</v>
      </c>
      <c r="H5890" t="s">
        <v>2323</v>
      </c>
      <c r="I5890" s="21">
        <v>43557.522526388886</v>
      </c>
      <c r="J5890">
        <v>2019</v>
      </c>
      <c r="K5890" s="21">
        <v>43677.654246446757</v>
      </c>
      <c r="L5890">
        <v>2019</v>
      </c>
      <c r="M5890" s="21">
        <v>43979.483017245373</v>
      </c>
      <c r="N5890">
        <v>2020</v>
      </c>
      <c r="Q5890" s="262">
        <v>500000</v>
      </c>
      <c r="R5890" s="262">
        <v>119000</v>
      </c>
      <c r="S5890" t="s">
        <v>13254</v>
      </c>
      <c r="V5890">
        <v>0</v>
      </c>
      <c r="W5890">
        <v>999</v>
      </c>
      <c r="X5890">
        <v>1</v>
      </c>
      <c r="AF5890">
        <v>999</v>
      </c>
      <c r="AR5890">
        <v>1</v>
      </c>
      <c r="AU5890">
        <f t="shared" si="182"/>
        <v>0</v>
      </c>
      <c r="AV5890">
        <f t="shared" si="183"/>
        <v>0</v>
      </c>
    </row>
    <row r="5891" spans="1:48" x14ac:dyDescent="0.25">
      <c r="A5891" t="s">
        <v>15354</v>
      </c>
      <c r="B5891" t="s">
        <v>15354</v>
      </c>
      <c r="C5891" t="s">
        <v>15355</v>
      </c>
      <c r="D5891" t="s">
        <v>15356</v>
      </c>
      <c r="E5891" t="s">
        <v>2310</v>
      </c>
      <c r="F5891">
        <v>13</v>
      </c>
      <c r="G5891">
        <v>13.3</v>
      </c>
      <c r="H5891" t="s">
        <v>2017</v>
      </c>
      <c r="I5891" s="21">
        <v>43557.568313506898</v>
      </c>
      <c r="J5891">
        <v>2019</v>
      </c>
      <c r="K5891" s="21">
        <v>43711.668917743104</v>
      </c>
      <c r="L5891">
        <v>2019</v>
      </c>
      <c r="M5891" s="21">
        <v>44656.45770269676</v>
      </c>
      <c r="N5891">
        <v>2022</v>
      </c>
      <c r="Q5891" s="262">
        <v>3500000</v>
      </c>
      <c r="R5891" s="262">
        <v>1727000</v>
      </c>
      <c r="S5891" t="s">
        <v>13254</v>
      </c>
      <c r="T5891">
        <v>0</v>
      </c>
      <c r="V5891">
        <v>0</v>
      </c>
      <c r="W5891">
        <v>10363</v>
      </c>
      <c r="X5891">
        <v>1</v>
      </c>
      <c r="AC5891">
        <v>10363</v>
      </c>
      <c r="AO5891">
        <v>1</v>
      </c>
      <c r="AU5891">
        <f t="shared" si="182"/>
        <v>1</v>
      </c>
      <c r="AV5891">
        <f t="shared" si="183"/>
        <v>0</v>
      </c>
    </row>
    <row r="5892" spans="1:48" x14ac:dyDescent="0.25">
      <c r="A5892" t="s">
        <v>19394</v>
      </c>
      <c r="B5892" t="s">
        <v>19394</v>
      </c>
      <c r="C5892" t="s">
        <v>19395</v>
      </c>
      <c r="D5892" t="s">
        <v>3899</v>
      </c>
      <c r="E5892" t="s">
        <v>2310</v>
      </c>
      <c r="F5892">
        <v>14</v>
      </c>
      <c r="G5892">
        <v>14.1</v>
      </c>
      <c r="H5892" t="s">
        <v>2022</v>
      </c>
      <c r="I5892" s="21">
        <v>43557.614941631946</v>
      </c>
      <c r="J5892">
        <v>2019</v>
      </c>
      <c r="K5892" s="21">
        <v>43595.593587465279</v>
      </c>
      <c r="L5892">
        <v>2019</v>
      </c>
      <c r="M5892" s="21">
        <v>44007.379251192127</v>
      </c>
      <c r="N5892">
        <v>2020</v>
      </c>
      <c r="Q5892" s="262">
        <v>380000</v>
      </c>
      <c r="R5892" s="262">
        <v>319000</v>
      </c>
      <c r="S5892" t="s">
        <v>13254</v>
      </c>
      <c r="V5892">
        <v>390</v>
      </c>
      <c r="W5892">
        <v>2512</v>
      </c>
      <c r="X5892">
        <v>0</v>
      </c>
      <c r="AC5892">
        <v>2512</v>
      </c>
      <c r="AU5892">
        <f t="shared" si="182"/>
        <v>0</v>
      </c>
      <c r="AV5892">
        <f t="shared" si="183"/>
        <v>0</v>
      </c>
    </row>
    <row r="5893" spans="1:48" x14ac:dyDescent="0.25">
      <c r="A5893" t="s">
        <v>19489</v>
      </c>
      <c r="B5893" t="s">
        <v>19489</v>
      </c>
      <c r="C5893" t="s">
        <v>19490</v>
      </c>
      <c r="D5893" t="s">
        <v>19491</v>
      </c>
      <c r="E5893" t="s">
        <v>2310</v>
      </c>
      <c r="F5893">
        <v>9</v>
      </c>
      <c r="G5893">
        <v>9.3000000000000007</v>
      </c>
      <c r="H5893" t="s">
        <v>2323</v>
      </c>
      <c r="I5893" s="21">
        <v>43559.43318753472</v>
      </c>
      <c r="J5893">
        <v>2019</v>
      </c>
      <c r="K5893" s="21">
        <v>43605.555380902777</v>
      </c>
      <c r="L5893">
        <v>2019</v>
      </c>
      <c r="M5893" s="21">
        <v>44063.389401307868</v>
      </c>
      <c r="N5893">
        <v>2020</v>
      </c>
      <c r="Q5893" s="262">
        <v>300000</v>
      </c>
      <c r="R5893" s="262">
        <v>172000</v>
      </c>
      <c r="S5893" t="s">
        <v>13254</v>
      </c>
      <c r="V5893">
        <v>0</v>
      </c>
      <c r="W5893">
        <v>2111</v>
      </c>
      <c r="X5893">
        <v>1</v>
      </c>
      <c r="AC5893">
        <v>1113</v>
      </c>
      <c r="AF5893">
        <v>998</v>
      </c>
      <c r="AR5893">
        <v>1</v>
      </c>
      <c r="AU5893">
        <f t="shared" si="182"/>
        <v>0</v>
      </c>
      <c r="AV5893">
        <f t="shared" si="183"/>
        <v>0</v>
      </c>
    </row>
    <row r="5894" spans="1:48" x14ac:dyDescent="0.25">
      <c r="A5894" t="s">
        <v>14114</v>
      </c>
      <c r="B5894" t="s">
        <v>14114</v>
      </c>
      <c r="C5894" t="s">
        <v>14115</v>
      </c>
      <c r="D5894" t="s">
        <v>1881</v>
      </c>
      <c r="E5894" t="s">
        <v>2310</v>
      </c>
      <c r="F5894">
        <v>14</v>
      </c>
      <c r="G5894">
        <v>14.3</v>
      </c>
      <c r="H5894" t="s">
        <v>2327</v>
      </c>
      <c r="I5894" s="21">
        <v>43559.473535532401</v>
      </c>
      <c r="J5894">
        <v>2019</v>
      </c>
      <c r="K5894" s="21">
        <v>43614.588608564802</v>
      </c>
      <c r="L5894">
        <v>2019</v>
      </c>
      <c r="M5894" s="21">
        <v>43633.3885099537</v>
      </c>
      <c r="N5894">
        <v>2019</v>
      </c>
      <c r="S5894" t="s">
        <v>114</v>
      </c>
      <c r="T5894" t="s">
        <v>114</v>
      </c>
      <c r="V5894">
        <v>0</v>
      </c>
      <c r="W5894">
        <v>0</v>
      </c>
      <c r="X5894">
        <v>0</v>
      </c>
      <c r="AU5894">
        <f t="shared" si="182"/>
        <v>0</v>
      </c>
      <c r="AV5894">
        <f t="shared" si="183"/>
        <v>0</v>
      </c>
    </row>
    <row r="5895" spans="1:48" x14ac:dyDescent="0.25">
      <c r="A5895" t="s">
        <v>17846</v>
      </c>
      <c r="B5895" t="s">
        <v>17846</v>
      </c>
      <c r="C5895" t="s">
        <v>17847</v>
      </c>
      <c r="D5895" t="s">
        <v>12102</v>
      </c>
      <c r="E5895" t="s">
        <v>2310</v>
      </c>
      <c r="F5895">
        <v>7</v>
      </c>
      <c r="G5895">
        <v>7.1</v>
      </c>
      <c r="H5895" t="s">
        <v>2017</v>
      </c>
      <c r="I5895" s="21">
        <v>43559.556382604169</v>
      </c>
      <c r="J5895">
        <v>2019</v>
      </c>
      <c r="K5895" s="21">
        <v>43773.671530208332</v>
      </c>
      <c r="L5895">
        <v>2019</v>
      </c>
      <c r="M5895" s="21">
        <v>43759.405417361108</v>
      </c>
      <c r="N5895">
        <v>2019</v>
      </c>
      <c r="Q5895" s="262">
        <v>250000</v>
      </c>
      <c r="R5895" s="262">
        <v>59000</v>
      </c>
      <c r="S5895" t="s">
        <v>13253</v>
      </c>
      <c r="T5895">
        <v>1808</v>
      </c>
      <c r="V5895">
        <v>0</v>
      </c>
      <c r="W5895">
        <v>480</v>
      </c>
      <c r="X5895">
        <v>0</v>
      </c>
      <c r="AL5895">
        <v>480</v>
      </c>
      <c r="AU5895">
        <f t="shared" si="182"/>
        <v>0</v>
      </c>
      <c r="AV5895">
        <f t="shared" si="183"/>
        <v>480</v>
      </c>
    </row>
    <row r="5896" spans="1:48" x14ac:dyDescent="0.25">
      <c r="A5896" t="s">
        <v>20047</v>
      </c>
      <c r="B5896" t="s">
        <v>20047</v>
      </c>
      <c r="C5896" t="s">
        <v>20048</v>
      </c>
      <c r="D5896" t="s">
        <v>20049</v>
      </c>
      <c r="E5896" t="s">
        <v>2310</v>
      </c>
      <c r="F5896">
        <v>9</v>
      </c>
      <c r="G5896">
        <v>9.3000000000000007</v>
      </c>
      <c r="H5896" t="s">
        <v>2323</v>
      </c>
      <c r="I5896" s="21">
        <v>43559.6082270486</v>
      </c>
      <c r="J5896">
        <v>2019</v>
      </c>
      <c r="K5896" s="21">
        <v>43598.467977858803</v>
      </c>
      <c r="L5896">
        <v>2019</v>
      </c>
      <c r="M5896" s="21">
        <v>44267</v>
      </c>
      <c r="N5896">
        <v>2021</v>
      </c>
      <c r="Q5896" s="262">
        <v>1500000</v>
      </c>
      <c r="R5896" s="262">
        <v>616000</v>
      </c>
      <c r="S5896" t="s">
        <v>13253</v>
      </c>
      <c r="T5896">
        <v>4859</v>
      </c>
      <c r="U5896">
        <v>5</v>
      </c>
      <c r="V5896">
        <v>0</v>
      </c>
      <c r="W5896">
        <v>2796</v>
      </c>
      <c r="X5896">
        <v>0</v>
      </c>
      <c r="AC5896">
        <v>2796</v>
      </c>
      <c r="AU5896">
        <f t="shared" si="182"/>
        <v>0</v>
      </c>
      <c r="AV5896">
        <f t="shared" si="183"/>
        <v>0</v>
      </c>
    </row>
    <row r="5897" spans="1:48" x14ac:dyDescent="0.25">
      <c r="A5897" t="s">
        <v>19916</v>
      </c>
      <c r="C5897" t="s">
        <v>18956</v>
      </c>
      <c r="D5897" t="s">
        <v>19917</v>
      </c>
      <c r="E5897" t="s">
        <v>1663</v>
      </c>
      <c r="F5897">
        <v>6</v>
      </c>
      <c r="G5897">
        <v>6.1</v>
      </c>
      <c r="H5897" t="s">
        <v>2017</v>
      </c>
      <c r="I5897" s="21">
        <v>43564</v>
      </c>
      <c r="J5897">
        <v>2019</v>
      </c>
      <c r="K5897" s="21">
        <v>43636</v>
      </c>
      <c r="L5897">
        <v>2019</v>
      </c>
      <c r="M5897" s="21">
        <v>44511</v>
      </c>
      <c r="N5897">
        <v>2021</v>
      </c>
      <c r="Q5897" s="262">
        <v>685500</v>
      </c>
      <c r="S5897" t="s">
        <v>13254</v>
      </c>
      <c r="U5897">
        <v>5</v>
      </c>
      <c r="V5897">
        <v>0</v>
      </c>
      <c r="W5897">
        <v>2742</v>
      </c>
      <c r="X5897">
        <v>1</v>
      </c>
      <c r="AC5897">
        <v>2742</v>
      </c>
      <c r="AO5897">
        <v>1</v>
      </c>
      <c r="AU5897">
        <f t="shared" si="182"/>
        <v>1</v>
      </c>
      <c r="AV5897">
        <f t="shared" si="183"/>
        <v>0</v>
      </c>
    </row>
    <row r="5898" spans="1:48" x14ac:dyDescent="0.25">
      <c r="A5898" t="s">
        <v>14116</v>
      </c>
      <c r="B5898" t="s">
        <v>14116</v>
      </c>
      <c r="C5898" t="s">
        <v>14117</v>
      </c>
      <c r="D5898" t="s">
        <v>3133</v>
      </c>
      <c r="E5898" t="s">
        <v>2310</v>
      </c>
      <c r="F5898">
        <v>7</v>
      </c>
      <c r="G5898">
        <v>7.1</v>
      </c>
      <c r="H5898" t="s">
        <v>2017</v>
      </c>
      <c r="I5898" s="21">
        <v>43564.530839699102</v>
      </c>
      <c r="J5898">
        <v>2019</v>
      </c>
      <c r="K5898" s="21">
        <v>43733.6716179051</v>
      </c>
      <c r="L5898">
        <v>2019</v>
      </c>
      <c r="Q5898" s="262">
        <v>800000</v>
      </c>
      <c r="R5898" s="262">
        <v>514000</v>
      </c>
      <c r="S5898" t="s">
        <v>114</v>
      </c>
      <c r="T5898" t="s">
        <v>114</v>
      </c>
      <c r="V5898">
        <v>0</v>
      </c>
      <c r="W5898">
        <v>418</v>
      </c>
      <c r="X5898">
        <v>0</v>
      </c>
      <c r="AL5898">
        <v>418</v>
      </c>
      <c r="AU5898">
        <f t="shared" si="182"/>
        <v>0</v>
      </c>
      <c r="AV5898">
        <f t="shared" si="183"/>
        <v>418</v>
      </c>
    </row>
    <row r="5899" spans="1:48" x14ac:dyDescent="0.25">
      <c r="A5899" t="s">
        <v>19443</v>
      </c>
      <c r="B5899" t="s">
        <v>19443</v>
      </c>
      <c r="C5899" t="s">
        <v>19444</v>
      </c>
      <c r="D5899" t="s">
        <v>13465</v>
      </c>
      <c r="E5899" t="s">
        <v>2310</v>
      </c>
      <c r="F5899">
        <v>9</v>
      </c>
      <c r="G5899">
        <v>9.4</v>
      </c>
      <c r="H5899" t="s">
        <v>2323</v>
      </c>
      <c r="I5899" s="21">
        <v>43565.614938043982</v>
      </c>
      <c r="J5899">
        <v>2019</v>
      </c>
      <c r="K5899" s="21">
        <v>43616.408915011576</v>
      </c>
      <c r="L5899">
        <v>2019</v>
      </c>
      <c r="M5899" s="21">
        <v>44035.462393784721</v>
      </c>
      <c r="N5899">
        <v>2020</v>
      </c>
      <c r="Q5899" s="262">
        <v>700000</v>
      </c>
      <c r="R5899" s="262">
        <v>205000</v>
      </c>
      <c r="S5899" t="s">
        <v>13254</v>
      </c>
      <c r="V5899">
        <v>0</v>
      </c>
      <c r="W5899">
        <v>1944</v>
      </c>
      <c r="X5899">
        <v>1</v>
      </c>
      <c r="AC5899">
        <v>1944</v>
      </c>
      <c r="AO5899">
        <v>1</v>
      </c>
      <c r="AU5899">
        <f t="shared" si="182"/>
        <v>1</v>
      </c>
      <c r="AV5899">
        <f t="shared" si="183"/>
        <v>0</v>
      </c>
    </row>
    <row r="5900" spans="1:48" x14ac:dyDescent="0.25">
      <c r="A5900" t="s">
        <v>19441</v>
      </c>
      <c r="B5900" t="s">
        <v>19441</v>
      </c>
      <c r="C5900" t="s">
        <v>19442</v>
      </c>
      <c r="D5900" t="s">
        <v>13465</v>
      </c>
      <c r="E5900" t="s">
        <v>2310</v>
      </c>
      <c r="F5900">
        <v>9</v>
      </c>
      <c r="G5900">
        <v>9.4</v>
      </c>
      <c r="H5900" t="s">
        <v>2323</v>
      </c>
      <c r="I5900" s="21">
        <v>43565.694355555555</v>
      </c>
      <c r="J5900">
        <v>2019</v>
      </c>
      <c r="K5900" s="21">
        <v>43616.410322766205</v>
      </c>
      <c r="L5900">
        <v>2019</v>
      </c>
      <c r="M5900" s="21">
        <v>44035.43881994213</v>
      </c>
      <c r="N5900">
        <v>2020</v>
      </c>
      <c r="Q5900" s="262">
        <v>700000</v>
      </c>
      <c r="R5900" s="262">
        <v>69000</v>
      </c>
      <c r="S5900" t="s">
        <v>13254</v>
      </c>
      <c r="V5900">
        <v>0</v>
      </c>
      <c r="W5900">
        <v>800</v>
      </c>
      <c r="X5900">
        <v>1</v>
      </c>
      <c r="AF5900">
        <v>800</v>
      </c>
      <c r="AR5900">
        <v>1</v>
      </c>
      <c r="AU5900">
        <f t="shared" si="182"/>
        <v>0</v>
      </c>
      <c r="AV5900">
        <f t="shared" si="183"/>
        <v>0</v>
      </c>
    </row>
    <row r="5901" spans="1:48" x14ac:dyDescent="0.25">
      <c r="A5901" t="s">
        <v>14118</v>
      </c>
      <c r="C5901" t="s">
        <v>14119</v>
      </c>
      <c r="D5901" t="s">
        <v>14120</v>
      </c>
      <c r="E5901" t="s">
        <v>1663</v>
      </c>
      <c r="F5901">
        <v>2</v>
      </c>
      <c r="G5901">
        <v>2.2000000000000002</v>
      </c>
      <c r="H5901" t="s">
        <v>2327</v>
      </c>
      <c r="I5901" s="21">
        <v>43566</v>
      </c>
      <c r="J5901">
        <v>2019</v>
      </c>
      <c r="M5901" s="21">
        <v>44029</v>
      </c>
      <c r="N5901">
        <v>2020</v>
      </c>
      <c r="Q5901" s="262">
        <v>6000</v>
      </c>
      <c r="S5901" t="s">
        <v>114</v>
      </c>
      <c r="T5901" t="s">
        <v>114</v>
      </c>
      <c r="V5901">
        <v>0</v>
      </c>
      <c r="W5901">
        <v>0</v>
      </c>
      <c r="X5901">
        <v>0</v>
      </c>
      <c r="AU5901">
        <f t="shared" si="182"/>
        <v>0</v>
      </c>
      <c r="AV5901">
        <f t="shared" si="183"/>
        <v>0</v>
      </c>
    </row>
    <row r="5902" spans="1:48" x14ac:dyDescent="0.25">
      <c r="A5902" t="s">
        <v>19176</v>
      </c>
      <c r="B5902" t="s">
        <v>19176</v>
      </c>
      <c r="C5902" t="s">
        <v>19177</v>
      </c>
      <c r="D5902" t="s">
        <v>10672</v>
      </c>
      <c r="E5902" t="s">
        <v>2310</v>
      </c>
      <c r="F5902">
        <v>8</v>
      </c>
      <c r="G5902">
        <v>8.1999999999999993</v>
      </c>
      <c r="H5902" t="s">
        <v>2022</v>
      </c>
      <c r="I5902" s="21">
        <v>43566.47718642361</v>
      </c>
      <c r="J5902">
        <v>2019</v>
      </c>
      <c r="K5902" s="21">
        <v>43621.425670983794</v>
      </c>
      <c r="L5902">
        <v>2019</v>
      </c>
      <c r="M5902" s="21">
        <v>43816.429394756946</v>
      </c>
      <c r="N5902">
        <v>2019</v>
      </c>
      <c r="Q5902" s="262">
        <v>340000</v>
      </c>
      <c r="R5902" s="262">
        <v>149000</v>
      </c>
      <c r="S5902" t="s">
        <v>13254</v>
      </c>
      <c r="V5902">
        <v>0</v>
      </c>
      <c r="W5902">
        <v>1629</v>
      </c>
      <c r="X5902">
        <v>1</v>
      </c>
      <c r="AC5902">
        <v>631</v>
      </c>
      <c r="AF5902">
        <v>998</v>
      </c>
      <c r="AR5902">
        <v>1</v>
      </c>
      <c r="AU5902">
        <f t="shared" si="182"/>
        <v>0</v>
      </c>
      <c r="AV5902">
        <f t="shared" si="183"/>
        <v>0</v>
      </c>
    </row>
    <row r="5903" spans="1:48" x14ac:dyDescent="0.25">
      <c r="A5903" t="s">
        <v>18783</v>
      </c>
      <c r="B5903" t="s">
        <v>114</v>
      </c>
      <c r="C5903" t="s">
        <v>11488</v>
      </c>
      <c r="D5903" t="s">
        <v>14677</v>
      </c>
      <c r="E5903" t="s">
        <v>1663</v>
      </c>
      <c r="F5903">
        <v>6</v>
      </c>
      <c r="G5903">
        <v>6.2</v>
      </c>
      <c r="H5903" t="s">
        <v>2017</v>
      </c>
      <c r="I5903" s="21">
        <v>43567</v>
      </c>
      <c r="J5903">
        <v>2019</v>
      </c>
      <c r="K5903" s="21">
        <v>43664</v>
      </c>
      <c r="L5903">
        <v>2019</v>
      </c>
      <c r="M5903" s="21">
        <v>44105</v>
      </c>
      <c r="N5903">
        <v>2020</v>
      </c>
      <c r="Q5903" s="262">
        <v>335000</v>
      </c>
      <c r="S5903" t="s">
        <v>13253</v>
      </c>
      <c r="T5903">
        <v>9245</v>
      </c>
      <c r="V5903">
        <v>0</v>
      </c>
      <c r="W5903">
        <v>1940</v>
      </c>
      <c r="X5903">
        <v>0</v>
      </c>
      <c r="AC5903">
        <v>1940</v>
      </c>
      <c r="AU5903">
        <f t="shared" si="182"/>
        <v>0</v>
      </c>
      <c r="AV5903">
        <f t="shared" si="183"/>
        <v>0</v>
      </c>
    </row>
    <row r="5904" spans="1:48" x14ac:dyDescent="0.25">
      <c r="A5904" t="s">
        <v>19979</v>
      </c>
      <c r="C5904" t="s">
        <v>19980</v>
      </c>
      <c r="D5904" t="s">
        <v>19981</v>
      </c>
      <c r="E5904" t="s">
        <v>1663</v>
      </c>
      <c r="F5904">
        <v>6</v>
      </c>
      <c r="G5904">
        <v>6.2</v>
      </c>
      <c r="H5904" t="s">
        <v>2017</v>
      </c>
      <c r="I5904" s="21">
        <v>43567</v>
      </c>
      <c r="J5904">
        <v>2019</v>
      </c>
      <c r="K5904" s="21">
        <v>43587</v>
      </c>
      <c r="L5904">
        <v>2019</v>
      </c>
      <c r="M5904" s="21">
        <v>44379</v>
      </c>
      <c r="N5904">
        <v>2021</v>
      </c>
      <c r="Q5904" s="262">
        <v>820000</v>
      </c>
      <c r="S5904" t="s">
        <v>13253</v>
      </c>
      <c r="T5904">
        <v>9206</v>
      </c>
      <c r="U5904">
        <v>5</v>
      </c>
      <c r="V5904">
        <v>0</v>
      </c>
      <c r="W5904">
        <v>87</v>
      </c>
      <c r="X5904">
        <v>0</v>
      </c>
      <c r="AC5904">
        <v>87</v>
      </c>
      <c r="AU5904">
        <f t="shared" si="182"/>
        <v>0</v>
      </c>
      <c r="AV5904">
        <f t="shared" si="183"/>
        <v>0</v>
      </c>
    </row>
    <row r="5905" spans="1:48" x14ac:dyDescent="0.25">
      <c r="A5905" t="s">
        <v>19257</v>
      </c>
      <c r="B5905" t="s">
        <v>19257</v>
      </c>
      <c r="C5905" t="s">
        <v>19258</v>
      </c>
      <c r="D5905" t="s">
        <v>13898</v>
      </c>
      <c r="E5905" t="s">
        <v>2310</v>
      </c>
      <c r="F5905">
        <v>8</v>
      </c>
      <c r="G5905">
        <v>8.4</v>
      </c>
      <c r="H5905" t="s">
        <v>2017</v>
      </c>
      <c r="I5905" s="21">
        <v>43567.431469479168</v>
      </c>
      <c r="J5905">
        <v>2019</v>
      </c>
      <c r="K5905" s="21">
        <v>43665.48406033565</v>
      </c>
      <c r="L5905">
        <v>2019</v>
      </c>
      <c r="M5905" s="21">
        <v>43881.590763888889</v>
      </c>
      <c r="N5905">
        <v>2020</v>
      </c>
      <c r="Q5905" s="262">
        <v>80000</v>
      </c>
      <c r="R5905" s="262">
        <v>9000</v>
      </c>
      <c r="S5905" t="s">
        <v>13254</v>
      </c>
      <c r="V5905">
        <v>0</v>
      </c>
      <c r="W5905">
        <v>184</v>
      </c>
      <c r="X5905">
        <v>0</v>
      </c>
      <c r="AL5905">
        <v>184</v>
      </c>
      <c r="AU5905">
        <f t="shared" si="182"/>
        <v>0</v>
      </c>
      <c r="AV5905">
        <f t="shared" si="183"/>
        <v>184</v>
      </c>
    </row>
    <row r="5906" spans="1:48" x14ac:dyDescent="0.25">
      <c r="A5906" t="s">
        <v>20132</v>
      </c>
      <c r="B5906" t="s">
        <v>20132</v>
      </c>
      <c r="C5906" t="s">
        <v>20133</v>
      </c>
      <c r="D5906" t="s">
        <v>5037</v>
      </c>
      <c r="E5906" t="s">
        <v>2310</v>
      </c>
      <c r="F5906">
        <v>9</v>
      </c>
      <c r="G5906">
        <v>9.1999999999999993</v>
      </c>
      <c r="H5906" t="s">
        <v>2022</v>
      </c>
      <c r="I5906" s="21">
        <v>43567.539687881901</v>
      </c>
      <c r="J5906">
        <v>2019</v>
      </c>
      <c r="K5906" s="21">
        <v>43665.3390071412</v>
      </c>
      <c r="L5906">
        <v>2019</v>
      </c>
      <c r="M5906" s="21">
        <v>44438</v>
      </c>
      <c r="N5906">
        <v>2021</v>
      </c>
      <c r="Q5906" s="262">
        <v>500000</v>
      </c>
      <c r="R5906" s="262">
        <v>149000</v>
      </c>
      <c r="S5906" t="s">
        <v>13254</v>
      </c>
      <c r="U5906">
        <v>17</v>
      </c>
      <c r="V5906">
        <v>0</v>
      </c>
      <c r="W5906">
        <v>1625</v>
      </c>
      <c r="X5906">
        <v>1</v>
      </c>
      <c r="AC5906">
        <v>625</v>
      </c>
      <c r="AF5906">
        <v>1000</v>
      </c>
      <c r="AR5906">
        <v>1</v>
      </c>
      <c r="AU5906">
        <f t="shared" si="182"/>
        <v>0</v>
      </c>
      <c r="AV5906">
        <f t="shared" si="183"/>
        <v>0</v>
      </c>
    </row>
    <row r="5907" spans="1:48" x14ac:dyDescent="0.25">
      <c r="A5907" t="s">
        <v>14123</v>
      </c>
      <c r="C5907" t="s">
        <v>14124</v>
      </c>
      <c r="D5907" t="s">
        <v>14125</v>
      </c>
      <c r="E5907" t="s">
        <v>1663</v>
      </c>
      <c r="F5907">
        <v>3</v>
      </c>
      <c r="G5907">
        <v>3.1</v>
      </c>
      <c r="H5907" t="s">
        <v>2017</v>
      </c>
      <c r="I5907" s="21">
        <v>43570</v>
      </c>
      <c r="J5907">
        <v>2019</v>
      </c>
      <c r="K5907" s="21">
        <v>43586</v>
      </c>
      <c r="L5907">
        <v>2019</v>
      </c>
      <c r="M5907" s="21">
        <v>43896</v>
      </c>
      <c r="N5907">
        <v>2020</v>
      </c>
      <c r="Q5907" s="262">
        <v>35000</v>
      </c>
      <c r="S5907" t="s">
        <v>114</v>
      </c>
      <c r="T5907" t="s">
        <v>114</v>
      </c>
      <c r="V5907">
        <v>0</v>
      </c>
      <c r="W5907">
        <v>0</v>
      </c>
      <c r="X5907">
        <v>0</v>
      </c>
      <c r="AU5907">
        <f t="shared" si="182"/>
        <v>0</v>
      </c>
      <c r="AV5907">
        <f t="shared" si="183"/>
        <v>0</v>
      </c>
    </row>
    <row r="5908" spans="1:48" x14ac:dyDescent="0.25">
      <c r="A5908" t="s">
        <v>14121</v>
      </c>
      <c r="C5908" t="s">
        <v>14122</v>
      </c>
      <c r="D5908" t="s">
        <v>2081</v>
      </c>
      <c r="E5908" t="s">
        <v>1663</v>
      </c>
      <c r="F5908">
        <v>2</v>
      </c>
      <c r="G5908">
        <v>2.2999999999999998</v>
      </c>
      <c r="H5908" t="s">
        <v>2327</v>
      </c>
      <c r="I5908" s="21">
        <v>43570</v>
      </c>
      <c r="J5908">
        <v>2019</v>
      </c>
      <c r="K5908" s="21">
        <v>43637</v>
      </c>
      <c r="L5908">
        <v>2019</v>
      </c>
      <c r="M5908" s="21">
        <v>43882</v>
      </c>
      <c r="N5908">
        <v>2020</v>
      </c>
      <c r="Q5908" s="262">
        <v>577588</v>
      </c>
      <c r="S5908" t="s">
        <v>114</v>
      </c>
      <c r="T5908" t="s">
        <v>114</v>
      </c>
      <c r="V5908">
        <v>0</v>
      </c>
      <c r="W5908">
        <v>0</v>
      </c>
      <c r="X5908">
        <v>0</v>
      </c>
      <c r="AJ5908">
        <v>965</v>
      </c>
      <c r="AK5908">
        <v>-965</v>
      </c>
      <c r="AU5908">
        <f t="shared" si="182"/>
        <v>0</v>
      </c>
      <c r="AV5908">
        <f t="shared" si="183"/>
        <v>0</v>
      </c>
    </row>
    <row r="5909" spans="1:48" x14ac:dyDescent="0.25">
      <c r="A5909" t="s">
        <v>14126</v>
      </c>
      <c r="C5909" t="s">
        <v>14127</v>
      </c>
      <c r="D5909" t="s">
        <v>13863</v>
      </c>
      <c r="E5909" t="s">
        <v>1663</v>
      </c>
      <c r="F5909">
        <v>4</v>
      </c>
      <c r="G5909">
        <v>4.0999999999999996</v>
      </c>
      <c r="H5909" t="s">
        <v>2327</v>
      </c>
      <c r="I5909" s="21">
        <v>43571</v>
      </c>
      <c r="J5909">
        <v>2019</v>
      </c>
      <c r="K5909" s="21">
        <v>43609</v>
      </c>
      <c r="L5909">
        <v>2019</v>
      </c>
      <c r="P5909" s="21">
        <v>44384</v>
      </c>
      <c r="Q5909" s="262">
        <v>1500000</v>
      </c>
      <c r="S5909" t="s">
        <v>114</v>
      </c>
      <c r="T5909" t="s">
        <v>114</v>
      </c>
      <c r="V5909">
        <v>0</v>
      </c>
      <c r="W5909">
        <v>0</v>
      </c>
      <c r="X5909">
        <v>0</v>
      </c>
      <c r="AU5909">
        <f t="shared" si="182"/>
        <v>0</v>
      </c>
      <c r="AV5909">
        <f t="shared" si="183"/>
        <v>0</v>
      </c>
    </row>
    <row r="5910" spans="1:48" x14ac:dyDescent="0.25">
      <c r="A5910" t="s">
        <v>19793</v>
      </c>
      <c r="B5910" t="s">
        <v>19793</v>
      </c>
      <c r="C5910" t="s">
        <v>19794</v>
      </c>
      <c r="D5910" t="s">
        <v>19795</v>
      </c>
      <c r="E5910" t="s">
        <v>2310</v>
      </c>
      <c r="F5910">
        <v>9</v>
      </c>
      <c r="G5910">
        <v>9.3000000000000007</v>
      </c>
      <c r="H5910" t="s">
        <v>2323</v>
      </c>
      <c r="I5910" s="21">
        <v>43571.438456018499</v>
      </c>
      <c r="J5910">
        <v>2019</v>
      </c>
      <c r="K5910" s="21">
        <v>43615.395373530097</v>
      </c>
      <c r="L5910">
        <v>2019</v>
      </c>
      <c r="M5910" s="21">
        <v>44218</v>
      </c>
      <c r="N5910">
        <v>2021</v>
      </c>
      <c r="Q5910" s="262">
        <v>2050000</v>
      </c>
      <c r="R5910" s="262">
        <v>788000</v>
      </c>
      <c r="S5910" t="s">
        <v>13254</v>
      </c>
      <c r="U5910">
        <v>5</v>
      </c>
      <c r="V5910">
        <v>0</v>
      </c>
      <c r="W5910">
        <v>7020</v>
      </c>
      <c r="X5910">
        <v>1</v>
      </c>
      <c r="AC5910">
        <v>7020</v>
      </c>
      <c r="AO5910">
        <v>1</v>
      </c>
      <c r="AU5910">
        <f t="shared" si="182"/>
        <v>1</v>
      </c>
      <c r="AV5910">
        <f t="shared" si="183"/>
        <v>0</v>
      </c>
    </row>
    <row r="5911" spans="1:48" x14ac:dyDescent="0.25">
      <c r="A5911" t="s">
        <v>14128</v>
      </c>
      <c r="B5911" t="s">
        <v>14128</v>
      </c>
      <c r="C5911" t="s">
        <v>14129</v>
      </c>
      <c r="D5911" t="s">
        <v>14130</v>
      </c>
      <c r="E5911" t="s">
        <v>2310</v>
      </c>
      <c r="F5911">
        <v>13</v>
      </c>
      <c r="G5911">
        <v>13.1</v>
      </c>
      <c r="H5911" t="s">
        <v>2327</v>
      </c>
      <c r="I5911" s="21">
        <v>43571.474920601897</v>
      </c>
      <c r="J5911">
        <v>2019</v>
      </c>
      <c r="K5911" s="21">
        <v>43606.618049803197</v>
      </c>
      <c r="L5911">
        <v>2019</v>
      </c>
      <c r="M5911" s="21">
        <v>43796.432568286997</v>
      </c>
      <c r="N5911">
        <v>2019</v>
      </c>
      <c r="Q5911" s="262">
        <v>4000</v>
      </c>
      <c r="R5911" s="262">
        <v>10000</v>
      </c>
      <c r="S5911" t="s">
        <v>114</v>
      </c>
      <c r="T5911" t="s">
        <v>114</v>
      </c>
      <c r="V5911">
        <v>0</v>
      </c>
      <c r="W5911">
        <v>0</v>
      </c>
      <c r="X5911">
        <v>0</v>
      </c>
      <c r="AU5911">
        <f t="shared" si="182"/>
        <v>0</v>
      </c>
      <c r="AV5911">
        <f t="shared" si="183"/>
        <v>0</v>
      </c>
    </row>
    <row r="5912" spans="1:48" x14ac:dyDescent="0.25">
      <c r="A5912" t="s">
        <v>19587</v>
      </c>
      <c r="B5912" t="s">
        <v>19587</v>
      </c>
      <c r="C5912" t="s">
        <v>19588</v>
      </c>
      <c r="D5912" t="s">
        <v>19589</v>
      </c>
      <c r="E5912" t="s">
        <v>2310</v>
      </c>
      <c r="F5912">
        <v>9</v>
      </c>
      <c r="G5912">
        <v>9.1</v>
      </c>
      <c r="H5912" t="s">
        <v>2323</v>
      </c>
      <c r="I5912" s="21">
        <v>43571.517555752318</v>
      </c>
      <c r="J5912">
        <v>2019</v>
      </c>
      <c r="K5912" s="21">
        <v>43607.373906018518</v>
      </c>
      <c r="L5912">
        <v>2019</v>
      </c>
      <c r="M5912" s="21">
        <v>44145.375709340275</v>
      </c>
      <c r="N5912">
        <v>2020</v>
      </c>
      <c r="Q5912" s="262">
        <v>2300000</v>
      </c>
      <c r="R5912" s="262">
        <v>572000</v>
      </c>
      <c r="S5912" t="s">
        <v>13254</v>
      </c>
      <c r="V5912">
        <v>0</v>
      </c>
      <c r="W5912">
        <v>4888</v>
      </c>
      <c r="X5912">
        <v>1</v>
      </c>
      <c r="AC5912">
        <v>4888</v>
      </c>
      <c r="AO5912">
        <v>1</v>
      </c>
      <c r="AU5912">
        <f t="shared" si="182"/>
        <v>1</v>
      </c>
      <c r="AV5912">
        <f t="shared" si="183"/>
        <v>0</v>
      </c>
    </row>
    <row r="5913" spans="1:48" x14ac:dyDescent="0.25">
      <c r="A5913" t="s">
        <v>14131</v>
      </c>
      <c r="B5913" t="s">
        <v>14131</v>
      </c>
      <c r="C5913" t="s">
        <v>14132</v>
      </c>
      <c r="D5913" t="s">
        <v>14133</v>
      </c>
      <c r="E5913" t="s">
        <v>2310</v>
      </c>
      <c r="F5913">
        <v>9</v>
      </c>
      <c r="G5913">
        <v>9.1999999999999993</v>
      </c>
      <c r="H5913" t="s">
        <v>2022</v>
      </c>
      <c r="I5913" s="21">
        <v>43573.476823842597</v>
      </c>
      <c r="J5913">
        <v>2019</v>
      </c>
      <c r="K5913" s="21">
        <v>43602.581024652798</v>
      </c>
      <c r="L5913">
        <v>2019</v>
      </c>
      <c r="O5913" s="21">
        <v>44104.629383333297</v>
      </c>
      <c r="Q5913" s="262">
        <v>850000</v>
      </c>
      <c r="R5913" s="262">
        <v>229000</v>
      </c>
      <c r="S5913" t="s">
        <v>114</v>
      </c>
      <c r="T5913" t="s">
        <v>114</v>
      </c>
      <c r="V5913">
        <v>0</v>
      </c>
      <c r="W5913">
        <v>2085</v>
      </c>
      <c r="X5913">
        <v>1</v>
      </c>
      <c r="AC5913">
        <v>2085</v>
      </c>
      <c r="AO5913">
        <v>1</v>
      </c>
      <c r="AU5913">
        <f t="shared" ref="AU5913:AU5976" si="184">SUM(AN5913:AQ5913,AS5913)</f>
        <v>1</v>
      </c>
      <c r="AV5913">
        <f t="shared" ref="AV5913:AV5976" si="185">SUM(Y5913:AB5913,AH5913:AM5913)</f>
        <v>0</v>
      </c>
    </row>
    <row r="5914" spans="1:48" x14ac:dyDescent="0.25">
      <c r="A5914" t="s">
        <v>19651</v>
      </c>
      <c r="B5914" t="s">
        <v>19651</v>
      </c>
      <c r="C5914" t="s">
        <v>19652</v>
      </c>
      <c r="D5914" t="s">
        <v>19653</v>
      </c>
      <c r="E5914" t="s">
        <v>2310</v>
      </c>
      <c r="F5914">
        <v>8</v>
      </c>
      <c r="G5914">
        <v>8.3000000000000007</v>
      </c>
      <c r="H5914" t="s">
        <v>2323</v>
      </c>
      <c r="I5914" s="21">
        <v>43573.633518171293</v>
      </c>
      <c r="J5914">
        <v>2019</v>
      </c>
      <c r="K5914" s="21">
        <v>43626.478580057868</v>
      </c>
      <c r="L5914">
        <v>2019</v>
      </c>
      <c r="M5914" s="21">
        <v>44188.43677615741</v>
      </c>
      <c r="N5914">
        <v>2020</v>
      </c>
      <c r="Q5914" s="262">
        <v>1344000</v>
      </c>
      <c r="R5914" s="262">
        <v>462000</v>
      </c>
      <c r="S5914" t="s">
        <v>13254</v>
      </c>
      <c r="V5914">
        <v>0</v>
      </c>
      <c r="W5914">
        <v>3959</v>
      </c>
      <c r="X5914">
        <v>1</v>
      </c>
      <c r="AC5914">
        <v>3959</v>
      </c>
      <c r="AO5914">
        <v>1</v>
      </c>
      <c r="AU5914">
        <f t="shared" si="184"/>
        <v>1</v>
      </c>
      <c r="AV5914">
        <f t="shared" si="185"/>
        <v>0</v>
      </c>
    </row>
    <row r="5915" spans="1:48" x14ac:dyDescent="0.25">
      <c r="A5915" t="s">
        <v>14134</v>
      </c>
      <c r="B5915" t="s">
        <v>14134</v>
      </c>
      <c r="C5915" t="s">
        <v>14135</v>
      </c>
      <c r="D5915" t="s">
        <v>14136</v>
      </c>
      <c r="E5915" t="s">
        <v>2310</v>
      </c>
      <c r="F5915">
        <v>8</v>
      </c>
      <c r="G5915">
        <v>8.3000000000000007</v>
      </c>
      <c r="H5915" t="s">
        <v>2323</v>
      </c>
      <c r="I5915" s="21">
        <v>43573.671276701403</v>
      </c>
      <c r="J5915">
        <v>2019</v>
      </c>
      <c r="K5915" s="21">
        <v>43626.478774652802</v>
      </c>
      <c r="L5915">
        <v>2019</v>
      </c>
      <c r="Q5915" s="262">
        <v>1344000</v>
      </c>
      <c r="R5915" s="262">
        <v>582000</v>
      </c>
      <c r="S5915" t="s">
        <v>114</v>
      </c>
      <c r="T5915" t="s">
        <v>114</v>
      </c>
      <c r="V5915">
        <v>0</v>
      </c>
      <c r="W5915">
        <v>4643</v>
      </c>
      <c r="X5915">
        <v>1</v>
      </c>
      <c r="AC5915">
        <v>4643</v>
      </c>
      <c r="AO5915">
        <v>1</v>
      </c>
      <c r="AU5915">
        <f t="shared" si="184"/>
        <v>1</v>
      </c>
      <c r="AV5915">
        <f t="shared" si="185"/>
        <v>0</v>
      </c>
    </row>
    <row r="5916" spans="1:48" x14ac:dyDescent="0.25">
      <c r="A5916" t="s">
        <v>19776</v>
      </c>
      <c r="B5916" t="s">
        <v>19776</v>
      </c>
      <c r="C5916" t="s">
        <v>19777</v>
      </c>
      <c r="D5916" t="s">
        <v>19778</v>
      </c>
      <c r="E5916" t="s">
        <v>2310</v>
      </c>
      <c r="F5916">
        <v>10</v>
      </c>
      <c r="G5916">
        <v>10.1</v>
      </c>
      <c r="H5916" t="s">
        <v>2323</v>
      </c>
      <c r="I5916" s="21">
        <v>43574.337343981497</v>
      </c>
      <c r="J5916">
        <v>2019</v>
      </c>
      <c r="K5916" s="21">
        <v>43602.693830011602</v>
      </c>
      <c r="L5916">
        <v>2019</v>
      </c>
      <c r="M5916" s="21">
        <v>44333</v>
      </c>
      <c r="N5916">
        <v>2021</v>
      </c>
      <c r="Q5916" s="262">
        <v>480000</v>
      </c>
      <c r="R5916" s="262">
        <v>376000</v>
      </c>
      <c r="S5916" t="s">
        <v>13253</v>
      </c>
      <c r="T5916">
        <v>2101</v>
      </c>
      <c r="U5916">
        <v>17</v>
      </c>
      <c r="V5916">
        <v>0</v>
      </c>
      <c r="W5916">
        <v>1769</v>
      </c>
      <c r="X5916">
        <v>1</v>
      </c>
      <c r="AC5916">
        <v>807</v>
      </c>
      <c r="AF5916">
        <v>962</v>
      </c>
      <c r="AR5916">
        <v>1</v>
      </c>
      <c r="AU5916">
        <f t="shared" si="184"/>
        <v>0</v>
      </c>
      <c r="AV5916">
        <f t="shared" si="185"/>
        <v>0</v>
      </c>
    </row>
    <row r="5917" spans="1:48" x14ac:dyDescent="0.25">
      <c r="A5917" t="s">
        <v>15361</v>
      </c>
      <c r="B5917" t="s">
        <v>15361</v>
      </c>
      <c r="C5917" t="s">
        <v>15362</v>
      </c>
      <c r="D5917" t="s">
        <v>4059</v>
      </c>
      <c r="E5917" t="s">
        <v>2310</v>
      </c>
      <c r="F5917">
        <v>9</v>
      </c>
      <c r="G5917">
        <v>9.4</v>
      </c>
      <c r="H5917" t="s">
        <v>2323</v>
      </c>
      <c r="I5917" s="21">
        <v>43574.492321608799</v>
      </c>
      <c r="J5917">
        <v>2019</v>
      </c>
      <c r="K5917" s="21">
        <v>43641.410921261602</v>
      </c>
      <c r="L5917">
        <v>2019</v>
      </c>
      <c r="M5917" s="21">
        <v>44645</v>
      </c>
      <c r="N5917">
        <v>2022</v>
      </c>
      <c r="Q5917" s="262">
        <v>4000000</v>
      </c>
      <c r="R5917" s="262">
        <v>687000</v>
      </c>
      <c r="S5917" t="s">
        <v>13254</v>
      </c>
      <c r="T5917">
        <v>0</v>
      </c>
      <c r="V5917">
        <v>0</v>
      </c>
      <c r="W5917">
        <v>5692</v>
      </c>
      <c r="X5917">
        <v>1</v>
      </c>
      <c r="AC5917">
        <v>5692</v>
      </c>
      <c r="AO5917">
        <v>1</v>
      </c>
      <c r="AU5917">
        <f t="shared" si="184"/>
        <v>1</v>
      </c>
      <c r="AV5917">
        <f t="shared" si="185"/>
        <v>0</v>
      </c>
    </row>
    <row r="5918" spans="1:48" x14ac:dyDescent="0.25">
      <c r="A5918" t="s">
        <v>15366</v>
      </c>
      <c r="B5918" t="s">
        <v>15366</v>
      </c>
      <c r="C5918" t="s">
        <v>15367</v>
      </c>
      <c r="D5918" t="s">
        <v>3967</v>
      </c>
      <c r="E5918" t="s">
        <v>2310</v>
      </c>
      <c r="F5918">
        <v>8</v>
      </c>
      <c r="G5918">
        <v>8.1999999999999993</v>
      </c>
      <c r="H5918" t="s">
        <v>2022</v>
      </c>
      <c r="I5918" s="21">
        <v>43578.4983128819</v>
      </c>
      <c r="J5918">
        <v>2019</v>
      </c>
      <c r="K5918" s="21">
        <v>43789.609523067098</v>
      </c>
      <c r="L5918">
        <v>2019</v>
      </c>
      <c r="M5918" s="21">
        <v>44796.407055208336</v>
      </c>
      <c r="N5918">
        <v>2022</v>
      </c>
      <c r="Q5918" s="262">
        <v>5132803</v>
      </c>
      <c r="R5918" s="262">
        <v>531000</v>
      </c>
      <c r="S5918" t="s">
        <v>13254</v>
      </c>
      <c r="T5918">
        <v>0</v>
      </c>
      <c r="V5918">
        <v>0</v>
      </c>
      <c r="W5918">
        <v>4124</v>
      </c>
      <c r="X5918">
        <v>1</v>
      </c>
      <c r="AC5918">
        <v>4124</v>
      </c>
      <c r="AO5918">
        <v>1</v>
      </c>
      <c r="AU5918">
        <f t="shared" si="184"/>
        <v>1</v>
      </c>
      <c r="AV5918">
        <f t="shared" si="185"/>
        <v>0</v>
      </c>
    </row>
    <row r="5919" spans="1:48" x14ac:dyDescent="0.25">
      <c r="A5919" t="s">
        <v>19310</v>
      </c>
      <c r="B5919" t="s">
        <v>19310</v>
      </c>
      <c r="C5919" t="s">
        <v>19311</v>
      </c>
      <c r="D5919" t="s">
        <v>19312</v>
      </c>
      <c r="E5919" t="s">
        <v>2310</v>
      </c>
      <c r="F5919">
        <v>8</v>
      </c>
      <c r="G5919">
        <v>8.1</v>
      </c>
      <c r="H5919" t="s">
        <v>2323</v>
      </c>
      <c r="I5919" s="21">
        <v>43578.550902662035</v>
      </c>
      <c r="J5919">
        <v>2019</v>
      </c>
      <c r="K5919" s="21">
        <v>43623.563580636575</v>
      </c>
      <c r="L5919">
        <v>2019</v>
      </c>
      <c r="M5919" s="21">
        <v>43950.593758182869</v>
      </c>
      <c r="N5919">
        <v>2020</v>
      </c>
      <c r="Q5919" s="262">
        <v>75000</v>
      </c>
      <c r="R5919" s="262">
        <v>31000</v>
      </c>
      <c r="S5919" t="s">
        <v>13254</v>
      </c>
      <c r="V5919">
        <v>0</v>
      </c>
      <c r="W5919">
        <v>648</v>
      </c>
      <c r="X5919">
        <v>0</v>
      </c>
      <c r="AC5919">
        <v>648</v>
      </c>
      <c r="AU5919">
        <f t="shared" si="184"/>
        <v>0</v>
      </c>
      <c r="AV5919">
        <f t="shared" si="185"/>
        <v>0</v>
      </c>
    </row>
    <row r="5920" spans="1:48" x14ac:dyDescent="0.25">
      <c r="A5920" t="s">
        <v>19302</v>
      </c>
      <c r="B5920" t="s">
        <v>19302</v>
      </c>
      <c r="C5920" t="s">
        <v>19303</v>
      </c>
      <c r="D5920" t="s">
        <v>19304</v>
      </c>
      <c r="E5920" t="s">
        <v>2310</v>
      </c>
      <c r="F5920">
        <v>9</v>
      </c>
      <c r="G5920">
        <v>9.3000000000000007</v>
      </c>
      <c r="H5920" t="s">
        <v>2323</v>
      </c>
      <c r="I5920" s="21">
        <v>43579.343498298615</v>
      </c>
      <c r="J5920">
        <v>2019</v>
      </c>
      <c r="K5920" s="21">
        <v>43605.373952974536</v>
      </c>
      <c r="L5920">
        <v>2019</v>
      </c>
      <c r="M5920" s="21">
        <v>43924.5583133912</v>
      </c>
      <c r="N5920">
        <v>2020</v>
      </c>
      <c r="Q5920" s="262">
        <v>400000</v>
      </c>
      <c r="R5920" s="262">
        <v>156000</v>
      </c>
      <c r="S5920" t="s">
        <v>13254</v>
      </c>
      <c r="V5920">
        <v>0</v>
      </c>
      <c r="W5920">
        <v>1780</v>
      </c>
      <c r="X5920">
        <v>1</v>
      </c>
      <c r="AC5920">
        <v>780</v>
      </c>
      <c r="AF5920">
        <v>1000</v>
      </c>
      <c r="AR5920">
        <v>1</v>
      </c>
      <c r="AU5920">
        <f t="shared" si="184"/>
        <v>0</v>
      </c>
      <c r="AV5920">
        <f t="shared" si="185"/>
        <v>0</v>
      </c>
    </row>
    <row r="5921" spans="1:48" x14ac:dyDescent="0.25">
      <c r="A5921" t="s">
        <v>18030</v>
      </c>
      <c r="B5921" t="s">
        <v>18030</v>
      </c>
      <c r="C5921" t="s">
        <v>18031</v>
      </c>
      <c r="D5921" t="s">
        <v>18032</v>
      </c>
      <c r="E5921" t="s">
        <v>2310</v>
      </c>
      <c r="F5921">
        <v>9</v>
      </c>
      <c r="G5921">
        <v>9.4</v>
      </c>
      <c r="H5921" t="s">
        <v>2323</v>
      </c>
      <c r="I5921" s="21">
        <v>43579.610222650466</v>
      </c>
      <c r="J5921">
        <v>2019</v>
      </c>
      <c r="K5921" s="21">
        <v>43627.638369178239</v>
      </c>
      <c r="L5921">
        <v>2019</v>
      </c>
      <c r="M5921" s="21">
        <v>44175.654571840278</v>
      </c>
      <c r="N5921">
        <v>2020</v>
      </c>
      <c r="Q5921" s="262">
        <v>850000</v>
      </c>
      <c r="R5921" s="262">
        <v>201000</v>
      </c>
      <c r="S5921" t="s">
        <v>13253</v>
      </c>
      <c r="T5921">
        <v>2913</v>
      </c>
      <c r="V5921">
        <v>0</v>
      </c>
      <c r="W5921">
        <v>948</v>
      </c>
      <c r="X5921">
        <v>0</v>
      </c>
      <c r="AC5921">
        <v>948</v>
      </c>
      <c r="AU5921">
        <f t="shared" si="184"/>
        <v>0</v>
      </c>
      <c r="AV5921">
        <f t="shared" si="185"/>
        <v>0</v>
      </c>
    </row>
    <row r="5922" spans="1:48" x14ac:dyDescent="0.25">
      <c r="A5922" t="s">
        <v>19396</v>
      </c>
      <c r="B5922" t="s">
        <v>19396</v>
      </c>
      <c r="C5922" t="s">
        <v>19397</v>
      </c>
      <c r="D5922" t="s">
        <v>3650</v>
      </c>
      <c r="E5922" t="s">
        <v>2310</v>
      </c>
      <c r="F5922">
        <v>9</v>
      </c>
      <c r="G5922">
        <v>9.3000000000000007</v>
      </c>
      <c r="H5922" t="s">
        <v>2323</v>
      </c>
      <c r="I5922" s="21">
        <v>43579.62512109954</v>
      </c>
      <c r="J5922">
        <v>2019</v>
      </c>
      <c r="K5922" s="21">
        <v>43640.612736076386</v>
      </c>
      <c r="L5922">
        <v>2019</v>
      </c>
      <c r="M5922" s="21">
        <v>44007.702740972221</v>
      </c>
      <c r="N5922">
        <v>2020</v>
      </c>
      <c r="Q5922" s="262">
        <v>700000</v>
      </c>
      <c r="R5922" s="262">
        <v>301000</v>
      </c>
      <c r="S5922" t="s">
        <v>13254</v>
      </c>
      <c r="V5922">
        <v>0</v>
      </c>
      <c r="W5922">
        <v>4204</v>
      </c>
      <c r="X5922">
        <v>1</v>
      </c>
      <c r="AC5922">
        <v>3351</v>
      </c>
      <c r="AF5922">
        <v>853</v>
      </c>
      <c r="AR5922">
        <v>1</v>
      </c>
      <c r="AU5922">
        <f t="shared" si="184"/>
        <v>0</v>
      </c>
      <c r="AV5922">
        <f t="shared" si="185"/>
        <v>0</v>
      </c>
    </row>
    <row r="5923" spans="1:48" x14ac:dyDescent="0.25">
      <c r="A5923" t="s">
        <v>19616</v>
      </c>
      <c r="B5923" t="s">
        <v>19616</v>
      </c>
      <c r="C5923" t="s">
        <v>19617</v>
      </c>
      <c r="D5923" t="s">
        <v>19618</v>
      </c>
      <c r="E5923" t="s">
        <v>2310</v>
      </c>
      <c r="F5923">
        <v>13</v>
      </c>
      <c r="G5923">
        <v>13.3</v>
      </c>
      <c r="H5923" t="s">
        <v>2017</v>
      </c>
      <c r="I5923" s="21">
        <v>43580.481156331021</v>
      </c>
      <c r="J5923">
        <v>2019</v>
      </c>
      <c r="K5923" s="21">
        <v>43641.499292858796</v>
      </c>
      <c r="L5923">
        <v>2019</v>
      </c>
      <c r="M5923" s="21">
        <v>44173.446147222225</v>
      </c>
      <c r="N5923">
        <v>2020</v>
      </c>
      <c r="Q5923" s="262">
        <v>2500000</v>
      </c>
      <c r="R5923" s="262">
        <v>1088000</v>
      </c>
      <c r="S5923" t="s">
        <v>13254</v>
      </c>
      <c r="V5923">
        <v>0</v>
      </c>
      <c r="W5923">
        <v>7402</v>
      </c>
      <c r="X5923">
        <v>1</v>
      </c>
      <c r="AC5923">
        <v>7402</v>
      </c>
      <c r="AO5923">
        <v>1</v>
      </c>
      <c r="AU5923">
        <f t="shared" si="184"/>
        <v>1</v>
      </c>
      <c r="AV5923">
        <f t="shared" si="185"/>
        <v>0</v>
      </c>
    </row>
    <row r="5924" spans="1:48" x14ac:dyDescent="0.25">
      <c r="A5924" t="s">
        <v>18821</v>
      </c>
      <c r="B5924" t="s">
        <v>114</v>
      </c>
      <c r="C5924" t="s">
        <v>11240</v>
      </c>
      <c r="D5924" t="s">
        <v>18822</v>
      </c>
      <c r="E5924" t="s">
        <v>1663</v>
      </c>
      <c r="F5924">
        <v>3</v>
      </c>
      <c r="G5924">
        <v>3.2</v>
      </c>
      <c r="H5924" t="s">
        <v>2327</v>
      </c>
      <c r="I5924" s="21">
        <v>43581</v>
      </c>
      <c r="J5924">
        <v>2019</v>
      </c>
      <c r="K5924" s="21">
        <v>43794</v>
      </c>
      <c r="L5924">
        <v>2019</v>
      </c>
      <c r="M5924" s="21">
        <v>44064</v>
      </c>
      <c r="N5924">
        <v>2020</v>
      </c>
      <c r="Q5924" s="262">
        <v>850000</v>
      </c>
      <c r="S5924" t="s">
        <v>12464</v>
      </c>
      <c r="T5924">
        <v>9601</v>
      </c>
      <c r="V5924">
        <v>0</v>
      </c>
      <c r="W5924">
        <v>1453</v>
      </c>
      <c r="X5924">
        <v>1</v>
      </c>
      <c r="AC5924">
        <v>1453</v>
      </c>
      <c r="AO5924">
        <v>1</v>
      </c>
      <c r="AU5924">
        <f t="shared" si="184"/>
        <v>1</v>
      </c>
      <c r="AV5924">
        <f t="shared" si="185"/>
        <v>0</v>
      </c>
    </row>
    <row r="5925" spans="1:48" x14ac:dyDescent="0.25">
      <c r="A5925" t="s">
        <v>18821</v>
      </c>
      <c r="B5925" t="s">
        <v>114</v>
      </c>
      <c r="C5925" t="s">
        <v>11240</v>
      </c>
      <c r="D5925" t="s">
        <v>18822</v>
      </c>
      <c r="E5925" t="s">
        <v>1663</v>
      </c>
      <c r="F5925">
        <v>3</v>
      </c>
      <c r="G5925">
        <v>3.2</v>
      </c>
      <c r="H5925" t="s">
        <v>2327</v>
      </c>
      <c r="I5925" s="21">
        <v>43581</v>
      </c>
      <c r="J5925">
        <v>2019</v>
      </c>
      <c r="K5925" s="21">
        <v>43794</v>
      </c>
      <c r="L5925">
        <v>2019</v>
      </c>
      <c r="M5925" s="21">
        <v>44064</v>
      </c>
      <c r="N5925">
        <v>2020</v>
      </c>
      <c r="S5925" t="s">
        <v>9529</v>
      </c>
      <c r="T5925">
        <v>9601</v>
      </c>
      <c r="U5925">
        <v>5</v>
      </c>
      <c r="W5925">
        <v>-718</v>
      </c>
      <c r="X5925">
        <v>-1</v>
      </c>
      <c r="Y5925">
        <v>0</v>
      </c>
      <c r="Z5925">
        <v>0</v>
      </c>
      <c r="AA5925">
        <v>0</v>
      </c>
      <c r="AB5925">
        <v>0</v>
      </c>
      <c r="AC5925">
        <v>-718</v>
      </c>
      <c r="AD5925">
        <v>0</v>
      </c>
      <c r="AE5925">
        <v>0</v>
      </c>
      <c r="AF5925">
        <v>0</v>
      </c>
      <c r="AG5925">
        <v>0</v>
      </c>
      <c r="AH5925">
        <v>0</v>
      </c>
      <c r="AI5925">
        <v>0</v>
      </c>
      <c r="AJ5925">
        <v>0</v>
      </c>
      <c r="AK5925">
        <v>0</v>
      </c>
      <c r="AL5925">
        <v>0</v>
      </c>
      <c r="AM5925">
        <v>0</v>
      </c>
      <c r="AN5925">
        <v>0</v>
      </c>
      <c r="AO5925">
        <v>-1</v>
      </c>
      <c r="AP5925">
        <v>0</v>
      </c>
      <c r="AQ5925">
        <v>0</v>
      </c>
      <c r="AR5925">
        <v>0</v>
      </c>
      <c r="AS5925">
        <v>0</v>
      </c>
      <c r="AT5925">
        <v>0</v>
      </c>
      <c r="AU5925">
        <f t="shared" si="184"/>
        <v>-1</v>
      </c>
      <c r="AV5925">
        <f t="shared" si="185"/>
        <v>0</v>
      </c>
    </row>
    <row r="5926" spans="1:48" x14ac:dyDescent="0.25">
      <c r="A5926" t="s">
        <v>14139</v>
      </c>
      <c r="C5926" t="s">
        <v>14140</v>
      </c>
      <c r="D5926" t="s">
        <v>14141</v>
      </c>
      <c r="E5926" t="s">
        <v>1663</v>
      </c>
      <c r="F5926">
        <v>2</v>
      </c>
      <c r="G5926">
        <v>2.5</v>
      </c>
      <c r="H5926" t="s">
        <v>2327</v>
      </c>
      <c r="I5926" s="21">
        <v>43581</v>
      </c>
      <c r="J5926">
        <v>2019</v>
      </c>
      <c r="K5926" s="21">
        <v>43629</v>
      </c>
      <c r="L5926">
        <v>2019</v>
      </c>
      <c r="M5926" s="21">
        <v>43707</v>
      </c>
      <c r="N5926">
        <v>2019</v>
      </c>
      <c r="Q5926" s="262">
        <v>0</v>
      </c>
      <c r="S5926" t="s">
        <v>114</v>
      </c>
      <c r="T5926" t="s">
        <v>114</v>
      </c>
      <c r="V5926">
        <v>0</v>
      </c>
      <c r="W5926">
        <v>0</v>
      </c>
      <c r="X5926">
        <v>0</v>
      </c>
      <c r="AU5926">
        <f t="shared" si="184"/>
        <v>0</v>
      </c>
      <c r="AV5926">
        <f t="shared" si="185"/>
        <v>0</v>
      </c>
    </row>
    <row r="5927" spans="1:48" x14ac:dyDescent="0.25">
      <c r="A5927" t="s">
        <v>19016</v>
      </c>
      <c r="B5927" t="s">
        <v>19016</v>
      </c>
      <c r="C5927" t="s">
        <v>19017</v>
      </c>
      <c r="D5927" t="s">
        <v>14422</v>
      </c>
      <c r="E5927" t="s">
        <v>2310</v>
      </c>
      <c r="F5927">
        <v>10</v>
      </c>
      <c r="G5927">
        <v>10.199999999999999</v>
      </c>
      <c r="H5927" t="s">
        <v>2022</v>
      </c>
      <c r="I5927" s="21">
        <v>43581.477058715274</v>
      </c>
      <c r="J5927">
        <v>2019</v>
      </c>
      <c r="K5927" s="21">
        <v>43640.669797569448</v>
      </c>
      <c r="L5927">
        <v>2019</v>
      </c>
      <c r="M5927" s="21">
        <v>43711.392032025462</v>
      </c>
      <c r="N5927">
        <v>2019</v>
      </c>
      <c r="Q5927" s="262">
        <v>1122500</v>
      </c>
      <c r="R5927" s="262">
        <v>573000</v>
      </c>
      <c r="S5927" t="s">
        <v>13254</v>
      </c>
      <c r="V5927">
        <v>0</v>
      </c>
      <c r="W5927">
        <v>4205</v>
      </c>
      <c r="X5927">
        <v>0</v>
      </c>
      <c r="AM5927">
        <v>4205</v>
      </c>
      <c r="AU5927">
        <f t="shared" si="184"/>
        <v>0</v>
      </c>
      <c r="AV5927">
        <f t="shared" si="185"/>
        <v>4205</v>
      </c>
    </row>
    <row r="5928" spans="1:48" x14ac:dyDescent="0.25">
      <c r="A5928" t="s">
        <v>19018</v>
      </c>
      <c r="B5928" t="s">
        <v>19018</v>
      </c>
      <c r="C5928" t="s">
        <v>19019</v>
      </c>
      <c r="D5928" t="s">
        <v>14422</v>
      </c>
      <c r="E5928" t="s">
        <v>2310</v>
      </c>
      <c r="F5928">
        <v>10</v>
      </c>
      <c r="G5928">
        <v>10.199999999999999</v>
      </c>
      <c r="H5928" t="s">
        <v>2022</v>
      </c>
      <c r="I5928" s="21">
        <v>43581.498987268518</v>
      </c>
      <c r="J5928">
        <v>2019</v>
      </c>
      <c r="K5928" s="21">
        <v>43703.483799803238</v>
      </c>
      <c r="L5928">
        <v>2019</v>
      </c>
      <c r="M5928" s="21">
        <v>43711.394150891203</v>
      </c>
      <c r="N5928">
        <v>2019</v>
      </c>
      <c r="Q5928" s="262">
        <v>1122500</v>
      </c>
      <c r="R5928" s="262">
        <v>621000</v>
      </c>
      <c r="S5928" t="s">
        <v>13254</v>
      </c>
      <c r="V5928">
        <v>0</v>
      </c>
      <c r="W5928">
        <v>4426</v>
      </c>
      <c r="X5928">
        <v>0</v>
      </c>
      <c r="AM5928">
        <v>4426</v>
      </c>
      <c r="AU5928">
        <f t="shared" si="184"/>
        <v>0</v>
      </c>
      <c r="AV5928">
        <f t="shared" si="185"/>
        <v>4426</v>
      </c>
    </row>
    <row r="5929" spans="1:48" x14ac:dyDescent="0.25">
      <c r="A5929" t="s">
        <v>19020</v>
      </c>
      <c r="B5929" t="s">
        <v>19020</v>
      </c>
      <c r="C5929" t="s">
        <v>19021</v>
      </c>
      <c r="D5929" t="s">
        <v>14422</v>
      </c>
      <c r="E5929" t="s">
        <v>2310</v>
      </c>
      <c r="F5929">
        <v>10</v>
      </c>
      <c r="G5929">
        <v>10.199999999999999</v>
      </c>
      <c r="H5929" t="s">
        <v>2022</v>
      </c>
      <c r="I5929" s="21">
        <v>43581.505021030091</v>
      </c>
      <c r="J5929">
        <v>2019</v>
      </c>
      <c r="K5929" s="21">
        <v>43703.591697569442</v>
      </c>
      <c r="L5929">
        <v>2019</v>
      </c>
      <c r="M5929" s="21">
        <v>43711.396868518517</v>
      </c>
      <c r="N5929">
        <v>2019</v>
      </c>
      <c r="Q5929" s="262">
        <v>1122500</v>
      </c>
      <c r="R5929" s="262">
        <v>573000</v>
      </c>
      <c r="S5929" t="s">
        <v>13254</v>
      </c>
      <c r="V5929">
        <v>0</v>
      </c>
      <c r="W5929">
        <v>4205</v>
      </c>
      <c r="X5929">
        <v>0</v>
      </c>
      <c r="AM5929">
        <v>4205</v>
      </c>
      <c r="AU5929">
        <f t="shared" si="184"/>
        <v>0</v>
      </c>
      <c r="AV5929">
        <f t="shared" si="185"/>
        <v>4205</v>
      </c>
    </row>
    <row r="5930" spans="1:48" x14ac:dyDescent="0.25">
      <c r="A5930" t="s">
        <v>19022</v>
      </c>
      <c r="B5930" t="s">
        <v>19022</v>
      </c>
      <c r="C5930" t="s">
        <v>19023</v>
      </c>
      <c r="D5930" t="s">
        <v>14422</v>
      </c>
      <c r="E5930" t="s">
        <v>2310</v>
      </c>
      <c r="F5930">
        <v>10</v>
      </c>
      <c r="G5930">
        <v>10.199999999999999</v>
      </c>
      <c r="H5930" t="s">
        <v>2022</v>
      </c>
      <c r="I5930" s="21">
        <v>43581.509198067128</v>
      </c>
      <c r="J5930">
        <v>2019</v>
      </c>
      <c r="K5930" s="21">
        <v>43703.48501866898</v>
      </c>
      <c r="L5930">
        <v>2019</v>
      </c>
      <c r="M5930" s="21">
        <v>43711.398452118054</v>
      </c>
      <c r="N5930">
        <v>2019</v>
      </c>
      <c r="Q5930" s="262">
        <v>1122500</v>
      </c>
      <c r="R5930" s="262">
        <v>603000</v>
      </c>
      <c r="S5930" t="s">
        <v>13254</v>
      </c>
      <c r="V5930">
        <v>0</v>
      </c>
      <c r="W5930">
        <v>4426</v>
      </c>
      <c r="X5930">
        <v>0</v>
      </c>
      <c r="AM5930">
        <v>4426</v>
      </c>
      <c r="AU5930">
        <f t="shared" si="184"/>
        <v>0</v>
      </c>
      <c r="AV5930">
        <f t="shared" si="185"/>
        <v>4426</v>
      </c>
    </row>
    <row r="5931" spans="1:48" x14ac:dyDescent="0.25">
      <c r="A5931" t="s">
        <v>19268</v>
      </c>
      <c r="B5931" t="s">
        <v>19268</v>
      </c>
      <c r="C5931" t="s">
        <v>19269</v>
      </c>
      <c r="D5931" t="s">
        <v>19270</v>
      </c>
      <c r="E5931" t="s">
        <v>2310</v>
      </c>
      <c r="F5931">
        <v>9</v>
      </c>
      <c r="G5931">
        <v>9.3000000000000007</v>
      </c>
      <c r="H5931" t="s">
        <v>2323</v>
      </c>
      <c r="I5931" s="21">
        <v>43581.51794513889</v>
      </c>
      <c r="J5931">
        <v>2019</v>
      </c>
      <c r="K5931" s="21">
        <v>43620.509003969906</v>
      </c>
      <c r="L5931">
        <v>2019</v>
      </c>
      <c r="M5931" s="21">
        <v>43892.414690590274</v>
      </c>
      <c r="N5931">
        <v>2020</v>
      </c>
      <c r="Q5931" s="262">
        <v>500000</v>
      </c>
      <c r="R5931" s="262">
        <v>169000</v>
      </c>
      <c r="S5931" t="s">
        <v>13254</v>
      </c>
      <c r="V5931">
        <v>0</v>
      </c>
      <c r="W5931">
        <v>1980</v>
      </c>
      <c r="X5931">
        <v>1</v>
      </c>
      <c r="AC5931">
        <v>990</v>
      </c>
      <c r="AF5931">
        <v>990</v>
      </c>
      <c r="AR5931">
        <v>1</v>
      </c>
      <c r="AU5931">
        <f t="shared" si="184"/>
        <v>0</v>
      </c>
      <c r="AV5931">
        <f t="shared" si="185"/>
        <v>0</v>
      </c>
    </row>
    <row r="5932" spans="1:48" x14ac:dyDescent="0.25">
      <c r="A5932" t="s">
        <v>14142</v>
      </c>
      <c r="C5932" t="s">
        <v>14143</v>
      </c>
      <c r="D5932" t="s">
        <v>14144</v>
      </c>
      <c r="E5932" t="s">
        <v>1663</v>
      </c>
      <c r="F5932">
        <v>4</v>
      </c>
      <c r="G5932">
        <v>4.0999999999999996</v>
      </c>
      <c r="H5932" t="s">
        <v>2327</v>
      </c>
      <c r="I5932" s="21">
        <v>43585</v>
      </c>
      <c r="J5932">
        <v>2019</v>
      </c>
      <c r="K5932" s="21">
        <v>43616</v>
      </c>
      <c r="L5932">
        <v>2019</v>
      </c>
      <c r="P5932" s="21">
        <v>44060</v>
      </c>
      <c r="Q5932" s="262">
        <v>25000</v>
      </c>
      <c r="S5932" t="s">
        <v>114</v>
      </c>
      <c r="T5932" t="s">
        <v>114</v>
      </c>
      <c r="V5932">
        <v>0</v>
      </c>
      <c r="W5932">
        <v>0</v>
      </c>
      <c r="X5932">
        <v>0</v>
      </c>
      <c r="AU5932">
        <f t="shared" si="184"/>
        <v>0</v>
      </c>
      <c r="AV5932">
        <f t="shared" si="185"/>
        <v>0</v>
      </c>
    </row>
    <row r="5933" spans="1:48" x14ac:dyDescent="0.25">
      <c r="A5933" t="s">
        <v>14145</v>
      </c>
      <c r="C5933" t="s">
        <v>14143</v>
      </c>
      <c r="D5933" t="s">
        <v>14146</v>
      </c>
      <c r="E5933" t="s">
        <v>1663</v>
      </c>
      <c r="F5933">
        <v>4</v>
      </c>
      <c r="G5933">
        <v>4.0999999999999996</v>
      </c>
      <c r="H5933" t="s">
        <v>2327</v>
      </c>
      <c r="I5933" s="21">
        <v>43585</v>
      </c>
      <c r="J5933">
        <v>2019</v>
      </c>
      <c r="K5933" s="21">
        <v>43599</v>
      </c>
      <c r="L5933">
        <v>2019</v>
      </c>
      <c r="P5933" s="21">
        <v>44060</v>
      </c>
      <c r="Q5933" s="262">
        <v>25000</v>
      </c>
      <c r="S5933" t="s">
        <v>114</v>
      </c>
      <c r="T5933" t="s">
        <v>114</v>
      </c>
      <c r="V5933">
        <v>0</v>
      </c>
      <c r="W5933">
        <v>0</v>
      </c>
      <c r="X5933">
        <v>0</v>
      </c>
      <c r="AU5933">
        <f t="shared" si="184"/>
        <v>0</v>
      </c>
      <c r="AV5933">
        <f t="shared" si="185"/>
        <v>0</v>
      </c>
    </row>
    <row r="5934" spans="1:48" x14ac:dyDescent="0.25">
      <c r="A5934" t="s">
        <v>18400</v>
      </c>
      <c r="B5934" t="s">
        <v>18400</v>
      </c>
      <c r="C5934" t="s">
        <v>18401</v>
      </c>
      <c r="D5934" t="s">
        <v>8266</v>
      </c>
      <c r="E5934" t="s">
        <v>2310</v>
      </c>
      <c r="F5934">
        <v>9</v>
      </c>
      <c r="G5934">
        <v>9.1999999999999993</v>
      </c>
      <c r="H5934" t="s">
        <v>2022</v>
      </c>
      <c r="I5934" s="21">
        <v>43585.490798344908</v>
      </c>
      <c r="J5934">
        <v>2019</v>
      </c>
      <c r="K5934" s="21">
        <v>43642.512038229164</v>
      </c>
      <c r="L5934">
        <v>2019</v>
      </c>
      <c r="M5934" s="21">
        <v>43993.359480671294</v>
      </c>
      <c r="N5934">
        <v>2020</v>
      </c>
      <c r="Q5934" s="262">
        <v>700000</v>
      </c>
      <c r="R5934" s="262">
        <v>193000</v>
      </c>
      <c r="S5934" t="s">
        <v>13253</v>
      </c>
      <c r="T5934">
        <v>5013</v>
      </c>
      <c r="V5934">
        <v>1301</v>
      </c>
      <c r="W5934">
        <v>325</v>
      </c>
      <c r="X5934">
        <v>1</v>
      </c>
      <c r="AC5934">
        <v>-671</v>
      </c>
      <c r="AF5934">
        <v>996</v>
      </c>
      <c r="AR5934">
        <v>1</v>
      </c>
      <c r="AU5934">
        <f t="shared" si="184"/>
        <v>0</v>
      </c>
      <c r="AV5934">
        <f t="shared" si="185"/>
        <v>0</v>
      </c>
    </row>
    <row r="5935" spans="1:48" x14ac:dyDescent="0.25">
      <c r="A5935" t="s">
        <v>15368</v>
      </c>
      <c r="B5935" t="s">
        <v>15368</v>
      </c>
      <c r="C5935" t="s">
        <v>15369</v>
      </c>
      <c r="D5935" t="s">
        <v>14175</v>
      </c>
      <c r="E5935" t="s">
        <v>2310</v>
      </c>
      <c r="F5935">
        <v>8</v>
      </c>
      <c r="G5935">
        <v>8.1</v>
      </c>
      <c r="H5935" t="s">
        <v>2323</v>
      </c>
      <c r="I5935" s="21">
        <v>43585.6475635069</v>
      </c>
      <c r="J5935">
        <v>2019</v>
      </c>
      <c r="K5935" s="21">
        <v>43641.4051624653</v>
      </c>
      <c r="L5935">
        <v>2019</v>
      </c>
      <c r="M5935" s="21">
        <v>44651</v>
      </c>
      <c r="N5935">
        <v>2022</v>
      </c>
      <c r="Q5935" s="262">
        <v>2000000</v>
      </c>
      <c r="R5935" s="262">
        <v>571000</v>
      </c>
      <c r="S5935" t="s">
        <v>13253</v>
      </c>
      <c r="T5935">
        <v>4013</v>
      </c>
      <c r="V5935">
        <v>0</v>
      </c>
      <c r="W5935">
        <v>2224</v>
      </c>
      <c r="X5935">
        <v>0</v>
      </c>
      <c r="AC5935">
        <v>2224</v>
      </c>
      <c r="AU5935">
        <f t="shared" si="184"/>
        <v>0</v>
      </c>
      <c r="AV5935">
        <f t="shared" si="185"/>
        <v>0</v>
      </c>
    </row>
    <row r="5936" spans="1:48" x14ac:dyDescent="0.25">
      <c r="A5936" t="s">
        <v>14149</v>
      </c>
      <c r="B5936" t="s">
        <v>14149</v>
      </c>
      <c r="C5936" t="s">
        <v>14150</v>
      </c>
      <c r="D5936" t="s">
        <v>14151</v>
      </c>
      <c r="E5936" t="s">
        <v>2310</v>
      </c>
      <c r="F5936">
        <v>8</v>
      </c>
      <c r="G5936">
        <v>8.3000000000000007</v>
      </c>
      <c r="H5936" t="s">
        <v>2323</v>
      </c>
      <c r="I5936" s="21">
        <v>43585.691316319397</v>
      </c>
      <c r="J5936">
        <v>2019</v>
      </c>
      <c r="K5936" s="21">
        <v>43993.560526076399</v>
      </c>
      <c r="L5936">
        <v>2020</v>
      </c>
      <c r="Q5936" s="262">
        <v>900000</v>
      </c>
      <c r="R5936" s="262">
        <v>312000</v>
      </c>
      <c r="S5936" t="s">
        <v>114</v>
      </c>
      <c r="T5936" t="s">
        <v>114</v>
      </c>
      <c r="V5936">
        <v>0</v>
      </c>
      <c r="W5936">
        <v>2803</v>
      </c>
      <c r="X5936">
        <v>1</v>
      </c>
      <c r="AC5936">
        <v>2803</v>
      </c>
      <c r="AO5936">
        <v>1</v>
      </c>
      <c r="AU5936">
        <f t="shared" si="184"/>
        <v>1</v>
      </c>
      <c r="AV5936">
        <f t="shared" si="185"/>
        <v>0</v>
      </c>
    </row>
    <row r="5937" spans="1:48" x14ac:dyDescent="0.25">
      <c r="A5937" t="s">
        <v>14152</v>
      </c>
      <c r="C5937" t="s">
        <v>14153</v>
      </c>
      <c r="D5937" t="s">
        <v>12264</v>
      </c>
      <c r="E5937" t="s">
        <v>1663</v>
      </c>
      <c r="F5937">
        <v>6</v>
      </c>
      <c r="G5937">
        <v>6.1</v>
      </c>
      <c r="H5937" t="s">
        <v>2017</v>
      </c>
      <c r="I5937" s="21">
        <v>43587</v>
      </c>
      <c r="J5937">
        <v>2019</v>
      </c>
      <c r="K5937" s="21">
        <v>43587</v>
      </c>
      <c r="L5937">
        <v>2019</v>
      </c>
      <c r="Q5937" s="262">
        <v>0</v>
      </c>
      <c r="S5937" t="s">
        <v>114</v>
      </c>
      <c r="T5937" t="s">
        <v>114</v>
      </c>
      <c r="V5937">
        <v>0</v>
      </c>
      <c r="W5937">
        <v>0</v>
      </c>
      <c r="X5937">
        <v>0</v>
      </c>
      <c r="AU5937">
        <f t="shared" si="184"/>
        <v>0</v>
      </c>
      <c r="AV5937">
        <f t="shared" si="185"/>
        <v>0</v>
      </c>
    </row>
    <row r="5938" spans="1:48" x14ac:dyDescent="0.25">
      <c r="A5938" t="s">
        <v>17995</v>
      </c>
      <c r="B5938" t="s">
        <v>17995</v>
      </c>
      <c r="C5938" t="s">
        <v>17996</v>
      </c>
      <c r="D5938" t="s">
        <v>10134</v>
      </c>
      <c r="E5938" t="s">
        <v>2310</v>
      </c>
      <c r="F5938">
        <v>15</v>
      </c>
      <c r="G5938">
        <v>15.2</v>
      </c>
      <c r="H5938" t="s">
        <v>2323</v>
      </c>
      <c r="I5938" s="21">
        <v>43591.397949849539</v>
      </c>
      <c r="J5938">
        <v>2019</v>
      </c>
      <c r="K5938" s="21">
        <v>43591.398515856483</v>
      </c>
      <c r="L5938">
        <v>2019</v>
      </c>
      <c r="M5938" s="21">
        <v>43605.428783414354</v>
      </c>
      <c r="N5938">
        <v>2019</v>
      </c>
      <c r="S5938" t="s">
        <v>13253</v>
      </c>
      <c r="T5938">
        <v>2638</v>
      </c>
      <c r="V5938">
        <v>0</v>
      </c>
      <c r="W5938">
        <v>1200</v>
      </c>
      <c r="X5938">
        <v>0</v>
      </c>
      <c r="AC5938">
        <v>1200</v>
      </c>
      <c r="AU5938">
        <f t="shared" si="184"/>
        <v>0</v>
      </c>
      <c r="AV5938">
        <f t="shared" si="185"/>
        <v>0</v>
      </c>
    </row>
    <row r="5939" spans="1:48" x14ac:dyDescent="0.25">
      <c r="A5939" t="s">
        <v>19854</v>
      </c>
      <c r="B5939" t="s">
        <v>19854</v>
      </c>
      <c r="C5939" t="s">
        <v>19855</v>
      </c>
      <c r="D5939" t="s">
        <v>19856</v>
      </c>
      <c r="E5939" t="s">
        <v>2310</v>
      </c>
      <c r="F5939">
        <v>15</v>
      </c>
      <c r="G5939">
        <v>15.2</v>
      </c>
      <c r="H5939" t="s">
        <v>2323</v>
      </c>
      <c r="I5939" s="21">
        <v>43592.457379826403</v>
      </c>
      <c r="J5939">
        <v>2019</v>
      </c>
      <c r="K5939" s="21">
        <v>43733.553560335597</v>
      </c>
      <c r="L5939">
        <v>2019</v>
      </c>
      <c r="M5939" s="21">
        <v>44413</v>
      </c>
      <c r="N5939">
        <v>2021</v>
      </c>
      <c r="Q5939" s="262">
        <v>3750000</v>
      </c>
      <c r="R5939" s="262">
        <v>1030000</v>
      </c>
      <c r="S5939" t="s">
        <v>13254</v>
      </c>
      <c r="U5939">
        <v>5</v>
      </c>
      <c r="V5939">
        <v>0</v>
      </c>
      <c r="W5939">
        <v>7869</v>
      </c>
      <c r="X5939">
        <v>1</v>
      </c>
      <c r="AC5939">
        <v>7869</v>
      </c>
      <c r="AO5939">
        <v>1</v>
      </c>
      <c r="AU5939">
        <f t="shared" si="184"/>
        <v>1</v>
      </c>
      <c r="AV5939">
        <f t="shared" si="185"/>
        <v>0</v>
      </c>
    </row>
    <row r="5940" spans="1:48" x14ac:dyDescent="0.25">
      <c r="A5940" t="s">
        <v>14154</v>
      </c>
      <c r="B5940" t="s">
        <v>14154</v>
      </c>
      <c r="C5940" t="s">
        <v>14155</v>
      </c>
      <c r="D5940" t="s">
        <v>7301</v>
      </c>
      <c r="E5940" t="s">
        <v>2310</v>
      </c>
      <c r="F5940">
        <v>13</v>
      </c>
      <c r="G5940">
        <v>13.1</v>
      </c>
      <c r="H5940" t="s">
        <v>2327</v>
      </c>
      <c r="I5940" s="21">
        <v>43592.614387847199</v>
      </c>
      <c r="J5940">
        <v>2019</v>
      </c>
      <c r="K5940" s="21">
        <v>43592.626474340301</v>
      </c>
      <c r="L5940">
        <v>2019</v>
      </c>
      <c r="M5940" s="21">
        <v>43790.351343055598</v>
      </c>
      <c r="N5940">
        <v>2019</v>
      </c>
      <c r="Q5940" s="262">
        <v>150000</v>
      </c>
      <c r="R5940" s="262">
        <v>72000</v>
      </c>
      <c r="S5940" t="s">
        <v>114</v>
      </c>
      <c r="T5940" t="s">
        <v>114</v>
      </c>
      <c r="V5940">
        <v>0</v>
      </c>
      <c r="W5940">
        <v>0</v>
      </c>
      <c r="X5940">
        <v>0</v>
      </c>
      <c r="AU5940">
        <f t="shared" si="184"/>
        <v>0</v>
      </c>
      <c r="AV5940">
        <f t="shared" si="185"/>
        <v>0</v>
      </c>
    </row>
    <row r="5941" spans="1:48" x14ac:dyDescent="0.25">
      <c r="A5941" t="s">
        <v>14156</v>
      </c>
      <c r="C5941" t="s">
        <v>13509</v>
      </c>
      <c r="D5941" t="s">
        <v>14157</v>
      </c>
      <c r="E5941" t="s">
        <v>1663</v>
      </c>
      <c r="F5941">
        <v>2</v>
      </c>
      <c r="G5941">
        <v>2.2999999999999998</v>
      </c>
      <c r="H5941" t="s">
        <v>2327</v>
      </c>
      <c r="I5941" s="21">
        <v>43593</v>
      </c>
      <c r="J5941">
        <v>2019</v>
      </c>
      <c r="K5941" s="21">
        <v>44099</v>
      </c>
      <c r="L5941">
        <v>2020</v>
      </c>
      <c r="P5941" s="21">
        <v>44388</v>
      </c>
      <c r="Q5941" s="262">
        <v>14500000</v>
      </c>
      <c r="S5941" t="s">
        <v>12464</v>
      </c>
      <c r="T5941">
        <v>11618</v>
      </c>
      <c r="V5941">
        <v>0</v>
      </c>
      <c r="W5941">
        <v>25244</v>
      </c>
      <c r="X5941">
        <v>9</v>
      </c>
      <c r="AE5941">
        <v>2107</v>
      </c>
      <c r="AI5941">
        <v>17410</v>
      </c>
      <c r="AK5941">
        <v>5727</v>
      </c>
      <c r="AQ5941">
        <v>3</v>
      </c>
      <c r="AT5941">
        <v>6</v>
      </c>
      <c r="AU5941">
        <f t="shared" si="184"/>
        <v>3</v>
      </c>
      <c r="AV5941">
        <f t="shared" si="185"/>
        <v>23137</v>
      </c>
    </row>
    <row r="5942" spans="1:48" x14ac:dyDescent="0.25">
      <c r="A5942" t="s">
        <v>14156</v>
      </c>
      <c r="C5942" t="s">
        <v>13509</v>
      </c>
      <c r="D5942" t="s">
        <v>14157</v>
      </c>
      <c r="E5942" t="s">
        <v>1663</v>
      </c>
      <c r="F5942">
        <v>2</v>
      </c>
      <c r="G5942">
        <v>2.2999999999999998</v>
      </c>
      <c r="H5942" t="s">
        <v>2327</v>
      </c>
      <c r="I5942" s="21">
        <v>43593</v>
      </c>
      <c r="J5942">
        <v>2019</v>
      </c>
      <c r="K5942" s="21">
        <v>44099</v>
      </c>
      <c r="L5942">
        <v>2020</v>
      </c>
      <c r="P5942" s="21">
        <v>44388</v>
      </c>
      <c r="Q5942" s="262">
        <v>14500000</v>
      </c>
      <c r="S5942" t="s">
        <v>9529</v>
      </c>
      <c r="T5942">
        <v>11618</v>
      </c>
      <c r="W5942">
        <v>-3600</v>
      </c>
      <c r="X5942">
        <v>-8</v>
      </c>
      <c r="AE5942">
        <v>-3600</v>
      </c>
      <c r="AQ5942">
        <v>-8</v>
      </c>
      <c r="AU5942">
        <f t="shared" si="184"/>
        <v>-8</v>
      </c>
      <c r="AV5942">
        <f t="shared" si="185"/>
        <v>0</v>
      </c>
    </row>
    <row r="5943" spans="1:48" x14ac:dyDescent="0.25">
      <c r="A5943" t="s">
        <v>14160</v>
      </c>
      <c r="B5943" t="s">
        <v>14160</v>
      </c>
      <c r="C5943" t="s">
        <v>14161</v>
      </c>
      <c r="D5943" t="s">
        <v>10487</v>
      </c>
      <c r="E5943" t="s">
        <v>2310</v>
      </c>
      <c r="F5943">
        <v>11</v>
      </c>
      <c r="G5943">
        <v>11.1</v>
      </c>
      <c r="H5943" t="s">
        <v>2327</v>
      </c>
      <c r="I5943" s="21">
        <v>43593.603429895797</v>
      </c>
      <c r="J5943">
        <v>2019</v>
      </c>
      <c r="K5943" s="21">
        <v>43614.581291122697</v>
      </c>
      <c r="L5943">
        <v>2019</v>
      </c>
      <c r="O5943" s="21">
        <v>43972.6046522338</v>
      </c>
      <c r="Q5943" s="262">
        <v>90000</v>
      </c>
      <c r="R5943" s="262">
        <v>30000</v>
      </c>
      <c r="S5943" t="s">
        <v>114</v>
      </c>
      <c r="T5943" t="s">
        <v>114</v>
      </c>
      <c r="V5943">
        <v>0</v>
      </c>
      <c r="W5943">
        <v>0</v>
      </c>
      <c r="X5943">
        <v>0</v>
      </c>
      <c r="AU5943">
        <f t="shared" si="184"/>
        <v>0</v>
      </c>
      <c r="AV5943">
        <f t="shared" si="185"/>
        <v>0</v>
      </c>
    </row>
    <row r="5944" spans="1:48" x14ac:dyDescent="0.25">
      <c r="A5944" t="s">
        <v>15375</v>
      </c>
      <c r="B5944" t="s">
        <v>15375</v>
      </c>
      <c r="C5944" t="s">
        <v>15376</v>
      </c>
      <c r="D5944" t="s">
        <v>15377</v>
      </c>
      <c r="E5944" t="s">
        <v>2310</v>
      </c>
      <c r="F5944">
        <v>15</v>
      </c>
      <c r="G5944">
        <v>15.1</v>
      </c>
      <c r="H5944" t="s">
        <v>2022</v>
      </c>
      <c r="I5944" s="21">
        <v>43593.6221477199</v>
      </c>
      <c r="J5944">
        <v>2019</v>
      </c>
      <c r="K5944" s="21">
        <v>43657.402109641203</v>
      </c>
      <c r="L5944">
        <v>2019</v>
      </c>
      <c r="M5944" s="21">
        <v>44838</v>
      </c>
      <c r="N5944">
        <v>2022</v>
      </c>
      <c r="Q5944" s="262">
        <v>3250000</v>
      </c>
      <c r="R5944" s="262">
        <v>1132000</v>
      </c>
      <c r="S5944" t="s">
        <v>13254</v>
      </c>
      <c r="T5944">
        <v>0</v>
      </c>
      <c r="V5944">
        <v>0</v>
      </c>
      <c r="W5944">
        <v>7647</v>
      </c>
      <c r="X5944">
        <v>1</v>
      </c>
      <c r="AC5944">
        <v>7647</v>
      </c>
      <c r="AO5944">
        <v>1</v>
      </c>
      <c r="AU5944">
        <f t="shared" si="184"/>
        <v>1</v>
      </c>
      <c r="AV5944">
        <f t="shared" si="185"/>
        <v>0</v>
      </c>
    </row>
    <row r="5945" spans="1:48" x14ac:dyDescent="0.25">
      <c r="A5945" t="s">
        <v>19996</v>
      </c>
      <c r="B5945" t="s">
        <v>19996</v>
      </c>
      <c r="C5945" t="s">
        <v>19997</v>
      </c>
      <c r="D5945" t="s">
        <v>19998</v>
      </c>
      <c r="E5945" t="s">
        <v>2310</v>
      </c>
      <c r="F5945">
        <v>8</v>
      </c>
      <c r="G5945">
        <v>8.1</v>
      </c>
      <c r="H5945" t="s">
        <v>2323</v>
      </c>
      <c r="I5945" s="21">
        <v>43594.455730057904</v>
      </c>
      <c r="J5945">
        <v>2019</v>
      </c>
      <c r="K5945" s="21">
        <v>43630.6550083681</v>
      </c>
      <c r="L5945">
        <v>2019</v>
      </c>
      <c r="M5945" s="21">
        <v>44550</v>
      </c>
      <c r="N5945">
        <v>2021</v>
      </c>
      <c r="Q5945" s="262">
        <v>10000000</v>
      </c>
      <c r="R5945" s="262">
        <v>1513000</v>
      </c>
      <c r="S5945" t="s">
        <v>13254</v>
      </c>
      <c r="U5945">
        <v>5</v>
      </c>
      <c r="V5945">
        <v>0</v>
      </c>
      <c r="W5945">
        <v>10246</v>
      </c>
      <c r="X5945">
        <v>1</v>
      </c>
      <c r="AC5945">
        <v>10246</v>
      </c>
      <c r="AO5945">
        <v>1</v>
      </c>
      <c r="AU5945">
        <f t="shared" si="184"/>
        <v>1</v>
      </c>
      <c r="AV5945">
        <f t="shared" si="185"/>
        <v>0</v>
      </c>
    </row>
    <row r="5946" spans="1:48" x14ac:dyDescent="0.25">
      <c r="A5946" t="s">
        <v>14163</v>
      </c>
      <c r="B5946" t="s">
        <v>14163</v>
      </c>
      <c r="C5946" t="s">
        <v>14164</v>
      </c>
      <c r="D5946" t="s">
        <v>14165</v>
      </c>
      <c r="E5946" t="s">
        <v>2310</v>
      </c>
      <c r="F5946">
        <v>8</v>
      </c>
      <c r="G5946">
        <v>8.3000000000000007</v>
      </c>
      <c r="H5946" t="s">
        <v>2323</v>
      </c>
      <c r="I5946" s="21">
        <v>43594.664664618103</v>
      </c>
      <c r="J5946">
        <v>2019</v>
      </c>
      <c r="K5946" s="21">
        <v>43742.547729895799</v>
      </c>
      <c r="L5946">
        <v>2019</v>
      </c>
      <c r="O5946" s="21">
        <v>44104.636128622697</v>
      </c>
      <c r="Q5946" s="262">
        <v>1100000</v>
      </c>
      <c r="R5946" s="262">
        <v>578000</v>
      </c>
      <c r="S5946" t="s">
        <v>114</v>
      </c>
      <c r="T5946" t="s">
        <v>114</v>
      </c>
      <c r="V5946">
        <v>0</v>
      </c>
      <c r="W5946">
        <v>4643</v>
      </c>
      <c r="X5946">
        <v>1</v>
      </c>
      <c r="AC5946">
        <v>4643</v>
      </c>
      <c r="AO5946">
        <v>1</v>
      </c>
      <c r="AU5946">
        <f t="shared" si="184"/>
        <v>1</v>
      </c>
      <c r="AV5946">
        <f t="shared" si="185"/>
        <v>0</v>
      </c>
    </row>
    <row r="5947" spans="1:48" x14ac:dyDescent="0.25">
      <c r="A5947" t="s">
        <v>19724</v>
      </c>
      <c r="B5947" t="s">
        <v>19724</v>
      </c>
      <c r="C5947" t="s">
        <v>19517</v>
      </c>
      <c r="D5947" t="s">
        <v>19725</v>
      </c>
      <c r="E5947" t="s">
        <v>2310</v>
      </c>
      <c r="F5947">
        <v>8</v>
      </c>
      <c r="G5947">
        <v>8.3000000000000007</v>
      </c>
      <c r="H5947" t="s">
        <v>2323</v>
      </c>
      <c r="I5947" s="21">
        <v>43594.694303935197</v>
      </c>
      <c r="J5947">
        <v>2019</v>
      </c>
      <c r="K5947" s="21">
        <v>43661.609235451397</v>
      </c>
      <c r="L5947">
        <v>2019</v>
      </c>
      <c r="M5947" s="21">
        <v>44362</v>
      </c>
      <c r="N5947">
        <v>2021</v>
      </c>
      <c r="Q5947" s="262">
        <v>910000</v>
      </c>
      <c r="R5947" s="262">
        <v>503000</v>
      </c>
      <c r="S5947" t="s">
        <v>13254</v>
      </c>
      <c r="U5947">
        <v>5</v>
      </c>
      <c r="V5947">
        <v>0</v>
      </c>
      <c r="W5947">
        <v>4264</v>
      </c>
      <c r="X5947">
        <v>1</v>
      </c>
      <c r="AC5947">
        <v>4264</v>
      </c>
      <c r="AO5947">
        <v>1</v>
      </c>
      <c r="AU5947">
        <f t="shared" si="184"/>
        <v>1</v>
      </c>
      <c r="AV5947">
        <f t="shared" si="185"/>
        <v>0</v>
      </c>
    </row>
    <row r="5948" spans="1:48" x14ac:dyDescent="0.25">
      <c r="A5948" t="s">
        <v>19825</v>
      </c>
      <c r="B5948" t="s">
        <v>19825</v>
      </c>
      <c r="C5948" t="s">
        <v>19826</v>
      </c>
      <c r="D5948" t="s">
        <v>19827</v>
      </c>
      <c r="E5948" t="s">
        <v>2310</v>
      </c>
      <c r="F5948">
        <v>15</v>
      </c>
      <c r="G5948">
        <v>15.2</v>
      </c>
      <c r="H5948" t="s">
        <v>2323</v>
      </c>
      <c r="I5948" s="21">
        <v>43595.487518402799</v>
      </c>
      <c r="J5948">
        <v>2019</v>
      </c>
      <c r="K5948" s="21">
        <v>43696.624455092599</v>
      </c>
      <c r="L5948">
        <v>2019</v>
      </c>
      <c r="M5948" s="21">
        <v>44540</v>
      </c>
      <c r="N5948">
        <v>2021</v>
      </c>
      <c r="Q5948" s="262">
        <v>2600000</v>
      </c>
      <c r="R5948" s="262">
        <v>474000</v>
      </c>
      <c r="S5948" t="s">
        <v>13254</v>
      </c>
      <c r="U5948">
        <v>5</v>
      </c>
      <c r="V5948">
        <v>0</v>
      </c>
      <c r="W5948">
        <v>4075</v>
      </c>
      <c r="X5948">
        <v>1</v>
      </c>
      <c r="AC5948">
        <v>4075</v>
      </c>
      <c r="AO5948">
        <v>1</v>
      </c>
      <c r="AU5948">
        <f t="shared" si="184"/>
        <v>1</v>
      </c>
      <c r="AV5948">
        <f t="shared" si="185"/>
        <v>0</v>
      </c>
    </row>
    <row r="5949" spans="1:48" x14ac:dyDescent="0.25">
      <c r="A5949" t="s">
        <v>19873</v>
      </c>
      <c r="B5949" t="s">
        <v>19873</v>
      </c>
      <c r="C5949" t="s">
        <v>19874</v>
      </c>
      <c r="D5949" t="s">
        <v>19875</v>
      </c>
      <c r="E5949" t="s">
        <v>2310</v>
      </c>
      <c r="F5949">
        <v>9</v>
      </c>
      <c r="G5949">
        <v>9.4</v>
      </c>
      <c r="H5949" t="s">
        <v>2323</v>
      </c>
      <c r="I5949" s="21">
        <v>43599.476802627301</v>
      </c>
      <c r="J5949">
        <v>2019</v>
      </c>
      <c r="K5949" s="21">
        <v>43644.408295914298</v>
      </c>
      <c r="L5949">
        <v>2019</v>
      </c>
      <c r="M5949" s="21">
        <v>44229</v>
      </c>
      <c r="N5949">
        <v>2021</v>
      </c>
      <c r="Q5949" s="262">
        <v>2300000</v>
      </c>
      <c r="R5949" s="262">
        <v>520000</v>
      </c>
      <c r="S5949" t="s">
        <v>13254</v>
      </c>
      <c r="U5949">
        <v>5</v>
      </c>
      <c r="V5949">
        <v>0</v>
      </c>
      <c r="W5949">
        <v>4485</v>
      </c>
      <c r="X5949">
        <v>1</v>
      </c>
      <c r="AC5949">
        <v>4485</v>
      </c>
      <c r="AO5949">
        <v>1</v>
      </c>
      <c r="AU5949">
        <f t="shared" si="184"/>
        <v>1</v>
      </c>
      <c r="AV5949">
        <f t="shared" si="185"/>
        <v>0</v>
      </c>
    </row>
    <row r="5950" spans="1:48" x14ac:dyDescent="0.25">
      <c r="A5950" t="s">
        <v>14166</v>
      </c>
      <c r="B5950" t="s">
        <v>14166</v>
      </c>
      <c r="C5950" t="s">
        <v>14167</v>
      </c>
      <c r="D5950" t="s">
        <v>14168</v>
      </c>
      <c r="E5950" t="s">
        <v>2310</v>
      </c>
      <c r="F5950">
        <v>13</v>
      </c>
      <c r="G5950">
        <v>13.2</v>
      </c>
      <c r="H5950" t="s">
        <v>2327</v>
      </c>
      <c r="I5950" s="21">
        <v>43599.599523263903</v>
      </c>
      <c r="J5950">
        <v>2019</v>
      </c>
      <c r="K5950" s="21">
        <v>43776.574835682899</v>
      </c>
      <c r="L5950">
        <v>2019</v>
      </c>
      <c r="O5950" s="21">
        <v>43865.602735995402</v>
      </c>
      <c r="Q5950" s="262">
        <v>1750000</v>
      </c>
      <c r="R5950" s="262">
        <v>1201000</v>
      </c>
      <c r="S5950" t="s">
        <v>114</v>
      </c>
      <c r="T5950" t="s">
        <v>114</v>
      </c>
      <c r="V5950">
        <v>0</v>
      </c>
      <c r="W5950">
        <v>7879</v>
      </c>
      <c r="X5950">
        <v>1</v>
      </c>
      <c r="AC5950">
        <v>7879</v>
      </c>
      <c r="AO5950">
        <v>1</v>
      </c>
      <c r="AU5950">
        <f t="shared" si="184"/>
        <v>1</v>
      </c>
      <c r="AV5950">
        <f t="shared" si="185"/>
        <v>0</v>
      </c>
    </row>
    <row r="5951" spans="1:48" x14ac:dyDescent="0.25">
      <c r="A5951" t="s">
        <v>14169</v>
      </c>
      <c r="C5951" t="s">
        <v>11879</v>
      </c>
      <c r="D5951" t="s">
        <v>14170</v>
      </c>
      <c r="E5951" t="s">
        <v>1663</v>
      </c>
      <c r="F5951">
        <v>4</v>
      </c>
      <c r="G5951">
        <v>4.4000000000000004</v>
      </c>
      <c r="H5951" t="s">
        <v>2017</v>
      </c>
      <c r="I5951" s="21">
        <v>43600</v>
      </c>
      <c r="J5951">
        <v>2019</v>
      </c>
      <c r="K5951" s="21">
        <v>43613</v>
      </c>
      <c r="L5951">
        <v>2019</v>
      </c>
      <c r="M5951" s="21">
        <v>43850</v>
      </c>
      <c r="N5951">
        <v>2020</v>
      </c>
      <c r="Q5951" s="262">
        <v>30000</v>
      </c>
      <c r="S5951" t="s">
        <v>114</v>
      </c>
      <c r="T5951" t="s">
        <v>114</v>
      </c>
      <c r="V5951">
        <v>0</v>
      </c>
      <c r="W5951">
        <v>0</v>
      </c>
      <c r="X5951">
        <v>0</v>
      </c>
      <c r="AU5951">
        <f t="shared" si="184"/>
        <v>0</v>
      </c>
      <c r="AV5951">
        <f t="shared" si="185"/>
        <v>0</v>
      </c>
    </row>
    <row r="5952" spans="1:48" x14ac:dyDescent="0.25">
      <c r="A5952" t="s">
        <v>17880</v>
      </c>
      <c r="B5952" t="s">
        <v>17880</v>
      </c>
      <c r="C5952" t="s">
        <v>17881</v>
      </c>
      <c r="D5952" t="s">
        <v>17882</v>
      </c>
      <c r="E5952" t="s">
        <v>2310</v>
      </c>
      <c r="F5952">
        <v>10</v>
      </c>
      <c r="G5952">
        <v>10.1</v>
      </c>
      <c r="H5952" t="s">
        <v>2323</v>
      </c>
      <c r="I5952" s="21">
        <v>43602.395383530093</v>
      </c>
      <c r="J5952">
        <v>2019</v>
      </c>
      <c r="K5952" s="21">
        <v>43628.493213344904</v>
      </c>
      <c r="L5952">
        <v>2019</v>
      </c>
      <c r="M5952" s="21">
        <v>43818.446246956017</v>
      </c>
      <c r="N5952">
        <v>2019</v>
      </c>
      <c r="Q5952" s="262">
        <v>150000</v>
      </c>
      <c r="R5952" s="262">
        <v>35000</v>
      </c>
      <c r="S5952" t="s">
        <v>13253</v>
      </c>
      <c r="T5952">
        <v>2014</v>
      </c>
      <c r="V5952">
        <v>0</v>
      </c>
      <c r="W5952">
        <v>288</v>
      </c>
      <c r="X5952">
        <v>0</v>
      </c>
      <c r="AC5952">
        <v>288</v>
      </c>
      <c r="AU5952">
        <f t="shared" si="184"/>
        <v>0</v>
      </c>
      <c r="AV5952">
        <f t="shared" si="185"/>
        <v>0</v>
      </c>
    </row>
    <row r="5953" spans="1:48" x14ac:dyDescent="0.25">
      <c r="A5953" t="s">
        <v>19817</v>
      </c>
      <c r="B5953" t="s">
        <v>19817</v>
      </c>
      <c r="C5953" t="s">
        <v>19818</v>
      </c>
      <c r="D5953" t="s">
        <v>19816</v>
      </c>
      <c r="E5953" t="s">
        <v>2310</v>
      </c>
      <c r="F5953">
        <v>15</v>
      </c>
      <c r="G5953">
        <v>15.2</v>
      </c>
      <c r="H5953" t="s">
        <v>2323</v>
      </c>
      <c r="I5953" s="21">
        <v>43602.496173344902</v>
      </c>
      <c r="J5953">
        <v>2019</v>
      </c>
      <c r="K5953" s="21">
        <v>43642.6494089931</v>
      </c>
      <c r="L5953">
        <v>2019</v>
      </c>
      <c r="M5953" s="21">
        <v>44452</v>
      </c>
      <c r="N5953">
        <v>2021</v>
      </c>
      <c r="Q5953" s="262">
        <v>1000000</v>
      </c>
      <c r="R5953" s="262">
        <v>198000</v>
      </c>
      <c r="S5953" t="s">
        <v>13254</v>
      </c>
      <c r="U5953">
        <v>5</v>
      </c>
      <c r="V5953">
        <v>0</v>
      </c>
      <c r="W5953">
        <v>1577</v>
      </c>
      <c r="X5953">
        <v>1</v>
      </c>
      <c r="AC5953">
        <v>1577</v>
      </c>
      <c r="AO5953">
        <v>1</v>
      </c>
      <c r="AU5953">
        <f t="shared" si="184"/>
        <v>1</v>
      </c>
      <c r="AV5953">
        <f t="shared" si="185"/>
        <v>0</v>
      </c>
    </row>
    <row r="5954" spans="1:48" x14ac:dyDescent="0.25">
      <c r="A5954" t="s">
        <v>19819</v>
      </c>
      <c r="B5954" t="s">
        <v>19819</v>
      </c>
      <c r="C5954" t="s">
        <v>19820</v>
      </c>
      <c r="D5954" t="s">
        <v>19816</v>
      </c>
      <c r="E5954" t="s">
        <v>2310</v>
      </c>
      <c r="F5954">
        <v>15</v>
      </c>
      <c r="G5954">
        <v>15.2</v>
      </c>
      <c r="H5954" t="s">
        <v>2323</v>
      </c>
      <c r="I5954" s="21">
        <v>43602.554681828697</v>
      </c>
      <c r="J5954">
        <v>2019</v>
      </c>
      <c r="K5954" s="21">
        <v>43642.6510690625</v>
      </c>
      <c r="L5954">
        <v>2019</v>
      </c>
      <c r="M5954" s="21">
        <v>44452</v>
      </c>
      <c r="N5954">
        <v>2021</v>
      </c>
      <c r="Q5954" s="262">
        <v>400000</v>
      </c>
      <c r="R5954" s="262">
        <v>69000</v>
      </c>
      <c r="S5954" t="s">
        <v>13254</v>
      </c>
      <c r="U5954">
        <v>5</v>
      </c>
      <c r="V5954">
        <v>0</v>
      </c>
      <c r="W5954">
        <v>579</v>
      </c>
      <c r="X5954">
        <v>0</v>
      </c>
      <c r="AC5954">
        <v>579</v>
      </c>
      <c r="AU5954">
        <f t="shared" si="184"/>
        <v>0</v>
      </c>
      <c r="AV5954">
        <f t="shared" si="185"/>
        <v>0</v>
      </c>
    </row>
    <row r="5955" spans="1:48" x14ac:dyDescent="0.25">
      <c r="A5955" t="s">
        <v>19978</v>
      </c>
      <c r="C5955" t="s">
        <v>13528</v>
      </c>
      <c r="D5955" t="s">
        <v>14921</v>
      </c>
      <c r="E5955" t="s">
        <v>1663</v>
      </c>
      <c r="F5955">
        <v>6</v>
      </c>
      <c r="G5955">
        <v>6.2</v>
      </c>
      <c r="H5955" t="s">
        <v>2017</v>
      </c>
      <c r="I5955" s="21">
        <v>43607</v>
      </c>
      <c r="J5955">
        <v>2019</v>
      </c>
      <c r="K5955" s="21">
        <v>43642</v>
      </c>
      <c r="L5955">
        <v>2019</v>
      </c>
      <c r="M5955" s="21">
        <v>44511</v>
      </c>
      <c r="N5955">
        <v>2021</v>
      </c>
      <c r="Q5955" s="262">
        <v>400000</v>
      </c>
      <c r="S5955" t="s">
        <v>13253</v>
      </c>
      <c r="T5955">
        <v>9281</v>
      </c>
      <c r="U5955">
        <v>5</v>
      </c>
      <c r="V5955">
        <v>0</v>
      </c>
      <c r="W5955">
        <v>1384</v>
      </c>
      <c r="X5955">
        <v>0</v>
      </c>
      <c r="AC5955">
        <v>1384</v>
      </c>
      <c r="AU5955">
        <f t="shared" si="184"/>
        <v>0</v>
      </c>
      <c r="AV5955">
        <f t="shared" si="185"/>
        <v>0</v>
      </c>
    </row>
    <row r="5956" spans="1:48" x14ac:dyDescent="0.25">
      <c r="A5956" t="s">
        <v>19438</v>
      </c>
      <c r="B5956" t="s">
        <v>19438</v>
      </c>
      <c r="C5956" t="s">
        <v>19439</v>
      </c>
      <c r="D5956" t="s">
        <v>19440</v>
      </c>
      <c r="E5956" t="s">
        <v>2310</v>
      </c>
      <c r="F5956">
        <v>15</v>
      </c>
      <c r="G5956">
        <v>15.3</v>
      </c>
      <c r="H5956" t="s">
        <v>2022</v>
      </c>
      <c r="I5956" s="21">
        <v>43607.409842476853</v>
      </c>
      <c r="J5956">
        <v>2019</v>
      </c>
      <c r="K5956" s="21">
        <v>43658.438369675925</v>
      </c>
      <c r="L5956">
        <v>2019</v>
      </c>
      <c r="M5956" s="21">
        <v>44035.436899687498</v>
      </c>
      <c r="N5956">
        <v>2020</v>
      </c>
      <c r="Q5956" s="262">
        <v>350000</v>
      </c>
      <c r="R5956" s="262">
        <v>87000</v>
      </c>
      <c r="S5956" t="s">
        <v>13254</v>
      </c>
      <c r="V5956">
        <v>0</v>
      </c>
      <c r="W5956">
        <v>889</v>
      </c>
      <c r="X5956">
        <v>1</v>
      </c>
      <c r="AC5956">
        <v>889</v>
      </c>
      <c r="AO5956">
        <v>1</v>
      </c>
      <c r="AU5956">
        <f t="shared" si="184"/>
        <v>1</v>
      </c>
      <c r="AV5956">
        <f t="shared" si="185"/>
        <v>0</v>
      </c>
    </row>
    <row r="5957" spans="1:48" x14ac:dyDescent="0.25">
      <c r="A5957" t="s">
        <v>20012</v>
      </c>
      <c r="B5957" t="s">
        <v>20012</v>
      </c>
      <c r="C5957" t="s">
        <v>20013</v>
      </c>
      <c r="D5957" t="s">
        <v>17986</v>
      </c>
      <c r="E5957" t="s">
        <v>2310</v>
      </c>
      <c r="F5957">
        <v>12</v>
      </c>
      <c r="G5957">
        <v>12.3</v>
      </c>
      <c r="H5957" t="s">
        <v>2017</v>
      </c>
      <c r="I5957" s="21">
        <v>43607.628410613397</v>
      </c>
      <c r="J5957">
        <v>2019</v>
      </c>
      <c r="K5957" s="21">
        <v>43657.515894479198</v>
      </c>
      <c r="L5957">
        <v>2019</v>
      </c>
      <c r="M5957" s="21">
        <v>44540</v>
      </c>
      <c r="N5957">
        <v>2021</v>
      </c>
      <c r="Q5957" s="262">
        <v>775000</v>
      </c>
      <c r="R5957" s="262">
        <v>100000</v>
      </c>
      <c r="S5957" t="s">
        <v>13253</v>
      </c>
      <c r="T5957">
        <v>14961</v>
      </c>
      <c r="U5957">
        <v>5</v>
      </c>
      <c r="V5957">
        <v>0</v>
      </c>
      <c r="W5957">
        <v>840</v>
      </c>
      <c r="X5957">
        <v>0</v>
      </c>
      <c r="AC5957">
        <v>840</v>
      </c>
      <c r="AU5957">
        <f t="shared" si="184"/>
        <v>0</v>
      </c>
      <c r="AV5957">
        <f t="shared" si="185"/>
        <v>0</v>
      </c>
    </row>
    <row r="5958" spans="1:48" x14ac:dyDescent="0.25">
      <c r="A5958" t="s">
        <v>14171</v>
      </c>
      <c r="B5958" t="s">
        <v>14171</v>
      </c>
      <c r="C5958" t="s">
        <v>14172</v>
      </c>
      <c r="D5958" t="s">
        <v>3332</v>
      </c>
      <c r="E5958" t="s">
        <v>2310</v>
      </c>
      <c r="F5958">
        <v>7</v>
      </c>
      <c r="G5958">
        <v>7.1</v>
      </c>
      <c r="H5958" t="s">
        <v>2017</v>
      </c>
      <c r="I5958" s="21">
        <v>43608.561170983798</v>
      </c>
      <c r="J5958">
        <v>2019</v>
      </c>
      <c r="K5958" s="21">
        <v>43629.535129282398</v>
      </c>
      <c r="L5958">
        <v>2019</v>
      </c>
      <c r="M5958" s="21">
        <v>43760.407896794</v>
      </c>
      <c r="N5958">
        <v>2019</v>
      </c>
      <c r="Q5958" s="262">
        <v>100000</v>
      </c>
      <c r="R5958" s="262">
        <v>70000</v>
      </c>
      <c r="S5958" t="s">
        <v>114</v>
      </c>
      <c r="T5958" t="s">
        <v>114</v>
      </c>
      <c r="V5958">
        <v>0</v>
      </c>
      <c r="W5958">
        <v>0</v>
      </c>
      <c r="X5958">
        <v>0</v>
      </c>
      <c r="AU5958">
        <f t="shared" si="184"/>
        <v>0</v>
      </c>
      <c r="AV5958">
        <f t="shared" si="185"/>
        <v>0</v>
      </c>
    </row>
    <row r="5959" spans="1:48" x14ac:dyDescent="0.25">
      <c r="A5959" t="s">
        <v>19318</v>
      </c>
      <c r="B5959" t="s">
        <v>19318</v>
      </c>
      <c r="C5959" t="s">
        <v>19319</v>
      </c>
      <c r="D5959" t="s">
        <v>15686</v>
      </c>
      <c r="E5959" t="s">
        <v>2310</v>
      </c>
      <c r="F5959">
        <v>8</v>
      </c>
      <c r="G5959">
        <v>8.1999999999999993</v>
      </c>
      <c r="H5959" t="s">
        <v>2022</v>
      </c>
      <c r="I5959" s="21">
        <v>43608.635020254631</v>
      </c>
      <c r="J5959">
        <v>2019</v>
      </c>
      <c r="K5959" s="21">
        <v>43775.56722109954</v>
      </c>
      <c r="L5959">
        <v>2019</v>
      </c>
      <c r="M5959" s="21">
        <v>43964.372760763887</v>
      </c>
      <c r="N5959">
        <v>2020</v>
      </c>
      <c r="Q5959" s="262">
        <v>110000</v>
      </c>
      <c r="R5959" s="262">
        <v>204000</v>
      </c>
      <c r="S5959" t="s">
        <v>13254</v>
      </c>
      <c r="V5959">
        <v>0</v>
      </c>
      <c r="W5959">
        <v>3972</v>
      </c>
      <c r="X5959">
        <v>1</v>
      </c>
      <c r="Y5959">
        <v>3972</v>
      </c>
      <c r="AN5959">
        <v>1</v>
      </c>
      <c r="AU5959">
        <f t="shared" si="184"/>
        <v>1</v>
      </c>
      <c r="AV5959">
        <f t="shared" si="185"/>
        <v>3972</v>
      </c>
    </row>
    <row r="5960" spans="1:48" x14ac:dyDescent="0.25">
      <c r="A5960" t="s">
        <v>18585</v>
      </c>
      <c r="B5960" t="s">
        <v>18585</v>
      </c>
      <c r="C5960" t="s">
        <v>18586</v>
      </c>
      <c r="D5960" t="s">
        <v>18584</v>
      </c>
      <c r="E5960" t="s">
        <v>2310</v>
      </c>
      <c r="F5960">
        <v>9</v>
      </c>
      <c r="G5960">
        <v>9.1</v>
      </c>
      <c r="H5960" t="s">
        <v>2323</v>
      </c>
      <c r="I5960" s="21">
        <v>43609.43005185185</v>
      </c>
      <c r="J5960">
        <v>2019</v>
      </c>
      <c r="K5960" s="21">
        <v>43629.653017743054</v>
      </c>
      <c r="L5960">
        <v>2019</v>
      </c>
      <c r="M5960" s="21">
        <v>43985.692978437502</v>
      </c>
      <c r="N5960">
        <v>2020</v>
      </c>
      <c r="Q5960" s="262">
        <v>200000</v>
      </c>
      <c r="R5960" s="262">
        <v>52000</v>
      </c>
      <c r="S5960" t="s">
        <v>13253</v>
      </c>
      <c r="T5960">
        <v>6126</v>
      </c>
      <c r="V5960">
        <v>0</v>
      </c>
      <c r="W5960">
        <v>1076</v>
      </c>
      <c r="X5960">
        <v>0</v>
      </c>
      <c r="AC5960">
        <v>1076</v>
      </c>
      <c r="AU5960">
        <f t="shared" si="184"/>
        <v>0</v>
      </c>
      <c r="AV5960">
        <f t="shared" si="185"/>
        <v>0</v>
      </c>
    </row>
    <row r="5961" spans="1:48" x14ac:dyDescent="0.25">
      <c r="A5961" t="s">
        <v>19226</v>
      </c>
      <c r="B5961" t="s">
        <v>19226</v>
      </c>
      <c r="C5961" t="s">
        <v>19227</v>
      </c>
      <c r="D5961" t="s">
        <v>19228</v>
      </c>
      <c r="E5961" t="s">
        <v>2310</v>
      </c>
      <c r="F5961">
        <v>14</v>
      </c>
      <c r="G5961">
        <v>14.2</v>
      </c>
      <c r="H5961" t="s">
        <v>2017</v>
      </c>
      <c r="I5961" s="21">
        <v>43609.49854552083</v>
      </c>
      <c r="J5961">
        <v>2019</v>
      </c>
      <c r="K5961" s="21">
        <v>43692.606508761572</v>
      </c>
      <c r="L5961">
        <v>2019</v>
      </c>
      <c r="M5961" s="21">
        <v>43859.390450613428</v>
      </c>
      <c r="N5961">
        <v>2020</v>
      </c>
      <c r="Q5961" s="262">
        <v>125000</v>
      </c>
      <c r="R5961" s="262">
        <v>40000</v>
      </c>
      <c r="S5961" t="s">
        <v>13254</v>
      </c>
      <c r="V5961">
        <v>0</v>
      </c>
      <c r="W5961">
        <v>696</v>
      </c>
      <c r="X5961">
        <v>0</v>
      </c>
      <c r="AM5961">
        <v>696</v>
      </c>
      <c r="AU5961">
        <f t="shared" si="184"/>
        <v>0</v>
      </c>
      <c r="AV5961">
        <f t="shared" si="185"/>
        <v>696</v>
      </c>
    </row>
    <row r="5962" spans="1:48" x14ac:dyDescent="0.25">
      <c r="A5962" t="s">
        <v>14173</v>
      </c>
      <c r="B5962" t="s">
        <v>14173</v>
      </c>
      <c r="C5962" t="s">
        <v>14174</v>
      </c>
      <c r="D5962" t="s">
        <v>14175</v>
      </c>
      <c r="E5962" t="s">
        <v>2310</v>
      </c>
      <c r="F5962">
        <v>8</v>
      </c>
      <c r="G5962">
        <v>8.1</v>
      </c>
      <c r="H5962" t="s">
        <v>2323</v>
      </c>
      <c r="I5962" s="21">
        <v>43609.5497767708</v>
      </c>
      <c r="J5962">
        <v>2019</v>
      </c>
      <c r="K5962" s="21">
        <v>43641.413461261604</v>
      </c>
      <c r="L5962">
        <v>2019</v>
      </c>
      <c r="Q5962" s="262">
        <v>100000</v>
      </c>
      <c r="R5962" s="262">
        <v>60000</v>
      </c>
      <c r="S5962" t="s">
        <v>114</v>
      </c>
      <c r="T5962" t="s">
        <v>114</v>
      </c>
      <c r="V5962">
        <v>0</v>
      </c>
      <c r="W5962">
        <v>108</v>
      </c>
      <c r="X5962">
        <v>0</v>
      </c>
      <c r="AF5962">
        <v>108</v>
      </c>
      <c r="AU5962">
        <f t="shared" si="184"/>
        <v>0</v>
      </c>
      <c r="AV5962">
        <f t="shared" si="185"/>
        <v>0</v>
      </c>
    </row>
    <row r="5963" spans="1:48" x14ac:dyDescent="0.25">
      <c r="A5963" t="s">
        <v>14176</v>
      </c>
      <c r="B5963" t="s">
        <v>14176</v>
      </c>
      <c r="C5963" t="s">
        <v>14177</v>
      </c>
      <c r="D5963" t="s">
        <v>14151</v>
      </c>
      <c r="E5963" t="s">
        <v>2310</v>
      </c>
      <c r="F5963">
        <v>8</v>
      </c>
      <c r="G5963">
        <v>8.3000000000000007</v>
      </c>
      <c r="H5963" t="s">
        <v>2323</v>
      </c>
      <c r="I5963" s="21">
        <v>43609.567260914402</v>
      </c>
      <c r="J5963">
        <v>2019</v>
      </c>
      <c r="K5963" s="21">
        <v>43993.557310185199</v>
      </c>
      <c r="L5963">
        <v>2020</v>
      </c>
      <c r="Q5963" s="262">
        <v>900000</v>
      </c>
      <c r="R5963" s="262">
        <v>20000</v>
      </c>
      <c r="S5963" t="s">
        <v>114</v>
      </c>
      <c r="T5963" t="s">
        <v>114</v>
      </c>
      <c r="V5963">
        <v>0</v>
      </c>
      <c r="W5963">
        <v>415</v>
      </c>
      <c r="X5963">
        <v>0</v>
      </c>
      <c r="AC5963">
        <v>415</v>
      </c>
      <c r="AU5963">
        <f t="shared" si="184"/>
        <v>0</v>
      </c>
      <c r="AV5963">
        <f t="shared" si="185"/>
        <v>0</v>
      </c>
    </row>
    <row r="5964" spans="1:48" x14ac:dyDescent="0.25">
      <c r="A5964" t="s">
        <v>14184</v>
      </c>
      <c r="C5964" t="s">
        <v>14185</v>
      </c>
      <c r="D5964" t="s">
        <v>12391</v>
      </c>
      <c r="E5964" t="s">
        <v>1663</v>
      </c>
      <c r="F5964">
        <v>5</v>
      </c>
      <c r="G5964">
        <v>5.5</v>
      </c>
      <c r="H5964" t="s">
        <v>2017</v>
      </c>
      <c r="I5964" s="21">
        <v>43613</v>
      </c>
      <c r="J5964">
        <v>2019</v>
      </c>
      <c r="M5964" s="21">
        <v>43616</v>
      </c>
      <c r="N5964">
        <v>2019</v>
      </c>
      <c r="Q5964" s="262">
        <v>0</v>
      </c>
      <c r="S5964" t="s">
        <v>114</v>
      </c>
      <c r="T5964" t="s">
        <v>114</v>
      </c>
      <c r="V5964">
        <v>0</v>
      </c>
      <c r="W5964">
        <v>0</v>
      </c>
      <c r="X5964">
        <v>0</v>
      </c>
      <c r="AU5964">
        <f t="shared" si="184"/>
        <v>0</v>
      </c>
      <c r="AV5964">
        <f t="shared" si="185"/>
        <v>0</v>
      </c>
    </row>
    <row r="5965" spans="1:48" x14ac:dyDescent="0.25">
      <c r="A5965" t="s">
        <v>19770</v>
      </c>
      <c r="C5965" t="s">
        <v>11488</v>
      </c>
      <c r="D5965" t="s">
        <v>19771</v>
      </c>
      <c r="E5965" t="s">
        <v>1663</v>
      </c>
      <c r="F5965">
        <v>5</v>
      </c>
      <c r="G5965">
        <v>5.5</v>
      </c>
      <c r="H5965" t="s">
        <v>2017</v>
      </c>
      <c r="I5965" s="21">
        <v>43613</v>
      </c>
      <c r="J5965">
        <v>2019</v>
      </c>
      <c r="K5965" s="21">
        <v>43808</v>
      </c>
      <c r="L5965">
        <v>2019</v>
      </c>
      <c r="M5965" s="21">
        <v>44511</v>
      </c>
      <c r="N5965">
        <v>2021</v>
      </c>
      <c r="Q5965" s="262">
        <v>300000</v>
      </c>
      <c r="S5965" t="s">
        <v>13253</v>
      </c>
      <c r="T5965">
        <v>13427</v>
      </c>
      <c r="U5965">
        <v>5</v>
      </c>
      <c r="V5965">
        <v>0</v>
      </c>
      <c r="W5965">
        <v>1134</v>
      </c>
      <c r="X5965">
        <v>0</v>
      </c>
      <c r="AC5965">
        <v>1134</v>
      </c>
      <c r="AU5965">
        <f t="shared" si="184"/>
        <v>0</v>
      </c>
      <c r="AV5965">
        <f t="shared" si="185"/>
        <v>0</v>
      </c>
    </row>
    <row r="5966" spans="1:48" x14ac:dyDescent="0.25">
      <c r="A5966" t="s">
        <v>14178</v>
      </c>
      <c r="C5966" t="s">
        <v>14179</v>
      </c>
      <c r="D5966" t="s">
        <v>2336</v>
      </c>
      <c r="E5966" t="s">
        <v>1663</v>
      </c>
      <c r="F5966">
        <v>5</v>
      </c>
      <c r="G5966">
        <v>5.4</v>
      </c>
      <c r="H5966" t="s">
        <v>2017</v>
      </c>
      <c r="I5966" s="21">
        <v>43613</v>
      </c>
      <c r="J5966">
        <v>2019</v>
      </c>
      <c r="K5966" s="21">
        <v>43621</v>
      </c>
      <c r="L5966">
        <v>2019</v>
      </c>
      <c r="P5966" s="21">
        <v>43894</v>
      </c>
      <c r="Q5966" s="262">
        <v>0</v>
      </c>
      <c r="S5966" t="s">
        <v>114</v>
      </c>
      <c r="T5966" t="s">
        <v>114</v>
      </c>
      <c r="V5966">
        <v>0</v>
      </c>
      <c r="W5966">
        <v>0</v>
      </c>
      <c r="X5966">
        <v>0</v>
      </c>
      <c r="AU5966">
        <f t="shared" si="184"/>
        <v>0</v>
      </c>
      <c r="AV5966">
        <f t="shared" si="185"/>
        <v>0</v>
      </c>
    </row>
    <row r="5967" spans="1:48" x14ac:dyDescent="0.25">
      <c r="A5967" t="s">
        <v>14180</v>
      </c>
      <c r="C5967" t="s">
        <v>14181</v>
      </c>
      <c r="D5967" t="s">
        <v>2524</v>
      </c>
      <c r="E5967" t="s">
        <v>1663</v>
      </c>
      <c r="F5967">
        <v>5</v>
      </c>
      <c r="G5967">
        <v>5.4</v>
      </c>
      <c r="H5967" t="s">
        <v>2017</v>
      </c>
      <c r="I5967" s="21">
        <v>43613</v>
      </c>
      <c r="J5967">
        <v>2019</v>
      </c>
      <c r="K5967" s="21">
        <v>43621</v>
      </c>
      <c r="L5967">
        <v>2019</v>
      </c>
      <c r="P5967" s="21">
        <v>43894</v>
      </c>
      <c r="Q5967" s="262">
        <v>0</v>
      </c>
      <c r="S5967" t="s">
        <v>114</v>
      </c>
      <c r="T5967" t="s">
        <v>114</v>
      </c>
      <c r="V5967">
        <v>0</v>
      </c>
      <c r="W5967">
        <v>0</v>
      </c>
      <c r="X5967">
        <v>0</v>
      </c>
      <c r="AU5967">
        <f t="shared" si="184"/>
        <v>0</v>
      </c>
      <c r="AV5967">
        <f t="shared" si="185"/>
        <v>0</v>
      </c>
    </row>
    <row r="5968" spans="1:48" x14ac:dyDescent="0.25">
      <c r="A5968" t="s">
        <v>14182</v>
      </c>
      <c r="C5968" t="s">
        <v>14183</v>
      </c>
      <c r="D5968" t="s">
        <v>2524</v>
      </c>
      <c r="E5968" t="s">
        <v>1663</v>
      </c>
      <c r="F5968">
        <v>5</v>
      </c>
      <c r="G5968">
        <v>5.4</v>
      </c>
      <c r="H5968" t="s">
        <v>2017</v>
      </c>
      <c r="I5968" s="21">
        <v>43613</v>
      </c>
      <c r="J5968">
        <v>2019</v>
      </c>
      <c r="K5968" s="21">
        <v>43621</v>
      </c>
      <c r="L5968">
        <v>2019</v>
      </c>
      <c r="P5968" s="21">
        <v>43894</v>
      </c>
      <c r="Q5968" s="262">
        <v>0</v>
      </c>
      <c r="S5968" t="s">
        <v>114</v>
      </c>
      <c r="T5968" t="s">
        <v>114</v>
      </c>
      <c r="V5968">
        <v>0</v>
      </c>
      <c r="W5968">
        <v>0</v>
      </c>
      <c r="X5968">
        <v>0</v>
      </c>
      <c r="AU5968">
        <f t="shared" si="184"/>
        <v>0</v>
      </c>
      <c r="AV5968">
        <f t="shared" si="185"/>
        <v>0</v>
      </c>
    </row>
    <row r="5969" spans="1:48" x14ac:dyDescent="0.25">
      <c r="A5969" t="s">
        <v>18702</v>
      </c>
      <c r="B5969" t="s">
        <v>18702</v>
      </c>
      <c r="C5969" t="s">
        <v>18703</v>
      </c>
      <c r="D5969" t="s">
        <v>2599</v>
      </c>
      <c r="E5969" t="s">
        <v>2310</v>
      </c>
      <c r="F5969">
        <v>13</v>
      </c>
      <c r="G5969">
        <v>13.1</v>
      </c>
      <c r="H5969" t="s">
        <v>2327</v>
      </c>
      <c r="I5969" s="21">
        <v>43613.430078090278</v>
      </c>
      <c r="J5969">
        <v>2019</v>
      </c>
      <c r="K5969" s="21">
        <v>43633.560981400464</v>
      </c>
      <c r="L5969">
        <v>2019</v>
      </c>
      <c r="M5969" s="21">
        <v>43787.462469062499</v>
      </c>
      <c r="N5969">
        <v>2019</v>
      </c>
      <c r="Q5969" s="262">
        <v>600000</v>
      </c>
      <c r="R5969" s="262">
        <v>270000</v>
      </c>
      <c r="S5969" t="s">
        <v>13253</v>
      </c>
      <c r="T5969">
        <v>7211</v>
      </c>
      <c r="V5969">
        <v>0</v>
      </c>
      <c r="W5969">
        <v>142</v>
      </c>
      <c r="X5969">
        <v>0</v>
      </c>
      <c r="AB5969">
        <v>142</v>
      </c>
      <c r="AU5969">
        <f t="shared" si="184"/>
        <v>0</v>
      </c>
      <c r="AV5969">
        <f t="shared" si="185"/>
        <v>142</v>
      </c>
    </row>
    <row r="5970" spans="1:48" x14ac:dyDescent="0.25">
      <c r="A5970" t="s">
        <v>14186</v>
      </c>
      <c r="B5970" t="s">
        <v>14186</v>
      </c>
      <c r="C5970" t="s">
        <v>14187</v>
      </c>
      <c r="D5970" t="s">
        <v>14188</v>
      </c>
      <c r="E5970" t="s">
        <v>2310</v>
      </c>
      <c r="F5970">
        <v>9</v>
      </c>
      <c r="G5970">
        <v>9.3000000000000007</v>
      </c>
      <c r="H5970" t="s">
        <v>2323</v>
      </c>
      <c r="I5970" s="21">
        <v>43613.584404942099</v>
      </c>
      <c r="J5970">
        <v>2019</v>
      </c>
      <c r="O5970" s="21">
        <v>43623.387794907401</v>
      </c>
      <c r="Q5970" s="262">
        <v>60000</v>
      </c>
      <c r="R5970" s="262">
        <v>37000</v>
      </c>
      <c r="S5970" t="s">
        <v>114</v>
      </c>
      <c r="T5970" t="s">
        <v>114</v>
      </c>
      <c r="V5970">
        <v>0</v>
      </c>
      <c r="W5970">
        <v>350</v>
      </c>
      <c r="X5970">
        <v>0</v>
      </c>
      <c r="AL5970">
        <v>350</v>
      </c>
      <c r="AU5970">
        <f t="shared" si="184"/>
        <v>0</v>
      </c>
      <c r="AV5970">
        <f t="shared" si="185"/>
        <v>350</v>
      </c>
    </row>
    <row r="5971" spans="1:48" x14ac:dyDescent="0.25">
      <c r="A5971" t="s">
        <v>19519</v>
      </c>
      <c r="B5971" t="s">
        <v>19519</v>
      </c>
      <c r="C5971" t="s">
        <v>19520</v>
      </c>
      <c r="D5971" t="s">
        <v>14422</v>
      </c>
      <c r="E5971" t="s">
        <v>2310</v>
      </c>
      <c r="F5971">
        <v>10</v>
      </c>
      <c r="G5971">
        <v>10.199999999999999</v>
      </c>
      <c r="H5971" t="s">
        <v>2022</v>
      </c>
      <c r="I5971" s="21">
        <v>43613.695824270835</v>
      </c>
      <c r="J5971">
        <v>2019</v>
      </c>
      <c r="K5971" s="21">
        <v>43788.650526469908</v>
      </c>
      <c r="L5971">
        <v>2019</v>
      </c>
      <c r="M5971" s="21">
        <v>44077.582204976854</v>
      </c>
      <c r="N5971">
        <v>2020</v>
      </c>
      <c r="Q5971" s="262">
        <v>2100000</v>
      </c>
      <c r="R5971" s="262">
        <v>1169000</v>
      </c>
      <c r="S5971" t="s">
        <v>13254</v>
      </c>
      <c r="V5971">
        <v>0</v>
      </c>
      <c r="W5971">
        <v>9876</v>
      </c>
      <c r="X5971">
        <v>0</v>
      </c>
      <c r="AM5971">
        <v>9876</v>
      </c>
      <c r="AU5971">
        <f t="shared" si="184"/>
        <v>0</v>
      </c>
      <c r="AV5971">
        <f t="shared" si="185"/>
        <v>9876</v>
      </c>
    </row>
    <row r="5972" spans="1:48" x14ac:dyDescent="0.25">
      <c r="A5972" t="s">
        <v>19961</v>
      </c>
      <c r="C5972" t="s">
        <v>14920</v>
      </c>
      <c r="D5972" t="s">
        <v>17406</v>
      </c>
      <c r="E5972" t="s">
        <v>1663</v>
      </c>
      <c r="F5972">
        <v>3</v>
      </c>
      <c r="G5972">
        <v>3.1</v>
      </c>
      <c r="H5972" t="s">
        <v>2017</v>
      </c>
      <c r="I5972" s="21">
        <v>43614</v>
      </c>
      <c r="J5972">
        <v>2019</v>
      </c>
      <c r="K5972" s="21">
        <v>43668</v>
      </c>
      <c r="L5972">
        <v>2019</v>
      </c>
      <c r="M5972" s="21">
        <v>44502</v>
      </c>
      <c r="N5972">
        <v>2021</v>
      </c>
      <c r="Q5972" s="262">
        <v>120000</v>
      </c>
      <c r="S5972" t="s">
        <v>13254</v>
      </c>
      <c r="U5972">
        <v>8</v>
      </c>
      <c r="V5972">
        <v>0</v>
      </c>
      <c r="W5972">
        <v>492</v>
      </c>
      <c r="X5972">
        <v>1</v>
      </c>
      <c r="AE5972">
        <v>492</v>
      </c>
      <c r="AR5972">
        <v>1</v>
      </c>
      <c r="AU5972">
        <f t="shared" si="184"/>
        <v>0</v>
      </c>
      <c r="AV5972">
        <f t="shared" si="185"/>
        <v>0</v>
      </c>
    </row>
    <row r="5973" spans="1:48" x14ac:dyDescent="0.25">
      <c r="A5973" t="s">
        <v>19962</v>
      </c>
      <c r="C5973" t="s">
        <v>11246</v>
      </c>
      <c r="D5973" t="s">
        <v>17406</v>
      </c>
      <c r="E5973" t="s">
        <v>1663</v>
      </c>
      <c r="F5973">
        <v>3</v>
      </c>
      <c r="G5973">
        <v>3.1</v>
      </c>
      <c r="H5973" t="s">
        <v>2017</v>
      </c>
      <c r="I5973" s="21">
        <v>43614</v>
      </c>
      <c r="J5973">
        <v>2019</v>
      </c>
      <c r="K5973" s="21">
        <v>43668</v>
      </c>
      <c r="L5973">
        <v>2019</v>
      </c>
      <c r="M5973" s="21">
        <v>44502</v>
      </c>
      <c r="N5973">
        <v>2021</v>
      </c>
      <c r="Q5973" s="262">
        <v>1000000</v>
      </c>
      <c r="S5973" t="s">
        <v>12464</v>
      </c>
      <c r="T5973">
        <v>10469</v>
      </c>
      <c r="U5973">
        <v>5</v>
      </c>
      <c r="V5973">
        <v>0</v>
      </c>
      <c r="W5973">
        <v>3680</v>
      </c>
      <c r="X5973">
        <v>1</v>
      </c>
      <c r="AC5973">
        <v>3680</v>
      </c>
      <c r="AO5973">
        <v>1</v>
      </c>
      <c r="AU5973">
        <f t="shared" si="184"/>
        <v>1</v>
      </c>
      <c r="AV5973">
        <f t="shared" si="185"/>
        <v>0</v>
      </c>
    </row>
    <row r="5974" spans="1:48" x14ac:dyDescent="0.25">
      <c r="A5974" t="s">
        <v>19962</v>
      </c>
      <c r="C5974" t="s">
        <v>11246</v>
      </c>
      <c r="D5974" t="s">
        <v>17406</v>
      </c>
      <c r="E5974" t="s">
        <v>1663</v>
      </c>
      <c r="F5974">
        <v>3</v>
      </c>
      <c r="G5974">
        <v>3.1</v>
      </c>
      <c r="H5974" t="s">
        <v>2017</v>
      </c>
      <c r="I5974" s="21">
        <v>43614</v>
      </c>
      <c r="J5974">
        <v>2019</v>
      </c>
      <c r="K5974" s="21">
        <v>43668</v>
      </c>
      <c r="L5974">
        <v>2019</v>
      </c>
      <c r="M5974" s="21">
        <v>44502</v>
      </c>
      <c r="N5974">
        <v>2021</v>
      </c>
      <c r="Q5974" s="262">
        <v>1000000</v>
      </c>
      <c r="R5974" s="262">
        <v>0</v>
      </c>
      <c r="S5974" t="s">
        <v>9529</v>
      </c>
      <c r="T5974">
        <v>10469</v>
      </c>
      <c r="U5974">
        <v>5</v>
      </c>
      <c r="W5974">
        <v>-2064</v>
      </c>
      <c r="X5974">
        <v>-1</v>
      </c>
      <c r="Y5974">
        <v>0</v>
      </c>
      <c r="Z5974">
        <v>0</v>
      </c>
      <c r="AA5974">
        <v>0</v>
      </c>
      <c r="AB5974">
        <v>0</v>
      </c>
      <c r="AC5974">
        <v>-2064</v>
      </c>
      <c r="AD5974">
        <v>0</v>
      </c>
      <c r="AE5974">
        <v>0</v>
      </c>
      <c r="AF5974">
        <v>0</v>
      </c>
      <c r="AG5974">
        <v>0</v>
      </c>
      <c r="AH5974">
        <v>0</v>
      </c>
      <c r="AI5974">
        <v>0</v>
      </c>
      <c r="AJ5974">
        <v>0</v>
      </c>
      <c r="AK5974">
        <v>0</v>
      </c>
      <c r="AL5974">
        <v>0</v>
      </c>
      <c r="AM5974">
        <v>0</v>
      </c>
      <c r="AN5974">
        <v>0</v>
      </c>
      <c r="AO5974">
        <v>-1</v>
      </c>
      <c r="AP5974">
        <v>0</v>
      </c>
      <c r="AQ5974">
        <v>0</v>
      </c>
      <c r="AR5974">
        <v>0</v>
      </c>
      <c r="AS5974">
        <v>0</v>
      </c>
      <c r="AT5974">
        <v>0</v>
      </c>
      <c r="AU5974">
        <f t="shared" si="184"/>
        <v>-1</v>
      </c>
      <c r="AV5974">
        <f t="shared" si="185"/>
        <v>0</v>
      </c>
    </row>
    <row r="5975" spans="1:48" x14ac:dyDescent="0.25">
      <c r="A5975" t="s">
        <v>14189</v>
      </c>
      <c r="B5975" t="s">
        <v>14189</v>
      </c>
      <c r="C5975" t="s">
        <v>14190</v>
      </c>
      <c r="D5975" t="s">
        <v>14191</v>
      </c>
      <c r="E5975" t="s">
        <v>2310</v>
      </c>
      <c r="F5975">
        <v>13</v>
      </c>
      <c r="G5975">
        <v>13.3</v>
      </c>
      <c r="H5975" t="s">
        <v>2017</v>
      </c>
      <c r="I5975" s="21">
        <v>43614.501532789298</v>
      </c>
      <c r="J5975">
        <v>2019</v>
      </c>
      <c r="P5975" s="21">
        <v>43987.662119409702</v>
      </c>
      <c r="Q5975" s="262">
        <v>700000</v>
      </c>
      <c r="R5975" s="262">
        <v>285000</v>
      </c>
      <c r="S5975" t="s">
        <v>114</v>
      </c>
      <c r="T5975" t="s">
        <v>114</v>
      </c>
      <c r="V5975">
        <v>0</v>
      </c>
      <c r="W5975">
        <v>3110</v>
      </c>
      <c r="X5975">
        <v>1</v>
      </c>
      <c r="AC5975">
        <v>3110</v>
      </c>
      <c r="AO5975">
        <v>1</v>
      </c>
      <c r="AU5975">
        <f t="shared" si="184"/>
        <v>1</v>
      </c>
      <c r="AV5975">
        <f t="shared" si="185"/>
        <v>0</v>
      </c>
    </row>
    <row r="5976" spans="1:48" x14ac:dyDescent="0.25">
      <c r="A5976" t="s">
        <v>14192</v>
      </c>
      <c r="B5976" t="s">
        <v>14192</v>
      </c>
      <c r="C5976" t="s">
        <v>14193</v>
      </c>
      <c r="D5976" t="s">
        <v>14194</v>
      </c>
      <c r="E5976" t="s">
        <v>2310</v>
      </c>
      <c r="F5976">
        <v>8</v>
      </c>
      <c r="G5976">
        <v>8.3000000000000007</v>
      </c>
      <c r="H5976" t="s">
        <v>2323</v>
      </c>
      <c r="I5976" s="21">
        <v>43614.642185532401</v>
      </c>
      <c r="J5976">
        <v>2019</v>
      </c>
      <c r="K5976" s="21">
        <v>43767.651320405101</v>
      </c>
      <c r="L5976">
        <v>2019</v>
      </c>
      <c r="Q5976" s="262">
        <v>1100000</v>
      </c>
      <c r="R5976" s="262">
        <v>592000</v>
      </c>
      <c r="S5976" t="s">
        <v>114</v>
      </c>
      <c r="T5976" t="s">
        <v>114</v>
      </c>
      <c r="V5976">
        <v>0</v>
      </c>
      <c r="W5976">
        <v>4754</v>
      </c>
      <c r="X5976">
        <v>1</v>
      </c>
      <c r="AC5976">
        <v>4754</v>
      </c>
      <c r="AO5976">
        <v>1</v>
      </c>
      <c r="AU5976">
        <f t="shared" si="184"/>
        <v>1</v>
      </c>
      <c r="AV5976">
        <f t="shared" si="185"/>
        <v>0</v>
      </c>
    </row>
    <row r="5977" spans="1:48" x14ac:dyDescent="0.25">
      <c r="A5977" t="s">
        <v>19843</v>
      </c>
      <c r="B5977" t="s">
        <v>19843</v>
      </c>
      <c r="C5977" t="s">
        <v>13846</v>
      </c>
      <c r="D5977" t="s">
        <v>13847</v>
      </c>
      <c r="E5977" t="s">
        <v>2310</v>
      </c>
      <c r="F5977">
        <v>9</v>
      </c>
      <c r="G5977">
        <v>9.3000000000000007</v>
      </c>
      <c r="H5977" t="s">
        <v>2323</v>
      </c>
      <c r="I5977" s="21">
        <v>43615.6073700579</v>
      </c>
      <c r="J5977">
        <v>2019</v>
      </c>
      <c r="K5977" s="21">
        <v>43668.595834953703</v>
      </c>
      <c r="L5977">
        <v>2019</v>
      </c>
      <c r="M5977" s="21">
        <v>44336</v>
      </c>
      <c r="N5977">
        <v>2021</v>
      </c>
      <c r="Q5977" s="262">
        <v>2800000</v>
      </c>
      <c r="R5977" s="262">
        <v>629000</v>
      </c>
      <c r="S5977" t="s">
        <v>13254</v>
      </c>
      <c r="U5977">
        <v>5</v>
      </c>
      <c r="V5977">
        <v>0</v>
      </c>
      <c r="W5977">
        <v>5128</v>
      </c>
      <c r="X5977">
        <v>1</v>
      </c>
      <c r="AC5977">
        <v>5128</v>
      </c>
      <c r="AO5977">
        <v>1</v>
      </c>
      <c r="AU5977">
        <f t="shared" ref="AU5977:AU6040" si="186">SUM(AN5977:AQ5977,AS5977)</f>
        <v>1</v>
      </c>
      <c r="AV5977">
        <f t="shared" ref="AV5977:AV6040" si="187">SUM(Y5977:AB5977,AH5977:AM5977)</f>
        <v>0</v>
      </c>
    </row>
    <row r="5978" spans="1:48" x14ac:dyDescent="0.25">
      <c r="A5978" t="s">
        <v>14199</v>
      </c>
      <c r="C5978" t="s">
        <v>11879</v>
      </c>
      <c r="D5978" t="s">
        <v>14200</v>
      </c>
      <c r="E5978" t="s">
        <v>1663</v>
      </c>
      <c r="F5978">
        <v>3</v>
      </c>
      <c r="G5978">
        <v>3.2</v>
      </c>
      <c r="H5978" t="s">
        <v>2327</v>
      </c>
      <c r="I5978" s="21">
        <v>43616</v>
      </c>
      <c r="J5978">
        <v>2019</v>
      </c>
      <c r="K5978" s="21">
        <v>43622</v>
      </c>
      <c r="L5978">
        <v>2019</v>
      </c>
      <c r="M5978" s="21">
        <v>43690</v>
      </c>
      <c r="N5978">
        <v>2019</v>
      </c>
      <c r="Q5978" s="262">
        <v>75000</v>
      </c>
      <c r="S5978" t="s">
        <v>114</v>
      </c>
      <c r="T5978" t="s">
        <v>114</v>
      </c>
      <c r="V5978">
        <v>0</v>
      </c>
      <c r="W5978">
        <v>0</v>
      </c>
      <c r="X5978">
        <v>0</v>
      </c>
      <c r="AU5978">
        <f t="shared" si="186"/>
        <v>0</v>
      </c>
      <c r="AV5978">
        <f t="shared" si="187"/>
        <v>0</v>
      </c>
    </row>
    <row r="5979" spans="1:48" x14ac:dyDescent="0.25">
      <c r="A5979" t="s">
        <v>14195</v>
      </c>
      <c r="C5979" t="s">
        <v>14196</v>
      </c>
      <c r="D5979" t="s">
        <v>8493</v>
      </c>
      <c r="E5979" t="s">
        <v>1663</v>
      </c>
      <c r="F5979">
        <v>2</v>
      </c>
      <c r="G5979">
        <v>2.6</v>
      </c>
      <c r="H5979" t="s">
        <v>2327</v>
      </c>
      <c r="I5979" s="21">
        <v>43616</v>
      </c>
      <c r="J5979">
        <v>2019</v>
      </c>
      <c r="K5979" s="21">
        <v>43626</v>
      </c>
      <c r="L5979">
        <v>2019</v>
      </c>
      <c r="M5979" s="21">
        <v>43896</v>
      </c>
      <c r="N5979">
        <v>2020</v>
      </c>
      <c r="Q5979" s="262">
        <v>20000</v>
      </c>
      <c r="S5979" t="s">
        <v>114</v>
      </c>
      <c r="T5979" t="s">
        <v>114</v>
      </c>
      <c r="V5979">
        <v>0</v>
      </c>
      <c r="W5979">
        <v>0</v>
      </c>
      <c r="X5979">
        <v>0</v>
      </c>
      <c r="AU5979">
        <f t="shared" si="186"/>
        <v>0</v>
      </c>
      <c r="AV5979">
        <f t="shared" si="187"/>
        <v>0</v>
      </c>
    </row>
    <row r="5980" spans="1:48" x14ac:dyDescent="0.25">
      <c r="A5980" t="s">
        <v>14197</v>
      </c>
      <c r="C5980" t="s">
        <v>14198</v>
      </c>
      <c r="D5980" t="s">
        <v>12661</v>
      </c>
      <c r="E5980" t="s">
        <v>1663</v>
      </c>
      <c r="F5980">
        <v>2</v>
      </c>
      <c r="G5980">
        <v>2.1</v>
      </c>
      <c r="H5980" t="s">
        <v>2327</v>
      </c>
      <c r="I5980" s="21">
        <v>43616</v>
      </c>
      <c r="J5980">
        <v>2019</v>
      </c>
      <c r="K5980" s="21">
        <v>43959</v>
      </c>
      <c r="L5980">
        <v>2020</v>
      </c>
      <c r="M5980" s="21">
        <v>44193</v>
      </c>
      <c r="N5980">
        <v>2020</v>
      </c>
      <c r="Q5980" s="262">
        <v>220000</v>
      </c>
      <c r="S5980" t="s">
        <v>114</v>
      </c>
      <c r="T5980" t="s">
        <v>114</v>
      </c>
      <c r="V5980">
        <v>0</v>
      </c>
      <c r="W5980">
        <v>0</v>
      </c>
      <c r="X5980">
        <v>0</v>
      </c>
      <c r="AU5980">
        <f t="shared" si="186"/>
        <v>0</v>
      </c>
      <c r="AV5980">
        <f t="shared" si="187"/>
        <v>0</v>
      </c>
    </row>
    <row r="5981" spans="1:48" x14ac:dyDescent="0.25">
      <c r="A5981" t="s">
        <v>14201</v>
      </c>
      <c r="C5981" t="s">
        <v>14202</v>
      </c>
      <c r="D5981" t="s">
        <v>14203</v>
      </c>
      <c r="E5981" t="s">
        <v>1663</v>
      </c>
      <c r="F5981">
        <v>1</v>
      </c>
      <c r="G5981">
        <v>1.2</v>
      </c>
      <c r="H5981" t="s">
        <v>2017</v>
      </c>
      <c r="I5981" s="21">
        <v>43616</v>
      </c>
      <c r="J5981">
        <v>2019</v>
      </c>
      <c r="K5981" s="21">
        <v>44407</v>
      </c>
      <c r="L5981">
        <v>2021</v>
      </c>
      <c r="P5981" s="21">
        <v>44587</v>
      </c>
      <c r="Q5981" s="262">
        <v>8000000</v>
      </c>
      <c r="S5981" t="s">
        <v>114</v>
      </c>
      <c r="T5981" t="s">
        <v>114</v>
      </c>
      <c r="V5981">
        <v>0</v>
      </c>
      <c r="W5981">
        <v>16156</v>
      </c>
      <c r="X5981">
        <v>4</v>
      </c>
      <c r="AH5981">
        <v>3210</v>
      </c>
      <c r="AI5981">
        <v>12946</v>
      </c>
      <c r="AT5981">
        <v>4</v>
      </c>
      <c r="AU5981">
        <f t="shared" si="186"/>
        <v>0</v>
      </c>
      <c r="AV5981">
        <f t="shared" si="187"/>
        <v>16156</v>
      </c>
    </row>
    <row r="5982" spans="1:48" x14ac:dyDescent="0.25">
      <c r="A5982" t="s">
        <v>19581</v>
      </c>
      <c r="B5982" t="s">
        <v>19581</v>
      </c>
      <c r="C5982" t="s">
        <v>19582</v>
      </c>
      <c r="D5982" t="s">
        <v>19583</v>
      </c>
      <c r="E5982" t="s">
        <v>2310</v>
      </c>
      <c r="F5982">
        <v>9</v>
      </c>
      <c r="G5982">
        <v>9.3000000000000007</v>
      </c>
      <c r="H5982" t="s">
        <v>2323</v>
      </c>
      <c r="I5982" s="21">
        <v>43616.525185497689</v>
      </c>
      <c r="J5982">
        <v>2019</v>
      </c>
      <c r="K5982" s="21">
        <v>43663.402172650465</v>
      </c>
      <c r="L5982">
        <v>2019</v>
      </c>
      <c r="M5982" s="21">
        <v>44139.570331331015</v>
      </c>
      <c r="N5982">
        <v>2020</v>
      </c>
      <c r="Q5982" s="262">
        <v>1000000</v>
      </c>
      <c r="R5982" s="262">
        <v>174000</v>
      </c>
      <c r="S5982" t="s">
        <v>13254</v>
      </c>
      <c r="V5982">
        <v>0</v>
      </c>
      <c r="W5982">
        <v>2156</v>
      </c>
      <c r="X5982">
        <v>1</v>
      </c>
      <c r="AC5982">
        <v>1156</v>
      </c>
      <c r="AF5982">
        <v>1000</v>
      </c>
      <c r="AR5982">
        <v>1</v>
      </c>
      <c r="AU5982">
        <f t="shared" si="186"/>
        <v>0</v>
      </c>
      <c r="AV5982">
        <f t="shared" si="187"/>
        <v>0</v>
      </c>
    </row>
    <row r="5983" spans="1:48" x14ac:dyDescent="0.25">
      <c r="A5983" t="s">
        <v>14204</v>
      </c>
      <c r="C5983" t="s">
        <v>13941</v>
      </c>
      <c r="D5983" t="s">
        <v>14205</v>
      </c>
      <c r="E5983" t="s">
        <v>1663</v>
      </c>
      <c r="F5983">
        <v>5</v>
      </c>
      <c r="G5983">
        <v>5.5</v>
      </c>
      <c r="H5983" t="s">
        <v>2017</v>
      </c>
      <c r="I5983" s="21">
        <v>43619</v>
      </c>
      <c r="J5983">
        <v>2019</v>
      </c>
      <c r="K5983" s="21">
        <v>43623</v>
      </c>
      <c r="L5983">
        <v>2019</v>
      </c>
      <c r="M5983" s="21">
        <v>43805</v>
      </c>
      <c r="N5983">
        <v>2019</v>
      </c>
      <c r="Q5983" s="262">
        <v>80000</v>
      </c>
      <c r="S5983" t="s">
        <v>114</v>
      </c>
      <c r="T5983" t="s">
        <v>114</v>
      </c>
      <c r="V5983">
        <v>0</v>
      </c>
      <c r="W5983">
        <v>0</v>
      </c>
      <c r="X5983">
        <v>0</v>
      </c>
      <c r="AU5983">
        <f t="shared" si="186"/>
        <v>0</v>
      </c>
      <c r="AV5983">
        <f t="shared" si="187"/>
        <v>0</v>
      </c>
    </row>
    <row r="5984" spans="1:48" x14ac:dyDescent="0.25">
      <c r="A5984" t="s">
        <v>20145</v>
      </c>
      <c r="B5984" t="s">
        <v>20145</v>
      </c>
      <c r="C5984" t="s">
        <v>20146</v>
      </c>
      <c r="D5984" t="s">
        <v>20147</v>
      </c>
      <c r="E5984" t="s">
        <v>2310</v>
      </c>
      <c r="F5984">
        <v>14</v>
      </c>
      <c r="G5984">
        <v>14.1</v>
      </c>
      <c r="H5984" t="s">
        <v>2022</v>
      </c>
      <c r="I5984" s="21">
        <v>43620.588345983801</v>
      </c>
      <c r="J5984">
        <v>2019</v>
      </c>
      <c r="K5984" s="21">
        <v>43704.669989664399</v>
      </c>
      <c r="L5984">
        <v>2019</v>
      </c>
      <c r="M5984" s="21">
        <v>44334</v>
      </c>
      <c r="N5984">
        <v>2021</v>
      </c>
      <c r="Q5984" s="262">
        <v>450000</v>
      </c>
      <c r="R5984" s="262">
        <v>240000</v>
      </c>
      <c r="S5984" t="s">
        <v>13254</v>
      </c>
      <c r="U5984">
        <v>5</v>
      </c>
      <c r="V5984">
        <v>0</v>
      </c>
      <c r="W5984">
        <v>2577</v>
      </c>
      <c r="X5984">
        <v>1</v>
      </c>
      <c r="AC5984">
        <v>2577</v>
      </c>
      <c r="AO5984">
        <v>1</v>
      </c>
      <c r="AU5984">
        <f t="shared" si="186"/>
        <v>1</v>
      </c>
      <c r="AV5984">
        <f t="shared" si="187"/>
        <v>0</v>
      </c>
    </row>
    <row r="5985" spans="1:48" x14ac:dyDescent="0.25">
      <c r="A5985" t="s">
        <v>14206</v>
      </c>
      <c r="B5985" t="s">
        <v>14206</v>
      </c>
      <c r="C5985" t="s">
        <v>14207</v>
      </c>
      <c r="D5985" t="s">
        <v>2456</v>
      </c>
      <c r="E5985" t="s">
        <v>2310</v>
      </c>
      <c r="F5985">
        <v>10</v>
      </c>
      <c r="G5985">
        <v>10.1</v>
      </c>
      <c r="H5985" t="s">
        <v>2323</v>
      </c>
      <c r="I5985" s="21">
        <v>43620.668647534701</v>
      </c>
      <c r="J5985">
        <v>2019</v>
      </c>
      <c r="K5985" s="21">
        <v>43655.5271462616</v>
      </c>
      <c r="L5985">
        <v>2019</v>
      </c>
      <c r="M5985" s="21">
        <v>44278</v>
      </c>
      <c r="N5985">
        <v>2021</v>
      </c>
      <c r="Q5985" s="262">
        <v>50000</v>
      </c>
      <c r="R5985" s="262">
        <v>77000</v>
      </c>
      <c r="S5985" t="s">
        <v>114</v>
      </c>
      <c r="T5985" t="s">
        <v>114</v>
      </c>
      <c r="V5985">
        <v>0</v>
      </c>
      <c r="W5985">
        <v>0</v>
      </c>
      <c r="X5985">
        <v>0</v>
      </c>
      <c r="AU5985">
        <f t="shared" si="186"/>
        <v>0</v>
      </c>
      <c r="AV5985">
        <f t="shared" si="187"/>
        <v>0</v>
      </c>
    </row>
    <row r="5986" spans="1:48" x14ac:dyDescent="0.25">
      <c r="A5986" t="s">
        <v>14208</v>
      </c>
      <c r="C5986" t="s">
        <v>14209</v>
      </c>
      <c r="D5986" t="s">
        <v>10189</v>
      </c>
      <c r="E5986" t="s">
        <v>1663</v>
      </c>
      <c r="F5986">
        <v>5</v>
      </c>
      <c r="G5986">
        <v>5.5</v>
      </c>
      <c r="H5986" t="s">
        <v>2017</v>
      </c>
      <c r="I5986" s="21">
        <v>43621</v>
      </c>
      <c r="J5986">
        <v>2019</v>
      </c>
      <c r="K5986" s="21">
        <v>43636</v>
      </c>
      <c r="L5986">
        <v>2019</v>
      </c>
      <c r="Q5986" s="262">
        <v>4300</v>
      </c>
      <c r="S5986" t="s">
        <v>114</v>
      </c>
      <c r="T5986" t="s">
        <v>114</v>
      </c>
      <c r="V5986">
        <v>0</v>
      </c>
      <c r="W5986">
        <v>0</v>
      </c>
      <c r="X5986">
        <v>0</v>
      </c>
      <c r="AU5986">
        <f t="shared" si="186"/>
        <v>0</v>
      </c>
      <c r="AV5986">
        <f t="shared" si="187"/>
        <v>0</v>
      </c>
    </row>
    <row r="5987" spans="1:48" x14ac:dyDescent="0.25">
      <c r="A5987" t="s">
        <v>19659</v>
      </c>
      <c r="C5987" t="s">
        <v>19660</v>
      </c>
      <c r="D5987" t="s">
        <v>13548</v>
      </c>
      <c r="E5987" t="s">
        <v>1663</v>
      </c>
      <c r="F5987">
        <v>4</v>
      </c>
      <c r="G5987">
        <v>4.2</v>
      </c>
      <c r="H5987" t="s">
        <v>2327</v>
      </c>
      <c r="I5987" s="21">
        <v>43621</v>
      </c>
      <c r="J5987">
        <v>2019</v>
      </c>
      <c r="K5987" s="21">
        <v>43706</v>
      </c>
      <c r="L5987">
        <v>2019</v>
      </c>
      <c r="M5987" s="21">
        <v>44313</v>
      </c>
      <c r="N5987">
        <v>2021</v>
      </c>
      <c r="S5987" t="s">
        <v>9529</v>
      </c>
      <c r="T5987">
        <v>12394</v>
      </c>
      <c r="U5987">
        <v>13</v>
      </c>
      <c r="W5987">
        <v>-3188</v>
      </c>
      <c r="X5987">
        <v>0</v>
      </c>
      <c r="Y5987">
        <v>0</v>
      </c>
      <c r="Z5987">
        <v>0</v>
      </c>
      <c r="AA5987">
        <v>0</v>
      </c>
      <c r="AB5987">
        <v>0</v>
      </c>
      <c r="AC5987">
        <v>0</v>
      </c>
      <c r="AD5987">
        <v>0</v>
      </c>
      <c r="AE5987">
        <v>0</v>
      </c>
      <c r="AF5987">
        <v>0</v>
      </c>
      <c r="AG5987">
        <v>0</v>
      </c>
      <c r="AH5987">
        <v>0</v>
      </c>
      <c r="AI5987">
        <v>0</v>
      </c>
      <c r="AJ5987">
        <v>0</v>
      </c>
      <c r="AK5987">
        <v>-3188</v>
      </c>
      <c r="AL5987">
        <v>0</v>
      </c>
      <c r="AM5987">
        <v>0</v>
      </c>
      <c r="AN5987">
        <v>0</v>
      </c>
      <c r="AO5987">
        <v>0</v>
      </c>
      <c r="AP5987">
        <v>0</v>
      </c>
      <c r="AQ5987">
        <v>0</v>
      </c>
      <c r="AR5987">
        <v>0</v>
      </c>
      <c r="AS5987">
        <v>0</v>
      </c>
      <c r="AT5987">
        <v>0</v>
      </c>
      <c r="AU5987">
        <f t="shared" si="186"/>
        <v>0</v>
      </c>
      <c r="AV5987">
        <f t="shared" si="187"/>
        <v>-3188</v>
      </c>
    </row>
    <row r="5988" spans="1:48" x14ac:dyDescent="0.25">
      <c r="A5988" t="s">
        <v>19918</v>
      </c>
      <c r="C5988" t="s">
        <v>19919</v>
      </c>
      <c r="D5988" t="s">
        <v>13548</v>
      </c>
      <c r="E5988" t="s">
        <v>1663</v>
      </c>
      <c r="F5988">
        <v>4</v>
      </c>
      <c r="G5988">
        <v>4.2</v>
      </c>
      <c r="H5988" t="s">
        <v>2327</v>
      </c>
      <c r="I5988" s="21">
        <v>43621</v>
      </c>
      <c r="J5988">
        <v>2019</v>
      </c>
      <c r="K5988" s="21">
        <v>43706</v>
      </c>
      <c r="L5988">
        <v>2019</v>
      </c>
      <c r="M5988" s="21">
        <v>44370</v>
      </c>
      <c r="N5988">
        <v>2021</v>
      </c>
      <c r="Q5988" s="262">
        <v>875000</v>
      </c>
      <c r="S5988" t="s">
        <v>13254</v>
      </c>
      <c r="U5988">
        <v>6</v>
      </c>
      <c r="V5988">
        <v>0</v>
      </c>
      <c r="W5988">
        <v>5760</v>
      </c>
      <c r="X5988">
        <v>4</v>
      </c>
      <c r="AD5988">
        <v>5760</v>
      </c>
      <c r="AP5988">
        <v>4</v>
      </c>
      <c r="AU5988">
        <f t="shared" si="186"/>
        <v>4</v>
      </c>
      <c r="AV5988">
        <f t="shared" si="187"/>
        <v>0</v>
      </c>
    </row>
    <row r="5989" spans="1:48" x14ac:dyDescent="0.25">
      <c r="A5989" t="s">
        <v>19659</v>
      </c>
      <c r="C5989" t="s">
        <v>19660</v>
      </c>
      <c r="D5989" t="s">
        <v>13548</v>
      </c>
      <c r="E5989" t="s">
        <v>1663</v>
      </c>
      <c r="F5989">
        <v>4</v>
      </c>
      <c r="G5989">
        <v>4.2</v>
      </c>
      <c r="H5989" t="s">
        <v>2327</v>
      </c>
      <c r="I5989" s="21">
        <v>43621</v>
      </c>
      <c r="J5989">
        <v>2019</v>
      </c>
      <c r="K5989" s="21">
        <v>43706</v>
      </c>
      <c r="L5989">
        <v>2019</v>
      </c>
      <c r="M5989" s="21">
        <v>44313</v>
      </c>
      <c r="N5989">
        <v>2021</v>
      </c>
      <c r="Q5989" s="262">
        <v>875000</v>
      </c>
      <c r="S5989" t="s">
        <v>13254</v>
      </c>
      <c r="U5989">
        <v>6</v>
      </c>
      <c r="V5989">
        <v>0</v>
      </c>
      <c r="W5989">
        <v>5760</v>
      </c>
      <c r="X5989">
        <v>4</v>
      </c>
      <c r="AD5989">
        <v>5760</v>
      </c>
      <c r="AP5989">
        <v>4</v>
      </c>
      <c r="AU5989">
        <f t="shared" si="186"/>
        <v>4</v>
      </c>
      <c r="AV5989">
        <f t="shared" si="187"/>
        <v>0</v>
      </c>
    </row>
    <row r="5990" spans="1:48" x14ac:dyDescent="0.25">
      <c r="A5990" t="s">
        <v>19920</v>
      </c>
      <c r="C5990" t="s">
        <v>19921</v>
      </c>
      <c r="D5990" t="s">
        <v>13548</v>
      </c>
      <c r="E5990" t="s">
        <v>1663</v>
      </c>
      <c r="F5990">
        <v>4</v>
      </c>
      <c r="G5990">
        <v>4.2</v>
      </c>
      <c r="H5990" t="s">
        <v>2327</v>
      </c>
      <c r="I5990" s="21">
        <v>43621</v>
      </c>
      <c r="J5990">
        <v>2019</v>
      </c>
      <c r="K5990" s="21">
        <v>43706</v>
      </c>
      <c r="L5990">
        <v>2019</v>
      </c>
      <c r="M5990" s="21">
        <v>44350</v>
      </c>
      <c r="N5990">
        <v>2021</v>
      </c>
      <c r="Q5990" s="262">
        <v>875000</v>
      </c>
      <c r="S5990" t="s">
        <v>13254</v>
      </c>
      <c r="U5990">
        <v>6</v>
      </c>
      <c r="V5990">
        <v>0</v>
      </c>
      <c r="W5990">
        <v>5760</v>
      </c>
      <c r="X5990">
        <v>4</v>
      </c>
      <c r="AD5990">
        <v>5760</v>
      </c>
      <c r="AP5990">
        <v>4</v>
      </c>
      <c r="AU5990">
        <f t="shared" si="186"/>
        <v>4</v>
      </c>
      <c r="AV5990">
        <f t="shared" si="187"/>
        <v>0</v>
      </c>
    </row>
    <row r="5991" spans="1:48" x14ac:dyDescent="0.25">
      <c r="A5991" t="s">
        <v>19922</v>
      </c>
      <c r="C5991" t="s">
        <v>19923</v>
      </c>
      <c r="D5991" t="s">
        <v>13548</v>
      </c>
      <c r="E5991" t="s">
        <v>1663</v>
      </c>
      <c r="F5991">
        <v>4</v>
      </c>
      <c r="G5991">
        <v>4.2</v>
      </c>
      <c r="H5991" t="s">
        <v>2327</v>
      </c>
      <c r="I5991" s="21">
        <v>43621</v>
      </c>
      <c r="J5991">
        <v>2019</v>
      </c>
      <c r="K5991" s="21">
        <v>43706</v>
      </c>
      <c r="L5991">
        <v>2019</v>
      </c>
      <c r="M5991" s="21">
        <v>44333</v>
      </c>
      <c r="N5991">
        <v>2021</v>
      </c>
      <c r="Q5991" s="262">
        <v>875000</v>
      </c>
      <c r="S5991" t="s">
        <v>13254</v>
      </c>
      <c r="U5991">
        <v>6</v>
      </c>
      <c r="V5991">
        <v>0</v>
      </c>
      <c r="W5991">
        <v>5760</v>
      </c>
      <c r="X5991">
        <v>4</v>
      </c>
      <c r="AD5991">
        <v>5760</v>
      </c>
      <c r="AP5991">
        <v>4</v>
      </c>
      <c r="AU5991">
        <f t="shared" si="186"/>
        <v>4</v>
      </c>
      <c r="AV5991">
        <f t="shared" si="187"/>
        <v>0</v>
      </c>
    </row>
    <row r="5992" spans="1:48" x14ac:dyDescent="0.25">
      <c r="A5992" t="s">
        <v>15414</v>
      </c>
      <c r="B5992" t="s">
        <v>15414</v>
      </c>
      <c r="C5992" t="s">
        <v>15415</v>
      </c>
      <c r="D5992" t="s">
        <v>15416</v>
      </c>
      <c r="E5992" t="s">
        <v>2310</v>
      </c>
      <c r="F5992">
        <v>14</v>
      </c>
      <c r="G5992">
        <v>14.1</v>
      </c>
      <c r="H5992" t="s">
        <v>2022</v>
      </c>
      <c r="I5992" s="21">
        <v>43621.686165706</v>
      </c>
      <c r="J5992">
        <v>2019</v>
      </c>
      <c r="K5992" s="21">
        <v>43727.3925052083</v>
      </c>
      <c r="L5992">
        <v>2019</v>
      </c>
      <c r="M5992" s="21">
        <v>44675</v>
      </c>
      <c r="N5992">
        <v>2022</v>
      </c>
      <c r="Q5992" s="262">
        <v>750000</v>
      </c>
      <c r="R5992" s="262">
        <v>167000</v>
      </c>
      <c r="S5992" t="s">
        <v>13254</v>
      </c>
      <c r="T5992">
        <v>0</v>
      </c>
      <c r="V5992">
        <v>0</v>
      </c>
      <c r="W5992">
        <v>2000</v>
      </c>
      <c r="X5992">
        <v>1</v>
      </c>
      <c r="AC5992">
        <v>1000</v>
      </c>
      <c r="AF5992">
        <v>1000</v>
      </c>
      <c r="AR5992">
        <v>1</v>
      </c>
      <c r="AU5992">
        <f t="shared" si="186"/>
        <v>0</v>
      </c>
      <c r="AV5992">
        <f t="shared" si="187"/>
        <v>0</v>
      </c>
    </row>
    <row r="5993" spans="1:48" x14ac:dyDescent="0.25">
      <c r="A5993" t="s">
        <v>19864</v>
      </c>
      <c r="B5993" t="s">
        <v>19864</v>
      </c>
      <c r="C5993" t="s">
        <v>19865</v>
      </c>
      <c r="D5993" t="s">
        <v>19866</v>
      </c>
      <c r="E5993" t="s">
        <v>2310</v>
      </c>
      <c r="F5993">
        <v>9</v>
      </c>
      <c r="G5993">
        <v>9.1999999999999993</v>
      </c>
      <c r="H5993" t="s">
        <v>2022</v>
      </c>
      <c r="I5993" s="21">
        <v>43622.655600891201</v>
      </c>
      <c r="J5993">
        <v>2019</v>
      </c>
      <c r="K5993" s="21">
        <v>43641.703952083299</v>
      </c>
      <c r="L5993">
        <v>2019</v>
      </c>
      <c r="M5993" s="21">
        <v>44461</v>
      </c>
      <c r="N5993">
        <v>2021</v>
      </c>
      <c r="Q5993" s="262">
        <v>10500000</v>
      </c>
      <c r="R5993" s="262">
        <v>1859000</v>
      </c>
      <c r="S5993" t="s">
        <v>13254</v>
      </c>
      <c r="U5993">
        <v>5</v>
      </c>
      <c r="V5993">
        <v>0</v>
      </c>
      <c r="W5993">
        <v>7312</v>
      </c>
      <c r="X5993">
        <v>1</v>
      </c>
      <c r="AC5993">
        <v>7312</v>
      </c>
      <c r="AO5993">
        <v>1</v>
      </c>
      <c r="AU5993">
        <f t="shared" si="186"/>
        <v>1</v>
      </c>
      <c r="AV5993">
        <f t="shared" si="187"/>
        <v>0</v>
      </c>
    </row>
    <row r="5994" spans="1:48" x14ac:dyDescent="0.25">
      <c r="A5994" t="s">
        <v>19869</v>
      </c>
      <c r="B5994" t="s">
        <v>19869</v>
      </c>
      <c r="C5994" t="s">
        <v>19870</v>
      </c>
      <c r="D5994" t="s">
        <v>19866</v>
      </c>
      <c r="E5994" t="s">
        <v>2310</v>
      </c>
      <c r="F5994">
        <v>9</v>
      </c>
      <c r="G5994">
        <v>9.1999999999999993</v>
      </c>
      <c r="H5994" t="s">
        <v>2022</v>
      </c>
      <c r="I5994" s="21">
        <v>43622.7024660069</v>
      </c>
      <c r="J5994">
        <v>2019</v>
      </c>
      <c r="K5994" s="21">
        <v>43696.619220335597</v>
      </c>
      <c r="L5994">
        <v>2019</v>
      </c>
      <c r="M5994" s="21">
        <v>44536</v>
      </c>
      <c r="N5994">
        <v>2021</v>
      </c>
      <c r="Q5994" s="262">
        <v>2000000</v>
      </c>
      <c r="R5994" s="262">
        <v>156000</v>
      </c>
      <c r="S5994" t="s">
        <v>13254</v>
      </c>
      <c r="U5994">
        <v>8</v>
      </c>
      <c r="V5994">
        <v>0</v>
      </c>
      <c r="W5994">
        <v>1000</v>
      </c>
      <c r="X5994">
        <v>1</v>
      </c>
      <c r="AC5994">
        <v>0</v>
      </c>
      <c r="AF5994">
        <v>1000</v>
      </c>
      <c r="AR5994">
        <v>1</v>
      </c>
      <c r="AU5994">
        <f t="shared" si="186"/>
        <v>0</v>
      </c>
      <c r="AV5994">
        <f t="shared" si="187"/>
        <v>0</v>
      </c>
    </row>
    <row r="5995" spans="1:48" x14ac:dyDescent="0.25">
      <c r="A5995" t="s">
        <v>19867</v>
      </c>
      <c r="B5995" t="s">
        <v>19867</v>
      </c>
      <c r="C5995" t="s">
        <v>19868</v>
      </c>
      <c r="D5995" t="s">
        <v>19866</v>
      </c>
      <c r="E5995" t="s">
        <v>2310</v>
      </c>
      <c r="F5995">
        <v>9</v>
      </c>
      <c r="G5995">
        <v>9.1999999999999993</v>
      </c>
      <c r="H5995" t="s">
        <v>2022</v>
      </c>
      <c r="I5995" s="21">
        <v>43622.702488229203</v>
      </c>
      <c r="J5995">
        <v>2019</v>
      </c>
      <c r="K5995" s="21">
        <v>43696.6199891551</v>
      </c>
      <c r="L5995">
        <v>2019</v>
      </c>
      <c r="M5995" s="21">
        <v>44462</v>
      </c>
      <c r="N5995">
        <v>2021</v>
      </c>
      <c r="Q5995" s="262">
        <v>500000</v>
      </c>
      <c r="R5995" s="262">
        <v>19000</v>
      </c>
      <c r="S5995" t="s">
        <v>13254</v>
      </c>
      <c r="U5995">
        <v>5</v>
      </c>
      <c r="V5995">
        <v>0</v>
      </c>
      <c r="W5995">
        <v>391</v>
      </c>
      <c r="X5995">
        <v>0</v>
      </c>
      <c r="AC5995">
        <v>391</v>
      </c>
      <c r="AU5995">
        <f t="shared" si="186"/>
        <v>0</v>
      </c>
      <c r="AV5995">
        <f t="shared" si="187"/>
        <v>0</v>
      </c>
    </row>
    <row r="5996" spans="1:48" x14ac:dyDescent="0.25">
      <c r="A5996" t="s">
        <v>14212</v>
      </c>
      <c r="C5996" t="s">
        <v>14213</v>
      </c>
      <c r="D5996" t="s">
        <v>7954</v>
      </c>
      <c r="E5996" t="s">
        <v>1663</v>
      </c>
      <c r="F5996">
        <v>2</v>
      </c>
      <c r="G5996">
        <v>2.2999999999999998</v>
      </c>
      <c r="H5996" t="s">
        <v>2327</v>
      </c>
      <c r="I5996" s="21">
        <v>43623</v>
      </c>
      <c r="J5996">
        <v>2019</v>
      </c>
      <c r="K5996" s="21">
        <v>43691</v>
      </c>
      <c r="L5996">
        <v>2019</v>
      </c>
      <c r="M5996" s="21">
        <v>44067</v>
      </c>
      <c r="N5996">
        <v>2020</v>
      </c>
      <c r="Q5996" s="262">
        <v>160000</v>
      </c>
      <c r="S5996" t="s">
        <v>114</v>
      </c>
      <c r="T5996" t="s">
        <v>114</v>
      </c>
      <c r="V5996">
        <v>0</v>
      </c>
      <c r="W5996">
        <v>0</v>
      </c>
      <c r="X5996">
        <v>0</v>
      </c>
      <c r="AU5996">
        <f t="shared" si="186"/>
        <v>0</v>
      </c>
      <c r="AV5996">
        <f t="shared" si="187"/>
        <v>0</v>
      </c>
    </row>
    <row r="5997" spans="1:48" x14ac:dyDescent="0.25">
      <c r="A5997" t="s">
        <v>17967</v>
      </c>
      <c r="B5997" t="s">
        <v>17967</v>
      </c>
      <c r="C5997" t="s">
        <v>17968</v>
      </c>
      <c r="D5997" t="s">
        <v>14188</v>
      </c>
      <c r="E5997" t="s">
        <v>2310</v>
      </c>
      <c r="F5997">
        <v>9</v>
      </c>
      <c r="G5997">
        <v>9.3000000000000007</v>
      </c>
      <c r="H5997" t="s">
        <v>2323</v>
      </c>
      <c r="I5997" s="21">
        <v>43623.376747881943</v>
      </c>
      <c r="J5997">
        <v>2019</v>
      </c>
      <c r="K5997" s="21">
        <v>43658.528229629628</v>
      </c>
      <c r="L5997">
        <v>2019</v>
      </c>
      <c r="M5997" s="21">
        <v>43979.485175196758</v>
      </c>
      <c r="N5997">
        <v>2020</v>
      </c>
      <c r="Q5997" s="262">
        <v>60000</v>
      </c>
      <c r="R5997" s="262">
        <v>17000</v>
      </c>
      <c r="S5997" t="s">
        <v>13253</v>
      </c>
      <c r="T5997">
        <v>2356</v>
      </c>
      <c r="V5997">
        <v>0</v>
      </c>
      <c r="W5997">
        <v>350</v>
      </c>
      <c r="X5997">
        <v>0</v>
      </c>
      <c r="AC5997">
        <v>350</v>
      </c>
      <c r="AU5997">
        <f t="shared" si="186"/>
        <v>0</v>
      </c>
      <c r="AV5997">
        <f t="shared" si="187"/>
        <v>0</v>
      </c>
    </row>
    <row r="5998" spans="1:48" x14ac:dyDescent="0.25">
      <c r="A5998" t="s">
        <v>14214</v>
      </c>
      <c r="B5998" t="s">
        <v>14214</v>
      </c>
      <c r="C5998" t="s">
        <v>14215</v>
      </c>
      <c r="D5998" t="s">
        <v>14216</v>
      </c>
      <c r="E5998" t="s">
        <v>2310</v>
      </c>
      <c r="F5998">
        <v>9</v>
      </c>
      <c r="G5998">
        <v>9.4</v>
      </c>
      <c r="H5998" t="s">
        <v>2323</v>
      </c>
      <c r="I5998" s="21">
        <v>43627.434621412001</v>
      </c>
      <c r="J5998">
        <v>2019</v>
      </c>
      <c r="K5998" s="21">
        <v>43661.676129976899</v>
      </c>
      <c r="L5998">
        <v>2019</v>
      </c>
      <c r="P5998" s="21">
        <v>43885.645075497698</v>
      </c>
      <c r="Q5998" s="262">
        <v>750000</v>
      </c>
      <c r="R5998" s="262">
        <v>231000</v>
      </c>
      <c r="S5998" t="s">
        <v>114</v>
      </c>
      <c r="T5998" t="s">
        <v>114</v>
      </c>
      <c r="V5998">
        <v>0</v>
      </c>
      <c r="W5998">
        <v>493</v>
      </c>
      <c r="X5998">
        <v>0</v>
      </c>
      <c r="AC5998">
        <v>493</v>
      </c>
      <c r="AU5998">
        <f t="shared" si="186"/>
        <v>0</v>
      </c>
      <c r="AV5998">
        <f t="shared" si="187"/>
        <v>0</v>
      </c>
    </row>
    <row r="5999" spans="1:48" x14ac:dyDescent="0.25">
      <c r="A5999" t="s">
        <v>14217</v>
      </c>
      <c r="B5999" t="s">
        <v>14217</v>
      </c>
      <c r="C5999" t="s">
        <v>14218</v>
      </c>
      <c r="D5999" t="s">
        <v>6445</v>
      </c>
      <c r="E5999" t="s">
        <v>2310</v>
      </c>
      <c r="F5999">
        <v>9</v>
      </c>
      <c r="G5999">
        <v>9.4</v>
      </c>
      <c r="H5999" t="s">
        <v>2323</v>
      </c>
      <c r="I5999" s="21">
        <v>43627.6453583681</v>
      </c>
      <c r="J5999">
        <v>2019</v>
      </c>
      <c r="K5999" s="21">
        <v>43644.637254085603</v>
      </c>
      <c r="L5999">
        <v>2019</v>
      </c>
      <c r="O5999" s="21">
        <v>43742.648288576398</v>
      </c>
      <c r="Q5999" s="262">
        <v>1522725</v>
      </c>
      <c r="R5999" s="262">
        <v>450000</v>
      </c>
      <c r="S5999" t="s">
        <v>114</v>
      </c>
      <c r="T5999" t="s">
        <v>114</v>
      </c>
      <c r="V5999">
        <v>0</v>
      </c>
      <c r="W5999">
        <v>3906</v>
      </c>
      <c r="X5999">
        <v>1</v>
      </c>
      <c r="AC5999">
        <v>3906</v>
      </c>
      <c r="AO5999">
        <v>1</v>
      </c>
      <c r="AU5999">
        <f t="shared" si="186"/>
        <v>1</v>
      </c>
      <c r="AV5999">
        <f t="shared" si="187"/>
        <v>0</v>
      </c>
    </row>
    <row r="6000" spans="1:48" x14ac:dyDescent="0.25">
      <c r="A6000" t="s">
        <v>14219</v>
      </c>
      <c r="B6000" t="s">
        <v>14219</v>
      </c>
      <c r="C6000" t="s">
        <v>14220</v>
      </c>
      <c r="D6000" t="s">
        <v>14221</v>
      </c>
      <c r="E6000" t="s">
        <v>2310</v>
      </c>
      <c r="F6000">
        <v>8</v>
      </c>
      <c r="G6000">
        <v>8.3000000000000007</v>
      </c>
      <c r="H6000" t="s">
        <v>2323</v>
      </c>
      <c r="I6000" s="21">
        <v>43627.687968831</v>
      </c>
      <c r="J6000">
        <v>2019</v>
      </c>
      <c r="K6000" s="21">
        <v>43993.562590011599</v>
      </c>
      <c r="L6000">
        <v>2020</v>
      </c>
      <c r="Q6000" s="262">
        <v>950000</v>
      </c>
      <c r="R6000" s="262">
        <v>333000</v>
      </c>
      <c r="S6000" t="s">
        <v>114</v>
      </c>
      <c r="T6000" t="s">
        <v>114</v>
      </c>
      <c r="V6000">
        <v>0</v>
      </c>
      <c r="W6000">
        <v>2802</v>
      </c>
      <c r="X6000">
        <v>1</v>
      </c>
      <c r="AC6000">
        <v>2802</v>
      </c>
      <c r="AO6000">
        <v>1</v>
      </c>
      <c r="AU6000">
        <f t="shared" si="186"/>
        <v>1</v>
      </c>
      <c r="AV6000">
        <f t="shared" si="187"/>
        <v>0</v>
      </c>
    </row>
    <row r="6001" spans="1:48" x14ac:dyDescent="0.25">
      <c r="A6001" t="s">
        <v>14222</v>
      </c>
      <c r="B6001" t="s">
        <v>14222</v>
      </c>
      <c r="C6001" t="s">
        <v>14223</v>
      </c>
      <c r="D6001" t="s">
        <v>14221</v>
      </c>
      <c r="E6001" t="s">
        <v>2310</v>
      </c>
      <c r="F6001">
        <v>8</v>
      </c>
      <c r="G6001">
        <v>8.3000000000000007</v>
      </c>
      <c r="H6001" t="s">
        <v>2323</v>
      </c>
      <c r="I6001" s="21">
        <v>43627.702006597203</v>
      </c>
      <c r="J6001">
        <v>2019</v>
      </c>
      <c r="K6001" s="21">
        <v>43993.564244560199</v>
      </c>
      <c r="L6001">
        <v>2020</v>
      </c>
      <c r="Q6001" s="262">
        <v>950000</v>
      </c>
      <c r="R6001" s="262">
        <v>29000</v>
      </c>
      <c r="S6001" t="s">
        <v>114</v>
      </c>
      <c r="T6001" t="s">
        <v>114</v>
      </c>
      <c r="V6001">
        <v>0</v>
      </c>
      <c r="W6001">
        <v>595</v>
      </c>
      <c r="X6001">
        <v>0</v>
      </c>
      <c r="AC6001">
        <v>595</v>
      </c>
      <c r="AU6001">
        <f t="shared" si="186"/>
        <v>0</v>
      </c>
      <c r="AV6001">
        <f t="shared" si="187"/>
        <v>0</v>
      </c>
    </row>
    <row r="6002" spans="1:48" x14ac:dyDescent="0.25">
      <c r="A6002" t="s">
        <v>14224</v>
      </c>
      <c r="C6002" t="s">
        <v>11879</v>
      </c>
      <c r="D6002" t="s">
        <v>14225</v>
      </c>
      <c r="E6002" t="s">
        <v>1663</v>
      </c>
      <c r="F6002">
        <v>6</v>
      </c>
      <c r="G6002">
        <v>6.2</v>
      </c>
      <c r="H6002" t="s">
        <v>2017</v>
      </c>
      <c r="I6002" s="21">
        <v>43628</v>
      </c>
      <c r="J6002">
        <v>2019</v>
      </c>
      <c r="K6002" s="21">
        <v>43636</v>
      </c>
      <c r="L6002">
        <v>2019</v>
      </c>
      <c r="Q6002" s="262">
        <v>282315</v>
      </c>
      <c r="S6002" t="s">
        <v>114</v>
      </c>
      <c r="T6002" t="s">
        <v>114</v>
      </c>
      <c r="V6002">
        <v>0</v>
      </c>
      <c r="W6002">
        <v>400</v>
      </c>
      <c r="X6002">
        <v>0</v>
      </c>
      <c r="AC6002">
        <v>400</v>
      </c>
      <c r="AU6002">
        <f t="shared" si="186"/>
        <v>0</v>
      </c>
      <c r="AV6002">
        <f t="shared" si="187"/>
        <v>0</v>
      </c>
    </row>
    <row r="6003" spans="1:48" x14ac:dyDescent="0.25">
      <c r="A6003" t="s">
        <v>20126</v>
      </c>
      <c r="B6003" t="s">
        <v>20126</v>
      </c>
      <c r="C6003" t="s">
        <v>20127</v>
      </c>
      <c r="D6003" t="s">
        <v>20128</v>
      </c>
      <c r="E6003" t="s">
        <v>2310</v>
      </c>
      <c r="F6003">
        <v>13</v>
      </c>
      <c r="G6003">
        <v>13.2</v>
      </c>
      <c r="H6003" t="s">
        <v>2327</v>
      </c>
      <c r="I6003" s="21">
        <v>43628.455046840303</v>
      </c>
      <c r="J6003">
        <v>2019</v>
      </c>
      <c r="K6003" s="21">
        <v>43721.634544247703</v>
      </c>
      <c r="L6003">
        <v>2019</v>
      </c>
      <c r="M6003" s="21">
        <v>44201</v>
      </c>
      <c r="N6003">
        <v>2021</v>
      </c>
      <c r="Q6003" s="262">
        <v>5000000</v>
      </c>
      <c r="R6003" s="262">
        <v>1426000</v>
      </c>
      <c r="S6003" t="s">
        <v>13254</v>
      </c>
      <c r="U6003">
        <v>5</v>
      </c>
      <c r="V6003">
        <v>0</v>
      </c>
      <c r="W6003">
        <v>9337</v>
      </c>
      <c r="X6003">
        <v>1</v>
      </c>
      <c r="AC6003">
        <v>9337</v>
      </c>
      <c r="AO6003">
        <v>1</v>
      </c>
      <c r="AU6003">
        <f t="shared" si="186"/>
        <v>1</v>
      </c>
      <c r="AV6003">
        <f t="shared" si="187"/>
        <v>0</v>
      </c>
    </row>
    <row r="6004" spans="1:48" x14ac:dyDescent="0.25">
      <c r="A6004" t="s">
        <v>18932</v>
      </c>
      <c r="B6004" t="s">
        <v>114</v>
      </c>
      <c r="C6004" t="s">
        <v>18933</v>
      </c>
      <c r="D6004" t="s">
        <v>18934</v>
      </c>
      <c r="E6004" t="s">
        <v>1663</v>
      </c>
      <c r="F6004">
        <v>3</v>
      </c>
      <c r="G6004">
        <v>3.1</v>
      </c>
      <c r="H6004" t="s">
        <v>2017</v>
      </c>
      <c r="I6004" s="21">
        <v>43630</v>
      </c>
      <c r="J6004">
        <v>2019</v>
      </c>
      <c r="K6004" s="21">
        <v>43685</v>
      </c>
      <c r="L6004">
        <v>2019</v>
      </c>
      <c r="M6004" s="21">
        <v>44069</v>
      </c>
      <c r="N6004">
        <v>2020</v>
      </c>
      <c r="Q6004" s="262">
        <v>500000</v>
      </c>
      <c r="S6004" t="s">
        <v>13253</v>
      </c>
      <c r="T6004">
        <v>10342</v>
      </c>
      <c r="V6004">
        <v>0</v>
      </c>
      <c r="W6004">
        <v>1549</v>
      </c>
      <c r="X6004">
        <v>0</v>
      </c>
      <c r="AC6004">
        <v>1549</v>
      </c>
      <c r="AU6004">
        <f t="shared" si="186"/>
        <v>0</v>
      </c>
      <c r="AV6004">
        <f t="shared" si="187"/>
        <v>0</v>
      </c>
    </row>
    <row r="6005" spans="1:48" x14ac:dyDescent="0.25">
      <c r="A6005" t="s">
        <v>14226</v>
      </c>
      <c r="B6005" t="s">
        <v>14226</v>
      </c>
      <c r="C6005" t="s">
        <v>14227</v>
      </c>
      <c r="D6005" t="s">
        <v>14228</v>
      </c>
      <c r="E6005" t="s">
        <v>2310</v>
      </c>
      <c r="F6005">
        <v>10</v>
      </c>
      <c r="G6005">
        <v>10.1</v>
      </c>
      <c r="H6005" t="s">
        <v>2323</v>
      </c>
      <c r="I6005" s="21">
        <v>43634.581933483802</v>
      </c>
      <c r="J6005">
        <v>2019</v>
      </c>
      <c r="O6005" s="21">
        <v>43762.366480243101</v>
      </c>
      <c r="Q6005" s="262">
        <v>650000</v>
      </c>
      <c r="R6005" s="262">
        <v>256000</v>
      </c>
      <c r="S6005" t="s">
        <v>114</v>
      </c>
      <c r="T6005" t="s">
        <v>114</v>
      </c>
      <c r="V6005">
        <v>0</v>
      </c>
      <c r="W6005">
        <v>2083</v>
      </c>
      <c r="X6005">
        <v>0</v>
      </c>
      <c r="AC6005">
        <v>2083</v>
      </c>
      <c r="AU6005">
        <f t="shared" si="186"/>
        <v>0</v>
      </c>
      <c r="AV6005">
        <f t="shared" si="187"/>
        <v>0</v>
      </c>
    </row>
    <row r="6006" spans="1:48" x14ac:dyDescent="0.25">
      <c r="A6006" t="s">
        <v>19798</v>
      </c>
      <c r="B6006" t="s">
        <v>19798</v>
      </c>
      <c r="C6006" t="s">
        <v>19799</v>
      </c>
      <c r="D6006" t="s">
        <v>19800</v>
      </c>
      <c r="E6006" t="s">
        <v>2310</v>
      </c>
      <c r="F6006">
        <v>7</v>
      </c>
      <c r="G6006">
        <v>7.2</v>
      </c>
      <c r="H6006" t="s">
        <v>2017</v>
      </c>
      <c r="I6006" s="21">
        <v>43635.465087187498</v>
      </c>
      <c r="J6006">
        <v>2019</v>
      </c>
      <c r="K6006" s="21">
        <v>44036.461505706</v>
      </c>
      <c r="L6006">
        <v>2020</v>
      </c>
      <c r="M6006" s="21">
        <v>44442</v>
      </c>
      <c r="N6006">
        <v>2021</v>
      </c>
      <c r="Q6006" s="262">
        <v>1100000</v>
      </c>
      <c r="R6006" s="262">
        <v>526000</v>
      </c>
      <c r="S6006" t="s">
        <v>13254</v>
      </c>
      <c r="U6006">
        <v>5</v>
      </c>
      <c r="V6006">
        <v>0</v>
      </c>
      <c r="W6006">
        <v>4773</v>
      </c>
      <c r="X6006">
        <v>1</v>
      </c>
      <c r="AC6006">
        <v>4773</v>
      </c>
      <c r="AO6006">
        <v>1</v>
      </c>
      <c r="AU6006">
        <f t="shared" si="186"/>
        <v>1</v>
      </c>
      <c r="AV6006">
        <f t="shared" si="187"/>
        <v>0</v>
      </c>
    </row>
    <row r="6007" spans="1:48" x14ac:dyDescent="0.25">
      <c r="A6007" t="s">
        <v>19512</v>
      </c>
      <c r="B6007" t="s">
        <v>19512</v>
      </c>
      <c r="C6007" t="s">
        <v>19513</v>
      </c>
      <c r="D6007" t="s">
        <v>19514</v>
      </c>
      <c r="E6007" t="s">
        <v>2310</v>
      </c>
      <c r="F6007">
        <v>10</v>
      </c>
      <c r="G6007">
        <v>10.1</v>
      </c>
      <c r="H6007" t="s">
        <v>2323</v>
      </c>
      <c r="I6007" s="21">
        <v>43635.652748495369</v>
      </c>
      <c r="J6007">
        <v>2019</v>
      </c>
      <c r="K6007" s="21">
        <v>43668.592176736114</v>
      </c>
      <c r="L6007">
        <v>2019</v>
      </c>
      <c r="M6007" s="21">
        <v>44075.38012144676</v>
      </c>
      <c r="N6007">
        <v>2020</v>
      </c>
      <c r="Q6007" s="262">
        <v>1300000</v>
      </c>
      <c r="R6007" s="262">
        <v>540000</v>
      </c>
      <c r="S6007" t="s">
        <v>13254</v>
      </c>
      <c r="V6007">
        <v>0</v>
      </c>
      <c r="W6007">
        <v>4963</v>
      </c>
      <c r="X6007">
        <v>1</v>
      </c>
      <c r="AC6007">
        <v>4963</v>
      </c>
      <c r="AO6007">
        <v>1</v>
      </c>
      <c r="AU6007">
        <f t="shared" si="186"/>
        <v>1</v>
      </c>
      <c r="AV6007">
        <f t="shared" si="187"/>
        <v>0</v>
      </c>
    </row>
    <row r="6008" spans="1:48" x14ac:dyDescent="0.25">
      <c r="A6008" t="s">
        <v>14231</v>
      </c>
      <c r="C6008" t="s">
        <v>14232</v>
      </c>
      <c r="D6008" t="s">
        <v>9560</v>
      </c>
      <c r="E6008" t="s">
        <v>1663</v>
      </c>
      <c r="F6008">
        <v>2</v>
      </c>
      <c r="G6008">
        <v>2.2999999999999998</v>
      </c>
      <c r="H6008" t="s">
        <v>2327</v>
      </c>
      <c r="I6008" s="21">
        <v>43636</v>
      </c>
      <c r="J6008">
        <v>2019</v>
      </c>
      <c r="P6008" s="21">
        <v>44126</v>
      </c>
      <c r="Q6008" s="262">
        <v>900000</v>
      </c>
      <c r="S6008" t="s">
        <v>114</v>
      </c>
      <c r="T6008" t="s">
        <v>114</v>
      </c>
      <c r="V6008">
        <v>0</v>
      </c>
      <c r="W6008">
        <v>4461</v>
      </c>
      <c r="X6008">
        <v>3</v>
      </c>
      <c r="AI6008">
        <v>4461</v>
      </c>
      <c r="AQ6008">
        <v>1</v>
      </c>
      <c r="AT6008">
        <v>2</v>
      </c>
      <c r="AU6008">
        <f t="shared" si="186"/>
        <v>1</v>
      </c>
      <c r="AV6008">
        <f t="shared" si="187"/>
        <v>4461</v>
      </c>
    </row>
    <row r="6009" spans="1:48" x14ac:dyDescent="0.25">
      <c r="A6009" t="s">
        <v>14229</v>
      </c>
      <c r="C6009" t="s">
        <v>14230</v>
      </c>
      <c r="D6009" t="s">
        <v>12661</v>
      </c>
      <c r="E6009" t="s">
        <v>1663</v>
      </c>
      <c r="F6009">
        <v>2</v>
      </c>
      <c r="G6009">
        <v>2.1</v>
      </c>
      <c r="H6009" t="s">
        <v>2327</v>
      </c>
      <c r="I6009" s="21">
        <v>43636</v>
      </c>
      <c r="J6009">
        <v>2019</v>
      </c>
      <c r="K6009" s="21">
        <v>43959</v>
      </c>
      <c r="L6009">
        <v>2020</v>
      </c>
      <c r="M6009" s="21">
        <v>44193</v>
      </c>
      <c r="N6009">
        <v>2020</v>
      </c>
      <c r="Q6009" s="262">
        <v>80000</v>
      </c>
      <c r="S6009" t="s">
        <v>114</v>
      </c>
      <c r="T6009" t="s">
        <v>114</v>
      </c>
      <c r="V6009">
        <v>0</v>
      </c>
      <c r="W6009">
        <v>0</v>
      </c>
      <c r="X6009">
        <v>0</v>
      </c>
      <c r="AU6009">
        <f t="shared" si="186"/>
        <v>0</v>
      </c>
      <c r="AV6009">
        <f t="shared" si="187"/>
        <v>0</v>
      </c>
    </row>
    <row r="6010" spans="1:48" x14ac:dyDescent="0.25">
      <c r="A6010" t="s">
        <v>18198</v>
      </c>
      <c r="B6010" t="s">
        <v>18198</v>
      </c>
      <c r="C6010" t="s">
        <v>18199</v>
      </c>
      <c r="D6010" t="s">
        <v>18200</v>
      </c>
      <c r="E6010" t="s">
        <v>2310</v>
      </c>
      <c r="F6010">
        <v>12</v>
      </c>
      <c r="G6010">
        <v>12.2</v>
      </c>
      <c r="H6010" t="s">
        <v>2017</v>
      </c>
      <c r="I6010" s="21">
        <v>43636.48953741898</v>
      </c>
      <c r="J6010">
        <v>2019</v>
      </c>
      <c r="K6010" s="21">
        <v>43663.675982442131</v>
      </c>
      <c r="L6010">
        <v>2019</v>
      </c>
      <c r="M6010" s="21">
        <v>43852.402444409723</v>
      </c>
      <c r="N6010">
        <v>2020</v>
      </c>
      <c r="Q6010" s="262">
        <v>200000</v>
      </c>
      <c r="R6010" s="262">
        <v>291000</v>
      </c>
      <c r="S6010" t="s">
        <v>13253</v>
      </c>
      <c r="T6010">
        <v>4088</v>
      </c>
      <c r="V6010">
        <v>0</v>
      </c>
      <c r="W6010">
        <v>1076</v>
      </c>
      <c r="X6010">
        <v>0</v>
      </c>
      <c r="AC6010">
        <v>1076</v>
      </c>
      <c r="AU6010">
        <f t="shared" si="186"/>
        <v>0</v>
      </c>
      <c r="AV6010">
        <f t="shared" si="187"/>
        <v>0</v>
      </c>
    </row>
    <row r="6011" spans="1:48" x14ac:dyDescent="0.25">
      <c r="A6011" t="s">
        <v>14233</v>
      </c>
      <c r="C6011" t="s">
        <v>14234</v>
      </c>
      <c r="D6011" t="s">
        <v>13911</v>
      </c>
      <c r="E6011" t="s">
        <v>1663</v>
      </c>
      <c r="F6011">
        <v>6</v>
      </c>
      <c r="G6011">
        <v>6.1</v>
      </c>
      <c r="H6011" t="s">
        <v>2017</v>
      </c>
      <c r="I6011" s="21">
        <v>43637</v>
      </c>
      <c r="J6011">
        <v>2019</v>
      </c>
      <c r="K6011" s="21">
        <v>43671</v>
      </c>
      <c r="L6011">
        <v>2019</v>
      </c>
      <c r="M6011" s="21">
        <v>43762</v>
      </c>
      <c r="N6011">
        <v>2019</v>
      </c>
      <c r="Q6011" s="262">
        <v>50000</v>
      </c>
      <c r="S6011" t="s">
        <v>114</v>
      </c>
      <c r="T6011" t="s">
        <v>114</v>
      </c>
      <c r="V6011">
        <v>0</v>
      </c>
      <c r="W6011">
        <v>0</v>
      </c>
      <c r="X6011">
        <v>0</v>
      </c>
      <c r="AU6011">
        <f t="shared" si="186"/>
        <v>0</v>
      </c>
      <c r="AV6011">
        <f t="shared" si="187"/>
        <v>0</v>
      </c>
    </row>
    <row r="6012" spans="1:48" x14ac:dyDescent="0.25">
      <c r="A6012" t="s">
        <v>19894</v>
      </c>
      <c r="C6012" t="s">
        <v>18956</v>
      </c>
      <c r="D6012" t="s">
        <v>19895</v>
      </c>
      <c r="E6012" t="s">
        <v>1663</v>
      </c>
      <c r="F6012">
        <v>6</v>
      </c>
      <c r="G6012">
        <v>6.1</v>
      </c>
      <c r="H6012" t="s">
        <v>2017</v>
      </c>
      <c r="I6012" s="21">
        <v>43637</v>
      </c>
      <c r="J6012">
        <v>2019</v>
      </c>
      <c r="K6012" s="21">
        <v>43686</v>
      </c>
      <c r="L6012">
        <v>2019</v>
      </c>
      <c r="M6012" s="21">
        <v>44274</v>
      </c>
      <c r="N6012">
        <v>2021</v>
      </c>
      <c r="Q6012" s="262">
        <v>1700000</v>
      </c>
      <c r="S6012" t="s">
        <v>12464</v>
      </c>
      <c r="T6012">
        <v>13046</v>
      </c>
      <c r="U6012">
        <v>5</v>
      </c>
      <c r="V6012">
        <v>0</v>
      </c>
      <c r="W6012">
        <v>4108</v>
      </c>
      <c r="X6012">
        <v>1</v>
      </c>
      <c r="AC6012">
        <v>4108</v>
      </c>
      <c r="AO6012">
        <v>1</v>
      </c>
      <c r="AU6012">
        <f t="shared" si="186"/>
        <v>1</v>
      </c>
      <c r="AV6012">
        <f t="shared" si="187"/>
        <v>0</v>
      </c>
    </row>
    <row r="6013" spans="1:48" x14ac:dyDescent="0.25">
      <c r="A6013" t="s">
        <v>19894</v>
      </c>
      <c r="C6013" t="s">
        <v>18956</v>
      </c>
      <c r="D6013" t="s">
        <v>19895</v>
      </c>
      <c r="E6013" t="s">
        <v>1663</v>
      </c>
      <c r="F6013">
        <v>6</v>
      </c>
      <c r="G6013">
        <v>6.1</v>
      </c>
      <c r="H6013" t="s">
        <v>2017</v>
      </c>
      <c r="I6013" s="21">
        <v>43637</v>
      </c>
      <c r="J6013">
        <v>2019</v>
      </c>
      <c r="K6013" s="21">
        <v>43686</v>
      </c>
      <c r="L6013">
        <v>2019</v>
      </c>
      <c r="M6013" s="21">
        <v>44274</v>
      </c>
      <c r="N6013">
        <v>2021</v>
      </c>
      <c r="Q6013" s="262">
        <v>1700000</v>
      </c>
      <c r="R6013" s="262">
        <v>0</v>
      </c>
      <c r="S6013" t="s">
        <v>9529</v>
      </c>
      <c r="T6013">
        <v>13046</v>
      </c>
      <c r="U6013">
        <v>5</v>
      </c>
      <c r="W6013">
        <v>-1868</v>
      </c>
      <c r="X6013">
        <v>-1</v>
      </c>
      <c r="Y6013">
        <v>0</v>
      </c>
      <c r="Z6013">
        <v>0</v>
      </c>
      <c r="AA6013">
        <v>0</v>
      </c>
      <c r="AB6013">
        <v>0</v>
      </c>
      <c r="AC6013">
        <v>-1868</v>
      </c>
      <c r="AD6013">
        <v>0</v>
      </c>
      <c r="AE6013">
        <v>0</v>
      </c>
      <c r="AF6013">
        <v>0</v>
      </c>
      <c r="AG6013">
        <v>0</v>
      </c>
      <c r="AH6013">
        <v>0</v>
      </c>
      <c r="AI6013">
        <v>0</v>
      </c>
      <c r="AJ6013">
        <v>0</v>
      </c>
      <c r="AK6013">
        <v>0</v>
      </c>
      <c r="AL6013">
        <v>0</v>
      </c>
      <c r="AM6013">
        <v>0</v>
      </c>
      <c r="AN6013">
        <v>0</v>
      </c>
      <c r="AO6013">
        <v>-1</v>
      </c>
      <c r="AP6013">
        <v>0</v>
      </c>
      <c r="AQ6013">
        <v>0</v>
      </c>
      <c r="AR6013">
        <v>0</v>
      </c>
      <c r="AS6013">
        <v>0</v>
      </c>
      <c r="AT6013">
        <v>0</v>
      </c>
      <c r="AU6013">
        <f t="shared" si="186"/>
        <v>-1</v>
      </c>
      <c r="AV6013">
        <f t="shared" si="187"/>
        <v>0</v>
      </c>
    </row>
    <row r="6014" spans="1:48" x14ac:dyDescent="0.25">
      <c r="A6014" t="s">
        <v>14235</v>
      </c>
      <c r="B6014" t="s">
        <v>14235</v>
      </c>
      <c r="C6014" t="s">
        <v>14236</v>
      </c>
      <c r="D6014" t="s">
        <v>3392</v>
      </c>
      <c r="E6014" t="s">
        <v>2310</v>
      </c>
      <c r="F6014">
        <v>12</v>
      </c>
      <c r="G6014">
        <v>12.1</v>
      </c>
      <c r="H6014" t="s">
        <v>2327</v>
      </c>
      <c r="I6014" s="21">
        <v>43637.443550347198</v>
      </c>
      <c r="J6014">
        <v>2019</v>
      </c>
      <c r="K6014" s="21">
        <v>43718.490572025497</v>
      </c>
      <c r="L6014">
        <v>2019</v>
      </c>
      <c r="M6014" s="21">
        <v>43851.402789351901</v>
      </c>
      <c r="N6014">
        <v>2020</v>
      </c>
      <c r="Q6014" s="262">
        <v>100000</v>
      </c>
      <c r="R6014" s="262">
        <v>5000</v>
      </c>
      <c r="S6014" t="s">
        <v>114</v>
      </c>
      <c r="T6014" t="s">
        <v>114</v>
      </c>
      <c r="V6014">
        <v>0</v>
      </c>
      <c r="W6014">
        <v>0</v>
      </c>
      <c r="X6014">
        <v>0</v>
      </c>
      <c r="AU6014">
        <f t="shared" si="186"/>
        <v>0</v>
      </c>
      <c r="AV6014">
        <f t="shared" si="187"/>
        <v>0</v>
      </c>
    </row>
    <row r="6015" spans="1:48" x14ac:dyDescent="0.25">
      <c r="A6015" t="s">
        <v>19182</v>
      </c>
      <c r="B6015" t="s">
        <v>19182</v>
      </c>
      <c r="C6015" t="s">
        <v>19183</v>
      </c>
      <c r="D6015" t="s">
        <v>19184</v>
      </c>
      <c r="E6015" t="s">
        <v>2310</v>
      </c>
      <c r="F6015">
        <v>9</v>
      </c>
      <c r="G6015">
        <v>9.1999999999999993</v>
      </c>
      <c r="H6015" t="s">
        <v>2022</v>
      </c>
      <c r="I6015" s="21">
        <v>43641.480417210645</v>
      </c>
      <c r="J6015">
        <v>2019</v>
      </c>
      <c r="K6015" s="21">
        <v>43690.664651006948</v>
      </c>
      <c r="L6015">
        <v>2019</v>
      </c>
      <c r="M6015" s="21">
        <v>43818.44229525463</v>
      </c>
      <c r="N6015">
        <v>2019</v>
      </c>
      <c r="Q6015" s="262">
        <v>350000</v>
      </c>
      <c r="R6015" s="262">
        <v>146000</v>
      </c>
      <c r="S6015" t="s">
        <v>13254</v>
      </c>
      <c r="V6015">
        <v>0</v>
      </c>
      <c r="W6015">
        <v>1576</v>
      </c>
      <c r="X6015">
        <v>1</v>
      </c>
      <c r="AC6015">
        <v>576</v>
      </c>
      <c r="AF6015">
        <v>1000</v>
      </c>
      <c r="AR6015">
        <v>1</v>
      </c>
      <c r="AU6015">
        <f t="shared" si="186"/>
        <v>0</v>
      </c>
      <c r="AV6015">
        <f t="shared" si="187"/>
        <v>0</v>
      </c>
    </row>
    <row r="6016" spans="1:48" x14ac:dyDescent="0.25">
      <c r="A6016" t="s">
        <v>14237</v>
      </c>
      <c r="C6016" t="s">
        <v>14238</v>
      </c>
      <c r="D6016" t="s">
        <v>13316</v>
      </c>
      <c r="E6016" t="s">
        <v>1663</v>
      </c>
      <c r="F6016">
        <v>5</v>
      </c>
      <c r="G6016">
        <v>5.2</v>
      </c>
      <c r="H6016" t="s">
        <v>2327</v>
      </c>
      <c r="I6016" s="21">
        <v>43642</v>
      </c>
      <c r="J6016">
        <v>2019</v>
      </c>
      <c r="K6016" s="21">
        <v>43663</v>
      </c>
      <c r="L6016">
        <v>2019</v>
      </c>
      <c r="M6016" s="21">
        <v>43700</v>
      </c>
      <c r="N6016">
        <v>2019</v>
      </c>
      <c r="Q6016" s="262">
        <v>0</v>
      </c>
      <c r="S6016" t="s">
        <v>114</v>
      </c>
      <c r="T6016" t="s">
        <v>114</v>
      </c>
      <c r="V6016">
        <v>0</v>
      </c>
      <c r="W6016">
        <v>0</v>
      </c>
      <c r="X6016">
        <v>0</v>
      </c>
      <c r="AU6016">
        <f t="shared" si="186"/>
        <v>0</v>
      </c>
      <c r="AV6016">
        <f t="shared" si="187"/>
        <v>0</v>
      </c>
    </row>
    <row r="6017" spans="1:48" x14ac:dyDescent="0.25">
      <c r="A6017" t="s">
        <v>14239</v>
      </c>
      <c r="C6017" t="s">
        <v>14240</v>
      </c>
      <c r="D6017" t="s">
        <v>14241</v>
      </c>
      <c r="E6017" t="s">
        <v>1663</v>
      </c>
      <c r="F6017">
        <v>6</v>
      </c>
      <c r="G6017">
        <v>6.1</v>
      </c>
      <c r="H6017" t="s">
        <v>2017</v>
      </c>
      <c r="I6017" s="21">
        <v>43643</v>
      </c>
      <c r="J6017">
        <v>2019</v>
      </c>
      <c r="K6017" s="21">
        <v>43668</v>
      </c>
      <c r="L6017">
        <v>2019</v>
      </c>
      <c r="Q6017" s="262">
        <v>650000</v>
      </c>
      <c r="S6017" t="s">
        <v>114</v>
      </c>
      <c r="T6017" t="s">
        <v>114</v>
      </c>
      <c r="V6017">
        <v>0</v>
      </c>
      <c r="W6017">
        <v>1586</v>
      </c>
      <c r="X6017">
        <v>0</v>
      </c>
      <c r="AC6017">
        <v>1103</v>
      </c>
      <c r="AF6017">
        <v>483</v>
      </c>
      <c r="AU6017">
        <f t="shared" si="186"/>
        <v>0</v>
      </c>
      <c r="AV6017">
        <f t="shared" si="187"/>
        <v>0</v>
      </c>
    </row>
    <row r="6018" spans="1:48" x14ac:dyDescent="0.25">
      <c r="A6018" t="s">
        <v>14242</v>
      </c>
      <c r="B6018" t="s">
        <v>14242</v>
      </c>
      <c r="C6018" t="s">
        <v>14243</v>
      </c>
      <c r="D6018" t="s">
        <v>1651</v>
      </c>
      <c r="E6018" t="s">
        <v>2310</v>
      </c>
      <c r="F6018">
        <v>8</v>
      </c>
      <c r="G6018">
        <v>8.1999999999999993</v>
      </c>
      <c r="H6018" t="s">
        <v>2022</v>
      </c>
      <c r="I6018" s="21">
        <v>43644.554517939803</v>
      </c>
      <c r="J6018">
        <v>2019</v>
      </c>
      <c r="K6018" s="21">
        <v>43768.612012187499</v>
      </c>
      <c r="L6018">
        <v>2019</v>
      </c>
      <c r="Q6018" s="262">
        <v>8000000</v>
      </c>
      <c r="R6018" s="262">
        <v>722000</v>
      </c>
      <c r="S6018" t="s">
        <v>114</v>
      </c>
      <c r="T6018" t="s">
        <v>114</v>
      </c>
      <c r="V6018">
        <v>0</v>
      </c>
      <c r="W6018">
        <v>4889</v>
      </c>
      <c r="X6018">
        <v>0</v>
      </c>
      <c r="AC6018">
        <v>4889</v>
      </c>
      <c r="AU6018">
        <f t="shared" si="186"/>
        <v>0</v>
      </c>
      <c r="AV6018">
        <f t="shared" si="187"/>
        <v>0</v>
      </c>
    </row>
    <row r="6019" spans="1:48" x14ac:dyDescent="0.25">
      <c r="A6019" t="s">
        <v>14244</v>
      </c>
      <c r="B6019" t="s">
        <v>14244</v>
      </c>
      <c r="C6019" t="s">
        <v>14245</v>
      </c>
      <c r="D6019" t="s">
        <v>14246</v>
      </c>
      <c r="E6019" t="s">
        <v>2310</v>
      </c>
      <c r="F6019">
        <v>13</v>
      </c>
      <c r="G6019">
        <v>13.3</v>
      </c>
      <c r="H6019" t="s">
        <v>2017</v>
      </c>
      <c r="I6019" s="21">
        <v>43648.4676258912</v>
      </c>
      <c r="J6019">
        <v>2019</v>
      </c>
      <c r="K6019" s="21">
        <v>43731.675662997703</v>
      </c>
      <c r="L6019">
        <v>2019</v>
      </c>
      <c r="M6019" s="21">
        <v>43822.437365081001</v>
      </c>
      <c r="N6019">
        <v>2019</v>
      </c>
      <c r="Q6019" s="262">
        <v>500000</v>
      </c>
      <c r="R6019" s="262">
        <v>191000</v>
      </c>
      <c r="S6019" t="s">
        <v>114</v>
      </c>
      <c r="T6019" t="s">
        <v>114</v>
      </c>
      <c r="V6019">
        <v>0</v>
      </c>
      <c r="W6019">
        <v>0</v>
      </c>
      <c r="X6019">
        <v>0</v>
      </c>
      <c r="AU6019">
        <f t="shared" si="186"/>
        <v>0</v>
      </c>
      <c r="AV6019">
        <f t="shared" si="187"/>
        <v>0</v>
      </c>
    </row>
    <row r="6020" spans="1:48" x14ac:dyDescent="0.25">
      <c r="A6020" t="s">
        <v>14247</v>
      </c>
      <c r="C6020" t="s">
        <v>14248</v>
      </c>
      <c r="D6020" t="s">
        <v>2336</v>
      </c>
      <c r="E6020" t="s">
        <v>1663</v>
      </c>
      <c r="F6020">
        <v>5</v>
      </c>
      <c r="G6020">
        <v>5.4</v>
      </c>
      <c r="H6020" t="s">
        <v>2017</v>
      </c>
      <c r="I6020" s="21">
        <v>43649</v>
      </c>
      <c r="J6020">
        <v>2019</v>
      </c>
      <c r="K6020" s="21">
        <v>43712</v>
      </c>
      <c r="L6020">
        <v>2019</v>
      </c>
      <c r="M6020" s="21">
        <v>43865</v>
      </c>
      <c r="N6020">
        <v>2020</v>
      </c>
      <c r="Q6020" s="262">
        <v>150000</v>
      </c>
      <c r="S6020" t="s">
        <v>114</v>
      </c>
      <c r="T6020" t="s">
        <v>114</v>
      </c>
      <c r="V6020">
        <v>0</v>
      </c>
      <c r="W6020">
        <v>0</v>
      </c>
      <c r="X6020">
        <v>0</v>
      </c>
      <c r="AU6020">
        <f t="shared" si="186"/>
        <v>0</v>
      </c>
      <c r="AV6020">
        <f t="shared" si="187"/>
        <v>0</v>
      </c>
    </row>
    <row r="6021" spans="1:48" x14ac:dyDescent="0.25">
      <c r="A6021" t="s">
        <v>14252</v>
      </c>
      <c r="C6021" t="s">
        <v>14122</v>
      </c>
      <c r="D6021" t="s">
        <v>13979</v>
      </c>
      <c r="E6021" t="s">
        <v>1663</v>
      </c>
      <c r="F6021">
        <v>5</v>
      </c>
      <c r="G6021">
        <v>5.0999999999999996</v>
      </c>
      <c r="H6021" t="s">
        <v>2327</v>
      </c>
      <c r="I6021" s="21">
        <v>43655</v>
      </c>
      <c r="J6021">
        <v>2019</v>
      </c>
      <c r="K6021" s="21">
        <v>43678</v>
      </c>
      <c r="L6021">
        <v>2019</v>
      </c>
      <c r="M6021" s="21">
        <v>43970</v>
      </c>
      <c r="N6021">
        <v>2020</v>
      </c>
      <c r="Q6021" s="262">
        <v>325000</v>
      </c>
      <c r="S6021" t="s">
        <v>114</v>
      </c>
      <c r="T6021" t="s">
        <v>114</v>
      </c>
      <c r="V6021">
        <v>0</v>
      </c>
      <c r="W6021">
        <v>0</v>
      </c>
      <c r="X6021">
        <v>0</v>
      </c>
      <c r="AU6021">
        <f t="shared" si="186"/>
        <v>0</v>
      </c>
      <c r="AV6021">
        <f t="shared" si="187"/>
        <v>0</v>
      </c>
    </row>
    <row r="6022" spans="1:48" x14ac:dyDescent="0.25">
      <c r="A6022" t="s">
        <v>19200</v>
      </c>
      <c r="B6022" t="s">
        <v>114</v>
      </c>
      <c r="C6022" t="s">
        <v>19201</v>
      </c>
      <c r="D6022" t="s">
        <v>13065</v>
      </c>
      <c r="E6022" t="s">
        <v>1663</v>
      </c>
      <c r="F6022">
        <v>2</v>
      </c>
      <c r="G6022">
        <v>2.2999999999999998</v>
      </c>
      <c r="H6022" t="s">
        <v>2327</v>
      </c>
      <c r="I6022" s="21">
        <v>43655</v>
      </c>
      <c r="J6022">
        <v>2019</v>
      </c>
      <c r="K6022" s="21">
        <v>43665</v>
      </c>
      <c r="L6022">
        <v>2019</v>
      </c>
      <c r="M6022" s="21">
        <v>43718</v>
      </c>
      <c r="N6022">
        <v>2019</v>
      </c>
      <c r="Q6022" s="262">
        <v>5000</v>
      </c>
      <c r="S6022" t="s">
        <v>13253</v>
      </c>
      <c r="T6022">
        <v>11695</v>
      </c>
      <c r="V6022">
        <v>4200</v>
      </c>
      <c r="W6022">
        <v>0</v>
      </c>
      <c r="X6022">
        <v>0</v>
      </c>
      <c r="AH6022">
        <v>-4200</v>
      </c>
      <c r="AK6022">
        <v>4200</v>
      </c>
      <c r="AU6022">
        <f t="shared" si="186"/>
        <v>0</v>
      </c>
      <c r="AV6022">
        <f t="shared" si="187"/>
        <v>0</v>
      </c>
    </row>
    <row r="6023" spans="1:48" x14ac:dyDescent="0.25">
      <c r="A6023" t="s">
        <v>14249</v>
      </c>
      <c r="C6023" t="s">
        <v>14250</v>
      </c>
      <c r="D6023" t="s">
        <v>14251</v>
      </c>
      <c r="E6023" t="s">
        <v>1663</v>
      </c>
      <c r="F6023">
        <v>2</v>
      </c>
      <c r="G6023">
        <v>2.1</v>
      </c>
      <c r="H6023" t="s">
        <v>2327</v>
      </c>
      <c r="I6023" s="21">
        <v>43655</v>
      </c>
      <c r="J6023">
        <v>2019</v>
      </c>
      <c r="K6023" s="21">
        <v>43742</v>
      </c>
      <c r="L6023">
        <v>2019</v>
      </c>
      <c r="M6023" s="21">
        <v>43839</v>
      </c>
      <c r="N6023">
        <v>2020</v>
      </c>
      <c r="Q6023" s="262">
        <v>50000</v>
      </c>
      <c r="S6023" t="s">
        <v>114</v>
      </c>
      <c r="T6023" t="s">
        <v>114</v>
      </c>
      <c r="V6023">
        <v>0</v>
      </c>
      <c r="W6023">
        <v>0</v>
      </c>
      <c r="X6023">
        <v>0</v>
      </c>
      <c r="AU6023">
        <f t="shared" si="186"/>
        <v>0</v>
      </c>
      <c r="AV6023">
        <f t="shared" si="187"/>
        <v>0</v>
      </c>
    </row>
    <row r="6024" spans="1:48" x14ac:dyDescent="0.25">
      <c r="A6024" t="s">
        <v>20063</v>
      </c>
      <c r="B6024" t="s">
        <v>20063</v>
      </c>
      <c r="C6024" t="s">
        <v>20064</v>
      </c>
      <c r="D6024" t="s">
        <v>3693</v>
      </c>
      <c r="E6024" t="s">
        <v>2310</v>
      </c>
      <c r="F6024">
        <v>9</v>
      </c>
      <c r="G6024">
        <v>9.1999999999999993</v>
      </c>
      <c r="H6024" t="s">
        <v>2022</v>
      </c>
      <c r="I6024" s="21">
        <v>43655.458878009304</v>
      </c>
      <c r="J6024">
        <v>2019</v>
      </c>
      <c r="K6024" s="21">
        <v>43725.366867673598</v>
      </c>
      <c r="L6024">
        <v>2019</v>
      </c>
      <c r="M6024" s="21">
        <v>44497</v>
      </c>
      <c r="N6024">
        <v>2021</v>
      </c>
      <c r="Q6024" s="262">
        <v>200000</v>
      </c>
      <c r="R6024" s="262">
        <v>118000</v>
      </c>
      <c r="S6024" t="s">
        <v>13254</v>
      </c>
      <c r="U6024">
        <v>8</v>
      </c>
      <c r="V6024">
        <v>0</v>
      </c>
      <c r="W6024">
        <v>991</v>
      </c>
      <c r="X6024">
        <v>1</v>
      </c>
      <c r="AF6024">
        <v>991</v>
      </c>
      <c r="AR6024">
        <v>1</v>
      </c>
      <c r="AU6024">
        <f t="shared" si="186"/>
        <v>0</v>
      </c>
      <c r="AV6024">
        <f t="shared" si="187"/>
        <v>0</v>
      </c>
    </row>
    <row r="6025" spans="1:48" x14ac:dyDescent="0.25">
      <c r="A6025" t="s">
        <v>14253</v>
      </c>
      <c r="B6025" t="s">
        <v>14253</v>
      </c>
      <c r="C6025" t="s">
        <v>14254</v>
      </c>
      <c r="D6025" t="s">
        <v>14255</v>
      </c>
      <c r="E6025" t="s">
        <v>2310</v>
      </c>
      <c r="F6025">
        <v>9</v>
      </c>
      <c r="G6025">
        <v>9.1999999999999993</v>
      </c>
      <c r="H6025" t="s">
        <v>2022</v>
      </c>
      <c r="I6025" s="21">
        <v>43655.590057094902</v>
      </c>
      <c r="J6025">
        <v>2019</v>
      </c>
      <c r="K6025" s="21">
        <v>43691.644771064799</v>
      </c>
      <c r="L6025">
        <v>2019</v>
      </c>
      <c r="M6025" s="21">
        <v>44070.4056982986</v>
      </c>
      <c r="N6025">
        <v>2020</v>
      </c>
      <c r="Q6025" s="262">
        <v>150000</v>
      </c>
      <c r="R6025" s="262">
        <v>61000</v>
      </c>
      <c r="S6025" t="s">
        <v>114</v>
      </c>
      <c r="T6025" t="s">
        <v>114</v>
      </c>
      <c r="V6025">
        <v>0</v>
      </c>
      <c r="W6025">
        <v>0</v>
      </c>
      <c r="X6025">
        <v>0</v>
      </c>
      <c r="AU6025">
        <f t="shared" si="186"/>
        <v>0</v>
      </c>
      <c r="AV6025">
        <f t="shared" si="187"/>
        <v>0</v>
      </c>
    </row>
    <row r="6026" spans="1:48" x14ac:dyDescent="0.25">
      <c r="A6026" t="s">
        <v>14256</v>
      </c>
      <c r="C6026" t="s">
        <v>14257</v>
      </c>
      <c r="D6026" t="s">
        <v>14258</v>
      </c>
      <c r="E6026" t="s">
        <v>1663</v>
      </c>
      <c r="F6026">
        <v>6</v>
      </c>
      <c r="G6026">
        <v>6.1</v>
      </c>
      <c r="H6026" t="s">
        <v>2017</v>
      </c>
      <c r="I6026" s="21">
        <v>43657</v>
      </c>
      <c r="J6026">
        <v>2019</v>
      </c>
      <c r="K6026" s="21">
        <v>43679</v>
      </c>
      <c r="L6026">
        <v>2019</v>
      </c>
      <c r="M6026" s="21">
        <v>43836</v>
      </c>
      <c r="N6026">
        <v>2020</v>
      </c>
      <c r="Q6026" s="262">
        <v>20000</v>
      </c>
      <c r="S6026" t="s">
        <v>114</v>
      </c>
      <c r="T6026" t="s">
        <v>114</v>
      </c>
      <c r="V6026">
        <v>0</v>
      </c>
      <c r="W6026">
        <v>0</v>
      </c>
      <c r="X6026">
        <v>0</v>
      </c>
      <c r="AU6026">
        <f t="shared" si="186"/>
        <v>0</v>
      </c>
      <c r="AV6026">
        <f t="shared" si="187"/>
        <v>0</v>
      </c>
    </row>
    <row r="6027" spans="1:48" x14ac:dyDescent="0.25">
      <c r="A6027" t="s">
        <v>19734</v>
      </c>
      <c r="B6027" t="s">
        <v>19734</v>
      </c>
      <c r="C6027" t="s">
        <v>19735</v>
      </c>
      <c r="D6027" t="s">
        <v>19736</v>
      </c>
      <c r="E6027" t="s">
        <v>2310</v>
      </c>
      <c r="F6027">
        <v>15</v>
      </c>
      <c r="G6027">
        <v>15.1</v>
      </c>
      <c r="H6027" t="s">
        <v>2022</v>
      </c>
      <c r="I6027" s="21">
        <v>43657.5665407407</v>
      </c>
      <c r="J6027">
        <v>2019</v>
      </c>
      <c r="K6027" s="21">
        <v>43700.4462221875</v>
      </c>
      <c r="L6027">
        <v>2019</v>
      </c>
      <c r="M6027" s="21">
        <v>44508</v>
      </c>
      <c r="N6027">
        <v>2021</v>
      </c>
      <c r="Q6027" s="262">
        <v>300000</v>
      </c>
      <c r="R6027" s="262">
        <v>193000</v>
      </c>
      <c r="S6027" t="s">
        <v>13254</v>
      </c>
      <c r="U6027">
        <v>5</v>
      </c>
      <c r="V6027">
        <v>0</v>
      </c>
      <c r="W6027">
        <v>2132</v>
      </c>
      <c r="X6027">
        <v>1</v>
      </c>
      <c r="AC6027">
        <v>2132</v>
      </c>
      <c r="AO6027">
        <v>1</v>
      </c>
      <c r="AU6027">
        <f t="shared" si="186"/>
        <v>1</v>
      </c>
      <c r="AV6027">
        <f t="shared" si="187"/>
        <v>0</v>
      </c>
    </row>
    <row r="6028" spans="1:48" x14ac:dyDescent="0.25">
      <c r="A6028" t="s">
        <v>19476</v>
      </c>
      <c r="B6028" t="s">
        <v>19476</v>
      </c>
      <c r="C6028" t="s">
        <v>19477</v>
      </c>
      <c r="D6028" t="s">
        <v>19478</v>
      </c>
      <c r="E6028" t="s">
        <v>2310</v>
      </c>
      <c r="F6028">
        <v>14</v>
      </c>
      <c r="G6028">
        <v>14.1</v>
      </c>
      <c r="H6028" t="s">
        <v>2022</v>
      </c>
      <c r="I6028" s="21">
        <v>43657.651874340278</v>
      </c>
      <c r="J6028">
        <v>2019</v>
      </c>
      <c r="K6028" s="21">
        <v>43699.608515972221</v>
      </c>
      <c r="L6028">
        <v>2019</v>
      </c>
      <c r="M6028" s="21">
        <v>44054.344638657407</v>
      </c>
      <c r="N6028">
        <v>2020</v>
      </c>
      <c r="Q6028" s="262">
        <v>480000</v>
      </c>
      <c r="R6028" s="262">
        <v>370000</v>
      </c>
      <c r="S6028" t="s">
        <v>13254</v>
      </c>
      <c r="V6028">
        <v>0</v>
      </c>
      <c r="W6028">
        <v>3780</v>
      </c>
      <c r="X6028">
        <v>1</v>
      </c>
      <c r="AC6028">
        <v>3780</v>
      </c>
      <c r="AO6028">
        <v>1</v>
      </c>
      <c r="AU6028">
        <f t="shared" si="186"/>
        <v>1</v>
      </c>
      <c r="AV6028">
        <f t="shared" si="187"/>
        <v>0</v>
      </c>
    </row>
    <row r="6029" spans="1:48" x14ac:dyDescent="0.25">
      <c r="A6029" t="s">
        <v>14259</v>
      </c>
      <c r="C6029" t="s">
        <v>14260</v>
      </c>
      <c r="D6029" t="s">
        <v>2367</v>
      </c>
      <c r="E6029" t="s">
        <v>1663</v>
      </c>
      <c r="F6029">
        <v>4</v>
      </c>
      <c r="G6029">
        <v>4.0999999999999996</v>
      </c>
      <c r="H6029" t="s">
        <v>2327</v>
      </c>
      <c r="I6029" s="21">
        <v>43658</v>
      </c>
      <c r="J6029">
        <v>2019</v>
      </c>
      <c r="K6029" s="21">
        <v>44035</v>
      </c>
      <c r="L6029">
        <v>2020</v>
      </c>
      <c r="M6029" s="21">
        <v>44439</v>
      </c>
      <c r="N6029">
        <v>2021</v>
      </c>
      <c r="Q6029" s="262">
        <v>450000</v>
      </c>
      <c r="S6029" t="s">
        <v>114</v>
      </c>
      <c r="T6029" t="s">
        <v>114</v>
      </c>
      <c r="V6029">
        <v>0</v>
      </c>
      <c r="W6029">
        <v>0</v>
      </c>
      <c r="X6029">
        <v>0</v>
      </c>
      <c r="AU6029">
        <f t="shared" si="186"/>
        <v>0</v>
      </c>
      <c r="AV6029">
        <f t="shared" si="187"/>
        <v>0</v>
      </c>
    </row>
    <row r="6030" spans="1:48" x14ac:dyDescent="0.25">
      <c r="A6030" t="s">
        <v>20151</v>
      </c>
      <c r="B6030" t="s">
        <v>20151</v>
      </c>
      <c r="C6030" t="s">
        <v>20152</v>
      </c>
      <c r="D6030" t="s">
        <v>20153</v>
      </c>
      <c r="E6030" t="s">
        <v>2310</v>
      </c>
      <c r="F6030">
        <v>14</v>
      </c>
      <c r="G6030">
        <v>14.2</v>
      </c>
      <c r="H6030" t="s">
        <v>2017</v>
      </c>
      <c r="I6030" s="21">
        <v>43662.605020138901</v>
      </c>
      <c r="J6030">
        <v>2019</v>
      </c>
      <c r="K6030" s="21">
        <v>43705.562983530101</v>
      </c>
      <c r="L6030">
        <v>2019</v>
      </c>
      <c r="M6030" s="21">
        <v>44267</v>
      </c>
      <c r="N6030">
        <v>2021</v>
      </c>
      <c r="Q6030" s="262">
        <v>700000</v>
      </c>
      <c r="R6030" s="262">
        <v>309000</v>
      </c>
      <c r="S6030" t="s">
        <v>13254</v>
      </c>
      <c r="U6030">
        <v>5</v>
      </c>
      <c r="V6030">
        <v>0</v>
      </c>
      <c r="W6030">
        <v>3064</v>
      </c>
      <c r="X6030">
        <v>1</v>
      </c>
      <c r="AC6030">
        <v>3064</v>
      </c>
      <c r="AO6030">
        <v>1</v>
      </c>
      <c r="AU6030">
        <f t="shared" si="186"/>
        <v>1</v>
      </c>
      <c r="AV6030">
        <f t="shared" si="187"/>
        <v>0</v>
      </c>
    </row>
    <row r="6031" spans="1:48" x14ac:dyDescent="0.25">
      <c r="A6031" t="s">
        <v>14261</v>
      </c>
      <c r="B6031" t="s">
        <v>14261</v>
      </c>
      <c r="C6031" t="s">
        <v>14262</v>
      </c>
      <c r="D6031" t="s">
        <v>14263</v>
      </c>
      <c r="E6031" t="s">
        <v>2310</v>
      </c>
      <c r="F6031">
        <v>8</v>
      </c>
      <c r="G6031">
        <v>8.1</v>
      </c>
      <c r="H6031" t="s">
        <v>2323</v>
      </c>
      <c r="I6031" s="21">
        <v>43662.6506451389</v>
      </c>
      <c r="J6031">
        <v>2019</v>
      </c>
      <c r="K6031" s="21">
        <v>43685.407114965303</v>
      </c>
      <c r="L6031">
        <v>2019</v>
      </c>
      <c r="M6031" s="21">
        <v>44154.4126278935</v>
      </c>
      <c r="N6031">
        <v>2020</v>
      </c>
      <c r="Q6031" s="262">
        <v>2500000</v>
      </c>
      <c r="R6031" s="262">
        <v>1061000</v>
      </c>
      <c r="S6031" t="s">
        <v>114</v>
      </c>
      <c r="T6031" t="s">
        <v>114</v>
      </c>
      <c r="V6031">
        <v>0</v>
      </c>
      <c r="W6031">
        <v>0</v>
      </c>
      <c r="X6031">
        <v>0</v>
      </c>
      <c r="AU6031">
        <f t="shared" si="186"/>
        <v>0</v>
      </c>
      <c r="AV6031">
        <f t="shared" si="187"/>
        <v>0</v>
      </c>
    </row>
    <row r="6032" spans="1:48" x14ac:dyDescent="0.25">
      <c r="A6032" t="s">
        <v>14264</v>
      </c>
      <c r="C6032" t="s">
        <v>14265</v>
      </c>
      <c r="D6032" t="s">
        <v>14003</v>
      </c>
      <c r="E6032" t="s">
        <v>1663</v>
      </c>
      <c r="F6032">
        <v>6</v>
      </c>
      <c r="G6032">
        <v>6.1</v>
      </c>
      <c r="H6032" t="s">
        <v>2017</v>
      </c>
      <c r="I6032" s="21">
        <v>43663</v>
      </c>
      <c r="J6032">
        <v>2019</v>
      </c>
      <c r="K6032" s="21">
        <v>43665</v>
      </c>
      <c r="L6032">
        <v>2019</v>
      </c>
      <c r="M6032" s="21">
        <v>44319</v>
      </c>
      <c r="N6032">
        <v>2021</v>
      </c>
      <c r="Q6032" s="262">
        <v>4925</v>
      </c>
      <c r="S6032" t="s">
        <v>114</v>
      </c>
      <c r="T6032" t="s">
        <v>114</v>
      </c>
      <c r="V6032">
        <v>0</v>
      </c>
      <c r="W6032">
        <v>0</v>
      </c>
      <c r="X6032">
        <v>0</v>
      </c>
      <c r="AU6032">
        <f t="shared" si="186"/>
        <v>0</v>
      </c>
      <c r="AV6032">
        <f t="shared" si="187"/>
        <v>0</v>
      </c>
    </row>
    <row r="6033" spans="1:48" x14ac:dyDescent="0.25">
      <c r="A6033" t="s">
        <v>19384</v>
      </c>
      <c r="B6033" t="s">
        <v>114</v>
      </c>
      <c r="C6033" t="s">
        <v>13528</v>
      </c>
      <c r="D6033" t="s">
        <v>11884</v>
      </c>
      <c r="E6033" t="s">
        <v>1663</v>
      </c>
      <c r="F6033">
        <v>5</v>
      </c>
      <c r="G6033">
        <v>5.5</v>
      </c>
      <c r="H6033" t="s">
        <v>2017</v>
      </c>
      <c r="I6033" s="21">
        <v>43663</v>
      </c>
      <c r="J6033">
        <v>2019</v>
      </c>
      <c r="K6033" s="21">
        <v>43679</v>
      </c>
      <c r="L6033">
        <v>2019</v>
      </c>
      <c r="M6033" s="21">
        <v>44064</v>
      </c>
      <c r="N6033">
        <v>2020</v>
      </c>
      <c r="Q6033" s="262">
        <v>300000</v>
      </c>
      <c r="S6033" t="s">
        <v>13253</v>
      </c>
      <c r="T6033">
        <v>13488</v>
      </c>
      <c r="V6033">
        <v>0</v>
      </c>
      <c r="W6033">
        <v>1042</v>
      </c>
      <c r="X6033">
        <v>0</v>
      </c>
      <c r="AC6033">
        <v>1042</v>
      </c>
      <c r="AU6033">
        <f t="shared" si="186"/>
        <v>0</v>
      </c>
      <c r="AV6033">
        <f t="shared" si="187"/>
        <v>0</v>
      </c>
    </row>
    <row r="6034" spans="1:48" x14ac:dyDescent="0.25">
      <c r="A6034" t="s">
        <v>19506</v>
      </c>
      <c r="B6034" t="s">
        <v>19506</v>
      </c>
      <c r="C6034" t="s">
        <v>19507</v>
      </c>
      <c r="D6034" t="s">
        <v>19508</v>
      </c>
      <c r="E6034" t="s">
        <v>2310</v>
      </c>
      <c r="F6034">
        <v>8</v>
      </c>
      <c r="G6034">
        <v>8.3000000000000007</v>
      </c>
      <c r="H6034" t="s">
        <v>2323</v>
      </c>
      <c r="I6034" s="21">
        <v>43664.434065428242</v>
      </c>
      <c r="J6034">
        <v>2019</v>
      </c>
      <c r="K6034" s="21">
        <v>43691.395802974534</v>
      </c>
      <c r="L6034">
        <v>2019</v>
      </c>
      <c r="M6034" s="21">
        <v>44070.704798113424</v>
      </c>
      <c r="N6034">
        <v>2020</v>
      </c>
      <c r="Q6034" s="262">
        <v>800000</v>
      </c>
      <c r="R6034" s="262">
        <v>1000</v>
      </c>
      <c r="S6034" t="s">
        <v>13254</v>
      </c>
      <c r="V6034">
        <v>0</v>
      </c>
      <c r="W6034">
        <v>1728</v>
      </c>
      <c r="X6034">
        <v>0</v>
      </c>
      <c r="Y6034">
        <v>1728</v>
      </c>
      <c r="AU6034">
        <f t="shared" si="186"/>
        <v>0</v>
      </c>
      <c r="AV6034">
        <f t="shared" si="187"/>
        <v>1728</v>
      </c>
    </row>
    <row r="6035" spans="1:48" x14ac:dyDescent="0.25">
      <c r="A6035" t="s">
        <v>19844</v>
      </c>
      <c r="B6035" t="s">
        <v>19844</v>
      </c>
      <c r="C6035" t="s">
        <v>19845</v>
      </c>
      <c r="D6035" t="s">
        <v>19846</v>
      </c>
      <c r="E6035" t="s">
        <v>2310</v>
      </c>
      <c r="F6035">
        <v>9</v>
      </c>
      <c r="G6035">
        <v>9.3000000000000007</v>
      </c>
      <c r="H6035" t="s">
        <v>2323</v>
      </c>
      <c r="I6035" s="21">
        <v>43664.477311145798</v>
      </c>
      <c r="J6035">
        <v>2019</v>
      </c>
      <c r="K6035" s="21">
        <v>43725.519989814798</v>
      </c>
      <c r="L6035">
        <v>2019</v>
      </c>
      <c r="M6035" s="21">
        <v>44218</v>
      </c>
      <c r="N6035">
        <v>2021</v>
      </c>
      <c r="Q6035" s="262">
        <v>2000000</v>
      </c>
      <c r="R6035" s="262">
        <v>701000</v>
      </c>
      <c r="S6035" t="s">
        <v>13254</v>
      </c>
      <c r="U6035">
        <v>5</v>
      </c>
      <c r="V6035">
        <v>0</v>
      </c>
      <c r="W6035">
        <v>5628</v>
      </c>
      <c r="X6035">
        <v>1</v>
      </c>
      <c r="AC6035">
        <v>5628</v>
      </c>
      <c r="AO6035">
        <v>1</v>
      </c>
      <c r="AU6035">
        <f t="shared" si="186"/>
        <v>1</v>
      </c>
      <c r="AV6035">
        <f t="shared" si="187"/>
        <v>0</v>
      </c>
    </row>
    <row r="6036" spans="1:48" x14ac:dyDescent="0.25">
      <c r="A6036" t="s">
        <v>14266</v>
      </c>
      <c r="B6036" t="s">
        <v>14266</v>
      </c>
      <c r="C6036" t="s">
        <v>14267</v>
      </c>
      <c r="D6036" t="s">
        <v>14268</v>
      </c>
      <c r="E6036" t="s">
        <v>2310</v>
      </c>
      <c r="F6036">
        <v>9</v>
      </c>
      <c r="G6036">
        <v>9.3000000000000007</v>
      </c>
      <c r="H6036" t="s">
        <v>2323</v>
      </c>
      <c r="I6036" s="21">
        <v>43671.566027430599</v>
      </c>
      <c r="J6036">
        <v>2019</v>
      </c>
      <c r="O6036" s="21">
        <v>43804.585072303198</v>
      </c>
      <c r="Q6036" s="262">
        <v>500000</v>
      </c>
      <c r="R6036" s="262">
        <v>235000</v>
      </c>
      <c r="S6036" t="s">
        <v>114</v>
      </c>
      <c r="T6036" t="s">
        <v>114</v>
      </c>
      <c r="V6036">
        <v>0</v>
      </c>
      <c r="W6036">
        <v>790</v>
      </c>
      <c r="X6036">
        <v>0</v>
      </c>
      <c r="AC6036">
        <v>790</v>
      </c>
      <c r="AU6036">
        <f t="shared" si="186"/>
        <v>0</v>
      </c>
      <c r="AV6036">
        <f t="shared" si="187"/>
        <v>0</v>
      </c>
    </row>
    <row r="6037" spans="1:48" x14ac:dyDescent="0.25">
      <c r="A6037" t="s">
        <v>19549</v>
      </c>
      <c r="B6037" t="s">
        <v>114</v>
      </c>
      <c r="C6037" t="s">
        <v>11240</v>
      </c>
      <c r="D6037" t="s">
        <v>19550</v>
      </c>
      <c r="E6037" t="s">
        <v>1663</v>
      </c>
      <c r="F6037">
        <v>6</v>
      </c>
      <c r="G6037">
        <v>6.1</v>
      </c>
      <c r="H6037" t="s">
        <v>2017</v>
      </c>
      <c r="I6037" s="21">
        <v>43675</v>
      </c>
      <c r="J6037">
        <v>2019</v>
      </c>
      <c r="K6037" s="21">
        <v>43725</v>
      </c>
      <c r="L6037">
        <v>2019</v>
      </c>
      <c r="M6037" s="21">
        <v>44119</v>
      </c>
      <c r="N6037">
        <v>2020</v>
      </c>
      <c r="Q6037" s="262">
        <v>0</v>
      </c>
      <c r="S6037" t="s">
        <v>13254</v>
      </c>
      <c r="V6037">
        <v>0</v>
      </c>
      <c r="W6037">
        <v>4332</v>
      </c>
      <c r="X6037">
        <v>1</v>
      </c>
      <c r="AC6037">
        <v>4332</v>
      </c>
      <c r="AO6037">
        <v>1</v>
      </c>
      <c r="AU6037">
        <f t="shared" si="186"/>
        <v>1</v>
      </c>
      <c r="AV6037">
        <f t="shared" si="187"/>
        <v>0</v>
      </c>
    </row>
    <row r="6038" spans="1:48" x14ac:dyDescent="0.25">
      <c r="A6038" t="s">
        <v>14269</v>
      </c>
      <c r="C6038" t="s">
        <v>14270</v>
      </c>
      <c r="D6038" t="s">
        <v>14271</v>
      </c>
      <c r="E6038" t="s">
        <v>1663</v>
      </c>
      <c r="F6038">
        <v>3</v>
      </c>
      <c r="G6038">
        <v>3.1</v>
      </c>
      <c r="H6038" t="s">
        <v>2017</v>
      </c>
      <c r="I6038" s="21">
        <v>43675</v>
      </c>
      <c r="J6038">
        <v>2019</v>
      </c>
      <c r="K6038" s="21">
        <v>43682</v>
      </c>
      <c r="L6038">
        <v>2019</v>
      </c>
      <c r="M6038" s="21">
        <v>44511</v>
      </c>
      <c r="N6038">
        <v>2021</v>
      </c>
      <c r="Q6038" s="262">
        <v>0</v>
      </c>
      <c r="S6038" t="s">
        <v>114</v>
      </c>
      <c r="T6038" t="s">
        <v>114</v>
      </c>
      <c r="V6038">
        <v>0</v>
      </c>
      <c r="W6038">
        <v>0</v>
      </c>
      <c r="X6038">
        <v>0</v>
      </c>
      <c r="AU6038">
        <f t="shared" si="186"/>
        <v>0</v>
      </c>
      <c r="AV6038">
        <f t="shared" si="187"/>
        <v>0</v>
      </c>
    </row>
    <row r="6039" spans="1:48" x14ac:dyDescent="0.25">
      <c r="A6039" t="s">
        <v>19972</v>
      </c>
      <c r="C6039" t="s">
        <v>16013</v>
      </c>
      <c r="D6039" t="s">
        <v>8966</v>
      </c>
      <c r="E6039" t="s">
        <v>1663</v>
      </c>
      <c r="F6039">
        <v>2</v>
      </c>
      <c r="G6039">
        <v>2.6</v>
      </c>
      <c r="H6039" t="s">
        <v>2327</v>
      </c>
      <c r="I6039" s="21">
        <v>43675</v>
      </c>
      <c r="J6039">
        <v>2019</v>
      </c>
      <c r="K6039" s="21">
        <v>43748</v>
      </c>
      <c r="L6039">
        <v>2019</v>
      </c>
      <c r="M6039" s="21">
        <v>44252</v>
      </c>
      <c r="N6039">
        <v>2021</v>
      </c>
      <c r="Q6039" s="262">
        <v>2000000</v>
      </c>
      <c r="S6039" t="s">
        <v>13254</v>
      </c>
      <c r="U6039">
        <v>7</v>
      </c>
      <c r="V6039">
        <v>0</v>
      </c>
      <c r="W6039">
        <v>4400</v>
      </c>
      <c r="X6039">
        <v>2</v>
      </c>
      <c r="AE6039">
        <v>4400</v>
      </c>
      <c r="AQ6039">
        <v>2</v>
      </c>
      <c r="AU6039">
        <f t="shared" si="186"/>
        <v>2</v>
      </c>
      <c r="AV6039">
        <f t="shared" si="187"/>
        <v>0</v>
      </c>
    </row>
    <row r="6040" spans="1:48" x14ac:dyDescent="0.25">
      <c r="A6040" t="s">
        <v>14274</v>
      </c>
      <c r="C6040" t="s">
        <v>14275</v>
      </c>
      <c r="D6040" t="s">
        <v>14276</v>
      </c>
      <c r="E6040" t="s">
        <v>1663</v>
      </c>
      <c r="F6040">
        <v>3</v>
      </c>
      <c r="G6040">
        <v>3.2</v>
      </c>
      <c r="H6040" t="s">
        <v>2327</v>
      </c>
      <c r="I6040" s="21">
        <v>43676</v>
      </c>
      <c r="J6040">
        <v>2019</v>
      </c>
      <c r="M6040" s="21">
        <v>43864</v>
      </c>
      <c r="N6040">
        <v>2020</v>
      </c>
      <c r="Q6040" s="262">
        <v>0</v>
      </c>
      <c r="S6040" t="s">
        <v>114</v>
      </c>
      <c r="T6040" t="s">
        <v>114</v>
      </c>
      <c r="V6040">
        <v>0</v>
      </c>
      <c r="W6040">
        <v>0</v>
      </c>
      <c r="X6040">
        <v>0</v>
      </c>
      <c r="AU6040">
        <f t="shared" si="186"/>
        <v>0</v>
      </c>
      <c r="AV6040">
        <f t="shared" si="187"/>
        <v>0</v>
      </c>
    </row>
    <row r="6041" spans="1:48" x14ac:dyDescent="0.25">
      <c r="A6041" t="s">
        <v>14272</v>
      </c>
      <c r="C6041" t="s">
        <v>14273</v>
      </c>
      <c r="D6041" t="s">
        <v>12882</v>
      </c>
      <c r="E6041" t="s">
        <v>1663</v>
      </c>
      <c r="F6041">
        <v>3</v>
      </c>
      <c r="G6041">
        <v>3.1</v>
      </c>
      <c r="H6041" t="s">
        <v>2017</v>
      </c>
      <c r="I6041" s="21">
        <v>43676</v>
      </c>
      <c r="J6041">
        <v>2019</v>
      </c>
      <c r="K6041" s="21">
        <v>43685</v>
      </c>
      <c r="L6041">
        <v>2019</v>
      </c>
      <c r="M6041" s="21">
        <v>43895</v>
      </c>
      <c r="N6041">
        <v>2020</v>
      </c>
      <c r="Q6041" s="262">
        <v>15000</v>
      </c>
      <c r="S6041" t="s">
        <v>114</v>
      </c>
      <c r="T6041" t="s">
        <v>114</v>
      </c>
      <c r="V6041">
        <v>0</v>
      </c>
      <c r="W6041">
        <v>0</v>
      </c>
      <c r="X6041">
        <v>0</v>
      </c>
      <c r="AU6041">
        <f t="shared" ref="AU6041:AU6104" si="188">SUM(AN6041:AQ6041,AS6041)</f>
        <v>0</v>
      </c>
      <c r="AV6041">
        <f t="shared" ref="AV6041:AV6104" si="189">SUM(Y6041:AB6041,AH6041:AM6041)</f>
        <v>0</v>
      </c>
    </row>
    <row r="6042" spans="1:48" x14ac:dyDescent="0.25">
      <c r="A6042" t="s">
        <v>19277</v>
      </c>
      <c r="B6042" t="s">
        <v>19277</v>
      </c>
      <c r="C6042" t="s">
        <v>19278</v>
      </c>
      <c r="D6042" t="s">
        <v>13898</v>
      </c>
      <c r="E6042" t="s">
        <v>2310</v>
      </c>
      <c r="F6042">
        <v>8</v>
      </c>
      <c r="G6042">
        <v>8.4</v>
      </c>
      <c r="H6042" t="s">
        <v>2017</v>
      </c>
      <c r="I6042" s="21">
        <v>43676.440689351854</v>
      </c>
      <c r="J6042">
        <v>2019</v>
      </c>
      <c r="K6042" s="21">
        <v>43776.359887962964</v>
      </c>
      <c r="L6042">
        <v>2019</v>
      </c>
      <c r="M6042" s="21">
        <v>43895.66802607639</v>
      </c>
      <c r="N6042">
        <v>2020</v>
      </c>
      <c r="Q6042" s="262">
        <v>25000</v>
      </c>
      <c r="R6042" s="262">
        <v>9000</v>
      </c>
      <c r="S6042" t="s">
        <v>13254</v>
      </c>
      <c r="V6042">
        <v>0</v>
      </c>
      <c r="W6042">
        <v>200</v>
      </c>
      <c r="X6042">
        <v>0</v>
      </c>
      <c r="AL6042">
        <v>200</v>
      </c>
      <c r="AU6042">
        <f t="shared" si="188"/>
        <v>0</v>
      </c>
      <c r="AV6042">
        <f t="shared" si="189"/>
        <v>200</v>
      </c>
    </row>
    <row r="6043" spans="1:48" x14ac:dyDescent="0.25">
      <c r="A6043" t="s">
        <v>14277</v>
      </c>
      <c r="B6043" t="s">
        <v>14277</v>
      </c>
      <c r="C6043" t="s">
        <v>14278</v>
      </c>
      <c r="D6043" t="s">
        <v>14279</v>
      </c>
      <c r="E6043" t="s">
        <v>2310</v>
      </c>
      <c r="F6043">
        <v>12</v>
      </c>
      <c r="G6043">
        <v>12.3</v>
      </c>
      <c r="H6043" t="s">
        <v>2017</v>
      </c>
      <c r="I6043" s="21">
        <v>43676.461317164401</v>
      </c>
      <c r="J6043">
        <v>2019</v>
      </c>
      <c r="K6043" s="21">
        <v>43676.472562766197</v>
      </c>
      <c r="L6043">
        <v>2019</v>
      </c>
      <c r="M6043" s="21">
        <v>43857.373725578698</v>
      </c>
      <c r="N6043">
        <v>2020</v>
      </c>
      <c r="Q6043" s="262">
        <v>4500</v>
      </c>
      <c r="R6043" s="262">
        <v>3000</v>
      </c>
      <c r="S6043" t="s">
        <v>114</v>
      </c>
      <c r="T6043" t="s">
        <v>114</v>
      </c>
      <c r="V6043">
        <v>0</v>
      </c>
      <c r="W6043">
        <v>0</v>
      </c>
      <c r="X6043">
        <v>0</v>
      </c>
      <c r="AU6043">
        <f t="shared" si="188"/>
        <v>0</v>
      </c>
      <c r="AV6043">
        <f t="shared" si="189"/>
        <v>0</v>
      </c>
    </row>
    <row r="6044" spans="1:48" x14ac:dyDescent="0.25">
      <c r="A6044" t="s">
        <v>20090</v>
      </c>
      <c r="B6044" t="s">
        <v>20090</v>
      </c>
      <c r="C6044" t="s">
        <v>20091</v>
      </c>
      <c r="D6044" t="s">
        <v>20092</v>
      </c>
      <c r="E6044" t="s">
        <v>2310</v>
      </c>
      <c r="F6044">
        <v>8</v>
      </c>
      <c r="G6044">
        <v>8.1</v>
      </c>
      <c r="H6044" t="s">
        <v>2323</v>
      </c>
      <c r="I6044" s="21">
        <v>43676.569161377301</v>
      </c>
      <c r="J6044">
        <v>2019</v>
      </c>
      <c r="K6044" s="21">
        <v>43732.637627199103</v>
      </c>
      <c r="L6044">
        <v>2019</v>
      </c>
      <c r="M6044" s="21">
        <v>44454</v>
      </c>
      <c r="N6044">
        <v>2021</v>
      </c>
      <c r="Q6044" s="262">
        <v>3500000</v>
      </c>
      <c r="R6044" s="262">
        <v>822000</v>
      </c>
      <c r="S6044" t="s">
        <v>13254</v>
      </c>
      <c r="U6044">
        <v>5</v>
      </c>
      <c r="V6044">
        <v>0</v>
      </c>
      <c r="W6044">
        <v>6582</v>
      </c>
      <c r="X6044">
        <v>1</v>
      </c>
      <c r="AC6044">
        <v>6582</v>
      </c>
      <c r="AO6044">
        <v>1</v>
      </c>
      <c r="AU6044">
        <f t="shared" si="188"/>
        <v>1</v>
      </c>
      <c r="AV6044">
        <f t="shared" si="189"/>
        <v>0</v>
      </c>
    </row>
    <row r="6045" spans="1:48" x14ac:dyDescent="0.25">
      <c r="A6045" t="s">
        <v>14280</v>
      </c>
      <c r="B6045" t="s">
        <v>14280</v>
      </c>
      <c r="C6045" t="s">
        <v>14281</v>
      </c>
      <c r="D6045" t="s">
        <v>14282</v>
      </c>
      <c r="E6045" t="s">
        <v>2310</v>
      </c>
      <c r="F6045">
        <v>9</v>
      </c>
      <c r="G6045">
        <v>9.1</v>
      </c>
      <c r="H6045" t="s">
        <v>2323</v>
      </c>
      <c r="I6045" s="21">
        <v>43676.6544629282</v>
      </c>
      <c r="J6045">
        <v>2019</v>
      </c>
      <c r="P6045" s="21">
        <v>44075.703483136604</v>
      </c>
      <c r="Q6045" s="262">
        <v>3000000</v>
      </c>
      <c r="R6045" s="262">
        <v>1240000</v>
      </c>
      <c r="S6045" t="s">
        <v>114</v>
      </c>
      <c r="T6045" t="s">
        <v>114</v>
      </c>
      <c r="V6045">
        <v>0</v>
      </c>
      <c r="W6045">
        <v>8122</v>
      </c>
      <c r="X6045">
        <v>1</v>
      </c>
      <c r="AC6045">
        <v>8122</v>
      </c>
      <c r="AO6045">
        <v>1</v>
      </c>
      <c r="AU6045">
        <f t="shared" si="188"/>
        <v>1</v>
      </c>
      <c r="AV6045">
        <f t="shared" si="189"/>
        <v>0</v>
      </c>
    </row>
    <row r="6046" spans="1:48" x14ac:dyDescent="0.25">
      <c r="A6046" t="s">
        <v>14283</v>
      </c>
      <c r="C6046" t="s">
        <v>14284</v>
      </c>
      <c r="D6046" t="s">
        <v>14285</v>
      </c>
      <c r="E6046" t="s">
        <v>1663</v>
      </c>
      <c r="F6046">
        <v>4</v>
      </c>
      <c r="G6046">
        <v>4.4000000000000004</v>
      </c>
      <c r="H6046" t="s">
        <v>2017</v>
      </c>
      <c r="I6046" s="21">
        <v>43677</v>
      </c>
      <c r="J6046">
        <v>2019</v>
      </c>
      <c r="K6046" s="21">
        <v>43678</v>
      </c>
      <c r="L6046">
        <v>2019</v>
      </c>
      <c r="M6046" s="21">
        <v>44511</v>
      </c>
      <c r="N6046">
        <v>2021</v>
      </c>
      <c r="Q6046" s="262">
        <v>19000</v>
      </c>
      <c r="S6046" t="s">
        <v>114</v>
      </c>
      <c r="T6046" t="s">
        <v>114</v>
      </c>
      <c r="V6046">
        <v>0</v>
      </c>
      <c r="W6046">
        <v>0</v>
      </c>
      <c r="X6046">
        <v>0</v>
      </c>
      <c r="AU6046">
        <f t="shared" si="188"/>
        <v>0</v>
      </c>
      <c r="AV6046">
        <f t="shared" si="189"/>
        <v>0</v>
      </c>
    </row>
    <row r="6047" spans="1:48" x14ac:dyDescent="0.25">
      <c r="A6047" t="s">
        <v>19973</v>
      </c>
      <c r="C6047" t="s">
        <v>15760</v>
      </c>
      <c r="D6047" t="s">
        <v>8969</v>
      </c>
      <c r="E6047" t="s">
        <v>1663</v>
      </c>
      <c r="F6047">
        <v>2</v>
      </c>
      <c r="G6047">
        <v>2.6</v>
      </c>
      <c r="H6047" t="s">
        <v>2327</v>
      </c>
      <c r="I6047" s="21">
        <v>43677</v>
      </c>
      <c r="J6047">
        <v>2019</v>
      </c>
      <c r="K6047" s="21">
        <v>43748</v>
      </c>
      <c r="L6047">
        <v>2019</v>
      </c>
      <c r="M6047" s="21">
        <v>44454</v>
      </c>
      <c r="N6047">
        <v>2021</v>
      </c>
      <c r="Q6047" s="262">
        <v>2000000</v>
      </c>
      <c r="S6047" t="s">
        <v>13254</v>
      </c>
      <c r="U6047">
        <v>7</v>
      </c>
      <c r="V6047">
        <v>0</v>
      </c>
      <c r="W6047">
        <v>4952</v>
      </c>
      <c r="X6047">
        <v>2</v>
      </c>
      <c r="AE6047">
        <v>4952</v>
      </c>
      <c r="AQ6047">
        <v>2</v>
      </c>
      <c r="AU6047">
        <f t="shared" si="188"/>
        <v>2</v>
      </c>
      <c r="AV6047">
        <f t="shared" si="189"/>
        <v>0</v>
      </c>
    </row>
    <row r="6048" spans="1:48" x14ac:dyDescent="0.25">
      <c r="A6048" t="s">
        <v>14286</v>
      </c>
      <c r="B6048" t="s">
        <v>14286</v>
      </c>
      <c r="C6048" t="s">
        <v>14287</v>
      </c>
      <c r="D6048" t="s">
        <v>3332</v>
      </c>
      <c r="E6048" t="s">
        <v>2310</v>
      </c>
      <c r="F6048">
        <v>7</v>
      </c>
      <c r="G6048">
        <v>7.1</v>
      </c>
      <c r="H6048" t="s">
        <v>2017</v>
      </c>
      <c r="I6048" s="21">
        <v>43678.591057256897</v>
      </c>
      <c r="J6048">
        <v>2019</v>
      </c>
      <c r="K6048" s="21">
        <v>43733.5565067477</v>
      </c>
      <c r="L6048">
        <v>2019</v>
      </c>
      <c r="M6048" s="21">
        <v>43885.414819213001</v>
      </c>
      <c r="N6048">
        <v>2020</v>
      </c>
      <c r="Q6048" s="262">
        <v>100000</v>
      </c>
      <c r="R6048" s="262">
        <v>290000</v>
      </c>
      <c r="S6048" t="s">
        <v>114</v>
      </c>
      <c r="T6048" t="s">
        <v>114</v>
      </c>
      <c r="V6048">
        <v>0</v>
      </c>
      <c r="W6048">
        <v>0</v>
      </c>
      <c r="X6048">
        <v>0</v>
      </c>
      <c r="AU6048">
        <f t="shared" si="188"/>
        <v>0</v>
      </c>
      <c r="AV6048">
        <f t="shared" si="189"/>
        <v>0</v>
      </c>
    </row>
    <row r="6049" spans="1:48" x14ac:dyDescent="0.25">
      <c r="A6049" t="s">
        <v>20087</v>
      </c>
      <c r="B6049" t="s">
        <v>20087</v>
      </c>
      <c r="C6049" t="s">
        <v>20088</v>
      </c>
      <c r="D6049" t="s">
        <v>20089</v>
      </c>
      <c r="E6049" t="s">
        <v>2310</v>
      </c>
      <c r="F6049">
        <v>8</v>
      </c>
      <c r="G6049">
        <v>8.1</v>
      </c>
      <c r="H6049" t="s">
        <v>2323</v>
      </c>
      <c r="I6049" s="21">
        <v>43678.593542708302</v>
      </c>
      <c r="J6049">
        <v>2019</v>
      </c>
      <c r="K6049" s="21">
        <v>43725.577626585597</v>
      </c>
      <c r="L6049">
        <v>2019</v>
      </c>
      <c r="M6049" s="21">
        <v>44452</v>
      </c>
      <c r="N6049">
        <v>2021</v>
      </c>
      <c r="Q6049" s="262">
        <v>2000000</v>
      </c>
      <c r="R6049" s="262">
        <v>1016000</v>
      </c>
      <c r="S6049" t="s">
        <v>13254</v>
      </c>
      <c r="U6049">
        <v>5</v>
      </c>
      <c r="V6049">
        <v>0</v>
      </c>
      <c r="W6049">
        <v>6908</v>
      </c>
      <c r="X6049">
        <v>1</v>
      </c>
      <c r="AC6049">
        <v>6908</v>
      </c>
      <c r="AO6049">
        <v>1</v>
      </c>
      <c r="AU6049">
        <f t="shared" si="188"/>
        <v>1</v>
      </c>
      <c r="AV6049">
        <f t="shared" si="189"/>
        <v>0</v>
      </c>
    </row>
    <row r="6050" spans="1:48" x14ac:dyDescent="0.25">
      <c r="A6050" t="s">
        <v>20137</v>
      </c>
      <c r="B6050" t="s">
        <v>20137</v>
      </c>
      <c r="C6050" t="s">
        <v>20138</v>
      </c>
      <c r="D6050" t="s">
        <v>20139</v>
      </c>
      <c r="E6050" t="s">
        <v>2310</v>
      </c>
      <c r="F6050">
        <v>14</v>
      </c>
      <c r="G6050">
        <v>14.1</v>
      </c>
      <c r="H6050" t="s">
        <v>2022</v>
      </c>
      <c r="I6050" s="21">
        <v>43678.689703935197</v>
      </c>
      <c r="J6050">
        <v>2019</v>
      </c>
      <c r="K6050" s="21">
        <v>43726.3882633912</v>
      </c>
      <c r="L6050">
        <v>2019</v>
      </c>
      <c r="M6050" s="21">
        <v>44210</v>
      </c>
      <c r="N6050">
        <v>2021</v>
      </c>
      <c r="Q6050" s="262">
        <v>1500000</v>
      </c>
      <c r="R6050" s="262">
        <v>691000</v>
      </c>
      <c r="S6050" t="s">
        <v>13254</v>
      </c>
      <c r="U6050">
        <v>5</v>
      </c>
      <c r="V6050">
        <v>0</v>
      </c>
      <c r="W6050">
        <v>5512</v>
      </c>
      <c r="X6050">
        <v>1</v>
      </c>
      <c r="AC6050">
        <v>5512</v>
      </c>
      <c r="AO6050">
        <v>1</v>
      </c>
      <c r="AU6050">
        <f t="shared" si="188"/>
        <v>1</v>
      </c>
      <c r="AV6050">
        <f t="shared" si="189"/>
        <v>0</v>
      </c>
    </row>
    <row r="6051" spans="1:48" x14ac:dyDescent="0.25">
      <c r="A6051" t="s">
        <v>14291</v>
      </c>
      <c r="C6051" t="s">
        <v>11879</v>
      </c>
      <c r="D6051" t="s">
        <v>14292</v>
      </c>
      <c r="E6051" t="s">
        <v>1663</v>
      </c>
      <c r="F6051">
        <v>5</v>
      </c>
      <c r="G6051">
        <v>5.2</v>
      </c>
      <c r="H6051" t="s">
        <v>2327</v>
      </c>
      <c r="I6051" s="21">
        <v>43682</v>
      </c>
      <c r="J6051">
        <v>2019</v>
      </c>
      <c r="K6051" s="21">
        <v>43731</v>
      </c>
      <c r="L6051">
        <v>2019</v>
      </c>
      <c r="M6051" s="21">
        <v>43773</v>
      </c>
      <c r="N6051">
        <v>2019</v>
      </c>
      <c r="Q6051" s="262">
        <v>10000</v>
      </c>
      <c r="S6051" t="s">
        <v>114</v>
      </c>
      <c r="T6051" t="s">
        <v>114</v>
      </c>
      <c r="V6051">
        <v>0</v>
      </c>
      <c r="W6051">
        <v>0</v>
      </c>
      <c r="X6051">
        <v>0</v>
      </c>
      <c r="AU6051">
        <f t="shared" si="188"/>
        <v>0</v>
      </c>
      <c r="AV6051">
        <f t="shared" si="189"/>
        <v>0</v>
      </c>
    </row>
    <row r="6052" spans="1:48" x14ac:dyDescent="0.25">
      <c r="A6052" t="s">
        <v>14288</v>
      </c>
      <c r="C6052" t="s">
        <v>14289</v>
      </c>
      <c r="D6052" t="s">
        <v>14290</v>
      </c>
      <c r="E6052" t="s">
        <v>1663</v>
      </c>
      <c r="F6052">
        <v>3</v>
      </c>
      <c r="G6052">
        <v>3.1</v>
      </c>
      <c r="H6052" t="s">
        <v>2017</v>
      </c>
      <c r="I6052" s="21">
        <v>43682</v>
      </c>
      <c r="J6052">
        <v>2019</v>
      </c>
      <c r="K6052" s="21">
        <v>43719</v>
      </c>
      <c r="L6052">
        <v>2019</v>
      </c>
      <c r="M6052" s="21">
        <v>44469</v>
      </c>
      <c r="N6052">
        <v>2021</v>
      </c>
      <c r="Q6052" s="262">
        <v>3400000</v>
      </c>
      <c r="S6052" t="s">
        <v>114</v>
      </c>
      <c r="T6052" t="s">
        <v>114</v>
      </c>
      <c r="V6052">
        <v>0</v>
      </c>
      <c r="W6052">
        <v>3501</v>
      </c>
      <c r="X6052">
        <v>1</v>
      </c>
      <c r="AC6052">
        <v>2701</v>
      </c>
      <c r="AF6052">
        <v>800</v>
      </c>
      <c r="AR6052">
        <v>1</v>
      </c>
      <c r="AU6052">
        <f t="shared" si="188"/>
        <v>0</v>
      </c>
      <c r="AV6052">
        <f t="shared" si="189"/>
        <v>0</v>
      </c>
    </row>
    <row r="6053" spans="1:48" x14ac:dyDescent="0.25">
      <c r="A6053" t="s">
        <v>19360</v>
      </c>
      <c r="B6053" t="s">
        <v>114</v>
      </c>
      <c r="C6053" t="s">
        <v>10347</v>
      </c>
      <c r="D6053" t="s">
        <v>13844</v>
      </c>
      <c r="E6053" t="s">
        <v>1663</v>
      </c>
      <c r="F6053">
        <v>6</v>
      </c>
      <c r="G6053">
        <v>6.1</v>
      </c>
      <c r="H6053" t="s">
        <v>2017</v>
      </c>
      <c r="I6053" s="21">
        <v>43685</v>
      </c>
      <c r="J6053">
        <v>2019</v>
      </c>
      <c r="K6053" s="21">
        <v>43739</v>
      </c>
      <c r="L6053">
        <v>2019</v>
      </c>
      <c r="M6053" s="21">
        <v>43986</v>
      </c>
      <c r="N6053">
        <v>2020</v>
      </c>
      <c r="Q6053" s="262">
        <v>125000</v>
      </c>
      <c r="S6053" t="s">
        <v>13254</v>
      </c>
      <c r="V6053">
        <v>0</v>
      </c>
      <c r="W6053">
        <v>555</v>
      </c>
      <c r="X6053">
        <v>0</v>
      </c>
      <c r="AC6053">
        <v>555</v>
      </c>
      <c r="AU6053">
        <f t="shared" si="188"/>
        <v>0</v>
      </c>
      <c r="AV6053">
        <f t="shared" si="189"/>
        <v>0</v>
      </c>
    </row>
    <row r="6054" spans="1:48" x14ac:dyDescent="0.25">
      <c r="A6054" t="s">
        <v>19949</v>
      </c>
      <c r="C6054" t="s">
        <v>19950</v>
      </c>
      <c r="D6054" t="s">
        <v>19951</v>
      </c>
      <c r="E6054" t="s">
        <v>1663</v>
      </c>
      <c r="F6054">
        <v>6</v>
      </c>
      <c r="G6054">
        <v>6.1</v>
      </c>
      <c r="H6054" t="s">
        <v>2017</v>
      </c>
      <c r="I6054" s="21">
        <v>43685</v>
      </c>
      <c r="J6054">
        <v>2019</v>
      </c>
      <c r="K6054" s="21">
        <v>43700</v>
      </c>
      <c r="L6054">
        <v>2019</v>
      </c>
      <c r="M6054" s="21">
        <v>44506</v>
      </c>
      <c r="N6054">
        <v>2021</v>
      </c>
      <c r="Q6054" s="262">
        <v>80000</v>
      </c>
      <c r="S6054" t="s">
        <v>13253</v>
      </c>
      <c r="T6054">
        <v>10611</v>
      </c>
      <c r="U6054">
        <v>5</v>
      </c>
      <c r="V6054">
        <v>0</v>
      </c>
      <c r="W6054">
        <v>92</v>
      </c>
      <c r="X6054">
        <v>0</v>
      </c>
      <c r="AC6054">
        <v>92</v>
      </c>
      <c r="AU6054">
        <f t="shared" si="188"/>
        <v>0</v>
      </c>
      <c r="AV6054">
        <f t="shared" si="189"/>
        <v>0</v>
      </c>
    </row>
    <row r="6055" spans="1:48" x14ac:dyDescent="0.25">
      <c r="A6055" t="s">
        <v>19774</v>
      </c>
      <c r="C6055" t="s">
        <v>12049</v>
      </c>
      <c r="D6055" t="s">
        <v>19775</v>
      </c>
      <c r="E6055" t="s">
        <v>1663</v>
      </c>
      <c r="F6055">
        <v>5</v>
      </c>
      <c r="G6055">
        <v>5.5</v>
      </c>
      <c r="H6055" t="s">
        <v>2017</v>
      </c>
      <c r="I6055" s="21">
        <v>43685</v>
      </c>
      <c r="J6055">
        <v>2019</v>
      </c>
      <c r="K6055" s="21">
        <v>43712</v>
      </c>
      <c r="L6055">
        <v>2019</v>
      </c>
      <c r="M6055" s="21">
        <v>44412</v>
      </c>
      <c r="N6055">
        <v>2021</v>
      </c>
      <c r="Q6055" s="262">
        <v>650000</v>
      </c>
      <c r="S6055" t="s">
        <v>13254</v>
      </c>
      <c r="U6055">
        <v>5</v>
      </c>
      <c r="V6055">
        <v>0</v>
      </c>
      <c r="W6055">
        <v>3078</v>
      </c>
      <c r="X6055">
        <v>1</v>
      </c>
      <c r="AC6055">
        <v>3078</v>
      </c>
      <c r="AO6055">
        <v>1</v>
      </c>
      <c r="AU6055">
        <f t="shared" si="188"/>
        <v>1</v>
      </c>
      <c r="AV6055">
        <f t="shared" si="189"/>
        <v>0</v>
      </c>
    </row>
    <row r="6056" spans="1:48" x14ac:dyDescent="0.25">
      <c r="A6056" t="s">
        <v>20104</v>
      </c>
      <c r="B6056" t="s">
        <v>20104</v>
      </c>
      <c r="C6056" t="s">
        <v>20105</v>
      </c>
      <c r="D6056" t="s">
        <v>20106</v>
      </c>
      <c r="E6056" t="s">
        <v>2310</v>
      </c>
      <c r="F6056">
        <v>9</v>
      </c>
      <c r="G6056">
        <v>9.1</v>
      </c>
      <c r="H6056" t="s">
        <v>2323</v>
      </c>
      <c r="I6056" s="21">
        <v>43685.560141747701</v>
      </c>
      <c r="J6056">
        <v>2019</v>
      </c>
      <c r="K6056" s="21">
        <v>44067.450341979202</v>
      </c>
      <c r="L6056">
        <v>2020</v>
      </c>
      <c r="M6056" s="21">
        <v>44515</v>
      </c>
      <c r="N6056">
        <v>2021</v>
      </c>
      <c r="Q6056" s="262">
        <v>2636900</v>
      </c>
      <c r="R6056" s="262">
        <v>846000</v>
      </c>
      <c r="S6056" t="s">
        <v>13254</v>
      </c>
      <c r="U6056">
        <v>5</v>
      </c>
      <c r="V6056">
        <v>0</v>
      </c>
      <c r="W6056">
        <v>5278</v>
      </c>
      <c r="X6056">
        <v>1</v>
      </c>
      <c r="AC6056">
        <v>5278</v>
      </c>
      <c r="AO6056">
        <v>1</v>
      </c>
      <c r="AU6056">
        <f t="shared" si="188"/>
        <v>1</v>
      </c>
      <c r="AV6056">
        <f t="shared" si="189"/>
        <v>0</v>
      </c>
    </row>
    <row r="6057" spans="1:48" x14ac:dyDescent="0.25">
      <c r="A6057" t="s">
        <v>19999</v>
      </c>
      <c r="B6057" t="s">
        <v>19999</v>
      </c>
      <c r="C6057" t="s">
        <v>20000</v>
      </c>
      <c r="D6057" t="s">
        <v>20001</v>
      </c>
      <c r="E6057" t="s">
        <v>2310</v>
      </c>
      <c r="F6057">
        <v>9</v>
      </c>
      <c r="G6057">
        <v>9.3000000000000007</v>
      </c>
      <c r="H6057" t="s">
        <v>2323</v>
      </c>
      <c r="I6057" s="21">
        <v>43685.645427974501</v>
      </c>
      <c r="J6057">
        <v>2019</v>
      </c>
      <c r="K6057" s="21">
        <v>43726.3917133102</v>
      </c>
      <c r="L6057">
        <v>2019</v>
      </c>
      <c r="M6057" s="21">
        <v>44243</v>
      </c>
      <c r="N6057">
        <v>2021</v>
      </c>
      <c r="Q6057" s="262">
        <v>138000</v>
      </c>
      <c r="R6057" s="262">
        <v>164000</v>
      </c>
      <c r="S6057" t="s">
        <v>13253</v>
      </c>
      <c r="T6057">
        <v>3972</v>
      </c>
      <c r="U6057">
        <v>17</v>
      </c>
      <c r="V6057">
        <v>0</v>
      </c>
      <c r="W6057">
        <v>1384</v>
      </c>
      <c r="X6057">
        <v>1</v>
      </c>
      <c r="AC6057">
        <v>395</v>
      </c>
      <c r="AF6057">
        <v>989</v>
      </c>
      <c r="AR6057">
        <v>1</v>
      </c>
      <c r="AU6057">
        <f t="shared" si="188"/>
        <v>0</v>
      </c>
      <c r="AV6057">
        <f t="shared" si="189"/>
        <v>0</v>
      </c>
    </row>
    <row r="6058" spans="1:48" x14ac:dyDescent="0.25">
      <c r="A6058" t="s">
        <v>14295</v>
      </c>
      <c r="D6058" t="s">
        <v>9225</v>
      </c>
      <c r="E6058" t="s">
        <v>2310</v>
      </c>
      <c r="F6058">
        <v>9</v>
      </c>
      <c r="G6058">
        <v>9.1999999999999993</v>
      </c>
      <c r="H6058" t="s">
        <v>2022</v>
      </c>
      <c r="I6058" s="21">
        <v>43686.442884525502</v>
      </c>
      <c r="J6058">
        <v>2019</v>
      </c>
      <c r="K6058" s="21">
        <v>43714.582384409703</v>
      </c>
      <c r="L6058">
        <v>2019</v>
      </c>
      <c r="M6058" s="21">
        <v>44656.524837002318</v>
      </c>
      <c r="N6058">
        <v>2022</v>
      </c>
      <c r="O6058" s="21" t="s">
        <v>114</v>
      </c>
      <c r="P6058" s="21" t="s">
        <v>114</v>
      </c>
      <c r="Q6058" s="262">
        <v>2000000</v>
      </c>
      <c r="R6058" s="262">
        <v>522000</v>
      </c>
      <c r="S6058" t="s">
        <v>9529</v>
      </c>
      <c r="T6058">
        <v>8577</v>
      </c>
      <c r="U6058">
        <v>1</v>
      </c>
      <c r="W6058">
        <v>-2555</v>
      </c>
      <c r="X6058">
        <v>0</v>
      </c>
      <c r="Y6058">
        <v>-2555</v>
      </c>
      <c r="Z6058">
        <v>0</v>
      </c>
      <c r="AA6058">
        <v>0</v>
      </c>
      <c r="AB6058">
        <v>0</v>
      </c>
      <c r="AC6058">
        <v>0</v>
      </c>
      <c r="AD6058">
        <v>0</v>
      </c>
      <c r="AE6058">
        <v>0</v>
      </c>
      <c r="AF6058">
        <v>0</v>
      </c>
      <c r="AG6058">
        <v>0</v>
      </c>
      <c r="AH6058">
        <v>0</v>
      </c>
      <c r="AI6058">
        <v>0</v>
      </c>
      <c r="AJ6058">
        <v>0</v>
      </c>
      <c r="AK6058">
        <v>0</v>
      </c>
      <c r="AL6058">
        <v>0</v>
      </c>
      <c r="AM6058">
        <v>0</v>
      </c>
      <c r="AN6058">
        <v>0</v>
      </c>
      <c r="AO6058">
        <v>0</v>
      </c>
      <c r="AP6058">
        <v>0</v>
      </c>
      <c r="AQ6058">
        <v>0</v>
      </c>
      <c r="AR6058">
        <v>0</v>
      </c>
      <c r="AS6058">
        <v>0</v>
      </c>
      <c r="AT6058">
        <v>0</v>
      </c>
      <c r="AU6058">
        <f t="shared" si="188"/>
        <v>0</v>
      </c>
      <c r="AV6058">
        <f t="shared" si="189"/>
        <v>-2555</v>
      </c>
    </row>
    <row r="6059" spans="1:48" x14ac:dyDescent="0.25">
      <c r="A6059" t="s">
        <v>14295</v>
      </c>
      <c r="B6059" t="s">
        <v>14295</v>
      </c>
      <c r="C6059" t="s">
        <v>14298</v>
      </c>
      <c r="D6059" t="s">
        <v>9225</v>
      </c>
      <c r="E6059" t="s">
        <v>2310</v>
      </c>
      <c r="F6059">
        <v>9</v>
      </c>
      <c r="G6059">
        <v>9.1999999999999993</v>
      </c>
      <c r="H6059" t="s">
        <v>2022</v>
      </c>
      <c r="I6059" s="21">
        <v>43686.442884525502</v>
      </c>
      <c r="J6059">
        <v>2019</v>
      </c>
      <c r="K6059" s="21">
        <v>43714.582384409703</v>
      </c>
      <c r="L6059">
        <v>2019</v>
      </c>
      <c r="M6059" s="21">
        <v>44656.524837002318</v>
      </c>
      <c r="N6059">
        <v>2022</v>
      </c>
      <c r="Q6059" s="262">
        <v>2000000</v>
      </c>
      <c r="R6059" s="262">
        <v>522000</v>
      </c>
      <c r="S6059" t="s">
        <v>12464</v>
      </c>
      <c r="T6059">
        <v>8577</v>
      </c>
      <c r="V6059">
        <v>0</v>
      </c>
      <c r="W6059">
        <v>3860</v>
      </c>
      <c r="X6059">
        <v>1</v>
      </c>
      <c r="Y6059">
        <v>3860</v>
      </c>
      <c r="AN6059">
        <v>1</v>
      </c>
      <c r="AU6059">
        <f t="shared" si="188"/>
        <v>1</v>
      </c>
      <c r="AV6059">
        <f t="shared" si="189"/>
        <v>3860</v>
      </c>
    </row>
    <row r="6060" spans="1:48" x14ac:dyDescent="0.25">
      <c r="A6060" t="s">
        <v>14305</v>
      </c>
      <c r="D6060" t="s">
        <v>7750</v>
      </c>
      <c r="E6060" t="s">
        <v>2310</v>
      </c>
      <c r="F6060">
        <v>9</v>
      </c>
      <c r="G6060">
        <v>9.1999999999999993</v>
      </c>
      <c r="H6060" t="s">
        <v>2022</v>
      </c>
      <c r="I6060" s="21">
        <v>43690.639435266203</v>
      </c>
      <c r="J6060">
        <v>2019</v>
      </c>
      <c r="K6060" s="21">
        <v>43748.484838576398</v>
      </c>
      <c r="L6060">
        <v>2019</v>
      </c>
      <c r="M6060" s="21">
        <v>44662.3888840625</v>
      </c>
      <c r="N6060">
        <v>2022</v>
      </c>
      <c r="O6060" s="21" t="s">
        <v>114</v>
      </c>
      <c r="P6060" s="21" t="s">
        <v>114</v>
      </c>
      <c r="Q6060" s="262">
        <v>2500000</v>
      </c>
      <c r="R6060" s="262">
        <v>935000</v>
      </c>
      <c r="S6060" t="s">
        <v>9529</v>
      </c>
      <c r="T6060">
        <v>4968</v>
      </c>
      <c r="U6060">
        <v>5</v>
      </c>
      <c r="W6060">
        <v>-3012</v>
      </c>
      <c r="X6060">
        <v>-1</v>
      </c>
      <c r="Y6060">
        <v>0</v>
      </c>
      <c r="Z6060">
        <v>0</v>
      </c>
      <c r="AA6060">
        <v>0</v>
      </c>
      <c r="AB6060">
        <v>0</v>
      </c>
      <c r="AC6060">
        <v>-3012</v>
      </c>
      <c r="AD6060">
        <v>0</v>
      </c>
      <c r="AE6060">
        <v>0</v>
      </c>
      <c r="AF6060">
        <v>0</v>
      </c>
      <c r="AG6060">
        <v>0</v>
      </c>
      <c r="AH6060">
        <v>0</v>
      </c>
      <c r="AI6060">
        <v>0</v>
      </c>
      <c r="AJ6060">
        <v>0</v>
      </c>
      <c r="AK6060">
        <v>0</v>
      </c>
      <c r="AL6060">
        <v>0</v>
      </c>
      <c r="AM6060">
        <v>0</v>
      </c>
      <c r="AN6060">
        <v>0</v>
      </c>
      <c r="AO6060">
        <v>-1</v>
      </c>
      <c r="AP6060">
        <v>0</v>
      </c>
      <c r="AQ6060">
        <v>0</v>
      </c>
      <c r="AR6060">
        <v>0</v>
      </c>
      <c r="AS6060">
        <v>0</v>
      </c>
      <c r="AT6060">
        <v>0</v>
      </c>
      <c r="AU6060">
        <f t="shared" si="188"/>
        <v>-1</v>
      </c>
      <c r="AV6060">
        <f t="shared" si="189"/>
        <v>0</v>
      </c>
    </row>
    <row r="6061" spans="1:48" x14ac:dyDescent="0.25">
      <c r="A6061" t="s">
        <v>14305</v>
      </c>
      <c r="B6061" t="s">
        <v>14305</v>
      </c>
      <c r="C6061" t="s">
        <v>14306</v>
      </c>
      <c r="D6061" t="s">
        <v>7750</v>
      </c>
      <c r="E6061" t="s">
        <v>2310</v>
      </c>
      <c r="F6061">
        <v>9</v>
      </c>
      <c r="G6061">
        <v>9.1999999999999993</v>
      </c>
      <c r="H6061" t="s">
        <v>2022</v>
      </c>
      <c r="I6061" s="21">
        <v>43690.639435266203</v>
      </c>
      <c r="J6061">
        <v>2019</v>
      </c>
      <c r="K6061" s="21">
        <v>43748.484838576398</v>
      </c>
      <c r="L6061">
        <v>2019</v>
      </c>
      <c r="M6061" s="21">
        <v>44651</v>
      </c>
      <c r="N6061">
        <v>2022</v>
      </c>
      <c r="Q6061" s="262">
        <v>2500000</v>
      </c>
      <c r="R6061" s="262">
        <v>935000</v>
      </c>
      <c r="S6061" t="s">
        <v>12464</v>
      </c>
      <c r="T6061">
        <v>4968</v>
      </c>
      <c r="V6061">
        <v>0</v>
      </c>
      <c r="W6061">
        <v>6954</v>
      </c>
      <c r="X6061">
        <v>1</v>
      </c>
      <c r="AC6061">
        <v>6954</v>
      </c>
      <c r="AO6061">
        <v>1</v>
      </c>
      <c r="AU6061">
        <f t="shared" si="188"/>
        <v>1</v>
      </c>
      <c r="AV6061">
        <f t="shared" si="189"/>
        <v>0</v>
      </c>
    </row>
    <row r="6062" spans="1:48" x14ac:dyDescent="0.25">
      <c r="A6062" t="s">
        <v>14307</v>
      </c>
      <c r="D6062" t="s">
        <v>7750</v>
      </c>
      <c r="E6062" t="s">
        <v>2310</v>
      </c>
      <c r="F6062">
        <v>9</v>
      </c>
      <c r="G6062">
        <v>9.1999999999999993</v>
      </c>
      <c r="H6062" t="s">
        <v>2022</v>
      </c>
      <c r="I6062" s="21">
        <v>43690.643530706002</v>
      </c>
      <c r="J6062">
        <v>2019</v>
      </c>
      <c r="K6062" s="21">
        <v>43748.487025196802</v>
      </c>
      <c r="L6062">
        <v>2019</v>
      </c>
      <c r="M6062" s="21">
        <v>44676.37564471065</v>
      </c>
      <c r="N6062">
        <v>2022</v>
      </c>
      <c r="O6062" s="21" t="s">
        <v>114</v>
      </c>
      <c r="P6062" s="21" t="s">
        <v>114</v>
      </c>
      <c r="Q6062" s="262">
        <v>1000000</v>
      </c>
      <c r="R6062" s="262">
        <v>112000</v>
      </c>
      <c r="S6062" t="s">
        <v>9529</v>
      </c>
      <c r="T6062">
        <v>4969</v>
      </c>
      <c r="U6062">
        <v>5</v>
      </c>
      <c r="W6062">
        <v>-480</v>
      </c>
      <c r="X6062">
        <v>0</v>
      </c>
      <c r="Y6062">
        <v>0</v>
      </c>
      <c r="Z6062">
        <v>0</v>
      </c>
      <c r="AA6062">
        <v>0</v>
      </c>
      <c r="AB6062">
        <v>0</v>
      </c>
      <c r="AC6062">
        <v>-480</v>
      </c>
      <c r="AD6062">
        <v>0</v>
      </c>
      <c r="AE6062">
        <v>0</v>
      </c>
      <c r="AF6062">
        <v>0</v>
      </c>
      <c r="AG6062">
        <v>0</v>
      </c>
      <c r="AH6062">
        <v>0</v>
      </c>
      <c r="AI6062">
        <v>0</v>
      </c>
      <c r="AJ6062">
        <v>0</v>
      </c>
      <c r="AK6062">
        <v>0</v>
      </c>
      <c r="AL6062">
        <v>0</v>
      </c>
      <c r="AM6062">
        <v>0</v>
      </c>
      <c r="AN6062">
        <v>0</v>
      </c>
      <c r="AO6062">
        <v>0</v>
      </c>
      <c r="AP6062">
        <v>0</v>
      </c>
      <c r="AQ6062">
        <v>0</v>
      </c>
      <c r="AR6062">
        <v>0</v>
      </c>
      <c r="AS6062">
        <v>0</v>
      </c>
      <c r="AT6062">
        <v>0</v>
      </c>
      <c r="AU6062">
        <f t="shared" si="188"/>
        <v>0</v>
      </c>
      <c r="AV6062">
        <f t="shared" si="189"/>
        <v>0</v>
      </c>
    </row>
    <row r="6063" spans="1:48" x14ac:dyDescent="0.25">
      <c r="A6063" t="s">
        <v>14307</v>
      </c>
      <c r="B6063" t="s">
        <v>14307</v>
      </c>
      <c r="C6063" t="s">
        <v>14308</v>
      </c>
      <c r="D6063" t="s">
        <v>7750</v>
      </c>
      <c r="E6063" t="s">
        <v>2310</v>
      </c>
      <c r="F6063">
        <v>9</v>
      </c>
      <c r="G6063">
        <v>9.1999999999999993</v>
      </c>
      <c r="H6063" t="s">
        <v>2022</v>
      </c>
      <c r="I6063" s="21">
        <v>43690.643530706002</v>
      </c>
      <c r="J6063">
        <v>2019</v>
      </c>
      <c r="K6063" s="21">
        <v>43748.487025196802</v>
      </c>
      <c r="L6063">
        <v>2019</v>
      </c>
      <c r="M6063" s="21">
        <v>44673</v>
      </c>
      <c r="N6063">
        <v>2022</v>
      </c>
      <c r="Q6063" s="262">
        <v>1000000</v>
      </c>
      <c r="R6063" s="262">
        <v>112000</v>
      </c>
      <c r="S6063" t="s">
        <v>12464</v>
      </c>
      <c r="T6063">
        <v>4969</v>
      </c>
      <c r="V6063">
        <v>0</v>
      </c>
      <c r="W6063">
        <v>942</v>
      </c>
      <c r="X6063">
        <v>1</v>
      </c>
      <c r="AF6063">
        <v>942</v>
      </c>
      <c r="AR6063">
        <v>1</v>
      </c>
      <c r="AU6063">
        <f t="shared" si="188"/>
        <v>0</v>
      </c>
      <c r="AV6063">
        <f t="shared" si="189"/>
        <v>0</v>
      </c>
    </row>
    <row r="6064" spans="1:48" x14ac:dyDescent="0.25">
      <c r="A6064" t="s">
        <v>14301</v>
      </c>
      <c r="C6064" t="s">
        <v>14302</v>
      </c>
      <c r="D6064" t="s">
        <v>13855</v>
      </c>
      <c r="E6064" t="s">
        <v>1663</v>
      </c>
      <c r="F6064">
        <v>2</v>
      </c>
      <c r="G6064">
        <v>2.2999999999999998</v>
      </c>
      <c r="H6064" t="s">
        <v>2327</v>
      </c>
      <c r="I6064" s="21">
        <v>43691</v>
      </c>
      <c r="J6064">
        <v>2019</v>
      </c>
      <c r="K6064" s="21">
        <v>43705</v>
      </c>
      <c r="L6064">
        <v>2019</v>
      </c>
      <c r="M6064" s="21">
        <v>43896</v>
      </c>
      <c r="N6064">
        <v>2020</v>
      </c>
      <c r="Q6064" s="262">
        <v>1000000</v>
      </c>
      <c r="S6064" t="s">
        <v>114</v>
      </c>
      <c r="T6064" t="s">
        <v>114</v>
      </c>
      <c r="V6064">
        <v>0</v>
      </c>
      <c r="W6064">
        <v>0</v>
      </c>
      <c r="X6064">
        <v>0</v>
      </c>
      <c r="AU6064">
        <f t="shared" si="188"/>
        <v>0</v>
      </c>
      <c r="AV6064">
        <f t="shared" si="189"/>
        <v>0</v>
      </c>
    </row>
    <row r="6065" spans="1:48" x14ac:dyDescent="0.25">
      <c r="A6065" t="s">
        <v>19381</v>
      </c>
      <c r="B6065" t="s">
        <v>19381</v>
      </c>
      <c r="C6065" t="s">
        <v>19382</v>
      </c>
      <c r="D6065" t="s">
        <v>19383</v>
      </c>
      <c r="E6065" t="s">
        <v>2310</v>
      </c>
      <c r="F6065">
        <v>8</v>
      </c>
      <c r="G6065">
        <v>8.1</v>
      </c>
      <c r="H6065" t="s">
        <v>2323</v>
      </c>
      <c r="I6065" s="21">
        <v>43692.617094328707</v>
      </c>
      <c r="J6065">
        <v>2019</v>
      </c>
      <c r="K6065" s="21">
        <v>43774.410941238428</v>
      </c>
      <c r="L6065">
        <v>2019</v>
      </c>
      <c r="M6065" s="21">
        <v>44005.441350428242</v>
      </c>
      <c r="N6065">
        <v>2020</v>
      </c>
      <c r="Q6065" s="262">
        <v>100000</v>
      </c>
      <c r="R6065" s="262">
        <v>56000</v>
      </c>
      <c r="S6065" t="s">
        <v>13254</v>
      </c>
      <c r="V6065">
        <v>0</v>
      </c>
      <c r="W6065">
        <v>1155</v>
      </c>
      <c r="X6065">
        <v>0</v>
      </c>
      <c r="AC6065">
        <v>1155</v>
      </c>
      <c r="AU6065">
        <f t="shared" si="188"/>
        <v>0</v>
      </c>
      <c r="AV6065">
        <f t="shared" si="189"/>
        <v>0</v>
      </c>
    </row>
    <row r="6066" spans="1:48" x14ac:dyDescent="0.25">
      <c r="A6066" t="s">
        <v>20109</v>
      </c>
      <c r="B6066" t="s">
        <v>20109</v>
      </c>
      <c r="C6066" t="s">
        <v>20110</v>
      </c>
      <c r="D6066" t="s">
        <v>9236</v>
      </c>
      <c r="E6066" t="s">
        <v>2310</v>
      </c>
      <c r="F6066">
        <v>9</v>
      </c>
      <c r="G6066">
        <v>9.1</v>
      </c>
      <c r="H6066" t="s">
        <v>2323</v>
      </c>
      <c r="I6066" s="21">
        <v>43697.4255571412</v>
      </c>
      <c r="J6066">
        <v>2019</v>
      </c>
      <c r="K6066" s="21">
        <v>43717.6177048264</v>
      </c>
      <c r="L6066">
        <v>2019</v>
      </c>
      <c r="M6066" s="21">
        <v>44301</v>
      </c>
      <c r="N6066">
        <v>2021</v>
      </c>
      <c r="Q6066" s="262">
        <v>50000</v>
      </c>
      <c r="R6066" s="262">
        <v>19000</v>
      </c>
      <c r="S6066" t="s">
        <v>13253</v>
      </c>
      <c r="T6066">
        <v>6580</v>
      </c>
      <c r="U6066">
        <v>5</v>
      </c>
      <c r="V6066">
        <v>0</v>
      </c>
      <c r="W6066">
        <v>157</v>
      </c>
      <c r="X6066">
        <v>0</v>
      </c>
      <c r="AC6066">
        <v>157</v>
      </c>
      <c r="AU6066">
        <f t="shared" si="188"/>
        <v>0</v>
      </c>
      <c r="AV6066">
        <f t="shared" si="189"/>
        <v>0</v>
      </c>
    </row>
    <row r="6067" spans="1:48" x14ac:dyDescent="0.25">
      <c r="A6067" t="s">
        <v>17562</v>
      </c>
      <c r="B6067" t="s">
        <v>17562</v>
      </c>
      <c r="C6067" t="s">
        <v>17563</v>
      </c>
      <c r="D6067" t="s">
        <v>13136</v>
      </c>
      <c r="E6067" t="s">
        <v>2310</v>
      </c>
      <c r="F6067">
        <v>8</v>
      </c>
      <c r="G6067">
        <v>8.3000000000000007</v>
      </c>
      <c r="H6067" t="s">
        <v>2323</v>
      </c>
      <c r="I6067" s="21">
        <v>43697.478681168985</v>
      </c>
      <c r="J6067">
        <v>2019</v>
      </c>
      <c r="K6067" s="21">
        <v>43739.384610335648</v>
      </c>
      <c r="L6067">
        <v>2019</v>
      </c>
      <c r="M6067" s="21">
        <v>44012.406830324071</v>
      </c>
      <c r="N6067">
        <v>2020</v>
      </c>
      <c r="Q6067" s="262">
        <v>200000</v>
      </c>
      <c r="R6067" s="262">
        <v>113000</v>
      </c>
      <c r="S6067" t="s">
        <v>12464</v>
      </c>
      <c r="T6067">
        <v>396</v>
      </c>
      <c r="V6067">
        <v>0</v>
      </c>
      <c r="W6067">
        <v>2362</v>
      </c>
      <c r="X6067">
        <v>1</v>
      </c>
      <c r="AC6067">
        <v>2362</v>
      </c>
      <c r="AP6067">
        <v>1</v>
      </c>
      <c r="AU6067">
        <f t="shared" si="188"/>
        <v>1</v>
      </c>
      <c r="AV6067">
        <f t="shared" si="189"/>
        <v>0</v>
      </c>
    </row>
    <row r="6068" spans="1:48" x14ac:dyDescent="0.25">
      <c r="A6068" t="s">
        <v>17562</v>
      </c>
      <c r="B6068" t="s">
        <v>17562</v>
      </c>
      <c r="C6068" t="s">
        <v>17563</v>
      </c>
      <c r="D6068" t="s">
        <v>9496</v>
      </c>
      <c r="E6068" t="s">
        <v>2310</v>
      </c>
      <c r="F6068">
        <v>8</v>
      </c>
      <c r="G6068">
        <v>8.3000000000000007</v>
      </c>
      <c r="H6068" t="s">
        <v>2323</v>
      </c>
      <c r="I6068" s="21">
        <v>43697.478681168999</v>
      </c>
      <c r="J6068">
        <v>2019</v>
      </c>
      <c r="K6068" s="21">
        <v>43739.384610335597</v>
      </c>
      <c r="L6068">
        <v>2019</v>
      </c>
      <c r="M6068" s="21">
        <v>44012.4068303241</v>
      </c>
      <c r="N6068">
        <v>2020</v>
      </c>
      <c r="S6068" t="s">
        <v>9529</v>
      </c>
      <c r="T6068">
        <v>242</v>
      </c>
      <c r="U6068">
        <v>15</v>
      </c>
      <c r="W6068">
        <v>-960</v>
      </c>
      <c r="X6068">
        <v>0</v>
      </c>
      <c r="Y6068">
        <v>0</v>
      </c>
      <c r="Z6068">
        <v>0</v>
      </c>
      <c r="AA6068">
        <v>0</v>
      </c>
      <c r="AB6068">
        <v>0</v>
      </c>
      <c r="AC6068">
        <v>0</v>
      </c>
      <c r="AD6068">
        <v>0</v>
      </c>
      <c r="AE6068">
        <v>0</v>
      </c>
      <c r="AF6068">
        <v>0</v>
      </c>
      <c r="AG6068">
        <v>0</v>
      </c>
      <c r="AH6068">
        <v>0</v>
      </c>
      <c r="AI6068">
        <v>0</v>
      </c>
      <c r="AJ6068">
        <v>0</v>
      </c>
      <c r="AK6068">
        <v>0</v>
      </c>
      <c r="AL6068">
        <v>0</v>
      </c>
      <c r="AM6068">
        <v>-960</v>
      </c>
      <c r="AN6068">
        <v>0</v>
      </c>
      <c r="AO6068">
        <v>0</v>
      </c>
      <c r="AP6068">
        <v>0</v>
      </c>
      <c r="AQ6068">
        <v>0</v>
      </c>
      <c r="AR6068">
        <v>0</v>
      </c>
      <c r="AS6068">
        <v>0</v>
      </c>
      <c r="AT6068">
        <v>0</v>
      </c>
      <c r="AU6068">
        <f t="shared" si="188"/>
        <v>0</v>
      </c>
      <c r="AV6068">
        <f t="shared" si="189"/>
        <v>-960</v>
      </c>
    </row>
    <row r="6069" spans="1:48" x14ac:dyDescent="0.25">
      <c r="A6069" t="s">
        <v>14303</v>
      </c>
      <c r="B6069" t="s">
        <v>14303</v>
      </c>
      <c r="C6069" t="s">
        <v>14304</v>
      </c>
      <c r="D6069" t="s">
        <v>9700</v>
      </c>
      <c r="E6069" t="s">
        <v>2310</v>
      </c>
      <c r="F6069">
        <v>10</v>
      </c>
      <c r="G6069">
        <v>10.1</v>
      </c>
      <c r="H6069" t="s">
        <v>2323</v>
      </c>
      <c r="I6069" s="21">
        <v>43697.688564201402</v>
      </c>
      <c r="J6069">
        <v>2019</v>
      </c>
      <c r="K6069" s="21">
        <v>43769.575844826402</v>
      </c>
      <c r="L6069">
        <v>2019</v>
      </c>
      <c r="Q6069" s="262">
        <v>700000</v>
      </c>
      <c r="R6069" s="262">
        <v>400000</v>
      </c>
      <c r="S6069" t="s">
        <v>114</v>
      </c>
      <c r="T6069" t="s">
        <v>114</v>
      </c>
      <c r="V6069">
        <v>0</v>
      </c>
      <c r="W6069">
        <v>2486</v>
      </c>
      <c r="X6069">
        <v>0</v>
      </c>
      <c r="AC6069">
        <v>2486</v>
      </c>
      <c r="AU6069">
        <f t="shared" si="188"/>
        <v>0</v>
      </c>
      <c r="AV6069">
        <f t="shared" si="189"/>
        <v>0</v>
      </c>
    </row>
    <row r="6070" spans="1:48" x14ac:dyDescent="0.25">
      <c r="A6070" t="s">
        <v>19937</v>
      </c>
      <c r="C6070" t="s">
        <v>19938</v>
      </c>
      <c r="D6070" t="s">
        <v>19939</v>
      </c>
      <c r="E6070" t="s">
        <v>1663</v>
      </c>
      <c r="F6070">
        <v>4</v>
      </c>
      <c r="G6070">
        <v>4.3</v>
      </c>
      <c r="H6070" t="s">
        <v>2327</v>
      </c>
      <c r="I6070" s="21">
        <v>43698</v>
      </c>
      <c r="J6070">
        <v>2019</v>
      </c>
      <c r="K6070" s="21">
        <v>43706</v>
      </c>
      <c r="L6070">
        <v>2019</v>
      </c>
      <c r="M6070" s="21">
        <v>44511</v>
      </c>
      <c r="N6070">
        <v>2021</v>
      </c>
      <c r="Q6070" s="262">
        <v>0</v>
      </c>
      <c r="S6070" t="s">
        <v>13254</v>
      </c>
      <c r="U6070">
        <v>6</v>
      </c>
      <c r="V6070">
        <v>0</v>
      </c>
      <c r="W6070">
        <v>416</v>
      </c>
      <c r="X6070">
        <v>0</v>
      </c>
      <c r="AD6070">
        <v>416</v>
      </c>
      <c r="AU6070">
        <f t="shared" si="188"/>
        <v>0</v>
      </c>
      <c r="AV6070">
        <f t="shared" si="189"/>
        <v>0</v>
      </c>
    </row>
    <row r="6071" spans="1:48" x14ac:dyDescent="0.25">
      <c r="A6071" t="s">
        <v>19952</v>
      </c>
      <c r="C6071" t="s">
        <v>11330</v>
      </c>
      <c r="D6071" t="s">
        <v>19953</v>
      </c>
      <c r="E6071" t="s">
        <v>1663</v>
      </c>
      <c r="F6071">
        <v>3</v>
      </c>
      <c r="G6071">
        <v>3.1</v>
      </c>
      <c r="H6071" t="s">
        <v>2017</v>
      </c>
      <c r="I6071" s="21">
        <v>43699</v>
      </c>
      <c r="J6071">
        <v>2019</v>
      </c>
      <c r="K6071" s="21">
        <v>43726</v>
      </c>
      <c r="L6071">
        <v>2019</v>
      </c>
      <c r="M6071" s="21">
        <v>44266</v>
      </c>
      <c r="N6071">
        <v>2021</v>
      </c>
      <c r="Q6071" s="262">
        <v>500000</v>
      </c>
      <c r="S6071" t="s">
        <v>12464</v>
      </c>
      <c r="T6071">
        <v>10526</v>
      </c>
      <c r="U6071">
        <v>5</v>
      </c>
      <c r="V6071">
        <v>0</v>
      </c>
      <c r="W6071">
        <v>3504</v>
      </c>
      <c r="X6071">
        <v>1</v>
      </c>
      <c r="AC6071">
        <v>3504</v>
      </c>
      <c r="AO6071">
        <v>1</v>
      </c>
      <c r="AU6071">
        <f t="shared" si="188"/>
        <v>1</v>
      </c>
      <c r="AV6071">
        <f t="shared" si="189"/>
        <v>0</v>
      </c>
    </row>
    <row r="6072" spans="1:48" x14ac:dyDescent="0.25">
      <c r="A6072" t="s">
        <v>19952</v>
      </c>
      <c r="C6072" t="s">
        <v>11330</v>
      </c>
      <c r="D6072" t="s">
        <v>19953</v>
      </c>
      <c r="E6072" t="s">
        <v>1663</v>
      </c>
      <c r="F6072">
        <v>3</v>
      </c>
      <c r="G6072">
        <v>3.1</v>
      </c>
      <c r="H6072" t="s">
        <v>2017</v>
      </c>
      <c r="I6072" s="21">
        <v>43699</v>
      </c>
      <c r="J6072">
        <v>2019</v>
      </c>
      <c r="K6072" s="21">
        <v>43726</v>
      </c>
      <c r="L6072">
        <v>2019</v>
      </c>
      <c r="M6072" s="21">
        <v>44266</v>
      </c>
      <c r="N6072">
        <v>2021</v>
      </c>
      <c r="Q6072" s="262">
        <v>500000</v>
      </c>
      <c r="R6072" s="262">
        <v>0</v>
      </c>
      <c r="S6072" t="s">
        <v>9529</v>
      </c>
      <c r="T6072">
        <v>10526</v>
      </c>
      <c r="U6072">
        <v>5</v>
      </c>
      <c r="W6072">
        <v>-2328</v>
      </c>
      <c r="X6072">
        <v>-1</v>
      </c>
      <c r="Y6072">
        <v>0</v>
      </c>
      <c r="Z6072">
        <v>0</v>
      </c>
      <c r="AA6072">
        <v>0</v>
      </c>
      <c r="AB6072">
        <v>0</v>
      </c>
      <c r="AC6072">
        <v>-2328</v>
      </c>
      <c r="AD6072">
        <v>0</v>
      </c>
      <c r="AE6072">
        <v>0</v>
      </c>
      <c r="AF6072">
        <v>0</v>
      </c>
      <c r="AG6072">
        <v>0</v>
      </c>
      <c r="AH6072">
        <v>0</v>
      </c>
      <c r="AI6072">
        <v>0</v>
      </c>
      <c r="AJ6072">
        <v>0</v>
      </c>
      <c r="AK6072">
        <v>0</v>
      </c>
      <c r="AL6072">
        <v>0</v>
      </c>
      <c r="AM6072">
        <v>0</v>
      </c>
      <c r="AN6072">
        <v>0</v>
      </c>
      <c r="AO6072">
        <v>-1</v>
      </c>
      <c r="AP6072">
        <v>0</v>
      </c>
      <c r="AQ6072">
        <v>0</v>
      </c>
      <c r="AR6072">
        <v>0</v>
      </c>
      <c r="AS6072">
        <v>0</v>
      </c>
      <c r="AT6072">
        <v>0</v>
      </c>
      <c r="AU6072">
        <f t="shared" si="188"/>
        <v>-1</v>
      </c>
      <c r="AV6072">
        <f t="shared" si="189"/>
        <v>0</v>
      </c>
    </row>
    <row r="6073" spans="1:48" x14ac:dyDescent="0.25">
      <c r="A6073" t="s">
        <v>20044</v>
      </c>
      <c r="B6073" t="s">
        <v>20044</v>
      </c>
      <c r="C6073" t="s">
        <v>20045</v>
      </c>
      <c r="D6073" t="s">
        <v>20046</v>
      </c>
      <c r="E6073" t="s">
        <v>2310</v>
      </c>
      <c r="F6073">
        <v>9</v>
      </c>
      <c r="G6073">
        <v>9.3000000000000007</v>
      </c>
      <c r="H6073" t="s">
        <v>2323</v>
      </c>
      <c r="I6073" s="21">
        <v>43699.491638043997</v>
      </c>
      <c r="J6073">
        <v>2019</v>
      </c>
      <c r="K6073" s="21">
        <v>43777.574509988401</v>
      </c>
      <c r="L6073">
        <v>2019</v>
      </c>
      <c r="M6073" s="21">
        <v>44449</v>
      </c>
      <c r="N6073">
        <v>2021</v>
      </c>
      <c r="Q6073" s="262">
        <v>400000</v>
      </c>
      <c r="R6073" s="262">
        <v>215000</v>
      </c>
      <c r="S6073" t="s">
        <v>13253</v>
      </c>
      <c r="T6073">
        <v>4843</v>
      </c>
      <c r="U6073">
        <v>11</v>
      </c>
      <c r="V6073">
        <v>0</v>
      </c>
      <c r="W6073">
        <v>1307</v>
      </c>
      <c r="X6073">
        <v>1</v>
      </c>
      <c r="AI6073">
        <v>1307</v>
      </c>
      <c r="AP6073">
        <v>1</v>
      </c>
      <c r="AU6073">
        <f t="shared" si="188"/>
        <v>1</v>
      </c>
      <c r="AV6073">
        <f t="shared" si="189"/>
        <v>1307</v>
      </c>
    </row>
    <row r="6074" spans="1:48" x14ac:dyDescent="0.25">
      <c r="A6074" t="s">
        <v>19720</v>
      </c>
      <c r="B6074" t="s">
        <v>19720</v>
      </c>
      <c r="C6074" t="s">
        <v>19721</v>
      </c>
      <c r="D6074" t="s">
        <v>14113</v>
      </c>
      <c r="E6074" t="s">
        <v>2310</v>
      </c>
      <c r="F6074">
        <v>8</v>
      </c>
      <c r="G6074">
        <v>8.3000000000000007</v>
      </c>
      <c r="H6074" t="s">
        <v>2323</v>
      </c>
      <c r="I6074" s="21">
        <v>43699.636077581003</v>
      </c>
      <c r="J6074">
        <v>2019</v>
      </c>
      <c r="K6074" s="21">
        <v>43767.650997303201</v>
      </c>
      <c r="L6074">
        <v>2019</v>
      </c>
      <c r="M6074" s="21">
        <v>44413</v>
      </c>
      <c r="N6074">
        <v>2021</v>
      </c>
      <c r="Q6074" s="262">
        <v>380000</v>
      </c>
      <c r="R6074" s="262">
        <v>110000</v>
      </c>
      <c r="S6074" t="s">
        <v>13254</v>
      </c>
      <c r="U6074">
        <v>8</v>
      </c>
      <c r="V6074">
        <v>0</v>
      </c>
      <c r="W6074">
        <v>925</v>
      </c>
      <c r="X6074">
        <v>1</v>
      </c>
      <c r="AF6074">
        <v>925</v>
      </c>
      <c r="AR6074">
        <v>1</v>
      </c>
      <c r="AU6074">
        <f t="shared" si="188"/>
        <v>0</v>
      </c>
      <c r="AV6074">
        <f t="shared" si="189"/>
        <v>0</v>
      </c>
    </row>
    <row r="6075" spans="1:48" x14ac:dyDescent="0.25">
      <c r="A6075" t="s">
        <v>19255</v>
      </c>
      <c r="B6075" t="s">
        <v>19255</v>
      </c>
      <c r="C6075" t="s">
        <v>19256</v>
      </c>
      <c r="D6075" t="s">
        <v>18162</v>
      </c>
      <c r="E6075" t="s">
        <v>2310</v>
      </c>
      <c r="F6075">
        <v>9</v>
      </c>
      <c r="G6075">
        <v>9.1999999999999993</v>
      </c>
      <c r="H6075" t="s">
        <v>2022</v>
      </c>
      <c r="I6075" s="21">
        <v>43699.642265196759</v>
      </c>
      <c r="J6075">
        <v>2019</v>
      </c>
      <c r="K6075" s="21">
        <v>43739.563630868055</v>
      </c>
      <c r="L6075">
        <v>2019</v>
      </c>
      <c r="M6075" s="21">
        <v>43881.58651079861</v>
      </c>
      <c r="N6075">
        <v>2020</v>
      </c>
      <c r="Q6075" s="262">
        <v>99000</v>
      </c>
      <c r="R6075" s="262">
        <v>30000</v>
      </c>
      <c r="S6075" t="s">
        <v>13254</v>
      </c>
      <c r="V6075">
        <v>0</v>
      </c>
      <c r="W6075">
        <v>624</v>
      </c>
      <c r="X6075">
        <v>0</v>
      </c>
      <c r="AC6075">
        <v>624</v>
      </c>
      <c r="AU6075">
        <f t="shared" si="188"/>
        <v>0</v>
      </c>
      <c r="AV6075">
        <f t="shared" si="189"/>
        <v>0</v>
      </c>
    </row>
    <row r="6076" spans="1:48" x14ac:dyDescent="0.25">
      <c r="A6076" t="s">
        <v>19253</v>
      </c>
      <c r="B6076" t="s">
        <v>19253</v>
      </c>
      <c r="C6076" t="s">
        <v>19254</v>
      </c>
      <c r="D6076" t="s">
        <v>18162</v>
      </c>
      <c r="E6076" t="s">
        <v>2310</v>
      </c>
      <c r="F6076">
        <v>9</v>
      </c>
      <c r="G6076">
        <v>9.1999999999999993</v>
      </c>
      <c r="H6076" t="s">
        <v>2022</v>
      </c>
      <c r="I6076" s="21">
        <v>43699.645539039353</v>
      </c>
      <c r="J6076">
        <v>2019</v>
      </c>
      <c r="K6076" s="21">
        <v>43739.563847569443</v>
      </c>
      <c r="L6076">
        <v>2019</v>
      </c>
      <c r="M6076" s="21">
        <v>43881.58517982639</v>
      </c>
      <c r="N6076">
        <v>2020</v>
      </c>
      <c r="Q6076" s="262">
        <v>99000</v>
      </c>
      <c r="R6076" s="262">
        <v>30000</v>
      </c>
      <c r="S6076" t="s">
        <v>13254</v>
      </c>
      <c r="V6076">
        <v>0</v>
      </c>
      <c r="W6076">
        <v>624</v>
      </c>
      <c r="X6076">
        <v>0</v>
      </c>
      <c r="AC6076">
        <v>624</v>
      </c>
      <c r="AU6076">
        <f t="shared" si="188"/>
        <v>0</v>
      </c>
      <c r="AV6076">
        <f t="shared" si="189"/>
        <v>0</v>
      </c>
    </row>
    <row r="6077" spans="1:48" x14ac:dyDescent="0.25">
      <c r="A6077" t="s">
        <v>19251</v>
      </c>
      <c r="B6077" t="s">
        <v>19251</v>
      </c>
      <c r="C6077" t="s">
        <v>19252</v>
      </c>
      <c r="D6077" t="s">
        <v>18162</v>
      </c>
      <c r="E6077" t="s">
        <v>2310</v>
      </c>
      <c r="F6077">
        <v>9</v>
      </c>
      <c r="G6077">
        <v>9.1999999999999993</v>
      </c>
      <c r="H6077" t="s">
        <v>2022</v>
      </c>
      <c r="I6077" s="21">
        <v>43699.645571064815</v>
      </c>
      <c r="J6077">
        <v>2019</v>
      </c>
      <c r="K6077" s="21">
        <v>43739.564166782409</v>
      </c>
      <c r="L6077">
        <v>2019</v>
      </c>
      <c r="M6077" s="21">
        <v>43881.564296840275</v>
      </c>
      <c r="N6077">
        <v>2020</v>
      </c>
      <c r="Q6077" s="262">
        <v>489500</v>
      </c>
      <c r="R6077" s="262">
        <v>151000</v>
      </c>
      <c r="S6077" t="s">
        <v>13254</v>
      </c>
      <c r="V6077">
        <v>0</v>
      </c>
      <c r="W6077">
        <v>3150</v>
      </c>
      <c r="X6077">
        <v>0</v>
      </c>
      <c r="AC6077">
        <v>3150</v>
      </c>
      <c r="AU6077">
        <f t="shared" si="188"/>
        <v>0</v>
      </c>
      <c r="AV6077">
        <f t="shared" si="189"/>
        <v>0</v>
      </c>
    </row>
    <row r="6078" spans="1:48" x14ac:dyDescent="0.25">
      <c r="A6078" t="s">
        <v>14511</v>
      </c>
      <c r="C6078" t="s">
        <v>14512</v>
      </c>
      <c r="D6078" t="s">
        <v>14513</v>
      </c>
      <c r="E6078" t="s">
        <v>1663</v>
      </c>
      <c r="F6078">
        <v>6</v>
      </c>
      <c r="G6078">
        <v>6.2</v>
      </c>
      <c r="H6078" t="s">
        <v>2017</v>
      </c>
      <c r="I6078" s="21">
        <v>43704</v>
      </c>
      <c r="J6078">
        <v>2019</v>
      </c>
      <c r="K6078" s="21">
        <v>43742</v>
      </c>
      <c r="L6078">
        <v>2019</v>
      </c>
      <c r="M6078" s="21">
        <v>44893</v>
      </c>
      <c r="N6078">
        <v>2022</v>
      </c>
      <c r="Q6078" s="262">
        <v>60000</v>
      </c>
      <c r="S6078" t="s">
        <v>13253</v>
      </c>
      <c r="T6078">
        <v>10429</v>
      </c>
      <c r="V6078">
        <v>0</v>
      </c>
      <c r="W6078">
        <v>676</v>
      </c>
      <c r="X6078">
        <v>0</v>
      </c>
      <c r="AC6078">
        <v>676</v>
      </c>
      <c r="AU6078">
        <f t="shared" si="188"/>
        <v>0</v>
      </c>
      <c r="AV6078">
        <f t="shared" si="189"/>
        <v>0</v>
      </c>
    </row>
    <row r="6079" spans="1:48" x14ac:dyDescent="0.25">
      <c r="A6079" t="s">
        <v>19831</v>
      </c>
      <c r="B6079" t="s">
        <v>19831</v>
      </c>
      <c r="C6079" t="s">
        <v>19832</v>
      </c>
      <c r="D6079" t="s">
        <v>19833</v>
      </c>
      <c r="E6079" t="s">
        <v>2310</v>
      </c>
      <c r="F6079">
        <v>9</v>
      </c>
      <c r="G6079">
        <v>9.3000000000000007</v>
      </c>
      <c r="H6079" t="s">
        <v>2323</v>
      </c>
      <c r="I6079" s="21">
        <v>43704.613891817098</v>
      </c>
      <c r="J6079">
        <v>2019</v>
      </c>
      <c r="K6079" s="21">
        <v>43804.651933101799</v>
      </c>
      <c r="L6079">
        <v>2019</v>
      </c>
      <c r="M6079" s="21">
        <v>44523</v>
      </c>
      <c r="N6079">
        <v>2021</v>
      </c>
      <c r="Q6079" s="262">
        <v>2350000</v>
      </c>
      <c r="R6079" s="262">
        <v>655000</v>
      </c>
      <c r="S6079" t="s">
        <v>13254</v>
      </c>
      <c r="U6079">
        <v>5</v>
      </c>
      <c r="V6079">
        <v>0</v>
      </c>
      <c r="W6079">
        <v>5218</v>
      </c>
      <c r="X6079">
        <v>1</v>
      </c>
      <c r="AC6079">
        <v>5218</v>
      </c>
      <c r="AO6079">
        <v>1</v>
      </c>
      <c r="AU6079">
        <f t="shared" si="188"/>
        <v>1</v>
      </c>
      <c r="AV6079">
        <f t="shared" si="189"/>
        <v>0</v>
      </c>
    </row>
    <row r="6080" spans="1:48" x14ac:dyDescent="0.25">
      <c r="A6080" t="s">
        <v>14517</v>
      </c>
      <c r="C6080" t="s">
        <v>11488</v>
      </c>
      <c r="D6080" t="s">
        <v>9759</v>
      </c>
      <c r="E6080" t="s">
        <v>1663</v>
      </c>
      <c r="F6080">
        <v>3</v>
      </c>
      <c r="G6080">
        <v>3.1</v>
      </c>
      <c r="H6080" t="s">
        <v>2017</v>
      </c>
      <c r="I6080" s="21">
        <v>43705</v>
      </c>
      <c r="J6080">
        <v>2019</v>
      </c>
      <c r="K6080" s="21">
        <v>43787</v>
      </c>
      <c r="L6080">
        <v>2019</v>
      </c>
      <c r="M6080" s="21">
        <v>44812</v>
      </c>
      <c r="N6080">
        <v>2022</v>
      </c>
      <c r="Q6080" s="262">
        <v>495000</v>
      </c>
      <c r="S6080" t="s">
        <v>13253</v>
      </c>
      <c r="T6080">
        <v>10064</v>
      </c>
      <c r="V6080">
        <v>0</v>
      </c>
      <c r="W6080">
        <v>964</v>
      </c>
      <c r="X6080">
        <v>0</v>
      </c>
      <c r="AC6080">
        <v>964</v>
      </c>
      <c r="AU6080">
        <f t="shared" si="188"/>
        <v>0</v>
      </c>
      <c r="AV6080">
        <f t="shared" si="189"/>
        <v>0</v>
      </c>
    </row>
    <row r="6081" spans="1:48" x14ac:dyDescent="0.25">
      <c r="A6081" t="s">
        <v>15208</v>
      </c>
      <c r="B6081" t="s">
        <v>15208</v>
      </c>
      <c r="C6081" t="s">
        <v>15209</v>
      </c>
      <c r="D6081" t="s">
        <v>13837</v>
      </c>
      <c r="E6081" t="s">
        <v>2310</v>
      </c>
      <c r="F6081">
        <v>7</v>
      </c>
      <c r="G6081">
        <v>7.1</v>
      </c>
      <c r="H6081" t="s">
        <v>2327</v>
      </c>
      <c r="I6081" s="21">
        <v>43706.481667557899</v>
      </c>
      <c r="J6081">
        <v>2019</v>
      </c>
      <c r="K6081" s="21">
        <v>43739.606289895797</v>
      </c>
      <c r="L6081">
        <v>2019</v>
      </c>
      <c r="M6081" s="21">
        <v>44687</v>
      </c>
      <c r="N6081">
        <v>2022</v>
      </c>
      <c r="Q6081" s="262">
        <v>25000</v>
      </c>
      <c r="R6081" s="262">
        <v>50000</v>
      </c>
      <c r="S6081" t="s">
        <v>13254</v>
      </c>
      <c r="T6081">
        <v>0</v>
      </c>
      <c r="V6081">
        <v>0</v>
      </c>
      <c r="W6081">
        <v>857</v>
      </c>
      <c r="X6081">
        <v>0</v>
      </c>
      <c r="AA6081">
        <v>857</v>
      </c>
      <c r="AU6081">
        <f t="shared" si="188"/>
        <v>0</v>
      </c>
      <c r="AV6081">
        <f t="shared" si="189"/>
        <v>857</v>
      </c>
    </row>
    <row r="6082" spans="1:48" x14ac:dyDescent="0.25">
      <c r="A6082" t="s">
        <v>15210</v>
      </c>
      <c r="B6082" t="s">
        <v>15210</v>
      </c>
      <c r="C6082" t="s">
        <v>15211</v>
      </c>
      <c r="D6082" t="s">
        <v>13837</v>
      </c>
      <c r="E6082" t="s">
        <v>2310</v>
      </c>
      <c r="F6082">
        <v>7</v>
      </c>
      <c r="G6082">
        <v>7.1</v>
      </c>
      <c r="H6082" t="s">
        <v>2327</v>
      </c>
      <c r="I6082" s="21">
        <v>43706.487395370401</v>
      </c>
      <c r="J6082">
        <v>2019</v>
      </c>
      <c r="K6082" s="21">
        <v>43739.605910381899</v>
      </c>
      <c r="L6082">
        <v>2019</v>
      </c>
      <c r="M6082" s="21">
        <v>44687</v>
      </c>
      <c r="N6082">
        <v>2022</v>
      </c>
      <c r="Q6082" s="262">
        <v>15000</v>
      </c>
      <c r="R6082" s="262">
        <v>31000</v>
      </c>
      <c r="S6082" t="s">
        <v>13254</v>
      </c>
      <c r="T6082">
        <v>0</v>
      </c>
      <c r="V6082">
        <v>0</v>
      </c>
      <c r="W6082">
        <v>527</v>
      </c>
      <c r="X6082">
        <v>0</v>
      </c>
      <c r="AA6082">
        <v>527</v>
      </c>
      <c r="AU6082">
        <f t="shared" si="188"/>
        <v>0</v>
      </c>
      <c r="AV6082">
        <f t="shared" si="189"/>
        <v>527</v>
      </c>
    </row>
    <row r="6083" spans="1:48" x14ac:dyDescent="0.25">
      <c r="A6083" t="s">
        <v>19571</v>
      </c>
      <c r="B6083" t="s">
        <v>19571</v>
      </c>
      <c r="C6083" t="s">
        <v>19572</v>
      </c>
      <c r="D6083" t="s">
        <v>19573</v>
      </c>
      <c r="E6083" t="s">
        <v>2310</v>
      </c>
      <c r="F6083">
        <v>8</v>
      </c>
      <c r="G6083">
        <v>8.1999999999999993</v>
      </c>
      <c r="H6083" t="s">
        <v>2022</v>
      </c>
      <c r="I6083" s="21">
        <v>43707.557626886577</v>
      </c>
      <c r="J6083">
        <v>2019</v>
      </c>
      <c r="K6083" s="21">
        <v>43747.472314502316</v>
      </c>
      <c r="L6083">
        <v>2019</v>
      </c>
      <c r="M6083" s="21">
        <v>44131.684536493056</v>
      </c>
      <c r="N6083">
        <v>2020</v>
      </c>
      <c r="Q6083" s="262">
        <v>114000</v>
      </c>
      <c r="R6083" s="262">
        <v>52000</v>
      </c>
      <c r="S6083" t="s">
        <v>13254</v>
      </c>
      <c r="V6083">
        <v>0</v>
      </c>
      <c r="W6083">
        <v>1080</v>
      </c>
      <c r="X6083">
        <v>0</v>
      </c>
      <c r="Y6083">
        <v>1080</v>
      </c>
      <c r="AU6083">
        <f t="shared" si="188"/>
        <v>0</v>
      </c>
      <c r="AV6083">
        <f t="shared" si="189"/>
        <v>1080</v>
      </c>
    </row>
    <row r="6084" spans="1:48" x14ac:dyDescent="0.25">
      <c r="A6084" t="s">
        <v>13887</v>
      </c>
      <c r="D6084" t="s">
        <v>10974</v>
      </c>
      <c r="E6084" t="s">
        <v>2310</v>
      </c>
      <c r="F6084">
        <v>8</v>
      </c>
      <c r="G6084">
        <v>8.1999999999999993</v>
      </c>
      <c r="H6084" t="s">
        <v>2022</v>
      </c>
      <c r="I6084" s="21">
        <v>43711.5740030093</v>
      </c>
      <c r="J6084">
        <v>2019</v>
      </c>
      <c r="K6084" s="21">
        <v>43742.546685567097</v>
      </c>
      <c r="L6084">
        <v>2019</v>
      </c>
      <c r="M6084" s="21">
        <v>44564.445258831016</v>
      </c>
      <c r="N6084">
        <v>2022</v>
      </c>
      <c r="O6084" s="21" t="s">
        <v>114</v>
      </c>
      <c r="P6084" s="21" t="s">
        <v>114</v>
      </c>
      <c r="Q6084" s="262">
        <v>2500000</v>
      </c>
      <c r="R6084" s="262">
        <v>686000</v>
      </c>
      <c r="S6084" t="s">
        <v>9529</v>
      </c>
      <c r="T6084">
        <v>6516</v>
      </c>
      <c r="U6084">
        <v>5</v>
      </c>
      <c r="W6084">
        <v>-4016</v>
      </c>
      <c r="X6084">
        <v>-1</v>
      </c>
      <c r="Y6084">
        <v>0</v>
      </c>
      <c r="Z6084">
        <v>0</v>
      </c>
      <c r="AA6084">
        <v>0</v>
      </c>
      <c r="AB6084">
        <v>0</v>
      </c>
      <c r="AC6084">
        <v>-4016</v>
      </c>
      <c r="AD6084">
        <v>0</v>
      </c>
      <c r="AE6084">
        <v>0</v>
      </c>
      <c r="AF6084">
        <v>0</v>
      </c>
      <c r="AG6084">
        <v>0</v>
      </c>
      <c r="AH6084">
        <v>0</v>
      </c>
      <c r="AI6084">
        <v>0</v>
      </c>
      <c r="AJ6084">
        <v>0</v>
      </c>
      <c r="AK6084">
        <v>0</v>
      </c>
      <c r="AL6084">
        <v>0</v>
      </c>
      <c r="AM6084">
        <v>0</v>
      </c>
      <c r="AN6084">
        <v>0</v>
      </c>
      <c r="AO6084">
        <v>-1</v>
      </c>
      <c r="AP6084">
        <v>0</v>
      </c>
      <c r="AQ6084">
        <v>0</v>
      </c>
      <c r="AR6084">
        <v>0</v>
      </c>
      <c r="AS6084">
        <v>0</v>
      </c>
      <c r="AT6084">
        <v>0</v>
      </c>
      <c r="AU6084">
        <f t="shared" si="188"/>
        <v>-1</v>
      </c>
      <c r="AV6084">
        <f t="shared" si="189"/>
        <v>0</v>
      </c>
    </row>
    <row r="6085" spans="1:48" x14ac:dyDescent="0.25">
      <c r="A6085" t="s">
        <v>13887</v>
      </c>
      <c r="D6085" t="s">
        <v>10974</v>
      </c>
      <c r="E6085" t="s">
        <v>2310</v>
      </c>
      <c r="F6085">
        <v>8</v>
      </c>
      <c r="G6085">
        <v>8.1999999999999993</v>
      </c>
      <c r="H6085" t="s">
        <v>2022</v>
      </c>
      <c r="I6085" s="21">
        <v>43711.5740030093</v>
      </c>
      <c r="J6085">
        <v>2019</v>
      </c>
      <c r="K6085" s="21">
        <v>43742.546685567097</v>
      </c>
      <c r="L6085">
        <v>2019</v>
      </c>
      <c r="M6085" s="21">
        <v>44564.445258831016</v>
      </c>
      <c r="N6085">
        <v>2022</v>
      </c>
      <c r="O6085" s="21" t="s">
        <v>114</v>
      </c>
      <c r="P6085" s="21" t="s">
        <v>114</v>
      </c>
      <c r="Q6085" s="262">
        <v>2500000</v>
      </c>
      <c r="R6085" s="262">
        <v>686000</v>
      </c>
      <c r="S6085" t="s">
        <v>9529</v>
      </c>
      <c r="T6085">
        <v>6517</v>
      </c>
      <c r="U6085">
        <v>8</v>
      </c>
      <c r="W6085">
        <v>-336</v>
      </c>
      <c r="X6085">
        <v>-1</v>
      </c>
      <c r="Y6085">
        <v>0</v>
      </c>
      <c r="Z6085">
        <v>0</v>
      </c>
      <c r="AA6085">
        <v>0</v>
      </c>
      <c r="AB6085">
        <v>0</v>
      </c>
      <c r="AC6085">
        <v>0</v>
      </c>
      <c r="AD6085">
        <v>0</v>
      </c>
      <c r="AE6085">
        <v>0</v>
      </c>
      <c r="AF6085">
        <v>-336</v>
      </c>
      <c r="AG6085">
        <v>0</v>
      </c>
      <c r="AH6085">
        <v>0</v>
      </c>
      <c r="AI6085">
        <v>0</v>
      </c>
      <c r="AJ6085">
        <v>0</v>
      </c>
      <c r="AK6085">
        <v>0</v>
      </c>
      <c r="AL6085">
        <v>0</v>
      </c>
      <c r="AM6085">
        <v>0</v>
      </c>
      <c r="AN6085">
        <v>0</v>
      </c>
      <c r="AO6085">
        <v>0</v>
      </c>
      <c r="AP6085">
        <v>0</v>
      </c>
      <c r="AQ6085">
        <v>0</v>
      </c>
      <c r="AR6085">
        <v>-1</v>
      </c>
      <c r="AS6085">
        <v>0</v>
      </c>
      <c r="AT6085">
        <v>0</v>
      </c>
      <c r="AU6085">
        <f t="shared" si="188"/>
        <v>0</v>
      </c>
      <c r="AV6085">
        <f t="shared" si="189"/>
        <v>0</v>
      </c>
    </row>
    <row r="6086" spans="1:48" x14ac:dyDescent="0.25">
      <c r="A6086" t="s">
        <v>13887</v>
      </c>
      <c r="D6086" t="s">
        <v>10974</v>
      </c>
      <c r="E6086" t="s">
        <v>2310</v>
      </c>
      <c r="F6086">
        <v>8</v>
      </c>
      <c r="G6086">
        <v>8.1999999999999993</v>
      </c>
      <c r="H6086" t="s">
        <v>2022</v>
      </c>
      <c r="I6086" s="21">
        <v>43711.5740030093</v>
      </c>
      <c r="J6086">
        <v>2019</v>
      </c>
      <c r="K6086" s="21">
        <v>43742.546685567097</v>
      </c>
      <c r="L6086">
        <v>2019</v>
      </c>
      <c r="M6086" s="21">
        <v>44564.445258831016</v>
      </c>
      <c r="N6086">
        <v>2022</v>
      </c>
      <c r="O6086" s="21" t="s">
        <v>114</v>
      </c>
      <c r="P6086" s="21" t="s">
        <v>114</v>
      </c>
      <c r="Q6086" s="262">
        <v>2500000</v>
      </c>
      <c r="R6086" s="262">
        <v>686000</v>
      </c>
      <c r="S6086" t="s">
        <v>9529</v>
      </c>
      <c r="T6086">
        <v>6518</v>
      </c>
      <c r="U6086">
        <v>5</v>
      </c>
      <c r="W6086">
        <v>-681</v>
      </c>
      <c r="X6086">
        <v>-1</v>
      </c>
      <c r="Y6086">
        <v>0</v>
      </c>
      <c r="Z6086">
        <v>0</v>
      </c>
      <c r="AA6086">
        <v>0</v>
      </c>
      <c r="AB6086">
        <v>0</v>
      </c>
      <c r="AC6086">
        <v>-435</v>
      </c>
      <c r="AD6086">
        <v>0</v>
      </c>
      <c r="AE6086">
        <v>0</v>
      </c>
      <c r="AF6086">
        <v>-246</v>
      </c>
      <c r="AG6086">
        <v>0</v>
      </c>
      <c r="AH6086">
        <v>0</v>
      </c>
      <c r="AI6086">
        <v>0</v>
      </c>
      <c r="AJ6086">
        <v>0</v>
      </c>
      <c r="AK6086">
        <v>0</v>
      </c>
      <c r="AL6086">
        <v>0</v>
      </c>
      <c r="AM6086">
        <v>0</v>
      </c>
      <c r="AN6086">
        <v>0</v>
      </c>
      <c r="AO6086">
        <v>0</v>
      </c>
      <c r="AP6086">
        <v>0</v>
      </c>
      <c r="AQ6086">
        <v>0</v>
      </c>
      <c r="AR6086">
        <v>-1</v>
      </c>
      <c r="AS6086">
        <v>0</v>
      </c>
      <c r="AT6086">
        <v>0</v>
      </c>
      <c r="AU6086">
        <f t="shared" si="188"/>
        <v>0</v>
      </c>
      <c r="AV6086">
        <f t="shared" si="189"/>
        <v>0</v>
      </c>
    </row>
    <row r="6087" spans="1:48" x14ac:dyDescent="0.25">
      <c r="A6087" t="s">
        <v>13887</v>
      </c>
      <c r="B6087" t="s">
        <v>13887</v>
      </c>
      <c r="C6087" t="s">
        <v>13989</v>
      </c>
      <c r="D6087" t="s">
        <v>10974</v>
      </c>
      <c r="E6087" t="s">
        <v>2310</v>
      </c>
      <c r="F6087">
        <v>8</v>
      </c>
      <c r="G6087">
        <v>8.1999999999999993</v>
      </c>
      <c r="H6087" t="s">
        <v>2022</v>
      </c>
      <c r="I6087" s="21">
        <v>43711.5740030093</v>
      </c>
      <c r="J6087">
        <v>2019</v>
      </c>
      <c r="K6087" s="21">
        <v>43742.546685567097</v>
      </c>
      <c r="L6087">
        <v>2019</v>
      </c>
      <c r="M6087" s="21">
        <v>44564.445258831016</v>
      </c>
      <c r="N6087">
        <v>2022</v>
      </c>
      <c r="Q6087" s="262">
        <v>2500000</v>
      </c>
      <c r="R6087" s="262">
        <v>686000</v>
      </c>
      <c r="S6087" t="s">
        <v>12464</v>
      </c>
      <c r="T6087" t="s">
        <v>13990</v>
      </c>
      <c r="V6087">
        <v>0</v>
      </c>
      <c r="W6087">
        <v>4760</v>
      </c>
      <c r="X6087">
        <v>1</v>
      </c>
      <c r="AC6087">
        <v>4760</v>
      </c>
      <c r="AO6087">
        <v>1</v>
      </c>
      <c r="AU6087">
        <f t="shared" si="188"/>
        <v>1</v>
      </c>
      <c r="AV6087">
        <f t="shared" si="189"/>
        <v>0</v>
      </c>
    </row>
    <row r="6088" spans="1:48" x14ac:dyDescent="0.25">
      <c r="A6088" t="s">
        <v>14316</v>
      </c>
      <c r="B6088" t="s">
        <v>14316</v>
      </c>
      <c r="C6088" t="s">
        <v>14317</v>
      </c>
      <c r="D6088" t="s">
        <v>10974</v>
      </c>
      <c r="E6088" t="s">
        <v>2310</v>
      </c>
      <c r="F6088">
        <v>8</v>
      </c>
      <c r="G6088">
        <v>8.1999999999999993</v>
      </c>
      <c r="H6088" t="s">
        <v>2022</v>
      </c>
      <c r="I6088" s="21">
        <v>43711.579396990703</v>
      </c>
      <c r="J6088">
        <v>2019</v>
      </c>
      <c r="K6088" s="21">
        <v>43742.5479316782</v>
      </c>
      <c r="L6088">
        <v>2019</v>
      </c>
      <c r="Q6088" s="262">
        <v>500000</v>
      </c>
      <c r="R6088" s="262">
        <v>81000</v>
      </c>
      <c r="S6088" t="s">
        <v>114</v>
      </c>
      <c r="T6088" t="s">
        <v>114</v>
      </c>
      <c r="V6088">
        <v>0</v>
      </c>
      <c r="W6088">
        <v>676</v>
      </c>
      <c r="X6088">
        <v>1</v>
      </c>
      <c r="AF6088">
        <v>676</v>
      </c>
      <c r="AR6088">
        <v>1</v>
      </c>
      <c r="AU6088">
        <f t="shared" si="188"/>
        <v>0</v>
      </c>
      <c r="AV6088">
        <f t="shared" si="189"/>
        <v>0</v>
      </c>
    </row>
    <row r="6089" spans="1:48" x14ac:dyDescent="0.25">
      <c r="A6089" t="s">
        <v>14318</v>
      </c>
      <c r="C6089" t="s">
        <v>14319</v>
      </c>
      <c r="D6089" t="s">
        <v>14320</v>
      </c>
      <c r="E6089" t="s">
        <v>1663</v>
      </c>
      <c r="F6089">
        <v>6</v>
      </c>
      <c r="G6089">
        <v>6.2</v>
      </c>
      <c r="H6089" t="s">
        <v>2017</v>
      </c>
      <c r="I6089" s="21">
        <v>43712</v>
      </c>
      <c r="J6089">
        <v>2019</v>
      </c>
      <c r="K6089" s="21">
        <v>43720</v>
      </c>
      <c r="L6089">
        <v>2019</v>
      </c>
      <c r="M6089" s="21">
        <v>44004</v>
      </c>
      <c r="N6089">
        <v>2020</v>
      </c>
      <c r="Q6089" s="262">
        <v>45000</v>
      </c>
      <c r="S6089" t="s">
        <v>114</v>
      </c>
      <c r="T6089" t="s">
        <v>114</v>
      </c>
      <c r="V6089">
        <v>0</v>
      </c>
      <c r="W6089">
        <v>0</v>
      </c>
      <c r="X6089">
        <v>0</v>
      </c>
      <c r="AU6089">
        <f t="shared" si="188"/>
        <v>0</v>
      </c>
      <c r="AV6089">
        <f t="shared" si="189"/>
        <v>0</v>
      </c>
    </row>
    <row r="6090" spans="1:48" x14ac:dyDescent="0.25">
      <c r="A6090" t="s">
        <v>19886</v>
      </c>
      <c r="C6090" t="s">
        <v>19887</v>
      </c>
      <c r="D6090" t="s">
        <v>16920</v>
      </c>
      <c r="E6090" t="s">
        <v>1663</v>
      </c>
      <c r="F6090">
        <v>6</v>
      </c>
      <c r="G6090">
        <v>6.1</v>
      </c>
      <c r="H6090" t="s">
        <v>2017</v>
      </c>
      <c r="I6090" s="21">
        <v>43712</v>
      </c>
      <c r="J6090">
        <v>2019</v>
      </c>
      <c r="M6090" s="21">
        <v>44200</v>
      </c>
      <c r="N6090">
        <v>2021</v>
      </c>
      <c r="Q6090" s="262">
        <v>300000</v>
      </c>
      <c r="S6090" t="s">
        <v>13254</v>
      </c>
      <c r="U6090">
        <v>8</v>
      </c>
      <c r="V6090">
        <v>0</v>
      </c>
      <c r="W6090">
        <v>799</v>
      </c>
      <c r="X6090">
        <v>1</v>
      </c>
      <c r="AF6090">
        <v>799</v>
      </c>
      <c r="AR6090">
        <v>1</v>
      </c>
      <c r="AU6090">
        <f t="shared" si="188"/>
        <v>0</v>
      </c>
      <c r="AV6090">
        <f t="shared" si="189"/>
        <v>0</v>
      </c>
    </row>
    <row r="6091" spans="1:48" x14ac:dyDescent="0.25">
      <c r="A6091" t="s">
        <v>14321</v>
      </c>
      <c r="B6091" t="s">
        <v>14321</v>
      </c>
      <c r="C6091" t="s">
        <v>14322</v>
      </c>
      <c r="D6091" t="s">
        <v>9257</v>
      </c>
      <c r="E6091" t="s">
        <v>2310</v>
      </c>
      <c r="F6091">
        <v>9</v>
      </c>
      <c r="G6091">
        <v>9.1999999999999993</v>
      </c>
      <c r="H6091" t="s">
        <v>2022</v>
      </c>
      <c r="I6091" s="21">
        <v>43713.566207407399</v>
      </c>
      <c r="J6091">
        <v>2019</v>
      </c>
      <c r="K6091" s="21">
        <v>43741.578784375</v>
      </c>
      <c r="L6091">
        <v>2019</v>
      </c>
      <c r="Q6091" s="262">
        <v>7500000</v>
      </c>
      <c r="R6091" s="262">
        <v>1265000</v>
      </c>
      <c r="S6091" t="s">
        <v>114</v>
      </c>
      <c r="T6091" t="s">
        <v>114</v>
      </c>
      <c r="V6091">
        <v>0</v>
      </c>
      <c r="W6091">
        <v>12</v>
      </c>
      <c r="X6091">
        <v>0</v>
      </c>
      <c r="AC6091">
        <v>12</v>
      </c>
      <c r="AU6091">
        <f t="shared" si="188"/>
        <v>0</v>
      </c>
      <c r="AV6091">
        <f t="shared" si="189"/>
        <v>0</v>
      </c>
    </row>
    <row r="6092" spans="1:48" x14ac:dyDescent="0.25">
      <c r="A6092" t="s">
        <v>14323</v>
      </c>
      <c r="B6092" t="s">
        <v>14323</v>
      </c>
      <c r="C6092" t="s">
        <v>14324</v>
      </c>
      <c r="D6092" t="s">
        <v>14325</v>
      </c>
      <c r="E6092" t="s">
        <v>2310</v>
      </c>
      <c r="F6092">
        <v>9</v>
      </c>
      <c r="G6092">
        <v>9.1</v>
      </c>
      <c r="H6092" t="s">
        <v>2323</v>
      </c>
      <c r="I6092" s="21">
        <v>43713.6463653588</v>
      </c>
      <c r="J6092">
        <v>2019</v>
      </c>
      <c r="O6092" s="21">
        <v>43885.484503472202</v>
      </c>
      <c r="Q6092" s="262">
        <v>883800</v>
      </c>
      <c r="R6092" s="262">
        <v>244000</v>
      </c>
      <c r="S6092" t="s">
        <v>114</v>
      </c>
      <c r="T6092" t="s">
        <v>114</v>
      </c>
      <c r="V6092">
        <v>0</v>
      </c>
      <c r="W6092">
        <v>1964</v>
      </c>
      <c r="X6092">
        <v>0</v>
      </c>
      <c r="AC6092">
        <v>1964</v>
      </c>
      <c r="AU6092">
        <f t="shared" si="188"/>
        <v>0</v>
      </c>
      <c r="AV6092">
        <f t="shared" si="189"/>
        <v>0</v>
      </c>
    </row>
    <row r="6093" spans="1:48" x14ac:dyDescent="0.25">
      <c r="A6093" t="s">
        <v>19621</v>
      </c>
      <c r="B6093" t="s">
        <v>114</v>
      </c>
      <c r="C6093" t="s">
        <v>11240</v>
      </c>
      <c r="D6093" t="s">
        <v>19622</v>
      </c>
      <c r="E6093" t="s">
        <v>1663</v>
      </c>
      <c r="F6093">
        <v>5</v>
      </c>
      <c r="G6093">
        <v>5.5</v>
      </c>
      <c r="H6093" t="s">
        <v>2017</v>
      </c>
      <c r="I6093" s="21">
        <v>43714</v>
      </c>
      <c r="J6093">
        <v>2019</v>
      </c>
      <c r="K6093" s="21">
        <v>43746</v>
      </c>
      <c r="L6093">
        <v>2019</v>
      </c>
      <c r="M6093" s="21">
        <v>44175</v>
      </c>
      <c r="N6093">
        <v>2020</v>
      </c>
      <c r="Q6093" s="262">
        <v>700000</v>
      </c>
      <c r="S6093" t="s">
        <v>13254</v>
      </c>
      <c r="V6093">
        <v>0</v>
      </c>
      <c r="W6093">
        <v>3384</v>
      </c>
      <c r="X6093">
        <v>1</v>
      </c>
      <c r="AC6093">
        <v>3384</v>
      </c>
      <c r="AO6093">
        <v>1</v>
      </c>
      <c r="AU6093">
        <f t="shared" si="188"/>
        <v>1</v>
      </c>
      <c r="AV6093">
        <f t="shared" si="189"/>
        <v>0</v>
      </c>
    </row>
    <row r="6094" spans="1:48" x14ac:dyDescent="0.25">
      <c r="A6094" t="s">
        <v>19153</v>
      </c>
      <c r="B6094" t="s">
        <v>114</v>
      </c>
      <c r="C6094" t="s">
        <v>13003</v>
      </c>
      <c r="D6094" t="s">
        <v>14311</v>
      </c>
      <c r="E6094" t="s">
        <v>1663</v>
      </c>
      <c r="F6094">
        <v>4</v>
      </c>
      <c r="G6094">
        <v>4.3</v>
      </c>
      <c r="H6094" t="s">
        <v>2327</v>
      </c>
      <c r="I6094" s="21">
        <v>43718</v>
      </c>
      <c r="J6094">
        <v>2019</v>
      </c>
      <c r="K6094" s="21">
        <v>43762</v>
      </c>
      <c r="L6094">
        <v>2019</v>
      </c>
      <c r="M6094" s="21">
        <v>43847</v>
      </c>
      <c r="N6094">
        <v>2020</v>
      </c>
      <c r="Q6094" s="262">
        <v>100000</v>
      </c>
      <c r="S6094" t="s">
        <v>13253</v>
      </c>
      <c r="T6094">
        <v>11249</v>
      </c>
      <c r="V6094">
        <v>6558</v>
      </c>
      <c r="W6094">
        <v>0</v>
      </c>
      <c r="X6094">
        <v>0</v>
      </c>
      <c r="AB6094">
        <v>6558</v>
      </c>
      <c r="AK6094">
        <v>-6558</v>
      </c>
      <c r="AU6094">
        <f t="shared" si="188"/>
        <v>0</v>
      </c>
      <c r="AV6094">
        <f t="shared" si="189"/>
        <v>0</v>
      </c>
    </row>
    <row r="6095" spans="1:48" x14ac:dyDescent="0.25">
      <c r="A6095" t="s">
        <v>14326</v>
      </c>
      <c r="B6095" t="s">
        <v>14326</v>
      </c>
      <c r="C6095" t="s">
        <v>14327</v>
      </c>
      <c r="D6095" t="s">
        <v>14328</v>
      </c>
      <c r="E6095" t="s">
        <v>2310</v>
      </c>
      <c r="F6095">
        <v>10</v>
      </c>
      <c r="G6095">
        <v>10.1</v>
      </c>
      <c r="H6095" t="s">
        <v>2323</v>
      </c>
      <c r="I6095" s="21">
        <v>43718.597899386601</v>
      </c>
      <c r="J6095">
        <v>2019</v>
      </c>
      <c r="K6095" s="21">
        <v>43791.524489664298</v>
      </c>
      <c r="L6095">
        <v>2019</v>
      </c>
      <c r="M6095" s="21">
        <v>44266</v>
      </c>
      <c r="N6095">
        <v>2021</v>
      </c>
      <c r="Q6095" s="262">
        <v>300000</v>
      </c>
      <c r="R6095" s="262">
        <v>1000</v>
      </c>
      <c r="S6095" t="s">
        <v>114</v>
      </c>
      <c r="T6095" t="s">
        <v>114</v>
      </c>
      <c r="V6095">
        <v>0</v>
      </c>
      <c r="W6095">
        <v>0</v>
      </c>
      <c r="X6095">
        <v>0</v>
      </c>
      <c r="AU6095">
        <f t="shared" si="188"/>
        <v>0</v>
      </c>
      <c r="AV6095">
        <f t="shared" si="189"/>
        <v>0</v>
      </c>
    </row>
    <row r="6096" spans="1:48" x14ac:dyDescent="0.25">
      <c r="A6096" t="s">
        <v>14329</v>
      </c>
      <c r="B6096" t="s">
        <v>14329</v>
      </c>
      <c r="C6096" t="s">
        <v>14330</v>
      </c>
      <c r="D6096" t="s">
        <v>14331</v>
      </c>
      <c r="E6096" t="s">
        <v>2310</v>
      </c>
      <c r="F6096">
        <v>15</v>
      </c>
      <c r="G6096">
        <v>15.2</v>
      </c>
      <c r="H6096" t="s">
        <v>2323</v>
      </c>
      <c r="I6096" s="21">
        <v>43718.611938194401</v>
      </c>
      <c r="J6096">
        <v>2019</v>
      </c>
      <c r="K6096" s="21">
        <v>43893.580004780102</v>
      </c>
      <c r="L6096">
        <v>2020</v>
      </c>
      <c r="Q6096" s="262">
        <v>125000</v>
      </c>
      <c r="R6096" s="262">
        <v>139000</v>
      </c>
      <c r="S6096" t="s">
        <v>114</v>
      </c>
      <c r="T6096" t="s">
        <v>114</v>
      </c>
      <c r="V6096">
        <v>0</v>
      </c>
      <c r="W6096">
        <v>480</v>
      </c>
      <c r="X6096">
        <v>0</v>
      </c>
      <c r="AC6096">
        <v>480</v>
      </c>
      <c r="AU6096">
        <f t="shared" si="188"/>
        <v>0</v>
      </c>
      <c r="AV6096">
        <f t="shared" si="189"/>
        <v>0</v>
      </c>
    </row>
    <row r="6097" spans="1:48" x14ac:dyDescent="0.25">
      <c r="A6097" t="s">
        <v>14332</v>
      </c>
      <c r="C6097" t="s">
        <v>14333</v>
      </c>
      <c r="D6097" t="s">
        <v>14334</v>
      </c>
      <c r="E6097" t="s">
        <v>1663</v>
      </c>
      <c r="F6097">
        <v>5</v>
      </c>
      <c r="G6097">
        <v>5.5</v>
      </c>
      <c r="H6097" t="s">
        <v>2017</v>
      </c>
      <c r="I6097" s="21">
        <v>43719</v>
      </c>
      <c r="J6097">
        <v>2019</v>
      </c>
      <c r="K6097" s="21">
        <v>43720</v>
      </c>
      <c r="L6097">
        <v>2019</v>
      </c>
      <c r="M6097" s="21">
        <v>43738</v>
      </c>
      <c r="N6097">
        <v>2019</v>
      </c>
      <c r="Q6097" s="262">
        <v>30000</v>
      </c>
      <c r="S6097" t="s">
        <v>114</v>
      </c>
      <c r="T6097" t="s">
        <v>114</v>
      </c>
      <c r="V6097">
        <v>0</v>
      </c>
      <c r="W6097">
        <v>0</v>
      </c>
      <c r="X6097">
        <v>0</v>
      </c>
      <c r="AU6097">
        <f t="shared" si="188"/>
        <v>0</v>
      </c>
      <c r="AV6097">
        <f t="shared" si="189"/>
        <v>0</v>
      </c>
    </row>
    <row r="6098" spans="1:48" x14ac:dyDescent="0.25">
      <c r="A6098" t="s">
        <v>14315</v>
      </c>
      <c r="D6098" t="s">
        <v>2920</v>
      </c>
      <c r="E6098" t="s">
        <v>2310</v>
      </c>
      <c r="F6098">
        <v>15</v>
      </c>
      <c r="G6098">
        <v>15.2</v>
      </c>
      <c r="H6098" t="s">
        <v>2323</v>
      </c>
      <c r="I6098" s="21">
        <v>43720.439999386603</v>
      </c>
      <c r="J6098">
        <v>2019</v>
      </c>
      <c r="K6098" s="21">
        <v>43756.533854016197</v>
      </c>
      <c r="L6098">
        <v>2019</v>
      </c>
      <c r="M6098" s="21">
        <v>44694.37116072917</v>
      </c>
      <c r="N6098">
        <v>2022</v>
      </c>
      <c r="O6098" s="21" t="s">
        <v>114</v>
      </c>
      <c r="P6098" s="21" t="s">
        <v>114</v>
      </c>
      <c r="Q6098" s="262">
        <v>550000</v>
      </c>
      <c r="R6098" s="262">
        <v>327000</v>
      </c>
      <c r="S6098" t="s">
        <v>9529</v>
      </c>
      <c r="T6098">
        <v>855</v>
      </c>
      <c r="U6098">
        <v>5</v>
      </c>
      <c r="W6098">
        <v>-1210</v>
      </c>
      <c r="X6098">
        <v>-1</v>
      </c>
      <c r="Y6098">
        <v>0</v>
      </c>
      <c r="Z6098">
        <v>0</v>
      </c>
      <c r="AA6098">
        <v>0</v>
      </c>
      <c r="AB6098">
        <v>0</v>
      </c>
      <c r="AC6098">
        <v>-1210</v>
      </c>
      <c r="AD6098">
        <v>0</v>
      </c>
      <c r="AE6098">
        <v>0</v>
      </c>
      <c r="AF6098">
        <v>0</v>
      </c>
      <c r="AG6098">
        <v>0</v>
      </c>
      <c r="AH6098">
        <v>0</v>
      </c>
      <c r="AI6098">
        <v>0</v>
      </c>
      <c r="AJ6098">
        <v>0</v>
      </c>
      <c r="AK6098">
        <v>0</v>
      </c>
      <c r="AL6098">
        <v>0</v>
      </c>
      <c r="AM6098">
        <v>0</v>
      </c>
      <c r="AN6098">
        <v>0</v>
      </c>
      <c r="AO6098">
        <v>-1</v>
      </c>
      <c r="AP6098">
        <v>0</v>
      </c>
      <c r="AQ6098">
        <v>0</v>
      </c>
      <c r="AR6098">
        <v>0</v>
      </c>
      <c r="AS6098">
        <v>0</v>
      </c>
      <c r="AT6098">
        <v>0</v>
      </c>
      <c r="AU6098">
        <f t="shared" si="188"/>
        <v>-1</v>
      </c>
      <c r="AV6098">
        <f t="shared" si="189"/>
        <v>0</v>
      </c>
    </row>
    <row r="6099" spans="1:48" x14ac:dyDescent="0.25">
      <c r="A6099" t="s">
        <v>14315</v>
      </c>
      <c r="B6099" t="s">
        <v>14315</v>
      </c>
      <c r="C6099" t="s">
        <v>14335</v>
      </c>
      <c r="D6099" t="s">
        <v>2920</v>
      </c>
      <c r="E6099" t="s">
        <v>2310</v>
      </c>
      <c r="F6099">
        <v>15</v>
      </c>
      <c r="G6099">
        <v>15.2</v>
      </c>
      <c r="H6099" t="s">
        <v>2323</v>
      </c>
      <c r="I6099" s="21">
        <v>43720.439999386603</v>
      </c>
      <c r="J6099">
        <v>2019</v>
      </c>
      <c r="K6099" s="21">
        <v>43756.533854016197</v>
      </c>
      <c r="L6099">
        <v>2019</v>
      </c>
      <c r="M6099" s="21">
        <v>44693</v>
      </c>
      <c r="N6099">
        <v>2022</v>
      </c>
      <c r="Q6099" s="262">
        <v>550000</v>
      </c>
      <c r="R6099" s="262">
        <v>327000</v>
      </c>
      <c r="S6099" t="s">
        <v>12464</v>
      </c>
      <c r="T6099">
        <v>855</v>
      </c>
      <c r="V6099">
        <v>0</v>
      </c>
      <c r="W6099">
        <v>3087</v>
      </c>
      <c r="X6099">
        <v>1</v>
      </c>
      <c r="AC6099">
        <v>3087</v>
      </c>
      <c r="AO6099">
        <v>1</v>
      </c>
      <c r="AU6099">
        <f t="shared" si="188"/>
        <v>1</v>
      </c>
      <c r="AV6099">
        <f t="shared" si="189"/>
        <v>0</v>
      </c>
    </row>
    <row r="6100" spans="1:48" x14ac:dyDescent="0.25">
      <c r="A6100" t="s">
        <v>19525</v>
      </c>
      <c r="B6100" t="s">
        <v>19525</v>
      </c>
      <c r="C6100" t="s">
        <v>19526</v>
      </c>
      <c r="D6100" t="s">
        <v>19527</v>
      </c>
      <c r="E6100" t="s">
        <v>2310</v>
      </c>
      <c r="F6100">
        <v>9</v>
      </c>
      <c r="G6100">
        <v>9.3000000000000007</v>
      </c>
      <c r="H6100" t="s">
        <v>2323</v>
      </c>
      <c r="I6100" s="21">
        <v>43720.59380347222</v>
      </c>
      <c r="J6100">
        <v>2019</v>
      </c>
      <c r="K6100" s="21">
        <v>43746.617715428241</v>
      </c>
      <c r="L6100">
        <v>2019</v>
      </c>
      <c r="M6100" s="21">
        <v>44082.402328738426</v>
      </c>
      <c r="N6100">
        <v>2020</v>
      </c>
      <c r="Q6100" s="262">
        <v>164500</v>
      </c>
      <c r="R6100" s="262">
        <v>92000</v>
      </c>
      <c r="S6100" t="s">
        <v>13254</v>
      </c>
      <c r="V6100">
        <v>0</v>
      </c>
      <c r="W6100">
        <v>1920</v>
      </c>
      <c r="X6100">
        <v>0</v>
      </c>
      <c r="AC6100">
        <v>1920</v>
      </c>
      <c r="AU6100">
        <f t="shared" si="188"/>
        <v>0</v>
      </c>
      <c r="AV6100">
        <f t="shared" si="189"/>
        <v>0</v>
      </c>
    </row>
    <row r="6101" spans="1:48" x14ac:dyDescent="0.25">
      <c r="A6101" t="s">
        <v>19551</v>
      </c>
      <c r="B6101" t="s">
        <v>114</v>
      </c>
      <c r="C6101" t="s">
        <v>19552</v>
      </c>
      <c r="D6101" t="s">
        <v>3234</v>
      </c>
      <c r="E6101" t="s">
        <v>1663</v>
      </c>
      <c r="F6101">
        <v>2</v>
      </c>
      <c r="G6101">
        <v>2.4</v>
      </c>
      <c r="H6101" t="s">
        <v>2017</v>
      </c>
      <c r="I6101" s="21">
        <v>43721</v>
      </c>
      <c r="J6101">
        <v>2019</v>
      </c>
      <c r="K6101" s="21">
        <v>43847</v>
      </c>
      <c r="L6101">
        <v>2020</v>
      </c>
      <c r="M6101" s="21">
        <v>44026</v>
      </c>
      <c r="N6101">
        <v>2020</v>
      </c>
      <c r="Q6101" s="262">
        <v>200000</v>
      </c>
      <c r="S6101" t="s">
        <v>13253</v>
      </c>
      <c r="T6101">
        <v>14501</v>
      </c>
      <c r="V6101">
        <v>840</v>
      </c>
      <c r="W6101">
        <v>0</v>
      </c>
      <c r="X6101">
        <v>1</v>
      </c>
      <c r="AE6101">
        <v>840</v>
      </c>
      <c r="AM6101">
        <v>-840</v>
      </c>
      <c r="AQ6101">
        <v>1</v>
      </c>
      <c r="AU6101">
        <f t="shared" si="188"/>
        <v>1</v>
      </c>
      <c r="AV6101">
        <f t="shared" si="189"/>
        <v>-840</v>
      </c>
    </row>
    <row r="6102" spans="1:48" x14ac:dyDescent="0.25">
      <c r="A6102" t="s">
        <v>19558</v>
      </c>
      <c r="B6102" t="s">
        <v>114</v>
      </c>
      <c r="C6102" t="s">
        <v>19559</v>
      </c>
      <c r="D6102" t="s">
        <v>3234</v>
      </c>
      <c r="E6102" t="s">
        <v>1663</v>
      </c>
      <c r="F6102">
        <v>2</v>
      </c>
      <c r="G6102">
        <v>2.4</v>
      </c>
      <c r="H6102" t="s">
        <v>2017</v>
      </c>
      <c r="I6102" s="21">
        <v>43721</v>
      </c>
      <c r="J6102">
        <v>2019</v>
      </c>
      <c r="K6102" s="21">
        <v>43847</v>
      </c>
      <c r="L6102">
        <v>2020</v>
      </c>
      <c r="M6102" s="21">
        <v>44033</v>
      </c>
      <c r="N6102">
        <v>2020</v>
      </c>
      <c r="Q6102" s="262">
        <v>200000</v>
      </c>
      <c r="S6102" t="s">
        <v>13253</v>
      </c>
      <c r="T6102">
        <v>14501</v>
      </c>
      <c r="V6102">
        <v>840</v>
      </c>
      <c r="W6102">
        <v>0</v>
      </c>
      <c r="X6102">
        <v>1</v>
      </c>
      <c r="AE6102">
        <v>840</v>
      </c>
      <c r="AM6102">
        <v>-840</v>
      </c>
      <c r="AQ6102">
        <v>1</v>
      </c>
      <c r="AU6102">
        <f t="shared" si="188"/>
        <v>1</v>
      </c>
      <c r="AV6102">
        <f t="shared" si="189"/>
        <v>-840</v>
      </c>
    </row>
    <row r="6103" spans="1:48" x14ac:dyDescent="0.25">
      <c r="A6103" t="s">
        <v>14339</v>
      </c>
      <c r="B6103" t="s">
        <v>14339</v>
      </c>
      <c r="C6103" t="s">
        <v>14340</v>
      </c>
      <c r="D6103" t="s">
        <v>14341</v>
      </c>
      <c r="E6103" t="s">
        <v>2310</v>
      </c>
      <c r="F6103">
        <v>9</v>
      </c>
      <c r="G6103">
        <v>9.1</v>
      </c>
      <c r="H6103" t="s">
        <v>2323</v>
      </c>
      <c r="I6103" s="21">
        <v>43725.559224687502</v>
      </c>
      <c r="J6103">
        <v>2019</v>
      </c>
      <c r="O6103" s="21">
        <v>44116.636511539298</v>
      </c>
      <c r="Q6103" s="262">
        <v>1400000</v>
      </c>
      <c r="R6103" s="262">
        <v>423000</v>
      </c>
      <c r="S6103" t="s">
        <v>114</v>
      </c>
      <c r="T6103" t="s">
        <v>114</v>
      </c>
      <c r="V6103">
        <v>0</v>
      </c>
      <c r="W6103">
        <v>3837</v>
      </c>
      <c r="X6103">
        <v>1</v>
      </c>
      <c r="AC6103">
        <v>3837</v>
      </c>
      <c r="AO6103">
        <v>1</v>
      </c>
      <c r="AU6103">
        <f t="shared" si="188"/>
        <v>1</v>
      </c>
      <c r="AV6103">
        <f t="shared" si="189"/>
        <v>0</v>
      </c>
    </row>
    <row r="6104" spans="1:48" x14ac:dyDescent="0.25">
      <c r="A6104" t="s">
        <v>19859</v>
      </c>
      <c r="B6104" t="s">
        <v>19859</v>
      </c>
      <c r="C6104" t="s">
        <v>19860</v>
      </c>
      <c r="D6104" t="s">
        <v>19861</v>
      </c>
      <c r="E6104" t="s">
        <v>2310</v>
      </c>
      <c r="F6104">
        <v>8</v>
      </c>
      <c r="G6104">
        <v>8.1</v>
      </c>
      <c r="H6104" t="s">
        <v>2323</v>
      </c>
      <c r="I6104" s="21">
        <v>43725.669596215303</v>
      </c>
      <c r="J6104">
        <v>2019</v>
      </c>
      <c r="K6104" s="21">
        <v>43776.4686548264</v>
      </c>
      <c r="L6104">
        <v>2019</v>
      </c>
      <c r="M6104" s="21">
        <v>44410</v>
      </c>
      <c r="N6104">
        <v>2021</v>
      </c>
      <c r="Q6104" s="262">
        <v>2500000</v>
      </c>
      <c r="R6104" s="262">
        <v>481000</v>
      </c>
      <c r="S6104" t="s">
        <v>13254</v>
      </c>
      <c r="U6104">
        <v>5</v>
      </c>
      <c r="V6104">
        <v>0</v>
      </c>
      <c r="W6104">
        <v>4251</v>
      </c>
      <c r="X6104">
        <v>1</v>
      </c>
      <c r="AC6104">
        <v>4251</v>
      </c>
      <c r="AO6104">
        <v>1</v>
      </c>
      <c r="AU6104">
        <f t="shared" si="188"/>
        <v>1</v>
      </c>
      <c r="AV6104">
        <f t="shared" si="189"/>
        <v>0</v>
      </c>
    </row>
    <row r="6105" spans="1:48" x14ac:dyDescent="0.25">
      <c r="A6105" t="s">
        <v>14521</v>
      </c>
      <c r="C6105" t="s">
        <v>13941</v>
      </c>
      <c r="D6105" t="s">
        <v>14522</v>
      </c>
      <c r="E6105" t="s">
        <v>1663</v>
      </c>
      <c r="F6105">
        <v>3</v>
      </c>
      <c r="G6105">
        <v>3.2</v>
      </c>
      <c r="H6105" t="s">
        <v>2327</v>
      </c>
      <c r="I6105" s="21">
        <v>43727</v>
      </c>
      <c r="J6105">
        <v>2019</v>
      </c>
      <c r="K6105" s="21">
        <v>44004</v>
      </c>
      <c r="L6105">
        <v>2020</v>
      </c>
      <c r="M6105" s="21">
        <v>44586</v>
      </c>
      <c r="N6105">
        <v>2022</v>
      </c>
      <c r="P6105" s="21">
        <v>44524</v>
      </c>
      <c r="Q6105" s="262">
        <v>120000</v>
      </c>
      <c r="S6105" t="s">
        <v>13253</v>
      </c>
      <c r="T6105">
        <v>9474</v>
      </c>
      <c r="V6105">
        <v>0</v>
      </c>
      <c r="W6105">
        <v>0</v>
      </c>
      <c r="X6105">
        <v>0</v>
      </c>
      <c r="AU6105">
        <f t="shared" ref="AU6105:AU6168" si="190">SUM(AN6105:AQ6105,AS6105)</f>
        <v>0</v>
      </c>
      <c r="AV6105">
        <f t="shared" ref="AV6105:AV6168" si="191">SUM(Y6105:AB6105,AH6105:AM6105)</f>
        <v>0</v>
      </c>
    </row>
    <row r="6106" spans="1:48" x14ac:dyDescent="0.25">
      <c r="A6106" t="s">
        <v>14342</v>
      </c>
      <c r="C6106" t="s">
        <v>14343</v>
      </c>
      <c r="D6106" t="s">
        <v>12111</v>
      </c>
      <c r="E6106" t="s">
        <v>1663</v>
      </c>
      <c r="F6106">
        <v>2</v>
      </c>
      <c r="G6106">
        <v>2.6</v>
      </c>
      <c r="H6106" t="s">
        <v>2327</v>
      </c>
      <c r="I6106" s="21">
        <v>43727</v>
      </c>
      <c r="J6106">
        <v>2019</v>
      </c>
      <c r="K6106" s="21">
        <v>43846</v>
      </c>
      <c r="L6106">
        <v>2020</v>
      </c>
      <c r="P6106" s="21">
        <v>44153</v>
      </c>
      <c r="Q6106" s="262">
        <v>250000</v>
      </c>
      <c r="S6106" t="s">
        <v>114</v>
      </c>
      <c r="T6106" t="s">
        <v>114</v>
      </c>
      <c r="V6106">
        <v>0</v>
      </c>
      <c r="W6106">
        <v>0</v>
      </c>
      <c r="X6106">
        <v>0</v>
      </c>
      <c r="AU6106">
        <f t="shared" si="190"/>
        <v>0</v>
      </c>
      <c r="AV6106">
        <f t="shared" si="191"/>
        <v>0</v>
      </c>
    </row>
    <row r="6107" spans="1:48" x14ac:dyDescent="0.25">
      <c r="A6107" t="s">
        <v>14346</v>
      </c>
      <c r="C6107" t="s">
        <v>14347</v>
      </c>
      <c r="D6107" t="s">
        <v>14348</v>
      </c>
      <c r="E6107" t="s">
        <v>1663</v>
      </c>
      <c r="F6107">
        <v>2</v>
      </c>
      <c r="G6107">
        <v>2.6</v>
      </c>
      <c r="H6107" t="s">
        <v>2327</v>
      </c>
      <c r="I6107" s="21">
        <v>43727</v>
      </c>
      <c r="J6107">
        <v>2019</v>
      </c>
      <c r="M6107" s="21">
        <v>43955</v>
      </c>
      <c r="N6107">
        <v>2020</v>
      </c>
      <c r="Q6107" s="262">
        <v>120000</v>
      </c>
      <c r="S6107" t="s">
        <v>114</v>
      </c>
      <c r="T6107" t="s">
        <v>114</v>
      </c>
      <c r="V6107">
        <v>0</v>
      </c>
      <c r="W6107">
        <v>0</v>
      </c>
      <c r="X6107">
        <v>0</v>
      </c>
      <c r="AU6107">
        <f t="shared" si="190"/>
        <v>0</v>
      </c>
      <c r="AV6107">
        <f t="shared" si="191"/>
        <v>0</v>
      </c>
    </row>
    <row r="6108" spans="1:48" x14ac:dyDescent="0.25">
      <c r="A6108" t="s">
        <v>15496</v>
      </c>
      <c r="B6108" t="s">
        <v>15496</v>
      </c>
      <c r="C6108" t="s">
        <v>15497</v>
      </c>
      <c r="D6108" t="s">
        <v>15498</v>
      </c>
      <c r="E6108" t="s">
        <v>2310</v>
      </c>
      <c r="F6108">
        <v>9</v>
      </c>
      <c r="G6108">
        <v>9.1</v>
      </c>
      <c r="H6108" t="s">
        <v>2323</v>
      </c>
      <c r="I6108" s="21">
        <v>43727.470700428203</v>
      </c>
      <c r="J6108">
        <v>2019</v>
      </c>
      <c r="K6108" s="21">
        <v>43753.573391435202</v>
      </c>
      <c r="L6108">
        <v>2019</v>
      </c>
      <c r="M6108" s="21">
        <v>44601</v>
      </c>
      <c r="N6108">
        <v>2022</v>
      </c>
      <c r="Q6108" s="262">
        <v>187000</v>
      </c>
      <c r="R6108" s="262">
        <v>154000</v>
      </c>
      <c r="S6108" t="s">
        <v>13253</v>
      </c>
      <c r="T6108">
        <v>6167</v>
      </c>
      <c r="V6108">
        <v>0</v>
      </c>
      <c r="W6108">
        <v>1317</v>
      </c>
      <c r="X6108">
        <v>0</v>
      </c>
      <c r="AC6108">
        <v>1317</v>
      </c>
      <c r="AU6108">
        <f t="shared" si="190"/>
        <v>0</v>
      </c>
      <c r="AV6108">
        <f t="shared" si="191"/>
        <v>0</v>
      </c>
    </row>
    <row r="6109" spans="1:48" x14ac:dyDescent="0.25">
      <c r="A6109" t="s">
        <v>14350</v>
      </c>
      <c r="C6109" t="s">
        <v>14351</v>
      </c>
      <c r="D6109" t="s">
        <v>14352</v>
      </c>
      <c r="E6109" t="s">
        <v>1663</v>
      </c>
      <c r="F6109">
        <v>1</v>
      </c>
      <c r="G6109">
        <v>1.1000000000000001</v>
      </c>
      <c r="H6109" t="s">
        <v>2017</v>
      </c>
      <c r="I6109" s="21">
        <v>43728</v>
      </c>
      <c r="J6109">
        <v>2019</v>
      </c>
      <c r="K6109" s="21">
        <v>43733</v>
      </c>
      <c r="L6109">
        <v>2019</v>
      </c>
      <c r="M6109" s="21">
        <v>44495</v>
      </c>
      <c r="N6109">
        <v>2021</v>
      </c>
      <c r="Q6109" s="262">
        <v>0</v>
      </c>
      <c r="S6109" t="s">
        <v>114</v>
      </c>
      <c r="T6109" t="s">
        <v>114</v>
      </c>
      <c r="V6109">
        <v>0</v>
      </c>
      <c r="W6109">
        <v>0</v>
      </c>
      <c r="X6109">
        <v>0</v>
      </c>
      <c r="AU6109">
        <f t="shared" si="190"/>
        <v>0</v>
      </c>
      <c r="AV6109">
        <f t="shared" si="191"/>
        <v>0</v>
      </c>
    </row>
    <row r="6110" spans="1:48" x14ac:dyDescent="0.25">
      <c r="A6110" t="s">
        <v>19530</v>
      </c>
      <c r="B6110" t="s">
        <v>19530</v>
      </c>
      <c r="C6110" t="s">
        <v>19531</v>
      </c>
      <c r="D6110" t="s">
        <v>2808</v>
      </c>
      <c r="E6110" t="s">
        <v>2310</v>
      </c>
      <c r="F6110">
        <v>8</v>
      </c>
      <c r="G6110">
        <v>8.1</v>
      </c>
      <c r="H6110" t="s">
        <v>2323</v>
      </c>
      <c r="I6110" s="21">
        <v>43731.42349552083</v>
      </c>
      <c r="J6110">
        <v>2019</v>
      </c>
      <c r="K6110" s="21">
        <v>43762.360627696762</v>
      </c>
      <c r="L6110">
        <v>2019</v>
      </c>
      <c r="M6110" s="21">
        <v>44089.367707488425</v>
      </c>
      <c r="N6110">
        <v>2020</v>
      </c>
      <c r="Q6110" s="262">
        <v>500000</v>
      </c>
      <c r="R6110" s="262">
        <v>202000</v>
      </c>
      <c r="S6110" t="s">
        <v>13254</v>
      </c>
      <c r="V6110">
        <v>0</v>
      </c>
      <c r="W6110">
        <v>2378</v>
      </c>
      <c r="X6110">
        <v>1</v>
      </c>
      <c r="AC6110">
        <v>1399</v>
      </c>
      <c r="AF6110">
        <v>979</v>
      </c>
      <c r="AR6110">
        <v>1</v>
      </c>
      <c r="AU6110">
        <f t="shared" si="190"/>
        <v>0</v>
      </c>
      <c r="AV6110">
        <f t="shared" si="191"/>
        <v>0</v>
      </c>
    </row>
    <row r="6111" spans="1:48" x14ac:dyDescent="0.25">
      <c r="A6111" t="s">
        <v>19370</v>
      </c>
      <c r="B6111" t="s">
        <v>114</v>
      </c>
      <c r="C6111" t="s">
        <v>19371</v>
      </c>
      <c r="D6111" t="s">
        <v>13855</v>
      </c>
      <c r="E6111" t="s">
        <v>1663</v>
      </c>
      <c r="F6111">
        <v>2</v>
      </c>
      <c r="G6111">
        <v>2.2999999999999998</v>
      </c>
      <c r="H6111" t="s">
        <v>2327</v>
      </c>
      <c r="I6111" s="21">
        <v>43732</v>
      </c>
      <c r="J6111">
        <v>2019</v>
      </c>
      <c r="K6111" s="21">
        <v>43787</v>
      </c>
      <c r="L6111">
        <v>2019</v>
      </c>
      <c r="M6111" s="21">
        <v>43895</v>
      </c>
      <c r="N6111">
        <v>2020</v>
      </c>
      <c r="Q6111" s="262">
        <v>45000</v>
      </c>
      <c r="S6111" t="s">
        <v>13253</v>
      </c>
      <c r="T6111">
        <v>13162</v>
      </c>
      <c r="V6111">
        <v>0</v>
      </c>
      <c r="W6111">
        <v>150</v>
      </c>
      <c r="X6111">
        <v>0</v>
      </c>
      <c r="AH6111">
        <v>150</v>
      </c>
      <c r="AU6111">
        <f t="shared" si="190"/>
        <v>0</v>
      </c>
      <c r="AV6111">
        <f t="shared" si="191"/>
        <v>150</v>
      </c>
    </row>
    <row r="6112" spans="1:48" x14ac:dyDescent="0.25">
      <c r="A6112" t="s">
        <v>15502</v>
      </c>
      <c r="B6112" t="s">
        <v>15502</v>
      </c>
      <c r="C6112" t="s">
        <v>15503</v>
      </c>
      <c r="D6112" t="s">
        <v>15504</v>
      </c>
      <c r="E6112" t="s">
        <v>2310</v>
      </c>
      <c r="F6112">
        <v>13</v>
      </c>
      <c r="G6112">
        <v>13.3</v>
      </c>
      <c r="H6112" t="s">
        <v>2017</v>
      </c>
      <c r="I6112" s="21">
        <v>43732.440232719899</v>
      </c>
      <c r="J6112">
        <v>2019</v>
      </c>
      <c r="K6112" s="21">
        <v>43748.677012928201</v>
      </c>
      <c r="L6112">
        <v>2019</v>
      </c>
      <c r="M6112" s="21">
        <v>44795.472824039352</v>
      </c>
      <c r="N6112">
        <v>2022</v>
      </c>
      <c r="Q6112" s="262">
        <v>1000000</v>
      </c>
      <c r="R6112" s="262">
        <v>426000</v>
      </c>
      <c r="S6112" t="s">
        <v>13253</v>
      </c>
      <c r="T6112">
        <v>6841</v>
      </c>
      <c r="V6112">
        <v>0</v>
      </c>
      <c r="W6112">
        <v>2059</v>
      </c>
      <c r="X6112">
        <v>0</v>
      </c>
      <c r="AC6112">
        <v>2059</v>
      </c>
      <c r="AU6112">
        <f t="shared" si="190"/>
        <v>0</v>
      </c>
      <c r="AV6112">
        <f t="shared" si="191"/>
        <v>0</v>
      </c>
    </row>
    <row r="6113" spans="1:48" x14ac:dyDescent="0.25">
      <c r="A6113" t="s">
        <v>19840</v>
      </c>
      <c r="B6113" t="s">
        <v>19840</v>
      </c>
      <c r="C6113" t="s">
        <v>19841</v>
      </c>
      <c r="D6113" t="s">
        <v>19842</v>
      </c>
      <c r="E6113" t="s">
        <v>2310</v>
      </c>
      <c r="F6113">
        <v>9</v>
      </c>
      <c r="G6113">
        <v>9.3000000000000007</v>
      </c>
      <c r="H6113" t="s">
        <v>2323</v>
      </c>
      <c r="I6113" s="21">
        <v>43732.5957353009</v>
      </c>
      <c r="J6113">
        <v>2019</v>
      </c>
      <c r="K6113" s="21">
        <v>44111.404376886603</v>
      </c>
      <c r="L6113">
        <v>2020</v>
      </c>
      <c r="M6113" s="21">
        <v>44383</v>
      </c>
      <c r="N6113">
        <v>2021</v>
      </c>
      <c r="Q6113" s="262">
        <v>1500000</v>
      </c>
      <c r="R6113" s="262">
        <v>603000</v>
      </c>
      <c r="S6113" t="s">
        <v>13254</v>
      </c>
      <c r="U6113">
        <v>5</v>
      </c>
      <c r="V6113">
        <v>0</v>
      </c>
      <c r="W6113">
        <v>4918</v>
      </c>
      <c r="X6113">
        <v>1</v>
      </c>
      <c r="AC6113">
        <v>4918</v>
      </c>
      <c r="AO6113">
        <v>1</v>
      </c>
      <c r="AU6113">
        <f t="shared" si="190"/>
        <v>1</v>
      </c>
      <c r="AV6113">
        <f t="shared" si="191"/>
        <v>0</v>
      </c>
    </row>
    <row r="6114" spans="1:48" x14ac:dyDescent="0.25">
      <c r="A6114" t="s">
        <v>19497</v>
      </c>
      <c r="B6114" t="s">
        <v>19497</v>
      </c>
      <c r="C6114" t="s">
        <v>19498</v>
      </c>
      <c r="D6114" t="s">
        <v>19499</v>
      </c>
      <c r="E6114" t="s">
        <v>2310</v>
      </c>
      <c r="F6114">
        <v>14</v>
      </c>
      <c r="G6114">
        <v>14.1</v>
      </c>
      <c r="H6114" t="s">
        <v>2022</v>
      </c>
      <c r="I6114" s="21">
        <v>43734.455358067127</v>
      </c>
      <c r="J6114">
        <v>2019</v>
      </c>
      <c r="K6114" s="21">
        <v>43768.669947418981</v>
      </c>
      <c r="L6114">
        <v>2019</v>
      </c>
      <c r="M6114" s="21">
        <v>44068.375641782404</v>
      </c>
      <c r="N6114">
        <v>2020</v>
      </c>
      <c r="Q6114" s="262">
        <v>200000</v>
      </c>
      <c r="R6114" s="262">
        <v>273000</v>
      </c>
      <c r="S6114" t="s">
        <v>13254</v>
      </c>
      <c r="V6114">
        <v>0</v>
      </c>
      <c r="W6114">
        <v>2300</v>
      </c>
      <c r="X6114">
        <v>1</v>
      </c>
      <c r="AC6114">
        <v>2300</v>
      </c>
      <c r="AO6114">
        <v>1</v>
      </c>
      <c r="AU6114">
        <f t="shared" si="190"/>
        <v>1</v>
      </c>
      <c r="AV6114">
        <f t="shared" si="191"/>
        <v>0</v>
      </c>
    </row>
    <row r="6115" spans="1:48" x14ac:dyDescent="0.25">
      <c r="A6115" t="s">
        <v>20107</v>
      </c>
      <c r="B6115" t="s">
        <v>20107</v>
      </c>
      <c r="C6115" t="s">
        <v>20108</v>
      </c>
      <c r="D6115" t="s">
        <v>11427</v>
      </c>
      <c r="E6115" t="s">
        <v>2310</v>
      </c>
      <c r="F6115">
        <v>9</v>
      </c>
      <c r="G6115">
        <v>9.1999999999999993</v>
      </c>
      <c r="H6115" t="s">
        <v>2022</v>
      </c>
      <c r="I6115" s="21">
        <v>43734.633419062498</v>
      </c>
      <c r="J6115">
        <v>2019</v>
      </c>
      <c r="K6115" s="21">
        <v>43803.629165972197</v>
      </c>
      <c r="L6115">
        <v>2019</v>
      </c>
      <c r="M6115" s="21">
        <v>44547</v>
      </c>
      <c r="N6115">
        <v>2021</v>
      </c>
      <c r="Q6115" s="262">
        <v>4830111.2300000004</v>
      </c>
      <c r="R6115" s="262">
        <v>675000</v>
      </c>
      <c r="S6115" t="s">
        <v>13254</v>
      </c>
      <c r="U6115">
        <v>5</v>
      </c>
      <c r="V6115">
        <v>0</v>
      </c>
      <c r="W6115">
        <v>5460</v>
      </c>
      <c r="X6115">
        <v>1</v>
      </c>
      <c r="AC6115">
        <v>5460</v>
      </c>
      <c r="AO6115">
        <v>1</v>
      </c>
      <c r="AU6115">
        <f t="shared" si="190"/>
        <v>1</v>
      </c>
      <c r="AV6115">
        <f t="shared" si="191"/>
        <v>0</v>
      </c>
    </row>
    <row r="6116" spans="1:48" x14ac:dyDescent="0.25">
      <c r="A6116" t="s">
        <v>14355</v>
      </c>
      <c r="B6116" t="s">
        <v>14355</v>
      </c>
      <c r="C6116" t="s">
        <v>14356</v>
      </c>
      <c r="D6116" t="s">
        <v>14357</v>
      </c>
      <c r="E6116" t="s">
        <v>2310</v>
      </c>
      <c r="F6116">
        <v>9</v>
      </c>
      <c r="G6116">
        <v>9.3000000000000007</v>
      </c>
      <c r="H6116" t="s">
        <v>2323</v>
      </c>
      <c r="I6116" s="21">
        <v>43734.672126388898</v>
      </c>
      <c r="J6116">
        <v>2019</v>
      </c>
      <c r="K6116" s="21">
        <v>44183.571293946799</v>
      </c>
      <c r="L6116">
        <v>2020</v>
      </c>
      <c r="P6116" s="21">
        <v>44522</v>
      </c>
      <c r="Q6116" s="262">
        <v>500000</v>
      </c>
      <c r="R6116" s="262">
        <v>218000</v>
      </c>
      <c r="S6116" t="s">
        <v>114</v>
      </c>
      <c r="T6116" t="s">
        <v>114</v>
      </c>
      <c r="V6116">
        <v>0</v>
      </c>
      <c r="W6116">
        <v>2472</v>
      </c>
      <c r="X6116">
        <v>1</v>
      </c>
      <c r="AC6116">
        <v>2472</v>
      </c>
      <c r="AO6116">
        <v>1</v>
      </c>
      <c r="AU6116">
        <f t="shared" si="190"/>
        <v>1</v>
      </c>
      <c r="AV6116">
        <f t="shared" si="191"/>
        <v>0</v>
      </c>
    </row>
    <row r="6117" spans="1:48" x14ac:dyDescent="0.25">
      <c r="A6117" t="s">
        <v>14358</v>
      </c>
      <c r="C6117" t="s">
        <v>14359</v>
      </c>
      <c r="D6117" t="s">
        <v>14360</v>
      </c>
      <c r="E6117" t="s">
        <v>1663</v>
      </c>
      <c r="F6117">
        <v>6</v>
      </c>
      <c r="G6117">
        <v>6.2</v>
      </c>
      <c r="H6117" t="s">
        <v>2017</v>
      </c>
      <c r="I6117" s="21">
        <v>43739</v>
      </c>
      <c r="J6117">
        <v>2019</v>
      </c>
      <c r="K6117" s="21">
        <v>43742</v>
      </c>
      <c r="L6117">
        <v>2019</v>
      </c>
      <c r="M6117" s="21">
        <v>43809</v>
      </c>
      <c r="N6117">
        <v>2019</v>
      </c>
      <c r="Q6117" s="262">
        <v>16000</v>
      </c>
      <c r="S6117" t="s">
        <v>114</v>
      </c>
      <c r="T6117" t="s">
        <v>114</v>
      </c>
      <c r="V6117">
        <v>0</v>
      </c>
      <c r="W6117">
        <v>0</v>
      </c>
      <c r="X6117">
        <v>0</v>
      </c>
      <c r="AU6117">
        <f t="shared" si="190"/>
        <v>0</v>
      </c>
      <c r="AV6117">
        <f t="shared" si="191"/>
        <v>0</v>
      </c>
    </row>
    <row r="6118" spans="1:48" x14ac:dyDescent="0.25">
      <c r="A6118" t="s">
        <v>19975</v>
      </c>
      <c r="C6118" t="s">
        <v>19976</v>
      </c>
      <c r="D6118" t="s">
        <v>19977</v>
      </c>
      <c r="E6118" t="s">
        <v>1663</v>
      </c>
      <c r="F6118">
        <v>2</v>
      </c>
      <c r="G6118">
        <v>2.1</v>
      </c>
      <c r="H6118" t="s">
        <v>2327</v>
      </c>
      <c r="I6118" s="21">
        <v>43739</v>
      </c>
      <c r="J6118">
        <v>2019</v>
      </c>
      <c r="M6118" s="21">
        <v>44305</v>
      </c>
      <c r="N6118">
        <v>2021</v>
      </c>
      <c r="Q6118" s="262">
        <v>15000</v>
      </c>
      <c r="S6118" t="s">
        <v>13253</v>
      </c>
      <c r="T6118">
        <v>9493</v>
      </c>
      <c r="U6118">
        <v>6</v>
      </c>
      <c r="V6118">
        <v>0</v>
      </c>
      <c r="W6118">
        <v>64</v>
      </c>
      <c r="X6118">
        <v>0</v>
      </c>
      <c r="AD6118">
        <v>64</v>
      </c>
      <c r="AU6118">
        <f t="shared" si="190"/>
        <v>0</v>
      </c>
      <c r="AV6118">
        <f t="shared" si="191"/>
        <v>0</v>
      </c>
    </row>
    <row r="6119" spans="1:48" x14ac:dyDescent="0.25">
      <c r="A6119" t="s">
        <v>14361</v>
      </c>
      <c r="B6119" t="s">
        <v>14361</v>
      </c>
      <c r="C6119" t="s">
        <v>14362</v>
      </c>
      <c r="D6119" t="s">
        <v>14363</v>
      </c>
      <c r="E6119" t="s">
        <v>2310</v>
      </c>
      <c r="F6119">
        <v>11</v>
      </c>
      <c r="G6119">
        <v>11.3</v>
      </c>
      <c r="H6119" t="s">
        <v>2017</v>
      </c>
      <c r="I6119" s="21">
        <v>43739.568042511601</v>
      </c>
      <c r="J6119">
        <v>2019</v>
      </c>
      <c r="K6119" s="21">
        <v>43760.670619131903</v>
      </c>
      <c r="L6119">
        <v>2019</v>
      </c>
      <c r="Q6119" s="262">
        <v>300000</v>
      </c>
      <c r="R6119" s="262">
        <v>101000</v>
      </c>
      <c r="S6119" t="s">
        <v>114</v>
      </c>
      <c r="T6119" t="s">
        <v>114</v>
      </c>
      <c r="V6119">
        <v>0</v>
      </c>
      <c r="W6119">
        <v>781</v>
      </c>
      <c r="X6119">
        <v>0</v>
      </c>
      <c r="AC6119">
        <v>781</v>
      </c>
      <c r="AU6119">
        <f t="shared" si="190"/>
        <v>0</v>
      </c>
      <c r="AV6119">
        <f t="shared" si="191"/>
        <v>0</v>
      </c>
    </row>
    <row r="6120" spans="1:48" x14ac:dyDescent="0.25">
      <c r="A6120" t="s">
        <v>12231</v>
      </c>
      <c r="D6120" t="s">
        <v>12232</v>
      </c>
      <c r="E6120" t="s">
        <v>2310</v>
      </c>
      <c r="F6120">
        <v>7</v>
      </c>
      <c r="G6120">
        <v>7.1</v>
      </c>
      <c r="H6120" t="s">
        <v>2327</v>
      </c>
      <c r="I6120" s="21">
        <v>43739.640629282403</v>
      </c>
      <c r="J6120">
        <v>2019</v>
      </c>
      <c r="K6120" s="21">
        <v>43958.679791932896</v>
      </c>
      <c r="L6120">
        <v>2020</v>
      </c>
      <c r="M6120" s="21">
        <v>44769.44095358796</v>
      </c>
      <c r="N6120">
        <v>2022</v>
      </c>
      <c r="O6120" s="21" t="s">
        <v>114</v>
      </c>
      <c r="P6120" s="21" t="s">
        <v>114</v>
      </c>
      <c r="Q6120" s="262">
        <v>850000</v>
      </c>
      <c r="R6120" s="262">
        <v>2756000</v>
      </c>
      <c r="S6120" t="s">
        <v>9529</v>
      </c>
      <c r="T6120">
        <v>8875</v>
      </c>
      <c r="U6120">
        <v>14</v>
      </c>
      <c r="W6120">
        <v>-4800</v>
      </c>
      <c r="X6120">
        <v>0</v>
      </c>
      <c r="Y6120">
        <v>0</v>
      </c>
      <c r="Z6120">
        <v>0</v>
      </c>
      <c r="AA6120">
        <v>0</v>
      </c>
      <c r="AB6120">
        <v>0</v>
      </c>
      <c r="AC6120">
        <v>0</v>
      </c>
      <c r="AD6120">
        <v>0</v>
      </c>
      <c r="AE6120">
        <v>0</v>
      </c>
      <c r="AF6120">
        <v>0</v>
      </c>
      <c r="AG6120">
        <v>0</v>
      </c>
      <c r="AH6120">
        <v>0</v>
      </c>
      <c r="AI6120">
        <v>0</v>
      </c>
      <c r="AJ6120">
        <v>0</v>
      </c>
      <c r="AK6120">
        <v>0</v>
      </c>
      <c r="AL6120">
        <v>-4800</v>
      </c>
      <c r="AM6120">
        <v>0</v>
      </c>
      <c r="AN6120">
        <v>0</v>
      </c>
      <c r="AO6120">
        <v>0</v>
      </c>
      <c r="AP6120">
        <v>0</v>
      </c>
      <c r="AQ6120">
        <v>0</v>
      </c>
      <c r="AR6120">
        <v>0</v>
      </c>
      <c r="AS6120">
        <v>0</v>
      </c>
      <c r="AT6120">
        <v>0</v>
      </c>
      <c r="AU6120">
        <f t="shared" si="190"/>
        <v>0</v>
      </c>
      <c r="AV6120">
        <f t="shared" si="191"/>
        <v>-4800</v>
      </c>
    </row>
    <row r="6121" spans="1:48" x14ac:dyDescent="0.25">
      <c r="A6121" t="s">
        <v>12231</v>
      </c>
      <c r="D6121" t="s">
        <v>12232</v>
      </c>
      <c r="E6121" t="s">
        <v>2310</v>
      </c>
      <c r="F6121">
        <v>7</v>
      </c>
      <c r="G6121">
        <v>7.1</v>
      </c>
      <c r="H6121" t="s">
        <v>2327</v>
      </c>
      <c r="I6121" s="21">
        <v>43739.640629282403</v>
      </c>
      <c r="J6121">
        <v>2019</v>
      </c>
      <c r="K6121" s="21">
        <v>43958.679791932896</v>
      </c>
      <c r="L6121">
        <v>2020</v>
      </c>
      <c r="M6121" s="21">
        <v>44769.44095358796</v>
      </c>
      <c r="N6121">
        <v>2022</v>
      </c>
      <c r="O6121" s="21" t="s">
        <v>114</v>
      </c>
      <c r="P6121" s="21" t="s">
        <v>114</v>
      </c>
      <c r="Q6121" s="262">
        <v>850000</v>
      </c>
      <c r="R6121" s="262">
        <v>2756000</v>
      </c>
      <c r="S6121" t="s">
        <v>9529</v>
      </c>
      <c r="T6121">
        <v>8876</v>
      </c>
      <c r="U6121">
        <v>14</v>
      </c>
      <c r="W6121">
        <v>-7200</v>
      </c>
      <c r="X6121">
        <v>0</v>
      </c>
      <c r="Y6121">
        <v>0</v>
      </c>
      <c r="Z6121">
        <v>0</v>
      </c>
      <c r="AA6121">
        <v>0</v>
      </c>
      <c r="AB6121">
        <v>0</v>
      </c>
      <c r="AC6121">
        <v>0</v>
      </c>
      <c r="AD6121">
        <v>0</v>
      </c>
      <c r="AE6121">
        <v>0</v>
      </c>
      <c r="AF6121">
        <v>0</v>
      </c>
      <c r="AG6121">
        <v>0</v>
      </c>
      <c r="AH6121">
        <v>0</v>
      </c>
      <c r="AI6121">
        <v>0</v>
      </c>
      <c r="AJ6121">
        <v>0</v>
      </c>
      <c r="AK6121">
        <v>0</v>
      </c>
      <c r="AL6121">
        <v>-7200</v>
      </c>
      <c r="AM6121">
        <v>0</v>
      </c>
      <c r="AN6121">
        <v>0</v>
      </c>
      <c r="AO6121">
        <v>0</v>
      </c>
      <c r="AP6121">
        <v>0</v>
      </c>
      <c r="AQ6121">
        <v>0</v>
      </c>
      <c r="AR6121">
        <v>0</v>
      </c>
      <c r="AS6121">
        <v>0</v>
      </c>
      <c r="AT6121">
        <v>0</v>
      </c>
      <c r="AU6121">
        <f t="shared" si="190"/>
        <v>0</v>
      </c>
      <c r="AV6121">
        <f t="shared" si="191"/>
        <v>-7200</v>
      </c>
    </row>
    <row r="6122" spans="1:48" x14ac:dyDescent="0.25">
      <c r="A6122" t="s">
        <v>12231</v>
      </c>
      <c r="D6122" t="s">
        <v>12232</v>
      </c>
      <c r="E6122" t="s">
        <v>2310</v>
      </c>
      <c r="F6122">
        <v>7</v>
      </c>
      <c r="G6122">
        <v>7.1</v>
      </c>
      <c r="H6122" t="s">
        <v>2327</v>
      </c>
      <c r="I6122" s="21">
        <v>43739.640629282403</v>
      </c>
      <c r="J6122">
        <v>2019</v>
      </c>
      <c r="K6122" s="21">
        <v>43958.679791932896</v>
      </c>
      <c r="L6122">
        <v>2020</v>
      </c>
      <c r="M6122" s="21">
        <v>44769.44095358796</v>
      </c>
      <c r="N6122">
        <v>2022</v>
      </c>
      <c r="O6122" s="21" t="s">
        <v>114</v>
      </c>
      <c r="P6122" s="21" t="s">
        <v>114</v>
      </c>
      <c r="Q6122" s="262">
        <v>850000</v>
      </c>
      <c r="R6122" s="262">
        <v>2756000</v>
      </c>
      <c r="S6122" t="s">
        <v>9529</v>
      </c>
      <c r="T6122">
        <v>8877</v>
      </c>
      <c r="U6122">
        <v>14</v>
      </c>
      <c r="W6122">
        <v>-3770</v>
      </c>
      <c r="X6122">
        <v>0</v>
      </c>
      <c r="Y6122">
        <v>0</v>
      </c>
      <c r="Z6122">
        <v>0</v>
      </c>
      <c r="AA6122">
        <v>0</v>
      </c>
      <c r="AB6122">
        <v>0</v>
      </c>
      <c r="AC6122">
        <v>0</v>
      </c>
      <c r="AD6122">
        <v>0</v>
      </c>
      <c r="AE6122">
        <v>0</v>
      </c>
      <c r="AF6122">
        <v>0</v>
      </c>
      <c r="AG6122">
        <v>0</v>
      </c>
      <c r="AH6122">
        <v>0</v>
      </c>
      <c r="AI6122">
        <v>0</v>
      </c>
      <c r="AJ6122">
        <v>0</v>
      </c>
      <c r="AK6122">
        <v>0</v>
      </c>
      <c r="AL6122">
        <v>-3770</v>
      </c>
      <c r="AM6122">
        <v>0</v>
      </c>
      <c r="AN6122">
        <v>0</v>
      </c>
      <c r="AO6122">
        <v>0</v>
      </c>
      <c r="AP6122">
        <v>0</v>
      </c>
      <c r="AQ6122">
        <v>0</v>
      </c>
      <c r="AR6122">
        <v>0</v>
      </c>
      <c r="AS6122">
        <v>0</v>
      </c>
      <c r="AT6122">
        <v>0</v>
      </c>
      <c r="AU6122">
        <f t="shared" si="190"/>
        <v>0</v>
      </c>
      <c r="AV6122">
        <f t="shared" si="191"/>
        <v>-3770</v>
      </c>
    </row>
    <row r="6123" spans="1:48" x14ac:dyDescent="0.25">
      <c r="A6123" t="s">
        <v>12231</v>
      </c>
      <c r="B6123" t="s">
        <v>12231</v>
      </c>
      <c r="C6123" t="s">
        <v>13836</v>
      </c>
      <c r="D6123" t="s">
        <v>13837</v>
      </c>
      <c r="E6123" t="s">
        <v>2310</v>
      </c>
      <c r="F6123">
        <v>7</v>
      </c>
      <c r="G6123">
        <v>7.1</v>
      </c>
      <c r="H6123" t="s">
        <v>2327</v>
      </c>
      <c r="I6123" s="21">
        <v>43739.640629282403</v>
      </c>
      <c r="J6123">
        <v>2019</v>
      </c>
      <c r="K6123" s="21">
        <v>43958.679791932896</v>
      </c>
      <c r="L6123">
        <v>2020</v>
      </c>
      <c r="M6123" s="21">
        <v>44769.44095358796</v>
      </c>
      <c r="N6123">
        <v>2022</v>
      </c>
      <c r="Q6123" s="262">
        <v>850000</v>
      </c>
      <c r="R6123" s="262">
        <v>2756000</v>
      </c>
      <c r="S6123" t="s">
        <v>12464</v>
      </c>
      <c r="T6123" t="s">
        <v>13838</v>
      </c>
      <c r="V6123">
        <v>0</v>
      </c>
      <c r="W6123">
        <v>23298</v>
      </c>
      <c r="X6123">
        <v>0</v>
      </c>
      <c r="AM6123">
        <v>23298</v>
      </c>
      <c r="AU6123">
        <f t="shared" si="190"/>
        <v>0</v>
      </c>
      <c r="AV6123">
        <f t="shared" si="191"/>
        <v>23298</v>
      </c>
    </row>
    <row r="6124" spans="1:48" x14ac:dyDescent="0.25">
      <c r="A6124" t="s">
        <v>20148</v>
      </c>
      <c r="B6124" t="s">
        <v>20148</v>
      </c>
      <c r="C6124" t="s">
        <v>20149</v>
      </c>
      <c r="D6124" t="s">
        <v>20150</v>
      </c>
      <c r="E6124" t="s">
        <v>2310</v>
      </c>
      <c r="F6124">
        <v>14</v>
      </c>
      <c r="G6124">
        <v>14.2</v>
      </c>
      <c r="H6124" t="s">
        <v>2017</v>
      </c>
      <c r="I6124" s="21">
        <v>43741.496681516197</v>
      </c>
      <c r="J6124">
        <v>2019</v>
      </c>
      <c r="K6124" s="21">
        <v>43908.586016666697</v>
      </c>
      <c r="L6124">
        <v>2020</v>
      </c>
      <c r="M6124" s="21">
        <v>44363</v>
      </c>
      <c r="N6124">
        <v>2021</v>
      </c>
      <c r="Q6124" s="262">
        <v>1600000</v>
      </c>
      <c r="R6124" s="262">
        <v>452000</v>
      </c>
      <c r="S6124" t="s">
        <v>13254</v>
      </c>
      <c r="U6124">
        <v>5</v>
      </c>
      <c r="V6124">
        <v>0</v>
      </c>
      <c r="W6124">
        <v>3913</v>
      </c>
      <c r="X6124">
        <v>1</v>
      </c>
      <c r="AC6124">
        <v>3913</v>
      </c>
      <c r="AO6124">
        <v>1</v>
      </c>
      <c r="AU6124">
        <f t="shared" si="190"/>
        <v>1</v>
      </c>
      <c r="AV6124">
        <f t="shared" si="191"/>
        <v>0</v>
      </c>
    </row>
    <row r="6125" spans="1:48" x14ac:dyDescent="0.25">
      <c r="A6125" t="s">
        <v>14371</v>
      </c>
      <c r="C6125" t="s">
        <v>14372</v>
      </c>
      <c r="D6125" t="s">
        <v>13548</v>
      </c>
      <c r="E6125" t="s">
        <v>1663</v>
      </c>
      <c r="F6125">
        <v>4</v>
      </c>
      <c r="G6125">
        <v>4.2</v>
      </c>
      <c r="H6125" t="s">
        <v>2327</v>
      </c>
      <c r="I6125" s="21">
        <v>43742</v>
      </c>
      <c r="J6125">
        <v>2019</v>
      </c>
      <c r="K6125" s="21">
        <v>44047</v>
      </c>
      <c r="L6125">
        <v>2020</v>
      </c>
      <c r="P6125" s="21">
        <v>44383</v>
      </c>
      <c r="Q6125" s="262">
        <v>375000</v>
      </c>
      <c r="S6125" t="s">
        <v>114</v>
      </c>
      <c r="T6125" t="s">
        <v>114</v>
      </c>
      <c r="V6125">
        <v>0</v>
      </c>
      <c r="W6125">
        <v>2546</v>
      </c>
      <c r="X6125">
        <v>1</v>
      </c>
      <c r="AD6125">
        <v>2546</v>
      </c>
      <c r="AP6125">
        <v>1</v>
      </c>
      <c r="AU6125">
        <f t="shared" si="190"/>
        <v>1</v>
      </c>
      <c r="AV6125">
        <f t="shared" si="191"/>
        <v>0</v>
      </c>
    </row>
    <row r="6126" spans="1:48" x14ac:dyDescent="0.25">
      <c r="A6126" t="s">
        <v>14373</v>
      </c>
      <c r="C6126" t="s">
        <v>14374</v>
      </c>
      <c r="D6126" t="s">
        <v>13548</v>
      </c>
      <c r="E6126" t="s">
        <v>1663</v>
      </c>
      <c r="F6126">
        <v>4</v>
      </c>
      <c r="G6126">
        <v>4.2</v>
      </c>
      <c r="H6126" t="s">
        <v>2327</v>
      </c>
      <c r="I6126" s="21">
        <v>43742</v>
      </c>
      <c r="J6126">
        <v>2019</v>
      </c>
      <c r="K6126" s="21">
        <v>43986</v>
      </c>
      <c r="L6126">
        <v>2020</v>
      </c>
      <c r="P6126" s="21">
        <v>44313</v>
      </c>
      <c r="Q6126" s="262">
        <v>375000</v>
      </c>
      <c r="S6126" t="s">
        <v>114</v>
      </c>
      <c r="T6126" t="s">
        <v>114</v>
      </c>
      <c r="V6126">
        <v>0</v>
      </c>
      <c r="W6126">
        <v>2546</v>
      </c>
      <c r="X6126">
        <v>1</v>
      </c>
      <c r="AD6126">
        <v>2546</v>
      </c>
      <c r="AP6126">
        <v>1</v>
      </c>
      <c r="AU6126">
        <f t="shared" si="190"/>
        <v>1</v>
      </c>
      <c r="AV6126">
        <f t="shared" si="191"/>
        <v>0</v>
      </c>
    </row>
    <row r="6127" spans="1:48" x14ac:dyDescent="0.25">
      <c r="A6127" t="s">
        <v>14375</v>
      </c>
      <c r="C6127" t="s">
        <v>11709</v>
      </c>
      <c r="D6127" t="s">
        <v>13548</v>
      </c>
      <c r="E6127" t="s">
        <v>1663</v>
      </c>
      <c r="F6127">
        <v>4</v>
      </c>
      <c r="G6127">
        <v>4.2</v>
      </c>
      <c r="H6127" t="s">
        <v>2327</v>
      </c>
      <c r="I6127" s="21">
        <v>43742</v>
      </c>
      <c r="J6127">
        <v>2019</v>
      </c>
      <c r="K6127" s="21">
        <v>44047</v>
      </c>
      <c r="L6127">
        <v>2020</v>
      </c>
      <c r="P6127" s="21">
        <v>44313</v>
      </c>
      <c r="Q6127" s="262">
        <v>375000</v>
      </c>
      <c r="S6127" t="s">
        <v>114</v>
      </c>
      <c r="T6127" t="s">
        <v>114</v>
      </c>
      <c r="V6127">
        <v>0</v>
      </c>
      <c r="W6127">
        <v>2546</v>
      </c>
      <c r="X6127">
        <v>1</v>
      </c>
      <c r="AD6127">
        <v>2546</v>
      </c>
      <c r="AP6127">
        <v>1</v>
      </c>
      <c r="AU6127">
        <f t="shared" si="190"/>
        <v>1</v>
      </c>
      <c r="AV6127">
        <f t="shared" si="191"/>
        <v>0</v>
      </c>
    </row>
    <row r="6128" spans="1:48" x14ac:dyDescent="0.25">
      <c r="A6128" t="s">
        <v>14376</v>
      </c>
      <c r="C6128" t="s">
        <v>14377</v>
      </c>
      <c r="D6128" t="s">
        <v>13548</v>
      </c>
      <c r="E6128" t="s">
        <v>1663</v>
      </c>
      <c r="F6128">
        <v>4</v>
      </c>
      <c r="G6128">
        <v>4.2</v>
      </c>
      <c r="H6128" t="s">
        <v>2327</v>
      </c>
      <c r="I6128" s="21">
        <v>43742</v>
      </c>
      <c r="J6128">
        <v>2019</v>
      </c>
      <c r="K6128" s="21">
        <v>44047</v>
      </c>
      <c r="L6128">
        <v>2020</v>
      </c>
      <c r="P6128" s="21">
        <v>44453</v>
      </c>
      <c r="Q6128" s="262">
        <v>375000</v>
      </c>
      <c r="S6128" t="s">
        <v>114</v>
      </c>
      <c r="T6128" t="s">
        <v>114</v>
      </c>
      <c r="V6128">
        <v>0</v>
      </c>
      <c r="W6128">
        <v>2546</v>
      </c>
      <c r="X6128">
        <v>1</v>
      </c>
      <c r="AD6128">
        <v>2546</v>
      </c>
      <c r="AP6128">
        <v>1</v>
      </c>
      <c r="AU6128">
        <f t="shared" si="190"/>
        <v>1</v>
      </c>
      <c r="AV6128">
        <f t="shared" si="191"/>
        <v>0</v>
      </c>
    </row>
    <row r="6129" spans="1:48" x14ac:dyDescent="0.25">
      <c r="A6129" t="s">
        <v>14378</v>
      </c>
      <c r="B6129" t="s">
        <v>14378</v>
      </c>
      <c r="C6129" t="s">
        <v>14379</v>
      </c>
      <c r="D6129" t="s">
        <v>10675</v>
      </c>
      <c r="E6129" t="s">
        <v>2310</v>
      </c>
      <c r="F6129">
        <v>9</v>
      </c>
      <c r="G6129">
        <v>9.4</v>
      </c>
      <c r="H6129" t="s">
        <v>2323</v>
      </c>
      <c r="I6129" s="21">
        <v>43746.592947800898</v>
      </c>
      <c r="J6129">
        <v>2019</v>
      </c>
      <c r="K6129" s="21">
        <v>43777.387108993098</v>
      </c>
      <c r="L6129">
        <v>2019</v>
      </c>
      <c r="M6129" s="21">
        <v>44321</v>
      </c>
      <c r="N6129">
        <v>2021</v>
      </c>
      <c r="Q6129" s="262">
        <v>575000</v>
      </c>
      <c r="R6129" s="262">
        <v>14000</v>
      </c>
      <c r="S6129" t="s">
        <v>114</v>
      </c>
      <c r="T6129" t="s">
        <v>114</v>
      </c>
      <c r="V6129">
        <v>0</v>
      </c>
      <c r="W6129">
        <v>0</v>
      </c>
      <c r="X6129">
        <v>0</v>
      </c>
      <c r="AU6129">
        <f t="shared" si="190"/>
        <v>0</v>
      </c>
      <c r="AV6129">
        <f t="shared" si="191"/>
        <v>0</v>
      </c>
    </row>
    <row r="6130" spans="1:48" x14ac:dyDescent="0.25">
      <c r="A6130" t="s">
        <v>19883</v>
      </c>
      <c r="C6130" t="s">
        <v>19884</v>
      </c>
      <c r="D6130" t="s">
        <v>19885</v>
      </c>
      <c r="E6130" t="s">
        <v>1663</v>
      </c>
      <c r="F6130">
        <v>6</v>
      </c>
      <c r="G6130">
        <v>6.1</v>
      </c>
      <c r="H6130" t="s">
        <v>2017</v>
      </c>
      <c r="I6130" s="21">
        <v>43748</v>
      </c>
      <c r="J6130">
        <v>2019</v>
      </c>
      <c r="K6130" s="21">
        <v>43766</v>
      </c>
      <c r="L6130">
        <v>2019</v>
      </c>
      <c r="M6130" s="21">
        <v>44511</v>
      </c>
      <c r="N6130">
        <v>2021</v>
      </c>
      <c r="Q6130" s="262">
        <v>25000</v>
      </c>
      <c r="S6130" t="s">
        <v>13253</v>
      </c>
      <c r="T6130">
        <v>13092</v>
      </c>
      <c r="U6130">
        <v>5</v>
      </c>
      <c r="V6130">
        <v>0</v>
      </c>
      <c r="W6130">
        <v>63</v>
      </c>
      <c r="X6130">
        <v>1</v>
      </c>
      <c r="AC6130">
        <v>-437</v>
      </c>
      <c r="AF6130">
        <v>500</v>
      </c>
      <c r="AR6130">
        <v>1</v>
      </c>
      <c r="AU6130">
        <f t="shared" si="190"/>
        <v>0</v>
      </c>
      <c r="AV6130">
        <f t="shared" si="191"/>
        <v>0</v>
      </c>
    </row>
    <row r="6131" spans="1:48" x14ac:dyDescent="0.25">
      <c r="A6131" t="s">
        <v>19914</v>
      </c>
      <c r="C6131" t="s">
        <v>11237</v>
      </c>
      <c r="D6131" t="s">
        <v>19915</v>
      </c>
      <c r="E6131" t="s">
        <v>1663</v>
      </c>
      <c r="F6131">
        <v>2</v>
      </c>
      <c r="G6131">
        <v>2.2999999999999998</v>
      </c>
      <c r="H6131" t="s">
        <v>2327</v>
      </c>
      <c r="I6131" s="21">
        <v>43748</v>
      </c>
      <c r="J6131">
        <v>2019</v>
      </c>
      <c r="K6131" s="21">
        <v>43803</v>
      </c>
      <c r="L6131">
        <v>2019</v>
      </c>
      <c r="M6131" s="21">
        <v>44511</v>
      </c>
      <c r="N6131">
        <v>2021</v>
      </c>
      <c r="Q6131" s="262">
        <v>12599</v>
      </c>
      <c r="S6131" t="s">
        <v>13253</v>
      </c>
      <c r="T6131">
        <v>12605</v>
      </c>
      <c r="U6131">
        <v>6</v>
      </c>
      <c r="V6131">
        <v>0</v>
      </c>
      <c r="W6131">
        <v>67</v>
      </c>
      <c r="X6131">
        <v>0</v>
      </c>
      <c r="AD6131">
        <v>67</v>
      </c>
      <c r="AU6131">
        <f t="shared" si="190"/>
        <v>0</v>
      </c>
      <c r="AV6131">
        <f t="shared" si="191"/>
        <v>0</v>
      </c>
    </row>
    <row r="6132" spans="1:48" x14ac:dyDescent="0.25">
      <c r="A6132" t="s">
        <v>14382</v>
      </c>
      <c r="C6132" t="s">
        <v>14383</v>
      </c>
      <c r="D6132" t="s">
        <v>11238</v>
      </c>
      <c r="E6132" t="s">
        <v>1663</v>
      </c>
      <c r="F6132">
        <v>2</v>
      </c>
      <c r="G6132">
        <v>2.1</v>
      </c>
      <c r="H6132" t="s">
        <v>2327</v>
      </c>
      <c r="I6132" s="21">
        <v>43748</v>
      </c>
      <c r="J6132">
        <v>2019</v>
      </c>
      <c r="K6132" s="21">
        <v>43753</v>
      </c>
      <c r="L6132">
        <v>2019</v>
      </c>
      <c r="M6132" s="21">
        <v>43986</v>
      </c>
      <c r="N6132">
        <v>2020</v>
      </c>
      <c r="Q6132" s="262">
        <v>230000</v>
      </c>
      <c r="S6132" t="s">
        <v>114</v>
      </c>
      <c r="T6132" t="s">
        <v>114</v>
      </c>
      <c r="V6132">
        <v>0</v>
      </c>
      <c r="W6132">
        <v>0</v>
      </c>
      <c r="X6132">
        <v>0</v>
      </c>
      <c r="AU6132">
        <f t="shared" si="190"/>
        <v>0</v>
      </c>
      <c r="AV6132">
        <f t="shared" si="191"/>
        <v>0</v>
      </c>
    </row>
    <row r="6133" spans="1:48" x14ac:dyDescent="0.25">
      <c r="A6133" t="s">
        <v>14380</v>
      </c>
      <c r="C6133" t="s">
        <v>11237</v>
      </c>
      <c r="D6133" t="s">
        <v>14381</v>
      </c>
      <c r="E6133" t="s">
        <v>1663</v>
      </c>
      <c r="F6133">
        <v>1</v>
      </c>
      <c r="G6133">
        <v>1.1000000000000001</v>
      </c>
      <c r="H6133" t="s">
        <v>2017</v>
      </c>
      <c r="I6133" s="21">
        <v>43748</v>
      </c>
      <c r="J6133">
        <v>2019</v>
      </c>
      <c r="K6133" s="21">
        <v>43819</v>
      </c>
      <c r="L6133">
        <v>2019</v>
      </c>
      <c r="M6133" s="21">
        <v>44511</v>
      </c>
      <c r="N6133">
        <v>2021</v>
      </c>
      <c r="Q6133" s="262">
        <v>3000</v>
      </c>
      <c r="S6133" t="s">
        <v>114</v>
      </c>
      <c r="T6133" t="s">
        <v>114</v>
      </c>
      <c r="V6133">
        <v>0</v>
      </c>
      <c r="W6133">
        <v>0</v>
      </c>
      <c r="X6133">
        <v>0</v>
      </c>
      <c r="AU6133">
        <f t="shared" si="190"/>
        <v>0</v>
      </c>
      <c r="AV6133">
        <f t="shared" si="191"/>
        <v>0</v>
      </c>
    </row>
    <row r="6134" spans="1:48" x14ac:dyDescent="0.25">
      <c r="A6134" t="s">
        <v>19801</v>
      </c>
      <c r="B6134" t="s">
        <v>19801</v>
      </c>
      <c r="C6134" t="s">
        <v>19802</v>
      </c>
      <c r="D6134" t="s">
        <v>14455</v>
      </c>
      <c r="E6134" t="s">
        <v>2310</v>
      </c>
      <c r="F6134">
        <v>15</v>
      </c>
      <c r="G6134">
        <v>15.2</v>
      </c>
      <c r="H6134" t="s">
        <v>2323</v>
      </c>
      <c r="I6134" s="21">
        <v>43748.599248726903</v>
      </c>
      <c r="J6134">
        <v>2019</v>
      </c>
      <c r="K6134" s="21">
        <v>43775.374057604196</v>
      </c>
      <c r="L6134">
        <v>2019</v>
      </c>
      <c r="M6134" s="21">
        <v>44358</v>
      </c>
      <c r="N6134">
        <v>2021</v>
      </c>
      <c r="Q6134" s="262">
        <v>175000</v>
      </c>
      <c r="R6134" s="262">
        <v>146000</v>
      </c>
      <c r="S6134" t="s">
        <v>13254</v>
      </c>
      <c r="U6134">
        <v>1</v>
      </c>
      <c r="V6134">
        <v>0</v>
      </c>
      <c r="W6134">
        <v>3072</v>
      </c>
      <c r="X6134">
        <v>1</v>
      </c>
      <c r="Y6134">
        <v>3072</v>
      </c>
      <c r="AN6134">
        <v>1</v>
      </c>
      <c r="AU6134">
        <f t="shared" si="190"/>
        <v>1</v>
      </c>
      <c r="AV6134">
        <f t="shared" si="191"/>
        <v>3072</v>
      </c>
    </row>
    <row r="6135" spans="1:48" x14ac:dyDescent="0.25">
      <c r="A6135" t="s">
        <v>14384</v>
      </c>
      <c r="B6135" t="s">
        <v>14384</v>
      </c>
      <c r="C6135" t="s">
        <v>14385</v>
      </c>
      <c r="D6135" t="s">
        <v>14386</v>
      </c>
      <c r="E6135" t="s">
        <v>2310</v>
      </c>
      <c r="F6135">
        <v>8</v>
      </c>
      <c r="G6135">
        <v>8.3000000000000007</v>
      </c>
      <c r="H6135" t="s">
        <v>2323</v>
      </c>
      <c r="I6135" s="21">
        <v>43753.5797586806</v>
      </c>
      <c r="J6135">
        <v>2019</v>
      </c>
      <c r="O6135" s="21">
        <v>43922.432221840303</v>
      </c>
      <c r="Q6135" s="262">
        <v>900000</v>
      </c>
      <c r="R6135" s="262">
        <v>334000</v>
      </c>
      <c r="S6135" t="s">
        <v>114</v>
      </c>
      <c r="T6135" t="s">
        <v>114</v>
      </c>
      <c r="V6135">
        <v>0</v>
      </c>
      <c r="W6135">
        <v>3237</v>
      </c>
      <c r="X6135">
        <v>1</v>
      </c>
      <c r="AC6135">
        <v>3237</v>
      </c>
      <c r="AO6135">
        <v>1</v>
      </c>
      <c r="AU6135">
        <f t="shared" si="190"/>
        <v>1</v>
      </c>
      <c r="AV6135">
        <f t="shared" si="191"/>
        <v>0</v>
      </c>
    </row>
    <row r="6136" spans="1:48" x14ac:dyDescent="0.25">
      <c r="A6136" t="s">
        <v>1911</v>
      </c>
      <c r="C6136" t="s">
        <v>19759</v>
      </c>
      <c r="D6136" t="s">
        <v>1913</v>
      </c>
      <c r="E6136" t="s">
        <v>1663</v>
      </c>
      <c r="F6136">
        <v>5</v>
      </c>
      <c r="G6136">
        <v>5.3</v>
      </c>
      <c r="H6136" t="s">
        <v>2327</v>
      </c>
      <c r="I6136" s="21">
        <v>43754</v>
      </c>
      <c r="J6136">
        <v>2019</v>
      </c>
      <c r="K6136" s="21">
        <v>44008</v>
      </c>
      <c r="L6136">
        <v>2020</v>
      </c>
      <c r="M6136" s="21">
        <v>44504</v>
      </c>
      <c r="N6136">
        <v>2021</v>
      </c>
      <c r="Q6136" s="262">
        <v>5000000</v>
      </c>
      <c r="S6136" t="s">
        <v>12464</v>
      </c>
      <c r="T6136">
        <v>13825</v>
      </c>
      <c r="U6136">
        <v>7</v>
      </c>
      <c r="V6136">
        <v>0</v>
      </c>
      <c r="W6136">
        <v>18332</v>
      </c>
      <c r="X6136">
        <v>18</v>
      </c>
      <c r="AE6136">
        <v>18332</v>
      </c>
      <c r="AQ6136">
        <v>18</v>
      </c>
      <c r="AU6136">
        <f t="shared" si="190"/>
        <v>18</v>
      </c>
      <c r="AV6136">
        <f t="shared" si="191"/>
        <v>0</v>
      </c>
    </row>
    <row r="6137" spans="1:48" x14ac:dyDescent="0.25">
      <c r="A6137" t="s">
        <v>19760</v>
      </c>
      <c r="C6137" t="s">
        <v>19761</v>
      </c>
      <c r="D6137" t="s">
        <v>1913</v>
      </c>
      <c r="E6137" t="s">
        <v>1663</v>
      </c>
      <c r="F6137">
        <v>5</v>
      </c>
      <c r="G6137">
        <v>5.3</v>
      </c>
      <c r="H6137" t="s">
        <v>2327</v>
      </c>
      <c r="I6137" s="21">
        <v>43754</v>
      </c>
      <c r="J6137">
        <v>2019</v>
      </c>
      <c r="K6137" s="21">
        <v>44008</v>
      </c>
      <c r="L6137">
        <v>2020</v>
      </c>
      <c r="M6137" s="21">
        <v>44504</v>
      </c>
      <c r="N6137">
        <v>2021</v>
      </c>
      <c r="Q6137" s="262">
        <v>2000000</v>
      </c>
      <c r="S6137" t="s">
        <v>12464</v>
      </c>
      <c r="T6137">
        <v>13826</v>
      </c>
      <c r="U6137">
        <v>7</v>
      </c>
      <c r="V6137">
        <v>0</v>
      </c>
      <c r="W6137">
        <v>10710</v>
      </c>
      <c r="X6137">
        <v>8</v>
      </c>
      <c r="AE6137">
        <v>10710</v>
      </c>
      <c r="AQ6137">
        <v>8</v>
      </c>
      <c r="AU6137">
        <f t="shared" si="190"/>
        <v>8</v>
      </c>
      <c r="AV6137">
        <f t="shared" si="191"/>
        <v>0</v>
      </c>
    </row>
    <row r="6138" spans="1:48" x14ac:dyDescent="0.25">
      <c r="A6138" t="s">
        <v>1911</v>
      </c>
      <c r="C6138" t="s">
        <v>19759</v>
      </c>
      <c r="D6138" t="s">
        <v>1913</v>
      </c>
      <c r="E6138" t="s">
        <v>1663</v>
      </c>
      <c r="F6138">
        <v>5</v>
      </c>
      <c r="G6138">
        <v>5.3</v>
      </c>
      <c r="H6138" t="s">
        <v>2327</v>
      </c>
      <c r="I6138" s="21">
        <v>43754</v>
      </c>
      <c r="J6138">
        <v>2019</v>
      </c>
      <c r="K6138" s="21">
        <v>44008</v>
      </c>
      <c r="L6138">
        <v>2020</v>
      </c>
      <c r="M6138" s="21">
        <v>44504</v>
      </c>
      <c r="N6138">
        <v>2021</v>
      </c>
      <c r="Q6138" s="262">
        <v>5000000</v>
      </c>
      <c r="R6138" s="262">
        <v>0</v>
      </c>
      <c r="S6138" t="s">
        <v>9529</v>
      </c>
      <c r="T6138">
        <v>13825</v>
      </c>
      <c r="U6138">
        <v>5</v>
      </c>
      <c r="W6138">
        <v>-2304</v>
      </c>
      <c r="X6138">
        <v>-1</v>
      </c>
      <c r="Y6138">
        <v>0</v>
      </c>
      <c r="Z6138">
        <v>0</v>
      </c>
      <c r="AA6138">
        <v>0</v>
      </c>
      <c r="AB6138">
        <v>0</v>
      </c>
      <c r="AC6138">
        <v>-2304</v>
      </c>
      <c r="AD6138">
        <v>0</v>
      </c>
      <c r="AE6138">
        <v>0</v>
      </c>
      <c r="AF6138">
        <v>0</v>
      </c>
      <c r="AG6138">
        <v>0</v>
      </c>
      <c r="AH6138">
        <v>0</v>
      </c>
      <c r="AI6138">
        <v>0</v>
      </c>
      <c r="AJ6138">
        <v>0</v>
      </c>
      <c r="AK6138">
        <v>0</v>
      </c>
      <c r="AL6138">
        <v>0</v>
      </c>
      <c r="AM6138">
        <v>0</v>
      </c>
      <c r="AN6138">
        <v>0</v>
      </c>
      <c r="AO6138">
        <v>-1</v>
      </c>
      <c r="AP6138">
        <v>0</v>
      </c>
      <c r="AQ6138">
        <v>0</v>
      </c>
      <c r="AR6138">
        <v>0</v>
      </c>
      <c r="AS6138">
        <v>0</v>
      </c>
      <c r="AT6138">
        <v>0</v>
      </c>
      <c r="AU6138">
        <f t="shared" si="190"/>
        <v>-1</v>
      </c>
      <c r="AV6138">
        <f t="shared" si="191"/>
        <v>0</v>
      </c>
    </row>
    <row r="6139" spans="1:48" x14ac:dyDescent="0.25">
      <c r="A6139" t="s">
        <v>19760</v>
      </c>
      <c r="C6139" t="s">
        <v>19761</v>
      </c>
      <c r="D6139" t="s">
        <v>1913</v>
      </c>
      <c r="E6139" t="s">
        <v>1663</v>
      </c>
      <c r="F6139">
        <v>5</v>
      </c>
      <c r="G6139">
        <v>5.3</v>
      </c>
      <c r="H6139" t="s">
        <v>2327</v>
      </c>
      <c r="I6139" s="21">
        <v>43754</v>
      </c>
      <c r="J6139">
        <v>2019</v>
      </c>
      <c r="K6139" s="21">
        <v>44008</v>
      </c>
      <c r="L6139">
        <v>2020</v>
      </c>
      <c r="M6139" s="21">
        <v>44504</v>
      </c>
      <c r="N6139">
        <v>2021</v>
      </c>
      <c r="Q6139" s="262">
        <v>2000000</v>
      </c>
      <c r="R6139" s="262">
        <v>0</v>
      </c>
      <c r="S6139" t="s">
        <v>9529</v>
      </c>
      <c r="T6139">
        <v>13826</v>
      </c>
      <c r="U6139">
        <v>9</v>
      </c>
      <c r="W6139">
        <v>0</v>
      </c>
      <c r="X6139">
        <v>-1</v>
      </c>
      <c r="Y6139">
        <v>0</v>
      </c>
      <c r="Z6139">
        <v>0</v>
      </c>
      <c r="AA6139">
        <v>0</v>
      </c>
      <c r="AB6139">
        <v>0</v>
      </c>
      <c r="AC6139">
        <v>0</v>
      </c>
      <c r="AD6139">
        <v>0</v>
      </c>
      <c r="AE6139">
        <v>0</v>
      </c>
      <c r="AF6139">
        <v>0</v>
      </c>
      <c r="AG6139">
        <v>0</v>
      </c>
      <c r="AH6139">
        <v>0</v>
      </c>
      <c r="AI6139">
        <v>0</v>
      </c>
      <c r="AJ6139">
        <v>0</v>
      </c>
      <c r="AK6139">
        <v>0</v>
      </c>
      <c r="AL6139">
        <v>0</v>
      </c>
      <c r="AM6139">
        <v>0</v>
      </c>
      <c r="AN6139">
        <v>0</v>
      </c>
      <c r="AO6139">
        <v>0</v>
      </c>
      <c r="AP6139">
        <v>0</v>
      </c>
      <c r="AQ6139">
        <v>0</v>
      </c>
      <c r="AR6139">
        <v>0</v>
      </c>
      <c r="AS6139">
        <v>-1</v>
      </c>
      <c r="AT6139">
        <v>0</v>
      </c>
      <c r="AU6139">
        <f t="shared" si="190"/>
        <v>-1</v>
      </c>
      <c r="AV6139">
        <f t="shared" si="191"/>
        <v>0</v>
      </c>
    </row>
    <row r="6140" spans="1:48" x14ac:dyDescent="0.25">
      <c r="A6140" t="s">
        <v>14387</v>
      </c>
      <c r="C6140" t="s">
        <v>14027</v>
      </c>
      <c r="D6140" t="s">
        <v>14388</v>
      </c>
      <c r="E6140" t="s">
        <v>1663</v>
      </c>
      <c r="F6140">
        <v>3</v>
      </c>
      <c r="G6140">
        <v>3.2</v>
      </c>
      <c r="H6140" t="s">
        <v>2327</v>
      </c>
      <c r="I6140" s="21">
        <v>43754</v>
      </c>
      <c r="J6140">
        <v>2019</v>
      </c>
      <c r="K6140" s="21">
        <v>43790</v>
      </c>
      <c r="L6140">
        <v>2019</v>
      </c>
      <c r="Q6140" s="262">
        <v>4000000</v>
      </c>
      <c r="S6140" t="s">
        <v>114</v>
      </c>
      <c r="T6140" t="s">
        <v>114</v>
      </c>
      <c r="V6140">
        <v>0</v>
      </c>
      <c r="W6140">
        <v>8235</v>
      </c>
      <c r="X6140">
        <v>0</v>
      </c>
      <c r="AC6140">
        <v>8235</v>
      </c>
      <c r="AU6140">
        <f t="shared" si="190"/>
        <v>0</v>
      </c>
      <c r="AV6140">
        <f t="shared" si="191"/>
        <v>0</v>
      </c>
    </row>
    <row r="6141" spans="1:48" x14ac:dyDescent="0.25">
      <c r="A6141" t="s">
        <v>14389</v>
      </c>
      <c r="C6141" t="s">
        <v>14390</v>
      </c>
      <c r="D6141" t="s">
        <v>4683</v>
      </c>
      <c r="E6141" t="s">
        <v>1663</v>
      </c>
      <c r="F6141">
        <v>2</v>
      </c>
      <c r="G6141">
        <v>2.6</v>
      </c>
      <c r="H6141" t="s">
        <v>2327</v>
      </c>
      <c r="I6141" s="21">
        <v>43756</v>
      </c>
      <c r="J6141">
        <v>2019</v>
      </c>
      <c r="K6141" s="21">
        <v>43784</v>
      </c>
      <c r="L6141">
        <v>2019</v>
      </c>
      <c r="M6141" s="21">
        <v>43795</v>
      </c>
      <c r="N6141">
        <v>2019</v>
      </c>
      <c r="Q6141" s="262">
        <v>0</v>
      </c>
      <c r="S6141" t="s">
        <v>114</v>
      </c>
      <c r="T6141" t="s">
        <v>114</v>
      </c>
      <c r="V6141">
        <v>0</v>
      </c>
      <c r="W6141">
        <v>0</v>
      </c>
      <c r="X6141">
        <v>0</v>
      </c>
      <c r="AU6141">
        <f t="shared" si="190"/>
        <v>0</v>
      </c>
      <c r="AV6141">
        <f t="shared" si="191"/>
        <v>0</v>
      </c>
    </row>
    <row r="6142" spans="1:48" x14ac:dyDescent="0.25">
      <c r="A6142" t="s">
        <v>14391</v>
      </c>
      <c r="C6142" t="s">
        <v>14392</v>
      </c>
      <c r="D6142" t="s">
        <v>8502</v>
      </c>
      <c r="E6142" t="s">
        <v>1663</v>
      </c>
      <c r="F6142">
        <v>4</v>
      </c>
      <c r="G6142">
        <v>4.3</v>
      </c>
      <c r="H6142" t="s">
        <v>2327</v>
      </c>
      <c r="I6142" s="21">
        <v>43759</v>
      </c>
      <c r="J6142">
        <v>2019</v>
      </c>
      <c r="K6142" s="21">
        <v>43762</v>
      </c>
      <c r="L6142">
        <v>2019</v>
      </c>
      <c r="M6142" s="21">
        <v>43794</v>
      </c>
      <c r="N6142">
        <v>2019</v>
      </c>
      <c r="Q6142" s="262">
        <v>25000</v>
      </c>
      <c r="S6142" t="s">
        <v>114</v>
      </c>
      <c r="T6142" t="s">
        <v>114</v>
      </c>
      <c r="V6142">
        <v>0</v>
      </c>
      <c r="W6142">
        <v>0</v>
      </c>
      <c r="X6142">
        <v>0</v>
      </c>
      <c r="AU6142">
        <f t="shared" si="190"/>
        <v>0</v>
      </c>
      <c r="AV6142">
        <f t="shared" si="191"/>
        <v>0</v>
      </c>
    </row>
    <row r="6143" spans="1:48" x14ac:dyDescent="0.25">
      <c r="A6143" t="s">
        <v>19566</v>
      </c>
      <c r="B6143" t="s">
        <v>114</v>
      </c>
      <c r="C6143" t="s">
        <v>19009</v>
      </c>
      <c r="D6143" t="s">
        <v>19567</v>
      </c>
      <c r="E6143" t="s">
        <v>1663</v>
      </c>
      <c r="F6143">
        <v>3</v>
      </c>
      <c r="G6143">
        <v>3.1</v>
      </c>
      <c r="H6143" t="s">
        <v>2017</v>
      </c>
      <c r="I6143" s="21">
        <v>43759</v>
      </c>
      <c r="J6143">
        <v>2019</v>
      </c>
      <c r="K6143" s="21">
        <v>43959</v>
      </c>
      <c r="L6143">
        <v>2020</v>
      </c>
      <c r="M6143" s="21">
        <v>44126</v>
      </c>
      <c r="N6143">
        <v>2020</v>
      </c>
      <c r="Q6143" s="262">
        <v>275000</v>
      </c>
      <c r="S6143" t="s">
        <v>13254</v>
      </c>
      <c r="V6143">
        <v>0</v>
      </c>
      <c r="W6143">
        <v>1076</v>
      </c>
      <c r="X6143">
        <v>1</v>
      </c>
      <c r="AC6143">
        <v>576</v>
      </c>
      <c r="AF6143">
        <v>500</v>
      </c>
      <c r="AR6143">
        <v>1</v>
      </c>
      <c r="AU6143">
        <f t="shared" si="190"/>
        <v>0</v>
      </c>
      <c r="AV6143">
        <f t="shared" si="191"/>
        <v>0</v>
      </c>
    </row>
    <row r="6144" spans="1:48" x14ac:dyDescent="0.25">
      <c r="A6144" t="s">
        <v>19878</v>
      </c>
      <c r="B6144" t="s">
        <v>19878</v>
      </c>
      <c r="C6144" t="s">
        <v>19879</v>
      </c>
      <c r="D6144" t="s">
        <v>19880</v>
      </c>
      <c r="E6144" t="s">
        <v>2310</v>
      </c>
      <c r="F6144">
        <v>9</v>
      </c>
      <c r="G6144">
        <v>9.4</v>
      </c>
      <c r="H6144" t="s">
        <v>2323</v>
      </c>
      <c r="I6144" s="21">
        <v>43760.557388506902</v>
      </c>
      <c r="J6144">
        <v>2019</v>
      </c>
      <c r="K6144" s="21">
        <v>44096.669070219898</v>
      </c>
      <c r="L6144">
        <v>2020</v>
      </c>
      <c r="M6144" s="21">
        <v>44491</v>
      </c>
      <c r="N6144">
        <v>2021</v>
      </c>
      <c r="Q6144" s="262">
        <v>182000</v>
      </c>
      <c r="R6144" s="262">
        <v>110000</v>
      </c>
      <c r="S6144" t="s">
        <v>13253</v>
      </c>
      <c r="T6144">
        <v>3076</v>
      </c>
      <c r="U6144">
        <v>11</v>
      </c>
      <c r="V6144">
        <v>0</v>
      </c>
      <c r="W6144">
        <v>759</v>
      </c>
      <c r="X6144">
        <v>0</v>
      </c>
      <c r="AI6144">
        <v>759</v>
      </c>
      <c r="AU6144">
        <f t="shared" si="190"/>
        <v>0</v>
      </c>
      <c r="AV6144">
        <f t="shared" si="191"/>
        <v>759</v>
      </c>
    </row>
    <row r="6145" spans="1:48" x14ac:dyDescent="0.25">
      <c r="A6145" t="s">
        <v>19623</v>
      </c>
      <c r="B6145" t="s">
        <v>19623</v>
      </c>
      <c r="C6145" t="s">
        <v>19624</v>
      </c>
      <c r="D6145" t="s">
        <v>19625</v>
      </c>
      <c r="E6145" t="s">
        <v>2310</v>
      </c>
      <c r="F6145">
        <v>14</v>
      </c>
      <c r="G6145">
        <v>14.2</v>
      </c>
      <c r="H6145" t="s">
        <v>2017</v>
      </c>
      <c r="I6145" s="21">
        <v>43760.639867789352</v>
      </c>
      <c r="J6145">
        <v>2019</v>
      </c>
      <c r="K6145" s="21">
        <v>43803.703863310184</v>
      </c>
      <c r="L6145">
        <v>2019</v>
      </c>
      <c r="M6145" s="21">
        <v>44175.618154629628</v>
      </c>
      <c r="N6145">
        <v>2020</v>
      </c>
      <c r="Q6145" s="262">
        <v>896800</v>
      </c>
      <c r="R6145" s="262">
        <v>528000</v>
      </c>
      <c r="S6145" t="s">
        <v>13254</v>
      </c>
      <c r="V6145">
        <v>0</v>
      </c>
      <c r="W6145">
        <v>4767</v>
      </c>
      <c r="X6145">
        <v>1</v>
      </c>
      <c r="AC6145">
        <v>4767</v>
      </c>
      <c r="AO6145">
        <v>1</v>
      </c>
      <c r="AU6145">
        <f t="shared" si="190"/>
        <v>1</v>
      </c>
      <c r="AV6145">
        <f t="shared" si="191"/>
        <v>0</v>
      </c>
    </row>
    <row r="6146" spans="1:48" x14ac:dyDescent="0.25">
      <c r="A6146" t="s">
        <v>18723</v>
      </c>
      <c r="B6146" t="s">
        <v>18723</v>
      </c>
      <c r="C6146" t="s">
        <v>18724</v>
      </c>
      <c r="D6146" t="s">
        <v>18725</v>
      </c>
      <c r="E6146" t="s">
        <v>2310</v>
      </c>
      <c r="F6146">
        <v>14</v>
      </c>
      <c r="G6146">
        <v>14.1</v>
      </c>
      <c r="H6146" t="s">
        <v>2022</v>
      </c>
      <c r="I6146" s="21">
        <v>43760.698636539353</v>
      </c>
      <c r="J6146">
        <v>2019</v>
      </c>
      <c r="K6146" s="21">
        <v>43782.510864085649</v>
      </c>
      <c r="L6146">
        <v>2019</v>
      </c>
      <c r="M6146" s="21">
        <v>44194.46258579861</v>
      </c>
      <c r="N6146">
        <v>2020</v>
      </c>
      <c r="Q6146" s="262">
        <v>50000</v>
      </c>
      <c r="R6146" s="262">
        <v>43000</v>
      </c>
      <c r="S6146" t="s">
        <v>13253</v>
      </c>
      <c r="T6146">
        <v>7867</v>
      </c>
      <c r="V6146">
        <v>0</v>
      </c>
      <c r="W6146">
        <v>362</v>
      </c>
      <c r="X6146">
        <v>0</v>
      </c>
      <c r="AC6146">
        <v>362</v>
      </c>
      <c r="AU6146">
        <f t="shared" si="190"/>
        <v>0</v>
      </c>
      <c r="AV6146">
        <f t="shared" si="191"/>
        <v>0</v>
      </c>
    </row>
    <row r="6147" spans="1:48" x14ac:dyDescent="0.25">
      <c r="A6147" t="s">
        <v>19590</v>
      </c>
      <c r="B6147" t="s">
        <v>19590</v>
      </c>
      <c r="C6147" t="s">
        <v>19591</v>
      </c>
      <c r="D6147" t="s">
        <v>19592</v>
      </c>
      <c r="E6147" t="s">
        <v>2310</v>
      </c>
      <c r="F6147">
        <v>9</v>
      </c>
      <c r="G6147">
        <v>9.3000000000000007</v>
      </c>
      <c r="H6147" t="s">
        <v>2323</v>
      </c>
      <c r="I6147" s="21">
        <v>43762.438768136577</v>
      </c>
      <c r="J6147">
        <v>2019</v>
      </c>
      <c r="K6147" s="21">
        <v>43803.547694594905</v>
      </c>
      <c r="L6147">
        <v>2019</v>
      </c>
      <c r="M6147" s="21">
        <v>44152.390717858798</v>
      </c>
      <c r="N6147">
        <v>2020</v>
      </c>
      <c r="Q6147" s="262">
        <v>350000</v>
      </c>
      <c r="R6147" s="262">
        <v>199000</v>
      </c>
      <c r="S6147" t="s">
        <v>13254</v>
      </c>
      <c r="V6147">
        <v>0</v>
      </c>
      <c r="W6147">
        <v>2275</v>
      </c>
      <c r="X6147">
        <v>1</v>
      </c>
      <c r="AC6147">
        <v>1275</v>
      </c>
      <c r="AF6147">
        <v>1000</v>
      </c>
      <c r="AR6147">
        <v>1</v>
      </c>
      <c r="AU6147">
        <f t="shared" si="190"/>
        <v>0</v>
      </c>
      <c r="AV6147">
        <f t="shared" si="191"/>
        <v>0</v>
      </c>
    </row>
    <row r="6148" spans="1:48" x14ac:dyDescent="0.25">
      <c r="A6148" t="s">
        <v>19742</v>
      </c>
      <c r="B6148" t="s">
        <v>19742</v>
      </c>
      <c r="C6148" t="s">
        <v>19743</v>
      </c>
      <c r="D6148" t="s">
        <v>19744</v>
      </c>
      <c r="E6148" t="s">
        <v>2310</v>
      </c>
      <c r="F6148">
        <v>15</v>
      </c>
      <c r="G6148">
        <v>15.1</v>
      </c>
      <c r="H6148" t="s">
        <v>2022</v>
      </c>
      <c r="I6148" s="21">
        <v>43762.607506828703</v>
      </c>
      <c r="J6148">
        <v>2019</v>
      </c>
      <c r="K6148" s="21">
        <v>43970.6432896181</v>
      </c>
      <c r="L6148">
        <v>2020</v>
      </c>
      <c r="M6148" s="21">
        <v>44435</v>
      </c>
      <c r="N6148">
        <v>2021</v>
      </c>
      <c r="Q6148" s="262">
        <v>1000000</v>
      </c>
      <c r="R6148" s="262">
        <v>367000</v>
      </c>
      <c r="S6148" t="s">
        <v>13253</v>
      </c>
      <c r="T6148">
        <v>538</v>
      </c>
      <c r="U6148">
        <v>5</v>
      </c>
      <c r="V6148">
        <v>0</v>
      </c>
      <c r="W6148">
        <v>2761</v>
      </c>
      <c r="X6148">
        <v>0</v>
      </c>
      <c r="AC6148">
        <v>2761</v>
      </c>
      <c r="AU6148">
        <f t="shared" si="190"/>
        <v>0</v>
      </c>
      <c r="AV6148">
        <f t="shared" si="191"/>
        <v>0</v>
      </c>
    </row>
    <row r="6149" spans="1:48" x14ac:dyDescent="0.25">
      <c r="A6149" t="s">
        <v>14393</v>
      </c>
      <c r="C6149" t="s">
        <v>11237</v>
      </c>
      <c r="D6149" t="s">
        <v>14394</v>
      </c>
      <c r="E6149" t="s">
        <v>1663</v>
      </c>
      <c r="F6149">
        <v>5</v>
      </c>
      <c r="G6149">
        <v>5.2</v>
      </c>
      <c r="H6149" t="s">
        <v>2327</v>
      </c>
      <c r="I6149" s="21">
        <v>43763</v>
      </c>
      <c r="J6149">
        <v>2019</v>
      </c>
      <c r="K6149" s="21">
        <v>43805</v>
      </c>
      <c r="L6149">
        <v>2019</v>
      </c>
      <c r="M6149" s="21">
        <v>44511</v>
      </c>
      <c r="N6149">
        <v>2021</v>
      </c>
      <c r="Q6149" s="262">
        <v>40000</v>
      </c>
      <c r="S6149" t="s">
        <v>114</v>
      </c>
      <c r="T6149" t="s">
        <v>114</v>
      </c>
      <c r="V6149">
        <v>0</v>
      </c>
      <c r="W6149">
        <v>0</v>
      </c>
      <c r="X6149">
        <v>0</v>
      </c>
      <c r="AU6149">
        <f t="shared" si="190"/>
        <v>0</v>
      </c>
      <c r="AV6149">
        <f t="shared" si="191"/>
        <v>0</v>
      </c>
    </row>
    <row r="6150" spans="1:48" x14ac:dyDescent="0.25">
      <c r="A6150" t="s">
        <v>14395</v>
      </c>
      <c r="C6150" t="s">
        <v>14396</v>
      </c>
      <c r="D6150" t="s">
        <v>14397</v>
      </c>
      <c r="E6150" t="s">
        <v>1663</v>
      </c>
      <c r="F6150">
        <v>3</v>
      </c>
      <c r="G6150">
        <v>3.1</v>
      </c>
      <c r="H6150" t="s">
        <v>2017</v>
      </c>
      <c r="I6150" s="21">
        <v>43763</v>
      </c>
      <c r="J6150">
        <v>2019</v>
      </c>
      <c r="K6150" s="21">
        <v>43794</v>
      </c>
      <c r="L6150">
        <v>2019</v>
      </c>
      <c r="M6150" s="21">
        <v>44105</v>
      </c>
      <c r="N6150">
        <v>2020</v>
      </c>
      <c r="Q6150" s="262">
        <v>20000</v>
      </c>
      <c r="S6150" t="s">
        <v>114</v>
      </c>
      <c r="T6150" t="s">
        <v>114</v>
      </c>
      <c r="V6150">
        <v>0</v>
      </c>
      <c r="W6150">
        <v>0</v>
      </c>
      <c r="X6150">
        <v>0</v>
      </c>
      <c r="AU6150">
        <f t="shared" si="190"/>
        <v>0</v>
      </c>
      <c r="AV6150">
        <f t="shared" si="191"/>
        <v>0</v>
      </c>
    </row>
    <row r="6151" spans="1:48" x14ac:dyDescent="0.25">
      <c r="A6151" t="s">
        <v>14398</v>
      </c>
      <c r="B6151" t="s">
        <v>14398</v>
      </c>
      <c r="C6151" t="s">
        <v>14399</v>
      </c>
      <c r="D6151" t="s">
        <v>6005</v>
      </c>
      <c r="E6151" t="s">
        <v>2310</v>
      </c>
      <c r="F6151">
        <v>9</v>
      </c>
      <c r="G6151">
        <v>9.3000000000000007</v>
      </c>
      <c r="H6151" t="s">
        <v>2323</v>
      </c>
      <c r="I6151" s="21">
        <v>43767.4629403125</v>
      </c>
      <c r="J6151">
        <v>2019</v>
      </c>
      <c r="K6151" s="21">
        <v>43803.400503356497</v>
      </c>
      <c r="L6151">
        <v>2019</v>
      </c>
      <c r="M6151" s="21">
        <v>44061.438000694397</v>
      </c>
      <c r="N6151">
        <v>2020</v>
      </c>
      <c r="Q6151" s="262">
        <v>1000000</v>
      </c>
      <c r="R6151" s="262">
        <v>430000</v>
      </c>
      <c r="S6151" t="s">
        <v>114</v>
      </c>
      <c r="T6151" t="s">
        <v>114</v>
      </c>
      <c r="V6151">
        <v>0</v>
      </c>
      <c r="W6151">
        <v>0</v>
      </c>
      <c r="X6151">
        <v>0</v>
      </c>
      <c r="AU6151">
        <f t="shared" si="190"/>
        <v>0</v>
      </c>
      <c r="AV6151">
        <f t="shared" si="191"/>
        <v>0</v>
      </c>
    </row>
    <row r="6152" spans="1:48" x14ac:dyDescent="0.25">
      <c r="A6152" t="s">
        <v>14400</v>
      </c>
      <c r="B6152" t="s">
        <v>14400</v>
      </c>
      <c r="C6152" t="s">
        <v>14401</v>
      </c>
      <c r="D6152" t="s">
        <v>14402</v>
      </c>
      <c r="E6152" t="s">
        <v>2310</v>
      </c>
      <c r="F6152">
        <v>9</v>
      </c>
      <c r="G6152">
        <v>9.1</v>
      </c>
      <c r="H6152" t="s">
        <v>2323</v>
      </c>
      <c r="I6152" s="21">
        <v>43768.613073923603</v>
      </c>
      <c r="J6152">
        <v>2019</v>
      </c>
      <c r="P6152" s="21">
        <v>43963.698453506899</v>
      </c>
      <c r="Q6152" s="262">
        <v>800000</v>
      </c>
      <c r="R6152" s="262">
        <v>452000</v>
      </c>
      <c r="S6152" t="s">
        <v>114</v>
      </c>
      <c r="T6152" t="s">
        <v>114</v>
      </c>
      <c r="V6152">
        <v>0</v>
      </c>
      <c r="W6152">
        <v>4309</v>
      </c>
      <c r="X6152">
        <v>1</v>
      </c>
      <c r="AC6152">
        <v>4309</v>
      </c>
      <c r="AO6152">
        <v>1</v>
      </c>
      <c r="AU6152">
        <f t="shared" si="190"/>
        <v>1</v>
      </c>
      <c r="AV6152">
        <f t="shared" si="191"/>
        <v>0</v>
      </c>
    </row>
    <row r="6153" spans="1:48" x14ac:dyDescent="0.25">
      <c r="A6153" t="s">
        <v>19553</v>
      </c>
      <c r="B6153" t="s">
        <v>19553</v>
      </c>
      <c r="C6153" t="s">
        <v>19554</v>
      </c>
      <c r="D6153" t="s">
        <v>15086</v>
      </c>
      <c r="E6153" t="s">
        <v>2310</v>
      </c>
      <c r="F6153">
        <v>9</v>
      </c>
      <c r="G6153">
        <v>9.1999999999999993</v>
      </c>
      <c r="H6153" t="s">
        <v>2022</v>
      </c>
      <c r="I6153" s="21">
        <v>43769.429782789353</v>
      </c>
      <c r="J6153">
        <v>2019</v>
      </c>
      <c r="K6153" s="21">
        <v>43809.623823182868</v>
      </c>
      <c r="L6153">
        <v>2019</v>
      </c>
      <c r="M6153" s="21">
        <v>44124.345277118053</v>
      </c>
      <c r="N6153">
        <v>2020</v>
      </c>
      <c r="Q6153" s="262">
        <v>500000</v>
      </c>
      <c r="R6153" s="262">
        <v>137000</v>
      </c>
      <c r="S6153" t="s">
        <v>13254</v>
      </c>
      <c r="V6153">
        <v>0</v>
      </c>
      <c r="W6153">
        <v>2542</v>
      </c>
      <c r="X6153">
        <v>0</v>
      </c>
      <c r="Y6153">
        <v>2542</v>
      </c>
      <c r="AU6153">
        <f t="shared" si="190"/>
        <v>0</v>
      </c>
      <c r="AV6153">
        <f t="shared" si="191"/>
        <v>2542</v>
      </c>
    </row>
    <row r="6154" spans="1:48" x14ac:dyDescent="0.25">
      <c r="A6154" t="s">
        <v>14403</v>
      </c>
      <c r="B6154" t="s">
        <v>14403</v>
      </c>
      <c r="C6154" t="s">
        <v>14404</v>
      </c>
      <c r="D6154" t="s">
        <v>14405</v>
      </c>
      <c r="E6154" t="s">
        <v>2310</v>
      </c>
      <c r="F6154">
        <v>10</v>
      </c>
      <c r="G6154">
        <v>10.1</v>
      </c>
      <c r="H6154" t="s">
        <v>2323</v>
      </c>
      <c r="I6154" s="21">
        <v>43769.479909374997</v>
      </c>
      <c r="J6154">
        <v>2019</v>
      </c>
      <c r="P6154" s="21">
        <v>43973.419562118099</v>
      </c>
      <c r="Q6154" s="262">
        <v>575000</v>
      </c>
      <c r="R6154" s="262">
        <v>184000</v>
      </c>
      <c r="S6154" t="s">
        <v>114</v>
      </c>
      <c r="T6154" t="s">
        <v>114</v>
      </c>
      <c r="V6154">
        <v>0</v>
      </c>
      <c r="W6154">
        <v>1406</v>
      </c>
      <c r="X6154">
        <v>0</v>
      </c>
      <c r="AC6154">
        <v>1406</v>
      </c>
      <c r="AU6154">
        <f t="shared" si="190"/>
        <v>0</v>
      </c>
      <c r="AV6154">
        <f t="shared" si="191"/>
        <v>0</v>
      </c>
    </row>
    <row r="6155" spans="1:48" x14ac:dyDescent="0.25">
      <c r="A6155" t="s">
        <v>14406</v>
      </c>
      <c r="B6155" t="s">
        <v>14406</v>
      </c>
      <c r="C6155" t="s">
        <v>14407</v>
      </c>
      <c r="D6155" t="s">
        <v>14408</v>
      </c>
      <c r="E6155" t="s">
        <v>2310</v>
      </c>
      <c r="F6155">
        <v>8</v>
      </c>
      <c r="G6155">
        <v>8.3000000000000007</v>
      </c>
      <c r="H6155" t="s">
        <v>2323</v>
      </c>
      <c r="I6155" s="21">
        <v>43769.623510381898</v>
      </c>
      <c r="J6155">
        <v>2019</v>
      </c>
      <c r="K6155" s="21">
        <v>43907.382554826399</v>
      </c>
      <c r="L6155">
        <v>2020</v>
      </c>
      <c r="Q6155" s="262">
        <v>1200000</v>
      </c>
      <c r="R6155" s="262">
        <v>602000</v>
      </c>
      <c r="S6155" t="s">
        <v>114</v>
      </c>
      <c r="T6155" t="s">
        <v>114</v>
      </c>
      <c r="V6155">
        <v>0</v>
      </c>
      <c r="W6155">
        <v>4762</v>
      </c>
      <c r="X6155">
        <v>1</v>
      </c>
      <c r="AC6155">
        <v>4762</v>
      </c>
      <c r="AO6155">
        <v>1</v>
      </c>
      <c r="AU6155">
        <f t="shared" si="190"/>
        <v>1</v>
      </c>
      <c r="AV6155">
        <f t="shared" si="191"/>
        <v>0</v>
      </c>
    </row>
    <row r="6156" spans="1:48" x14ac:dyDescent="0.25">
      <c r="A6156" t="s">
        <v>19367</v>
      </c>
      <c r="B6156" t="s">
        <v>19367</v>
      </c>
      <c r="C6156" t="s">
        <v>19368</v>
      </c>
      <c r="D6156" t="s">
        <v>19369</v>
      </c>
      <c r="E6156" t="s">
        <v>2310</v>
      </c>
      <c r="F6156">
        <v>8</v>
      </c>
      <c r="G6156">
        <v>8.1999999999999993</v>
      </c>
      <c r="H6156" t="s">
        <v>2022</v>
      </c>
      <c r="I6156" s="21">
        <v>43774.458852233794</v>
      </c>
      <c r="J6156">
        <v>2019</v>
      </c>
      <c r="K6156" s="21">
        <v>43921.626685497686</v>
      </c>
      <c r="L6156">
        <v>2020</v>
      </c>
      <c r="M6156" s="21">
        <v>43998.429852893518</v>
      </c>
      <c r="N6156">
        <v>2020</v>
      </c>
      <c r="Q6156" s="262">
        <v>374081</v>
      </c>
      <c r="R6156" s="262">
        <v>121000</v>
      </c>
      <c r="S6156" t="s">
        <v>13254</v>
      </c>
      <c r="V6156">
        <v>0</v>
      </c>
      <c r="W6156">
        <v>2700</v>
      </c>
      <c r="X6156">
        <v>0</v>
      </c>
      <c r="AM6156">
        <v>2700</v>
      </c>
      <c r="AU6156">
        <f t="shared" si="190"/>
        <v>0</v>
      </c>
      <c r="AV6156">
        <f t="shared" si="191"/>
        <v>2700</v>
      </c>
    </row>
    <row r="6157" spans="1:48" x14ac:dyDescent="0.25">
      <c r="A6157" t="s">
        <v>19500</v>
      </c>
      <c r="B6157" t="s">
        <v>19500</v>
      </c>
      <c r="C6157" t="s">
        <v>19501</v>
      </c>
      <c r="D6157" t="s">
        <v>15686</v>
      </c>
      <c r="E6157" t="s">
        <v>2310</v>
      </c>
      <c r="F6157">
        <v>8</v>
      </c>
      <c r="G6157">
        <v>8.1999999999999993</v>
      </c>
      <c r="H6157" t="s">
        <v>2022</v>
      </c>
      <c r="I6157" s="21">
        <v>43774.617605636573</v>
      </c>
      <c r="J6157">
        <v>2019</v>
      </c>
      <c r="K6157" s="21">
        <v>43977.690186956017</v>
      </c>
      <c r="L6157">
        <v>2020</v>
      </c>
      <c r="M6157" s="21">
        <v>44068.398933993056</v>
      </c>
      <c r="N6157">
        <v>2020</v>
      </c>
      <c r="Q6157" s="262">
        <v>500000</v>
      </c>
      <c r="R6157" s="262">
        <v>152000</v>
      </c>
      <c r="S6157" t="s">
        <v>13254</v>
      </c>
      <c r="V6157">
        <v>0</v>
      </c>
      <c r="W6157">
        <v>1716</v>
      </c>
      <c r="X6157">
        <v>1</v>
      </c>
      <c r="AC6157">
        <v>728</v>
      </c>
      <c r="AF6157">
        <v>988</v>
      </c>
      <c r="AR6157">
        <v>1</v>
      </c>
      <c r="AU6157">
        <f t="shared" si="190"/>
        <v>0</v>
      </c>
      <c r="AV6157">
        <f t="shared" si="191"/>
        <v>0</v>
      </c>
    </row>
    <row r="6158" spans="1:48" x14ac:dyDescent="0.25">
      <c r="A6158" t="s">
        <v>14409</v>
      </c>
      <c r="C6158" t="s">
        <v>11237</v>
      </c>
      <c r="D6158" t="s">
        <v>14410</v>
      </c>
      <c r="E6158" t="s">
        <v>1663</v>
      </c>
      <c r="F6158">
        <v>3</v>
      </c>
      <c r="G6158">
        <v>3.4</v>
      </c>
      <c r="H6158" t="s">
        <v>2017</v>
      </c>
      <c r="I6158" s="21">
        <v>43776</v>
      </c>
      <c r="J6158">
        <v>2019</v>
      </c>
      <c r="K6158" s="21">
        <v>43777</v>
      </c>
      <c r="L6158">
        <v>2019</v>
      </c>
      <c r="M6158" s="21">
        <v>43928</v>
      </c>
      <c r="N6158">
        <v>2020</v>
      </c>
      <c r="Q6158" s="262">
        <v>50000</v>
      </c>
      <c r="S6158" t="s">
        <v>114</v>
      </c>
      <c r="T6158" t="s">
        <v>114</v>
      </c>
      <c r="V6158">
        <v>0</v>
      </c>
      <c r="W6158">
        <v>0</v>
      </c>
      <c r="X6158">
        <v>0</v>
      </c>
      <c r="AU6158">
        <f t="shared" si="190"/>
        <v>0</v>
      </c>
      <c r="AV6158">
        <f t="shared" si="191"/>
        <v>0</v>
      </c>
    </row>
    <row r="6159" spans="1:48" x14ac:dyDescent="0.25">
      <c r="A6159" t="s">
        <v>14411</v>
      </c>
      <c r="C6159" t="s">
        <v>14412</v>
      </c>
      <c r="D6159" t="s">
        <v>13895</v>
      </c>
      <c r="E6159" t="s">
        <v>1663</v>
      </c>
      <c r="F6159">
        <v>3</v>
      </c>
      <c r="G6159">
        <v>3.3</v>
      </c>
      <c r="H6159" t="s">
        <v>2017</v>
      </c>
      <c r="I6159" s="21">
        <v>43776</v>
      </c>
      <c r="J6159">
        <v>2019</v>
      </c>
      <c r="K6159" s="21">
        <v>43846</v>
      </c>
      <c r="L6159">
        <v>2020</v>
      </c>
      <c r="M6159" s="21">
        <v>44097</v>
      </c>
      <c r="N6159">
        <v>2020</v>
      </c>
      <c r="Q6159" s="262">
        <v>0</v>
      </c>
      <c r="S6159" t="s">
        <v>114</v>
      </c>
      <c r="T6159" t="s">
        <v>114</v>
      </c>
      <c r="V6159">
        <v>0</v>
      </c>
      <c r="W6159">
        <v>0</v>
      </c>
      <c r="X6159">
        <v>0</v>
      </c>
      <c r="AU6159">
        <f t="shared" si="190"/>
        <v>0</v>
      </c>
      <c r="AV6159">
        <f t="shared" si="191"/>
        <v>0</v>
      </c>
    </row>
    <row r="6160" spans="1:48" x14ac:dyDescent="0.25">
      <c r="A6160" t="s">
        <v>19945</v>
      </c>
      <c r="C6160" t="s">
        <v>11246</v>
      </c>
      <c r="D6160" t="s">
        <v>13591</v>
      </c>
      <c r="E6160" t="s">
        <v>1663</v>
      </c>
      <c r="F6160">
        <v>6</v>
      </c>
      <c r="G6160">
        <v>6.1</v>
      </c>
      <c r="H6160" t="s">
        <v>2017</v>
      </c>
      <c r="I6160" s="21">
        <v>43787</v>
      </c>
      <c r="J6160">
        <v>2019</v>
      </c>
      <c r="K6160" s="21">
        <v>43859</v>
      </c>
      <c r="L6160">
        <v>2020</v>
      </c>
      <c r="M6160" s="21">
        <v>44425</v>
      </c>
      <c r="N6160">
        <v>2021</v>
      </c>
      <c r="Q6160" s="262">
        <v>1400000</v>
      </c>
      <c r="S6160" t="s">
        <v>13254</v>
      </c>
      <c r="U6160">
        <v>5</v>
      </c>
      <c r="V6160">
        <v>0</v>
      </c>
      <c r="W6160">
        <v>4940</v>
      </c>
      <c r="X6160">
        <v>1</v>
      </c>
      <c r="AC6160">
        <v>4940</v>
      </c>
      <c r="AO6160">
        <v>1</v>
      </c>
      <c r="AU6160">
        <f t="shared" si="190"/>
        <v>1</v>
      </c>
      <c r="AV6160">
        <f t="shared" si="191"/>
        <v>0</v>
      </c>
    </row>
    <row r="6161" spans="1:48" x14ac:dyDescent="0.25">
      <c r="A6161" t="s">
        <v>18464</v>
      </c>
      <c r="B6161" t="s">
        <v>18464</v>
      </c>
      <c r="C6161" t="s">
        <v>18465</v>
      </c>
      <c r="D6161" t="s">
        <v>5341</v>
      </c>
      <c r="E6161" t="s">
        <v>2310</v>
      </c>
      <c r="F6161">
        <v>8</v>
      </c>
      <c r="G6161">
        <v>8.1999999999999993</v>
      </c>
      <c r="H6161" t="s">
        <v>2022</v>
      </c>
      <c r="I6161" s="21">
        <v>43787.623592013886</v>
      </c>
      <c r="J6161">
        <v>2019</v>
      </c>
      <c r="K6161" s="21">
        <v>43818.489202928242</v>
      </c>
      <c r="L6161">
        <v>2019</v>
      </c>
      <c r="M6161" s="21">
        <v>44047.405009837959</v>
      </c>
      <c r="N6161">
        <v>2020</v>
      </c>
      <c r="Q6161" s="262">
        <v>800000</v>
      </c>
      <c r="R6161" s="262">
        <v>97000</v>
      </c>
      <c r="S6161" t="s">
        <v>13253</v>
      </c>
      <c r="T6161">
        <v>5497</v>
      </c>
      <c r="V6161">
        <v>0</v>
      </c>
      <c r="W6161">
        <v>1200</v>
      </c>
      <c r="X6161">
        <v>0</v>
      </c>
      <c r="AC6161">
        <v>1200</v>
      </c>
      <c r="AU6161">
        <f t="shared" si="190"/>
        <v>0</v>
      </c>
      <c r="AV6161">
        <f t="shared" si="191"/>
        <v>0</v>
      </c>
    </row>
    <row r="6162" spans="1:48" x14ac:dyDescent="0.25">
      <c r="A6162" t="s">
        <v>14415</v>
      </c>
      <c r="C6162" t="s">
        <v>11879</v>
      </c>
      <c r="D6162" t="s">
        <v>14416</v>
      </c>
      <c r="E6162" t="s">
        <v>1663</v>
      </c>
      <c r="F6162">
        <v>2</v>
      </c>
      <c r="G6162">
        <v>2.6</v>
      </c>
      <c r="H6162" t="s">
        <v>2327</v>
      </c>
      <c r="I6162" s="21">
        <v>43788</v>
      </c>
      <c r="J6162">
        <v>2019</v>
      </c>
      <c r="K6162" s="21">
        <v>43803</v>
      </c>
      <c r="L6162">
        <v>2019</v>
      </c>
      <c r="M6162" s="21">
        <v>44126</v>
      </c>
      <c r="N6162">
        <v>2020</v>
      </c>
      <c r="Q6162" s="262">
        <v>150000</v>
      </c>
      <c r="S6162" t="s">
        <v>114</v>
      </c>
      <c r="T6162" t="s">
        <v>114</v>
      </c>
      <c r="V6162">
        <v>0</v>
      </c>
      <c r="W6162">
        <v>0</v>
      </c>
      <c r="X6162">
        <v>0</v>
      </c>
      <c r="AU6162">
        <f t="shared" si="190"/>
        <v>0</v>
      </c>
      <c r="AV6162">
        <f t="shared" si="191"/>
        <v>0</v>
      </c>
    </row>
    <row r="6163" spans="1:48" x14ac:dyDescent="0.25">
      <c r="A6163" t="s">
        <v>14413</v>
      </c>
      <c r="C6163" t="s">
        <v>14414</v>
      </c>
      <c r="D6163" t="s">
        <v>14141</v>
      </c>
      <c r="E6163" t="s">
        <v>1663</v>
      </c>
      <c r="F6163">
        <v>2</v>
      </c>
      <c r="G6163">
        <v>2.5</v>
      </c>
      <c r="H6163" t="s">
        <v>2327</v>
      </c>
      <c r="I6163" s="21">
        <v>43788</v>
      </c>
      <c r="J6163">
        <v>2019</v>
      </c>
      <c r="K6163" s="21">
        <v>43808</v>
      </c>
      <c r="L6163">
        <v>2019</v>
      </c>
      <c r="M6163" s="21">
        <v>43899</v>
      </c>
      <c r="N6163">
        <v>2020</v>
      </c>
      <c r="Q6163" s="262">
        <v>0</v>
      </c>
      <c r="S6163" t="s">
        <v>114</v>
      </c>
      <c r="T6163" t="s">
        <v>114</v>
      </c>
      <c r="V6163">
        <v>0</v>
      </c>
      <c r="W6163">
        <v>0</v>
      </c>
      <c r="X6163">
        <v>0</v>
      </c>
      <c r="AU6163">
        <f t="shared" si="190"/>
        <v>0</v>
      </c>
      <c r="AV6163">
        <f t="shared" si="191"/>
        <v>0</v>
      </c>
    </row>
    <row r="6164" spans="1:48" x14ac:dyDescent="0.25">
      <c r="A6164" t="s">
        <v>14417</v>
      </c>
      <c r="C6164" t="s">
        <v>13100</v>
      </c>
      <c r="D6164" t="s">
        <v>14418</v>
      </c>
      <c r="E6164" t="s">
        <v>1663</v>
      </c>
      <c r="F6164">
        <v>4</v>
      </c>
      <c r="G6164">
        <v>4.3</v>
      </c>
      <c r="H6164" t="s">
        <v>2327</v>
      </c>
      <c r="I6164" s="21">
        <v>43795</v>
      </c>
      <c r="J6164">
        <v>2019</v>
      </c>
      <c r="K6164" s="21">
        <v>44057</v>
      </c>
      <c r="L6164">
        <v>2020</v>
      </c>
      <c r="M6164" s="21">
        <v>44116</v>
      </c>
      <c r="N6164">
        <v>2020</v>
      </c>
      <c r="Q6164" s="262">
        <v>39780.550000000003</v>
      </c>
      <c r="S6164" t="s">
        <v>114</v>
      </c>
      <c r="T6164" t="s">
        <v>114</v>
      </c>
      <c r="V6164">
        <v>0</v>
      </c>
      <c r="W6164">
        <v>0</v>
      </c>
      <c r="X6164">
        <v>0</v>
      </c>
      <c r="AU6164">
        <f t="shared" si="190"/>
        <v>0</v>
      </c>
      <c r="AV6164">
        <f t="shared" si="191"/>
        <v>0</v>
      </c>
    </row>
    <row r="6165" spans="1:48" x14ac:dyDescent="0.25">
      <c r="A6165" t="s">
        <v>2074</v>
      </c>
      <c r="C6165" t="s">
        <v>19933</v>
      </c>
      <c r="D6165" t="s">
        <v>4692</v>
      </c>
      <c r="E6165" t="s">
        <v>1663</v>
      </c>
      <c r="F6165">
        <v>2</v>
      </c>
      <c r="G6165">
        <v>2.2000000000000002</v>
      </c>
      <c r="H6165" t="s">
        <v>2327</v>
      </c>
      <c r="I6165" s="21">
        <v>43795</v>
      </c>
      <c r="J6165">
        <v>2019</v>
      </c>
      <c r="K6165" s="21">
        <v>43907</v>
      </c>
      <c r="L6165">
        <v>2020</v>
      </c>
      <c r="M6165" s="21">
        <v>44202</v>
      </c>
      <c r="N6165">
        <v>2021</v>
      </c>
      <c r="Q6165" s="262">
        <v>4700000</v>
      </c>
      <c r="S6165" t="s">
        <v>13253</v>
      </c>
      <c r="T6165">
        <v>11410</v>
      </c>
      <c r="U6165">
        <v>12</v>
      </c>
      <c r="V6165">
        <v>0</v>
      </c>
      <c r="W6165">
        <v>4003</v>
      </c>
      <c r="X6165">
        <v>0</v>
      </c>
      <c r="AH6165">
        <v>-6900</v>
      </c>
      <c r="AJ6165">
        <v>10903</v>
      </c>
      <c r="AU6165">
        <f t="shared" si="190"/>
        <v>0</v>
      </c>
      <c r="AV6165">
        <f t="shared" si="191"/>
        <v>4003</v>
      </c>
    </row>
    <row r="6166" spans="1:48" x14ac:dyDescent="0.25">
      <c r="A6166" t="s">
        <v>14419</v>
      </c>
      <c r="C6166" t="s">
        <v>11879</v>
      </c>
      <c r="D6166" t="s">
        <v>5757</v>
      </c>
      <c r="E6166" t="s">
        <v>1663</v>
      </c>
      <c r="F6166">
        <v>2</v>
      </c>
      <c r="G6166">
        <v>2.2999999999999998</v>
      </c>
      <c r="H6166" t="s">
        <v>2327</v>
      </c>
      <c r="I6166" s="21">
        <v>43803</v>
      </c>
      <c r="J6166">
        <v>2019</v>
      </c>
      <c r="K6166" s="21">
        <v>43829</v>
      </c>
      <c r="L6166">
        <v>2019</v>
      </c>
      <c r="P6166" s="21">
        <v>44130</v>
      </c>
      <c r="Q6166" s="262">
        <v>30000</v>
      </c>
      <c r="S6166" t="s">
        <v>114</v>
      </c>
      <c r="T6166" t="s">
        <v>114</v>
      </c>
      <c r="V6166">
        <v>0</v>
      </c>
      <c r="W6166">
        <v>0</v>
      </c>
      <c r="X6166">
        <v>0</v>
      </c>
      <c r="AU6166">
        <f t="shared" si="190"/>
        <v>0</v>
      </c>
      <c r="AV6166">
        <f t="shared" si="191"/>
        <v>0</v>
      </c>
    </row>
    <row r="6167" spans="1:48" x14ac:dyDescent="0.25">
      <c r="A6167" t="s">
        <v>14420</v>
      </c>
      <c r="B6167" t="s">
        <v>14420</v>
      </c>
      <c r="C6167" t="s">
        <v>14421</v>
      </c>
      <c r="D6167" t="s">
        <v>14422</v>
      </c>
      <c r="E6167" t="s">
        <v>2310</v>
      </c>
      <c r="F6167">
        <v>10</v>
      </c>
      <c r="G6167">
        <v>10.199999999999999</v>
      </c>
      <c r="H6167" t="s">
        <v>2022</v>
      </c>
      <c r="I6167" s="21">
        <v>43803.375101273101</v>
      </c>
      <c r="J6167">
        <v>2019</v>
      </c>
      <c r="K6167" s="21">
        <v>43819.549280821797</v>
      </c>
      <c r="L6167">
        <v>2019</v>
      </c>
      <c r="M6167" s="21">
        <v>43847.367050960602</v>
      </c>
      <c r="N6167">
        <v>2020</v>
      </c>
      <c r="Q6167" s="262">
        <v>7000</v>
      </c>
      <c r="R6167" s="262">
        <v>20000</v>
      </c>
      <c r="S6167" t="s">
        <v>114</v>
      </c>
      <c r="T6167" t="s">
        <v>114</v>
      </c>
      <c r="V6167">
        <v>0</v>
      </c>
      <c r="W6167">
        <v>0</v>
      </c>
      <c r="X6167">
        <v>0</v>
      </c>
      <c r="AU6167">
        <f t="shared" si="190"/>
        <v>0</v>
      </c>
      <c r="AV6167">
        <f t="shared" si="191"/>
        <v>0</v>
      </c>
    </row>
    <row r="6168" spans="1:48" x14ac:dyDescent="0.25">
      <c r="A6168" t="s">
        <v>20124</v>
      </c>
      <c r="B6168" t="s">
        <v>20124</v>
      </c>
      <c r="C6168" t="s">
        <v>20125</v>
      </c>
      <c r="D6168" t="s">
        <v>9827</v>
      </c>
      <c r="E6168" t="s">
        <v>2310</v>
      </c>
      <c r="F6168">
        <v>13</v>
      </c>
      <c r="G6168">
        <v>13.2</v>
      </c>
      <c r="H6168" t="s">
        <v>2327</v>
      </c>
      <c r="I6168" s="21">
        <v>43804.563830474501</v>
      </c>
      <c r="J6168">
        <v>2019</v>
      </c>
      <c r="K6168" s="21">
        <v>44027.454950034698</v>
      </c>
      <c r="L6168">
        <v>2020</v>
      </c>
      <c r="M6168" s="21">
        <v>44438</v>
      </c>
      <c r="N6168">
        <v>2021</v>
      </c>
      <c r="Q6168" s="262">
        <v>2250000</v>
      </c>
      <c r="R6168" s="262">
        <v>323000</v>
      </c>
      <c r="S6168" t="s">
        <v>13253</v>
      </c>
      <c r="T6168">
        <v>8410</v>
      </c>
      <c r="U6168">
        <v>5</v>
      </c>
      <c r="V6168">
        <v>0</v>
      </c>
      <c r="W6168">
        <v>787</v>
      </c>
      <c r="X6168">
        <v>0</v>
      </c>
      <c r="AC6168">
        <v>787</v>
      </c>
      <c r="AU6168">
        <f t="shared" si="190"/>
        <v>0</v>
      </c>
      <c r="AV6168">
        <f t="shared" si="191"/>
        <v>0</v>
      </c>
    </row>
    <row r="6169" spans="1:48" x14ac:dyDescent="0.25">
      <c r="A6169" t="s">
        <v>14423</v>
      </c>
      <c r="C6169" t="s">
        <v>11879</v>
      </c>
      <c r="D6169" t="s">
        <v>14048</v>
      </c>
      <c r="E6169" t="s">
        <v>1663</v>
      </c>
      <c r="F6169">
        <v>4</v>
      </c>
      <c r="G6169">
        <v>4.3</v>
      </c>
      <c r="H6169" t="s">
        <v>2327</v>
      </c>
      <c r="I6169" s="21">
        <v>43808</v>
      </c>
      <c r="J6169">
        <v>2019</v>
      </c>
      <c r="K6169" s="21">
        <v>43836</v>
      </c>
      <c r="L6169">
        <v>2020</v>
      </c>
      <c r="M6169" s="21">
        <v>44053</v>
      </c>
      <c r="N6169">
        <v>2020</v>
      </c>
      <c r="Q6169" s="262">
        <v>75000</v>
      </c>
      <c r="S6169" t="s">
        <v>114</v>
      </c>
      <c r="T6169" t="s">
        <v>114</v>
      </c>
      <c r="V6169">
        <v>0</v>
      </c>
      <c r="W6169">
        <v>0</v>
      </c>
      <c r="X6169">
        <v>0</v>
      </c>
      <c r="AU6169">
        <f t="shared" ref="AU6169:AU6232" si="192">SUM(AN6169:AQ6169,AS6169)</f>
        <v>0</v>
      </c>
      <c r="AV6169">
        <f t="shared" ref="AV6169:AV6232" si="193">SUM(Y6169:AB6169,AH6169:AM6169)</f>
        <v>0</v>
      </c>
    </row>
    <row r="6170" spans="1:48" x14ac:dyDescent="0.25">
      <c r="A6170" t="s">
        <v>14424</v>
      </c>
      <c r="C6170" t="s">
        <v>11237</v>
      </c>
      <c r="D6170" t="s">
        <v>14425</v>
      </c>
      <c r="E6170" t="s">
        <v>1663</v>
      </c>
      <c r="F6170">
        <v>1</v>
      </c>
      <c r="G6170">
        <v>1.1000000000000001</v>
      </c>
      <c r="H6170" t="s">
        <v>2017</v>
      </c>
      <c r="I6170" s="21">
        <v>43808</v>
      </c>
      <c r="J6170">
        <v>2019</v>
      </c>
      <c r="K6170" s="21">
        <v>43819</v>
      </c>
      <c r="L6170">
        <v>2019</v>
      </c>
      <c r="M6170" s="21">
        <v>43994</v>
      </c>
      <c r="N6170">
        <v>2020</v>
      </c>
      <c r="Q6170" s="262">
        <v>10000</v>
      </c>
      <c r="S6170" t="s">
        <v>114</v>
      </c>
      <c r="T6170" t="s">
        <v>114</v>
      </c>
      <c r="V6170">
        <v>0</v>
      </c>
      <c r="W6170">
        <v>0</v>
      </c>
      <c r="X6170">
        <v>0</v>
      </c>
      <c r="AU6170">
        <f t="shared" si="192"/>
        <v>0</v>
      </c>
      <c r="AV6170">
        <f t="shared" si="193"/>
        <v>0</v>
      </c>
    </row>
    <row r="6171" spans="1:48" x14ac:dyDescent="0.25">
      <c r="A6171" t="s">
        <v>14426</v>
      </c>
      <c r="C6171" t="s">
        <v>14427</v>
      </c>
      <c r="D6171" t="s">
        <v>14428</v>
      </c>
      <c r="E6171" t="s">
        <v>1663</v>
      </c>
      <c r="F6171">
        <v>3</v>
      </c>
      <c r="G6171">
        <v>3.4</v>
      </c>
      <c r="H6171" t="s">
        <v>2017</v>
      </c>
      <c r="I6171" s="21">
        <v>43809</v>
      </c>
      <c r="J6171">
        <v>2019</v>
      </c>
      <c r="K6171" s="21">
        <v>43812</v>
      </c>
      <c r="L6171">
        <v>2019</v>
      </c>
      <c r="M6171" s="21">
        <v>43917</v>
      </c>
      <c r="N6171">
        <v>2020</v>
      </c>
      <c r="Q6171" s="262">
        <v>12000</v>
      </c>
      <c r="S6171" t="s">
        <v>114</v>
      </c>
      <c r="T6171" t="s">
        <v>114</v>
      </c>
      <c r="V6171">
        <v>0</v>
      </c>
      <c r="W6171">
        <v>0</v>
      </c>
      <c r="X6171">
        <v>0</v>
      </c>
      <c r="AU6171">
        <f t="shared" si="192"/>
        <v>0</v>
      </c>
      <c r="AV6171">
        <f t="shared" si="193"/>
        <v>0</v>
      </c>
    </row>
    <row r="6172" spans="1:48" x14ac:dyDescent="0.25">
      <c r="A6172" t="s">
        <v>14429</v>
      </c>
      <c r="B6172" t="s">
        <v>14429</v>
      </c>
      <c r="C6172" t="s">
        <v>14430</v>
      </c>
      <c r="D6172" t="s">
        <v>8113</v>
      </c>
      <c r="E6172" t="s">
        <v>2310</v>
      </c>
      <c r="F6172">
        <v>8</v>
      </c>
      <c r="G6172">
        <v>8.1999999999999993</v>
      </c>
      <c r="H6172" t="s">
        <v>2022</v>
      </c>
      <c r="I6172" s="21">
        <v>43810.520214930599</v>
      </c>
      <c r="J6172">
        <v>2019</v>
      </c>
      <c r="K6172" s="21">
        <v>43837.473846099499</v>
      </c>
      <c r="L6172">
        <v>2020</v>
      </c>
      <c r="M6172" s="21">
        <v>44522</v>
      </c>
      <c r="N6172">
        <v>2021</v>
      </c>
      <c r="Q6172" s="262">
        <v>1279400</v>
      </c>
      <c r="R6172" s="262">
        <v>112000</v>
      </c>
      <c r="S6172" t="s">
        <v>114</v>
      </c>
      <c r="T6172" t="s">
        <v>114</v>
      </c>
      <c r="V6172">
        <v>0</v>
      </c>
      <c r="W6172">
        <v>0</v>
      </c>
      <c r="X6172">
        <v>0</v>
      </c>
      <c r="AU6172">
        <f t="shared" si="192"/>
        <v>0</v>
      </c>
      <c r="AV6172">
        <f t="shared" si="193"/>
        <v>0</v>
      </c>
    </row>
    <row r="6173" spans="1:48" x14ac:dyDescent="0.25">
      <c r="A6173" t="s">
        <v>14431</v>
      </c>
      <c r="C6173" t="s">
        <v>14432</v>
      </c>
      <c r="D6173" t="s">
        <v>14433</v>
      </c>
      <c r="E6173" t="s">
        <v>1663</v>
      </c>
      <c r="F6173">
        <v>5</v>
      </c>
      <c r="G6173">
        <v>5.0999999999999996</v>
      </c>
      <c r="H6173" t="s">
        <v>2327</v>
      </c>
      <c r="I6173" s="21">
        <v>43812</v>
      </c>
      <c r="J6173">
        <v>2019</v>
      </c>
      <c r="K6173" s="21">
        <v>43819</v>
      </c>
      <c r="L6173">
        <v>2019</v>
      </c>
      <c r="M6173" s="21">
        <v>43902</v>
      </c>
      <c r="N6173">
        <v>2020</v>
      </c>
      <c r="Q6173" s="262">
        <v>6000</v>
      </c>
      <c r="S6173" t="s">
        <v>114</v>
      </c>
      <c r="T6173" t="s">
        <v>114</v>
      </c>
      <c r="V6173">
        <v>0</v>
      </c>
      <c r="W6173">
        <v>0</v>
      </c>
      <c r="X6173">
        <v>0</v>
      </c>
      <c r="AU6173">
        <f t="shared" si="192"/>
        <v>0</v>
      </c>
      <c r="AV6173">
        <f t="shared" si="193"/>
        <v>0</v>
      </c>
    </row>
    <row r="6174" spans="1:48" x14ac:dyDescent="0.25">
      <c r="A6174" t="s">
        <v>14434</v>
      </c>
      <c r="B6174" t="s">
        <v>14434</v>
      </c>
      <c r="C6174" t="s">
        <v>14435</v>
      </c>
      <c r="D6174" t="s">
        <v>14436</v>
      </c>
      <c r="E6174" t="s">
        <v>2310</v>
      </c>
      <c r="F6174">
        <v>8</v>
      </c>
      <c r="G6174">
        <v>8.1</v>
      </c>
      <c r="H6174" t="s">
        <v>2323</v>
      </c>
      <c r="I6174" s="21">
        <v>43816.5214956829</v>
      </c>
      <c r="J6174">
        <v>2019</v>
      </c>
      <c r="K6174" s="21">
        <v>43924.593225266202</v>
      </c>
      <c r="L6174">
        <v>2020</v>
      </c>
      <c r="Q6174" s="262">
        <v>1355224</v>
      </c>
      <c r="R6174" s="262">
        <v>118000</v>
      </c>
      <c r="S6174" t="s">
        <v>114</v>
      </c>
      <c r="T6174" t="s">
        <v>114</v>
      </c>
      <c r="V6174">
        <v>0</v>
      </c>
      <c r="W6174">
        <v>991</v>
      </c>
      <c r="X6174">
        <v>1</v>
      </c>
      <c r="AF6174">
        <v>991</v>
      </c>
      <c r="AR6174">
        <v>1</v>
      </c>
      <c r="AU6174">
        <f t="shared" si="192"/>
        <v>0</v>
      </c>
      <c r="AV6174">
        <f t="shared" si="193"/>
        <v>0</v>
      </c>
    </row>
    <row r="6175" spans="1:48" x14ac:dyDescent="0.25">
      <c r="A6175" t="s">
        <v>19957</v>
      </c>
      <c r="C6175" t="s">
        <v>12955</v>
      </c>
      <c r="D6175" t="s">
        <v>19958</v>
      </c>
      <c r="E6175" t="s">
        <v>1663</v>
      </c>
      <c r="F6175">
        <v>3</v>
      </c>
      <c r="G6175">
        <v>3.1</v>
      </c>
      <c r="H6175" t="s">
        <v>2017</v>
      </c>
      <c r="I6175" s="21">
        <v>43817</v>
      </c>
      <c r="J6175">
        <v>2019</v>
      </c>
      <c r="K6175" s="21">
        <v>43978</v>
      </c>
      <c r="L6175">
        <v>2020</v>
      </c>
      <c r="M6175" s="21">
        <v>44511</v>
      </c>
      <c r="N6175">
        <v>2021</v>
      </c>
      <c r="Q6175" s="262">
        <v>23400</v>
      </c>
      <c r="S6175" t="s">
        <v>13253</v>
      </c>
      <c r="T6175">
        <v>10490</v>
      </c>
      <c r="U6175">
        <v>5</v>
      </c>
      <c r="V6175">
        <v>0</v>
      </c>
      <c r="W6175">
        <v>115</v>
      </c>
      <c r="X6175">
        <v>0</v>
      </c>
      <c r="AC6175">
        <v>115</v>
      </c>
      <c r="AU6175">
        <f t="shared" si="192"/>
        <v>0</v>
      </c>
      <c r="AV6175">
        <f t="shared" si="193"/>
        <v>0</v>
      </c>
    </row>
    <row r="6176" spans="1:48" x14ac:dyDescent="0.25">
      <c r="A6176" t="s">
        <v>14437</v>
      </c>
      <c r="B6176" t="s">
        <v>14437</v>
      </c>
      <c r="C6176" t="s">
        <v>14438</v>
      </c>
      <c r="D6176" t="s">
        <v>14439</v>
      </c>
      <c r="E6176" t="s">
        <v>2310</v>
      </c>
      <c r="F6176">
        <v>8</v>
      </c>
      <c r="G6176">
        <v>8.3000000000000007</v>
      </c>
      <c r="H6176" t="s">
        <v>2323</v>
      </c>
      <c r="I6176" s="21">
        <v>43818.360855706</v>
      </c>
      <c r="J6176">
        <v>2019</v>
      </c>
      <c r="K6176" s="21">
        <v>43992.372386574098</v>
      </c>
      <c r="L6176">
        <v>2020</v>
      </c>
      <c r="Q6176" s="262">
        <v>1300000</v>
      </c>
      <c r="R6176" s="262">
        <v>831000</v>
      </c>
      <c r="S6176" t="s">
        <v>114</v>
      </c>
      <c r="T6176" t="s">
        <v>114</v>
      </c>
      <c r="V6176">
        <v>0</v>
      </c>
      <c r="W6176">
        <v>2834</v>
      </c>
      <c r="X6176">
        <v>1</v>
      </c>
      <c r="AC6176">
        <v>2834</v>
      </c>
      <c r="AO6176">
        <v>1</v>
      </c>
      <c r="AU6176">
        <f t="shared" si="192"/>
        <v>1</v>
      </c>
      <c r="AV6176">
        <f t="shared" si="193"/>
        <v>0</v>
      </c>
    </row>
    <row r="6177" spans="1:48" x14ac:dyDescent="0.25">
      <c r="A6177" t="s">
        <v>19779</v>
      </c>
      <c r="B6177" t="s">
        <v>19779</v>
      </c>
      <c r="C6177" t="s">
        <v>19780</v>
      </c>
      <c r="D6177" t="s">
        <v>6188</v>
      </c>
      <c r="E6177" t="s">
        <v>2310</v>
      </c>
      <c r="F6177">
        <v>10</v>
      </c>
      <c r="G6177">
        <v>10.1</v>
      </c>
      <c r="H6177" t="s">
        <v>2323</v>
      </c>
      <c r="I6177" s="21">
        <v>43818.547421909701</v>
      </c>
      <c r="J6177">
        <v>2019</v>
      </c>
      <c r="K6177" s="21">
        <v>43986.464854016202</v>
      </c>
      <c r="L6177">
        <v>2020</v>
      </c>
      <c r="M6177" s="21">
        <v>44358</v>
      </c>
      <c r="N6177">
        <v>2021</v>
      </c>
      <c r="Q6177" s="262">
        <v>1200000</v>
      </c>
      <c r="R6177" s="262">
        <v>357000</v>
      </c>
      <c r="S6177" t="s">
        <v>13253</v>
      </c>
      <c r="T6177">
        <v>1456</v>
      </c>
      <c r="U6177">
        <v>5</v>
      </c>
      <c r="V6177">
        <v>0</v>
      </c>
      <c r="W6177">
        <v>1204</v>
      </c>
      <c r="X6177">
        <v>0</v>
      </c>
      <c r="AC6177">
        <v>1204</v>
      </c>
      <c r="AU6177">
        <f t="shared" si="192"/>
        <v>0</v>
      </c>
      <c r="AV6177">
        <f t="shared" si="193"/>
        <v>0</v>
      </c>
    </row>
    <row r="6178" spans="1:48" x14ac:dyDescent="0.25">
      <c r="A6178" t="s">
        <v>19605</v>
      </c>
      <c r="B6178" t="s">
        <v>19605</v>
      </c>
      <c r="C6178" t="s">
        <v>19606</v>
      </c>
      <c r="D6178" t="s">
        <v>9319</v>
      </c>
      <c r="E6178" t="s">
        <v>2310</v>
      </c>
      <c r="F6178">
        <v>11</v>
      </c>
      <c r="G6178">
        <v>11.4</v>
      </c>
      <c r="H6178" t="s">
        <v>2017</v>
      </c>
      <c r="I6178" s="21">
        <v>43818.646145520834</v>
      </c>
      <c r="J6178">
        <v>2019</v>
      </c>
      <c r="K6178" s="21">
        <v>43908.590088078701</v>
      </c>
      <c r="L6178">
        <v>2020</v>
      </c>
      <c r="M6178" s="21">
        <v>44166.595041435183</v>
      </c>
      <c r="N6178">
        <v>2020</v>
      </c>
      <c r="Q6178" s="262">
        <v>925000</v>
      </c>
      <c r="R6178" s="262">
        <v>128000</v>
      </c>
      <c r="S6178" t="s">
        <v>13254</v>
      </c>
      <c r="V6178">
        <v>0</v>
      </c>
      <c r="W6178">
        <v>2988</v>
      </c>
      <c r="X6178">
        <v>0</v>
      </c>
      <c r="AM6178">
        <v>2988</v>
      </c>
      <c r="AU6178">
        <f t="shared" si="192"/>
        <v>0</v>
      </c>
      <c r="AV6178">
        <f t="shared" si="193"/>
        <v>2988</v>
      </c>
    </row>
    <row r="6179" spans="1:48" x14ac:dyDescent="0.25">
      <c r="A6179" t="s">
        <v>14440</v>
      </c>
      <c r="B6179" t="s">
        <v>14440</v>
      </c>
      <c r="C6179" t="s">
        <v>14441</v>
      </c>
      <c r="D6179" t="s">
        <v>9319</v>
      </c>
      <c r="E6179" t="s">
        <v>2310</v>
      </c>
      <c r="F6179">
        <v>11</v>
      </c>
      <c r="G6179">
        <v>11.4</v>
      </c>
      <c r="H6179" t="s">
        <v>2017</v>
      </c>
      <c r="I6179" s="21">
        <v>43818.665469756903</v>
      </c>
      <c r="J6179">
        <v>2019</v>
      </c>
      <c r="K6179" s="21">
        <v>43908.590981516201</v>
      </c>
      <c r="L6179">
        <v>2020</v>
      </c>
      <c r="M6179" s="21">
        <v>44166.597210682899</v>
      </c>
      <c r="N6179">
        <v>2020</v>
      </c>
      <c r="Q6179" s="262">
        <v>925000</v>
      </c>
      <c r="R6179" s="262">
        <v>15000</v>
      </c>
      <c r="S6179" t="s">
        <v>114</v>
      </c>
      <c r="T6179" t="s">
        <v>114</v>
      </c>
      <c r="V6179">
        <v>0</v>
      </c>
      <c r="W6179">
        <v>0</v>
      </c>
      <c r="X6179">
        <v>0</v>
      </c>
      <c r="AU6179">
        <f t="shared" si="192"/>
        <v>0</v>
      </c>
      <c r="AV6179">
        <f t="shared" si="193"/>
        <v>0</v>
      </c>
    </row>
    <row r="6180" spans="1:48" x14ac:dyDescent="0.25">
      <c r="A6180" t="s">
        <v>19607</v>
      </c>
      <c r="B6180" t="s">
        <v>19607</v>
      </c>
      <c r="C6180" t="s">
        <v>19608</v>
      </c>
      <c r="D6180" t="s">
        <v>9319</v>
      </c>
      <c r="E6180" t="s">
        <v>2310</v>
      </c>
      <c r="F6180">
        <v>11</v>
      </c>
      <c r="G6180">
        <v>11.4</v>
      </c>
      <c r="H6180" t="s">
        <v>2017</v>
      </c>
      <c r="I6180" s="21">
        <v>43818.665503819444</v>
      </c>
      <c r="J6180">
        <v>2019</v>
      </c>
      <c r="K6180" s="21">
        <v>43908.596437731481</v>
      </c>
      <c r="L6180">
        <v>2020</v>
      </c>
      <c r="M6180" s="21">
        <v>44166.599948692128</v>
      </c>
      <c r="N6180">
        <v>2020</v>
      </c>
      <c r="Q6180" s="262">
        <v>925000</v>
      </c>
      <c r="R6180" s="262">
        <v>155000</v>
      </c>
      <c r="S6180" t="s">
        <v>13254</v>
      </c>
      <c r="V6180">
        <v>0</v>
      </c>
      <c r="W6180">
        <v>960</v>
      </c>
      <c r="X6180">
        <v>0</v>
      </c>
      <c r="AM6180">
        <v>960</v>
      </c>
      <c r="AU6180">
        <f t="shared" si="192"/>
        <v>0</v>
      </c>
      <c r="AV6180">
        <f t="shared" si="193"/>
        <v>960</v>
      </c>
    </row>
    <row r="6181" spans="1:48" x14ac:dyDescent="0.25">
      <c r="A6181" t="s">
        <v>14442</v>
      </c>
      <c r="C6181" t="s">
        <v>14443</v>
      </c>
      <c r="D6181" t="s">
        <v>14444</v>
      </c>
      <c r="E6181" t="s">
        <v>1663</v>
      </c>
      <c r="F6181">
        <v>6</v>
      </c>
      <c r="G6181">
        <v>6.1</v>
      </c>
      <c r="H6181" t="s">
        <v>2017</v>
      </c>
      <c r="I6181" s="21">
        <v>43819</v>
      </c>
      <c r="J6181">
        <v>2019</v>
      </c>
      <c r="K6181" s="21">
        <v>43837</v>
      </c>
      <c r="L6181">
        <v>2020</v>
      </c>
      <c r="M6181" s="21">
        <v>44511</v>
      </c>
      <c r="N6181">
        <v>2021</v>
      </c>
      <c r="Q6181" s="262">
        <v>15000</v>
      </c>
      <c r="S6181" t="s">
        <v>114</v>
      </c>
      <c r="T6181" t="s">
        <v>114</v>
      </c>
      <c r="V6181">
        <v>0</v>
      </c>
      <c r="W6181">
        <v>0</v>
      </c>
      <c r="X6181">
        <v>0</v>
      </c>
      <c r="AU6181">
        <f t="shared" si="192"/>
        <v>0</v>
      </c>
      <c r="AV6181">
        <f t="shared" si="193"/>
        <v>0</v>
      </c>
    </row>
    <row r="6182" spans="1:48" x14ac:dyDescent="0.25">
      <c r="A6182" t="s">
        <v>20014</v>
      </c>
      <c r="B6182" t="s">
        <v>20014</v>
      </c>
      <c r="C6182" t="s">
        <v>20015</v>
      </c>
      <c r="D6182" t="s">
        <v>17966</v>
      </c>
      <c r="E6182" t="s">
        <v>2310</v>
      </c>
      <c r="F6182">
        <v>9</v>
      </c>
      <c r="G6182">
        <v>9.1999999999999993</v>
      </c>
      <c r="H6182" t="s">
        <v>2022</v>
      </c>
      <c r="I6182" s="21">
        <v>43825.416294594899</v>
      </c>
      <c r="J6182">
        <v>2019</v>
      </c>
      <c r="K6182" s="21">
        <v>43853.592807523099</v>
      </c>
      <c r="L6182">
        <v>2020</v>
      </c>
      <c r="M6182" s="21">
        <v>44334</v>
      </c>
      <c r="N6182">
        <v>2021</v>
      </c>
      <c r="Q6182" s="262">
        <v>70000</v>
      </c>
      <c r="R6182" s="262">
        <v>9000</v>
      </c>
      <c r="S6182" t="s">
        <v>13253</v>
      </c>
      <c r="T6182">
        <v>4525</v>
      </c>
      <c r="U6182">
        <v>5</v>
      </c>
      <c r="V6182">
        <v>0</v>
      </c>
      <c r="W6182">
        <v>70</v>
      </c>
      <c r="X6182">
        <v>0</v>
      </c>
      <c r="AC6182">
        <v>70</v>
      </c>
      <c r="AU6182">
        <f t="shared" si="192"/>
        <v>0</v>
      </c>
      <c r="AV6182">
        <f t="shared" si="193"/>
        <v>0</v>
      </c>
    </row>
    <row r="6183" spans="1:48" x14ac:dyDescent="0.25">
      <c r="A6183" t="s">
        <v>14445</v>
      </c>
      <c r="C6183" t="s">
        <v>14446</v>
      </c>
      <c r="D6183" t="s">
        <v>14447</v>
      </c>
      <c r="E6183" t="s">
        <v>1663</v>
      </c>
      <c r="F6183">
        <v>3</v>
      </c>
      <c r="G6183">
        <v>3.1</v>
      </c>
      <c r="H6183" t="s">
        <v>2017</v>
      </c>
      <c r="I6183" s="21">
        <v>43830</v>
      </c>
      <c r="J6183">
        <v>2019</v>
      </c>
      <c r="K6183" s="21">
        <v>43851</v>
      </c>
      <c r="L6183">
        <v>2020</v>
      </c>
      <c r="M6183" s="21">
        <v>44511</v>
      </c>
      <c r="N6183">
        <v>2021</v>
      </c>
      <c r="Q6183" s="262">
        <v>15000</v>
      </c>
      <c r="S6183" t="s">
        <v>114</v>
      </c>
      <c r="T6183" t="s">
        <v>114</v>
      </c>
      <c r="V6183">
        <v>0</v>
      </c>
      <c r="W6183">
        <v>0</v>
      </c>
      <c r="X6183">
        <v>0</v>
      </c>
      <c r="AU6183">
        <f t="shared" si="192"/>
        <v>0</v>
      </c>
      <c r="AV6183">
        <f t="shared" si="193"/>
        <v>0</v>
      </c>
    </row>
    <row r="6184" spans="1:48" x14ac:dyDescent="0.25">
      <c r="A6184" t="s">
        <v>19988</v>
      </c>
      <c r="B6184" t="s">
        <v>19988</v>
      </c>
      <c r="C6184" t="s">
        <v>19989</v>
      </c>
      <c r="D6184" t="s">
        <v>19990</v>
      </c>
      <c r="E6184" t="s">
        <v>2310</v>
      </c>
      <c r="F6184">
        <v>9</v>
      </c>
      <c r="G6184">
        <v>9.3000000000000007</v>
      </c>
      <c r="H6184" t="s">
        <v>2323</v>
      </c>
      <c r="I6184" s="21">
        <v>43837.494330243098</v>
      </c>
      <c r="J6184">
        <v>2020</v>
      </c>
      <c r="K6184" s="21">
        <v>43880.671046875003</v>
      </c>
      <c r="L6184">
        <v>2020</v>
      </c>
      <c r="M6184" s="21">
        <v>44208</v>
      </c>
      <c r="N6184">
        <v>2021</v>
      </c>
      <c r="Q6184" s="262">
        <v>1000000</v>
      </c>
      <c r="R6184" s="262">
        <v>499000</v>
      </c>
      <c r="S6184" t="s">
        <v>13254</v>
      </c>
      <c r="U6184">
        <v>5</v>
      </c>
      <c r="V6184">
        <v>0</v>
      </c>
      <c r="W6184">
        <v>4418</v>
      </c>
      <c r="X6184">
        <v>1</v>
      </c>
      <c r="AC6184">
        <v>4418</v>
      </c>
      <c r="AO6184">
        <v>1</v>
      </c>
      <c r="AU6184">
        <f t="shared" si="192"/>
        <v>1</v>
      </c>
      <c r="AV6184">
        <f t="shared" si="193"/>
        <v>0</v>
      </c>
    </row>
    <row r="6185" spans="1:48" x14ac:dyDescent="0.25">
      <c r="A6185" t="s">
        <v>14448</v>
      </c>
      <c r="B6185" t="s">
        <v>14448</v>
      </c>
      <c r="C6185" t="s">
        <v>14449</v>
      </c>
      <c r="D6185" t="s">
        <v>14450</v>
      </c>
      <c r="E6185" t="s">
        <v>2310</v>
      </c>
      <c r="F6185">
        <v>9</v>
      </c>
      <c r="G6185">
        <v>9.3000000000000007</v>
      </c>
      <c r="H6185" t="s">
        <v>2323</v>
      </c>
      <c r="I6185" s="21">
        <v>43837.584607673598</v>
      </c>
      <c r="J6185">
        <v>2020</v>
      </c>
      <c r="K6185" s="21">
        <v>43867.668985416698</v>
      </c>
      <c r="L6185">
        <v>2020</v>
      </c>
      <c r="M6185" s="21">
        <v>44089.364000613401</v>
      </c>
      <c r="N6185">
        <v>2020</v>
      </c>
      <c r="Q6185" s="262">
        <v>75000</v>
      </c>
      <c r="R6185" s="262">
        <v>75000</v>
      </c>
      <c r="S6185" t="s">
        <v>114</v>
      </c>
      <c r="T6185" t="s">
        <v>114</v>
      </c>
      <c r="V6185">
        <v>837</v>
      </c>
      <c r="W6185">
        <v>0</v>
      </c>
      <c r="X6185">
        <v>0</v>
      </c>
      <c r="AU6185">
        <f t="shared" si="192"/>
        <v>0</v>
      </c>
      <c r="AV6185">
        <f t="shared" si="193"/>
        <v>0</v>
      </c>
    </row>
    <row r="6186" spans="1:48" x14ac:dyDescent="0.25">
      <c r="A6186" t="s">
        <v>20119</v>
      </c>
      <c r="B6186" t="s">
        <v>20119</v>
      </c>
      <c r="C6186" t="s">
        <v>20120</v>
      </c>
      <c r="D6186" t="s">
        <v>20121</v>
      </c>
      <c r="E6186" t="s">
        <v>2310</v>
      </c>
      <c r="F6186">
        <v>13</v>
      </c>
      <c r="G6186">
        <v>13.2</v>
      </c>
      <c r="H6186" t="s">
        <v>2327</v>
      </c>
      <c r="I6186" s="21">
        <v>43837.661053900498</v>
      </c>
      <c r="J6186">
        <v>2020</v>
      </c>
      <c r="K6186" s="21">
        <v>43937.619030671303</v>
      </c>
      <c r="L6186">
        <v>2020</v>
      </c>
      <c r="M6186" s="21">
        <v>44266</v>
      </c>
      <c r="N6186">
        <v>2021</v>
      </c>
      <c r="Q6186" s="262">
        <v>300000</v>
      </c>
      <c r="R6186" s="262">
        <v>174000</v>
      </c>
      <c r="S6186" t="s">
        <v>13253</v>
      </c>
      <c r="T6186">
        <v>6993</v>
      </c>
      <c r="U6186">
        <v>11</v>
      </c>
      <c r="V6186">
        <v>1300</v>
      </c>
      <c r="W6186">
        <v>490</v>
      </c>
      <c r="X6186">
        <v>0</v>
      </c>
      <c r="AI6186">
        <v>490</v>
      </c>
      <c r="AU6186">
        <f t="shared" si="192"/>
        <v>0</v>
      </c>
      <c r="AV6186">
        <f t="shared" si="193"/>
        <v>490</v>
      </c>
    </row>
    <row r="6187" spans="1:48" x14ac:dyDescent="0.25">
      <c r="A6187" t="s">
        <v>14451</v>
      </c>
      <c r="C6187" t="s">
        <v>13129</v>
      </c>
      <c r="D6187" t="s">
        <v>14452</v>
      </c>
      <c r="E6187" t="s">
        <v>1663</v>
      </c>
      <c r="F6187">
        <v>2</v>
      </c>
      <c r="G6187">
        <v>2.2999999999999998</v>
      </c>
      <c r="H6187" t="s">
        <v>2327</v>
      </c>
      <c r="I6187" s="21">
        <v>43839</v>
      </c>
      <c r="J6187">
        <v>2020</v>
      </c>
      <c r="K6187" s="21">
        <v>43908</v>
      </c>
      <c r="L6187">
        <v>2020</v>
      </c>
      <c r="M6187" s="21">
        <v>44098</v>
      </c>
      <c r="N6187">
        <v>2020</v>
      </c>
      <c r="Q6187" s="262">
        <v>80000</v>
      </c>
      <c r="S6187" t="s">
        <v>114</v>
      </c>
      <c r="T6187" t="s">
        <v>114</v>
      </c>
      <c r="W6187">
        <v>0</v>
      </c>
      <c r="X6187">
        <v>0</v>
      </c>
      <c r="AU6187">
        <f t="shared" si="192"/>
        <v>0</v>
      </c>
      <c r="AV6187">
        <f t="shared" si="193"/>
        <v>0</v>
      </c>
    </row>
    <row r="6188" spans="1:48" x14ac:dyDescent="0.25">
      <c r="A6188" t="s">
        <v>14453</v>
      </c>
      <c r="B6188" t="s">
        <v>14453</v>
      </c>
      <c r="C6188" t="s">
        <v>14454</v>
      </c>
      <c r="D6188" t="s">
        <v>14455</v>
      </c>
      <c r="E6188" t="s">
        <v>2310</v>
      </c>
      <c r="F6188">
        <v>15</v>
      </c>
      <c r="G6188">
        <v>15.2</v>
      </c>
      <c r="H6188" t="s">
        <v>2323</v>
      </c>
      <c r="I6188" s="21">
        <v>43839.4730025463</v>
      </c>
      <c r="J6188">
        <v>2020</v>
      </c>
      <c r="K6188" s="21">
        <v>43956.465804548599</v>
      </c>
      <c r="L6188">
        <v>2020</v>
      </c>
      <c r="Q6188" s="262">
        <v>856800</v>
      </c>
      <c r="R6188" s="262">
        <v>353000</v>
      </c>
      <c r="S6188" t="s">
        <v>114</v>
      </c>
      <c r="T6188" t="s">
        <v>114</v>
      </c>
      <c r="V6188">
        <v>0</v>
      </c>
      <c r="W6188">
        <v>4080</v>
      </c>
      <c r="X6188">
        <v>1</v>
      </c>
      <c r="AC6188">
        <v>4080</v>
      </c>
      <c r="AO6188">
        <v>1</v>
      </c>
      <c r="AU6188">
        <f t="shared" si="192"/>
        <v>1</v>
      </c>
      <c r="AV6188">
        <f t="shared" si="193"/>
        <v>0</v>
      </c>
    </row>
    <row r="6189" spans="1:48" x14ac:dyDescent="0.25">
      <c r="A6189" t="s">
        <v>15510</v>
      </c>
      <c r="B6189" t="s">
        <v>15510</v>
      </c>
      <c r="C6189" t="s">
        <v>15511</v>
      </c>
      <c r="D6189" t="s">
        <v>13043</v>
      </c>
      <c r="E6189" t="s">
        <v>2310</v>
      </c>
      <c r="F6189">
        <v>13</v>
      </c>
      <c r="G6189">
        <v>13.2</v>
      </c>
      <c r="H6189" t="s">
        <v>2327</v>
      </c>
      <c r="I6189" s="21">
        <v>43839.567489270798</v>
      </c>
      <c r="J6189">
        <v>2020</v>
      </c>
      <c r="K6189" s="21">
        <v>44089.5905130787</v>
      </c>
      <c r="L6189">
        <v>2020</v>
      </c>
      <c r="M6189" s="21">
        <v>44830</v>
      </c>
      <c r="N6189">
        <v>2022</v>
      </c>
      <c r="Q6189" s="262">
        <v>2000000</v>
      </c>
      <c r="R6189" s="262">
        <v>1428000</v>
      </c>
      <c r="S6189" t="s">
        <v>13254</v>
      </c>
      <c r="T6189">
        <v>0</v>
      </c>
      <c r="V6189">
        <v>0</v>
      </c>
      <c r="W6189">
        <v>9101</v>
      </c>
      <c r="X6189">
        <v>1</v>
      </c>
      <c r="AC6189">
        <v>9101</v>
      </c>
      <c r="AO6189">
        <v>1</v>
      </c>
      <c r="AU6189">
        <f t="shared" si="192"/>
        <v>1</v>
      </c>
      <c r="AV6189">
        <f t="shared" si="193"/>
        <v>0</v>
      </c>
    </row>
    <row r="6190" spans="1:48" x14ac:dyDescent="0.25">
      <c r="A6190" t="s">
        <v>20111</v>
      </c>
      <c r="B6190" t="s">
        <v>20111</v>
      </c>
      <c r="C6190" t="s">
        <v>20112</v>
      </c>
      <c r="D6190" t="s">
        <v>20113</v>
      </c>
      <c r="E6190" t="s">
        <v>2310</v>
      </c>
      <c r="F6190">
        <v>9</v>
      </c>
      <c r="G6190">
        <v>9.1</v>
      </c>
      <c r="H6190" t="s">
        <v>2323</v>
      </c>
      <c r="I6190" s="21">
        <v>43839.6497930556</v>
      </c>
      <c r="J6190">
        <v>2020</v>
      </c>
      <c r="K6190" s="21">
        <v>43881.355210150497</v>
      </c>
      <c r="L6190">
        <v>2020</v>
      </c>
      <c r="M6190" s="21">
        <v>44266</v>
      </c>
      <c r="N6190">
        <v>2021</v>
      </c>
      <c r="Q6190" s="262">
        <v>380000</v>
      </c>
      <c r="R6190" s="262">
        <v>296000</v>
      </c>
      <c r="S6190" t="s">
        <v>13253</v>
      </c>
      <c r="T6190">
        <v>6664</v>
      </c>
      <c r="U6190">
        <v>5</v>
      </c>
      <c r="V6190">
        <v>2299</v>
      </c>
      <c r="W6190">
        <v>769</v>
      </c>
      <c r="X6190">
        <v>0</v>
      </c>
      <c r="AC6190">
        <v>769</v>
      </c>
      <c r="AU6190">
        <f t="shared" si="192"/>
        <v>0</v>
      </c>
      <c r="AV6190">
        <f t="shared" si="193"/>
        <v>0</v>
      </c>
    </row>
    <row r="6191" spans="1:48" x14ac:dyDescent="0.25">
      <c r="A6191" t="s">
        <v>19564</v>
      </c>
      <c r="B6191" t="s">
        <v>114</v>
      </c>
      <c r="C6191" t="s">
        <v>19565</v>
      </c>
      <c r="D6191" t="s">
        <v>19563</v>
      </c>
      <c r="E6191" t="s">
        <v>1663</v>
      </c>
      <c r="F6191">
        <v>5</v>
      </c>
      <c r="G6191">
        <v>5.0999999999999996</v>
      </c>
      <c r="H6191" t="s">
        <v>2327</v>
      </c>
      <c r="I6191" s="21">
        <v>43840</v>
      </c>
      <c r="J6191">
        <v>2020</v>
      </c>
      <c r="K6191" s="21">
        <v>43879</v>
      </c>
      <c r="L6191">
        <v>2020</v>
      </c>
      <c r="M6191" s="21">
        <v>44126</v>
      </c>
      <c r="N6191">
        <v>2020</v>
      </c>
      <c r="Q6191" s="262">
        <v>105000</v>
      </c>
      <c r="S6191" t="s">
        <v>13254</v>
      </c>
      <c r="W6191">
        <v>3000</v>
      </c>
      <c r="X6191">
        <v>0</v>
      </c>
      <c r="AL6191">
        <v>3000</v>
      </c>
      <c r="AU6191">
        <f t="shared" si="192"/>
        <v>0</v>
      </c>
      <c r="AV6191">
        <f t="shared" si="193"/>
        <v>3000</v>
      </c>
    </row>
    <row r="6192" spans="1:48" x14ac:dyDescent="0.25">
      <c r="A6192" t="s">
        <v>19881</v>
      </c>
      <c r="B6192" t="s">
        <v>19881</v>
      </c>
      <c r="C6192" t="s">
        <v>19882</v>
      </c>
      <c r="D6192" t="s">
        <v>2376</v>
      </c>
      <c r="E6192" t="s">
        <v>2310</v>
      </c>
      <c r="F6192">
        <v>9</v>
      </c>
      <c r="G6192">
        <v>9.4</v>
      </c>
      <c r="H6192" t="s">
        <v>2323</v>
      </c>
      <c r="I6192" s="21">
        <v>43844.484255057898</v>
      </c>
      <c r="J6192">
        <v>2020</v>
      </c>
      <c r="K6192" s="21">
        <v>43893.473172372702</v>
      </c>
      <c r="L6192">
        <v>2020</v>
      </c>
      <c r="M6192" s="21">
        <v>44413</v>
      </c>
      <c r="N6192">
        <v>2021</v>
      </c>
      <c r="Q6192" s="262">
        <v>240000</v>
      </c>
      <c r="R6192" s="262">
        <v>106000</v>
      </c>
      <c r="S6192" t="s">
        <v>13253</v>
      </c>
      <c r="T6192">
        <v>3082</v>
      </c>
      <c r="U6192">
        <v>11</v>
      </c>
      <c r="V6192">
        <v>1061</v>
      </c>
      <c r="W6192">
        <v>70</v>
      </c>
      <c r="X6192">
        <v>0</v>
      </c>
      <c r="AI6192">
        <v>70</v>
      </c>
      <c r="AU6192">
        <f t="shared" si="192"/>
        <v>0</v>
      </c>
      <c r="AV6192">
        <f t="shared" si="193"/>
        <v>70</v>
      </c>
    </row>
    <row r="6193" spans="1:48" x14ac:dyDescent="0.25">
      <c r="A6193" t="s">
        <v>20059</v>
      </c>
      <c r="B6193" t="s">
        <v>20059</v>
      </c>
      <c r="C6193" t="s">
        <v>20060</v>
      </c>
      <c r="D6193" t="s">
        <v>14357</v>
      </c>
      <c r="E6193" t="s">
        <v>2310</v>
      </c>
      <c r="F6193">
        <v>9</v>
      </c>
      <c r="G6193">
        <v>9.3000000000000007</v>
      </c>
      <c r="H6193" t="s">
        <v>2323</v>
      </c>
      <c r="I6193" s="21">
        <v>43845.5746361458</v>
      </c>
      <c r="J6193">
        <v>2020</v>
      </c>
      <c r="K6193" s="21">
        <v>43882.366342280096</v>
      </c>
      <c r="L6193">
        <v>2020</v>
      </c>
      <c r="M6193" s="21">
        <v>44267</v>
      </c>
      <c r="N6193">
        <v>2021</v>
      </c>
      <c r="Q6193" s="262">
        <v>300000</v>
      </c>
      <c r="R6193" s="262">
        <v>115000</v>
      </c>
      <c r="S6193" t="s">
        <v>13254</v>
      </c>
      <c r="U6193">
        <v>5</v>
      </c>
      <c r="W6193">
        <v>2590</v>
      </c>
      <c r="X6193">
        <v>0</v>
      </c>
      <c r="AC6193">
        <v>2590</v>
      </c>
      <c r="AU6193">
        <f t="shared" si="192"/>
        <v>0</v>
      </c>
      <c r="AV6193">
        <f t="shared" si="193"/>
        <v>0</v>
      </c>
    </row>
    <row r="6194" spans="1:48" x14ac:dyDescent="0.25">
      <c r="A6194" t="s">
        <v>14458</v>
      </c>
      <c r="C6194" t="s">
        <v>11879</v>
      </c>
      <c r="D6194" t="s">
        <v>7736</v>
      </c>
      <c r="E6194" t="s">
        <v>1663</v>
      </c>
      <c r="F6194">
        <v>3</v>
      </c>
      <c r="G6194">
        <v>3.1</v>
      </c>
      <c r="H6194" t="s">
        <v>2017</v>
      </c>
      <c r="I6194" s="21">
        <v>43846</v>
      </c>
      <c r="J6194">
        <v>2020</v>
      </c>
      <c r="K6194" s="21">
        <v>43956</v>
      </c>
      <c r="L6194">
        <v>2020</v>
      </c>
      <c r="M6194" s="21">
        <v>44511</v>
      </c>
      <c r="N6194">
        <v>2021</v>
      </c>
      <c r="Q6194" s="262">
        <v>10000</v>
      </c>
      <c r="S6194" t="s">
        <v>114</v>
      </c>
      <c r="T6194" t="s">
        <v>114</v>
      </c>
      <c r="W6194">
        <v>0</v>
      </c>
      <c r="X6194">
        <v>0</v>
      </c>
      <c r="AU6194">
        <f t="shared" si="192"/>
        <v>0</v>
      </c>
      <c r="AV6194">
        <f t="shared" si="193"/>
        <v>0</v>
      </c>
    </row>
    <row r="6195" spans="1:48" x14ac:dyDescent="0.25">
      <c r="A6195" t="s">
        <v>20096</v>
      </c>
      <c r="B6195" t="s">
        <v>20096</v>
      </c>
      <c r="C6195" t="s">
        <v>20097</v>
      </c>
      <c r="D6195" t="s">
        <v>20098</v>
      </c>
      <c r="E6195" t="s">
        <v>2310</v>
      </c>
      <c r="F6195">
        <v>8</v>
      </c>
      <c r="G6195">
        <v>8.1</v>
      </c>
      <c r="H6195" t="s">
        <v>2323</v>
      </c>
      <c r="I6195" s="21">
        <v>43846.433931330997</v>
      </c>
      <c r="J6195">
        <v>2020</v>
      </c>
      <c r="K6195" s="21">
        <v>43892.500784803196</v>
      </c>
      <c r="L6195">
        <v>2020</v>
      </c>
      <c r="M6195" s="21">
        <v>44362</v>
      </c>
      <c r="N6195">
        <v>2021</v>
      </c>
      <c r="Q6195" s="262">
        <v>2850000</v>
      </c>
      <c r="R6195" s="262">
        <v>843000</v>
      </c>
      <c r="S6195" t="s">
        <v>13254</v>
      </c>
      <c r="U6195">
        <v>5</v>
      </c>
      <c r="W6195">
        <v>6411</v>
      </c>
      <c r="X6195">
        <v>1</v>
      </c>
      <c r="AC6195">
        <v>6411</v>
      </c>
      <c r="AO6195">
        <v>1</v>
      </c>
      <c r="AU6195">
        <f t="shared" si="192"/>
        <v>1</v>
      </c>
      <c r="AV6195">
        <f t="shared" si="193"/>
        <v>0</v>
      </c>
    </row>
    <row r="6196" spans="1:48" x14ac:dyDescent="0.25">
      <c r="A6196" t="s">
        <v>15515</v>
      </c>
      <c r="B6196" t="s">
        <v>15515</v>
      </c>
      <c r="C6196" t="s">
        <v>15516</v>
      </c>
      <c r="D6196" t="s">
        <v>15517</v>
      </c>
      <c r="E6196" t="s">
        <v>2310</v>
      </c>
      <c r="F6196">
        <v>13</v>
      </c>
      <c r="G6196">
        <v>13.2</v>
      </c>
      <c r="H6196" t="s">
        <v>2327</v>
      </c>
      <c r="I6196" s="21">
        <v>43846.603160034698</v>
      </c>
      <c r="J6196">
        <v>2020</v>
      </c>
      <c r="K6196" s="21">
        <v>43893.474555208297</v>
      </c>
      <c r="L6196">
        <v>2020</v>
      </c>
      <c r="M6196" s="21">
        <v>44652</v>
      </c>
      <c r="N6196">
        <v>2022</v>
      </c>
      <c r="Q6196" s="262">
        <v>150000</v>
      </c>
      <c r="R6196" s="262">
        <v>132000</v>
      </c>
      <c r="S6196" t="s">
        <v>13253</v>
      </c>
      <c r="T6196">
        <v>6985</v>
      </c>
      <c r="V6196">
        <v>1480</v>
      </c>
      <c r="W6196">
        <v>0</v>
      </c>
      <c r="X6196">
        <v>0</v>
      </c>
      <c r="AU6196">
        <f t="shared" si="192"/>
        <v>0</v>
      </c>
      <c r="AV6196">
        <f t="shared" si="193"/>
        <v>0</v>
      </c>
    </row>
    <row r="6197" spans="1:48" x14ac:dyDescent="0.25">
      <c r="A6197" t="s">
        <v>14460</v>
      </c>
      <c r="B6197" t="s">
        <v>14460</v>
      </c>
      <c r="C6197" t="s">
        <v>14461</v>
      </c>
      <c r="D6197" t="s">
        <v>14462</v>
      </c>
      <c r="E6197" t="s">
        <v>2310</v>
      </c>
      <c r="F6197">
        <v>9</v>
      </c>
      <c r="G6197">
        <v>9.4</v>
      </c>
      <c r="H6197" t="s">
        <v>2323</v>
      </c>
      <c r="I6197" s="21">
        <v>43851.466640891202</v>
      </c>
      <c r="J6197">
        <v>2020</v>
      </c>
      <c r="K6197" s="21">
        <v>43913.589307523202</v>
      </c>
      <c r="L6197">
        <v>2020</v>
      </c>
      <c r="M6197" s="21">
        <v>44154.443743171301</v>
      </c>
      <c r="N6197">
        <v>2020</v>
      </c>
      <c r="Q6197" s="262">
        <v>200000</v>
      </c>
      <c r="R6197" s="262">
        <v>101000</v>
      </c>
      <c r="S6197" t="s">
        <v>114</v>
      </c>
      <c r="T6197" t="s">
        <v>114</v>
      </c>
      <c r="V6197">
        <v>1427</v>
      </c>
      <c r="W6197">
        <v>0</v>
      </c>
      <c r="X6197">
        <v>0</v>
      </c>
      <c r="AU6197">
        <f t="shared" si="192"/>
        <v>0</v>
      </c>
      <c r="AV6197">
        <f t="shared" si="193"/>
        <v>0</v>
      </c>
    </row>
    <row r="6198" spans="1:48" x14ac:dyDescent="0.25">
      <c r="A6198" t="s">
        <v>19849</v>
      </c>
      <c r="B6198" t="s">
        <v>19849</v>
      </c>
      <c r="C6198" t="s">
        <v>19850</v>
      </c>
      <c r="D6198" t="s">
        <v>6687</v>
      </c>
      <c r="E6198" t="s">
        <v>2310</v>
      </c>
      <c r="F6198">
        <v>9</v>
      </c>
      <c r="G6198">
        <v>9.3000000000000007</v>
      </c>
      <c r="H6198" t="s">
        <v>2323</v>
      </c>
      <c r="I6198" s="21">
        <v>43851.568564849498</v>
      </c>
      <c r="J6198">
        <v>2020</v>
      </c>
      <c r="K6198" s="21">
        <v>43916.374148113398</v>
      </c>
      <c r="L6198">
        <v>2020</v>
      </c>
      <c r="M6198" s="21">
        <v>44372</v>
      </c>
      <c r="N6198">
        <v>2021</v>
      </c>
      <c r="Q6198" s="262">
        <v>1450000</v>
      </c>
      <c r="R6198" s="262">
        <v>688000</v>
      </c>
      <c r="S6198" t="s">
        <v>13254</v>
      </c>
      <c r="U6198">
        <v>5</v>
      </c>
      <c r="W6198">
        <v>5460</v>
      </c>
      <c r="X6198">
        <v>1</v>
      </c>
      <c r="AC6198">
        <v>5460</v>
      </c>
      <c r="AO6198">
        <v>1</v>
      </c>
      <c r="AU6198">
        <f t="shared" si="192"/>
        <v>1</v>
      </c>
      <c r="AV6198">
        <f t="shared" si="193"/>
        <v>0</v>
      </c>
    </row>
    <row r="6199" spans="1:48" x14ac:dyDescent="0.25">
      <c r="A6199" t="s">
        <v>14463</v>
      </c>
      <c r="B6199" t="s">
        <v>14463</v>
      </c>
      <c r="C6199" t="s">
        <v>14464</v>
      </c>
      <c r="D6199" t="s">
        <v>14465</v>
      </c>
      <c r="E6199" t="s">
        <v>2310</v>
      </c>
      <c r="F6199">
        <v>14</v>
      </c>
      <c r="G6199">
        <v>14.1</v>
      </c>
      <c r="H6199" t="s">
        <v>2022</v>
      </c>
      <c r="I6199" s="21">
        <v>43851.652596678199</v>
      </c>
      <c r="J6199">
        <v>2020</v>
      </c>
      <c r="K6199" s="21">
        <v>43893.430273113401</v>
      </c>
      <c r="L6199">
        <v>2020</v>
      </c>
      <c r="M6199" s="21">
        <v>44299</v>
      </c>
      <c r="N6199">
        <v>2021</v>
      </c>
      <c r="Q6199" s="262">
        <v>250000</v>
      </c>
      <c r="R6199" s="262">
        <v>137000</v>
      </c>
      <c r="S6199" t="s">
        <v>114</v>
      </c>
      <c r="T6199" t="s">
        <v>114</v>
      </c>
      <c r="V6199">
        <v>1541</v>
      </c>
      <c r="W6199">
        <v>0</v>
      </c>
      <c r="X6199">
        <v>0</v>
      </c>
      <c r="AU6199">
        <f t="shared" si="192"/>
        <v>0</v>
      </c>
      <c r="AV6199">
        <f t="shared" si="193"/>
        <v>0</v>
      </c>
    </row>
    <row r="6200" spans="1:48" x14ac:dyDescent="0.25">
      <c r="A6200" t="s">
        <v>20005</v>
      </c>
      <c r="B6200" t="s">
        <v>20005</v>
      </c>
      <c r="C6200" t="s">
        <v>20006</v>
      </c>
      <c r="D6200" t="s">
        <v>18214</v>
      </c>
      <c r="E6200" t="s">
        <v>2310</v>
      </c>
      <c r="F6200">
        <v>12</v>
      </c>
      <c r="G6200">
        <v>12.2</v>
      </c>
      <c r="H6200" t="s">
        <v>2017</v>
      </c>
      <c r="I6200" s="21">
        <v>43851.681522372703</v>
      </c>
      <c r="J6200">
        <v>2020</v>
      </c>
      <c r="K6200" s="21">
        <v>44082.6536072569</v>
      </c>
      <c r="L6200">
        <v>2020</v>
      </c>
      <c r="M6200" s="21">
        <v>44266</v>
      </c>
      <c r="N6200">
        <v>2021</v>
      </c>
      <c r="Q6200" s="262">
        <v>630000</v>
      </c>
      <c r="R6200" s="262">
        <v>115000</v>
      </c>
      <c r="S6200" t="s">
        <v>12464</v>
      </c>
      <c r="T6200">
        <v>4091</v>
      </c>
      <c r="U6200">
        <v>17</v>
      </c>
      <c r="W6200">
        <v>1500</v>
      </c>
      <c r="X6200">
        <v>1</v>
      </c>
      <c r="AC6200">
        <v>900</v>
      </c>
      <c r="AF6200">
        <v>600</v>
      </c>
      <c r="AR6200">
        <v>1</v>
      </c>
      <c r="AU6200">
        <f t="shared" si="192"/>
        <v>0</v>
      </c>
      <c r="AV6200">
        <f t="shared" si="193"/>
        <v>0</v>
      </c>
    </row>
    <row r="6201" spans="1:48" x14ac:dyDescent="0.25">
      <c r="A6201" t="s">
        <v>20005</v>
      </c>
      <c r="B6201" t="s">
        <v>20005</v>
      </c>
      <c r="C6201" t="s">
        <v>20006</v>
      </c>
      <c r="D6201" t="s">
        <v>18214</v>
      </c>
      <c r="E6201" t="s">
        <v>2310</v>
      </c>
      <c r="F6201">
        <v>12</v>
      </c>
      <c r="G6201">
        <v>12.2</v>
      </c>
      <c r="H6201" t="s">
        <v>2017</v>
      </c>
      <c r="I6201" s="21">
        <v>43851.681522372703</v>
      </c>
      <c r="J6201">
        <v>2020</v>
      </c>
      <c r="K6201" s="21">
        <v>44082.6536072569</v>
      </c>
      <c r="L6201">
        <v>2020</v>
      </c>
      <c r="M6201" s="21">
        <v>44266</v>
      </c>
      <c r="N6201">
        <v>2021</v>
      </c>
      <c r="Q6201" s="262">
        <v>630000</v>
      </c>
      <c r="R6201" s="262">
        <v>115000</v>
      </c>
      <c r="S6201" t="s">
        <v>9529</v>
      </c>
      <c r="T6201">
        <v>4091</v>
      </c>
      <c r="U6201">
        <v>8</v>
      </c>
      <c r="W6201">
        <v>-836</v>
      </c>
      <c r="X6201">
        <v>-1</v>
      </c>
      <c r="Y6201">
        <v>0</v>
      </c>
      <c r="Z6201">
        <v>0</v>
      </c>
      <c r="AA6201">
        <v>0</v>
      </c>
      <c r="AB6201">
        <v>0</v>
      </c>
      <c r="AC6201">
        <v>0</v>
      </c>
      <c r="AD6201">
        <v>0</v>
      </c>
      <c r="AE6201">
        <v>0</v>
      </c>
      <c r="AF6201">
        <v>-836</v>
      </c>
      <c r="AG6201">
        <v>0</v>
      </c>
      <c r="AH6201">
        <v>0</v>
      </c>
      <c r="AI6201">
        <v>0</v>
      </c>
      <c r="AJ6201">
        <v>0</v>
      </c>
      <c r="AK6201">
        <v>0</v>
      </c>
      <c r="AL6201">
        <v>0</v>
      </c>
      <c r="AM6201">
        <v>0</v>
      </c>
      <c r="AN6201">
        <v>0</v>
      </c>
      <c r="AO6201">
        <v>0</v>
      </c>
      <c r="AP6201">
        <v>0</v>
      </c>
      <c r="AQ6201">
        <v>0</v>
      </c>
      <c r="AR6201">
        <v>-1</v>
      </c>
      <c r="AS6201">
        <v>0</v>
      </c>
      <c r="AT6201">
        <v>0</v>
      </c>
      <c r="AU6201">
        <f t="shared" si="192"/>
        <v>0</v>
      </c>
      <c r="AV6201">
        <f t="shared" si="193"/>
        <v>0</v>
      </c>
    </row>
    <row r="6202" spans="1:48" x14ac:dyDescent="0.25">
      <c r="A6202" t="s">
        <v>14466</v>
      </c>
      <c r="C6202" t="s">
        <v>13129</v>
      </c>
      <c r="D6202" t="s">
        <v>14467</v>
      </c>
      <c r="E6202" t="s">
        <v>1663</v>
      </c>
      <c r="F6202">
        <v>4</v>
      </c>
      <c r="G6202">
        <v>4.0999999999999996</v>
      </c>
      <c r="H6202" t="s">
        <v>2327</v>
      </c>
      <c r="I6202" s="21">
        <v>43853</v>
      </c>
      <c r="J6202">
        <v>2020</v>
      </c>
      <c r="K6202" s="21">
        <v>43888</v>
      </c>
      <c r="L6202">
        <v>2020</v>
      </c>
      <c r="P6202" s="21">
        <v>44383</v>
      </c>
      <c r="Q6202" s="262">
        <v>500000</v>
      </c>
      <c r="S6202" t="s">
        <v>114</v>
      </c>
      <c r="T6202" t="s">
        <v>114</v>
      </c>
      <c r="W6202">
        <v>0</v>
      </c>
      <c r="X6202">
        <v>0</v>
      </c>
      <c r="AU6202">
        <f t="shared" si="192"/>
        <v>0</v>
      </c>
      <c r="AV6202">
        <f t="shared" si="193"/>
        <v>0</v>
      </c>
    </row>
    <row r="6203" spans="1:48" x14ac:dyDescent="0.25">
      <c r="A6203" t="s">
        <v>14470</v>
      </c>
      <c r="C6203" t="s">
        <v>14471</v>
      </c>
      <c r="D6203" t="s">
        <v>14472</v>
      </c>
      <c r="E6203" t="s">
        <v>1663</v>
      </c>
      <c r="F6203">
        <v>3</v>
      </c>
      <c r="G6203">
        <v>3.2</v>
      </c>
      <c r="H6203" t="s">
        <v>2327</v>
      </c>
      <c r="I6203" s="21">
        <v>43857</v>
      </c>
      <c r="J6203">
        <v>2020</v>
      </c>
      <c r="K6203" s="21">
        <v>43923</v>
      </c>
      <c r="L6203">
        <v>2020</v>
      </c>
      <c r="P6203" s="21">
        <v>44248</v>
      </c>
      <c r="Q6203" s="262">
        <v>1000000</v>
      </c>
      <c r="S6203" t="s">
        <v>114</v>
      </c>
      <c r="T6203" t="s">
        <v>114</v>
      </c>
      <c r="W6203">
        <v>3384</v>
      </c>
      <c r="X6203">
        <v>1</v>
      </c>
      <c r="AC6203">
        <v>3384</v>
      </c>
      <c r="AO6203">
        <v>1</v>
      </c>
      <c r="AU6203">
        <f t="shared" si="192"/>
        <v>1</v>
      </c>
      <c r="AV6203">
        <f t="shared" si="193"/>
        <v>0</v>
      </c>
    </row>
    <row r="6204" spans="1:48" x14ac:dyDescent="0.25">
      <c r="A6204" t="s">
        <v>14468</v>
      </c>
      <c r="C6204" t="s">
        <v>11237</v>
      </c>
      <c r="D6204" t="s">
        <v>14469</v>
      </c>
      <c r="E6204" t="s">
        <v>1663</v>
      </c>
      <c r="F6204">
        <v>3</v>
      </c>
      <c r="G6204">
        <v>3.1</v>
      </c>
      <c r="H6204" t="s">
        <v>2017</v>
      </c>
      <c r="I6204" s="21">
        <v>43857</v>
      </c>
      <c r="J6204">
        <v>2020</v>
      </c>
      <c r="K6204" s="21">
        <v>43866</v>
      </c>
      <c r="L6204">
        <v>2020</v>
      </c>
      <c r="M6204" s="21">
        <v>44511</v>
      </c>
      <c r="N6204">
        <v>2021</v>
      </c>
      <c r="Q6204" s="262">
        <v>75000</v>
      </c>
      <c r="S6204" t="s">
        <v>114</v>
      </c>
      <c r="T6204" t="s">
        <v>114</v>
      </c>
      <c r="W6204">
        <v>0</v>
      </c>
      <c r="X6204">
        <v>0</v>
      </c>
      <c r="AU6204">
        <f t="shared" si="192"/>
        <v>0</v>
      </c>
      <c r="AV6204">
        <f t="shared" si="193"/>
        <v>0</v>
      </c>
    </row>
    <row r="6205" spans="1:48" x14ac:dyDescent="0.25">
      <c r="A6205" t="s">
        <v>14473</v>
      </c>
      <c r="B6205" t="s">
        <v>14473</v>
      </c>
      <c r="C6205" t="s">
        <v>14474</v>
      </c>
      <c r="D6205" t="s">
        <v>14475</v>
      </c>
      <c r="E6205" t="s">
        <v>2310</v>
      </c>
      <c r="F6205">
        <v>9</v>
      </c>
      <c r="G6205">
        <v>9.1</v>
      </c>
      <c r="H6205" t="s">
        <v>2323</v>
      </c>
      <c r="I6205" s="21">
        <v>43860.442428009301</v>
      </c>
      <c r="J6205">
        <v>2020</v>
      </c>
      <c r="K6205" s="21">
        <v>43892.4930517014</v>
      </c>
      <c r="L6205">
        <v>2020</v>
      </c>
      <c r="M6205" s="21">
        <v>44201</v>
      </c>
      <c r="N6205">
        <v>2021</v>
      </c>
      <c r="Q6205" s="262">
        <v>400000</v>
      </c>
      <c r="R6205" s="262">
        <v>175000</v>
      </c>
      <c r="S6205" t="s">
        <v>114</v>
      </c>
      <c r="T6205" t="s">
        <v>114</v>
      </c>
      <c r="V6205">
        <v>2326</v>
      </c>
      <c r="W6205">
        <v>0</v>
      </c>
      <c r="X6205">
        <v>0</v>
      </c>
      <c r="AU6205">
        <f t="shared" si="192"/>
        <v>0</v>
      </c>
      <c r="AV6205">
        <f t="shared" si="193"/>
        <v>0</v>
      </c>
    </row>
    <row r="6206" spans="1:48" x14ac:dyDescent="0.25">
      <c r="A6206" t="s">
        <v>14476</v>
      </c>
      <c r="B6206" t="s">
        <v>14476</v>
      </c>
      <c r="C6206" t="s">
        <v>14477</v>
      </c>
      <c r="D6206" t="s">
        <v>2670</v>
      </c>
      <c r="E6206" t="s">
        <v>2310</v>
      </c>
      <c r="F6206">
        <v>13</v>
      </c>
      <c r="G6206">
        <v>13.1</v>
      </c>
      <c r="H6206" t="s">
        <v>2327</v>
      </c>
      <c r="I6206" s="21">
        <v>43860.482072569401</v>
      </c>
      <c r="J6206">
        <v>2020</v>
      </c>
      <c r="K6206" s="21">
        <v>44027.551078090299</v>
      </c>
      <c r="L6206">
        <v>2020</v>
      </c>
      <c r="O6206" s="21">
        <v>44350</v>
      </c>
      <c r="Q6206" s="262">
        <v>80000</v>
      </c>
      <c r="R6206" s="262">
        <v>12000</v>
      </c>
      <c r="S6206" t="s">
        <v>114</v>
      </c>
      <c r="T6206" t="s">
        <v>114</v>
      </c>
      <c r="W6206">
        <v>42</v>
      </c>
      <c r="X6206">
        <v>0</v>
      </c>
      <c r="AK6206">
        <v>42</v>
      </c>
      <c r="AU6206">
        <f t="shared" si="192"/>
        <v>0</v>
      </c>
      <c r="AV6206">
        <f t="shared" si="193"/>
        <v>42</v>
      </c>
    </row>
    <row r="6207" spans="1:48" x14ac:dyDescent="0.25">
      <c r="A6207" t="s">
        <v>15521</v>
      </c>
      <c r="B6207" t="s">
        <v>15521</v>
      </c>
      <c r="C6207" t="s">
        <v>15522</v>
      </c>
      <c r="D6207" t="s">
        <v>13921</v>
      </c>
      <c r="E6207" t="s">
        <v>2310</v>
      </c>
      <c r="F6207">
        <v>8</v>
      </c>
      <c r="G6207">
        <v>8.3000000000000007</v>
      </c>
      <c r="H6207" t="s">
        <v>2323</v>
      </c>
      <c r="I6207" s="21">
        <v>43860.6127043171</v>
      </c>
      <c r="J6207">
        <v>2020</v>
      </c>
      <c r="K6207" s="21">
        <v>43934.482491898103</v>
      </c>
      <c r="L6207">
        <v>2020</v>
      </c>
      <c r="M6207" s="21">
        <v>44685</v>
      </c>
      <c r="N6207">
        <v>2022</v>
      </c>
      <c r="P6207" s="21">
        <v>43860.612704745399</v>
      </c>
      <c r="Q6207" s="262">
        <v>1100000</v>
      </c>
      <c r="R6207" s="262">
        <v>29000</v>
      </c>
      <c r="S6207" t="s">
        <v>13254</v>
      </c>
      <c r="T6207">
        <v>0</v>
      </c>
      <c r="W6207">
        <v>595</v>
      </c>
      <c r="X6207">
        <v>0</v>
      </c>
      <c r="AC6207">
        <v>595</v>
      </c>
      <c r="AU6207">
        <f t="shared" si="192"/>
        <v>0</v>
      </c>
      <c r="AV6207">
        <f t="shared" si="193"/>
        <v>0</v>
      </c>
    </row>
    <row r="6208" spans="1:48" x14ac:dyDescent="0.25">
      <c r="A6208" t="s">
        <v>14026</v>
      </c>
      <c r="C6208" t="s">
        <v>14027</v>
      </c>
      <c r="D6208" t="s">
        <v>13598</v>
      </c>
      <c r="E6208" t="s">
        <v>1663</v>
      </c>
      <c r="F6208">
        <v>3</v>
      </c>
      <c r="G6208">
        <v>3.1</v>
      </c>
      <c r="H6208" t="s">
        <v>2017</v>
      </c>
      <c r="I6208" s="21">
        <v>43861</v>
      </c>
      <c r="J6208">
        <v>2020</v>
      </c>
      <c r="K6208" s="21">
        <v>44082</v>
      </c>
      <c r="L6208">
        <v>2020</v>
      </c>
      <c r="M6208" s="21">
        <v>44680</v>
      </c>
      <c r="N6208">
        <v>2022</v>
      </c>
      <c r="P6208" s="21">
        <v>44454</v>
      </c>
      <c r="Q6208" s="262">
        <v>1500000</v>
      </c>
      <c r="S6208" t="s">
        <v>9529</v>
      </c>
      <c r="T6208">
        <v>10508</v>
      </c>
      <c r="U6208">
        <v>5</v>
      </c>
      <c r="W6208">
        <v>-1634</v>
      </c>
      <c r="X6208">
        <v>-1</v>
      </c>
      <c r="Y6208">
        <v>0</v>
      </c>
      <c r="Z6208">
        <v>0</v>
      </c>
      <c r="AA6208">
        <v>0</v>
      </c>
      <c r="AB6208">
        <v>0</v>
      </c>
      <c r="AC6208">
        <v>-1634</v>
      </c>
      <c r="AD6208">
        <v>0</v>
      </c>
      <c r="AE6208">
        <v>0</v>
      </c>
      <c r="AF6208">
        <v>0</v>
      </c>
      <c r="AG6208">
        <v>0</v>
      </c>
      <c r="AH6208">
        <v>0</v>
      </c>
      <c r="AI6208">
        <v>0</v>
      </c>
      <c r="AJ6208">
        <v>0</v>
      </c>
      <c r="AK6208">
        <v>0</v>
      </c>
      <c r="AL6208">
        <v>0</v>
      </c>
      <c r="AM6208">
        <v>0</v>
      </c>
      <c r="AN6208">
        <v>0</v>
      </c>
      <c r="AO6208">
        <v>-1</v>
      </c>
      <c r="AP6208">
        <v>0</v>
      </c>
      <c r="AQ6208">
        <v>0</v>
      </c>
      <c r="AR6208">
        <v>0</v>
      </c>
      <c r="AS6208">
        <v>0</v>
      </c>
      <c r="AT6208">
        <v>0</v>
      </c>
      <c r="AU6208">
        <f t="shared" si="192"/>
        <v>-1</v>
      </c>
      <c r="AV6208">
        <f t="shared" si="193"/>
        <v>0</v>
      </c>
    </row>
    <row r="6209" spans="1:48" x14ac:dyDescent="0.25">
      <c r="A6209" t="s">
        <v>14026</v>
      </c>
      <c r="C6209" t="s">
        <v>14027</v>
      </c>
      <c r="D6209" t="s">
        <v>13598</v>
      </c>
      <c r="E6209" t="s">
        <v>1663</v>
      </c>
      <c r="F6209">
        <v>3</v>
      </c>
      <c r="G6209">
        <v>3.1</v>
      </c>
      <c r="H6209" t="s">
        <v>2017</v>
      </c>
      <c r="I6209" s="21">
        <v>43861</v>
      </c>
      <c r="J6209">
        <v>2020</v>
      </c>
      <c r="K6209" s="21">
        <v>44082</v>
      </c>
      <c r="L6209">
        <v>2020</v>
      </c>
      <c r="M6209" s="21">
        <v>44680</v>
      </c>
      <c r="N6209">
        <v>2022</v>
      </c>
      <c r="P6209" s="21">
        <v>44454</v>
      </c>
      <c r="Q6209" s="262">
        <v>1500000</v>
      </c>
      <c r="S6209" t="s">
        <v>12464</v>
      </c>
      <c r="T6209">
        <v>10508</v>
      </c>
      <c r="V6209">
        <v>2084</v>
      </c>
      <c r="W6209">
        <v>2042</v>
      </c>
      <c r="X6209">
        <v>0</v>
      </c>
      <c r="AC6209">
        <v>2042</v>
      </c>
      <c r="AU6209">
        <f t="shared" si="192"/>
        <v>0</v>
      </c>
      <c r="AV6209">
        <f t="shared" si="193"/>
        <v>0</v>
      </c>
    </row>
    <row r="6210" spans="1:48" x14ac:dyDescent="0.25">
      <c r="A6210" t="s">
        <v>14523</v>
      </c>
      <c r="C6210" t="s">
        <v>8393</v>
      </c>
      <c r="D6210" t="s">
        <v>13598</v>
      </c>
      <c r="E6210" t="s">
        <v>1663</v>
      </c>
      <c r="F6210">
        <v>3</v>
      </c>
      <c r="G6210">
        <v>3.1</v>
      </c>
      <c r="H6210" t="s">
        <v>2017</v>
      </c>
      <c r="I6210" s="21">
        <v>43861</v>
      </c>
      <c r="J6210">
        <v>2020</v>
      </c>
      <c r="K6210" s="21">
        <v>44082</v>
      </c>
      <c r="L6210">
        <v>2020</v>
      </c>
      <c r="M6210" s="21">
        <v>44680</v>
      </c>
      <c r="N6210">
        <v>2022</v>
      </c>
      <c r="P6210" s="21">
        <v>44454</v>
      </c>
      <c r="Q6210" s="262">
        <v>250000</v>
      </c>
      <c r="S6210" t="s">
        <v>13254</v>
      </c>
      <c r="W6210">
        <v>500</v>
      </c>
      <c r="X6210">
        <v>1</v>
      </c>
      <c r="AF6210">
        <v>500</v>
      </c>
      <c r="AR6210">
        <v>1</v>
      </c>
      <c r="AU6210">
        <f t="shared" si="192"/>
        <v>0</v>
      </c>
      <c r="AV6210">
        <f t="shared" si="193"/>
        <v>0</v>
      </c>
    </row>
    <row r="6211" spans="1:48" x14ac:dyDescent="0.25">
      <c r="A6211" t="s">
        <v>18890</v>
      </c>
      <c r="B6211" t="s">
        <v>114</v>
      </c>
      <c r="C6211" t="s">
        <v>18891</v>
      </c>
      <c r="D6211" t="s">
        <v>14447</v>
      </c>
      <c r="E6211" t="s">
        <v>1663</v>
      </c>
      <c r="F6211">
        <v>3</v>
      </c>
      <c r="G6211">
        <v>3.1</v>
      </c>
      <c r="H6211" t="s">
        <v>2017</v>
      </c>
      <c r="I6211" s="21">
        <v>43864</v>
      </c>
      <c r="J6211">
        <v>2020</v>
      </c>
      <c r="K6211" s="21">
        <v>43887</v>
      </c>
      <c r="L6211">
        <v>2020</v>
      </c>
      <c r="M6211" s="21">
        <v>44166</v>
      </c>
      <c r="N6211">
        <v>2020</v>
      </c>
      <c r="Q6211" s="262">
        <v>75000</v>
      </c>
      <c r="S6211" t="s">
        <v>13253</v>
      </c>
      <c r="T6211">
        <v>10041</v>
      </c>
      <c r="W6211">
        <v>0</v>
      </c>
      <c r="X6211">
        <v>1</v>
      </c>
      <c r="AR6211">
        <v>1</v>
      </c>
      <c r="AU6211">
        <f t="shared" si="192"/>
        <v>0</v>
      </c>
      <c r="AV6211">
        <f t="shared" si="193"/>
        <v>0</v>
      </c>
    </row>
    <row r="6212" spans="1:48" x14ac:dyDescent="0.25">
      <c r="A6212" t="s">
        <v>14487</v>
      </c>
      <c r="C6212" t="s">
        <v>11879</v>
      </c>
      <c r="D6212" t="s">
        <v>14488</v>
      </c>
      <c r="E6212" t="s">
        <v>1663</v>
      </c>
      <c r="F6212">
        <v>2</v>
      </c>
      <c r="G6212">
        <v>2.2999999999999998</v>
      </c>
      <c r="H6212" t="s">
        <v>2327</v>
      </c>
      <c r="I6212" s="21">
        <v>43864</v>
      </c>
      <c r="J6212">
        <v>2020</v>
      </c>
      <c r="Q6212" s="262">
        <v>0</v>
      </c>
      <c r="S6212" t="s">
        <v>114</v>
      </c>
      <c r="T6212" t="s">
        <v>114</v>
      </c>
      <c r="W6212">
        <v>0</v>
      </c>
      <c r="X6212">
        <v>0</v>
      </c>
      <c r="AU6212">
        <f t="shared" si="192"/>
        <v>0</v>
      </c>
      <c r="AV6212">
        <f t="shared" si="193"/>
        <v>0</v>
      </c>
    </row>
    <row r="6213" spans="1:48" x14ac:dyDescent="0.25">
      <c r="A6213" t="s">
        <v>14489</v>
      </c>
      <c r="B6213" t="s">
        <v>14489</v>
      </c>
      <c r="C6213" t="s">
        <v>14490</v>
      </c>
      <c r="D6213" t="s">
        <v>10762</v>
      </c>
      <c r="E6213" t="s">
        <v>2310</v>
      </c>
      <c r="F6213">
        <v>7</v>
      </c>
      <c r="G6213">
        <v>7.1</v>
      </c>
      <c r="H6213" t="s">
        <v>2017</v>
      </c>
      <c r="I6213" s="21">
        <v>43865.560465590301</v>
      </c>
      <c r="J6213">
        <v>2020</v>
      </c>
      <c r="K6213" s="21">
        <v>43980.546812303197</v>
      </c>
      <c r="L6213">
        <v>2020</v>
      </c>
      <c r="M6213" s="21">
        <v>44035.458263576402</v>
      </c>
      <c r="N6213">
        <v>2020</v>
      </c>
      <c r="Q6213" s="262">
        <v>50000</v>
      </c>
      <c r="R6213" s="262">
        <v>206000</v>
      </c>
      <c r="S6213" t="s">
        <v>114</v>
      </c>
      <c r="T6213" t="s">
        <v>114</v>
      </c>
      <c r="V6213">
        <v>1674</v>
      </c>
      <c r="W6213">
        <v>0</v>
      </c>
      <c r="X6213">
        <v>0</v>
      </c>
      <c r="AU6213">
        <f t="shared" si="192"/>
        <v>0</v>
      </c>
      <c r="AV6213">
        <f t="shared" si="193"/>
        <v>0</v>
      </c>
    </row>
    <row r="6214" spans="1:48" x14ac:dyDescent="0.25">
      <c r="A6214" t="s">
        <v>15543</v>
      </c>
      <c r="B6214" t="s">
        <v>15543</v>
      </c>
      <c r="C6214" t="s">
        <v>15544</v>
      </c>
      <c r="D6214" t="s">
        <v>15545</v>
      </c>
      <c r="E6214" t="s">
        <v>2310</v>
      </c>
      <c r="F6214">
        <v>8</v>
      </c>
      <c r="G6214">
        <v>8.3000000000000007</v>
      </c>
      <c r="H6214" t="s">
        <v>2323</v>
      </c>
      <c r="I6214" s="21">
        <v>43872.6699834838</v>
      </c>
      <c r="J6214">
        <v>2020</v>
      </c>
      <c r="K6214" s="21">
        <v>43957.415147141197</v>
      </c>
      <c r="L6214">
        <v>2020</v>
      </c>
      <c r="M6214" s="21">
        <v>44776.555307604169</v>
      </c>
      <c r="N6214">
        <v>2022</v>
      </c>
      <c r="Q6214" s="262">
        <v>910000</v>
      </c>
      <c r="R6214" s="262">
        <v>498000</v>
      </c>
      <c r="S6214" t="s">
        <v>13254</v>
      </c>
      <c r="T6214">
        <v>0</v>
      </c>
      <c r="W6214">
        <v>4264</v>
      </c>
      <c r="X6214">
        <v>1</v>
      </c>
      <c r="AC6214">
        <v>4264</v>
      </c>
      <c r="AO6214">
        <v>1</v>
      </c>
      <c r="AU6214">
        <f t="shared" si="192"/>
        <v>1</v>
      </c>
      <c r="AV6214">
        <f t="shared" si="193"/>
        <v>0</v>
      </c>
    </row>
    <row r="6215" spans="1:48" x14ac:dyDescent="0.25">
      <c r="A6215" t="s">
        <v>14492</v>
      </c>
      <c r="C6215" t="s">
        <v>13129</v>
      </c>
      <c r="D6215" t="s">
        <v>14493</v>
      </c>
      <c r="E6215" t="s">
        <v>1663</v>
      </c>
      <c r="F6215">
        <v>4</v>
      </c>
      <c r="G6215">
        <v>4.3</v>
      </c>
      <c r="H6215" t="s">
        <v>2327</v>
      </c>
      <c r="I6215" s="21">
        <v>43875</v>
      </c>
      <c r="J6215">
        <v>2020</v>
      </c>
      <c r="K6215" s="21">
        <v>43903</v>
      </c>
      <c r="L6215">
        <v>2020</v>
      </c>
      <c r="M6215" s="21">
        <v>43950</v>
      </c>
      <c r="N6215">
        <v>2020</v>
      </c>
      <c r="Q6215" s="262">
        <v>20000</v>
      </c>
      <c r="S6215" t="s">
        <v>114</v>
      </c>
      <c r="T6215" t="s">
        <v>114</v>
      </c>
      <c r="W6215">
        <v>0</v>
      </c>
      <c r="X6215">
        <v>0</v>
      </c>
      <c r="AU6215">
        <f t="shared" si="192"/>
        <v>0</v>
      </c>
      <c r="AV6215">
        <f t="shared" si="193"/>
        <v>0</v>
      </c>
    </row>
    <row r="6216" spans="1:48" x14ac:dyDescent="0.25">
      <c r="A6216" t="s">
        <v>15546</v>
      </c>
      <c r="B6216" t="s">
        <v>15546</v>
      </c>
      <c r="C6216" t="s">
        <v>15547</v>
      </c>
      <c r="D6216" t="s">
        <v>15548</v>
      </c>
      <c r="E6216" t="s">
        <v>2310</v>
      </c>
      <c r="F6216">
        <v>13</v>
      </c>
      <c r="G6216">
        <v>13.3</v>
      </c>
      <c r="H6216" t="s">
        <v>2017</v>
      </c>
      <c r="I6216" s="21">
        <v>43879.462791319398</v>
      </c>
      <c r="J6216">
        <v>2020</v>
      </c>
      <c r="K6216" s="21">
        <v>44047.709631099497</v>
      </c>
      <c r="L6216">
        <v>2020</v>
      </c>
      <c r="M6216" s="21">
        <v>44659</v>
      </c>
      <c r="N6216">
        <v>2022</v>
      </c>
      <c r="Q6216" s="262">
        <v>1500000</v>
      </c>
      <c r="R6216" s="262">
        <v>1242000</v>
      </c>
      <c r="S6216" t="s">
        <v>13254</v>
      </c>
      <c r="T6216">
        <v>0</v>
      </c>
      <c r="W6216">
        <v>8092</v>
      </c>
      <c r="X6216">
        <v>1</v>
      </c>
      <c r="AC6216">
        <v>8092</v>
      </c>
      <c r="AO6216">
        <v>1</v>
      </c>
      <c r="AU6216">
        <f t="shared" si="192"/>
        <v>1</v>
      </c>
      <c r="AV6216">
        <f t="shared" si="193"/>
        <v>0</v>
      </c>
    </row>
    <row r="6217" spans="1:48" x14ac:dyDescent="0.25">
      <c r="A6217" t="s">
        <v>14497</v>
      </c>
      <c r="C6217" t="s">
        <v>14498</v>
      </c>
      <c r="D6217" t="s">
        <v>13895</v>
      </c>
      <c r="E6217" t="s">
        <v>1663</v>
      </c>
      <c r="F6217">
        <v>3</v>
      </c>
      <c r="G6217">
        <v>3.3</v>
      </c>
      <c r="H6217" t="s">
        <v>2017</v>
      </c>
      <c r="I6217" s="21">
        <v>43880</v>
      </c>
      <c r="J6217">
        <v>2020</v>
      </c>
      <c r="Q6217" s="262">
        <v>0</v>
      </c>
      <c r="S6217" t="s">
        <v>114</v>
      </c>
      <c r="T6217" t="s">
        <v>114</v>
      </c>
      <c r="W6217">
        <v>60</v>
      </c>
      <c r="X6217">
        <v>0</v>
      </c>
      <c r="AM6217">
        <v>60</v>
      </c>
      <c r="AU6217">
        <f t="shared" si="192"/>
        <v>0</v>
      </c>
      <c r="AV6217">
        <f t="shared" si="193"/>
        <v>60</v>
      </c>
    </row>
    <row r="6218" spans="1:48" x14ac:dyDescent="0.25">
      <c r="A6218" t="s">
        <v>14499</v>
      </c>
      <c r="B6218" t="s">
        <v>14499</v>
      </c>
      <c r="C6218" t="s">
        <v>14500</v>
      </c>
      <c r="D6218" t="s">
        <v>14501</v>
      </c>
      <c r="E6218" t="s">
        <v>2310</v>
      </c>
      <c r="F6218">
        <v>13</v>
      </c>
      <c r="G6218">
        <v>13.2</v>
      </c>
      <c r="H6218" t="s">
        <v>2327</v>
      </c>
      <c r="I6218" s="21">
        <v>43881.616511145803</v>
      </c>
      <c r="J6218">
        <v>2020</v>
      </c>
      <c r="P6218" s="21">
        <v>44082.363245636603</v>
      </c>
      <c r="Q6218" s="262">
        <v>5500000</v>
      </c>
      <c r="R6218" s="262">
        <v>1705000</v>
      </c>
      <c r="S6218" t="s">
        <v>114</v>
      </c>
      <c r="T6218" t="s">
        <v>114</v>
      </c>
      <c r="W6218">
        <v>8180</v>
      </c>
      <c r="X6218">
        <v>1</v>
      </c>
      <c r="AC6218">
        <v>8180</v>
      </c>
      <c r="AO6218">
        <v>1</v>
      </c>
      <c r="AU6218">
        <f t="shared" si="192"/>
        <v>1</v>
      </c>
      <c r="AV6218">
        <f t="shared" si="193"/>
        <v>0</v>
      </c>
    </row>
    <row r="6219" spans="1:48" x14ac:dyDescent="0.25">
      <c r="A6219" t="s">
        <v>14502</v>
      </c>
      <c r="C6219" t="s">
        <v>11879</v>
      </c>
      <c r="D6219" t="s">
        <v>4612</v>
      </c>
      <c r="E6219" t="s">
        <v>1663</v>
      </c>
      <c r="F6219">
        <v>3</v>
      </c>
      <c r="G6219">
        <v>3.2</v>
      </c>
      <c r="H6219" t="s">
        <v>2327</v>
      </c>
      <c r="I6219" s="21">
        <v>43888</v>
      </c>
      <c r="J6219">
        <v>2020</v>
      </c>
      <c r="K6219" s="21">
        <v>43909</v>
      </c>
      <c r="L6219">
        <v>2020</v>
      </c>
      <c r="M6219" s="21">
        <v>44120</v>
      </c>
      <c r="N6219">
        <v>2020</v>
      </c>
      <c r="Q6219" s="262">
        <v>104551</v>
      </c>
      <c r="S6219" t="s">
        <v>114</v>
      </c>
      <c r="T6219" t="s">
        <v>114</v>
      </c>
      <c r="W6219">
        <v>0</v>
      </c>
      <c r="X6219">
        <v>0</v>
      </c>
      <c r="AU6219">
        <f t="shared" si="192"/>
        <v>0</v>
      </c>
      <c r="AV6219">
        <f t="shared" si="193"/>
        <v>0</v>
      </c>
    </row>
    <row r="6220" spans="1:48" x14ac:dyDescent="0.25">
      <c r="A6220" t="s">
        <v>15557</v>
      </c>
      <c r="B6220" t="s">
        <v>15557</v>
      </c>
      <c r="C6220" t="s">
        <v>15558</v>
      </c>
      <c r="D6220" t="s">
        <v>15559</v>
      </c>
      <c r="E6220" t="s">
        <v>2310</v>
      </c>
      <c r="F6220">
        <v>14</v>
      </c>
      <c r="G6220">
        <v>14.2</v>
      </c>
      <c r="H6220" t="s">
        <v>2017</v>
      </c>
      <c r="I6220" s="21">
        <v>43893.456481944399</v>
      </c>
      <c r="J6220">
        <v>2020</v>
      </c>
      <c r="K6220" s="21">
        <v>43942.642947685199</v>
      </c>
      <c r="L6220">
        <v>2020</v>
      </c>
      <c r="M6220" s="21">
        <v>44628</v>
      </c>
      <c r="N6220">
        <v>2022</v>
      </c>
      <c r="Q6220" s="262">
        <v>200000</v>
      </c>
      <c r="R6220" s="262">
        <v>82000</v>
      </c>
      <c r="S6220" t="s">
        <v>13253</v>
      </c>
      <c r="T6220">
        <v>7793</v>
      </c>
      <c r="W6220">
        <v>684</v>
      </c>
      <c r="X6220">
        <v>0</v>
      </c>
      <c r="AC6220">
        <v>684</v>
      </c>
      <c r="AU6220">
        <f t="shared" si="192"/>
        <v>0</v>
      </c>
      <c r="AV6220">
        <f t="shared" si="193"/>
        <v>0</v>
      </c>
    </row>
    <row r="6221" spans="1:48" x14ac:dyDescent="0.25">
      <c r="A6221" t="s">
        <v>15568</v>
      </c>
      <c r="B6221" t="s">
        <v>15568</v>
      </c>
      <c r="C6221" t="s">
        <v>15569</v>
      </c>
      <c r="D6221" t="s">
        <v>15570</v>
      </c>
      <c r="E6221" t="s">
        <v>2310</v>
      </c>
      <c r="F6221">
        <v>15</v>
      </c>
      <c r="G6221">
        <v>15.2</v>
      </c>
      <c r="H6221" t="s">
        <v>2323</v>
      </c>
      <c r="I6221" s="21">
        <v>43893.595123761603</v>
      </c>
      <c r="J6221">
        <v>2020</v>
      </c>
      <c r="K6221" s="21">
        <v>44040.550976585597</v>
      </c>
      <c r="L6221">
        <v>2020</v>
      </c>
      <c r="M6221" s="21">
        <v>44727.473349340275</v>
      </c>
      <c r="N6221">
        <v>2022</v>
      </c>
      <c r="Q6221" s="262">
        <v>2700000</v>
      </c>
      <c r="R6221" s="262">
        <v>701000</v>
      </c>
      <c r="S6221" t="s">
        <v>13254</v>
      </c>
      <c r="T6221">
        <v>0</v>
      </c>
      <c r="W6221">
        <v>5858</v>
      </c>
      <c r="X6221">
        <v>1</v>
      </c>
      <c r="AC6221">
        <v>5858</v>
      </c>
      <c r="AO6221">
        <v>1</v>
      </c>
      <c r="AU6221">
        <f t="shared" si="192"/>
        <v>1</v>
      </c>
      <c r="AV6221">
        <f t="shared" si="193"/>
        <v>0</v>
      </c>
    </row>
    <row r="6222" spans="1:48" x14ac:dyDescent="0.25">
      <c r="A6222" t="s">
        <v>14508</v>
      </c>
      <c r="B6222" t="s">
        <v>14508</v>
      </c>
      <c r="C6222" t="s">
        <v>14509</v>
      </c>
      <c r="D6222" t="s">
        <v>14510</v>
      </c>
      <c r="E6222" t="s">
        <v>2310</v>
      </c>
      <c r="F6222">
        <v>9</v>
      </c>
      <c r="G6222">
        <v>9.1999999999999993</v>
      </c>
      <c r="H6222" t="s">
        <v>2022</v>
      </c>
      <c r="I6222" s="21">
        <v>43893.674198148103</v>
      </c>
      <c r="J6222">
        <v>2020</v>
      </c>
      <c r="K6222" s="21">
        <v>44040.435357256902</v>
      </c>
      <c r="L6222">
        <v>2020</v>
      </c>
      <c r="Q6222" s="262">
        <v>950000</v>
      </c>
      <c r="R6222" s="262">
        <v>372000</v>
      </c>
      <c r="S6222" t="s">
        <v>114</v>
      </c>
      <c r="T6222" t="s">
        <v>114</v>
      </c>
      <c r="W6222">
        <v>3560</v>
      </c>
      <c r="X6222">
        <v>1</v>
      </c>
      <c r="AC6222">
        <v>3560</v>
      </c>
      <c r="AO6222">
        <v>1</v>
      </c>
      <c r="AU6222">
        <f t="shared" si="192"/>
        <v>1</v>
      </c>
      <c r="AV6222">
        <f t="shared" si="193"/>
        <v>0</v>
      </c>
    </row>
    <row r="6223" spans="1:48" x14ac:dyDescent="0.25">
      <c r="A6223" t="s">
        <v>15577</v>
      </c>
      <c r="B6223" t="s">
        <v>15577</v>
      </c>
      <c r="C6223" t="s">
        <v>15578</v>
      </c>
      <c r="D6223" t="s">
        <v>15579</v>
      </c>
      <c r="E6223" t="s">
        <v>2310</v>
      </c>
      <c r="F6223">
        <v>11</v>
      </c>
      <c r="G6223">
        <v>11.2</v>
      </c>
      <c r="H6223" t="s">
        <v>2017</v>
      </c>
      <c r="I6223" s="21">
        <v>43893.698683101902</v>
      </c>
      <c r="J6223">
        <v>2020</v>
      </c>
      <c r="K6223" s="21">
        <v>43941.584536423601</v>
      </c>
      <c r="L6223">
        <v>2020</v>
      </c>
      <c r="M6223" s="21">
        <v>44685.601763854167</v>
      </c>
      <c r="N6223">
        <v>2022</v>
      </c>
      <c r="Q6223" s="262">
        <v>125000</v>
      </c>
      <c r="R6223" s="262">
        <v>104000</v>
      </c>
      <c r="S6223" t="s">
        <v>13253</v>
      </c>
      <c r="T6223">
        <v>4808</v>
      </c>
      <c r="W6223">
        <v>1100</v>
      </c>
      <c r="X6223">
        <v>1</v>
      </c>
      <c r="AF6223">
        <v>1100</v>
      </c>
      <c r="AR6223">
        <v>1</v>
      </c>
      <c r="AU6223">
        <f t="shared" si="192"/>
        <v>0</v>
      </c>
      <c r="AV6223">
        <f t="shared" si="193"/>
        <v>0</v>
      </c>
    </row>
    <row r="6224" spans="1:48" x14ac:dyDescent="0.25">
      <c r="A6224" t="s">
        <v>14514</v>
      </c>
      <c r="B6224" t="s">
        <v>14514</v>
      </c>
      <c r="C6224" t="s">
        <v>14515</v>
      </c>
      <c r="D6224" t="s">
        <v>14516</v>
      </c>
      <c r="E6224" t="s">
        <v>2310</v>
      </c>
      <c r="F6224">
        <v>8</v>
      </c>
      <c r="G6224">
        <v>8.3000000000000007</v>
      </c>
      <c r="H6224" t="s">
        <v>2323</v>
      </c>
      <c r="I6224" s="21">
        <v>43895.610428437503</v>
      </c>
      <c r="J6224">
        <v>2020</v>
      </c>
      <c r="O6224" s="21">
        <v>43903.608757025497</v>
      </c>
      <c r="Q6224" s="262">
        <v>2400000</v>
      </c>
      <c r="R6224" s="262">
        <v>556000</v>
      </c>
      <c r="S6224" t="s">
        <v>114</v>
      </c>
      <c r="T6224" t="s">
        <v>114</v>
      </c>
      <c r="W6224">
        <v>4983</v>
      </c>
      <c r="X6224">
        <v>1</v>
      </c>
      <c r="AC6224">
        <v>4983</v>
      </c>
      <c r="AO6224">
        <v>1</v>
      </c>
      <c r="AU6224">
        <f t="shared" si="192"/>
        <v>1</v>
      </c>
      <c r="AV6224">
        <f t="shared" si="193"/>
        <v>0</v>
      </c>
    </row>
    <row r="6225" spans="1:48" x14ac:dyDescent="0.25">
      <c r="A6225" t="s">
        <v>15598</v>
      </c>
      <c r="B6225" t="s">
        <v>15598</v>
      </c>
      <c r="C6225" t="s">
        <v>15599</v>
      </c>
      <c r="D6225" t="s">
        <v>15600</v>
      </c>
      <c r="E6225" t="s">
        <v>2310</v>
      </c>
      <c r="F6225">
        <v>8</v>
      </c>
      <c r="G6225">
        <v>8.3000000000000007</v>
      </c>
      <c r="H6225" t="s">
        <v>2323</v>
      </c>
      <c r="I6225" s="21">
        <v>43900.559247997699</v>
      </c>
      <c r="J6225">
        <v>2020</v>
      </c>
      <c r="K6225" s="21">
        <v>43986.470998229197</v>
      </c>
      <c r="L6225">
        <v>2020</v>
      </c>
      <c r="M6225" s="21">
        <v>44617</v>
      </c>
      <c r="N6225">
        <v>2022</v>
      </c>
      <c r="Q6225" s="262">
        <v>3100000</v>
      </c>
      <c r="R6225" s="262">
        <v>1376000</v>
      </c>
      <c r="S6225" t="s">
        <v>13254</v>
      </c>
      <c r="T6225">
        <v>0</v>
      </c>
      <c r="W6225">
        <v>8725</v>
      </c>
      <c r="X6225">
        <v>1</v>
      </c>
      <c r="AC6225">
        <v>8725</v>
      </c>
      <c r="AO6225">
        <v>1</v>
      </c>
      <c r="AU6225">
        <f t="shared" si="192"/>
        <v>1</v>
      </c>
      <c r="AV6225">
        <f t="shared" si="193"/>
        <v>0</v>
      </c>
    </row>
    <row r="6226" spans="1:48" x14ac:dyDescent="0.25">
      <c r="A6226" t="s">
        <v>14518</v>
      </c>
      <c r="B6226" t="s">
        <v>14518</v>
      </c>
      <c r="C6226" t="s">
        <v>14519</v>
      </c>
      <c r="D6226" t="s">
        <v>14520</v>
      </c>
      <c r="E6226" t="s">
        <v>2310</v>
      </c>
      <c r="F6226">
        <v>12</v>
      </c>
      <c r="G6226">
        <v>12.3</v>
      </c>
      <c r="H6226" t="s">
        <v>2017</v>
      </c>
      <c r="I6226" s="21">
        <v>43900.617973182903</v>
      </c>
      <c r="J6226">
        <v>2020</v>
      </c>
      <c r="O6226" s="21">
        <v>43983.465104282397</v>
      </c>
      <c r="Q6226" s="262">
        <v>190000</v>
      </c>
      <c r="R6226" s="262">
        <v>78000</v>
      </c>
      <c r="S6226" t="s">
        <v>114</v>
      </c>
      <c r="T6226" t="s">
        <v>114</v>
      </c>
      <c r="V6226">
        <v>68</v>
      </c>
      <c r="W6226">
        <v>647</v>
      </c>
      <c r="X6226">
        <v>0</v>
      </c>
      <c r="AC6226">
        <v>647</v>
      </c>
      <c r="AU6226">
        <f t="shared" si="192"/>
        <v>0</v>
      </c>
      <c r="AV6226">
        <f t="shared" si="193"/>
        <v>0</v>
      </c>
    </row>
    <row r="6227" spans="1:48" x14ac:dyDescent="0.25">
      <c r="A6227" t="s">
        <v>14531</v>
      </c>
      <c r="C6227" t="s">
        <v>11246</v>
      </c>
      <c r="D6227" t="s">
        <v>14532</v>
      </c>
      <c r="E6227" t="s">
        <v>1663</v>
      </c>
      <c r="F6227">
        <v>6</v>
      </c>
      <c r="G6227">
        <v>6.1</v>
      </c>
      <c r="H6227" t="s">
        <v>2017</v>
      </c>
      <c r="I6227" s="21">
        <v>43901</v>
      </c>
      <c r="J6227">
        <v>2020</v>
      </c>
      <c r="K6227" s="21">
        <v>43923</v>
      </c>
      <c r="L6227">
        <v>2020</v>
      </c>
      <c r="M6227" s="21">
        <v>44587</v>
      </c>
      <c r="N6227">
        <v>2022</v>
      </c>
      <c r="P6227" s="21">
        <v>44446</v>
      </c>
      <c r="Q6227" s="262">
        <v>2511000</v>
      </c>
      <c r="S6227" t="s">
        <v>13254</v>
      </c>
      <c r="W6227">
        <v>4985</v>
      </c>
      <c r="X6227">
        <v>1</v>
      </c>
      <c r="AC6227">
        <v>4985</v>
      </c>
      <c r="AO6227">
        <v>1</v>
      </c>
      <c r="AU6227">
        <f t="shared" si="192"/>
        <v>1</v>
      </c>
      <c r="AV6227">
        <f t="shared" si="193"/>
        <v>0</v>
      </c>
    </row>
    <row r="6228" spans="1:48" x14ac:dyDescent="0.25">
      <c r="A6228" t="s">
        <v>1936</v>
      </c>
      <c r="C6228" t="s">
        <v>14059</v>
      </c>
      <c r="D6228" t="s">
        <v>1938</v>
      </c>
      <c r="E6228" t="s">
        <v>1663</v>
      </c>
      <c r="F6228">
        <v>2</v>
      </c>
      <c r="G6228">
        <v>2.2999999999999998</v>
      </c>
      <c r="H6228" t="s">
        <v>2327</v>
      </c>
      <c r="I6228" s="21">
        <v>43901</v>
      </c>
      <c r="J6228">
        <v>2020</v>
      </c>
      <c r="K6228" s="21">
        <v>43964</v>
      </c>
      <c r="L6228">
        <v>2020</v>
      </c>
      <c r="M6228" s="21">
        <v>44589</v>
      </c>
      <c r="N6228">
        <v>2022</v>
      </c>
      <c r="P6228" s="21">
        <v>44325</v>
      </c>
      <c r="Q6228" s="262">
        <v>11900000</v>
      </c>
      <c r="S6228" t="s">
        <v>9529</v>
      </c>
      <c r="T6228">
        <v>13122</v>
      </c>
      <c r="U6228">
        <v>21</v>
      </c>
      <c r="W6228">
        <v>-5467</v>
      </c>
      <c r="X6228">
        <v>-2</v>
      </c>
      <c r="Y6228">
        <v>0</v>
      </c>
      <c r="Z6228">
        <v>0</v>
      </c>
      <c r="AA6228">
        <v>0</v>
      </c>
      <c r="AB6228">
        <v>0</v>
      </c>
      <c r="AC6228">
        <v>0</v>
      </c>
      <c r="AD6228">
        <v>0</v>
      </c>
      <c r="AE6228">
        <v>-2000</v>
      </c>
      <c r="AF6228">
        <v>0</v>
      </c>
      <c r="AG6228">
        <v>0</v>
      </c>
      <c r="AH6228">
        <v>0</v>
      </c>
      <c r="AI6228">
        <v>0</v>
      </c>
      <c r="AJ6228">
        <v>-3467</v>
      </c>
      <c r="AK6228">
        <v>0</v>
      </c>
      <c r="AL6228">
        <v>0</v>
      </c>
      <c r="AM6228">
        <v>0</v>
      </c>
      <c r="AN6228">
        <v>0</v>
      </c>
      <c r="AO6228">
        <v>0</v>
      </c>
      <c r="AP6228">
        <v>0</v>
      </c>
      <c r="AQ6228">
        <v>-2</v>
      </c>
      <c r="AR6228">
        <v>0</v>
      </c>
      <c r="AS6228">
        <v>0</v>
      </c>
      <c r="AT6228">
        <v>0</v>
      </c>
      <c r="AU6228">
        <f t="shared" si="192"/>
        <v>-2</v>
      </c>
      <c r="AV6228">
        <f t="shared" si="193"/>
        <v>-3467</v>
      </c>
    </row>
    <row r="6229" spans="1:48" x14ac:dyDescent="0.25">
      <c r="A6229" t="s">
        <v>1936</v>
      </c>
      <c r="C6229" t="s">
        <v>14059</v>
      </c>
      <c r="D6229" t="s">
        <v>1938</v>
      </c>
      <c r="E6229" t="s">
        <v>1663</v>
      </c>
      <c r="F6229">
        <v>2</v>
      </c>
      <c r="G6229">
        <v>2.2999999999999998</v>
      </c>
      <c r="H6229" t="s">
        <v>2327</v>
      </c>
      <c r="I6229" s="21">
        <v>43901</v>
      </c>
      <c r="J6229">
        <v>2020</v>
      </c>
      <c r="K6229" s="21">
        <v>43964</v>
      </c>
      <c r="L6229">
        <v>2020</v>
      </c>
      <c r="M6229" s="21">
        <v>44589</v>
      </c>
      <c r="N6229">
        <v>2022</v>
      </c>
      <c r="P6229" s="21">
        <v>44325</v>
      </c>
      <c r="Q6229" s="262">
        <v>11900000</v>
      </c>
      <c r="S6229" t="s">
        <v>12464</v>
      </c>
      <c r="T6229">
        <v>13122</v>
      </c>
      <c r="V6229">
        <v>5139</v>
      </c>
      <c r="W6229">
        <v>37295</v>
      </c>
      <c r="X6229">
        <v>23</v>
      </c>
      <c r="AE6229">
        <v>37540</v>
      </c>
      <c r="AK6229">
        <v>3144</v>
      </c>
      <c r="AM6229">
        <v>-3389</v>
      </c>
      <c r="AQ6229">
        <v>23</v>
      </c>
      <c r="AU6229">
        <f t="shared" si="192"/>
        <v>23</v>
      </c>
      <c r="AV6229">
        <f t="shared" si="193"/>
        <v>-245</v>
      </c>
    </row>
    <row r="6230" spans="1:48" x14ac:dyDescent="0.25">
      <c r="A6230" t="s">
        <v>20061</v>
      </c>
      <c r="B6230" t="s">
        <v>20061</v>
      </c>
      <c r="C6230" t="s">
        <v>20062</v>
      </c>
      <c r="D6230" t="s">
        <v>15086</v>
      </c>
      <c r="E6230" t="s">
        <v>2310</v>
      </c>
      <c r="F6230">
        <v>9</v>
      </c>
      <c r="G6230">
        <v>9.1999999999999993</v>
      </c>
      <c r="H6230" t="s">
        <v>2022</v>
      </c>
      <c r="I6230" s="21">
        <v>43902.440703090302</v>
      </c>
      <c r="J6230">
        <v>2020</v>
      </c>
      <c r="K6230" s="21">
        <v>43928.649637696799</v>
      </c>
      <c r="L6230">
        <v>2020</v>
      </c>
      <c r="M6230" s="21">
        <v>44519</v>
      </c>
      <c r="N6230">
        <v>2021</v>
      </c>
      <c r="Q6230" s="262">
        <v>1250000</v>
      </c>
      <c r="R6230" s="262">
        <v>138000</v>
      </c>
      <c r="S6230" t="s">
        <v>13254</v>
      </c>
      <c r="U6230">
        <v>8</v>
      </c>
      <c r="W6230">
        <v>1391</v>
      </c>
      <c r="X6230">
        <v>1</v>
      </c>
      <c r="AF6230">
        <v>1391</v>
      </c>
      <c r="AR6230">
        <v>1</v>
      </c>
      <c r="AU6230">
        <f t="shared" si="192"/>
        <v>0</v>
      </c>
      <c r="AV6230">
        <f t="shared" si="193"/>
        <v>0</v>
      </c>
    </row>
    <row r="6231" spans="1:48" x14ac:dyDescent="0.25">
      <c r="A6231" t="s">
        <v>14526</v>
      </c>
      <c r="B6231" t="s">
        <v>14526</v>
      </c>
      <c r="C6231" t="s">
        <v>14527</v>
      </c>
      <c r="D6231" t="s">
        <v>1502</v>
      </c>
      <c r="E6231" t="s">
        <v>2310</v>
      </c>
      <c r="F6231">
        <v>15</v>
      </c>
      <c r="G6231">
        <v>15.1</v>
      </c>
      <c r="H6231" t="s">
        <v>2022</v>
      </c>
      <c r="I6231" s="21">
        <v>43902.589947025503</v>
      </c>
      <c r="J6231">
        <v>2020</v>
      </c>
      <c r="K6231" s="21">
        <v>43959.556162349501</v>
      </c>
      <c r="L6231">
        <v>2020</v>
      </c>
      <c r="O6231" s="21">
        <v>44159.552314155102</v>
      </c>
      <c r="Q6231" s="262">
        <v>175000</v>
      </c>
      <c r="R6231" s="262">
        <v>52000</v>
      </c>
      <c r="S6231" t="s">
        <v>114</v>
      </c>
      <c r="T6231" t="s">
        <v>114</v>
      </c>
      <c r="W6231">
        <v>1080</v>
      </c>
      <c r="X6231">
        <v>0</v>
      </c>
      <c r="AC6231">
        <v>1080</v>
      </c>
      <c r="AU6231">
        <f t="shared" si="192"/>
        <v>0</v>
      </c>
      <c r="AV6231">
        <f t="shared" si="193"/>
        <v>0</v>
      </c>
    </row>
    <row r="6232" spans="1:48" x14ac:dyDescent="0.25">
      <c r="A6232" t="s">
        <v>14528</v>
      </c>
      <c r="C6232" t="s">
        <v>14529</v>
      </c>
      <c r="D6232" t="s">
        <v>14530</v>
      </c>
      <c r="E6232" t="s">
        <v>1663</v>
      </c>
      <c r="F6232">
        <v>3</v>
      </c>
      <c r="G6232">
        <v>3.1</v>
      </c>
      <c r="H6232" t="s">
        <v>2017</v>
      </c>
      <c r="I6232" s="21">
        <v>43906</v>
      </c>
      <c r="J6232">
        <v>2020</v>
      </c>
      <c r="K6232" s="21">
        <v>44123</v>
      </c>
      <c r="L6232">
        <v>2020</v>
      </c>
      <c r="P6232" s="21">
        <v>44303</v>
      </c>
      <c r="Q6232" s="262">
        <v>1900000</v>
      </c>
      <c r="S6232" t="s">
        <v>114</v>
      </c>
      <c r="T6232" t="s">
        <v>114</v>
      </c>
      <c r="V6232">
        <v>1133</v>
      </c>
      <c r="W6232">
        <v>3362</v>
      </c>
      <c r="X6232">
        <v>1</v>
      </c>
      <c r="AC6232">
        <v>2826</v>
      </c>
      <c r="AF6232">
        <v>536</v>
      </c>
      <c r="AR6232">
        <v>1</v>
      </c>
      <c r="AU6232">
        <f t="shared" si="192"/>
        <v>0</v>
      </c>
      <c r="AV6232">
        <f t="shared" si="193"/>
        <v>0</v>
      </c>
    </row>
    <row r="6233" spans="1:48" x14ac:dyDescent="0.25">
      <c r="A6233" t="s">
        <v>15601</v>
      </c>
      <c r="B6233" t="s">
        <v>15601</v>
      </c>
      <c r="C6233" t="s">
        <v>15602</v>
      </c>
      <c r="D6233" t="s">
        <v>15603</v>
      </c>
      <c r="E6233" t="s">
        <v>2310</v>
      </c>
      <c r="F6233">
        <v>8</v>
      </c>
      <c r="G6233">
        <v>8.1</v>
      </c>
      <c r="H6233" t="s">
        <v>2323</v>
      </c>
      <c r="I6233" s="21">
        <v>43907.638960682903</v>
      </c>
      <c r="J6233">
        <v>2020</v>
      </c>
      <c r="K6233" s="21">
        <v>44048.605602812502</v>
      </c>
      <c r="L6233">
        <v>2020</v>
      </c>
      <c r="M6233" s="21">
        <v>44652</v>
      </c>
      <c r="N6233">
        <v>2022</v>
      </c>
      <c r="Q6233" s="262">
        <v>3695250</v>
      </c>
      <c r="R6233" s="262">
        <v>585000</v>
      </c>
      <c r="S6233" t="s">
        <v>13254</v>
      </c>
      <c r="T6233">
        <v>0</v>
      </c>
      <c r="W6233">
        <v>4239</v>
      </c>
      <c r="X6233">
        <v>1</v>
      </c>
      <c r="AC6233">
        <v>4239</v>
      </c>
      <c r="AO6233">
        <v>1</v>
      </c>
      <c r="AU6233">
        <f t="shared" ref="AU6233:AU6296" si="194">SUM(AN6233:AQ6233,AS6233)</f>
        <v>1</v>
      </c>
      <c r="AV6233">
        <f t="shared" ref="AV6233:AV6296" si="195">SUM(Y6233:AB6233,AH6233:AM6233)</f>
        <v>0</v>
      </c>
    </row>
    <row r="6234" spans="1:48" x14ac:dyDescent="0.25">
      <c r="A6234" t="s">
        <v>14533</v>
      </c>
      <c r="C6234" t="s">
        <v>14534</v>
      </c>
      <c r="D6234" t="s">
        <v>14535</v>
      </c>
      <c r="E6234" t="s">
        <v>1663</v>
      </c>
      <c r="F6234">
        <v>3</v>
      </c>
      <c r="G6234">
        <v>3.2</v>
      </c>
      <c r="H6234" t="s">
        <v>2327</v>
      </c>
      <c r="I6234" s="21">
        <v>43910</v>
      </c>
      <c r="J6234">
        <v>2020</v>
      </c>
      <c r="K6234" s="21">
        <v>44298</v>
      </c>
      <c r="L6234">
        <v>2021</v>
      </c>
      <c r="P6234" s="21">
        <v>44744</v>
      </c>
      <c r="Q6234" s="262">
        <v>5500000</v>
      </c>
      <c r="S6234" t="s">
        <v>114</v>
      </c>
      <c r="T6234" t="s">
        <v>114</v>
      </c>
      <c r="V6234">
        <v>1000</v>
      </c>
      <c r="W6234">
        <v>20647</v>
      </c>
      <c r="X6234">
        <v>19</v>
      </c>
      <c r="AC6234">
        <v>-1000</v>
      </c>
      <c r="AE6234">
        <v>21647</v>
      </c>
      <c r="AO6234">
        <v>-1</v>
      </c>
      <c r="AQ6234">
        <v>20</v>
      </c>
      <c r="AU6234">
        <f t="shared" si="194"/>
        <v>19</v>
      </c>
      <c r="AV6234">
        <f t="shared" si="195"/>
        <v>0</v>
      </c>
    </row>
    <row r="6235" spans="1:48" x14ac:dyDescent="0.25">
      <c r="A6235" t="s">
        <v>14536</v>
      </c>
      <c r="B6235" t="s">
        <v>14536</v>
      </c>
      <c r="C6235" t="s">
        <v>14537</v>
      </c>
      <c r="D6235" t="s">
        <v>14538</v>
      </c>
      <c r="E6235" t="s">
        <v>2310</v>
      </c>
      <c r="F6235">
        <v>9</v>
      </c>
      <c r="G6235">
        <v>9.1999999999999993</v>
      </c>
      <c r="H6235" t="s">
        <v>2022</v>
      </c>
      <c r="I6235" s="21">
        <v>43910.367827164402</v>
      </c>
      <c r="J6235">
        <v>2020</v>
      </c>
      <c r="K6235" s="21">
        <v>44026.684464664402</v>
      </c>
      <c r="L6235">
        <v>2020</v>
      </c>
      <c r="Q6235" s="262">
        <v>1814000</v>
      </c>
      <c r="R6235" s="262">
        <v>1686000</v>
      </c>
      <c r="S6235" t="s">
        <v>114</v>
      </c>
      <c r="T6235" t="s">
        <v>114</v>
      </c>
      <c r="W6235">
        <v>11395</v>
      </c>
      <c r="X6235">
        <v>1</v>
      </c>
      <c r="AC6235">
        <v>11395</v>
      </c>
      <c r="AO6235">
        <v>1</v>
      </c>
      <c r="AU6235">
        <f t="shared" si="194"/>
        <v>1</v>
      </c>
      <c r="AV6235">
        <f t="shared" si="195"/>
        <v>0</v>
      </c>
    </row>
    <row r="6236" spans="1:48" x14ac:dyDescent="0.25">
      <c r="A6236" t="s">
        <v>19748</v>
      </c>
      <c r="B6236" t="s">
        <v>19748</v>
      </c>
      <c r="C6236" t="s">
        <v>19749</v>
      </c>
      <c r="D6236" t="s">
        <v>19750</v>
      </c>
      <c r="E6236" t="s">
        <v>2310</v>
      </c>
      <c r="F6236">
        <v>8</v>
      </c>
      <c r="G6236">
        <v>8.3000000000000007</v>
      </c>
      <c r="H6236" t="s">
        <v>2323</v>
      </c>
      <c r="I6236" s="21">
        <v>43910.643458831</v>
      </c>
      <c r="J6236">
        <v>2020</v>
      </c>
      <c r="K6236" s="21">
        <v>43956.659650231501</v>
      </c>
      <c r="L6236">
        <v>2020</v>
      </c>
      <c r="M6236" s="21">
        <v>44463</v>
      </c>
      <c r="N6236">
        <v>2021</v>
      </c>
      <c r="Q6236" s="262">
        <v>980000</v>
      </c>
      <c r="R6236" s="262">
        <v>349000</v>
      </c>
      <c r="S6236" t="s">
        <v>13253</v>
      </c>
      <c r="T6236">
        <v>754</v>
      </c>
      <c r="U6236">
        <v>5</v>
      </c>
      <c r="V6236">
        <v>56</v>
      </c>
      <c r="W6236">
        <v>3513</v>
      </c>
      <c r="X6236">
        <v>0</v>
      </c>
      <c r="AC6236">
        <v>3513</v>
      </c>
      <c r="AU6236">
        <f t="shared" si="194"/>
        <v>0</v>
      </c>
      <c r="AV6236">
        <f t="shared" si="195"/>
        <v>0</v>
      </c>
    </row>
    <row r="6237" spans="1:48" x14ac:dyDescent="0.25">
      <c r="A6237" t="s">
        <v>19926</v>
      </c>
      <c r="C6237" t="s">
        <v>19927</v>
      </c>
      <c r="D6237" t="s">
        <v>19928</v>
      </c>
      <c r="E6237" t="s">
        <v>1663</v>
      </c>
      <c r="F6237">
        <v>4</v>
      </c>
      <c r="G6237">
        <v>4.4000000000000004</v>
      </c>
      <c r="H6237" t="s">
        <v>2017</v>
      </c>
      <c r="I6237" s="21">
        <v>43913</v>
      </c>
      <c r="J6237">
        <v>2020</v>
      </c>
      <c r="K6237" s="21">
        <v>43964</v>
      </c>
      <c r="L6237">
        <v>2020</v>
      </c>
      <c r="M6237" s="21">
        <v>44378</v>
      </c>
      <c r="N6237">
        <v>2021</v>
      </c>
      <c r="Q6237" s="262">
        <v>850000</v>
      </c>
      <c r="S6237" t="s">
        <v>13253</v>
      </c>
      <c r="T6237">
        <v>12173</v>
      </c>
      <c r="U6237">
        <v>7</v>
      </c>
      <c r="W6237">
        <v>1573</v>
      </c>
      <c r="X6237">
        <v>2</v>
      </c>
      <c r="AC6237">
        <v>-1176</v>
      </c>
      <c r="AE6237">
        <v>2749</v>
      </c>
      <c r="AO6237">
        <v>-1</v>
      </c>
      <c r="AQ6237">
        <v>3</v>
      </c>
      <c r="AU6237">
        <f t="shared" si="194"/>
        <v>2</v>
      </c>
      <c r="AV6237">
        <f t="shared" si="195"/>
        <v>0</v>
      </c>
    </row>
    <row r="6238" spans="1:48" x14ac:dyDescent="0.25">
      <c r="A6238" t="s">
        <v>14539</v>
      </c>
      <c r="C6238" t="s">
        <v>11905</v>
      </c>
      <c r="D6238" t="s">
        <v>14540</v>
      </c>
      <c r="E6238" t="s">
        <v>1663</v>
      </c>
      <c r="F6238">
        <v>3</v>
      </c>
      <c r="G6238">
        <v>3.2</v>
      </c>
      <c r="H6238" t="s">
        <v>2327</v>
      </c>
      <c r="I6238" s="21">
        <v>43913</v>
      </c>
      <c r="J6238">
        <v>2020</v>
      </c>
      <c r="K6238" s="21">
        <v>44088</v>
      </c>
      <c r="L6238">
        <v>2020</v>
      </c>
      <c r="M6238" s="21">
        <v>44673</v>
      </c>
      <c r="N6238">
        <v>2022</v>
      </c>
      <c r="P6238" s="21">
        <v>44452</v>
      </c>
      <c r="Q6238" s="262">
        <v>700000</v>
      </c>
      <c r="S6238" t="s">
        <v>13254</v>
      </c>
      <c r="W6238">
        <v>3044</v>
      </c>
      <c r="X6238">
        <v>1</v>
      </c>
      <c r="AD6238">
        <v>3044</v>
      </c>
      <c r="AP6238">
        <v>1</v>
      </c>
      <c r="AU6238">
        <f t="shared" si="194"/>
        <v>1</v>
      </c>
      <c r="AV6238">
        <f t="shared" si="195"/>
        <v>0</v>
      </c>
    </row>
    <row r="6239" spans="1:48" x14ac:dyDescent="0.25">
      <c r="A6239" t="s">
        <v>14541</v>
      </c>
      <c r="C6239" t="s">
        <v>11905</v>
      </c>
      <c r="D6239" t="s">
        <v>14542</v>
      </c>
      <c r="E6239" t="s">
        <v>1663</v>
      </c>
      <c r="F6239">
        <v>3</v>
      </c>
      <c r="G6239">
        <v>3.2</v>
      </c>
      <c r="H6239" t="s">
        <v>2327</v>
      </c>
      <c r="I6239" s="21">
        <v>43913</v>
      </c>
      <c r="J6239">
        <v>2020</v>
      </c>
      <c r="K6239" s="21">
        <v>44088</v>
      </c>
      <c r="L6239">
        <v>2020</v>
      </c>
      <c r="M6239" s="21">
        <v>44588</v>
      </c>
      <c r="N6239">
        <v>2022</v>
      </c>
      <c r="P6239" s="21">
        <v>44452</v>
      </c>
      <c r="Q6239" s="262">
        <v>0</v>
      </c>
      <c r="S6239" t="s">
        <v>13254</v>
      </c>
      <c r="W6239">
        <v>2634</v>
      </c>
      <c r="X6239">
        <v>1</v>
      </c>
      <c r="AD6239">
        <v>2634</v>
      </c>
      <c r="AP6239">
        <v>1</v>
      </c>
      <c r="AU6239">
        <f t="shared" si="194"/>
        <v>1</v>
      </c>
      <c r="AV6239">
        <f t="shared" si="195"/>
        <v>0</v>
      </c>
    </row>
    <row r="6240" spans="1:48" x14ac:dyDescent="0.25">
      <c r="A6240" t="s">
        <v>19898</v>
      </c>
      <c r="C6240" t="s">
        <v>11905</v>
      </c>
      <c r="D6240" t="s">
        <v>19899</v>
      </c>
      <c r="E6240" t="s">
        <v>1663</v>
      </c>
      <c r="F6240">
        <v>3</v>
      </c>
      <c r="G6240">
        <v>3.2</v>
      </c>
      <c r="H6240" t="s">
        <v>2327</v>
      </c>
      <c r="I6240" s="21">
        <v>43913</v>
      </c>
      <c r="J6240">
        <v>2020</v>
      </c>
      <c r="K6240" s="21">
        <v>44088</v>
      </c>
      <c r="L6240">
        <v>2020</v>
      </c>
      <c r="M6240" s="21">
        <v>44553</v>
      </c>
      <c r="N6240">
        <v>2021</v>
      </c>
      <c r="Q6240" s="262">
        <v>700000</v>
      </c>
      <c r="S6240" t="s">
        <v>13254</v>
      </c>
      <c r="U6240">
        <v>6</v>
      </c>
      <c r="W6240">
        <v>2825</v>
      </c>
      <c r="X6240">
        <v>1</v>
      </c>
      <c r="AD6240">
        <v>2825</v>
      </c>
      <c r="AP6240">
        <v>1</v>
      </c>
      <c r="AU6240">
        <f t="shared" si="194"/>
        <v>1</v>
      </c>
      <c r="AV6240">
        <f t="shared" si="195"/>
        <v>0</v>
      </c>
    </row>
    <row r="6241" spans="1:48" x14ac:dyDescent="0.25">
      <c r="A6241" t="s">
        <v>19900</v>
      </c>
      <c r="C6241" t="s">
        <v>11905</v>
      </c>
      <c r="D6241" t="s">
        <v>19901</v>
      </c>
      <c r="E6241" t="s">
        <v>1663</v>
      </c>
      <c r="F6241">
        <v>3</v>
      </c>
      <c r="G6241">
        <v>3.2</v>
      </c>
      <c r="H6241" t="s">
        <v>2327</v>
      </c>
      <c r="I6241" s="21">
        <v>43913</v>
      </c>
      <c r="J6241">
        <v>2020</v>
      </c>
      <c r="K6241" s="21">
        <v>44088</v>
      </c>
      <c r="L6241">
        <v>2020</v>
      </c>
      <c r="M6241" s="21">
        <v>44553</v>
      </c>
      <c r="N6241">
        <v>2021</v>
      </c>
      <c r="Q6241" s="262">
        <v>700000</v>
      </c>
      <c r="S6241" t="s">
        <v>13254</v>
      </c>
      <c r="U6241">
        <v>6</v>
      </c>
      <c r="W6241">
        <v>2634</v>
      </c>
      <c r="X6241">
        <v>1</v>
      </c>
      <c r="AD6241">
        <v>2634</v>
      </c>
      <c r="AP6241">
        <v>1</v>
      </c>
      <c r="AU6241">
        <f t="shared" si="194"/>
        <v>1</v>
      </c>
      <c r="AV6241">
        <f t="shared" si="195"/>
        <v>0</v>
      </c>
    </row>
    <row r="6242" spans="1:48" x14ac:dyDescent="0.25">
      <c r="A6242" t="s">
        <v>19902</v>
      </c>
      <c r="C6242" t="s">
        <v>11905</v>
      </c>
      <c r="D6242" t="s">
        <v>19903</v>
      </c>
      <c r="E6242" t="s">
        <v>1663</v>
      </c>
      <c r="F6242">
        <v>3</v>
      </c>
      <c r="G6242">
        <v>3.2</v>
      </c>
      <c r="H6242" t="s">
        <v>2327</v>
      </c>
      <c r="I6242" s="21">
        <v>43913</v>
      </c>
      <c r="J6242">
        <v>2020</v>
      </c>
      <c r="K6242" s="21">
        <v>44088</v>
      </c>
      <c r="L6242">
        <v>2020</v>
      </c>
      <c r="M6242" s="21">
        <v>44553</v>
      </c>
      <c r="N6242">
        <v>2021</v>
      </c>
      <c r="Q6242" s="262">
        <v>700000</v>
      </c>
      <c r="S6242" t="s">
        <v>13254</v>
      </c>
      <c r="U6242">
        <v>6</v>
      </c>
      <c r="W6242">
        <v>2135</v>
      </c>
      <c r="X6242">
        <v>1</v>
      </c>
      <c r="AD6242">
        <v>2135</v>
      </c>
      <c r="AP6242">
        <v>1</v>
      </c>
      <c r="AU6242">
        <f t="shared" si="194"/>
        <v>1</v>
      </c>
      <c r="AV6242">
        <f t="shared" si="195"/>
        <v>0</v>
      </c>
    </row>
    <row r="6243" spans="1:48" x14ac:dyDescent="0.25">
      <c r="A6243" t="s">
        <v>20163</v>
      </c>
      <c r="B6243" t="s">
        <v>20163</v>
      </c>
      <c r="C6243" t="s">
        <v>20164</v>
      </c>
      <c r="D6243" t="s">
        <v>20165</v>
      </c>
      <c r="E6243" t="s">
        <v>2310</v>
      </c>
      <c r="F6243">
        <v>14</v>
      </c>
      <c r="G6243">
        <v>14.1</v>
      </c>
      <c r="H6243" t="s">
        <v>2022</v>
      </c>
      <c r="I6243" s="21">
        <v>43914.463403043999</v>
      </c>
      <c r="J6243">
        <v>2020</v>
      </c>
      <c r="K6243" s="21">
        <v>44050.661643402796</v>
      </c>
      <c r="L6243">
        <v>2020</v>
      </c>
      <c r="M6243" s="21">
        <v>44470</v>
      </c>
      <c r="N6243">
        <v>2021</v>
      </c>
      <c r="Q6243" s="262">
        <v>450000</v>
      </c>
      <c r="R6243" s="262">
        <v>336000</v>
      </c>
      <c r="S6243" t="s">
        <v>13254</v>
      </c>
      <c r="U6243">
        <v>5</v>
      </c>
      <c r="W6243">
        <v>3270</v>
      </c>
      <c r="X6243">
        <v>1</v>
      </c>
      <c r="AC6243">
        <v>3270</v>
      </c>
      <c r="AO6243">
        <v>1</v>
      </c>
      <c r="AU6243">
        <f t="shared" si="194"/>
        <v>1</v>
      </c>
      <c r="AV6243">
        <f t="shared" si="195"/>
        <v>0</v>
      </c>
    </row>
    <row r="6244" spans="1:48" x14ac:dyDescent="0.25">
      <c r="A6244" t="s">
        <v>19837</v>
      </c>
      <c r="B6244" t="s">
        <v>19837</v>
      </c>
      <c r="C6244" t="s">
        <v>19838</v>
      </c>
      <c r="D6244" t="s">
        <v>19839</v>
      </c>
      <c r="E6244" t="s">
        <v>2310</v>
      </c>
      <c r="F6244">
        <v>9</v>
      </c>
      <c r="G6244">
        <v>9.3000000000000007</v>
      </c>
      <c r="H6244" t="s">
        <v>2323</v>
      </c>
      <c r="I6244" s="21">
        <v>43914.588813310198</v>
      </c>
      <c r="J6244">
        <v>2020</v>
      </c>
      <c r="K6244" s="21">
        <v>43970.664945104203</v>
      </c>
      <c r="L6244">
        <v>2020</v>
      </c>
      <c r="M6244" s="21">
        <v>44410</v>
      </c>
      <c r="N6244">
        <v>2021</v>
      </c>
      <c r="Q6244" s="262">
        <v>1450000</v>
      </c>
      <c r="R6244" s="262">
        <v>655000</v>
      </c>
      <c r="S6244" t="s">
        <v>13254</v>
      </c>
      <c r="U6244">
        <v>5</v>
      </c>
      <c r="W6244">
        <v>5333</v>
      </c>
      <c r="X6244">
        <v>1</v>
      </c>
      <c r="AC6244">
        <v>5333</v>
      </c>
      <c r="AO6244">
        <v>1</v>
      </c>
      <c r="AU6244">
        <f t="shared" si="194"/>
        <v>1</v>
      </c>
      <c r="AV6244">
        <f t="shared" si="195"/>
        <v>0</v>
      </c>
    </row>
    <row r="6245" spans="1:48" x14ac:dyDescent="0.25">
      <c r="A6245" t="s">
        <v>19934</v>
      </c>
      <c r="C6245" t="s">
        <v>19935</v>
      </c>
      <c r="D6245" t="s">
        <v>19936</v>
      </c>
      <c r="E6245" t="s">
        <v>1663</v>
      </c>
      <c r="F6245">
        <v>4</v>
      </c>
      <c r="G6245">
        <v>4.0999999999999996</v>
      </c>
      <c r="H6245" t="s">
        <v>2327</v>
      </c>
      <c r="I6245" s="21">
        <v>43915</v>
      </c>
      <c r="J6245">
        <v>2020</v>
      </c>
      <c r="K6245" s="21">
        <v>44006</v>
      </c>
      <c r="L6245">
        <v>2020</v>
      </c>
      <c r="M6245" s="21">
        <v>44250</v>
      </c>
      <c r="N6245">
        <v>2021</v>
      </c>
      <c r="Q6245" s="262">
        <v>1700000</v>
      </c>
      <c r="S6245" t="s">
        <v>13254</v>
      </c>
      <c r="U6245">
        <v>13</v>
      </c>
      <c r="W6245">
        <v>3636</v>
      </c>
      <c r="X6245">
        <v>0</v>
      </c>
      <c r="AK6245">
        <v>3636</v>
      </c>
      <c r="AU6245">
        <f t="shared" si="194"/>
        <v>0</v>
      </c>
      <c r="AV6245">
        <f t="shared" si="195"/>
        <v>3636</v>
      </c>
    </row>
    <row r="6246" spans="1:48" x14ac:dyDescent="0.25">
      <c r="A6246" t="s">
        <v>14543</v>
      </c>
      <c r="C6246" t="s">
        <v>14544</v>
      </c>
      <c r="D6246" t="s">
        <v>4683</v>
      </c>
      <c r="E6246" t="s">
        <v>1663</v>
      </c>
      <c r="F6246">
        <v>2</v>
      </c>
      <c r="G6246">
        <v>2.6</v>
      </c>
      <c r="H6246" t="s">
        <v>2327</v>
      </c>
      <c r="I6246" s="21">
        <v>43915</v>
      </c>
      <c r="J6246">
        <v>2020</v>
      </c>
      <c r="K6246" s="21">
        <v>43962</v>
      </c>
      <c r="L6246">
        <v>2020</v>
      </c>
      <c r="M6246" s="21">
        <v>44098</v>
      </c>
      <c r="N6246">
        <v>2020</v>
      </c>
      <c r="Q6246" s="262">
        <v>250000</v>
      </c>
      <c r="S6246" t="s">
        <v>114</v>
      </c>
      <c r="T6246" t="s">
        <v>114</v>
      </c>
      <c r="W6246">
        <v>0</v>
      </c>
      <c r="X6246">
        <v>0</v>
      </c>
      <c r="AU6246">
        <f t="shared" si="194"/>
        <v>0</v>
      </c>
      <c r="AV6246">
        <f t="shared" si="195"/>
        <v>0</v>
      </c>
    </row>
    <row r="6247" spans="1:48" x14ac:dyDescent="0.25">
      <c r="A6247" t="s">
        <v>15611</v>
      </c>
      <c r="B6247" t="s">
        <v>15611</v>
      </c>
      <c r="C6247" t="s">
        <v>15612</v>
      </c>
      <c r="D6247" t="s">
        <v>15613</v>
      </c>
      <c r="E6247" t="s">
        <v>2310</v>
      </c>
      <c r="F6247">
        <v>8</v>
      </c>
      <c r="G6247">
        <v>8.3000000000000007</v>
      </c>
      <c r="H6247" t="s">
        <v>2323</v>
      </c>
      <c r="I6247" s="21">
        <v>43915.477805405098</v>
      </c>
      <c r="J6247">
        <v>2020</v>
      </c>
      <c r="K6247" s="21">
        <v>44117.329568634297</v>
      </c>
      <c r="L6247">
        <v>2020</v>
      </c>
      <c r="M6247" s="21">
        <v>44610.669999652775</v>
      </c>
      <c r="N6247">
        <v>2022</v>
      </c>
      <c r="Q6247" s="262">
        <v>500000</v>
      </c>
      <c r="R6247" s="262">
        <v>209000</v>
      </c>
      <c r="S6247" t="s">
        <v>13253</v>
      </c>
      <c r="T6247">
        <v>176</v>
      </c>
      <c r="V6247">
        <v>5760</v>
      </c>
      <c r="W6247">
        <v>0</v>
      </c>
      <c r="X6247">
        <v>0</v>
      </c>
      <c r="AU6247">
        <f t="shared" si="194"/>
        <v>0</v>
      </c>
      <c r="AV6247">
        <f t="shared" si="195"/>
        <v>0</v>
      </c>
    </row>
    <row r="6248" spans="1:48" x14ac:dyDescent="0.25">
      <c r="A6248" t="s">
        <v>19130</v>
      </c>
      <c r="B6248" t="s">
        <v>114</v>
      </c>
      <c r="C6248" t="s">
        <v>13528</v>
      </c>
      <c r="D6248" t="s">
        <v>19131</v>
      </c>
      <c r="E6248" t="s">
        <v>1663</v>
      </c>
      <c r="F6248">
        <v>6</v>
      </c>
      <c r="G6248">
        <v>6.1</v>
      </c>
      <c r="H6248" t="s">
        <v>2017</v>
      </c>
      <c r="I6248" s="21">
        <v>43916</v>
      </c>
      <c r="J6248">
        <v>2020</v>
      </c>
      <c r="K6248" s="21">
        <v>43937</v>
      </c>
      <c r="L6248">
        <v>2020</v>
      </c>
      <c r="M6248" s="21">
        <v>44235</v>
      </c>
      <c r="N6248">
        <v>2021</v>
      </c>
      <c r="Q6248" s="262">
        <v>250000</v>
      </c>
      <c r="S6248" t="s">
        <v>13253</v>
      </c>
      <c r="T6248">
        <v>10794</v>
      </c>
      <c r="W6248">
        <v>882</v>
      </c>
      <c r="X6248">
        <v>0</v>
      </c>
      <c r="AC6248">
        <v>882</v>
      </c>
      <c r="AU6248">
        <f t="shared" si="194"/>
        <v>0</v>
      </c>
      <c r="AV6248">
        <f t="shared" si="195"/>
        <v>0</v>
      </c>
    </row>
    <row r="6249" spans="1:48" x14ac:dyDescent="0.25">
      <c r="A6249" t="s">
        <v>19768</v>
      </c>
      <c r="C6249" t="s">
        <v>12955</v>
      </c>
      <c r="D6249" t="s">
        <v>19769</v>
      </c>
      <c r="E6249" t="s">
        <v>1663</v>
      </c>
      <c r="F6249">
        <v>5</v>
      </c>
      <c r="G6249">
        <v>5.5</v>
      </c>
      <c r="H6249" t="s">
        <v>2017</v>
      </c>
      <c r="I6249" s="21">
        <v>43917</v>
      </c>
      <c r="J6249">
        <v>2020</v>
      </c>
      <c r="K6249" s="21">
        <v>43934</v>
      </c>
      <c r="L6249">
        <v>2020</v>
      </c>
      <c r="M6249" s="21">
        <v>44252</v>
      </c>
      <c r="N6249">
        <v>2021</v>
      </c>
      <c r="Q6249" s="262">
        <v>325000</v>
      </c>
      <c r="S6249" t="s">
        <v>13253</v>
      </c>
      <c r="T6249">
        <v>13467</v>
      </c>
      <c r="U6249">
        <v>5</v>
      </c>
      <c r="W6249">
        <v>800</v>
      </c>
      <c r="X6249">
        <v>0</v>
      </c>
      <c r="AC6249">
        <v>800</v>
      </c>
      <c r="AU6249">
        <f t="shared" si="194"/>
        <v>0</v>
      </c>
      <c r="AV6249">
        <f t="shared" si="195"/>
        <v>0</v>
      </c>
    </row>
    <row r="6250" spans="1:48" x14ac:dyDescent="0.25">
      <c r="A6250" t="s">
        <v>14545</v>
      </c>
      <c r="C6250" t="s">
        <v>11706</v>
      </c>
      <c r="D6250" t="s">
        <v>14546</v>
      </c>
      <c r="E6250" t="s">
        <v>1663</v>
      </c>
      <c r="F6250">
        <v>3</v>
      </c>
      <c r="G6250">
        <v>3.2</v>
      </c>
      <c r="H6250" t="s">
        <v>2327</v>
      </c>
      <c r="I6250" s="21">
        <v>43917</v>
      </c>
      <c r="J6250">
        <v>2020</v>
      </c>
      <c r="K6250" s="21">
        <v>44088</v>
      </c>
      <c r="L6250">
        <v>2020</v>
      </c>
      <c r="M6250" s="21">
        <v>44714</v>
      </c>
      <c r="N6250">
        <v>2022</v>
      </c>
      <c r="P6250" s="21">
        <v>44368</v>
      </c>
      <c r="Q6250" s="262">
        <v>700000</v>
      </c>
      <c r="S6250" t="s">
        <v>13254</v>
      </c>
      <c r="W6250">
        <v>3044</v>
      </c>
      <c r="X6250">
        <v>1</v>
      </c>
      <c r="AD6250">
        <v>3044</v>
      </c>
      <c r="AP6250">
        <v>1</v>
      </c>
      <c r="AU6250">
        <f t="shared" si="194"/>
        <v>1</v>
      </c>
      <c r="AV6250">
        <f t="shared" si="195"/>
        <v>0</v>
      </c>
    </row>
    <row r="6251" spans="1:48" x14ac:dyDescent="0.25">
      <c r="A6251" t="s">
        <v>14547</v>
      </c>
      <c r="C6251" t="s">
        <v>11706</v>
      </c>
      <c r="D6251" t="s">
        <v>14548</v>
      </c>
      <c r="E6251" t="s">
        <v>1663</v>
      </c>
      <c r="F6251">
        <v>3</v>
      </c>
      <c r="G6251">
        <v>3.2</v>
      </c>
      <c r="H6251" t="s">
        <v>2327</v>
      </c>
      <c r="I6251" s="21">
        <v>43917</v>
      </c>
      <c r="J6251">
        <v>2020</v>
      </c>
      <c r="K6251" s="21">
        <v>44088</v>
      </c>
      <c r="L6251">
        <v>2020</v>
      </c>
      <c r="M6251" s="21">
        <v>44636</v>
      </c>
      <c r="N6251">
        <v>2022</v>
      </c>
      <c r="P6251" s="21">
        <v>44368</v>
      </c>
      <c r="Q6251" s="262">
        <v>700000</v>
      </c>
      <c r="S6251" t="s">
        <v>13254</v>
      </c>
      <c r="W6251">
        <v>2634</v>
      </c>
      <c r="X6251">
        <v>1</v>
      </c>
      <c r="AD6251">
        <v>2634</v>
      </c>
      <c r="AP6251">
        <v>1</v>
      </c>
      <c r="AU6251">
        <f t="shared" si="194"/>
        <v>1</v>
      </c>
      <c r="AV6251">
        <f t="shared" si="195"/>
        <v>0</v>
      </c>
    </row>
    <row r="6252" spans="1:48" x14ac:dyDescent="0.25">
      <c r="A6252" t="s">
        <v>14549</v>
      </c>
      <c r="C6252" t="s">
        <v>14377</v>
      </c>
      <c r="D6252" t="s">
        <v>14550</v>
      </c>
      <c r="E6252" t="s">
        <v>1663</v>
      </c>
      <c r="F6252">
        <v>3</v>
      </c>
      <c r="G6252">
        <v>3.2</v>
      </c>
      <c r="H6252" t="s">
        <v>2327</v>
      </c>
      <c r="I6252" s="21">
        <v>43917</v>
      </c>
      <c r="J6252">
        <v>2020</v>
      </c>
      <c r="K6252" s="21">
        <v>44088</v>
      </c>
      <c r="L6252">
        <v>2020</v>
      </c>
      <c r="M6252" s="21">
        <v>44643</v>
      </c>
      <c r="N6252">
        <v>2022</v>
      </c>
      <c r="P6252" s="21">
        <v>44368</v>
      </c>
      <c r="Q6252" s="262">
        <v>700000</v>
      </c>
      <c r="S6252" t="s">
        <v>13254</v>
      </c>
      <c r="W6252">
        <v>2825</v>
      </c>
      <c r="X6252">
        <v>1</v>
      </c>
      <c r="AD6252">
        <v>2825</v>
      </c>
      <c r="AP6252">
        <v>1</v>
      </c>
      <c r="AU6252">
        <f t="shared" si="194"/>
        <v>1</v>
      </c>
      <c r="AV6252">
        <f t="shared" si="195"/>
        <v>0</v>
      </c>
    </row>
    <row r="6253" spans="1:48" x14ac:dyDescent="0.25">
      <c r="A6253" t="s">
        <v>14551</v>
      </c>
      <c r="C6253" t="s">
        <v>11709</v>
      </c>
      <c r="D6253" t="s">
        <v>14552</v>
      </c>
      <c r="E6253" t="s">
        <v>1663</v>
      </c>
      <c r="F6253">
        <v>3</v>
      </c>
      <c r="G6253">
        <v>3.2</v>
      </c>
      <c r="H6253" t="s">
        <v>2327</v>
      </c>
      <c r="I6253" s="21">
        <v>43917</v>
      </c>
      <c r="J6253">
        <v>2020</v>
      </c>
      <c r="K6253" s="21">
        <v>44088</v>
      </c>
      <c r="L6253">
        <v>2020</v>
      </c>
      <c r="M6253" s="21">
        <v>44658</v>
      </c>
      <c r="N6253">
        <v>2022</v>
      </c>
      <c r="P6253" s="21">
        <v>44368</v>
      </c>
      <c r="Q6253" s="262">
        <v>700000</v>
      </c>
      <c r="S6253" t="s">
        <v>13254</v>
      </c>
      <c r="W6253">
        <v>2135</v>
      </c>
      <c r="X6253">
        <v>1</v>
      </c>
      <c r="AD6253">
        <v>2135</v>
      </c>
      <c r="AP6253">
        <v>1</v>
      </c>
      <c r="AU6253">
        <f t="shared" si="194"/>
        <v>1</v>
      </c>
      <c r="AV6253">
        <f t="shared" si="195"/>
        <v>0</v>
      </c>
    </row>
    <row r="6254" spans="1:48" x14ac:dyDescent="0.25">
      <c r="A6254" t="s">
        <v>14556</v>
      </c>
      <c r="C6254" t="s">
        <v>11905</v>
      </c>
      <c r="D6254" t="s">
        <v>14557</v>
      </c>
      <c r="E6254" t="s">
        <v>1663</v>
      </c>
      <c r="F6254">
        <v>3</v>
      </c>
      <c r="G6254">
        <v>3.2</v>
      </c>
      <c r="H6254" t="s">
        <v>2327</v>
      </c>
      <c r="I6254" s="21">
        <v>43917</v>
      </c>
      <c r="J6254">
        <v>2020</v>
      </c>
      <c r="K6254" s="21">
        <v>44088</v>
      </c>
      <c r="L6254">
        <v>2020</v>
      </c>
      <c r="P6254" s="21">
        <v>44368</v>
      </c>
      <c r="Q6254" s="262">
        <v>700000</v>
      </c>
      <c r="S6254" t="s">
        <v>114</v>
      </c>
      <c r="T6254" t="s">
        <v>114</v>
      </c>
      <c r="W6254">
        <v>2634</v>
      </c>
      <c r="X6254">
        <v>1</v>
      </c>
      <c r="AD6254">
        <v>2634</v>
      </c>
      <c r="AP6254">
        <v>1</v>
      </c>
      <c r="AU6254">
        <f t="shared" si="194"/>
        <v>1</v>
      </c>
      <c r="AV6254">
        <f t="shared" si="195"/>
        <v>0</v>
      </c>
    </row>
    <row r="6255" spans="1:48" x14ac:dyDescent="0.25">
      <c r="A6255" t="s">
        <v>19828</v>
      </c>
      <c r="B6255" t="s">
        <v>19828</v>
      </c>
      <c r="C6255" t="s">
        <v>19829</v>
      </c>
      <c r="D6255" t="s">
        <v>19830</v>
      </c>
      <c r="E6255" t="s">
        <v>2310</v>
      </c>
      <c r="F6255">
        <v>9</v>
      </c>
      <c r="G6255">
        <v>9.3000000000000007</v>
      </c>
      <c r="H6255" t="s">
        <v>2323</v>
      </c>
      <c r="I6255" s="21">
        <v>43920.318567164402</v>
      </c>
      <c r="J6255">
        <v>2020</v>
      </c>
      <c r="K6255" s="21">
        <v>44005.405036226897</v>
      </c>
      <c r="L6255">
        <v>2020</v>
      </c>
      <c r="M6255" s="21">
        <v>44418</v>
      </c>
      <c r="N6255">
        <v>2021</v>
      </c>
      <c r="Q6255" s="262">
        <v>1800000</v>
      </c>
      <c r="R6255" s="262">
        <v>631000</v>
      </c>
      <c r="S6255" t="s">
        <v>13254</v>
      </c>
      <c r="U6255">
        <v>5</v>
      </c>
      <c r="W6255">
        <v>4998</v>
      </c>
      <c r="X6255">
        <v>1</v>
      </c>
      <c r="AC6255">
        <v>4998</v>
      </c>
      <c r="AO6255">
        <v>1</v>
      </c>
      <c r="AU6255">
        <f t="shared" si="194"/>
        <v>1</v>
      </c>
      <c r="AV6255">
        <f t="shared" si="195"/>
        <v>0</v>
      </c>
    </row>
    <row r="6256" spans="1:48" x14ac:dyDescent="0.25">
      <c r="A6256" t="s">
        <v>19737</v>
      </c>
      <c r="B6256" t="s">
        <v>19737</v>
      </c>
      <c r="C6256" t="s">
        <v>19738</v>
      </c>
      <c r="D6256" t="s">
        <v>10172</v>
      </c>
      <c r="E6256" t="s">
        <v>2310</v>
      </c>
      <c r="F6256">
        <v>8</v>
      </c>
      <c r="G6256">
        <v>8.3000000000000007</v>
      </c>
      <c r="H6256" t="s">
        <v>2323</v>
      </c>
      <c r="I6256" s="21">
        <v>43921.449408530098</v>
      </c>
      <c r="J6256">
        <v>2020</v>
      </c>
      <c r="K6256" s="21">
        <v>43962.526186724499</v>
      </c>
      <c r="L6256">
        <v>2020</v>
      </c>
      <c r="M6256" s="21">
        <v>44299</v>
      </c>
      <c r="N6256">
        <v>2021</v>
      </c>
      <c r="Q6256" s="262">
        <v>122000</v>
      </c>
      <c r="R6256" s="262">
        <v>104000</v>
      </c>
      <c r="S6256" t="s">
        <v>13254</v>
      </c>
      <c r="U6256">
        <v>5</v>
      </c>
      <c r="W6256">
        <v>2160</v>
      </c>
      <c r="X6256">
        <v>0</v>
      </c>
      <c r="AC6256">
        <v>2160</v>
      </c>
      <c r="AU6256">
        <f t="shared" si="194"/>
        <v>0</v>
      </c>
      <c r="AV6256">
        <f t="shared" si="195"/>
        <v>0</v>
      </c>
    </row>
    <row r="6257" spans="1:48" x14ac:dyDescent="0.25">
      <c r="A6257" t="s">
        <v>19772</v>
      </c>
      <c r="C6257" t="s">
        <v>11246</v>
      </c>
      <c r="D6257" t="s">
        <v>19773</v>
      </c>
      <c r="E6257" t="s">
        <v>1663</v>
      </c>
      <c r="F6257">
        <v>5</v>
      </c>
      <c r="G6257">
        <v>5.5</v>
      </c>
      <c r="H6257" t="s">
        <v>2017</v>
      </c>
      <c r="I6257" s="21">
        <v>43922</v>
      </c>
      <c r="J6257">
        <v>2020</v>
      </c>
      <c r="K6257" s="21">
        <v>43948</v>
      </c>
      <c r="L6257">
        <v>2020</v>
      </c>
      <c r="M6257" s="21">
        <v>44305</v>
      </c>
      <c r="N6257">
        <v>2021</v>
      </c>
      <c r="Q6257" s="262">
        <v>700000</v>
      </c>
      <c r="S6257" t="s">
        <v>13254</v>
      </c>
      <c r="U6257">
        <v>5</v>
      </c>
      <c r="W6257">
        <v>3207</v>
      </c>
      <c r="X6257">
        <v>1</v>
      </c>
      <c r="AC6257">
        <v>3207</v>
      </c>
      <c r="AO6257">
        <v>1</v>
      </c>
      <c r="AU6257">
        <f t="shared" si="194"/>
        <v>1</v>
      </c>
      <c r="AV6257">
        <f t="shared" si="195"/>
        <v>0</v>
      </c>
    </row>
    <row r="6258" spans="1:48" x14ac:dyDescent="0.25">
      <c r="A6258" t="s">
        <v>14553</v>
      </c>
      <c r="C6258" t="s">
        <v>14554</v>
      </c>
      <c r="D6258" t="s">
        <v>14555</v>
      </c>
      <c r="E6258" t="s">
        <v>1663</v>
      </c>
      <c r="F6258">
        <v>3</v>
      </c>
      <c r="G6258">
        <v>3.1</v>
      </c>
      <c r="H6258" t="s">
        <v>2017</v>
      </c>
      <c r="I6258" s="21">
        <v>43922</v>
      </c>
      <c r="J6258">
        <v>2020</v>
      </c>
      <c r="K6258" s="21">
        <v>44123</v>
      </c>
      <c r="L6258">
        <v>2020</v>
      </c>
      <c r="M6258" s="21">
        <v>44883</v>
      </c>
      <c r="N6258">
        <v>2022</v>
      </c>
      <c r="P6258" s="21">
        <v>44453</v>
      </c>
      <c r="Q6258" s="262">
        <v>1900000</v>
      </c>
      <c r="S6258" t="s">
        <v>13254</v>
      </c>
      <c r="W6258">
        <v>3663</v>
      </c>
      <c r="X6258">
        <v>2</v>
      </c>
      <c r="AC6258">
        <v>3163</v>
      </c>
      <c r="AF6258">
        <v>500</v>
      </c>
      <c r="AO6258">
        <v>1</v>
      </c>
      <c r="AR6258">
        <v>1</v>
      </c>
      <c r="AU6258">
        <f t="shared" si="194"/>
        <v>1</v>
      </c>
      <c r="AV6258">
        <f t="shared" si="195"/>
        <v>0</v>
      </c>
    </row>
    <row r="6259" spans="1:48" x14ac:dyDescent="0.25">
      <c r="A6259" t="s">
        <v>19726</v>
      </c>
      <c r="B6259" t="s">
        <v>19726</v>
      </c>
      <c r="C6259" t="s">
        <v>19727</v>
      </c>
      <c r="D6259" t="s">
        <v>14386</v>
      </c>
      <c r="E6259" t="s">
        <v>2310</v>
      </c>
      <c r="F6259">
        <v>8</v>
      </c>
      <c r="G6259">
        <v>8.3000000000000007</v>
      </c>
      <c r="H6259" t="s">
        <v>2323</v>
      </c>
      <c r="I6259" s="21">
        <v>43922.450858715303</v>
      </c>
      <c r="J6259">
        <v>2020</v>
      </c>
      <c r="K6259" s="21">
        <v>43980.556729479198</v>
      </c>
      <c r="L6259">
        <v>2020</v>
      </c>
      <c r="M6259" s="21">
        <v>44497</v>
      </c>
      <c r="N6259">
        <v>2021</v>
      </c>
      <c r="Q6259" s="262">
        <v>1000000</v>
      </c>
      <c r="R6259" s="262">
        <v>379000</v>
      </c>
      <c r="S6259" t="s">
        <v>13254</v>
      </c>
      <c r="U6259">
        <v>5</v>
      </c>
      <c r="W6259">
        <v>3499</v>
      </c>
      <c r="X6259">
        <v>1</v>
      </c>
      <c r="AC6259">
        <v>3499</v>
      </c>
      <c r="AO6259">
        <v>1</v>
      </c>
      <c r="AU6259">
        <f t="shared" si="194"/>
        <v>1</v>
      </c>
      <c r="AV6259">
        <f t="shared" si="195"/>
        <v>0</v>
      </c>
    </row>
    <row r="6260" spans="1:48" x14ac:dyDescent="0.25">
      <c r="A6260" t="s">
        <v>20169</v>
      </c>
      <c r="B6260" t="s">
        <v>20169</v>
      </c>
      <c r="C6260" t="s">
        <v>20170</v>
      </c>
      <c r="D6260" t="s">
        <v>20171</v>
      </c>
      <c r="E6260" t="s">
        <v>2310</v>
      </c>
      <c r="F6260">
        <v>15</v>
      </c>
      <c r="G6260">
        <v>15.3</v>
      </c>
      <c r="H6260" t="s">
        <v>2022</v>
      </c>
      <c r="I6260" s="21">
        <v>43923.6245102662</v>
      </c>
      <c r="J6260">
        <v>2020</v>
      </c>
      <c r="K6260" s="21">
        <v>44014.607612615699</v>
      </c>
      <c r="L6260">
        <v>2020</v>
      </c>
      <c r="M6260" s="21">
        <v>44337</v>
      </c>
      <c r="N6260">
        <v>2021</v>
      </c>
      <c r="Q6260" s="262">
        <v>1200000</v>
      </c>
      <c r="R6260" s="262">
        <v>349000</v>
      </c>
      <c r="S6260" t="s">
        <v>13254</v>
      </c>
      <c r="U6260">
        <v>5</v>
      </c>
      <c r="W6260">
        <v>3726</v>
      </c>
      <c r="X6260">
        <v>1</v>
      </c>
      <c r="AC6260">
        <v>3726</v>
      </c>
      <c r="AO6260">
        <v>1</v>
      </c>
      <c r="AU6260">
        <f t="shared" si="194"/>
        <v>1</v>
      </c>
      <c r="AV6260">
        <f t="shared" si="195"/>
        <v>0</v>
      </c>
    </row>
    <row r="6261" spans="1:48" x14ac:dyDescent="0.25">
      <c r="A6261" t="s">
        <v>15614</v>
      </c>
      <c r="B6261" t="s">
        <v>15614</v>
      </c>
      <c r="C6261" t="s">
        <v>15615</v>
      </c>
      <c r="D6261" t="s">
        <v>15616</v>
      </c>
      <c r="E6261" t="s">
        <v>2310</v>
      </c>
      <c r="F6261">
        <v>12</v>
      </c>
      <c r="G6261">
        <v>12.3</v>
      </c>
      <c r="H6261" t="s">
        <v>2017</v>
      </c>
      <c r="I6261" s="21">
        <v>43924.368906215299</v>
      </c>
      <c r="J6261">
        <v>2020</v>
      </c>
      <c r="K6261" s="21">
        <v>43986.402267708298</v>
      </c>
      <c r="L6261">
        <v>2020</v>
      </c>
      <c r="M6261" s="21">
        <v>44601</v>
      </c>
      <c r="N6261">
        <v>2022</v>
      </c>
      <c r="Q6261" s="262">
        <v>3100000</v>
      </c>
      <c r="R6261" s="262">
        <v>696000</v>
      </c>
      <c r="S6261" t="s">
        <v>13254</v>
      </c>
      <c r="T6261">
        <v>0</v>
      </c>
      <c r="W6261">
        <v>5689</v>
      </c>
      <c r="X6261">
        <v>1</v>
      </c>
      <c r="AC6261">
        <v>5689</v>
      </c>
      <c r="AO6261">
        <v>1</v>
      </c>
      <c r="AU6261">
        <f t="shared" si="194"/>
        <v>1</v>
      </c>
      <c r="AV6261">
        <f t="shared" si="195"/>
        <v>0</v>
      </c>
    </row>
    <row r="6262" spans="1:48" x14ac:dyDescent="0.25">
      <c r="A6262" t="s">
        <v>14558</v>
      </c>
      <c r="C6262" t="s">
        <v>12299</v>
      </c>
      <c r="D6262" t="s">
        <v>14559</v>
      </c>
      <c r="E6262" t="s">
        <v>1663</v>
      </c>
      <c r="F6262">
        <v>4</v>
      </c>
      <c r="G6262">
        <v>4.4000000000000004</v>
      </c>
      <c r="H6262" t="s">
        <v>2017</v>
      </c>
      <c r="I6262" s="21">
        <v>43927</v>
      </c>
      <c r="J6262">
        <v>2020</v>
      </c>
      <c r="K6262" s="21">
        <v>43938</v>
      </c>
      <c r="L6262">
        <v>2020</v>
      </c>
      <c r="M6262" s="21">
        <v>44774</v>
      </c>
      <c r="N6262">
        <v>2022</v>
      </c>
      <c r="P6262" s="21">
        <v>44291</v>
      </c>
      <c r="Q6262" s="262">
        <v>75000</v>
      </c>
      <c r="S6262" t="s">
        <v>13253</v>
      </c>
      <c r="T6262">
        <v>12229</v>
      </c>
      <c r="W6262">
        <v>690</v>
      </c>
      <c r="X6262">
        <v>0</v>
      </c>
      <c r="AC6262">
        <v>690</v>
      </c>
      <c r="AU6262">
        <f t="shared" si="194"/>
        <v>0</v>
      </c>
      <c r="AV6262">
        <f t="shared" si="195"/>
        <v>0</v>
      </c>
    </row>
    <row r="6263" spans="1:48" x14ac:dyDescent="0.25">
      <c r="A6263" t="s">
        <v>14564</v>
      </c>
      <c r="C6263" t="s">
        <v>14565</v>
      </c>
      <c r="D6263" t="s">
        <v>14566</v>
      </c>
      <c r="E6263" t="s">
        <v>1663</v>
      </c>
      <c r="F6263">
        <v>3</v>
      </c>
      <c r="G6263">
        <v>3.4</v>
      </c>
      <c r="H6263" t="s">
        <v>2017</v>
      </c>
      <c r="I6263" s="21">
        <v>43927</v>
      </c>
      <c r="J6263">
        <v>2020</v>
      </c>
      <c r="K6263" s="21">
        <v>43942</v>
      </c>
      <c r="L6263">
        <v>2020</v>
      </c>
      <c r="M6263" s="21">
        <v>43994</v>
      </c>
      <c r="N6263">
        <v>2020</v>
      </c>
      <c r="Q6263" s="262">
        <v>14000</v>
      </c>
      <c r="S6263" t="s">
        <v>114</v>
      </c>
      <c r="T6263" t="s">
        <v>114</v>
      </c>
      <c r="W6263">
        <v>0</v>
      </c>
      <c r="X6263">
        <v>0</v>
      </c>
      <c r="AU6263">
        <f t="shared" si="194"/>
        <v>0</v>
      </c>
      <c r="AV6263">
        <f t="shared" si="195"/>
        <v>0</v>
      </c>
    </row>
    <row r="6264" spans="1:48" x14ac:dyDescent="0.25">
      <c r="A6264" t="s">
        <v>14101</v>
      </c>
      <c r="C6264" t="s">
        <v>14102</v>
      </c>
      <c r="D6264" t="s">
        <v>11289</v>
      </c>
      <c r="E6264" t="s">
        <v>1663</v>
      </c>
      <c r="F6264">
        <v>2</v>
      </c>
      <c r="G6264">
        <v>2.2999999999999998</v>
      </c>
      <c r="H6264" t="s">
        <v>2327</v>
      </c>
      <c r="I6264" s="21">
        <v>43928</v>
      </c>
      <c r="J6264">
        <v>2020</v>
      </c>
      <c r="K6264" s="21">
        <v>44095</v>
      </c>
      <c r="L6264">
        <v>2020</v>
      </c>
      <c r="M6264" s="21">
        <v>44872</v>
      </c>
      <c r="N6264">
        <v>2022</v>
      </c>
      <c r="P6264" s="21">
        <v>44402</v>
      </c>
      <c r="Q6264" s="262">
        <v>800000</v>
      </c>
      <c r="S6264" t="s">
        <v>9529</v>
      </c>
      <c r="T6264">
        <v>14407</v>
      </c>
      <c r="U6264">
        <v>0</v>
      </c>
      <c r="W6264">
        <v>-26013</v>
      </c>
      <c r="X6264">
        <v>0</v>
      </c>
      <c r="Y6264">
        <v>0</v>
      </c>
      <c r="Z6264">
        <v>0</v>
      </c>
      <c r="AA6264">
        <v>0</v>
      </c>
      <c r="AB6264">
        <v>0</v>
      </c>
      <c r="AC6264">
        <v>0</v>
      </c>
      <c r="AD6264">
        <v>0</v>
      </c>
      <c r="AE6264">
        <v>0</v>
      </c>
      <c r="AF6264">
        <v>0</v>
      </c>
      <c r="AG6264">
        <v>0</v>
      </c>
      <c r="AH6264">
        <v>0</v>
      </c>
      <c r="AI6264">
        <v>-26013</v>
      </c>
      <c r="AJ6264">
        <v>0</v>
      </c>
      <c r="AK6264">
        <v>0</v>
      </c>
      <c r="AL6264">
        <v>0</v>
      </c>
      <c r="AM6264">
        <v>0</v>
      </c>
      <c r="AN6264">
        <v>0</v>
      </c>
      <c r="AO6264">
        <v>0</v>
      </c>
      <c r="AP6264">
        <v>0</v>
      </c>
      <c r="AQ6264">
        <v>0</v>
      </c>
      <c r="AR6264">
        <v>0</v>
      </c>
      <c r="AS6264">
        <v>0</v>
      </c>
      <c r="AT6264">
        <v>0</v>
      </c>
      <c r="AU6264">
        <f t="shared" si="194"/>
        <v>0</v>
      </c>
      <c r="AV6264">
        <f t="shared" si="195"/>
        <v>-26013</v>
      </c>
    </row>
    <row r="6265" spans="1:48" x14ac:dyDescent="0.25">
      <c r="A6265" t="s">
        <v>14101</v>
      </c>
      <c r="C6265" t="s">
        <v>14102</v>
      </c>
      <c r="D6265" t="s">
        <v>11289</v>
      </c>
      <c r="E6265" t="s">
        <v>1663</v>
      </c>
      <c r="F6265">
        <v>2</v>
      </c>
      <c r="G6265">
        <v>2.2999999999999998</v>
      </c>
      <c r="H6265" t="s">
        <v>2327</v>
      </c>
      <c r="I6265" s="21">
        <v>43928</v>
      </c>
      <c r="J6265">
        <v>2020</v>
      </c>
      <c r="K6265" s="21">
        <v>44095</v>
      </c>
      <c r="L6265">
        <v>2020</v>
      </c>
      <c r="M6265" s="21">
        <v>44872</v>
      </c>
      <c r="N6265">
        <v>2022</v>
      </c>
      <c r="P6265" s="21">
        <v>44402</v>
      </c>
      <c r="Q6265" s="262">
        <v>800000</v>
      </c>
      <c r="S6265" t="s">
        <v>12464</v>
      </c>
      <c r="T6265">
        <v>14407</v>
      </c>
      <c r="W6265">
        <v>10047</v>
      </c>
      <c r="X6265">
        <v>0</v>
      </c>
      <c r="AD6265">
        <v>10047</v>
      </c>
      <c r="AU6265">
        <f t="shared" si="194"/>
        <v>0</v>
      </c>
      <c r="AV6265">
        <f t="shared" si="195"/>
        <v>0</v>
      </c>
    </row>
    <row r="6266" spans="1:48" x14ac:dyDescent="0.25">
      <c r="A6266" t="s">
        <v>19987</v>
      </c>
      <c r="C6266" t="s">
        <v>14826</v>
      </c>
      <c r="D6266" t="s">
        <v>19986</v>
      </c>
      <c r="E6266" t="s">
        <v>1663</v>
      </c>
      <c r="F6266">
        <v>6</v>
      </c>
      <c r="G6266">
        <v>6.2</v>
      </c>
      <c r="H6266" t="s">
        <v>2017</v>
      </c>
      <c r="I6266" s="21">
        <v>43934</v>
      </c>
      <c r="J6266">
        <v>2020</v>
      </c>
      <c r="P6266" s="21">
        <v>44235</v>
      </c>
      <c r="Q6266" s="262">
        <v>200000</v>
      </c>
      <c r="S6266" t="s">
        <v>13254</v>
      </c>
      <c r="U6266">
        <v>8</v>
      </c>
      <c r="W6266">
        <v>498</v>
      </c>
      <c r="X6266">
        <v>1</v>
      </c>
      <c r="AF6266">
        <v>498</v>
      </c>
      <c r="AR6266">
        <v>1</v>
      </c>
      <c r="AU6266">
        <f t="shared" si="194"/>
        <v>0</v>
      </c>
      <c r="AV6266">
        <f t="shared" si="195"/>
        <v>0</v>
      </c>
    </row>
    <row r="6267" spans="1:48" x14ac:dyDescent="0.25">
      <c r="A6267" t="s">
        <v>20002</v>
      </c>
      <c r="B6267" t="s">
        <v>20002</v>
      </c>
      <c r="C6267" t="s">
        <v>20003</v>
      </c>
      <c r="D6267" t="s">
        <v>20004</v>
      </c>
      <c r="E6267" t="s">
        <v>2310</v>
      </c>
      <c r="F6267">
        <v>12</v>
      </c>
      <c r="G6267">
        <v>12.2</v>
      </c>
      <c r="H6267" t="s">
        <v>2017</v>
      </c>
      <c r="I6267" s="21">
        <v>43934.369665821803</v>
      </c>
      <c r="J6267">
        <v>2020</v>
      </c>
      <c r="K6267" s="21">
        <v>43990.501022951401</v>
      </c>
      <c r="L6267">
        <v>2020</v>
      </c>
      <c r="M6267" s="21">
        <v>44321</v>
      </c>
      <c r="N6267">
        <v>2021</v>
      </c>
      <c r="Q6267" s="262">
        <v>1000000</v>
      </c>
      <c r="R6267" s="262">
        <v>241000</v>
      </c>
      <c r="S6267" t="s">
        <v>13254</v>
      </c>
      <c r="U6267">
        <v>8</v>
      </c>
      <c r="W6267">
        <v>3463</v>
      </c>
      <c r="X6267">
        <v>1</v>
      </c>
      <c r="AF6267">
        <v>3463</v>
      </c>
      <c r="AR6267">
        <v>1</v>
      </c>
      <c r="AU6267">
        <f t="shared" si="194"/>
        <v>0</v>
      </c>
      <c r="AV6267">
        <f t="shared" si="195"/>
        <v>0</v>
      </c>
    </row>
    <row r="6268" spans="1:48" x14ac:dyDescent="0.25">
      <c r="A6268" t="s">
        <v>20057</v>
      </c>
      <c r="B6268" t="s">
        <v>20057</v>
      </c>
      <c r="C6268" t="s">
        <v>20058</v>
      </c>
      <c r="D6268" t="s">
        <v>20056</v>
      </c>
      <c r="E6268" t="s">
        <v>2310</v>
      </c>
      <c r="F6268">
        <v>9</v>
      </c>
      <c r="G6268">
        <v>9.1999999999999993</v>
      </c>
      <c r="H6268" t="s">
        <v>2022</v>
      </c>
      <c r="I6268" s="21">
        <v>43934.467113113402</v>
      </c>
      <c r="J6268">
        <v>2020</v>
      </c>
      <c r="K6268" s="21">
        <v>44000.445020717598</v>
      </c>
      <c r="L6268">
        <v>2020</v>
      </c>
      <c r="M6268" s="21">
        <v>44483</v>
      </c>
      <c r="N6268">
        <v>2021</v>
      </c>
      <c r="Q6268" s="262">
        <v>445000</v>
      </c>
      <c r="R6268" s="262">
        <v>133000</v>
      </c>
      <c r="S6268" t="s">
        <v>12464</v>
      </c>
      <c r="T6268">
        <v>67</v>
      </c>
      <c r="U6268">
        <v>8</v>
      </c>
      <c r="W6268">
        <v>986</v>
      </c>
      <c r="X6268">
        <v>1</v>
      </c>
      <c r="AF6268">
        <v>986</v>
      </c>
      <c r="AR6268">
        <v>1</v>
      </c>
      <c r="AU6268">
        <f t="shared" si="194"/>
        <v>0</v>
      </c>
      <c r="AV6268">
        <f t="shared" si="195"/>
        <v>0</v>
      </c>
    </row>
    <row r="6269" spans="1:48" x14ac:dyDescent="0.25">
      <c r="A6269" t="s">
        <v>20057</v>
      </c>
      <c r="B6269" t="s">
        <v>20057</v>
      </c>
      <c r="C6269" t="s">
        <v>20058</v>
      </c>
      <c r="D6269" t="s">
        <v>20056</v>
      </c>
      <c r="E6269" t="s">
        <v>2310</v>
      </c>
      <c r="F6269">
        <v>9</v>
      </c>
      <c r="G6269">
        <v>9.1999999999999993</v>
      </c>
      <c r="H6269" t="s">
        <v>2022</v>
      </c>
      <c r="I6269" s="21">
        <v>43934.467113113402</v>
      </c>
      <c r="J6269">
        <v>2020</v>
      </c>
      <c r="K6269" s="21">
        <v>44000.445020717598</v>
      </c>
      <c r="L6269">
        <v>2020</v>
      </c>
      <c r="M6269" s="21">
        <v>44483</v>
      </c>
      <c r="N6269">
        <v>2021</v>
      </c>
      <c r="Q6269" s="262">
        <v>445000</v>
      </c>
      <c r="R6269" s="262">
        <v>133000</v>
      </c>
      <c r="S6269" t="s">
        <v>9529</v>
      </c>
      <c r="T6269">
        <v>67</v>
      </c>
      <c r="U6269">
        <v>9</v>
      </c>
      <c r="W6269">
        <v>-1520</v>
      </c>
      <c r="X6269">
        <v>-1</v>
      </c>
      <c r="Y6269">
        <v>0</v>
      </c>
      <c r="Z6269">
        <v>0</v>
      </c>
      <c r="AA6269">
        <v>0</v>
      </c>
      <c r="AB6269">
        <v>0</v>
      </c>
      <c r="AC6269">
        <v>0</v>
      </c>
      <c r="AD6269">
        <v>0</v>
      </c>
      <c r="AE6269">
        <v>0</v>
      </c>
      <c r="AF6269">
        <v>0</v>
      </c>
      <c r="AG6269">
        <v>-1520</v>
      </c>
      <c r="AH6269">
        <v>0</v>
      </c>
      <c r="AI6269">
        <v>0</v>
      </c>
      <c r="AJ6269">
        <v>0</v>
      </c>
      <c r="AK6269">
        <v>0</v>
      </c>
      <c r="AL6269">
        <v>0</v>
      </c>
      <c r="AM6269">
        <v>0</v>
      </c>
      <c r="AN6269">
        <v>0</v>
      </c>
      <c r="AO6269">
        <v>0</v>
      </c>
      <c r="AP6269">
        <v>0</v>
      </c>
      <c r="AQ6269">
        <v>0</v>
      </c>
      <c r="AR6269">
        <v>0</v>
      </c>
      <c r="AS6269">
        <v>-1</v>
      </c>
      <c r="AT6269">
        <v>0</v>
      </c>
      <c r="AU6269">
        <f t="shared" si="194"/>
        <v>-1</v>
      </c>
      <c r="AV6269">
        <f t="shared" si="195"/>
        <v>0</v>
      </c>
    </row>
    <row r="6270" spans="1:48" x14ac:dyDescent="0.25">
      <c r="A6270" t="s">
        <v>20054</v>
      </c>
      <c r="B6270" t="s">
        <v>20054</v>
      </c>
      <c r="C6270" t="s">
        <v>20055</v>
      </c>
      <c r="D6270" t="s">
        <v>20056</v>
      </c>
      <c r="E6270" t="s">
        <v>2310</v>
      </c>
      <c r="F6270">
        <v>9</v>
      </c>
      <c r="G6270">
        <v>9.1999999999999993</v>
      </c>
      <c r="H6270" t="s">
        <v>2022</v>
      </c>
      <c r="I6270" s="21">
        <v>43934.485841053203</v>
      </c>
      <c r="J6270">
        <v>2020</v>
      </c>
      <c r="K6270" s="21">
        <v>44000.446716168997</v>
      </c>
      <c r="L6270">
        <v>2020</v>
      </c>
      <c r="M6270" s="21">
        <v>44483</v>
      </c>
      <c r="N6270">
        <v>2021</v>
      </c>
      <c r="Q6270" s="262">
        <v>100800</v>
      </c>
      <c r="R6270" s="262">
        <v>28000</v>
      </c>
      <c r="S6270" t="s">
        <v>13254</v>
      </c>
      <c r="U6270">
        <v>5</v>
      </c>
      <c r="W6270">
        <v>576</v>
      </c>
      <c r="X6270">
        <v>0</v>
      </c>
      <c r="AC6270">
        <v>576</v>
      </c>
      <c r="AU6270">
        <f t="shared" si="194"/>
        <v>0</v>
      </c>
      <c r="AV6270">
        <f t="shared" si="195"/>
        <v>0</v>
      </c>
    </row>
    <row r="6271" spans="1:48" x14ac:dyDescent="0.25">
      <c r="A6271" t="s">
        <v>14571</v>
      </c>
      <c r="C6271" t="s">
        <v>14572</v>
      </c>
      <c r="D6271" t="s">
        <v>14573</v>
      </c>
      <c r="E6271" t="s">
        <v>1663</v>
      </c>
      <c r="F6271">
        <v>3</v>
      </c>
      <c r="G6271">
        <v>3.2</v>
      </c>
      <c r="H6271" t="s">
        <v>2327</v>
      </c>
      <c r="I6271" s="21">
        <v>43937</v>
      </c>
      <c r="J6271">
        <v>2020</v>
      </c>
      <c r="K6271" s="21">
        <v>44217</v>
      </c>
      <c r="L6271">
        <v>2021</v>
      </c>
      <c r="P6271" s="21">
        <v>44737</v>
      </c>
      <c r="Q6271" s="262">
        <v>0</v>
      </c>
      <c r="S6271" t="s">
        <v>114</v>
      </c>
      <c r="T6271" t="s">
        <v>114</v>
      </c>
      <c r="W6271">
        <v>2135</v>
      </c>
      <c r="X6271">
        <v>1</v>
      </c>
      <c r="AD6271">
        <v>2135</v>
      </c>
      <c r="AP6271">
        <v>1</v>
      </c>
      <c r="AU6271">
        <f t="shared" si="194"/>
        <v>1</v>
      </c>
      <c r="AV6271">
        <f t="shared" si="195"/>
        <v>0</v>
      </c>
    </row>
    <row r="6272" spans="1:48" x14ac:dyDescent="0.25">
      <c r="A6272" t="s">
        <v>14574</v>
      </c>
      <c r="C6272" t="s">
        <v>14575</v>
      </c>
      <c r="D6272" t="s">
        <v>14576</v>
      </c>
      <c r="E6272" t="s">
        <v>1663</v>
      </c>
      <c r="F6272">
        <v>3</v>
      </c>
      <c r="G6272">
        <v>3.2</v>
      </c>
      <c r="H6272" t="s">
        <v>2327</v>
      </c>
      <c r="I6272" s="21">
        <v>43937</v>
      </c>
      <c r="J6272">
        <v>2020</v>
      </c>
      <c r="K6272" s="21">
        <v>44217</v>
      </c>
      <c r="L6272">
        <v>2021</v>
      </c>
      <c r="P6272" s="21">
        <v>44737</v>
      </c>
      <c r="Q6272" s="262">
        <v>0</v>
      </c>
      <c r="S6272" t="s">
        <v>114</v>
      </c>
      <c r="T6272" t="s">
        <v>114</v>
      </c>
      <c r="W6272">
        <v>2774</v>
      </c>
      <c r="X6272">
        <v>1</v>
      </c>
      <c r="AD6272">
        <v>2774</v>
      </c>
      <c r="AP6272">
        <v>1</v>
      </c>
      <c r="AU6272">
        <f t="shared" si="194"/>
        <v>1</v>
      </c>
      <c r="AV6272">
        <f t="shared" si="195"/>
        <v>0</v>
      </c>
    </row>
    <row r="6273" spans="1:48" x14ac:dyDescent="0.25">
      <c r="A6273" t="s">
        <v>14577</v>
      </c>
      <c r="C6273" t="s">
        <v>14578</v>
      </c>
      <c r="D6273" t="s">
        <v>14579</v>
      </c>
      <c r="E6273" t="s">
        <v>1663</v>
      </c>
      <c r="F6273">
        <v>3</v>
      </c>
      <c r="G6273">
        <v>3.2</v>
      </c>
      <c r="H6273" t="s">
        <v>2327</v>
      </c>
      <c r="I6273" s="21">
        <v>43937</v>
      </c>
      <c r="J6273">
        <v>2020</v>
      </c>
      <c r="K6273" s="21">
        <v>44217</v>
      </c>
      <c r="L6273">
        <v>2021</v>
      </c>
      <c r="P6273" s="21">
        <v>44737</v>
      </c>
      <c r="Q6273" s="262">
        <v>0</v>
      </c>
      <c r="S6273" t="s">
        <v>114</v>
      </c>
      <c r="T6273" t="s">
        <v>114</v>
      </c>
      <c r="W6273">
        <v>2825</v>
      </c>
      <c r="X6273">
        <v>1</v>
      </c>
      <c r="AD6273">
        <v>2825</v>
      </c>
      <c r="AP6273">
        <v>1</v>
      </c>
      <c r="AU6273">
        <f t="shared" si="194"/>
        <v>1</v>
      </c>
      <c r="AV6273">
        <f t="shared" si="195"/>
        <v>0</v>
      </c>
    </row>
    <row r="6274" spans="1:48" x14ac:dyDescent="0.25">
      <c r="A6274" t="s">
        <v>14580</v>
      </c>
      <c r="C6274" t="s">
        <v>14581</v>
      </c>
      <c r="D6274" t="s">
        <v>14582</v>
      </c>
      <c r="E6274" t="s">
        <v>1663</v>
      </c>
      <c r="F6274">
        <v>3</v>
      </c>
      <c r="G6274">
        <v>3.2</v>
      </c>
      <c r="H6274" t="s">
        <v>2327</v>
      </c>
      <c r="I6274" s="21">
        <v>43937</v>
      </c>
      <c r="J6274">
        <v>2020</v>
      </c>
      <c r="K6274" s="21">
        <v>44217</v>
      </c>
      <c r="L6274">
        <v>2021</v>
      </c>
      <c r="P6274" s="21">
        <v>44737</v>
      </c>
      <c r="Q6274" s="262">
        <v>0</v>
      </c>
      <c r="S6274" t="s">
        <v>114</v>
      </c>
      <c r="T6274" t="s">
        <v>114</v>
      </c>
      <c r="W6274">
        <v>2825</v>
      </c>
      <c r="X6274">
        <v>1</v>
      </c>
      <c r="AD6274">
        <v>2825</v>
      </c>
      <c r="AP6274">
        <v>1</v>
      </c>
      <c r="AU6274">
        <f t="shared" si="194"/>
        <v>1</v>
      </c>
      <c r="AV6274">
        <f t="shared" si="195"/>
        <v>0</v>
      </c>
    </row>
    <row r="6275" spans="1:48" x14ac:dyDescent="0.25">
      <c r="A6275" t="s">
        <v>14583</v>
      </c>
      <c r="C6275" t="s">
        <v>14584</v>
      </c>
      <c r="D6275" t="s">
        <v>14585</v>
      </c>
      <c r="E6275" t="s">
        <v>1663</v>
      </c>
      <c r="F6275">
        <v>3</v>
      </c>
      <c r="G6275">
        <v>3.2</v>
      </c>
      <c r="H6275" t="s">
        <v>2327</v>
      </c>
      <c r="I6275" s="21">
        <v>43937</v>
      </c>
      <c r="J6275">
        <v>2020</v>
      </c>
      <c r="K6275" s="21">
        <v>44217</v>
      </c>
      <c r="L6275">
        <v>2021</v>
      </c>
      <c r="P6275" s="21">
        <v>44737</v>
      </c>
      <c r="Q6275" s="262">
        <v>0</v>
      </c>
      <c r="S6275" t="s">
        <v>114</v>
      </c>
      <c r="T6275" t="s">
        <v>114</v>
      </c>
      <c r="W6275">
        <v>2774</v>
      </c>
      <c r="X6275">
        <v>1</v>
      </c>
      <c r="AD6275">
        <v>2774</v>
      </c>
      <c r="AP6275">
        <v>1</v>
      </c>
      <c r="AU6275">
        <f t="shared" si="194"/>
        <v>1</v>
      </c>
      <c r="AV6275">
        <f t="shared" si="195"/>
        <v>0</v>
      </c>
    </row>
    <row r="6276" spans="1:48" x14ac:dyDescent="0.25">
      <c r="A6276" t="s">
        <v>14586</v>
      </c>
      <c r="C6276" t="s">
        <v>14587</v>
      </c>
      <c r="D6276" t="s">
        <v>14588</v>
      </c>
      <c r="E6276" t="s">
        <v>1663</v>
      </c>
      <c r="F6276">
        <v>3</v>
      </c>
      <c r="G6276">
        <v>3.2</v>
      </c>
      <c r="H6276" t="s">
        <v>2327</v>
      </c>
      <c r="I6276" s="21">
        <v>43937</v>
      </c>
      <c r="J6276">
        <v>2020</v>
      </c>
      <c r="K6276" s="21">
        <v>44217</v>
      </c>
      <c r="L6276">
        <v>2021</v>
      </c>
      <c r="P6276" s="21">
        <v>44737</v>
      </c>
      <c r="Q6276" s="262">
        <v>0</v>
      </c>
      <c r="S6276" t="s">
        <v>114</v>
      </c>
      <c r="T6276" t="s">
        <v>114</v>
      </c>
      <c r="W6276">
        <v>2774</v>
      </c>
      <c r="X6276">
        <v>1</v>
      </c>
      <c r="AD6276">
        <v>2774</v>
      </c>
      <c r="AP6276">
        <v>1</v>
      </c>
      <c r="AU6276">
        <f t="shared" si="194"/>
        <v>1</v>
      </c>
      <c r="AV6276">
        <f t="shared" si="195"/>
        <v>0</v>
      </c>
    </row>
    <row r="6277" spans="1:48" x14ac:dyDescent="0.25">
      <c r="A6277" t="s">
        <v>14589</v>
      </c>
      <c r="C6277" t="s">
        <v>14590</v>
      </c>
      <c r="D6277" t="s">
        <v>14591</v>
      </c>
      <c r="E6277" t="s">
        <v>1663</v>
      </c>
      <c r="F6277">
        <v>3</v>
      </c>
      <c r="G6277">
        <v>3.2</v>
      </c>
      <c r="H6277" t="s">
        <v>2327</v>
      </c>
      <c r="I6277" s="21">
        <v>43937</v>
      </c>
      <c r="J6277">
        <v>2020</v>
      </c>
      <c r="K6277" s="21">
        <v>44217</v>
      </c>
      <c r="L6277">
        <v>2021</v>
      </c>
      <c r="P6277" s="21">
        <v>44737</v>
      </c>
      <c r="Q6277" s="262">
        <v>0</v>
      </c>
      <c r="S6277" t="s">
        <v>114</v>
      </c>
      <c r="T6277" t="s">
        <v>114</v>
      </c>
      <c r="W6277">
        <v>2135</v>
      </c>
      <c r="X6277">
        <v>1</v>
      </c>
      <c r="AD6277">
        <v>2135</v>
      </c>
      <c r="AP6277">
        <v>1</v>
      </c>
      <c r="AU6277">
        <f t="shared" si="194"/>
        <v>1</v>
      </c>
      <c r="AV6277">
        <f t="shared" si="195"/>
        <v>0</v>
      </c>
    </row>
    <row r="6278" spans="1:48" x14ac:dyDescent="0.25">
      <c r="A6278" t="s">
        <v>14344</v>
      </c>
      <c r="D6278" t="s">
        <v>14345</v>
      </c>
      <c r="E6278" t="s">
        <v>2310</v>
      </c>
      <c r="F6278">
        <v>9</v>
      </c>
      <c r="G6278">
        <v>9.1999999999999993</v>
      </c>
      <c r="H6278" t="s">
        <v>2022</v>
      </c>
      <c r="I6278" s="21">
        <v>43937.374677662003</v>
      </c>
      <c r="J6278">
        <v>2020</v>
      </c>
      <c r="K6278" s="21">
        <v>44011.683855208299</v>
      </c>
      <c r="L6278">
        <v>2020</v>
      </c>
      <c r="M6278" s="21">
        <v>44838.611190706019</v>
      </c>
      <c r="N6278">
        <v>2022</v>
      </c>
      <c r="O6278" s="21" t="s">
        <v>114</v>
      </c>
      <c r="P6278" s="21" t="s">
        <v>114</v>
      </c>
      <c r="Q6278" s="262">
        <v>3500000</v>
      </c>
      <c r="R6278" s="262">
        <v>678000</v>
      </c>
      <c r="S6278" t="s">
        <v>9529</v>
      </c>
      <c r="T6278">
        <v>4993</v>
      </c>
      <c r="U6278">
        <v>5</v>
      </c>
      <c r="W6278">
        <v>-5926</v>
      </c>
      <c r="X6278">
        <v>-1</v>
      </c>
      <c r="Y6278">
        <v>0</v>
      </c>
      <c r="Z6278">
        <v>0</v>
      </c>
      <c r="AA6278">
        <v>0</v>
      </c>
      <c r="AB6278">
        <v>0</v>
      </c>
      <c r="AC6278">
        <v>-5926</v>
      </c>
      <c r="AD6278">
        <v>0</v>
      </c>
      <c r="AE6278">
        <v>0</v>
      </c>
      <c r="AF6278">
        <v>0</v>
      </c>
      <c r="AG6278">
        <v>0</v>
      </c>
      <c r="AH6278">
        <v>0</v>
      </c>
      <c r="AI6278">
        <v>0</v>
      </c>
      <c r="AJ6278">
        <v>0</v>
      </c>
      <c r="AK6278">
        <v>0</v>
      </c>
      <c r="AL6278">
        <v>0</v>
      </c>
      <c r="AM6278">
        <v>0</v>
      </c>
      <c r="AN6278">
        <v>0</v>
      </c>
      <c r="AO6278">
        <v>-1</v>
      </c>
      <c r="AP6278">
        <v>0</v>
      </c>
      <c r="AQ6278">
        <v>0</v>
      </c>
      <c r="AR6278">
        <v>0</v>
      </c>
      <c r="AS6278">
        <v>0</v>
      </c>
      <c r="AT6278">
        <v>0</v>
      </c>
      <c r="AU6278">
        <f t="shared" si="194"/>
        <v>-1</v>
      </c>
      <c r="AV6278">
        <f t="shared" si="195"/>
        <v>0</v>
      </c>
    </row>
    <row r="6279" spans="1:48" x14ac:dyDescent="0.25">
      <c r="A6279" t="s">
        <v>14344</v>
      </c>
      <c r="B6279" t="s">
        <v>14344</v>
      </c>
      <c r="C6279" t="s">
        <v>14349</v>
      </c>
      <c r="D6279" t="s">
        <v>14345</v>
      </c>
      <c r="E6279" t="s">
        <v>2310</v>
      </c>
      <c r="F6279">
        <v>9</v>
      </c>
      <c r="G6279">
        <v>9.1999999999999993</v>
      </c>
      <c r="H6279" t="s">
        <v>2022</v>
      </c>
      <c r="I6279" s="21">
        <v>43937.374677662003</v>
      </c>
      <c r="J6279">
        <v>2020</v>
      </c>
      <c r="K6279" s="21">
        <v>44011.683855208299</v>
      </c>
      <c r="L6279">
        <v>2020</v>
      </c>
      <c r="M6279" s="21">
        <v>44838</v>
      </c>
      <c r="N6279">
        <v>2022</v>
      </c>
      <c r="Q6279" s="262">
        <v>3500000</v>
      </c>
      <c r="R6279" s="262">
        <v>678000</v>
      </c>
      <c r="S6279" t="s">
        <v>12464</v>
      </c>
      <c r="T6279">
        <v>4993</v>
      </c>
      <c r="W6279">
        <v>5239</v>
      </c>
      <c r="X6279">
        <v>1</v>
      </c>
      <c r="AC6279">
        <v>5239</v>
      </c>
      <c r="AO6279">
        <v>1</v>
      </c>
      <c r="AU6279">
        <f t="shared" si="194"/>
        <v>1</v>
      </c>
      <c r="AV6279">
        <f t="shared" si="195"/>
        <v>0</v>
      </c>
    </row>
    <row r="6280" spans="1:48" x14ac:dyDescent="0.25">
      <c r="A6280" t="s">
        <v>14597</v>
      </c>
      <c r="B6280" t="s">
        <v>14597</v>
      </c>
      <c r="C6280" t="s">
        <v>14598</v>
      </c>
      <c r="D6280" t="s">
        <v>14599</v>
      </c>
      <c r="E6280" t="s">
        <v>2310</v>
      </c>
      <c r="F6280">
        <v>9</v>
      </c>
      <c r="G6280">
        <v>9.3000000000000007</v>
      </c>
      <c r="H6280" t="s">
        <v>2323</v>
      </c>
      <c r="I6280" s="21">
        <v>43941.321262418998</v>
      </c>
      <c r="J6280">
        <v>2020</v>
      </c>
      <c r="K6280" s="21">
        <v>44165.523441088</v>
      </c>
      <c r="L6280">
        <v>2020</v>
      </c>
      <c r="Q6280" s="262">
        <v>500000</v>
      </c>
      <c r="R6280" s="262">
        <v>308000</v>
      </c>
      <c r="S6280" t="s">
        <v>114</v>
      </c>
      <c r="T6280" t="s">
        <v>114</v>
      </c>
      <c r="V6280">
        <v>815</v>
      </c>
      <c r="W6280">
        <v>1858</v>
      </c>
      <c r="X6280">
        <v>0</v>
      </c>
      <c r="AC6280">
        <v>1858</v>
      </c>
      <c r="AU6280">
        <f t="shared" si="194"/>
        <v>0</v>
      </c>
      <c r="AV6280">
        <f t="shared" si="195"/>
        <v>0</v>
      </c>
    </row>
    <row r="6281" spans="1:48" x14ac:dyDescent="0.25">
      <c r="A6281" t="s">
        <v>15684</v>
      </c>
      <c r="B6281" t="s">
        <v>15684</v>
      </c>
      <c r="C6281" t="s">
        <v>15685</v>
      </c>
      <c r="D6281" t="s">
        <v>15686</v>
      </c>
      <c r="E6281" t="s">
        <v>2310</v>
      </c>
      <c r="F6281">
        <v>8</v>
      </c>
      <c r="G6281">
        <v>8.1999999999999993</v>
      </c>
      <c r="H6281" t="s">
        <v>2022</v>
      </c>
      <c r="I6281" s="21">
        <v>43941.348078009301</v>
      </c>
      <c r="J6281">
        <v>2020</v>
      </c>
      <c r="K6281" s="21">
        <v>44041.500277662002</v>
      </c>
      <c r="L6281">
        <v>2020</v>
      </c>
      <c r="M6281" s="21">
        <v>44564.450047534723</v>
      </c>
      <c r="N6281">
        <v>2022</v>
      </c>
      <c r="Q6281" s="262">
        <v>1000000</v>
      </c>
      <c r="R6281" s="262">
        <v>263000</v>
      </c>
      <c r="S6281" t="s">
        <v>13254</v>
      </c>
      <c r="T6281">
        <v>0</v>
      </c>
      <c r="W6281">
        <v>2000</v>
      </c>
      <c r="X6281">
        <v>0</v>
      </c>
      <c r="Y6281">
        <v>2000</v>
      </c>
      <c r="AU6281">
        <f t="shared" si="194"/>
        <v>0</v>
      </c>
      <c r="AV6281">
        <f t="shared" si="195"/>
        <v>2000</v>
      </c>
    </row>
    <row r="6282" spans="1:48" x14ac:dyDescent="0.25">
      <c r="A6282" t="s">
        <v>15741</v>
      </c>
      <c r="B6282" t="s">
        <v>15741</v>
      </c>
      <c r="C6282" t="s">
        <v>15742</v>
      </c>
      <c r="D6282" t="s">
        <v>14516</v>
      </c>
      <c r="E6282" t="s">
        <v>2310</v>
      </c>
      <c r="F6282">
        <v>8</v>
      </c>
      <c r="G6282">
        <v>8.3000000000000007</v>
      </c>
      <c r="H6282" t="s">
        <v>2323</v>
      </c>
      <c r="I6282" s="21">
        <v>43941.443644710598</v>
      </c>
      <c r="J6282">
        <v>2020</v>
      </c>
      <c r="K6282" s="21">
        <v>43994.569427280097</v>
      </c>
      <c r="L6282">
        <v>2020</v>
      </c>
      <c r="M6282" s="21">
        <v>44616</v>
      </c>
      <c r="N6282">
        <v>2022</v>
      </c>
      <c r="Q6282" s="262">
        <v>2400000</v>
      </c>
      <c r="R6282" s="262">
        <v>556000</v>
      </c>
      <c r="S6282" t="s">
        <v>13254</v>
      </c>
      <c r="T6282">
        <v>0</v>
      </c>
      <c r="W6282">
        <v>4984</v>
      </c>
      <c r="X6282">
        <v>1</v>
      </c>
      <c r="AC6282">
        <v>4984</v>
      </c>
      <c r="AO6282">
        <v>1</v>
      </c>
      <c r="AU6282">
        <f t="shared" si="194"/>
        <v>1</v>
      </c>
      <c r="AV6282">
        <f t="shared" si="195"/>
        <v>0</v>
      </c>
    </row>
    <row r="6283" spans="1:48" x14ac:dyDescent="0.25">
      <c r="A6283" t="s">
        <v>19985</v>
      </c>
      <c r="C6283" t="s">
        <v>12049</v>
      </c>
      <c r="D6283" t="s">
        <v>19986</v>
      </c>
      <c r="E6283" t="s">
        <v>1663</v>
      </c>
      <c r="F6283">
        <v>6</v>
      </c>
      <c r="G6283">
        <v>6.2</v>
      </c>
      <c r="H6283" t="s">
        <v>2017</v>
      </c>
      <c r="I6283" s="21">
        <v>43943</v>
      </c>
      <c r="J6283">
        <v>2020</v>
      </c>
      <c r="P6283" s="21">
        <v>44235</v>
      </c>
      <c r="Q6283" s="262">
        <v>1000000</v>
      </c>
      <c r="S6283" t="s">
        <v>13254</v>
      </c>
      <c r="U6283">
        <v>5</v>
      </c>
      <c r="W6283">
        <v>0</v>
      </c>
      <c r="X6283">
        <v>-1</v>
      </c>
      <c r="AO6283">
        <v>-1</v>
      </c>
      <c r="AU6283">
        <f t="shared" si="194"/>
        <v>-1</v>
      </c>
      <c r="AV6283">
        <f t="shared" si="195"/>
        <v>0</v>
      </c>
    </row>
    <row r="6284" spans="1:48" x14ac:dyDescent="0.25">
      <c r="A6284" t="s">
        <v>14604</v>
      </c>
      <c r="C6284" t="s">
        <v>14605</v>
      </c>
      <c r="D6284" t="s">
        <v>14452</v>
      </c>
      <c r="E6284" t="s">
        <v>1663</v>
      </c>
      <c r="F6284">
        <v>2</v>
      </c>
      <c r="G6284">
        <v>2.2999999999999998</v>
      </c>
      <c r="H6284" t="s">
        <v>2327</v>
      </c>
      <c r="I6284" s="21">
        <v>43948</v>
      </c>
      <c r="J6284">
        <v>2020</v>
      </c>
      <c r="K6284" s="21">
        <v>44028</v>
      </c>
      <c r="L6284">
        <v>2020</v>
      </c>
      <c r="M6284" s="21">
        <v>44434</v>
      </c>
      <c r="N6284">
        <v>2021</v>
      </c>
      <c r="Q6284" s="262">
        <v>18000</v>
      </c>
      <c r="S6284" t="s">
        <v>114</v>
      </c>
      <c r="T6284" t="s">
        <v>114</v>
      </c>
      <c r="V6284">
        <v>280</v>
      </c>
      <c r="W6284">
        <v>0</v>
      </c>
      <c r="X6284">
        <v>0</v>
      </c>
      <c r="AH6284">
        <v>280</v>
      </c>
      <c r="AK6284">
        <v>-280</v>
      </c>
      <c r="AU6284">
        <f t="shared" si="194"/>
        <v>0</v>
      </c>
      <c r="AV6284">
        <f t="shared" si="195"/>
        <v>0</v>
      </c>
    </row>
    <row r="6285" spans="1:48" x14ac:dyDescent="0.25">
      <c r="A6285" t="s">
        <v>15748</v>
      </c>
      <c r="B6285" t="s">
        <v>15748</v>
      </c>
      <c r="C6285" t="s">
        <v>15749</v>
      </c>
      <c r="D6285" t="s">
        <v>15750</v>
      </c>
      <c r="E6285" t="s">
        <v>2310</v>
      </c>
      <c r="F6285">
        <v>9</v>
      </c>
      <c r="G6285">
        <v>9.1</v>
      </c>
      <c r="H6285" t="s">
        <v>2323</v>
      </c>
      <c r="I6285" s="21">
        <v>43948.359942326402</v>
      </c>
      <c r="J6285">
        <v>2020</v>
      </c>
      <c r="K6285" s="21">
        <v>43994.5839382755</v>
      </c>
      <c r="L6285">
        <v>2020</v>
      </c>
      <c r="M6285" s="21">
        <v>44588</v>
      </c>
      <c r="N6285">
        <v>2022</v>
      </c>
      <c r="Q6285" s="262">
        <v>2400000</v>
      </c>
      <c r="R6285" s="262">
        <v>540000</v>
      </c>
      <c r="S6285" t="s">
        <v>13254</v>
      </c>
      <c r="T6285">
        <v>0</v>
      </c>
      <c r="W6285">
        <v>4555</v>
      </c>
      <c r="X6285">
        <v>1</v>
      </c>
      <c r="AC6285">
        <v>4555</v>
      </c>
      <c r="AO6285">
        <v>1</v>
      </c>
      <c r="AU6285">
        <f t="shared" si="194"/>
        <v>1</v>
      </c>
      <c r="AV6285">
        <f t="shared" si="195"/>
        <v>0</v>
      </c>
    </row>
    <row r="6286" spans="1:48" x14ac:dyDescent="0.25">
      <c r="A6286" t="s">
        <v>15754</v>
      </c>
      <c r="B6286" t="s">
        <v>15754</v>
      </c>
      <c r="C6286" t="s">
        <v>15755</v>
      </c>
      <c r="D6286" t="s">
        <v>4900</v>
      </c>
      <c r="E6286" t="s">
        <v>2310</v>
      </c>
      <c r="F6286">
        <v>8</v>
      </c>
      <c r="G6286">
        <v>8.1999999999999993</v>
      </c>
      <c r="H6286" t="s">
        <v>2022</v>
      </c>
      <c r="I6286" s="21">
        <v>43948.387929780103</v>
      </c>
      <c r="J6286">
        <v>2020</v>
      </c>
      <c r="K6286" s="21">
        <v>44047.673663692098</v>
      </c>
      <c r="L6286">
        <v>2020</v>
      </c>
      <c r="M6286" s="21">
        <v>44610.654068252312</v>
      </c>
      <c r="N6286">
        <v>2022</v>
      </c>
      <c r="Q6286" s="262">
        <v>200000</v>
      </c>
      <c r="R6286" s="262">
        <v>89000</v>
      </c>
      <c r="S6286" t="s">
        <v>13253</v>
      </c>
      <c r="T6286">
        <v>5504</v>
      </c>
      <c r="V6286">
        <v>1000</v>
      </c>
      <c r="W6286">
        <v>0</v>
      </c>
      <c r="X6286">
        <v>0</v>
      </c>
      <c r="AU6286">
        <f t="shared" si="194"/>
        <v>0</v>
      </c>
      <c r="AV6286">
        <f t="shared" si="195"/>
        <v>0</v>
      </c>
    </row>
    <row r="6287" spans="1:48" x14ac:dyDescent="0.25">
      <c r="A6287" t="s">
        <v>19821</v>
      </c>
      <c r="B6287" t="s">
        <v>19821</v>
      </c>
      <c r="C6287" t="s">
        <v>19822</v>
      </c>
      <c r="D6287" t="s">
        <v>18197</v>
      </c>
      <c r="E6287" t="s">
        <v>2310</v>
      </c>
      <c r="F6287">
        <v>15</v>
      </c>
      <c r="G6287">
        <v>15.2</v>
      </c>
      <c r="H6287" t="s">
        <v>2323</v>
      </c>
      <c r="I6287" s="21">
        <v>43948.403044525498</v>
      </c>
      <c r="J6287">
        <v>2020</v>
      </c>
      <c r="K6287" s="21">
        <v>44004.393828275497</v>
      </c>
      <c r="L6287">
        <v>2020</v>
      </c>
      <c r="M6287" s="21">
        <v>44509</v>
      </c>
      <c r="N6287">
        <v>2021</v>
      </c>
      <c r="Q6287" s="262">
        <v>1500000</v>
      </c>
      <c r="R6287" s="262">
        <v>196000</v>
      </c>
      <c r="S6287" t="s">
        <v>13254</v>
      </c>
      <c r="U6287">
        <v>8</v>
      </c>
      <c r="W6287">
        <v>2487</v>
      </c>
      <c r="X6287">
        <v>1</v>
      </c>
      <c r="AF6287">
        <v>2487</v>
      </c>
      <c r="AR6287">
        <v>1</v>
      </c>
      <c r="AU6287">
        <f t="shared" si="194"/>
        <v>0</v>
      </c>
      <c r="AV6287">
        <f t="shared" si="195"/>
        <v>0</v>
      </c>
    </row>
    <row r="6288" spans="1:48" x14ac:dyDescent="0.25">
      <c r="A6288" t="s">
        <v>19316</v>
      </c>
      <c r="B6288" t="s">
        <v>114</v>
      </c>
      <c r="C6288" t="s">
        <v>19317</v>
      </c>
      <c r="D6288" t="s">
        <v>5757</v>
      </c>
      <c r="E6288" t="s">
        <v>1663</v>
      </c>
      <c r="F6288">
        <v>2</v>
      </c>
      <c r="G6288">
        <v>2.2999999999999998</v>
      </c>
      <c r="H6288" t="s">
        <v>2327</v>
      </c>
      <c r="I6288" s="21">
        <v>43951</v>
      </c>
      <c r="J6288">
        <v>2020</v>
      </c>
      <c r="K6288" s="21">
        <v>43980</v>
      </c>
      <c r="L6288">
        <v>2020</v>
      </c>
      <c r="M6288" s="21">
        <v>44006</v>
      </c>
      <c r="N6288">
        <v>2020</v>
      </c>
      <c r="Q6288" s="262">
        <v>700000</v>
      </c>
      <c r="S6288" t="s">
        <v>13253</v>
      </c>
      <c r="T6288">
        <v>12869</v>
      </c>
      <c r="V6288">
        <v>1480</v>
      </c>
      <c r="W6288">
        <v>75</v>
      </c>
      <c r="X6288">
        <v>0</v>
      </c>
      <c r="AJ6288">
        <v>75</v>
      </c>
      <c r="AU6288">
        <f t="shared" si="194"/>
        <v>0</v>
      </c>
      <c r="AV6288">
        <f t="shared" si="195"/>
        <v>75</v>
      </c>
    </row>
    <row r="6289" spans="1:48" x14ac:dyDescent="0.25">
      <c r="A6289" t="s">
        <v>19931</v>
      </c>
      <c r="C6289" t="s">
        <v>19932</v>
      </c>
      <c r="D6289" t="s">
        <v>14467</v>
      </c>
      <c r="E6289" t="s">
        <v>1663</v>
      </c>
      <c r="F6289">
        <v>4</v>
      </c>
      <c r="G6289">
        <v>4.0999999999999996</v>
      </c>
      <c r="H6289" t="s">
        <v>2327</v>
      </c>
      <c r="I6289" s="21">
        <v>43952</v>
      </c>
      <c r="J6289">
        <v>2020</v>
      </c>
      <c r="K6289" s="21">
        <v>43990</v>
      </c>
      <c r="L6289">
        <v>2020</v>
      </c>
      <c r="M6289" s="21">
        <v>44203</v>
      </c>
      <c r="N6289">
        <v>2021</v>
      </c>
      <c r="Q6289" s="262">
        <v>600000</v>
      </c>
      <c r="S6289" t="s">
        <v>13253</v>
      </c>
      <c r="T6289">
        <v>11693</v>
      </c>
      <c r="U6289">
        <v>12</v>
      </c>
      <c r="W6289">
        <v>132</v>
      </c>
      <c r="X6289">
        <v>0</v>
      </c>
      <c r="AJ6289">
        <v>132</v>
      </c>
      <c r="AU6289">
        <f t="shared" si="194"/>
        <v>0</v>
      </c>
      <c r="AV6289">
        <f t="shared" si="195"/>
        <v>132</v>
      </c>
    </row>
    <row r="6290" spans="1:48" x14ac:dyDescent="0.25">
      <c r="A6290" t="s">
        <v>19954</v>
      </c>
      <c r="C6290" t="s">
        <v>19955</v>
      </c>
      <c r="D6290" t="s">
        <v>19956</v>
      </c>
      <c r="E6290" t="s">
        <v>1663</v>
      </c>
      <c r="F6290">
        <v>3</v>
      </c>
      <c r="G6290">
        <v>3.1</v>
      </c>
      <c r="H6290" t="s">
        <v>2017</v>
      </c>
      <c r="I6290" s="21">
        <v>43952</v>
      </c>
      <c r="J6290">
        <v>2020</v>
      </c>
      <c r="K6290" s="21">
        <v>43993</v>
      </c>
      <c r="L6290">
        <v>2020</v>
      </c>
      <c r="M6290" s="21">
        <v>44305</v>
      </c>
      <c r="N6290">
        <v>2021</v>
      </c>
      <c r="Q6290" s="262">
        <v>250000</v>
      </c>
      <c r="S6290" t="s">
        <v>13254</v>
      </c>
      <c r="U6290">
        <v>17</v>
      </c>
      <c r="W6290">
        <v>1056</v>
      </c>
      <c r="X6290">
        <v>1</v>
      </c>
      <c r="AC6290">
        <v>556</v>
      </c>
      <c r="AF6290">
        <v>500</v>
      </c>
      <c r="AR6290">
        <v>1</v>
      </c>
      <c r="AU6290">
        <f t="shared" si="194"/>
        <v>0</v>
      </c>
      <c r="AV6290">
        <f t="shared" si="195"/>
        <v>0</v>
      </c>
    </row>
    <row r="6291" spans="1:48" x14ac:dyDescent="0.25">
      <c r="A6291" t="s">
        <v>14609</v>
      </c>
      <c r="C6291" t="s">
        <v>12530</v>
      </c>
      <c r="D6291" t="s">
        <v>12111</v>
      </c>
      <c r="E6291" t="s">
        <v>1663</v>
      </c>
      <c r="F6291">
        <v>2</v>
      </c>
      <c r="G6291">
        <v>2.6</v>
      </c>
      <c r="H6291" t="s">
        <v>2327</v>
      </c>
      <c r="I6291" s="21">
        <v>43952</v>
      </c>
      <c r="J6291">
        <v>2020</v>
      </c>
      <c r="K6291" s="21">
        <v>44018</v>
      </c>
      <c r="L6291">
        <v>2020</v>
      </c>
      <c r="M6291" s="21">
        <v>44287</v>
      </c>
      <c r="N6291">
        <v>2021</v>
      </c>
      <c r="Q6291" s="262">
        <v>150000</v>
      </c>
      <c r="S6291" t="s">
        <v>114</v>
      </c>
      <c r="T6291" t="s">
        <v>114</v>
      </c>
      <c r="W6291">
        <v>0</v>
      </c>
      <c r="X6291">
        <v>0</v>
      </c>
      <c r="AU6291">
        <f t="shared" si="194"/>
        <v>0</v>
      </c>
      <c r="AV6291">
        <f t="shared" si="195"/>
        <v>0</v>
      </c>
    </row>
    <row r="6292" spans="1:48" x14ac:dyDescent="0.25">
      <c r="A6292" t="s">
        <v>14610</v>
      </c>
      <c r="C6292" t="s">
        <v>14611</v>
      </c>
      <c r="D6292" t="s">
        <v>14348</v>
      </c>
      <c r="E6292" t="s">
        <v>1663</v>
      </c>
      <c r="F6292">
        <v>2</v>
      </c>
      <c r="G6292">
        <v>2.6</v>
      </c>
      <c r="H6292" t="s">
        <v>2327</v>
      </c>
      <c r="I6292" s="21">
        <v>43955</v>
      </c>
      <c r="J6292">
        <v>2020</v>
      </c>
      <c r="K6292" s="21">
        <v>44004</v>
      </c>
      <c r="L6292">
        <v>2020</v>
      </c>
      <c r="M6292" s="21">
        <v>44511</v>
      </c>
      <c r="N6292">
        <v>2021</v>
      </c>
      <c r="Q6292" s="262">
        <v>120000</v>
      </c>
      <c r="S6292" t="s">
        <v>114</v>
      </c>
      <c r="T6292" t="s">
        <v>114</v>
      </c>
      <c r="W6292">
        <v>0</v>
      </c>
      <c r="X6292">
        <v>0</v>
      </c>
      <c r="AU6292">
        <f t="shared" si="194"/>
        <v>0</v>
      </c>
      <c r="AV6292">
        <f t="shared" si="195"/>
        <v>0</v>
      </c>
    </row>
    <row r="6293" spans="1:48" x14ac:dyDescent="0.25">
      <c r="A6293" t="s">
        <v>14612</v>
      </c>
      <c r="B6293" t="s">
        <v>14612</v>
      </c>
      <c r="C6293" t="s">
        <v>14613</v>
      </c>
      <c r="D6293" t="s">
        <v>7576</v>
      </c>
      <c r="E6293" t="s">
        <v>2310</v>
      </c>
      <c r="F6293">
        <v>11</v>
      </c>
      <c r="G6293">
        <v>11.3</v>
      </c>
      <c r="H6293" t="s">
        <v>2017</v>
      </c>
      <c r="I6293" s="21">
        <v>43955.387100891203</v>
      </c>
      <c r="J6293">
        <v>2020</v>
      </c>
      <c r="K6293" s="21">
        <v>43985.359508414404</v>
      </c>
      <c r="L6293">
        <v>2020</v>
      </c>
      <c r="Q6293" s="262">
        <v>680000</v>
      </c>
      <c r="R6293" s="262">
        <v>241000</v>
      </c>
      <c r="S6293" t="s">
        <v>114</v>
      </c>
      <c r="T6293" t="s">
        <v>114</v>
      </c>
      <c r="V6293">
        <v>585</v>
      </c>
      <c r="W6293">
        <v>1515</v>
      </c>
      <c r="X6293">
        <v>0</v>
      </c>
      <c r="AC6293">
        <v>1515</v>
      </c>
      <c r="AU6293">
        <f t="shared" si="194"/>
        <v>0</v>
      </c>
      <c r="AV6293">
        <f t="shared" si="195"/>
        <v>0</v>
      </c>
    </row>
    <row r="6294" spans="1:48" x14ac:dyDescent="0.25">
      <c r="A6294" t="s">
        <v>15756</v>
      </c>
      <c r="B6294" t="s">
        <v>15756</v>
      </c>
      <c r="C6294" t="s">
        <v>15757</v>
      </c>
      <c r="D6294" t="s">
        <v>15758</v>
      </c>
      <c r="E6294" t="s">
        <v>2310</v>
      </c>
      <c r="F6294">
        <v>11</v>
      </c>
      <c r="G6294">
        <v>11.2</v>
      </c>
      <c r="H6294" t="s">
        <v>2017</v>
      </c>
      <c r="I6294" s="21">
        <v>43955.407487615703</v>
      </c>
      <c r="J6294">
        <v>2020</v>
      </c>
      <c r="K6294" s="21">
        <v>44039.562261192099</v>
      </c>
      <c r="L6294">
        <v>2020</v>
      </c>
      <c r="M6294" s="21">
        <v>44776.557736076385</v>
      </c>
      <c r="N6294">
        <v>2022</v>
      </c>
      <c r="Q6294" s="262">
        <v>700000</v>
      </c>
      <c r="R6294" s="262">
        <v>269000</v>
      </c>
      <c r="S6294" t="s">
        <v>13254</v>
      </c>
      <c r="T6294">
        <v>0</v>
      </c>
      <c r="W6294">
        <v>2349</v>
      </c>
      <c r="X6294">
        <v>2</v>
      </c>
      <c r="AC6294">
        <v>2099</v>
      </c>
      <c r="AF6294">
        <v>250</v>
      </c>
      <c r="AO6294">
        <v>1</v>
      </c>
      <c r="AR6294">
        <v>1</v>
      </c>
      <c r="AU6294">
        <f t="shared" si="194"/>
        <v>1</v>
      </c>
      <c r="AV6294">
        <f t="shared" si="195"/>
        <v>0</v>
      </c>
    </row>
    <row r="6295" spans="1:48" x14ac:dyDescent="0.25">
      <c r="A6295" t="s">
        <v>14616</v>
      </c>
      <c r="B6295" t="s">
        <v>14616</v>
      </c>
      <c r="C6295" t="s">
        <v>14617</v>
      </c>
      <c r="D6295" t="s">
        <v>11555</v>
      </c>
      <c r="E6295" t="s">
        <v>2310</v>
      </c>
      <c r="F6295">
        <v>9</v>
      </c>
      <c r="G6295">
        <v>9.3000000000000007</v>
      </c>
      <c r="H6295" t="s">
        <v>2323</v>
      </c>
      <c r="I6295" s="21">
        <v>43955.430648460599</v>
      </c>
      <c r="J6295">
        <v>2020</v>
      </c>
      <c r="P6295" s="21">
        <v>44152.648820798597</v>
      </c>
      <c r="Q6295" s="262">
        <v>150000</v>
      </c>
      <c r="R6295" s="262">
        <v>42000</v>
      </c>
      <c r="S6295" t="s">
        <v>114</v>
      </c>
      <c r="T6295" t="s">
        <v>114</v>
      </c>
      <c r="W6295">
        <v>566</v>
      </c>
      <c r="X6295">
        <v>0</v>
      </c>
      <c r="AC6295">
        <v>566</v>
      </c>
      <c r="AU6295">
        <f t="shared" si="194"/>
        <v>0</v>
      </c>
      <c r="AV6295">
        <f t="shared" si="195"/>
        <v>0</v>
      </c>
    </row>
    <row r="6296" spans="1:48" x14ac:dyDescent="0.25">
      <c r="A6296" t="s">
        <v>14618</v>
      </c>
      <c r="B6296" t="s">
        <v>14618</v>
      </c>
      <c r="C6296" t="s">
        <v>14619</v>
      </c>
      <c r="D6296" t="s">
        <v>1901</v>
      </c>
      <c r="E6296" t="s">
        <v>2310</v>
      </c>
      <c r="F6296">
        <v>8</v>
      </c>
      <c r="G6296">
        <v>8.1999999999999993</v>
      </c>
      <c r="H6296" t="s">
        <v>2022</v>
      </c>
      <c r="I6296" s="21">
        <v>43956.537195717603</v>
      </c>
      <c r="J6296">
        <v>2020</v>
      </c>
      <c r="K6296" s="21">
        <v>44068.486494594901</v>
      </c>
      <c r="L6296">
        <v>2020</v>
      </c>
      <c r="Q6296" s="262">
        <v>600000</v>
      </c>
      <c r="R6296" s="262">
        <v>83000</v>
      </c>
      <c r="S6296" t="s">
        <v>114</v>
      </c>
      <c r="T6296" t="s">
        <v>114</v>
      </c>
      <c r="W6296">
        <v>1728</v>
      </c>
      <c r="X6296">
        <v>0</v>
      </c>
      <c r="AC6296">
        <v>1728</v>
      </c>
      <c r="AU6296">
        <f t="shared" si="194"/>
        <v>0</v>
      </c>
      <c r="AV6296">
        <f t="shared" si="195"/>
        <v>0</v>
      </c>
    </row>
    <row r="6297" spans="1:48" x14ac:dyDescent="0.25">
      <c r="A6297" t="s">
        <v>14620</v>
      </c>
      <c r="C6297" t="s">
        <v>11237</v>
      </c>
      <c r="D6297" t="s">
        <v>14621</v>
      </c>
      <c r="E6297" t="s">
        <v>1663</v>
      </c>
      <c r="F6297">
        <v>6</v>
      </c>
      <c r="G6297">
        <v>6.1</v>
      </c>
      <c r="H6297" t="s">
        <v>2017</v>
      </c>
      <c r="I6297" s="21">
        <v>43957</v>
      </c>
      <c r="J6297">
        <v>2020</v>
      </c>
      <c r="K6297" s="21">
        <v>43979</v>
      </c>
      <c r="L6297">
        <v>2020</v>
      </c>
      <c r="M6297" s="21">
        <v>44113</v>
      </c>
      <c r="N6297">
        <v>2020</v>
      </c>
      <c r="Q6297" s="262">
        <v>100000</v>
      </c>
      <c r="S6297" t="s">
        <v>114</v>
      </c>
      <c r="T6297" t="s">
        <v>114</v>
      </c>
      <c r="W6297">
        <v>0</v>
      </c>
      <c r="X6297">
        <v>0</v>
      </c>
      <c r="AU6297">
        <f t="shared" ref="AU6297:AU6360" si="196">SUM(AN6297:AQ6297,AS6297)</f>
        <v>0</v>
      </c>
      <c r="AV6297">
        <f t="shared" ref="AV6297:AV6360" si="197">SUM(Y6297:AB6297,AH6297:AM6297)</f>
        <v>0</v>
      </c>
    </row>
    <row r="6298" spans="1:48" x14ac:dyDescent="0.25">
      <c r="A6298" t="s">
        <v>14622</v>
      </c>
      <c r="B6298" t="s">
        <v>14622</v>
      </c>
      <c r="C6298" t="s">
        <v>14623</v>
      </c>
      <c r="D6298" t="s">
        <v>14624</v>
      </c>
      <c r="E6298" t="s">
        <v>2310</v>
      </c>
      <c r="F6298">
        <v>15</v>
      </c>
      <c r="G6298">
        <v>15.1</v>
      </c>
      <c r="H6298" t="s">
        <v>2022</v>
      </c>
      <c r="I6298" s="21">
        <v>43958.393683796297</v>
      </c>
      <c r="J6298">
        <v>2020</v>
      </c>
      <c r="K6298" s="21">
        <v>44033.702117013898</v>
      </c>
      <c r="L6298">
        <v>2020</v>
      </c>
      <c r="Q6298" s="262">
        <v>1000000</v>
      </c>
      <c r="R6298" s="262">
        <v>184000</v>
      </c>
      <c r="S6298" t="s">
        <v>114</v>
      </c>
      <c r="T6298" t="s">
        <v>114</v>
      </c>
      <c r="V6298">
        <v>1639</v>
      </c>
      <c r="W6298">
        <v>288</v>
      </c>
      <c r="X6298">
        <v>0</v>
      </c>
      <c r="AC6298">
        <v>288</v>
      </c>
      <c r="AU6298">
        <f t="shared" si="196"/>
        <v>0</v>
      </c>
      <c r="AV6298">
        <f t="shared" si="197"/>
        <v>0</v>
      </c>
    </row>
    <row r="6299" spans="1:48" x14ac:dyDescent="0.25">
      <c r="A6299" t="s">
        <v>14625</v>
      </c>
      <c r="B6299" t="s">
        <v>14625</v>
      </c>
      <c r="C6299" t="s">
        <v>14626</v>
      </c>
      <c r="D6299" t="s">
        <v>14627</v>
      </c>
      <c r="E6299" t="s">
        <v>2310</v>
      </c>
      <c r="F6299">
        <v>15</v>
      </c>
      <c r="G6299">
        <v>15.1</v>
      </c>
      <c r="H6299" t="s">
        <v>2022</v>
      </c>
      <c r="I6299" s="21">
        <v>43958.433360034702</v>
      </c>
      <c r="J6299">
        <v>2020</v>
      </c>
      <c r="K6299" s="21">
        <v>44028.5081089468</v>
      </c>
      <c r="L6299">
        <v>2020</v>
      </c>
      <c r="Q6299" s="262">
        <v>1500000</v>
      </c>
      <c r="R6299" s="262">
        <v>459000</v>
      </c>
      <c r="S6299" t="s">
        <v>114</v>
      </c>
      <c r="T6299" t="s">
        <v>114</v>
      </c>
      <c r="W6299">
        <v>3834</v>
      </c>
      <c r="X6299">
        <v>1</v>
      </c>
      <c r="AC6299">
        <v>3834</v>
      </c>
      <c r="AO6299">
        <v>1</v>
      </c>
      <c r="AU6299">
        <f t="shared" si="196"/>
        <v>1</v>
      </c>
      <c r="AV6299">
        <f t="shared" si="197"/>
        <v>0</v>
      </c>
    </row>
    <row r="6300" spans="1:48" x14ac:dyDescent="0.25">
      <c r="A6300" t="s">
        <v>14628</v>
      </c>
      <c r="B6300" t="s">
        <v>14628</v>
      </c>
      <c r="C6300" t="s">
        <v>14629</v>
      </c>
      <c r="D6300" t="s">
        <v>14630</v>
      </c>
      <c r="E6300" t="s">
        <v>2310</v>
      </c>
      <c r="F6300">
        <v>9</v>
      </c>
      <c r="G6300">
        <v>9.1999999999999993</v>
      </c>
      <c r="H6300" t="s">
        <v>2022</v>
      </c>
      <c r="I6300" s="21">
        <v>43958.476848460603</v>
      </c>
      <c r="J6300">
        <v>2020</v>
      </c>
      <c r="K6300" s="21">
        <v>44056.684694213</v>
      </c>
      <c r="L6300">
        <v>2020</v>
      </c>
      <c r="Q6300" s="262">
        <v>4575000</v>
      </c>
      <c r="R6300" s="262">
        <v>1437000</v>
      </c>
      <c r="S6300" t="s">
        <v>114</v>
      </c>
      <c r="T6300" t="s">
        <v>114</v>
      </c>
      <c r="W6300">
        <v>9148</v>
      </c>
      <c r="X6300">
        <v>2</v>
      </c>
      <c r="AC6300">
        <v>8158</v>
      </c>
      <c r="AF6300">
        <v>990</v>
      </c>
      <c r="AO6300">
        <v>1</v>
      </c>
      <c r="AR6300">
        <v>1</v>
      </c>
      <c r="AU6300">
        <f t="shared" si="196"/>
        <v>1</v>
      </c>
      <c r="AV6300">
        <f t="shared" si="197"/>
        <v>0</v>
      </c>
    </row>
    <row r="6301" spans="1:48" x14ac:dyDescent="0.25">
      <c r="A6301" t="s">
        <v>19739</v>
      </c>
      <c r="B6301" t="s">
        <v>19739</v>
      </c>
      <c r="C6301" t="s">
        <v>19740</v>
      </c>
      <c r="D6301" t="s">
        <v>19741</v>
      </c>
      <c r="E6301" t="s">
        <v>2310</v>
      </c>
      <c r="F6301">
        <v>8</v>
      </c>
      <c r="G6301">
        <v>8.3000000000000007</v>
      </c>
      <c r="H6301" t="s">
        <v>2323</v>
      </c>
      <c r="I6301" s="21">
        <v>43959.637711377298</v>
      </c>
      <c r="J6301">
        <v>2020</v>
      </c>
      <c r="K6301" s="21">
        <v>44070.5856635417</v>
      </c>
      <c r="L6301">
        <v>2020</v>
      </c>
      <c r="M6301" s="21">
        <v>44393</v>
      </c>
      <c r="N6301">
        <v>2021</v>
      </c>
      <c r="Q6301" s="262">
        <v>2750000</v>
      </c>
      <c r="R6301" s="262">
        <v>674000</v>
      </c>
      <c r="S6301" t="s">
        <v>13253</v>
      </c>
      <c r="T6301">
        <v>519</v>
      </c>
      <c r="U6301">
        <v>5</v>
      </c>
      <c r="V6301">
        <v>5774</v>
      </c>
      <c r="W6301">
        <v>1318</v>
      </c>
      <c r="X6301">
        <v>0</v>
      </c>
      <c r="AC6301">
        <v>1318</v>
      </c>
      <c r="AU6301">
        <f t="shared" si="196"/>
        <v>0</v>
      </c>
      <c r="AV6301">
        <f t="shared" si="197"/>
        <v>0</v>
      </c>
    </row>
    <row r="6302" spans="1:48" x14ac:dyDescent="0.25">
      <c r="A6302" t="s">
        <v>14631</v>
      </c>
      <c r="C6302" t="s">
        <v>11905</v>
      </c>
      <c r="D6302" t="s">
        <v>14632</v>
      </c>
      <c r="E6302" t="s">
        <v>1663</v>
      </c>
      <c r="F6302">
        <v>3</v>
      </c>
      <c r="G6302">
        <v>3.2</v>
      </c>
      <c r="H6302" t="s">
        <v>2327</v>
      </c>
      <c r="I6302" s="21">
        <v>43963</v>
      </c>
      <c r="J6302">
        <v>2020</v>
      </c>
      <c r="K6302" s="21">
        <v>44217</v>
      </c>
      <c r="L6302">
        <v>2021</v>
      </c>
      <c r="P6302" s="21">
        <v>44737</v>
      </c>
      <c r="Q6302" s="262">
        <v>700000</v>
      </c>
      <c r="S6302" t="s">
        <v>114</v>
      </c>
      <c r="T6302" t="s">
        <v>114</v>
      </c>
      <c r="W6302">
        <v>2005</v>
      </c>
      <c r="X6302">
        <v>1</v>
      </c>
      <c r="AD6302">
        <v>2005</v>
      </c>
      <c r="AP6302">
        <v>1</v>
      </c>
      <c r="AU6302">
        <f t="shared" si="196"/>
        <v>1</v>
      </c>
      <c r="AV6302">
        <f t="shared" si="197"/>
        <v>0</v>
      </c>
    </row>
    <row r="6303" spans="1:48" x14ac:dyDescent="0.25">
      <c r="A6303" t="s">
        <v>14633</v>
      </c>
      <c r="C6303" t="s">
        <v>14634</v>
      </c>
      <c r="D6303" t="s">
        <v>14635</v>
      </c>
      <c r="E6303" t="s">
        <v>1663</v>
      </c>
      <c r="F6303">
        <v>3</v>
      </c>
      <c r="G6303">
        <v>3.2</v>
      </c>
      <c r="H6303" t="s">
        <v>2327</v>
      </c>
      <c r="I6303" s="21">
        <v>43963</v>
      </c>
      <c r="J6303">
        <v>2020</v>
      </c>
      <c r="K6303" s="21">
        <v>44217</v>
      </c>
      <c r="L6303">
        <v>2021</v>
      </c>
      <c r="P6303" s="21">
        <v>44737</v>
      </c>
      <c r="Q6303" s="262">
        <v>700000</v>
      </c>
      <c r="S6303" t="s">
        <v>114</v>
      </c>
      <c r="T6303" t="s">
        <v>114</v>
      </c>
      <c r="W6303">
        <v>2026</v>
      </c>
      <c r="X6303">
        <v>1</v>
      </c>
      <c r="AD6303">
        <v>2026</v>
      </c>
      <c r="AP6303">
        <v>1</v>
      </c>
      <c r="AU6303">
        <f t="shared" si="196"/>
        <v>1</v>
      </c>
      <c r="AV6303">
        <f t="shared" si="197"/>
        <v>0</v>
      </c>
    </row>
    <row r="6304" spans="1:48" x14ac:dyDescent="0.25">
      <c r="A6304" t="s">
        <v>14636</v>
      </c>
      <c r="C6304" t="s">
        <v>14637</v>
      </c>
      <c r="D6304" t="s">
        <v>14638</v>
      </c>
      <c r="E6304" t="s">
        <v>1663</v>
      </c>
      <c r="F6304">
        <v>3</v>
      </c>
      <c r="G6304">
        <v>3.2</v>
      </c>
      <c r="H6304" t="s">
        <v>2327</v>
      </c>
      <c r="I6304" s="21">
        <v>43963</v>
      </c>
      <c r="J6304">
        <v>2020</v>
      </c>
      <c r="K6304" s="21">
        <v>44217</v>
      </c>
      <c r="L6304">
        <v>2021</v>
      </c>
      <c r="P6304" s="21">
        <v>44737</v>
      </c>
      <c r="Q6304" s="262">
        <v>700000</v>
      </c>
      <c r="S6304" t="s">
        <v>114</v>
      </c>
      <c r="T6304" t="s">
        <v>114</v>
      </c>
      <c r="W6304">
        <v>2111</v>
      </c>
      <c r="X6304">
        <v>1</v>
      </c>
      <c r="AD6304">
        <v>2111</v>
      </c>
      <c r="AP6304">
        <v>1</v>
      </c>
      <c r="AU6304">
        <f t="shared" si="196"/>
        <v>1</v>
      </c>
      <c r="AV6304">
        <f t="shared" si="197"/>
        <v>0</v>
      </c>
    </row>
    <row r="6305" spans="1:48" x14ac:dyDescent="0.25">
      <c r="A6305" t="s">
        <v>15781</v>
      </c>
      <c r="B6305" t="s">
        <v>15781</v>
      </c>
      <c r="C6305" t="s">
        <v>15782</v>
      </c>
      <c r="D6305" t="s">
        <v>4900</v>
      </c>
      <c r="E6305" t="s">
        <v>2310</v>
      </c>
      <c r="F6305">
        <v>8</v>
      </c>
      <c r="G6305">
        <v>8.1999999999999993</v>
      </c>
      <c r="H6305" t="s">
        <v>2022</v>
      </c>
      <c r="I6305" s="21">
        <v>43963.593845219897</v>
      </c>
      <c r="J6305">
        <v>2020</v>
      </c>
      <c r="K6305" s="21">
        <v>44103.656553159701</v>
      </c>
      <c r="L6305">
        <v>2020</v>
      </c>
      <c r="M6305" s="21">
        <v>44907</v>
      </c>
      <c r="N6305">
        <v>2022</v>
      </c>
      <c r="Q6305" s="262">
        <v>3000000</v>
      </c>
      <c r="R6305" s="262">
        <v>555000</v>
      </c>
      <c r="S6305" t="s">
        <v>13254</v>
      </c>
      <c r="T6305">
        <v>0</v>
      </c>
      <c r="W6305">
        <v>4441</v>
      </c>
      <c r="X6305">
        <v>1</v>
      </c>
      <c r="AC6305">
        <v>4441</v>
      </c>
      <c r="AO6305">
        <v>1</v>
      </c>
      <c r="AU6305">
        <f t="shared" si="196"/>
        <v>1</v>
      </c>
      <c r="AV6305">
        <f t="shared" si="197"/>
        <v>0</v>
      </c>
    </row>
    <row r="6306" spans="1:48" x14ac:dyDescent="0.25">
      <c r="A6306" t="s">
        <v>14641</v>
      </c>
      <c r="B6306" t="s">
        <v>14641</v>
      </c>
      <c r="C6306" t="s">
        <v>14642</v>
      </c>
      <c r="D6306" t="s">
        <v>14643</v>
      </c>
      <c r="E6306" t="s">
        <v>2310</v>
      </c>
      <c r="F6306">
        <v>9</v>
      </c>
      <c r="G6306">
        <v>9.1999999999999993</v>
      </c>
      <c r="H6306" t="s">
        <v>2022</v>
      </c>
      <c r="I6306" s="21">
        <v>43964.441605983797</v>
      </c>
      <c r="J6306">
        <v>2020</v>
      </c>
      <c r="K6306" s="21">
        <v>44029.6536273495</v>
      </c>
      <c r="L6306">
        <v>2020</v>
      </c>
      <c r="Q6306" s="262">
        <v>1500000</v>
      </c>
      <c r="R6306" s="262">
        <v>468000</v>
      </c>
      <c r="S6306" t="s">
        <v>114</v>
      </c>
      <c r="T6306" t="s">
        <v>114</v>
      </c>
      <c r="W6306">
        <v>4668</v>
      </c>
      <c r="X6306">
        <v>1</v>
      </c>
      <c r="AC6306">
        <v>4668</v>
      </c>
      <c r="AO6306">
        <v>1</v>
      </c>
      <c r="AU6306">
        <f t="shared" si="196"/>
        <v>1</v>
      </c>
      <c r="AV6306">
        <f t="shared" si="197"/>
        <v>0</v>
      </c>
    </row>
    <row r="6307" spans="1:48" x14ac:dyDescent="0.25">
      <c r="A6307" t="s">
        <v>19847</v>
      </c>
      <c r="B6307" t="s">
        <v>19847</v>
      </c>
      <c r="C6307" t="s">
        <v>19848</v>
      </c>
      <c r="D6307" t="s">
        <v>5481</v>
      </c>
      <c r="E6307" t="s">
        <v>2310</v>
      </c>
      <c r="F6307">
        <v>9</v>
      </c>
      <c r="G6307">
        <v>9.3000000000000007</v>
      </c>
      <c r="H6307" t="s">
        <v>2323</v>
      </c>
      <c r="I6307" s="21">
        <v>43964.4693533912</v>
      </c>
      <c r="J6307">
        <v>2020</v>
      </c>
      <c r="K6307" s="21">
        <v>44055.4547443634</v>
      </c>
      <c r="L6307">
        <v>2020</v>
      </c>
      <c r="M6307" s="21">
        <v>44358</v>
      </c>
      <c r="N6307">
        <v>2021</v>
      </c>
      <c r="Q6307" s="262">
        <v>271000</v>
      </c>
      <c r="R6307" s="262">
        <v>89000</v>
      </c>
      <c r="S6307" t="s">
        <v>13253</v>
      </c>
      <c r="T6307">
        <v>2569</v>
      </c>
      <c r="U6307">
        <v>5</v>
      </c>
      <c r="V6307">
        <v>120</v>
      </c>
      <c r="W6307">
        <v>830</v>
      </c>
      <c r="X6307">
        <v>0</v>
      </c>
      <c r="AC6307">
        <v>830</v>
      </c>
      <c r="AU6307">
        <f t="shared" si="196"/>
        <v>0</v>
      </c>
      <c r="AV6307">
        <f t="shared" si="197"/>
        <v>0</v>
      </c>
    </row>
    <row r="6308" spans="1:48" x14ac:dyDescent="0.25">
      <c r="A6308" t="s">
        <v>14644</v>
      </c>
      <c r="B6308" t="s">
        <v>14644</v>
      </c>
      <c r="C6308" t="s">
        <v>14645</v>
      </c>
      <c r="D6308" t="s">
        <v>14646</v>
      </c>
      <c r="E6308" t="s">
        <v>2310</v>
      </c>
      <c r="F6308">
        <v>8</v>
      </c>
      <c r="G6308">
        <v>8.4</v>
      </c>
      <c r="H6308" t="s">
        <v>2017</v>
      </c>
      <c r="I6308" s="21">
        <v>43964.549503437498</v>
      </c>
      <c r="J6308">
        <v>2020</v>
      </c>
      <c r="K6308" s="21">
        <v>44020.470358715298</v>
      </c>
      <c r="L6308">
        <v>2020</v>
      </c>
      <c r="M6308" s="21">
        <v>44321</v>
      </c>
      <c r="N6308">
        <v>2021</v>
      </c>
      <c r="Q6308" s="262">
        <v>80000</v>
      </c>
      <c r="R6308" s="262">
        <v>122000</v>
      </c>
      <c r="S6308" t="s">
        <v>114</v>
      </c>
      <c r="T6308" t="s">
        <v>114</v>
      </c>
      <c r="V6308">
        <v>1162</v>
      </c>
      <c r="W6308">
        <v>0</v>
      </c>
      <c r="X6308">
        <v>0</v>
      </c>
      <c r="AU6308">
        <f t="shared" si="196"/>
        <v>0</v>
      </c>
      <c r="AV6308">
        <f t="shared" si="197"/>
        <v>0</v>
      </c>
    </row>
    <row r="6309" spans="1:48" x14ac:dyDescent="0.25">
      <c r="A6309" t="s">
        <v>14647</v>
      </c>
      <c r="C6309" t="s">
        <v>14648</v>
      </c>
      <c r="D6309" t="s">
        <v>14649</v>
      </c>
      <c r="E6309" t="s">
        <v>1663</v>
      </c>
      <c r="F6309">
        <v>9</v>
      </c>
      <c r="G6309">
        <v>9.4</v>
      </c>
      <c r="H6309" t="s">
        <v>2323</v>
      </c>
      <c r="I6309" s="21">
        <v>43965</v>
      </c>
      <c r="J6309">
        <v>2020</v>
      </c>
      <c r="K6309" s="21">
        <v>44089</v>
      </c>
      <c r="L6309">
        <v>2020</v>
      </c>
      <c r="M6309" s="21">
        <v>44169</v>
      </c>
      <c r="N6309">
        <v>2020</v>
      </c>
      <c r="Q6309" s="262">
        <v>16200</v>
      </c>
      <c r="S6309" t="s">
        <v>114</v>
      </c>
      <c r="T6309" t="s">
        <v>114</v>
      </c>
      <c r="W6309">
        <v>0</v>
      </c>
      <c r="X6309">
        <v>0</v>
      </c>
      <c r="AU6309">
        <f t="shared" si="196"/>
        <v>0</v>
      </c>
      <c r="AV6309">
        <f t="shared" si="197"/>
        <v>0</v>
      </c>
    </row>
    <row r="6310" spans="1:48" x14ac:dyDescent="0.25">
      <c r="A6310" t="s">
        <v>15820</v>
      </c>
      <c r="B6310" t="s">
        <v>15820</v>
      </c>
      <c r="C6310" t="s">
        <v>15821</v>
      </c>
      <c r="D6310" t="s">
        <v>15822</v>
      </c>
      <c r="E6310" t="s">
        <v>2310</v>
      </c>
      <c r="F6310">
        <v>15</v>
      </c>
      <c r="G6310">
        <v>15.3</v>
      </c>
      <c r="H6310" t="s">
        <v>2022</v>
      </c>
      <c r="I6310" s="21">
        <v>43965.335140011601</v>
      </c>
      <c r="J6310">
        <v>2020</v>
      </c>
      <c r="K6310" s="21">
        <v>44041.683237997699</v>
      </c>
      <c r="L6310">
        <v>2020</v>
      </c>
      <c r="M6310" s="21">
        <v>44860</v>
      </c>
      <c r="N6310">
        <v>2022</v>
      </c>
      <c r="Q6310" s="262">
        <v>840000</v>
      </c>
      <c r="R6310" s="262">
        <v>420000</v>
      </c>
      <c r="S6310" t="s">
        <v>13254</v>
      </c>
      <c r="T6310">
        <v>0</v>
      </c>
      <c r="W6310">
        <v>3000</v>
      </c>
      <c r="X6310">
        <v>1</v>
      </c>
      <c r="AC6310">
        <v>3000</v>
      </c>
      <c r="AO6310">
        <v>1</v>
      </c>
      <c r="AU6310">
        <f t="shared" si="196"/>
        <v>1</v>
      </c>
      <c r="AV6310">
        <f t="shared" si="197"/>
        <v>0</v>
      </c>
    </row>
    <row r="6311" spans="1:48" x14ac:dyDescent="0.25">
      <c r="A6311" t="s">
        <v>15850</v>
      </c>
      <c r="B6311" t="s">
        <v>15850</v>
      </c>
      <c r="C6311" t="s">
        <v>15851</v>
      </c>
      <c r="D6311" t="s">
        <v>15822</v>
      </c>
      <c r="E6311" t="s">
        <v>2310</v>
      </c>
      <c r="F6311">
        <v>15</v>
      </c>
      <c r="G6311">
        <v>15.3</v>
      </c>
      <c r="H6311" t="s">
        <v>2022</v>
      </c>
      <c r="I6311" s="21">
        <v>43965.350797106497</v>
      </c>
      <c r="J6311">
        <v>2020</v>
      </c>
      <c r="K6311" s="21">
        <v>44041.537925347198</v>
      </c>
      <c r="L6311">
        <v>2020</v>
      </c>
      <c r="M6311" s="21">
        <v>44860</v>
      </c>
      <c r="N6311">
        <v>2022</v>
      </c>
      <c r="Q6311" s="262">
        <v>190000</v>
      </c>
      <c r="R6311" s="262">
        <v>70000</v>
      </c>
      <c r="S6311" t="s">
        <v>13254</v>
      </c>
      <c r="T6311">
        <v>0</v>
      </c>
      <c r="W6311">
        <v>1704</v>
      </c>
      <c r="X6311">
        <v>0</v>
      </c>
      <c r="AC6311">
        <v>1704</v>
      </c>
      <c r="AU6311">
        <f t="shared" si="196"/>
        <v>0</v>
      </c>
      <c r="AV6311">
        <f t="shared" si="197"/>
        <v>0</v>
      </c>
    </row>
    <row r="6312" spans="1:48" x14ac:dyDescent="0.25">
      <c r="A6312" t="s">
        <v>14654</v>
      </c>
      <c r="B6312" t="s">
        <v>14654</v>
      </c>
      <c r="C6312" t="s">
        <v>14655</v>
      </c>
      <c r="D6312" t="s">
        <v>14510</v>
      </c>
      <c r="E6312" t="s">
        <v>2310</v>
      </c>
      <c r="F6312">
        <v>9</v>
      </c>
      <c r="G6312">
        <v>9.1999999999999993</v>
      </c>
      <c r="H6312" t="s">
        <v>2022</v>
      </c>
      <c r="I6312" s="21">
        <v>43965.372008067097</v>
      </c>
      <c r="J6312">
        <v>2020</v>
      </c>
      <c r="K6312" s="21">
        <v>44279</v>
      </c>
      <c r="L6312">
        <v>2021</v>
      </c>
      <c r="P6312" s="21">
        <v>44145.635984606502</v>
      </c>
      <c r="Q6312" s="262">
        <v>350000</v>
      </c>
      <c r="R6312" s="262">
        <v>164000</v>
      </c>
      <c r="S6312" t="s">
        <v>114</v>
      </c>
      <c r="T6312" t="s">
        <v>114</v>
      </c>
      <c r="W6312">
        <v>1872</v>
      </c>
      <c r="X6312">
        <v>1</v>
      </c>
      <c r="AF6312">
        <v>1872</v>
      </c>
      <c r="AR6312">
        <v>1</v>
      </c>
      <c r="AU6312">
        <f t="shared" si="196"/>
        <v>0</v>
      </c>
      <c r="AV6312">
        <f t="shared" si="197"/>
        <v>0</v>
      </c>
    </row>
    <row r="6313" spans="1:48" x14ac:dyDescent="0.25">
      <c r="A6313" t="s">
        <v>14656</v>
      </c>
      <c r="B6313" t="s">
        <v>14656</v>
      </c>
      <c r="C6313" t="s">
        <v>14657</v>
      </c>
      <c r="D6313" t="s">
        <v>6015</v>
      </c>
      <c r="E6313" t="s">
        <v>2310</v>
      </c>
      <c r="F6313">
        <v>9</v>
      </c>
      <c r="G6313">
        <v>9.3000000000000007</v>
      </c>
      <c r="H6313" t="s">
        <v>2323</v>
      </c>
      <c r="I6313" s="21">
        <v>43965.545782719899</v>
      </c>
      <c r="J6313">
        <v>2020</v>
      </c>
      <c r="K6313" s="21">
        <v>44021.455580983798</v>
      </c>
      <c r="L6313">
        <v>2020</v>
      </c>
      <c r="Q6313" s="262">
        <v>14912800</v>
      </c>
      <c r="R6313" s="262">
        <v>2859000</v>
      </c>
      <c r="S6313" t="s">
        <v>114</v>
      </c>
      <c r="T6313" t="s">
        <v>114</v>
      </c>
      <c r="W6313">
        <v>17885</v>
      </c>
      <c r="X6313">
        <v>1</v>
      </c>
      <c r="AC6313">
        <v>17885</v>
      </c>
      <c r="AO6313">
        <v>1</v>
      </c>
      <c r="AU6313">
        <f t="shared" si="196"/>
        <v>1</v>
      </c>
      <c r="AV6313">
        <f t="shared" si="197"/>
        <v>0</v>
      </c>
    </row>
    <row r="6314" spans="1:48" x14ac:dyDescent="0.25">
      <c r="A6314" t="s">
        <v>14658</v>
      </c>
      <c r="B6314" t="s">
        <v>14658</v>
      </c>
      <c r="C6314" t="s">
        <v>14659</v>
      </c>
      <c r="D6314" t="s">
        <v>14455</v>
      </c>
      <c r="E6314" t="s">
        <v>2310</v>
      </c>
      <c r="F6314">
        <v>15</v>
      </c>
      <c r="G6314">
        <v>15.2</v>
      </c>
      <c r="H6314" t="s">
        <v>2323</v>
      </c>
      <c r="I6314" s="21">
        <v>43965.598039583303</v>
      </c>
      <c r="J6314">
        <v>2020</v>
      </c>
      <c r="K6314" s="21">
        <v>44027.387034375002</v>
      </c>
      <c r="L6314">
        <v>2020</v>
      </c>
      <c r="Q6314" s="262">
        <v>210400</v>
      </c>
      <c r="R6314" s="262">
        <v>91000</v>
      </c>
      <c r="S6314" t="s">
        <v>114</v>
      </c>
      <c r="T6314" t="s">
        <v>114</v>
      </c>
      <c r="W6314">
        <v>1884</v>
      </c>
      <c r="X6314">
        <v>0</v>
      </c>
      <c r="AC6314">
        <v>1884</v>
      </c>
      <c r="AU6314">
        <f t="shared" si="196"/>
        <v>0</v>
      </c>
      <c r="AV6314">
        <f t="shared" si="197"/>
        <v>0</v>
      </c>
    </row>
    <row r="6315" spans="1:48" x14ac:dyDescent="0.25">
      <c r="A6315" t="s">
        <v>14660</v>
      </c>
      <c r="B6315" t="s">
        <v>14660</v>
      </c>
      <c r="C6315" t="s">
        <v>14661</v>
      </c>
      <c r="D6315" t="s">
        <v>6233</v>
      </c>
      <c r="E6315" t="s">
        <v>2310</v>
      </c>
      <c r="F6315">
        <v>8</v>
      </c>
      <c r="G6315">
        <v>8.1</v>
      </c>
      <c r="H6315" t="s">
        <v>2323</v>
      </c>
      <c r="I6315" s="21">
        <v>43969.618418599501</v>
      </c>
      <c r="J6315">
        <v>2020</v>
      </c>
      <c r="K6315" s="21">
        <v>44035.716743865698</v>
      </c>
      <c r="L6315">
        <v>2020</v>
      </c>
      <c r="M6315" s="21">
        <v>44266</v>
      </c>
      <c r="N6315">
        <v>2021</v>
      </c>
      <c r="Q6315" s="262">
        <v>1000000</v>
      </c>
      <c r="R6315" s="262">
        <v>160000</v>
      </c>
      <c r="S6315" t="s">
        <v>114</v>
      </c>
      <c r="T6315" t="s">
        <v>114</v>
      </c>
      <c r="V6315">
        <v>1838</v>
      </c>
      <c r="W6315">
        <v>0</v>
      </c>
      <c r="X6315">
        <v>0</v>
      </c>
      <c r="AU6315">
        <f t="shared" si="196"/>
        <v>0</v>
      </c>
      <c r="AV6315">
        <f t="shared" si="197"/>
        <v>0</v>
      </c>
    </row>
    <row r="6316" spans="1:48" x14ac:dyDescent="0.25">
      <c r="A6316" t="s">
        <v>14662</v>
      </c>
      <c r="B6316" t="s">
        <v>14662</v>
      </c>
      <c r="C6316" t="s">
        <v>14663</v>
      </c>
      <c r="D6316" t="s">
        <v>14664</v>
      </c>
      <c r="E6316" t="s">
        <v>2310</v>
      </c>
      <c r="F6316">
        <v>9</v>
      </c>
      <c r="G6316">
        <v>9.3000000000000007</v>
      </c>
      <c r="H6316" t="s">
        <v>2323</v>
      </c>
      <c r="I6316" s="21">
        <v>43971.3665753819</v>
      </c>
      <c r="J6316">
        <v>2020</v>
      </c>
      <c r="K6316" s="21">
        <v>44145.546969641196</v>
      </c>
      <c r="L6316">
        <v>2020</v>
      </c>
      <c r="Q6316" s="262">
        <v>2700000</v>
      </c>
      <c r="R6316" s="262">
        <v>260000</v>
      </c>
      <c r="S6316" t="s">
        <v>114</v>
      </c>
      <c r="T6316" t="s">
        <v>114</v>
      </c>
      <c r="W6316">
        <v>4214</v>
      </c>
      <c r="X6316">
        <v>1</v>
      </c>
      <c r="AF6316">
        <v>4214</v>
      </c>
      <c r="AR6316">
        <v>1</v>
      </c>
      <c r="AU6316">
        <f t="shared" si="196"/>
        <v>0</v>
      </c>
      <c r="AV6316">
        <f t="shared" si="197"/>
        <v>0</v>
      </c>
    </row>
    <row r="6317" spans="1:48" x14ac:dyDescent="0.25">
      <c r="A6317" t="s">
        <v>15858</v>
      </c>
      <c r="B6317" t="s">
        <v>15858</v>
      </c>
      <c r="C6317" t="s">
        <v>15859</v>
      </c>
      <c r="D6317" t="s">
        <v>15860</v>
      </c>
      <c r="E6317" t="s">
        <v>2310</v>
      </c>
      <c r="F6317">
        <v>8</v>
      </c>
      <c r="G6317">
        <v>8.3000000000000007</v>
      </c>
      <c r="H6317" t="s">
        <v>2323</v>
      </c>
      <c r="I6317" s="21">
        <v>43972.369396608803</v>
      </c>
      <c r="J6317">
        <v>2020</v>
      </c>
      <c r="K6317" s="21">
        <v>44042.660809571797</v>
      </c>
      <c r="L6317">
        <v>2020</v>
      </c>
      <c r="M6317" s="21">
        <v>44783.448499108796</v>
      </c>
      <c r="N6317">
        <v>2022</v>
      </c>
      <c r="Q6317" s="262">
        <v>700000</v>
      </c>
      <c r="R6317" s="262">
        <v>314000</v>
      </c>
      <c r="S6317" t="s">
        <v>13254</v>
      </c>
      <c r="T6317">
        <v>0</v>
      </c>
      <c r="W6317">
        <v>2817</v>
      </c>
      <c r="X6317">
        <v>1</v>
      </c>
      <c r="AC6317">
        <v>2817</v>
      </c>
      <c r="AO6317">
        <v>1</v>
      </c>
      <c r="AU6317">
        <f t="shared" si="196"/>
        <v>1</v>
      </c>
      <c r="AV6317">
        <f t="shared" si="197"/>
        <v>0</v>
      </c>
    </row>
    <row r="6318" spans="1:48" x14ac:dyDescent="0.25">
      <c r="A6318" t="s">
        <v>14667</v>
      </c>
      <c r="B6318" t="s">
        <v>14667</v>
      </c>
      <c r="C6318" t="s">
        <v>14668</v>
      </c>
      <c r="D6318" t="s">
        <v>14669</v>
      </c>
      <c r="E6318" t="s">
        <v>2310</v>
      </c>
      <c r="F6318">
        <v>9</v>
      </c>
      <c r="G6318">
        <v>9.3000000000000007</v>
      </c>
      <c r="H6318" t="s">
        <v>2323</v>
      </c>
      <c r="I6318" s="21">
        <v>43977.459348726901</v>
      </c>
      <c r="J6318">
        <v>2020</v>
      </c>
      <c r="K6318" s="21">
        <v>44069.548450080998</v>
      </c>
      <c r="L6318">
        <v>2020</v>
      </c>
      <c r="M6318" s="21">
        <v>44173.377731979199</v>
      </c>
      <c r="N6318">
        <v>2020</v>
      </c>
      <c r="Q6318" s="262">
        <v>307976</v>
      </c>
      <c r="R6318" s="262">
        <v>285000</v>
      </c>
      <c r="S6318" t="s">
        <v>114</v>
      </c>
      <c r="T6318" t="s">
        <v>114</v>
      </c>
      <c r="W6318">
        <v>0</v>
      </c>
      <c r="X6318">
        <v>0</v>
      </c>
      <c r="AU6318">
        <f t="shared" si="196"/>
        <v>0</v>
      </c>
      <c r="AV6318">
        <f t="shared" si="197"/>
        <v>0</v>
      </c>
    </row>
    <row r="6319" spans="1:48" x14ac:dyDescent="0.25">
      <c r="A6319" t="s">
        <v>14670</v>
      </c>
      <c r="B6319" t="s">
        <v>14670</v>
      </c>
      <c r="C6319" t="s">
        <v>14671</v>
      </c>
      <c r="D6319" t="s">
        <v>14672</v>
      </c>
      <c r="E6319" t="s">
        <v>2310</v>
      </c>
      <c r="F6319">
        <v>12</v>
      </c>
      <c r="G6319">
        <v>12.2</v>
      </c>
      <c r="H6319" t="s">
        <v>2017</v>
      </c>
      <c r="I6319" s="21">
        <v>43977.613423182898</v>
      </c>
      <c r="J6319">
        <v>2020</v>
      </c>
      <c r="K6319" s="21">
        <v>44126.640585416702</v>
      </c>
      <c r="L6319">
        <v>2020</v>
      </c>
      <c r="Q6319" s="262">
        <v>2500000</v>
      </c>
      <c r="R6319" s="262">
        <v>687000</v>
      </c>
      <c r="S6319" t="s">
        <v>114</v>
      </c>
      <c r="T6319" t="s">
        <v>114</v>
      </c>
      <c r="W6319">
        <v>5613</v>
      </c>
      <c r="X6319">
        <v>1</v>
      </c>
      <c r="AC6319">
        <v>5613</v>
      </c>
      <c r="AO6319">
        <v>1</v>
      </c>
      <c r="AU6319">
        <f t="shared" si="196"/>
        <v>1</v>
      </c>
      <c r="AV6319">
        <f t="shared" si="197"/>
        <v>0</v>
      </c>
    </row>
    <row r="6320" spans="1:48" x14ac:dyDescent="0.25">
      <c r="A6320" t="s">
        <v>14675</v>
      </c>
      <c r="C6320" t="s">
        <v>14676</v>
      </c>
      <c r="D6320" t="s">
        <v>14677</v>
      </c>
      <c r="E6320" t="s">
        <v>1663</v>
      </c>
      <c r="F6320">
        <v>6</v>
      </c>
      <c r="G6320">
        <v>6.2</v>
      </c>
      <c r="H6320" t="s">
        <v>2017</v>
      </c>
      <c r="I6320" s="21">
        <v>43978</v>
      </c>
      <c r="J6320">
        <v>2020</v>
      </c>
      <c r="K6320" s="21">
        <v>44112</v>
      </c>
      <c r="L6320">
        <v>2020</v>
      </c>
      <c r="P6320" s="21">
        <v>44292</v>
      </c>
      <c r="Q6320" s="262">
        <v>900000</v>
      </c>
      <c r="S6320" t="s">
        <v>114</v>
      </c>
      <c r="T6320" t="s">
        <v>114</v>
      </c>
      <c r="V6320">
        <v>1124</v>
      </c>
      <c r="W6320">
        <v>3798</v>
      </c>
      <c r="X6320">
        <v>0</v>
      </c>
      <c r="AC6320">
        <v>3798</v>
      </c>
      <c r="AU6320">
        <f t="shared" si="196"/>
        <v>0</v>
      </c>
      <c r="AV6320">
        <f t="shared" si="197"/>
        <v>0</v>
      </c>
    </row>
    <row r="6321" spans="1:48" x14ac:dyDescent="0.25">
      <c r="A6321" t="s">
        <v>19946</v>
      </c>
      <c r="C6321" t="s">
        <v>13528</v>
      </c>
      <c r="D6321" t="s">
        <v>15728</v>
      </c>
      <c r="E6321" t="s">
        <v>1663</v>
      </c>
      <c r="F6321">
        <v>3</v>
      </c>
      <c r="G6321">
        <v>3.4</v>
      </c>
      <c r="H6321" t="s">
        <v>2017</v>
      </c>
      <c r="I6321" s="21">
        <v>43978</v>
      </c>
      <c r="J6321">
        <v>2020</v>
      </c>
      <c r="K6321" s="21">
        <v>43992</v>
      </c>
      <c r="L6321">
        <v>2020</v>
      </c>
      <c r="M6321" s="21">
        <v>44343</v>
      </c>
      <c r="N6321">
        <v>2021</v>
      </c>
      <c r="Q6321" s="262">
        <v>15000</v>
      </c>
      <c r="S6321" t="s">
        <v>13253</v>
      </c>
      <c r="T6321">
        <v>10649</v>
      </c>
      <c r="U6321">
        <v>5</v>
      </c>
      <c r="W6321">
        <v>46</v>
      </c>
      <c r="X6321">
        <v>0</v>
      </c>
      <c r="AC6321">
        <v>46</v>
      </c>
      <c r="AU6321">
        <f t="shared" si="196"/>
        <v>0</v>
      </c>
      <c r="AV6321">
        <f t="shared" si="197"/>
        <v>0</v>
      </c>
    </row>
    <row r="6322" spans="1:48" x14ac:dyDescent="0.25">
      <c r="A6322" t="s">
        <v>14673</v>
      </c>
      <c r="C6322" t="s">
        <v>11237</v>
      </c>
      <c r="D6322" t="s">
        <v>14674</v>
      </c>
      <c r="E6322" t="s">
        <v>1663</v>
      </c>
      <c r="F6322">
        <v>2</v>
      </c>
      <c r="G6322">
        <v>2.6</v>
      </c>
      <c r="H6322" t="s">
        <v>2327</v>
      </c>
      <c r="I6322" s="21">
        <v>43978</v>
      </c>
      <c r="J6322">
        <v>2020</v>
      </c>
      <c r="K6322" s="21">
        <v>43990</v>
      </c>
      <c r="L6322">
        <v>2020</v>
      </c>
      <c r="M6322" s="21">
        <v>44511</v>
      </c>
      <c r="N6322">
        <v>2021</v>
      </c>
      <c r="Q6322" s="262">
        <v>15000</v>
      </c>
      <c r="S6322" t="s">
        <v>114</v>
      </c>
      <c r="T6322" t="s">
        <v>114</v>
      </c>
      <c r="W6322">
        <v>0</v>
      </c>
      <c r="X6322">
        <v>0</v>
      </c>
      <c r="AU6322">
        <f t="shared" si="196"/>
        <v>0</v>
      </c>
      <c r="AV6322">
        <f t="shared" si="197"/>
        <v>0</v>
      </c>
    </row>
    <row r="6323" spans="1:48" x14ac:dyDescent="0.25">
      <c r="A6323" t="s">
        <v>14678</v>
      </c>
      <c r="C6323" t="s">
        <v>14679</v>
      </c>
      <c r="D6323" t="s">
        <v>12366</v>
      </c>
      <c r="E6323" t="s">
        <v>1663</v>
      </c>
      <c r="F6323">
        <v>5</v>
      </c>
      <c r="G6323">
        <v>5.2</v>
      </c>
      <c r="H6323" t="s">
        <v>2327</v>
      </c>
      <c r="I6323" s="21">
        <v>43979</v>
      </c>
      <c r="J6323">
        <v>2020</v>
      </c>
      <c r="K6323" s="21">
        <v>44117</v>
      </c>
      <c r="L6323">
        <v>2020</v>
      </c>
      <c r="M6323" s="21">
        <v>44201</v>
      </c>
      <c r="N6323">
        <v>2021</v>
      </c>
      <c r="Q6323" s="262">
        <v>85000</v>
      </c>
      <c r="S6323" t="s">
        <v>114</v>
      </c>
      <c r="T6323" t="s">
        <v>114</v>
      </c>
      <c r="W6323">
        <v>0</v>
      </c>
      <c r="X6323">
        <v>0</v>
      </c>
      <c r="AU6323">
        <f t="shared" si="196"/>
        <v>0</v>
      </c>
      <c r="AV6323">
        <f t="shared" si="197"/>
        <v>0</v>
      </c>
    </row>
    <row r="6324" spans="1:48" x14ac:dyDescent="0.25">
      <c r="A6324" t="s">
        <v>14680</v>
      </c>
      <c r="C6324" t="s">
        <v>14681</v>
      </c>
      <c r="D6324" t="s">
        <v>6255</v>
      </c>
      <c r="E6324" t="s">
        <v>1663</v>
      </c>
      <c r="F6324">
        <v>3</v>
      </c>
      <c r="G6324">
        <v>3.3</v>
      </c>
      <c r="H6324" t="s">
        <v>2017</v>
      </c>
      <c r="I6324" s="21">
        <v>43980</v>
      </c>
      <c r="J6324">
        <v>2020</v>
      </c>
      <c r="K6324" s="21">
        <v>44105</v>
      </c>
      <c r="L6324">
        <v>2020</v>
      </c>
      <c r="M6324" s="21">
        <v>44182</v>
      </c>
      <c r="N6324">
        <v>2020</v>
      </c>
      <c r="Q6324" s="262">
        <v>5000</v>
      </c>
      <c r="S6324" t="s">
        <v>114</v>
      </c>
      <c r="T6324" t="s">
        <v>114</v>
      </c>
      <c r="W6324">
        <v>0</v>
      </c>
      <c r="X6324">
        <v>0</v>
      </c>
      <c r="AU6324">
        <f t="shared" si="196"/>
        <v>0</v>
      </c>
      <c r="AV6324">
        <f t="shared" si="197"/>
        <v>0</v>
      </c>
    </row>
    <row r="6325" spans="1:48" x14ac:dyDescent="0.25">
      <c r="A6325" t="s">
        <v>20018</v>
      </c>
      <c r="B6325" t="s">
        <v>20018</v>
      </c>
      <c r="C6325" t="s">
        <v>20019</v>
      </c>
      <c r="D6325" t="s">
        <v>9319</v>
      </c>
      <c r="E6325" t="s">
        <v>2310</v>
      </c>
      <c r="F6325">
        <v>11</v>
      </c>
      <c r="G6325">
        <v>11.4</v>
      </c>
      <c r="H6325" t="s">
        <v>2017</v>
      </c>
      <c r="I6325" s="21">
        <v>43984.448625960598</v>
      </c>
      <c r="J6325">
        <v>2020</v>
      </c>
      <c r="K6325" s="21">
        <v>44021.6269318634</v>
      </c>
      <c r="L6325">
        <v>2020</v>
      </c>
      <c r="M6325" s="21">
        <v>44334</v>
      </c>
      <c r="N6325">
        <v>2021</v>
      </c>
      <c r="Q6325" s="262">
        <v>450000</v>
      </c>
      <c r="R6325" s="262">
        <v>166000</v>
      </c>
      <c r="S6325" t="s">
        <v>13254</v>
      </c>
      <c r="U6325">
        <v>15</v>
      </c>
      <c r="W6325">
        <v>3708</v>
      </c>
      <c r="X6325">
        <v>0</v>
      </c>
      <c r="AM6325">
        <v>3708</v>
      </c>
      <c r="AU6325">
        <f t="shared" si="196"/>
        <v>0</v>
      </c>
      <c r="AV6325">
        <f t="shared" si="197"/>
        <v>3708</v>
      </c>
    </row>
    <row r="6326" spans="1:48" x14ac:dyDescent="0.25">
      <c r="A6326" t="s">
        <v>14682</v>
      </c>
      <c r="B6326" t="s">
        <v>14682</v>
      </c>
      <c r="C6326" t="s">
        <v>14683</v>
      </c>
      <c r="D6326" t="s">
        <v>10496</v>
      </c>
      <c r="E6326" t="s">
        <v>2310</v>
      </c>
      <c r="F6326">
        <v>9</v>
      </c>
      <c r="G6326">
        <v>9.4</v>
      </c>
      <c r="H6326" t="s">
        <v>2323</v>
      </c>
      <c r="I6326" s="21">
        <v>43984.479153043998</v>
      </c>
      <c r="J6326">
        <v>2020</v>
      </c>
      <c r="K6326" s="21">
        <v>44033.585531134297</v>
      </c>
      <c r="L6326">
        <v>2020</v>
      </c>
      <c r="O6326" s="21">
        <v>44188.389706331</v>
      </c>
      <c r="Q6326" s="262">
        <v>450000</v>
      </c>
      <c r="R6326" s="262">
        <v>99000</v>
      </c>
      <c r="S6326" t="s">
        <v>114</v>
      </c>
      <c r="T6326" t="s">
        <v>114</v>
      </c>
      <c r="V6326">
        <v>1100</v>
      </c>
      <c r="W6326">
        <v>8</v>
      </c>
      <c r="X6326">
        <v>0</v>
      </c>
      <c r="AC6326">
        <v>8</v>
      </c>
      <c r="AU6326">
        <f t="shared" si="196"/>
        <v>0</v>
      </c>
      <c r="AV6326">
        <f t="shared" si="197"/>
        <v>0</v>
      </c>
    </row>
    <row r="6327" spans="1:48" x14ac:dyDescent="0.25">
      <c r="A6327" t="s">
        <v>19871</v>
      </c>
      <c r="B6327" t="s">
        <v>19871</v>
      </c>
      <c r="C6327" t="s">
        <v>19872</v>
      </c>
      <c r="D6327" t="s">
        <v>10490</v>
      </c>
      <c r="E6327" t="s">
        <v>2310</v>
      </c>
      <c r="F6327">
        <v>9</v>
      </c>
      <c r="G6327">
        <v>9.4</v>
      </c>
      <c r="H6327" t="s">
        <v>2323</v>
      </c>
      <c r="I6327" s="21">
        <v>43984.617030937501</v>
      </c>
      <c r="J6327">
        <v>2020</v>
      </c>
      <c r="K6327" s="21">
        <v>44056.560864930601</v>
      </c>
      <c r="L6327">
        <v>2020</v>
      </c>
      <c r="M6327" s="21">
        <v>44498</v>
      </c>
      <c r="N6327">
        <v>2021</v>
      </c>
      <c r="Q6327" s="262">
        <v>300000</v>
      </c>
      <c r="R6327" s="262">
        <v>35000</v>
      </c>
      <c r="S6327" t="s">
        <v>13253</v>
      </c>
      <c r="T6327">
        <v>2918</v>
      </c>
      <c r="U6327">
        <v>5</v>
      </c>
      <c r="W6327">
        <v>726</v>
      </c>
      <c r="X6327">
        <v>0</v>
      </c>
      <c r="AC6327">
        <v>726</v>
      </c>
      <c r="AU6327">
        <f t="shared" si="196"/>
        <v>0</v>
      </c>
      <c r="AV6327">
        <f t="shared" si="197"/>
        <v>0</v>
      </c>
    </row>
    <row r="6328" spans="1:48" x14ac:dyDescent="0.25">
      <c r="A6328" t="s">
        <v>14684</v>
      </c>
      <c r="B6328" t="s">
        <v>14684</v>
      </c>
      <c r="C6328" t="s">
        <v>14685</v>
      </c>
      <c r="D6328" t="s">
        <v>14686</v>
      </c>
      <c r="E6328" t="s">
        <v>2310</v>
      </c>
      <c r="F6328">
        <v>9</v>
      </c>
      <c r="G6328">
        <v>9.3000000000000007</v>
      </c>
      <c r="H6328" t="s">
        <v>2323</v>
      </c>
      <c r="I6328" s="21">
        <v>43985.452861805599</v>
      </c>
      <c r="J6328">
        <v>2020</v>
      </c>
      <c r="K6328" s="21">
        <v>44046.577064780096</v>
      </c>
      <c r="L6328">
        <v>2020</v>
      </c>
      <c r="Q6328" s="262">
        <v>40000</v>
      </c>
      <c r="R6328" s="262">
        <v>129000</v>
      </c>
      <c r="S6328" t="s">
        <v>114</v>
      </c>
      <c r="T6328" t="s">
        <v>114</v>
      </c>
      <c r="W6328">
        <v>983</v>
      </c>
      <c r="X6328">
        <v>0</v>
      </c>
      <c r="AC6328">
        <v>983</v>
      </c>
      <c r="AU6328">
        <f t="shared" si="196"/>
        <v>0</v>
      </c>
      <c r="AV6328">
        <f t="shared" si="197"/>
        <v>0</v>
      </c>
    </row>
    <row r="6329" spans="1:48" x14ac:dyDescent="0.25">
      <c r="A6329" t="s">
        <v>20082</v>
      </c>
      <c r="B6329" t="s">
        <v>20082</v>
      </c>
      <c r="C6329" t="s">
        <v>20083</v>
      </c>
      <c r="D6329" t="s">
        <v>9308</v>
      </c>
      <c r="E6329" t="s">
        <v>2310</v>
      </c>
      <c r="F6329">
        <v>8</v>
      </c>
      <c r="G6329">
        <v>8.1</v>
      </c>
      <c r="H6329" t="s">
        <v>2323</v>
      </c>
      <c r="I6329" s="21">
        <v>43986.399060995398</v>
      </c>
      <c r="J6329">
        <v>2020</v>
      </c>
      <c r="K6329" s="21">
        <v>44061.599551504602</v>
      </c>
      <c r="L6329">
        <v>2020</v>
      </c>
      <c r="M6329" s="21">
        <v>44378</v>
      </c>
      <c r="N6329">
        <v>2021</v>
      </c>
      <c r="Q6329" s="262">
        <v>1400000</v>
      </c>
      <c r="R6329" s="262">
        <v>360000</v>
      </c>
      <c r="S6329" t="s">
        <v>13253</v>
      </c>
      <c r="T6329">
        <v>5778</v>
      </c>
      <c r="U6329">
        <v>5</v>
      </c>
      <c r="V6329">
        <v>1769</v>
      </c>
      <c r="W6329">
        <v>1682</v>
      </c>
      <c r="X6329">
        <v>0</v>
      </c>
      <c r="AC6329">
        <v>1682</v>
      </c>
      <c r="AU6329">
        <f t="shared" si="196"/>
        <v>0</v>
      </c>
      <c r="AV6329">
        <f t="shared" si="197"/>
        <v>0</v>
      </c>
    </row>
    <row r="6330" spans="1:48" x14ac:dyDescent="0.25">
      <c r="A6330" t="s">
        <v>14687</v>
      </c>
      <c r="B6330" t="s">
        <v>14687</v>
      </c>
      <c r="C6330" t="s">
        <v>14688</v>
      </c>
      <c r="D6330" t="s">
        <v>14689</v>
      </c>
      <c r="E6330" t="s">
        <v>2310</v>
      </c>
      <c r="F6330">
        <v>9</v>
      </c>
      <c r="G6330">
        <v>9.3000000000000007</v>
      </c>
      <c r="H6330" t="s">
        <v>2323</v>
      </c>
      <c r="I6330" s="21">
        <v>43986.570169675899</v>
      </c>
      <c r="J6330">
        <v>2020</v>
      </c>
      <c r="K6330" s="21">
        <v>44167.553604942099</v>
      </c>
      <c r="L6330">
        <v>2020</v>
      </c>
      <c r="Q6330" s="262">
        <v>3000000</v>
      </c>
      <c r="R6330" s="262">
        <v>1449000</v>
      </c>
      <c r="S6330" t="s">
        <v>114</v>
      </c>
      <c r="T6330" t="s">
        <v>114</v>
      </c>
      <c r="W6330">
        <v>9306</v>
      </c>
      <c r="X6330">
        <v>1</v>
      </c>
      <c r="AC6330">
        <v>9306</v>
      </c>
      <c r="AO6330">
        <v>1</v>
      </c>
      <c r="AU6330">
        <f t="shared" si="196"/>
        <v>1</v>
      </c>
      <c r="AV6330">
        <f t="shared" si="197"/>
        <v>0</v>
      </c>
    </row>
    <row r="6331" spans="1:48" x14ac:dyDescent="0.25">
      <c r="A6331" t="s">
        <v>14690</v>
      </c>
      <c r="B6331" t="s">
        <v>14690</v>
      </c>
      <c r="C6331" t="s">
        <v>14691</v>
      </c>
      <c r="D6331" t="s">
        <v>14692</v>
      </c>
      <c r="E6331" t="s">
        <v>2310</v>
      </c>
      <c r="F6331">
        <v>8</v>
      </c>
      <c r="G6331">
        <v>8.1</v>
      </c>
      <c r="H6331" t="s">
        <v>2323</v>
      </c>
      <c r="I6331" s="21">
        <v>43987.419485763901</v>
      </c>
      <c r="J6331">
        <v>2020</v>
      </c>
      <c r="K6331" s="21">
        <v>44074.496477696797</v>
      </c>
      <c r="L6331">
        <v>2020</v>
      </c>
      <c r="Q6331" s="262">
        <v>1000000</v>
      </c>
      <c r="R6331" s="262">
        <v>737000</v>
      </c>
      <c r="S6331" t="s">
        <v>114</v>
      </c>
      <c r="T6331" t="s">
        <v>114</v>
      </c>
      <c r="W6331">
        <v>4854</v>
      </c>
      <c r="X6331">
        <v>1</v>
      </c>
      <c r="AC6331">
        <v>4854</v>
      </c>
      <c r="AO6331">
        <v>1</v>
      </c>
      <c r="AU6331">
        <f t="shared" si="196"/>
        <v>1</v>
      </c>
      <c r="AV6331">
        <f t="shared" si="197"/>
        <v>0</v>
      </c>
    </row>
    <row r="6332" spans="1:48" x14ac:dyDescent="0.25">
      <c r="A6332" t="s">
        <v>19806</v>
      </c>
      <c r="B6332" t="s">
        <v>19806</v>
      </c>
      <c r="C6332" t="s">
        <v>19807</v>
      </c>
      <c r="D6332" t="s">
        <v>2782</v>
      </c>
      <c r="E6332" t="s">
        <v>2310</v>
      </c>
      <c r="F6332">
        <v>9</v>
      </c>
      <c r="G6332">
        <v>9.3000000000000007</v>
      </c>
      <c r="H6332" t="s">
        <v>2323</v>
      </c>
      <c r="I6332" s="21">
        <v>43987.478798993099</v>
      </c>
      <c r="J6332">
        <v>2020</v>
      </c>
      <c r="K6332" s="21">
        <v>44144.659563969901</v>
      </c>
      <c r="L6332">
        <v>2020</v>
      </c>
      <c r="M6332" s="21">
        <v>44364</v>
      </c>
      <c r="N6332">
        <v>2021</v>
      </c>
      <c r="Q6332" s="262">
        <v>650000</v>
      </c>
      <c r="R6332" s="262">
        <v>223000</v>
      </c>
      <c r="S6332" t="s">
        <v>13253</v>
      </c>
      <c r="T6332">
        <v>2365</v>
      </c>
      <c r="U6332">
        <v>5</v>
      </c>
      <c r="V6332">
        <v>2089</v>
      </c>
      <c r="W6332">
        <v>311</v>
      </c>
      <c r="X6332">
        <v>0</v>
      </c>
      <c r="AC6332">
        <v>311</v>
      </c>
      <c r="AU6332">
        <f t="shared" si="196"/>
        <v>0</v>
      </c>
      <c r="AV6332">
        <f t="shared" si="197"/>
        <v>0</v>
      </c>
    </row>
    <row r="6333" spans="1:48" x14ac:dyDescent="0.25">
      <c r="A6333" t="s">
        <v>14711</v>
      </c>
      <c r="C6333" t="s">
        <v>14712</v>
      </c>
      <c r="D6333" t="s">
        <v>14713</v>
      </c>
      <c r="E6333" t="s">
        <v>1663</v>
      </c>
      <c r="F6333">
        <v>3</v>
      </c>
      <c r="G6333">
        <v>3.2</v>
      </c>
      <c r="H6333" t="s">
        <v>2327</v>
      </c>
      <c r="I6333" s="21">
        <v>43990</v>
      </c>
      <c r="J6333">
        <v>2020</v>
      </c>
      <c r="K6333" s="21">
        <v>44035</v>
      </c>
      <c r="L6333">
        <v>2020</v>
      </c>
      <c r="M6333" s="21">
        <v>44239</v>
      </c>
      <c r="N6333">
        <v>2021</v>
      </c>
      <c r="Q6333" s="262">
        <v>19000</v>
      </c>
      <c r="S6333" t="s">
        <v>114</v>
      </c>
      <c r="T6333" t="s">
        <v>114</v>
      </c>
      <c r="W6333">
        <v>0</v>
      </c>
      <c r="X6333">
        <v>0</v>
      </c>
      <c r="AU6333">
        <f t="shared" si="196"/>
        <v>0</v>
      </c>
      <c r="AV6333">
        <f t="shared" si="197"/>
        <v>0</v>
      </c>
    </row>
    <row r="6334" spans="1:48" x14ac:dyDescent="0.25">
      <c r="A6334" t="s">
        <v>14693</v>
      </c>
      <c r="C6334" t="s">
        <v>14694</v>
      </c>
      <c r="D6334" t="s">
        <v>14695</v>
      </c>
      <c r="E6334" t="s">
        <v>1663</v>
      </c>
      <c r="F6334">
        <v>3</v>
      </c>
      <c r="G6334">
        <v>3.1</v>
      </c>
      <c r="H6334" t="s">
        <v>2017</v>
      </c>
      <c r="I6334" s="21">
        <v>43990</v>
      </c>
      <c r="J6334">
        <v>2020</v>
      </c>
      <c r="M6334" s="21">
        <v>44076</v>
      </c>
      <c r="N6334">
        <v>2020</v>
      </c>
      <c r="Q6334" s="262">
        <v>0</v>
      </c>
      <c r="S6334" t="s">
        <v>114</v>
      </c>
      <c r="T6334" t="s">
        <v>114</v>
      </c>
      <c r="W6334">
        <v>0</v>
      </c>
      <c r="X6334">
        <v>0</v>
      </c>
      <c r="AU6334">
        <f t="shared" si="196"/>
        <v>0</v>
      </c>
      <c r="AV6334">
        <f t="shared" si="197"/>
        <v>0</v>
      </c>
    </row>
    <row r="6335" spans="1:48" x14ac:dyDescent="0.25">
      <c r="A6335" t="s">
        <v>14137</v>
      </c>
      <c r="C6335" t="s">
        <v>14138</v>
      </c>
      <c r="D6335" t="s">
        <v>1945</v>
      </c>
      <c r="E6335" t="s">
        <v>1663</v>
      </c>
      <c r="F6335">
        <v>2</v>
      </c>
      <c r="G6335">
        <v>2.6</v>
      </c>
      <c r="H6335" t="s">
        <v>2327</v>
      </c>
      <c r="I6335" s="21">
        <v>43990</v>
      </c>
      <c r="J6335">
        <v>2020</v>
      </c>
      <c r="K6335" s="21">
        <v>44060</v>
      </c>
      <c r="L6335">
        <v>2020</v>
      </c>
      <c r="M6335" s="21">
        <v>44769</v>
      </c>
      <c r="N6335">
        <v>2022</v>
      </c>
      <c r="P6335" s="21">
        <v>44340</v>
      </c>
      <c r="Q6335" s="262">
        <v>500000</v>
      </c>
      <c r="S6335" t="s">
        <v>9529</v>
      </c>
      <c r="T6335">
        <v>9814</v>
      </c>
      <c r="U6335">
        <v>5</v>
      </c>
      <c r="W6335">
        <v>-3540</v>
      </c>
      <c r="X6335">
        <v>-1</v>
      </c>
      <c r="Y6335">
        <v>0</v>
      </c>
      <c r="Z6335">
        <v>0</v>
      </c>
      <c r="AA6335">
        <v>0</v>
      </c>
      <c r="AB6335">
        <v>0</v>
      </c>
      <c r="AC6335">
        <v>-3540</v>
      </c>
      <c r="AD6335">
        <v>0</v>
      </c>
      <c r="AE6335">
        <v>0</v>
      </c>
      <c r="AF6335">
        <v>0</v>
      </c>
      <c r="AG6335">
        <v>0</v>
      </c>
      <c r="AH6335">
        <v>0</v>
      </c>
      <c r="AI6335">
        <v>0</v>
      </c>
      <c r="AJ6335">
        <v>0</v>
      </c>
      <c r="AK6335">
        <v>0</v>
      </c>
      <c r="AL6335">
        <v>0</v>
      </c>
      <c r="AM6335">
        <v>0</v>
      </c>
      <c r="AN6335">
        <v>0</v>
      </c>
      <c r="AO6335">
        <v>-1</v>
      </c>
      <c r="AP6335">
        <v>0</v>
      </c>
      <c r="AQ6335">
        <v>0</v>
      </c>
      <c r="AR6335">
        <v>0</v>
      </c>
      <c r="AS6335">
        <v>0</v>
      </c>
      <c r="AT6335">
        <v>0</v>
      </c>
      <c r="AU6335">
        <f t="shared" si="196"/>
        <v>-1</v>
      </c>
      <c r="AV6335">
        <f t="shared" si="197"/>
        <v>0</v>
      </c>
    </row>
    <row r="6336" spans="1:48" x14ac:dyDescent="0.25">
      <c r="A6336" t="s">
        <v>14137</v>
      </c>
      <c r="C6336" t="s">
        <v>14138</v>
      </c>
      <c r="D6336" t="s">
        <v>1945</v>
      </c>
      <c r="E6336" t="s">
        <v>1663</v>
      </c>
      <c r="F6336">
        <v>2</v>
      </c>
      <c r="G6336">
        <v>2.6</v>
      </c>
      <c r="H6336" t="s">
        <v>2327</v>
      </c>
      <c r="I6336" s="21">
        <v>43990</v>
      </c>
      <c r="J6336">
        <v>2020</v>
      </c>
      <c r="K6336" s="21">
        <v>44060</v>
      </c>
      <c r="L6336">
        <v>2020</v>
      </c>
      <c r="M6336" s="21">
        <v>44769</v>
      </c>
      <c r="N6336">
        <v>2022</v>
      </c>
      <c r="P6336" s="21">
        <v>44340</v>
      </c>
      <c r="Q6336" s="262">
        <v>500000</v>
      </c>
      <c r="S6336" t="s">
        <v>12464</v>
      </c>
      <c r="T6336">
        <v>9814</v>
      </c>
      <c r="V6336">
        <v>2808</v>
      </c>
      <c r="W6336">
        <v>-1552</v>
      </c>
      <c r="X6336">
        <v>1</v>
      </c>
      <c r="AC6336">
        <v>-2808</v>
      </c>
      <c r="AD6336">
        <v>1256</v>
      </c>
      <c r="AO6336">
        <v>-1</v>
      </c>
      <c r="AP6336">
        <v>1</v>
      </c>
      <c r="AR6336">
        <v>1</v>
      </c>
      <c r="AU6336">
        <f t="shared" si="196"/>
        <v>0</v>
      </c>
      <c r="AV6336">
        <f t="shared" si="197"/>
        <v>0</v>
      </c>
    </row>
    <row r="6337" spans="1:48" x14ac:dyDescent="0.25">
      <c r="A6337" t="s">
        <v>14560</v>
      </c>
      <c r="C6337" t="s">
        <v>14561</v>
      </c>
      <c r="D6337" t="s">
        <v>1945</v>
      </c>
      <c r="E6337" t="s">
        <v>1663</v>
      </c>
      <c r="F6337">
        <v>2</v>
      </c>
      <c r="G6337">
        <v>2.6</v>
      </c>
      <c r="H6337" t="s">
        <v>2327</v>
      </c>
      <c r="I6337" s="21">
        <v>43990</v>
      </c>
      <c r="J6337">
        <v>2020</v>
      </c>
      <c r="K6337" s="21">
        <v>44060</v>
      </c>
      <c r="L6337">
        <v>2020</v>
      </c>
      <c r="M6337" s="21">
        <v>44714</v>
      </c>
      <c r="N6337">
        <v>2022</v>
      </c>
      <c r="P6337" s="21">
        <v>44340</v>
      </c>
      <c r="Q6337" s="262">
        <v>500000</v>
      </c>
      <c r="S6337" t="s">
        <v>13254</v>
      </c>
      <c r="W6337">
        <v>2456</v>
      </c>
      <c r="X6337">
        <v>1</v>
      </c>
      <c r="AD6337">
        <v>2456</v>
      </c>
      <c r="AP6337">
        <v>1</v>
      </c>
      <c r="AU6337">
        <f t="shared" si="196"/>
        <v>1</v>
      </c>
      <c r="AV6337">
        <f t="shared" si="197"/>
        <v>0</v>
      </c>
    </row>
    <row r="6338" spans="1:48" x14ac:dyDescent="0.25">
      <c r="A6338" t="s">
        <v>14562</v>
      </c>
      <c r="C6338" t="s">
        <v>14563</v>
      </c>
      <c r="D6338" t="s">
        <v>1945</v>
      </c>
      <c r="E6338" t="s">
        <v>1663</v>
      </c>
      <c r="F6338">
        <v>2</v>
      </c>
      <c r="G6338">
        <v>2.6</v>
      </c>
      <c r="H6338" t="s">
        <v>2327</v>
      </c>
      <c r="I6338" s="21">
        <v>43990</v>
      </c>
      <c r="J6338">
        <v>2020</v>
      </c>
      <c r="K6338" s="21">
        <v>44060</v>
      </c>
      <c r="L6338">
        <v>2020</v>
      </c>
      <c r="M6338" s="21">
        <v>44882</v>
      </c>
      <c r="N6338">
        <v>2022</v>
      </c>
      <c r="P6338" s="21">
        <v>44391</v>
      </c>
      <c r="Q6338" s="262">
        <v>500000</v>
      </c>
      <c r="S6338" t="s">
        <v>13254</v>
      </c>
      <c r="W6338">
        <v>1983</v>
      </c>
      <c r="X6338">
        <v>2</v>
      </c>
      <c r="AD6338">
        <v>1374</v>
      </c>
      <c r="AF6338">
        <v>609</v>
      </c>
      <c r="AP6338">
        <v>1</v>
      </c>
      <c r="AR6338">
        <v>1</v>
      </c>
      <c r="AU6338">
        <f t="shared" si="196"/>
        <v>1</v>
      </c>
      <c r="AV6338">
        <f t="shared" si="197"/>
        <v>0</v>
      </c>
    </row>
    <row r="6339" spans="1:48" x14ac:dyDescent="0.25">
      <c r="A6339" t="s">
        <v>14567</v>
      </c>
      <c r="C6339" t="s">
        <v>14568</v>
      </c>
      <c r="D6339" t="s">
        <v>1945</v>
      </c>
      <c r="E6339" t="s">
        <v>1663</v>
      </c>
      <c r="F6339">
        <v>2</v>
      </c>
      <c r="G6339">
        <v>2.6</v>
      </c>
      <c r="H6339" t="s">
        <v>2327</v>
      </c>
      <c r="I6339" s="21">
        <v>43990</v>
      </c>
      <c r="J6339">
        <v>2020</v>
      </c>
      <c r="K6339" s="21">
        <v>44060</v>
      </c>
      <c r="L6339">
        <v>2020</v>
      </c>
      <c r="M6339" s="21">
        <v>44882</v>
      </c>
      <c r="N6339">
        <v>2022</v>
      </c>
      <c r="P6339" s="21">
        <v>44391</v>
      </c>
      <c r="Q6339" s="262">
        <v>500000</v>
      </c>
      <c r="S6339" t="s">
        <v>13254</v>
      </c>
      <c r="W6339">
        <v>1958</v>
      </c>
      <c r="X6339">
        <v>2</v>
      </c>
      <c r="AD6339">
        <v>1349</v>
      </c>
      <c r="AF6339">
        <v>609</v>
      </c>
      <c r="AP6339">
        <v>1</v>
      </c>
      <c r="AR6339">
        <v>1</v>
      </c>
      <c r="AU6339">
        <f t="shared" si="196"/>
        <v>1</v>
      </c>
      <c r="AV6339">
        <f t="shared" si="197"/>
        <v>0</v>
      </c>
    </row>
    <row r="6340" spans="1:48" x14ac:dyDescent="0.25">
      <c r="A6340" t="s">
        <v>14696</v>
      </c>
      <c r="C6340" t="s">
        <v>14697</v>
      </c>
      <c r="D6340" t="s">
        <v>14698</v>
      </c>
      <c r="E6340" t="s">
        <v>1663</v>
      </c>
      <c r="F6340">
        <v>2</v>
      </c>
      <c r="G6340">
        <v>2.2999999999999998</v>
      </c>
      <c r="H6340" t="s">
        <v>2327</v>
      </c>
      <c r="I6340" s="21">
        <v>43990</v>
      </c>
      <c r="J6340">
        <v>2020</v>
      </c>
      <c r="K6340" s="21">
        <v>44077</v>
      </c>
      <c r="L6340">
        <v>2020</v>
      </c>
      <c r="M6340" s="21">
        <v>44309</v>
      </c>
      <c r="N6340">
        <v>2021</v>
      </c>
      <c r="Q6340" s="262">
        <v>1000000</v>
      </c>
      <c r="S6340" t="s">
        <v>114</v>
      </c>
      <c r="T6340" t="s">
        <v>114</v>
      </c>
      <c r="W6340">
        <v>0</v>
      </c>
      <c r="X6340">
        <v>0</v>
      </c>
      <c r="AU6340">
        <f t="shared" si="196"/>
        <v>0</v>
      </c>
      <c r="AV6340">
        <f t="shared" si="197"/>
        <v>0</v>
      </c>
    </row>
    <row r="6341" spans="1:48" x14ac:dyDescent="0.25">
      <c r="A6341" t="s">
        <v>14699</v>
      </c>
      <c r="C6341" t="s">
        <v>14648</v>
      </c>
      <c r="D6341" t="s">
        <v>14700</v>
      </c>
      <c r="E6341" t="s">
        <v>1663</v>
      </c>
      <c r="F6341">
        <v>1</v>
      </c>
      <c r="G6341">
        <v>1.1000000000000001</v>
      </c>
      <c r="H6341" t="s">
        <v>2017</v>
      </c>
      <c r="I6341" s="21">
        <v>43990</v>
      </c>
      <c r="J6341">
        <v>2020</v>
      </c>
      <c r="K6341" s="21">
        <v>44252</v>
      </c>
      <c r="L6341">
        <v>2021</v>
      </c>
      <c r="P6341" s="21">
        <v>44711</v>
      </c>
      <c r="Q6341" s="262">
        <v>800000</v>
      </c>
      <c r="S6341" t="s">
        <v>114</v>
      </c>
      <c r="T6341" t="s">
        <v>114</v>
      </c>
      <c r="W6341">
        <v>0</v>
      </c>
      <c r="X6341">
        <v>0</v>
      </c>
      <c r="AU6341">
        <f t="shared" si="196"/>
        <v>0</v>
      </c>
      <c r="AV6341">
        <f t="shared" si="197"/>
        <v>0</v>
      </c>
    </row>
    <row r="6342" spans="1:48" x14ac:dyDescent="0.25">
      <c r="A6342" t="s">
        <v>14714</v>
      </c>
      <c r="B6342" t="s">
        <v>14714</v>
      </c>
      <c r="C6342" t="s">
        <v>14715</v>
      </c>
      <c r="D6342" t="s">
        <v>14716</v>
      </c>
      <c r="E6342" t="s">
        <v>2310</v>
      </c>
      <c r="F6342">
        <v>15</v>
      </c>
      <c r="G6342">
        <v>15.1</v>
      </c>
      <c r="H6342" t="s">
        <v>2022</v>
      </c>
      <c r="I6342" s="21">
        <v>43991.504789849503</v>
      </c>
      <c r="J6342">
        <v>2020</v>
      </c>
      <c r="K6342" s="21">
        <v>44180.4839816319</v>
      </c>
      <c r="L6342">
        <v>2020</v>
      </c>
      <c r="M6342" s="21">
        <v>44502</v>
      </c>
      <c r="N6342">
        <v>2021</v>
      </c>
      <c r="Q6342" s="262">
        <v>100000</v>
      </c>
      <c r="R6342" s="262">
        <v>74000</v>
      </c>
      <c r="S6342" t="s">
        <v>114</v>
      </c>
      <c r="T6342" t="s">
        <v>114</v>
      </c>
      <c r="V6342">
        <v>830</v>
      </c>
      <c r="W6342">
        <v>0</v>
      </c>
      <c r="X6342">
        <v>0</v>
      </c>
      <c r="AU6342">
        <f t="shared" si="196"/>
        <v>0</v>
      </c>
      <c r="AV6342">
        <f t="shared" si="197"/>
        <v>0</v>
      </c>
    </row>
    <row r="6343" spans="1:48" x14ac:dyDescent="0.25">
      <c r="A6343" t="s">
        <v>14717</v>
      </c>
      <c r="B6343" t="s">
        <v>14717</v>
      </c>
      <c r="C6343" t="s">
        <v>14718</v>
      </c>
      <c r="D6343" t="s">
        <v>14719</v>
      </c>
      <c r="E6343" t="s">
        <v>2310</v>
      </c>
      <c r="F6343">
        <v>8</v>
      </c>
      <c r="G6343">
        <v>8.1</v>
      </c>
      <c r="H6343" t="s">
        <v>2323</v>
      </c>
      <c r="I6343" s="21">
        <v>43991.640401736098</v>
      </c>
      <c r="J6343">
        <v>2020</v>
      </c>
      <c r="K6343" s="21">
        <v>44074.638900196798</v>
      </c>
      <c r="L6343">
        <v>2020</v>
      </c>
      <c r="Q6343" s="262">
        <v>7600000</v>
      </c>
      <c r="R6343" s="262">
        <v>1109000</v>
      </c>
      <c r="S6343" t="s">
        <v>114</v>
      </c>
      <c r="T6343" t="s">
        <v>114</v>
      </c>
      <c r="W6343">
        <v>7424</v>
      </c>
      <c r="X6343">
        <v>1</v>
      </c>
      <c r="AC6343">
        <v>7424</v>
      </c>
      <c r="AO6343">
        <v>1</v>
      </c>
      <c r="AU6343">
        <f t="shared" si="196"/>
        <v>1</v>
      </c>
      <c r="AV6343">
        <f t="shared" si="197"/>
        <v>0</v>
      </c>
    </row>
    <row r="6344" spans="1:48" x14ac:dyDescent="0.25">
      <c r="A6344" t="s">
        <v>14720</v>
      </c>
      <c r="B6344" t="s">
        <v>14720</v>
      </c>
      <c r="C6344" t="s">
        <v>14721</v>
      </c>
      <c r="D6344" t="s">
        <v>14719</v>
      </c>
      <c r="E6344" t="s">
        <v>2310</v>
      </c>
      <c r="F6344">
        <v>8</v>
      </c>
      <c r="G6344">
        <v>8.1</v>
      </c>
      <c r="H6344" t="s">
        <v>2323</v>
      </c>
      <c r="I6344" s="21">
        <v>43991.651693437503</v>
      </c>
      <c r="J6344">
        <v>2020</v>
      </c>
      <c r="K6344" s="21">
        <v>44074.640866169</v>
      </c>
      <c r="L6344">
        <v>2020</v>
      </c>
      <c r="Q6344" s="262">
        <v>1000000</v>
      </c>
      <c r="R6344" s="262">
        <v>118000</v>
      </c>
      <c r="S6344" t="s">
        <v>114</v>
      </c>
      <c r="T6344" t="s">
        <v>114</v>
      </c>
      <c r="W6344">
        <v>991</v>
      </c>
      <c r="X6344">
        <v>1</v>
      </c>
      <c r="AF6344">
        <v>991</v>
      </c>
      <c r="AR6344">
        <v>1</v>
      </c>
      <c r="AU6344">
        <f t="shared" si="196"/>
        <v>0</v>
      </c>
      <c r="AV6344">
        <f t="shared" si="197"/>
        <v>0</v>
      </c>
    </row>
    <row r="6345" spans="1:48" x14ac:dyDescent="0.25">
      <c r="A6345" t="s">
        <v>14722</v>
      </c>
      <c r="B6345" t="s">
        <v>14722</v>
      </c>
      <c r="C6345" t="s">
        <v>14723</v>
      </c>
      <c r="D6345" t="s">
        <v>14719</v>
      </c>
      <c r="E6345" t="s">
        <v>2310</v>
      </c>
      <c r="F6345">
        <v>8</v>
      </c>
      <c r="G6345">
        <v>8.1</v>
      </c>
      <c r="H6345" t="s">
        <v>2323</v>
      </c>
      <c r="I6345" s="21">
        <v>43991.651710497703</v>
      </c>
      <c r="J6345">
        <v>2020</v>
      </c>
      <c r="K6345" s="21">
        <v>44074.643333911998</v>
      </c>
      <c r="L6345">
        <v>2020</v>
      </c>
      <c r="Q6345" s="262">
        <v>450000</v>
      </c>
      <c r="R6345" s="262">
        <v>48000</v>
      </c>
      <c r="S6345" t="s">
        <v>114</v>
      </c>
      <c r="T6345" t="s">
        <v>114</v>
      </c>
      <c r="W6345">
        <v>987</v>
      </c>
      <c r="X6345">
        <v>0</v>
      </c>
      <c r="AC6345">
        <v>987</v>
      </c>
      <c r="AU6345">
        <f t="shared" si="196"/>
        <v>0</v>
      </c>
      <c r="AV6345">
        <f t="shared" si="197"/>
        <v>0</v>
      </c>
    </row>
    <row r="6346" spans="1:48" x14ac:dyDescent="0.25">
      <c r="A6346" t="s">
        <v>14724</v>
      </c>
      <c r="C6346" t="s">
        <v>14725</v>
      </c>
      <c r="D6346" t="s">
        <v>14041</v>
      </c>
      <c r="E6346" t="s">
        <v>1663</v>
      </c>
      <c r="F6346">
        <v>3</v>
      </c>
      <c r="G6346">
        <v>3.1</v>
      </c>
      <c r="H6346" t="s">
        <v>2017</v>
      </c>
      <c r="I6346" s="21">
        <v>43993</v>
      </c>
      <c r="J6346">
        <v>2020</v>
      </c>
      <c r="K6346" s="21">
        <v>44032</v>
      </c>
      <c r="L6346">
        <v>2020</v>
      </c>
      <c r="M6346" s="21">
        <v>44510</v>
      </c>
      <c r="N6346">
        <v>2021</v>
      </c>
      <c r="Q6346" s="262">
        <v>2000</v>
      </c>
      <c r="S6346" t="s">
        <v>114</v>
      </c>
      <c r="T6346" t="s">
        <v>114</v>
      </c>
      <c r="W6346">
        <v>0</v>
      </c>
      <c r="X6346">
        <v>0</v>
      </c>
      <c r="AU6346">
        <f t="shared" si="196"/>
        <v>0</v>
      </c>
      <c r="AV6346">
        <f t="shared" si="197"/>
        <v>0</v>
      </c>
    </row>
    <row r="6347" spans="1:48" x14ac:dyDescent="0.25">
      <c r="A6347" t="s">
        <v>14726</v>
      </c>
      <c r="C6347" t="s">
        <v>14727</v>
      </c>
      <c r="D6347" t="s">
        <v>14695</v>
      </c>
      <c r="E6347" t="s">
        <v>1663</v>
      </c>
      <c r="F6347">
        <v>3</v>
      </c>
      <c r="G6347">
        <v>3.1</v>
      </c>
      <c r="H6347" t="s">
        <v>2017</v>
      </c>
      <c r="I6347" s="21">
        <v>43993</v>
      </c>
      <c r="J6347">
        <v>2020</v>
      </c>
      <c r="K6347" s="21">
        <v>44042</v>
      </c>
      <c r="L6347">
        <v>2020</v>
      </c>
      <c r="M6347" s="21">
        <v>44511</v>
      </c>
      <c r="N6347">
        <v>2021</v>
      </c>
      <c r="Q6347" s="262">
        <v>50000</v>
      </c>
      <c r="S6347" t="s">
        <v>114</v>
      </c>
      <c r="T6347" t="s">
        <v>114</v>
      </c>
      <c r="W6347">
        <v>0</v>
      </c>
      <c r="X6347">
        <v>0</v>
      </c>
      <c r="AU6347">
        <f t="shared" si="196"/>
        <v>0</v>
      </c>
      <c r="AV6347">
        <f t="shared" si="197"/>
        <v>0</v>
      </c>
    </row>
    <row r="6348" spans="1:48" x14ac:dyDescent="0.25">
      <c r="A6348" t="s">
        <v>14728</v>
      </c>
      <c r="B6348" t="s">
        <v>14728</v>
      </c>
      <c r="C6348" t="s">
        <v>14729</v>
      </c>
      <c r="D6348" t="s">
        <v>14405</v>
      </c>
      <c r="E6348" t="s">
        <v>2310</v>
      </c>
      <c r="F6348">
        <v>10</v>
      </c>
      <c r="G6348">
        <v>10.1</v>
      </c>
      <c r="H6348" t="s">
        <v>2323</v>
      </c>
      <c r="I6348" s="21">
        <v>43993.445868090297</v>
      </c>
      <c r="J6348">
        <v>2020</v>
      </c>
      <c r="K6348" s="21">
        <v>44168.570452280102</v>
      </c>
      <c r="L6348">
        <v>2020</v>
      </c>
      <c r="P6348" s="21">
        <v>43993.445868483803</v>
      </c>
      <c r="Q6348" s="262">
        <v>575000</v>
      </c>
      <c r="R6348" s="262">
        <v>198000</v>
      </c>
      <c r="S6348" t="s">
        <v>114</v>
      </c>
      <c r="T6348" t="s">
        <v>114</v>
      </c>
      <c r="V6348">
        <v>196</v>
      </c>
      <c r="W6348">
        <v>1521</v>
      </c>
      <c r="X6348">
        <v>0</v>
      </c>
      <c r="AC6348">
        <v>1521</v>
      </c>
      <c r="AU6348">
        <f t="shared" si="196"/>
        <v>0</v>
      </c>
      <c r="AV6348">
        <f t="shared" si="197"/>
        <v>0</v>
      </c>
    </row>
    <row r="6349" spans="1:48" x14ac:dyDescent="0.25">
      <c r="A6349" t="s">
        <v>14730</v>
      </c>
      <c r="B6349" t="s">
        <v>14730</v>
      </c>
      <c r="C6349" t="s">
        <v>14731</v>
      </c>
      <c r="D6349" t="s">
        <v>14732</v>
      </c>
      <c r="E6349" t="s">
        <v>2310</v>
      </c>
      <c r="F6349">
        <v>12</v>
      </c>
      <c r="G6349">
        <v>12.3</v>
      </c>
      <c r="H6349" t="s">
        <v>2017</v>
      </c>
      <c r="I6349" s="21">
        <v>43993.4787285532</v>
      </c>
      <c r="J6349">
        <v>2020</v>
      </c>
      <c r="O6349" s="21">
        <v>44204</v>
      </c>
      <c r="Q6349" s="262">
        <v>4500000</v>
      </c>
      <c r="R6349" s="262">
        <v>1471000</v>
      </c>
      <c r="S6349" t="s">
        <v>114</v>
      </c>
      <c r="T6349" t="s">
        <v>114</v>
      </c>
      <c r="W6349">
        <v>9501</v>
      </c>
      <c r="X6349">
        <v>1</v>
      </c>
      <c r="AC6349">
        <v>9501</v>
      </c>
      <c r="AO6349">
        <v>1</v>
      </c>
      <c r="AU6349">
        <f t="shared" si="196"/>
        <v>1</v>
      </c>
      <c r="AV6349">
        <f t="shared" si="197"/>
        <v>0</v>
      </c>
    </row>
    <row r="6350" spans="1:48" x14ac:dyDescent="0.25">
      <c r="A6350" t="s">
        <v>19471</v>
      </c>
      <c r="B6350" t="s">
        <v>19471</v>
      </c>
      <c r="C6350" t="s">
        <v>19472</v>
      </c>
      <c r="D6350" t="s">
        <v>10095</v>
      </c>
      <c r="E6350" t="s">
        <v>2310</v>
      </c>
      <c r="F6350">
        <v>8</v>
      </c>
      <c r="G6350">
        <v>8.1999999999999993</v>
      </c>
      <c r="H6350" t="s">
        <v>2022</v>
      </c>
      <c r="I6350" s="21">
        <v>43993.623944756946</v>
      </c>
      <c r="J6350">
        <v>2020</v>
      </c>
      <c r="K6350" s="21">
        <v>44083.498462731484</v>
      </c>
      <c r="L6350">
        <v>2020</v>
      </c>
      <c r="M6350" s="21">
        <v>44048.688372800927</v>
      </c>
      <c r="N6350">
        <v>2020</v>
      </c>
      <c r="Q6350" s="262">
        <v>1050000</v>
      </c>
      <c r="R6350" s="262">
        <v>328000</v>
      </c>
      <c r="S6350" t="s">
        <v>13254</v>
      </c>
      <c r="W6350">
        <v>2772</v>
      </c>
      <c r="X6350">
        <v>1</v>
      </c>
      <c r="AF6350">
        <v>2772</v>
      </c>
      <c r="AR6350">
        <v>1</v>
      </c>
      <c r="AU6350">
        <f t="shared" si="196"/>
        <v>0</v>
      </c>
      <c r="AV6350">
        <f t="shared" si="197"/>
        <v>0</v>
      </c>
    </row>
    <row r="6351" spans="1:48" x14ac:dyDescent="0.25">
      <c r="A6351" t="s">
        <v>15872</v>
      </c>
      <c r="B6351" t="s">
        <v>15872</v>
      </c>
      <c r="C6351" t="s">
        <v>15873</v>
      </c>
      <c r="D6351" t="s">
        <v>15874</v>
      </c>
      <c r="E6351" t="s">
        <v>2310</v>
      </c>
      <c r="F6351">
        <v>7</v>
      </c>
      <c r="G6351">
        <v>7.2</v>
      </c>
      <c r="H6351" t="s">
        <v>2017</v>
      </c>
      <c r="I6351" s="21">
        <v>43994.475836840298</v>
      </c>
      <c r="J6351">
        <v>2020</v>
      </c>
      <c r="K6351" s="21">
        <v>44070.560746793999</v>
      </c>
      <c r="L6351">
        <v>2020</v>
      </c>
      <c r="M6351" s="21">
        <v>44635</v>
      </c>
      <c r="N6351">
        <v>2022</v>
      </c>
      <c r="Q6351" s="262">
        <v>15000</v>
      </c>
      <c r="R6351" s="262">
        <v>59000</v>
      </c>
      <c r="S6351" t="s">
        <v>13254</v>
      </c>
      <c r="T6351">
        <v>0</v>
      </c>
      <c r="V6351">
        <v>350</v>
      </c>
      <c r="W6351">
        <v>350</v>
      </c>
      <c r="X6351">
        <v>1</v>
      </c>
      <c r="AC6351">
        <v>350</v>
      </c>
      <c r="AO6351">
        <v>1</v>
      </c>
      <c r="AU6351">
        <f t="shared" si="196"/>
        <v>1</v>
      </c>
      <c r="AV6351">
        <f t="shared" si="197"/>
        <v>0</v>
      </c>
    </row>
    <row r="6352" spans="1:48" x14ac:dyDescent="0.25">
      <c r="A6352" t="s">
        <v>15875</v>
      </c>
      <c r="B6352" t="s">
        <v>15875</v>
      </c>
      <c r="C6352" t="s">
        <v>15876</v>
      </c>
      <c r="D6352" t="s">
        <v>7797</v>
      </c>
      <c r="E6352" t="s">
        <v>2310</v>
      </c>
      <c r="F6352">
        <v>9</v>
      </c>
      <c r="G6352">
        <v>9.3000000000000007</v>
      </c>
      <c r="H6352" t="s">
        <v>2323</v>
      </c>
      <c r="I6352" s="21">
        <v>43998.686665659698</v>
      </c>
      <c r="J6352">
        <v>2020</v>
      </c>
      <c r="K6352" s="21">
        <v>44124.596391701401</v>
      </c>
      <c r="L6352">
        <v>2020</v>
      </c>
      <c r="M6352" s="21">
        <v>44628</v>
      </c>
      <c r="N6352">
        <v>2022</v>
      </c>
      <c r="Q6352" s="262">
        <v>3000000</v>
      </c>
      <c r="R6352" s="262">
        <v>531000</v>
      </c>
      <c r="S6352" t="s">
        <v>13253</v>
      </c>
      <c r="T6352">
        <v>4425</v>
      </c>
      <c r="V6352">
        <v>5784</v>
      </c>
      <c r="W6352">
        <v>387</v>
      </c>
      <c r="X6352">
        <v>0</v>
      </c>
      <c r="AC6352">
        <v>387</v>
      </c>
      <c r="AU6352">
        <f t="shared" si="196"/>
        <v>0</v>
      </c>
      <c r="AV6352">
        <f t="shared" si="197"/>
        <v>0</v>
      </c>
    </row>
    <row r="6353" spans="1:48" x14ac:dyDescent="0.25">
      <c r="A6353" t="s">
        <v>15883</v>
      </c>
      <c r="B6353" t="s">
        <v>15883</v>
      </c>
      <c r="C6353" t="s">
        <v>15884</v>
      </c>
      <c r="D6353" t="s">
        <v>15885</v>
      </c>
      <c r="E6353" t="s">
        <v>2310</v>
      </c>
      <c r="F6353">
        <v>8</v>
      </c>
      <c r="G6353">
        <v>8.1</v>
      </c>
      <c r="H6353" t="s">
        <v>2323</v>
      </c>
      <c r="I6353" s="21">
        <v>44000.431651041697</v>
      </c>
      <c r="J6353">
        <v>2020</v>
      </c>
      <c r="K6353" s="21">
        <v>44118.461129664298</v>
      </c>
      <c r="L6353">
        <v>2020</v>
      </c>
      <c r="M6353" s="21">
        <v>44795.480683946756</v>
      </c>
      <c r="N6353">
        <v>2022</v>
      </c>
      <c r="Q6353" s="262">
        <v>975000</v>
      </c>
      <c r="R6353" s="262">
        <v>324000</v>
      </c>
      <c r="S6353" t="s">
        <v>13253</v>
      </c>
      <c r="T6353">
        <v>2795</v>
      </c>
      <c r="V6353">
        <v>2534</v>
      </c>
      <c r="W6353">
        <v>1493</v>
      </c>
      <c r="X6353">
        <v>0</v>
      </c>
      <c r="AC6353">
        <v>1493</v>
      </c>
      <c r="AU6353">
        <f t="shared" si="196"/>
        <v>0</v>
      </c>
      <c r="AV6353">
        <f t="shared" si="197"/>
        <v>0</v>
      </c>
    </row>
    <row r="6354" spans="1:48" x14ac:dyDescent="0.25">
      <c r="A6354" t="s">
        <v>15902</v>
      </c>
      <c r="B6354" t="s">
        <v>15902</v>
      </c>
      <c r="C6354" t="s">
        <v>15903</v>
      </c>
      <c r="D6354" t="s">
        <v>15904</v>
      </c>
      <c r="E6354" t="s">
        <v>2310</v>
      </c>
      <c r="F6354">
        <v>14</v>
      </c>
      <c r="G6354">
        <v>14.2</v>
      </c>
      <c r="H6354" t="s">
        <v>2017</v>
      </c>
      <c r="I6354" s="21">
        <v>44000.570064849497</v>
      </c>
      <c r="J6354">
        <v>2020</v>
      </c>
      <c r="K6354" s="21">
        <v>44090.596975497698</v>
      </c>
      <c r="L6354">
        <v>2020</v>
      </c>
      <c r="M6354" s="21">
        <v>44622</v>
      </c>
      <c r="N6354">
        <v>2022</v>
      </c>
      <c r="Q6354" s="262">
        <v>1500000</v>
      </c>
      <c r="R6354" s="262">
        <v>506000</v>
      </c>
      <c r="S6354" t="s">
        <v>13254</v>
      </c>
      <c r="T6354">
        <v>0</v>
      </c>
      <c r="W6354">
        <v>4570</v>
      </c>
      <c r="X6354">
        <v>1</v>
      </c>
      <c r="AC6354">
        <v>4570</v>
      </c>
      <c r="AO6354">
        <v>1</v>
      </c>
      <c r="AU6354">
        <f t="shared" si="196"/>
        <v>1</v>
      </c>
      <c r="AV6354">
        <f t="shared" si="197"/>
        <v>0</v>
      </c>
    </row>
    <row r="6355" spans="1:48" x14ac:dyDescent="0.25">
      <c r="A6355" t="s">
        <v>14741</v>
      </c>
      <c r="B6355" t="s">
        <v>14741</v>
      </c>
      <c r="C6355" t="s">
        <v>14742</v>
      </c>
      <c r="D6355" t="s">
        <v>4900</v>
      </c>
      <c r="E6355" t="s">
        <v>2310</v>
      </c>
      <c r="F6355">
        <v>8</v>
      </c>
      <c r="G6355">
        <v>8.1999999999999993</v>
      </c>
      <c r="H6355" t="s">
        <v>2022</v>
      </c>
      <c r="I6355" s="21">
        <v>44000.611724421302</v>
      </c>
      <c r="J6355">
        <v>2020</v>
      </c>
      <c r="K6355" s="21">
        <v>44194.5405735764</v>
      </c>
      <c r="L6355">
        <v>2020</v>
      </c>
      <c r="M6355" s="21">
        <v>44456</v>
      </c>
      <c r="N6355">
        <v>2021</v>
      </c>
      <c r="Q6355" s="262">
        <v>500000</v>
      </c>
      <c r="R6355" s="262">
        <v>63000</v>
      </c>
      <c r="S6355" t="s">
        <v>114</v>
      </c>
      <c r="T6355" t="s">
        <v>114</v>
      </c>
      <c r="V6355">
        <v>700</v>
      </c>
      <c r="W6355">
        <v>0</v>
      </c>
      <c r="X6355">
        <v>0</v>
      </c>
      <c r="AU6355">
        <f t="shared" si="196"/>
        <v>0</v>
      </c>
      <c r="AV6355">
        <f t="shared" si="197"/>
        <v>0</v>
      </c>
    </row>
    <row r="6356" spans="1:48" x14ac:dyDescent="0.25">
      <c r="A6356" t="s">
        <v>14743</v>
      </c>
      <c r="C6356" t="s">
        <v>11246</v>
      </c>
      <c r="D6356" t="s">
        <v>14744</v>
      </c>
      <c r="E6356" t="s">
        <v>1663</v>
      </c>
      <c r="F6356">
        <v>6</v>
      </c>
      <c r="G6356">
        <v>6.1</v>
      </c>
      <c r="H6356" t="s">
        <v>2017</v>
      </c>
      <c r="I6356" s="21">
        <v>44004</v>
      </c>
      <c r="J6356">
        <v>2020</v>
      </c>
      <c r="K6356" s="21">
        <v>44043</v>
      </c>
      <c r="L6356">
        <v>2020</v>
      </c>
      <c r="M6356" s="21">
        <v>44559</v>
      </c>
      <c r="N6356">
        <v>2021</v>
      </c>
      <c r="P6356" s="21">
        <v>44431</v>
      </c>
      <c r="Q6356" s="262">
        <v>3000000</v>
      </c>
      <c r="S6356" t="s">
        <v>114</v>
      </c>
      <c r="T6356" t="s">
        <v>114</v>
      </c>
      <c r="W6356">
        <v>4994</v>
      </c>
      <c r="X6356">
        <v>1</v>
      </c>
      <c r="AC6356">
        <v>4994</v>
      </c>
      <c r="AO6356">
        <v>1</v>
      </c>
      <c r="AU6356">
        <f t="shared" si="196"/>
        <v>1</v>
      </c>
      <c r="AV6356">
        <f t="shared" si="197"/>
        <v>0</v>
      </c>
    </row>
    <row r="6357" spans="1:48" x14ac:dyDescent="0.25">
      <c r="A6357" t="s">
        <v>14745</v>
      </c>
      <c r="C6357" t="s">
        <v>14611</v>
      </c>
      <c r="D6357" t="s">
        <v>8889</v>
      </c>
      <c r="E6357" t="s">
        <v>1663</v>
      </c>
      <c r="F6357">
        <v>1</v>
      </c>
      <c r="G6357">
        <v>1.2</v>
      </c>
      <c r="H6357" t="s">
        <v>2017</v>
      </c>
      <c r="I6357" s="21">
        <v>44005</v>
      </c>
      <c r="J6357">
        <v>2020</v>
      </c>
      <c r="K6357" s="21">
        <v>44096</v>
      </c>
      <c r="L6357">
        <v>2020</v>
      </c>
      <c r="P6357" s="21">
        <v>44409</v>
      </c>
      <c r="Q6357" s="262">
        <v>1000000</v>
      </c>
      <c r="S6357" t="s">
        <v>114</v>
      </c>
      <c r="T6357" t="s">
        <v>114</v>
      </c>
      <c r="W6357">
        <v>433</v>
      </c>
      <c r="X6357">
        <v>0</v>
      </c>
      <c r="AJ6357">
        <v>433</v>
      </c>
      <c r="AU6357">
        <f t="shared" si="196"/>
        <v>0</v>
      </c>
      <c r="AV6357">
        <f t="shared" si="197"/>
        <v>433</v>
      </c>
    </row>
    <row r="6358" spans="1:48" x14ac:dyDescent="0.25">
      <c r="A6358" t="s">
        <v>15920</v>
      </c>
      <c r="B6358" t="s">
        <v>15920</v>
      </c>
      <c r="C6358" t="s">
        <v>15921</v>
      </c>
      <c r="D6358" t="s">
        <v>15922</v>
      </c>
      <c r="E6358" t="s">
        <v>2310</v>
      </c>
      <c r="F6358">
        <v>8</v>
      </c>
      <c r="G6358">
        <v>8.3000000000000007</v>
      </c>
      <c r="H6358" t="s">
        <v>2323</v>
      </c>
      <c r="I6358" s="21">
        <v>44005.441994016197</v>
      </c>
      <c r="J6358">
        <v>2020</v>
      </c>
      <c r="K6358" s="21">
        <v>44063.4791988426</v>
      </c>
      <c r="L6358">
        <v>2020</v>
      </c>
      <c r="M6358" s="21">
        <v>44830</v>
      </c>
      <c r="N6358">
        <v>2022</v>
      </c>
      <c r="Q6358" s="262">
        <v>600000</v>
      </c>
      <c r="R6358" s="262">
        <v>318000</v>
      </c>
      <c r="S6358" t="s">
        <v>13254</v>
      </c>
      <c r="T6358">
        <v>0</v>
      </c>
      <c r="W6358">
        <v>2973</v>
      </c>
      <c r="X6358">
        <v>1</v>
      </c>
      <c r="AC6358">
        <v>2973</v>
      </c>
      <c r="AO6358">
        <v>1</v>
      </c>
      <c r="AU6358">
        <f t="shared" si="196"/>
        <v>1</v>
      </c>
      <c r="AV6358">
        <f t="shared" si="197"/>
        <v>0</v>
      </c>
    </row>
    <row r="6359" spans="1:48" x14ac:dyDescent="0.25">
      <c r="A6359" t="s">
        <v>15932</v>
      </c>
      <c r="B6359" t="s">
        <v>15932</v>
      </c>
      <c r="C6359" t="s">
        <v>15933</v>
      </c>
      <c r="D6359" t="s">
        <v>15934</v>
      </c>
      <c r="E6359" t="s">
        <v>2310</v>
      </c>
      <c r="F6359">
        <v>10</v>
      </c>
      <c r="G6359">
        <v>10.1</v>
      </c>
      <c r="H6359" t="s">
        <v>2323</v>
      </c>
      <c r="I6359" s="21">
        <v>44005.6204462963</v>
      </c>
      <c r="J6359">
        <v>2020</v>
      </c>
      <c r="K6359" s="21">
        <v>44083.554071330997</v>
      </c>
      <c r="L6359">
        <v>2020</v>
      </c>
      <c r="M6359" s="21">
        <v>44839</v>
      </c>
      <c r="N6359">
        <v>2022</v>
      </c>
      <c r="Q6359" s="262">
        <v>1200000</v>
      </c>
      <c r="R6359" s="262">
        <v>367000</v>
      </c>
      <c r="S6359" t="s">
        <v>13254</v>
      </c>
      <c r="T6359">
        <v>0</v>
      </c>
      <c r="W6359">
        <v>3382</v>
      </c>
      <c r="X6359">
        <v>1</v>
      </c>
      <c r="AC6359">
        <v>3382</v>
      </c>
      <c r="AO6359">
        <v>1</v>
      </c>
      <c r="AU6359">
        <f t="shared" si="196"/>
        <v>1</v>
      </c>
      <c r="AV6359">
        <f t="shared" si="197"/>
        <v>0</v>
      </c>
    </row>
    <row r="6360" spans="1:48" x14ac:dyDescent="0.25">
      <c r="A6360" t="s">
        <v>14353</v>
      </c>
      <c r="D6360" t="s">
        <v>14354</v>
      </c>
      <c r="E6360" t="s">
        <v>2310</v>
      </c>
      <c r="F6360">
        <v>9</v>
      </c>
      <c r="G6360">
        <v>9.3000000000000007</v>
      </c>
      <c r="H6360" t="s">
        <v>2323</v>
      </c>
      <c r="I6360" s="21">
        <v>44005.658902118099</v>
      </c>
      <c r="J6360">
        <v>2020</v>
      </c>
      <c r="K6360" s="21">
        <v>44172.435922256896</v>
      </c>
      <c r="L6360">
        <v>2020</v>
      </c>
      <c r="M6360" s="21">
        <v>44907</v>
      </c>
      <c r="N6360">
        <v>2022</v>
      </c>
      <c r="O6360" s="21" t="s">
        <v>114</v>
      </c>
      <c r="P6360" s="21" t="s">
        <v>114</v>
      </c>
      <c r="Q6360" s="262">
        <v>950000</v>
      </c>
      <c r="R6360" s="262">
        <v>448000</v>
      </c>
      <c r="S6360" t="s">
        <v>9529</v>
      </c>
      <c r="T6360">
        <v>4361</v>
      </c>
      <c r="U6360">
        <v>5</v>
      </c>
      <c r="W6360">
        <v>-2602</v>
      </c>
      <c r="X6360">
        <v>-1</v>
      </c>
      <c r="Y6360">
        <v>0</v>
      </c>
      <c r="Z6360">
        <v>0</v>
      </c>
      <c r="AA6360">
        <v>0</v>
      </c>
      <c r="AB6360">
        <v>0</v>
      </c>
      <c r="AC6360">
        <v>-2602</v>
      </c>
      <c r="AD6360">
        <v>0</v>
      </c>
      <c r="AE6360">
        <v>0</v>
      </c>
      <c r="AF6360">
        <v>0</v>
      </c>
      <c r="AG6360">
        <v>0</v>
      </c>
      <c r="AH6360">
        <v>0</v>
      </c>
      <c r="AI6360">
        <v>0</v>
      </c>
      <c r="AJ6360">
        <v>0</v>
      </c>
      <c r="AK6360">
        <v>0</v>
      </c>
      <c r="AL6360">
        <v>0</v>
      </c>
      <c r="AM6360">
        <v>0</v>
      </c>
      <c r="AN6360">
        <v>0</v>
      </c>
      <c r="AO6360">
        <v>-1</v>
      </c>
      <c r="AP6360">
        <v>0</v>
      </c>
      <c r="AQ6360">
        <v>0</v>
      </c>
      <c r="AR6360">
        <v>0</v>
      </c>
      <c r="AS6360">
        <v>0</v>
      </c>
      <c r="AT6360">
        <v>0</v>
      </c>
      <c r="AU6360">
        <f t="shared" si="196"/>
        <v>-1</v>
      </c>
      <c r="AV6360">
        <f t="shared" si="197"/>
        <v>0</v>
      </c>
    </row>
    <row r="6361" spans="1:48" x14ac:dyDescent="0.25">
      <c r="A6361" t="s">
        <v>14353</v>
      </c>
      <c r="B6361" t="s">
        <v>14353</v>
      </c>
      <c r="C6361" t="s">
        <v>14370</v>
      </c>
      <c r="D6361" t="s">
        <v>14354</v>
      </c>
      <c r="E6361" t="s">
        <v>2310</v>
      </c>
      <c r="F6361">
        <v>9</v>
      </c>
      <c r="G6361">
        <v>9.3000000000000007</v>
      </c>
      <c r="H6361" t="s">
        <v>2323</v>
      </c>
      <c r="I6361" s="21">
        <v>44005.658902118099</v>
      </c>
      <c r="J6361">
        <v>2020</v>
      </c>
      <c r="K6361" s="21">
        <v>44172.435922256896</v>
      </c>
      <c r="L6361">
        <v>2020</v>
      </c>
      <c r="M6361" s="21">
        <v>44907</v>
      </c>
      <c r="N6361">
        <v>2022</v>
      </c>
      <c r="Q6361" s="262">
        <v>950000</v>
      </c>
      <c r="R6361" s="262">
        <v>448000</v>
      </c>
      <c r="S6361" t="s">
        <v>12464</v>
      </c>
      <c r="T6361">
        <v>4361</v>
      </c>
      <c r="W6361">
        <v>4046</v>
      </c>
      <c r="X6361">
        <v>2</v>
      </c>
      <c r="AC6361">
        <v>3576</v>
      </c>
      <c r="AF6361">
        <v>470</v>
      </c>
      <c r="AO6361">
        <v>1</v>
      </c>
      <c r="AR6361">
        <v>1</v>
      </c>
      <c r="AU6361">
        <f t="shared" ref="AU6361:AU6424" si="198">SUM(AN6361:AQ6361,AS6361)</f>
        <v>1</v>
      </c>
      <c r="AV6361">
        <f t="shared" ref="AV6361:AV6424" si="199">SUM(Y6361:AB6361,AH6361:AM6361)</f>
        <v>0</v>
      </c>
    </row>
    <row r="6362" spans="1:48" x14ac:dyDescent="0.25">
      <c r="A6362" t="s">
        <v>15943</v>
      </c>
      <c r="B6362" t="s">
        <v>15943</v>
      </c>
      <c r="C6362" t="s">
        <v>15944</v>
      </c>
      <c r="D6362" t="s">
        <v>15668</v>
      </c>
      <c r="E6362" t="s">
        <v>2310</v>
      </c>
      <c r="F6362">
        <v>8</v>
      </c>
      <c r="G6362">
        <v>8.1999999999999993</v>
      </c>
      <c r="H6362" t="s">
        <v>2022</v>
      </c>
      <c r="I6362" s="21">
        <v>44007.382189895798</v>
      </c>
      <c r="J6362">
        <v>2020</v>
      </c>
      <c r="K6362" s="21">
        <v>44096.6862420139</v>
      </c>
      <c r="L6362">
        <v>2020</v>
      </c>
      <c r="M6362" s="21">
        <v>44564.470286493059</v>
      </c>
      <c r="N6362">
        <v>2022</v>
      </c>
      <c r="Q6362" s="262">
        <v>104000</v>
      </c>
      <c r="R6362" s="262">
        <v>104000</v>
      </c>
      <c r="S6362" t="s">
        <v>13253</v>
      </c>
      <c r="T6362">
        <v>5459</v>
      </c>
      <c r="V6362">
        <v>1000</v>
      </c>
      <c r="W6362">
        <v>0</v>
      </c>
      <c r="X6362">
        <v>1</v>
      </c>
      <c r="AC6362">
        <v>-1000</v>
      </c>
      <c r="AF6362">
        <v>1000</v>
      </c>
      <c r="AR6362">
        <v>1</v>
      </c>
      <c r="AU6362">
        <f t="shared" si="198"/>
        <v>0</v>
      </c>
      <c r="AV6362">
        <f t="shared" si="199"/>
        <v>0</v>
      </c>
    </row>
    <row r="6363" spans="1:48" x14ac:dyDescent="0.25">
      <c r="A6363" t="s">
        <v>15956</v>
      </c>
      <c r="B6363" t="s">
        <v>15956</v>
      </c>
      <c r="C6363" t="s">
        <v>15957</v>
      </c>
      <c r="D6363" t="s">
        <v>15668</v>
      </c>
      <c r="E6363" t="s">
        <v>2310</v>
      </c>
      <c r="F6363">
        <v>8</v>
      </c>
      <c r="G6363">
        <v>8.1999999999999993</v>
      </c>
      <c r="H6363" t="s">
        <v>2022</v>
      </c>
      <c r="I6363" s="21">
        <v>44007.393179432896</v>
      </c>
      <c r="J6363">
        <v>2020</v>
      </c>
      <c r="K6363" s="21">
        <v>44061.607987534699</v>
      </c>
      <c r="L6363">
        <v>2020</v>
      </c>
      <c r="M6363" s="21">
        <v>44642.43468943287</v>
      </c>
      <c r="N6363">
        <v>2022</v>
      </c>
      <c r="Q6363" s="262">
        <v>304000</v>
      </c>
      <c r="R6363" s="262">
        <v>280000</v>
      </c>
      <c r="S6363" t="s">
        <v>13253</v>
      </c>
      <c r="T6363">
        <v>5460</v>
      </c>
      <c r="V6363">
        <v>3042</v>
      </c>
      <c r="W6363">
        <v>0</v>
      </c>
      <c r="X6363">
        <v>0</v>
      </c>
      <c r="AU6363">
        <f t="shared" si="198"/>
        <v>0</v>
      </c>
      <c r="AV6363">
        <f t="shared" si="199"/>
        <v>0</v>
      </c>
    </row>
    <row r="6364" spans="1:48" x14ac:dyDescent="0.25">
      <c r="A6364" t="s">
        <v>19633</v>
      </c>
      <c r="B6364" t="s">
        <v>19633</v>
      </c>
      <c r="C6364" t="s">
        <v>19634</v>
      </c>
      <c r="D6364" t="s">
        <v>9308</v>
      </c>
      <c r="E6364" t="s">
        <v>2310</v>
      </c>
      <c r="F6364">
        <v>8</v>
      </c>
      <c r="G6364">
        <v>8.1</v>
      </c>
      <c r="H6364" t="s">
        <v>2323</v>
      </c>
      <c r="I6364" s="21">
        <v>44007.428681678241</v>
      </c>
      <c r="J6364">
        <v>2020</v>
      </c>
      <c r="K6364" s="21">
        <v>44083.449552048609</v>
      </c>
      <c r="L6364">
        <v>2020</v>
      </c>
      <c r="M6364" s="21">
        <v>44186.383858136571</v>
      </c>
      <c r="N6364">
        <v>2020</v>
      </c>
      <c r="Q6364" s="262">
        <v>30000</v>
      </c>
      <c r="R6364" s="262">
        <v>84000</v>
      </c>
      <c r="S6364" t="s">
        <v>13254</v>
      </c>
      <c r="W6364">
        <v>999</v>
      </c>
      <c r="X6364">
        <v>1</v>
      </c>
      <c r="AF6364">
        <v>999</v>
      </c>
      <c r="AR6364">
        <v>1</v>
      </c>
      <c r="AU6364">
        <f t="shared" si="198"/>
        <v>0</v>
      </c>
      <c r="AV6364">
        <f t="shared" si="199"/>
        <v>0</v>
      </c>
    </row>
    <row r="6365" spans="1:48" x14ac:dyDescent="0.25">
      <c r="A6365" t="s">
        <v>14759</v>
      </c>
      <c r="B6365" t="s">
        <v>14759</v>
      </c>
      <c r="C6365" t="s">
        <v>14760</v>
      </c>
      <c r="D6365" t="s">
        <v>14761</v>
      </c>
      <c r="E6365" t="s">
        <v>2310</v>
      </c>
      <c r="F6365">
        <v>9</v>
      </c>
      <c r="G6365">
        <v>9.1999999999999993</v>
      </c>
      <c r="H6365" t="s">
        <v>2022</v>
      </c>
      <c r="I6365" s="21">
        <v>44007.4715601852</v>
      </c>
      <c r="J6365">
        <v>2020</v>
      </c>
      <c r="K6365" s="21">
        <v>44090.599451770802</v>
      </c>
      <c r="L6365">
        <v>2020</v>
      </c>
      <c r="Q6365" s="262">
        <v>200000</v>
      </c>
      <c r="R6365" s="262">
        <v>185000</v>
      </c>
      <c r="S6365" t="s">
        <v>114</v>
      </c>
      <c r="T6365" t="s">
        <v>114</v>
      </c>
      <c r="V6365">
        <v>1759</v>
      </c>
      <c r="W6365">
        <v>240</v>
      </c>
      <c r="X6365">
        <v>0</v>
      </c>
      <c r="AC6365">
        <v>240</v>
      </c>
      <c r="AU6365">
        <f t="shared" si="198"/>
        <v>0</v>
      </c>
      <c r="AV6365">
        <f t="shared" si="199"/>
        <v>0</v>
      </c>
    </row>
    <row r="6366" spans="1:48" x14ac:dyDescent="0.25">
      <c r="A6366" t="s">
        <v>14762</v>
      </c>
      <c r="B6366" t="s">
        <v>14762</v>
      </c>
      <c r="C6366" t="s">
        <v>14763</v>
      </c>
      <c r="D6366" t="s">
        <v>14764</v>
      </c>
      <c r="E6366" t="s">
        <v>2310</v>
      </c>
      <c r="F6366">
        <v>9</v>
      </c>
      <c r="G6366">
        <v>9.4</v>
      </c>
      <c r="H6366" t="s">
        <v>2323</v>
      </c>
      <c r="I6366" s="21">
        <v>44007.555376076401</v>
      </c>
      <c r="J6366">
        <v>2020</v>
      </c>
      <c r="K6366" s="21">
        <v>44090.644762731499</v>
      </c>
      <c r="L6366">
        <v>2020</v>
      </c>
      <c r="Q6366" s="262">
        <v>7500000</v>
      </c>
      <c r="R6366" s="262">
        <v>2015000</v>
      </c>
      <c r="S6366" t="s">
        <v>114</v>
      </c>
      <c r="T6366" t="s">
        <v>114</v>
      </c>
      <c r="W6366">
        <v>1554</v>
      </c>
      <c r="X6366">
        <v>1</v>
      </c>
      <c r="AC6366">
        <v>1554</v>
      </c>
      <c r="AO6366">
        <v>1</v>
      </c>
      <c r="AU6366">
        <f t="shared" si="198"/>
        <v>1</v>
      </c>
      <c r="AV6366">
        <f t="shared" si="199"/>
        <v>0</v>
      </c>
    </row>
    <row r="6367" spans="1:48" x14ac:dyDescent="0.25">
      <c r="A6367" t="s">
        <v>14765</v>
      </c>
      <c r="B6367" t="s">
        <v>14765</v>
      </c>
      <c r="C6367" t="s">
        <v>14766</v>
      </c>
      <c r="D6367" t="s">
        <v>14767</v>
      </c>
      <c r="E6367" t="s">
        <v>2310</v>
      </c>
      <c r="F6367">
        <v>8</v>
      </c>
      <c r="G6367">
        <v>8.3000000000000007</v>
      </c>
      <c r="H6367" t="s">
        <v>2323</v>
      </c>
      <c r="I6367" s="21">
        <v>44007.665563807903</v>
      </c>
      <c r="J6367">
        <v>2020</v>
      </c>
      <c r="K6367" s="21">
        <v>44062.580755937503</v>
      </c>
      <c r="L6367">
        <v>2020</v>
      </c>
      <c r="Q6367" s="262">
        <v>2000000</v>
      </c>
      <c r="R6367" s="262">
        <v>552000</v>
      </c>
      <c r="S6367" t="s">
        <v>114</v>
      </c>
      <c r="T6367" t="s">
        <v>114</v>
      </c>
      <c r="W6367">
        <v>5427</v>
      </c>
      <c r="X6367">
        <v>0</v>
      </c>
      <c r="AC6367">
        <v>5427</v>
      </c>
      <c r="AU6367">
        <f t="shared" si="198"/>
        <v>0</v>
      </c>
      <c r="AV6367">
        <f t="shared" si="199"/>
        <v>0</v>
      </c>
    </row>
    <row r="6368" spans="1:48" x14ac:dyDescent="0.25">
      <c r="A6368" t="s">
        <v>20080</v>
      </c>
      <c r="B6368" t="s">
        <v>20080</v>
      </c>
      <c r="C6368" t="s">
        <v>20081</v>
      </c>
      <c r="D6368" t="s">
        <v>10918</v>
      </c>
      <c r="E6368" t="s">
        <v>2310</v>
      </c>
      <c r="F6368">
        <v>8</v>
      </c>
      <c r="G6368">
        <v>8.1</v>
      </c>
      <c r="H6368" t="s">
        <v>2323</v>
      </c>
      <c r="I6368" s="21">
        <v>44011.559532986103</v>
      </c>
      <c r="J6368">
        <v>2020</v>
      </c>
      <c r="K6368" s="21">
        <v>44068.644008483803</v>
      </c>
      <c r="L6368">
        <v>2020</v>
      </c>
      <c r="M6368" s="21">
        <v>44210</v>
      </c>
      <c r="N6368">
        <v>2021</v>
      </c>
      <c r="Q6368" s="262">
        <v>200000</v>
      </c>
      <c r="R6368" s="262">
        <v>52000</v>
      </c>
      <c r="S6368" t="s">
        <v>13254</v>
      </c>
      <c r="U6368">
        <v>5</v>
      </c>
      <c r="W6368">
        <v>1080</v>
      </c>
      <c r="X6368">
        <v>0</v>
      </c>
      <c r="AC6368">
        <v>1080</v>
      </c>
      <c r="AU6368">
        <f t="shared" si="198"/>
        <v>0</v>
      </c>
      <c r="AV6368">
        <f t="shared" si="199"/>
        <v>0</v>
      </c>
    </row>
    <row r="6369" spans="1:48" x14ac:dyDescent="0.25">
      <c r="A6369" t="s">
        <v>14768</v>
      </c>
      <c r="B6369" t="s">
        <v>14768</v>
      </c>
      <c r="C6369" t="s">
        <v>14769</v>
      </c>
      <c r="D6369" t="s">
        <v>14770</v>
      </c>
      <c r="E6369" t="s">
        <v>2310</v>
      </c>
      <c r="F6369">
        <v>9</v>
      </c>
      <c r="G6369">
        <v>9.3000000000000007</v>
      </c>
      <c r="H6369" t="s">
        <v>2323</v>
      </c>
      <c r="I6369" s="21">
        <v>44012.483542708302</v>
      </c>
      <c r="J6369">
        <v>2020</v>
      </c>
      <c r="O6369" s="21">
        <v>44089.40425</v>
      </c>
      <c r="Q6369" s="262">
        <v>4100000</v>
      </c>
      <c r="R6369" s="262">
        <v>656000</v>
      </c>
      <c r="S6369" t="s">
        <v>114</v>
      </c>
      <c r="T6369" t="s">
        <v>114</v>
      </c>
      <c r="W6369">
        <v>5035</v>
      </c>
      <c r="X6369">
        <v>1</v>
      </c>
      <c r="AC6369">
        <v>5035</v>
      </c>
      <c r="AO6369">
        <v>1</v>
      </c>
      <c r="AU6369">
        <f t="shared" si="198"/>
        <v>1</v>
      </c>
      <c r="AV6369">
        <f t="shared" si="199"/>
        <v>0</v>
      </c>
    </row>
    <row r="6370" spans="1:48" x14ac:dyDescent="0.25">
      <c r="A6370" t="s">
        <v>14771</v>
      </c>
      <c r="B6370" t="s">
        <v>14771</v>
      </c>
      <c r="C6370" t="s">
        <v>14772</v>
      </c>
      <c r="D6370" t="s">
        <v>10546</v>
      </c>
      <c r="E6370" t="s">
        <v>2310</v>
      </c>
      <c r="F6370">
        <v>9</v>
      </c>
      <c r="G6370">
        <v>9.4</v>
      </c>
      <c r="H6370" t="s">
        <v>2323</v>
      </c>
      <c r="I6370" s="21">
        <v>44012.5593890046</v>
      </c>
      <c r="J6370">
        <v>2020</v>
      </c>
      <c r="K6370" s="21">
        <v>44096.405901817103</v>
      </c>
      <c r="L6370">
        <v>2020</v>
      </c>
      <c r="M6370" s="21">
        <v>44519</v>
      </c>
      <c r="N6370">
        <v>2021</v>
      </c>
      <c r="Q6370" s="262">
        <v>6000000</v>
      </c>
      <c r="R6370" s="262">
        <v>63000</v>
      </c>
      <c r="S6370" t="s">
        <v>114</v>
      </c>
      <c r="T6370" t="s">
        <v>114</v>
      </c>
      <c r="V6370">
        <v>817</v>
      </c>
      <c r="W6370">
        <v>0</v>
      </c>
      <c r="X6370">
        <v>0</v>
      </c>
      <c r="AU6370">
        <f t="shared" si="198"/>
        <v>0</v>
      </c>
      <c r="AV6370">
        <f t="shared" si="199"/>
        <v>0</v>
      </c>
    </row>
    <row r="6371" spans="1:48" x14ac:dyDescent="0.25">
      <c r="A6371" t="s">
        <v>20010</v>
      </c>
      <c r="B6371" t="s">
        <v>20010</v>
      </c>
      <c r="C6371" t="s">
        <v>20011</v>
      </c>
      <c r="D6371" t="s">
        <v>18299</v>
      </c>
      <c r="E6371" t="s">
        <v>2310</v>
      </c>
      <c r="F6371">
        <v>9</v>
      </c>
      <c r="G6371">
        <v>9.1999999999999993</v>
      </c>
      <c r="H6371" t="s">
        <v>2022</v>
      </c>
      <c r="I6371" s="21">
        <v>44012.574765277801</v>
      </c>
      <c r="J6371">
        <v>2020</v>
      </c>
      <c r="K6371" s="21">
        <v>44062.441701620402</v>
      </c>
      <c r="L6371">
        <v>2020</v>
      </c>
      <c r="M6371" s="21">
        <v>44501</v>
      </c>
      <c r="N6371">
        <v>2021</v>
      </c>
      <c r="Q6371" s="262">
        <v>250000</v>
      </c>
      <c r="R6371" s="262">
        <v>59000</v>
      </c>
      <c r="S6371" t="s">
        <v>13253</v>
      </c>
      <c r="T6371">
        <v>4299</v>
      </c>
      <c r="U6371">
        <v>8</v>
      </c>
      <c r="W6371">
        <v>496</v>
      </c>
      <c r="X6371">
        <v>1</v>
      </c>
      <c r="AF6371">
        <v>496</v>
      </c>
      <c r="AR6371">
        <v>1</v>
      </c>
      <c r="AU6371">
        <f t="shared" si="198"/>
        <v>0</v>
      </c>
      <c r="AV6371">
        <f t="shared" si="199"/>
        <v>0</v>
      </c>
    </row>
    <row r="6372" spans="1:48" x14ac:dyDescent="0.25">
      <c r="A6372" t="s">
        <v>14456</v>
      </c>
      <c r="D6372" t="s">
        <v>14457</v>
      </c>
      <c r="E6372" t="s">
        <v>2310</v>
      </c>
      <c r="F6372">
        <v>8</v>
      </c>
      <c r="G6372">
        <v>8.3000000000000007</v>
      </c>
      <c r="H6372" t="s">
        <v>2323</v>
      </c>
      <c r="I6372" s="21">
        <v>44012.585531678204</v>
      </c>
      <c r="J6372">
        <v>2020</v>
      </c>
      <c r="K6372" s="21">
        <v>44095.580070104203</v>
      </c>
      <c r="L6372">
        <v>2020</v>
      </c>
      <c r="M6372" s="21">
        <v>44736.455890243058</v>
      </c>
      <c r="N6372">
        <v>2022</v>
      </c>
      <c r="O6372" s="21" t="s">
        <v>114</v>
      </c>
      <c r="P6372" s="21" t="s">
        <v>114</v>
      </c>
      <c r="Q6372" s="262">
        <v>1750000</v>
      </c>
      <c r="R6372" s="262">
        <v>474000</v>
      </c>
      <c r="S6372" t="s">
        <v>9529</v>
      </c>
      <c r="T6372">
        <v>172</v>
      </c>
      <c r="U6372">
        <v>5</v>
      </c>
      <c r="W6372">
        <v>-2685</v>
      </c>
      <c r="X6372">
        <v>-1</v>
      </c>
      <c r="Y6372">
        <v>0</v>
      </c>
      <c r="Z6372">
        <v>0</v>
      </c>
      <c r="AA6372">
        <v>0</v>
      </c>
      <c r="AB6372">
        <v>0</v>
      </c>
      <c r="AC6372">
        <v>-2685</v>
      </c>
      <c r="AD6372">
        <v>0</v>
      </c>
      <c r="AE6372">
        <v>0</v>
      </c>
      <c r="AF6372">
        <v>0</v>
      </c>
      <c r="AG6372">
        <v>0</v>
      </c>
      <c r="AH6372">
        <v>0</v>
      </c>
      <c r="AI6372">
        <v>0</v>
      </c>
      <c r="AJ6372">
        <v>0</v>
      </c>
      <c r="AK6372">
        <v>0</v>
      </c>
      <c r="AL6372">
        <v>0</v>
      </c>
      <c r="AM6372">
        <v>0</v>
      </c>
      <c r="AN6372">
        <v>0</v>
      </c>
      <c r="AO6372">
        <v>-1</v>
      </c>
      <c r="AP6372">
        <v>0</v>
      </c>
      <c r="AQ6372">
        <v>0</v>
      </c>
      <c r="AR6372">
        <v>0</v>
      </c>
      <c r="AS6372">
        <v>0</v>
      </c>
      <c r="AT6372">
        <v>0</v>
      </c>
      <c r="AU6372">
        <f t="shared" si="198"/>
        <v>-1</v>
      </c>
      <c r="AV6372">
        <f t="shared" si="199"/>
        <v>0</v>
      </c>
    </row>
    <row r="6373" spans="1:48" x14ac:dyDescent="0.25">
      <c r="A6373" t="s">
        <v>14456</v>
      </c>
      <c r="B6373" t="s">
        <v>14456</v>
      </c>
      <c r="C6373" t="s">
        <v>14459</v>
      </c>
      <c r="D6373" t="s">
        <v>14457</v>
      </c>
      <c r="E6373" t="s">
        <v>2310</v>
      </c>
      <c r="F6373">
        <v>8</v>
      </c>
      <c r="G6373">
        <v>8.3000000000000007</v>
      </c>
      <c r="H6373" t="s">
        <v>2323</v>
      </c>
      <c r="I6373" s="21">
        <v>44012.585531678204</v>
      </c>
      <c r="J6373">
        <v>2020</v>
      </c>
      <c r="K6373" s="21">
        <v>44095.580070104203</v>
      </c>
      <c r="L6373">
        <v>2020</v>
      </c>
      <c r="M6373" s="21">
        <v>44736.455890243058</v>
      </c>
      <c r="N6373">
        <v>2022</v>
      </c>
      <c r="Q6373" s="262">
        <v>1750000</v>
      </c>
      <c r="R6373" s="262">
        <v>474000</v>
      </c>
      <c r="S6373" t="s">
        <v>12464</v>
      </c>
      <c r="T6373">
        <v>172</v>
      </c>
      <c r="V6373">
        <v>2685</v>
      </c>
      <c r="W6373">
        <v>953</v>
      </c>
      <c r="X6373">
        <v>0</v>
      </c>
      <c r="AC6373">
        <v>953</v>
      </c>
      <c r="AU6373">
        <f t="shared" si="198"/>
        <v>0</v>
      </c>
      <c r="AV6373">
        <f t="shared" si="199"/>
        <v>0</v>
      </c>
    </row>
    <row r="6374" spans="1:48" x14ac:dyDescent="0.25">
      <c r="A6374" t="s">
        <v>14777</v>
      </c>
      <c r="C6374" t="s">
        <v>14778</v>
      </c>
      <c r="D6374" t="s">
        <v>12944</v>
      </c>
      <c r="E6374" t="s">
        <v>1663</v>
      </c>
      <c r="F6374">
        <v>6</v>
      </c>
      <c r="G6374">
        <v>6.1</v>
      </c>
      <c r="H6374" t="s">
        <v>2017</v>
      </c>
      <c r="I6374" s="21">
        <v>44013</v>
      </c>
      <c r="J6374">
        <v>2020</v>
      </c>
      <c r="K6374" s="21">
        <v>44041</v>
      </c>
      <c r="L6374">
        <v>2020</v>
      </c>
      <c r="P6374" s="21">
        <v>44391</v>
      </c>
      <c r="Q6374" s="262">
        <v>15000</v>
      </c>
      <c r="S6374" t="s">
        <v>114</v>
      </c>
      <c r="T6374" t="s">
        <v>114</v>
      </c>
      <c r="W6374">
        <v>0</v>
      </c>
      <c r="X6374">
        <v>0</v>
      </c>
      <c r="AU6374">
        <f t="shared" si="198"/>
        <v>0</v>
      </c>
      <c r="AV6374">
        <f t="shared" si="199"/>
        <v>0</v>
      </c>
    </row>
    <row r="6375" spans="1:48" x14ac:dyDescent="0.25">
      <c r="A6375" t="s">
        <v>14779</v>
      </c>
      <c r="C6375" t="s">
        <v>12530</v>
      </c>
      <c r="D6375" t="s">
        <v>14780</v>
      </c>
      <c r="E6375" t="s">
        <v>1663</v>
      </c>
      <c r="F6375">
        <v>4</v>
      </c>
      <c r="G6375">
        <v>4.4000000000000004</v>
      </c>
      <c r="H6375" t="s">
        <v>2017</v>
      </c>
      <c r="I6375" s="21">
        <v>44013</v>
      </c>
      <c r="J6375">
        <v>2020</v>
      </c>
      <c r="K6375" s="21">
        <v>44028</v>
      </c>
      <c r="L6375">
        <v>2020</v>
      </c>
      <c r="M6375" s="21">
        <v>44511</v>
      </c>
      <c r="N6375">
        <v>2021</v>
      </c>
      <c r="Q6375" s="262">
        <v>6000</v>
      </c>
      <c r="S6375" t="s">
        <v>114</v>
      </c>
      <c r="T6375" t="s">
        <v>114</v>
      </c>
      <c r="W6375">
        <v>0</v>
      </c>
      <c r="X6375">
        <v>0</v>
      </c>
      <c r="AU6375">
        <f t="shared" si="198"/>
        <v>0</v>
      </c>
      <c r="AV6375">
        <f t="shared" si="199"/>
        <v>0</v>
      </c>
    </row>
    <row r="6376" spans="1:48" x14ac:dyDescent="0.25">
      <c r="A6376" t="s">
        <v>14781</v>
      </c>
      <c r="C6376" t="s">
        <v>14782</v>
      </c>
      <c r="D6376" t="s">
        <v>14783</v>
      </c>
      <c r="E6376" t="s">
        <v>1663</v>
      </c>
      <c r="F6376">
        <v>3</v>
      </c>
      <c r="G6376">
        <v>3.1</v>
      </c>
      <c r="H6376" t="s">
        <v>2017</v>
      </c>
      <c r="I6376" s="21">
        <v>44013</v>
      </c>
      <c r="J6376">
        <v>2020</v>
      </c>
      <c r="K6376" s="21">
        <v>44056</v>
      </c>
      <c r="L6376">
        <v>2020</v>
      </c>
      <c r="P6376" s="21">
        <v>44542</v>
      </c>
      <c r="Q6376" s="262">
        <v>250000</v>
      </c>
      <c r="S6376" t="s">
        <v>114</v>
      </c>
      <c r="T6376" t="s">
        <v>114</v>
      </c>
      <c r="W6376">
        <v>1276</v>
      </c>
      <c r="X6376">
        <v>1</v>
      </c>
      <c r="AC6376">
        <v>780</v>
      </c>
      <c r="AF6376">
        <v>496</v>
      </c>
      <c r="AR6376">
        <v>1</v>
      </c>
      <c r="AU6376">
        <f t="shared" si="198"/>
        <v>0</v>
      </c>
      <c r="AV6376">
        <f t="shared" si="199"/>
        <v>0</v>
      </c>
    </row>
    <row r="6377" spans="1:48" x14ac:dyDescent="0.25">
      <c r="A6377" t="s">
        <v>15970</v>
      </c>
      <c r="B6377" t="s">
        <v>15970</v>
      </c>
      <c r="C6377" t="s">
        <v>15971</v>
      </c>
      <c r="D6377" t="s">
        <v>15972</v>
      </c>
      <c r="E6377" t="s">
        <v>2310</v>
      </c>
      <c r="F6377">
        <v>9</v>
      </c>
      <c r="G6377">
        <v>9.3000000000000007</v>
      </c>
      <c r="H6377" t="s">
        <v>2323</v>
      </c>
      <c r="I6377" s="21">
        <v>44014.6007579051</v>
      </c>
      <c r="J6377">
        <v>2020</v>
      </c>
      <c r="K6377" s="21">
        <v>44077.359043020799</v>
      </c>
      <c r="L6377">
        <v>2020</v>
      </c>
      <c r="M6377" s="21">
        <v>44748.61589976852</v>
      </c>
      <c r="N6377">
        <v>2022</v>
      </c>
      <c r="Q6377" s="262">
        <v>3700000</v>
      </c>
      <c r="R6377" s="262">
        <v>658000</v>
      </c>
      <c r="S6377" t="s">
        <v>13254</v>
      </c>
      <c r="T6377">
        <v>0</v>
      </c>
      <c r="W6377">
        <v>5237</v>
      </c>
      <c r="X6377">
        <v>1</v>
      </c>
      <c r="AC6377">
        <v>5237</v>
      </c>
      <c r="AO6377">
        <v>1</v>
      </c>
      <c r="AU6377">
        <f t="shared" si="198"/>
        <v>1</v>
      </c>
      <c r="AV6377">
        <f t="shared" si="199"/>
        <v>0</v>
      </c>
    </row>
    <row r="6378" spans="1:48" x14ac:dyDescent="0.25">
      <c r="A6378" t="s">
        <v>14787</v>
      </c>
      <c r="C6378" t="s">
        <v>14788</v>
      </c>
      <c r="D6378" t="s">
        <v>14757</v>
      </c>
      <c r="E6378" t="s">
        <v>1663</v>
      </c>
      <c r="F6378">
        <v>6</v>
      </c>
      <c r="G6378">
        <v>6.1</v>
      </c>
      <c r="H6378" t="s">
        <v>2017</v>
      </c>
      <c r="I6378" s="21">
        <v>44018</v>
      </c>
      <c r="J6378">
        <v>2020</v>
      </c>
      <c r="K6378" s="21">
        <v>44027</v>
      </c>
      <c r="L6378">
        <v>2020</v>
      </c>
      <c r="P6378" s="21">
        <v>44291</v>
      </c>
      <c r="Q6378" s="262">
        <v>300000</v>
      </c>
      <c r="S6378" t="s">
        <v>114</v>
      </c>
      <c r="T6378" t="s">
        <v>114</v>
      </c>
      <c r="W6378">
        <v>0</v>
      </c>
      <c r="X6378">
        <v>0</v>
      </c>
      <c r="AU6378">
        <f t="shared" si="198"/>
        <v>0</v>
      </c>
      <c r="AV6378">
        <f t="shared" si="199"/>
        <v>0</v>
      </c>
    </row>
    <row r="6379" spans="1:48" x14ac:dyDescent="0.25">
      <c r="A6379" t="s">
        <v>20143</v>
      </c>
      <c r="B6379" t="s">
        <v>20143</v>
      </c>
      <c r="C6379" t="s">
        <v>20144</v>
      </c>
      <c r="D6379" t="s">
        <v>6194</v>
      </c>
      <c r="E6379" t="s">
        <v>2310</v>
      </c>
      <c r="F6379">
        <v>14</v>
      </c>
      <c r="G6379">
        <v>14.1</v>
      </c>
      <c r="H6379" t="s">
        <v>2022</v>
      </c>
      <c r="I6379" s="21">
        <v>44019.4611836806</v>
      </c>
      <c r="J6379">
        <v>2020</v>
      </c>
      <c r="K6379" s="21">
        <v>44074.547931169</v>
      </c>
      <c r="L6379">
        <v>2020</v>
      </c>
      <c r="M6379" s="21">
        <v>44466</v>
      </c>
      <c r="N6379">
        <v>2021</v>
      </c>
      <c r="Q6379" s="262">
        <v>97250</v>
      </c>
      <c r="R6379" s="262">
        <v>52000</v>
      </c>
      <c r="S6379" t="s">
        <v>13254</v>
      </c>
      <c r="U6379">
        <v>5</v>
      </c>
      <c r="W6379">
        <v>1024</v>
      </c>
      <c r="X6379">
        <v>0</v>
      </c>
      <c r="AC6379">
        <v>1024</v>
      </c>
      <c r="AU6379">
        <f t="shared" si="198"/>
        <v>0</v>
      </c>
      <c r="AV6379">
        <f t="shared" si="199"/>
        <v>0</v>
      </c>
    </row>
    <row r="6380" spans="1:48" x14ac:dyDescent="0.25">
      <c r="A6380" t="s">
        <v>14478</v>
      </c>
      <c r="D6380" t="s">
        <v>14479</v>
      </c>
      <c r="E6380" t="s">
        <v>2310</v>
      </c>
      <c r="F6380">
        <v>9</v>
      </c>
      <c r="G6380">
        <v>9.1999999999999993</v>
      </c>
      <c r="H6380" t="s">
        <v>2022</v>
      </c>
      <c r="I6380" s="21">
        <v>44019.566794710598</v>
      </c>
      <c r="J6380">
        <v>2020</v>
      </c>
      <c r="K6380" s="21">
        <v>44092.584733993099</v>
      </c>
      <c r="L6380">
        <v>2020</v>
      </c>
      <c r="M6380" s="21">
        <v>44839.456341747682</v>
      </c>
      <c r="N6380">
        <v>2022</v>
      </c>
      <c r="O6380" s="21" t="s">
        <v>114</v>
      </c>
      <c r="P6380" s="21" t="s">
        <v>114</v>
      </c>
      <c r="Q6380" s="262">
        <v>6500000</v>
      </c>
      <c r="R6380" s="262">
        <v>1286000</v>
      </c>
      <c r="S6380" t="s">
        <v>9529</v>
      </c>
      <c r="T6380">
        <v>6047</v>
      </c>
      <c r="U6380">
        <v>11</v>
      </c>
      <c r="W6380">
        <v>-874</v>
      </c>
      <c r="X6380">
        <v>-1</v>
      </c>
      <c r="Y6380">
        <v>0</v>
      </c>
      <c r="Z6380">
        <v>0</v>
      </c>
      <c r="AA6380">
        <v>0</v>
      </c>
      <c r="AB6380">
        <v>0</v>
      </c>
      <c r="AC6380">
        <v>0</v>
      </c>
      <c r="AD6380">
        <v>0</v>
      </c>
      <c r="AE6380">
        <v>0</v>
      </c>
      <c r="AF6380">
        <v>0</v>
      </c>
      <c r="AG6380">
        <v>0</v>
      </c>
      <c r="AH6380">
        <v>0</v>
      </c>
      <c r="AI6380">
        <v>-874</v>
      </c>
      <c r="AJ6380">
        <v>0</v>
      </c>
      <c r="AK6380">
        <v>0</v>
      </c>
      <c r="AL6380">
        <v>0</v>
      </c>
      <c r="AM6380">
        <v>0</v>
      </c>
      <c r="AN6380">
        <v>0</v>
      </c>
      <c r="AO6380">
        <v>0</v>
      </c>
      <c r="AP6380">
        <v>0</v>
      </c>
      <c r="AQ6380">
        <v>0</v>
      </c>
      <c r="AR6380">
        <v>0</v>
      </c>
      <c r="AS6380">
        <v>0</v>
      </c>
      <c r="AT6380">
        <v>-1</v>
      </c>
      <c r="AU6380">
        <f t="shared" si="198"/>
        <v>0</v>
      </c>
      <c r="AV6380">
        <f t="shared" si="199"/>
        <v>-874</v>
      </c>
    </row>
    <row r="6381" spans="1:48" x14ac:dyDescent="0.25">
      <c r="A6381" t="s">
        <v>14478</v>
      </c>
      <c r="B6381" t="s">
        <v>14478</v>
      </c>
      <c r="C6381" t="s">
        <v>14480</v>
      </c>
      <c r="D6381" t="s">
        <v>14481</v>
      </c>
      <c r="E6381" t="s">
        <v>2310</v>
      </c>
      <c r="F6381">
        <v>9</v>
      </c>
      <c r="G6381">
        <v>9.1999999999999993</v>
      </c>
      <c r="H6381" t="s">
        <v>2022</v>
      </c>
      <c r="I6381" s="21">
        <v>44019.566794710598</v>
      </c>
      <c r="J6381">
        <v>2020</v>
      </c>
      <c r="K6381" s="21">
        <v>44092.584733993099</v>
      </c>
      <c r="L6381">
        <v>2020</v>
      </c>
      <c r="M6381" s="21">
        <v>44839</v>
      </c>
      <c r="N6381">
        <v>2022</v>
      </c>
      <c r="Q6381" s="262">
        <v>6500000</v>
      </c>
      <c r="R6381" s="262">
        <v>1286000</v>
      </c>
      <c r="S6381" t="s">
        <v>12464</v>
      </c>
      <c r="T6381">
        <v>6047</v>
      </c>
      <c r="W6381">
        <v>8403</v>
      </c>
      <c r="X6381">
        <v>1</v>
      </c>
      <c r="AC6381">
        <v>8403</v>
      </c>
      <c r="AO6381">
        <v>1</v>
      </c>
      <c r="AU6381">
        <f t="shared" si="198"/>
        <v>1</v>
      </c>
      <c r="AV6381">
        <f t="shared" si="199"/>
        <v>0</v>
      </c>
    </row>
    <row r="6382" spans="1:48" x14ac:dyDescent="0.25">
      <c r="A6382" t="s">
        <v>20099</v>
      </c>
      <c r="B6382" t="s">
        <v>20099</v>
      </c>
      <c r="C6382" t="s">
        <v>20100</v>
      </c>
      <c r="D6382" t="s">
        <v>14481</v>
      </c>
      <c r="E6382" t="s">
        <v>2310</v>
      </c>
      <c r="F6382">
        <v>9</v>
      </c>
      <c r="G6382">
        <v>9.1999999999999993</v>
      </c>
      <c r="H6382" t="s">
        <v>2022</v>
      </c>
      <c r="I6382" s="21">
        <v>44019.640781134302</v>
      </c>
      <c r="J6382">
        <v>2020</v>
      </c>
      <c r="K6382" s="21">
        <v>44092.579141169001</v>
      </c>
      <c r="L6382">
        <v>2020</v>
      </c>
      <c r="M6382" s="21">
        <v>44405</v>
      </c>
      <c r="N6382">
        <v>2021</v>
      </c>
      <c r="Q6382" s="262">
        <v>700000</v>
      </c>
      <c r="R6382" s="262">
        <v>98000</v>
      </c>
      <c r="S6382" t="s">
        <v>13254</v>
      </c>
      <c r="U6382">
        <v>8</v>
      </c>
      <c r="W6382">
        <v>996</v>
      </c>
      <c r="X6382">
        <v>1</v>
      </c>
      <c r="AF6382">
        <v>996</v>
      </c>
      <c r="AR6382">
        <v>1</v>
      </c>
      <c r="AU6382">
        <f t="shared" si="198"/>
        <v>0</v>
      </c>
      <c r="AV6382">
        <f t="shared" si="199"/>
        <v>0</v>
      </c>
    </row>
    <row r="6383" spans="1:48" x14ac:dyDescent="0.25">
      <c r="A6383" t="s">
        <v>19808</v>
      </c>
      <c r="B6383" t="s">
        <v>19808</v>
      </c>
      <c r="C6383" t="s">
        <v>19809</v>
      </c>
      <c r="D6383" t="s">
        <v>19810</v>
      </c>
      <c r="E6383" t="s">
        <v>2310</v>
      </c>
      <c r="F6383">
        <v>9</v>
      </c>
      <c r="G6383">
        <v>9.3000000000000007</v>
      </c>
      <c r="H6383" t="s">
        <v>2323</v>
      </c>
      <c r="I6383" s="21">
        <v>44019.678481678202</v>
      </c>
      <c r="J6383">
        <v>2020</v>
      </c>
      <c r="K6383" s="21">
        <v>44089.602593090298</v>
      </c>
      <c r="L6383">
        <v>2020</v>
      </c>
      <c r="M6383" s="21">
        <v>44540</v>
      </c>
      <c r="N6383">
        <v>2021</v>
      </c>
      <c r="Q6383" s="262">
        <v>2500000</v>
      </c>
      <c r="R6383" s="262">
        <v>722000</v>
      </c>
      <c r="S6383" t="s">
        <v>12464</v>
      </c>
      <c r="T6383">
        <v>2376</v>
      </c>
      <c r="U6383">
        <v>5</v>
      </c>
      <c r="W6383">
        <v>5581</v>
      </c>
      <c r="X6383">
        <v>1</v>
      </c>
      <c r="AC6383">
        <v>5581</v>
      </c>
      <c r="AO6383">
        <v>1</v>
      </c>
      <c r="AU6383">
        <f t="shared" si="198"/>
        <v>1</v>
      </c>
      <c r="AV6383">
        <f t="shared" si="199"/>
        <v>0</v>
      </c>
    </row>
    <row r="6384" spans="1:48" x14ac:dyDescent="0.25">
      <c r="A6384" t="s">
        <v>19808</v>
      </c>
      <c r="B6384" t="s">
        <v>19808</v>
      </c>
      <c r="C6384" t="s">
        <v>19809</v>
      </c>
      <c r="D6384" t="s">
        <v>19810</v>
      </c>
      <c r="E6384" t="s">
        <v>2310</v>
      </c>
      <c r="F6384">
        <v>9</v>
      </c>
      <c r="G6384">
        <v>9.3000000000000007</v>
      </c>
      <c r="H6384" t="s">
        <v>2323</v>
      </c>
      <c r="I6384" s="21">
        <v>44019.678481678202</v>
      </c>
      <c r="J6384">
        <v>2020</v>
      </c>
      <c r="K6384" s="21">
        <v>44089.602593090298</v>
      </c>
      <c r="L6384">
        <v>2020</v>
      </c>
      <c r="M6384" s="21">
        <v>44540</v>
      </c>
      <c r="N6384">
        <v>2021</v>
      </c>
      <c r="Q6384" s="262">
        <v>2500000</v>
      </c>
      <c r="R6384" s="262">
        <v>722000</v>
      </c>
      <c r="S6384" t="s">
        <v>9529</v>
      </c>
      <c r="T6384">
        <v>2376</v>
      </c>
      <c r="U6384">
        <v>5</v>
      </c>
      <c r="W6384">
        <v>-5362</v>
      </c>
      <c r="X6384">
        <v>-1</v>
      </c>
      <c r="Y6384">
        <v>0</v>
      </c>
      <c r="Z6384">
        <v>0</v>
      </c>
      <c r="AA6384">
        <v>0</v>
      </c>
      <c r="AB6384">
        <v>0</v>
      </c>
      <c r="AC6384">
        <v>-5362</v>
      </c>
      <c r="AD6384">
        <v>0</v>
      </c>
      <c r="AE6384">
        <v>0</v>
      </c>
      <c r="AF6384">
        <v>0</v>
      </c>
      <c r="AG6384">
        <v>0</v>
      </c>
      <c r="AH6384">
        <v>0</v>
      </c>
      <c r="AI6384">
        <v>0</v>
      </c>
      <c r="AJ6384">
        <v>0</v>
      </c>
      <c r="AK6384">
        <v>0</v>
      </c>
      <c r="AL6384">
        <v>0</v>
      </c>
      <c r="AM6384">
        <v>0</v>
      </c>
      <c r="AN6384">
        <v>0</v>
      </c>
      <c r="AO6384">
        <v>-1</v>
      </c>
      <c r="AP6384">
        <v>0</v>
      </c>
      <c r="AQ6384">
        <v>0</v>
      </c>
      <c r="AR6384">
        <v>0</v>
      </c>
      <c r="AS6384">
        <v>0</v>
      </c>
      <c r="AT6384">
        <v>0</v>
      </c>
      <c r="AU6384">
        <f t="shared" si="198"/>
        <v>-1</v>
      </c>
      <c r="AV6384">
        <f t="shared" si="199"/>
        <v>0</v>
      </c>
    </row>
    <row r="6385" spans="1:48" x14ac:dyDescent="0.25">
      <c r="A6385" t="s">
        <v>14592</v>
      </c>
      <c r="C6385" t="s">
        <v>14593</v>
      </c>
      <c r="D6385" t="s">
        <v>14594</v>
      </c>
      <c r="E6385" t="s">
        <v>1663</v>
      </c>
      <c r="F6385">
        <v>3</v>
      </c>
      <c r="G6385">
        <v>3.4</v>
      </c>
      <c r="H6385" t="s">
        <v>2017</v>
      </c>
      <c r="I6385" s="21">
        <v>44020</v>
      </c>
      <c r="J6385">
        <v>2020</v>
      </c>
      <c r="K6385" s="21">
        <v>44067</v>
      </c>
      <c r="L6385">
        <v>2020</v>
      </c>
      <c r="M6385" s="21">
        <v>44903</v>
      </c>
      <c r="N6385">
        <v>2022</v>
      </c>
      <c r="P6385" s="21">
        <v>44559</v>
      </c>
      <c r="Q6385" s="262">
        <v>400000</v>
      </c>
      <c r="S6385" t="s">
        <v>13253</v>
      </c>
      <c r="T6385">
        <v>10225</v>
      </c>
      <c r="W6385">
        <v>265</v>
      </c>
      <c r="X6385">
        <v>0</v>
      </c>
      <c r="AC6385">
        <v>265</v>
      </c>
      <c r="AU6385">
        <f t="shared" si="198"/>
        <v>0</v>
      </c>
      <c r="AV6385">
        <f t="shared" si="199"/>
        <v>0</v>
      </c>
    </row>
    <row r="6386" spans="1:48" x14ac:dyDescent="0.25">
      <c r="A6386" t="s">
        <v>15973</v>
      </c>
      <c r="B6386" t="s">
        <v>15973</v>
      </c>
      <c r="C6386" t="s">
        <v>15974</v>
      </c>
      <c r="D6386" t="s">
        <v>3534</v>
      </c>
      <c r="E6386" t="s">
        <v>2310</v>
      </c>
      <c r="F6386">
        <v>8</v>
      </c>
      <c r="G6386">
        <v>8.1</v>
      </c>
      <c r="H6386" t="s">
        <v>2323</v>
      </c>
      <c r="I6386" s="21">
        <v>44021.431459455998</v>
      </c>
      <c r="J6386">
        <v>2020</v>
      </c>
      <c r="K6386" s="21">
        <v>44074.587102928199</v>
      </c>
      <c r="L6386">
        <v>2020</v>
      </c>
      <c r="M6386" s="21">
        <v>44805</v>
      </c>
      <c r="N6386">
        <v>2022</v>
      </c>
      <c r="Q6386" s="262">
        <v>225000</v>
      </c>
      <c r="R6386" s="262">
        <v>56000</v>
      </c>
      <c r="S6386" t="s">
        <v>13254</v>
      </c>
      <c r="T6386">
        <v>0</v>
      </c>
      <c r="W6386">
        <v>584</v>
      </c>
      <c r="X6386">
        <v>0</v>
      </c>
      <c r="AC6386">
        <v>584</v>
      </c>
      <c r="AU6386">
        <f t="shared" si="198"/>
        <v>0</v>
      </c>
      <c r="AV6386">
        <f t="shared" si="199"/>
        <v>0</v>
      </c>
    </row>
    <row r="6387" spans="1:48" x14ac:dyDescent="0.25">
      <c r="A6387" t="s">
        <v>14797</v>
      </c>
      <c r="B6387" t="s">
        <v>14797</v>
      </c>
      <c r="C6387" t="s">
        <v>14798</v>
      </c>
      <c r="D6387" t="s">
        <v>14799</v>
      </c>
      <c r="E6387" t="s">
        <v>2310</v>
      </c>
      <c r="F6387">
        <v>9</v>
      </c>
      <c r="G6387">
        <v>9.3000000000000007</v>
      </c>
      <c r="H6387" t="s">
        <v>2323</v>
      </c>
      <c r="I6387" s="21">
        <v>44021.499019641204</v>
      </c>
      <c r="J6387">
        <v>2020</v>
      </c>
      <c r="K6387" s="21">
        <v>44126.553365393498</v>
      </c>
      <c r="L6387">
        <v>2020</v>
      </c>
      <c r="Q6387" s="262">
        <v>4800000</v>
      </c>
      <c r="R6387" s="262">
        <v>2222000</v>
      </c>
      <c r="S6387" t="s">
        <v>114</v>
      </c>
      <c r="T6387" t="s">
        <v>114</v>
      </c>
      <c r="W6387">
        <v>13673</v>
      </c>
      <c r="X6387">
        <v>1</v>
      </c>
      <c r="AC6387">
        <v>13673</v>
      </c>
      <c r="AO6387">
        <v>1</v>
      </c>
      <c r="AU6387">
        <f t="shared" si="198"/>
        <v>1</v>
      </c>
      <c r="AV6387">
        <f t="shared" si="199"/>
        <v>0</v>
      </c>
    </row>
    <row r="6388" spans="1:48" x14ac:dyDescent="0.25">
      <c r="A6388" t="s">
        <v>14800</v>
      </c>
      <c r="B6388" t="s">
        <v>14800</v>
      </c>
      <c r="C6388" t="s">
        <v>14801</v>
      </c>
      <c r="D6388" t="s">
        <v>14692</v>
      </c>
      <c r="E6388" t="s">
        <v>2310</v>
      </c>
      <c r="F6388">
        <v>8</v>
      </c>
      <c r="G6388">
        <v>8.1</v>
      </c>
      <c r="H6388" t="s">
        <v>2323</v>
      </c>
      <c r="I6388" s="21">
        <v>44021.542410300899</v>
      </c>
      <c r="J6388">
        <v>2020</v>
      </c>
      <c r="K6388" s="21">
        <v>44074.497134837999</v>
      </c>
      <c r="L6388">
        <v>2020</v>
      </c>
      <c r="Q6388" s="262">
        <v>250000</v>
      </c>
      <c r="R6388" s="262">
        <v>52000</v>
      </c>
      <c r="S6388" t="s">
        <v>114</v>
      </c>
      <c r="T6388" t="s">
        <v>114</v>
      </c>
      <c r="W6388">
        <v>1069</v>
      </c>
      <c r="X6388">
        <v>0</v>
      </c>
      <c r="AC6388">
        <v>1069</v>
      </c>
      <c r="AU6388">
        <f t="shared" si="198"/>
        <v>0</v>
      </c>
      <c r="AV6388">
        <f t="shared" si="199"/>
        <v>0</v>
      </c>
    </row>
    <row r="6389" spans="1:48" x14ac:dyDescent="0.25">
      <c r="A6389" t="s">
        <v>19787</v>
      </c>
      <c r="B6389" t="s">
        <v>19787</v>
      </c>
      <c r="C6389" t="s">
        <v>19788</v>
      </c>
      <c r="D6389" t="s">
        <v>16162</v>
      </c>
      <c r="E6389" t="s">
        <v>2310</v>
      </c>
      <c r="F6389">
        <v>10</v>
      </c>
      <c r="G6389">
        <v>10.1</v>
      </c>
      <c r="H6389" t="s">
        <v>2323</v>
      </c>
      <c r="I6389" s="21">
        <v>44021.619329363399</v>
      </c>
      <c r="J6389">
        <v>2020</v>
      </c>
      <c r="K6389" s="21">
        <v>44096.562312928203</v>
      </c>
      <c r="L6389">
        <v>2020</v>
      </c>
      <c r="M6389" s="21">
        <v>44410</v>
      </c>
      <c r="N6389">
        <v>2021</v>
      </c>
      <c r="Q6389" s="262">
        <v>900000</v>
      </c>
      <c r="R6389" s="262">
        <v>357000</v>
      </c>
      <c r="S6389" t="s">
        <v>13254</v>
      </c>
      <c r="U6389">
        <v>5</v>
      </c>
      <c r="W6389">
        <v>3526</v>
      </c>
      <c r="X6389">
        <v>1</v>
      </c>
      <c r="AC6389">
        <v>3526</v>
      </c>
      <c r="AO6389">
        <v>1</v>
      </c>
      <c r="AU6389">
        <f t="shared" si="198"/>
        <v>1</v>
      </c>
      <c r="AV6389">
        <f t="shared" si="199"/>
        <v>0</v>
      </c>
    </row>
    <row r="6390" spans="1:48" x14ac:dyDescent="0.25">
      <c r="A6390" t="s">
        <v>14802</v>
      </c>
      <c r="B6390" t="s">
        <v>14802</v>
      </c>
      <c r="C6390" t="s">
        <v>14803</v>
      </c>
      <c r="D6390" t="s">
        <v>14804</v>
      </c>
      <c r="E6390" t="s">
        <v>2310</v>
      </c>
      <c r="F6390">
        <v>9</v>
      </c>
      <c r="G6390">
        <v>9.3000000000000007</v>
      </c>
      <c r="H6390" t="s">
        <v>2323</v>
      </c>
      <c r="I6390" s="21">
        <v>44021.654627974502</v>
      </c>
      <c r="J6390">
        <v>2020</v>
      </c>
      <c r="K6390" s="21">
        <v>44091.617818669001</v>
      </c>
      <c r="L6390">
        <v>2020</v>
      </c>
      <c r="Q6390" s="262">
        <v>5500000</v>
      </c>
      <c r="R6390" s="262">
        <v>937000</v>
      </c>
      <c r="S6390" t="s">
        <v>114</v>
      </c>
      <c r="T6390" t="s">
        <v>114</v>
      </c>
      <c r="W6390">
        <v>7408</v>
      </c>
      <c r="X6390">
        <v>1</v>
      </c>
      <c r="AC6390">
        <v>7408</v>
      </c>
      <c r="AO6390">
        <v>1</v>
      </c>
      <c r="AU6390">
        <f t="shared" si="198"/>
        <v>1</v>
      </c>
      <c r="AV6390">
        <f t="shared" si="199"/>
        <v>0</v>
      </c>
    </row>
    <row r="6391" spans="1:48" x14ac:dyDescent="0.25">
      <c r="A6391" t="s">
        <v>14805</v>
      </c>
      <c r="B6391" t="s">
        <v>14805</v>
      </c>
      <c r="C6391" t="s">
        <v>14806</v>
      </c>
      <c r="D6391" t="s">
        <v>4897</v>
      </c>
      <c r="E6391" t="s">
        <v>2310</v>
      </c>
      <c r="F6391">
        <v>7</v>
      </c>
      <c r="G6391">
        <v>7.2</v>
      </c>
      <c r="H6391" t="s">
        <v>2017</v>
      </c>
      <c r="I6391" s="21">
        <v>44022.438760613397</v>
      </c>
      <c r="J6391">
        <v>2020</v>
      </c>
      <c r="K6391" s="21">
        <v>44090.407974571797</v>
      </c>
      <c r="L6391">
        <v>2020</v>
      </c>
      <c r="Q6391" s="262">
        <v>20000</v>
      </c>
      <c r="R6391" s="262">
        <v>119000</v>
      </c>
      <c r="S6391" t="s">
        <v>114</v>
      </c>
      <c r="T6391" t="s">
        <v>114</v>
      </c>
      <c r="W6391">
        <v>1000</v>
      </c>
      <c r="X6391">
        <v>1</v>
      </c>
      <c r="AF6391">
        <v>1000</v>
      </c>
      <c r="AR6391">
        <v>1</v>
      </c>
      <c r="AU6391">
        <f t="shared" si="198"/>
        <v>0</v>
      </c>
      <c r="AV6391">
        <f t="shared" si="199"/>
        <v>0</v>
      </c>
    </row>
    <row r="6392" spans="1:48" x14ac:dyDescent="0.25">
      <c r="A6392" t="s">
        <v>19745</v>
      </c>
      <c r="B6392" t="s">
        <v>19745</v>
      </c>
      <c r="C6392" t="s">
        <v>19746</v>
      </c>
      <c r="D6392" t="s">
        <v>19747</v>
      </c>
      <c r="E6392" t="s">
        <v>2310</v>
      </c>
      <c r="F6392">
        <v>8</v>
      </c>
      <c r="G6392">
        <v>8.4</v>
      </c>
      <c r="H6392" t="s">
        <v>2017</v>
      </c>
      <c r="I6392" s="21">
        <v>44022.490134375003</v>
      </c>
      <c r="J6392">
        <v>2020</v>
      </c>
      <c r="K6392" s="21">
        <v>44082.452884722203</v>
      </c>
      <c r="L6392">
        <v>2020</v>
      </c>
      <c r="M6392" s="21">
        <v>44267</v>
      </c>
      <c r="N6392">
        <v>2021</v>
      </c>
      <c r="Q6392" s="262">
        <v>140000</v>
      </c>
      <c r="R6392" s="262">
        <v>92000</v>
      </c>
      <c r="S6392" t="s">
        <v>13253</v>
      </c>
      <c r="T6392">
        <v>681</v>
      </c>
      <c r="U6392">
        <v>5</v>
      </c>
      <c r="V6392">
        <v>682</v>
      </c>
      <c r="W6392">
        <v>240</v>
      </c>
      <c r="X6392">
        <v>0</v>
      </c>
      <c r="AC6392">
        <v>240</v>
      </c>
      <c r="AU6392">
        <f t="shared" si="198"/>
        <v>0</v>
      </c>
      <c r="AV6392">
        <f t="shared" si="199"/>
        <v>0</v>
      </c>
    </row>
    <row r="6393" spans="1:48" x14ac:dyDescent="0.25">
      <c r="A6393" t="s">
        <v>19791</v>
      </c>
      <c r="B6393" t="s">
        <v>19791</v>
      </c>
      <c r="C6393" t="s">
        <v>19792</v>
      </c>
      <c r="D6393" t="s">
        <v>6491</v>
      </c>
      <c r="E6393" t="s">
        <v>2310</v>
      </c>
      <c r="F6393">
        <v>8</v>
      </c>
      <c r="G6393">
        <v>8.1999999999999993</v>
      </c>
      <c r="H6393" t="s">
        <v>2022</v>
      </c>
      <c r="I6393" s="21">
        <v>44022.556917280097</v>
      </c>
      <c r="J6393">
        <v>2020</v>
      </c>
      <c r="K6393" s="21">
        <v>44092.694847881903</v>
      </c>
      <c r="L6393">
        <v>2020</v>
      </c>
      <c r="M6393" s="21">
        <v>44466</v>
      </c>
      <c r="N6393">
        <v>2021</v>
      </c>
      <c r="Q6393" s="262">
        <v>21000</v>
      </c>
      <c r="R6393" s="262">
        <v>32000</v>
      </c>
      <c r="S6393" t="s">
        <v>13254</v>
      </c>
      <c r="U6393">
        <v>5</v>
      </c>
      <c r="W6393">
        <v>652</v>
      </c>
      <c r="X6393">
        <v>0</v>
      </c>
      <c r="AC6393">
        <v>652</v>
      </c>
      <c r="AU6393">
        <f t="shared" si="198"/>
        <v>0</v>
      </c>
      <c r="AV6393">
        <f t="shared" si="199"/>
        <v>0</v>
      </c>
    </row>
    <row r="6394" spans="1:48" x14ac:dyDescent="0.25">
      <c r="A6394" t="s">
        <v>15991</v>
      </c>
      <c r="B6394" t="s">
        <v>15991</v>
      </c>
      <c r="C6394" t="s">
        <v>15992</v>
      </c>
      <c r="D6394" t="s">
        <v>11959</v>
      </c>
      <c r="E6394" t="s">
        <v>2310</v>
      </c>
      <c r="F6394">
        <v>15</v>
      </c>
      <c r="G6394">
        <v>15.1</v>
      </c>
      <c r="H6394" t="s">
        <v>2022</v>
      </c>
      <c r="I6394" s="21">
        <v>44022.618205520797</v>
      </c>
      <c r="J6394">
        <v>2020</v>
      </c>
      <c r="K6394" s="21">
        <v>44090.670191550897</v>
      </c>
      <c r="L6394">
        <v>2020</v>
      </c>
      <c r="M6394" s="21">
        <v>44679</v>
      </c>
      <c r="N6394">
        <v>2022</v>
      </c>
      <c r="Q6394" s="262">
        <v>275000</v>
      </c>
      <c r="R6394" s="262">
        <v>172000</v>
      </c>
      <c r="S6394" t="s">
        <v>13254</v>
      </c>
      <c r="T6394">
        <v>0</v>
      </c>
      <c r="W6394">
        <v>2120</v>
      </c>
      <c r="X6394">
        <v>1</v>
      </c>
      <c r="AF6394">
        <v>2120</v>
      </c>
      <c r="AR6394">
        <v>1</v>
      </c>
      <c r="AU6394">
        <f t="shared" si="198"/>
        <v>0</v>
      </c>
      <c r="AV6394">
        <f t="shared" si="199"/>
        <v>0</v>
      </c>
    </row>
    <row r="6395" spans="1:48" x14ac:dyDescent="0.25">
      <c r="A6395" t="s">
        <v>14810</v>
      </c>
      <c r="C6395" t="s">
        <v>14811</v>
      </c>
      <c r="D6395" t="s">
        <v>14698</v>
      </c>
      <c r="E6395" t="s">
        <v>1663</v>
      </c>
      <c r="F6395">
        <v>2</v>
      </c>
      <c r="G6395">
        <v>2.2999999999999998</v>
      </c>
      <c r="H6395" t="s">
        <v>2327</v>
      </c>
      <c r="I6395" s="21">
        <v>44026</v>
      </c>
      <c r="J6395">
        <v>2020</v>
      </c>
      <c r="K6395" s="21">
        <v>44118</v>
      </c>
      <c r="L6395">
        <v>2020</v>
      </c>
      <c r="M6395" s="21">
        <v>44511</v>
      </c>
      <c r="N6395">
        <v>2021</v>
      </c>
      <c r="Q6395" s="262">
        <v>305495</v>
      </c>
      <c r="S6395" t="s">
        <v>114</v>
      </c>
      <c r="T6395" t="s">
        <v>114</v>
      </c>
      <c r="W6395">
        <v>0</v>
      </c>
      <c r="X6395">
        <v>0</v>
      </c>
      <c r="AU6395">
        <f t="shared" si="198"/>
        <v>0</v>
      </c>
      <c r="AV6395">
        <f t="shared" si="199"/>
        <v>0</v>
      </c>
    </row>
    <row r="6396" spans="1:48" x14ac:dyDescent="0.25">
      <c r="A6396" t="s">
        <v>16001</v>
      </c>
      <c r="B6396" t="s">
        <v>16001</v>
      </c>
      <c r="C6396" t="s">
        <v>16002</v>
      </c>
      <c r="D6396" t="s">
        <v>16003</v>
      </c>
      <c r="E6396" t="s">
        <v>2310</v>
      </c>
      <c r="F6396">
        <v>15</v>
      </c>
      <c r="G6396">
        <v>15.1</v>
      </c>
      <c r="H6396" t="s">
        <v>2022</v>
      </c>
      <c r="I6396" s="21">
        <v>44026.428301469903</v>
      </c>
      <c r="J6396">
        <v>2020</v>
      </c>
      <c r="K6396" s="21">
        <v>44151.598153900501</v>
      </c>
      <c r="L6396">
        <v>2020</v>
      </c>
      <c r="M6396" s="21">
        <v>44587</v>
      </c>
      <c r="N6396">
        <v>2022</v>
      </c>
      <c r="Q6396" s="262">
        <v>500000</v>
      </c>
      <c r="R6396" s="262">
        <v>202000</v>
      </c>
      <c r="S6396" t="s">
        <v>13253</v>
      </c>
      <c r="T6396">
        <v>14601</v>
      </c>
      <c r="W6396">
        <v>2199</v>
      </c>
      <c r="X6396">
        <v>0</v>
      </c>
      <c r="AC6396">
        <v>2199</v>
      </c>
      <c r="AU6396">
        <f t="shared" si="198"/>
        <v>0</v>
      </c>
      <c r="AV6396">
        <f t="shared" si="199"/>
        <v>0</v>
      </c>
    </row>
    <row r="6397" spans="1:48" x14ac:dyDescent="0.25">
      <c r="A6397" t="s">
        <v>15218</v>
      </c>
      <c r="B6397" t="s">
        <v>15218</v>
      </c>
      <c r="C6397" t="s">
        <v>15219</v>
      </c>
      <c r="D6397" t="s">
        <v>13837</v>
      </c>
      <c r="E6397" t="s">
        <v>2310</v>
      </c>
      <c r="F6397">
        <v>7</v>
      </c>
      <c r="G6397">
        <v>7.1</v>
      </c>
      <c r="H6397" t="s">
        <v>2017</v>
      </c>
      <c r="I6397" s="21">
        <v>44026.471758067099</v>
      </c>
      <c r="J6397">
        <v>2020</v>
      </c>
      <c r="K6397" s="21">
        <v>44123.614676539299</v>
      </c>
      <c r="L6397">
        <v>2020</v>
      </c>
      <c r="M6397" s="21">
        <v>44755</v>
      </c>
      <c r="N6397">
        <v>2022</v>
      </c>
      <c r="Q6397" s="262">
        <v>4000000</v>
      </c>
      <c r="R6397" s="262">
        <v>1565000</v>
      </c>
      <c r="S6397" t="s">
        <v>13253</v>
      </c>
      <c r="T6397" t="s">
        <v>12231</v>
      </c>
      <c r="V6397">
        <v>23298</v>
      </c>
      <c r="W6397">
        <v>13227</v>
      </c>
      <c r="X6397">
        <v>0</v>
      </c>
      <c r="AK6397">
        <v>13227</v>
      </c>
      <c r="AU6397">
        <f t="shared" si="198"/>
        <v>0</v>
      </c>
      <c r="AV6397">
        <f t="shared" si="199"/>
        <v>13227</v>
      </c>
    </row>
    <row r="6398" spans="1:48" x14ac:dyDescent="0.25">
      <c r="A6398" t="s">
        <v>14815</v>
      </c>
      <c r="B6398" t="s">
        <v>14815</v>
      </c>
      <c r="C6398" t="s">
        <v>14816</v>
      </c>
      <c r="D6398" t="s">
        <v>14817</v>
      </c>
      <c r="E6398" t="s">
        <v>2310</v>
      </c>
      <c r="F6398">
        <v>15</v>
      </c>
      <c r="G6398">
        <v>15.2</v>
      </c>
      <c r="H6398" t="s">
        <v>2323</v>
      </c>
      <c r="I6398" s="21">
        <v>44026.593652048599</v>
      </c>
      <c r="J6398">
        <v>2020</v>
      </c>
      <c r="K6398" s="21">
        <v>44109.701203044002</v>
      </c>
      <c r="L6398">
        <v>2020</v>
      </c>
      <c r="Q6398" s="262">
        <v>750000</v>
      </c>
      <c r="R6398" s="262">
        <v>425000</v>
      </c>
      <c r="S6398" t="s">
        <v>114</v>
      </c>
      <c r="T6398" t="s">
        <v>114</v>
      </c>
      <c r="V6398">
        <v>3825</v>
      </c>
      <c r="W6398">
        <v>383</v>
      </c>
      <c r="X6398">
        <v>0</v>
      </c>
      <c r="AC6398">
        <v>383</v>
      </c>
      <c r="AU6398">
        <f t="shared" si="198"/>
        <v>0</v>
      </c>
      <c r="AV6398">
        <f t="shared" si="199"/>
        <v>0</v>
      </c>
    </row>
    <row r="6399" spans="1:48" x14ac:dyDescent="0.25">
      <c r="A6399" t="s">
        <v>14818</v>
      </c>
      <c r="B6399" t="s">
        <v>14818</v>
      </c>
      <c r="C6399" t="s">
        <v>14819</v>
      </c>
      <c r="D6399" t="s">
        <v>14817</v>
      </c>
      <c r="E6399" t="s">
        <v>2310</v>
      </c>
      <c r="F6399">
        <v>15</v>
      </c>
      <c r="G6399">
        <v>15.2</v>
      </c>
      <c r="H6399" t="s">
        <v>2323</v>
      </c>
      <c r="I6399" s="21">
        <v>44026.611474039397</v>
      </c>
      <c r="J6399">
        <v>2020</v>
      </c>
      <c r="K6399" s="21">
        <v>44109.702676539397</v>
      </c>
      <c r="L6399">
        <v>2020</v>
      </c>
      <c r="O6399" s="21">
        <v>44482</v>
      </c>
      <c r="Q6399" s="262">
        <v>50000</v>
      </c>
      <c r="R6399" s="262">
        <v>37000</v>
      </c>
      <c r="S6399" t="s">
        <v>114</v>
      </c>
      <c r="T6399" t="s">
        <v>114</v>
      </c>
      <c r="V6399">
        <v>1008</v>
      </c>
      <c r="W6399">
        <v>0</v>
      </c>
      <c r="X6399">
        <v>0</v>
      </c>
      <c r="AU6399">
        <f t="shared" si="198"/>
        <v>0</v>
      </c>
      <c r="AV6399">
        <f t="shared" si="199"/>
        <v>0</v>
      </c>
    </row>
    <row r="6400" spans="1:48" x14ac:dyDescent="0.25">
      <c r="A6400" t="s">
        <v>1932</v>
      </c>
      <c r="C6400" t="s">
        <v>14600</v>
      </c>
      <c r="D6400" t="s">
        <v>14601</v>
      </c>
      <c r="E6400" t="s">
        <v>1663</v>
      </c>
      <c r="F6400">
        <v>2</v>
      </c>
      <c r="G6400">
        <v>2.6</v>
      </c>
      <c r="H6400" t="s">
        <v>2327</v>
      </c>
      <c r="I6400" s="21">
        <v>44028</v>
      </c>
      <c r="J6400">
        <v>2020</v>
      </c>
      <c r="K6400" s="21">
        <v>44235</v>
      </c>
      <c r="L6400">
        <v>2021</v>
      </c>
      <c r="M6400" s="21">
        <v>44774</v>
      </c>
      <c r="N6400">
        <v>2022</v>
      </c>
      <c r="P6400" s="21">
        <v>44627</v>
      </c>
      <c r="Q6400" s="262">
        <v>1300000</v>
      </c>
      <c r="S6400" t="s">
        <v>13254</v>
      </c>
      <c r="W6400">
        <v>3527</v>
      </c>
      <c r="X6400">
        <v>2</v>
      </c>
      <c r="AC6400">
        <v>-1328</v>
      </c>
      <c r="AE6400">
        <v>4855</v>
      </c>
      <c r="AQ6400">
        <v>2</v>
      </c>
      <c r="AU6400">
        <f t="shared" si="198"/>
        <v>2</v>
      </c>
      <c r="AV6400">
        <f t="shared" si="199"/>
        <v>0</v>
      </c>
    </row>
    <row r="6401" spans="1:48" x14ac:dyDescent="0.25">
      <c r="A6401" t="s">
        <v>16008</v>
      </c>
      <c r="B6401" t="s">
        <v>16008</v>
      </c>
      <c r="C6401" t="s">
        <v>16009</v>
      </c>
      <c r="D6401" t="s">
        <v>16010</v>
      </c>
      <c r="E6401" t="s">
        <v>2310</v>
      </c>
      <c r="F6401">
        <v>9</v>
      </c>
      <c r="G6401">
        <v>9.1</v>
      </c>
      <c r="H6401" t="s">
        <v>2323</v>
      </c>
      <c r="I6401" s="21">
        <v>44028.577339004602</v>
      </c>
      <c r="J6401">
        <v>2020</v>
      </c>
      <c r="K6401" s="21">
        <v>44097.672346180603</v>
      </c>
      <c r="L6401">
        <v>2020</v>
      </c>
      <c r="M6401" s="21">
        <v>44796.382064965277</v>
      </c>
      <c r="N6401">
        <v>2022</v>
      </c>
      <c r="Q6401" s="262">
        <v>2000000</v>
      </c>
      <c r="R6401" s="262">
        <v>542000</v>
      </c>
      <c r="S6401" t="s">
        <v>13254</v>
      </c>
      <c r="T6401">
        <v>0</v>
      </c>
      <c r="W6401">
        <v>4778</v>
      </c>
      <c r="X6401">
        <v>1</v>
      </c>
      <c r="AC6401">
        <v>4778</v>
      </c>
      <c r="AO6401">
        <v>1</v>
      </c>
      <c r="AU6401">
        <f t="shared" si="198"/>
        <v>1</v>
      </c>
      <c r="AV6401">
        <f t="shared" si="199"/>
        <v>0</v>
      </c>
    </row>
    <row r="6402" spans="1:48" x14ac:dyDescent="0.25">
      <c r="A6402" t="s">
        <v>16025</v>
      </c>
      <c r="B6402" t="s">
        <v>16025</v>
      </c>
      <c r="C6402" t="s">
        <v>16026</v>
      </c>
      <c r="D6402" t="s">
        <v>16027</v>
      </c>
      <c r="E6402" t="s">
        <v>2310</v>
      </c>
      <c r="F6402">
        <v>15</v>
      </c>
      <c r="G6402">
        <v>15.2</v>
      </c>
      <c r="H6402" t="s">
        <v>2323</v>
      </c>
      <c r="I6402" s="21">
        <v>44028.685508067101</v>
      </c>
      <c r="J6402">
        <v>2020</v>
      </c>
      <c r="K6402" s="21">
        <v>44098.556919988398</v>
      </c>
      <c r="L6402">
        <v>2020</v>
      </c>
      <c r="M6402" s="21">
        <v>44648</v>
      </c>
      <c r="N6402">
        <v>2022</v>
      </c>
      <c r="Q6402" s="262">
        <v>2000000</v>
      </c>
      <c r="R6402" s="262">
        <v>264000</v>
      </c>
      <c r="S6402" t="s">
        <v>13253</v>
      </c>
      <c r="T6402">
        <v>5349</v>
      </c>
      <c r="V6402">
        <v>250</v>
      </c>
      <c r="W6402">
        <v>2221</v>
      </c>
      <c r="X6402">
        <v>0</v>
      </c>
      <c r="AC6402">
        <v>2221</v>
      </c>
      <c r="AU6402">
        <f t="shared" si="198"/>
        <v>0</v>
      </c>
      <c r="AV6402">
        <f t="shared" si="199"/>
        <v>0</v>
      </c>
    </row>
    <row r="6403" spans="1:48" x14ac:dyDescent="0.25">
      <c r="A6403" t="s">
        <v>16028</v>
      </c>
      <c r="B6403" t="s">
        <v>16028</v>
      </c>
      <c r="C6403" t="s">
        <v>16029</v>
      </c>
      <c r="D6403" t="s">
        <v>15904</v>
      </c>
      <c r="E6403" t="s">
        <v>2310</v>
      </c>
      <c r="F6403">
        <v>14</v>
      </c>
      <c r="G6403">
        <v>14.2</v>
      </c>
      <c r="H6403" t="s">
        <v>2017</v>
      </c>
      <c r="I6403" s="21">
        <v>44032.432458877302</v>
      </c>
      <c r="J6403">
        <v>2020</v>
      </c>
      <c r="K6403" s="21">
        <v>44090.598786770803</v>
      </c>
      <c r="L6403">
        <v>2020</v>
      </c>
      <c r="M6403" s="21">
        <v>44617</v>
      </c>
      <c r="N6403">
        <v>2022</v>
      </c>
      <c r="Q6403" s="262">
        <v>200000</v>
      </c>
      <c r="R6403" s="262">
        <v>0</v>
      </c>
      <c r="S6403" t="s">
        <v>13254</v>
      </c>
      <c r="T6403">
        <v>0</v>
      </c>
      <c r="W6403">
        <v>758</v>
      </c>
      <c r="X6403">
        <v>0</v>
      </c>
      <c r="AC6403">
        <v>758</v>
      </c>
      <c r="AU6403">
        <f t="shared" si="198"/>
        <v>0</v>
      </c>
      <c r="AV6403">
        <f t="shared" si="199"/>
        <v>0</v>
      </c>
    </row>
    <row r="6404" spans="1:48" x14ac:dyDescent="0.25">
      <c r="A6404" t="s">
        <v>16033</v>
      </c>
      <c r="B6404" t="s">
        <v>16033</v>
      </c>
      <c r="C6404" t="s">
        <v>16034</v>
      </c>
      <c r="D6404" t="s">
        <v>10229</v>
      </c>
      <c r="E6404" t="s">
        <v>2310</v>
      </c>
      <c r="F6404">
        <v>8</v>
      </c>
      <c r="G6404">
        <v>8.1999999999999993</v>
      </c>
      <c r="H6404" t="s">
        <v>2022</v>
      </c>
      <c r="I6404" s="21">
        <v>44033.445880868101</v>
      </c>
      <c r="J6404">
        <v>2020</v>
      </c>
      <c r="K6404" s="21">
        <v>44210</v>
      </c>
      <c r="L6404">
        <v>2021</v>
      </c>
      <c r="M6404" s="21">
        <v>44769.459159224534</v>
      </c>
      <c r="N6404">
        <v>2022</v>
      </c>
      <c r="Q6404" s="262">
        <v>1900000</v>
      </c>
      <c r="R6404" s="262">
        <v>119000</v>
      </c>
      <c r="S6404" t="s">
        <v>13254</v>
      </c>
      <c r="T6404">
        <v>0</v>
      </c>
      <c r="W6404">
        <v>996</v>
      </c>
      <c r="X6404">
        <v>1</v>
      </c>
      <c r="AF6404">
        <v>996</v>
      </c>
      <c r="AR6404">
        <v>1</v>
      </c>
      <c r="AU6404">
        <f t="shared" si="198"/>
        <v>0</v>
      </c>
      <c r="AV6404">
        <f t="shared" si="199"/>
        <v>0</v>
      </c>
    </row>
    <row r="6405" spans="1:48" x14ac:dyDescent="0.25">
      <c r="A6405" t="s">
        <v>14832</v>
      </c>
      <c r="B6405" t="s">
        <v>14832</v>
      </c>
      <c r="C6405" t="s">
        <v>14833</v>
      </c>
      <c r="D6405" t="s">
        <v>14834</v>
      </c>
      <c r="E6405" t="s">
        <v>2310</v>
      </c>
      <c r="F6405">
        <v>15</v>
      </c>
      <c r="G6405">
        <v>15.1</v>
      </c>
      <c r="H6405" t="s">
        <v>2022</v>
      </c>
      <c r="I6405" s="21">
        <v>44033.560108483798</v>
      </c>
      <c r="J6405">
        <v>2020</v>
      </c>
      <c r="K6405" s="21">
        <v>44126.664091435203</v>
      </c>
      <c r="L6405">
        <v>2020</v>
      </c>
      <c r="Q6405" s="262">
        <v>550000</v>
      </c>
      <c r="R6405" s="262">
        <v>865000</v>
      </c>
      <c r="S6405" t="s">
        <v>114</v>
      </c>
      <c r="T6405" t="s">
        <v>114</v>
      </c>
      <c r="W6405">
        <v>9927</v>
      </c>
      <c r="X6405">
        <v>1</v>
      </c>
      <c r="AC6405">
        <v>9927</v>
      </c>
      <c r="AO6405">
        <v>1</v>
      </c>
      <c r="AU6405">
        <f t="shared" si="198"/>
        <v>1</v>
      </c>
      <c r="AV6405">
        <f t="shared" si="199"/>
        <v>0</v>
      </c>
    </row>
    <row r="6406" spans="1:48" x14ac:dyDescent="0.25">
      <c r="A6406" t="s">
        <v>14835</v>
      </c>
      <c r="B6406" t="s">
        <v>14835</v>
      </c>
      <c r="C6406" t="s">
        <v>14836</v>
      </c>
      <c r="D6406" t="s">
        <v>14837</v>
      </c>
      <c r="E6406" t="s">
        <v>2310</v>
      </c>
      <c r="F6406">
        <v>15</v>
      </c>
      <c r="G6406">
        <v>15.1</v>
      </c>
      <c r="H6406" t="s">
        <v>2022</v>
      </c>
      <c r="I6406" s="21">
        <v>44035.562708414298</v>
      </c>
      <c r="J6406">
        <v>2020</v>
      </c>
      <c r="K6406" s="21">
        <v>44113.435709687503</v>
      </c>
      <c r="L6406">
        <v>2020</v>
      </c>
      <c r="Q6406" s="262">
        <v>600000</v>
      </c>
      <c r="R6406" s="262">
        <v>540000</v>
      </c>
      <c r="S6406" t="s">
        <v>114</v>
      </c>
      <c r="T6406" t="s">
        <v>114</v>
      </c>
      <c r="W6406">
        <v>4188</v>
      </c>
      <c r="X6406">
        <v>1</v>
      </c>
      <c r="AC6406">
        <v>4188</v>
      </c>
      <c r="AO6406">
        <v>1</v>
      </c>
      <c r="AU6406">
        <f t="shared" si="198"/>
        <v>1</v>
      </c>
      <c r="AV6406">
        <f t="shared" si="199"/>
        <v>0</v>
      </c>
    </row>
    <row r="6407" spans="1:48" x14ac:dyDescent="0.25">
      <c r="A6407" t="s">
        <v>14838</v>
      </c>
      <c r="B6407" t="s">
        <v>14838</v>
      </c>
      <c r="C6407" t="s">
        <v>14839</v>
      </c>
      <c r="D6407" t="s">
        <v>14840</v>
      </c>
      <c r="E6407" t="s">
        <v>2310</v>
      </c>
      <c r="F6407">
        <v>8</v>
      </c>
      <c r="G6407">
        <v>8.3000000000000007</v>
      </c>
      <c r="H6407" t="s">
        <v>2323</v>
      </c>
      <c r="I6407" s="21">
        <v>44036.469251967603</v>
      </c>
      <c r="J6407">
        <v>2020</v>
      </c>
      <c r="K6407" s="21">
        <v>44104.624776770797</v>
      </c>
      <c r="L6407">
        <v>2020</v>
      </c>
      <c r="Q6407" s="262">
        <v>9200000</v>
      </c>
      <c r="R6407" s="262">
        <v>1392000</v>
      </c>
      <c r="S6407" t="s">
        <v>114</v>
      </c>
      <c r="T6407" t="s">
        <v>114</v>
      </c>
      <c r="W6407">
        <v>8897</v>
      </c>
      <c r="X6407">
        <v>1</v>
      </c>
      <c r="AC6407">
        <v>8897</v>
      </c>
      <c r="AO6407">
        <v>1</v>
      </c>
      <c r="AU6407">
        <f t="shared" si="198"/>
        <v>1</v>
      </c>
      <c r="AV6407">
        <f t="shared" si="199"/>
        <v>0</v>
      </c>
    </row>
    <row r="6408" spans="1:48" x14ac:dyDescent="0.25">
      <c r="A6408" t="s">
        <v>14841</v>
      </c>
      <c r="B6408" t="s">
        <v>14841</v>
      </c>
      <c r="C6408" t="s">
        <v>14842</v>
      </c>
      <c r="D6408" t="s">
        <v>14840</v>
      </c>
      <c r="E6408" t="s">
        <v>2310</v>
      </c>
      <c r="F6408">
        <v>8</v>
      </c>
      <c r="G6408">
        <v>8.3000000000000007</v>
      </c>
      <c r="H6408" t="s">
        <v>2323</v>
      </c>
      <c r="I6408" s="21">
        <v>44036.491437962999</v>
      </c>
      <c r="J6408">
        <v>2020</v>
      </c>
      <c r="K6408" s="21">
        <v>44097.640088043998</v>
      </c>
      <c r="L6408">
        <v>2020</v>
      </c>
      <c r="Q6408" s="262">
        <v>1500000</v>
      </c>
      <c r="R6408" s="262">
        <v>142000</v>
      </c>
      <c r="S6408" t="s">
        <v>114</v>
      </c>
      <c r="T6408" t="s">
        <v>114</v>
      </c>
      <c r="W6408">
        <v>1247</v>
      </c>
      <c r="X6408">
        <v>1</v>
      </c>
      <c r="AF6408">
        <v>1247</v>
      </c>
      <c r="AR6408">
        <v>1</v>
      </c>
      <c r="AU6408">
        <f t="shared" si="198"/>
        <v>0</v>
      </c>
      <c r="AV6408">
        <f t="shared" si="199"/>
        <v>0</v>
      </c>
    </row>
    <row r="6409" spans="1:48" x14ac:dyDescent="0.25">
      <c r="A6409" t="s">
        <v>14843</v>
      </c>
      <c r="B6409" t="s">
        <v>14843</v>
      </c>
      <c r="C6409" t="s">
        <v>14844</v>
      </c>
      <c r="D6409" t="s">
        <v>14840</v>
      </c>
      <c r="E6409" t="s">
        <v>2310</v>
      </c>
      <c r="F6409">
        <v>8</v>
      </c>
      <c r="G6409">
        <v>8.3000000000000007</v>
      </c>
      <c r="H6409" t="s">
        <v>2323</v>
      </c>
      <c r="I6409" s="21">
        <v>44036.491456597199</v>
      </c>
      <c r="J6409">
        <v>2020</v>
      </c>
      <c r="K6409" s="21">
        <v>44097.641770254602</v>
      </c>
      <c r="L6409">
        <v>2020</v>
      </c>
      <c r="Q6409" s="262">
        <v>1300000</v>
      </c>
      <c r="R6409" s="262">
        <v>115000</v>
      </c>
      <c r="S6409" t="s">
        <v>114</v>
      </c>
      <c r="T6409" t="s">
        <v>114</v>
      </c>
      <c r="W6409">
        <v>2391</v>
      </c>
      <c r="X6409">
        <v>0</v>
      </c>
      <c r="AC6409">
        <v>2391</v>
      </c>
      <c r="AU6409">
        <f t="shared" si="198"/>
        <v>0</v>
      </c>
      <c r="AV6409">
        <f t="shared" si="199"/>
        <v>0</v>
      </c>
    </row>
    <row r="6410" spans="1:48" x14ac:dyDescent="0.25">
      <c r="A6410" t="s">
        <v>16037</v>
      </c>
      <c r="B6410" t="s">
        <v>16037</v>
      </c>
      <c r="C6410" t="s">
        <v>16038</v>
      </c>
      <c r="D6410" t="s">
        <v>16039</v>
      </c>
      <c r="E6410" t="s">
        <v>2310</v>
      </c>
      <c r="F6410">
        <v>8</v>
      </c>
      <c r="G6410">
        <v>8.3000000000000007</v>
      </c>
      <c r="H6410" t="s">
        <v>2323</v>
      </c>
      <c r="I6410" s="21">
        <v>44036.607302314798</v>
      </c>
      <c r="J6410">
        <v>2020</v>
      </c>
      <c r="K6410" s="21">
        <v>44204</v>
      </c>
      <c r="L6410">
        <v>2021</v>
      </c>
      <c r="M6410" s="21">
        <v>44754.459504710649</v>
      </c>
      <c r="N6410">
        <v>2022</v>
      </c>
      <c r="Q6410" s="262">
        <v>1000000</v>
      </c>
      <c r="R6410" s="262">
        <v>272000</v>
      </c>
      <c r="S6410" t="s">
        <v>13254</v>
      </c>
      <c r="T6410">
        <v>0</v>
      </c>
      <c r="W6410">
        <v>2294</v>
      </c>
      <c r="X6410">
        <v>1</v>
      </c>
      <c r="AC6410">
        <v>2294</v>
      </c>
      <c r="AO6410">
        <v>1</v>
      </c>
      <c r="AU6410">
        <f t="shared" si="198"/>
        <v>1</v>
      </c>
      <c r="AV6410">
        <f t="shared" si="199"/>
        <v>0</v>
      </c>
    </row>
    <row r="6411" spans="1:48" x14ac:dyDescent="0.25">
      <c r="A6411" t="s">
        <v>16052</v>
      </c>
      <c r="B6411" t="s">
        <v>16052</v>
      </c>
      <c r="C6411" t="s">
        <v>16053</v>
      </c>
      <c r="D6411" t="s">
        <v>16039</v>
      </c>
      <c r="E6411" t="s">
        <v>2310</v>
      </c>
      <c r="F6411">
        <v>8</v>
      </c>
      <c r="G6411">
        <v>8.3000000000000007</v>
      </c>
      <c r="H6411" t="s">
        <v>2323</v>
      </c>
      <c r="I6411" s="21">
        <v>44036.615140509297</v>
      </c>
      <c r="J6411">
        <v>2020</v>
      </c>
      <c r="K6411" s="21">
        <v>44204</v>
      </c>
      <c r="L6411">
        <v>2021</v>
      </c>
      <c r="M6411" s="21">
        <v>44754.455472951391</v>
      </c>
      <c r="N6411">
        <v>2022</v>
      </c>
      <c r="Q6411" s="262">
        <v>500000</v>
      </c>
      <c r="R6411" s="262">
        <v>104000</v>
      </c>
      <c r="S6411" t="s">
        <v>13254</v>
      </c>
      <c r="T6411">
        <v>0</v>
      </c>
      <c r="W6411">
        <v>1321</v>
      </c>
      <c r="X6411">
        <v>1</v>
      </c>
      <c r="AF6411">
        <v>1321</v>
      </c>
      <c r="AR6411">
        <v>1</v>
      </c>
      <c r="AU6411">
        <f t="shared" si="198"/>
        <v>0</v>
      </c>
      <c r="AV6411">
        <f t="shared" si="199"/>
        <v>0</v>
      </c>
    </row>
    <row r="6412" spans="1:48" x14ac:dyDescent="0.25">
      <c r="A6412" t="s">
        <v>19783</v>
      </c>
      <c r="B6412" t="s">
        <v>19783</v>
      </c>
      <c r="C6412" t="s">
        <v>19784</v>
      </c>
      <c r="D6412" t="s">
        <v>9814</v>
      </c>
      <c r="E6412" t="s">
        <v>2310</v>
      </c>
      <c r="F6412">
        <v>10</v>
      </c>
      <c r="G6412">
        <v>10.1</v>
      </c>
      <c r="H6412" t="s">
        <v>2323</v>
      </c>
      <c r="I6412" s="21">
        <v>44039.547694641202</v>
      </c>
      <c r="J6412">
        <v>2020</v>
      </c>
      <c r="K6412" s="21">
        <v>44105.412481944397</v>
      </c>
      <c r="L6412">
        <v>2020</v>
      </c>
      <c r="M6412" s="21">
        <v>44456</v>
      </c>
      <c r="N6412">
        <v>2021</v>
      </c>
      <c r="Q6412" s="262">
        <v>310000</v>
      </c>
      <c r="R6412" s="262">
        <v>109000</v>
      </c>
      <c r="S6412" t="s">
        <v>13254</v>
      </c>
      <c r="U6412">
        <v>5</v>
      </c>
      <c r="W6412">
        <v>1584</v>
      </c>
      <c r="X6412">
        <v>0</v>
      </c>
      <c r="AC6412">
        <v>1584</v>
      </c>
      <c r="AU6412">
        <f t="shared" si="198"/>
        <v>0</v>
      </c>
      <c r="AV6412">
        <f t="shared" si="199"/>
        <v>0</v>
      </c>
    </row>
    <row r="6413" spans="1:48" x14ac:dyDescent="0.25">
      <c r="A6413" t="s">
        <v>14850</v>
      </c>
      <c r="C6413" t="s">
        <v>14851</v>
      </c>
      <c r="D6413" t="s">
        <v>8960</v>
      </c>
      <c r="E6413" t="s">
        <v>1663</v>
      </c>
      <c r="F6413">
        <v>2</v>
      </c>
      <c r="G6413">
        <v>2.2999999999999998</v>
      </c>
      <c r="H6413" t="s">
        <v>2327</v>
      </c>
      <c r="I6413" s="21">
        <v>44040</v>
      </c>
      <c r="J6413">
        <v>2020</v>
      </c>
      <c r="K6413" s="21">
        <v>44047</v>
      </c>
      <c r="L6413">
        <v>2020</v>
      </c>
      <c r="P6413" s="21">
        <v>44230</v>
      </c>
      <c r="Q6413" s="262">
        <v>20000</v>
      </c>
      <c r="S6413" t="s">
        <v>114</v>
      </c>
      <c r="T6413" t="s">
        <v>114</v>
      </c>
      <c r="W6413">
        <v>0</v>
      </c>
      <c r="X6413">
        <v>0</v>
      </c>
      <c r="AU6413">
        <f t="shared" si="198"/>
        <v>0</v>
      </c>
      <c r="AV6413">
        <f t="shared" si="199"/>
        <v>0</v>
      </c>
    </row>
    <row r="6414" spans="1:48" x14ac:dyDescent="0.25">
      <c r="A6414" t="s">
        <v>14852</v>
      </c>
      <c r="B6414" t="s">
        <v>14852</v>
      </c>
      <c r="C6414" t="s">
        <v>14853</v>
      </c>
      <c r="D6414" t="s">
        <v>9319</v>
      </c>
      <c r="E6414" t="s">
        <v>2310</v>
      </c>
      <c r="F6414">
        <v>11</v>
      </c>
      <c r="G6414">
        <v>11.4</v>
      </c>
      <c r="H6414" t="s">
        <v>2017</v>
      </c>
      <c r="I6414" s="21">
        <v>44040.462091006899</v>
      </c>
      <c r="J6414">
        <v>2020</v>
      </c>
      <c r="K6414" s="21">
        <v>44106.662443553199</v>
      </c>
      <c r="L6414">
        <v>2020</v>
      </c>
      <c r="M6414" s="21">
        <v>44448</v>
      </c>
      <c r="N6414">
        <v>2021</v>
      </c>
      <c r="Q6414" s="262">
        <v>115000</v>
      </c>
      <c r="R6414" s="262">
        <v>71000</v>
      </c>
      <c r="S6414" t="s">
        <v>114</v>
      </c>
      <c r="T6414" t="s">
        <v>114</v>
      </c>
      <c r="V6414">
        <v>571</v>
      </c>
      <c r="W6414">
        <v>0</v>
      </c>
      <c r="X6414">
        <v>0</v>
      </c>
      <c r="AU6414">
        <f t="shared" si="198"/>
        <v>0</v>
      </c>
      <c r="AV6414">
        <f t="shared" si="199"/>
        <v>0</v>
      </c>
    </row>
    <row r="6415" spans="1:48" x14ac:dyDescent="0.25">
      <c r="A6415" t="s">
        <v>20101</v>
      </c>
      <c r="B6415" t="s">
        <v>20101</v>
      </c>
      <c r="C6415" t="s">
        <v>20102</v>
      </c>
      <c r="D6415" t="s">
        <v>20103</v>
      </c>
      <c r="E6415" t="s">
        <v>2310</v>
      </c>
      <c r="F6415">
        <v>9</v>
      </c>
      <c r="G6415">
        <v>9.1</v>
      </c>
      <c r="H6415" t="s">
        <v>2323</v>
      </c>
      <c r="I6415" s="21">
        <v>44040.566973032401</v>
      </c>
      <c r="J6415">
        <v>2020</v>
      </c>
      <c r="K6415" s="21">
        <v>44089.6949600347</v>
      </c>
      <c r="L6415">
        <v>2020</v>
      </c>
      <c r="M6415" s="21">
        <v>44243</v>
      </c>
      <c r="N6415">
        <v>2021</v>
      </c>
      <c r="Q6415" s="262">
        <v>110000</v>
      </c>
      <c r="R6415" s="262">
        <v>39000</v>
      </c>
      <c r="S6415" t="s">
        <v>13254</v>
      </c>
      <c r="U6415">
        <v>5</v>
      </c>
      <c r="W6415">
        <v>800</v>
      </c>
      <c r="X6415">
        <v>0</v>
      </c>
      <c r="AC6415">
        <v>800</v>
      </c>
      <c r="AU6415">
        <f t="shared" si="198"/>
        <v>0</v>
      </c>
      <c r="AV6415">
        <f t="shared" si="199"/>
        <v>0</v>
      </c>
    </row>
    <row r="6416" spans="1:48" x14ac:dyDescent="0.25">
      <c r="A6416" t="s">
        <v>14854</v>
      </c>
      <c r="B6416" t="s">
        <v>14854</v>
      </c>
      <c r="C6416" t="s">
        <v>14855</v>
      </c>
      <c r="D6416" t="s">
        <v>14856</v>
      </c>
      <c r="E6416" t="s">
        <v>2310</v>
      </c>
      <c r="F6416">
        <v>9</v>
      </c>
      <c r="G6416">
        <v>9.3000000000000007</v>
      </c>
      <c r="H6416" t="s">
        <v>2323</v>
      </c>
      <c r="I6416" s="21">
        <v>44040.589883298599</v>
      </c>
      <c r="J6416">
        <v>2020</v>
      </c>
      <c r="K6416" s="21">
        <v>44091.610364930602</v>
      </c>
      <c r="L6416">
        <v>2020</v>
      </c>
      <c r="Q6416" s="262">
        <v>4290000</v>
      </c>
      <c r="R6416" s="262">
        <v>1007000</v>
      </c>
      <c r="S6416" t="s">
        <v>114</v>
      </c>
      <c r="T6416" t="s">
        <v>114</v>
      </c>
      <c r="W6416">
        <v>7144</v>
      </c>
      <c r="X6416">
        <v>1</v>
      </c>
      <c r="AC6416">
        <v>7144</v>
      </c>
      <c r="AO6416">
        <v>1</v>
      </c>
      <c r="AU6416">
        <f t="shared" si="198"/>
        <v>1</v>
      </c>
      <c r="AV6416">
        <f t="shared" si="199"/>
        <v>0</v>
      </c>
    </row>
    <row r="6417" spans="1:48" x14ac:dyDescent="0.25">
      <c r="A6417" t="s">
        <v>19876</v>
      </c>
      <c r="B6417" t="s">
        <v>19876</v>
      </c>
      <c r="C6417" t="s">
        <v>19877</v>
      </c>
      <c r="D6417" t="s">
        <v>19207</v>
      </c>
      <c r="E6417" t="s">
        <v>2310</v>
      </c>
      <c r="F6417">
        <v>9</v>
      </c>
      <c r="G6417">
        <v>9.4</v>
      </c>
      <c r="H6417" t="s">
        <v>2323</v>
      </c>
      <c r="I6417" s="21">
        <v>44040.657075775503</v>
      </c>
      <c r="J6417">
        <v>2020</v>
      </c>
      <c r="K6417" s="21">
        <v>44096.583516898201</v>
      </c>
      <c r="L6417">
        <v>2020</v>
      </c>
      <c r="M6417" s="21">
        <v>44491</v>
      </c>
      <c r="N6417">
        <v>2021</v>
      </c>
      <c r="Q6417" s="262">
        <v>200000</v>
      </c>
      <c r="R6417" s="262">
        <v>55000</v>
      </c>
      <c r="S6417" t="s">
        <v>13254</v>
      </c>
      <c r="U6417">
        <v>8</v>
      </c>
      <c r="W6417">
        <v>460</v>
      </c>
      <c r="X6417">
        <v>1</v>
      </c>
      <c r="AF6417">
        <v>460</v>
      </c>
      <c r="AR6417">
        <v>1</v>
      </c>
      <c r="AU6417">
        <f t="shared" si="198"/>
        <v>0</v>
      </c>
      <c r="AV6417">
        <f t="shared" si="199"/>
        <v>0</v>
      </c>
    </row>
    <row r="6418" spans="1:48" x14ac:dyDescent="0.25">
      <c r="A6418" t="s">
        <v>14857</v>
      </c>
      <c r="C6418" t="s">
        <v>14858</v>
      </c>
      <c r="D6418" t="s">
        <v>14859</v>
      </c>
      <c r="E6418" t="s">
        <v>1663</v>
      </c>
      <c r="F6418">
        <v>5</v>
      </c>
      <c r="G6418">
        <v>5.5</v>
      </c>
      <c r="H6418" t="s">
        <v>2017</v>
      </c>
      <c r="I6418" s="21">
        <v>44041</v>
      </c>
      <c r="J6418">
        <v>2020</v>
      </c>
      <c r="K6418" s="21">
        <v>44062</v>
      </c>
      <c r="L6418">
        <v>2020</v>
      </c>
      <c r="M6418" s="21">
        <v>44508</v>
      </c>
      <c r="N6418">
        <v>2021</v>
      </c>
      <c r="Q6418" s="262">
        <v>75000</v>
      </c>
      <c r="S6418" t="s">
        <v>114</v>
      </c>
      <c r="T6418" t="s">
        <v>114</v>
      </c>
      <c r="W6418">
        <v>0</v>
      </c>
      <c r="X6418">
        <v>0</v>
      </c>
      <c r="AU6418">
        <f t="shared" si="198"/>
        <v>0</v>
      </c>
      <c r="AV6418">
        <f t="shared" si="199"/>
        <v>0</v>
      </c>
    </row>
    <row r="6419" spans="1:48" x14ac:dyDescent="0.25">
      <c r="A6419" t="s">
        <v>14860</v>
      </c>
      <c r="C6419" t="s">
        <v>14861</v>
      </c>
      <c r="D6419" t="s">
        <v>13601</v>
      </c>
      <c r="E6419" t="s">
        <v>1663</v>
      </c>
      <c r="F6419">
        <v>2</v>
      </c>
      <c r="G6419">
        <v>2.2999999999999998</v>
      </c>
      <c r="H6419" t="s">
        <v>2327</v>
      </c>
      <c r="I6419" s="21">
        <v>44042</v>
      </c>
      <c r="J6419">
        <v>2020</v>
      </c>
      <c r="M6419" s="21">
        <v>44342</v>
      </c>
      <c r="N6419">
        <v>2021</v>
      </c>
      <c r="Q6419" s="262">
        <v>150000</v>
      </c>
      <c r="S6419" t="s">
        <v>114</v>
      </c>
      <c r="T6419" t="s">
        <v>114</v>
      </c>
      <c r="W6419">
        <v>0</v>
      </c>
      <c r="X6419">
        <v>0</v>
      </c>
      <c r="AU6419">
        <f t="shared" si="198"/>
        <v>0</v>
      </c>
      <c r="AV6419">
        <f t="shared" si="199"/>
        <v>0</v>
      </c>
    </row>
    <row r="6420" spans="1:48" x14ac:dyDescent="0.25">
      <c r="A6420" t="s">
        <v>14862</v>
      </c>
      <c r="C6420" t="s">
        <v>14863</v>
      </c>
      <c r="D6420" t="s">
        <v>14864</v>
      </c>
      <c r="E6420" t="s">
        <v>1663</v>
      </c>
      <c r="F6420">
        <v>2</v>
      </c>
      <c r="G6420">
        <v>2.2999999999999998</v>
      </c>
      <c r="H6420" t="s">
        <v>2327</v>
      </c>
      <c r="I6420" s="21">
        <v>44042</v>
      </c>
      <c r="J6420">
        <v>2020</v>
      </c>
      <c r="K6420" s="21">
        <v>44050</v>
      </c>
      <c r="L6420">
        <v>2020</v>
      </c>
      <c r="M6420" s="21">
        <v>44383</v>
      </c>
      <c r="N6420">
        <v>2021</v>
      </c>
      <c r="Q6420" s="262">
        <v>156248</v>
      </c>
      <c r="S6420" t="s">
        <v>114</v>
      </c>
      <c r="T6420" t="s">
        <v>114</v>
      </c>
      <c r="W6420">
        <v>0</v>
      </c>
      <c r="X6420">
        <v>0</v>
      </c>
      <c r="AU6420">
        <f t="shared" si="198"/>
        <v>0</v>
      </c>
      <c r="AV6420">
        <f t="shared" si="199"/>
        <v>0</v>
      </c>
    </row>
    <row r="6421" spans="1:48" x14ac:dyDescent="0.25">
      <c r="A6421" t="s">
        <v>19751</v>
      </c>
      <c r="B6421" t="s">
        <v>19751</v>
      </c>
      <c r="C6421" t="s">
        <v>19752</v>
      </c>
      <c r="D6421" t="s">
        <v>19753</v>
      </c>
      <c r="E6421" t="s">
        <v>2310</v>
      </c>
      <c r="F6421">
        <v>8</v>
      </c>
      <c r="G6421">
        <v>8.3000000000000007</v>
      </c>
      <c r="H6421" t="s">
        <v>2323</v>
      </c>
      <c r="I6421" s="21">
        <v>44042.439348993103</v>
      </c>
      <c r="J6421">
        <v>2020</v>
      </c>
      <c r="K6421" s="21">
        <v>44089.523003703704</v>
      </c>
      <c r="L6421">
        <v>2020</v>
      </c>
      <c r="M6421" s="21">
        <v>44243</v>
      </c>
      <c r="N6421">
        <v>2021</v>
      </c>
      <c r="Q6421" s="262">
        <v>115000</v>
      </c>
      <c r="R6421" s="262">
        <v>177000</v>
      </c>
      <c r="S6421" t="s">
        <v>13254</v>
      </c>
      <c r="U6421">
        <v>7</v>
      </c>
      <c r="W6421">
        <v>1493</v>
      </c>
      <c r="X6421">
        <v>1</v>
      </c>
      <c r="AE6421">
        <v>1493</v>
      </c>
      <c r="AQ6421">
        <v>1</v>
      </c>
      <c r="AU6421">
        <f t="shared" si="198"/>
        <v>1</v>
      </c>
      <c r="AV6421">
        <f t="shared" si="199"/>
        <v>0</v>
      </c>
    </row>
    <row r="6422" spans="1:48" x14ac:dyDescent="0.25">
      <c r="A6422" t="s">
        <v>14865</v>
      </c>
      <c r="B6422" t="s">
        <v>14865</v>
      </c>
      <c r="C6422" t="s">
        <v>14866</v>
      </c>
      <c r="D6422" t="s">
        <v>1881</v>
      </c>
      <c r="E6422" t="s">
        <v>2310</v>
      </c>
      <c r="F6422">
        <v>14</v>
      </c>
      <c r="G6422">
        <v>14.3</v>
      </c>
      <c r="H6422" t="s">
        <v>2327</v>
      </c>
      <c r="I6422" s="21">
        <v>44042.481938275501</v>
      </c>
      <c r="J6422">
        <v>2020</v>
      </c>
      <c r="K6422" s="21">
        <v>44097.499691666701</v>
      </c>
      <c r="L6422">
        <v>2020</v>
      </c>
      <c r="M6422" s="21">
        <v>44166.611546794004</v>
      </c>
      <c r="N6422">
        <v>2020</v>
      </c>
      <c r="Q6422" s="262">
        <v>32000</v>
      </c>
      <c r="R6422" s="262">
        <v>60000</v>
      </c>
      <c r="S6422" t="s">
        <v>114</v>
      </c>
      <c r="T6422" t="s">
        <v>114</v>
      </c>
      <c r="W6422">
        <v>0</v>
      </c>
      <c r="X6422">
        <v>0</v>
      </c>
      <c r="AU6422">
        <f t="shared" si="198"/>
        <v>0</v>
      </c>
      <c r="AV6422">
        <f t="shared" si="199"/>
        <v>0</v>
      </c>
    </row>
    <row r="6423" spans="1:48" x14ac:dyDescent="0.25">
      <c r="A6423" t="s">
        <v>14867</v>
      </c>
      <c r="B6423" t="s">
        <v>14867</v>
      </c>
      <c r="C6423" t="s">
        <v>14868</v>
      </c>
      <c r="D6423" t="s">
        <v>14869</v>
      </c>
      <c r="E6423" t="s">
        <v>2310</v>
      </c>
      <c r="F6423">
        <v>14</v>
      </c>
      <c r="G6423">
        <v>14.2</v>
      </c>
      <c r="H6423" t="s">
        <v>2017</v>
      </c>
      <c r="I6423" s="21">
        <v>44042.650218321804</v>
      </c>
      <c r="J6423">
        <v>2020</v>
      </c>
      <c r="O6423" s="21">
        <v>44207</v>
      </c>
      <c r="Q6423" s="262">
        <v>1423600</v>
      </c>
      <c r="R6423" s="262">
        <v>298000</v>
      </c>
      <c r="S6423" t="s">
        <v>114</v>
      </c>
      <c r="T6423" t="s">
        <v>114</v>
      </c>
      <c r="W6423">
        <v>2591</v>
      </c>
      <c r="X6423">
        <v>0</v>
      </c>
      <c r="AC6423">
        <v>2591</v>
      </c>
      <c r="AU6423">
        <f t="shared" si="198"/>
        <v>0</v>
      </c>
      <c r="AV6423">
        <f t="shared" si="199"/>
        <v>0</v>
      </c>
    </row>
    <row r="6424" spans="1:48" x14ac:dyDescent="0.25">
      <c r="A6424" t="s">
        <v>14870</v>
      </c>
      <c r="B6424" t="s">
        <v>14870</v>
      </c>
      <c r="C6424" t="s">
        <v>14871</v>
      </c>
      <c r="D6424" t="s">
        <v>14869</v>
      </c>
      <c r="E6424" t="s">
        <v>2310</v>
      </c>
      <c r="F6424">
        <v>14</v>
      </c>
      <c r="G6424">
        <v>14.2</v>
      </c>
      <c r="H6424" t="s">
        <v>2017</v>
      </c>
      <c r="I6424" s="21">
        <v>44042.6722457176</v>
      </c>
      <c r="J6424">
        <v>2020</v>
      </c>
      <c r="O6424" s="21">
        <v>44208</v>
      </c>
      <c r="Q6424" s="262">
        <v>448000</v>
      </c>
      <c r="R6424" s="262">
        <v>54000</v>
      </c>
      <c r="S6424" t="s">
        <v>114</v>
      </c>
      <c r="T6424" t="s">
        <v>114</v>
      </c>
      <c r="W6424">
        <v>1120</v>
      </c>
      <c r="X6424">
        <v>0</v>
      </c>
      <c r="AC6424">
        <v>1120</v>
      </c>
      <c r="AU6424">
        <f t="shared" si="198"/>
        <v>0</v>
      </c>
      <c r="AV6424">
        <f t="shared" si="199"/>
        <v>0</v>
      </c>
    </row>
    <row r="6425" spans="1:48" x14ac:dyDescent="0.25">
      <c r="A6425" t="s">
        <v>16058</v>
      </c>
      <c r="B6425" t="s">
        <v>16058</v>
      </c>
      <c r="C6425" t="s">
        <v>14930</v>
      </c>
      <c r="D6425" t="s">
        <v>16059</v>
      </c>
      <c r="E6425" t="s">
        <v>2310</v>
      </c>
      <c r="F6425">
        <v>8</v>
      </c>
      <c r="G6425">
        <v>8.3000000000000007</v>
      </c>
      <c r="H6425" t="s">
        <v>2323</v>
      </c>
      <c r="I6425" s="21">
        <v>44042.699967361099</v>
      </c>
      <c r="J6425">
        <v>2020</v>
      </c>
      <c r="K6425" s="21">
        <v>44105.470726620399</v>
      </c>
      <c r="L6425">
        <v>2020</v>
      </c>
      <c r="M6425" s="21">
        <v>44918</v>
      </c>
      <c r="N6425">
        <v>2022</v>
      </c>
      <c r="Q6425" s="262">
        <v>1000000</v>
      </c>
      <c r="R6425" s="262">
        <v>584000</v>
      </c>
      <c r="S6425" t="s">
        <v>13254</v>
      </c>
      <c r="T6425">
        <v>0</v>
      </c>
      <c r="W6425">
        <v>4711</v>
      </c>
      <c r="X6425">
        <v>1</v>
      </c>
      <c r="AC6425">
        <v>4711</v>
      </c>
      <c r="AO6425">
        <v>1</v>
      </c>
      <c r="AU6425">
        <f t="shared" ref="AU6425:AU6488" si="200">SUM(AN6425:AQ6425,AS6425)</f>
        <v>1</v>
      </c>
      <c r="AV6425">
        <f t="shared" ref="AV6425:AV6488" si="201">SUM(Y6425:AB6425,AH6425:AM6425)</f>
        <v>0</v>
      </c>
    </row>
    <row r="6426" spans="1:48" x14ac:dyDescent="0.25">
      <c r="A6426" t="s">
        <v>1940</v>
      </c>
      <c r="C6426" t="s">
        <v>13509</v>
      </c>
      <c r="D6426" t="s">
        <v>1942</v>
      </c>
      <c r="E6426" t="s">
        <v>1663</v>
      </c>
      <c r="F6426">
        <v>2</v>
      </c>
      <c r="G6426">
        <v>2.2999999999999998</v>
      </c>
      <c r="H6426" t="s">
        <v>2327</v>
      </c>
      <c r="I6426" s="21">
        <v>44043</v>
      </c>
      <c r="J6426">
        <v>2020</v>
      </c>
      <c r="K6426" s="21">
        <v>44357</v>
      </c>
      <c r="L6426">
        <v>2021</v>
      </c>
      <c r="P6426" s="21">
        <v>44688</v>
      </c>
      <c r="Q6426" s="262">
        <v>10500000</v>
      </c>
      <c r="S6426" t="s">
        <v>114</v>
      </c>
      <c r="T6426" t="s">
        <v>114</v>
      </c>
      <c r="V6426">
        <v>5698</v>
      </c>
      <c r="W6426">
        <v>44986</v>
      </c>
      <c r="X6426">
        <v>30</v>
      </c>
      <c r="AE6426">
        <v>43822</v>
      </c>
      <c r="AJ6426">
        <v>3431</v>
      </c>
      <c r="AK6426">
        <v>3431</v>
      </c>
      <c r="AM6426">
        <v>-5698</v>
      </c>
      <c r="AQ6426">
        <v>30</v>
      </c>
      <c r="AU6426">
        <f t="shared" si="200"/>
        <v>30</v>
      </c>
      <c r="AV6426">
        <f t="shared" si="201"/>
        <v>1164</v>
      </c>
    </row>
    <row r="6427" spans="1:48" x14ac:dyDescent="0.25">
      <c r="A6427" t="s">
        <v>14874</v>
      </c>
      <c r="C6427" t="s">
        <v>14875</v>
      </c>
      <c r="D6427" t="s">
        <v>14876</v>
      </c>
      <c r="E6427" t="s">
        <v>1663</v>
      </c>
      <c r="F6427">
        <v>4</v>
      </c>
      <c r="G6427">
        <v>4.4000000000000004</v>
      </c>
      <c r="H6427" t="s">
        <v>2017</v>
      </c>
      <c r="I6427" s="21">
        <v>44046</v>
      </c>
      <c r="J6427">
        <v>2020</v>
      </c>
      <c r="K6427" s="21">
        <v>44064</v>
      </c>
      <c r="L6427">
        <v>2020</v>
      </c>
      <c r="M6427" s="21">
        <v>44545</v>
      </c>
      <c r="N6427">
        <v>2021</v>
      </c>
      <c r="Q6427" s="262">
        <v>25000</v>
      </c>
      <c r="S6427" t="s">
        <v>114</v>
      </c>
      <c r="T6427" t="s">
        <v>114</v>
      </c>
      <c r="W6427">
        <v>0</v>
      </c>
      <c r="X6427">
        <v>0</v>
      </c>
      <c r="AU6427">
        <f t="shared" si="200"/>
        <v>0</v>
      </c>
      <c r="AV6427">
        <f t="shared" si="201"/>
        <v>0</v>
      </c>
    </row>
    <row r="6428" spans="1:48" x14ac:dyDescent="0.25">
      <c r="A6428" t="s">
        <v>20007</v>
      </c>
      <c r="B6428" t="s">
        <v>20007</v>
      </c>
      <c r="C6428" t="s">
        <v>20008</v>
      </c>
      <c r="D6428" t="s">
        <v>20009</v>
      </c>
      <c r="E6428" t="s">
        <v>2310</v>
      </c>
      <c r="F6428">
        <v>12</v>
      </c>
      <c r="G6428">
        <v>12.3</v>
      </c>
      <c r="H6428" t="s">
        <v>2017</v>
      </c>
      <c r="I6428" s="21">
        <v>44046.549647997701</v>
      </c>
      <c r="J6428">
        <v>2020</v>
      </c>
      <c r="K6428" s="21">
        <v>44102.337961655103</v>
      </c>
      <c r="L6428">
        <v>2020</v>
      </c>
      <c r="M6428" s="21">
        <v>44425</v>
      </c>
      <c r="N6428">
        <v>2021</v>
      </c>
      <c r="Q6428" s="262">
        <v>300000</v>
      </c>
      <c r="R6428" s="262">
        <v>207000</v>
      </c>
      <c r="S6428" t="s">
        <v>13253</v>
      </c>
      <c r="T6428">
        <v>4228</v>
      </c>
      <c r="U6428">
        <v>5</v>
      </c>
      <c r="V6428">
        <v>1984</v>
      </c>
      <c r="W6428">
        <v>148</v>
      </c>
      <c r="X6428">
        <v>0</v>
      </c>
      <c r="AC6428">
        <v>148</v>
      </c>
      <c r="AU6428">
        <f t="shared" si="200"/>
        <v>0</v>
      </c>
      <c r="AV6428">
        <f t="shared" si="201"/>
        <v>0</v>
      </c>
    </row>
    <row r="6429" spans="1:48" x14ac:dyDescent="0.25">
      <c r="A6429" t="s">
        <v>14877</v>
      </c>
      <c r="C6429" t="s">
        <v>14878</v>
      </c>
      <c r="D6429" t="s">
        <v>14879</v>
      </c>
      <c r="E6429" t="s">
        <v>1663</v>
      </c>
      <c r="F6429">
        <v>3</v>
      </c>
      <c r="G6429">
        <v>3.2</v>
      </c>
      <c r="H6429" t="s">
        <v>2327</v>
      </c>
      <c r="I6429" s="21">
        <v>44047</v>
      </c>
      <c r="J6429">
        <v>2020</v>
      </c>
      <c r="K6429" s="21">
        <v>44252</v>
      </c>
      <c r="L6429">
        <v>2021</v>
      </c>
      <c r="P6429" s="21">
        <v>44695</v>
      </c>
      <c r="Q6429" s="262">
        <v>1700000</v>
      </c>
      <c r="S6429" t="s">
        <v>114</v>
      </c>
      <c r="T6429" t="s">
        <v>114</v>
      </c>
      <c r="W6429">
        <v>4842</v>
      </c>
      <c r="X6429">
        <v>1</v>
      </c>
      <c r="AC6429">
        <v>4842</v>
      </c>
      <c r="AO6429">
        <v>1</v>
      </c>
      <c r="AU6429">
        <f t="shared" si="200"/>
        <v>1</v>
      </c>
      <c r="AV6429">
        <f t="shared" si="201"/>
        <v>0</v>
      </c>
    </row>
    <row r="6430" spans="1:48" x14ac:dyDescent="0.25">
      <c r="A6430" t="s">
        <v>14880</v>
      </c>
      <c r="C6430" t="s">
        <v>14881</v>
      </c>
      <c r="D6430" t="s">
        <v>14882</v>
      </c>
      <c r="E6430" t="s">
        <v>1663</v>
      </c>
      <c r="F6430">
        <v>3</v>
      </c>
      <c r="G6430">
        <v>3.2</v>
      </c>
      <c r="H6430" t="s">
        <v>2327</v>
      </c>
      <c r="I6430" s="21">
        <v>44047</v>
      </c>
      <c r="J6430">
        <v>2020</v>
      </c>
      <c r="K6430" s="21">
        <v>44048</v>
      </c>
      <c r="L6430">
        <v>2020</v>
      </c>
      <c r="M6430" s="21">
        <v>44089</v>
      </c>
      <c r="N6430">
        <v>2020</v>
      </c>
      <c r="Q6430" s="262">
        <v>1000</v>
      </c>
      <c r="S6430" t="s">
        <v>114</v>
      </c>
      <c r="T6430" t="s">
        <v>114</v>
      </c>
      <c r="W6430">
        <v>0</v>
      </c>
      <c r="X6430">
        <v>0</v>
      </c>
      <c r="AU6430">
        <f t="shared" si="200"/>
        <v>0</v>
      </c>
      <c r="AV6430">
        <f t="shared" si="201"/>
        <v>0</v>
      </c>
    </row>
    <row r="6431" spans="1:48" x14ac:dyDescent="0.25">
      <c r="A6431" t="s">
        <v>16071</v>
      </c>
      <c r="B6431" t="s">
        <v>16071</v>
      </c>
      <c r="C6431" t="s">
        <v>16072</v>
      </c>
      <c r="D6431" t="s">
        <v>16073</v>
      </c>
      <c r="E6431" t="s">
        <v>2310</v>
      </c>
      <c r="F6431">
        <v>15</v>
      </c>
      <c r="G6431">
        <v>15.2</v>
      </c>
      <c r="H6431" t="s">
        <v>2323</v>
      </c>
      <c r="I6431" s="21">
        <v>44047.433479085601</v>
      </c>
      <c r="J6431">
        <v>2020</v>
      </c>
      <c r="K6431" s="21">
        <v>44111.463269479202</v>
      </c>
      <c r="L6431">
        <v>2020</v>
      </c>
      <c r="M6431" s="21">
        <v>44860</v>
      </c>
      <c r="N6431">
        <v>2022</v>
      </c>
      <c r="Q6431" s="262">
        <v>316500</v>
      </c>
      <c r="R6431" s="262">
        <v>61000</v>
      </c>
      <c r="S6431" t="s">
        <v>13254</v>
      </c>
      <c r="T6431">
        <v>0</v>
      </c>
      <c r="W6431">
        <v>1266</v>
      </c>
      <c r="X6431">
        <v>0</v>
      </c>
      <c r="AC6431">
        <v>1266</v>
      </c>
      <c r="AU6431">
        <f t="shared" si="200"/>
        <v>0</v>
      </c>
      <c r="AV6431">
        <f t="shared" si="201"/>
        <v>0</v>
      </c>
    </row>
    <row r="6432" spans="1:48" x14ac:dyDescent="0.25">
      <c r="A6432" t="s">
        <v>14886</v>
      </c>
      <c r="B6432" t="s">
        <v>14886</v>
      </c>
      <c r="C6432" t="s">
        <v>14887</v>
      </c>
      <c r="D6432" t="s">
        <v>14888</v>
      </c>
      <c r="E6432" t="s">
        <v>2310</v>
      </c>
      <c r="F6432">
        <v>7</v>
      </c>
      <c r="G6432">
        <v>7.2</v>
      </c>
      <c r="H6432" t="s">
        <v>2017</v>
      </c>
      <c r="I6432" s="21">
        <v>44047.473776006897</v>
      </c>
      <c r="J6432">
        <v>2020</v>
      </c>
      <c r="K6432" s="21">
        <v>44104.622051238402</v>
      </c>
      <c r="L6432">
        <v>2020</v>
      </c>
      <c r="Q6432" s="262">
        <v>15000</v>
      </c>
      <c r="R6432" s="262">
        <v>49000</v>
      </c>
      <c r="S6432" t="s">
        <v>114</v>
      </c>
      <c r="T6432" t="s">
        <v>114</v>
      </c>
      <c r="W6432">
        <v>408</v>
      </c>
      <c r="X6432">
        <v>1</v>
      </c>
      <c r="AC6432">
        <v>408</v>
      </c>
      <c r="AO6432">
        <v>1</v>
      </c>
      <c r="AU6432">
        <f t="shared" si="200"/>
        <v>1</v>
      </c>
      <c r="AV6432">
        <f t="shared" si="201"/>
        <v>0</v>
      </c>
    </row>
    <row r="6433" spans="1:48" x14ac:dyDescent="0.25">
      <c r="A6433" t="s">
        <v>14889</v>
      </c>
      <c r="B6433" t="s">
        <v>14889</v>
      </c>
      <c r="C6433" t="s">
        <v>14890</v>
      </c>
      <c r="D6433" t="s">
        <v>14891</v>
      </c>
      <c r="E6433" t="s">
        <v>2310</v>
      </c>
      <c r="F6433">
        <v>15</v>
      </c>
      <c r="G6433">
        <v>15.1</v>
      </c>
      <c r="H6433" t="s">
        <v>2022</v>
      </c>
      <c r="I6433" s="21">
        <v>44047.642036030098</v>
      </c>
      <c r="J6433">
        <v>2020</v>
      </c>
      <c r="K6433" s="21">
        <v>44175.412206053203</v>
      </c>
      <c r="L6433">
        <v>2020</v>
      </c>
      <c r="O6433" s="21">
        <v>44523</v>
      </c>
      <c r="Q6433" s="262">
        <v>1700000</v>
      </c>
      <c r="R6433" s="262">
        <v>335000</v>
      </c>
      <c r="S6433" t="s">
        <v>114</v>
      </c>
      <c r="T6433" t="s">
        <v>114</v>
      </c>
      <c r="W6433">
        <v>3382</v>
      </c>
      <c r="X6433">
        <v>1</v>
      </c>
      <c r="AC6433">
        <v>3382</v>
      </c>
      <c r="AO6433">
        <v>1</v>
      </c>
      <c r="AU6433">
        <f t="shared" si="200"/>
        <v>1</v>
      </c>
      <c r="AV6433">
        <f t="shared" si="201"/>
        <v>0</v>
      </c>
    </row>
    <row r="6434" spans="1:48" x14ac:dyDescent="0.25">
      <c r="A6434" t="s">
        <v>14602</v>
      </c>
      <c r="C6434" t="s">
        <v>11246</v>
      </c>
      <c r="D6434" t="s">
        <v>14603</v>
      </c>
      <c r="E6434" t="s">
        <v>1663</v>
      </c>
      <c r="F6434">
        <v>5</v>
      </c>
      <c r="G6434">
        <v>5.5</v>
      </c>
      <c r="H6434" t="s">
        <v>2017</v>
      </c>
      <c r="I6434" s="21">
        <v>44049</v>
      </c>
      <c r="J6434">
        <v>2020</v>
      </c>
      <c r="K6434" s="21">
        <v>44063</v>
      </c>
      <c r="L6434">
        <v>2020</v>
      </c>
      <c r="M6434" s="21">
        <v>44585</v>
      </c>
      <c r="N6434">
        <v>2022</v>
      </c>
      <c r="P6434" s="21">
        <v>44317</v>
      </c>
      <c r="Q6434" s="262">
        <v>700000</v>
      </c>
      <c r="S6434" t="s">
        <v>13254</v>
      </c>
      <c r="W6434">
        <v>3722</v>
      </c>
      <c r="X6434">
        <v>1</v>
      </c>
      <c r="AC6434">
        <v>3722</v>
      </c>
      <c r="AO6434">
        <v>1</v>
      </c>
      <c r="AU6434">
        <f t="shared" si="200"/>
        <v>1</v>
      </c>
      <c r="AV6434">
        <f t="shared" si="201"/>
        <v>0</v>
      </c>
    </row>
    <row r="6435" spans="1:48" x14ac:dyDescent="0.25">
      <c r="A6435" t="s">
        <v>14894</v>
      </c>
      <c r="B6435" t="s">
        <v>14894</v>
      </c>
      <c r="C6435" t="s">
        <v>14895</v>
      </c>
      <c r="D6435" t="s">
        <v>14896</v>
      </c>
      <c r="E6435" t="s">
        <v>2310</v>
      </c>
      <c r="F6435">
        <v>14</v>
      </c>
      <c r="G6435">
        <v>14.2</v>
      </c>
      <c r="H6435" t="s">
        <v>2017</v>
      </c>
      <c r="I6435" s="21">
        <v>44049.4800426273</v>
      </c>
      <c r="J6435">
        <v>2020</v>
      </c>
      <c r="K6435" s="21">
        <v>44106.593300659697</v>
      </c>
      <c r="L6435">
        <v>2020</v>
      </c>
      <c r="Q6435" s="262">
        <v>15000</v>
      </c>
      <c r="R6435" s="262">
        <v>11000</v>
      </c>
      <c r="S6435" t="s">
        <v>114</v>
      </c>
      <c r="T6435" t="s">
        <v>114</v>
      </c>
      <c r="W6435">
        <v>70</v>
      </c>
      <c r="X6435">
        <v>0</v>
      </c>
      <c r="AM6435">
        <v>70</v>
      </c>
      <c r="AU6435">
        <f t="shared" si="200"/>
        <v>0</v>
      </c>
      <c r="AV6435">
        <f t="shared" si="201"/>
        <v>70</v>
      </c>
    </row>
    <row r="6436" spans="1:48" x14ac:dyDescent="0.25">
      <c r="A6436" t="s">
        <v>14897</v>
      </c>
      <c r="B6436" t="s">
        <v>14897</v>
      </c>
      <c r="C6436" t="s">
        <v>14898</v>
      </c>
      <c r="D6436" t="s">
        <v>14899</v>
      </c>
      <c r="E6436" t="s">
        <v>2310</v>
      </c>
      <c r="F6436">
        <v>11</v>
      </c>
      <c r="G6436">
        <v>11.3</v>
      </c>
      <c r="H6436" t="s">
        <v>2017</v>
      </c>
      <c r="I6436" s="21">
        <v>44049.559179317097</v>
      </c>
      <c r="J6436">
        <v>2020</v>
      </c>
      <c r="K6436" s="21">
        <v>44125.619771180602</v>
      </c>
      <c r="L6436">
        <v>2020</v>
      </c>
      <c r="Q6436" s="262">
        <v>350000</v>
      </c>
      <c r="R6436" s="262">
        <v>167000</v>
      </c>
      <c r="S6436" t="s">
        <v>114</v>
      </c>
      <c r="T6436" t="s">
        <v>114</v>
      </c>
      <c r="W6436">
        <v>1420</v>
      </c>
      <c r="X6436">
        <v>0</v>
      </c>
      <c r="AC6436">
        <v>1420</v>
      </c>
      <c r="AU6436">
        <f t="shared" si="200"/>
        <v>0</v>
      </c>
      <c r="AV6436">
        <f t="shared" si="201"/>
        <v>0</v>
      </c>
    </row>
    <row r="6437" spans="1:48" x14ac:dyDescent="0.25">
      <c r="A6437" t="s">
        <v>14900</v>
      </c>
      <c r="B6437" t="s">
        <v>14900</v>
      </c>
      <c r="C6437" t="s">
        <v>14901</v>
      </c>
      <c r="D6437" t="s">
        <v>14902</v>
      </c>
      <c r="E6437" t="s">
        <v>2310</v>
      </c>
      <c r="F6437">
        <v>8</v>
      </c>
      <c r="G6437">
        <v>8.3000000000000007</v>
      </c>
      <c r="H6437" t="s">
        <v>2323</v>
      </c>
      <c r="I6437" s="21">
        <v>44049.589314155099</v>
      </c>
      <c r="J6437">
        <v>2020</v>
      </c>
      <c r="K6437" s="21">
        <v>44105.464482905103</v>
      </c>
      <c r="L6437">
        <v>2020</v>
      </c>
      <c r="Q6437" s="262">
        <v>700000</v>
      </c>
      <c r="R6437" s="262">
        <v>312000</v>
      </c>
      <c r="S6437" t="s">
        <v>114</v>
      </c>
      <c r="T6437" t="s">
        <v>114</v>
      </c>
      <c r="W6437">
        <v>2804</v>
      </c>
      <c r="X6437">
        <v>1</v>
      </c>
      <c r="AC6437">
        <v>2804</v>
      </c>
      <c r="AO6437">
        <v>1</v>
      </c>
      <c r="AU6437">
        <f t="shared" si="200"/>
        <v>1</v>
      </c>
      <c r="AV6437">
        <f t="shared" si="201"/>
        <v>0</v>
      </c>
    </row>
    <row r="6438" spans="1:48" x14ac:dyDescent="0.25">
      <c r="A6438" t="s">
        <v>14903</v>
      </c>
      <c r="B6438" t="s">
        <v>14903</v>
      </c>
      <c r="C6438" t="s">
        <v>14904</v>
      </c>
      <c r="D6438" t="s">
        <v>14905</v>
      </c>
      <c r="E6438" t="s">
        <v>2310</v>
      </c>
      <c r="F6438">
        <v>10</v>
      </c>
      <c r="G6438">
        <v>10.1</v>
      </c>
      <c r="H6438" t="s">
        <v>2323</v>
      </c>
      <c r="I6438" s="21">
        <v>44049.680466585603</v>
      </c>
      <c r="J6438">
        <v>2020</v>
      </c>
      <c r="K6438" s="21">
        <v>44106.577489699099</v>
      </c>
      <c r="L6438">
        <v>2020</v>
      </c>
      <c r="Q6438" s="262">
        <v>490000</v>
      </c>
      <c r="R6438" s="262">
        <v>238000</v>
      </c>
      <c r="S6438" t="s">
        <v>114</v>
      </c>
      <c r="T6438" t="s">
        <v>114</v>
      </c>
      <c r="W6438">
        <v>3405</v>
      </c>
      <c r="X6438">
        <v>1</v>
      </c>
      <c r="AF6438">
        <v>3405</v>
      </c>
      <c r="AR6438">
        <v>1</v>
      </c>
      <c r="AU6438">
        <f t="shared" si="200"/>
        <v>0</v>
      </c>
      <c r="AV6438">
        <f t="shared" si="201"/>
        <v>0</v>
      </c>
    </row>
    <row r="6439" spans="1:48" x14ac:dyDescent="0.25">
      <c r="A6439" t="s">
        <v>14906</v>
      </c>
      <c r="C6439" t="s">
        <v>14907</v>
      </c>
      <c r="D6439" t="s">
        <v>14908</v>
      </c>
      <c r="E6439" t="s">
        <v>1663</v>
      </c>
      <c r="F6439">
        <v>2</v>
      </c>
      <c r="G6439">
        <v>2.1</v>
      </c>
      <c r="H6439" t="s">
        <v>2327</v>
      </c>
      <c r="I6439" s="21">
        <v>44050</v>
      </c>
      <c r="J6439">
        <v>2020</v>
      </c>
      <c r="K6439" s="21">
        <v>44258</v>
      </c>
      <c r="L6439">
        <v>2021</v>
      </c>
      <c r="P6439" s="21">
        <v>44542</v>
      </c>
      <c r="Q6439" s="262">
        <v>7500</v>
      </c>
      <c r="S6439" t="s">
        <v>114</v>
      </c>
      <c r="T6439" t="s">
        <v>114</v>
      </c>
      <c r="W6439">
        <v>0</v>
      </c>
      <c r="X6439">
        <v>0</v>
      </c>
      <c r="AU6439">
        <f t="shared" si="200"/>
        <v>0</v>
      </c>
      <c r="AV6439">
        <f t="shared" si="201"/>
        <v>0</v>
      </c>
    </row>
    <row r="6440" spans="1:48" x14ac:dyDescent="0.25">
      <c r="A6440" t="s">
        <v>14909</v>
      </c>
      <c r="B6440" t="s">
        <v>14909</v>
      </c>
      <c r="C6440" t="s">
        <v>14910</v>
      </c>
      <c r="D6440" t="s">
        <v>14911</v>
      </c>
      <c r="E6440" t="s">
        <v>2310</v>
      </c>
      <c r="F6440">
        <v>8</v>
      </c>
      <c r="G6440">
        <v>8.3000000000000007</v>
      </c>
      <c r="H6440" t="s">
        <v>2323</v>
      </c>
      <c r="I6440" s="21">
        <v>44050.434370520801</v>
      </c>
      <c r="J6440">
        <v>2020</v>
      </c>
      <c r="K6440" s="21">
        <v>44239</v>
      </c>
      <c r="L6440">
        <v>2021</v>
      </c>
      <c r="Q6440" s="262">
        <v>910000</v>
      </c>
      <c r="R6440" s="262">
        <v>503000</v>
      </c>
      <c r="S6440" t="s">
        <v>114</v>
      </c>
      <c r="T6440" t="s">
        <v>114</v>
      </c>
      <c r="W6440">
        <v>4264</v>
      </c>
      <c r="X6440">
        <v>1</v>
      </c>
      <c r="AC6440">
        <v>4264</v>
      </c>
      <c r="AO6440">
        <v>1</v>
      </c>
      <c r="AU6440">
        <f t="shared" si="200"/>
        <v>1</v>
      </c>
      <c r="AV6440">
        <f t="shared" si="201"/>
        <v>0</v>
      </c>
    </row>
    <row r="6441" spans="1:48" x14ac:dyDescent="0.25">
      <c r="A6441" t="s">
        <v>14912</v>
      </c>
      <c r="B6441" t="s">
        <v>14912</v>
      </c>
      <c r="C6441" t="s">
        <v>14913</v>
      </c>
      <c r="D6441" t="s">
        <v>14914</v>
      </c>
      <c r="E6441" t="s">
        <v>2310</v>
      </c>
      <c r="F6441">
        <v>8</v>
      </c>
      <c r="G6441">
        <v>8.3000000000000007</v>
      </c>
      <c r="H6441" t="s">
        <v>2323</v>
      </c>
      <c r="I6441" s="21">
        <v>44050.4348698264</v>
      </c>
      <c r="J6441">
        <v>2020</v>
      </c>
      <c r="K6441" s="21">
        <v>44253</v>
      </c>
      <c r="L6441">
        <v>2021</v>
      </c>
      <c r="Q6441" s="262">
        <v>910000</v>
      </c>
      <c r="R6441" s="262">
        <v>503000</v>
      </c>
      <c r="S6441" t="s">
        <v>114</v>
      </c>
      <c r="T6441" t="s">
        <v>114</v>
      </c>
      <c r="W6441">
        <v>4264</v>
      </c>
      <c r="X6441">
        <v>1</v>
      </c>
      <c r="AC6441">
        <v>4264</v>
      </c>
      <c r="AO6441">
        <v>1</v>
      </c>
      <c r="AU6441">
        <f t="shared" si="200"/>
        <v>1</v>
      </c>
      <c r="AV6441">
        <f t="shared" si="201"/>
        <v>0</v>
      </c>
    </row>
    <row r="6442" spans="1:48" x14ac:dyDescent="0.25">
      <c r="A6442" t="s">
        <v>1927</v>
      </c>
      <c r="C6442" t="s">
        <v>19974</v>
      </c>
      <c r="D6442" t="s">
        <v>1929</v>
      </c>
      <c r="E6442" t="s">
        <v>1663</v>
      </c>
      <c r="F6442">
        <v>3</v>
      </c>
      <c r="G6442">
        <v>3.2</v>
      </c>
      <c r="H6442" t="s">
        <v>2327</v>
      </c>
      <c r="I6442" s="21">
        <v>44053</v>
      </c>
      <c r="J6442">
        <v>2020</v>
      </c>
      <c r="K6442" s="21">
        <v>44105</v>
      </c>
      <c r="L6442">
        <v>2020</v>
      </c>
      <c r="M6442" s="21">
        <v>44364</v>
      </c>
      <c r="N6442">
        <v>2021</v>
      </c>
      <c r="Q6442" s="262">
        <v>1223659</v>
      </c>
      <c r="S6442" t="s">
        <v>12464</v>
      </c>
      <c r="T6442">
        <v>9664</v>
      </c>
      <c r="U6442">
        <v>7</v>
      </c>
      <c r="W6442">
        <v>6679</v>
      </c>
      <c r="X6442">
        <v>8</v>
      </c>
      <c r="AE6442">
        <v>6679</v>
      </c>
      <c r="AQ6442">
        <v>8</v>
      </c>
      <c r="AU6442">
        <f t="shared" si="200"/>
        <v>8</v>
      </c>
      <c r="AV6442">
        <f t="shared" si="201"/>
        <v>0</v>
      </c>
    </row>
    <row r="6443" spans="1:48" x14ac:dyDescent="0.25">
      <c r="A6443" t="s">
        <v>1927</v>
      </c>
      <c r="C6443" t="s">
        <v>19974</v>
      </c>
      <c r="D6443" t="s">
        <v>1929</v>
      </c>
      <c r="E6443" t="s">
        <v>1663</v>
      </c>
      <c r="F6443">
        <v>3</v>
      </c>
      <c r="G6443">
        <v>3.2</v>
      </c>
      <c r="H6443" t="s">
        <v>2327</v>
      </c>
      <c r="I6443" s="21">
        <v>44053</v>
      </c>
      <c r="J6443">
        <v>2020</v>
      </c>
      <c r="K6443" s="21">
        <v>44105</v>
      </c>
      <c r="L6443">
        <v>2020</v>
      </c>
      <c r="M6443" s="21">
        <v>44364</v>
      </c>
      <c r="N6443">
        <v>2021</v>
      </c>
      <c r="Q6443" s="262">
        <v>1223659</v>
      </c>
      <c r="R6443" s="262">
        <v>0</v>
      </c>
      <c r="S6443" t="s">
        <v>9529</v>
      </c>
      <c r="T6443">
        <v>9664</v>
      </c>
      <c r="U6443">
        <v>5</v>
      </c>
      <c r="W6443">
        <v>-1020</v>
      </c>
      <c r="X6443">
        <v>-1</v>
      </c>
      <c r="Y6443">
        <v>0</v>
      </c>
      <c r="Z6443">
        <v>0</v>
      </c>
      <c r="AA6443">
        <v>0</v>
      </c>
      <c r="AB6443">
        <v>0</v>
      </c>
      <c r="AC6443">
        <v>-1020</v>
      </c>
      <c r="AD6443">
        <v>0</v>
      </c>
      <c r="AE6443">
        <v>0</v>
      </c>
      <c r="AF6443">
        <v>0</v>
      </c>
      <c r="AG6443">
        <v>0</v>
      </c>
      <c r="AH6443">
        <v>0</v>
      </c>
      <c r="AI6443">
        <v>0</v>
      </c>
      <c r="AJ6443">
        <v>0</v>
      </c>
      <c r="AK6443">
        <v>0</v>
      </c>
      <c r="AL6443">
        <v>0</v>
      </c>
      <c r="AM6443">
        <v>0</v>
      </c>
      <c r="AN6443">
        <v>0</v>
      </c>
      <c r="AO6443">
        <v>-1</v>
      </c>
      <c r="AP6443">
        <v>0</v>
      </c>
      <c r="AQ6443">
        <v>0</v>
      </c>
      <c r="AR6443">
        <v>0</v>
      </c>
      <c r="AS6443">
        <v>0</v>
      </c>
      <c r="AT6443">
        <v>0</v>
      </c>
      <c r="AU6443">
        <f t="shared" si="200"/>
        <v>-1</v>
      </c>
      <c r="AV6443">
        <f t="shared" si="201"/>
        <v>0</v>
      </c>
    </row>
    <row r="6444" spans="1:48" x14ac:dyDescent="0.25">
      <c r="A6444" t="s">
        <v>1927</v>
      </c>
      <c r="C6444" t="s">
        <v>19974</v>
      </c>
      <c r="D6444" t="s">
        <v>1929</v>
      </c>
      <c r="E6444" t="s">
        <v>1663</v>
      </c>
      <c r="F6444">
        <v>3</v>
      </c>
      <c r="G6444">
        <v>3.2</v>
      </c>
      <c r="H6444" t="s">
        <v>2327</v>
      </c>
      <c r="I6444" s="21">
        <v>44053</v>
      </c>
      <c r="J6444">
        <v>2020</v>
      </c>
      <c r="K6444" s="21">
        <v>44105</v>
      </c>
      <c r="L6444">
        <v>2020</v>
      </c>
      <c r="M6444" s="21">
        <v>44364</v>
      </c>
      <c r="N6444">
        <v>2021</v>
      </c>
      <c r="Q6444" s="262">
        <v>1223659</v>
      </c>
      <c r="R6444" s="262">
        <v>0</v>
      </c>
      <c r="S6444" t="s">
        <v>9529</v>
      </c>
      <c r="T6444">
        <v>9663</v>
      </c>
      <c r="U6444">
        <v>9</v>
      </c>
      <c r="W6444">
        <v>-1216</v>
      </c>
      <c r="X6444">
        <v>-1</v>
      </c>
      <c r="Y6444">
        <v>0</v>
      </c>
      <c r="Z6444">
        <v>0</v>
      </c>
      <c r="AA6444">
        <v>0</v>
      </c>
      <c r="AB6444">
        <v>0</v>
      </c>
      <c r="AC6444">
        <v>0</v>
      </c>
      <c r="AD6444">
        <v>0</v>
      </c>
      <c r="AE6444">
        <v>0</v>
      </c>
      <c r="AF6444">
        <v>0</v>
      </c>
      <c r="AG6444">
        <v>-1216</v>
      </c>
      <c r="AH6444">
        <v>0</v>
      </c>
      <c r="AI6444">
        <v>0</v>
      </c>
      <c r="AJ6444">
        <v>0</v>
      </c>
      <c r="AK6444">
        <v>0</v>
      </c>
      <c r="AL6444">
        <v>0</v>
      </c>
      <c r="AM6444">
        <v>0</v>
      </c>
      <c r="AN6444">
        <v>0</v>
      </c>
      <c r="AO6444">
        <v>0</v>
      </c>
      <c r="AP6444">
        <v>0</v>
      </c>
      <c r="AQ6444">
        <v>0</v>
      </c>
      <c r="AR6444">
        <v>0</v>
      </c>
      <c r="AS6444">
        <v>-1</v>
      </c>
      <c r="AT6444">
        <v>0</v>
      </c>
      <c r="AU6444">
        <f t="shared" si="200"/>
        <v>-1</v>
      </c>
      <c r="AV6444">
        <f t="shared" si="201"/>
        <v>0</v>
      </c>
    </row>
    <row r="6445" spans="1:48" x14ac:dyDescent="0.25">
      <c r="A6445" t="s">
        <v>14915</v>
      </c>
      <c r="B6445" t="s">
        <v>14915</v>
      </c>
      <c r="C6445" t="s">
        <v>14916</v>
      </c>
      <c r="D6445" t="s">
        <v>14799</v>
      </c>
      <c r="E6445" t="s">
        <v>2310</v>
      </c>
      <c r="F6445">
        <v>9</v>
      </c>
      <c r="G6445">
        <v>9.3000000000000007</v>
      </c>
      <c r="H6445" t="s">
        <v>2323</v>
      </c>
      <c r="I6445" s="21">
        <v>44053.567109108801</v>
      </c>
      <c r="J6445">
        <v>2020</v>
      </c>
      <c r="K6445" s="21">
        <v>44126.554982372698</v>
      </c>
      <c r="L6445">
        <v>2020</v>
      </c>
      <c r="Q6445" s="262">
        <v>400000</v>
      </c>
      <c r="R6445" s="262">
        <v>94000</v>
      </c>
      <c r="S6445" t="s">
        <v>114</v>
      </c>
      <c r="T6445" t="s">
        <v>114</v>
      </c>
      <c r="W6445">
        <v>1067</v>
      </c>
      <c r="X6445">
        <v>1</v>
      </c>
      <c r="AF6445">
        <v>1067</v>
      </c>
      <c r="AR6445">
        <v>1</v>
      </c>
      <c r="AU6445">
        <f t="shared" si="200"/>
        <v>0</v>
      </c>
      <c r="AV6445">
        <f t="shared" si="201"/>
        <v>0</v>
      </c>
    </row>
    <row r="6446" spans="1:48" x14ac:dyDescent="0.25">
      <c r="A6446" t="s">
        <v>19803</v>
      </c>
      <c r="B6446" t="s">
        <v>19803</v>
      </c>
      <c r="C6446" t="s">
        <v>19804</v>
      </c>
      <c r="D6446" t="s">
        <v>19805</v>
      </c>
      <c r="E6446" t="s">
        <v>2310</v>
      </c>
      <c r="F6446">
        <v>15</v>
      </c>
      <c r="G6446">
        <v>15.2</v>
      </c>
      <c r="H6446" t="s">
        <v>2323</v>
      </c>
      <c r="I6446" s="21">
        <v>44054.427856481503</v>
      </c>
      <c r="J6446">
        <v>2020</v>
      </c>
      <c r="K6446" s="21">
        <v>44110.510522719902</v>
      </c>
      <c r="L6446">
        <v>2020</v>
      </c>
      <c r="M6446" s="21">
        <v>44468</v>
      </c>
      <c r="N6446">
        <v>2021</v>
      </c>
      <c r="Q6446" s="262">
        <v>38510</v>
      </c>
      <c r="R6446" s="262">
        <v>41000</v>
      </c>
      <c r="S6446" t="s">
        <v>13254</v>
      </c>
      <c r="U6446">
        <v>5</v>
      </c>
      <c r="W6446">
        <v>840</v>
      </c>
      <c r="X6446">
        <v>0</v>
      </c>
      <c r="AC6446">
        <v>840</v>
      </c>
      <c r="AU6446">
        <f t="shared" si="200"/>
        <v>0</v>
      </c>
      <c r="AV6446">
        <f t="shared" si="201"/>
        <v>0</v>
      </c>
    </row>
    <row r="6447" spans="1:48" x14ac:dyDescent="0.25">
      <c r="A6447" t="s">
        <v>16079</v>
      </c>
      <c r="B6447" t="s">
        <v>16079</v>
      </c>
      <c r="C6447" t="s">
        <v>16080</v>
      </c>
      <c r="D6447" t="s">
        <v>16081</v>
      </c>
      <c r="E6447" t="s">
        <v>2310</v>
      </c>
      <c r="F6447">
        <v>8</v>
      </c>
      <c r="G6447">
        <v>8.3000000000000007</v>
      </c>
      <c r="H6447" t="s">
        <v>2323</v>
      </c>
      <c r="I6447" s="21">
        <v>44054.626291585599</v>
      </c>
      <c r="J6447">
        <v>2020</v>
      </c>
      <c r="K6447" s="21">
        <v>44112.368128738402</v>
      </c>
      <c r="L6447">
        <v>2020</v>
      </c>
      <c r="M6447" s="21">
        <v>44756</v>
      </c>
      <c r="N6447">
        <v>2022</v>
      </c>
      <c r="Q6447" s="262">
        <v>910000</v>
      </c>
      <c r="R6447" s="262">
        <v>503000</v>
      </c>
      <c r="S6447" t="s">
        <v>13254</v>
      </c>
      <c r="T6447">
        <v>0</v>
      </c>
      <c r="W6447">
        <v>4264</v>
      </c>
      <c r="X6447">
        <v>1</v>
      </c>
      <c r="AC6447">
        <v>4264</v>
      </c>
      <c r="AO6447">
        <v>1</v>
      </c>
      <c r="AU6447">
        <f t="shared" si="200"/>
        <v>1</v>
      </c>
      <c r="AV6447">
        <f t="shared" si="201"/>
        <v>0</v>
      </c>
    </row>
    <row r="6448" spans="1:48" x14ac:dyDescent="0.25">
      <c r="A6448" t="s">
        <v>16093</v>
      </c>
      <c r="B6448" t="s">
        <v>16093</v>
      </c>
      <c r="C6448" t="s">
        <v>16094</v>
      </c>
      <c r="D6448" t="s">
        <v>16095</v>
      </c>
      <c r="E6448" t="s">
        <v>2310</v>
      </c>
      <c r="F6448">
        <v>8</v>
      </c>
      <c r="G6448">
        <v>8.3000000000000007</v>
      </c>
      <c r="H6448" t="s">
        <v>2323</v>
      </c>
      <c r="I6448" s="21">
        <v>44054.647463622699</v>
      </c>
      <c r="J6448">
        <v>2020</v>
      </c>
      <c r="K6448" s="21">
        <v>44253</v>
      </c>
      <c r="L6448">
        <v>2021</v>
      </c>
      <c r="M6448" s="21">
        <v>44923</v>
      </c>
      <c r="N6448">
        <v>2022</v>
      </c>
      <c r="Q6448" s="262">
        <v>910000</v>
      </c>
      <c r="R6448" s="262">
        <v>503000</v>
      </c>
      <c r="S6448" t="s">
        <v>13254</v>
      </c>
      <c r="T6448">
        <v>0</v>
      </c>
      <c r="W6448">
        <v>4264</v>
      </c>
      <c r="X6448">
        <v>1</v>
      </c>
      <c r="AC6448">
        <v>4264</v>
      </c>
      <c r="AO6448">
        <v>1</v>
      </c>
      <c r="AU6448">
        <f t="shared" si="200"/>
        <v>1</v>
      </c>
      <c r="AV6448">
        <f t="shared" si="201"/>
        <v>0</v>
      </c>
    </row>
    <row r="6449" spans="1:48" x14ac:dyDescent="0.25">
      <c r="A6449" t="s">
        <v>14922</v>
      </c>
      <c r="C6449" t="s">
        <v>14923</v>
      </c>
      <c r="D6449" t="s">
        <v>14924</v>
      </c>
      <c r="E6449" t="s">
        <v>1663</v>
      </c>
      <c r="F6449">
        <v>5</v>
      </c>
      <c r="G6449">
        <v>5.5</v>
      </c>
      <c r="H6449" t="s">
        <v>2017</v>
      </c>
      <c r="I6449" s="21">
        <v>44056</v>
      </c>
      <c r="J6449">
        <v>2020</v>
      </c>
      <c r="K6449" s="21">
        <v>44074</v>
      </c>
      <c r="L6449">
        <v>2020</v>
      </c>
      <c r="M6449" s="21">
        <v>44355</v>
      </c>
      <c r="N6449">
        <v>2021</v>
      </c>
      <c r="Q6449" s="262">
        <v>10000</v>
      </c>
      <c r="S6449" t="s">
        <v>114</v>
      </c>
      <c r="T6449" t="s">
        <v>114</v>
      </c>
      <c r="W6449">
        <v>0</v>
      </c>
      <c r="X6449">
        <v>0</v>
      </c>
      <c r="AU6449">
        <f t="shared" si="200"/>
        <v>0</v>
      </c>
      <c r="AV6449">
        <f t="shared" si="201"/>
        <v>0</v>
      </c>
    </row>
    <row r="6450" spans="1:48" x14ac:dyDescent="0.25">
      <c r="A6450" t="s">
        <v>14925</v>
      </c>
      <c r="B6450" t="s">
        <v>14925</v>
      </c>
      <c r="C6450" t="s">
        <v>14926</v>
      </c>
      <c r="D6450" t="s">
        <v>10777</v>
      </c>
      <c r="E6450" t="s">
        <v>2310</v>
      </c>
      <c r="F6450">
        <v>9</v>
      </c>
      <c r="G6450">
        <v>9.1999999999999993</v>
      </c>
      <c r="H6450" t="s">
        <v>2022</v>
      </c>
      <c r="I6450" s="21">
        <v>44056.583100891199</v>
      </c>
      <c r="J6450">
        <v>2020</v>
      </c>
      <c r="K6450" s="21">
        <v>44132.608015358797</v>
      </c>
      <c r="L6450">
        <v>2020</v>
      </c>
      <c r="Q6450" s="262">
        <v>900000</v>
      </c>
      <c r="R6450" s="262">
        <v>124000</v>
      </c>
      <c r="S6450" t="s">
        <v>12464</v>
      </c>
      <c r="T6450">
        <v>4471</v>
      </c>
      <c r="W6450">
        <v>1000</v>
      </c>
      <c r="X6450">
        <v>1</v>
      </c>
      <c r="AF6450">
        <v>1000</v>
      </c>
      <c r="AR6450">
        <v>1</v>
      </c>
      <c r="AU6450">
        <f t="shared" si="200"/>
        <v>0</v>
      </c>
      <c r="AV6450">
        <f t="shared" si="201"/>
        <v>0</v>
      </c>
    </row>
    <row r="6451" spans="1:48" x14ac:dyDescent="0.25">
      <c r="A6451" t="s">
        <v>16112</v>
      </c>
      <c r="B6451" t="s">
        <v>16112</v>
      </c>
      <c r="C6451" t="s">
        <v>16113</v>
      </c>
      <c r="D6451" t="s">
        <v>10777</v>
      </c>
      <c r="E6451" t="s">
        <v>2310</v>
      </c>
      <c r="F6451">
        <v>9</v>
      </c>
      <c r="G6451">
        <v>9.1999999999999993</v>
      </c>
      <c r="H6451" t="s">
        <v>2022</v>
      </c>
      <c r="I6451" s="21">
        <v>44056.634524155103</v>
      </c>
      <c r="J6451">
        <v>2020</v>
      </c>
      <c r="K6451" s="21">
        <v>44132.6084339468</v>
      </c>
      <c r="L6451">
        <v>2020</v>
      </c>
      <c r="M6451" s="21">
        <v>44567.391593553242</v>
      </c>
      <c r="N6451">
        <v>2022</v>
      </c>
      <c r="Q6451" s="262">
        <v>1200000</v>
      </c>
      <c r="R6451" s="262">
        <v>44000</v>
      </c>
      <c r="S6451" t="s">
        <v>13254</v>
      </c>
      <c r="T6451">
        <v>0</v>
      </c>
      <c r="W6451">
        <v>904</v>
      </c>
      <c r="X6451">
        <v>0</v>
      </c>
      <c r="AC6451">
        <v>904</v>
      </c>
      <c r="AU6451">
        <f t="shared" si="200"/>
        <v>0</v>
      </c>
      <c r="AV6451">
        <f t="shared" si="201"/>
        <v>0</v>
      </c>
    </row>
    <row r="6452" spans="1:48" x14ac:dyDescent="0.25">
      <c r="A6452" t="s">
        <v>14929</v>
      </c>
      <c r="B6452" t="s">
        <v>14929</v>
      </c>
      <c r="C6452" t="s">
        <v>14930</v>
      </c>
      <c r="D6452" t="s">
        <v>14931</v>
      </c>
      <c r="E6452" t="s">
        <v>2310</v>
      </c>
      <c r="F6452">
        <v>8</v>
      </c>
      <c r="G6452">
        <v>8.3000000000000007</v>
      </c>
      <c r="H6452" t="s">
        <v>2323</v>
      </c>
      <c r="I6452" s="21">
        <v>44056.662886145801</v>
      </c>
      <c r="J6452">
        <v>2020</v>
      </c>
      <c r="K6452" s="21">
        <v>44124.608892743097</v>
      </c>
      <c r="L6452">
        <v>2020</v>
      </c>
      <c r="Q6452" s="262">
        <v>1000000</v>
      </c>
      <c r="R6452" s="262">
        <v>584000</v>
      </c>
      <c r="S6452" t="s">
        <v>114</v>
      </c>
      <c r="T6452" t="s">
        <v>114</v>
      </c>
      <c r="W6452">
        <v>4711</v>
      </c>
      <c r="X6452">
        <v>1</v>
      </c>
      <c r="AC6452">
        <v>4711</v>
      </c>
      <c r="AO6452">
        <v>1</v>
      </c>
      <c r="AU6452">
        <f t="shared" si="200"/>
        <v>1</v>
      </c>
      <c r="AV6452">
        <f t="shared" si="201"/>
        <v>0</v>
      </c>
    </row>
    <row r="6453" spans="1:48" x14ac:dyDescent="0.25">
      <c r="A6453" t="s">
        <v>14932</v>
      </c>
      <c r="C6453" t="s">
        <v>14933</v>
      </c>
      <c r="D6453" t="s">
        <v>13103</v>
      </c>
      <c r="E6453" t="s">
        <v>1663</v>
      </c>
      <c r="F6453">
        <v>3</v>
      </c>
      <c r="G6453">
        <v>3.2</v>
      </c>
      <c r="H6453" t="s">
        <v>2327</v>
      </c>
      <c r="I6453" s="21">
        <v>44057</v>
      </c>
      <c r="J6453">
        <v>2020</v>
      </c>
      <c r="K6453" s="21">
        <v>44068</v>
      </c>
      <c r="L6453">
        <v>2020</v>
      </c>
      <c r="P6453" s="21">
        <v>44396</v>
      </c>
      <c r="Q6453" s="262">
        <v>46200</v>
      </c>
      <c r="S6453" t="s">
        <v>114</v>
      </c>
      <c r="T6453" t="s">
        <v>114</v>
      </c>
      <c r="W6453">
        <v>154</v>
      </c>
      <c r="X6453">
        <v>0</v>
      </c>
      <c r="AC6453">
        <v>154</v>
      </c>
      <c r="AU6453">
        <f t="shared" si="200"/>
        <v>0</v>
      </c>
      <c r="AV6453">
        <f t="shared" si="201"/>
        <v>0</v>
      </c>
    </row>
    <row r="6454" spans="1:48" x14ac:dyDescent="0.25">
      <c r="A6454" t="s">
        <v>19969</v>
      </c>
      <c r="C6454" t="s">
        <v>19970</v>
      </c>
      <c r="D6454" t="s">
        <v>9144</v>
      </c>
      <c r="E6454" t="s">
        <v>1663</v>
      </c>
      <c r="F6454">
        <v>3</v>
      </c>
      <c r="G6454">
        <v>3.1</v>
      </c>
      <c r="H6454" t="s">
        <v>2017</v>
      </c>
      <c r="I6454" s="21">
        <v>44060</v>
      </c>
      <c r="J6454">
        <v>2020</v>
      </c>
      <c r="K6454" s="21">
        <v>44098</v>
      </c>
      <c r="L6454">
        <v>2020</v>
      </c>
      <c r="M6454" s="21">
        <v>44305</v>
      </c>
      <c r="N6454">
        <v>2021</v>
      </c>
      <c r="Q6454" s="262">
        <v>5000</v>
      </c>
      <c r="S6454" t="s">
        <v>13253</v>
      </c>
      <c r="T6454">
        <v>10040</v>
      </c>
      <c r="U6454">
        <v>17</v>
      </c>
      <c r="V6454">
        <v>618</v>
      </c>
      <c r="W6454">
        <v>0</v>
      </c>
      <c r="X6454">
        <v>0</v>
      </c>
      <c r="AC6454">
        <v>-789</v>
      </c>
      <c r="AF6454">
        <v>789</v>
      </c>
      <c r="AO6454">
        <v>-1</v>
      </c>
      <c r="AR6454">
        <v>1</v>
      </c>
      <c r="AU6454">
        <f t="shared" si="200"/>
        <v>-1</v>
      </c>
      <c r="AV6454">
        <f t="shared" si="201"/>
        <v>0</v>
      </c>
    </row>
    <row r="6455" spans="1:48" x14ac:dyDescent="0.25">
      <c r="A6455" t="s">
        <v>14934</v>
      </c>
      <c r="B6455" t="s">
        <v>14934</v>
      </c>
      <c r="C6455" t="s">
        <v>14935</v>
      </c>
      <c r="D6455" t="s">
        <v>14936</v>
      </c>
      <c r="E6455" t="s">
        <v>2310</v>
      </c>
      <c r="F6455">
        <v>8</v>
      </c>
      <c r="G6455">
        <v>8.3000000000000007</v>
      </c>
      <c r="H6455" t="s">
        <v>2323</v>
      </c>
      <c r="I6455" s="21">
        <v>44061.467449687501</v>
      </c>
      <c r="J6455">
        <v>2020</v>
      </c>
      <c r="K6455" s="21">
        <v>44124.621365081002</v>
      </c>
      <c r="L6455">
        <v>2020</v>
      </c>
      <c r="Q6455" s="262">
        <v>700000</v>
      </c>
      <c r="R6455" s="262">
        <v>312000</v>
      </c>
      <c r="S6455" t="s">
        <v>114</v>
      </c>
      <c r="T6455" t="s">
        <v>114</v>
      </c>
      <c r="W6455">
        <v>2804</v>
      </c>
      <c r="X6455">
        <v>1</v>
      </c>
      <c r="AC6455">
        <v>2804</v>
      </c>
      <c r="AO6455">
        <v>1</v>
      </c>
      <c r="AU6455">
        <f t="shared" si="200"/>
        <v>1</v>
      </c>
      <c r="AV6455">
        <f t="shared" si="201"/>
        <v>0</v>
      </c>
    </row>
    <row r="6456" spans="1:48" x14ac:dyDescent="0.25">
      <c r="A6456" t="s">
        <v>14937</v>
      </c>
      <c r="B6456" t="s">
        <v>14937</v>
      </c>
      <c r="C6456" t="s">
        <v>14938</v>
      </c>
      <c r="D6456" t="s">
        <v>14939</v>
      </c>
      <c r="E6456" t="s">
        <v>2310</v>
      </c>
      <c r="F6456">
        <v>9</v>
      </c>
      <c r="G6456">
        <v>9.1</v>
      </c>
      <c r="H6456" t="s">
        <v>2323</v>
      </c>
      <c r="I6456" s="21">
        <v>44061.6204466782</v>
      </c>
      <c r="J6456">
        <v>2020</v>
      </c>
      <c r="K6456" s="21">
        <v>44228</v>
      </c>
      <c r="L6456">
        <v>2021</v>
      </c>
      <c r="Q6456" s="262">
        <v>2100000</v>
      </c>
      <c r="R6456" s="262">
        <v>507000</v>
      </c>
      <c r="S6456" t="s">
        <v>114</v>
      </c>
      <c r="T6456" t="s">
        <v>114</v>
      </c>
      <c r="W6456">
        <v>4369</v>
      </c>
      <c r="X6456">
        <v>1</v>
      </c>
      <c r="AC6456">
        <v>4369</v>
      </c>
      <c r="AO6456">
        <v>1</v>
      </c>
      <c r="AU6456">
        <f t="shared" si="200"/>
        <v>1</v>
      </c>
      <c r="AV6456">
        <f t="shared" si="201"/>
        <v>0</v>
      </c>
    </row>
    <row r="6457" spans="1:48" x14ac:dyDescent="0.25">
      <c r="A6457" t="s">
        <v>14942</v>
      </c>
      <c r="C6457" t="s">
        <v>14943</v>
      </c>
      <c r="D6457" t="s">
        <v>14944</v>
      </c>
      <c r="E6457" t="s">
        <v>1663</v>
      </c>
      <c r="F6457">
        <v>2</v>
      </c>
      <c r="G6457">
        <v>2.6</v>
      </c>
      <c r="H6457" t="s">
        <v>2327</v>
      </c>
      <c r="I6457" s="21">
        <v>44063</v>
      </c>
      <c r="J6457">
        <v>2020</v>
      </c>
      <c r="K6457" s="21">
        <v>44092</v>
      </c>
      <c r="L6457">
        <v>2020</v>
      </c>
      <c r="P6457" s="21">
        <v>44507</v>
      </c>
      <c r="Q6457" s="262">
        <v>10000</v>
      </c>
      <c r="S6457" t="s">
        <v>114</v>
      </c>
      <c r="T6457" t="s">
        <v>114</v>
      </c>
      <c r="W6457">
        <v>0</v>
      </c>
      <c r="X6457">
        <v>0</v>
      </c>
      <c r="AU6457">
        <f t="shared" si="200"/>
        <v>0</v>
      </c>
      <c r="AV6457">
        <f t="shared" si="201"/>
        <v>0</v>
      </c>
    </row>
    <row r="6458" spans="1:48" x14ac:dyDescent="0.25">
      <c r="A6458" t="s">
        <v>14940</v>
      </c>
      <c r="C6458" t="s">
        <v>13003</v>
      </c>
      <c r="D6458" t="s">
        <v>14941</v>
      </c>
      <c r="E6458" t="s">
        <v>1663</v>
      </c>
      <c r="F6458">
        <v>1</v>
      </c>
      <c r="G6458">
        <v>1.1000000000000001</v>
      </c>
      <c r="H6458" t="s">
        <v>2017</v>
      </c>
      <c r="I6458" s="21">
        <v>44063</v>
      </c>
      <c r="J6458">
        <v>2020</v>
      </c>
      <c r="K6458" s="21">
        <v>44104</v>
      </c>
      <c r="L6458">
        <v>2020</v>
      </c>
      <c r="P6458" s="21">
        <v>44382</v>
      </c>
      <c r="Q6458" s="262">
        <v>55000</v>
      </c>
      <c r="S6458" t="s">
        <v>114</v>
      </c>
      <c r="T6458" t="s">
        <v>114</v>
      </c>
      <c r="W6458">
        <v>0</v>
      </c>
      <c r="X6458">
        <v>0</v>
      </c>
      <c r="AU6458">
        <f t="shared" si="200"/>
        <v>0</v>
      </c>
      <c r="AV6458">
        <f t="shared" si="201"/>
        <v>0</v>
      </c>
    </row>
    <row r="6459" spans="1:48" x14ac:dyDescent="0.25">
      <c r="A6459" t="s">
        <v>14945</v>
      </c>
      <c r="B6459" t="s">
        <v>14945</v>
      </c>
      <c r="C6459" t="s">
        <v>14946</v>
      </c>
      <c r="D6459" t="s">
        <v>14947</v>
      </c>
      <c r="E6459" t="s">
        <v>2310</v>
      </c>
      <c r="F6459">
        <v>8</v>
      </c>
      <c r="G6459">
        <v>8.3000000000000007</v>
      </c>
      <c r="H6459" t="s">
        <v>2323</v>
      </c>
      <c r="I6459" s="21">
        <v>44063.4607952199</v>
      </c>
      <c r="J6459">
        <v>2020</v>
      </c>
      <c r="K6459" s="21">
        <v>44341</v>
      </c>
      <c r="L6459">
        <v>2021</v>
      </c>
      <c r="Q6459" s="262">
        <v>5000000</v>
      </c>
      <c r="R6459" s="262">
        <v>1078000</v>
      </c>
      <c r="S6459" t="s">
        <v>114</v>
      </c>
      <c r="T6459" t="s">
        <v>114</v>
      </c>
      <c r="W6459">
        <v>7820</v>
      </c>
      <c r="X6459">
        <v>1</v>
      </c>
      <c r="AC6459">
        <v>7820</v>
      </c>
      <c r="AO6459">
        <v>1</v>
      </c>
      <c r="AU6459">
        <f t="shared" si="200"/>
        <v>1</v>
      </c>
      <c r="AV6459">
        <f t="shared" si="201"/>
        <v>0</v>
      </c>
    </row>
    <row r="6460" spans="1:48" x14ac:dyDescent="0.25">
      <c r="A6460" t="s">
        <v>14948</v>
      </c>
      <c r="B6460" t="s">
        <v>14948</v>
      </c>
      <c r="C6460" t="s">
        <v>14949</v>
      </c>
      <c r="D6460" t="s">
        <v>14950</v>
      </c>
      <c r="E6460" t="s">
        <v>2310</v>
      </c>
      <c r="F6460">
        <v>8</v>
      </c>
      <c r="G6460">
        <v>8.1999999999999993</v>
      </c>
      <c r="H6460" t="s">
        <v>2022</v>
      </c>
      <c r="I6460" s="21">
        <v>44063.4866131944</v>
      </c>
      <c r="J6460">
        <v>2020</v>
      </c>
      <c r="K6460" s="21">
        <v>44391</v>
      </c>
      <c r="L6460">
        <v>2021</v>
      </c>
      <c r="R6460" s="262">
        <v>218000</v>
      </c>
      <c r="S6460" t="s">
        <v>114</v>
      </c>
      <c r="T6460" t="s">
        <v>114</v>
      </c>
      <c r="V6460">
        <v>2107</v>
      </c>
      <c r="W6460">
        <v>254</v>
      </c>
      <c r="X6460">
        <v>0</v>
      </c>
      <c r="AC6460">
        <v>254</v>
      </c>
      <c r="AU6460">
        <f t="shared" si="200"/>
        <v>0</v>
      </c>
      <c r="AV6460">
        <f t="shared" si="201"/>
        <v>0</v>
      </c>
    </row>
    <row r="6461" spans="1:48" x14ac:dyDescent="0.25">
      <c r="A6461" t="s">
        <v>14954</v>
      </c>
      <c r="C6461" t="s">
        <v>13528</v>
      </c>
      <c r="D6461" t="s">
        <v>11647</v>
      </c>
      <c r="E6461" t="s">
        <v>1663</v>
      </c>
      <c r="F6461">
        <v>5</v>
      </c>
      <c r="G6461">
        <v>5.5</v>
      </c>
      <c r="H6461" t="s">
        <v>2017</v>
      </c>
      <c r="I6461" s="21">
        <v>44067</v>
      </c>
      <c r="J6461">
        <v>2020</v>
      </c>
      <c r="K6461" s="21">
        <v>44132</v>
      </c>
      <c r="L6461">
        <v>2020</v>
      </c>
      <c r="P6461" s="21">
        <v>44433</v>
      </c>
      <c r="Q6461" s="262">
        <v>200000</v>
      </c>
      <c r="S6461" t="s">
        <v>114</v>
      </c>
      <c r="T6461" t="s">
        <v>114</v>
      </c>
      <c r="W6461">
        <v>1935</v>
      </c>
      <c r="X6461">
        <v>0</v>
      </c>
      <c r="AC6461">
        <v>1935</v>
      </c>
      <c r="AU6461">
        <f t="shared" si="200"/>
        <v>0</v>
      </c>
      <c r="AV6461">
        <f t="shared" si="201"/>
        <v>0</v>
      </c>
    </row>
    <row r="6462" spans="1:48" x14ac:dyDescent="0.25">
      <c r="A6462" t="s">
        <v>14951</v>
      </c>
      <c r="C6462" t="s">
        <v>14952</v>
      </c>
      <c r="D6462" t="s">
        <v>14953</v>
      </c>
      <c r="E6462" t="s">
        <v>1663</v>
      </c>
      <c r="F6462">
        <v>1</v>
      </c>
      <c r="G6462">
        <v>1.1000000000000001</v>
      </c>
      <c r="H6462" t="s">
        <v>2017</v>
      </c>
      <c r="I6462" s="21">
        <v>44067</v>
      </c>
      <c r="J6462">
        <v>2020</v>
      </c>
      <c r="K6462" s="21">
        <v>44334</v>
      </c>
      <c r="L6462">
        <v>2021</v>
      </c>
      <c r="P6462" s="21">
        <v>44697</v>
      </c>
      <c r="Q6462" s="262">
        <v>94372.43</v>
      </c>
      <c r="S6462" t="s">
        <v>114</v>
      </c>
      <c r="T6462" t="s">
        <v>114</v>
      </c>
      <c r="W6462">
        <v>0</v>
      </c>
      <c r="X6462">
        <v>0</v>
      </c>
      <c r="AU6462">
        <f t="shared" si="200"/>
        <v>0</v>
      </c>
      <c r="AV6462">
        <f t="shared" si="201"/>
        <v>0</v>
      </c>
    </row>
    <row r="6463" spans="1:48" x14ac:dyDescent="0.25">
      <c r="A6463" t="s">
        <v>14955</v>
      </c>
      <c r="B6463" t="s">
        <v>14955</v>
      </c>
      <c r="C6463" t="s">
        <v>14956</v>
      </c>
      <c r="D6463" t="s">
        <v>14837</v>
      </c>
      <c r="E6463" t="s">
        <v>2310</v>
      </c>
      <c r="F6463">
        <v>15</v>
      </c>
      <c r="G6463">
        <v>15.1</v>
      </c>
      <c r="H6463" t="s">
        <v>2022</v>
      </c>
      <c r="I6463" s="21">
        <v>44067.477111805601</v>
      </c>
      <c r="J6463">
        <v>2020</v>
      </c>
      <c r="K6463" s="21">
        <v>44113.438824919001</v>
      </c>
      <c r="L6463">
        <v>2020</v>
      </c>
      <c r="Q6463" s="262">
        <v>600000</v>
      </c>
      <c r="R6463" s="262">
        <v>35000</v>
      </c>
      <c r="S6463" t="s">
        <v>114</v>
      </c>
      <c r="T6463" t="s">
        <v>114</v>
      </c>
      <c r="W6463">
        <v>728</v>
      </c>
      <c r="X6463">
        <v>0</v>
      </c>
      <c r="AC6463">
        <v>728</v>
      </c>
      <c r="AU6463">
        <f t="shared" si="200"/>
        <v>0</v>
      </c>
      <c r="AV6463">
        <f t="shared" si="201"/>
        <v>0</v>
      </c>
    </row>
    <row r="6464" spans="1:48" x14ac:dyDescent="0.25">
      <c r="A6464" t="s">
        <v>14957</v>
      </c>
      <c r="B6464" t="s">
        <v>14957</v>
      </c>
      <c r="C6464" t="s">
        <v>14958</v>
      </c>
      <c r="D6464" t="s">
        <v>14959</v>
      </c>
      <c r="E6464" t="s">
        <v>2310</v>
      </c>
      <c r="F6464">
        <v>9</v>
      </c>
      <c r="G6464">
        <v>9.4</v>
      </c>
      <c r="H6464" t="s">
        <v>2323</v>
      </c>
      <c r="I6464" s="21">
        <v>44068.430646759298</v>
      </c>
      <c r="J6464">
        <v>2020</v>
      </c>
      <c r="K6464" s="21">
        <v>44175.482750463001</v>
      </c>
      <c r="L6464">
        <v>2020</v>
      </c>
      <c r="Q6464" s="262">
        <v>4000000</v>
      </c>
      <c r="R6464" s="262">
        <v>738000</v>
      </c>
      <c r="S6464" t="s">
        <v>114</v>
      </c>
      <c r="T6464" t="s">
        <v>114</v>
      </c>
      <c r="W6464">
        <v>5680</v>
      </c>
      <c r="X6464">
        <v>1</v>
      </c>
      <c r="AC6464">
        <v>5680</v>
      </c>
      <c r="AO6464">
        <v>1</v>
      </c>
      <c r="AU6464">
        <f t="shared" si="200"/>
        <v>1</v>
      </c>
      <c r="AV6464">
        <f t="shared" si="201"/>
        <v>0</v>
      </c>
    </row>
    <row r="6465" spans="1:48" x14ac:dyDescent="0.25">
      <c r="A6465" t="s">
        <v>14960</v>
      </c>
      <c r="B6465" t="s">
        <v>14960</v>
      </c>
      <c r="C6465" t="s">
        <v>14961</v>
      </c>
      <c r="D6465" t="s">
        <v>14962</v>
      </c>
      <c r="E6465" t="s">
        <v>2310</v>
      </c>
      <c r="F6465">
        <v>8</v>
      </c>
      <c r="G6465">
        <v>8.3000000000000007</v>
      </c>
      <c r="H6465" t="s">
        <v>2323</v>
      </c>
      <c r="I6465" s="21">
        <v>44068.589936261596</v>
      </c>
      <c r="J6465">
        <v>2020</v>
      </c>
      <c r="K6465" s="21">
        <v>44124.602116701397</v>
      </c>
      <c r="L6465">
        <v>2020</v>
      </c>
      <c r="Q6465" s="262">
        <v>700000</v>
      </c>
      <c r="R6465" s="262">
        <v>317000</v>
      </c>
      <c r="S6465" t="s">
        <v>114</v>
      </c>
      <c r="T6465" t="s">
        <v>114</v>
      </c>
      <c r="W6465">
        <v>2817</v>
      </c>
      <c r="X6465">
        <v>1</v>
      </c>
      <c r="AC6465">
        <v>2817</v>
      </c>
      <c r="AO6465">
        <v>1</v>
      </c>
      <c r="AU6465">
        <f t="shared" si="200"/>
        <v>1</v>
      </c>
      <c r="AV6465">
        <f t="shared" si="201"/>
        <v>0</v>
      </c>
    </row>
    <row r="6466" spans="1:48" x14ac:dyDescent="0.25">
      <c r="A6466" t="s">
        <v>14963</v>
      </c>
      <c r="B6466" t="s">
        <v>14963</v>
      </c>
      <c r="C6466" t="s">
        <v>14964</v>
      </c>
      <c r="D6466" t="s">
        <v>14965</v>
      </c>
      <c r="E6466" t="s">
        <v>2310</v>
      </c>
      <c r="F6466">
        <v>8</v>
      </c>
      <c r="G6466">
        <v>8.3000000000000007</v>
      </c>
      <c r="H6466" t="s">
        <v>2323</v>
      </c>
      <c r="I6466" s="21">
        <v>44068.618937118103</v>
      </c>
      <c r="J6466">
        <v>2020</v>
      </c>
      <c r="K6466" s="21">
        <v>44498</v>
      </c>
      <c r="L6466">
        <v>2021</v>
      </c>
      <c r="Q6466" s="262">
        <v>11000000</v>
      </c>
      <c r="R6466" s="262">
        <v>8080000</v>
      </c>
      <c r="S6466" t="s">
        <v>114</v>
      </c>
      <c r="T6466" t="s">
        <v>114</v>
      </c>
      <c r="W6466">
        <v>61593</v>
      </c>
      <c r="X6466">
        <v>16</v>
      </c>
      <c r="AI6466">
        <v>61593</v>
      </c>
      <c r="AQ6466">
        <v>1</v>
      </c>
      <c r="AT6466">
        <v>15</v>
      </c>
      <c r="AU6466">
        <f t="shared" si="200"/>
        <v>1</v>
      </c>
      <c r="AV6466">
        <f t="shared" si="201"/>
        <v>61593</v>
      </c>
    </row>
    <row r="6467" spans="1:48" x14ac:dyDescent="0.25">
      <c r="A6467" t="s">
        <v>14966</v>
      </c>
      <c r="C6467" t="s">
        <v>12530</v>
      </c>
      <c r="D6467" t="s">
        <v>14967</v>
      </c>
      <c r="E6467" t="s">
        <v>1663</v>
      </c>
      <c r="F6467">
        <v>4</v>
      </c>
      <c r="G6467">
        <v>4.4000000000000004</v>
      </c>
      <c r="H6467" t="s">
        <v>2017</v>
      </c>
      <c r="I6467" s="21">
        <v>44069</v>
      </c>
      <c r="J6467">
        <v>2020</v>
      </c>
      <c r="K6467" s="21">
        <v>44207</v>
      </c>
      <c r="L6467">
        <v>2021</v>
      </c>
      <c r="M6467" s="21">
        <v>44511</v>
      </c>
      <c r="N6467">
        <v>2021</v>
      </c>
      <c r="Q6467" s="262">
        <v>50000</v>
      </c>
      <c r="S6467" t="s">
        <v>114</v>
      </c>
      <c r="T6467" t="s">
        <v>114</v>
      </c>
      <c r="W6467">
        <v>0</v>
      </c>
      <c r="X6467">
        <v>0</v>
      </c>
      <c r="AU6467">
        <f t="shared" si="200"/>
        <v>0</v>
      </c>
      <c r="AV6467">
        <f t="shared" si="201"/>
        <v>0</v>
      </c>
    </row>
    <row r="6468" spans="1:48" x14ac:dyDescent="0.25">
      <c r="A6468" t="s">
        <v>14968</v>
      </c>
      <c r="B6468" t="s">
        <v>14968</v>
      </c>
      <c r="C6468" t="s">
        <v>14969</v>
      </c>
      <c r="D6468" t="s">
        <v>14520</v>
      </c>
      <c r="E6468" t="s">
        <v>2310</v>
      </c>
      <c r="F6468">
        <v>12</v>
      </c>
      <c r="G6468">
        <v>12.3</v>
      </c>
      <c r="H6468" t="s">
        <v>2017</v>
      </c>
      <c r="I6468" s="21">
        <v>44070.465331168998</v>
      </c>
      <c r="J6468">
        <v>2020</v>
      </c>
      <c r="K6468" s="21">
        <v>44116.551973761598</v>
      </c>
      <c r="L6468">
        <v>2020</v>
      </c>
      <c r="Q6468" s="262">
        <v>500000</v>
      </c>
      <c r="R6468" s="262">
        <v>78000</v>
      </c>
      <c r="S6468" t="s">
        <v>114</v>
      </c>
      <c r="T6468" t="s">
        <v>114</v>
      </c>
      <c r="V6468">
        <v>68</v>
      </c>
      <c r="W6468">
        <v>650</v>
      </c>
      <c r="X6468">
        <v>0</v>
      </c>
      <c r="AC6468">
        <v>650</v>
      </c>
      <c r="AU6468">
        <f t="shared" si="200"/>
        <v>0</v>
      </c>
      <c r="AV6468">
        <f t="shared" si="201"/>
        <v>0</v>
      </c>
    </row>
    <row r="6469" spans="1:48" x14ac:dyDescent="0.25">
      <c r="A6469" t="s">
        <v>14970</v>
      </c>
      <c r="B6469" t="s">
        <v>14970</v>
      </c>
      <c r="C6469" t="s">
        <v>14971</v>
      </c>
      <c r="D6469" t="s">
        <v>14869</v>
      </c>
      <c r="E6469" t="s">
        <v>2310</v>
      </c>
      <c r="F6469">
        <v>14</v>
      </c>
      <c r="G6469">
        <v>14.2</v>
      </c>
      <c r="H6469" t="s">
        <v>2017</v>
      </c>
      <c r="I6469" s="21">
        <v>44070.563560682902</v>
      </c>
      <c r="J6469">
        <v>2020</v>
      </c>
      <c r="O6469" s="21">
        <v>44208</v>
      </c>
      <c r="Q6469" s="262">
        <v>1423600</v>
      </c>
      <c r="R6469" s="262">
        <v>115000</v>
      </c>
      <c r="S6469" t="s">
        <v>114</v>
      </c>
      <c r="T6469" t="s">
        <v>114</v>
      </c>
      <c r="W6469">
        <v>968</v>
      </c>
      <c r="X6469">
        <v>1</v>
      </c>
      <c r="AF6469">
        <v>968</v>
      </c>
      <c r="AR6469">
        <v>1</v>
      </c>
      <c r="AU6469">
        <f t="shared" si="200"/>
        <v>0</v>
      </c>
      <c r="AV6469">
        <f t="shared" si="201"/>
        <v>0</v>
      </c>
    </row>
    <row r="6470" spans="1:48" x14ac:dyDescent="0.25">
      <c r="A6470" t="s">
        <v>14972</v>
      </c>
      <c r="C6470" t="s">
        <v>14973</v>
      </c>
      <c r="D6470" t="s">
        <v>14433</v>
      </c>
      <c r="E6470" t="s">
        <v>1663</v>
      </c>
      <c r="F6470">
        <v>5</v>
      </c>
      <c r="G6470">
        <v>5.0999999999999996</v>
      </c>
      <c r="H6470" t="s">
        <v>2327</v>
      </c>
      <c r="I6470" s="21">
        <v>44071</v>
      </c>
      <c r="J6470">
        <v>2020</v>
      </c>
      <c r="K6470" s="21">
        <v>44117</v>
      </c>
      <c r="L6470">
        <v>2020</v>
      </c>
      <c r="M6470" s="21">
        <v>44511</v>
      </c>
      <c r="N6470">
        <v>2021</v>
      </c>
      <c r="Q6470" s="262">
        <v>25000</v>
      </c>
      <c r="S6470" t="s">
        <v>114</v>
      </c>
      <c r="T6470" t="s">
        <v>114</v>
      </c>
      <c r="W6470">
        <v>0</v>
      </c>
      <c r="X6470">
        <v>0</v>
      </c>
      <c r="AU6470">
        <f t="shared" si="200"/>
        <v>0</v>
      </c>
      <c r="AV6470">
        <f t="shared" si="201"/>
        <v>0</v>
      </c>
    </row>
    <row r="6471" spans="1:48" x14ac:dyDescent="0.25">
      <c r="A6471" t="s">
        <v>19766</v>
      </c>
      <c r="C6471" t="s">
        <v>19767</v>
      </c>
      <c r="D6471" t="s">
        <v>14859</v>
      </c>
      <c r="E6471" t="s">
        <v>1663</v>
      </c>
      <c r="F6471">
        <v>5</v>
      </c>
      <c r="G6471">
        <v>5.5</v>
      </c>
      <c r="H6471" t="s">
        <v>2017</v>
      </c>
      <c r="I6471" s="21">
        <v>44074</v>
      </c>
      <c r="J6471">
        <v>2020</v>
      </c>
      <c r="K6471" s="21">
        <v>44098</v>
      </c>
      <c r="L6471">
        <v>2020</v>
      </c>
      <c r="M6471" s="21">
        <v>44551</v>
      </c>
      <c r="N6471">
        <v>2021</v>
      </c>
      <c r="Q6471" s="262">
        <v>200000</v>
      </c>
      <c r="S6471" t="s">
        <v>13254</v>
      </c>
      <c r="U6471">
        <v>5</v>
      </c>
      <c r="W6471">
        <v>1342</v>
      </c>
      <c r="X6471">
        <v>0</v>
      </c>
      <c r="AC6471">
        <v>1342</v>
      </c>
      <c r="AU6471">
        <f t="shared" si="200"/>
        <v>0</v>
      </c>
      <c r="AV6471">
        <f t="shared" si="201"/>
        <v>0</v>
      </c>
    </row>
    <row r="6472" spans="1:48" x14ac:dyDescent="0.25">
      <c r="A6472" t="s">
        <v>16114</v>
      </c>
      <c r="B6472" t="s">
        <v>16114</v>
      </c>
      <c r="C6472" t="s">
        <v>16115</v>
      </c>
      <c r="D6472" t="s">
        <v>16116</v>
      </c>
      <c r="E6472" t="s">
        <v>2310</v>
      </c>
      <c r="F6472">
        <v>8</v>
      </c>
      <c r="G6472">
        <v>8.3000000000000007</v>
      </c>
      <c r="H6472" t="s">
        <v>2323</v>
      </c>
      <c r="I6472" s="21">
        <v>44075.6027824884</v>
      </c>
      <c r="J6472">
        <v>2020</v>
      </c>
      <c r="K6472" s="21">
        <v>44124.600497419</v>
      </c>
      <c r="L6472">
        <v>2020</v>
      </c>
      <c r="M6472" s="21">
        <v>44918</v>
      </c>
      <c r="N6472">
        <v>2022</v>
      </c>
      <c r="Q6472" s="262">
        <v>700000</v>
      </c>
      <c r="R6472" s="262">
        <v>314000</v>
      </c>
      <c r="S6472" t="s">
        <v>13254</v>
      </c>
      <c r="T6472">
        <v>0</v>
      </c>
      <c r="W6472">
        <v>2817</v>
      </c>
      <c r="X6472">
        <v>1</v>
      </c>
      <c r="AC6472">
        <v>2817</v>
      </c>
      <c r="AO6472">
        <v>1</v>
      </c>
      <c r="AU6472">
        <f t="shared" si="200"/>
        <v>1</v>
      </c>
      <c r="AV6472">
        <f t="shared" si="201"/>
        <v>0</v>
      </c>
    </row>
    <row r="6473" spans="1:48" x14ac:dyDescent="0.25">
      <c r="A6473" t="s">
        <v>14975</v>
      </c>
      <c r="B6473" t="s">
        <v>14975</v>
      </c>
      <c r="C6473" t="s">
        <v>14976</v>
      </c>
      <c r="D6473" t="s">
        <v>14977</v>
      </c>
      <c r="E6473" t="s">
        <v>2310</v>
      </c>
      <c r="F6473">
        <v>14</v>
      </c>
      <c r="G6473">
        <v>14.2</v>
      </c>
      <c r="H6473" t="s">
        <v>2017</v>
      </c>
      <c r="I6473" s="21">
        <v>44077.448402349502</v>
      </c>
      <c r="J6473">
        <v>2020</v>
      </c>
      <c r="K6473" s="21">
        <v>44165.477064236104</v>
      </c>
      <c r="L6473">
        <v>2020</v>
      </c>
      <c r="Q6473" s="262">
        <v>1500000</v>
      </c>
      <c r="R6473" s="262">
        <v>441000</v>
      </c>
      <c r="S6473" t="s">
        <v>114</v>
      </c>
      <c r="T6473" t="s">
        <v>114</v>
      </c>
      <c r="W6473">
        <v>3982</v>
      </c>
      <c r="X6473">
        <v>1</v>
      </c>
      <c r="AC6473">
        <v>3982</v>
      </c>
      <c r="AO6473">
        <v>1</v>
      </c>
      <c r="AU6473">
        <f t="shared" si="200"/>
        <v>1</v>
      </c>
      <c r="AV6473">
        <f t="shared" si="201"/>
        <v>0</v>
      </c>
    </row>
    <row r="6474" spans="1:48" x14ac:dyDescent="0.25">
      <c r="A6474" t="s">
        <v>14978</v>
      </c>
      <c r="B6474" t="s">
        <v>14978</v>
      </c>
      <c r="C6474" t="s">
        <v>14979</v>
      </c>
      <c r="D6474" t="s">
        <v>14980</v>
      </c>
      <c r="E6474" t="s">
        <v>2310</v>
      </c>
      <c r="F6474">
        <v>15</v>
      </c>
      <c r="G6474">
        <v>15.1</v>
      </c>
      <c r="H6474" t="s">
        <v>2022</v>
      </c>
      <c r="I6474" s="21">
        <v>44077.593791863401</v>
      </c>
      <c r="J6474">
        <v>2020</v>
      </c>
      <c r="K6474" s="21">
        <v>44176.440347338001</v>
      </c>
      <c r="L6474">
        <v>2020</v>
      </c>
      <c r="Q6474" s="262">
        <v>2500000</v>
      </c>
      <c r="R6474" s="262">
        <v>633000</v>
      </c>
      <c r="S6474" t="s">
        <v>114</v>
      </c>
      <c r="T6474" t="s">
        <v>114</v>
      </c>
      <c r="W6474">
        <v>4847</v>
      </c>
      <c r="X6474">
        <v>1</v>
      </c>
      <c r="AC6474">
        <v>4847</v>
      </c>
      <c r="AO6474">
        <v>1</v>
      </c>
      <c r="AU6474">
        <f t="shared" si="200"/>
        <v>1</v>
      </c>
      <c r="AV6474">
        <f t="shared" si="201"/>
        <v>0</v>
      </c>
    </row>
    <row r="6475" spans="1:48" x14ac:dyDescent="0.25">
      <c r="A6475" t="s">
        <v>16140</v>
      </c>
      <c r="B6475" t="s">
        <v>16140</v>
      </c>
      <c r="C6475" t="s">
        <v>16141</v>
      </c>
      <c r="D6475" t="s">
        <v>16142</v>
      </c>
      <c r="E6475" t="s">
        <v>2310</v>
      </c>
      <c r="F6475">
        <v>15</v>
      </c>
      <c r="G6475">
        <v>15.2</v>
      </c>
      <c r="H6475" t="s">
        <v>2323</v>
      </c>
      <c r="I6475" s="21">
        <v>44082.442765624997</v>
      </c>
      <c r="J6475">
        <v>2020</v>
      </c>
      <c r="K6475" s="21">
        <v>44371</v>
      </c>
      <c r="L6475">
        <v>2021</v>
      </c>
      <c r="M6475" s="21">
        <v>44795.478376620369</v>
      </c>
      <c r="N6475">
        <v>2022</v>
      </c>
      <c r="Q6475" s="262">
        <v>500000</v>
      </c>
      <c r="R6475" s="262">
        <v>108000</v>
      </c>
      <c r="S6475" t="s">
        <v>13254</v>
      </c>
      <c r="T6475">
        <v>0</v>
      </c>
      <c r="W6475">
        <v>2148</v>
      </c>
      <c r="X6475">
        <v>0</v>
      </c>
      <c r="AC6475">
        <v>2148</v>
      </c>
      <c r="AU6475">
        <f t="shared" si="200"/>
        <v>0</v>
      </c>
      <c r="AV6475">
        <f t="shared" si="201"/>
        <v>0</v>
      </c>
    </row>
    <row r="6476" spans="1:48" x14ac:dyDescent="0.25">
      <c r="A6476" t="s">
        <v>14984</v>
      </c>
      <c r="B6476" t="s">
        <v>14984</v>
      </c>
      <c r="C6476" t="s">
        <v>14985</v>
      </c>
      <c r="D6476" t="s">
        <v>14986</v>
      </c>
      <c r="E6476" t="s">
        <v>2310</v>
      </c>
      <c r="F6476">
        <v>10</v>
      </c>
      <c r="G6476">
        <v>10.1</v>
      </c>
      <c r="H6476" t="s">
        <v>2323</v>
      </c>
      <c r="I6476" s="21">
        <v>44082.625008298601</v>
      </c>
      <c r="J6476">
        <v>2020</v>
      </c>
      <c r="K6476" s="21">
        <v>44130.485480590301</v>
      </c>
      <c r="L6476">
        <v>2020</v>
      </c>
      <c r="Q6476" s="262">
        <v>100000</v>
      </c>
      <c r="R6476" s="262">
        <v>52000</v>
      </c>
      <c r="S6476" t="s">
        <v>114</v>
      </c>
      <c r="T6476" t="s">
        <v>114</v>
      </c>
      <c r="W6476">
        <v>432</v>
      </c>
      <c r="X6476">
        <v>1</v>
      </c>
      <c r="AF6476">
        <v>432</v>
      </c>
      <c r="AR6476">
        <v>1</v>
      </c>
      <c r="AU6476">
        <f t="shared" si="200"/>
        <v>0</v>
      </c>
      <c r="AV6476">
        <f t="shared" si="201"/>
        <v>0</v>
      </c>
    </row>
    <row r="6477" spans="1:48" x14ac:dyDescent="0.25">
      <c r="A6477" t="s">
        <v>14987</v>
      </c>
      <c r="B6477" t="s">
        <v>14987</v>
      </c>
      <c r="C6477" t="s">
        <v>14988</v>
      </c>
      <c r="D6477" t="s">
        <v>14716</v>
      </c>
      <c r="E6477" t="s">
        <v>2310</v>
      </c>
      <c r="F6477">
        <v>15</v>
      </c>
      <c r="G6477">
        <v>15.1</v>
      </c>
      <c r="H6477" t="s">
        <v>2022</v>
      </c>
      <c r="I6477" s="21">
        <v>44082.660679745401</v>
      </c>
      <c r="J6477">
        <v>2020</v>
      </c>
      <c r="K6477" s="21">
        <v>44420</v>
      </c>
      <c r="L6477">
        <v>2021</v>
      </c>
      <c r="Q6477" s="262">
        <v>75000</v>
      </c>
      <c r="R6477" s="262">
        <v>71000</v>
      </c>
      <c r="S6477" t="s">
        <v>114</v>
      </c>
      <c r="T6477" t="s">
        <v>114</v>
      </c>
      <c r="W6477">
        <v>596</v>
      </c>
      <c r="X6477">
        <v>1</v>
      </c>
      <c r="AF6477">
        <v>596</v>
      </c>
      <c r="AR6477">
        <v>1</v>
      </c>
      <c r="AU6477">
        <f t="shared" si="200"/>
        <v>0</v>
      </c>
      <c r="AV6477">
        <f t="shared" si="201"/>
        <v>0</v>
      </c>
    </row>
    <row r="6478" spans="1:48" x14ac:dyDescent="0.25">
      <c r="A6478" t="s">
        <v>14606</v>
      </c>
      <c r="C6478" t="s">
        <v>13528</v>
      </c>
      <c r="D6478" t="s">
        <v>5186</v>
      </c>
      <c r="E6478" t="s">
        <v>1663</v>
      </c>
      <c r="F6478">
        <v>5</v>
      </c>
      <c r="G6478">
        <v>5.5</v>
      </c>
      <c r="H6478" t="s">
        <v>2017</v>
      </c>
      <c r="I6478" s="21">
        <v>44083</v>
      </c>
      <c r="J6478">
        <v>2020</v>
      </c>
      <c r="K6478" s="21">
        <v>44273</v>
      </c>
      <c r="L6478">
        <v>2021</v>
      </c>
      <c r="M6478" s="21">
        <v>44875</v>
      </c>
      <c r="N6478">
        <v>2022</v>
      </c>
      <c r="P6478" s="21">
        <v>44638</v>
      </c>
      <c r="Q6478" s="262">
        <v>275000</v>
      </c>
      <c r="S6478" t="s">
        <v>13253</v>
      </c>
      <c r="T6478">
        <v>13370</v>
      </c>
      <c r="W6478">
        <v>795</v>
      </c>
      <c r="X6478">
        <v>0</v>
      </c>
      <c r="AC6478">
        <v>795</v>
      </c>
      <c r="AU6478">
        <f t="shared" si="200"/>
        <v>0</v>
      </c>
      <c r="AV6478">
        <f t="shared" si="201"/>
        <v>0</v>
      </c>
    </row>
    <row r="6479" spans="1:48" x14ac:dyDescent="0.25">
      <c r="A6479" t="s">
        <v>14992</v>
      </c>
      <c r="C6479" t="s">
        <v>14993</v>
      </c>
      <c r="D6479" t="s">
        <v>14003</v>
      </c>
      <c r="E6479" t="s">
        <v>1663</v>
      </c>
      <c r="F6479">
        <v>6</v>
      </c>
      <c r="G6479">
        <v>6.1</v>
      </c>
      <c r="H6479" t="s">
        <v>2017</v>
      </c>
      <c r="I6479" s="21">
        <v>44084</v>
      </c>
      <c r="J6479">
        <v>2020</v>
      </c>
      <c r="K6479" s="21">
        <v>44090</v>
      </c>
      <c r="L6479">
        <v>2020</v>
      </c>
      <c r="M6479" s="21">
        <v>44319</v>
      </c>
      <c r="N6479">
        <v>2021</v>
      </c>
      <c r="Q6479" s="262">
        <v>1320</v>
      </c>
      <c r="S6479" t="s">
        <v>114</v>
      </c>
      <c r="T6479" t="s">
        <v>114</v>
      </c>
      <c r="W6479">
        <v>0</v>
      </c>
      <c r="X6479">
        <v>0</v>
      </c>
      <c r="AU6479">
        <f t="shared" si="200"/>
        <v>0</v>
      </c>
      <c r="AV6479">
        <f t="shared" si="201"/>
        <v>0</v>
      </c>
    </row>
    <row r="6480" spans="1:48" x14ac:dyDescent="0.25">
      <c r="A6480" t="s">
        <v>20050</v>
      </c>
      <c r="B6480" t="s">
        <v>20050</v>
      </c>
      <c r="C6480" t="s">
        <v>20051</v>
      </c>
      <c r="D6480" t="s">
        <v>14268</v>
      </c>
      <c r="E6480" t="s">
        <v>2310</v>
      </c>
      <c r="F6480">
        <v>9</v>
      </c>
      <c r="G6480">
        <v>9.3000000000000007</v>
      </c>
      <c r="H6480" t="s">
        <v>2323</v>
      </c>
      <c r="I6480" s="21">
        <v>44084.432432407397</v>
      </c>
      <c r="J6480">
        <v>2020</v>
      </c>
      <c r="K6480" s="21">
        <v>44181.465299571799</v>
      </c>
      <c r="L6480">
        <v>2020</v>
      </c>
      <c r="M6480" s="21">
        <v>44462</v>
      </c>
      <c r="N6480">
        <v>2021</v>
      </c>
      <c r="Q6480" s="262">
        <v>130000</v>
      </c>
      <c r="R6480" s="262">
        <v>44000</v>
      </c>
      <c r="S6480" t="s">
        <v>13253</v>
      </c>
      <c r="T6480">
        <v>4870</v>
      </c>
      <c r="U6480">
        <v>5</v>
      </c>
      <c r="W6480">
        <v>900</v>
      </c>
      <c r="X6480">
        <v>0</v>
      </c>
      <c r="AC6480">
        <v>900</v>
      </c>
      <c r="AU6480">
        <f t="shared" si="200"/>
        <v>0</v>
      </c>
      <c r="AV6480">
        <f t="shared" si="201"/>
        <v>0</v>
      </c>
    </row>
    <row r="6481" spans="1:48" x14ac:dyDescent="0.25">
      <c r="A6481" t="s">
        <v>14994</v>
      </c>
      <c r="B6481" t="s">
        <v>14994</v>
      </c>
      <c r="C6481" t="s">
        <v>14995</v>
      </c>
      <c r="D6481" t="s">
        <v>5581</v>
      </c>
      <c r="E6481" t="s">
        <v>2310</v>
      </c>
      <c r="F6481">
        <v>8</v>
      </c>
      <c r="G6481">
        <v>8.1</v>
      </c>
      <c r="H6481" t="s">
        <v>2323</v>
      </c>
      <c r="I6481" s="21">
        <v>44084.635039004599</v>
      </c>
      <c r="J6481">
        <v>2020</v>
      </c>
      <c r="Q6481" s="262">
        <v>150000</v>
      </c>
      <c r="R6481" s="262">
        <v>44000</v>
      </c>
      <c r="S6481" t="s">
        <v>114</v>
      </c>
      <c r="T6481" t="s">
        <v>114</v>
      </c>
      <c r="V6481">
        <v>900</v>
      </c>
      <c r="W6481">
        <v>0</v>
      </c>
      <c r="X6481">
        <v>0</v>
      </c>
      <c r="AU6481">
        <f t="shared" si="200"/>
        <v>0</v>
      </c>
      <c r="AV6481">
        <f t="shared" si="201"/>
        <v>0</v>
      </c>
    </row>
    <row r="6482" spans="1:48" x14ac:dyDescent="0.25">
      <c r="A6482" t="s">
        <v>14996</v>
      </c>
      <c r="B6482" t="s">
        <v>14996</v>
      </c>
      <c r="C6482" t="s">
        <v>14997</v>
      </c>
      <c r="D6482" t="s">
        <v>14998</v>
      </c>
      <c r="E6482" t="s">
        <v>2310</v>
      </c>
      <c r="F6482">
        <v>8</v>
      </c>
      <c r="G6482">
        <v>8.3000000000000007</v>
      </c>
      <c r="H6482" t="s">
        <v>2323</v>
      </c>
      <c r="I6482" s="21">
        <v>44089.601951851902</v>
      </c>
      <c r="J6482">
        <v>2020</v>
      </c>
      <c r="K6482" s="21">
        <v>44145.614397719903</v>
      </c>
      <c r="L6482">
        <v>2020</v>
      </c>
      <c r="Q6482" s="262">
        <v>1000000</v>
      </c>
      <c r="R6482" s="262">
        <v>587000</v>
      </c>
      <c r="S6482" t="s">
        <v>114</v>
      </c>
      <c r="T6482" t="s">
        <v>114</v>
      </c>
      <c r="W6482">
        <v>4754</v>
      </c>
      <c r="X6482">
        <v>1</v>
      </c>
      <c r="AC6482">
        <v>4754</v>
      </c>
      <c r="AO6482">
        <v>1</v>
      </c>
      <c r="AU6482">
        <f t="shared" si="200"/>
        <v>1</v>
      </c>
      <c r="AV6482">
        <f t="shared" si="201"/>
        <v>0</v>
      </c>
    </row>
    <row r="6483" spans="1:48" x14ac:dyDescent="0.25">
      <c r="A6483" t="s">
        <v>14999</v>
      </c>
      <c r="B6483" t="s">
        <v>14999</v>
      </c>
      <c r="C6483" t="s">
        <v>14997</v>
      </c>
      <c r="D6483" t="s">
        <v>15000</v>
      </c>
      <c r="E6483" t="s">
        <v>2310</v>
      </c>
      <c r="F6483">
        <v>8</v>
      </c>
      <c r="G6483">
        <v>8.3000000000000007</v>
      </c>
      <c r="H6483" t="s">
        <v>2323</v>
      </c>
      <c r="I6483" s="21">
        <v>44089.620137615697</v>
      </c>
      <c r="J6483">
        <v>2020</v>
      </c>
      <c r="K6483" s="21">
        <v>44145.614712349503</v>
      </c>
      <c r="L6483">
        <v>2020</v>
      </c>
      <c r="Q6483" s="262">
        <v>1000000</v>
      </c>
      <c r="R6483" s="262">
        <v>587000</v>
      </c>
      <c r="S6483" t="s">
        <v>114</v>
      </c>
      <c r="T6483" t="s">
        <v>114</v>
      </c>
      <c r="W6483">
        <v>4754</v>
      </c>
      <c r="X6483">
        <v>1</v>
      </c>
      <c r="AC6483">
        <v>4754</v>
      </c>
      <c r="AO6483">
        <v>1</v>
      </c>
      <c r="AU6483">
        <f t="shared" si="200"/>
        <v>1</v>
      </c>
      <c r="AV6483">
        <f t="shared" si="201"/>
        <v>0</v>
      </c>
    </row>
    <row r="6484" spans="1:48" x14ac:dyDescent="0.25">
      <c r="A6484" t="s">
        <v>15001</v>
      </c>
      <c r="C6484" t="s">
        <v>12530</v>
      </c>
      <c r="D6484" t="s">
        <v>15002</v>
      </c>
      <c r="E6484" t="s">
        <v>1663</v>
      </c>
      <c r="F6484">
        <v>2</v>
      </c>
      <c r="G6484">
        <v>2.2999999999999998</v>
      </c>
      <c r="H6484" t="s">
        <v>2327</v>
      </c>
      <c r="I6484" s="21">
        <v>44090</v>
      </c>
      <c r="J6484">
        <v>2020</v>
      </c>
      <c r="K6484" s="21">
        <v>44123</v>
      </c>
      <c r="L6484">
        <v>2020</v>
      </c>
      <c r="M6484" s="21">
        <v>44511</v>
      </c>
      <c r="N6484">
        <v>2021</v>
      </c>
      <c r="Q6484" s="262">
        <v>10000</v>
      </c>
      <c r="S6484" t="s">
        <v>114</v>
      </c>
      <c r="T6484" t="s">
        <v>114</v>
      </c>
      <c r="W6484">
        <v>0</v>
      </c>
      <c r="X6484">
        <v>0</v>
      </c>
      <c r="AU6484">
        <f t="shared" si="200"/>
        <v>0</v>
      </c>
      <c r="AV6484">
        <f t="shared" si="201"/>
        <v>0</v>
      </c>
    </row>
    <row r="6485" spans="1:48" x14ac:dyDescent="0.25">
      <c r="A6485" t="s">
        <v>14147</v>
      </c>
      <c r="C6485" t="s">
        <v>14148</v>
      </c>
      <c r="D6485" t="s">
        <v>11289</v>
      </c>
      <c r="E6485" t="s">
        <v>1663</v>
      </c>
      <c r="F6485">
        <v>2</v>
      </c>
      <c r="G6485">
        <v>2.2999999999999998</v>
      </c>
      <c r="H6485" t="s">
        <v>2327</v>
      </c>
      <c r="I6485" s="21">
        <v>44091</v>
      </c>
      <c r="J6485">
        <v>2020</v>
      </c>
      <c r="K6485" s="21">
        <v>44095</v>
      </c>
      <c r="L6485">
        <v>2020</v>
      </c>
      <c r="M6485" s="21">
        <v>44879</v>
      </c>
      <c r="N6485">
        <v>2022</v>
      </c>
      <c r="P6485" s="21">
        <v>44275</v>
      </c>
      <c r="Q6485" s="262">
        <v>1330000</v>
      </c>
      <c r="S6485" t="s">
        <v>13254</v>
      </c>
      <c r="W6485">
        <v>836</v>
      </c>
      <c r="X6485">
        <v>1</v>
      </c>
      <c r="AD6485">
        <v>836</v>
      </c>
      <c r="AP6485">
        <v>1</v>
      </c>
      <c r="AU6485">
        <f t="shared" si="200"/>
        <v>1</v>
      </c>
      <c r="AV6485">
        <f t="shared" si="201"/>
        <v>0</v>
      </c>
    </row>
    <row r="6486" spans="1:48" x14ac:dyDescent="0.25">
      <c r="A6486" t="s">
        <v>14147</v>
      </c>
      <c r="C6486" t="s">
        <v>14162</v>
      </c>
      <c r="D6486" t="s">
        <v>11289</v>
      </c>
      <c r="E6486" t="s">
        <v>1663</v>
      </c>
      <c r="F6486">
        <v>2</v>
      </c>
      <c r="G6486">
        <v>2.2999999999999998</v>
      </c>
      <c r="H6486" t="s">
        <v>2327</v>
      </c>
      <c r="I6486" s="21">
        <v>44091</v>
      </c>
      <c r="J6486">
        <v>2020</v>
      </c>
      <c r="K6486" s="21">
        <v>44095</v>
      </c>
      <c r="L6486">
        <v>2020</v>
      </c>
      <c r="M6486" s="21">
        <v>44879</v>
      </c>
      <c r="N6486">
        <v>2022</v>
      </c>
      <c r="P6486" s="21">
        <v>44275</v>
      </c>
      <c r="Q6486" s="262">
        <v>1330000</v>
      </c>
      <c r="S6486" t="s">
        <v>13254</v>
      </c>
      <c r="W6486">
        <v>1738</v>
      </c>
      <c r="X6486">
        <v>1</v>
      </c>
      <c r="AD6486">
        <v>1738</v>
      </c>
      <c r="AP6486">
        <v>1</v>
      </c>
      <c r="AU6486">
        <f t="shared" si="200"/>
        <v>1</v>
      </c>
      <c r="AV6486">
        <f t="shared" si="201"/>
        <v>0</v>
      </c>
    </row>
    <row r="6487" spans="1:48" x14ac:dyDescent="0.25">
      <c r="A6487" t="s">
        <v>14607</v>
      </c>
      <c r="C6487" t="s">
        <v>14608</v>
      </c>
      <c r="D6487" t="s">
        <v>11289</v>
      </c>
      <c r="E6487" t="s">
        <v>1663</v>
      </c>
      <c r="F6487">
        <v>2</v>
      </c>
      <c r="G6487">
        <v>2.2999999999999998</v>
      </c>
      <c r="H6487" t="s">
        <v>2327</v>
      </c>
      <c r="I6487" s="21">
        <v>44091</v>
      </c>
      <c r="J6487">
        <v>2020</v>
      </c>
      <c r="K6487" s="21">
        <v>44095</v>
      </c>
      <c r="L6487">
        <v>2020</v>
      </c>
      <c r="M6487" s="21">
        <v>44888</v>
      </c>
      <c r="N6487">
        <v>2022</v>
      </c>
      <c r="P6487" s="21">
        <v>44275</v>
      </c>
      <c r="Q6487" s="262">
        <v>1330000</v>
      </c>
      <c r="S6487" t="s">
        <v>13254</v>
      </c>
      <c r="W6487">
        <v>2689</v>
      </c>
      <c r="X6487">
        <v>1</v>
      </c>
      <c r="AI6487">
        <v>2689</v>
      </c>
      <c r="AT6487">
        <v>1</v>
      </c>
      <c r="AU6487">
        <f t="shared" si="200"/>
        <v>0</v>
      </c>
      <c r="AV6487">
        <f t="shared" si="201"/>
        <v>2689</v>
      </c>
    </row>
    <row r="6488" spans="1:48" x14ac:dyDescent="0.25">
      <c r="A6488" t="s">
        <v>14614</v>
      </c>
      <c r="C6488" t="s">
        <v>14615</v>
      </c>
      <c r="D6488" t="s">
        <v>11289</v>
      </c>
      <c r="E6488" t="s">
        <v>1663</v>
      </c>
      <c r="F6488">
        <v>2</v>
      </c>
      <c r="G6488">
        <v>2.2999999999999998</v>
      </c>
      <c r="H6488" t="s">
        <v>2327</v>
      </c>
      <c r="I6488" s="21">
        <v>44091</v>
      </c>
      <c r="J6488">
        <v>2020</v>
      </c>
      <c r="K6488" s="21">
        <v>44095</v>
      </c>
      <c r="L6488">
        <v>2020</v>
      </c>
      <c r="M6488" s="21">
        <v>44872</v>
      </c>
      <c r="N6488">
        <v>2022</v>
      </c>
      <c r="P6488" s="21">
        <v>44275</v>
      </c>
      <c r="Q6488" s="262">
        <v>1330000</v>
      </c>
      <c r="S6488" t="s">
        <v>13254</v>
      </c>
      <c r="W6488">
        <v>2613</v>
      </c>
      <c r="X6488">
        <v>1</v>
      </c>
      <c r="AI6488">
        <v>2613</v>
      </c>
      <c r="AT6488">
        <v>1</v>
      </c>
      <c r="AU6488">
        <f t="shared" si="200"/>
        <v>0</v>
      </c>
      <c r="AV6488">
        <f t="shared" si="201"/>
        <v>2613</v>
      </c>
    </row>
    <row r="6489" spans="1:48" x14ac:dyDescent="0.25">
      <c r="A6489" t="s">
        <v>14639</v>
      </c>
      <c r="C6489" t="s">
        <v>14640</v>
      </c>
      <c r="D6489" t="s">
        <v>11289</v>
      </c>
      <c r="E6489" t="s">
        <v>1663</v>
      </c>
      <c r="F6489">
        <v>2</v>
      </c>
      <c r="G6489">
        <v>2.2999999999999998</v>
      </c>
      <c r="H6489" t="s">
        <v>2327</v>
      </c>
      <c r="I6489" s="21">
        <v>44091</v>
      </c>
      <c r="J6489">
        <v>2020</v>
      </c>
      <c r="K6489" s="21">
        <v>44095</v>
      </c>
      <c r="L6489">
        <v>2020</v>
      </c>
      <c r="M6489" s="21">
        <v>44873</v>
      </c>
      <c r="N6489">
        <v>2022</v>
      </c>
      <c r="P6489" s="21">
        <v>44275</v>
      </c>
      <c r="Q6489" s="262">
        <v>1330000</v>
      </c>
      <c r="S6489" t="s">
        <v>13254</v>
      </c>
      <c r="W6489">
        <v>2736</v>
      </c>
      <c r="X6489">
        <v>1</v>
      </c>
      <c r="AD6489">
        <v>2736</v>
      </c>
      <c r="AP6489">
        <v>1</v>
      </c>
      <c r="AU6489">
        <f t="shared" ref="AU6489:AU6552" si="202">SUM(AN6489:AQ6489,AS6489)</f>
        <v>1</v>
      </c>
      <c r="AV6489">
        <f t="shared" ref="AV6489:AV6552" si="203">SUM(Y6489:AB6489,AH6489:AM6489)</f>
        <v>0</v>
      </c>
    </row>
    <row r="6490" spans="1:48" x14ac:dyDescent="0.25">
      <c r="A6490" t="s">
        <v>14650</v>
      </c>
      <c r="C6490" t="s">
        <v>14651</v>
      </c>
      <c r="D6490" t="s">
        <v>11289</v>
      </c>
      <c r="E6490" t="s">
        <v>1663</v>
      </c>
      <c r="F6490">
        <v>2</v>
      </c>
      <c r="G6490">
        <v>2.2999999999999998</v>
      </c>
      <c r="H6490" t="s">
        <v>2327</v>
      </c>
      <c r="I6490" s="21">
        <v>44091</v>
      </c>
      <c r="J6490">
        <v>2020</v>
      </c>
      <c r="K6490" s="21">
        <v>44095</v>
      </c>
      <c r="L6490">
        <v>2020</v>
      </c>
      <c r="M6490" s="21">
        <v>44872</v>
      </c>
      <c r="N6490">
        <v>2022</v>
      </c>
      <c r="P6490" s="21">
        <v>44275</v>
      </c>
      <c r="Q6490" s="262">
        <v>1330000</v>
      </c>
      <c r="S6490" t="s">
        <v>13254</v>
      </c>
      <c r="W6490">
        <v>2613</v>
      </c>
      <c r="X6490">
        <v>1</v>
      </c>
      <c r="AI6490">
        <v>2613</v>
      </c>
      <c r="AT6490">
        <v>1</v>
      </c>
      <c r="AU6490">
        <f t="shared" si="202"/>
        <v>0</v>
      </c>
      <c r="AV6490">
        <f t="shared" si="203"/>
        <v>2613</v>
      </c>
    </row>
    <row r="6491" spans="1:48" x14ac:dyDescent="0.25">
      <c r="A6491" t="s">
        <v>14652</v>
      </c>
      <c r="C6491" t="s">
        <v>14653</v>
      </c>
      <c r="D6491" t="s">
        <v>11289</v>
      </c>
      <c r="E6491" t="s">
        <v>1663</v>
      </c>
      <c r="F6491">
        <v>2</v>
      </c>
      <c r="G6491">
        <v>2.2999999999999998</v>
      </c>
      <c r="H6491" t="s">
        <v>2327</v>
      </c>
      <c r="I6491" s="21">
        <v>44091</v>
      </c>
      <c r="J6491">
        <v>2020</v>
      </c>
      <c r="K6491" s="21">
        <v>44095</v>
      </c>
      <c r="L6491">
        <v>2020</v>
      </c>
      <c r="M6491" s="21">
        <v>44872</v>
      </c>
      <c r="N6491">
        <v>2022</v>
      </c>
      <c r="P6491" s="21">
        <v>44275</v>
      </c>
      <c r="Q6491" s="262">
        <v>1330000</v>
      </c>
      <c r="S6491" t="s">
        <v>13254</v>
      </c>
      <c r="W6491">
        <v>2807</v>
      </c>
      <c r="X6491">
        <v>1</v>
      </c>
      <c r="AI6491">
        <v>2807</v>
      </c>
      <c r="AT6491">
        <v>1</v>
      </c>
      <c r="AU6491">
        <f t="shared" si="202"/>
        <v>0</v>
      </c>
      <c r="AV6491">
        <f t="shared" si="203"/>
        <v>2807</v>
      </c>
    </row>
    <row r="6492" spans="1:48" x14ac:dyDescent="0.25">
      <c r="A6492" t="s">
        <v>14665</v>
      </c>
      <c r="C6492" t="s">
        <v>14666</v>
      </c>
      <c r="D6492" t="s">
        <v>11289</v>
      </c>
      <c r="E6492" t="s">
        <v>1663</v>
      </c>
      <c r="F6492">
        <v>2</v>
      </c>
      <c r="G6492">
        <v>2.2999999999999998</v>
      </c>
      <c r="H6492" t="s">
        <v>2327</v>
      </c>
      <c r="I6492" s="21">
        <v>44091</v>
      </c>
      <c r="J6492">
        <v>2020</v>
      </c>
      <c r="K6492" s="21">
        <v>44095</v>
      </c>
      <c r="L6492">
        <v>2020</v>
      </c>
      <c r="M6492" s="21">
        <v>44873</v>
      </c>
      <c r="N6492">
        <v>2022</v>
      </c>
      <c r="P6492" s="21">
        <v>44275</v>
      </c>
      <c r="Q6492" s="262">
        <v>1330000</v>
      </c>
      <c r="S6492" t="s">
        <v>13254</v>
      </c>
      <c r="W6492">
        <v>2684</v>
      </c>
      <c r="X6492">
        <v>1</v>
      </c>
      <c r="AI6492">
        <v>2684</v>
      </c>
      <c r="AT6492">
        <v>1</v>
      </c>
      <c r="AU6492">
        <f t="shared" si="202"/>
        <v>0</v>
      </c>
      <c r="AV6492">
        <f t="shared" si="203"/>
        <v>2684</v>
      </c>
    </row>
    <row r="6493" spans="1:48" x14ac:dyDescent="0.25">
      <c r="A6493" t="s">
        <v>14701</v>
      </c>
      <c r="C6493" t="s">
        <v>14702</v>
      </c>
      <c r="D6493" t="s">
        <v>11289</v>
      </c>
      <c r="E6493" t="s">
        <v>1663</v>
      </c>
      <c r="F6493">
        <v>2</v>
      </c>
      <c r="G6493">
        <v>2.2999999999999998</v>
      </c>
      <c r="H6493" t="s">
        <v>2327</v>
      </c>
      <c r="I6493" s="21">
        <v>44091</v>
      </c>
      <c r="J6493">
        <v>2020</v>
      </c>
      <c r="K6493" s="21">
        <v>44095</v>
      </c>
      <c r="L6493">
        <v>2020</v>
      </c>
      <c r="M6493" s="21">
        <v>44872</v>
      </c>
      <c r="N6493">
        <v>2022</v>
      </c>
      <c r="P6493" s="21">
        <v>44275</v>
      </c>
      <c r="Q6493" s="262">
        <v>1330000</v>
      </c>
      <c r="S6493" t="s">
        <v>13254</v>
      </c>
      <c r="W6493">
        <v>2809</v>
      </c>
      <c r="X6493">
        <v>1</v>
      </c>
      <c r="AI6493">
        <v>2809</v>
      </c>
      <c r="AT6493">
        <v>1</v>
      </c>
      <c r="AU6493">
        <f t="shared" si="202"/>
        <v>0</v>
      </c>
      <c r="AV6493">
        <f t="shared" si="203"/>
        <v>2809</v>
      </c>
    </row>
    <row r="6494" spans="1:48" x14ac:dyDescent="0.25">
      <c r="A6494" t="s">
        <v>14705</v>
      </c>
      <c r="C6494" t="s">
        <v>14706</v>
      </c>
      <c r="D6494" t="s">
        <v>11289</v>
      </c>
      <c r="E6494" t="s">
        <v>1663</v>
      </c>
      <c r="F6494">
        <v>2</v>
      </c>
      <c r="G6494">
        <v>2.2999999999999998</v>
      </c>
      <c r="H6494" t="s">
        <v>2327</v>
      </c>
      <c r="I6494" s="21">
        <v>44091</v>
      </c>
      <c r="J6494">
        <v>2020</v>
      </c>
      <c r="K6494" s="21">
        <v>44095</v>
      </c>
      <c r="L6494">
        <v>2020</v>
      </c>
      <c r="M6494" s="21">
        <v>44872</v>
      </c>
      <c r="N6494">
        <v>2022</v>
      </c>
      <c r="P6494" s="21">
        <v>44275</v>
      </c>
      <c r="Q6494" s="262">
        <v>1330000</v>
      </c>
      <c r="S6494" t="s">
        <v>13254</v>
      </c>
      <c r="W6494">
        <v>2608</v>
      </c>
      <c r="X6494">
        <v>1</v>
      </c>
      <c r="AI6494">
        <v>2608</v>
      </c>
      <c r="AT6494">
        <v>1</v>
      </c>
      <c r="AU6494">
        <f t="shared" si="202"/>
        <v>0</v>
      </c>
      <c r="AV6494">
        <f t="shared" si="203"/>
        <v>2608</v>
      </c>
    </row>
    <row r="6495" spans="1:48" x14ac:dyDescent="0.25">
      <c r="A6495" t="s">
        <v>14707</v>
      </c>
      <c r="C6495" t="s">
        <v>14708</v>
      </c>
      <c r="D6495" t="s">
        <v>11289</v>
      </c>
      <c r="E6495" t="s">
        <v>1663</v>
      </c>
      <c r="F6495">
        <v>2</v>
      </c>
      <c r="G6495">
        <v>2.2999999999999998</v>
      </c>
      <c r="H6495" t="s">
        <v>2327</v>
      </c>
      <c r="I6495" s="21">
        <v>44091</v>
      </c>
      <c r="J6495">
        <v>2020</v>
      </c>
      <c r="K6495" s="21">
        <v>44095</v>
      </c>
      <c r="L6495">
        <v>2020</v>
      </c>
      <c r="M6495" s="21">
        <v>44872</v>
      </c>
      <c r="N6495">
        <v>2022</v>
      </c>
      <c r="P6495" s="21">
        <v>44275</v>
      </c>
      <c r="Q6495" s="262">
        <v>1330000</v>
      </c>
      <c r="S6495" t="s">
        <v>13254</v>
      </c>
      <c r="W6495">
        <v>2333</v>
      </c>
      <c r="X6495">
        <v>1</v>
      </c>
      <c r="AI6495">
        <v>2333</v>
      </c>
      <c r="AT6495">
        <v>1</v>
      </c>
      <c r="AU6495">
        <f t="shared" si="202"/>
        <v>0</v>
      </c>
      <c r="AV6495">
        <f t="shared" si="203"/>
        <v>2333</v>
      </c>
    </row>
    <row r="6496" spans="1:48" x14ac:dyDescent="0.25">
      <c r="A6496" t="s">
        <v>14709</v>
      </c>
      <c r="C6496" t="s">
        <v>14710</v>
      </c>
      <c r="D6496" t="s">
        <v>11289</v>
      </c>
      <c r="E6496" t="s">
        <v>1663</v>
      </c>
      <c r="F6496">
        <v>2</v>
      </c>
      <c r="G6496">
        <v>2.2999999999999998</v>
      </c>
      <c r="H6496" t="s">
        <v>2327</v>
      </c>
      <c r="I6496" s="21">
        <v>44091</v>
      </c>
      <c r="J6496">
        <v>2020</v>
      </c>
      <c r="K6496" s="21">
        <v>44095</v>
      </c>
      <c r="L6496">
        <v>2020</v>
      </c>
      <c r="M6496" s="21">
        <v>44872</v>
      </c>
      <c r="N6496">
        <v>2022</v>
      </c>
      <c r="P6496" s="21">
        <v>44275</v>
      </c>
      <c r="Q6496" s="262">
        <v>1330000</v>
      </c>
      <c r="S6496" t="s">
        <v>13254</v>
      </c>
      <c r="W6496">
        <v>2337</v>
      </c>
      <c r="X6496">
        <v>1</v>
      </c>
      <c r="AI6496">
        <v>2337</v>
      </c>
      <c r="AT6496">
        <v>1</v>
      </c>
      <c r="AU6496">
        <f t="shared" si="202"/>
        <v>0</v>
      </c>
      <c r="AV6496">
        <f t="shared" si="203"/>
        <v>2337</v>
      </c>
    </row>
    <row r="6497" spans="1:48" x14ac:dyDescent="0.25">
      <c r="A6497" t="s">
        <v>14733</v>
      </c>
      <c r="C6497" t="s">
        <v>14734</v>
      </c>
      <c r="D6497" t="s">
        <v>11289</v>
      </c>
      <c r="E6497" t="s">
        <v>1663</v>
      </c>
      <c r="F6497">
        <v>2</v>
      </c>
      <c r="G6497">
        <v>2.2999999999999998</v>
      </c>
      <c r="H6497" t="s">
        <v>2327</v>
      </c>
      <c r="I6497" s="21">
        <v>44091</v>
      </c>
      <c r="J6497">
        <v>2020</v>
      </c>
      <c r="K6497" s="21">
        <v>44095</v>
      </c>
      <c r="L6497">
        <v>2020</v>
      </c>
      <c r="M6497" s="21">
        <v>44873</v>
      </c>
      <c r="N6497">
        <v>2022</v>
      </c>
      <c r="P6497" s="21">
        <v>44275</v>
      </c>
      <c r="Q6497" s="262">
        <v>1330000</v>
      </c>
      <c r="S6497" t="s">
        <v>13254</v>
      </c>
      <c r="W6497">
        <v>2347</v>
      </c>
      <c r="X6497">
        <v>1</v>
      </c>
      <c r="AI6497">
        <v>2347</v>
      </c>
      <c r="AT6497">
        <v>1</v>
      </c>
      <c r="AU6497">
        <f t="shared" si="202"/>
        <v>0</v>
      </c>
      <c r="AV6497">
        <f t="shared" si="203"/>
        <v>2347</v>
      </c>
    </row>
    <row r="6498" spans="1:48" x14ac:dyDescent="0.25">
      <c r="A6498" t="s">
        <v>14735</v>
      </c>
      <c r="C6498" t="s">
        <v>14736</v>
      </c>
      <c r="D6498" t="s">
        <v>11289</v>
      </c>
      <c r="E6498" t="s">
        <v>1663</v>
      </c>
      <c r="F6498">
        <v>2</v>
      </c>
      <c r="G6498">
        <v>2.2999999999999998</v>
      </c>
      <c r="H6498" t="s">
        <v>2327</v>
      </c>
      <c r="I6498" s="21">
        <v>44091</v>
      </c>
      <c r="J6498">
        <v>2020</v>
      </c>
      <c r="K6498" s="21">
        <v>44095</v>
      </c>
      <c r="L6498">
        <v>2020</v>
      </c>
      <c r="M6498" s="21">
        <v>44879</v>
      </c>
      <c r="N6498">
        <v>2022</v>
      </c>
      <c r="P6498" s="21">
        <v>44275</v>
      </c>
      <c r="Q6498" s="262">
        <v>1330000</v>
      </c>
      <c r="S6498" t="s">
        <v>13254</v>
      </c>
      <c r="W6498">
        <v>2339</v>
      </c>
      <c r="X6498">
        <v>1</v>
      </c>
      <c r="AD6498">
        <v>2339</v>
      </c>
      <c r="AP6498">
        <v>1</v>
      </c>
      <c r="AU6498">
        <f t="shared" si="202"/>
        <v>1</v>
      </c>
      <c r="AV6498">
        <f t="shared" si="203"/>
        <v>0</v>
      </c>
    </row>
    <row r="6499" spans="1:48" x14ac:dyDescent="0.25">
      <c r="A6499" t="s">
        <v>14737</v>
      </c>
      <c r="C6499" t="s">
        <v>14738</v>
      </c>
      <c r="D6499" t="s">
        <v>11289</v>
      </c>
      <c r="E6499" t="s">
        <v>1663</v>
      </c>
      <c r="F6499">
        <v>2</v>
      </c>
      <c r="G6499">
        <v>2.2999999999999998</v>
      </c>
      <c r="H6499" t="s">
        <v>2327</v>
      </c>
      <c r="I6499" s="21">
        <v>44091</v>
      </c>
      <c r="J6499">
        <v>2020</v>
      </c>
      <c r="K6499" s="21">
        <v>44095</v>
      </c>
      <c r="L6499">
        <v>2020</v>
      </c>
      <c r="M6499" s="21">
        <v>44882</v>
      </c>
      <c r="N6499">
        <v>2022</v>
      </c>
      <c r="P6499" s="21">
        <v>44275</v>
      </c>
      <c r="Q6499" s="262">
        <v>1330000</v>
      </c>
      <c r="S6499" t="s">
        <v>13254</v>
      </c>
      <c r="W6499">
        <v>2757</v>
      </c>
      <c r="X6499">
        <v>1</v>
      </c>
      <c r="AI6499">
        <v>2757</v>
      </c>
      <c r="AT6499">
        <v>1</v>
      </c>
      <c r="AU6499">
        <f t="shared" si="202"/>
        <v>0</v>
      </c>
      <c r="AV6499">
        <f t="shared" si="203"/>
        <v>2757</v>
      </c>
    </row>
    <row r="6500" spans="1:48" x14ac:dyDescent="0.25">
      <c r="A6500" t="s">
        <v>14739</v>
      </c>
      <c r="C6500" t="s">
        <v>14740</v>
      </c>
      <c r="D6500" t="s">
        <v>11289</v>
      </c>
      <c r="E6500" t="s">
        <v>1663</v>
      </c>
      <c r="F6500">
        <v>2</v>
      </c>
      <c r="G6500">
        <v>2.2999999999999998</v>
      </c>
      <c r="H6500" t="s">
        <v>2327</v>
      </c>
      <c r="I6500" s="21">
        <v>44091</v>
      </c>
      <c r="J6500">
        <v>2020</v>
      </c>
      <c r="K6500" s="21">
        <v>44095</v>
      </c>
      <c r="L6500">
        <v>2020</v>
      </c>
      <c r="M6500" s="21">
        <v>44882</v>
      </c>
      <c r="N6500">
        <v>2022</v>
      </c>
      <c r="P6500" s="21">
        <v>44275</v>
      </c>
      <c r="Q6500" s="262">
        <v>1330000</v>
      </c>
      <c r="S6500" t="s">
        <v>13254</v>
      </c>
      <c r="W6500">
        <v>2842</v>
      </c>
      <c r="X6500">
        <v>1</v>
      </c>
      <c r="AI6500">
        <v>2842</v>
      </c>
      <c r="AT6500">
        <v>1</v>
      </c>
      <c r="AU6500">
        <f t="shared" si="202"/>
        <v>0</v>
      </c>
      <c r="AV6500">
        <f t="shared" si="203"/>
        <v>2842</v>
      </c>
    </row>
    <row r="6501" spans="1:48" x14ac:dyDescent="0.25">
      <c r="A6501" t="s">
        <v>14746</v>
      </c>
      <c r="C6501" t="s">
        <v>14747</v>
      </c>
      <c r="D6501" t="s">
        <v>11289</v>
      </c>
      <c r="E6501" t="s">
        <v>1663</v>
      </c>
      <c r="F6501">
        <v>2</v>
      </c>
      <c r="G6501">
        <v>2.2999999999999998</v>
      </c>
      <c r="H6501" t="s">
        <v>2327</v>
      </c>
      <c r="I6501" s="21">
        <v>44091</v>
      </c>
      <c r="J6501">
        <v>2020</v>
      </c>
      <c r="K6501" s="21">
        <v>44095</v>
      </c>
      <c r="L6501">
        <v>2020</v>
      </c>
      <c r="M6501" s="21">
        <v>44887</v>
      </c>
      <c r="N6501">
        <v>2022</v>
      </c>
      <c r="P6501" s="21">
        <v>44275</v>
      </c>
      <c r="Q6501" s="262">
        <v>1330000</v>
      </c>
      <c r="S6501" t="s">
        <v>13254</v>
      </c>
      <c r="W6501">
        <v>2842</v>
      </c>
      <c r="X6501">
        <v>1</v>
      </c>
      <c r="AD6501">
        <v>2842</v>
      </c>
      <c r="AP6501">
        <v>1</v>
      </c>
      <c r="AU6501">
        <f t="shared" si="202"/>
        <v>1</v>
      </c>
      <c r="AV6501">
        <f t="shared" si="203"/>
        <v>0</v>
      </c>
    </row>
    <row r="6502" spans="1:48" x14ac:dyDescent="0.25">
      <c r="A6502" t="s">
        <v>14748</v>
      </c>
      <c r="C6502" t="s">
        <v>14749</v>
      </c>
      <c r="D6502" t="s">
        <v>11289</v>
      </c>
      <c r="E6502" t="s">
        <v>1663</v>
      </c>
      <c r="F6502">
        <v>2</v>
      </c>
      <c r="G6502">
        <v>2.2999999999999998</v>
      </c>
      <c r="H6502" t="s">
        <v>2327</v>
      </c>
      <c r="I6502" s="21">
        <v>44091</v>
      </c>
      <c r="J6502">
        <v>2020</v>
      </c>
      <c r="K6502" s="21">
        <v>44095</v>
      </c>
      <c r="L6502">
        <v>2020</v>
      </c>
      <c r="M6502" s="21">
        <v>44887</v>
      </c>
      <c r="N6502">
        <v>2022</v>
      </c>
      <c r="P6502" s="21">
        <v>44275</v>
      </c>
      <c r="Q6502" s="262">
        <v>1330000</v>
      </c>
      <c r="S6502" t="s">
        <v>13254</v>
      </c>
      <c r="W6502">
        <v>2842</v>
      </c>
      <c r="X6502">
        <v>1</v>
      </c>
      <c r="AI6502">
        <v>2842</v>
      </c>
      <c r="AT6502">
        <v>1</v>
      </c>
      <c r="AU6502">
        <f t="shared" si="202"/>
        <v>0</v>
      </c>
      <c r="AV6502">
        <f t="shared" si="203"/>
        <v>2842</v>
      </c>
    </row>
    <row r="6503" spans="1:48" x14ac:dyDescent="0.25">
      <c r="A6503" t="s">
        <v>15038</v>
      </c>
      <c r="C6503" t="s">
        <v>15039</v>
      </c>
      <c r="D6503" t="s">
        <v>11289</v>
      </c>
      <c r="E6503" t="s">
        <v>1663</v>
      </c>
      <c r="F6503">
        <v>2</v>
      </c>
      <c r="G6503">
        <v>2.2999999999999998</v>
      </c>
      <c r="H6503" t="s">
        <v>2327</v>
      </c>
      <c r="I6503" s="21">
        <v>44091</v>
      </c>
      <c r="J6503">
        <v>2020</v>
      </c>
      <c r="K6503" s="21">
        <v>44095</v>
      </c>
      <c r="L6503">
        <v>2020</v>
      </c>
      <c r="P6503" s="21">
        <v>44275</v>
      </c>
      <c r="Q6503" s="262">
        <v>1330000</v>
      </c>
      <c r="S6503" t="s">
        <v>114</v>
      </c>
      <c r="T6503" t="s">
        <v>114</v>
      </c>
      <c r="W6503">
        <v>2844</v>
      </c>
      <c r="X6503">
        <v>1</v>
      </c>
      <c r="AD6503">
        <v>2844</v>
      </c>
      <c r="AP6503">
        <v>1</v>
      </c>
      <c r="AU6503">
        <f t="shared" si="202"/>
        <v>1</v>
      </c>
      <c r="AV6503">
        <f t="shared" si="203"/>
        <v>0</v>
      </c>
    </row>
    <row r="6504" spans="1:48" x14ac:dyDescent="0.25">
      <c r="A6504" t="s">
        <v>15043</v>
      </c>
      <c r="C6504" t="s">
        <v>15044</v>
      </c>
      <c r="D6504" t="s">
        <v>11289</v>
      </c>
      <c r="E6504" t="s">
        <v>1663</v>
      </c>
      <c r="F6504">
        <v>2</v>
      </c>
      <c r="G6504">
        <v>2.2999999999999998</v>
      </c>
      <c r="H6504" t="s">
        <v>2327</v>
      </c>
      <c r="I6504" s="21">
        <v>44091</v>
      </c>
      <c r="J6504">
        <v>2020</v>
      </c>
      <c r="K6504" s="21">
        <v>44095</v>
      </c>
      <c r="L6504">
        <v>2020</v>
      </c>
      <c r="P6504" s="21">
        <v>44275</v>
      </c>
      <c r="Q6504" s="262">
        <v>1330000</v>
      </c>
      <c r="S6504" t="s">
        <v>114</v>
      </c>
      <c r="T6504" t="s">
        <v>114</v>
      </c>
      <c r="W6504">
        <v>1639</v>
      </c>
      <c r="X6504">
        <v>1</v>
      </c>
      <c r="AD6504">
        <v>1639</v>
      </c>
      <c r="AP6504">
        <v>1</v>
      </c>
      <c r="AU6504">
        <f t="shared" si="202"/>
        <v>1</v>
      </c>
      <c r="AV6504">
        <f t="shared" si="203"/>
        <v>0</v>
      </c>
    </row>
    <row r="6505" spans="1:48" x14ac:dyDescent="0.25">
      <c r="A6505" t="s">
        <v>15045</v>
      </c>
      <c r="C6505" t="s">
        <v>15046</v>
      </c>
      <c r="D6505" t="s">
        <v>11289</v>
      </c>
      <c r="E6505" t="s">
        <v>1663</v>
      </c>
      <c r="F6505">
        <v>2</v>
      </c>
      <c r="G6505">
        <v>2.2999999999999998</v>
      </c>
      <c r="H6505" t="s">
        <v>2327</v>
      </c>
      <c r="I6505" s="21">
        <v>44091</v>
      </c>
      <c r="J6505">
        <v>2020</v>
      </c>
      <c r="K6505" s="21">
        <v>44095</v>
      </c>
      <c r="L6505">
        <v>2020</v>
      </c>
      <c r="P6505" s="21">
        <v>44275</v>
      </c>
      <c r="Q6505" s="262">
        <v>1330000</v>
      </c>
      <c r="S6505" t="s">
        <v>114</v>
      </c>
      <c r="T6505" t="s">
        <v>114</v>
      </c>
      <c r="W6505">
        <v>1818</v>
      </c>
      <c r="X6505">
        <v>1</v>
      </c>
      <c r="AD6505">
        <v>1818</v>
      </c>
      <c r="AP6505">
        <v>1</v>
      </c>
      <c r="AU6505">
        <f t="shared" si="202"/>
        <v>1</v>
      </c>
      <c r="AV6505">
        <f t="shared" si="203"/>
        <v>0</v>
      </c>
    </row>
    <row r="6506" spans="1:48" x14ac:dyDescent="0.25">
      <c r="A6506" t="s">
        <v>15047</v>
      </c>
      <c r="B6506" t="s">
        <v>15047</v>
      </c>
      <c r="C6506" t="s">
        <v>15048</v>
      </c>
      <c r="D6506" t="s">
        <v>15049</v>
      </c>
      <c r="E6506" t="s">
        <v>2310</v>
      </c>
      <c r="F6506">
        <v>9</v>
      </c>
      <c r="G6506">
        <v>9.1</v>
      </c>
      <c r="H6506" t="s">
        <v>2323</v>
      </c>
      <c r="I6506" s="21">
        <v>44091.448769328701</v>
      </c>
      <c r="J6506">
        <v>2020</v>
      </c>
      <c r="K6506" s="21">
        <v>44543</v>
      </c>
      <c r="L6506">
        <v>2021</v>
      </c>
      <c r="P6506" s="21">
        <v>44328</v>
      </c>
      <c r="Q6506" s="262">
        <v>500000</v>
      </c>
      <c r="R6506" s="262">
        <v>319000</v>
      </c>
      <c r="S6506" t="s">
        <v>114</v>
      </c>
      <c r="T6506" t="s">
        <v>114</v>
      </c>
      <c r="V6506">
        <v>2485</v>
      </c>
      <c r="W6506">
        <v>902</v>
      </c>
      <c r="X6506">
        <v>0</v>
      </c>
      <c r="AC6506">
        <v>902</v>
      </c>
      <c r="AU6506">
        <f t="shared" si="202"/>
        <v>0</v>
      </c>
      <c r="AV6506">
        <f t="shared" si="203"/>
        <v>0</v>
      </c>
    </row>
    <row r="6507" spans="1:48" x14ac:dyDescent="0.25">
      <c r="A6507" t="s">
        <v>16147</v>
      </c>
      <c r="B6507" t="s">
        <v>16147</v>
      </c>
      <c r="C6507" t="s">
        <v>16148</v>
      </c>
      <c r="D6507" t="s">
        <v>16149</v>
      </c>
      <c r="E6507" t="s">
        <v>2310</v>
      </c>
      <c r="F6507">
        <v>14</v>
      </c>
      <c r="G6507">
        <v>14.1</v>
      </c>
      <c r="H6507" t="s">
        <v>2022</v>
      </c>
      <c r="I6507" s="21">
        <v>44091.546189432898</v>
      </c>
      <c r="J6507">
        <v>2020</v>
      </c>
      <c r="K6507" s="21">
        <v>44131.491873182902</v>
      </c>
      <c r="L6507">
        <v>2020</v>
      </c>
      <c r="M6507" s="21">
        <v>44768.384549074071</v>
      </c>
      <c r="N6507">
        <v>2022</v>
      </c>
      <c r="Q6507" s="262">
        <v>40000</v>
      </c>
      <c r="R6507" s="262">
        <v>58000</v>
      </c>
      <c r="S6507" t="s">
        <v>13254</v>
      </c>
      <c r="T6507">
        <v>0</v>
      </c>
      <c r="W6507">
        <v>1200</v>
      </c>
      <c r="X6507">
        <v>0</v>
      </c>
      <c r="AC6507">
        <v>1200</v>
      </c>
      <c r="AU6507">
        <f t="shared" si="202"/>
        <v>0</v>
      </c>
      <c r="AV6507">
        <f t="shared" si="203"/>
        <v>0</v>
      </c>
    </row>
    <row r="6508" spans="1:48" x14ac:dyDescent="0.25">
      <c r="A6508" t="s">
        <v>16167</v>
      </c>
      <c r="B6508" t="s">
        <v>16167</v>
      </c>
      <c r="C6508" t="s">
        <v>16168</v>
      </c>
      <c r="D6508" t="s">
        <v>16169</v>
      </c>
      <c r="E6508" t="s">
        <v>2310</v>
      </c>
      <c r="F6508">
        <v>15</v>
      </c>
      <c r="G6508">
        <v>15.2</v>
      </c>
      <c r="H6508" t="s">
        <v>2323</v>
      </c>
      <c r="I6508" s="21">
        <v>44091.626429548603</v>
      </c>
      <c r="J6508">
        <v>2020</v>
      </c>
      <c r="K6508" s="21">
        <v>44176.420187187498</v>
      </c>
      <c r="L6508">
        <v>2020</v>
      </c>
      <c r="M6508" s="21">
        <v>44564</v>
      </c>
      <c r="N6508">
        <v>2022</v>
      </c>
      <c r="Q6508" s="262">
        <v>700000</v>
      </c>
      <c r="R6508" s="262">
        <v>478000</v>
      </c>
      <c r="S6508" t="s">
        <v>13253</v>
      </c>
      <c r="T6508">
        <v>9054</v>
      </c>
      <c r="W6508">
        <v>4540</v>
      </c>
      <c r="X6508">
        <v>0</v>
      </c>
      <c r="AC6508">
        <v>4540</v>
      </c>
      <c r="AU6508">
        <f t="shared" si="202"/>
        <v>0</v>
      </c>
      <c r="AV6508">
        <f t="shared" si="203"/>
        <v>0</v>
      </c>
    </row>
    <row r="6509" spans="1:48" x14ac:dyDescent="0.25">
      <c r="A6509" t="s">
        <v>15056</v>
      </c>
      <c r="B6509" t="s">
        <v>15056</v>
      </c>
      <c r="C6509" t="s">
        <v>15057</v>
      </c>
      <c r="D6509" t="s">
        <v>15058</v>
      </c>
      <c r="E6509" t="s">
        <v>2310</v>
      </c>
      <c r="F6509">
        <v>9</v>
      </c>
      <c r="G6509">
        <v>9.3000000000000007</v>
      </c>
      <c r="H6509" t="s">
        <v>2323</v>
      </c>
      <c r="I6509" s="21">
        <v>44091.665125312502</v>
      </c>
      <c r="J6509">
        <v>2020</v>
      </c>
      <c r="K6509" s="21">
        <v>44293</v>
      </c>
      <c r="L6509">
        <v>2021</v>
      </c>
      <c r="Q6509" s="262">
        <v>3500000</v>
      </c>
      <c r="R6509" s="262">
        <v>755000</v>
      </c>
      <c r="S6509" t="s">
        <v>114</v>
      </c>
      <c r="T6509" t="s">
        <v>114</v>
      </c>
      <c r="V6509">
        <v>1962</v>
      </c>
      <c r="W6509">
        <v>3292</v>
      </c>
      <c r="X6509">
        <v>0</v>
      </c>
      <c r="AC6509">
        <v>3292</v>
      </c>
      <c r="AU6509">
        <f t="shared" si="202"/>
        <v>0</v>
      </c>
      <c r="AV6509">
        <f t="shared" si="203"/>
        <v>0</v>
      </c>
    </row>
    <row r="6510" spans="1:48" x14ac:dyDescent="0.25">
      <c r="A6510" t="s">
        <v>15059</v>
      </c>
      <c r="B6510" t="s">
        <v>15059</v>
      </c>
      <c r="C6510" t="s">
        <v>15060</v>
      </c>
      <c r="D6510" t="s">
        <v>15058</v>
      </c>
      <c r="E6510" t="s">
        <v>2310</v>
      </c>
      <c r="F6510">
        <v>9</v>
      </c>
      <c r="G6510">
        <v>9.3000000000000007</v>
      </c>
      <c r="H6510" t="s">
        <v>2323</v>
      </c>
      <c r="I6510" s="21">
        <v>44091.678313078701</v>
      </c>
      <c r="J6510">
        <v>2020</v>
      </c>
      <c r="K6510" s="21">
        <v>44293</v>
      </c>
      <c r="L6510">
        <v>2021</v>
      </c>
      <c r="Q6510" s="262">
        <v>1000000</v>
      </c>
      <c r="R6510" s="262">
        <v>114000</v>
      </c>
      <c r="S6510" t="s">
        <v>114</v>
      </c>
      <c r="T6510" t="s">
        <v>114</v>
      </c>
      <c r="W6510">
        <v>950</v>
      </c>
      <c r="X6510">
        <v>1</v>
      </c>
      <c r="AF6510">
        <v>950</v>
      </c>
      <c r="AR6510">
        <v>1</v>
      </c>
      <c r="AU6510">
        <f t="shared" si="202"/>
        <v>0</v>
      </c>
      <c r="AV6510">
        <f t="shared" si="203"/>
        <v>0</v>
      </c>
    </row>
    <row r="6511" spans="1:48" x14ac:dyDescent="0.25">
      <c r="A6511" t="s">
        <v>15061</v>
      </c>
      <c r="B6511" t="s">
        <v>15061</v>
      </c>
      <c r="C6511" t="s">
        <v>15062</v>
      </c>
      <c r="D6511" t="s">
        <v>15058</v>
      </c>
      <c r="E6511" t="s">
        <v>2310</v>
      </c>
      <c r="F6511">
        <v>9</v>
      </c>
      <c r="G6511">
        <v>9.3000000000000007</v>
      </c>
      <c r="H6511" t="s">
        <v>2323</v>
      </c>
      <c r="I6511" s="21">
        <v>44091.678339120401</v>
      </c>
      <c r="J6511">
        <v>2020</v>
      </c>
      <c r="K6511" s="21">
        <v>44293</v>
      </c>
      <c r="L6511">
        <v>2021</v>
      </c>
      <c r="Q6511" s="262">
        <v>500000</v>
      </c>
      <c r="R6511" s="262">
        <v>64000</v>
      </c>
      <c r="S6511" t="s">
        <v>114</v>
      </c>
      <c r="T6511" t="s">
        <v>114</v>
      </c>
      <c r="W6511">
        <v>711</v>
      </c>
      <c r="X6511">
        <v>0</v>
      </c>
      <c r="AC6511">
        <v>711</v>
      </c>
      <c r="AU6511">
        <f t="shared" si="202"/>
        <v>0</v>
      </c>
      <c r="AV6511">
        <f t="shared" si="203"/>
        <v>0</v>
      </c>
    </row>
    <row r="6512" spans="1:48" x14ac:dyDescent="0.25">
      <c r="A6512" t="s">
        <v>15064</v>
      </c>
      <c r="C6512" t="s">
        <v>15065</v>
      </c>
      <c r="D6512" t="s">
        <v>15066</v>
      </c>
      <c r="E6512" t="s">
        <v>1663</v>
      </c>
      <c r="F6512">
        <v>4</v>
      </c>
      <c r="G6512">
        <v>4.3</v>
      </c>
      <c r="H6512" t="s">
        <v>2327</v>
      </c>
      <c r="I6512" s="21">
        <v>44092</v>
      </c>
      <c r="J6512">
        <v>2020</v>
      </c>
      <c r="K6512" s="21">
        <v>44130</v>
      </c>
      <c r="L6512">
        <v>2020</v>
      </c>
      <c r="M6512" s="21">
        <v>44308</v>
      </c>
      <c r="N6512">
        <v>2021</v>
      </c>
      <c r="Q6512" s="262">
        <v>75000</v>
      </c>
      <c r="S6512" t="s">
        <v>114</v>
      </c>
      <c r="T6512" t="s">
        <v>114</v>
      </c>
      <c r="W6512">
        <v>0</v>
      </c>
      <c r="X6512">
        <v>0</v>
      </c>
      <c r="AU6512">
        <f t="shared" si="202"/>
        <v>0</v>
      </c>
      <c r="AV6512">
        <f t="shared" si="203"/>
        <v>0</v>
      </c>
    </row>
    <row r="6513" spans="1:48" x14ac:dyDescent="0.25">
      <c r="A6513" t="s">
        <v>15063</v>
      </c>
      <c r="C6513" t="s">
        <v>9527</v>
      </c>
      <c r="D6513" t="s">
        <v>10842</v>
      </c>
      <c r="E6513" t="s">
        <v>1663</v>
      </c>
      <c r="F6513">
        <v>2</v>
      </c>
      <c r="G6513">
        <v>2.2999999999999998</v>
      </c>
      <c r="H6513" t="s">
        <v>2327</v>
      </c>
      <c r="I6513" s="21">
        <v>44092</v>
      </c>
      <c r="J6513">
        <v>2020</v>
      </c>
      <c r="K6513" s="21">
        <v>44196</v>
      </c>
      <c r="L6513">
        <v>2020</v>
      </c>
      <c r="P6513" s="21">
        <v>44390</v>
      </c>
      <c r="Q6513" s="262">
        <v>21700000</v>
      </c>
      <c r="S6513" t="s">
        <v>114</v>
      </c>
      <c r="T6513" t="s">
        <v>114</v>
      </c>
      <c r="V6513">
        <v>13858</v>
      </c>
      <c r="W6513">
        <v>17560</v>
      </c>
      <c r="X6513">
        <v>8</v>
      </c>
      <c r="AE6513">
        <v>500</v>
      </c>
      <c r="AH6513">
        <v>75</v>
      </c>
      <c r="AI6513">
        <v>16040</v>
      </c>
      <c r="AK6513">
        <v>945</v>
      </c>
      <c r="AQ6513">
        <v>1</v>
      </c>
      <c r="AT6513">
        <v>7</v>
      </c>
      <c r="AU6513">
        <f t="shared" si="202"/>
        <v>1</v>
      </c>
      <c r="AV6513">
        <f t="shared" si="203"/>
        <v>17060</v>
      </c>
    </row>
    <row r="6514" spans="1:48" x14ac:dyDescent="0.25">
      <c r="A6514" t="s">
        <v>16173</v>
      </c>
      <c r="B6514" t="s">
        <v>16173</v>
      </c>
      <c r="C6514" t="s">
        <v>16174</v>
      </c>
      <c r="D6514" t="s">
        <v>16175</v>
      </c>
      <c r="E6514" t="s">
        <v>2310</v>
      </c>
      <c r="F6514">
        <v>12</v>
      </c>
      <c r="G6514">
        <v>12.2</v>
      </c>
      <c r="H6514" t="s">
        <v>2017</v>
      </c>
      <c r="I6514" s="21">
        <v>44096.433180706001</v>
      </c>
      <c r="J6514">
        <v>2020</v>
      </c>
      <c r="K6514" s="21">
        <v>44179.624938275498</v>
      </c>
      <c r="L6514">
        <v>2020</v>
      </c>
      <c r="M6514" s="21">
        <v>44588</v>
      </c>
      <c r="N6514">
        <v>2022</v>
      </c>
      <c r="Q6514" s="262">
        <v>150000</v>
      </c>
      <c r="R6514" s="262">
        <v>0</v>
      </c>
      <c r="S6514" t="s">
        <v>13254</v>
      </c>
      <c r="T6514">
        <v>0</v>
      </c>
      <c r="V6514">
        <v>1003</v>
      </c>
      <c r="W6514">
        <v>0</v>
      </c>
      <c r="X6514">
        <v>0</v>
      </c>
      <c r="AU6514">
        <f t="shared" si="202"/>
        <v>0</v>
      </c>
      <c r="AV6514">
        <f t="shared" si="203"/>
        <v>0</v>
      </c>
    </row>
    <row r="6515" spans="1:48" x14ac:dyDescent="0.25">
      <c r="A6515" t="s">
        <v>16176</v>
      </c>
      <c r="B6515" t="s">
        <v>16176</v>
      </c>
      <c r="C6515" t="s">
        <v>16177</v>
      </c>
      <c r="D6515" t="s">
        <v>16178</v>
      </c>
      <c r="E6515" t="s">
        <v>2310</v>
      </c>
      <c r="F6515">
        <v>9</v>
      </c>
      <c r="G6515">
        <v>9.3000000000000007</v>
      </c>
      <c r="H6515" t="s">
        <v>2323</v>
      </c>
      <c r="I6515" s="21">
        <v>44096.606293252298</v>
      </c>
      <c r="J6515">
        <v>2020</v>
      </c>
      <c r="K6515" s="21">
        <v>44158.555610844902</v>
      </c>
      <c r="L6515">
        <v>2020</v>
      </c>
      <c r="M6515" s="21">
        <v>44657</v>
      </c>
      <c r="N6515">
        <v>2022</v>
      </c>
      <c r="Q6515" s="262">
        <v>1550000</v>
      </c>
      <c r="R6515" s="262">
        <v>688000</v>
      </c>
      <c r="S6515" t="s">
        <v>13254</v>
      </c>
      <c r="T6515">
        <v>0</v>
      </c>
      <c r="W6515">
        <v>5475</v>
      </c>
      <c r="X6515">
        <v>1</v>
      </c>
      <c r="AC6515">
        <v>5475</v>
      </c>
      <c r="AO6515">
        <v>1</v>
      </c>
      <c r="AU6515">
        <f t="shared" si="202"/>
        <v>1</v>
      </c>
      <c r="AV6515">
        <f t="shared" si="203"/>
        <v>0</v>
      </c>
    </row>
    <row r="6516" spans="1:48" x14ac:dyDescent="0.25">
      <c r="A6516" t="s">
        <v>19991</v>
      </c>
      <c r="B6516" t="s">
        <v>19991</v>
      </c>
      <c r="C6516" t="s">
        <v>19992</v>
      </c>
      <c r="D6516" t="s">
        <v>11280</v>
      </c>
      <c r="E6516" t="s">
        <v>2310</v>
      </c>
      <c r="F6516">
        <v>12</v>
      </c>
      <c r="G6516">
        <v>12.3</v>
      </c>
      <c r="H6516" t="s">
        <v>2017</v>
      </c>
      <c r="I6516" s="21">
        <v>44096.641513275499</v>
      </c>
      <c r="J6516">
        <v>2020</v>
      </c>
      <c r="K6516" s="21">
        <v>44158.559818437498</v>
      </c>
      <c r="L6516">
        <v>2020</v>
      </c>
      <c r="M6516" s="21">
        <v>44547</v>
      </c>
      <c r="N6516">
        <v>2021</v>
      </c>
      <c r="Q6516" s="262">
        <v>700000</v>
      </c>
      <c r="R6516" s="262">
        <v>130000</v>
      </c>
      <c r="S6516" t="s">
        <v>13253</v>
      </c>
      <c r="T6516">
        <v>14160</v>
      </c>
      <c r="U6516">
        <v>5</v>
      </c>
      <c r="V6516">
        <v>872</v>
      </c>
      <c r="W6516">
        <v>436</v>
      </c>
      <c r="X6516">
        <v>0</v>
      </c>
      <c r="AC6516">
        <v>436</v>
      </c>
      <c r="AU6516">
        <f t="shared" si="202"/>
        <v>0</v>
      </c>
      <c r="AV6516">
        <f t="shared" si="203"/>
        <v>0</v>
      </c>
    </row>
    <row r="6517" spans="1:48" x14ac:dyDescent="0.25">
      <c r="A6517" t="s">
        <v>15072</v>
      </c>
      <c r="B6517" t="s">
        <v>15072</v>
      </c>
      <c r="C6517" t="s">
        <v>15073</v>
      </c>
      <c r="D6517" t="s">
        <v>15074</v>
      </c>
      <c r="E6517" t="s">
        <v>2310</v>
      </c>
      <c r="F6517">
        <v>13</v>
      </c>
      <c r="G6517">
        <v>13.2</v>
      </c>
      <c r="H6517" t="s">
        <v>2327</v>
      </c>
      <c r="I6517" s="21">
        <v>44098.571039270799</v>
      </c>
      <c r="J6517">
        <v>2020</v>
      </c>
      <c r="P6517" s="21">
        <v>44328</v>
      </c>
      <c r="Q6517" s="262">
        <v>2000000</v>
      </c>
      <c r="R6517" s="262">
        <v>1421000</v>
      </c>
      <c r="S6517" t="s">
        <v>114</v>
      </c>
      <c r="T6517" t="s">
        <v>114</v>
      </c>
      <c r="W6517">
        <v>9176</v>
      </c>
      <c r="X6517">
        <v>1</v>
      </c>
      <c r="AC6517">
        <v>9176</v>
      </c>
      <c r="AO6517">
        <v>1</v>
      </c>
      <c r="AU6517">
        <f t="shared" si="202"/>
        <v>1</v>
      </c>
      <c r="AV6517">
        <f t="shared" si="203"/>
        <v>0</v>
      </c>
    </row>
    <row r="6518" spans="1:48" x14ac:dyDescent="0.25">
      <c r="A6518" t="s">
        <v>15075</v>
      </c>
      <c r="B6518" t="s">
        <v>15075</v>
      </c>
      <c r="C6518" t="s">
        <v>15076</v>
      </c>
      <c r="D6518" t="s">
        <v>15077</v>
      </c>
      <c r="E6518" t="s">
        <v>2310</v>
      </c>
      <c r="F6518">
        <v>8</v>
      </c>
      <c r="G6518">
        <v>8.3000000000000007</v>
      </c>
      <c r="H6518" t="s">
        <v>2323</v>
      </c>
      <c r="I6518" s="21">
        <v>44098.614018784698</v>
      </c>
      <c r="J6518">
        <v>2020</v>
      </c>
      <c r="K6518" s="21">
        <v>44253</v>
      </c>
      <c r="L6518">
        <v>2021</v>
      </c>
      <c r="Q6518" s="262">
        <v>1500000</v>
      </c>
      <c r="R6518" s="262">
        <v>598000</v>
      </c>
      <c r="S6518" t="s">
        <v>114</v>
      </c>
      <c r="T6518" t="s">
        <v>114</v>
      </c>
      <c r="W6518">
        <v>4734</v>
      </c>
      <c r="X6518">
        <v>1</v>
      </c>
      <c r="AC6518">
        <v>4734</v>
      </c>
      <c r="AO6518">
        <v>1</v>
      </c>
      <c r="AU6518">
        <f t="shared" si="202"/>
        <v>1</v>
      </c>
      <c r="AV6518">
        <f t="shared" si="203"/>
        <v>0</v>
      </c>
    </row>
    <row r="6519" spans="1:48" x14ac:dyDescent="0.25">
      <c r="A6519" t="s">
        <v>19862</v>
      </c>
      <c r="B6519" t="s">
        <v>19862</v>
      </c>
      <c r="C6519" t="s">
        <v>19863</v>
      </c>
      <c r="D6519" t="s">
        <v>2602</v>
      </c>
      <c r="E6519" t="s">
        <v>2310</v>
      </c>
      <c r="F6519">
        <v>8</v>
      </c>
      <c r="G6519">
        <v>8.1</v>
      </c>
      <c r="H6519" t="s">
        <v>2323</v>
      </c>
      <c r="I6519" s="21">
        <v>44098.652433599498</v>
      </c>
      <c r="J6519">
        <v>2020</v>
      </c>
      <c r="K6519" s="21">
        <v>44152.372756863399</v>
      </c>
      <c r="L6519">
        <v>2020</v>
      </c>
      <c r="M6519" s="21">
        <v>44378</v>
      </c>
      <c r="N6519">
        <v>2021</v>
      </c>
      <c r="Q6519" s="262">
        <v>750000</v>
      </c>
      <c r="R6519" s="262">
        <v>190000</v>
      </c>
      <c r="S6519" t="s">
        <v>13253</v>
      </c>
      <c r="T6519">
        <v>2816</v>
      </c>
      <c r="U6519">
        <v>5</v>
      </c>
      <c r="V6519">
        <v>317</v>
      </c>
      <c r="W6519">
        <v>1938</v>
      </c>
      <c r="X6519">
        <v>0</v>
      </c>
      <c r="AC6519">
        <v>1938</v>
      </c>
      <c r="AU6519">
        <f t="shared" si="202"/>
        <v>0</v>
      </c>
      <c r="AV6519">
        <f t="shared" si="203"/>
        <v>0</v>
      </c>
    </row>
    <row r="6520" spans="1:48" x14ac:dyDescent="0.25">
      <c r="A6520" t="s">
        <v>19762</v>
      </c>
      <c r="C6520" t="s">
        <v>19763</v>
      </c>
      <c r="D6520" t="s">
        <v>15004</v>
      </c>
      <c r="E6520" t="s">
        <v>1663</v>
      </c>
      <c r="F6520">
        <v>5</v>
      </c>
      <c r="G6520">
        <v>5.0999999999999996</v>
      </c>
      <c r="H6520" t="s">
        <v>2327</v>
      </c>
      <c r="I6520" s="21">
        <v>44102</v>
      </c>
      <c r="J6520">
        <v>2020</v>
      </c>
      <c r="K6520" s="21">
        <v>44140</v>
      </c>
      <c r="L6520">
        <v>2020</v>
      </c>
      <c r="M6520" s="21">
        <v>44483</v>
      </c>
      <c r="N6520">
        <v>2021</v>
      </c>
      <c r="Q6520" s="262">
        <v>400000</v>
      </c>
      <c r="S6520" t="s">
        <v>13253</v>
      </c>
      <c r="T6520">
        <v>13742</v>
      </c>
      <c r="U6520">
        <v>13</v>
      </c>
      <c r="W6520">
        <v>-2956</v>
      </c>
      <c r="X6520">
        <v>0</v>
      </c>
      <c r="AK6520">
        <v>4244</v>
      </c>
      <c r="AL6520">
        <v>-7200</v>
      </c>
      <c r="AU6520">
        <f t="shared" si="202"/>
        <v>0</v>
      </c>
      <c r="AV6520">
        <f t="shared" si="203"/>
        <v>-2956</v>
      </c>
    </row>
    <row r="6521" spans="1:48" x14ac:dyDescent="0.25">
      <c r="A6521" t="s">
        <v>15078</v>
      </c>
      <c r="B6521" t="s">
        <v>15078</v>
      </c>
      <c r="C6521" t="s">
        <v>15079</v>
      </c>
      <c r="D6521" t="s">
        <v>15080</v>
      </c>
      <c r="E6521" t="s">
        <v>2310</v>
      </c>
      <c r="F6521">
        <v>7</v>
      </c>
      <c r="G6521">
        <v>7.1</v>
      </c>
      <c r="H6521" t="s">
        <v>2017</v>
      </c>
      <c r="I6521" s="21">
        <v>44103.484482523098</v>
      </c>
      <c r="J6521">
        <v>2020</v>
      </c>
      <c r="K6521" s="21">
        <v>44152.540184872698</v>
      </c>
      <c r="L6521">
        <v>2020</v>
      </c>
      <c r="Q6521" s="262">
        <v>50000</v>
      </c>
      <c r="R6521" s="262">
        <v>168000</v>
      </c>
      <c r="S6521" t="s">
        <v>114</v>
      </c>
      <c r="T6521" t="s">
        <v>114</v>
      </c>
      <c r="V6521">
        <v>1363</v>
      </c>
      <c r="W6521">
        <v>0</v>
      </c>
      <c r="X6521">
        <v>0</v>
      </c>
      <c r="AU6521">
        <f t="shared" si="202"/>
        <v>0</v>
      </c>
      <c r="AV6521">
        <f t="shared" si="203"/>
        <v>0</v>
      </c>
    </row>
    <row r="6522" spans="1:48" x14ac:dyDescent="0.25">
      <c r="A6522" t="s">
        <v>15081</v>
      </c>
      <c r="B6522" t="s">
        <v>15081</v>
      </c>
      <c r="C6522" t="s">
        <v>15082</v>
      </c>
      <c r="D6522" t="s">
        <v>15083</v>
      </c>
      <c r="E6522" t="s">
        <v>2310</v>
      </c>
      <c r="F6522">
        <v>12</v>
      </c>
      <c r="G6522">
        <v>12.3</v>
      </c>
      <c r="H6522" t="s">
        <v>2017</v>
      </c>
      <c r="I6522" s="21">
        <v>44103.587077743097</v>
      </c>
      <c r="J6522">
        <v>2020</v>
      </c>
      <c r="K6522" s="21">
        <v>44302</v>
      </c>
      <c r="L6522">
        <v>2021</v>
      </c>
      <c r="Q6522" s="262">
        <v>2000000</v>
      </c>
      <c r="R6522" s="262">
        <v>1093000</v>
      </c>
      <c r="S6522" t="s">
        <v>114</v>
      </c>
      <c r="T6522" t="s">
        <v>114</v>
      </c>
      <c r="W6522">
        <v>7717</v>
      </c>
      <c r="X6522">
        <v>1</v>
      </c>
      <c r="AC6522">
        <v>7717</v>
      </c>
      <c r="AO6522">
        <v>1</v>
      </c>
      <c r="AU6522">
        <f t="shared" si="202"/>
        <v>1</v>
      </c>
      <c r="AV6522">
        <f t="shared" si="203"/>
        <v>0</v>
      </c>
    </row>
    <row r="6523" spans="1:48" x14ac:dyDescent="0.25">
      <c r="A6523" t="s">
        <v>15084</v>
      </c>
      <c r="B6523" t="s">
        <v>15084</v>
      </c>
      <c r="C6523" t="s">
        <v>15085</v>
      </c>
      <c r="D6523" t="s">
        <v>15086</v>
      </c>
      <c r="E6523" t="s">
        <v>2310</v>
      </c>
      <c r="F6523">
        <v>9</v>
      </c>
      <c r="G6523">
        <v>9.1999999999999993</v>
      </c>
      <c r="H6523" t="s">
        <v>2022</v>
      </c>
      <c r="I6523" s="21">
        <v>44103.633911921301</v>
      </c>
      <c r="J6523">
        <v>2020</v>
      </c>
      <c r="K6523" s="21">
        <v>44168.646160104203</v>
      </c>
      <c r="L6523">
        <v>2020</v>
      </c>
      <c r="Q6523" s="262">
        <v>7653000</v>
      </c>
      <c r="R6523" s="262">
        <v>1619000</v>
      </c>
      <c r="S6523" t="s">
        <v>114</v>
      </c>
      <c r="T6523" t="s">
        <v>114</v>
      </c>
      <c r="W6523">
        <v>9980</v>
      </c>
      <c r="X6523">
        <v>1</v>
      </c>
      <c r="AC6523">
        <v>9980</v>
      </c>
      <c r="AO6523">
        <v>1</v>
      </c>
      <c r="AU6523">
        <f t="shared" si="202"/>
        <v>1</v>
      </c>
      <c r="AV6523">
        <f t="shared" si="203"/>
        <v>0</v>
      </c>
    </row>
    <row r="6524" spans="1:48" x14ac:dyDescent="0.25">
      <c r="A6524" t="s">
        <v>15087</v>
      </c>
      <c r="C6524" t="s">
        <v>15088</v>
      </c>
      <c r="D6524" t="s">
        <v>15089</v>
      </c>
      <c r="E6524" t="s">
        <v>1663</v>
      </c>
      <c r="F6524">
        <v>2</v>
      </c>
      <c r="G6524">
        <v>2.2999999999999998</v>
      </c>
      <c r="H6524" t="s">
        <v>2327</v>
      </c>
      <c r="I6524" s="21">
        <v>44104</v>
      </c>
      <c r="J6524">
        <v>2020</v>
      </c>
      <c r="K6524" s="21">
        <v>44131</v>
      </c>
      <c r="L6524">
        <v>2020</v>
      </c>
      <c r="P6524" s="21">
        <v>44517</v>
      </c>
      <c r="Q6524" s="262">
        <v>36000</v>
      </c>
      <c r="S6524" t="s">
        <v>114</v>
      </c>
      <c r="T6524" t="s">
        <v>114</v>
      </c>
      <c r="W6524">
        <v>150</v>
      </c>
      <c r="X6524">
        <v>0</v>
      </c>
      <c r="AH6524">
        <v>150</v>
      </c>
      <c r="AU6524">
        <f t="shared" si="202"/>
        <v>0</v>
      </c>
      <c r="AV6524">
        <f t="shared" si="203"/>
        <v>150</v>
      </c>
    </row>
    <row r="6525" spans="1:48" x14ac:dyDescent="0.25">
      <c r="A6525" t="s">
        <v>15090</v>
      </c>
      <c r="C6525" t="s">
        <v>15091</v>
      </c>
      <c r="D6525" t="s">
        <v>6627</v>
      </c>
      <c r="E6525" t="s">
        <v>1663</v>
      </c>
      <c r="F6525">
        <v>2</v>
      </c>
      <c r="G6525">
        <v>2.2999999999999998</v>
      </c>
      <c r="H6525" t="s">
        <v>2327</v>
      </c>
      <c r="I6525" s="21">
        <v>44104</v>
      </c>
      <c r="J6525">
        <v>2020</v>
      </c>
      <c r="M6525" s="21">
        <v>44384</v>
      </c>
      <c r="N6525">
        <v>2021</v>
      </c>
      <c r="Q6525" s="262">
        <v>0</v>
      </c>
      <c r="S6525" t="s">
        <v>114</v>
      </c>
      <c r="T6525" t="s">
        <v>114</v>
      </c>
      <c r="W6525">
        <v>0</v>
      </c>
      <c r="X6525">
        <v>0</v>
      </c>
      <c r="AU6525">
        <f t="shared" si="202"/>
        <v>0</v>
      </c>
      <c r="AV6525">
        <f t="shared" si="203"/>
        <v>0</v>
      </c>
    </row>
    <row r="6526" spans="1:48" x14ac:dyDescent="0.25">
      <c r="A6526" t="s">
        <v>19619</v>
      </c>
      <c r="B6526" t="s">
        <v>19619</v>
      </c>
      <c r="C6526" t="s">
        <v>19620</v>
      </c>
      <c r="D6526" t="s">
        <v>13898</v>
      </c>
      <c r="E6526" t="s">
        <v>2310</v>
      </c>
      <c r="F6526">
        <v>8</v>
      </c>
      <c r="G6526">
        <v>8.4</v>
      </c>
      <c r="H6526" t="s">
        <v>2017</v>
      </c>
      <c r="I6526" s="21">
        <v>44105.444082210648</v>
      </c>
      <c r="J6526">
        <v>2020</v>
      </c>
      <c r="K6526" s="21">
        <v>44166.446273344911</v>
      </c>
      <c r="L6526">
        <v>2020</v>
      </c>
      <c r="M6526" s="21">
        <v>44173.68547665509</v>
      </c>
      <c r="N6526">
        <v>2020</v>
      </c>
      <c r="Q6526" s="262">
        <v>50000</v>
      </c>
      <c r="R6526" s="262">
        <v>10000</v>
      </c>
      <c r="S6526" t="s">
        <v>13254</v>
      </c>
      <c r="W6526">
        <v>220</v>
      </c>
      <c r="X6526">
        <v>0</v>
      </c>
      <c r="AM6526">
        <v>220</v>
      </c>
      <c r="AU6526">
        <f t="shared" si="202"/>
        <v>0</v>
      </c>
      <c r="AV6526">
        <f t="shared" si="203"/>
        <v>220</v>
      </c>
    </row>
    <row r="6527" spans="1:48" x14ac:dyDescent="0.25">
      <c r="A6527" t="s">
        <v>19982</v>
      </c>
      <c r="C6527" t="s">
        <v>19983</v>
      </c>
      <c r="D6527" t="s">
        <v>19984</v>
      </c>
      <c r="E6527" t="s">
        <v>1663</v>
      </c>
      <c r="F6527">
        <v>6</v>
      </c>
      <c r="G6527">
        <v>6.2</v>
      </c>
      <c r="H6527" t="s">
        <v>2017</v>
      </c>
      <c r="I6527" s="21">
        <v>44106</v>
      </c>
      <c r="J6527">
        <v>2020</v>
      </c>
      <c r="K6527" s="21">
        <v>44146</v>
      </c>
      <c r="L6527">
        <v>2020</v>
      </c>
      <c r="M6527" s="21">
        <v>44538</v>
      </c>
      <c r="N6527">
        <v>2021</v>
      </c>
      <c r="Q6527" s="262">
        <v>200000</v>
      </c>
      <c r="S6527" t="s">
        <v>13253</v>
      </c>
      <c r="T6527">
        <v>9177</v>
      </c>
      <c r="U6527">
        <v>17</v>
      </c>
      <c r="W6527">
        <v>1609</v>
      </c>
      <c r="X6527">
        <v>1</v>
      </c>
      <c r="AC6527">
        <v>896</v>
      </c>
      <c r="AF6527">
        <v>713</v>
      </c>
      <c r="AR6527">
        <v>1</v>
      </c>
      <c r="AU6527">
        <f t="shared" si="202"/>
        <v>0</v>
      </c>
      <c r="AV6527">
        <f t="shared" si="203"/>
        <v>0</v>
      </c>
    </row>
    <row r="6528" spans="1:48" x14ac:dyDescent="0.25">
      <c r="A6528" t="s">
        <v>15092</v>
      </c>
      <c r="C6528" t="s">
        <v>11237</v>
      </c>
      <c r="D6528" t="s">
        <v>15093</v>
      </c>
      <c r="E6528" t="s">
        <v>1663</v>
      </c>
      <c r="F6528">
        <v>6</v>
      </c>
      <c r="G6528">
        <v>6.1</v>
      </c>
      <c r="H6528" t="s">
        <v>2017</v>
      </c>
      <c r="I6528" s="21">
        <v>44106</v>
      </c>
      <c r="J6528">
        <v>2020</v>
      </c>
      <c r="K6528" s="21">
        <v>44127</v>
      </c>
      <c r="L6528">
        <v>2020</v>
      </c>
      <c r="M6528" s="21">
        <v>44326</v>
      </c>
      <c r="N6528">
        <v>2021</v>
      </c>
      <c r="Q6528" s="262">
        <v>600000</v>
      </c>
      <c r="S6528" t="s">
        <v>114</v>
      </c>
      <c r="T6528" t="s">
        <v>114</v>
      </c>
      <c r="W6528">
        <v>0</v>
      </c>
      <c r="X6528">
        <v>0</v>
      </c>
      <c r="AU6528">
        <f t="shared" si="202"/>
        <v>0</v>
      </c>
      <c r="AV6528">
        <f t="shared" si="203"/>
        <v>0</v>
      </c>
    </row>
    <row r="6529" spans="1:48" x14ac:dyDescent="0.25">
      <c r="A6529" t="s">
        <v>14750</v>
      </c>
      <c r="C6529" t="s">
        <v>14751</v>
      </c>
      <c r="D6529" t="s">
        <v>14752</v>
      </c>
      <c r="E6529" t="s">
        <v>1663</v>
      </c>
      <c r="F6529">
        <v>3</v>
      </c>
      <c r="G6529">
        <v>3.1</v>
      </c>
      <c r="H6529" t="s">
        <v>2017</v>
      </c>
      <c r="I6529" s="21">
        <v>44110</v>
      </c>
      <c r="J6529">
        <v>2020</v>
      </c>
      <c r="K6529" s="21">
        <v>44201</v>
      </c>
      <c r="L6529">
        <v>2021</v>
      </c>
      <c r="M6529" s="21">
        <v>44734</v>
      </c>
      <c r="N6529">
        <v>2022</v>
      </c>
      <c r="P6529" s="21">
        <v>44660</v>
      </c>
      <c r="Q6529" s="262">
        <v>700000</v>
      </c>
      <c r="S6529" t="s">
        <v>13253</v>
      </c>
      <c r="T6529">
        <v>9863</v>
      </c>
      <c r="W6529">
        <v>691</v>
      </c>
      <c r="X6529">
        <v>1</v>
      </c>
      <c r="AD6529">
        <v>-108</v>
      </c>
      <c r="AF6529">
        <v>799</v>
      </c>
      <c r="AR6529">
        <v>1</v>
      </c>
      <c r="AU6529">
        <f t="shared" si="202"/>
        <v>0</v>
      </c>
      <c r="AV6529">
        <f t="shared" si="203"/>
        <v>0</v>
      </c>
    </row>
    <row r="6530" spans="1:48" x14ac:dyDescent="0.25">
      <c r="A6530" t="s">
        <v>15097</v>
      </c>
      <c r="B6530" t="s">
        <v>15097</v>
      </c>
      <c r="C6530" t="s">
        <v>15098</v>
      </c>
      <c r="D6530" t="s">
        <v>15099</v>
      </c>
      <c r="E6530" t="s">
        <v>2310</v>
      </c>
      <c r="F6530">
        <v>10</v>
      </c>
      <c r="G6530">
        <v>10.1</v>
      </c>
      <c r="H6530" t="s">
        <v>2323</v>
      </c>
      <c r="I6530" s="21">
        <v>44110.475053784699</v>
      </c>
      <c r="J6530">
        <v>2020</v>
      </c>
      <c r="K6530" s="21">
        <v>44179.660520173602</v>
      </c>
      <c r="L6530">
        <v>2020</v>
      </c>
      <c r="Q6530" s="262">
        <v>945000</v>
      </c>
      <c r="R6530" s="262">
        <v>369000</v>
      </c>
      <c r="S6530" t="s">
        <v>114</v>
      </c>
      <c r="T6530" t="s">
        <v>114</v>
      </c>
      <c r="W6530">
        <v>3573</v>
      </c>
      <c r="X6530">
        <v>1</v>
      </c>
      <c r="AC6530">
        <v>3573</v>
      </c>
      <c r="AO6530">
        <v>1</v>
      </c>
      <c r="AU6530">
        <f t="shared" si="202"/>
        <v>1</v>
      </c>
      <c r="AV6530">
        <f t="shared" si="203"/>
        <v>0</v>
      </c>
    </row>
    <row r="6531" spans="1:48" x14ac:dyDescent="0.25">
      <c r="A6531" t="s">
        <v>15220</v>
      </c>
      <c r="B6531" t="s">
        <v>15220</v>
      </c>
      <c r="C6531" t="s">
        <v>15221</v>
      </c>
      <c r="D6531" t="s">
        <v>1832</v>
      </c>
      <c r="E6531" t="s">
        <v>2310</v>
      </c>
      <c r="F6531">
        <v>9</v>
      </c>
      <c r="G6531">
        <v>9.3000000000000007</v>
      </c>
      <c r="H6531" t="s">
        <v>2323</v>
      </c>
      <c r="I6531" s="21">
        <v>44110.607398761596</v>
      </c>
      <c r="J6531">
        <v>2020</v>
      </c>
      <c r="K6531" s="21">
        <v>44172.5686579514</v>
      </c>
      <c r="L6531">
        <v>2020</v>
      </c>
      <c r="M6531" s="21">
        <v>44620</v>
      </c>
      <c r="N6531">
        <v>2022</v>
      </c>
      <c r="Q6531" s="262">
        <v>250000</v>
      </c>
      <c r="R6531" s="262">
        <v>188000</v>
      </c>
      <c r="S6531" t="s">
        <v>13254</v>
      </c>
      <c r="T6531">
        <v>0</v>
      </c>
      <c r="V6531">
        <v>0</v>
      </c>
      <c r="W6531">
        <v>1700</v>
      </c>
      <c r="X6531">
        <v>2</v>
      </c>
      <c r="AE6531">
        <v>1700</v>
      </c>
      <c r="AQ6531">
        <v>2</v>
      </c>
      <c r="AU6531">
        <f t="shared" si="202"/>
        <v>2</v>
      </c>
      <c r="AV6531">
        <f t="shared" si="203"/>
        <v>0</v>
      </c>
    </row>
    <row r="6532" spans="1:48" x14ac:dyDescent="0.25">
      <c r="A6532" t="s">
        <v>15103</v>
      </c>
      <c r="C6532" t="s">
        <v>15104</v>
      </c>
      <c r="D6532" t="s">
        <v>15105</v>
      </c>
      <c r="E6532" t="s">
        <v>1663</v>
      </c>
      <c r="F6532">
        <v>4</v>
      </c>
      <c r="G6532">
        <v>4.3</v>
      </c>
      <c r="H6532" t="s">
        <v>2327</v>
      </c>
      <c r="I6532" s="21">
        <v>44111</v>
      </c>
      <c r="J6532">
        <v>2020</v>
      </c>
      <c r="K6532" s="21">
        <v>44126</v>
      </c>
      <c r="L6532">
        <v>2020</v>
      </c>
      <c r="M6532" s="21">
        <v>44511</v>
      </c>
      <c r="N6532">
        <v>2021</v>
      </c>
      <c r="Q6532" s="262">
        <v>7000</v>
      </c>
      <c r="S6532" t="s">
        <v>114</v>
      </c>
      <c r="T6532" t="s">
        <v>114</v>
      </c>
      <c r="W6532">
        <v>0</v>
      </c>
      <c r="X6532">
        <v>0</v>
      </c>
      <c r="AU6532">
        <f t="shared" si="202"/>
        <v>0</v>
      </c>
      <c r="AV6532">
        <f t="shared" si="203"/>
        <v>0</v>
      </c>
    </row>
    <row r="6533" spans="1:48" x14ac:dyDescent="0.25">
      <c r="A6533" t="s">
        <v>15106</v>
      </c>
      <c r="C6533" t="s">
        <v>15107</v>
      </c>
      <c r="D6533" t="s">
        <v>14276</v>
      </c>
      <c r="E6533" t="s">
        <v>1663</v>
      </c>
      <c r="F6533">
        <v>3</v>
      </c>
      <c r="G6533">
        <v>3.2</v>
      </c>
      <c r="H6533" t="s">
        <v>2327</v>
      </c>
      <c r="I6533" s="21">
        <v>44112</v>
      </c>
      <c r="J6533">
        <v>2020</v>
      </c>
      <c r="K6533" s="21">
        <v>44158</v>
      </c>
      <c r="L6533">
        <v>2020</v>
      </c>
      <c r="M6533" s="21">
        <v>44505</v>
      </c>
      <c r="N6533">
        <v>2021</v>
      </c>
      <c r="Q6533" s="262">
        <v>15000</v>
      </c>
      <c r="S6533" t="s">
        <v>114</v>
      </c>
      <c r="T6533" t="s">
        <v>114</v>
      </c>
      <c r="W6533">
        <v>0</v>
      </c>
      <c r="X6533">
        <v>0</v>
      </c>
      <c r="AU6533">
        <f t="shared" si="202"/>
        <v>0</v>
      </c>
      <c r="AV6533">
        <f t="shared" si="203"/>
        <v>0</v>
      </c>
    </row>
    <row r="6534" spans="1:48" x14ac:dyDescent="0.25">
      <c r="A6534" t="s">
        <v>15108</v>
      </c>
      <c r="B6534" t="s">
        <v>15108</v>
      </c>
      <c r="C6534" t="s">
        <v>15109</v>
      </c>
      <c r="D6534" t="s">
        <v>15110</v>
      </c>
      <c r="E6534" t="s">
        <v>2310</v>
      </c>
      <c r="F6534">
        <v>9</v>
      </c>
      <c r="G6534">
        <v>9.3000000000000007</v>
      </c>
      <c r="H6534" t="s">
        <v>2323</v>
      </c>
      <c r="I6534" s="21">
        <v>44112.462234606501</v>
      </c>
      <c r="J6534">
        <v>2020</v>
      </c>
      <c r="O6534" s="21">
        <v>44301</v>
      </c>
      <c r="Q6534" s="262">
        <v>180000</v>
      </c>
      <c r="R6534" s="262">
        <v>122000</v>
      </c>
      <c r="S6534" t="s">
        <v>114</v>
      </c>
      <c r="T6534" t="s">
        <v>114</v>
      </c>
      <c r="W6534">
        <v>1000</v>
      </c>
      <c r="X6534">
        <v>1</v>
      </c>
      <c r="AF6534">
        <v>1000</v>
      </c>
      <c r="AR6534">
        <v>1</v>
      </c>
      <c r="AU6534">
        <f t="shared" si="202"/>
        <v>0</v>
      </c>
      <c r="AV6534">
        <f t="shared" si="203"/>
        <v>0</v>
      </c>
    </row>
    <row r="6535" spans="1:48" x14ac:dyDescent="0.25">
      <c r="A6535" t="s">
        <v>16191</v>
      </c>
      <c r="B6535" t="s">
        <v>16191</v>
      </c>
      <c r="C6535" t="s">
        <v>16192</v>
      </c>
      <c r="D6535" t="s">
        <v>4386</v>
      </c>
      <c r="E6535" t="s">
        <v>2310</v>
      </c>
      <c r="F6535">
        <v>12</v>
      </c>
      <c r="G6535">
        <v>12.3</v>
      </c>
      <c r="H6535" t="s">
        <v>2017</v>
      </c>
      <c r="I6535" s="21">
        <v>44112.607887580998</v>
      </c>
      <c r="J6535">
        <v>2020</v>
      </c>
      <c r="K6535" s="21">
        <v>44175.452774571801</v>
      </c>
      <c r="L6535">
        <v>2020</v>
      </c>
      <c r="M6535" s="21">
        <v>44923</v>
      </c>
      <c r="N6535">
        <v>2022</v>
      </c>
      <c r="Q6535" s="262">
        <v>750000</v>
      </c>
      <c r="R6535" s="262">
        <v>659000</v>
      </c>
      <c r="S6535" t="s">
        <v>13253</v>
      </c>
      <c r="T6535">
        <v>3815</v>
      </c>
      <c r="V6535">
        <v>5771</v>
      </c>
      <c r="W6535">
        <v>0</v>
      </c>
      <c r="X6535">
        <v>0</v>
      </c>
      <c r="AU6535">
        <f t="shared" si="202"/>
        <v>0</v>
      </c>
      <c r="AV6535">
        <f t="shared" si="203"/>
        <v>0</v>
      </c>
    </row>
    <row r="6536" spans="1:48" x14ac:dyDescent="0.25">
      <c r="A6536" t="s">
        <v>15114</v>
      </c>
      <c r="B6536" t="s">
        <v>15114</v>
      </c>
      <c r="C6536" t="s">
        <v>15115</v>
      </c>
      <c r="D6536" t="s">
        <v>15116</v>
      </c>
      <c r="E6536" t="s">
        <v>2310</v>
      </c>
      <c r="F6536">
        <v>9</v>
      </c>
      <c r="G6536">
        <v>9.1999999999999993</v>
      </c>
      <c r="H6536" t="s">
        <v>2022</v>
      </c>
      <c r="I6536" s="21">
        <v>44112.644479247698</v>
      </c>
      <c r="J6536">
        <v>2020</v>
      </c>
      <c r="K6536" s="21">
        <v>44167.670328703702</v>
      </c>
      <c r="L6536">
        <v>2020</v>
      </c>
      <c r="Q6536" s="262">
        <v>4100000</v>
      </c>
      <c r="R6536" s="262">
        <v>663000</v>
      </c>
      <c r="S6536" t="s">
        <v>114</v>
      </c>
      <c r="T6536" t="s">
        <v>114</v>
      </c>
      <c r="W6536">
        <v>5098</v>
      </c>
      <c r="X6536">
        <v>1</v>
      </c>
      <c r="AC6536">
        <v>5098</v>
      </c>
      <c r="AO6536">
        <v>1</v>
      </c>
      <c r="AU6536">
        <f t="shared" si="202"/>
        <v>1</v>
      </c>
      <c r="AV6536">
        <f t="shared" si="203"/>
        <v>0</v>
      </c>
    </row>
    <row r="6537" spans="1:48" x14ac:dyDescent="0.25">
      <c r="A6537" t="s">
        <v>15119</v>
      </c>
      <c r="C6537" t="s">
        <v>13054</v>
      </c>
      <c r="D6537" t="s">
        <v>8475</v>
      </c>
      <c r="E6537" t="s">
        <v>1663</v>
      </c>
      <c r="F6537">
        <v>6</v>
      </c>
      <c r="G6537">
        <v>6.1</v>
      </c>
      <c r="H6537" t="s">
        <v>2017</v>
      </c>
      <c r="I6537" s="21">
        <v>44113</v>
      </c>
      <c r="J6537">
        <v>2020</v>
      </c>
      <c r="K6537" s="21">
        <v>44292</v>
      </c>
      <c r="L6537">
        <v>2021</v>
      </c>
      <c r="P6537" s="21">
        <v>44472</v>
      </c>
      <c r="Q6537" s="262">
        <v>125000</v>
      </c>
      <c r="S6537" t="s">
        <v>114</v>
      </c>
      <c r="T6537" t="s">
        <v>114</v>
      </c>
      <c r="W6537">
        <v>0</v>
      </c>
      <c r="X6537">
        <v>0</v>
      </c>
      <c r="AU6537">
        <f t="shared" si="202"/>
        <v>0</v>
      </c>
      <c r="AV6537">
        <f t="shared" si="203"/>
        <v>0</v>
      </c>
    </row>
    <row r="6538" spans="1:48" x14ac:dyDescent="0.25">
      <c r="A6538" t="s">
        <v>15117</v>
      </c>
      <c r="C6538" t="s">
        <v>15118</v>
      </c>
      <c r="D6538" t="s">
        <v>12661</v>
      </c>
      <c r="E6538" t="s">
        <v>1663</v>
      </c>
      <c r="F6538">
        <v>2</v>
      </c>
      <c r="G6538">
        <v>2.1</v>
      </c>
      <c r="H6538" t="s">
        <v>2327</v>
      </c>
      <c r="I6538" s="21">
        <v>44113</v>
      </c>
      <c r="J6538">
        <v>2020</v>
      </c>
      <c r="K6538" s="21">
        <v>44308</v>
      </c>
      <c r="L6538">
        <v>2021</v>
      </c>
      <c r="M6538" s="21">
        <v>44477</v>
      </c>
      <c r="N6538">
        <v>2021</v>
      </c>
      <c r="Q6538" s="262">
        <v>100000</v>
      </c>
      <c r="S6538" t="s">
        <v>114</v>
      </c>
      <c r="T6538" t="s">
        <v>114</v>
      </c>
      <c r="W6538">
        <v>0</v>
      </c>
      <c r="X6538">
        <v>0</v>
      </c>
      <c r="AU6538">
        <f t="shared" si="202"/>
        <v>0</v>
      </c>
      <c r="AV6538">
        <f t="shared" si="203"/>
        <v>0</v>
      </c>
    </row>
    <row r="6539" spans="1:48" x14ac:dyDescent="0.25">
      <c r="A6539" t="s">
        <v>15120</v>
      </c>
      <c r="C6539" t="s">
        <v>15121</v>
      </c>
      <c r="D6539" t="s">
        <v>15122</v>
      </c>
      <c r="E6539" t="s">
        <v>1663</v>
      </c>
      <c r="F6539">
        <v>4</v>
      </c>
      <c r="G6539">
        <v>4.4000000000000004</v>
      </c>
      <c r="H6539" t="s">
        <v>2017</v>
      </c>
      <c r="I6539" s="21">
        <v>44116</v>
      </c>
      <c r="J6539">
        <v>2020</v>
      </c>
      <c r="K6539" s="21">
        <v>44140</v>
      </c>
      <c r="L6539">
        <v>2020</v>
      </c>
      <c r="M6539" s="21">
        <v>44545</v>
      </c>
      <c r="N6539">
        <v>2021</v>
      </c>
      <c r="Q6539" s="262">
        <v>25000</v>
      </c>
      <c r="S6539" t="s">
        <v>114</v>
      </c>
      <c r="T6539" t="s">
        <v>114</v>
      </c>
      <c r="W6539">
        <v>0</v>
      </c>
      <c r="X6539">
        <v>0</v>
      </c>
      <c r="AU6539">
        <f t="shared" si="202"/>
        <v>0</v>
      </c>
      <c r="AV6539">
        <f t="shared" si="203"/>
        <v>0</v>
      </c>
    </row>
    <row r="6540" spans="1:48" x14ac:dyDescent="0.25">
      <c r="A6540" t="s">
        <v>15123</v>
      </c>
      <c r="C6540" t="s">
        <v>15124</v>
      </c>
      <c r="D6540" t="s">
        <v>15125</v>
      </c>
      <c r="E6540" t="s">
        <v>1663</v>
      </c>
      <c r="F6540">
        <v>4</v>
      </c>
      <c r="G6540">
        <v>4.4000000000000004</v>
      </c>
      <c r="H6540" t="s">
        <v>2017</v>
      </c>
      <c r="I6540" s="21">
        <v>44116</v>
      </c>
      <c r="J6540">
        <v>2020</v>
      </c>
      <c r="M6540" s="21">
        <v>44343</v>
      </c>
      <c r="N6540">
        <v>2021</v>
      </c>
      <c r="Q6540" s="262">
        <v>50000</v>
      </c>
      <c r="S6540" t="s">
        <v>114</v>
      </c>
      <c r="T6540" t="s">
        <v>114</v>
      </c>
      <c r="V6540">
        <v>314</v>
      </c>
      <c r="W6540">
        <v>0</v>
      </c>
      <c r="X6540">
        <v>0</v>
      </c>
      <c r="AU6540">
        <f t="shared" si="202"/>
        <v>0</v>
      </c>
      <c r="AV6540">
        <f t="shared" si="203"/>
        <v>0</v>
      </c>
    </row>
    <row r="6541" spans="1:48" x14ac:dyDescent="0.25">
      <c r="A6541" t="s">
        <v>16193</v>
      </c>
      <c r="B6541" t="s">
        <v>16193</v>
      </c>
      <c r="C6541" t="s">
        <v>16194</v>
      </c>
      <c r="D6541" t="s">
        <v>16195</v>
      </c>
      <c r="E6541" t="s">
        <v>2310</v>
      </c>
      <c r="F6541">
        <v>9</v>
      </c>
      <c r="G6541">
        <v>9.1</v>
      </c>
      <c r="H6541" t="s">
        <v>2323</v>
      </c>
      <c r="I6541" s="21">
        <v>44117.436466631902</v>
      </c>
      <c r="J6541">
        <v>2020</v>
      </c>
      <c r="K6541" s="21">
        <v>44176.548122916698</v>
      </c>
      <c r="L6541">
        <v>2020</v>
      </c>
      <c r="M6541" s="21">
        <v>44769.468056909725</v>
      </c>
      <c r="N6541">
        <v>2022</v>
      </c>
      <c r="O6541" s="21">
        <v>44140.464646608802</v>
      </c>
      <c r="Q6541" s="262">
        <v>2700000</v>
      </c>
      <c r="R6541" s="262">
        <v>712000</v>
      </c>
      <c r="S6541" t="s">
        <v>114</v>
      </c>
      <c r="T6541" t="s">
        <v>114</v>
      </c>
      <c r="W6541">
        <v>5532</v>
      </c>
      <c r="X6541">
        <v>1</v>
      </c>
      <c r="AC6541">
        <v>5532</v>
      </c>
      <c r="AO6541">
        <v>1</v>
      </c>
      <c r="AU6541">
        <f t="shared" si="202"/>
        <v>1</v>
      </c>
      <c r="AV6541">
        <f t="shared" si="203"/>
        <v>0</v>
      </c>
    </row>
    <row r="6542" spans="1:48" x14ac:dyDescent="0.25">
      <c r="A6542" t="s">
        <v>15127</v>
      </c>
      <c r="B6542" t="s">
        <v>15127</v>
      </c>
      <c r="C6542" t="s">
        <v>15128</v>
      </c>
      <c r="D6542" t="s">
        <v>15129</v>
      </c>
      <c r="E6542" t="s">
        <v>2310</v>
      </c>
      <c r="F6542">
        <v>8</v>
      </c>
      <c r="G6542">
        <v>8.3000000000000007</v>
      </c>
      <c r="H6542" t="s">
        <v>2323</v>
      </c>
      <c r="I6542" s="21">
        <v>44117.595721562502</v>
      </c>
      <c r="J6542">
        <v>2020</v>
      </c>
      <c r="K6542" s="21">
        <v>44399</v>
      </c>
      <c r="L6542">
        <v>2021</v>
      </c>
      <c r="Q6542" s="262">
        <v>910000</v>
      </c>
      <c r="R6542" s="262">
        <v>511000</v>
      </c>
      <c r="S6542" t="s">
        <v>114</v>
      </c>
      <c r="T6542" t="s">
        <v>114</v>
      </c>
      <c r="W6542">
        <v>4593</v>
      </c>
      <c r="X6542">
        <v>1</v>
      </c>
      <c r="AC6542">
        <v>4593</v>
      </c>
      <c r="AO6542">
        <v>1</v>
      </c>
      <c r="AU6542">
        <f t="shared" si="202"/>
        <v>1</v>
      </c>
      <c r="AV6542">
        <f t="shared" si="203"/>
        <v>0</v>
      </c>
    </row>
    <row r="6543" spans="1:48" x14ac:dyDescent="0.25">
      <c r="A6543" t="s">
        <v>15130</v>
      </c>
      <c r="B6543" t="s">
        <v>15130</v>
      </c>
      <c r="C6543" t="s">
        <v>15131</v>
      </c>
      <c r="D6543" t="s">
        <v>15132</v>
      </c>
      <c r="E6543" t="s">
        <v>2310</v>
      </c>
      <c r="F6543">
        <v>9</v>
      </c>
      <c r="G6543">
        <v>9.3000000000000007</v>
      </c>
      <c r="H6543" t="s">
        <v>2323</v>
      </c>
      <c r="I6543" s="21">
        <v>44119.427396296298</v>
      </c>
      <c r="J6543">
        <v>2020</v>
      </c>
      <c r="K6543" s="21">
        <v>44469</v>
      </c>
      <c r="L6543">
        <v>2021</v>
      </c>
      <c r="Q6543" s="262">
        <v>700000</v>
      </c>
      <c r="R6543" s="262">
        <v>156000</v>
      </c>
      <c r="S6543" t="s">
        <v>114</v>
      </c>
      <c r="T6543" t="s">
        <v>114</v>
      </c>
      <c r="W6543">
        <v>1312</v>
      </c>
      <c r="X6543">
        <v>1</v>
      </c>
      <c r="AF6543">
        <v>1312</v>
      </c>
      <c r="AR6543">
        <v>1</v>
      </c>
      <c r="AU6543">
        <f t="shared" si="202"/>
        <v>0</v>
      </c>
      <c r="AV6543">
        <f t="shared" si="203"/>
        <v>0</v>
      </c>
    </row>
    <row r="6544" spans="1:48" x14ac:dyDescent="0.25">
      <c r="A6544" t="s">
        <v>19785</v>
      </c>
      <c r="B6544" t="s">
        <v>19785</v>
      </c>
      <c r="C6544" t="s">
        <v>19786</v>
      </c>
      <c r="D6544" t="s">
        <v>9814</v>
      </c>
      <c r="E6544" t="s">
        <v>2310</v>
      </c>
      <c r="F6544">
        <v>10</v>
      </c>
      <c r="G6544">
        <v>10.1</v>
      </c>
      <c r="H6544" t="s">
        <v>2323</v>
      </c>
      <c r="I6544" s="21">
        <v>44119.474769328699</v>
      </c>
      <c r="J6544">
        <v>2020</v>
      </c>
      <c r="K6544" s="21">
        <v>44179.660334606502</v>
      </c>
      <c r="L6544">
        <v>2020</v>
      </c>
      <c r="M6544" s="21">
        <v>44540</v>
      </c>
      <c r="N6544">
        <v>2021</v>
      </c>
      <c r="Q6544" s="262">
        <v>200000</v>
      </c>
      <c r="R6544" s="262">
        <v>136000</v>
      </c>
      <c r="S6544" t="s">
        <v>13253</v>
      </c>
      <c r="T6544">
        <v>1581</v>
      </c>
      <c r="U6544">
        <v>5</v>
      </c>
      <c r="V6544">
        <v>1370</v>
      </c>
      <c r="W6544">
        <v>120</v>
      </c>
      <c r="X6544">
        <v>0</v>
      </c>
      <c r="AC6544">
        <v>120</v>
      </c>
      <c r="AU6544">
        <f t="shared" si="202"/>
        <v>0</v>
      </c>
      <c r="AV6544">
        <f t="shared" si="203"/>
        <v>0</v>
      </c>
    </row>
    <row r="6545" spans="1:48" x14ac:dyDescent="0.25">
      <c r="A6545" t="s">
        <v>15133</v>
      </c>
      <c r="C6545" t="s">
        <v>15134</v>
      </c>
      <c r="D6545" t="s">
        <v>13762</v>
      </c>
      <c r="E6545" t="s">
        <v>1663</v>
      </c>
      <c r="F6545">
        <v>4</v>
      </c>
      <c r="G6545">
        <v>4.3</v>
      </c>
      <c r="H6545" t="s">
        <v>2327</v>
      </c>
      <c r="I6545" s="21">
        <v>44123</v>
      </c>
      <c r="J6545">
        <v>2020</v>
      </c>
      <c r="K6545" s="21">
        <v>44160</v>
      </c>
      <c r="L6545">
        <v>2020</v>
      </c>
      <c r="M6545" s="21">
        <v>44379</v>
      </c>
      <c r="N6545">
        <v>2021</v>
      </c>
      <c r="Q6545" s="262">
        <v>4500000</v>
      </c>
      <c r="S6545" t="s">
        <v>114</v>
      </c>
      <c r="T6545" t="s">
        <v>114</v>
      </c>
      <c r="W6545">
        <v>0</v>
      </c>
      <c r="X6545">
        <v>0</v>
      </c>
      <c r="AU6545">
        <f t="shared" si="202"/>
        <v>0</v>
      </c>
      <c r="AV6545">
        <f t="shared" si="203"/>
        <v>0</v>
      </c>
    </row>
    <row r="6546" spans="1:48" x14ac:dyDescent="0.25">
      <c r="A6546" t="s">
        <v>20140</v>
      </c>
      <c r="B6546" t="s">
        <v>20140</v>
      </c>
      <c r="C6546" t="s">
        <v>20141</v>
      </c>
      <c r="D6546" t="s">
        <v>20142</v>
      </c>
      <c r="E6546" t="s">
        <v>2310</v>
      </c>
      <c r="F6546">
        <v>14</v>
      </c>
      <c r="G6546">
        <v>14.1</v>
      </c>
      <c r="H6546" t="s">
        <v>2022</v>
      </c>
      <c r="I6546" s="21">
        <v>44124.564702546297</v>
      </c>
      <c r="J6546">
        <v>2020</v>
      </c>
      <c r="K6546" s="21">
        <v>44293</v>
      </c>
      <c r="L6546">
        <v>2021</v>
      </c>
      <c r="M6546" s="21">
        <v>44547</v>
      </c>
      <c r="N6546">
        <v>2021</v>
      </c>
      <c r="Q6546" s="262">
        <v>900000</v>
      </c>
      <c r="R6546" s="262">
        <v>401000</v>
      </c>
      <c r="S6546" t="s">
        <v>13254</v>
      </c>
      <c r="U6546">
        <v>5</v>
      </c>
      <c r="W6546">
        <v>3693</v>
      </c>
      <c r="X6546">
        <v>1</v>
      </c>
      <c r="AC6546">
        <v>3693</v>
      </c>
      <c r="AO6546">
        <v>1</v>
      </c>
      <c r="AU6546">
        <f t="shared" si="202"/>
        <v>1</v>
      </c>
      <c r="AV6546">
        <f t="shared" si="203"/>
        <v>0</v>
      </c>
    </row>
    <row r="6547" spans="1:48" x14ac:dyDescent="0.25">
      <c r="A6547" t="s">
        <v>15135</v>
      </c>
      <c r="B6547" t="s">
        <v>15135</v>
      </c>
      <c r="C6547" t="s">
        <v>15136</v>
      </c>
      <c r="D6547" t="s">
        <v>15137</v>
      </c>
      <c r="E6547" t="s">
        <v>2310</v>
      </c>
      <c r="F6547">
        <v>8</v>
      </c>
      <c r="G6547">
        <v>8.3000000000000007</v>
      </c>
      <c r="H6547" t="s">
        <v>2323</v>
      </c>
      <c r="I6547" s="21">
        <v>44124.644164467602</v>
      </c>
      <c r="J6547">
        <v>2020</v>
      </c>
      <c r="K6547" s="21">
        <v>44253</v>
      </c>
      <c r="L6547">
        <v>2021</v>
      </c>
      <c r="Q6547" s="262">
        <v>1000000</v>
      </c>
      <c r="R6547" s="262">
        <v>525000</v>
      </c>
      <c r="S6547" t="s">
        <v>114</v>
      </c>
      <c r="T6547" t="s">
        <v>114</v>
      </c>
      <c r="W6547">
        <v>4343</v>
      </c>
      <c r="X6547">
        <v>1</v>
      </c>
      <c r="AC6547">
        <v>4343</v>
      </c>
      <c r="AO6547">
        <v>1</v>
      </c>
      <c r="AU6547">
        <f t="shared" si="202"/>
        <v>1</v>
      </c>
      <c r="AV6547">
        <f t="shared" si="203"/>
        <v>0</v>
      </c>
    </row>
    <row r="6548" spans="1:48" x14ac:dyDescent="0.25">
      <c r="A6548" t="s">
        <v>16284</v>
      </c>
      <c r="B6548" t="s">
        <v>16284</v>
      </c>
      <c r="C6548" t="s">
        <v>16285</v>
      </c>
      <c r="D6548" t="s">
        <v>16286</v>
      </c>
      <c r="E6548" t="s">
        <v>2310</v>
      </c>
      <c r="F6548">
        <v>14</v>
      </c>
      <c r="G6548">
        <v>14.2</v>
      </c>
      <c r="H6548" t="s">
        <v>2017</v>
      </c>
      <c r="I6548" s="21">
        <v>44124.665690474503</v>
      </c>
      <c r="J6548">
        <v>2020</v>
      </c>
      <c r="K6548" s="21">
        <v>44553</v>
      </c>
      <c r="L6548">
        <v>2021</v>
      </c>
      <c r="M6548" s="21">
        <v>44795.485675925927</v>
      </c>
      <c r="N6548">
        <v>2022</v>
      </c>
      <c r="Q6548" s="262">
        <v>300000</v>
      </c>
      <c r="R6548" s="262">
        <v>357000</v>
      </c>
      <c r="S6548" t="s">
        <v>13254</v>
      </c>
      <c r="T6548">
        <v>0</v>
      </c>
      <c r="W6548">
        <v>4517</v>
      </c>
      <c r="X6548">
        <v>1</v>
      </c>
      <c r="AC6548">
        <v>4517</v>
      </c>
      <c r="AO6548">
        <v>1</v>
      </c>
      <c r="AU6548">
        <f t="shared" si="202"/>
        <v>1</v>
      </c>
      <c r="AV6548">
        <f t="shared" si="203"/>
        <v>0</v>
      </c>
    </row>
    <row r="6549" spans="1:48" x14ac:dyDescent="0.25">
      <c r="A6549" t="s">
        <v>16287</v>
      </c>
      <c r="B6549" t="s">
        <v>16287</v>
      </c>
      <c r="C6549" t="s">
        <v>16285</v>
      </c>
      <c r="D6549" t="s">
        <v>16288</v>
      </c>
      <c r="E6549" t="s">
        <v>2310</v>
      </c>
      <c r="F6549">
        <v>14</v>
      </c>
      <c r="G6549">
        <v>14.2</v>
      </c>
      <c r="H6549" t="s">
        <v>2017</v>
      </c>
      <c r="I6549" s="21">
        <v>44124.7042939815</v>
      </c>
      <c r="J6549">
        <v>2020</v>
      </c>
      <c r="K6549" s="21">
        <v>44553</v>
      </c>
      <c r="L6549">
        <v>2021</v>
      </c>
      <c r="M6549" s="21">
        <v>44795.483497141206</v>
      </c>
      <c r="N6549">
        <v>2022</v>
      </c>
      <c r="Q6549" s="262">
        <v>300000</v>
      </c>
      <c r="R6549" s="262">
        <v>357000</v>
      </c>
      <c r="S6549" t="s">
        <v>13254</v>
      </c>
      <c r="T6549">
        <v>0</v>
      </c>
      <c r="W6549">
        <v>4517</v>
      </c>
      <c r="X6549">
        <v>1</v>
      </c>
      <c r="AC6549">
        <v>4517</v>
      </c>
      <c r="AO6549">
        <v>1</v>
      </c>
      <c r="AU6549">
        <f t="shared" si="202"/>
        <v>1</v>
      </c>
      <c r="AV6549">
        <f t="shared" si="203"/>
        <v>0</v>
      </c>
    </row>
    <row r="6550" spans="1:48" x14ac:dyDescent="0.25">
      <c r="A6550" t="s">
        <v>2067</v>
      </c>
      <c r="C6550" t="s">
        <v>15143</v>
      </c>
      <c r="D6550" t="s">
        <v>2066</v>
      </c>
      <c r="E6550" t="s">
        <v>1663</v>
      </c>
      <c r="F6550">
        <v>3</v>
      </c>
      <c r="G6550">
        <v>3.2</v>
      </c>
      <c r="H6550" t="s">
        <v>2327</v>
      </c>
      <c r="I6550" s="21">
        <v>44125</v>
      </c>
      <c r="J6550">
        <v>2020</v>
      </c>
      <c r="K6550" s="21">
        <v>44307</v>
      </c>
      <c r="L6550">
        <v>2021</v>
      </c>
      <c r="P6550" s="21">
        <v>44641</v>
      </c>
      <c r="Q6550" s="262">
        <v>4200000</v>
      </c>
      <c r="S6550" t="s">
        <v>114</v>
      </c>
      <c r="T6550" t="s">
        <v>114</v>
      </c>
      <c r="V6550">
        <v>1736</v>
      </c>
      <c r="W6550">
        <v>10683</v>
      </c>
      <c r="X6550">
        <v>11</v>
      </c>
      <c r="AC6550">
        <v>-1736</v>
      </c>
      <c r="AD6550">
        <v>12419</v>
      </c>
      <c r="AO6550">
        <v>-1</v>
      </c>
      <c r="AP6550">
        <v>12</v>
      </c>
      <c r="AU6550">
        <f t="shared" si="202"/>
        <v>11</v>
      </c>
      <c r="AV6550">
        <f t="shared" si="203"/>
        <v>0</v>
      </c>
    </row>
    <row r="6551" spans="1:48" x14ac:dyDescent="0.25">
      <c r="A6551" t="s">
        <v>15144</v>
      </c>
      <c r="B6551" t="s">
        <v>15144</v>
      </c>
      <c r="C6551" t="s">
        <v>15145</v>
      </c>
      <c r="D6551" t="s">
        <v>15146</v>
      </c>
      <c r="E6551" t="s">
        <v>2310</v>
      </c>
      <c r="F6551">
        <v>9</v>
      </c>
      <c r="G6551">
        <v>9.1999999999999993</v>
      </c>
      <c r="H6551" t="s">
        <v>2022</v>
      </c>
      <c r="I6551" s="21">
        <v>44126.6744076389</v>
      </c>
      <c r="J6551">
        <v>2020</v>
      </c>
      <c r="O6551" s="21">
        <v>44292</v>
      </c>
      <c r="Q6551" s="262">
        <v>400000</v>
      </c>
      <c r="R6551" s="262">
        <v>101000</v>
      </c>
      <c r="S6551" t="s">
        <v>114</v>
      </c>
      <c r="T6551" t="s">
        <v>114</v>
      </c>
      <c r="W6551">
        <v>796</v>
      </c>
      <c r="X6551">
        <v>0</v>
      </c>
      <c r="AC6551">
        <v>796</v>
      </c>
      <c r="AU6551">
        <f t="shared" si="202"/>
        <v>0</v>
      </c>
      <c r="AV6551">
        <f t="shared" si="203"/>
        <v>0</v>
      </c>
    </row>
    <row r="6552" spans="1:48" x14ac:dyDescent="0.25">
      <c r="A6552" t="s">
        <v>15147</v>
      </c>
      <c r="C6552" t="s">
        <v>15148</v>
      </c>
      <c r="D6552" t="s">
        <v>11973</v>
      </c>
      <c r="E6552" t="s">
        <v>1663</v>
      </c>
      <c r="F6552">
        <v>4</v>
      </c>
      <c r="G6552">
        <v>4.0999999999999996</v>
      </c>
      <c r="H6552" t="s">
        <v>2327</v>
      </c>
      <c r="I6552" s="21">
        <v>44127</v>
      </c>
      <c r="J6552">
        <v>2020</v>
      </c>
      <c r="K6552" s="21">
        <v>44159</v>
      </c>
      <c r="L6552">
        <v>2020</v>
      </c>
      <c r="M6552" s="21">
        <v>44181</v>
      </c>
      <c r="N6552">
        <v>2020</v>
      </c>
      <c r="Q6552" s="262">
        <v>140000</v>
      </c>
      <c r="S6552" t="s">
        <v>114</v>
      </c>
      <c r="T6552" t="s">
        <v>114</v>
      </c>
      <c r="W6552">
        <v>0</v>
      </c>
      <c r="X6552">
        <v>0</v>
      </c>
      <c r="AU6552">
        <f t="shared" si="202"/>
        <v>0</v>
      </c>
      <c r="AV6552">
        <f t="shared" si="203"/>
        <v>0</v>
      </c>
    </row>
    <row r="6553" spans="1:48" x14ac:dyDescent="0.25">
      <c r="A6553" t="s">
        <v>15149</v>
      </c>
      <c r="C6553" t="s">
        <v>15150</v>
      </c>
      <c r="D6553" t="s">
        <v>11973</v>
      </c>
      <c r="E6553" t="s">
        <v>1663</v>
      </c>
      <c r="F6553">
        <v>4</v>
      </c>
      <c r="G6553">
        <v>4.0999999999999996</v>
      </c>
      <c r="H6553" t="s">
        <v>2327</v>
      </c>
      <c r="I6553" s="21">
        <v>44130</v>
      </c>
      <c r="J6553">
        <v>2020</v>
      </c>
      <c r="K6553" s="21">
        <v>44200</v>
      </c>
      <c r="L6553">
        <v>2021</v>
      </c>
      <c r="M6553" s="21">
        <v>44245</v>
      </c>
      <c r="N6553">
        <v>2021</v>
      </c>
      <c r="Q6553" s="262">
        <v>150000</v>
      </c>
      <c r="S6553" t="s">
        <v>114</v>
      </c>
      <c r="T6553" t="s">
        <v>114</v>
      </c>
      <c r="W6553">
        <v>0</v>
      </c>
      <c r="X6553">
        <v>0</v>
      </c>
      <c r="AU6553">
        <f t="shared" ref="AU6553:AU6616" si="204">SUM(AN6553:AQ6553,AS6553)</f>
        <v>0</v>
      </c>
      <c r="AV6553">
        <f t="shared" ref="AV6553:AV6616" si="205">SUM(Y6553:AB6553,AH6553:AM6553)</f>
        <v>0</v>
      </c>
    </row>
    <row r="6554" spans="1:48" x14ac:dyDescent="0.25">
      <c r="A6554" t="s">
        <v>15151</v>
      </c>
      <c r="B6554" t="s">
        <v>15151</v>
      </c>
      <c r="C6554" t="s">
        <v>15152</v>
      </c>
      <c r="D6554" t="s">
        <v>1881</v>
      </c>
      <c r="E6554" t="s">
        <v>2310</v>
      </c>
      <c r="F6554">
        <v>14</v>
      </c>
      <c r="G6554">
        <v>14.3</v>
      </c>
      <c r="H6554" t="s">
        <v>2327</v>
      </c>
      <c r="I6554" s="21">
        <v>44131.450986076401</v>
      </c>
      <c r="J6554">
        <v>2020</v>
      </c>
      <c r="K6554" s="21">
        <v>44371</v>
      </c>
      <c r="L6554">
        <v>2021</v>
      </c>
      <c r="O6554" s="21">
        <v>44523</v>
      </c>
      <c r="Q6554" s="262">
        <v>35000</v>
      </c>
      <c r="R6554" s="262">
        <v>1000</v>
      </c>
      <c r="S6554" t="s">
        <v>114</v>
      </c>
      <c r="T6554" t="s">
        <v>114</v>
      </c>
      <c r="W6554">
        <v>900</v>
      </c>
      <c r="X6554">
        <v>0</v>
      </c>
      <c r="AL6554">
        <v>900</v>
      </c>
      <c r="AU6554">
        <f t="shared" si="204"/>
        <v>0</v>
      </c>
      <c r="AV6554">
        <f t="shared" si="205"/>
        <v>900</v>
      </c>
    </row>
    <row r="6555" spans="1:48" x14ac:dyDescent="0.25">
      <c r="A6555" t="s">
        <v>15153</v>
      </c>
      <c r="B6555" t="s">
        <v>15153</v>
      </c>
      <c r="C6555" t="s">
        <v>15154</v>
      </c>
      <c r="D6555" t="s">
        <v>1881</v>
      </c>
      <c r="E6555" t="s">
        <v>2310</v>
      </c>
      <c r="F6555">
        <v>14</v>
      </c>
      <c r="G6555">
        <v>14.3</v>
      </c>
      <c r="H6555" t="s">
        <v>2327</v>
      </c>
      <c r="I6555" s="21">
        <v>44131.500548298602</v>
      </c>
      <c r="J6555">
        <v>2020</v>
      </c>
      <c r="K6555" s="21">
        <v>44364</v>
      </c>
      <c r="L6555">
        <v>2021</v>
      </c>
      <c r="O6555" s="21">
        <v>44523</v>
      </c>
      <c r="Q6555" s="262">
        <v>35000</v>
      </c>
      <c r="R6555" s="262">
        <v>131000</v>
      </c>
      <c r="S6555" t="s">
        <v>114</v>
      </c>
      <c r="T6555" t="s">
        <v>114</v>
      </c>
      <c r="W6555">
        <v>2000</v>
      </c>
      <c r="X6555">
        <v>0</v>
      </c>
      <c r="AL6555">
        <v>2000</v>
      </c>
      <c r="AU6555">
        <f t="shared" si="204"/>
        <v>0</v>
      </c>
      <c r="AV6555">
        <f t="shared" si="205"/>
        <v>2000</v>
      </c>
    </row>
    <row r="6556" spans="1:48" x14ac:dyDescent="0.25">
      <c r="A6556" t="s">
        <v>15155</v>
      </c>
      <c r="C6556" t="s">
        <v>10850</v>
      </c>
      <c r="D6556" t="s">
        <v>10475</v>
      </c>
      <c r="E6556" t="s">
        <v>1663</v>
      </c>
      <c r="F6556">
        <v>3</v>
      </c>
      <c r="G6556">
        <v>3.4</v>
      </c>
      <c r="H6556" t="s">
        <v>2017</v>
      </c>
      <c r="I6556" s="21">
        <v>44132</v>
      </c>
      <c r="J6556">
        <v>2020</v>
      </c>
      <c r="K6556" s="21">
        <v>44154</v>
      </c>
      <c r="L6556">
        <v>2020</v>
      </c>
      <c r="M6556" s="21">
        <v>44398</v>
      </c>
      <c r="N6556">
        <v>2021</v>
      </c>
      <c r="Q6556" s="262">
        <v>11000</v>
      </c>
      <c r="S6556" t="s">
        <v>114</v>
      </c>
      <c r="T6556" t="s">
        <v>114</v>
      </c>
      <c r="W6556">
        <v>0</v>
      </c>
      <c r="X6556">
        <v>0</v>
      </c>
      <c r="AU6556">
        <f t="shared" si="204"/>
        <v>0</v>
      </c>
      <c r="AV6556">
        <f t="shared" si="205"/>
        <v>0</v>
      </c>
    </row>
    <row r="6557" spans="1:48" x14ac:dyDescent="0.25">
      <c r="A6557" t="s">
        <v>15156</v>
      </c>
      <c r="C6557" t="s">
        <v>13129</v>
      </c>
      <c r="D6557" t="s">
        <v>15157</v>
      </c>
      <c r="E6557" t="s">
        <v>1663</v>
      </c>
      <c r="F6557">
        <v>2</v>
      </c>
      <c r="G6557">
        <v>2.2000000000000002</v>
      </c>
      <c r="H6557" t="s">
        <v>2327</v>
      </c>
      <c r="I6557" s="21">
        <v>44138</v>
      </c>
      <c r="J6557">
        <v>2020</v>
      </c>
      <c r="K6557" s="21">
        <v>44182</v>
      </c>
      <c r="L6557">
        <v>2020</v>
      </c>
      <c r="M6557" s="21">
        <v>44545</v>
      </c>
      <c r="N6557">
        <v>2021</v>
      </c>
      <c r="Q6557" s="262">
        <v>10000</v>
      </c>
      <c r="S6557" t="s">
        <v>114</v>
      </c>
      <c r="T6557" t="s">
        <v>114</v>
      </c>
      <c r="W6557">
        <v>0</v>
      </c>
      <c r="X6557">
        <v>0</v>
      </c>
      <c r="AU6557">
        <f t="shared" si="204"/>
        <v>0</v>
      </c>
      <c r="AV6557">
        <f t="shared" si="205"/>
        <v>0</v>
      </c>
    </row>
    <row r="6558" spans="1:48" x14ac:dyDescent="0.25">
      <c r="A6558" t="s">
        <v>15158</v>
      </c>
      <c r="B6558" t="s">
        <v>15158</v>
      </c>
      <c r="C6558" t="s">
        <v>15159</v>
      </c>
      <c r="D6558" t="s">
        <v>15160</v>
      </c>
      <c r="E6558" t="s">
        <v>2310</v>
      </c>
      <c r="F6558">
        <v>8</v>
      </c>
      <c r="G6558">
        <v>8.3000000000000007</v>
      </c>
      <c r="H6558" t="s">
        <v>2323</v>
      </c>
      <c r="I6558" s="21">
        <v>44138.617925810198</v>
      </c>
      <c r="J6558">
        <v>2020</v>
      </c>
      <c r="K6558" s="21">
        <v>44285</v>
      </c>
      <c r="L6558">
        <v>2021</v>
      </c>
      <c r="Q6558" s="262">
        <v>700000</v>
      </c>
      <c r="R6558" s="262">
        <v>314000</v>
      </c>
      <c r="S6558" t="s">
        <v>114</v>
      </c>
      <c r="T6558" t="s">
        <v>114</v>
      </c>
      <c r="W6558">
        <v>2817</v>
      </c>
      <c r="X6558">
        <v>1</v>
      </c>
      <c r="AC6558">
        <v>2817</v>
      </c>
      <c r="AO6558">
        <v>1</v>
      </c>
      <c r="AU6558">
        <f t="shared" si="204"/>
        <v>1</v>
      </c>
      <c r="AV6558">
        <f t="shared" si="205"/>
        <v>0</v>
      </c>
    </row>
    <row r="6559" spans="1:48" x14ac:dyDescent="0.25">
      <c r="A6559" t="s">
        <v>15161</v>
      </c>
      <c r="C6559" t="s">
        <v>15162</v>
      </c>
      <c r="D6559" t="s">
        <v>15163</v>
      </c>
      <c r="E6559" t="s">
        <v>1663</v>
      </c>
      <c r="F6559">
        <v>2</v>
      </c>
      <c r="G6559">
        <v>2.2000000000000002</v>
      </c>
      <c r="H6559" t="s">
        <v>2327</v>
      </c>
      <c r="I6559" s="21">
        <v>44140</v>
      </c>
      <c r="J6559">
        <v>2020</v>
      </c>
      <c r="K6559" s="21">
        <v>44245</v>
      </c>
      <c r="L6559">
        <v>2021</v>
      </c>
      <c r="P6559" s="21">
        <v>44700</v>
      </c>
      <c r="Q6559" s="262">
        <v>261400</v>
      </c>
      <c r="S6559" t="s">
        <v>114</v>
      </c>
      <c r="T6559" t="s">
        <v>114</v>
      </c>
      <c r="W6559">
        <v>0</v>
      </c>
      <c r="X6559">
        <v>0</v>
      </c>
      <c r="AU6559">
        <f t="shared" si="204"/>
        <v>0</v>
      </c>
      <c r="AV6559">
        <f t="shared" si="205"/>
        <v>0</v>
      </c>
    </row>
    <row r="6560" spans="1:48" x14ac:dyDescent="0.25">
      <c r="A6560" t="s">
        <v>16329</v>
      </c>
      <c r="B6560" t="s">
        <v>16329</v>
      </c>
      <c r="C6560" t="s">
        <v>16330</v>
      </c>
      <c r="D6560" t="s">
        <v>16331</v>
      </c>
      <c r="E6560" t="s">
        <v>2310</v>
      </c>
      <c r="F6560">
        <v>9</v>
      </c>
      <c r="G6560">
        <v>9.3000000000000007</v>
      </c>
      <c r="H6560" t="s">
        <v>2323</v>
      </c>
      <c r="I6560" s="21">
        <v>44141.385023414397</v>
      </c>
      <c r="J6560">
        <v>2020</v>
      </c>
      <c r="K6560" s="21">
        <v>44341</v>
      </c>
      <c r="L6560">
        <v>2021</v>
      </c>
      <c r="M6560" s="21">
        <v>44764.572404317129</v>
      </c>
      <c r="N6560">
        <v>2022</v>
      </c>
      <c r="Q6560" s="262">
        <v>380350</v>
      </c>
      <c r="R6560" s="262">
        <v>106000</v>
      </c>
      <c r="S6560" t="s">
        <v>13253</v>
      </c>
      <c r="T6560">
        <v>4454</v>
      </c>
      <c r="V6560">
        <v>299</v>
      </c>
      <c r="W6560">
        <v>902</v>
      </c>
      <c r="X6560">
        <v>0</v>
      </c>
      <c r="AC6560">
        <v>902</v>
      </c>
      <c r="AU6560">
        <f t="shared" si="204"/>
        <v>0</v>
      </c>
      <c r="AV6560">
        <f t="shared" si="205"/>
        <v>0</v>
      </c>
    </row>
    <row r="6561" spans="1:48" x14ac:dyDescent="0.25">
      <c r="A6561" t="s">
        <v>15166</v>
      </c>
      <c r="C6561" t="s">
        <v>12530</v>
      </c>
      <c r="D6561" t="s">
        <v>15167</v>
      </c>
      <c r="E6561" t="s">
        <v>1663</v>
      </c>
      <c r="F6561">
        <v>3</v>
      </c>
      <c r="G6561">
        <v>3.1</v>
      </c>
      <c r="H6561" t="s">
        <v>2017</v>
      </c>
      <c r="I6561" s="21">
        <v>44144</v>
      </c>
      <c r="J6561">
        <v>2020</v>
      </c>
      <c r="K6561" s="21">
        <v>44169</v>
      </c>
      <c r="L6561">
        <v>2020</v>
      </c>
      <c r="M6561" s="21">
        <v>44358</v>
      </c>
      <c r="N6561">
        <v>2021</v>
      </c>
      <c r="Q6561" s="262">
        <v>10000</v>
      </c>
      <c r="S6561" t="s">
        <v>114</v>
      </c>
      <c r="T6561" t="s">
        <v>114</v>
      </c>
      <c r="W6561">
        <v>0</v>
      </c>
      <c r="X6561">
        <v>0</v>
      </c>
      <c r="AU6561">
        <f t="shared" si="204"/>
        <v>0</v>
      </c>
      <c r="AV6561">
        <f t="shared" si="205"/>
        <v>0</v>
      </c>
    </row>
    <row r="6562" spans="1:48" x14ac:dyDescent="0.25">
      <c r="A6562" t="s">
        <v>15168</v>
      </c>
      <c r="C6562" t="s">
        <v>11879</v>
      </c>
      <c r="D6562" t="s">
        <v>4692</v>
      </c>
      <c r="E6562" t="s">
        <v>1663</v>
      </c>
      <c r="F6562">
        <v>2</v>
      </c>
      <c r="G6562">
        <v>2.2000000000000002</v>
      </c>
      <c r="H6562" t="s">
        <v>2327</v>
      </c>
      <c r="I6562" s="21">
        <v>44144</v>
      </c>
      <c r="J6562">
        <v>2020</v>
      </c>
      <c r="K6562" s="21">
        <v>44210</v>
      </c>
      <c r="L6562">
        <v>2021</v>
      </c>
      <c r="M6562" s="21">
        <v>44357</v>
      </c>
      <c r="N6562">
        <v>2021</v>
      </c>
      <c r="Q6562" s="262">
        <v>1750000</v>
      </c>
      <c r="S6562" t="s">
        <v>114</v>
      </c>
      <c r="T6562" t="s">
        <v>114</v>
      </c>
      <c r="W6562">
        <v>0</v>
      </c>
      <c r="X6562">
        <v>0</v>
      </c>
      <c r="AU6562">
        <f t="shared" si="204"/>
        <v>0</v>
      </c>
      <c r="AV6562">
        <f t="shared" si="205"/>
        <v>0</v>
      </c>
    </row>
    <row r="6563" spans="1:48" x14ac:dyDescent="0.25">
      <c r="A6563" t="s">
        <v>15169</v>
      </c>
      <c r="B6563" t="s">
        <v>15169</v>
      </c>
      <c r="C6563" t="s">
        <v>15170</v>
      </c>
      <c r="D6563" t="s">
        <v>15171</v>
      </c>
      <c r="E6563" t="s">
        <v>2310</v>
      </c>
      <c r="F6563">
        <v>8</v>
      </c>
      <c r="G6563">
        <v>8.3000000000000007</v>
      </c>
      <c r="H6563" t="s">
        <v>2323</v>
      </c>
      <c r="I6563" s="21">
        <v>44145.620301469899</v>
      </c>
      <c r="J6563">
        <v>2020</v>
      </c>
      <c r="K6563" s="21">
        <v>44285</v>
      </c>
      <c r="L6563">
        <v>2021</v>
      </c>
      <c r="Q6563" s="262">
        <v>700000</v>
      </c>
      <c r="R6563" s="262">
        <v>313000</v>
      </c>
      <c r="S6563" t="s">
        <v>114</v>
      </c>
      <c r="T6563" t="s">
        <v>114</v>
      </c>
      <c r="W6563">
        <v>2817</v>
      </c>
      <c r="X6563">
        <v>1</v>
      </c>
      <c r="AC6563">
        <v>2817</v>
      </c>
      <c r="AO6563">
        <v>1</v>
      </c>
      <c r="AU6563">
        <f t="shared" si="204"/>
        <v>1</v>
      </c>
      <c r="AV6563">
        <f t="shared" si="205"/>
        <v>0</v>
      </c>
    </row>
    <row r="6564" spans="1:48" x14ac:dyDescent="0.25">
      <c r="A6564" t="s">
        <v>15172</v>
      </c>
      <c r="B6564" t="s">
        <v>15172</v>
      </c>
      <c r="C6564" t="s">
        <v>15173</v>
      </c>
      <c r="D6564" t="s">
        <v>15174</v>
      </c>
      <c r="E6564" t="s">
        <v>2310</v>
      </c>
      <c r="F6564">
        <v>8</v>
      </c>
      <c r="G6564">
        <v>8.3000000000000007</v>
      </c>
      <c r="H6564" t="s">
        <v>2323</v>
      </c>
      <c r="I6564" s="21">
        <v>44145.674763576397</v>
      </c>
      <c r="J6564">
        <v>2020</v>
      </c>
      <c r="K6564" s="21">
        <v>44285</v>
      </c>
      <c r="L6564">
        <v>2021</v>
      </c>
      <c r="Q6564" s="262">
        <v>1000000</v>
      </c>
      <c r="R6564" s="262">
        <v>525000</v>
      </c>
      <c r="S6564" t="s">
        <v>114</v>
      </c>
      <c r="T6564" t="s">
        <v>114</v>
      </c>
      <c r="W6564">
        <v>4343</v>
      </c>
      <c r="X6564">
        <v>1</v>
      </c>
      <c r="AC6564">
        <v>4343</v>
      </c>
      <c r="AO6564">
        <v>1</v>
      </c>
      <c r="AU6564">
        <f t="shared" si="204"/>
        <v>1</v>
      </c>
      <c r="AV6564">
        <f t="shared" si="205"/>
        <v>0</v>
      </c>
    </row>
    <row r="6565" spans="1:48" x14ac:dyDescent="0.25">
      <c r="A6565" t="s">
        <v>15175</v>
      </c>
      <c r="B6565" t="s">
        <v>15175</v>
      </c>
      <c r="C6565" t="s">
        <v>15176</v>
      </c>
      <c r="D6565" t="s">
        <v>15177</v>
      </c>
      <c r="E6565" t="s">
        <v>2310</v>
      </c>
      <c r="F6565">
        <v>9</v>
      </c>
      <c r="G6565">
        <v>9.1999999999999993</v>
      </c>
      <c r="H6565" t="s">
        <v>2022</v>
      </c>
      <c r="I6565" s="21">
        <v>44145.686963275497</v>
      </c>
      <c r="J6565">
        <v>2020</v>
      </c>
      <c r="K6565" s="21">
        <v>44491</v>
      </c>
      <c r="L6565">
        <v>2021</v>
      </c>
      <c r="Q6565" s="262">
        <v>375000</v>
      </c>
      <c r="R6565" s="262">
        <v>262000</v>
      </c>
      <c r="S6565" t="s">
        <v>114</v>
      </c>
      <c r="T6565" t="s">
        <v>114</v>
      </c>
      <c r="W6565">
        <v>2920</v>
      </c>
      <c r="X6565">
        <v>2</v>
      </c>
      <c r="AC6565">
        <v>2192</v>
      </c>
      <c r="AF6565">
        <v>728</v>
      </c>
      <c r="AO6565">
        <v>1</v>
      </c>
      <c r="AR6565">
        <v>1</v>
      </c>
      <c r="AU6565">
        <f t="shared" si="204"/>
        <v>1</v>
      </c>
      <c r="AV6565">
        <f t="shared" si="205"/>
        <v>0</v>
      </c>
    </row>
    <row r="6566" spans="1:48" x14ac:dyDescent="0.25">
      <c r="A6566" t="s">
        <v>14755</v>
      </c>
      <c r="C6566" t="s">
        <v>14756</v>
      </c>
      <c r="D6566" t="s">
        <v>14757</v>
      </c>
      <c r="E6566" t="s">
        <v>1663</v>
      </c>
      <c r="F6566">
        <v>6</v>
      </c>
      <c r="G6566">
        <v>6.1</v>
      </c>
      <c r="H6566" t="s">
        <v>2017</v>
      </c>
      <c r="I6566" s="21">
        <v>44151</v>
      </c>
      <c r="J6566">
        <v>2020</v>
      </c>
      <c r="K6566" s="21">
        <v>44195</v>
      </c>
      <c r="L6566">
        <v>2020</v>
      </c>
      <c r="M6566" s="21">
        <v>44567</v>
      </c>
      <c r="N6566">
        <v>2022</v>
      </c>
      <c r="P6566" s="21">
        <v>44451</v>
      </c>
      <c r="Q6566" s="262">
        <v>800000</v>
      </c>
      <c r="S6566" t="s">
        <v>13253</v>
      </c>
      <c r="T6566">
        <v>13065</v>
      </c>
      <c r="W6566">
        <v>678</v>
      </c>
      <c r="X6566">
        <v>0</v>
      </c>
      <c r="AC6566">
        <v>678</v>
      </c>
      <c r="AU6566">
        <f t="shared" si="204"/>
        <v>0</v>
      </c>
      <c r="AV6566">
        <f t="shared" si="205"/>
        <v>0</v>
      </c>
    </row>
    <row r="6567" spans="1:48" x14ac:dyDescent="0.25">
      <c r="A6567" t="s">
        <v>15180</v>
      </c>
      <c r="B6567" t="s">
        <v>15180</v>
      </c>
      <c r="C6567" t="s">
        <v>15181</v>
      </c>
      <c r="D6567" t="s">
        <v>15182</v>
      </c>
      <c r="E6567" t="s">
        <v>2310</v>
      </c>
      <c r="F6567">
        <v>8</v>
      </c>
      <c r="G6567">
        <v>8.3000000000000007</v>
      </c>
      <c r="H6567" t="s">
        <v>2323</v>
      </c>
      <c r="I6567" s="21">
        <v>44152.597031053199</v>
      </c>
      <c r="J6567">
        <v>2020</v>
      </c>
      <c r="K6567" s="21">
        <v>44285</v>
      </c>
      <c r="L6567">
        <v>2021</v>
      </c>
      <c r="Q6567" s="262">
        <v>700000</v>
      </c>
      <c r="R6567" s="262">
        <v>314000</v>
      </c>
      <c r="S6567" t="s">
        <v>114</v>
      </c>
      <c r="T6567" t="s">
        <v>114</v>
      </c>
      <c r="W6567">
        <v>2817</v>
      </c>
      <c r="X6567">
        <v>1</v>
      </c>
      <c r="AC6567">
        <v>2817</v>
      </c>
      <c r="AO6567">
        <v>1</v>
      </c>
      <c r="AU6567">
        <f t="shared" si="204"/>
        <v>1</v>
      </c>
      <c r="AV6567">
        <f t="shared" si="205"/>
        <v>0</v>
      </c>
    </row>
    <row r="6568" spans="1:48" x14ac:dyDescent="0.25">
      <c r="A6568" t="s">
        <v>15183</v>
      </c>
      <c r="B6568" t="s">
        <v>15183</v>
      </c>
      <c r="C6568" t="s">
        <v>15184</v>
      </c>
      <c r="D6568" t="s">
        <v>15185</v>
      </c>
      <c r="E6568" t="s">
        <v>2310</v>
      </c>
      <c r="F6568">
        <v>8</v>
      </c>
      <c r="G6568">
        <v>8.1999999999999993</v>
      </c>
      <c r="H6568" t="s">
        <v>2022</v>
      </c>
      <c r="I6568" s="21">
        <v>44154.609555520801</v>
      </c>
      <c r="J6568">
        <v>2020</v>
      </c>
      <c r="K6568" s="21">
        <v>44543</v>
      </c>
      <c r="L6568">
        <v>2021</v>
      </c>
      <c r="Q6568" s="262">
        <v>3000000</v>
      </c>
      <c r="R6568" s="262">
        <v>570000</v>
      </c>
      <c r="S6568" t="s">
        <v>114</v>
      </c>
      <c r="T6568" t="s">
        <v>114</v>
      </c>
      <c r="V6568">
        <v>1888</v>
      </c>
      <c r="W6568">
        <v>3148</v>
      </c>
      <c r="X6568">
        <v>0</v>
      </c>
      <c r="AC6568">
        <v>3148</v>
      </c>
      <c r="AU6568">
        <f t="shared" si="204"/>
        <v>0</v>
      </c>
      <c r="AV6568">
        <f t="shared" si="205"/>
        <v>0</v>
      </c>
    </row>
    <row r="6569" spans="1:48" x14ac:dyDescent="0.25">
      <c r="A6569" t="s">
        <v>15186</v>
      </c>
      <c r="B6569" t="s">
        <v>15186</v>
      </c>
      <c r="C6569" t="s">
        <v>15187</v>
      </c>
      <c r="D6569" t="s">
        <v>15188</v>
      </c>
      <c r="E6569" t="s">
        <v>2310</v>
      </c>
      <c r="F6569">
        <v>9</v>
      </c>
      <c r="G6569">
        <v>9.1999999999999993</v>
      </c>
      <c r="H6569" t="s">
        <v>2022</v>
      </c>
      <c r="I6569" s="21">
        <v>44154.672422997697</v>
      </c>
      <c r="J6569">
        <v>2020</v>
      </c>
      <c r="K6569" s="21">
        <v>44236</v>
      </c>
      <c r="L6569">
        <v>2021</v>
      </c>
      <c r="Q6569" s="262">
        <v>2500000</v>
      </c>
      <c r="R6569" s="262">
        <v>880000</v>
      </c>
      <c r="S6569" t="s">
        <v>114</v>
      </c>
      <c r="T6569" t="s">
        <v>114</v>
      </c>
      <c r="W6569">
        <v>8776</v>
      </c>
      <c r="X6569">
        <v>1</v>
      </c>
      <c r="AC6569">
        <v>8776</v>
      </c>
      <c r="AO6569">
        <v>1</v>
      </c>
      <c r="AU6569">
        <f t="shared" si="204"/>
        <v>1</v>
      </c>
      <c r="AV6569">
        <f t="shared" si="205"/>
        <v>0</v>
      </c>
    </row>
    <row r="6570" spans="1:48" x14ac:dyDescent="0.25">
      <c r="A6570" t="s">
        <v>15189</v>
      </c>
      <c r="C6570" t="s">
        <v>11879</v>
      </c>
      <c r="D6570" t="s">
        <v>15190</v>
      </c>
      <c r="E6570" t="s">
        <v>1663</v>
      </c>
      <c r="F6570">
        <v>3</v>
      </c>
      <c r="G6570">
        <v>3.1</v>
      </c>
      <c r="H6570" t="s">
        <v>2017</v>
      </c>
      <c r="I6570" s="21">
        <v>44155</v>
      </c>
      <c r="J6570">
        <v>2020</v>
      </c>
      <c r="K6570" s="21">
        <v>44168</v>
      </c>
      <c r="L6570">
        <v>2020</v>
      </c>
      <c r="P6570" s="21">
        <v>44416</v>
      </c>
      <c r="Q6570" s="262">
        <v>7000</v>
      </c>
      <c r="S6570" t="s">
        <v>114</v>
      </c>
      <c r="T6570" t="s">
        <v>114</v>
      </c>
      <c r="W6570">
        <v>0</v>
      </c>
      <c r="X6570">
        <v>0</v>
      </c>
      <c r="AU6570">
        <f t="shared" si="204"/>
        <v>0</v>
      </c>
      <c r="AV6570">
        <f t="shared" si="205"/>
        <v>0</v>
      </c>
    </row>
    <row r="6571" spans="1:48" x14ac:dyDescent="0.25">
      <c r="A6571" t="s">
        <v>15191</v>
      </c>
      <c r="C6571" t="s">
        <v>15192</v>
      </c>
      <c r="D6571" t="s">
        <v>13767</v>
      </c>
      <c r="E6571" t="s">
        <v>1663</v>
      </c>
      <c r="F6571">
        <v>1</v>
      </c>
      <c r="G6571">
        <v>1.1000000000000001</v>
      </c>
      <c r="H6571" t="s">
        <v>2017</v>
      </c>
      <c r="I6571" s="21">
        <v>44158</v>
      </c>
      <c r="J6571">
        <v>2020</v>
      </c>
      <c r="M6571" s="21">
        <v>44315</v>
      </c>
      <c r="N6571">
        <v>2021</v>
      </c>
      <c r="Q6571" s="262">
        <v>38000</v>
      </c>
      <c r="S6571" t="s">
        <v>114</v>
      </c>
      <c r="T6571" t="s">
        <v>114</v>
      </c>
      <c r="W6571">
        <v>0</v>
      </c>
      <c r="X6571">
        <v>0</v>
      </c>
      <c r="AU6571">
        <f t="shared" si="204"/>
        <v>0</v>
      </c>
      <c r="AV6571">
        <f t="shared" si="205"/>
        <v>0</v>
      </c>
    </row>
    <row r="6572" spans="1:48" x14ac:dyDescent="0.25">
      <c r="A6572" t="s">
        <v>15193</v>
      </c>
      <c r="B6572" t="s">
        <v>15193</v>
      </c>
      <c r="C6572" t="s">
        <v>15194</v>
      </c>
      <c r="D6572" t="s">
        <v>7005</v>
      </c>
      <c r="E6572" t="s">
        <v>2310</v>
      </c>
      <c r="F6572">
        <v>9</v>
      </c>
      <c r="G6572">
        <v>9.4</v>
      </c>
      <c r="H6572" t="s">
        <v>2323</v>
      </c>
      <c r="I6572" s="21">
        <v>44159.628300578697</v>
      </c>
      <c r="J6572">
        <v>2020</v>
      </c>
      <c r="O6572" s="21">
        <v>44355</v>
      </c>
      <c r="Q6572" s="262">
        <v>3336000</v>
      </c>
      <c r="R6572" s="262">
        <v>460000</v>
      </c>
      <c r="S6572" t="s">
        <v>114</v>
      </c>
      <c r="T6572" t="s">
        <v>114</v>
      </c>
      <c r="W6572">
        <v>4369</v>
      </c>
      <c r="X6572">
        <v>1</v>
      </c>
      <c r="AC6572">
        <v>4369</v>
      </c>
      <c r="AO6572">
        <v>1</v>
      </c>
      <c r="AU6572">
        <f t="shared" si="204"/>
        <v>1</v>
      </c>
      <c r="AV6572">
        <f t="shared" si="205"/>
        <v>0</v>
      </c>
    </row>
    <row r="6573" spans="1:48" x14ac:dyDescent="0.25">
      <c r="A6573" t="s">
        <v>16337</v>
      </c>
      <c r="B6573" t="s">
        <v>16337</v>
      </c>
      <c r="C6573" t="s">
        <v>16338</v>
      </c>
      <c r="D6573" t="s">
        <v>16339</v>
      </c>
      <c r="E6573" t="s">
        <v>2310</v>
      </c>
      <c r="F6573">
        <v>14</v>
      </c>
      <c r="G6573">
        <v>14.1</v>
      </c>
      <c r="H6573" t="s">
        <v>2022</v>
      </c>
      <c r="I6573" s="21">
        <v>44159.653683067103</v>
      </c>
      <c r="J6573">
        <v>2020</v>
      </c>
      <c r="K6573" s="21">
        <v>44244</v>
      </c>
      <c r="L6573">
        <v>2021</v>
      </c>
      <c r="M6573" s="21">
        <v>44845</v>
      </c>
      <c r="N6573">
        <v>2022</v>
      </c>
      <c r="Q6573" s="262">
        <v>500000</v>
      </c>
      <c r="R6573" s="262">
        <v>194000</v>
      </c>
      <c r="S6573" t="s">
        <v>13254</v>
      </c>
      <c r="T6573">
        <v>0</v>
      </c>
      <c r="W6573">
        <v>3408</v>
      </c>
      <c r="X6573">
        <v>1</v>
      </c>
      <c r="AC6573">
        <v>3408</v>
      </c>
      <c r="AO6573">
        <v>1</v>
      </c>
      <c r="AU6573">
        <f t="shared" si="204"/>
        <v>1</v>
      </c>
      <c r="AV6573">
        <f t="shared" si="205"/>
        <v>0</v>
      </c>
    </row>
    <row r="6574" spans="1:48" x14ac:dyDescent="0.25">
      <c r="A6574" t="s">
        <v>15197</v>
      </c>
      <c r="B6574" t="s">
        <v>15197</v>
      </c>
      <c r="C6574" t="s">
        <v>15198</v>
      </c>
      <c r="D6574" t="s">
        <v>15199</v>
      </c>
      <c r="E6574" t="s">
        <v>2310</v>
      </c>
      <c r="F6574">
        <v>8</v>
      </c>
      <c r="G6574">
        <v>8.1999999999999993</v>
      </c>
      <c r="H6574" t="s">
        <v>2022</v>
      </c>
      <c r="I6574" s="21">
        <v>44168.482964386603</v>
      </c>
      <c r="J6574">
        <v>2020</v>
      </c>
      <c r="K6574" s="21">
        <v>44208</v>
      </c>
      <c r="L6574">
        <v>2021</v>
      </c>
      <c r="Q6574" s="262">
        <v>500000</v>
      </c>
      <c r="R6574" s="262">
        <v>478000</v>
      </c>
      <c r="S6574" t="s">
        <v>114</v>
      </c>
      <c r="T6574" t="s">
        <v>114</v>
      </c>
      <c r="V6574">
        <v>4570</v>
      </c>
      <c r="W6574">
        <v>0</v>
      </c>
      <c r="X6574">
        <v>0</v>
      </c>
      <c r="AU6574">
        <f t="shared" si="204"/>
        <v>0</v>
      </c>
      <c r="AV6574">
        <f t="shared" si="205"/>
        <v>0</v>
      </c>
    </row>
    <row r="6575" spans="1:48" x14ac:dyDescent="0.25">
      <c r="A6575" t="s">
        <v>15200</v>
      </c>
      <c r="B6575" t="s">
        <v>15200</v>
      </c>
      <c r="C6575" t="s">
        <v>15201</v>
      </c>
      <c r="D6575" t="s">
        <v>15202</v>
      </c>
      <c r="E6575" t="s">
        <v>2310</v>
      </c>
      <c r="F6575">
        <v>15</v>
      </c>
      <c r="G6575">
        <v>15.2</v>
      </c>
      <c r="H6575" t="s">
        <v>2323</v>
      </c>
      <c r="I6575" s="21">
        <v>44169.438554050903</v>
      </c>
      <c r="J6575">
        <v>2020</v>
      </c>
      <c r="K6575" s="21">
        <v>44216</v>
      </c>
      <c r="L6575">
        <v>2021</v>
      </c>
      <c r="Q6575" s="262">
        <v>350000</v>
      </c>
      <c r="R6575" s="262">
        <v>61000</v>
      </c>
      <c r="S6575" t="s">
        <v>114</v>
      </c>
      <c r="T6575" t="s">
        <v>114</v>
      </c>
      <c r="V6575">
        <v>280</v>
      </c>
      <c r="W6575">
        <v>95</v>
      </c>
      <c r="X6575">
        <v>0</v>
      </c>
      <c r="AC6575">
        <v>95</v>
      </c>
      <c r="AU6575">
        <f t="shared" si="204"/>
        <v>0</v>
      </c>
      <c r="AV6575">
        <f t="shared" si="205"/>
        <v>0</v>
      </c>
    </row>
    <row r="6576" spans="1:48" x14ac:dyDescent="0.25">
      <c r="A6576" t="s">
        <v>15203</v>
      </c>
      <c r="C6576" t="s">
        <v>15204</v>
      </c>
      <c r="D6576" t="s">
        <v>15205</v>
      </c>
      <c r="E6576" t="s">
        <v>1663</v>
      </c>
      <c r="F6576">
        <v>2</v>
      </c>
      <c r="G6576">
        <v>2.2999999999999998</v>
      </c>
      <c r="H6576" t="s">
        <v>2327</v>
      </c>
      <c r="I6576" s="21">
        <v>44173</v>
      </c>
      <c r="J6576">
        <v>2020</v>
      </c>
      <c r="K6576" s="21">
        <v>44194</v>
      </c>
      <c r="L6576">
        <v>2020</v>
      </c>
      <c r="P6576" s="21">
        <v>44419</v>
      </c>
      <c r="Q6576" s="262">
        <v>0</v>
      </c>
      <c r="S6576" t="s">
        <v>114</v>
      </c>
      <c r="T6576" t="s">
        <v>114</v>
      </c>
      <c r="W6576">
        <v>0</v>
      </c>
      <c r="X6576">
        <v>0</v>
      </c>
      <c r="AU6576">
        <f t="shared" si="204"/>
        <v>0</v>
      </c>
      <c r="AV6576">
        <f t="shared" si="205"/>
        <v>0</v>
      </c>
    </row>
    <row r="6577" spans="1:48" x14ac:dyDescent="0.25">
      <c r="A6577" t="s">
        <v>16391</v>
      </c>
      <c r="B6577" t="s">
        <v>16391</v>
      </c>
      <c r="C6577" t="s">
        <v>16392</v>
      </c>
      <c r="D6577" t="s">
        <v>16393</v>
      </c>
      <c r="E6577" t="s">
        <v>2310</v>
      </c>
      <c r="F6577">
        <v>13</v>
      </c>
      <c r="G6577">
        <v>13.3</v>
      </c>
      <c r="H6577" t="s">
        <v>2017</v>
      </c>
      <c r="I6577" s="21">
        <v>44173.620976423597</v>
      </c>
      <c r="J6577">
        <v>2020</v>
      </c>
      <c r="K6577" s="21">
        <v>44369</v>
      </c>
      <c r="L6577">
        <v>2021</v>
      </c>
      <c r="M6577" s="21">
        <v>44645</v>
      </c>
      <c r="N6577">
        <v>2022</v>
      </c>
      <c r="Q6577" s="262">
        <v>130000</v>
      </c>
      <c r="R6577" s="262">
        <v>58000</v>
      </c>
      <c r="S6577" t="s">
        <v>13253</v>
      </c>
      <c r="T6577">
        <v>6676</v>
      </c>
      <c r="V6577">
        <v>334</v>
      </c>
      <c r="W6577">
        <v>232</v>
      </c>
      <c r="X6577">
        <v>0</v>
      </c>
      <c r="AC6577">
        <v>232</v>
      </c>
      <c r="AU6577">
        <f t="shared" si="204"/>
        <v>0</v>
      </c>
      <c r="AV6577">
        <f t="shared" si="205"/>
        <v>0</v>
      </c>
    </row>
    <row r="6578" spans="1:48" x14ac:dyDescent="0.25">
      <c r="A6578" t="s">
        <v>16394</v>
      </c>
      <c r="B6578" t="s">
        <v>16394</v>
      </c>
      <c r="C6578" t="s">
        <v>16395</v>
      </c>
      <c r="D6578" t="s">
        <v>16396</v>
      </c>
      <c r="E6578" t="s">
        <v>2310</v>
      </c>
      <c r="F6578">
        <v>15</v>
      </c>
      <c r="G6578">
        <v>15.2</v>
      </c>
      <c r="H6578" t="s">
        <v>2323</v>
      </c>
      <c r="I6578" s="21">
        <v>44173.6493142361</v>
      </c>
      <c r="J6578">
        <v>2020</v>
      </c>
      <c r="K6578" s="21">
        <v>44286</v>
      </c>
      <c r="L6578">
        <v>2021</v>
      </c>
      <c r="M6578" s="21">
        <v>44918</v>
      </c>
      <c r="N6578">
        <v>2022</v>
      </c>
      <c r="Q6578" s="262">
        <v>675000</v>
      </c>
      <c r="R6578" s="262">
        <v>361000</v>
      </c>
      <c r="S6578" t="s">
        <v>13254</v>
      </c>
      <c r="T6578">
        <v>0</v>
      </c>
      <c r="W6578">
        <v>2968</v>
      </c>
      <c r="X6578">
        <v>1</v>
      </c>
      <c r="AC6578">
        <v>2968</v>
      </c>
      <c r="AO6578">
        <v>1</v>
      </c>
      <c r="AU6578">
        <f t="shared" si="204"/>
        <v>1</v>
      </c>
      <c r="AV6578">
        <f t="shared" si="205"/>
        <v>0</v>
      </c>
    </row>
    <row r="6579" spans="1:48" x14ac:dyDescent="0.25">
      <c r="A6579" t="s">
        <v>16408</v>
      </c>
      <c r="B6579" t="s">
        <v>16408</v>
      </c>
      <c r="C6579" t="s">
        <v>16409</v>
      </c>
      <c r="D6579" t="s">
        <v>16396</v>
      </c>
      <c r="E6579" t="s">
        <v>2310</v>
      </c>
      <c r="F6579">
        <v>15</v>
      </c>
      <c r="G6579">
        <v>15.2</v>
      </c>
      <c r="H6579" t="s">
        <v>2323</v>
      </c>
      <c r="I6579" s="21">
        <v>44173.662496331002</v>
      </c>
      <c r="J6579">
        <v>2020</v>
      </c>
      <c r="K6579" s="21">
        <v>44286</v>
      </c>
      <c r="L6579">
        <v>2021</v>
      </c>
      <c r="M6579" s="21">
        <v>44918</v>
      </c>
      <c r="N6579">
        <v>2022</v>
      </c>
      <c r="Q6579" s="262">
        <v>25000</v>
      </c>
      <c r="R6579" s="262">
        <v>30000</v>
      </c>
      <c r="S6579" t="s">
        <v>13254</v>
      </c>
      <c r="T6579">
        <v>0</v>
      </c>
      <c r="W6579">
        <v>624</v>
      </c>
      <c r="X6579">
        <v>0</v>
      </c>
      <c r="AC6579">
        <v>624</v>
      </c>
      <c r="AU6579">
        <f t="shared" si="204"/>
        <v>0</v>
      </c>
      <c r="AV6579">
        <f t="shared" si="205"/>
        <v>0</v>
      </c>
    </row>
    <row r="6580" spans="1:48" x14ac:dyDescent="0.25">
      <c r="A6580" t="s">
        <v>15212</v>
      </c>
      <c r="B6580" t="s">
        <v>15212</v>
      </c>
      <c r="C6580" t="s">
        <v>15213</v>
      </c>
      <c r="D6580" t="s">
        <v>13307</v>
      </c>
      <c r="E6580" t="s">
        <v>2310</v>
      </c>
      <c r="F6580">
        <v>12</v>
      </c>
      <c r="G6580">
        <v>12.3</v>
      </c>
      <c r="H6580" t="s">
        <v>2017</v>
      </c>
      <c r="I6580" s="21">
        <v>44173.694400960601</v>
      </c>
      <c r="J6580">
        <v>2020</v>
      </c>
      <c r="K6580" s="21">
        <v>44337</v>
      </c>
      <c r="L6580">
        <v>2021</v>
      </c>
      <c r="Q6580" s="262">
        <v>2500000</v>
      </c>
      <c r="R6580" s="262">
        <v>712000</v>
      </c>
      <c r="S6580" t="s">
        <v>114</v>
      </c>
      <c r="T6580" t="s">
        <v>114</v>
      </c>
      <c r="W6580">
        <v>5544</v>
      </c>
      <c r="X6580">
        <v>1</v>
      </c>
      <c r="AC6580">
        <v>5544</v>
      </c>
      <c r="AO6580">
        <v>1</v>
      </c>
      <c r="AU6580">
        <f t="shared" si="204"/>
        <v>1</v>
      </c>
      <c r="AV6580">
        <f t="shared" si="205"/>
        <v>0</v>
      </c>
    </row>
    <row r="6581" spans="1:48" x14ac:dyDescent="0.25">
      <c r="A6581" t="s">
        <v>19888</v>
      </c>
      <c r="C6581" t="s">
        <v>15397</v>
      </c>
      <c r="D6581" t="s">
        <v>19889</v>
      </c>
      <c r="E6581" t="s">
        <v>1663</v>
      </c>
      <c r="F6581">
        <v>6</v>
      </c>
      <c r="G6581">
        <v>6.1</v>
      </c>
      <c r="H6581" t="s">
        <v>2017</v>
      </c>
      <c r="I6581" s="21">
        <v>44179</v>
      </c>
      <c r="J6581">
        <v>2020</v>
      </c>
      <c r="P6581" s="21">
        <v>44406</v>
      </c>
      <c r="Q6581" s="262">
        <v>750000</v>
      </c>
      <c r="S6581" t="s">
        <v>13254</v>
      </c>
      <c r="U6581">
        <v>5</v>
      </c>
      <c r="W6581">
        <v>4780</v>
      </c>
      <c r="X6581">
        <v>1</v>
      </c>
      <c r="AC6581">
        <v>4780</v>
      </c>
      <c r="AO6581">
        <v>1</v>
      </c>
      <c r="AU6581">
        <f t="shared" si="204"/>
        <v>1</v>
      </c>
      <c r="AV6581">
        <f t="shared" si="205"/>
        <v>0</v>
      </c>
    </row>
    <row r="6582" spans="1:48" x14ac:dyDescent="0.25">
      <c r="A6582" t="s">
        <v>19890</v>
      </c>
      <c r="C6582" t="s">
        <v>19891</v>
      </c>
      <c r="D6582" t="s">
        <v>19889</v>
      </c>
      <c r="E6582" t="s">
        <v>1663</v>
      </c>
      <c r="F6582">
        <v>6</v>
      </c>
      <c r="G6582">
        <v>6.1</v>
      </c>
      <c r="H6582" t="s">
        <v>2017</v>
      </c>
      <c r="I6582" s="21">
        <v>44179</v>
      </c>
      <c r="J6582">
        <v>2020</v>
      </c>
      <c r="P6582" s="21">
        <v>44407</v>
      </c>
      <c r="Q6582" s="262">
        <v>750000</v>
      </c>
      <c r="S6582" t="s">
        <v>12464</v>
      </c>
      <c r="T6582">
        <v>13052</v>
      </c>
      <c r="U6582">
        <v>5</v>
      </c>
      <c r="V6582">
        <v>2266</v>
      </c>
      <c r="W6582">
        <v>4080</v>
      </c>
      <c r="X6582">
        <v>1</v>
      </c>
      <c r="AC6582">
        <v>4080</v>
      </c>
      <c r="AO6582">
        <v>1</v>
      </c>
      <c r="AU6582">
        <f t="shared" si="204"/>
        <v>1</v>
      </c>
      <c r="AV6582">
        <f t="shared" si="205"/>
        <v>0</v>
      </c>
    </row>
    <row r="6583" spans="1:48" x14ac:dyDescent="0.25">
      <c r="A6583" t="s">
        <v>19892</v>
      </c>
      <c r="C6583" t="s">
        <v>15397</v>
      </c>
      <c r="D6583" t="s">
        <v>19893</v>
      </c>
      <c r="E6583" t="s">
        <v>1663</v>
      </c>
      <c r="F6583">
        <v>6</v>
      </c>
      <c r="G6583">
        <v>6.1</v>
      </c>
      <c r="H6583" t="s">
        <v>2017</v>
      </c>
      <c r="I6583" s="21">
        <v>44179</v>
      </c>
      <c r="J6583">
        <v>2020</v>
      </c>
      <c r="P6583" s="21">
        <v>44407</v>
      </c>
      <c r="Q6583" s="262">
        <v>750000</v>
      </c>
      <c r="S6583" t="s">
        <v>13254</v>
      </c>
      <c r="U6583">
        <v>5</v>
      </c>
      <c r="W6583">
        <v>4080</v>
      </c>
      <c r="X6583">
        <v>1</v>
      </c>
      <c r="AC6583">
        <v>4080</v>
      </c>
      <c r="AO6583">
        <v>1</v>
      </c>
      <c r="AU6583">
        <f t="shared" si="204"/>
        <v>1</v>
      </c>
      <c r="AV6583">
        <f t="shared" si="205"/>
        <v>0</v>
      </c>
    </row>
    <row r="6584" spans="1:48" x14ac:dyDescent="0.25">
      <c r="A6584" t="s">
        <v>19890</v>
      </c>
      <c r="C6584" t="s">
        <v>19891</v>
      </c>
      <c r="D6584" t="s">
        <v>19889</v>
      </c>
      <c r="E6584" t="s">
        <v>1663</v>
      </c>
      <c r="F6584">
        <v>6</v>
      </c>
      <c r="G6584">
        <v>6.1</v>
      </c>
      <c r="H6584" t="s">
        <v>2017</v>
      </c>
      <c r="I6584" s="21">
        <v>44179</v>
      </c>
      <c r="J6584">
        <v>2020</v>
      </c>
      <c r="K6584" s="21">
        <v>0</v>
      </c>
      <c r="M6584" s="21">
        <v>0</v>
      </c>
      <c r="N6584">
        <v>2020</v>
      </c>
      <c r="Q6584" s="262">
        <v>750000</v>
      </c>
      <c r="R6584" s="262">
        <v>0</v>
      </c>
      <c r="S6584" t="s">
        <v>9529</v>
      </c>
      <c r="T6584">
        <v>13052</v>
      </c>
      <c r="U6584">
        <v>5</v>
      </c>
      <c r="W6584">
        <v>-3472</v>
      </c>
      <c r="X6584">
        <v>-1</v>
      </c>
      <c r="Y6584">
        <v>0</v>
      </c>
      <c r="Z6584">
        <v>0</v>
      </c>
      <c r="AA6584">
        <v>0</v>
      </c>
      <c r="AB6584">
        <v>0</v>
      </c>
      <c r="AC6584">
        <v>-3472</v>
      </c>
      <c r="AD6584">
        <v>0</v>
      </c>
      <c r="AE6584">
        <v>0</v>
      </c>
      <c r="AF6584">
        <v>0</v>
      </c>
      <c r="AG6584">
        <v>0</v>
      </c>
      <c r="AH6584">
        <v>0</v>
      </c>
      <c r="AI6584">
        <v>0</v>
      </c>
      <c r="AJ6584">
        <v>0</v>
      </c>
      <c r="AK6584">
        <v>0</v>
      </c>
      <c r="AL6584">
        <v>0</v>
      </c>
      <c r="AM6584">
        <v>0</v>
      </c>
      <c r="AN6584">
        <v>0</v>
      </c>
      <c r="AO6584">
        <v>-1</v>
      </c>
      <c r="AP6584">
        <v>0</v>
      </c>
      <c r="AQ6584">
        <v>0</v>
      </c>
      <c r="AR6584">
        <v>0</v>
      </c>
      <c r="AS6584">
        <v>0</v>
      </c>
      <c r="AT6584">
        <v>0</v>
      </c>
      <c r="AU6584">
        <f t="shared" si="204"/>
        <v>-1</v>
      </c>
      <c r="AV6584">
        <f t="shared" si="205"/>
        <v>0</v>
      </c>
    </row>
    <row r="6585" spans="1:48" x14ac:dyDescent="0.25">
      <c r="A6585" t="s">
        <v>15214</v>
      </c>
      <c r="C6585" t="s">
        <v>12530</v>
      </c>
      <c r="D6585" t="s">
        <v>11233</v>
      </c>
      <c r="E6585" t="s">
        <v>1663</v>
      </c>
      <c r="F6585">
        <v>5</v>
      </c>
      <c r="G6585">
        <v>5.2</v>
      </c>
      <c r="H6585" t="s">
        <v>2327</v>
      </c>
      <c r="I6585" s="21">
        <v>44179</v>
      </c>
      <c r="J6585">
        <v>2020</v>
      </c>
      <c r="K6585" s="21">
        <v>44216</v>
      </c>
      <c r="L6585">
        <v>2021</v>
      </c>
      <c r="M6585" s="21">
        <v>44306</v>
      </c>
      <c r="N6585">
        <v>2021</v>
      </c>
      <c r="Q6585" s="262">
        <v>15000</v>
      </c>
      <c r="S6585" t="s">
        <v>114</v>
      </c>
      <c r="T6585" t="s">
        <v>114</v>
      </c>
      <c r="W6585">
        <v>0</v>
      </c>
      <c r="X6585">
        <v>0</v>
      </c>
      <c r="AU6585">
        <f t="shared" si="204"/>
        <v>0</v>
      </c>
      <c r="AV6585">
        <f t="shared" si="205"/>
        <v>0</v>
      </c>
    </row>
    <row r="6586" spans="1:48" x14ac:dyDescent="0.25">
      <c r="A6586" t="s">
        <v>15216</v>
      </c>
      <c r="C6586" t="s">
        <v>15217</v>
      </c>
      <c r="D6586" t="s">
        <v>13316</v>
      </c>
      <c r="E6586" t="s">
        <v>1663</v>
      </c>
      <c r="F6586">
        <v>5</v>
      </c>
      <c r="G6586">
        <v>5.2</v>
      </c>
      <c r="H6586" t="s">
        <v>2327</v>
      </c>
      <c r="I6586" s="21">
        <v>44179</v>
      </c>
      <c r="J6586">
        <v>2020</v>
      </c>
      <c r="M6586" s="21">
        <v>44287</v>
      </c>
      <c r="N6586">
        <v>2021</v>
      </c>
      <c r="Q6586" s="262">
        <v>49622</v>
      </c>
      <c r="S6586" t="s">
        <v>114</v>
      </c>
      <c r="T6586" t="s">
        <v>114</v>
      </c>
      <c r="V6586">
        <v>588</v>
      </c>
      <c r="W6586">
        <v>0</v>
      </c>
      <c r="X6586">
        <v>0</v>
      </c>
      <c r="AS6586">
        <v>0</v>
      </c>
      <c r="AU6586">
        <f t="shared" si="204"/>
        <v>0</v>
      </c>
      <c r="AV6586">
        <f t="shared" si="205"/>
        <v>0</v>
      </c>
    </row>
    <row r="6587" spans="1:48" x14ac:dyDescent="0.25">
      <c r="A6587" t="s">
        <v>15215</v>
      </c>
      <c r="C6587" t="s">
        <v>11879</v>
      </c>
      <c r="D6587" t="s">
        <v>7954</v>
      </c>
      <c r="E6587" t="s">
        <v>1663</v>
      </c>
      <c r="F6587">
        <v>2</v>
      </c>
      <c r="G6587">
        <v>2.2999999999999998</v>
      </c>
      <c r="H6587" t="s">
        <v>2327</v>
      </c>
      <c r="I6587" s="21">
        <v>44179</v>
      </c>
      <c r="J6587">
        <v>2020</v>
      </c>
      <c r="K6587" s="21">
        <v>44208</v>
      </c>
      <c r="L6587">
        <v>2021</v>
      </c>
      <c r="P6587" s="21">
        <v>44531</v>
      </c>
      <c r="Q6587" s="262">
        <v>375000</v>
      </c>
      <c r="S6587" t="s">
        <v>114</v>
      </c>
      <c r="T6587" t="s">
        <v>114</v>
      </c>
      <c r="W6587">
        <v>0</v>
      </c>
      <c r="X6587">
        <v>0</v>
      </c>
      <c r="AU6587">
        <f t="shared" si="204"/>
        <v>0</v>
      </c>
      <c r="AV6587">
        <f t="shared" si="205"/>
        <v>0</v>
      </c>
    </row>
    <row r="6588" spans="1:48" x14ac:dyDescent="0.25">
      <c r="A6588" t="s">
        <v>16427</v>
      </c>
      <c r="B6588" t="s">
        <v>16427</v>
      </c>
      <c r="C6588" t="s">
        <v>16428</v>
      </c>
      <c r="D6588" t="s">
        <v>16429</v>
      </c>
      <c r="E6588" t="s">
        <v>2310</v>
      </c>
      <c r="F6588">
        <v>9</v>
      </c>
      <c r="G6588">
        <v>9.1999999999999993</v>
      </c>
      <c r="H6588" t="s">
        <v>2022</v>
      </c>
      <c r="I6588" s="21">
        <v>44180.558988344899</v>
      </c>
      <c r="J6588">
        <v>2020</v>
      </c>
      <c r="K6588" s="21">
        <v>44263</v>
      </c>
      <c r="L6588">
        <v>2021</v>
      </c>
      <c r="M6588" s="21">
        <v>44627</v>
      </c>
      <c r="N6588">
        <v>2022</v>
      </c>
      <c r="Q6588" s="262">
        <v>315000</v>
      </c>
      <c r="R6588" s="262">
        <v>36000</v>
      </c>
      <c r="S6588" t="s">
        <v>13254</v>
      </c>
      <c r="T6588">
        <v>0</v>
      </c>
      <c r="W6588">
        <v>742</v>
      </c>
      <c r="X6588">
        <v>0</v>
      </c>
      <c r="AC6588">
        <v>742</v>
      </c>
      <c r="AU6588">
        <f t="shared" si="204"/>
        <v>0</v>
      </c>
      <c r="AV6588">
        <f t="shared" si="205"/>
        <v>0</v>
      </c>
    </row>
    <row r="6589" spans="1:48" x14ac:dyDescent="0.25">
      <c r="A6589" t="s">
        <v>16430</v>
      </c>
      <c r="B6589" t="s">
        <v>16430</v>
      </c>
      <c r="C6589" t="s">
        <v>15698</v>
      </c>
      <c r="D6589" t="s">
        <v>16429</v>
      </c>
      <c r="E6589" t="s">
        <v>2310</v>
      </c>
      <c r="F6589">
        <v>9</v>
      </c>
      <c r="G6589">
        <v>9.1999999999999993</v>
      </c>
      <c r="H6589" t="s">
        <v>2022</v>
      </c>
      <c r="I6589" s="21">
        <v>44180.569972106503</v>
      </c>
      <c r="J6589">
        <v>2020</v>
      </c>
      <c r="K6589" s="21">
        <v>44263</v>
      </c>
      <c r="L6589">
        <v>2021</v>
      </c>
      <c r="M6589" s="21">
        <v>44620</v>
      </c>
      <c r="N6589">
        <v>2022</v>
      </c>
      <c r="Q6589" s="262">
        <v>850000</v>
      </c>
      <c r="R6589" s="262">
        <v>119000</v>
      </c>
      <c r="S6589" t="s">
        <v>13254</v>
      </c>
      <c r="T6589">
        <v>0</v>
      </c>
      <c r="W6589">
        <v>1000</v>
      </c>
      <c r="X6589">
        <v>1</v>
      </c>
      <c r="AF6589">
        <v>1000</v>
      </c>
      <c r="AR6589">
        <v>1</v>
      </c>
      <c r="AU6589">
        <f t="shared" si="204"/>
        <v>0</v>
      </c>
      <c r="AV6589">
        <f t="shared" si="205"/>
        <v>0</v>
      </c>
    </row>
    <row r="6590" spans="1:48" x14ac:dyDescent="0.25">
      <c r="A6590" t="s">
        <v>20016</v>
      </c>
      <c r="B6590" t="s">
        <v>20016</v>
      </c>
      <c r="C6590" t="s">
        <v>20017</v>
      </c>
      <c r="D6590" t="s">
        <v>1832</v>
      </c>
      <c r="E6590" t="s">
        <v>2310</v>
      </c>
      <c r="F6590">
        <v>9</v>
      </c>
      <c r="G6590">
        <v>9.3000000000000007</v>
      </c>
      <c r="H6590" t="s">
        <v>2323</v>
      </c>
      <c r="I6590" s="21">
        <v>44180.596100312498</v>
      </c>
      <c r="J6590">
        <v>2020</v>
      </c>
      <c r="K6590" s="21">
        <v>44208</v>
      </c>
      <c r="L6590">
        <v>2021</v>
      </c>
      <c r="M6590" s="21">
        <v>44462</v>
      </c>
      <c r="N6590">
        <v>2021</v>
      </c>
      <c r="Q6590" s="262">
        <v>66150</v>
      </c>
      <c r="R6590" s="262">
        <v>20000</v>
      </c>
      <c r="S6590" t="s">
        <v>13254</v>
      </c>
      <c r="U6590">
        <v>15</v>
      </c>
      <c r="W6590">
        <v>441</v>
      </c>
      <c r="X6590">
        <v>0</v>
      </c>
      <c r="AM6590">
        <v>441</v>
      </c>
      <c r="AU6590">
        <f t="shared" si="204"/>
        <v>0</v>
      </c>
      <c r="AV6590">
        <f t="shared" si="205"/>
        <v>441</v>
      </c>
    </row>
    <row r="6591" spans="1:48" x14ac:dyDescent="0.25">
      <c r="A6591" t="s">
        <v>16431</v>
      </c>
      <c r="B6591" t="s">
        <v>16431</v>
      </c>
      <c r="C6591" t="s">
        <v>16432</v>
      </c>
      <c r="D6591" t="s">
        <v>13266</v>
      </c>
      <c r="E6591" t="s">
        <v>2310</v>
      </c>
      <c r="F6591">
        <v>12</v>
      </c>
      <c r="G6591">
        <v>12.3</v>
      </c>
      <c r="H6591" t="s">
        <v>2017</v>
      </c>
      <c r="I6591" s="21">
        <v>44182.426573726902</v>
      </c>
      <c r="J6591">
        <v>2020</v>
      </c>
      <c r="K6591" s="21">
        <v>44406</v>
      </c>
      <c r="L6591">
        <v>2021</v>
      </c>
      <c r="M6591" s="21">
        <v>44851</v>
      </c>
      <c r="N6591">
        <v>2022</v>
      </c>
      <c r="Q6591" s="262">
        <v>1700000</v>
      </c>
      <c r="R6591" s="262">
        <v>235000</v>
      </c>
      <c r="S6591" t="s">
        <v>13253</v>
      </c>
      <c r="T6591">
        <v>3834</v>
      </c>
      <c r="V6591">
        <v>1463</v>
      </c>
      <c r="W6591">
        <v>714</v>
      </c>
      <c r="X6591">
        <v>0</v>
      </c>
      <c r="AC6591">
        <v>714</v>
      </c>
      <c r="AU6591">
        <f t="shared" si="204"/>
        <v>0</v>
      </c>
      <c r="AV6591">
        <f t="shared" si="205"/>
        <v>0</v>
      </c>
    </row>
    <row r="6592" spans="1:48" x14ac:dyDescent="0.25">
      <c r="A6592" t="s">
        <v>16446</v>
      </c>
      <c r="B6592" t="s">
        <v>16446</v>
      </c>
      <c r="C6592" t="s">
        <v>16447</v>
      </c>
      <c r="D6592" t="s">
        <v>16448</v>
      </c>
      <c r="E6592" t="s">
        <v>2310</v>
      </c>
      <c r="F6592">
        <v>12</v>
      </c>
      <c r="G6592">
        <v>12.3</v>
      </c>
      <c r="H6592" t="s">
        <v>2017</v>
      </c>
      <c r="I6592" s="21">
        <v>44182.469801817097</v>
      </c>
      <c r="J6592">
        <v>2020</v>
      </c>
      <c r="K6592" s="21">
        <v>44273</v>
      </c>
      <c r="L6592">
        <v>2021</v>
      </c>
      <c r="M6592" s="21">
        <v>44596</v>
      </c>
      <c r="N6592">
        <v>2022</v>
      </c>
      <c r="Q6592" s="262">
        <v>100000</v>
      </c>
      <c r="R6592" s="262">
        <v>107000</v>
      </c>
      <c r="S6592" t="s">
        <v>13253</v>
      </c>
      <c r="T6592">
        <v>3489</v>
      </c>
      <c r="V6592">
        <v>1202</v>
      </c>
      <c r="W6592">
        <v>0</v>
      </c>
      <c r="X6592">
        <v>0</v>
      </c>
      <c r="AU6592">
        <f t="shared" si="204"/>
        <v>0</v>
      </c>
      <c r="AV6592">
        <f t="shared" si="205"/>
        <v>0</v>
      </c>
    </row>
    <row r="6593" spans="1:48" x14ac:dyDescent="0.25">
      <c r="A6593" t="s">
        <v>15226</v>
      </c>
      <c r="B6593" t="s">
        <v>15226</v>
      </c>
      <c r="C6593" t="s">
        <v>15227</v>
      </c>
      <c r="D6593" t="s">
        <v>15228</v>
      </c>
      <c r="E6593" t="s">
        <v>2310</v>
      </c>
      <c r="F6593">
        <v>9</v>
      </c>
      <c r="G6593">
        <v>9.4</v>
      </c>
      <c r="H6593" t="s">
        <v>2323</v>
      </c>
      <c r="I6593" s="21">
        <v>44182.561074108802</v>
      </c>
      <c r="J6593">
        <v>2020</v>
      </c>
      <c r="K6593" s="21">
        <v>44272</v>
      </c>
      <c r="L6593">
        <v>2021</v>
      </c>
      <c r="Q6593" s="262">
        <v>3400000</v>
      </c>
      <c r="R6593" s="262">
        <v>761000</v>
      </c>
      <c r="S6593" t="s">
        <v>114</v>
      </c>
      <c r="T6593" t="s">
        <v>114</v>
      </c>
      <c r="W6593">
        <v>6042</v>
      </c>
      <c r="X6593">
        <v>1</v>
      </c>
      <c r="AC6593">
        <v>6042</v>
      </c>
      <c r="AO6593">
        <v>1</v>
      </c>
      <c r="AU6593">
        <f t="shared" si="204"/>
        <v>1</v>
      </c>
      <c r="AV6593">
        <f t="shared" si="205"/>
        <v>0</v>
      </c>
    </row>
    <row r="6594" spans="1:48" x14ac:dyDescent="0.25">
      <c r="A6594" t="s">
        <v>15229</v>
      </c>
      <c r="B6594" t="s">
        <v>15229</v>
      </c>
      <c r="C6594" t="s">
        <v>15230</v>
      </c>
      <c r="D6594" t="s">
        <v>15231</v>
      </c>
      <c r="E6594" t="s">
        <v>2310</v>
      </c>
      <c r="F6594">
        <v>8</v>
      </c>
      <c r="G6594">
        <v>8.3000000000000007</v>
      </c>
      <c r="H6594" t="s">
        <v>2323</v>
      </c>
      <c r="I6594" s="21">
        <v>44182.617609988403</v>
      </c>
      <c r="J6594">
        <v>2020</v>
      </c>
      <c r="K6594" s="21">
        <v>44302</v>
      </c>
      <c r="L6594">
        <v>2021</v>
      </c>
      <c r="Q6594" s="262">
        <v>1000000</v>
      </c>
      <c r="R6594" s="262">
        <v>546000</v>
      </c>
      <c r="S6594" t="s">
        <v>114</v>
      </c>
      <c r="T6594" t="s">
        <v>114</v>
      </c>
      <c r="W6594">
        <v>4330</v>
      </c>
      <c r="X6594">
        <v>1</v>
      </c>
      <c r="AC6594">
        <v>4330</v>
      </c>
      <c r="AO6594">
        <v>1</v>
      </c>
      <c r="AU6594">
        <f t="shared" si="204"/>
        <v>1</v>
      </c>
      <c r="AV6594">
        <f t="shared" si="205"/>
        <v>0</v>
      </c>
    </row>
    <row r="6595" spans="1:48" x14ac:dyDescent="0.25">
      <c r="A6595" t="s">
        <v>14758</v>
      </c>
      <c r="C6595" t="s">
        <v>14611</v>
      </c>
      <c r="D6595" t="s">
        <v>9164</v>
      </c>
      <c r="E6595" t="s">
        <v>1663</v>
      </c>
      <c r="F6595">
        <v>3</v>
      </c>
      <c r="G6595">
        <v>3.2</v>
      </c>
      <c r="H6595" t="s">
        <v>2327</v>
      </c>
      <c r="I6595" s="21">
        <v>44183</v>
      </c>
      <c r="J6595">
        <v>2020</v>
      </c>
      <c r="K6595" s="21">
        <v>44229</v>
      </c>
      <c r="L6595">
        <v>2021</v>
      </c>
      <c r="M6595" s="21">
        <v>44582</v>
      </c>
      <c r="N6595">
        <v>2022</v>
      </c>
      <c r="P6595" s="21">
        <v>44732</v>
      </c>
      <c r="Q6595" s="262">
        <v>2500000</v>
      </c>
      <c r="S6595" t="s">
        <v>13253</v>
      </c>
      <c r="T6595">
        <v>11580</v>
      </c>
      <c r="W6595">
        <v>0</v>
      </c>
      <c r="X6595">
        <v>0</v>
      </c>
      <c r="AU6595">
        <f t="shared" si="204"/>
        <v>0</v>
      </c>
      <c r="AV6595">
        <f t="shared" si="205"/>
        <v>0</v>
      </c>
    </row>
    <row r="6596" spans="1:48" x14ac:dyDescent="0.25">
      <c r="A6596" t="s">
        <v>15232</v>
      </c>
      <c r="C6596" t="s">
        <v>15233</v>
      </c>
      <c r="D6596" t="s">
        <v>7694</v>
      </c>
      <c r="E6596" t="s">
        <v>1663</v>
      </c>
      <c r="F6596">
        <v>2</v>
      </c>
      <c r="G6596">
        <v>2.2999999999999998</v>
      </c>
      <c r="H6596" t="s">
        <v>2327</v>
      </c>
      <c r="I6596" s="21">
        <v>44183</v>
      </c>
      <c r="J6596">
        <v>2020</v>
      </c>
      <c r="K6596" s="21">
        <v>44229</v>
      </c>
      <c r="L6596">
        <v>2021</v>
      </c>
      <c r="P6596" s="21">
        <v>44419</v>
      </c>
      <c r="Q6596" s="262">
        <v>0</v>
      </c>
      <c r="S6596" t="s">
        <v>114</v>
      </c>
      <c r="T6596" t="s">
        <v>114</v>
      </c>
      <c r="W6596">
        <v>0</v>
      </c>
      <c r="X6596">
        <v>0</v>
      </c>
      <c r="AU6596">
        <f t="shared" si="204"/>
        <v>0</v>
      </c>
      <c r="AV6596">
        <f t="shared" si="205"/>
        <v>0</v>
      </c>
    </row>
    <row r="6597" spans="1:48" x14ac:dyDescent="0.25">
      <c r="A6597" t="s">
        <v>16476</v>
      </c>
      <c r="B6597" t="s">
        <v>16476</v>
      </c>
      <c r="C6597" t="s">
        <v>16477</v>
      </c>
      <c r="D6597" t="s">
        <v>16478</v>
      </c>
      <c r="E6597" t="s">
        <v>2310</v>
      </c>
      <c r="F6597">
        <v>9</v>
      </c>
      <c r="G6597">
        <v>9.1</v>
      </c>
      <c r="H6597" t="s">
        <v>2323</v>
      </c>
      <c r="I6597" s="21">
        <v>44187.446240196798</v>
      </c>
      <c r="J6597">
        <v>2020</v>
      </c>
      <c r="K6597" s="21">
        <v>44272</v>
      </c>
      <c r="L6597">
        <v>2021</v>
      </c>
      <c r="M6597" s="21">
        <v>44645</v>
      </c>
      <c r="N6597">
        <v>2022</v>
      </c>
      <c r="Q6597" s="262">
        <v>1400000</v>
      </c>
      <c r="R6597" s="262">
        <v>583000</v>
      </c>
      <c r="S6597" t="s">
        <v>13254</v>
      </c>
      <c r="T6597">
        <v>0</v>
      </c>
      <c r="W6597">
        <v>4989</v>
      </c>
      <c r="X6597">
        <v>1</v>
      </c>
      <c r="AC6597">
        <v>4989</v>
      </c>
      <c r="AO6597">
        <v>1</v>
      </c>
      <c r="AU6597">
        <f t="shared" si="204"/>
        <v>1</v>
      </c>
      <c r="AV6597">
        <f t="shared" si="205"/>
        <v>0</v>
      </c>
    </row>
    <row r="6598" spans="1:48" x14ac:dyDescent="0.25">
      <c r="A6598" t="s">
        <v>16486</v>
      </c>
      <c r="B6598" t="s">
        <v>16486</v>
      </c>
      <c r="C6598" t="s">
        <v>16487</v>
      </c>
      <c r="D6598" t="s">
        <v>16488</v>
      </c>
      <c r="E6598" t="s">
        <v>2310</v>
      </c>
      <c r="F6598">
        <v>9</v>
      </c>
      <c r="G6598">
        <v>9.1</v>
      </c>
      <c r="H6598" t="s">
        <v>2323</v>
      </c>
      <c r="I6598" s="21">
        <v>44187.462621643499</v>
      </c>
      <c r="J6598">
        <v>2020</v>
      </c>
      <c r="K6598" s="21">
        <v>44455</v>
      </c>
      <c r="L6598">
        <v>2021</v>
      </c>
      <c r="M6598" s="21">
        <v>44910</v>
      </c>
      <c r="N6598">
        <v>2022</v>
      </c>
      <c r="Q6598" s="262">
        <v>1500000</v>
      </c>
      <c r="R6598" s="262">
        <v>576000</v>
      </c>
      <c r="S6598" t="s">
        <v>13254</v>
      </c>
      <c r="T6598">
        <v>0</v>
      </c>
      <c r="W6598">
        <v>4840</v>
      </c>
      <c r="X6598">
        <v>1</v>
      </c>
      <c r="AC6598">
        <v>4840</v>
      </c>
      <c r="AO6598">
        <v>1</v>
      </c>
      <c r="AU6598">
        <f t="shared" si="204"/>
        <v>1</v>
      </c>
      <c r="AV6598">
        <f t="shared" si="205"/>
        <v>0</v>
      </c>
    </row>
    <row r="6599" spans="1:48" x14ac:dyDescent="0.25">
      <c r="A6599" t="s">
        <v>15240</v>
      </c>
      <c r="B6599" t="s">
        <v>15240</v>
      </c>
      <c r="C6599" t="s">
        <v>15241</v>
      </c>
      <c r="D6599" t="s">
        <v>15242</v>
      </c>
      <c r="E6599" t="s">
        <v>2310</v>
      </c>
      <c r="F6599">
        <v>9</v>
      </c>
      <c r="G6599">
        <v>9.3000000000000007</v>
      </c>
      <c r="H6599" t="s">
        <v>2323</v>
      </c>
      <c r="I6599" s="21">
        <v>44187.505393368097</v>
      </c>
      <c r="J6599">
        <v>2020</v>
      </c>
      <c r="K6599" s="21">
        <v>44368</v>
      </c>
      <c r="L6599">
        <v>2021</v>
      </c>
      <c r="Q6599" s="262">
        <v>6800000</v>
      </c>
      <c r="R6599" s="262">
        <v>1236000</v>
      </c>
      <c r="S6599" t="s">
        <v>114</v>
      </c>
      <c r="T6599" t="s">
        <v>114</v>
      </c>
      <c r="W6599">
        <v>8476</v>
      </c>
      <c r="X6599">
        <v>1</v>
      </c>
      <c r="AC6599">
        <v>8476</v>
      </c>
      <c r="AO6599">
        <v>1</v>
      </c>
      <c r="AU6599">
        <f t="shared" si="204"/>
        <v>1</v>
      </c>
      <c r="AV6599">
        <f t="shared" si="205"/>
        <v>0</v>
      </c>
    </row>
    <row r="6600" spans="1:48" x14ac:dyDescent="0.25">
      <c r="A6600" t="s">
        <v>15243</v>
      </c>
      <c r="B6600" t="s">
        <v>15243</v>
      </c>
      <c r="C6600" t="s">
        <v>15244</v>
      </c>
      <c r="D6600" t="s">
        <v>15242</v>
      </c>
      <c r="E6600" t="s">
        <v>2310</v>
      </c>
      <c r="F6600">
        <v>9</v>
      </c>
      <c r="G6600">
        <v>9.3000000000000007</v>
      </c>
      <c r="H6600" t="s">
        <v>2323</v>
      </c>
      <c r="I6600" s="21">
        <v>44187.515584340297</v>
      </c>
      <c r="J6600">
        <v>2020</v>
      </c>
      <c r="K6600" s="21">
        <v>44368</v>
      </c>
      <c r="L6600">
        <v>2021</v>
      </c>
      <c r="Q6600" s="262">
        <v>1200000</v>
      </c>
      <c r="R6600" s="262">
        <v>141000</v>
      </c>
      <c r="S6600" t="s">
        <v>114</v>
      </c>
      <c r="T6600" t="s">
        <v>114</v>
      </c>
      <c r="W6600">
        <v>1524</v>
      </c>
      <c r="X6600">
        <v>1</v>
      </c>
      <c r="AF6600">
        <v>1524</v>
      </c>
      <c r="AR6600">
        <v>1</v>
      </c>
      <c r="AU6600">
        <f t="shared" si="204"/>
        <v>0</v>
      </c>
      <c r="AV6600">
        <f t="shared" si="205"/>
        <v>0</v>
      </c>
    </row>
    <row r="6601" spans="1:48" x14ac:dyDescent="0.25">
      <c r="A6601" t="s">
        <v>15245</v>
      </c>
      <c r="B6601" t="s">
        <v>15245</v>
      </c>
      <c r="C6601" t="s">
        <v>15246</v>
      </c>
      <c r="D6601" t="s">
        <v>10910</v>
      </c>
      <c r="E6601" t="s">
        <v>2310</v>
      </c>
      <c r="F6601">
        <v>9</v>
      </c>
      <c r="G6601">
        <v>9.3000000000000007</v>
      </c>
      <c r="H6601" t="s">
        <v>2323</v>
      </c>
      <c r="I6601" s="21">
        <v>44187.553407488398</v>
      </c>
      <c r="J6601">
        <v>2020</v>
      </c>
      <c r="K6601" s="21">
        <v>44279</v>
      </c>
      <c r="L6601">
        <v>2021</v>
      </c>
      <c r="Q6601" s="262">
        <v>820000</v>
      </c>
      <c r="R6601" s="262">
        <v>148000</v>
      </c>
      <c r="S6601" t="s">
        <v>114</v>
      </c>
      <c r="T6601" t="s">
        <v>114</v>
      </c>
      <c r="W6601">
        <v>1000</v>
      </c>
      <c r="X6601">
        <v>1</v>
      </c>
      <c r="AF6601">
        <v>1000</v>
      </c>
      <c r="AR6601">
        <v>1</v>
      </c>
      <c r="AU6601">
        <f t="shared" si="204"/>
        <v>0</v>
      </c>
      <c r="AV6601">
        <f t="shared" si="205"/>
        <v>0</v>
      </c>
    </row>
    <row r="6602" spans="1:48" x14ac:dyDescent="0.25">
      <c r="A6602" t="s">
        <v>15247</v>
      </c>
      <c r="C6602" t="s">
        <v>11964</v>
      </c>
      <c r="D6602" t="s">
        <v>15248</v>
      </c>
      <c r="E6602" t="s">
        <v>1663</v>
      </c>
      <c r="F6602">
        <v>3</v>
      </c>
      <c r="G6602">
        <v>3.2</v>
      </c>
      <c r="H6602" t="s">
        <v>2327</v>
      </c>
      <c r="I6602" s="21">
        <v>44194</v>
      </c>
      <c r="J6602">
        <v>2020</v>
      </c>
      <c r="M6602" s="21">
        <v>44428</v>
      </c>
      <c r="N6602">
        <v>2021</v>
      </c>
      <c r="Q6602" s="262">
        <v>275000</v>
      </c>
      <c r="S6602" t="s">
        <v>114</v>
      </c>
      <c r="T6602" t="s">
        <v>114</v>
      </c>
      <c r="W6602">
        <v>0</v>
      </c>
      <c r="X6602">
        <v>0</v>
      </c>
      <c r="AU6602">
        <f t="shared" si="204"/>
        <v>0</v>
      </c>
      <c r="AV6602">
        <f t="shared" si="205"/>
        <v>0</v>
      </c>
    </row>
    <row r="6603" spans="1:48" x14ac:dyDescent="0.25">
      <c r="A6603" t="s">
        <v>15249</v>
      </c>
      <c r="B6603" t="s">
        <v>15249</v>
      </c>
      <c r="C6603" t="s">
        <v>15250</v>
      </c>
      <c r="D6603" t="s">
        <v>15251</v>
      </c>
      <c r="E6603" t="s">
        <v>2310</v>
      </c>
      <c r="F6603">
        <v>8</v>
      </c>
      <c r="G6603">
        <v>8.1999999999999993</v>
      </c>
      <c r="H6603" t="s">
        <v>2022</v>
      </c>
      <c r="I6603" s="21">
        <v>44194.470102314801</v>
      </c>
      <c r="J6603">
        <v>2020</v>
      </c>
      <c r="K6603" s="21">
        <v>44495</v>
      </c>
      <c r="L6603">
        <v>2021</v>
      </c>
      <c r="Q6603" s="262">
        <v>4200000</v>
      </c>
      <c r="R6603" s="262">
        <v>720000</v>
      </c>
      <c r="S6603" t="s">
        <v>114</v>
      </c>
      <c r="T6603" t="s">
        <v>114</v>
      </c>
      <c r="V6603">
        <v>6005</v>
      </c>
      <c r="W6603">
        <v>0</v>
      </c>
      <c r="X6603">
        <v>0</v>
      </c>
      <c r="AU6603">
        <f t="shared" si="204"/>
        <v>0</v>
      </c>
      <c r="AV6603">
        <f t="shared" si="205"/>
        <v>0</v>
      </c>
    </row>
    <row r="6604" spans="1:48" x14ac:dyDescent="0.25">
      <c r="A6604" t="s">
        <v>15252</v>
      </c>
      <c r="B6604" t="s">
        <v>15252</v>
      </c>
      <c r="C6604" t="s">
        <v>15253</v>
      </c>
      <c r="D6604" t="s">
        <v>15254</v>
      </c>
      <c r="E6604" t="s">
        <v>2310</v>
      </c>
      <c r="F6604">
        <v>8</v>
      </c>
      <c r="G6604">
        <v>8.3000000000000007</v>
      </c>
      <c r="H6604" t="s">
        <v>2323</v>
      </c>
      <c r="I6604" s="21">
        <v>44194.560370914398</v>
      </c>
      <c r="J6604">
        <v>2020</v>
      </c>
      <c r="K6604" s="21">
        <v>44250</v>
      </c>
      <c r="L6604">
        <v>2021</v>
      </c>
      <c r="M6604" s="21">
        <v>44484</v>
      </c>
      <c r="N6604">
        <v>2021</v>
      </c>
      <c r="Q6604" s="262">
        <v>120000</v>
      </c>
      <c r="R6604" s="262">
        <v>86000</v>
      </c>
      <c r="S6604" t="s">
        <v>114</v>
      </c>
      <c r="T6604" t="s">
        <v>114</v>
      </c>
      <c r="V6604">
        <v>968</v>
      </c>
      <c r="W6604">
        <v>0</v>
      </c>
      <c r="X6604">
        <v>0</v>
      </c>
      <c r="AU6604">
        <f t="shared" si="204"/>
        <v>0</v>
      </c>
      <c r="AV6604">
        <f t="shared" si="205"/>
        <v>0</v>
      </c>
    </row>
    <row r="6605" spans="1:48" x14ac:dyDescent="0.25">
      <c r="A6605" t="s">
        <v>16562</v>
      </c>
      <c r="B6605" t="s">
        <v>16562</v>
      </c>
      <c r="C6605" t="s">
        <v>16563</v>
      </c>
      <c r="D6605" t="s">
        <v>10580</v>
      </c>
      <c r="E6605" t="s">
        <v>2310</v>
      </c>
      <c r="F6605">
        <v>9</v>
      </c>
      <c r="G6605">
        <v>9.3000000000000007</v>
      </c>
      <c r="H6605" t="s">
        <v>2323</v>
      </c>
      <c r="I6605" s="21">
        <v>44194.573350312501</v>
      </c>
      <c r="J6605">
        <v>2020</v>
      </c>
      <c r="K6605" s="21">
        <v>44313</v>
      </c>
      <c r="L6605">
        <v>2021</v>
      </c>
      <c r="M6605" s="21">
        <v>44624</v>
      </c>
      <c r="N6605">
        <v>2022</v>
      </c>
      <c r="Q6605" s="262">
        <v>75000</v>
      </c>
      <c r="R6605" s="262">
        <v>45000</v>
      </c>
      <c r="S6605" t="s">
        <v>13254</v>
      </c>
      <c r="T6605">
        <v>0</v>
      </c>
      <c r="W6605">
        <v>0</v>
      </c>
      <c r="X6605">
        <v>0</v>
      </c>
      <c r="AU6605">
        <f t="shared" si="204"/>
        <v>0</v>
      </c>
      <c r="AV6605">
        <f t="shared" si="205"/>
        <v>0</v>
      </c>
    </row>
    <row r="6606" spans="1:48" x14ac:dyDescent="0.25">
      <c r="A6606" t="s">
        <v>15258</v>
      </c>
      <c r="B6606" t="s">
        <v>15258</v>
      </c>
      <c r="C6606" t="s">
        <v>15259</v>
      </c>
      <c r="D6606" t="s">
        <v>2949</v>
      </c>
      <c r="E6606" t="s">
        <v>2310</v>
      </c>
      <c r="F6606">
        <v>13</v>
      </c>
      <c r="G6606">
        <v>13.1</v>
      </c>
      <c r="H6606" t="s">
        <v>2327</v>
      </c>
      <c r="I6606" s="21">
        <v>44194.606916006902</v>
      </c>
      <c r="J6606">
        <v>2020</v>
      </c>
      <c r="K6606" s="21">
        <v>44260</v>
      </c>
      <c r="L6606">
        <v>2021</v>
      </c>
      <c r="M6606" s="21">
        <v>44519</v>
      </c>
      <c r="N6606">
        <v>2021</v>
      </c>
      <c r="Q6606" s="262">
        <v>1800000</v>
      </c>
      <c r="R6606" s="262">
        <v>755000</v>
      </c>
      <c r="S6606" t="s">
        <v>114</v>
      </c>
      <c r="T6606" t="s">
        <v>114</v>
      </c>
      <c r="V6606">
        <v>8098</v>
      </c>
      <c r="W6606">
        <v>0</v>
      </c>
      <c r="X6606">
        <v>0</v>
      </c>
      <c r="AU6606">
        <f t="shared" si="204"/>
        <v>0</v>
      </c>
      <c r="AV6606">
        <f t="shared" si="205"/>
        <v>0</v>
      </c>
    </row>
    <row r="6607" spans="1:48" x14ac:dyDescent="0.25">
      <c r="A6607" t="s">
        <v>15260</v>
      </c>
      <c r="B6607" t="s">
        <v>15260</v>
      </c>
      <c r="C6607" t="s">
        <v>15261</v>
      </c>
      <c r="D6607" t="s">
        <v>15262</v>
      </c>
      <c r="E6607" t="s">
        <v>2310</v>
      </c>
      <c r="F6607">
        <v>13</v>
      </c>
      <c r="G6607">
        <v>13.1</v>
      </c>
      <c r="H6607" t="s">
        <v>2327</v>
      </c>
      <c r="I6607" s="21">
        <v>44201.561482870398</v>
      </c>
      <c r="J6607">
        <v>2021</v>
      </c>
      <c r="K6607" s="21">
        <v>44357</v>
      </c>
      <c r="L6607">
        <v>2021</v>
      </c>
      <c r="Q6607" s="262">
        <v>225000000</v>
      </c>
      <c r="R6607" s="262">
        <v>23773000</v>
      </c>
      <c r="S6607" t="s">
        <v>114</v>
      </c>
      <c r="T6607" t="s">
        <v>114</v>
      </c>
      <c r="V6607">
        <v>0</v>
      </c>
      <c r="W6607">
        <v>253128</v>
      </c>
      <c r="X6607">
        <v>33</v>
      </c>
      <c r="AD6607">
        <v>26777</v>
      </c>
      <c r="AE6607">
        <v>8084</v>
      </c>
      <c r="AH6607">
        <v>1958</v>
      </c>
      <c r="AI6607">
        <v>214309</v>
      </c>
      <c r="AK6607">
        <v>2000</v>
      </c>
      <c r="AP6607">
        <v>6</v>
      </c>
      <c r="AQ6607">
        <v>8</v>
      </c>
      <c r="AT6607">
        <v>19</v>
      </c>
      <c r="AU6607">
        <f t="shared" si="204"/>
        <v>14</v>
      </c>
      <c r="AV6607">
        <f t="shared" si="205"/>
        <v>218267</v>
      </c>
    </row>
    <row r="6608" spans="1:48" x14ac:dyDescent="0.25">
      <c r="A6608" t="s">
        <v>15265</v>
      </c>
      <c r="C6608" t="s">
        <v>13129</v>
      </c>
      <c r="D6608" t="s">
        <v>14418</v>
      </c>
      <c r="E6608" t="s">
        <v>1663</v>
      </c>
      <c r="F6608">
        <v>4</v>
      </c>
      <c r="G6608">
        <v>4.3</v>
      </c>
      <c r="H6608" t="s">
        <v>2327</v>
      </c>
      <c r="I6608" s="21">
        <v>44207</v>
      </c>
      <c r="J6608">
        <v>2021</v>
      </c>
      <c r="K6608" s="21">
        <v>44221</v>
      </c>
      <c r="L6608">
        <v>2021</v>
      </c>
      <c r="P6608" s="21">
        <v>44467</v>
      </c>
      <c r="Q6608" s="262">
        <v>5000</v>
      </c>
      <c r="S6608" t="s">
        <v>114</v>
      </c>
      <c r="T6608" t="s">
        <v>114</v>
      </c>
      <c r="W6608">
        <v>0</v>
      </c>
      <c r="X6608">
        <v>0</v>
      </c>
      <c r="AU6608">
        <f t="shared" si="204"/>
        <v>0</v>
      </c>
      <c r="AV6608">
        <f t="shared" si="205"/>
        <v>0</v>
      </c>
    </row>
    <row r="6609" spans="1:48" x14ac:dyDescent="0.25">
      <c r="A6609" t="s">
        <v>14773</v>
      </c>
      <c r="C6609" t="s">
        <v>14774</v>
      </c>
      <c r="D6609" t="s">
        <v>14775</v>
      </c>
      <c r="E6609" t="s">
        <v>1663</v>
      </c>
      <c r="F6609">
        <v>2</v>
      </c>
      <c r="G6609">
        <v>2.1</v>
      </c>
      <c r="H6609" t="s">
        <v>2327</v>
      </c>
      <c r="I6609" s="21">
        <v>44207</v>
      </c>
      <c r="J6609">
        <v>2021</v>
      </c>
      <c r="K6609" s="21">
        <v>44298</v>
      </c>
      <c r="L6609">
        <v>2021</v>
      </c>
      <c r="M6609" s="21">
        <v>44852</v>
      </c>
      <c r="N6609">
        <v>2022</v>
      </c>
      <c r="P6609" s="21">
        <v>44725</v>
      </c>
      <c r="Q6609" s="262">
        <v>860000</v>
      </c>
      <c r="S6609" t="s">
        <v>13254</v>
      </c>
      <c r="V6609">
        <v>480</v>
      </c>
      <c r="W6609">
        <v>1550</v>
      </c>
      <c r="X6609">
        <v>1</v>
      </c>
      <c r="AC6609">
        <v>-480</v>
      </c>
      <c r="AE6609">
        <v>2030</v>
      </c>
      <c r="AQ6609">
        <v>1</v>
      </c>
      <c r="AU6609">
        <f t="shared" si="204"/>
        <v>1</v>
      </c>
      <c r="AV6609">
        <f t="shared" si="205"/>
        <v>0</v>
      </c>
    </row>
    <row r="6610" spans="1:48" x14ac:dyDescent="0.25">
      <c r="A6610" t="s">
        <v>16577</v>
      </c>
      <c r="B6610" t="s">
        <v>16577</v>
      </c>
      <c r="C6610" t="s">
        <v>16578</v>
      </c>
      <c r="D6610" t="s">
        <v>16579</v>
      </c>
      <c r="E6610" t="s">
        <v>2310</v>
      </c>
      <c r="F6610">
        <v>15</v>
      </c>
      <c r="G6610">
        <v>15.2</v>
      </c>
      <c r="H6610" t="s">
        <v>2323</v>
      </c>
      <c r="I6610" s="21">
        <v>44208.445226932898</v>
      </c>
      <c r="J6610">
        <v>2021</v>
      </c>
      <c r="K6610" s="21">
        <v>44263</v>
      </c>
      <c r="L6610">
        <v>2021</v>
      </c>
      <c r="M6610" s="21">
        <v>44564.428419641205</v>
      </c>
      <c r="N6610">
        <v>2022</v>
      </c>
      <c r="Q6610" s="262">
        <v>150000</v>
      </c>
      <c r="R6610" s="262">
        <v>59000</v>
      </c>
      <c r="S6610" t="s">
        <v>13254</v>
      </c>
      <c r="T6610">
        <v>0</v>
      </c>
      <c r="V6610">
        <v>0</v>
      </c>
      <c r="W6610">
        <v>1224</v>
      </c>
      <c r="X6610">
        <v>0</v>
      </c>
      <c r="AC6610">
        <v>1224</v>
      </c>
      <c r="AU6610">
        <f t="shared" si="204"/>
        <v>0</v>
      </c>
      <c r="AV6610">
        <f t="shared" si="205"/>
        <v>0</v>
      </c>
    </row>
    <row r="6611" spans="1:48" x14ac:dyDescent="0.25">
      <c r="A6611" t="s">
        <v>15268</v>
      </c>
      <c r="B6611" t="s">
        <v>15268</v>
      </c>
      <c r="C6611" t="s">
        <v>15269</v>
      </c>
      <c r="D6611" t="s">
        <v>15270</v>
      </c>
      <c r="E6611" t="s">
        <v>2310</v>
      </c>
      <c r="F6611">
        <v>7</v>
      </c>
      <c r="G6611">
        <v>7.2</v>
      </c>
      <c r="H6611" t="s">
        <v>2017</v>
      </c>
      <c r="I6611" s="21">
        <v>44208.556645833298</v>
      </c>
      <c r="J6611">
        <v>2021</v>
      </c>
      <c r="K6611" s="21">
        <v>44302</v>
      </c>
      <c r="L6611">
        <v>2021</v>
      </c>
      <c r="Q6611" s="262">
        <v>300000</v>
      </c>
      <c r="R6611" s="262">
        <v>194000</v>
      </c>
      <c r="S6611" t="s">
        <v>114</v>
      </c>
      <c r="T6611" t="s">
        <v>114</v>
      </c>
      <c r="V6611">
        <v>0</v>
      </c>
      <c r="W6611">
        <v>3720</v>
      </c>
      <c r="X6611">
        <v>0</v>
      </c>
      <c r="AC6611">
        <v>3720</v>
      </c>
      <c r="AU6611">
        <f t="shared" si="204"/>
        <v>0</v>
      </c>
      <c r="AV6611">
        <f t="shared" si="205"/>
        <v>0</v>
      </c>
    </row>
    <row r="6612" spans="1:48" x14ac:dyDescent="0.25">
      <c r="A6612" t="s">
        <v>16594</v>
      </c>
      <c r="B6612" t="s">
        <v>16594</v>
      </c>
      <c r="C6612" t="s">
        <v>16595</v>
      </c>
      <c r="D6612" t="s">
        <v>16596</v>
      </c>
      <c r="E6612" t="s">
        <v>2310</v>
      </c>
      <c r="F6612">
        <v>8</v>
      </c>
      <c r="G6612">
        <v>8.1</v>
      </c>
      <c r="H6612" t="s">
        <v>2323</v>
      </c>
      <c r="I6612" s="21">
        <v>44210.559672338</v>
      </c>
      <c r="J6612">
        <v>2021</v>
      </c>
      <c r="K6612" s="21">
        <v>44302</v>
      </c>
      <c r="L6612">
        <v>2021</v>
      </c>
      <c r="M6612" s="21">
        <v>44918</v>
      </c>
      <c r="N6612">
        <v>2022</v>
      </c>
      <c r="Q6612" s="262">
        <v>3800000</v>
      </c>
      <c r="R6612" s="262">
        <v>774000</v>
      </c>
      <c r="S6612" t="s">
        <v>13254</v>
      </c>
      <c r="T6612">
        <v>0</v>
      </c>
      <c r="V6612">
        <v>0</v>
      </c>
      <c r="W6612">
        <v>6299</v>
      </c>
      <c r="X6612">
        <v>1</v>
      </c>
      <c r="AC6612">
        <v>6299</v>
      </c>
      <c r="AO6612">
        <v>1</v>
      </c>
      <c r="AU6612">
        <f t="shared" si="204"/>
        <v>1</v>
      </c>
      <c r="AV6612">
        <f t="shared" si="205"/>
        <v>0</v>
      </c>
    </row>
    <row r="6613" spans="1:48" x14ac:dyDescent="0.25">
      <c r="A6613" t="s">
        <v>15273</v>
      </c>
      <c r="B6613" t="s">
        <v>15273</v>
      </c>
      <c r="C6613" t="s">
        <v>15274</v>
      </c>
      <c r="D6613" t="s">
        <v>15275</v>
      </c>
      <c r="E6613" t="s">
        <v>2310</v>
      </c>
      <c r="F6613">
        <v>8</v>
      </c>
      <c r="G6613">
        <v>8.3000000000000007</v>
      </c>
      <c r="H6613" t="s">
        <v>2323</v>
      </c>
      <c r="I6613" s="21">
        <v>44210.600144444397</v>
      </c>
      <c r="J6613">
        <v>2021</v>
      </c>
      <c r="K6613" s="21">
        <v>44315</v>
      </c>
      <c r="L6613">
        <v>2021</v>
      </c>
      <c r="Q6613" s="262">
        <v>1000000</v>
      </c>
      <c r="R6613" s="262">
        <v>584000</v>
      </c>
      <c r="S6613" t="s">
        <v>114</v>
      </c>
      <c r="T6613" t="s">
        <v>114</v>
      </c>
      <c r="V6613">
        <v>0</v>
      </c>
      <c r="W6613">
        <v>4711</v>
      </c>
      <c r="X6613">
        <v>1</v>
      </c>
      <c r="AC6613">
        <v>4711</v>
      </c>
      <c r="AO6613">
        <v>1</v>
      </c>
      <c r="AU6613">
        <f t="shared" si="204"/>
        <v>1</v>
      </c>
      <c r="AV6613">
        <f t="shared" si="205"/>
        <v>0</v>
      </c>
    </row>
    <row r="6614" spans="1:48" x14ac:dyDescent="0.25">
      <c r="A6614" t="s">
        <v>14784</v>
      </c>
      <c r="C6614" t="s">
        <v>14785</v>
      </c>
      <c r="D6614" t="s">
        <v>14786</v>
      </c>
      <c r="E6614" t="s">
        <v>1663</v>
      </c>
      <c r="F6614">
        <v>3</v>
      </c>
      <c r="G6614">
        <v>3.2</v>
      </c>
      <c r="H6614" t="s">
        <v>2327</v>
      </c>
      <c r="I6614" s="21">
        <v>44215</v>
      </c>
      <c r="J6614">
        <v>2021</v>
      </c>
      <c r="K6614" s="21">
        <v>44231</v>
      </c>
      <c r="L6614">
        <v>2021</v>
      </c>
      <c r="M6614" s="21">
        <v>44781</v>
      </c>
      <c r="N6614">
        <v>2022</v>
      </c>
      <c r="P6614" s="21">
        <v>44670</v>
      </c>
      <c r="Q6614" s="262">
        <v>750000</v>
      </c>
      <c r="S6614" t="s">
        <v>13254</v>
      </c>
      <c r="W6614">
        <v>2011</v>
      </c>
      <c r="X6614">
        <v>1</v>
      </c>
      <c r="AE6614">
        <v>2011</v>
      </c>
      <c r="AQ6614">
        <v>1</v>
      </c>
      <c r="AU6614">
        <f t="shared" si="204"/>
        <v>1</v>
      </c>
      <c r="AV6614">
        <f t="shared" si="205"/>
        <v>0</v>
      </c>
    </row>
    <row r="6615" spans="1:48" x14ac:dyDescent="0.25">
      <c r="A6615" t="s">
        <v>16597</v>
      </c>
      <c r="B6615" t="s">
        <v>16597</v>
      </c>
      <c r="C6615" t="s">
        <v>16598</v>
      </c>
      <c r="D6615" t="s">
        <v>16599</v>
      </c>
      <c r="E6615" t="s">
        <v>2310</v>
      </c>
      <c r="F6615">
        <v>9</v>
      </c>
      <c r="G6615">
        <v>9.1</v>
      </c>
      <c r="H6615" t="s">
        <v>2323</v>
      </c>
      <c r="I6615" s="21">
        <v>44215.469243321801</v>
      </c>
      <c r="J6615">
        <v>2021</v>
      </c>
      <c r="K6615" s="21">
        <v>44543</v>
      </c>
      <c r="L6615">
        <v>2021</v>
      </c>
      <c r="M6615" s="21">
        <v>44657.705739780089</v>
      </c>
      <c r="N6615">
        <v>2022</v>
      </c>
      <c r="Q6615" s="262">
        <v>1500000</v>
      </c>
      <c r="R6615" s="262">
        <v>577000</v>
      </c>
      <c r="S6615" t="s">
        <v>13254</v>
      </c>
      <c r="T6615">
        <v>0</v>
      </c>
      <c r="V6615">
        <v>0</v>
      </c>
      <c r="W6615">
        <v>4116</v>
      </c>
      <c r="X6615">
        <v>1</v>
      </c>
      <c r="AC6615">
        <v>4116</v>
      </c>
      <c r="AO6615">
        <v>1</v>
      </c>
      <c r="AU6615">
        <f t="shared" si="204"/>
        <v>1</v>
      </c>
      <c r="AV6615">
        <f t="shared" si="205"/>
        <v>0</v>
      </c>
    </row>
    <row r="6616" spans="1:48" x14ac:dyDescent="0.25">
      <c r="A6616" t="s">
        <v>16620</v>
      </c>
      <c r="B6616" t="s">
        <v>16620</v>
      </c>
      <c r="C6616" t="s">
        <v>16621</v>
      </c>
      <c r="D6616" t="s">
        <v>14770</v>
      </c>
      <c r="E6616" t="s">
        <v>2310</v>
      </c>
      <c r="F6616">
        <v>9</v>
      </c>
      <c r="G6616">
        <v>9.3000000000000007</v>
      </c>
      <c r="H6616" t="s">
        <v>2323</v>
      </c>
      <c r="I6616" s="21">
        <v>44215.491006794</v>
      </c>
      <c r="J6616">
        <v>2021</v>
      </c>
      <c r="K6616" s="21">
        <v>44266</v>
      </c>
      <c r="L6616">
        <v>2021</v>
      </c>
      <c r="M6616" s="21">
        <v>44851</v>
      </c>
      <c r="N6616">
        <v>2022</v>
      </c>
      <c r="Q6616" s="262">
        <v>1850000</v>
      </c>
      <c r="R6616" s="262">
        <v>1044000</v>
      </c>
      <c r="S6616" t="s">
        <v>13254</v>
      </c>
      <c r="T6616">
        <v>0</v>
      </c>
      <c r="V6616">
        <v>0</v>
      </c>
      <c r="W6616">
        <v>7224</v>
      </c>
      <c r="X6616">
        <v>1</v>
      </c>
      <c r="AC6616">
        <v>7224</v>
      </c>
      <c r="AO6616">
        <v>1</v>
      </c>
      <c r="AU6616">
        <f t="shared" si="204"/>
        <v>1</v>
      </c>
      <c r="AV6616">
        <f t="shared" si="205"/>
        <v>0</v>
      </c>
    </row>
    <row r="6617" spans="1:48" x14ac:dyDescent="0.25">
      <c r="A6617" t="s">
        <v>15282</v>
      </c>
      <c r="B6617" t="s">
        <v>15282</v>
      </c>
      <c r="C6617" t="s">
        <v>15283</v>
      </c>
      <c r="D6617" t="s">
        <v>13423</v>
      </c>
      <c r="E6617" t="s">
        <v>2310</v>
      </c>
      <c r="F6617">
        <v>14</v>
      </c>
      <c r="G6617">
        <v>14.1</v>
      </c>
      <c r="H6617" t="s">
        <v>2022</v>
      </c>
      <c r="I6617" s="21">
        <v>44215.679031909698</v>
      </c>
      <c r="J6617">
        <v>2021</v>
      </c>
      <c r="K6617" s="21">
        <v>44341</v>
      </c>
      <c r="L6617">
        <v>2021</v>
      </c>
      <c r="Q6617" s="262">
        <v>500000</v>
      </c>
      <c r="R6617" s="262">
        <v>369000</v>
      </c>
      <c r="S6617" t="s">
        <v>114</v>
      </c>
      <c r="T6617" t="s">
        <v>114</v>
      </c>
      <c r="V6617">
        <v>0</v>
      </c>
      <c r="W6617">
        <v>3484</v>
      </c>
      <c r="X6617">
        <v>1</v>
      </c>
      <c r="AC6617">
        <v>3484</v>
      </c>
      <c r="AO6617">
        <v>1</v>
      </c>
      <c r="AU6617">
        <f t="shared" ref="AU6617:AU6680" si="206">SUM(AN6617:AQ6617,AS6617)</f>
        <v>1</v>
      </c>
      <c r="AV6617">
        <f t="shared" ref="AV6617:AV6680" si="207">SUM(Y6617:AB6617,AH6617:AM6617)</f>
        <v>0</v>
      </c>
    </row>
    <row r="6618" spans="1:48" x14ac:dyDescent="0.25">
      <c r="A6618" t="s">
        <v>15284</v>
      </c>
      <c r="B6618" t="s">
        <v>15284</v>
      </c>
      <c r="C6618" t="s">
        <v>15285</v>
      </c>
      <c r="D6618" t="s">
        <v>4365</v>
      </c>
      <c r="E6618" t="s">
        <v>2310</v>
      </c>
      <c r="F6618">
        <v>9</v>
      </c>
      <c r="G6618">
        <v>9.1</v>
      </c>
      <c r="H6618" t="s">
        <v>2323</v>
      </c>
      <c r="I6618" s="21">
        <v>44216.372256516202</v>
      </c>
      <c r="J6618">
        <v>2021</v>
      </c>
      <c r="K6618" s="21">
        <v>44305</v>
      </c>
      <c r="L6618">
        <v>2021</v>
      </c>
      <c r="M6618" s="21">
        <v>44361</v>
      </c>
      <c r="N6618">
        <v>2021</v>
      </c>
      <c r="Q6618" s="262">
        <v>100000</v>
      </c>
      <c r="R6618" s="262">
        <v>47000</v>
      </c>
      <c r="S6618" t="s">
        <v>114</v>
      </c>
      <c r="T6618" t="s">
        <v>114</v>
      </c>
      <c r="V6618">
        <v>389</v>
      </c>
      <c r="W6618">
        <v>0</v>
      </c>
      <c r="X6618">
        <v>0</v>
      </c>
      <c r="AU6618">
        <f t="shared" si="206"/>
        <v>0</v>
      </c>
      <c r="AV6618">
        <f t="shared" si="207"/>
        <v>0</v>
      </c>
    </row>
    <row r="6619" spans="1:48" x14ac:dyDescent="0.25">
      <c r="A6619" t="s">
        <v>15222</v>
      </c>
      <c r="B6619" t="s">
        <v>15222</v>
      </c>
      <c r="C6619" t="s">
        <v>15223</v>
      </c>
      <c r="D6619" t="s">
        <v>4365</v>
      </c>
      <c r="E6619" t="s">
        <v>2310</v>
      </c>
      <c r="F6619">
        <v>9</v>
      </c>
      <c r="G6619">
        <v>9.1</v>
      </c>
      <c r="H6619" t="s">
        <v>2323</v>
      </c>
      <c r="I6619" s="21">
        <v>44216.391291469903</v>
      </c>
      <c r="J6619">
        <v>2021</v>
      </c>
      <c r="K6619" s="21">
        <v>44369</v>
      </c>
      <c r="L6619">
        <v>2021</v>
      </c>
      <c r="M6619" s="21">
        <v>44659</v>
      </c>
      <c r="N6619">
        <v>2022</v>
      </c>
      <c r="Q6619" s="262">
        <v>45200</v>
      </c>
      <c r="R6619" s="262">
        <v>39000</v>
      </c>
      <c r="S6619" t="s">
        <v>13253</v>
      </c>
      <c r="T6619">
        <v>14068</v>
      </c>
      <c r="V6619">
        <v>0</v>
      </c>
      <c r="W6619">
        <v>668</v>
      </c>
      <c r="X6619">
        <v>0</v>
      </c>
      <c r="AM6619">
        <v>668</v>
      </c>
      <c r="AU6619">
        <f t="shared" si="206"/>
        <v>0</v>
      </c>
      <c r="AV6619">
        <f t="shared" si="207"/>
        <v>668</v>
      </c>
    </row>
    <row r="6620" spans="1:48" x14ac:dyDescent="0.25">
      <c r="A6620" t="s">
        <v>16622</v>
      </c>
      <c r="B6620" t="s">
        <v>16622</v>
      </c>
      <c r="C6620" t="s">
        <v>16623</v>
      </c>
      <c r="D6620" t="s">
        <v>10910</v>
      </c>
      <c r="E6620" t="s">
        <v>2310</v>
      </c>
      <c r="F6620">
        <v>9</v>
      </c>
      <c r="G6620">
        <v>9.3000000000000007</v>
      </c>
      <c r="H6620" t="s">
        <v>2323</v>
      </c>
      <c r="I6620" s="21">
        <v>44217.374512928203</v>
      </c>
      <c r="J6620">
        <v>2021</v>
      </c>
      <c r="K6620" s="21">
        <v>44278</v>
      </c>
      <c r="L6620">
        <v>2021</v>
      </c>
      <c r="M6620" s="21">
        <v>44923</v>
      </c>
      <c r="N6620">
        <v>2022</v>
      </c>
      <c r="Q6620" s="262">
        <v>820000</v>
      </c>
      <c r="R6620" s="262">
        <v>148000</v>
      </c>
      <c r="S6620" t="s">
        <v>13254</v>
      </c>
      <c r="T6620">
        <v>0</v>
      </c>
      <c r="V6620">
        <v>0</v>
      </c>
      <c r="W6620">
        <v>432</v>
      </c>
      <c r="X6620">
        <v>0</v>
      </c>
      <c r="AC6620">
        <v>432</v>
      </c>
      <c r="AU6620">
        <f t="shared" si="206"/>
        <v>0</v>
      </c>
      <c r="AV6620">
        <f t="shared" si="207"/>
        <v>0</v>
      </c>
    </row>
    <row r="6621" spans="1:48" x14ac:dyDescent="0.25">
      <c r="A6621" t="s">
        <v>15291</v>
      </c>
      <c r="B6621" t="s">
        <v>15291</v>
      </c>
      <c r="C6621" t="s">
        <v>15292</v>
      </c>
      <c r="D6621" t="s">
        <v>15293</v>
      </c>
      <c r="E6621" t="s">
        <v>2310</v>
      </c>
      <c r="F6621">
        <v>9</v>
      </c>
      <c r="G6621">
        <v>9.1999999999999993</v>
      </c>
      <c r="H6621" t="s">
        <v>2022</v>
      </c>
      <c r="I6621" s="21">
        <v>44217.435319479198</v>
      </c>
      <c r="J6621">
        <v>2021</v>
      </c>
      <c r="K6621" s="21">
        <v>44501</v>
      </c>
      <c r="L6621">
        <v>2021</v>
      </c>
      <c r="Q6621" s="262">
        <v>8253000</v>
      </c>
      <c r="R6621" s="262">
        <v>999000</v>
      </c>
      <c r="S6621" t="s">
        <v>114</v>
      </c>
      <c r="T6621" t="s">
        <v>114</v>
      </c>
      <c r="V6621">
        <v>0</v>
      </c>
      <c r="W6621">
        <v>7860</v>
      </c>
      <c r="X6621">
        <v>1</v>
      </c>
      <c r="AC6621">
        <v>7860</v>
      </c>
      <c r="AO6621">
        <v>1</v>
      </c>
      <c r="AU6621">
        <f t="shared" si="206"/>
        <v>1</v>
      </c>
      <c r="AV6621">
        <f t="shared" si="207"/>
        <v>0</v>
      </c>
    </row>
    <row r="6622" spans="1:48" x14ac:dyDescent="0.25">
      <c r="A6622" t="s">
        <v>15294</v>
      </c>
      <c r="B6622" t="s">
        <v>15294</v>
      </c>
      <c r="C6622" t="s">
        <v>15295</v>
      </c>
      <c r="D6622" t="s">
        <v>15296</v>
      </c>
      <c r="E6622" t="s">
        <v>2310</v>
      </c>
      <c r="F6622">
        <v>12</v>
      </c>
      <c r="G6622">
        <v>12.3</v>
      </c>
      <c r="H6622" t="s">
        <v>2017</v>
      </c>
      <c r="I6622" s="21">
        <v>44217.568392789399</v>
      </c>
      <c r="J6622">
        <v>2021</v>
      </c>
      <c r="K6622" s="21">
        <v>44454</v>
      </c>
      <c r="L6622">
        <v>2021</v>
      </c>
      <c r="Q6622" s="262">
        <v>3000000</v>
      </c>
      <c r="R6622" s="262">
        <v>800000</v>
      </c>
      <c r="S6622" t="s">
        <v>114</v>
      </c>
      <c r="T6622" t="s">
        <v>114</v>
      </c>
      <c r="V6622">
        <v>6572</v>
      </c>
      <c r="W6622">
        <v>0</v>
      </c>
      <c r="X6622">
        <v>0</v>
      </c>
      <c r="AU6622">
        <f t="shared" si="206"/>
        <v>0</v>
      </c>
      <c r="AV6622">
        <f t="shared" si="207"/>
        <v>0</v>
      </c>
    </row>
    <row r="6623" spans="1:48" x14ac:dyDescent="0.25">
      <c r="A6623" t="s">
        <v>15297</v>
      </c>
      <c r="B6623" t="s">
        <v>15297</v>
      </c>
      <c r="C6623" t="s">
        <v>15298</v>
      </c>
      <c r="D6623" t="s">
        <v>15299</v>
      </c>
      <c r="E6623" t="s">
        <v>2310</v>
      </c>
      <c r="F6623">
        <v>8</v>
      </c>
      <c r="G6623">
        <v>8.3000000000000007</v>
      </c>
      <c r="H6623" t="s">
        <v>2323</v>
      </c>
      <c r="I6623" s="21">
        <v>44217.607776539298</v>
      </c>
      <c r="J6623">
        <v>2021</v>
      </c>
      <c r="K6623" s="21">
        <v>44285</v>
      </c>
      <c r="L6623">
        <v>2021</v>
      </c>
      <c r="Q6623" s="262">
        <v>1000000</v>
      </c>
      <c r="R6623" s="262">
        <v>525000</v>
      </c>
      <c r="S6623" t="s">
        <v>114</v>
      </c>
      <c r="T6623" t="s">
        <v>114</v>
      </c>
      <c r="V6623">
        <v>0</v>
      </c>
      <c r="W6623">
        <v>4343</v>
      </c>
      <c r="X6623">
        <v>1</v>
      </c>
      <c r="AC6623">
        <v>4343</v>
      </c>
      <c r="AO6623">
        <v>1</v>
      </c>
      <c r="AU6623">
        <f t="shared" si="206"/>
        <v>1</v>
      </c>
      <c r="AV6623">
        <f t="shared" si="207"/>
        <v>0</v>
      </c>
    </row>
    <row r="6624" spans="1:48" x14ac:dyDescent="0.25">
      <c r="A6624" t="s">
        <v>15300</v>
      </c>
      <c r="B6624" t="s">
        <v>15300</v>
      </c>
      <c r="C6624" t="s">
        <v>15301</v>
      </c>
      <c r="D6624" t="s">
        <v>15302</v>
      </c>
      <c r="E6624" t="s">
        <v>2310</v>
      </c>
      <c r="F6624">
        <v>8</v>
      </c>
      <c r="G6624">
        <v>8.3000000000000007</v>
      </c>
      <c r="H6624" t="s">
        <v>2323</v>
      </c>
      <c r="I6624" s="21">
        <v>44217.608073842603</v>
      </c>
      <c r="J6624">
        <v>2021</v>
      </c>
      <c r="K6624" s="21">
        <v>44285</v>
      </c>
      <c r="L6624">
        <v>2021</v>
      </c>
      <c r="Q6624" s="262">
        <v>700000</v>
      </c>
      <c r="R6624" s="262">
        <v>314000</v>
      </c>
      <c r="S6624" t="s">
        <v>114</v>
      </c>
      <c r="T6624" t="s">
        <v>114</v>
      </c>
      <c r="V6624">
        <v>0</v>
      </c>
      <c r="W6624">
        <v>2817</v>
      </c>
      <c r="X6624">
        <v>1</v>
      </c>
      <c r="AC6624">
        <v>2817</v>
      </c>
      <c r="AO6624">
        <v>1</v>
      </c>
      <c r="AU6624">
        <f t="shared" si="206"/>
        <v>1</v>
      </c>
      <c r="AV6624">
        <f t="shared" si="207"/>
        <v>0</v>
      </c>
    </row>
    <row r="6625" spans="1:48" x14ac:dyDescent="0.25">
      <c r="A6625" t="s">
        <v>15303</v>
      </c>
      <c r="C6625" t="s">
        <v>15304</v>
      </c>
      <c r="D6625" t="s">
        <v>8502</v>
      </c>
      <c r="E6625" t="s">
        <v>1663</v>
      </c>
      <c r="F6625">
        <v>4</v>
      </c>
      <c r="G6625">
        <v>4.3</v>
      </c>
      <c r="H6625" t="s">
        <v>2327</v>
      </c>
      <c r="I6625" s="21">
        <v>44222</v>
      </c>
      <c r="J6625">
        <v>2021</v>
      </c>
      <c r="K6625" s="21">
        <v>44315</v>
      </c>
      <c r="L6625">
        <v>2021</v>
      </c>
      <c r="M6625" s="21">
        <v>44508</v>
      </c>
      <c r="N6625">
        <v>2021</v>
      </c>
      <c r="Q6625" s="262">
        <v>900000</v>
      </c>
      <c r="S6625" t="s">
        <v>114</v>
      </c>
      <c r="T6625" t="s">
        <v>114</v>
      </c>
      <c r="V6625">
        <v>3336</v>
      </c>
      <c r="W6625">
        <v>0</v>
      </c>
      <c r="X6625">
        <v>0</v>
      </c>
      <c r="AJ6625">
        <v>3336</v>
      </c>
      <c r="AK6625">
        <v>-3336</v>
      </c>
      <c r="AU6625">
        <f t="shared" si="206"/>
        <v>0</v>
      </c>
      <c r="AV6625">
        <f t="shared" si="207"/>
        <v>0</v>
      </c>
    </row>
    <row r="6626" spans="1:48" x14ac:dyDescent="0.25">
      <c r="A6626" t="s">
        <v>15305</v>
      </c>
      <c r="B6626" t="s">
        <v>15306</v>
      </c>
      <c r="C6626" t="s">
        <v>15307</v>
      </c>
      <c r="D6626" t="s">
        <v>15308</v>
      </c>
      <c r="E6626" t="s">
        <v>2310</v>
      </c>
      <c r="F6626">
        <v>9</v>
      </c>
      <c r="G6626">
        <v>9.1999999999999993</v>
      </c>
      <c r="H6626" t="s">
        <v>2022</v>
      </c>
      <c r="I6626" s="21">
        <v>44222.5599566319</v>
      </c>
      <c r="J6626">
        <v>2021</v>
      </c>
      <c r="K6626" s="21">
        <v>44327</v>
      </c>
      <c r="L6626">
        <v>2021</v>
      </c>
      <c r="O6626" s="21">
        <v>44228</v>
      </c>
      <c r="Q6626" s="262">
        <v>16000000</v>
      </c>
      <c r="R6626" s="262">
        <v>1515000</v>
      </c>
      <c r="S6626" t="s">
        <v>114</v>
      </c>
      <c r="T6626" t="s">
        <v>114</v>
      </c>
      <c r="W6626">
        <v>0</v>
      </c>
      <c r="X6626">
        <v>-1</v>
      </c>
      <c r="AO6626">
        <v>-1</v>
      </c>
      <c r="AU6626">
        <f t="shared" si="206"/>
        <v>-1</v>
      </c>
      <c r="AV6626">
        <f t="shared" si="207"/>
        <v>0</v>
      </c>
    </row>
    <row r="6627" spans="1:48" x14ac:dyDescent="0.25">
      <c r="A6627" t="s">
        <v>15305</v>
      </c>
      <c r="B6627" t="s">
        <v>15305</v>
      </c>
      <c r="C6627" t="s">
        <v>15309</v>
      </c>
      <c r="D6627" t="s">
        <v>15308</v>
      </c>
      <c r="E6627" t="s">
        <v>2310</v>
      </c>
      <c r="F6627">
        <v>9</v>
      </c>
      <c r="G6627">
        <v>9.1999999999999993</v>
      </c>
      <c r="H6627" t="s">
        <v>2022</v>
      </c>
      <c r="I6627" s="21">
        <v>44222.5599566319</v>
      </c>
      <c r="J6627">
        <v>2021</v>
      </c>
      <c r="K6627" s="21">
        <v>44327</v>
      </c>
      <c r="L6627">
        <v>2021</v>
      </c>
      <c r="O6627" s="21">
        <v>44228</v>
      </c>
      <c r="Q6627" s="262">
        <v>16000000</v>
      </c>
      <c r="R6627" s="262">
        <v>1515000</v>
      </c>
      <c r="S6627" t="s">
        <v>114</v>
      </c>
      <c r="T6627" t="s">
        <v>114</v>
      </c>
      <c r="V6627">
        <v>0</v>
      </c>
      <c r="W6627">
        <v>9996</v>
      </c>
      <c r="X6627">
        <v>1</v>
      </c>
      <c r="AC6627">
        <v>9996</v>
      </c>
      <c r="AO6627">
        <v>1</v>
      </c>
      <c r="AU6627">
        <f t="shared" si="206"/>
        <v>1</v>
      </c>
      <c r="AV6627">
        <f t="shared" si="207"/>
        <v>0</v>
      </c>
    </row>
    <row r="6628" spans="1:48" x14ac:dyDescent="0.25">
      <c r="A6628" t="s">
        <v>15310</v>
      </c>
      <c r="B6628" t="s">
        <v>15310</v>
      </c>
      <c r="C6628" t="s">
        <v>15311</v>
      </c>
      <c r="D6628" t="s">
        <v>15312</v>
      </c>
      <c r="E6628" t="s">
        <v>2310</v>
      </c>
      <c r="F6628">
        <v>8</v>
      </c>
      <c r="G6628">
        <v>8.3000000000000007</v>
      </c>
      <c r="H6628" t="s">
        <v>2323</v>
      </c>
      <c r="I6628" s="21">
        <v>44222.561035532402</v>
      </c>
      <c r="J6628">
        <v>2021</v>
      </c>
      <c r="K6628" s="21">
        <v>44285</v>
      </c>
      <c r="L6628">
        <v>2021</v>
      </c>
      <c r="Q6628" s="262">
        <v>1000000</v>
      </c>
      <c r="R6628" s="262">
        <v>584000</v>
      </c>
      <c r="S6628" t="s">
        <v>114</v>
      </c>
      <c r="T6628" t="s">
        <v>114</v>
      </c>
      <c r="V6628">
        <v>0</v>
      </c>
      <c r="W6628">
        <v>4711</v>
      </c>
      <c r="X6628">
        <v>1</v>
      </c>
      <c r="AC6628">
        <v>4711</v>
      </c>
      <c r="AO6628">
        <v>1</v>
      </c>
      <c r="AU6628">
        <f t="shared" si="206"/>
        <v>1</v>
      </c>
      <c r="AV6628">
        <f t="shared" si="207"/>
        <v>0</v>
      </c>
    </row>
    <row r="6629" spans="1:48" x14ac:dyDescent="0.25">
      <c r="A6629" t="s">
        <v>16666</v>
      </c>
      <c r="B6629" t="s">
        <v>16666</v>
      </c>
      <c r="C6629" t="s">
        <v>16667</v>
      </c>
      <c r="D6629" t="s">
        <v>16668</v>
      </c>
      <c r="E6629" t="s">
        <v>2310</v>
      </c>
      <c r="F6629">
        <v>9</v>
      </c>
      <c r="G6629">
        <v>9.3000000000000007</v>
      </c>
      <c r="H6629" t="s">
        <v>2323</v>
      </c>
      <c r="I6629" s="21">
        <v>44223.395689733799</v>
      </c>
      <c r="J6629">
        <v>2021</v>
      </c>
      <c r="K6629" s="21">
        <v>44264</v>
      </c>
      <c r="L6629">
        <v>2021</v>
      </c>
      <c r="M6629" s="21">
        <v>44648</v>
      </c>
      <c r="N6629">
        <v>2022</v>
      </c>
      <c r="Q6629" s="262">
        <v>300000</v>
      </c>
      <c r="R6629" s="262">
        <v>155000</v>
      </c>
      <c r="S6629" t="s">
        <v>13254</v>
      </c>
      <c r="T6629">
        <v>0</v>
      </c>
      <c r="V6629">
        <v>0</v>
      </c>
      <c r="W6629">
        <v>1906</v>
      </c>
      <c r="X6629">
        <v>0</v>
      </c>
      <c r="AC6629">
        <v>1906</v>
      </c>
      <c r="AU6629">
        <f t="shared" si="206"/>
        <v>0</v>
      </c>
      <c r="AV6629">
        <f t="shared" si="207"/>
        <v>0</v>
      </c>
    </row>
    <row r="6630" spans="1:48" x14ac:dyDescent="0.25">
      <c r="A6630" t="s">
        <v>15316</v>
      </c>
      <c r="B6630" t="s">
        <v>15316</v>
      </c>
      <c r="C6630" t="s">
        <v>15317</v>
      </c>
      <c r="D6630" t="s">
        <v>15318</v>
      </c>
      <c r="E6630" t="s">
        <v>2310</v>
      </c>
      <c r="F6630">
        <v>8</v>
      </c>
      <c r="G6630">
        <v>8.1999999999999993</v>
      </c>
      <c r="H6630" t="s">
        <v>2022</v>
      </c>
      <c r="I6630" s="21">
        <v>44223.442980358799</v>
      </c>
      <c r="J6630">
        <v>2021</v>
      </c>
      <c r="K6630" s="21">
        <v>44279</v>
      </c>
      <c r="L6630">
        <v>2021</v>
      </c>
      <c r="Q6630" s="262">
        <v>1500000</v>
      </c>
      <c r="R6630" s="262">
        <v>456000</v>
      </c>
      <c r="S6630" t="s">
        <v>114</v>
      </c>
      <c r="T6630" t="s">
        <v>114</v>
      </c>
      <c r="V6630">
        <v>1920</v>
      </c>
      <c r="W6630">
        <v>2717</v>
      </c>
      <c r="X6630">
        <v>0</v>
      </c>
      <c r="AC6630">
        <v>2717</v>
      </c>
      <c r="AU6630">
        <f t="shared" si="206"/>
        <v>0</v>
      </c>
      <c r="AV6630">
        <f t="shared" si="207"/>
        <v>0</v>
      </c>
    </row>
    <row r="6631" spans="1:48" x14ac:dyDescent="0.25">
      <c r="A6631" t="s">
        <v>15319</v>
      </c>
      <c r="B6631" t="s">
        <v>15319</v>
      </c>
      <c r="C6631" t="s">
        <v>15320</v>
      </c>
      <c r="D6631" t="s">
        <v>15321</v>
      </c>
      <c r="E6631" t="s">
        <v>2310</v>
      </c>
      <c r="F6631">
        <v>10</v>
      </c>
      <c r="G6631">
        <v>10.1</v>
      </c>
      <c r="H6631" t="s">
        <v>2323</v>
      </c>
      <c r="I6631" s="21">
        <v>44224.429289432897</v>
      </c>
      <c r="J6631">
        <v>2021</v>
      </c>
      <c r="K6631" s="21">
        <v>44399</v>
      </c>
      <c r="L6631">
        <v>2021</v>
      </c>
      <c r="Q6631" s="262">
        <v>275000</v>
      </c>
      <c r="R6631" s="262">
        <v>60000</v>
      </c>
      <c r="S6631" t="s">
        <v>114</v>
      </c>
      <c r="T6631" t="s">
        <v>114</v>
      </c>
      <c r="V6631">
        <v>0</v>
      </c>
      <c r="W6631">
        <v>1040</v>
      </c>
      <c r="X6631">
        <v>0</v>
      </c>
      <c r="AC6631">
        <v>1040</v>
      </c>
      <c r="AU6631">
        <f t="shared" si="206"/>
        <v>0</v>
      </c>
      <c r="AV6631">
        <f t="shared" si="207"/>
        <v>0</v>
      </c>
    </row>
    <row r="6632" spans="1:48" x14ac:dyDescent="0.25">
      <c r="A6632" t="s">
        <v>19924</v>
      </c>
      <c r="C6632" t="s">
        <v>19925</v>
      </c>
      <c r="D6632" t="s">
        <v>12534</v>
      </c>
      <c r="E6632" t="s">
        <v>1663</v>
      </c>
      <c r="F6632">
        <v>4</v>
      </c>
      <c r="G6632">
        <v>4.3</v>
      </c>
      <c r="H6632" t="s">
        <v>2327</v>
      </c>
      <c r="I6632" s="21">
        <v>44225</v>
      </c>
      <c r="J6632">
        <v>2021</v>
      </c>
      <c r="K6632" s="21">
        <v>44292</v>
      </c>
      <c r="L6632">
        <v>2021</v>
      </c>
      <c r="M6632" s="21">
        <v>44508</v>
      </c>
      <c r="N6632">
        <v>2021</v>
      </c>
      <c r="Q6632" s="262">
        <v>2600000</v>
      </c>
      <c r="S6632" t="s">
        <v>13253</v>
      </c>
      <c r="T6632">
        <v>12376</v>
      </c>
      <c r="U6632">
        <v>13</v>
      </c>
      <c r="V6632">
        <v>14835</v>
      </c>
      <c r="W6632">
        <v>344</v>
      </c>
      <c r="X6632">
        <v>0</v>
      </c>
      <c r="AK6632">
        <v>344</v>
      </c>
      <c r="AU6632">
        <f t="shared" si="206"/>
        <v>0</v>
      </c>
      <c r="AV6632">
        <f t="shared" si="207"/>
        <v>344</v>
      </c>
    </row>
    <row r="6633" spans="1:48" x14ac:dyDescent="0.25">
      <c r="A6633" t="s">
        <v>14789</v>
      </c>
      <c r="C6633" t="s">
        <v>11879</v>
      </c>
      <c r="D6633" t="s">
        <v>13199</v>
      </c>
      <c r="E6633" t="s">
        <v>1663</v>
      </c>
      <c r="F6633">
        <v>4</v>
      </c>
      <c r="G6633">
        <v>4.3</v>
      </c>
      <c r="H6633" t="s">
        <v>2327</v>
      </c>
      <c r="I6633" s="21">
        <v>44229</v>
      </c>
      <c r="J6633">
        <v>2021</v>
      </c>
      <c r="K6633" s="21">
        <v>44258</v>
      </c>
      <c r="L6633">
        <v>2021</v>
      </c>
      <c r="M6633" s="21">
        <v>44684</v>
      </c>
      <c r="N6633">
        <v>2022</v>
      </c>
      <c r="P6633" s="21">
        <v>44583</v>
      </c>
      <c r="Q6633" s="262">
        <v>150000</v>
      </c>
      <c r="S6633" t="s">
        <v>13253</v>
      </c>
      <c r="T6633">
        <v>14020</v>
      </c>
      <c r="V6633">
        <v>2976</v>
      </c>
      <c r="W6633">
        <v>0</v>
      </c>
      <c r="X6633">
        <v>0</v>
      </c>
      <c r="AU6633">
        <f t="shared" si="206"/>
        <v>0</v>
      </c>
      <c r="AV6633">
        <f t="shared" si="207"/>
        <v>0</v>
      </c>
    </row>
    <row r="6634" spans="1:48" x14ac:dyDescent="0.25">
      <c r="A6634" t="s">
        <v>15224</v>
      </c>
      <c r="B6634" t="s">
        <v>15224</v>
      </c>
      <c r="C6634" t="s">
        <v>15225</v>
      </c>
      <c r="D6634" t="s">
        <v>1832</v>
      </c>
      <c r="E6634" t="s">
        <v>2310</v>
      </c>
      <c r="F6634">
        <v>9</v>
      </c>
      <c r="G6634">
        <v>9.3000000000000007</v>
      </c>
      <c r="H6634" t="s">
        <v>2323</v>
      </c>
      <c r="I6634" s="21">
        <v>44229.567195636599</v>
      </c>
      <c r="J6634">
        <v>2021</v>
      </c>
      <c r="K6634" s="21">
        <v>44265</v>
      </c>
      <c r="L6634">
        <v>2021</v>
      </c>
      <c r="M6634" s="21">
        <v>44683</v>
      </c>
      <c r="N6634">
        <v>2022</v>
      </c>
      <c r="Q6634" s="262">
        <v>531600</v>
      </c>
      <c r="R6634" s="262">
        <v>193000</v>
      </c>
      <c r="S6634" t="s">
        <v>13254</v>
      </c>
      <c r="T6634">
        <v>0</v>
      </c>
      <c r="V6634">
        <v>0</v>
      </c>
      <c r="W6634">
        <v>1772</v>
      </c>
      <c r="X6634">
        <v>0</v>
      </c>
      <c r="AM6634">
        <v>1772</v>
      </c>
      <c r="AU6634">
        <f t="shared" si="206"/>
        <v>0</v>
      </c>
      <c r="AV6634">
        <f t="shared" si="207"/>
        <v>1772</v>
      </c>
    </row>
    <row r="6635" spans="1:48" x14ac:dyDescent="0.25">
      <c r="A6635" t="s">
        <v>14793</v>
      </c>
      <c r="C6635" t="s">
        <v>13985</v>
      </c>
      <c r="D6635" t="s">
        <v>8502</v>
      </c>
      <c r="E6635" t="s">
        <v>1663</v>
      </c>
      <c r="F6635">
        <v>4</v>
      </c>
      <c r="G6635">
        <v>4.3</v>
      </c>
      <c r="H6635" t="s">
        <v>2327</v>
      </c>
      <c r="I6635" s="21">
        <v>44230</v>
      </c>
      <c r="J6635">
        <v>2021</v>
      </c>
      <c r="K6635" s="21">
        <v>44323</v>
      </c>
      <c r="L6635">
        <v>2021</v>
      </c>
      <c r="M6635" s="21">
        <v>44756</v>
      </c>
      <c r="N6635">
        <v>2022</v>
      </c>
      <c r="P6635" s="21">
        <v>44739</v>
      </c>
      <c r="Q6635" s="262">
        <v>3500000</v>
      </c>
      <c r="S6635" t="s">
        <v>13253</v>
      </c>
      <c r="T6635">
        <v>12212</v>
      </c>
      <c r="W6635">
        <v>0</v>
      </c>
      <c r="X6635">
        <v>0</v>
      </c>
      <c r="AU6635">
        <f t="shared" si="206"/>
        <v>0</v>
      </c>
      <c r="AV6635">
        <f t="shared" si="207"/>
        <v>0</v>
      </c>
    </row>
    <row r="6636" spans="1:48" x14ac:dyDescent="0.25">
      <c r="A6636" t="s">
        <v>15329</v>
      </c>
      <c r="B6636" t="s">
        <v>15329</v>
      </c>
      <c r="C6636" t="s">
        <v>15330</v>
      </c>
      <c r="D6636" t="s">
        <v>15331</v>
      </c>
      <c r="E6636" t="s">
        <v>2310</v>
      </c>
      <c r="F6636">
        <v>9</v>
      </c>
      <c r="G6636">
        <v>9.1999999999999993</v>
      </c>
      <c r="H6636" t="s">
        <v>2022</v>
      </c>
      <c r="I6636" s="21">
        <v>44231.607701817098</v>
      </c>
      <c r="J6636">
        <v>2021</v>
      </c>
      <c r="K6636" s="21">
        <v>44342</v>
      </c>
      <c r="L6636">
        <v>2021</v>
      </c>
      <c r="Q6636" s="262">
        <v>6300000</v>
      </c>
      <c r="R6636" s="262">
        <v>1052000</v>
      </c>
      <c r="S6636" t="s">
        <v>114</v>
      </c>
      <c r="T6636" t="s">
        <v>114</v>
      </c>
      <c r="V6636">
        <v>0</v>
      </c>
      <c r="W6636">
        <v>7969</v>
      </c>
      <c r="X6636">
        <v>1</v>
      </c>
      <c r="AC6636">
        <v>7969</v>
      </c>
      <c r="AO6636">
        <v>1</v>
      </c>
      <c r="AU6636">
        <f t="shared" si="206"/>
        <v>1</v>
      </c>
      <c r="AV6636">
        <f t="shared" si="207"/>
        <v>0</v>
      </c>
    </row>
    <row r="6637" spans="1:48" x14ac:dyDescent="0.25">
      <c r="A6637" t="s">
        <v>15332</v>
      </c>
      <c r="B6637" t="s">
        <v>15332</v>
      </c>
      <c r="C6637" t="s">
        <v>15333</v>
      </c>
      <c r="D6637" t="s">
        <v>15331</v>
      </c>
      <c r="E6637" t="s">
        <v>2310</v>
      </c>
      <c r="F6637">
        <v>9</v>
      </c>
      <c r="G6637">
        <v>9.1999999999999993</v>
      </c>
      <c r="H6637" t="s">
        <v>2022</v>
      </c>
      <c r="I6637" s="21">
        <v>44231.620272303197</v>
      </c>
      <c r="J6637">
        <v>2021</v>
      </c>
      <c r="K6637" s="21">
        <v>44342</v>
      </c>
      <c r="L6637">
        <v>2021</v>
      </c>
      <c r="Q6637" s="262">
        <v>100000</v>
      </c>
      <c r="R6637" s="262">
        <v>96000</v>
      </c>
      <c r="S6637" t="s">
        <v>114</v>
      </c>
      <c r="T6637" t="s">
        <v>114</v>
      </c>
      <c r="V6637">
        <v>0</v>
      </c>
      <c r="W6637">
        <v>588</v>
      </c>
      <c r="X6637">
        <v>0</v>
      </c>
      <c r="AC6637">
        <v>588</v>
      </c>
      <c r="AU6637">
        <f t="shared" si="206"/>
        <v>0</v>
      </c>
      <c r="AV6637">
        <f t="shared" si="207"/>
        <v>0</v>
      </c>
    </row>
    <row r="6638" spans="1:48" x14ac:dyDescent="0.25">
      <c r="A6638" t="s">
        <v>15334</v>
      </c>
      <c r="B6638" t="s">
        <v>15334</v>
      </c>
      <c r="C6638" t="s">
        <v>15335</v>
      </c>
      <c r="D6638" t="s">
        <v>15331</v>
      </c>
      <c r="E6638" t="s">
        <v>2310</v>
      </c>
      <c r="F6638">
        <v>9</v>
      </c>
      <c r="G6638">
        <v>9.1999999999999993</v>
      </c>
      <c r="H6638" t="s">
        <v>2022</v>
      </c>
      <c r="I6638" s="21">
        <v>44231.620806516199</v>
      </c>
      <c r="J6638">
        <v>2021</v>
      </c>
      <c r="K6638" s="21">
        <v>44342</v>
      </c>
      <c r="L6638">
        <v>2021</v>
      </c>
      <c r="Q6638" s="262">
        <v>750000</v>
      </c>
      <c r="R6638" s="262">
        <v>116000</v>
      </c>
      <c r="S6638" t="s">
        <v>114</v>
      </c>
      <c r="T6638" t="s">
        <v>114</v>
      </c>
      <c r="V6638">
        <v>0</v>
      </c>
      <c r="W6638">
        <v>997</v>
      </c>
      <c r="X6638">
        <v>1</v>
      </c>
      <c r="AF6638">
        <v>997</v>
      </c>
      <c r="AR6638">
        <v>1</v>
      </c>
      <c r="AU6638">
        <f t="shared" si="206"/>
        <v>0</v>
      </c>
      <c r="AV6638">
        <f t="shared" si="207"/>
        <v>0</v>
      </c>
    </row>
    <row r="6639" spans="1:48" x14ac:dyDescent="0.25">
      <c r="A6639" t="s">
        <v>15336</v>
      </c>
      <c r="B6639" t="s">
        <v>15336</v>
      </c>
      <c r="C6639" t="s">
        <v>15337</v>
      </c>
      <c r="D6639" t="s">
        <v>15338</v>
      </c>
      <c r="E6639" t="s">
        <v>2310</v>
      </c>
      <c r="F6639">
        <v>15</v>
      </c>
      <c r="G6639">
        <v>15.2</v>
      </c>
      <c r="H6639" t="s">
        <v>2323</v>
      </c>
      <c r="I6639" s="21">
        <v>44236.488474270802</v>
      </c>
      <c r="J6639">
        <v>2021</v>
      </c>
      <c r="K6639" s="21">
        <v>44371</v>
      </c>
      <c r="L6639">
        <v>2021</v>
      </c>
      <c r="Q6639" s="262">
        <v>150000</v>
      </c>
      <c r="R6639" s="262">
        <v>33000</v>
      </c>
      <c r="S6639" t="s">
        <v>114</v>
      </c>
      <c r="T6639" t="s">
        <v>114</v>
      </c>
      <c r="V6639">
        <v>0</v>
      </c>
      <c r="W6639">
        <v>676</v>
      </c>
      <c r="X6639">
        <v>0</v>
      </c>
      <c r="AC6639">
        <v>676</v>
      </c>
      <c r="AU6639">
        <f t="shared" si="206"/>
        <v>0</v>
      </c>
      <c r="AV6639">
        <f t="shared" si="207"/>
        <v>0</v>
      </c>
    </row>
    <row r="6640" spans="1:48" x14ac:dyDescent="0.25">
      <c r="A6640" t="s">
        <v>19796</v>
      </c>
      <c r="B6640" t="s">
        <v>19796</v>
      </c>
      <c r="C6640" t="s">
        <v>19797</v>
      </c>
      <c r="D6640" t="s">
        <v>7263</v>
      </c>
      <c r="E6640" t="s">
        <v>2310</v>
      </c>
      <c r="F6640">
        <v>8</v>
      </c>
      <c r="G6640">
        <v>8.1999999999999993</v>
      </c>
      <c r="H6640" t="s">
        <v>2022</v>
      </c>
      <c r="I6640" s="21">
        <v>44236.5541560532</v>
      </c>
      <c r="J6640">
        <v>2021</v>
      </c>
      <c r="K6640" s="21">
        <v>44291</v>
      </c>
      <c r="L6640">
        <v>2021</v>
      </c>
      <c r="M6640" s="21">
        <v>44463</v>
      </c>
      <c r="N6640">
        <v>2021</v>
      </c>
      <c r="R6640" s="262">
        <v>52000</v>
      </c>
      <c r="S6640" t="s">
        <v>13253</v>
      </c>
      <c r="T6640">
        <v>2227</v>
      </c>
      <c r="U6640">
        <v>5</v>
      </c>
      <c r="W6640">
        <v>409</v>
      </c>
      <c r="X6640">
        <v>0</v>
      </c>
      <c r="AC6640">
        <v>409</v>
      </c>
      <c r="AU6640">
        <f t="shared" si="206"/>
        <v>0</v>
      </c>
      <c r="AV6640">
        <f t="shared" si="207"/>
        <v>0</v>
      </c>
    </row>
    <row r="6641" spans="1:48" x14ac:dyDescent="0.25">
      <c r="A6641" t="s">
        <v>15339</v>
      </c>
      <c r="B6641" t="s">
        <v>15339</v>
      </c>
      <c r="C6641" t="s">
        <v>15340</v>
      </c>
      <c r="D6641" t="s">
        <v>11213</v>
      </c>
      <c r="E6641" t="s">
        <v>2310</v>
      </c>
      <c r="F6641">
        <v>9</v>
      </c>
      <c r="G6641">
        <v>9.1999999999999993</v>
      </c>
      <c r="H6641" t="s">
        <v>2022</v>
      </c>
      <c r="I6641" s="21">
        <v>44236.602952928202</v>
      </c>
      <c r="J6641">
        <v>2021</v>
      </c>
      <c r="K6641" s="21">
        <v>44291</v>
      </c>
      <c r="L6641">
        <v>2021</v>
      </c>
      <c r="Q6641" s="262">
        <v>1800000</v>
      </c>
      <c r="R6641" s="262">
        <v>375000</v>
      </c>
      <c r="S6641" t="s">
        <v>114</v>
      </c>
      <c r="T6641" t="s">
        <v>114</v>
      </c>
      <c r="W6641">
        <v>3585</v>
      </c>
      <c r="X6641">
        <v>0</v>
      </c>
      <c r="AC6641">
        <v>3585</v>
      </c>
      <c r="AU6641">
        <f t="shared" si="206"/>
        <v>0</v>
      </c>
      <c r="AV6641">
        <f t="shared" si="207"/>
        <v>0</v>
      </c>
    </row>
    <row r="6642" spans="1:48" x14ac:dyDescent="0.25">
      <c r="A6642" t="s">
        <v>14794</v>
      </c>
      <c r="C6642" t="s">
        <v>14795</v>
      </c>
      <c r="D6642" t="s">
        <v>14796</v>
      </c>
      <c r="E6642" t="s">
        <v>1663</v>
      </c>
      <c r="F6642">
        <v>3</v>
      </c>
      <c r="G6642">
        <v>3.1</v>
      </c>
      <c r="H6642" t="s">
        <v>2017</v>
      </c>
      <c r="I6642" s="21">
        <v>44237</v>
      </c>
      <c r="J6642">
        <v>2021</v>
      </c>
      <c r="K6642" s="21">
        <v>44278</v>
      </c>
      <c r="L6642">
        <v>2021</v>
      </c>
      <c r="M6642" s="21">
        <v>44880</v>
      </c>
      <c r="N6642">
        <v>2022</v>
      </c>
      <c r="P6642" s="21">
        <v>44678</v>
      </c>
      <c r="Q6642" s="262">
        <v>1500000</v>
      </c>
      <c r="S6642" t="s">
        <v>13254</v>
      </c>
      <c r="W6642">
        <v>3557</v>
      </c>
      <c r="X6642">
        <v>2</v>
      </c>
      <c r="AC6642">
        <v>2758</v>
      </c>
      <c r="AF6642">
        <v>799</v>
      </c>
      <c r="AO6642">
        <v>1</v>
      </c>
      <c r="AR6642">
        <v>1</v>
      </c>
      <c r="AU6642">
        <f t="shared" si="206"/>
        <v>1</v>
      </c>
      <c r="AV6642">
        <f t="shared" si="207"/>
        <v>0</v>
      </c>
    </row>
    <row r="6643" spans="1:48" x14ac:dyDescent="0.25">
      <c r="A6643" t="s">
        <v>15343</v>
      </c>
      <c r="B6643" t="s">
        <v>15344</v>
      </c>
      <c r="C6643" t="s">
        <v>15345</v>
      </c>
      <c r="D6643" t="s">
        <v>15346</v>
      </c>
      <c r="E6643" t="s">
        <v>2310</v>
      </c>
      <c r="F6643">
        <v>9</v>
      </c>
      <c r="G6643">
        <v>9.3000000000000007</v>
      </c>
      <c r="H6643" t="s">
        <v>2323</v>
      </c>
      <c r="I6643" s="21">
        <v>44238.479064155101</v>
      </c>
      <c r="J6643">
        <v>2021</v>
      </c>
      <c r="K6643" s="21">
        <v>44287</v>
      </c>
      <c r="L6643">
        <v>2021</v>
      </c>
      <c r="Q6643" s="262">
        <v>3000000</v>
      </c>
      <c r="R6643" s="262">
        <v>609000</v>
      </c>
      <c r="S6643" t="s">
        <v>114</v>
      </c>
      <c r="T6643" t="s">
        <v>114</v>
      </c>
      <c r="W6643">
        <v>-674</v>
      </c>
      <c r="X6643">
        <v>-1</v>
      </c>
      <c r="AG6643">
        <v>-674</v>
      </c>
      <c r="AS6643">
        <v>-1</v>
      </c>
      <c r="AU6643">
        <f t="shared" si="206"/>
        <v>-1</v>
      </c>
      <c r="AV6643">
        <f t="shared" si="207"/>
        <v>0</v>
      </c>
    </row>
    <row r="6644" spans="1:48" x14ac:dyDescent="0.25">
      <c r="A6644" t="s">
        <v>15343</v>
      </c>
      <c r="B6644" t="s">
        <v>15343</v>
      </c>
      <c r="C6644" t="s">
        <v>15347</v>
      </c>
      <c r="D6644" t="s">
        <v>15346</v>
      </c>
      <c r="E6644" t="s">
        <v>2310</v>
      </c>
      <c r="F6644">
        <v>9</v>
      </c>
      <c r="G6644">
        <v>9.3000000000000007</v>
      </c>
      <c r="H6644" t="s">
        <v>2323</v>
      </c>
      <c r="I6644" s="21">
        <v>44238.479064155101</v>
      </c>
      <c r="J6644">
        <v>2021</v>
      </c>
      <c r="K6644" s="21">
        <v>44287</v>
      </c>
      <c r="L6644">
        <v>2021</v>
      </c>
      <c r="Q6644" s="262">
        <v>3000000</v>
      </c>
      <c r="R6644" s="262">
        <v>609000</v>
      </c>
      <c r="S6644" t="s">
        <v>114</v>
      </c>
      <c r="T6644" t="s">
        <v>114</v>
      </c>
      <c r="W6644">
        <v>4984</v>
      </c>
      <c r="X6644">
        <v>1</v>
      </c>
      <c r="AC6644">
        <v>4984</v>
      </c>
      <c r="AO6644">
        <v>1</v>
      </c>
      <c r="AU6644">
        <f t="shared" si="206"/>
        <v>1</v>
      </c>
      <c r="AV6644">
        <f t="shared" si="207"/>
        <v>0</v>
      </c>
    </row>
    <row r="6645" spans="1:48" x14ac:dyDescent="0.25">
      <c r="A6645" t="s">
        <v>15348</v>
      </c>
      <c r="B6645" t="s">
        <v>15348</v>
      </c>
      <c r="C6645" t="s">
        <v>15349</v>
      </c>
      <c r="D6645" t="s">
        <v>15350</v>
      </c>
      <c r="E6645" t="s">
        <v>2310</v>
      </c>
      <c r="F6645">
        <v>8</v>
      </c>
      <c r="G6645">
        <v>8.1999999999999993</v>
      </c>
      <c r="H6645" t="s">
        <v>2022</v>
      </c>
      <c r="I6645" s="21">
        <v>44238.562467395801</v>
      </c>
      <c r="J6645">
        <v>2021</v>
      </c>
      <c r="K6645" s="21">
        <v>44292</v>
      </c>
      <c r="L6645">
        <v>2021</v>
      </c>
      <c r="Q6645" s="262">
        <v>7500000</v>
      </c>
      <c r="R6645" s="262">
        <v>1020000</v>
      </c>
      <c r="S6645" t="s">
        <v>114</v>
      </c>
      <c r="T6645" t="s">
        <v>114</v>
      </c>
      <c r="W6645">
        <v>7284</v>
      </c>
      <c r="X6645">
        <v>1</v>
      </c>
      <c r="AC6645">
        <v>7284</v>
      </c>
      <c r="AO6645">
        <v>1</v>
      </c>
      <c r="AU6645">
        <f t="shared" si="206"/>
        <v>1</v>
      </c>
      <c r="AV6645">
        <f t="shared" si="207"/>
        <v>0</v>
      </c>
    </row>
    <row r="6646" spans="1:48" x14ac:dyDescent="0.25">
      <c r="A6646" t="s">
        <v>15351</v>
      </c>
      <c r="B6646" t="s">
        <v>15351</v>
      </c>
      <c r="C6646" t="s">
        <v>15352</v>
      </c>
      <c r="D6646" t="s">
        <v>15350</v>
      </c>
      <c r="E6646" t="s">
        <v>2310</v>
      </c>
      <c r="F6646">
        <v>8</v>
      </c>
      <c r="G6646">
        <v>8.1999999999999993</v>
      </c>
      <c r="H6646" t="s">
        <v>2022</v>
      </c>
      <c r="I6646" s="21">
        <v>44238.571532789298</v>
      </c>
      <c r="J6646">
        <v>2021</v>
      </c>
      <c r="K6646" s="21">
        <v>44292</v>
      </c>
      <c r="L6646">
        <v>2021</v>
      </c>
      <c r="Q6646" s="262">
        <v>1000000</v>
      </c>
      <c r="R6646" s="262">
        <v>123000</v>
      </c>
      <c r="S6646" t="s">
        <v>114</v>
      </c>
      <c r="T6646" t="s">
        <v>114</v>
      </c>
      <c r="W6646">
        <v>978</v>
      </c>
      <c r="X6646">
        <v>1</v>
      </c>
      <c r="AF6646">
        <v>978</v>
      </c>
      <c r="AR6646">
        <v>1</v>
      </c>
      <c r="AU6646">
        <f t="shared" si="206"/>
        <v>0</v>
      </c>
      <c r="AV6646">
        <f t="shared" si="207"/>
        <v>0</v>
      </c>
    </row>
    <row r="6647" spans="1:48" x14ac:dyDescent="0.25">
      <c r="A6647" t="s">
        <v>19906</v>
      </c>
      <c r="C6647" t="s">
        <v>19907</v>
      </c>
      <c r="D6647" t="s">
        <v>14141</v>
      </c>
      <c r="E6647" t="s">
        <v>1663</v>
      </c>
      <c r="F6647">
        <v>2</v>
      </c>
      <c r="G6647">
        <v>2.5</v>
      </c>
      <c r="H6647" t="s">
        <v>2327</v>
      </c>
      <c r="I6647" s="21">
        <v>44242</v>
      </c>
      <c r="J6647">
        <v>2021</v>
      </c>
      <c r="K6647" s="21">
        <v>44251</v>
      </c>
      <c r="L6647">
        <v>2021</v>
      </c>
      <c r="M6647" s="21">
        <v>44516</v>
      </c>
      <c r="N6647">
        <v>2021</v>
      </c>
      <c r="Q6647" s="262">
        <v>0</v>
      </c>
      <c r="S6647" t="s">
        <v>12464</v>
      </c>
      <c r="T6647">
        <v>12925</v>
      </c>
      <c r="U6647">
        <v>9</v>
      </c>
      <c r="W6647">
        <v>891</v>
      </c>
      <c r="X6647">
        <v>1</v>
      </c>
      <c r="AG6647">
        <v>891</v>
      </c>
      <c r="AS6647">
        <v>1</v>
      </c>
      <c r="AU6647">
        <f t="shared" si="206"/>
        <v>1</v>
      </c>
      <c r="AV6647">
        <f t="shared" si="207"/>
        <v>0</v>
      </c>
    </row>
    <row r="6648" spans="1:48" x14ac:dyDescent="0.25">
      <c r="A6648" t="s">
        <v>19906</v>
      </c>
      <c r="C6648" t="s">
        <v>19908</v>
      </c>
      <c r="D6648" t="s">
        <v>14141</v>
      </c>
      <c r="E6648" t="s">
        <v>1663</v>
      </c>
      <c r="F6648">
        <v>2</v>
      </c>
      <c r="G6648">
        <v>2.5</v>
      </c>
      <c r="H6648" t="s">
        <v>2327</v>
      </c>
      <c r="I6648" s="21">
        <v>44242</v>
      </c>
      <c r="J6648">
        <v>2021</v>
      </c>
      <c r="K6648" s="21">
        <v>44251</v>
      </c>
      <c r="L6648">
        <v>2021</v>
      </c>
      <c r="M6648" s="21">
        <v>44516</v>
      </c>
      <c r="N6648">
        <v>2021</v>
      </c>
      <c r="Q6648" s="262">
        <v>0</v>
      </c>
      <c r="S6648" t="s">
        <v>9529</v>
      </c>
      <c r="T6648">
        <v>12922</v>
      </c>
      <c r="U6648">
        <v>9</v>
      </c>
      <c r="W6648">
        <v>-1216</v>
      </c>
      <c r="X6648">
        <v>-1</v>
      </c>
      <c r="AG6648">
        <v>-1216</v>
      </c>
      <c r="AS6648">
        <v>-1</v>
      </c>
      <c r="AU6648">
        <f t="shared" si="206"/>
        <v>-1</v>
      </c>
      <c r="AV6648">
        <f t="shared" si="207"/>
        <v>0</v>
      </c>
    </row>
    <row r="6649" spans="1:48" x14ac:dyDescent="0.25">
      <c r="A6649" t="s">
        <v>15353</v>
      </c>
      <c r="C6649" t="s">
        <v>11237</v>
      </c>
      <c r="D6649" t="s">
        <v>13986</v>
      </c>
      <c r="E6649" t="s">
        <v>1663</v>
      </c>
      <c r="F6649">
        <v>2</v>
      </c>
      <c r="G6649">
        <v>2.2999999999999998</v>
      </c>
      <c r="H6649" t="s">
        <v>2327</v>
      </c>
      <c r="I6649" s="21">
        <v>44242</v>
      </c>
      <c r="J6649">
        <v>2021</v>
      </c>
      <c r="K6649" s="21">
        <v>44314</v>
      </c>
      <c r="L6649">
        <v>2021</v>
      </c>
      <c r="P6649" s="21">
        <v>44731</v>
      </c>
      <c r="Q6649" s="262">
        <v>300000</v>
      </c>
      <c r="S6649" t="s">
        <v>114</v>
      </c>
      <c r="T6649" t="s">
        <v>114</v>
      </c>
      <c r="W6649">
        <v>0</v>
      </c>
      <c r="X6649">
        <v>0</v>
      </c>
      <c r="AU6649">
        <f t="shared" si="206"/>
        <v>0</v>
      </c>
      <c r="AV6649">
        <f t="shared" si="207"/>
        <v>0</v>
      </c>
    </row>
    <row r="6650" spans="1:48" x14ac:dyDescent="0.25">
      <c r="A6650" t="s">
        <v>16705</v>
      </c>
      <c r="B6650" t="s">
        <v>16705</v>
      </c>
      <c r="C6650" t="s">
        <v>16706</v>
      </c>
      <c r="D6650" t="s">
        <v>16707</v>
      </c>
      <c r="E6650" t="s">
        <v>2310</v>
      </c>
      <c r="F6650">
        <v>10</v>
      </c>
      <c r="G6650">
        <v>10.1</v>
      </c>
      <c r="H6650" t="s">
        <v>2323</v>
      </c>
      <c r="I6650" s="21">
        <v>44243.431045752302</v>
      </c>
      <c r="J6650">
        <v>2021</v>
      </c>
      <c r="K6650" s="21">
        <v>44306</v>
      </c>
      <c r="L6650">
        <v>2021</v>
      </c>
      <c r="M6650" s="21">
        <v>44783.455440393518</v>
      </c>
      <c r="N6650">
        <v>2022</v>
      </c>
      <c r="Q6650" s="262">
        <v>1200000</v>
      </c>
      <c r="R6650" s="262">
        <v>520000</v>
      </c>
      <c r="S6650" t="s">
        <v>13254</v>
      </c>
      <c r="T6650">
        <v>0</v>
      </c>
      <c r="W6650">
        <v>4533</v>
      </c>
      <c r="X6650">
        <v>1</v>
      </c>
      <c r="AC6650">
        <v>4533</v>
      </c>
      <c r="AO6650">
        <v>1</v>
      </c>
      <c r="AU6650">
        <f t="shared" si="206"/>
        <v>1</v>
      </c>
      <c r="AV6650">
        <f t="shared" si="207"/>
        <v>0</v>
      </c>
    </row>
    <row r="6651" spans="1:48" x14ac:dyDescent="0.25">
      <c r="A6651" t="s">
        <v>15357</v>
      </c>
      <c r="B6651" t="s">
        <v>15357</v>
      </c>
      <c r="C6651" t="s">
        <v>15358</v>
      </c>
      <c r="D6651" t="s">
        <v>14538</v>
      </c>
      <c r="E6651" t="s">
        <v>2310</v>
      </c>
      <c r="F6651">
        <v>9</v>
      </c>
      <c r="G6651">
        <v>9.1999999999999993</v>
      </c>
      <c r="H6651" t="s">
        <v>2022</v>
      </c>
      <c r="I6651" s="21">
        <v>44243.554207442103</v>
      </c>
      <c r="J6651">
        <v>2021</v>
      </c>
      <c r="K6651" s="21">
        <v>44293</v>
      </c>
      <c r="L6651">
        <v>2021</v>
      </c>
      <c r="Q6651" s="262">
        <v>135000</v>
      </c>
      <c r="R6651" s="262">
        <v>131000</v>
      </c>
      <c r="S6651" t="s">
        <v>114</v>
      </c>
      <c r="T6651" t="s">
        <v>114</v>
      </c>
      <c r="W6651">
        <v>992</v>
      </c>
      <c r="X6651">
        <v>1</v>
      </c>
      <c r="AF6651">
        <v>992</v>
      </c>
      <c r="AR6651">
        <v>1</v>
      </c>
      <c r="AU6651">
        <f t="shared" si="206"/>
        <v>0</v>
      </c>
      <c r="AV6651">
        <f t="shared" si="207"/>
        <v>0</v>
      </c>
    </row>
    <row r="6652" spans="1:48" x14ac:dyDescent="0.25">
      <c r="A6652" t="s">
        <v>15359</v>
      </c>
      <c r="B6652" t="s">
        <v>15359</v>
      </c>
      <c r="C6652" t="s">
        <v>15360</v>
      </c>
      <c r="D6652" t="s">
        <v>14664</v>
      </c>
      <c r="E6652" t="s">
        <v>2310</v>
      </c>
      <c r="F6652">
        <v>9</v>
      </c>
      <c r="G6652">
        <v>9.3000000000000007</v>
      </c>
      <c r="H6652" t="s">
        <v>2323</v>
      </c>
      <c r="I6652" s="21">
        <v>44243.591954895797</v>
      </c>
      <c r="J6652">
        <v>2021</v>
      </c>
      <c r="K6652" s="21">
        <v>44314</v>
      </c>
      <c r="L6652">
        <v>2021</v>
      </c>
      <c r="Q6652" s="262">
        <v>2700000</v>
      </c>
      <c r="R6652" s="262">
        <v>323000</v>
      </c>
      <c r="S6652" t="s">
        <v>114</v>
      </c>
      <c r="T6652" t="s">
        <v>114</v>
      </c>
      <c r="V6652">
        <v>1215</v>
      </c>
      <c r="W6652">
        <v>1625</v>
      </c>
      <c r="X6652">
        <v>0</v>
      </c>
      <c r="AC6652">
        <v>1625</v>
      </c>
      <c r="AU6652">
        <f t="shared" si="206"/>
        <v>0</v>
      </c>
      <c r="AV6652">
        <f t="shared" si="207"/>
        <v>0</v>
      </c>
    </row>
    <row r="6653" spans="1:48" x14ac:dyDescent="0.25">
      <c r="A6653" t="s">
        <v>16839</v>
      </c>
      <c r="B6653" t="s">
        <v>16839</v>
      </c>
      <c r="C6653" t="s">
        <v>16840</v>
      </c>
      <c r="D6653" t="s">
        <v>16841</v>
      </c>
      <c r="E6653" t="s">
        <v>2310</v>
      </c>
      <c r="F6653">
        <v>9</v>
      </c>
      <c r="G6653">
        <v>9.1</v>
      </c>
      <c r="H6653" t="s">
        <v>2323</v>
      </c>
      <c r="I6653" s="21">
        <v>44245.475068518499</v>
      </c>
      <c r="J6653">
        <v>2021</v>
      </c>
      <c r="K6653" s="21">
        <v>44314</v>
      </c>
      <c r="L6653">
        <v>2021</v>
      </c>
      <c r="M6653" s="21">
        <v>44851</v>
      </c>
      <c r="N6653">
        <v>2022</v>
      </c>
      <c r="Q6653" s="262">
        <v>2000000</v>
      </c>
      <c r="R6653" s="262">
        <v>412000</v>
      </c>
      <c r="S6653" t="s">
        <v>13254</v>
      </c>
      <c r="T6653">
        <v>0</v>
      </c>
      <c r="W6653">
        <v>3855</v>
      </c>
      <c r="X6653">
        <v>1</v>
      </c>
      <c r="AC6653">
        <v>3855</v>
      </c>
      <c r="AO6653">
        <v>1</v>
      </c>
      <c r="AU6653">
        <f t="shared" si="206"/>
        <v>1</v>
      </c>
      <c r="AV6653">
        <f t="shared" si="207"/>
        <v>0</v>
      </c>
    </row>
    <row r="6654" spans="1:48" x14ac:dyDescent="0.25">
      <c r="A6654" t="s">
        <v>15363</v>
      </c>
      <c r="B6654" t="s">
        <v>15363</v>
      </c>
      <c r="C6654" t="s">
        <v>15364</v>
      </c>
      <c r="D6654" t="s">
        <v>15365</v>
      </c>
      <c r="E6654" t="s">
        <v>2310</v>
      </c>
      <c r="F6654">
        <v>15</v>
      </c>
      <c r="G6654">
        <v>15.2</v>
      </c>
      <c r="H6654" t="s">
        <v>2323</v>
      </c>
      <c r="I6654" s="21">
        <v>44245.555658067096</v>
      </c>
      <c r="J6654">
        <v>2021</v>
      </c>
      <c r="K6654" s="21">
        <v>44455</v>
      </c>
      <c r="L6654">
        <v>2021</v>
      </c>
      <c r="Q6654" s="262">
        <v>1250000</v>
      </c>
      <c r="R6654" s="262">
        <v>534000</v>
      </c>
      <c r="S6654" t="s">
        <v>114</v>
      </c>
      <c r="T6654" t="s">
        <v>114</v>
      </c>
      <c r="W6654">
        <v>4514</v>
      </c>
      <c r="X6654">
        <v>1</v>
      </c>
      <c r="AC6654">
        <v>4514</v>
      </c>
      <c r="AO6654">
        <v>1</v>
      </c>
      <c r="AU6654">
        <f t="shared" si="206"/>
        <v>1</v>
      </c>
      <c r="AV6654">
        <f t="shared" si="207"/>
        <v>0</v>
      </c>
    </row>
    <row r="6655" spans="1:48" x14ac:dyDescent="0.25">
      <c r="A6655" t="s">
        <v>16869</v>
      </c>
      <c r="B6655" t="s">
        <v>16869</v>
      </c>
      <c r="C6655" t="s">
        <v>16870</v>
      </c>
      <c r="D6655" t="s">
        <v>15582</v>
      </c>
      <c r="E6655" t="s">
        <v>2310</v>
      </c>
      <c r="F6655">
        <v>9</v>
      </c>
      <c r="G6655">
        <v>9.3000000000000007</v>
      </c>
      <c r="H6655" t="s">
        <v>2323</v>
      </c>
      <c r="I6655" s="21">
        <v>44245.605267245403</v>
      </c>
      <c r="J6655">
        <v>2021</v>
      </c>
      <c r="K6655" s="21">
        <v>44314</v>
      </c>
      <c r="L6655">
        <v>2021</v>
      </c>
      <c r="M6655" s="21">
        <v>44918</v>
      </c>
      <c r="N6655">
        <v>2022</v>
      </c>
      <c r="Q6655" s="262">
        <v>4000000</v>
      </c>
      <c r="R6655" s="262">
        <v>759000</v>
      </c>
      <c r="S6655" t="s">
        <v>13254</v>
      </c>
      <c r="T6655">
        <v>0</v>
      </c>
      <c r="W6655">
        <v>6086</v>
      </c>
      <c r="X6655">
        <v>1</v>
      </c>
      <c r="AC6655">
        <v>6086</v>
      </c>
      <c r="AO6655">
        <v>1</v>
      </c>
      <c r="AU6655">
        <f t="shared" si="206"/>
        <v>1</v>
      </c>
      <c r="AV6655">
        <f t="shared" si="207"/>
        <v>0</v>
      </c>
    </row>
    <row r="6656" spans="1:48" x14ac:dyDescent="0.25">
      <c r="A6656" t="s">
        <v>16988</v>
      </c>
      <c r="B6656" t="s">
        <v>16988</v>
      </c>
      <c r="C6656" t="s">
        <v>16989</v>
      </c>
      <c r="D6656" t="s">
        <v>15582</v>
      </c>
      <c r="E6656" t="s">
        <v>2310</v>
      </c>
      <c r="F6656">
        <v>9</v>
      </c>
      <c r="G6656">
        <v>9.3000000000000007</v>
      </c>
      <c r="H6656" t="s">
        <v>2323</v>
      </c>
      <c r="I6656" s="21">
        <v>44245.620926122698</v>
      </c>
      <c r="J6656">
        <v>2021</v>
      </c>
      <c r="K6656" s="21">
        <v>44314</v>
      </c>
      <c r="L6656">
        <v>2021</v>
      </c>
      <c r="M6656" s="21">
        <v>44918</v>
      </c>
      <c r="N6656">
        <v>2022</v>
      </c>
      <c r="Q6656" s="262">
        <v>500000</v>
      </c>
      <c r="R6656" s="262">
        <v>49000</v>
      </c>
      <c r="S6656" t="s">
        <v>13254</v>
      </c>
      <c r="T6656">
        <v>0</v>
      </c>
      <c r="W6656">
        <v>1024</v>
      </c>
      <c r="X6656">
        <v>0</v>
      </c>
      <c r="AC6656">
        <v>1024</v>
      </c>
      <c r="AU6656">
        <f t="shared" si="206"/>
        <v>0</v>
      </c>
      <c r="AV6656">
        <f t="shared" si="207"/>
        <v>0</v>
      </c>
    </row>
    <row r="6657" spans="1:48" x14ac:dyDescent="0.25">
      <c r="A6657" t="s">
        <v>15372</v>
      </c>
      <c r="C6657" t="s">
        <v>15373</v>
      </c>
      <c r="D6657" t="s">
        <v>15374</v>
      </c>
      <c r="E6657" t="s">
        <v>1663</v>
      </c>
      <c r="F6657">
        <v>4</v>
      </c>
      <c r="G6657">
        <v>4.0999999999999996</v>
      </c>
      <c r="H6657" t="s">
        <v>2327</v>
      </c>
      <c r="I6657" s="21">
        <v>44246</v>
      </c>
      <c r="J6657">
        <v>2021</v>
      </c>
      <c r="K6657" s="21">
        <v>44298</v>
      </c>
      <c r="L6657">
        <v>2021</v>
      </c>
      <c r="M6657" s="21">
        <v>44557</v>
      </c>
      <c r="N6657">
        <v>2021</v>
      </c>
      <c r="Q6657" s="262">
        <v>50000</v>
      </c>
      <c r="S6657" t="s">
        <v>114</v>
      </c>
      <c r="T6657" t="s">
        <v>114</v>
      </c>
      <c r="W6657">
        <v>0</v>
      </c>
      <c r="X6657">
        <v>0</v>
      </c>
      <c r="AU6657">
        <f t="shared" si="206"/>
        <v>0</v>
      </c>
      <c r="AV6657">
        <f t="shared" si="207"/>
        <v>0</v>
      </c>
    </row>
    <row r="6658" spans="1:48" x14ac:dyDescent="0.25">
      <c r="A6658" t="s">
        <v>15370</v>
      </c>
      <c r="C6658" t="s">
        <v>15371</v>
      </c>
      <c r="D6658" t="s">
        <v>14097</v>
      </c>
      <c r="E6658" t="s">
        <v>1663</v>
      </c>
      <c r="F6658">
        <v>1</v>
      </c>
      <c r="G6658">
        <v>1.2</v>
      </c>
      <c r="H6658" t="s">
        <v>2017</v>
      </c>
      <c r="I6658" s="21">
        <v>44246</v>
      </c>
      <c r="J6658">
        <v>2021</v>
      </c>
      <c r="K6658" s="21">
        <v>44342</v>
      </c>
      <c r="L6658">
        <v>2021</v>
      </c>
      <c r="M6658" s="21">
        <v>44533</v>
      </c>
      <c r="N6658">
        <v>2021</v>
      </c>
      <c r="Q6658" s="262">
        <v>870040</v>
      </c>
      <c r="S6658" t="s">
        <v>114</v>
      </c>
      <c r="T6658" t="s">
        <v>114</v>
      </c>
      <c r="W6658">
        <v>0</v>
      </c>
      <c r="X6658">
        <v>0</v>
      </c>
      <c r="AU6658">
        <f t="shared" si="206"/>
        <v>0</v>
      </c>
      <c r="AV6658">
        <f t="shared" si="207"/>
        <v>0</v>
      </c>
    </row>
    <row r="6659" spans="1:48" x14ac:dyDescent="0.25">
      <c r="A6659" t="s">
        <v>15380</v>
      </c>
      <c r="C6659" t="s">
        <v>15381</v>
      </c>
      <c r="D6659" t="s">
        <v>15382</v>
      </c>
      <c r="E6659" t="s">
        <v>1663</v>
      </c>
      <c r="F6659">
        <v>5</v>
      </c>
      <c r="G6659">
        <v>5.5</v>
      </c>
      <c r="H6659" t="s">
        <v>2017</v>
      </c>
      <c r="I6659" s="21">
        <v>44249</v>
      </c>
      <c r="J6659">
        <v>2021</v>
      </c>
      <c r="K6659" s="21">
        <v>44307</v>
      </c>
      <c r="L6659">
        <v>2021</v>
      </c>
      <c r="M6659" s="21">
        <v>44511</v>
      </c>
      <c r="N6659">
        <v>2021</v>
      </c>
      <c r="Q6659" s="262">
        <v>60000</v>
      </c>
      <c r="S6659" t="s">
        <v>114</v>
      </c>
      <c r="T6659" t="s">
        <v>114</v>
      </c>
      <c r="W6659">
        <v>0</v>
      </c>
      <c r="X6659">
        <v>0</v>
      </c>
      <c r="AU6659">
        <f t="shared" si="206"/>
        <v>0</v>
      </c>
      <c r="AV6659">
        <f t="shared" si="207"/>
        <v>0</v>
      </c>
    </row>
    <row r="6660" spans="1:48" x14ac:dyDescent="0.25">
      <c r="A6660" t="s">
        <v>15378</v>
      </c>
      <c r="C6660" t="s">
        <v>13129</v>
      </c>
      <c r="D6660" t="s">
        <v>15379</v>
      </c>
      <c r="E6660" t="s">
        <v>1663</v>
      </c>
      <c r="F6660">
        <v>3</v>
      </c>
      <c r="G6660">
        <v>3.2</v>
      </c>
      <c r="H6660" t="s">
        <v>2327</v>
      </c>
      <c r="I6660" s="21">
        <v>44249</v>
      </c>
      <c r="J6660">
        <v>2021</v>
      </c>
      <c r="K6660" s="21">
        <v>44287</v>
      </c>
      <c r="L6660">
        <v>2021</v>
      </c>
      <c r="M6660" s="21">
        <v>44323</v>
      </c>
      <c r="N6660">
        <v>2021</v>
      </c>
      <c r="Q6660" s="262">
        <v>5000</v>
      </c>
      <c r="S6660" t="s">
        <v>114</v>
      </c>
      <c r="T6660" t="s">
        <v>114</v>
      </c>
      <c r="W6660">
        <v>0</v>
      </c>
      <c r="X6660">
        <v>0</v>
      </c>
      <c r="AU6660">
        <f t="shared" si="206"/>
        <v>0</v>
      </c>
      <c r="AV6660">
        <f t="shared" si="207"/>
        <v>0</v>
      </c>
    </row>
    <row r="6661" spans="1:48" x14ac:dyDescent="0.25">
      <c r="A6661" t="s">
        <v>14807</v>
      </c>
      <c r="C6661" t="s">
        <v>14808</v>
      </c>
      <c r="D6661" t="s">
        <v>14809</v>
      </c>
      <c r="E6661" t="s">
        <v>1663</v>
      </c>
      <c r="F6661">
        <v>2</v>
      </c>
      <c r="G6661">
        <v>2.2999999999999998</v>
      </c>
      <c r="H6661" t="s">
        <v>2327</v>
      </c>
      <c r="I6661" s="21">
        <v>44249</v>
      </c>
      <c r="J6661">
        <v>2021</v>
      </c>
      <c r="K6661" s="21">
        <v>44337</v>
      </c>
      <c r="L6661">
        <v>2021</v>
      </c>
      <c r="M6661" s="21">
        <v>44755</v>
      </c>
      <c r="N6661">
        <v>2022</v>
      </c>
      <c r="P6661" s="21">
        <v>44656</v>
      </c>
      <c r="Q6661" s="262">
        <v>45000</v>
      </c>
      <c r="S6661" t="s">
        <v>13253</v>
      </c>
      <c r="T6661">
        <v>11320</v>
      </c>
      <c r="V6661">
        <v>3953</v>
      </c>
      <c r="W6661">
        <v>0</v>
      </c>
      <c r="X6661">
        <v>0</v>
      </c>
      <c r="AJ6661">
        <v>-3953</v>
      </c>
      <c r="AK6661">
        <v>3953</v>
      </c>
      <c r="AU6661">
        <f t="shared" si="206"/>
        <v>0</v>
      </c>
      <c r="AV6661">
        <f t="shared" si="207"/>
        <v>0</v>
      </c>
    </row>
    <row r="6662" spans="1:48" x14ac:dyDescent="0.25">
      <c r="A6662" t="s">
        <v>15383</v>
      </c>
      <c r="B6662" t="s">
        <v>15383</v>
      </c>
      <c r="C6662" t="s">
        <v>15384</v>
      </c>
      <c r="D6662" t="s">
        <v>15385</v>
      </c>
      <c r="E6662" t="s">
        <v>2310</v>
      </c>
      <c r="F6662">
        <v>9</v>
      </c>
      <c r="G6662">
        <v>9.3000000000000007</v>
      </c>
      <c r="H6662" t="s">
        <v>2323</v>
      </c>
      <c r="I6662" s="21">
        <v>44250.440774386603</v>
      </c>
      <c r="J6662">
        <v>2021</v>
      </c>
      <c r="K6662" s="21">
        <v>44539</v>
      </c>
      <c r="L6662">
        <v>2021</v>
      </c>
      <c r="Q6662" s="262">
        <v>550000</v>
      </c>
      <c r="R6662" s="262">
        <v>235000</v>
      </c>
      <c r="S6662" t="s">
        <v>114</v>
      </c>
      <c r="T6662" t="s">
        <v>114</v>
      </c>
      <c r="W6662">
        <v>2766</v>
      </c>
      <c r="X6662">
        <v>1</v>
      </c>
      <c r="AF6662">
        <v>2766</v>
      </c>
      <c r="AR6662">
        <v>1</v>
      </c>
      <c r="AU6662">
        <f t="shared" si="206"/>
        <v>0</v>
      </c>
      <c r="AV6662">
        <f t="shared" si="207"/>
        <v>0</v>
      </c>
    </row>
    <row r="6663" spans="1:48" x14ac:dyDescent="0.25">
      <c r="A6663" t="s">
        <v>19789</v>
      </c>
      <c r="B6663" t="s">
        <v>19789</v>
      </c>
      <c r="C6663" t="s">
        <v>19790</v>
      </c>
      <c r="D6663" t="s">
        <v>9977</v>
      </c>
      <c r="E6663" t="s">
        <v>2310</v>
      </c>
      <c r="F6663">
        <v>10</v>
      </c>
      <c r="G6663">
        <v>10.1</v>
      </c>
      <c r="H6663" t="s">
        <v>2323</v>
      </c>
      <c r="I6663" s="21">
        <v>44250.5927059838</v>
      </c>
      <c r="J6663">
        <v>2021</v>
      </c>
      <c r="K6663" s="21">
        <v>44502</v>
      </c>
      <c r="L6663">
        <v>2021</v>
      </c>
      <c r="M6663" s="21">
        <v>44502</v>
      </c>
      <c r="N6663">
        <v>2021</v>
      </c>
      <c r="Q6663" s="262">
        <v>75000</v>
      </c>
      <c r="R6663" s="262">
        <v>28000</v>
      </c>
      <c r="S6663" t="s">
        <v>13253</v>
      </c>
      <c r="T6663">
        <v>8308</v>
      </c>
      <c r="U6663">
        <v>5</v>
      </c>
      <c r="W6663">
        <v>231</v>
      </c>
      <c r="X6663">
        <v>0</v>
      </c>
      <c r="AC6663">
        <v>231</v>
      </c>
      <c r="AU6663">
        <f t="shared" si="206"/>
        <v>0</v>
      </c>
      <c r="AV6663">
        <f t="shared" si="207"/>
        <v>0</v>
      </c>
    </row>
    <row r="6664" spans="1:48" x14ac:dyDescent="0.25">
      <c r="A6664" t="s">
        <v>15386</v>
      </c>
      <c r="C6664" t="s">
        <v>15387</v>
      </c>
      <c r="D6664" t="s">
        <v>13762</v>
      </c>
      <c r="E6664" t="s">
        <v>1663</v>
      </c>
      <c r="F6664">
        <v>4</v>
      </c>
      <c r="G6664">
        <v>4.3</v>
      </c>
      <c r="H6664" t="s">
        <v>2327</v>
      </c>
      <c r="I6664" s="21">
        <v>44251</v>
      </c>
      <c r="J6664">
        <v>2021</v>
      </c>
      <c r="K6664" s="21">
        <v>44288</v>
      </c>
      <c r="L6664">
        <v>2021</v>
      </c>
      <c r="M6664" s="21">
        <v>44938</v>
      </c>
      <c r="N6664">
        <v>2023</v>
      </c>
      <c r="P6664" s="21">
        <v>44576</v>
      </c>
      <c r="Q6664" s="262">
        <v>50000</v>
      </c>
      <c r="S6664" t="s">
        <v>114</v>
      </c>
      <c r="T6664" t="s">
        <v>114</v>
      </c>
      <c r="W6664">
        <v>0</v>
      </c>
      <c r="X6664">
        <v>0</v>
      </c>
      <c r="AU6664">
        <f t="shared" si="206"/>
        <v>0</v>
      </c>
      <c r="AV6664">
        <f t="shared" si="207"/>
        <v>0</v>
      </c>
    </row>
    <row r="6665" spans="1:48" x14ac:dyDescent="0.25">
      <c r="A6665" t="s">
        <v>15388</v>
      </c>
      <c r="C6665" t="s">
        <v>15389</v>
      </c>
      <c r="D6665" t="s">
        <v>13762</v>
      </c>
      <c r="E6665" t="s">
        <v>1663</v>
      </c>
      <c r="F6665">
        <v>4</v>
      </c>
      <c r="G6665">
        <v>4.3</v>
      </c>
      <c r="H6665" t="s">
        <v>2327</v>
      </c>
      <c r="I6665" s="21">
        <v>44251</v>
      </c>
      <c r="J6665">
        <v>2021</v>
      </c>
      <c r="K6665" s="21">
        <v>44288</v>
      </c>
      <c r="L6665">
        <v>2021</v>
      </c>
      <c r="P6665" s="21">
        <v>44559</v>
      </c>
      <c r="Q6665" s="262">
        <v>800000</v>
      </c>
      <c r="S6665" t="s">
        <v>114</v>
      </c>
      <c r="T6665" t="s">
        <v>114</v>
      </c>
      <c r="W6665">
        <v>88</v>
      </c>
      <c r="X6665">
        <v>0</v>
      </c>
      <c r="AI6665">
        <v>88</v>
      </c>
      <c r="AU6665">
        <f t="shared" si="206"/>
        <v>0</v>
      </c>
      <c r="AV6665">
        <f t="shared" si="207"/>
        <v>88</v>
      </c>
    </row>
    <row r="6666" spans="1:48" x14ac:dyDescent="0.25">
      <c r="A6666" t="s">
        <v>15392</v>
      </c>
      <c r="C6666" t="s">
        <v>15393</v>
      </c>
      <c r="D6666" t="s">
        <v>15394</v>
      </c>
      <c r="E6666" t="s">
        <v>1663</v>
      </c>
      <c r="F6666">
        <v>2</v>
      </c>
      <c r="G6666">
        <v>2.6</v>
      </c>
      <c r="H6666" t="s">
        <v>2327</v>
      </c>
      <c r="I6666" s="21">
        <v>44251</v>
      </c>
      <c r="J6666">
        <v>2021</v>
      </c>
      <c r="K6666" s="21">
        <v>44294</v>
      </c>
      <c r="L6666">
        <v>2021</v>
      </c>
      <c r="P6666" s="21">
        <v>44629</v>
      </c>
      <c r="Q6666" s="262">
        <v>840000</v>
      </c>
      <c r="S6666" t="s">
        <v>114</v>
      </c>
      <c r="T6666" t="s">
        <v>114</v>
      </c>
      <c r="W6666">
        <v>-2176</v>
      </c>
      <c r="X6666">
        <v>-1</v>
      </c>
      <c r="AC6666">
        <v>-2176</v>
      </c>
      <c r="AO6666">
        <v>-1</v>
      </c>
      <c r="AU6666">
        <f t="shared" si="206"/>
        <v>-1</v>
      </c>
      <c r="AV6666">
        <f t="shared" si="207"/>
        <v>0</v>
      </c>
    </row>
    <row r="6667" spans="1:48" x14ac:dyDescent="0.25">
      <c r="A6667" t="s">
        <v>15392</v>
      </c>
      <c r="C6667" t="s">
        <v>15395</v>
      </c>
      <c r="D6667" t="s">
        <v>15394</v>
      </c>
      <c r="E6667" t="s">
        <v>1663</v>
      </c>
      <c r="F6667">
        <v>2</v>
      </c>
      <c r="G6667">
        <v>2.6</v>
      </c>
      <c r="H6667" t="s">
        <v>2327</v>
      </c>
      <c r="I6667" s="21">
        <v>44251</v>
      </c>
      <c r="J6667">
        <v>2021</v>
      </c>
      <c r="K6667" s="21">
        <v>44294</v>
      </c>
      <c r="L6667">
        <v>2021</v>
      </c>
      <c r="P6667" s="21">
        <v>44629</v>
      </c>
      <c r="Q6667" s="262">
        <v>840000</v>
      </c>
      <c r="S6667" t="s">
        <v>114</v>
      </c>
      <c r="T6667" t="s">
        <v>114</v>
      </c>
      <c r="W6667">
        <v>3798</v>
      </c>
      <c r="X6667">
        <v>1</v>
      </c>
      <c r="AD6667">
        <v>3798</v>
      </c>
      <c r="AP6667">
        <v>1</v>
      </c>
      <c r="AU6667">
        <f t="shared" si="206"/>
        <v>1</v>
      </c>
      <c r="AV6667">
        <f t="shared" si="207"/>
        <v>0</v>
      </c>
    </row>
    <row r="6668" spans="1:48" x14ac:dyDescent="0.25">
      <c r="A6668" t="s">
        <v>15396</v>
      </c>
      <c r="C6668" t="s">
        <v>15397</v>
      </c>
      <c r="D6668" t="s">
        <v>15398</v>
      </c>
      <c r="E6668" t="s">
        <v>1663</v>
      </c>
      <c r="F6668">
        <v>2</v>
      </c>
      <c r="G6668">
        <v>2.6</v>
      </c>
      <c r="H6668" t="s">
        <v>2327</v>
      </c>
      <c r="I6668" s="21">
        <v>44251</v>
      </c>
      <c r="J6668">
        <v>2021</v>
      </c>
      <c r="K6668" s="21">
        <v>44294</v>
      </c>
      <c r="L6668">
        <v>2021</v>
      </c>
      <c r="P6668" s="21">
        <v>44629</v>
      </c>
      <c r="Q6668" s="262">
        <v>840000</v>
      </c>
      <c r="S6668" t="s">
        <v>114</v>
      </c>
      <c r="T6668" t="s">
        <v>114</v>
      </c>
      <c r="W6668">
        <v>3798</v>
      </c>
      <c r="X6668">
        <v>1</v>
      </c>
      <c r="AD6668">
        <v>3798</v>
      </c>
      <c r="AP6668">
        <v>1</v>
      </c>
      <c r="AU6668">
        <f t="shared" si="206"/>
        <v>1</v>
      </c>
      <c r="AV6668">
        <f t="shared" si="207"/>
        <v>0</v>
      </c>
    </row>
    <row r="6669" spans="1:48" x14ac:dyDescent="0.25">
      <c r="A6669" t="s">
        <v>15390</v>
      </c>
      <c r="C6669" t="s">
        <v>15391</v>
      </c>
      <c r="D6669" t="s">
        <v>13065</v>
      </c>
      <c r="E6669" t="s">
        <v>1663</v>
      </c>
      <c r="F6669">
        <v>2</v>
      </c>
      <c r="G6669">
        <v>2.2999999999999998</v>
      </c>
      <c r="H6669" t="s">
        <v>2327</v>
      </c>
      <c r="I6669" s="21">
        <v>44251</v>
      </c>
      <c r="J6669">
        <v>2021</v>
      </c>
      <c r="K6669" s="21">
        <v>44292</v>
      </c>
      <c r="L6669">
        <v>2021</v>
      </c>
      <c r="M6669" s="21">
        <v>44435</v>
      </c>
      <c r="N6669">
        <v>2021</v>
      </c>
      <c r="Q6669" s="262">
        <v>60000</v>
      </c>
      <c r="S6669" t="s">
        <v>114</v>
      </c>
      <c r="T6669" t="s">
        <v>114</v>
      </c>
      <c r="W6669">
        <v>0</v>
      </c>
      <c r="X6669">
        <v>0</v>
      </c>
      <c r="AU6669">
        <f t="shared" si="206"/>
        <v>0</v>
      </c>
      <c r="AV6669">
        <f t="shared" si="207"/>
        <v>0</v>
      </c>
    </row>
    <row r="6670" spans="1:48" x14ac:dyDescent="0.25">
      <c r="A6670" t="s">
        <v>15399</v>
      </c>
      <c r="B6670" t="s">
        <v>15399</v>
      </c>
      <c r="C6670" t="s">
        <v>15400</v>
      </c>
      <c r="D6670" t="s">
        <v>13142</v>
      </c>
      <c r="E6670" t="s">
        <v>2310</v>
      </c>
      <c r="F6670">
        <v>9</v>
      </c>
      <c r="G6670">
        <v>9.3000000000000007</v>
      </c>
      <c r="H6670" t="s">
        <v>2323</v>
      </c>
      <c r="I6670" s="21">
        <v>44252.430402164398</v>
      </c>
      <c r="J6670">
        <v>2021</v>
      </c>
      <c r="K6670" s="21">
        <v>44383</v>
      </c>
      <c r="L6670">
        <v>2021</v>
      </c>
      <c r="O6670" s="21">
        <v>44550</v>
      </c>
      <c r="Q6670" s="262">
        <v>3000000</v>
      </c>
      <c r="R6670" s="262">
        <v>509000</v>
      </c>
      <c r="S6670" t="s">
        <v>114</v>
      </c>
      <c r="T6670" t="s">
        <v>114</v>
      </c>
      <c r="W6670">
        <v>4282</v>
      </c>
      <c r="X6670">
        <v>1</v>
      </c>
      <c r="AC6670">
        <v>4282</v>
      </c>
      <c r="AO6670">
        <v>1</v>
      </c>
      <c r="AU6670">
        <f t="shared" si="206"/>
        <v>1</v>
      </c>
      <c r="AV6670">
        <f t="shared" si="207"/>
        <v>0</v>
      </c>
    </row>
    <row r="6671" spans="1:48" x14ac:dyDescent="0.25">
      <c r="A6671" t="s">
        <v>15401</v>
      </c>
      <c r="B6671" t="s">
        <v>15401</v>
      </c>
      <c r="C6671" t="s">
        <v>15402</v>
      </c>
      <c r="D6671" t="s">
        <v>15403</v>
      </c>
      <c r="E6671" t="s">
        <v>2310</v>
      </c>
      <c r="F6671">
        <v>9</v>
      </c>
      <c r="G6671">
        <v>9.3000000000000007</v>
      </c>
      <c r="H6671" t="s">
        <v>2323</v>
      </c>
      <c r="I6671" s="21">
        <v>44252.574557835702</v>
      </c>
      <c r="J6671">
        <v>2021</v>
      </c>
      <c r="K6671" s="21">
        <v>44341</v>
      </c>
      <c r="L6671">
        <v>2021</v>
      </c>
      <c r="Q6671" s="262">
        <v>7400000</v>
      </c>
      <c r="R6671" s="262">
        <v>1300000</v>
      </c>
      <c r="S6671" t="s">
        <v>114</v>
      </c>
      <c r="T6671" t="s">
        <v>114</v>
      </c>
      <c r="W6671">
        <v>8884</v>
      </c>
      <c r="X6671">
        <v>1</v>
      </c>
      <c r="AC6671">
        <v>8884</v>
      </c>
      <c r="AO6671">
        <v>1</v>
      </c>
      <c r="AU6671">
        <f t="shared" si="206"/>
        <v>1</v>
      </c>
      <c r="AV6671">
        <f t="shared" si="207"/>
        <v>0</v>
      </c>
    </row>
    <row r="6672" spans="1:48" x14ac:dyDescent="0.25">
      <c r="A6672" t="s">
        <v>15404</v>
      </c>
      <c r="B6672" t="s">
        <v>15404</v>
      </c>
      <c r="C6672" t="s">
        <v>15405</v>
      </c>
      <c r="D6672" t="s">
        <v>15403</v>
      </c>
      <c r="E6672" t="s">
        <v>2310</v>
      </c>
      <c r="F6672">
        <v>9</v>
      </c>
      <c r="G6672">
        <v>9.3000000000000007</v>
      </c>
      <c r="H6672" t="s">
        <v>2323</v>
      </c>
      <c r="I6672" s="21">
        <v>44252.582365740702</v>
      </c>
      <c r="J6672">
        <v>2021</v>
      </c>
      <c r="K6672" s="21">
        <v>44335</v>
      </c>
      <c r="L6672">
        <v>2021</v>
      </c>
      <c r="Q6672" s="262">
        <v>750000</v>
      </c>
      <c r="R6672" s="262">
        <v>116000</v>
      </c>
      <c r="S6672" t="s">
        <v>114</v>
      </c>
      <c r="T6672" t="s">
        <v>114</v>
      </c>
      <c r="W6672">
        <v>932</v>
      </c>
      <c r="X6672">
        <v>1</v>
      </c>
      <c r="AF6672">
        <v>932</v>
      </c>
      <c r="AR6672">
        <v>1</v>
      </c>
      <c r="AU6672">
        <f t="shared" si="206"/>
        <v>0</v>
      </c>
      <c r="AV6672">
        <f t="shared" si="207"/>
        <v>0</v>
      </c>
    </row>
    <row r="6673" spans="1:48" x14ac:dyDescent="0.25">
      <c r="A6673" t="s">
        <v>15406</v>
      </c>
      <c r="B6673" t="s">
        <v>15406</v>
      </c>
      <c r="C6673" t="s">
        <v>15407</v>
      </c>
      <c r="D6673" t="s">
        <v>15408</v>
      </c>
      <c r="E6673" t="s">
        <v>2310</v>
      </c>
      <c r="F6673">
        <v>9</v>
      </c>
      <c r="G6673">
        <v>9.3000000000000007</v>
      </c>
      <c r="H6673" t="s">
        <v>2323</v>
      </c>
      <c r="I6673" s="21">
        <v>44252.594896099501</v>
      </c>
      <c r="J6673">
        <v>2021</v>
      </c>
      <c r="K6673" s="21">
        <v>44407</v>
      </c>
      <c r="L6673">
        <v>2021</v>
      </c>
      <c r="Q6673" s="262">
        <v>5725000</v>
      </c>
      <c r="R6673" s="262">
        <v>1276000</v>
      </c>
      <c r="S6673" t="s">
        <v>114</v>
      </c>
      <c r="T6673" t="s">
        <v>114</v>
      </c>
      <c r="W6673">
        <v>8806</v>
      </c>
      <c r="X6673">
        <v>1</v>
      </c>
      <c r="AC6673">
        <v>8806</v>
      </c>
      <c r="AO6673">
        <v>1</v>
      </c>
      <c r="AU6673">
        <f t="shared" si="206"/>
        <v>1</v>
      </c>
      <c r="AV6673">
        <f t="shared" si="207"/>
        <v>0</v>
      </c>
    </row>
    <row r="6674" spans="1:48" x14ac:dyDescent="0.25">
      <c r="A6674" t="s">
        <v>15409</v>
      </c>
      <c r="B6674" t="s">
        <v>15409</v>
      </c>
      <c r="C6674" t="s">
        <v>15410</v>
      </c>
      <c r="D6674" t="s">
        <v>15411</v>
      </c>
      <c r="E6674" t="s">
        <v>2310</v>
      </c>
      <c r="F6674">
        <v>14</v>
      </c>
      <c r="G6674">
        <v>14.1</v>
      </c>
      <c r="H6674" t="s">
        <v>2022</v>
      </c>
      <c r="I6674" s="21">
        <v>44257.434578125001</v>
      </c>
      <c r="J6674">
        <v>2021</v>
      </c>
      <c r="O6674" s="21">
        <v>44453</v>
      </c>
      <c r="Q6674" s="262">
        <v>575000</v>
      </c>
      <c r="R6674" s="262">
        <v>926000</v>
      </c>
      <c r="S6674" t="s">
        <v>114</v>
      </c>
      <c r="T6674" t="s">
        <v>114</v>
      </c>
      <c r="W6674">
        <v>7258</v>
      </c>
      <c r="X6674">
        <v>1</v>
      </c>
      <c r="AC6674">
        <v>7258</v>
      </c>
      <c r="AO6674">
        <v>1</v>
      </c>
      <c r="AU6674">
        <f t="shared" si="206"/>
        <v>1</v>
      </c>
      <c r="AV6674">
        <f t="shared" si="207"/>
        <v>0</v>
      </c>
    </row>
    <row r="6675" spans="1:48" x14ac:dyDescent="0.25">
      <c r="A6675" t="s">
        <v>14484</v>
      </c>
      <c r="C6675" t="s">
        <v>14485</v>
      </c>
      <c r="D6675" t="s">
        <v>14486</v>
      </c>
      <c r="E6675" t="s">
        <v>2310</v>
      </c>
      <c r="F6675">
        <v>11</v>
      </c>
      <c r="G6675">
        <v>11.2</v>
      </c>
      <c r="H6675" t="s">
        <v>2017</v>
      </c>
      <c r="I6675" s="21">
        <v>44257.604371955997</v>
      </c>
      <c r="J6675">
        <v>2021</v>
      </c>
      <c r="K6675" s="21">
        <v>44544</v>
      </c>
      <c r="L6675">
        <v>2021</v>
      </c>
      <c r="M6675" s="21">
        <v>44644</v>
      </c>
      <c r="N6675">
        <v>2022</v>
      </c>
      <c r="Q6675" s="262">
        <v>180000</v>
      </c>
      <c r="R6675" s="262">
        <v>148000</v>
      </c>
      <c r="S6675" t="s">
        <v>9529</v>
      </c>
      <c r="T6675">
        <v>4702</v>
      </c>
      <c r="W6675">
        <v>-484</v>
      </c>
      <c r="X6675">
        <v>-1</v>
      </c>
      <c r="AC6675">
        <v>-484</v>
      </c>
      <c r="AO6675">
        <v>-1</v>
      </c>
      <c r="AU6675">
        <f t="shared" si="206"/>
        <v>-1</v>
      </c>
      <c r="AV6675">
        <f t="shared" si="207"/>
        <v>0</v>
      </c>
    </row>
    <row r="6676" spans="1:48" x14ac:dyDescent="0.25">
      <c r="A6676" t="s">
        <v>14484</v>
      </c>
      <c r="B6676" t="s">
        <v>14484</v>
      </c>
      <c r="C6676" t="s">
        <v>14491</v>
      </c>
      <c r="D6676" t="s">
        <v>14486</v>
      </c>
      <c r="E6676" t="s">
        <v>2310</v>
      </c>
      <c r="F6676">
        <v>11</v>
      </c>
      <c r="G6676">
        <v>11.2</v>
      </c>
      <c r="H6676" t="s">
        <v>2017</v>
      </c>
      <c r="I6676" s="21">
        <v>44257.604371955997</v>
      </c>
      <c r="J6676">
        <v>2021</v>
      </c>
      <c r="K6676" s="21">
        <v>44544</v>
      </c>
      <c r="L6676">
        <v>2021</v>
      </c>
      <c r="M6676" s="21">
        <v>44644</v>
      </c>
      <c r="N6676">
        <v>2022</v>
      </c>
      <c r="Q6676" s="262">
        <v>180000</v>
      </c>
      <c r="R6676" s="262">
        <v>148000</v>
      </c>
      <c r="S6676" t="s">
        <v>12464</v>
      </c>
      <c r="T6676">
        <v>4702</v>
      </c>
      <c r="W6676">
        <v>1210</v>
      </c>
      <c r="X6676">
        <v>1</v>
      </c>
      <c r="AC6676">
        <v>1210</v>
      </c>
      <c r="AO6676">
        <v>1</v>
      </c>
      <c r="AU6676">
        <f t="shared" si="206"/>
        <v>1</v>
      </c>
      <c r="AV6676">
        <f t="shared" si="207"/>
        <v>0</v>
      </c>
    </row>
    <row r="6677" spans="1:48" x14ac:dyDescent="0.25">
      <c r="A6677" t="s">
        <v>15423</v>
      </c>
      <c r="C6677" t="s">
        <v>15424</v>
      </c>
      <c r="D6677" t="s">
        <v>15425</v>
      </c>
      <c r="E6677" t="s">
        <v>1663</v>
      </c>
      <c r="F6677">
        <v>4</v>
      </c>
      <c r="G6677">
        <v>4.3</v>
      </c>
      <c r="H6677" t="s">
        <v>2327</v>
      </c>
      <c r="I6677" s="21">
        <v>44258</v>
      </c>
      <c r="J6677">
        <v>2021</v>
      </c>
      <c r="K6677" s="21">
        <v>44286</v>
      </c>
      <c r="L6677">
        <v>2021</v>
      </c>
      <c r="M6677" s="21">
        <v>44323</v>
      </c>
      <c r="N6677">
        <v>2021</v>
      </c>
      <c r="Q6677" s="262">
        <v>6000</v>
      </c>
      <c r="S6677" t="s">
        <v>114</v>
      </c>
      <c r="T6677" t="s">
        <v>114</v>
      </c>
      <c r="W6677">
        <v>0</v>
      </c>
      <c r="X6677">
        <v>0</v>
      </c>
      <c r="AU6677">
        <f t="shared" si="206"/>
        <v>0</v>
      </c>
      <c r="AV6677">
        <f t="shared" si="207"/>
        <v>0</v>
      </c>
    </row>
    <row r="6678" spans="1:48" x14ac:dyDescent="0.25">
      <c r="A6678" t="s">
        <v>15417</v>
      </c>
      <c r="C6678" t="s">
        <v>15418</v>
      </c>
      <c r="D6678" t="s">
        <v>15419</v>
      </c>
      <c r="E6678" t="s">
        <v>1663</v>
      </c>
      <c r="F6678">
        <v>3</v>
      </c>
      <c r="G6678">
        <v>3.2</v>
      </c>
      <c r="H6678" t="s">
        <v>2327</v>
      </c>
      <c r="I6678" s="21">
        <v>44258</v>
      </c>
      <c r="J6678">
        <v>2021</v>
      </c>
      <c r="K6678" s="21">
        <v>44274</v>
      </c>
      <c r="L6678">
        <v>2021</v>
      </c>
      <c r="M6678" s="21">
        <v>44545</v>
      </c>
      <c r="N6678">
        <v>2021</v>
      </c>
      <c r="Q6678" s="262">
        <v>1200</v>
      </c>
      <c r="S6678" t="s">
        <v>114</v>
      </c>
      <c r="T6678" t="s">
        <v>114</v>
      </c>
      <c r="W6678">
        <v>0</v>
      </c>
      <c r="X6678">
        <v>0</v>
      </c>
      <c r="AU6678">
        <f t="shared" si="206"/>
        <v>0</v>
      </c>
      <c r="AV6678">
        <f t="shared" si="207"/>
        <v>0</v>
      </c>
    </row>
    <row r="6679" spans="1:48" x14ac:dyDescent="0.25">
      <c r="A6679" t="s">
        <v>15420</v>
      </c>
      <c r="C6679" t="s">
        <v>15421</v>
      </c>
      <c r="D6679" t="s">
        <v>15422</v>
      </c>
      <c r="E6679" t="s">
        <v>1663</v>
      </c>
      <c r="F6679">
        <v>3</v>
      </c>
      <c r="G6679">
        <v>3.2</v>
      </c>
      <c r="H6679" t="s">
        <v>2327</v>
      </c>
      <c r="I6679" s="21">
        <v>44258</v>
      </c>
      <c r="J6679">
        <v>2021</v>
      </c>
      <c r="K6679" s="21">
        <v>44309</v>
      </c>
      <c r="L6679">
        <v>2021</v>
      </c>
      <c r="M6679" s="21">
        <v>44383</v>
      </c>
      <c r="N6679">
        <v>2021</v>
      </c>
      <c r="Q6679" s="262">
        <v>51229</v>
      </c>
      <c r="S6679" t="s">
        <v>114</v>
      </c>
      <c r="T6679" t="s">
        <v>114</v>
      </c>
      <c r="W6679">
        <v>0</v>
      </c>
      <c r="X6679">
        <v>0</v>
      </c>
      <c r="AU6679">
        <f t="shared" si="206"/>
        <v>0</v>
      </c>
      <c r="AV6679">
        <f t="shared" si="207"/>
        <v>0</v>
      </c>
    </row>
    <row r="6680" spans="1:48" x14ac:dyDescent="0.25">
      <c r="A6680" t="s">
        <v>15426</v>
      </c>
      <c r="C6680" t="s">
        <v>15427</v>
      </c>
      <c r="D6680" t="s">
        <v>15428</v>
      </c>
      <c r="E6680" t="s">
        <v>1663</v>
      </c>
      <c r="F6680">
        <v>3</v>
      </c>
      <c r="G6680">
        <v>3.1</v>
      </c>
      <c r="H6680" t="s">
        <v>2017</v>
      </c>
      <c r="I6680" s="21">
        <v>44259</v>
      </c>
      <c r="J6680">
        <v>2021</v>
      </c>
      <c r="K6680" s="21">
        <v>44294</v>
      </c>
      <c r="L6680">
        <v>2021</v>
      </c>
      <c r="P6680" s="21">
        <v>44689</v>
      </c>
      <c r="Q6680" s="262">
        <v>1700000</v>
      </c>
      <c r="S6680" t="s">
        <v>114</v>
      </c>
      <c r="T6680" t="s">
        <v>114</v>
      </c>
      <c r="W6680">
        <v>3652</v>
      </c>
      <c r="X6680">
        <v>1</v>
      </c>
      <c r="AC6680">
        <v>3652</v>
      </c>
      <c r="AO6680">
        <v>1</v>
      </c>
      <c r="AU6680">
        <f t="shared" si="206"/>
        <v>1</v>
      </c>
      <c r="AV6680">
        <f t="shared" si="207"/>
        <v>0</v>
      </c>
    </row>
    <row r="6681" spans="1:48" x14ac:dyDescent="0.25">
      <c r="A6681" t="s">
        <v>15429</v>
      </c>
      <c r="B6681" t="s">
        <v>15429</v>
      </c>
      <c r="C6681" t="s">
        <v>15430</v>
      </c>
      <c r="D6681" t="s">
        <v>15431</v>
      </c>
      <c r="E6681" t="s">
        <v>2310</v>
      </c>
      <c r="F6681">
        <v>15</v>
      </c>
      <c r="G6681">
        <v>15.2</v>
      </c>
      <c r="H6681" t="s">
        <v>2323</v>
      </c>
      <c r="I6681" s="21">
        <v>44259.563848460602</v>
      </c>
      <c r="J6681">
        <v>2021</v>
      </c>
      <c r="K6681" s="21">
        <v>44455</v>
      </c>
      <c r="L6681">
        <v>2021</v>
      </c>
      <c r="Q6681" s="262">
        <v>3000000</v>
      </c>
      <c r="R6681" s="262">
        <v>633000</v>
      </c>
      <c r="S6681" t="s">
        <v>114</v>
      </c>
      <c r="T6681" t="s">
        <v>114</v>
      </c>
      <c r="W6681">
        <v>4998</v>
      </c>
      <c r="X6681">
        <v>1</v>
      </c>
      <c r="AC6681">
        <v>4998</v>
      </c>
      <c r="AO6681">
        <v>1</v>
      </c>
      <c r="AU6681">
        <f t="shared" ref="AU6681:AU6744" si="208">SUM(AN6681:AQ6681,AS6681)</f>
        <v>1</v>
      </c>
      <c r="AV6681">
        <f t="shared" ref="AV6681:AV6744" si="209">SUM(Y6681:AB6681,AH6681:AM6681)</f>
        <v>0</v>
      </c>
    </row>
    <row r="6682" spans="1:48" x14ac:dyDescent="0.25">
      <c r="A6682" t="s">
        <v>15432</v>
      </c>
      <c r="B6682" t="s">
        <v>15432</v>
      </c>
      <c r="C6682" t="s">
        <v>15433</v>
      </c>
      <c r="D6682" t="s">
        <v>15431</v>
      </c>
      <c r="E6682" t="s">
        <v>2310</v>
      </c>
      <c r="F6682">
        <v>15</v>
      </c>
      <c r="G6682">
        <v>15.2</v>
      </c>
      <c r="H6682" t="s">
        <v>2323</v>
      </c>
      <c r="I6682" s="21">
        <v>44259.570985150502</v>
      </c>
      <c r="J6682">
        <v>2021</v>
      </c>
      <c r="K6682" s="21">
        <v>44455</v>
      </c>
      <c r="L6682">
        <v>2021</v>
      </c>
      <c r="Q6682" s="262">
        <v>200000</v>
      </c>
      <c r="R6682" s="262">
        <v>29000</v>
      </c>
      <c r="S6682" t="s">
        <v>114</v>
      </c>
      <c r="T6682" t="s">
        <v>114</v>
      </c>
      <c r="W6682">
        <v>600</v>
      </c>
      <c r="X6682">
        <v>0</v>
      </c>
      <c r="AC6682">
        <v>600</v>
      </c>
      <c r="AU6682">
        <f t="shared" si="208"/>
        <v>0</v>
      </c>
      <c r="AV6682">
        <f t="shared" si="209"/>
        <v>0</v>
      </c>
    </row>
    <row r="6683" spans="1:48" x14ac:dyDescent="0.25">
      <c r="A6683" t="s">
        <v>19851</v>
      </c>
      <c r="B6683" t="s">
        <v>19851</v>
      </c>
      <c r="C6683" t="s">
        <v>19852</v>
      </c>
      <c r="D6683" t="s">
        <v>19853</v>
      </c>
      <c r="E6683" t="s">
        <v>2310</v>
      </c>
      <c r="F6683">
        <v>15</v>
      </c>
      <c r="G6683">
        <v>15.2</v>
      </c>
      <c r="H6683" t="s">
        <v>2323</v>
      </c>
      <c r="I6683" s="21">
        <v>44260.558484456</v>
      </c>
      <c r="J6683">
        <v>2021</v>
      </c>
      <c r="K6683" s="21">
        <v>44358</v>
      </c>
      <c r="L6683">
        <v>2021</v>
      </c>
      <c r="M6683" s="21">
        <v>44474</v>
      </c>
      <c r="N6683">
        <v>2021</v>
      </c>
      <c r="Q6683" s="262">
        <v>4000000</v>
      </c>
      <c r="R6683" s="262">
        <v>860000</v>
      </c>
      <c r="S6683" t="s">
        <v>13254</v>
      </c>
      <c r="U6683">
        <v>5</v>
      </c>
      <c r="W6683">
        <v>6367</v>
      </c>
      <c r="X6683">
        <v>1</v>
      </c>
      <c r="AC6683">
        <v>6367</v>
      </c>
      <c r="AO6683">
        <v>1</v>
      </c>
      <c r="AU6683">
        <f t="shared" si="208"/>
        <v>1</v>
      </c>
      <c r="AV6683">
        <f t="shared" si="209"/>
        <v>0</v>
      </c>
    </row>
    <row r="6684" spans="1:48" x14ac:dyDescent="0.25">
      <c r="A6684" t="s">
        <v>15434</v>
      </c>
      <c r="C6684" t="s">
        <v>15435</v>
      </c>
      <c r="D6684" t="s">
        <v>14097</v>
      </c>
      <c r="E6684" t="s">
        <v>1663</v>
      </c>
      <c r="F6684">
        <v>1</v>
      </c>
      <c r="G6684">
        <v>1.2</v>
      </c>
      <c r="H6684" t="s">
        <v>2017</v>
      </c>
      <c r="I6684" s="21">
        <v>44264</v>
      </c>
      <c r="J6684">
        <v>2021</v>
      </c>
      <c r="K6684" s="21">
        <v>44287</v>
      </c>
      <c r="L6684">
        <v>2021</v>
      </c>
      <c r="P6684" s="21">
        <v>44516</v>
      </c>
      <c r="Q6684" s="262">
        <v>50000</v>
      </c>
      <c r="S6684" t="s">
        <v>114</v>
      </c>
      <c r="T6684" t="s">
        <v>114</v>
      </c>
      <c r="W6684">
        <v>0</v>
      </c>
      <c r="X6684">
        <v>0</v>
      </c>
      <c r="AU6684">
        <f t="shared" si="208"/>
        <v>0</v>
      </c>
      <c r="AV6684">
        <f t="shared" si="209"/>
        <v>0</v>
      </c>
    </row>
    <row r="6685" spans="1:48" x14ac:dyDescent="0.25">
      <c r="A6685" t="s">
        <v>15436</v>
      </c>
      <c r="B6685" t="s">
        <v>15436</v>
      </c>
      <c r="C6685" t="s">
        <v>15437</v>
      </c>
      <c r="D6685" t="s">
        <v>15438</v>
      </c>
      <c r="E6685" t="s">
        <v>2310</v>
      </c>
      <c r="F6685">
        <v>9</v>
      </c>
      <c r="G6685">
        <v>9.1</v>
      </c>
      <c r="H6685" t="s">
        <v>2323</v>
      </c>
      <c r="I6685" s="21">
        <v>44264.484682754599</v>
      </c>
      <c r="J6685">
        <v>2021</v>
      </c>
      <c r="O6685" s="21">
        <v>44480</v>
      </c>
      <c r="Q6685" s="262">
        <v>480000</v>
      </c>
      <c r="R6685" s="262">
        <v>157000</v>
      </c>
      <c r="S6685" t="s">
        <v>114</v>
      </c>
      <c r="T6685" t="s">
        <v>114</v>
      </c>
      <c r="W6685">
        <v>1690</v>
      </c>
      <c r="X6685">
        <v>1</v>
      </c>
      <c r="AF6685">
        <v>1690</v>
      </c>
      <c r="AR6685">
        <v>1</v>
      </c>
      <c r="AU6685">
        <f t="shared" si="208"/>
        <v>0</v>
      </c>
      <c r="AV6685">
        <f t="shared" si="209"/>
        <v>0</v>
      </c>
    </row>
    <row r="6686" spans="1:48" x14ac:dyDescent="0.25">
      <c r="A6686" t="s">
        <v>15439</v>
      </c>
      <c r="B6686" t="s">
        <v>15439</v>
      </c>
      <c r="C6686" t="s">
        <v>15440</v>
      </c>
      <c r="D6686" t="s">
        <v>15441</v>
      </c>
      <c r="E6686" t="s">
        <v>2310</v>
      </c>
      <c r="F6686">
        <v>13</v>
      </c>
      <c r="G6686">
        <v>13.3</v>
      </c>
      <c r="H6686" t="s">
        <v>2017</v>
      </c>
      <c r="I6686" s="21">
        <v>44264.552088854201</v>
      </c>
      <c r="J6686">
        <v>2021</v>
      </c>
      <c r="K6686" s="21">
        <v>44483</v>
      </c>
      <c r="L6686">
        <v>2021</v>
      </c>
      <c r="Q6686" s="262">
        <v>2000000</v>
      </c>
      <c r="R6686" s="262">
        <v>987000</v>
      </c>
      <c r="S6686" t="s">
        <v>114</v>
      </c>
      <c r="T6686" t="s">
        <v>114</v>
      </c>
      <c r="W6686">
        <v>6815</v>
      </c>
      <c r="X6686">
        <v>1</v>
      </c>
      <c r="AC6686">
        <v>6815</v>
      </c>
      <c r="AO6686">
        <v>1</v>
      </c>
      <c r="AU6686">
        <f t="shared" si="208"/>
        <v>1</v>
      </c>
      <c r="AV6686">
        <f t="shared" si="209"/>
        <v>0</v>
      </c>
    </row>
    <row r="6687" spans="1:48" x14ac:dyDescent="0.25">
      <c r="A6687" t="s">
        <v>15442</v>
      </c>
      <c r="B6687" t="s">
        <v>15442</v>
      </c>
      <c r="C6687" t="s">
        <v>15443</v>
      </c>
      <c r="D6687" t="s">
        <v>15444</v>
      </c>
      <c r="E6687" t="s">
        <v>2310</v>
      </c>
      <c r="F6687">
        <v>9</v>
      </c>
      <c r="G6687">
        <v>9.3000000000000007</v>
      </c>
      <c r="H6687" t="s">
        <v>2323</v>
      </c>
      <c r="I6687" s="21">
        <v>44264.612456828698</v>
      </c>
      <c r="J6687">
        <v>2021</v>
      </c>
      <c r="K6687" s="21">
        <v>44363</v>
      </c>
      <c r="L6687">
        <v>2021</v>
      </c>
      <c r="Q6687" s="262">
        <v>3000000</v>
      </c>
      <c r="R6687" s="262">
        <v>1009000</v>
      </c>
      <c r="S6687" t="s">
        <v>114</v>
      </c>
      <c r="T6687" t="s">
        <v>114</v>
      </c>
      <c r="W6687">
        <v>7050</v>
      </c>
      <c r="X6687">
        <v>1</v>
      </c>
      <c r="AC6687">
        <v>7050</v>
      </c>
      <c r="AO6687">
        <v>1</v>
      </c>
      <c r="AU6687">
        <f t="shared" si="208"/>
        <v>1</v>
      </c>
      <c r="AV6687">
        <f t="shared" si="209"/>
        <v>0</v>
      </c>
    </row>
    <row r="6688" spans="1:48" x14ac:dyDescent="0.25">
      <c r="A6688" t="s">
        <v>15445</v>
      </c>
      <c r="C6688" t="s">
        <v>13985</v>
      </c>
      <c r="D6688" t="s">
        <v>13762</v>
      </c>
      <c r="E6688" t="s">
        <v>1663</v>
      </c>
      <c r="F6688">
        <v>4</v>
      </c>
      <c r="G6688">
        <v>4.3</v>
      </c>
      <c r="H6688" t="s">
        <v>2327</v>
      </c>
      <c r="I6688" s="21">
        <v>44265</v>
      </c>
      <c r="J6688">
        <v>2021</v>
      </c>
      <c r="K6688" s="21">
        <v>44370</v>
      </c>
      <c r="L6688">
        <v>2021</v>
      </c>
      <c r="P6688" s="21">
        <v>44732</v>
      </c>
      <c r="Q6688" s="262">
        <v>50000</v>
      </c>
      <c r="S6688" t="s">
        <v>114</v>
      </c>
      <c r="T6688" t="s">
        <v>114</v>
      </c>
      <c r="W6688">
        <v>0</v>
      </c>
      <c r="X6688">
        <v>0</v>
      </c>
      <c r="AU6688">
        <f t="shared" si="208"/>
        <v>0</v>
      </c>
      <c r="AV6688">
        <f t="shared" si="209"/>
        <v>0</v>
      </c>
    </row>
    <row r="6689" spans="1:48" x14ac:dyDescent="0.25">
      <c r="A6689" t="s">
        <v>15446</v>
      </c>
      <c r="B6689" t="s">
        <v>15446</v>
      </c>
      <c r="C6689" t="s">
        <v>15447</v>
      </c>
      <c r="D6689" t="s">
        <v>15448</v>
      </c>
      <c r="E6689" t="s">
        <v>2310</v>
      </c>
      <c r="F6689">
        <v>9</v>
      </c>
      <c r="G6689">
        <v>9.4</v>
      </c>
      <c r="H6689" t="s">
        <v>2323</v>
      </c>
      <c r="I6689" s="21">
        <v>44266.434937731501</v>
      </c>
      <c r="J6689">
        <v>2021</v>
      </c>
      <c r="K6689" s="21">
        <v>44455</v>
      </c>
      <c r="L6689">
        <v>2021</v>
      </c>
      <c r="Q6689" s="262">
        <v>6000000</v>
      </c>
      <c r="R6689" s="262">
        <v>1495000</v>
      </c>
      <c r="S6689" t="s">
        <v>114</v>
      </c>
      <c r="T6689" t="s">
        <v>114</v>
      </c>
      <c r="W6689">
        <v>9883</v>
      </c>
      <c r="X6689">
        <v>1</v>
      </c>
      <c r="AC6689">
        <v>9883</v>
      </c>
      <c r="AO6689">
        <v>1</v>
      </c>
      <c r="AU6689">
        <f t="shared" si="208"/>
        <v>1</v>
      </c>
      <c r="AV6689">
        <f t="shared" si="209"/>
        <v>0</v>
      </c>
    </row>
    <row r="6690" spans="1:48" x14ac:dyDescent="0.25">
      <c r="A6690" t="s">
        <v>20129</v>
      </c>
      <c r="B6690" t="s">
        <v>20129</v>
      </c>
      <c r="C6690" t="s">
        <v>20130</v>
      </c>
      <c r="D6690" t="s">
        <v>20131</v>
      </c>
      <c r="E6690" t="s">
        <v>2310</v>
      </c>
      <c r="F6690">
        <v>13</v>
      </c>
      <c r="G6690">
        <v>13.2</v>
      </c>
      <c r="H6690" t="s">
        <v>2327</v>
      </c>
      <c r="I6690" s="21">
        <v>44266.600070289402</v>
      </c>
      <c r="J6690">
        <v>2021</v>
      </c>
      <c r="K6690" s="21">
        <v>44355</v>
      </c>
      <c r="L6690">
        <v>2021</v>
      </c>
      <c r="M6690" s="21">
        <v>44337</v>
      </c>
      <c r="N6690">
        <v>2021</v>
      </c>
      <c r="Q6690" s="262">
        <v>6500000</v>
      </c>
      <c r="R6690" s="262">
        <v>1262000</v>
      </c>
      <c r="S6690" t="s">
        <v>13254</v>
      </c>
      <c r="U6690">
        <v>5</v>
      </c>
      <c r="W6690">
        <v>8426</v>
      </c>
      <c r="X6690">
        <v>1</v>
      </c>
      <c r="AC6690">
        <v>8426</v>
      </c>
      <c r="AO6690">
        <v>1</v>
      </c>
      <c r="AU6690">
        <f t="shared" si="208"/>
        <v>1</v>
      </c>
      <c r="AV6690">
        <f t="shared" si="209"/>
        <v>0</v>
      </c>
    </row>
    <row r="6691" spans="1:48" x14ac:dyDescent="0.25">
      <c r="A6691" t="s">
        <v>15449</v>
      </c>
      <c r="C6691" t="s">
        <v>15450</v>
      </c>
      <c r="D6691" t="s">
        <v>15451</v>
      </c>
      <c r="E6691" t="s">
        <v>1663</v>
      </c>
      <c r="F6691">
        <v>6</v>
      </c>
      <c r="G6691">
        <v>6.1</v>
      </c>
      <c r="H6691" t="s">
        <v>2017</v>
      </c>
      <c r="I6691" s="21">
        <v>44267</v>
      </c>
      <c r="J6691">
        <v>2021</v>
      </c>
      <c r="K6691" s="21">
        <v>44365</v>
      </c>
      <c r="L6691">
        <v>2021</v>
      </c>
      <c r="P6691" s="21">
        <v>44697</v>
      </c>
      <c r="Q6691" s="262">
        <v>2000000</v>
      </c>
      <c r="S6691" t="s">
        <v>114</v>
      </c>
      <c r="T6691" t="s">
        <v>114</v>
      </c>
      <c r="W6691">
        <v>-2124</v>
      </c>
      <c r="X6691">
        <v>-1</v>
      </c>
      <c r="AC6691">
        <v>-2124</v>
      </c>
      <c r="AO6691">
        <v>-1</v>
      </c>
      <c r="AU6691">
        <f t="shared" si="208"/>
        <v>-1</v>
      </c>
      <c r="AV6691">
        <f t="shared" si="209"/>
        <v>0</v>
      </c>
    </row>
    <row r="6692" spans="1:48" x14ac:dyDescent="0.25">
      <c r="A6692" t="s">
        <v>15449</v>
      </c>
      <c r="C6692" t="s">
        <v>11330</v>
      </c>
      <c r="D6692" t="s">
        <v>15451</v>
      </c>
      <c r="E6692" t="s">
        <v>1663</v>
      </c>
      <c r="F6692">
        <v>6</v>
      </c>
      <c r="G6692">
        <v>6.1</v>
      </c>
      <c r="H6692" t="s">
        <v>2017</v>
      </c>
      <c r="I6692" s="21">
        <v>44267</v>
      </c>
      <c r="J6692">
        <v>2021</v>
      </c>
      <c r="K6692" s="21">
        <v>44365</v>
      </c>
      <c r="L6692">
        <v>2021</v>
      </c>
      <c r="P6692" s="21">
        <v>44697</v>
      </c>
      <c r="Q6692" s="262">
        <v>2000000</v>
      </c>
      <c r="S6692" t="s">
        <v>114</v>
      </c>
      <c r="T6692" t="s">
        <v>114</v>
      </c>
      <c r="W6692">
        <v>3109</v>
      </c>
      <c r="X6692">
        <v>1</v>
      </c>
      <c r="AC6692">
        <v>3109</v>
      </c>
      <c r="AO6692">
        <v>1</v>
      </c>
      <c r="AU6692">
        <f t="shared" si="208"/>
        <v>1</v>
      </c>
      <c r="AV6692">
        <f t="shared" si="209"/>
        <v>0</v>
      </c>
    </row>
    <row r="6693" spans="1:48" x14ac:dyDescent="0.25">
      <c r="A6693" t="s">
        <v>15452</v>
      </c>
      <c r="B6693" t="s">
        <v>15452</v>
      </c>
      <c r="C6693" t="s">
        <v>15453</v>
      </c>
      <c r="D6693" t="s">
        <v>15454</v>
      </c>
      <c r="E6693" t="s">
        <v>2310</v>
      </c>
      <c r="F6693">
        <v>8</v>
      </c>
      <c r="G6693">
        <v>8.1</v>
      </c>
      <c r="H6693" t="s">
        <v>2323</v>
      </c>
      <c r="I6693" s="21">
        <v>44271.435111342602</v>
      </c>
      <c r="J6693">
        <v>2021</v>
      </c>
      <c r="K6693" s="21">
        <v>44476</v>
      </c>
      <c r="L6693">
        <v>2021</v>
      </c>
      <c r="Q6693" s="262">
        <v>3300000</v>
      </c>
      <c r="R6693" s="262">
        <v>776000</v>
      </c>
      <c r="S6693" t="s">
        <v>114</v>
      </c>
      <c r="T6693" t="s">
        <v>114</v>
      </c>
      <c r="W6693">
        <v>5947</v>
      </c>
      <c r="X6693">
        <v>1</v>
      </c>
      <c r="AC6693">
        <v>5947</v>
      </c>
      <c r="AO6693">
        <v>1</v>
      </c>
      <c r="AU6693">
        <f t="shared" si="208"/>
        <v>1</v>
      </c>
      <c r="AV6693">
        <f t="shared" si="209"/>
        <v>0</v>
      </c>
    </row>
    <row r="6694" spans="1:48" x14ac:dyDescent="0.25">
      <c r="A6694" t="s">
        <v>15455</v>
      </c>
      <c r="B6694" t="s">
        <v>15455</v>
      </c>
      <c r="C6694" t="s">
        <v>15456</v>
      </c>
      <c r="D6694" t="s">
        <v>12966</v>
      </c>
      <c r="E6694" t="s">
        <v>2310</v>
      </c>
      <c r="F6694">
        <v>15</v>
      </c>
      <c r="G6694">
        <v>15.2</v>
      </c>
      <c r="H6694" t="s">
        <v>2323</v>
      </c>
      <c r="I6694" s="21">
        <v>44271.499304895799</v>
      </c>
      <c r="J6694">
        <v>2021</v>
      </c>
      <c r="K6694" s="21">
        <v>44404</v>
      </c>
      <c r="L6694">
        <v>2021</v>
      </c>
      <c r="Q6694" s="262">
        <v>807000</v>
      </c>
      <c r="R6694" s="262">
        <v>431000</v>
      </c>
      <c r="S6694" t="s">
        <v>114</v>
      </c>
      <c r="T6694" t="s">
        <v>114</v>
      </c>
      <c r="W6694">
        <v>5007</v>
      </c>
      <c r="X6694">
        <v>1</v>
      </c>
      <c r="AC6694">
        <v>5007</v>
      </c>
      <c r="AO6694">
        <v>1</v>
      </c>
      <c r="AU6694">
        <f t="shared" si="208"/>
        <v>1</v>
      </c>
      <c r="AV6694">
        <f t="shared" si="209"/>
        <v>0</v>
      </c>
    </row>
    <row r="6695" spans="1:48" x14ac:dyDescent="0.25">
      <c r="A6695" t="s">
        <v>15457</v>
      </c>
      <c r="B6695" t="s">
        <v>15457</v>
      </c>
      <c r="C6695" t="s">
        <v>15458</v>
      </c>
      <c r="D6695" t="s">
        <v>12966</v>
      </c>
      <c r="E6695" t="s">
        <v>2310</v>
      </c>
      <c r="F6695">
        <v>15</v>
      </c>
      <c r="G6695">
        <v>15.2</v>
      </c>
      <c r="H6695" t="s">
        <v>2323</v>
      </c>
      <c r="I6695" s="21">
        <v>44271.5051065972</v>
      </c>
      <c r="J6695">
        <v>2021</v>
      </c>
      <c r="K6695" s="21">
        <v>44404</v>
      </c>
      <c r="L6695">
        <v>2021</v>
      </c>
      <c r="Q6695" s="262">
        <v>254000</v>
      </c>
      <c r="R6695" s="262">
        <v>221000</v>
      </c>
      <c r="S6695" t="s">
        <v>114</v>
      </c>
      <c r="T6695" t="s">
        <v>114</v>
      </c>
      <c r="W6695">
        <v>2575</v>
      </c>
      <c r="X6695">
        <v>1</v>
      </c>
      <c r="AC6695">
        <v>1575</v>
      </c>
      <c r="AF6695">
        <v>1000</v>
      </c>
      <c r="AR6695">
        <v>1</v>
      </c>
      <c r="AU6695">
        <f t="shared" si="208"/>
        <v>0</v>
      </c>
      <c r="AV6695">
        <f t="shared" si="209"/>
        <v>0</v>
      </c>
    </row>
    <row r="6696" spans="1:48" x14ac:dyDescent="0.25">
      <c r="A6696" t="s">
        <v>15459</v>
      </c>
      <c r="B6696" t="s">
        <v>15459</v>
      </c>
      <c r="C6696" t="s">
        <v>15460</v>
      </c>
      <c r="D6696" t="s">
        <v>15461</v>
      </c>
      <c r="E6696" t="s">
        <v>2310</v>
      </c>
      <c r="F6696">
        <v>9</v>
      </c>
      <c r="G6696">
        <v>9.4</v>
      </c>
      <c r="H6696" t="s">
        <v>2323</v>
      </c>
      <c r="I6696" s="21">
        <v>44273.434474039299</v>
      </c>
      <c r="J6696">
        <v>2021</v>
      </c>
      <c r="K6696" s="21">
        <v>44358</v>
      </c>
      <c r="L6696">
        <v>2021</v>
      </c>
      <c r="Q6696" s="262">
        <v>225000</v>
      </c>
      <c r="R6696" s="262">
        <v>130000</v>
      </c>
      <c r="S6696" t="s">
        <v>114</v>
      </c>
      <c r="T6696" t="s">
        <v>114</v>
      </c>
      <c r="V6696">
        <v>900</v>
      </c>
      <c r="W6696">
        <v>0</v>
      </c>
      <c r="X6696">
        <v>0</v>
      </c>
      <c r="AU6696">
        <f t="shared" si="208"/>
        <v>0</v>
      </c>
      <c r="AV6696">
        <f t="shared" si="209"/>
        <v>0</v>
      </c>
    </row>
    <row r="6697" spans="1:48" x14ac:dyDescent="0.25">
      <c r="A6697" t="s">
        <v>15462</v>
      </c>
      <c r="B6697" t="s">
        <v>15462</v>
      </c>
      <c r="C6697" t="s">
        <v>15463</v>
      </c>
      <c r="D6697" t="s">
        <v>15464</v>
      </c>
      <c r="E6697" t="s">
        <v>2310</v>
      </c>
      <c r="F6697">
        <v>9</v>
      </c>
      <c r="G6697">
        <v>9.4</v>
      </c>
      <c r="H6697" t="s">
        <v>2323</v>
      </c>
      <c r="I6697" s="21">
        <v>44273.442753437499</v>
      </c>
      <c r="J6697">
        <v>2021</v>
      </c>
      <c r="K6697" s="21">
        <v>44358</v>
      </c>
      <c r="L6697">
        <v>2021</v>
      </c>
      <c r="Q6697" s="262">
        <v>225000</v>
      </c>
      <c r="R6697" s="262">
        <v>130000</v>
      </c>
      <c r="S6697" t="s">
        <v>114</v>
      </c>
      <c r="T6697" t="s">
        <v>114</v>
      </c>
      <c r="V6697">
        <v>900</v>
      </c>
      <c r="W6697">
        <v>0</v>
      </c>
      <c r="X6697">
        <v>0</v>
      </c>
      <c r="AU6697">
        <f t="shared" si="208"/>
        <v>0</v>
      </c>
      <c r="AV6697">
        <f t="shared" si="209"/>
        <v>0</v>
      </c>
    </row>
    <row r="6698" spans="1:48" x14ac:dyDescent="0.25">
      <c r="A6698" t="s">
        <v>15465</v>
      </c>
      <c r="B6698" t="s">
        <v>15465</v>
      </c>
      <c r="C6698" t="s">
        <v>15463</v>
      </c>
      <c r="D6698" t="s">
        <v>15466</v>
      </c>
      <c r="E6698" t="s">
        <v>2310</v>
      </c>
      <c r="F6698">
        <v>9</v>
      </c>
      <c r="G6698">
        <v>9.4</v>
      </c>
      <c r="H6698" t="s">
        <v>2323</v>
      </c>
      <c r="I6698" s="21">
        <v>44273.445735069399</v>
      </c>
      <c r="J6698">
        <v>2021</v>
      </c>
      <c r="K6698" s="21">
        <v>44358</v>
      </c>
      <c r="L6698">
        <v>2021</v>
      </c>
      <c r="Q6698" s="262">
        <v>225000</v>
      </c>
      <c r="R6698" s="262">
        <v>130000</v>
      </c>
      <c r="S6698" t="s">
        <v>114</v>
      </c>
      <c r="T6698" t="s">
        <v>114</v>
      </c>
      <c r="V6698">
        <v>900</v>
      </c>
      <c r="W6698">
        <v>0</v>
      </c>
      <c r="X6698">
        <v>0</v>
      </c>
      <c r="AU6698">
        <f t="shared" si="208"/>
        <v>0</v>
      </c>
      <c r="AV6698">
        <f t="shared" si="209"/>
        <v>0</v>
      </c>
    </row>
    <row r="6699" spans="1:48" x14ac:dyDescent="0.25">
      <c r="A6699" t="s">
        <v>15467</v>
      </c>
      <c r="B6699" t="s">
        <v>15467</v>
      </c>
      <c r="C6699" t="s">
        <v>15463</v>
      </c>
      <c r="D6699" t="s">
        <v>15468</v>
      </c>
      <c r="E6699" t="s">
        <v>2310</v>
      </c>
      <c r="F6699">
        <v>9</v>
      </c>
      <c r="G6699">
        <v>9.4</v>
      </c>
      <c r="H6699" t="s">
        <v>2323</v>
      </c>
      <c r="I6699" s="21">
        <v>44273.447275544</v>
      </c>
      <c r="J6699">
        <v>2021</v>
      </c>
      <c r="K6699" s="21">
        <v>44425</v>
      </c>
      <c r="L6699">
        <v>2021</v>
      </c>
      <c r="Q6699" s="262">
        <v>225000</v>
      </c>
      <c r="R6699" s="262">
        <v>130000</v>
      </c>
      <c r="S6699" t="s">
        <v>114</v>
      </c>
      <c r="T6699" t="s">
        <v>114</v>
      </c>
      <c r="V6699">
        <v>900</v>
      </c>
      <c r="W6699">
        <v>0</v>
      </c>
      <c r="X6699">
        <v>0</v>
      </c>
      <c r="AU6699">
        <f t="shared" si="208"/>
        <v>0</v>
      </c>
      <c r="AV6699">
        <f t="shared" si="209"/>
        <v>0</v>
      </c>
    </row>
    <row r="6700" spans="1:48" x14ac:dyDescent="0.25">
      <c r="A6700" t="s">
        <v>15469</v>
      </c>
      <c r="B6700" t="s">
        <v>15469</v>
      </c>
      <c r="C6700" t="s">
        <v>15463</v>
      </c>
      <c r="D6700" t="s">
        <v>15470</v>
      </c>
      <c r="E6700" t="s">
        <v>2310</v>
      </c>
      <c r="F6700">
        <v>9</v>
      </c>
      <c r="G6700">
        <v>9.4</v>
      </c>
      <c r="H6700" t="s">
        <v>2323</v>
      </c>
      <c r="I6700" s="21">
        <v>44273.448234525502</v>
      </c>
      <c r="J6700">
        <v>2021</v>
      </c>
      <c r="K6700" s="21">
        <v>44358</v>
      </c>
      <c r="L6700">
        <v>2021</v>
      </c>
      <c r="Q6700" s="262">
        <v>225000</v>
      </c>
      <c r="R6700" s="262">
        <v>130000</v>
      </c>
      <c r="S6700" t="s">
        <v>114</v>
      </c>
      <c r="T6700" t="s">
        <v>114</v>
      </c>
      <c r="V6700">
        <v>900</v>
      </c>
      <c r="W6700">
        <v>0</v>
      </c>
      <c r="X6700">
        <v>0</v>
      </c>
      <c r="AU6700">
        <f t="shared" si="208"/>
        <v>0</v>
      </c>
      <c r="AV6700">
        <f t="shared" si="209"/>
        <v>0</v>
      </c>
    </row>
    <row r="6701" spans="1:48" x14ac:dyDescent="0.25">
      <c r="A6701" t="s">
        <v>15471</v>
      </c>
      <c r="B6701" t="s">
        <v>15471</v>
      </c>
      <c r="C6701" t="s">
        <v>15463</v>
      </c>
      <c r="D6701" t="s">
        <v>15472</v>
      </c>
      <c r="E6701" t="s">
        <v>2310</v>
      </c>
      <c r="F6701">
        <v>9</v>
      </c>
      <c r="G6701">
        <v>9.4</v>
      </c>
      <c r="H6701" t="s">
        <v>2323</v>
      </c>
      <c r="I6701" s="21">
        <v>44273.4492054398</v>
      </c>
      <c r="J6701">
        <v>2021</v>
      </c>
      <c r="K6701" s="21">
        <v>44358</v>
      </c>
      <c r="L6701">
        <v>2021</v>
      </c>
      <c r="Q6701" s="262">
        <v>225000</v>
      </c>
      <c r="R6701" s="262">
        <v>130000</v>
      </c>
      <c r="S6701" t="s">
        <v>114</v>
      </c>
      <c r="T6701" t="s">
        <v>114</v>
      </c>
      <c r="V6701">
        <v>900</v>
      </c>
      <c r="W6701">
        <v>0</v>
      </c>
      <c r="X6701">
        <v>0</v>
      </c>
      <c r="AU6701">
        <f t="shared" si="208"/>
        <v>0</v>
      </c>
      <c r="AV6701">
        <f t="shared" si="209"/>
        <v>0</v>
      </c>
    </row>
    <row r="6702" spans="1:48" x14ac:dyDescent="0.25">
      <c r="A6702" t="s">
        <v>15473</v>
      </c>
      <c r="B6702" t="s">
        <v>15473</v>
      </c>
      <c r="C6702" t="s">
        <v>15463</v>
      </c>
      <c r="D6702" t="s">
        <v>15474</v>
      </c>
      <c r="E6702" t="s">
        <v>2310</v>
      </c>
      <c r="F6702">
        <v>9</v>
      </c>
      <c r="G6702">
        <v>9.4</v>
      </c>
      <c r="H6702" t="s">
        <v>2323</v>
      </c>
      <c r="I6702" s="21">
        <v>44273.4501457523</v>
      </c>
      <c r="J6702">
        <v>2021</v>
      </c>
      <c r="K6702" s="21">
        <v>44358</v>
      </c>
      <c r="L6702">
        <v>2021</v>
      </c>
      <c r="Q6702" s="262">
        <v>225000</v>
      </c>
      <c r="R6702" s="262">
        <v>130000</v>
      </c>
      <c r="S6702" t="s">
        <v>114</v>
      </c>
      <c r="T6702" t="s">
        <v>114</v>
      </c>
      <c r="V6702">
        <v>900</v>
      </c>
      <c r="W6702">
        <v>0</v>
      </c>
      <c r="X6702">
        <v>0</v>
      </c>
      <c r="AU6702">
        <f t="shared" si="208"/>
        <v>0</v>
      </c>
      <c r="AV6702">
        <f t="shared" si="209"/>
        <v>0</v>
      </c>
    </row>
    <row r="6703" spans="1:48" x14ac:dyDescent="0.25">
      <c r="A6703" t="s">
        <v>15475</v>
      </c>
      <c r="B6703" t="s">
        <v>15475</v>
      </c>
      <c r="C6703" t="s">
        <v>15463</v>
      </c>
      <c r="D6703" t="s">
        <v>15476</v>
      </c>
      <c r="E6703" t="s">
        <v>2310</v>
      </c>
      <c r="F6703">
        <v>9</v>
      </c>
      <c r="G6703">
        <v>9.4</v>
      </c>
      <c r="H6703" t="s">
        <v>2323</v>
      </c>
      <c r="I6703" s="21">
        <v>44273.4510101505</v>
      </c>
      <c r="J6703">
        <v>2021</v>
      </c>
      <c r="K6703" s="21">
        <v>44358</v>
      </c>
      <c r="L6703">
        <v>2021</v>
      </c>
      <c r="Q6703" s="262">
        <v>225000</v>
      </c>
      <c r="R6703" s="262">
        <v>130000</v>
      </c>
      <c r="S6703" t="s">
        <v>114</v>
      </c>
      <c r="T6703" t="s">
        <v>114</v>
      </c>
      <c r="V6703">
        <v>900</v>
      </c>
      <c r="W6703">
        <v>0</v>
      </c>
      <c r="X6703">
        <v>0</v>
      </c>
      <c r="AU6703">
        <f t="shared" si="208"/>
        <v>0</v>
      </c>
      <c r="AV6703">
        <f t="shared" si="209"/>
        <v>0</v>
      </c>
    </row>
    <row r="6704" spans="1:48" x14ac:dyDescent="0.25">
      <c r="A6704" t="s">
        <v>15477</v>
      </c>
      <c r="B6704" t="s">
        <v>15477</v>
      </c>
      <c r="C6704" t="s">
        <v>15460</v>
      </c>
      <c r="D6704" t="s">
        <v>15478</v>
      </c>
      <c r="E6704" t="s">
        <v>2310</v>
      </c>
      <c r="F6704">
        <v>9</v>
      </c>
      <c r="G6704">
        <v>9.4</v>
      </c>
      <c r="H6704" t="s">
        <v>2323</v>
      </c>
      <c r="I6704" s="21">
        <v>44273.4518040162</v>
      </c>
      <c r="J6704">
        <v>2021</v>
      </c>
      <c r="K6704" s="21">
        <v>44358</v>
      </c>
      <c r="L6704">
        <v>2021</v>
      </c>
      <c r="Q6704" s="262">
        <v>225000</v>
      </c>
      <c r="R6704" s="262">
        <v>130000</v>
      </c>
      <c r="S6704" t="s">
        <v>114</v>
      </c>
      <c r="T6704" t="s">
        <v>114</v>
      </c>
      <c r="V6704">
        <v>900</v>
      </c>
      <c r="W6704">
        <v>0</v>
      </c>
      <c r="X6704">
        <v>0</v>
      </c>
      <c r="AU6704">
        <f t="shared" si="208"/>
        <v>0</v>
      </c>
      <c r="AV6704">
        <f t="shared" si="209"/>
        <v>0</v>
      </c>
    </row>
    <row r="6705" spans="1:48" x14ac:dyDescent="0.25">
      <c r="A6705" t="s">
        <v>15479</v>
      </c>
      <c r="B6705" t="s">
        <v>15479</v>
      </c>
      <c r="C6705" t="s">
        <v>15480</v>
      </c>
      <c r="D6705" t="s">
        <v>15481</v>
      </c>
      <c r="E6705" t="s">
        <v>2310</v>
      </c>
      <c r="F6705">
        <v>13</v>
      </c>
      <c r="G6705">
        <v>13.2</v>
      </c>
      <c r="H6705" t="s">
        <v>2327</v>
      </c>
      <c r="I6705" s="21">
        <v>44273.608652928197</v>
      </c>
      <c r="J6705">
        <v>2021</v>
      </c>
      <c r="K6705" s="21">
        <v>44354</v>
      </c>
      <c r="L6705">
        <v>2021</v>
      </c>
      <c r="Q6705" s="262">
        <v>6400000</v>
      </c>
      <c r="R6705" s="262">
        <v>1229000</v>
      </c>
      <c r="S6705" t="s">
        <v>114</v>
      </c>
      <c r="T6705" t="s">
        <v>114</v>
      </c>
      <c r="W6705">
        <v>8940</v>
      </c>
      <c r="X6705">
        <v>1</v>
      </c>
      <c r="AC6705">
        <v>8940</v>
      </c>
      <c r="AO6705">
        <v>1</v>
      </c>
      <c r="AU6705">
        <f t="shared" si="208"/>
        <v>1</v>
      </c>
      <c r="AV6705">
        <f t="shared" si="209"/>
        <v>0</v>
      </c>
    </row>
    <row r="6706" spans="1:48" x14ac:dyDescent="0.25">
      <c r="A6706" t="s">
        <v>15482</v>
      </c>
      <c r="B6706" t="s">
        <v>15482</v>
      </c>
      <c r="C6706" t="s">
        <v>15483</v>
      </c>
      <c r="D6706" t="s">
        <v>15481</v>
      </c>
      <c r="E6706" t="s">
        <v>2310</v>
      </c>
      <c r="F6706">
        <v>13</v>
      </c>
      <c r="G6706">
        <v>13.2</v>
      </c>
      <c r="H6706" t="s">
        <v>2327</v>
      </c>
      <c r="I6706" s="21">
        <v>44273.618206747698</v>
      </c>
      <c r="J6706">
        <v>2021</v>
      </c>
      <c r="K6706" s="21">
        <v>44354</v>
      </c>
      <c r="L6706">
        <v>2021</v>
      </c>
      <c r="Q6706" s="262">
        <v>1200000</v>
      </c>
      <c r="R6706" s="262">
        <v>126000</v>
      </c>
      <c r="S6706" t="s">
        <v>114</v>
      </c>
      <c r="T6706" t="s">
        <v>114</v>
      </c>
      <c r="W6706">
        <v>999</v>
      </c>
      <c r="X6706">
        <v>1</v>
      </c>
      <c r="AF6706">
        <v>999</v>
      </c>
      <c r="AR6706">
        <v>1</v>
      </c>
      <c r="AU6706">
        <f t="shared" si="208"/>
        <v>0</v>
      </c>
      <c r="AV6706">
        <f t="shared" si="209"/>
        <v>0</v>
      </c>
    </row>
    <row r="6707" spans="1:48" x14ac:dyDescent="0.25">
      <c r="A6707" t="s">
        <v>15484</v>
      </c>
      <c r="B6707" t="s">
        <v>15484</v>
      </c>
      <c r="C6707" t="s">
        <v>15485</v>
      </c>
      <c r="D6707" t="s">
        <v>15486</v>
      </c>
      <c r="E6707" t="s">
        <v>2310</v>
      </c>
      <c r="F6707">
        <v>15</v>
      </c>
      <c r="G6707">
        <v>15.2</v>
      </c>
      <c r="H6707" t="s">
        <v>2323</v>
      </c>
      <c r="I6707" s="21">
        <v>44274.4770784375</v>
      </c>
      <c r="J6707">
        <v>2021</v>
      </c>
      <c r="K6707" s="21">
        <v>44362</v>
      </c>
      <c r="L6707">
        <v>2021</v>
      </c>
      <c r="Q6707" s="262">
        <v>7000000</v>
      </c>
      <c r="R6707" s="262">
        <v>882000</v>
      </c>
      <c r="S6707" t="s">
        <v>114</v>
      </c>
      <c r="T6707" t="s">
        <v>114</v>
      </c>
      <c r="W6707">
        <v>6398</v>
      </c>
      <c r="X6707">
        <v>1</v>
      </c>
      <c r="AC6707">
        <v>6398</v>
      </c>
      <c r="AO6707">
        <v>1</v>
      </c>
      <c r="AU6707">
        <f t="shared" si="208"/>
        <v>1</v>
      </c>
      <c r="AV6707">
        <f t="shared" si="209"/>
        <v>0</v>
      </c>
    </row>
    <row r="6708" spans="1:48" x14ac:dyDescent="0.25">
      <c r="A6708" t="s">
        <v>15487</v>
      </c>
      <c r="C6708" t="s">
        <v>15488</v>
      </c>
      <c r="D6708" t="s">
        <v>11780</v>
      </c>
      <c r="E6708" t="s">
        <v>1663</v>
      </c>
      <c r="F6708">
        <v>1</v>
      </c>
      <c r="G6708">
        <v>1.2</v>
      </c>
      <c r="H6708" t="s">
        <v>2017</v>
      </c>
      <c r="I6708" s="21">
        <v>44278</v>
      </c>
      <c r="J6708">
        <v>2021</v>
      </c>
      <c r="K6708" s="21">
        <v>44286</v>
      </c>
      <c r="L6708">
        <v>2021</v>
      </c>
      <c r="P6708" s="21">
        <v>44466</v>
      </c>
      <c r="Q6708" s="262">
        <v>20000</v>
      </c>
      <c r="S6708" t="s">
        <v>114</v>
      </c>
      <c r="T6708" t="s">
        <v>114</v>
      </c>
      <c r="W6708">
        <v>0</v>
      </c>
      <c r="X6708">
        <v>0</v>
      </c>
      <c r="AU6708">
        <f t="shared" si="208"/>
        <v>0</v>
      </c>
      <c r="AV6708">
        <f t="shared" si="209"/>
        <v>0</v>
      </c>
    </row>
    <row r="6709" spans="1:48" x14ac:dyDescent="0.25">
      <c r="A6709" t="s">
        <v>15489</v>
      </c>
      <c r="B6709" t="s">
        <v>15489</v>
      </c>
      <c r="C6709" t="s">
        <v>15490</v>
      </c>
      <c r="D6709" t="s">
        <v>4365</v>
      </c>
      <c r="E6709" t="s">
        <v>2310</v>
      </c>
      <c r="F6709">
        <v>9</v>
      </c>
      <c r="G6709">
        <v>9.1</v>
      </c>
      <c r="H6709" t="s">
        <v>2323</v>
      </c>
      <c r="I6709" s="21">
        <v>44278.428939236102</v>
      </c>
      <c r="J6709">
        <v>2021</v>
      </c>
      <c r="K6709" s="21">
        <v>44299</v>
      </c>
      <c r="L6709">
        <v>2021</v>
      </c>
      <c r="M6709" s="21">
        <v>44361</v>
      </c>
      <c r="N6709">
        <v>2021</v>
      </c>
      <c r="Q6709" s="262">
        <v>275000</v>
      </c>
      <c r="R6709" s="262">
        <v>85000</v>
      </c>
      <c r="S6709" t="s">
        <v>114</v>
      </c>
      <c r="T6709" t="s">
        <v>114</v>
      </c>
      <c r="V6709">
        <v>564</v>
      </c>
      <c r="W6709">
        <v>0</v>
      </c>
      <c r="X6709">
        <v>0</v>
      </c>
      <c r="AU6709">
        <f t="shared" si="208"/>
        <v>0</v>
      </c>
      <c r="AV6709">
        <f t="shared" si="209"/>
        <v>0</v>
      </c>
    </row>
    <row r="6710" spans="1:48" x14ac:dyDescent="0.25">
      <c r="A6710" t="s">
        <v>15491</v>
      </c>
      <c r="B6710" t="s">
        <v>15491</v>
      </c>
      <c r="C6710" t="s">
        <v>15492</v>
      </c>
      <c r="D6710" t="s">
        <v>11497</v>
      </c>
      <c r="E6710" t="s">
        <v>2310</v>
      </c>
      <c r="F6710">
        <v>9</v>
      </c>
      <c r="G6710">
        <v>9.4</v>
      </c>
      <c r="H6710" t="s">
        <v>2323</v>
      </c>
      <c r="I6710" s="21">
        <v>44278.569647800898</v>
      </c>
      <c r="J6710">
        <v>2021</v>
      </c>
      <c r="K6710" s="21">
        <v>44363</v>
      </c>
      <c r="L6710">
        <v>2021</v>
      </c>
      <c r="Q6710" s="262">
        <v>2000000</v>
      </c>
      <c r="R6710" s="262">
        <v>297000</v>
      </c>
      <c r="S6710" t="s">
        <v>114</v>
      </c>
      <c r="T6710" t="s">
        <v>114</v>
      </c>
      <c r="V6710">
        <v>600</v>
      </c>
      <c r="W6710">
        <v>2854</v>
      </c>
      <c r="X6710">
        <v>0</v>
      </c>
      <c r="AC6710">
        <v>2854</v>
      </c>
      <c r="AU6710">
        <f t="shared" si="208"/>
        <v>0</v>
      </c>
      <c r="AV6710">
        <f t="shared" si="209"/>
        <v>0</v>
      </c>
    </row>
    <row r="6711" spans="1:48" x14ac:dyDescent="0.25">
      <c r="A6711" t="s">
        <v>15493</v>
      </c>
      <c r="B6711" t="s">
        <v>15493</v>
      </c>
      <c r="C6711" t="s">
        <v>15494</v>
      </c>
      <c r="D6711" t="s">
        <v>15495</v>
      </c>
      <c r="E6711" t="s">
        <v>2310</v>
      </c>
      <c r="F6711">
        <v>8</v>
      </c>
      <c r="G6711">
        <v>8.3000000000000007</v>
      </c>
      <c r="H6711" t="s">
        <v>2323</v>
      </c>
      <c r="I6711" s="21">
        <v>44278.621136192101</v>
      </c>
      <c r="J6711">
        <v>2021</v>
      </c>
      <c r="O6711" s="21">
        <v>44470</v>
      </c>
      <c r="Q6711" s="262">
        <v>750000</v>
      </c>
      <c r="R6711" s="262">
        <v>260000</v>
      </c>
      <c r="S6711" t="s">
        <v>114</v>
      </c>
      <c r="T6711" t="s">
        <v>114</v>
      </c>
      <c r="W6711">
        <v>2635</v>
      </c>
      <c r="X6711">
        <v>1</v>
      </c>
      <c r="AC6711">
        <v>2635</v>
      </c>
      <c r="AO6711">
        <v>1</v>
      </c>
      <c r="AU6711">
        <f t="shared" si="208"/>
        <v>1</v>
      </c>
      <c r="AV6711">
        <f t="shared" si="209"/>
        <v>0</v>
      </c>
    </row>
    <row r="6712" spans="1:48" x14ac:dyDescent="0.25">
      <c r="A6712" t="s">
        <v>14812</v>
      </c>
      <c r="C6712" t="s">
        <v>12530</v>
      </c>
      <c r="D6712" t="s">
        <v>14813</v>
      </c>
      <c r="E6712" t="s">
        <v>1663</v>
      </c>
      <c r="F6712">
        <v>3</v>
      </c>
      <c r="G6712">
        <v>3.1</v>
      </c>
      <c r="H6712" t="s">
        <v>2017</v>
      </c>
      <c r="I6712" s="21">
        <v>44280</v>
      </c>
      <c r="J6712">
        <v>2021</v>
      </c>
      <c r="K6712" s="21">
        <v>44287</v>
      </c>
      <c r="L6712">
        <v>2021</v>
      </c>
      <c r="M6712" s="21">
        <v>44658</v>
      </c>
      <c r="N6712">
        <v>2022</v>
      </c>
      <c r="P6712" s="21">
        <v>44597</v>
      </c>
      <c r="Q6712" s="262">
        <v>25000</v>
      </c>
      <c r="S6712" t="s">
        <v>13253</v>
      </c>
      <c r="T6712">
        <v>14892</v>
      </c>
      <c r="W6712">
        <v>0</v>
      </c>
      <c r="X6712">
        <v>0</v>
      </c>
      <c r="AU6712">
        <f t="shared" si="208"/>
        <v>0</v>
      </c>
      <c r="AV6712">
        <f t="shared" si="209"/>
        <v>0</v>
      </c>
    </row>
    <row r="6713" spans="1:48" x14ac:dyDescent="0.25">
      <c r="A6713" t="s">
        <v>15499</v>
      </c>
      <c r="B6713" t="s">
        <v>15499</v>
      </c>
      <c r="C6713" t="s">
        <v>15500</v>
      </c>
      <c r="D6713" t="s">
        <v>15501</v>
      </c>
      <c r="E6713" t="s">
        <v>2310</v>
      </c>
      <c r="F6713">
        <v>8</v>
      </c>
      <c r="G6713">
        <v>8.1</v>
      </c>
      <c r="H6713" t="s">
        <v>2323</v>
      </c>
      <c r="I6713" s="21">
        <v>44280.484529826397</v>
      </c>
      <c r="J6713">
        <v>2021</v>
      </c>
      <c r="K6713" s="21">
        <v>44354</v>
      </c>
      <c r="L6713">
        <v>2021</v>
      </c>
      <c r="Q6713" s="262">
        <v>2200000</v>
      </c>
      <c r="R6713" s="262">
        <v>2105000</v>
      </c>
      <c r="S6713" t="s">
        <v>114</v>
      </c>
      <c r="T6713" t="s">
        <v>114</v>
      </c>
      <c r="V6713">
        <v>4082</v>
      </c>
      <c r="W6713">
        <v>1184</v>
      </c>
      <c r="X6713">
        <v>0</v>
      </c>
      <c r="AC6713">
        <v>1184</v>
      </c>
      <c r="AU6713">
        <f t="shared" si="208"/>
        <v>0</v>
      </c>
      <c r="AV6713">
        <f t="shared" si="209"/>
        <v>0</v>
      </c>
    </row>
    <row r="6714" spans="1:48" x14ac:dyDescent="0.25">
      <c r="A6714" t="s">
        <v>15234</v>
      </c>
      <c r="B6714" t="s">
        <v>15234</v>
      </c>
      <c r="C6714" t="s">
        <v>15235</v>
      </c>
      <c r="D6714" t="s">
        <v>12905</v>
      </c>
      <c r="E6714" t="s">
        <v>2310</v>
      </c>
      <c r="F6714">
        <v>12</v>
      </c>
      <c r="G6714">
        <v>12.3</v>
      </c>
      <c r="H6714" t="s">
        <v>2017</v>
      </c>
      <c r="I6714" s="21">
        <v>44280.568518634303</v>
      </c>
      <c r="J6714">
        <v>2021</v>
      </c>
      <c r="K6714" s="21">
        <v>44540</v>
      </c>
      <c r="L6714">
        <v>2021</v>
      </c>
      <c r="M6714" s="21">
        <v>44839</v>
      </c>
      <c r="N6714">
        <v>2022</v>
      </c>
      <c r="Q6714" s="262">
        <v>1846324</v>
      </c>
      <c r="R6714" s="262">
        <v>593000</v>
      </c>
      <c r="S6714" t="s">
        <v>13253</v>
      </c>
      <c r="T6714">
        <v>3841</v>
      </c>
      <c r="V6714">
        <v>2117</v>
      </c>
      <c r="W6714">
        <v>215</v>
      </c>
      <c r="X6714">
        <v>0</v>
      </c>
      <c r="AI6714">
        <v>215</v>
      </c>
      <c r="AU6714">
        <f t="shared" si="208"/>
        <v>0</v>
      </c>
      <c r="AV6714">
        <f t="shared" si="209"/>
        <v>215</v>
      </c>
    </row>
    <row r="6715" spans="1:48" x14ac:dyDescent="0.25">
      <c r="A6715" t="s">
        <v>15505</v>
      </c>
      <c r="B6715" t="s">
        <v>15505</v>
      </c>
      <c r="C6715" t="s">
        <v>15506</v>
      </c>
      <c r="D6715" t="s">
        <v>4271</v>
      </c>
      <c r="E6715" t="s">
        <v>2310</v>
      </c>
      <c r="F6715">
        <v>15</v>
      </c>
      <c r="G6715">
        <v>15.3</v>
      </c>
      <c r="H6715" t="s">
        <v>2022</v>
      </c>
      <c r="I6715" s="21">
        <v>44280.575726770803</v>
      </c>
      <c r="J6715">
        <v>2021</v>
      </c>
      <c r="K6715" s="21">
        <v>44476</v>
      </c>
      <c r="L6715">
        <v>2021</v>
      </c>
      <c r="Q6715" s="262">
        <v>922950</v>
      </c>
      <c r="R6715" s="262">
        <v>169000</v>
      </c>
      <c r="S6715" t="s">
        <v>114</v>
      </c>
      <c r="T6715" t="s">
        <v>114</v>
      </c>
      <c r="W6715">
        <v>2109</v>
      </c>
      <c r="X6715">
        <v>0</v>
      </c>
      <c r="AC6715">
        <v>2109</v>
      </c>
      <c r="AU6715">
        <f t="shared" si="208"/>
        <v>0</v>
      </c>
      <c r="AV6715">
        <f t="shared" si="209"/>
        <v>0</v>
      </c>
    </row>
    <row r="6716" spans="1:48" x14ac:dyDescent="0.25">
      <c r="A6716" t="s">
        <v>15507</v>
      </c>
      <c r="B6716" t="s">
        <v>15507</v>
      </c>
      <c r="C6716" t="s">
        <v>15508</v>
      </c>
      <c r="D6716" t="s">
        <v>15509</v>
      </c>
      <c r="E6716" t="s">
        <v>2310</v>
      </c>
      <c r="F6716">
        <v>9</v>
      </c>
      <c r="G6716">
        <v>9.1999999999999993</v>
      </c>
      <c r="H6716" t="s">
        <v>2022</v>
      </c>
      <c r="I6716" s="21">
        <v>44280.6538870023</v>
      </c>
      <c r="J6716">
        <v>2021</v>
      </c>
      <c r="K6716" s="21">
        <v>44312</v>
      </c>
      <c r="L6716">
        <v>2021</v>
      </c>
      <c r="Q6716" s="262">
        <v>750000</v>
      </c>
      <c r="R6716" s="262">
        <v>153000</v>
      </c>
      <c r="S6716" t="s">
        <v>114</v>
      </c>
      <c r="T6716" t="s">
        <v>114</v>
      </c>
      <c r="W6716">
        <v>1572</v>
      </c>
      <c r="X6716">
        <v>1</v>
      </c>
      <c r="AC6716">
        <v>573</v>
      </c>
      <c r="AF6716">
        <v>999</v>
      </c>
      <c r="AR6716">
        <v>1</v>
      </c>
      <c r="AU6716">
        <f t="shared" si="208"/>
        <v>0</v>
      </c>
      <c r="AV6716">
        <f t="shared" si="209"/>
        <v>0</v>
      </c>
    </row>
    <row r="6717" spans="1:48" x14ac:dyDescent="0.25">
      <c r="A6717" t="s">
        <v>14814</v>
      </c>
      <c r="C6717" t="s">
        <v>11879</v>
      </c>
      <c r="D6717" t="s">
        <v>13489</v>
      </c>
      <c r="E6717" t="s">
        <v>1663</v>
      </c>
      <c r="F6717">
        <v>6</v>
      </c>
      <c r="G6717">
        <v>6.2</v>
      </c>
      <c r="H6717" t="s">
        <v>2017</v>
      </c>
      <c r="I6717" s="21">
        <v>44281</v>
      </c>
      <c r="J6717">
        <v>2021</v>
      </c>
      <c r="K6717" s="21">
        <v>44370</v>
      </c>
      <c r="L6717">
        <v>2021</v>
      </c>
      <c r="M6717" s="21">
        <v>44879</v>
      </c>
      <c r="N6717">
        <v>2022</v>
      </c>
      <c r="P6717" s="21">
        <v>44727</v>
      </c>
      <c r="Q6717" s="262">
        <v>1200000</v>
      </c>
      <c r="S6717" t="s">
        <v>13253</v>
      </c>
      <c r="T6717">
        <v>9257</v>
      </c>
      <c r="W6717">
        <v>0</v>
      </c>
      <c r="X6717">
        <v>0</v>
      </c>
      <c r="AU6717">
        <f t="shared" si="208"/>
        <v>0</v>
      </c>
      <c r="AV6717">
        <f t="shared" si="209"/>
        <v>0</v>
      </c>
    </row>
    <row r="6718" spans="1:48" x14ac:dyDescent="0.25">
      <c r="A6718" t="s">
        <v>15512</v>
      </c>
      <c r="B6718" t="s">
        <v>15512</v>
      </c>
      <c r="C6718" t="s">
        <v>15513</v>
      </c>
      <c r="D6718" t="s">
        <v>15514</v>
      </c>
      <c r="E6718" t="s">
        <v>2310</v>
      </c>
      <c r="F6718">
        <v>9</v>
      </c>
      <c r="G6718">
        <v>9.1999999999999993</v>
      </c>
      <c r="H6718" t="s">
        <v>2022</v>
      </c>
      <c r="I6718" s="21">
        <v>44281.436149918998</v>
      </c>
      <c r="J6718">
        <v>2021</v>
      </c>
      <c r="K6718" s="21">
        <v>44487</v>
      </c>
      <c r="L6718">
        <v>2021</v>
      </c>
      <c r="Q6718" s="262">
        <v>2350000</v>
      </c>
      <c r="R6718" s="262">
        <v>335000</v>
      </c>
      <c r="S6718" t="s">
        <v>114</v>
      </c>
      <c r="T6718" t="s">
        <v>114</v>
      </c>
      <c r="W6718">
        <v>2471</v>
      </c>
      <c r="X6718">
        <v>0</v>
      </c>
      <c r="AC6718">
        <v>2471</v>
      </c>
      <c r="AU6718">
        <f t="shared" si="208"/>
        <v>0</v>
      </c>
      <c r="AV6718">
        <f t="shared" si="209"/>
        <v>0</v>
      </c>
    </row>
    <row r="6719" spans="1:48" x14ac:dyDescent="0.25">
      <c r="A6719" t="s">
        <v>17110</v>
      </c>
      <c r="B6719" t="s">
        <v>17110</v>
      </c>
      <c r="C6719" t="s">
        <v>17111</v>
      </c>
      <c r="D6719" t="s">
        <v>5713</v>
      </c>
      <c r="E6719" t="s">
        <v>2310</v>
      </c>
      <c r="F6719">
        <v>7</v>
      </c>
      <c r="G6719">
        <v>7.2</v>
      </c>
      <c r="H6719" t="s">
        <v>2017</v>
      </c>
      <c r="I6719" s="21">
        <v>44281.467513622702</v>
      </c>
      <c r="J6719">
        <v>2021</v>
      </c>
      <c r="K6719" s="21">
        <v>44327</v>
      </c>
      <c r="L6719">
        <v>2021</v>
      </c>
      <c r="M6719" s="21">
        <v>44587.468946377317</v>
      </c>
      <c r="N6719">
        <v>2022</v>
      </c>
      <c r="Q6719" s="262">
        <v>41000</v>
      </c>
      <c r="R6719" s="262">
        <v>72000</v>
      </c>
      <c r="S6719" t="s">
        <v>13254</v>
      </c>
      <c r="T6719">
        <v>0</v>
      </c>
      <c r="W6719">
        <v>1500</v>
      </c>
      <c r="X6719">
        <v>0</v>
      </c>
      <c r="AC6719">
        <v>1500</v>
      </c>
      <c r="AU6719">
        <f t="shared" si="208"/>
        <v>0</v>
      </c>
      <c r="AV6719">
        <f t="shared" si="209"/>
        <v>0</v>
      </c>
    </row>
    <row r="6720" spans="1:48" x14ac:dyDescent="0.25">
      <c r="A6720" t="s">
        <v>15518</v>
      </c>
      <c r="C6720" t="s">
        <v>15519</v>
      </c>
      <c r="D6720" t="s">
        <v>15520</v>
      </c>
      <c r="E6720" t="s">
        <v>1663</v>
      </c>
      <c r="F6720">
        <v>3</v>
      </c>
      <c r="G6720">
        <v>3.2</v>
      </c>
      <c r="H6720" t="s">
        <v>2327</v>
      </c>
      <c r="I6720" s="21">
        <v>44285</v>
      </c>
      <c r="J6720">
        <v>2021</v>
      </c>
      <c r="K6720" s="21">
        <v>44335</v>
      </c>
      <c r="L6720">
        <v>2021</v>
      </c>
      <c r="P6720" s="21">
        <v>44667</v>
      </c>
      <c r="Q6720" s="262">
        <v>510000</v>
      </c>
      <c r="S6720" t="s">
        <v>114</v>
      </c>
      <c r="T6720" t="s">
        <v>114</v>
      </c>
      <c r="W6720">
        <v>1500</v>
      </c>
      <c r="X6720">
        <v>1</v>
      </c>
      <c r="AE6720">
        <v>1500</v>
      </c>
      <c r="AQ6720">
        <v>1</v>
      </c>
      <c r="AU6720">
        <f t="shared" si="208"/>
        <v>1</v>
      </c>
      <c r="AV6720">
        <f t="shared" si="209"/>
        <v>0</v>
      </c>
    </row>
    <row r="6721" spans="1:48" x14ac:dyDescent="0.25">
      <c r="A6721" t="s">
        <v>15236</v>
      </c>
      <c r="B6721" t="s">
        <v>15236</v>
      </c>
      <c r="C6721" t="s">
        <v>15237</v>
      </c>
      <c r="D6721" t="s">
        <v>4365</v>
      </c>
      <c r="E6721" t="s">
        <v>2310</v>
      </c>
      <c r="F6721">
        <v>9</v>
      </c>
      <c r="G6721">
        <v>9.1</v>
      </c>
      <c r="H6721" t="s">
        <v>2323</v>
      </c>
      <c r="I6721" s="21">
        <v>44285.434427581</v>
      </c>
      <c r="J6721">
        <v>2021</v>
      </c>
      <c r="K6721" s="21">
        <v>44323</v>
      </c>
      <c r="L6721">
        <v>2021</v>
      </c>
      <c r="M6721" s="21">
        <v>44564.391195983793</v>
      </c>
      <c r="N6721">
        <v>2022</v>
      </c>
      <c r="Q6721" s="262">
        <v>900000</v>
      </c>
      <c r="R6721" s="262">
        <v>66000</v>
      </c>
      <c r="S6721" t="s">
        <v>13253</v>
      </c>
      <c r="T6721">
        <v>15075</v>
      </c>
      <c r="V6721">
        <v>778</v>
      </c>
      <c r="W6721">
        <v>0</v>
      </c>
      <c r="X6721">
        <v>0</v>
      </c>
      <c r="AU6721">
        <f t="shared" si="208"/>
        <v>0</v>
      </c>
      <c r="AV6721">
        <f t="shared" si="209"/>
        <v>0</v>
      </c>
    </row>
    <row r="6722" spans="1:48" x14ac:dyDescent="0.25">
      <c r="A6722" t="s">
        <v>15523</v>
      </c>
      <c r="B6722" t="s">
        <v>15523</v>
      </c>
      <c r="C6722" t="s">
        <v>15524</v>
      </c>
      <c r="D6722" t="s">
        <v>15525</v>
      </c>
      <c r="E6722" t="s">
        <v>2310</v>
      </c>
      <c r="F6722">
        <v>14</v>
      </c>
      <c r="G6722">
        <v>14.1</v>
      </c>
      <c r="H6722" t="s">
        <v>2022</v>
      </c>
      <c r="I6722" s="21">
        <v>44285.486491863398</v>
      </c>
      <c r="J6722">
        <v>2021</v>
      </c>
      <c r="K6722" s="21">
        <v>44463</v>
      </c>
      <c r="L6722">
        <v>2021</v>
      </c>
      <c r="Q6722" s="262">
        <v>950000</v>
      </c>
      <c r="R6722" s="262">
        <v>368000</v>
      </c>
      <c r="S6722" t="s">
        <v>114</v>
      </c>
      <c r="T6722" t="s">
        <v>114</v>
      </c>
      <c r="W6722">
        <v>3470</v>
      </c>
      <c r="X6722">
        <v>1</v>
      </c>
      <c r="AC6722">
        <v>3470</v>
      </c>
      <c r="AO6722">
        <v>1</v>
      </c>
      <c r="AU6722">
        <f t="shared" si="208"/>
        <v>1</v>
      </c>
      <c r="AV6722">
        <f t="shared" si="209"/>
        <v>0</v>
      </c>
    </row>
    <row r="6723" spans="1:48" x14ac:dyDescent="0.25">
      <c r="A6723" t="s">
        <v>15526</v>
      </c>
      <c r="B6723" t="s">
        <v>15526</v>
      </c>
      <c r="C6723" t="s">
        <v>15527</v>
      </c>
      <c r="D6723" t="s">
        <v>15528</v>
      </c>
      <c r="E6723" t="s">
        <v>2310</v>
      </c>
      <c r="F6723">
        <v>8</v>
      </c>
      <c r="G6723">
        <v>8.1999999999999993</v>
      </c>
      <c r="H6723" t="s">
        <v>2022</v>
      </c>
      <c r="I6723" s="21">
        <v>44285.591025312497</v>
      </c>
      <c r="J6723">
        <v>2021</v>
      </c>
      <c r="K6723" s="21">
        <v>44404</v>
      </c>
      <c r="L6723">
        <v>2021</v>
      </c>
      <c r="Q6723" s="262">
        <v>6778478</v>
      </c>
      <c r="R6723" s="262">
        <v>1339000</v>
      </c>
      <c r="S6723" t="s">
        <v>114</v>
      </c>
      <c r="T6723" t="s">
        <v>114</v>
      </c>
      <c r="W6723">
        <v>9185</v>
      </c>
      <c r="X6723">
        <v>0</v>
      </c>
      <c r="AC6723">
        <v>9185</v>
      </c>
      <c r="AU6723">
        <f t="shared" si="208"/>
        <v>0</v>
      </c>
      <c r="AV6723">
        <f t="shared" si="209"/>
        <v>0</v>
      </c>
    </row>
    <row r="6724" spans="1:48" x14ac:dyDescent="0.25">
      <c r="A6724" t="s">
        <v>15529</v>
      </c>
      <c r="B6724" t="s">
        <v>15529</v>
      </c>
      <c r="C6724" t="s">
        <v>15530</v>
      </c>
      <c r="D6724" t="s">
        <v>15528</v>
      </c>
      <c r="E6724" t="s">
        <v>2310</v>
      </c>
      <c r="F6724">
        <v>8</v>
      </c>
      <c r="G6724">
        <v>8.1999999999999993</v>
      </c>
      <c r="H6724" t="s">
        <v>2022</v>
      </c>
      <c r="I6724" s="21">
        <v>44285.602002164298</v>
      </c>
      <c r="J6724">
        <v>2021</v>
      </c>
      <c r="K6724" s="21">
        <v>44404</v>
      </c>
      <c r="L6724">
        <v>2021</v>
      </c>
      <c r="Q6724" s="262">
        <v>1017038</v>
      </c>
      <c r="R6724" s="262">
        <v>117000</v>
      </c>
      <c r="S6724" t="s">
        <v>114</v>
      </c>
      <c r="T6724" t="s">
        <v>114</v>
      </c>
      <c r="W6724">
        <v>987</v>
      </c>
      <c r="X6724">
        <v>1</v>
      </c>
      <c r="AF6724">
        <v>987</v>
      </c>
      <c r="AR6724">
        <v>1</v>
      </c>
      <c r="AU6724">
        <f t="shared" si="208"/>
        <v>0</v>
      </c>
      <c r="AV6724">
        <f t="shared" si="209"/>
        <v>0</v>
      </c>
    </row>
    <row r="6725" spans="1:48" x14ac:dyDescent="0.25">
      <c r="A6725" t="s">
        <v>15531</v>
      </c>
      <c r="B6725" t="s">
        <v>15531</v>
      </c>
      <c r="C6725" t="s">
        <v>15532</v>
      </c>
      <c r="D6725" t="s">
        <v>15528</v>
      </c>
      <c r="E6725" t="s">
        <v>2310</v>
      </c>
      <c r="F6725">
        <v>8</v>
      </c>
      <c r="G6725">
        <v>8.1999999999999993</v>
      </c>
      <c r="H6725" t="s">
        <v>2022</v>
      </c>
      <c r="I6725" s="21">
        <v>44285.605980671302</v>
      </c>
      <c r="J6725">
        <v>2021</v>
      </c>
      <c r="K6725" s="21">
        <v>44400</v>
      </c>
      <c r="L6725">
        <v>2021</v>
      </c>
      <c r="Q6725" s="262">
        <v>339226</v>
      </c>
      <c r="R6725" s="262">
        <v>76000</v>
      </c>
      <c r="S6725" t="s">
        <v>114</v>
      </c>
      <c r="T6725" t="s">
        <v>114</v>
      </c>
      <c r="W6725">
        <v>1588</v>
      </c>
      <c r="X6725">
        <v>0</v>
      </c>
      <c r="AC6725">
        <v>1588</v>
      </c>
      <c r="AU6725">
        <f t="shared" si="208"/>
        <v>0</v>
      </c>
      <c r="AV6725">
        <f t="shared" si="209"/>
        <v>0</v>
      </c>
    </row>
    <row r="6726" spans="1:48" x14ac:dyDescent="0.25">
      <c r="A6726" t="s">
        <v>15533</v>
      </c>
      <c r="B6726" t="s">
        <v>15533</v>
      </c>
      <c r="C6726" t="s">
        <v>15534</v>
      </c>
      <c r="D6726" t="s">
        <v>15528</v>
      </c>
      <c r="E6726" t="s">
        <v>2310</v>
      </c>
      <c r="F6726">
        <v>8</v>
      </c>
      <c r="G6726">
        <v>8.1999999999999993</v>
      </c>
      <c r="H6726" t="s">
        <v>2022</v>
      </c>
      <c r="I6726" s="21">
        <v>44285.610138460601</v>
      </c>
      <c r="J6726">
        <v>2021</v>
      </c>
      <c r="K6726" s="21">
        <v>44404</v>
      </c>
      <c r="L6726">
        <v>2021</v>
      </c>
      <c r="Q6726" s="262">
        <v>1560055</v>
      </c>
      <c r="R6726" s="262">
        <v>267000</v>
      </c>
      <c r="S6726" t="s">
        <v>114</v>
      </c>
      <c r="T6726" t="s">
        <v>114</v>
      </c>
      <c r="W6726">
        <v>2306</v>
      </c>
      <c r="X6726">
        <v>0</v>
      </c>
      <c r="AC6726">
        <v>2306</v>
      </c>
      <c r="AU6726">
        <f t="shared" si="208"/>
        <v>0</v>
      </c>
      <c r="AV6726">
        <f t="shared" si="209"/>
        <v>0</v>
      </c>
    </row>
    <row r="6727" spans="1:48" x14ac:dyDescent="0.25">
      <c r="A6727" t="s">
        <v>15535</v>
      </c>
      <c r="B6727" t="s">
        <v>15535</v>
      </c>
      <c r="C6727" t="s">
        <v>15536</v>
      </c>
      <c r="D6727" t="s">
        <v>15537</v>
      </c>
      <c r="E6727" t="s">
        <v>2310</v>
      </c>
      <c r="F6727">
        <v>15</v>
      </c>
      <c r="G6727">
        <v>15.3</v>
      </c>
      <c r="H6727" t="s">
        <v>2022</v>
      </c>
      <c r="I6727" s="21">
        <v>44287.428581944398</v>
      </c>
      <c r="J6727">
        <v>2021</v>
      </c>
      <c r="K6727" s="21">
        <v>44356</v>
      </c>
      <c r="L6727">
        <v>2021</v>
      </c>
      <c r="Q6727" s="262">
        <v>1000000</v>
      </c>
      <c r="R6727" s="262">
        <v>90000</v>
      </c>
      <c r="S6727" t="s">
        <v>114</v>
      </c>
      <c r="T6727" t="s">
        <v>114</v>
      </c>
      <c r="W6727">
        <v>832</v>
      </c>
      <c r="X6727">
        <v>0</v>
      </c>
      <c r="AC6727">
        <v>832</v>
      </c>
      <c r="AU6727">
        <f t="shared" si="208"/>
        <v>0</v>
      </c>
      <c r="AV6727">
        <f t="shared" si="209"/>
        <v>0</v>
      </c>
    </row>
    <row r="6728" spans="1:48" x14ac:dyDescent="0.25">
      <c r="A6728" t="s">
        <v>15538</v>
      </c>
      <c r="B6728" t="s">
        <v>15538</v>
      </c>
      <c r="C6728" t="s">
        <v>15539</v>
      </c>
      <c r="D6728" t="s">
        <v>15540</v>
      </c>
      <c r="E6728" t="s">
        <v>2310</v>
      </c>
      <c r="F6728">
        <v>14</v>
      </c>
      <c r="G6728">
        <v>14.1</v>
      </c>
      <c r="H6728" t="s">
        <v>2022</v>
      </c>
      <c r="I6728" s="21">
        <v>44287.543087233797</v>
      </c>
      <c r="J6728">
        <v>2021</v>
      </c>
      <c r="K6728" s="21">
        <v>44474</v>
      </c>
      <c r="L6728">
        <v>2021</v>
      </c>
      <c r="Q6728" s="262">
        <v>800000</v>
      </c>
      <c r="R6728" s="262">
        <v>521000</v>
      </c>
      <c r="S6728" t="s">
        <v>114</v>
      </c>
      <c r="T6728" t="s">
        <v>114</v>
      </c>
      <c r="V6728">
        <v>4488</v>
      </c>
      <c r="W6728">
        <v>270</v>
      </c>
      <c r="X6728">
        <v>0</v>
      </c>
      <c r="AC6728">
        <v>270</v>
      </c>
      <c r="AU6728">
        <f t="shared" si="208"/>
        <v>0</v>
      </c>
      <c r="AV6728">
        <f t="shared" si="209"/>
        <v>0</v>
      </c>
    </row>
    <row r="6729" spans="1:48" x14ac:dyDescent="0.25">
      <c r="A6729" t="s">
        <v>15541</v>
      </c>
      <c r="C6729" t="s">
        <v>13717</v>
      </c>
      <c r="D6729" t="s">
        <v>15542</v>
      </c>
      <c r="E6729" t="s">
        <v>1663</v>
      </c>
      <c r="F6729">
        <v>6</v>
      </c>
      <c r="G6729">
        <v>6.1</v>
      </c>
      <c r="H6729" t="s">
        <v>2017</v>
      </c>
      <c r="I6729" s="21">
        <v>44288</v>
      </c>
      <c r="J6729">
        <v>2021</v>
      </c>
      <c r="K6729" s="21">
        <v>44348</v>
      </c>
      <c r="L6729">
        <v>2021</v>
      </c>
      <c r="P6729" s="21">
        <v>44732</v>
      </c>
      <c r="Q6729" s="262">
        <v>0</v>
      </c>
      <c r="S6729" t="s">
        <v>114</v>
      </c>
      <c r="T6729" t="s">
        <v>114</v>
      </c>
      <c r="W6729">
        <v>3229</v>
      </c>
      <c r="X6729">
        <v>1</v>
      </c>
      <c r="AC6729">
        <v>3229</v>
      </c>
      <c r="AO6729">
        <v>1</v>
      </c>
      <c r="AU6729">
        <f t="shared" si="208"/>
        <v>1</v>
      </c>
      <c r="AV6729">
        <f t="shared" si="209"/>
        <v>0</v>
      </c>
    </row>
    <row r="6730" spans="1:48" x14ac:dyDescent="0.25">
      <c r="A6730" t="s">
        <v>14820</v>
      </c>
      <c r="C6730" t="s">
        <v>11879</v>
      </c>
      <c r="D6730" t="s">
        <v>14821</v>
      </c>
      <c r="E6730" t="s">
        <v>1663</v>
      </c>
      <c r="F6730">
        <v>5</v>
      </c>
      <c r="G6730">
        <v>5.5</v>
      </c>
      <c r="H6730" t="s">
        <v>2017</v>
      </c>
      <c r="I6730" s="21">
        <v>44288</v>
      </c>
      <c r="J6730">
        <v>2021</v>
      </c>
      <c r="K6730" s="21">
        <v>44294</v>
      </c>
      <c r="L6730">
        <v>2021</v>
      </c>
      <c r="M6730" s="21">
        <v>44722</v>
      </c>
      <c r="N6730">
        <v>2022</v>
      </c>
      <c r="P6730" s="21">
        <v>44731</v>
      </c>
      <c r="Q6730" s="262">
        <v>75000</v>
      </c>
      <c r="S6730" t="s">
        <v>13253</v>
      </c>
      <c r="T6730">
        <v>12399</v>
      </c>
      <c r="W6730">
        <v>0</v>
      </c>
      <c r="X6730">
        <v>0</v>
      </c>
      <c r="AU6730">
        <f t="shared" si="208"/>
        <v>0</v>
      </c>
      <c r="AV6730">
        <f t="shared" si="209"/>
        <v>0</v>
      </c>
    </row>
    <row r="6731" spans="1:48" x14ac:dyDescent="0.25">
      <c r="A6731" t="s">
        <v>19663</v>
      </c>
      <c r="B6731" t="s">
        <v>19663</v>
      </c>
      <c r="C6731" t="s">
        <v>19664</v>
      </c>
      <c r="D6731" t="s">
        <v>8308</v>
      </c>
      <c r="E6731" t="s">
        <v>2310</v>
      </c>
      <c r="F6731">
        <v>8</v>
      </c>
      <c r="G6731">
        <v>8.1999999999999993</v>
      </c>
      <c r="H6731" t="s">
        <v>2022</v>
      </c>
      <c r="I6731" s="21">
        <v>44288.429727511597</v>
      </c>
      <c r="J6731">
        <v>2021</v>
      </c>
      <c r="K6731" s="21">
        <v>44420</v>
      </c>
      <c r="L6731">
        <v>2021</v>
      </c>
      <c r="M6731" s="21">
        <v>44754.44018996528</v>
      </c>
      <c r="N6731">
        <v>2022</v>
      </c>
      <c r="Q6731" s="262">
        <v>1100000</v>
      </c>
      <c r="R6731" s="262">
        <v>162000</v>
      </c>
      <c r="S6731" t="s">
        <v>13254</v>
      </c>
      <c r="T6731">
        <v>0</v>
      </c>
      <c r="W6731">
        <v>3312</v>
      </c>
      <c r="X6731">
        <v>0</v>
      </c>
      <c r="AC6731">
        <v>3312</v>
      </c>
      <c r="AU6731">
        <f t="shared" si="208"/>
        <v>0</v>
      </c>
      <c r="AV6731">
        <f t="shared" si="209"/>
        <v>0</v>
      </c>
    </row>
    <row r="6732" spans="1:48" x14ac:dyDescent="0.25">
      <c r="A6732" t="s">
        <v>19993</v>
      </c>
      <c r="B6732" t="s">
        <v>19993</v>
      </c>
      <c r="C6732" t="s">
        <v>19994</v>
      </c>
      <c r="D6732" t="s">
        <v>19995</v>
      </c>
      <c r="E6732" t="s">
        <v>2310</v>
      </c>
      <c r="F6732">
        <v>8</v>
      </c>
      <c r="G6732">
        <v>8.1</v>
      </c>
      <c r="H6732" t="s">
        <v>2323</v>
      </c>
      <c r="I6732" s="21">
        <v>44288.475787118099</v>
      </c>
      <c r="J6732">
        <v>2021</v>
      </c>
      <c r="K6732" s="21">
        <v>44361</v>
      </c>
      <c r="L6732">
        <v>2021</v>
      </c>
      <c r="M6732" s="21">
        <v>44508</v>
      </c>
      <c r="N6732">
        <v>2021</v>
      </c>
      <c r="Q6732" s="262">
        <v>105600</v>
      </c>
      <c r="R6732" s="262">
        <v>34000</v>
      </c>
      <c r="S6732" t="s">
        <v>13254</v>
      </c>
      <c r="U6732">
        <v>5</v>
      </c>
      <c r="W6732">
        <v>704</v>
      </c>
      <c r="X6732">
        <v>0</v>
      </c>
      <c r="AC6732">
        <v>704</v>
      </c>
      <c r="AU6732">
        <f t="shared" si="208"/>
        <v>0</v>
      </c>
      <c r="AV6732">
        <f t="shared" si="209"/>
        <v>0</v>
      </c>
    </row>
    <row r="6733" spans="1:48" x14ac:dyDescent="0.25">
      <c r="A6733" t="s">
        <v>15549</v>
      </c>
      <c r="C6733" t="s">
        <v>11237</v>
      </c>
      <c r="D6733" t="s">
        <v>15550</v>
      </c>
      <c r="E6733" t="s">
        <v>1663</v>
      </c>
      <c r="F6733">
        <v>4</v>
      </c>
      <c r="G6733">
        <v>4.3</v>
      </c>
      <c r="H6733" t="s">
        <v>2327</v>
      </c>
      <c r="I6733" s="21">
        <v>44291</v>
      </c>
      <c r="J6733">
        <v>2021</v>
      </c>
      <c r="K6733" s="21">
        <v>44305</v>
      </c>
      <c r="L6733">
        <v>2021</v>
      </c>
      <c r="M6733" s="21">
        <v>44550</v>
      </c>
      <c r="N6733">
        <v>2021</v>
      </c>
      <c r="Q6733" s="262">
        <v>50000</v>
      </c>
      <c r="S6733" t="s">
        <v>114</v>
      </c>
      <c r="T6733" t="s">
        <v>114</v>
      </c>
      <c r="W6733">
        <v>0</v>
      </c>
      <c r="X6733">
        <v>0</v>
      </c>
      <c r="AU6733">
        <f t="shared" si="208"/>
        <v>0</v>
      </c>
      <c r="AV6733">
        <f t="shared" si="209"/>
        <v>0</v>
      </c>
    </row>
    <row r="6734" spans="1:48" x14ac:dyDescent="0.25">
      <c r="A6734" t="s">
        <v>15551</v>
      </c>
      <c r="C6734" t="s">
        <v>15552</v>
      </c>
      <c r="D6734" t="s">
        <v>13762</v>
      </c>
      <c r="E6734" t="s">
        <v>1663</v>
      </c>
      <c r="F6734">
        <v>4</v>
      </c>
      <c r="G6734">
        <v>4.3</v>
      </c>
      <c r="H6734" t="s">
        <v>2327</v>
      </c>
      <c r="I6734" s="21">
        <v>44292</v>
      </c>
      <c r="J6734">
        <v>2021</v>
      </c>
      <c r="K6734" s="21">
        <v>44475</v>
      </c>
      <c r="L6734">
        <v>2021</v>
      </c>
      <c r="P6734" s="21">
        <v>44698</v>
      </c>
      <c r="Q6734" s="262">
        <v>1000000</v>
      </c>
      <c r="S6734" t="s">
        <v>114</v>
      </c>
      <c r="T6734" t="s">
        <v>114</v>
      </c>
      <c r="W6734">
        <v>0</v>
      </c>
      <c r="X6734">
        <v>0</v>
      </c>
      <c r="AU6734">
        <f t="shared" si="208"/>
        <v>0</v>
      </c>
      <c r="AV6734">
        <f t="shared" si="209"/>
        <v>0</v>
      </c>
    </row>
    <row r="6735" spans="1:48" x14ac:dyDescent="0.25">
      <c r="A6735" t="s">
        <v>15553</v>
      </c>
      <c r="B6735" t="s">
        <v>15553</v>
      </c>
      <c r="C6735" t="s">
        <v>15554</v>
      </c>
      <c r="D6735" t="s">
        <v>9538</v>
      </c>
      <c r="E6735" t="s">
        <v>2310</v>
      </c>
      <c r="F6735">
        <v>9</v>
      </c>
      <c r="G6735">
        <v>9.4</v>
      </c>
      <c r="H6735" t="s">
        <v>2323</v>
      </c>
      <c r="I6735" s="21">
        <v>44292.474995914403</v>
      </c>
      <c r="J6735">
        <v>2021</v>
      </c>
      <c r="K6735" s="21">
        <v>44494</v>
      </c>
      <c r="L6735">
        <v>2021</v>
      </c>
      <c r="Q6735" s="262">
        <v>2150000</v>
      </c>
      <c r="R6735" s="262">
        <v>384000</v>
      </c>
      <c r="S6735" t="s">
        <v>114</v>
      </c>
      <c r="T6735" t="s">
        <v>114</v>
      </c>
      <c r="V6735">
        <v>3667</v>
      </c>
      <c r="W6735">
        <v>203</v>
      </c>
      <c r="X6735">
        <v>0</v>
      </c>
      <c r="AC6735">
        <v>203</v>
      </c>
      <c r="AU6735">
        <f t="shared" si="208"/>
        <v>0</v>
      </c>
      <c r="AV6735">
        <f t="shared" si="209"/>
        <v>0</v>
      </c>
    </row>
    <row r="6736" spans="1:48" x14ac:dyDescent="0.25">
      <c r="A6736" t="s">
        <v>15555</v>
      </c>
      <c r="B6736" t="s">
        <v>15555</v>
      </c>
      <c r="C6736" t="s">
        <v>15556</v>
      </c>
      <c r="D6736" t="s">
        <v>5049</v>
      </c>
      <c r="E6736" t="s">
        <v>2310</v>
      </c>
      <c r="F6736">
        <v>9</v>
      </c>
      <c r="G6736">
        <v>9.1</v>
      </c>
      <c r="H6736" t="s">
        <v>2323</v>
      </c>
      <c r="I6736" s="21">
        <v>44292.558674652799</v>
      </c>
      <c r="J6736">
        <v>2021</v>
      </c>
      <c r="K6736" s="21">
        <v>44467</v>
      </c>
      <c r="L6736">
        <v>2021</v>
      </c>
      <c r="Q6736" s="262">
        <v>750000</v>
      </c>
      <c r="R6736" s="262">
        <v>460000</v>
      </c>
      <c r="S6736" t="s">
        <v>114</v>
      </c>
      <c r="T6736" t="s">
        <v>114</v>
      </c>
      <c r="V6736">
        <v>3689</v>
      </c>
      <c r="W6736">
        <v>825</v>
      </c>
      <c r="X6736">
        <v>-1</v>
      </c>
      <c r="AC6736">
        <v>1825</v>
      </c>
      <c r="AF6736">
        <v>-1000</v>
      </c>
      <c r="AR6736">
        <v>-1</v>
      </c>
      <c r="AU6736">
        <f t="shared" si="208"/>
        <v>0</v>
      </c>
      <c r="AV6736">
        <f t="shared" si="209"/>
        <v>0</v>
      </c>
    </row>
    <row r="6737" spans="1:48" x14ac:dyDescent="0.25">
      <c r="A6737" t="s">
        <v>15238</v>
      </c>
      <c r="B6737" t="s">
        <v>15238</v>
      </c>
      <c r="C6737" t="s">
        <v>15239</v>
      </c>
      <c r="D6737" t="s">
        <v>14100</v>
      </c>
      <c r="E6737" t="s">
        <v>2310</v>
      </c>
      <c r="F6737">
        <v>8</v>
      </c>
      <c r="G6737">
        <v>8.3000000000000007</v>
      </c>
      <c r="H6737" t="s">
        <v>2323</v>
      </c>
      <c r="I6737" s="21">
        <v>44292.605588657403</v>
      </c>
      <c r="J6737">
        <v>2021</v>
      </c>
      <c r="K6737" s="21">
        <v>44364</v>
      </c>
      <c r="L6737">
        <v>2021</v>
      </c>
      <c r="M6737" s="21">
        <v>44907</v>
      </c>
      <c r="N6737">
        <v>2022</v>
      </c>
      <c r="Q6737" s="262">
        <v>150000</v>
      </c>
      <c r="R6737" s="262">
        <v>13000</v>
      </c>
      <c r="S6737" t="s">
        <v>13254</v>
      </c>
      <c r="T6737">
        <v>0</v>
      </c>
      <c r="W6737">
        <v>275</v>
      </c>
      <c r="X6737">
        <v>0</v>
      </c>
      <c r="AM6737">
        <v>275</v>
      </c>
      <c r="AU6737">
        <f t="shared" si="208"/>
        <v>0</v>
      </c>
      <c r="AV6737">
        <f t="shared" si="209"/>
        <v>275</v>
      </c>
    </row>
    <row r="6738" spans="1:48" x14ac:dyDescent="0.25">
      <c r="A6738" t="s">
        <v>15560</v>
      </c>
      <c r="C6738" t="s">
        <v>11237</v>
      </c>
      <c r="D6738" t="s">
        <v>15561</v>
      </c>
      <c r="E6738" t="s">
        <v>1663</v>
      </c>
      <c r="F6738">
        <v>5</v>
      </c>
      <c r="G6738">
        <v>5.5</v>
      </c>
      <c r="H6738" t="s">
        <v>2017</v>
      </c>
      <c r="I6738" s="21">
        <v>44294</v>
      </c>
      <c r="J6738">
        <v>2021</v>
      </c>
      <c r="K6738" s="21">
        <v>44320</v>
      </c>
      <c r="L6738">
        <v>2021</v>
      </c>
      <c r="M6738" s="21">
        <v>44477</v>
      </c>
      <c r="N6738">
        <v>2021</v>
      </c>
      <c r="Q6738" s="262">
        <v>75000</v>
      </c>
      <c r="S6738" t="s">
        <v>114</v>
      </c>
      <c r="T6738" t="s">
        <v>114</v>
      </c>
      <c r="W6738">
        <v>0</v>
      </c>
      <c r="X6738">
        <v>0</v>
      </c>
      <c r="AU6738">
        <f t="shared" si="208"/>
        <v>0</v>
      </c>
      <c r="AV6738">
        <f t="shared" si="209"/>
        <v>0</v>
      </c>
    </row>
    <row r="6739" spans="1:48" x14ac:dyDescent="0.25">
      <c r="A6739" t="s">
        <v>15562</v>
      </c>
      <c r="B6739" t="s">
        <v>15562</v>
      </c>
      <c r="C6739" t="s">
        <v>15563</v>
      </c>
      <c r="D6739" t="s">
        <v>15564</v>
      </c>
      <c r="E6739" t="s">
        <v>2310</v>
      </c>
      <c r="F6739">
        <v>8</v>
      </c>
      <c r="G6739">
        <v>8.3000000000000007</v>
      </c>
      <c r="H6739" t="s">
        <v>2323</v>
      </c>
      <c r="I6739" s="21">
        <v>44294.449158182899</v>
      </c>
      <c r="J6739">
        <v>2021</v>
      </c>
      <c r="K6739" s="21">
        <v>44316</v>
      </c>
      <c r="L6739">
        <v>2021</v>
      </c>
      <c r="M6739" s="21">
        <v>44523</v>
      </c>
      <c r="N6739">
        <v>2021</v>
      </c>
      <c r="Q6739" s="262">
        <v>850000</v>
      </c>
      <c r="R6739" s="262">
        <v>50000</v>
      </c>
      <c r="S6739" t="s">
        <v>114</v>
      </c>
      <c r="T6739" t="s">
        <v>114</v>
      </c>
      <c r="V6739">
        <v>558</v>
      </c>
      <c r="W6739">
        <v>0</v>
      </c>
      <c r="X6739">
        <v>0</v>
      </c>
      <c r="AU6739">
        <f t="shared" si="208"/>
        <v>0</v>
      </c>
      <c r="AV6739">
        <f t="shared" si="209"/>
        <v>0</v>
      </c>
    </row>
    <row r="6740" spans="1:48" x14ac:dyDescent="0.25">
      <c r="A6740" t="s">
        <v>15565</v>
      </c>
      <c r="B6740" t="s">
        <v>15565</v>
      </c>
      <c r="C6740" t="s">
        <v>15566</v>
      </c>
      <c r="D6740" t="s">
        <v>15567</v>
      </c>
      <c r="E6740" t="s">
        <v>2310</v>
      </c>
      <c r="F6740">
        <v>9</v>
      </c>
      <c r="G6740">
        <v>9.1</v>
      </c>
      <c r="H6740" t="s">
        <v>2323</v>
      </c>
      <c r="I6740" s="21">
        <v>44294.481228356497</v>
      </c>
      <c r="J6740">
        <v>2021</v>
      </c>
      <c r="K6740" s="21">
        <v>44427</v>
      </c>
      <c r="L6740">
        <v>2021</v>
      </c>
      <c r="Q6740" s="262">
        <v>850000</v>
      </c>
      <c r="R6740" s="262">
        <v>179000</v>
      </c>
      <c r="S6740" t="s">
        <v>114</v>
      </c>
      <c r="T6740" t="s">
        <v>114</v>
      </c>
      <c r="W6740">
        <v>1896</v>
      </c>
      <c r="X6740">
        <v>1</v>
      </c>
      <c r="AC6740">
        <v>898</v>
      </c>
      <c r="AF6740">
        <v>998</v>
      </c>
      <c r="AR6740">
        <v>1</v>
      </c>
      <c r="AU6740">
        <f t="shared" si="208"/>
        <v>0</v>
      </c>
      <c r="AV6740">
        <f t="shared" si="209"/>
        <v>0</v>
      </c>
    </row>
    <row r="6741" spans="1:48" x14ac:dyDescent="0.25">
      <c r="A6741" t="s">
        <v>19665</v>
      </c>
      <c r="B6741" t="s">
        <v>19665</v>
      </c>
      <c r="C6741" t="s">
        <v>19666</v>
      </c>
      <c r="D6741" t="s">
        <v>19667</v>
      </c>
      <c r="E6741" t="s">
        <v>2310</v>
      </c>
      <c r="F6741">
        <v>11</v>
      </c>
      <c r="G6741">
        <v>11.2</v>
      </c>
      <c r="H6741" t="s">
        <v>2017</v>
      </c>
      <c r="I6741" s="21">
        <v>44294.564066238403</v>
      </c>
      <c r="J6741">
        <v>2021</v>
      </c>
      <c r="K6741" s="21">
        <v>44376</v>
      </c>
      <c r="L6741">
        <v>2021</v>
      </c>
      <c r="M6741" s="21">
        <v>44769.488219675928</v>
      </c>
      <c r="N6741">
        <v>2022</v>
      </c>
      <c r="Q6741" s="262">
        <v>1700000</v>
      </c>
      <c r="R6741" s="262">
        <v>624000</v>
      </c>
      <c r="S6741" t="s">
        <v>13254</v>
      </c>
      <c r="T6741">
        <v>0</v>
      </c>
      <c r="W6741">
        <v>4995</v>
      </c>
      <c r="X6741">
        <v>1</v>
      </c>
      <c r="AC6741">
        <v>4995</v>
      </c>
      <c r="AO6741">
        <v>1</v>
      </c>
      <c r="AU6741">
        <f t="shared" si="208"/>
        <v>1</v>
      </c>
      <c r="AV6741">
        <f t="shared" si="209"/>
        <v>0</v>
      </c>
    </row>
    <row r="6742" spans="1:48" x14ac:dyDescent="0.25">
      <c r="A6742" t="s">
        <v>15571</v>
      </c>
      <c r="B6742" t="s">
        <v>15571</v>
      </c>
      <c r="C6742" t="s">
        <v>15572</v>
      </c>
      <c r="D6742" t="s">
        <v>15573</v>
      </c>
      <c r="E6742" t="s">
        <v>2310</v>
      </c>
      <c r="F6742">
        <v>13</v>
      </c>
      <c r="G6742">
        <v>13.2</v>
      </c>
      <c r="H6742" t="s">
        <v>2327</v>
      </c>
      <c r="I6742" s="21">
        <v>44294.595968402798</v>
      </c>
      <c r="J6742">
        <v>2021</v>
      </c>
      <c r="K6742" s="21">
        <v>44427</v>
      </c>
      <c r="L6742">
        <v>2021</v>
      </c>
      <c r="Q6742" s="262">
        <v>1592800</v>
      </c>
      <c r="R6742" s="262">
        <v>142000</v>
      </c>
      <c r="S6742" t="s">
        <v>114</v>
      </c>
      <c r="T6742" t="s">
        <v>114</v>
      </c>
      <c r="W6742">
        <v>1448</v>
      </c>
      <c r="X6742">
        <v>1</v>
      </c>
      <c r="AC6742">
        <v>448</v>
      </c>
      <c r="AF6742">
        <v>1000</v>
      </c>
      <c r="AR6742">
        <v>1</v>
      </c>
      <c r="AU6742">
        <f t="shared" si="208"/>
        <v>0</v>
      </c>
      <c r="AV6742">
        <f t="shared" si="209"/>
        <v>0</v>
      </c>
    </row>
    <row r="6743" spans="1:48" x14ac:dyDescent="0.25">
      <c r="A6743" t="s">
        <v>15574</v>
      </c>
      <c r="B6743" t="s">
        <v>15574</v>
      </c>
      <c r="C6743" t="s">
        <v>15575</v>
      </c>
      <c r="D6743" t="s">
        <v>15576</v>
      </c>
      <c r="E6743" t="s">
        <v>2310</v>
      </c>
      <c r="F6743">
        <v>8</v>
      </c>
      <c r="G6743">
        <v>8.1999999999999993</v>
      </c>
      <c r="H6743" t="s">
        <v>2022</v>
      </c>
      <c r="I6743" s="21">
        <v>44295.427642939801</v>
      </c>
      <c r="J6743">
        <v>2021</v>
      </c>
      <c r="K6743" s="21">
        <v>44504</v>
      </c>
      <c r="L6743">
        <v>2021</v>
      </c>
      <c r="Q6743" s="262">
        <v>600000</v>
      </c>
      <c r="R6743" s="262">
        <v>138000</v>
      </c>
      <c r="S6743" t="s">
        <v>114</v>
      </c>
      <c r="T6743" t="s">
        <v>114</v>
      </c>
      <c r="W6743">
        <v>1580</v>
      </c>
      <c r="X6743">
        <v>0</v>
      </c>
      <c r="AC6743">
        <v>1580</v>
      </c>
      <c r="AU6743">
        <f t="shared" si="208"/>
        <v>0</v>
      </c>
      <c r="AV6743">
        <f t="shared" si="209"/>
        <v>0</v>
      </c>
    </row>
    <row r="6744" spans="1:48" x14ac:dyDescent="0.25">
      <c r="A6744" t="s">
        <v>19668</v>
      </c>
      <c r="B6744" t="s">
        <v>19668</v>
      </c>
      <c r="C6744" t="s">
        <v>19669</v>
      </c>
      <c r="D6744" t="s">
        <v>19670</v>
      </c>
      <c r="E6744" t="s">
        <v>2310</v>
      </c>
      <c r="F6744">
        <v>8</v>
      </c>
      <c r="G6744">
        <v>8.3000000000000007</v>
      </c>
      <c r="H6744" t="s">
        <v>2323</v>
      </c>
      <c r="I6744" s="21">
        <v>44295.471418368099</v>
      </c>
      <c r="J6744">
        <v>2021</v>
      </c>
      <c r="K6744" s="21">
        <v>44407</v>
      </c>
      <c r="L6744">
        <v>2021</v>
      </c>
      <c r="M6744" s="21">
        <v>44754.43542480324</v>
      </c>
      <c r="N6744">
        <v>2022</v>
      </c>
      <c r="Q6744" s="262">
        <v>2500000</v>
      </c>
      <c r="R6744" s="262">
        <v>532000</v>
      </c>
      <c r="S6744" t="s">
        <v>13254</v>
      </c>
      <c r="T6744">
        <v>0</v>
      </c>
      <c r="W6744">
        <v>4774</v>
      </c>
      <c r="X6744">
        <v>1</v>
      </c>
      <c r="AC6744">
        <v>4774</v>
      </c>
      <c r="AO6744">
        <v>1</v>
      </c>
      <c r="AU6744">
        <f t="shared" si="208"/>
        <v>1</v>
      </c>
      <c r="AV6744">
        <f t="shared" si="209"/>
        <v>0</v>
      </c>
    </row>
    <row r="6745" spans="1:48" x14ac:dyDescent="0.25">
      <c r="A6745" t="s">
        <v>15580</v>
      </c>
      <c r="B6745" t="s">
        <v>15580</v>
      </c>
      <c r="C6745" t="s">
        <v>15581</v>
      </c>
      <c r="D6745" t="s">
        <v>15582</v>
      </c>
      <c r="E6745" t="s">
        <v>2310</v>
      </c>
      <c r="F6745">
        <v>9</v>
      </c>
      <c r="G6745">
        <v>9.3000000000000007</v>
      </c>
      <c r="H6745" t="s">
        <v>2323</v>
      </c>
      <c r="I6745" s="21">
        <v>44299.631293634302</v>
      </c>
      <c r="J6745">
        <v>2021</v>
      </c>
      <c r="K6745" s="21">
        <v>44391</v>
      </c>
      <c r="L6745">
        <v>2021</v>
      </c>
      <c r="Q6745" s="262">
        <v>1000000</v>
      </c>
      <c r="R6745" s="262">
        <v>199000</v>
      </c>
      <c r="S6745" t="s">
        <v>114</v>
      </c>
      <c r="T6745" t="s">
        <v>114</v>
      </c>
      <c r="W6745">
        <v>2834</v>
      </c>
      <c r="X6745">
        <v>1</v>
      </c>
      <c r="AC6745">
        <v>1976</v>
      </c>
      <c r="AF6745">
        <v>858</v>
      </c>
      <c r="AR6745">
        <v>1</v>
      </c>
      <c r="AU6745">
        <f t="shared" ref="AU6745:AU6808" si="210">SUM(AN6745:AQ6745,AS6745)</f>
        <v>0</v>
      </c>
      <c r="AV6745">
        <f t="shared" ref="AV6745:AV6808" si="211">SUM(Y6745:AB6745,AH6745:AM6745)</f>
        <v>0</v>
      </c>
    </row>
    <row r="6746" spans="1:48" x14ac:dyDescent="0.25">
      <c r="A6746" t="s">
        <v>15583</v>
      </c>
      <c r="B6746" t="s">
        <v>15583</v>
      </c>
      <c r="C6746" t="s">
        <v>15584</v>
      </c>
      <c r="D6746" t="s">
        <v>15585</v>
      </c>
      <c r="E6746" t="s">
        <v>2310</v>
      </c>
      <c r="F6746">
        <v>9</v>
      </c>
      <c r="G6746">
        <v>9.4</v>
      </c>
      <c r="H6746" t="s">
        <v>2323</v>
      </c>
      <c r="I6746" s="21">
        <v>44301.364096527803</v>
      </c>
      <c r="J6746">
        <v>2021</v>
      </c>
      <c r="K6746" s="21">
        <v>44372</v>
      </c>
      <c r="L6746">
        <v>2021</v>
      </c>
      <c r="Q6746" s="262">
        <v>3500000</v>
      </c>
      <c r="R6746" s="262">
        <v>689000</v>
      </c>
      <c r="S6746" t="s">
        <v>114</v>
      </c>
      <c r="T6746" t="s">
        <v>114</v>
      </c>
      <c r="W6746">
        <v>4975</v>
      </c>
      <c r="X6746">
        <v>1</v>
      </c>
      <c r="AC6746">
        <v>4975</v>
      </c>
      <c r="AO6746">
        <v>1</v>
      </c>
      <c r="AU6746">
        <f t="shared" si="210"/>
        <v>1</v>
      </c>
      <c r="AV6746">
        <f t="shared" si="211"/>
        <v>0</v>
      </c>
    </row>
    <row r="6747" spans="1:48" x14ac:dyDescent="0.25">
      <c r="A6747" t="s">
        <v>15586</v>
      </c>
      <c r="B6747" t="s">
        <v>15586</v>
      </c>
      <c r="C6747" t="s">
        <v>15587</v>
      </c>
      <c r="D6747" t="s">
        <v>3612</v>
      </c>
      <c r="E6747" t="s">
        <v>2310</v>
      </c>
      <c r="F6747">
        <v>8</v>
      </c>
      <c r="G6747">
        <v>8.3000000000000007</v>
      </c>
      <c r="H6747" t="s">
        <v>2323</v>
      </c>
      <c r="I6747" s="21">
        <v>44301.472026932897</v>
      </c>
      <c r="J6747">
        <v>2021</v>
      </c>
      <c r="O6747" s="21">
        <v>44357</v>
      </c>
      <c r="Q6747" s="262">
        <v>1750000</v>
      </c>
      <c r="R6747" s="262">
        <v>477000</v>
      </c>
      <c r="S6747" t="s">
        <v>114</v>
      </c>
      <c r="T6747" t="s">
        <v>114</v>
      </c>
      <c r="V6747">
        <v>1135</v>
      </c>
      <c r="W6747">
        <v>3634</v>
      </c>
      <c r="X6747">
        <v>0</v>
      </c>
      <c r="AC6747">
        <v>3634</v>
      </c>
      <c r="AU6747">
        <f t="shared" si="210"/>
        <v>0</v>
      </c>
      <c r="AV6747">
        <f t="shared" si="211"/>
        <v>0</v>
      </c>
    </row>
    <row r="6748" spans="1:48" x14ac:dyDescent="0.25">
      <c r="A6748" t="s">
        <v>15588</v>
      </c>
      <c r="B6748" t="s">
        <v>15588</v>
      </c>
      <c r="C6748" t="s">
        <v>15589</v>
      </c>
      <c r="D6748" t="s">
        <v>15590</v>
      </c>
      <c r="E6748" t="s">
        <v>2310</v>
      </c>
      <c r="F6748">
        <v>15</v>
      </c>
      <c r="G6748">
        <v>15.2</v>
      </c>
      <c r="H6748" t="s">
        <v>2323</v>
      </c>
      <c r="I6748" s="21">
        <v>44301.601077199099</v>
      </c>
      <c r="J6748">
        <v>2021</v>
      </c>
      <c r="K6748" s="21">
        <v>44386</v>
      </c>
      <c r="L6748">
        <v>2021</v>
      </c>
      <c r="Q6748" s="262">
        <v>2200000</v>
      </c>
      <c r="R6748" s="262">
        <v>369000</v>
      </c>
      <c r="S6748" t="s">
        <v>114</v>
      </c>
      <c r="T6748" t="s">
        <v>114</v>
      </c>
      <c r="V6748">
        <v>634</v>
      </c>
      <c r="W6748">
        <v>2649</v>
      </c>
      <c r="X6748">
        <v>0</v>
      </c>
      <c r="AC6748">
        <v>2649</v>
      </c>
      <c r="AU6748">
        <f t="shared" si="210"/>
        <v>0</v>
      </c>
      <c r="AV6748">
        <f t="shared" si="211"/>
        <v>0</v>
      </c>
    </row>
    <row r="6749" spans="1:48" x14ac:dyDescent="0.25">
      <c r="A6749" t="s">
        <v>15591</v>
      </c>
      <c r="B6749" t="s">
        <v>15591</v>
      </c>
      <c r="C6749" t="s">
        <v>15592</v>
      </c>
      <c r="D6749" t="s">
        <v>13956</v>
      </c>
      <c r="E6749" t="s">
        <v>2310</v>
      </c>
      <c r="F6749">
        <v>9</v>
      </c>
      <c r="G6749">
        <v>9.4</v>
      </c>
      <c r="H6749" t="s">
        <v>2323</v>
      </c>
      <c r="I6749" s="21">
        <v>44301.647045833299</v>
      </c>
      <c r="J6749">
        <v>2021</v>
      </c>
      <c r="K6749" s="21">
        <v>44412</v>
      </c>
      <c r="L6749">
        <v>2021</v>
      </c>
      <c r="R6749" s="262">
        <v>261000</v>
      </c>
      <c r="S6749" t="s">
        <v>114</v>
      </c>
      <c r="T6749" t="s">
        <v>114</v>
      </c>
      <c r="W6749">
        <v>2640</v>
      </c>
      <c r="X6749">
        <v>0</v>
      </c>
      <c r="AC6749">
        <v>2640</v>
      </c>
      <c r="AU6749">
        <f t="shared" si="210"/>
        <v>0</v>
      </c>
      <c r="AV6749">
        <f t="shared" si="211"/>
        <v>0</v>
      </c>
    </row>
    <row r="6750" spans="1:48" x14ac:dyDescent="0.25">
      <c r="A6750" t="s">
        <v>15593</v>
      </c>
      <c r="B6750" t="s">
        <v>15593</v>
      </c>
      <c r="C6750" t="s">
        <v>15594</v>
      </c>
      <c r="D6750" t="s">
        <v>15416</v>
      </c>
      <c r="E6750" t="s">
        <v>2310</v>
      </c>
      <c r="F6750">
        <v>14</v>
      </c>
      <c r="G6750">
        <v>14.1</v>
      </c>
      <c r="H6750" t="s">
        <v>2022</v>
      </c>
      <c r="I6750" s="21">
        <v>44302.436633449099</v>
      </c>
      <c r="J6750">
        <v>2021</v>
      </c>
      <c r="K6750" s="21">
        <v>44377</v>
      </c>
      <c r="L6750">
        <v>2021</v>
      </c>
      <c r="Q6750" s="262">
        <v>8000000</v>
      </c>
      <c r="R6750" s="262">
        <v>859000</v>
      </c>
      <c r="S6750" t="s">
        <v>114</v>
      </c>
      <c r="T6750" t="s">
        <v>114</v>
      </c>
      <c r="W6750">
        <v>6583</v>
      </c>
      <c r="X6750">
        <v>1</v>
      </c>
      <c r="AC6750">
        <v>6583</v>
      </c>
      <c r="AO6750">
        <v>1</v>
      </c>
      <c r="AU6750">
        <f t="shared" si="210"/>
        <v>1</v>
      </c>
      <c r="AV6750">
        <f t="shared" si="211"/>
        <v>0</v>
      </c>
    </row>
    <row r="6751" spans="1:48" x14ac:dyDescent="0.25">
      <c r="A6751" t="s">
        <v>15595</v>
      </c>
      <c r="B6751" t="s">
        <v>15595</v>
      </c>
      <c r="C6751" t="s">
        <v>15596</v>
      </c>
      <c r="D6751" t="s">
        <v>15597</v>
      </c>
      <c r="E6751" t="s">
        <v>2310</v>
      </c>
      <c r="F6751">
        <v>9</v>
      </c>
      <c r="G6751">
        <v>9.1</v>
      </c>
      <c r="H6751" t="s">
        <v>2323</v>
      </c>
      <c r="I6751" s="21">
        <v>44302.4677745718</v>
      </c>
      <c r="J6751">
        <v>2021</v>
      </c>
      <c r="K6751" s="21">
        <v>44392</v>
      </c>
      <c r="L6751">
        <v>2021</v>
      </c>
      <c r="Q6751" s="262">
        <v>4400000</v>
      </c>
      <c r="R6751" s="262">
        <v>495000</v>
      </c>
      <c r="S6751" t="s">
        <v>114</v>
      </c>
      <c r="T6751" t="s">
        <v>114</v>
      </c>
      <c r="W6751">
        <v>4225</v>
      </c>
      <c r="X6751">
        <v>1</v>
      </c>
      <c r="AC6751">
        <v>4225</v>
      </c>
      <c r="AO6751">
        <v>1</v>
      </c>
      <c r="AU6751">
        <f t="shared" si="210"/>
        <v>1</v>
      </c>
      <c r="AV6751">
        <f t="shared" si="211"/>
        <v>0</v>
      </c>
    </row>
    <row r="6752" spans="1:48" x14ac:dyDescent="0.25">
      <c r="A6752" t="s">
        <v>14825</v>
      </c>
      <c r="C6752" t="s">
        <v>14826</v>
      </c>
      <c r="D6752" t="s">
        <v>12877</v>
      </c>
      <c r="E6752" t="s">
        <v>1663</v>
      </c>
      <c r="F6752">
        <v>6</v>
      </c>
      <c r="G6752">
        <v>6.1</v>
      </c>
      <c r="H6752" t="s">
        <v>2017</v>
      </c>
      <c r="I6752" s="21">
        <v>44305</v>
      </c>
      <c r="J6752">
        <v>2021</v>
      </c>
      <c r="K6752" s="21">
        <v>44406</v>
      </c>
      <c r="L6752">
        <v>2021</v>
      </c>
      <c r="M6752" s="21">
        <v>44781</v>
      </c>
      <c r="N6752">
        <v>2022</v>
      </c>
      <c r="P6752" s="21">
        <v>44723</v>
      </c>
      <c r="Q6752" s="262">
        <v>250000</v>
      </c>
      <c r="S6752" t="s">
        <v>13254</v>
      </c>
      <c r="W6752">
        <v>252</v>
      </c>
      <c r="X6752">
        <v>1</v>
      </c>
      <c r="AF6752">
        <v>252</v>
      </c>
      <c r="AR6752">
        <v>1</v>
      </c>
      <c r="AU6752">
        <f t="shared" si="210"/>
        <v>0</v>
      </c>
      <c r="AV6752">
        <f t="shared" si="211"/>
        <v>0</v>
      </c>
    </row>
    <row r="6753" spans="1:48" x14ac:dyDescent="0.25">
      <c r="A6753" t="s">
        <v>15604</v>
      </c>
      <c r="C6753" t="s">
        <v>11879</v>
      </c>
      <c r="D6753" t="s">
        <v>15605</v>
      </c>
      <c r="E6753" t="s">
        <v>1663</v>
      </c>
      <c r="F6753">
        <v>6</v>
      </c>
      <c r="G6753">
        <v>6.1</v>
      </c>
      <c r="H6753" t="s">
        <v>2017</v>
      </c>
      <c r="I6753" s="21">
        <v>44305</v>
      </c>
      <c r="J6753">
        <v>2021</v>
      </c>
      <c r="K6753" s="21">
        <v>44316</v>
      </c>
      <c r="L6753">
        <v>2021</v>
      </c>
      <c r="P6753" s="21">
        <v>44739</v>
      </c>
      <c r="Q6753" s="262">
        <v>875000</v>
      </c>
      <c r="S6753" t="s">
        <v>114</v>
      </c>
      <c r="T6753" t="s">
        <v>114</v>
      </c>
      <c r="W6753">
        <v>0</v>
      </c>
      <c r="X6753">
        <v>0</v>
      </c>
      <c r="AU6753">
        <f t="shared" si="210"/>
        <v>0</v>
      </c>
      <c r="AV6753">
        <f t="shared" si="211"/>
        <v>0</v>
      </c>
    </row>
    <row r="6754" spans="1:48" x14ac:dyDescent="0.25">
      <c r="A6754" t="s">
        <v>14822</v>
      </c>
      <c r="C6754" t="s">
        <v>14823</v>
      </c>
      <c r="D6754" t="s">
        <v>14824</v>
      </c>
      <c r="E6754" t="s">
        <v>1663</v>
      </c>
      <c r="F6754">
        <v>3</v>
      </c>
      <c r="G6754">
        <v>3.2</v>
      </c>
      <c r="H6754" t="s">
        <v>2327</v>
      </c>
      <c r="I6754" s="21">
        <v>44305</v>
      </c>
      <c r="J6754">
        <v>2021</v>
      </c>
      <c r="K6754" s="21">
        <v>44316</v>
      </c>
      <c r="L6754">
        <v>2021</v>
      </c>
      <c r="M6754" s="21">
        <v>44658</v>
      </c>
      <c r="N6754">
        <v>2022</v>
      </c>
      <c r="P6754" s="21">
        <v>44613</v>
      </c>
      <c r="Q6754" s="262">
        <v>4000</v>
      </c>
      <c r="S6754" t="s">
        <v>13253</v>
      </c>
      <c r="T6754">
        <v>11510</v>
      </c>
      <c r="W6754">
        <v>0</v>
      </c>
      <c r="X6754">
        <v>0</v>
      </c>
      <c r="AU6754">
        <f t="shared" si="210"/>
        <v>0</v>
      </c>
      <c r="AV6754">
        <f t="shared" si="211"/>
        <v>0</v>
      </c>
    </row>
    <row r="6755" spans="1:48" x14ac:dyDescent="0.25">
      <c r="A6755" t="s">
        <v>15606</v>
      </c>
      <c r="C6755" t="s">
        <v>11246</v>
      </c>
      <c r="D6755" t="s">
        <v>15607</v>
      </c>
      <c r="E6755" t="s">
        <v>1663</v>
      </c>
      <c r="F6755">
        <v>6</v>
      </c>
      <c r="G6755">
        <v>6.1</v>
      </c>
      <c r="H6755" t="s">
        <v>2017</v>
      </c>
      <c r="I6755" s="21">
        <v>44306</v>
      </c>
      <c r="J6755">
        <v>2021</v>
      </c>
      <c r="K6755" s="21">
        <v>44328</v>
      </c>
      <c r="L6755">
        <v>2021</v>
      </c>
      <c r="P6755" s="21">
        <v>44682</v>
      </c>
      <c r="Q6755" s="262">
        <v>1770800</v>
      </c>
      <c r="S6755" t="s">
        <v>114</v>
      </c>
      <c r="T6755" t="s">
        <v>114</v>
      </c>
      <c r="W6755">
        <v>4427</v>
      </c>
      <c r="X6755">
        <v>1</v>
      </c>
      <c r="AC6755">
        <v>4427</v>
      </c>
      <c r="AO6755">
        <v>1</v>
      </c>
      <c r="AU6755">
        <f t="shared" si="210"/>
        <v>1</v>
      </c>
      <c r="AV6755">
        <f t="shared" si="211"/>
        <v>0</v>
      </c>
    </row>
    <row r="6756" spans="1:48" x14ac:dyDescent="0.25">
      <c r="A6756" t="s">
        <v>15608</v>
      </c>
      <c r="B6756" t="s">
        <v>15608</v>
      </c>
      <c r="C6756" t="s">
        <v>15609</v>
      </c>
      <c r="D6756" t="s">
        <v>15610</v>
      </c>
      <c r="E6756" t="s">
        <v>2310</v>
      </c>
      <c r="F6756">
        <v>9</v>
      </c>
      <c r="G6756">
        <v>9.4</v>
      </c>
      <c r="H6756" t="s">
        <v>2323</v>
      </c>
      <c r="I6756" s="21">
        <v>44306.469095601897</v>
      </c>
      <c r="J6756">
        <v>2021</v>
      </c>
      <c r="K6756" s="21">
        <v>44389</v>
      </c>
      <c r="L6756">
        <v>2021</v>
      </c>
      <c r="O6756" s="21">
        <v>44470</v>
      </c>
      <c r="Q6756" s="262">
        <v>1500000</v>
      </c>
      <c r="R6756" s="262">
        <v>178000</v>
      </c>
      <c r="S6756" t="s">
        <v>114</v>
      </c>
      <c r="T6756" t="s">
        <v>114</v>
      </c>
      <c r="V6756">
        <v>2000</v>
      </c>
      <c r="W6756">
        <v>0</v>
      </c>
      <c r="X6756">
        <v>0</v>
      </c>
      <c r="AU6756">
        <f t="shared" si="210"/>
        <v>0</v>
      </c>
      <c r="AV6756">
        <f t="shared" si="211"/>
        <v>0</v>
      </c>
    </row>
    <row r="6757" spans="1:48" x14ac:dyDescent="0.25">
      <c r="A6757" t="s">
        <v>19671</v>
      </c>
      <c r="B6757" t="s">
        <v>19671</v>
      </c>
      <c r="C6757" t="s">
        <v>19672</v>
      </c>
      <c r="D6757" t="s">
        <v>19673</v>
      </c>
      <c r="E6757" t="s">
        <v>2310</v>
      </c>
      <c r="F6757">
        <v>11</v>
      </c>
      <c r="G6757">
        <v>11.2</v>
      </c>
      <c r="H6757" t="s">
        <v>2017</v>
      </c>
      <c r="I6757" s="21">
        <v>44306.575944942102</v>
      </c>
      <c r="J6757">
        <v>2021</v>
      </c>
      <c r="K6757" s="21">
        <v>44404</v>
      </c>
      <c r="L6757">
        <v>2021</v>
      </c>
      <c r="M6757" s="21">
        <v>44588</v>
      </c>
      <c r="N6757">
        <v>2022</v>
      </c>
      <c r="Q6757" s="262">
        <v>600000</v>
      </c>
      <c r="R6757" s="262">
        <v>291000</v>
      </c>
      <c r="S6757" t="s">
        <v>13254</v>
      </c>
      <c r="T6757">
        <v>0</v>
      </c>
      <c r="W6757">
        <v>2800</v>
      </c>
      <c r="X6757">
        <v>1</v>
      </c>
      <c r="AC6757">
        <v>2800</v>
      </c>
      <c r="AO6757">
        <v>1</v>
      </c>
      <c r="AU6757">
        <f t="shared" si="210"/>
        <v>1</v>
      </c>
      <c r="AV6757">
        <f t="shared" si="211"/>
        <v>0</v>
      </c>
    </row>
    <row r="6758" spans="1:48" x14ac:dyDescent="0.25">
      <c r="A6758" t="s">
        <v>19674</v>
      </c>
      <c r="B6758" t="s">
        <v>19674</v>
      </c>
      <c r="C6758" t="s">
        <v>19672</v>
      </c>
      <c r="D6758" t="s">
        <v>19675</v>
      </c>
      <c r="E6758" t="s">
        <v>2310</v>
      </c>
      <c r="F6758">
        <v>11</v>
      </c>
      <c r="G6758">
        <v>11.2</v>
      </c>
      <c r="H6758" t="s">
        <v>2017</v>
      </c>
      <c r="I6758" s="21">
        <v>44306.585184919</v>
      </c>
      <c r="J6758">
        <v>2021</v>
      </c>
      <c r="K6758" s="21">
        <v>44404</v>
      </c>
      <c r="L6758">
        <v>2021</v>
      </c>
      <c r="M6758" s="21">
        <v>44581</v>
      </c>
      <c r="N6758">
        <v>2022</v>
      </c>
      <c r="Q6758" s="262">
        <v>600000</v>
      </c>
      <c r="R6758" s="262">
        <v>291000</v>
      </c>
      <c r="S6758" t="s">
        <v>13254</v>
      </c>
      <c r="T6758">
        <v>0</v>
      </c>
      <c r="W6758">
        <v>2800</v>
      </c>
      <c r="X6758">
        <v>1</v>
      </c>
      <c r="AC6758">
        <v>2800</v>
      </c>
      <c r="AO6758">
        <v>1</v>
      </c>
      <c r="AU6758">
        <f t="shared" si="210"/>
        <v>1</v>
      </c>
      <c r="AV6758">
        <f t="shared" si="211"/>
        <v>0</v>
      </c>
    </row>
    <row r="6759" spans="1:48" x14ac:dyDescent="0.25">
      <c r="A6759" t="s">
        <v>15617</v>
      </c>
      <c r="B6759" t="s">
        <v>15617</v>
      </c>
      <c r="C6759" t="s">
        <v>15618</v>
      </c>
      <c r="D6759" t="s">
        <v>15619</v>
      </c>
      <c r="E6759" t="s">
        <v>2310</v>
      </c>
      <c r="F6759">
        <v>14</v>
      </c>
      <c r="G6759">
        <v>14.1</v>
      </c>
      <c r="H6759" t="s">
        <v>2022</v>
      </c>
      <c r="I6759" s="21">
        <v>44308.542645023103</v>
      </c>
      <c r="J6759">
        <v>2021</v>
      </c>
      <c r="K6759" s="21">
        <v>44425</v>
      </c>
      <c r="L6759">
        <v>2021</v>
      </c>
      <c r="Q6759" s="262">
        <v>250000</v>
      </c>
      <c r="R6759" s="262">
        <v>189000</v>
      </c>
      <c r="S6759" t="s">
        <v>114</v>
      </c>
      <c r="T6759" t="s">
        <v>114</v>
      </c>
      <c r="W6759">
        <v>3174</v>
      </c>
      <c r="X6759">
        <v>0</v>
      </c>
      <c r="AC6759">
        <v>3174</v>
      </c>
      <c r="AU6759">
        <f t="shared" si="210"/>
        <v>0</v>
      </c>
      <c r="AV6759">
        <f t="shared" si="211"/>
        <v>0</v>
      </c>
    </row>
    <row r="6760" spans="1:48" x14ac:dyDescent="0.25">
      <c r="A6760" t="s">
        <v>15620</v>
      </c>
      <c r="B6760" t="s">
        <v>15620</v>
      </c>
      <c r="C6760" t="s">
        <v>15621</v>
      </c>
      <c r="D6760" t="s">
        <v>15622</v>
      </c>
      <c r="E6760" t="s">
        <v>2310</v>
      </c>
      <c r="F6760">
        <v>9</v>
      </c>
      <c r="G6760">
        <v>9.1999999999999993</v>
      </c>
      <c r="H6760" t="s">
        <v>2022</v>
      </c>
      <c r="I6760" s="21">
        <v>44308.662374155101</v>
      </c>
      <c r="J6760">
        <v>2021</v>
      </c>
      <c r="K6760" s="21">
        <v>44426</v>
      </c>
      <c r="L6760">
        <v>2021</v>
      </c>
      <c r="Q6760" s="262">
        <v>1500000</v>
      </c>
      <c r="R6760" s="262">
        <v>1005000</v>
      </c>
      <c r="S6760" t="s">
        <v>114</v>
      </c>
      <c r="T6760" t="s">
        <v>114</v>
      </c>
      <c r="W6760">
        <v>7019</v>
      </c>
      <c r="X6760">
        <v>1</v>
      </c>
      <c r="AC6760">
        <v>7019</v>
      </c>
      <c r="AO6760">
        <v>1</v>
      </c>
      <c r="AU6760">
        <f t="shared" si="210"/>
        <v>1</v>
      </c>
      <c r="AV6760">
        <f t="shared" si="211"/>
        <v>0</v>
      </c>
    </row>
    <row r="6761" spans="1:48" x14ac:dyDescent="0.25">
      <c r="A6761" t="s">
        <v>15623</v>
      </c>
      <c r="C6761" t="s">
        <v>15624</v>
      </c>
      <c r="D6761" t="s">
        <v>15625</v>
      </c>
      <c r="E6761" t="s">
        <v>1663</v>
      </c>
      <c r="F6761">
        <v>6</v>
      </c>
      <c r="G6761">
        <v>6.1</v>
      </c>
      <c r="H6761" t="s">
        <v>2017</v>
      </c>
      <c r="I6761" s="21">
        <v>44309</v>
      </c>
      <c r="J6761">
        <v>2021</v>
      </c>
      <c r="K6761" s="21">
        <v>44315</v>
      </c>
      <c r="L6761">
        <v>2021</v>
      </c>
      <c r="P6761" s="21">
        <v>44613</v>
      </c>
      <c r="Q6761" s="262">
        <v>100000</v>
      </c>
      <c r="S6761" t="s">
        <v>114</v>
      </c>
      <c r="T6761" t="s">
        <v>114</v>
      </c>
      <c r="W6761">
        <v>0</v>
      </c>
      <c r="X6761">
        <v>0</v>
      </c>
      <c r="AU6761">
        <f t="shared" si="210"/>
        <v>0</v>
      </c>
      <c r="AV6761">
        <f t="shared" si="211"/>
        <v>0</v>
      </c>
    </row>
    <row r="6762" spans="1:48" x14ac:dyDescent="0.25">
      <c r="A6762" t="s">
        <v>15626</v>
      </c>
      <c r="B6762" t="s">
        <v>15626</v>
      </c>
      <c r="C6762" t="s">
        <v>15627</v>
      </c>
      <c r="D6762" t="s">
        <v>15628</v>
      </c>
      <c r="E6762" t="s">
        <v>2310</v>
      </c>
      <c r="F6762">
        <v>15</v>
      </c>
      <c r="G6762">
        <v>15.2</v>
      </c>
      <c r="H6762" t="s">
        <v>2323</v>
      </c>
      <c r="I6762" s="21">
        <v>44309.371742361101</v>
      </c>
      <c r="J6762">
        <v>2021</v>
      </c>
      <c r="K6762" s="21">
        <v>44530</v>
      </c>
      <c r="L6762">
        <v>2021</v>
      </c>
      <c r="Q6762" s="262">
        <v>3500000</v>
      </c>
      <c r="R6762" s="262">
        <v>898000</v>
      </c>
      <c r="S6762" t="s">
        <v>114</v>
      </c>
      <c r="T6762" t="s">
        <v>114</v>
      </c>
      <c r="W6762">
        <v>8251</v>
      </c>
      <c r="X6762">
        <v>1</v>
      </c>
      <c r="AC6762">
        <v>8251</v>
      </c>
      <c r="AO6762">
        <v>1</v>
      </c>
      <c r="AU6762">
        <f t="shared" si="210"/>
        <v>1</v>
      </c>
      <c r="AV6762">
        <f t="shared" si="211"/>
        <v>0</v>
      </c>
    </row>
    <row r="6763" spans="1:48" x14ac:dyDescent="0.25">
      <c r="A6763" t="s">
        <v>15629</v>
      </c>
      <c r="B6763" t="s">
        <v>15629</v>
      </c>
      <c r="C6763" t="s">
        <v>15630</v>
      </c>
      <c r="D6763" t="s">
        <v>15631</v>
      </c>
      <c r="E6763" t="s">
        <v>2310</v>
      </c>
      <c r="F6763">
        <v>9</v>
      </c>
      <c r="G6763">
        <v>9.4</v>
      </c>
      <c r="H6763" t="s">
        <v>2323</v>
      </c>
      <c r="I6763" s="21">
        <v>44309.412790891198</v>
      </c>
      <c r="J6763">
        <v>2021</v>
      </c>
      <c r="K6763" s="21">
        <v>44552</v>
      </c>
      <c r="L6763">
        <v>2021</v>
      </c>
      <c r="Q6763" s="262">
        <v>5000000</v>
      </c>
      <c r="R6763" s="262">
        <v>1308000</v>
      </c>
      <c r="S6763" t="s">
        <v>114</v>
      </c>
      <c r="T6763" t="s">
        <v>114</v>
      </c>
      <c r="W6763">
        <v>8829</v>
      </c>
      <c r="X6763">
        <v>1</v>
      </c>
      <c r="AC6763">
        <v>8829</v>
      </c>
      <c r="AO6763">
        <v>1</v>
      </c>
      <c r="AU6763">
        <f t="shared" si="210"/>
        <v>1</v>
      </c>
      <c r="AV6763">
        <f t="shared" si="211"/>
        <v>0</v>
      </c>
    </row>
    <row r="6764" spans="1:48" x14ac:dyDescent="0.25">
      <c r="A6764" t="s">
        <v>15632</v>
      </c>
      <c r="B6764" t="s">
        <v>15633</v>
      </c>
      <c r="C6764" t="s">
        <v>15634</v>
      </c>
      <c r="D6764" t="s">
        <v>15635</v>
      </c>
      <c r="E6764" t="s">
        <v>2310</v>
      </c>
      <c r="F6764">
        <v>11</v>
      </c>
      <c r="G6764">
        <v>11.4</v>
      </c>
      <c r="H6764" t="s">
        <v>2017</v>
      </c>
      <c r="I6764" s="21">
        <v>44309.618726122702</v>
      </c>
      <c r="J6764">
        <v>2021</v>
      </c>
      <c r="K6764" s="21">
        <v>44405</v>
      </c>
      <c r="L6764">
        <v>2021</v>
      </c>
      <c r="Q6764" s="262">
        <v>1200000</v>
      </c>
      <c r="R6764" s="262">
        <v>175000</v>
      </c>
      <c r="S6764" t="s">
        <v>114</v>
      </c>
      <c r="T6764" t="s">
        <v>114</v>
      </c>
      <c r="W6764">
        <v>-2192</v>
      </c>
      <c r="X6764">
        <v>0</v>
      </c>
      <c r="AC6764">
        <v>-2192</v>
      </c>
      <c r="AU6764">
        <f t="shared" si="210"/>
        <v>0</v>
      </c>
      <c r="AV6764">
        <f t="shared" si="211"/>
        <v>0</v>
      </c>
    </row>
    <row r="6765" spans="1:48" x14ac:dyDescent="0.25">
      <c r="A6765" t="s">
        <v>15632</v>
      </c>
      <c r="B6765" t="s">
        <v>15632</v>
      </c>
      <c r="C6765" t="s">
        <v>15636</v>
      </c>
      <c r="D6765" t="s">
        <v>15635</v>
      </c>
      <c r="E6765" t="s">
        <v>2310</v>
      </c>
      <c r="F6765">
        <v>11</v>
      </c>
      <c r="G6765">
        <v>11.4</v>
      </c>
      <c r="H6765" t="s">
        <v>2017</v>
      </c>
      <c r="I6765" s="21">
        <v>44309.618726122702</v>
      </c>
      <c r="J6765">
        <v>2021</v>
      </c>
      <c r="K6765" s="21">
        <v>44405</v>
      </c>
      <c r="L6765">
        <v>2021</v>
      </c>
      <c r="Q6765" s="262">
        <v>1200000</v>
      </c>
      <c r="R6765" s="262">
        <v>175000</v>
      </c>
      <c r="S6765" t="s">
        <v>114</v>
      </c>
      <c r="T6765" t="s">
        <v>114</v>
      </c>
      <c r="W6765">
        <v>1494</v>
      </c>
      <c r="X6765">
        <v>1</v>
      </c>
      <c r="AC6765">
        <v>1494</v>
      </c>
      <c r="AO6765">
        <v>1</v>
      </c>
      <c r="AU6765">
        <f t="shared" si="210"/>
        <v>1</v>
      </c>
      <c r="AV6765">
        <f t="shared" si="211"/>
        <v>0</v>
      </c>
    </row>
    <row r="6766" spans="1:48" x14ac:dyDescent="0.25">
      <c r="A6766" t="s">
        <v>15637</v>
      </c>
      <c r="B6766" t="s">
        <v>15637</v>
      </c>
      <c r="C6766" t="s">
        <v>15638</v>
      </c>
      <c r="D6766" t="s">
        <v>15639</v>
      </c>
      <c r="E6766" t="s">
        <v>2310</v>
      </c>
      <c r="F6766">
        <v>14</v>
      </c>
      <c r="G6766">
        <v>14.1</v>
      </c>
      <c r="H6766" t="s">
        <v>2022</v>
      </c>
      <c r="I6766" s="21">
        <v>44313.438192511603</v>
      </c>
      <c r="J6766">
        <v>2021</v>
      </c>
      <c r="Q6766" s="262">
        <v>2500000</v>
      </c>
      <c r="R6766" s="262">
        <v>743000</v>
      </c>
      <c r="S6766" t="s">
        <v>114</v>
      </c>
      <c r="T6766" t="s">
        <v>114</v>
      </c>
      <c r="W6766">
        <v>5752</v>
      </c>
      <c r="X6766">
        <v>1</v>
      </c>
      <c r="AC6766">
        <v>5752</v>
      </c>
      <c r="AO6766">
        <v>1</v>
      </c>
      <c r="AU6766">
        <f t="shared" si="210"/>
        <v>1</v>
      </c>
      <c r="AV6766">
        <f t="shared" si="211"/>
        <v>0</v>
      </c>
    </row>
    <row r="6767" spans="1:48" x14ac:dyDescent="0.25">
      <c r="A6767" t="s">
        <v>15640</v>
      </c>
      <c r="B6767" t="s">
        <v>15640</v>
      </c>
      <c r="C6767" t="s">
        <v>15641</v>
      </c>
      <c r="D6767" t="s">
        <v>15642</v>
      </c>
      <c r="E6767" t="s">
        <v>2310</v>
      </c>
      <c r="F6767">
        <v>8</v>
      </c>
      <c r="G6767">
        <v>8.1</v>
      </c>
      <c r="H6767" t="s">
        <v>2323</v>
      </c>
      <c r="I6767" s="21">
        <v>44313.470008449098</v>
      </c>
      <c r="J6767">
        <v>2021</v>
      </c>
      <c r="K6767" s="21">
        <v>44452</v>
      </c>
      <c r="L6767">
        <v>2021</v>
      </c>
      <c r="Q6767" s="262">
        <v>3000000</v>
      </c>
      <c r="R6767" s="262">
        <v>586000</v>
      </c>
      <c r="S6767" t="s">
        <v>114</v>
      </c>
      <c r="T6767" t="s">
        <v>114</v>
      </c>
      <c r="W6767">
        <v>4990</v>
      </c>
      <c r="X6767">
        <v>1</v>
      </c>
      <c r="AC6767">
        <v>4990</v>
      </c>
      <c r="AO6767">
        <v>1</v>
      </c>
      <c r="AU6767">
        <f t="shared" si="210"/>
        <v>1</v>
      </c>
      <c r="AV6767">
        <f t="shared" si="211"/>
        <v>0</v>
      </c>
    </row>
    <row r="6768" spans="1:48" x14ac:dyDescent="0.25">
      <c r="A6768" t="s">
        <v>15643</v>
      </c>
      <c r="B6768" t="s">
        <v>15643</v>
      </c>
      <c r="C6768" t="s">
        <v>15644</v>
      </c>
      <c r="D6768" t="s">
        <v>15642</v>
      </c>
      <c r="E6768" t="s">
        <v>2310</v>
      </c>
      <c r="F6768">
        <v>8</v>
      </c>
      <c r="G6768">
        <v>8.1</v>
      </c>
      <c r="H6768" t="s">
        <v>2323</v>
      </c>
      <c r="I6768" s="21">
        <v>44313.484476076403</v>
      </c>
      <c r="J6768">
        <v>2021</v>
      </c>
      <c r="K6768" s="21">
        <v>44448</v>
      </c>
      <c r="L6768">
        <v>2021</v>
      </c>
      <c r="Q6768" s="262">
        <v>700000</v>
      </c>
      <c r="R6768" s="262">
        <v>119000</v>
      </c>
      <c r="S6768" t="s">
        <v>114</v>
      </c>
      <c r="T6768" t="s">
        <v>114</v>
      </c>
      <c r="W6768">
        <v>1000</v>
      </c>
      <c r="X6768">
        <v>1</v>
      </c>
      <c r="AF6768">
        <v>1000</v>
      </c>
      <c r="AR6768">
        <v>1</v>
      </c>
      <c r="AU6768">
        <f t="shared" si="210"/>
        <v>0</v>
      </c>
      <c r="AV6768">
        <f t="shared" si="211"/>
        <v>0</v>
      </c>
    </row>
    <row r="6769" spans="1:48" x14ac:dyDescent="0.25">
      <c r="A6769" t="s">
        <v>15645</v>
      </c>
      <c r="B6769" t="s">
        <v>15645</v>
      </c>
      <c r="C6769" t="s">
        <v>15646</v>
      </c>
      <c r="D6769" t="s">
        <v>15647</v>
      </c>
      <c r="E6769" t="s">
        <v>2310</v>
      </c>
      <c r="F6769">
        <v>14</v>
      </c>
      <c r="G6769">
        <v>14.1</v>
      </c>
      <c r="H6769" t="s">
        <v>2022</v>
      </c>
      <c r="I6769" s="21">
        <v>44313.557061377302</v>
      </c>
      <c r="J6769">
        <v>2021</v>
      </c>
      <c r="K6769" s="21">
        <v>44411</v>
      </c>
      <c r="L6769">
        <v>2021</v>
      </c>
      <c r="Q6769" s="262">
        <v>2600250</v>
      </c>
      <c r="R6769" s="262">
        <v>712000</v>
      </c>
      <c r="S6769" t="s">
        <v>114</v>
      </c>
      <c r="T6769" t="s">
        <v>114</v>
      </c>
      <c r="W6769">
        <v>5553</v>
      </c>
      <c r="X6769">
        <v>1</v>
      </c>
      <c r="AC6769">
        <v>5553</v>
      </c>
      <c r="AO6769">
        <v>1</v>
      </c>
      <c r="AU6769">
        <f t="shared" si="210"/>
        <v>1</v>
      </c>
      <c r="AV6769">
        <f t="shared" si="211"/>
        <v>0</v>
      </c>
    </row>
    <row r="6770" spans="1:48" x14ac:dyDescent="0.25">
      <c r="A6770" t="s">
        <v>15648</v>
      </c>
      <c r="B6770" t="s">
        <v>15648</v>
      </c>
      <c r="C6770" t="s">
        <v>15649</v>
      </c>
      <c r="D6770" t="s">
        <v>15647</v>
      </c>
      <c r="E6770" t="s">
        <v>2310</v>
      </c>
      <c r="F6770">
        <v>14</v>
      </c>
      <c r="G6770">
        <v>14.1</v>
      </c>
      <c r="H6770" t="s">
        <v>2022</v>
      </c>
      <c r="I6770" s="21">
        <v>44313.565924456001</v>
      </c>
      <c r="J6770">
        <v>2021</v>
      </c>
      <c r="K6770" s="21">
        <v>44411</v>
      </c>
      <c r="L6770">
        <v>2021</v>
      </c>
      <c r="Q6770" s="262">
        <v>1000000</v>
      </c>
      <c r="R6770" s="262">
        <v>47000</v>
      </c>
      <c r="S6770" t="s">
        <v>114</v>
      </c>
      <c r="T6770" t="s">
        <v>114</v>
      </c>
      <c r="W6770">
        <v>982</v>
      </c>
      <c r="X6770">
        <v>0</v>
      </c>
      <c r="AC6770">
        <v>982</v>
      </c>
      <c r="AU6770">
        <f t="shared" si="210"/>
        <v>0</v>
      </c>
      <c r="AV6770">
        <f t="shared" si="211"/>
        <v>0</v>
      </c>
    </row>
    <row r="6771" spans="1:48" x14ac:dyDescent="0.25">
      <c r="A6771" t="s">
        <v>15650</v>
      </c>
      <c r="B6771" t="s">
        <v>15650</v>
      </c>
      <c r="C6771" t="s">
        <v>15651</v>
      </c>
      <c r="D6771" t="s">
        <v>11383</v>
      </c>
      <c r="E6771" t="s">
        <v>2310</v>
      </c>
      <c r="F6771">
        <v>9</v>
      </c>
      <c r="G6771">
        <v>9.3000000000000007</v>
      </c>
      <c r="H6771" t="s">
        <v>2323</v>
      </c>
      <c r="I6771" s="21">
        <v>44313.599245219899</v>
      </c>
      <c r="J6771">
        <v>2021</v>
      </c>
      <c r="K6771" s="21">
        <v>44503</v>
      </c>
      <c r="L6771">
        <v>2021</v>
      </c>
      <c r="Q6771" s="262">
        <v>300000</v>
      </c>
      <c r="R6771" s="262">
        <v>48000</v>
      </c>
      <c r="S6771" t="s">
        <v>114</v>
      </c>
      <c r="T6771" t="s">
        <v>114</v>
      </c>
      <c r="W6771">
        <v>510</v>
      </c>
      <c r="X6771">
        <v>0</v>
      </c>
      <c r="AC6771">
        <v>510</v>
      </c>
      <c r="AU6771">
        <f t="shared" si="210"/>
        <v>0</v>
      </c>
      <c r="AV6771">
        <f t="shared" si="211"/>
        <v>0</v>
      </c>
    </row>
    <row r="6772" spans="1:48" x14ac:dyDescent="0.25">
      <c r="A6772" t="s">
        <v>15652</v>
      </c>
      <c r="B6772" t="s">
        <v>15652</v>
      </c>
      <c r="C6772" t="s">
        <v>15653</v>
      </c>
      <c r="D6772" t="s">
        <v>15654</v>
      </c>
      <c r="E6772" t="s">
        <v>2310</v>
      </c>
      <c r="F6772">
        <v>9</v>
      </c>
      <c r="G6772">
        <v>9.1999999999999993</v>
      </c>
      <c r="H6772" t="s">
        <v>2022</v>
      </c>
      <c r="I6772" s="21">
        <v>44314.599022222203</v>
      </c>
      <c r="J6772">
        <v>2021</v>
      </c>
      <c r="K6772" s="21">
        <v>44411</v>
      </c>
      <c r="L6772">
        <v>2021</v>
      </c>
      <c r="Q6772" s="262">
        <v>900000</v>
      </c>
      <c r="R6772" s="262">
        <v>138000</v>
      </c>
      <c r="S6772" t="s">
        <v>114</v>
      </c>
      <c r="T6772" t="s">
        <v>114</v>
      </c>
      <c r="W6772">
        <v>999</v>
      </c>
      <c r="X6772">
        <v>1</v>
      </c>
      <c r="AC6772">
        <v>999</v>
      </c>
      <c r="AO6772">
        <v>1</v>
      </c>
      <c r="AU6772">
        <f t="shared" si="210"/>
        <v>1</v>
      </c>
      <c r="AV6772">
        <f t="shared" si="211"/>
        <v>0</v>
      </c>
    </row>
    <row r="6773" spans="1:48" x14ac:dyDescent="0.25">
      <c r="A6773" t="s">
        <v>15655</v>
      </c>
      <c r="B6773" t="s">
        <v>15655</v>
      </c>
      <c r="C6773" t="s">
        <v>15656</v>
      </c>
      <c r="D6773" t="s">
        <v>15654</v>
      </c>
      <c r="E6773" t="s">
        <v>2310</v>
      </c>
      <c r="F6773">
        <v>9</v>
      </c>
      <c r="G6773">
        <v>9.1999999999999993</v>
      </c>
      <c r="H6773" t="s">
        <v>2022</v>
      </c>
      <c r="I6773" s="21">
        <v>44314.604274849502</v>
      </c>
      <c r="J6773">
        <v>2021</v>
      </c>
      <c r="K6773" s="21">
        <v>44411</v>
      </c>
      <c r="L6773">
        <v>2021</v>
      </c>
      <c r="Q6773" s="262">
        <v>125000</v>
      </c>
      <c r="R6773" s="262">
        <v>14000</v>
      </c>
      <c r="S6773" t="s">
        <v>114</v>
      </c>
      <c r="T6773" t="s">
        <v>114</v>
      </c>
      <c r="W6773">
        <v>525</v>
      </c>
      <c r="X6773">
        <v>0</v>
      </c>
      <c r="AC6773">
        <v>525</v>
      </c>
      <c r="AU6773">
        <f t="shared" si="210"/>
        <v>0</v>
      </c>
      <c r="AV6773">
        <f t="shared" si="211"/>
        <v>0</v>
      </c>
    </row>
    <row r="6774" spans="1:48" x14ac:dyDescent="0.25">
      <c r="A6774" t="s">
        <v>15657</v>
      </c>
      <c r="C6774" t="s">
        <v>11879</v>
      </c>
      <c r="D6774" t="s">
        <v>15658</v>
      </c>
      <c r="E6774" t="s">
        <v>1663</v>
      </c>
      <c r="F6774">
        <v>4</v>
      </c>
      <c r="G6774">
        <v>4.2</v>
      </c>
      <c r="H6774" t="s">
        <v>2327</v>
      </c>
      <c r="I6774" s="21">
        <v>44315</v>
      </c>
      <c r="J6774">
        <v>2021</v>
      </c>
      <c r="K6774" s="21">
        <v>44320</v>
      </c>
      <c r="L6774">
        <v>2021</v>
      </c>
      <c r="M6774" s="21">
        <v>44441</v>
      </c>
      <c r="N6774">
        <v>2021</v>
      </c>
      <c r="Q6774" s="262">
        <v>15000</v>
      </c>
      <c r="S6774" t="s">
        <v>114</v>
      </c>
      <c r="T6774" t="s">
        <v>114</v>
      </c>
      <c r="W6774">
        <v>0</v>
      </c>
      <c r="X6774">
        <v>0</v>
      </c>
      <c r="AU6774">
        <f t="shared" si="210"/>
        <v>0</v>
      </c>
      <c r="AV6774">
        <f t="shared" si="211"/>
        <v>0</v>
      </c>
    </row>
    <row r="6775" spans="1:48" x14ac:dyDescent="0.25">
      <c r="A6775" t="s">
        <v>15659</v>
      </c>
      <c r="B6775" t="s">
        <v>15659</v>
      </c>
      <c r="C6775" t="s">
        <v>15660</v>
      </c>
      <c r="D6775" t="s">
        <v>4886</v>
      </c>
      <c r="E6775" t="s">
        <v>2310</v>
      </c>
      <c r="F6775">
        <v>9</v>
      </c>
      <c r="G6775">
        <v>9.1</v>
      </c>
      <c r="H6775" t="s">
        <v>2323</v>
      </c>
      <c r="I6775" s="21">
        <v>44315.3883395023</v>
      </c>
      <c r="J6775">
        <v>2021</v>
      </c>
      <c r="K6775" s="21">
        <v>44427</v>
      </c>
      <c r="L6775">
        <v>2021</v>
      </c>
      <c r="Q6775" s="262">
        <v>190357</v>
      </c>
      <c r="R6775" s="262">
        <v>72000</v>
      </c>
      <c r="S6775" t="s">
        <v>114</v>
      </c>
      <c r="T6775" t="s">
        <v>114</v>
      </c>
      <c r="W6775">
        <v>1600</v>
      </c>
      <c r="X6775">
        <v>0</v>
      </c>
      <c r="AM6775">
        <v>1600</v>
      </c>
      <c r="AU6775">
        <f t="shared" si="210"/>
        <v>0</v>
      </c>
      <c r="AV6775">
        <f t="shared" si="211"/>
        <v>1600</v>
      </c>
    </row>
    <row r="6776" spans="1:48" x14ac:dyDescent="0.25">
      <c r="A6776" t="s">
        <v>15661</v>
      </c>
      <c r="B6776" t="s">
        <v>15661</v>
      </c>
      <c r="C6776" t="s">
        <v>15662</v>
      </c>
      <c r="D6776" t="s">
        <v>15663</v>
      </c>
      <c r="E6776" t="s">
        <v>2310</v>
      </c>
      <c r="F6776">
        <v>8</v>
      </c>
      <c r="G6776">
        <v>8.3000000000000007</v>
      </c>
      <c r="H6776" t="s">
        <v>2323</v>
      </c>
      <c r="I6776" s="21">
        <v>44315.459480405101</v>
      </c>
      <c r="J6776">
        <v>2021</v>
      </c>
      <c r="K6776" s="21">
        <v>44449</v>
      </c>
      <c r="L6776">
        <v>2021</v>
      </c>
      <c r="Q6776" s="262">
        <v>5000000</v>
      </c>
      <c r="R6776" s="262">
        <v>1140000</v>
      </c>
      <c r="S6776" t="s">
        <v>114</v>
      </c>
      <c r="T6776" t="s">
        <v>114</v>
      </c>
      <c r="W6776">
        <v>8890</v>
      </c>
      <c r="X6776">
        <v>1</v>
      </c>
      <c r="AC6776">
        <v>8890</v>
      </c>
      <c r="AO6776">
        <v>1</v>
      </c>
      <c r="AU6776">
        <f t="shared" si="210"/>
        <v>1</v>
      </c>
      <c r="AV6776">
        <f t="shared" si="211"/>
        <v>0</v>
      </c>
    </row>
    <row r="6777" spans="1:48" x14ac:dyDescent="0.25">
      <c r="A6777" t="s">
        <v>15664</v>
      </c>
      <c r="B6777" t="s">
        <v>15664</v>
      </c>
      <c r="C6777" t="s">
        <v>15665</v>
      </c>
      <c r="D6777" t="s">
        <v>1510</v>
      </c>
      <c r="E6777" t="s">
        <v>2310</v>
      </c>
      <c r="F6777">
        <v>8</v>
      </c>
      <c r="G6777">
        <v>8.3000000000000007</v>
      </c>
      <c r="H6777" t="s">
        <v>2323</v>
      </c>
      <c r="I6777" s="21">
        <v>44315.554699537002</v>
      </c>
      <c r="J6777">
        <v>2021</v>
      </c>
      <c r="K6777" s="21">
        <v>44417</v>
      </c>
      <c r="L6777">
        <v>2021</v>
      </c>
      <c r="Q6777" s="262">
        <v>6000000</v>
      </c>
      <c r="R6777" s="262">
        <v>1128000</v>
      </c>
      <c r="S6777" t="s">
        <v>114</v>
      </c>
      <c r="T6777" t="s">
        <v>114</v>
      </c>
      <c r="W6777">
        <v>7587</v>
      </c>
      <c r="X6777">
        <v>1</v>
      </c>
      <c r="AC6777">
        <v>7587</v>
      </c>
      <c r="AO6777">
        <v>1</v>
      </c>
      <c r="AU6777">
        <f t="shared" si="210"/>
        <v>1</v>
      </c>
      <c r="AV6777">
        <f t="shared" si="211"/>
        <v>0</v>
      </c>
    </row>
    <row r="6778" spans="1:48" x14ac:dyDescent="0.25">
      <c r="A6778" t="s">
        <v>15666</v>
      </c>
      <c r="B6778" t="s">
        <v>15666</v>
      </c>
      <c r="C6778" t="s">
        <v>15667</v>
      </c>
      <c r="D6778" t="s">
        <v>15668</v>
      </c>
      <c r="E6778" t="s">
        <v>2310</v>
      </c>
      <c r="F6778">
        <v>8</v>
      </c>
      <c r="G6778">
        <v>8.1999999999999993</v>
      </c>
      <c r="H6778" t="s">
        <v>2022</v>
      </c>
      <c r="I6778" s="21">
        <v>44316.635262581003</v>
      </c>
      <c r="J6778">
        <v>2021</v>
      </c>
      <c r="K6778" s="21">
        <v>44403</v>
      </c>
      <c r="L6778">
        <v>2021</v>
      </c>
      <c r="Q6778" s="262">
        <v>1915000</v>
      </c>
      <c r="R6778" s="262">
        <v>1784000</v>
      </c>
      <c r="S6778" t="s">
        <v>12464</v>
      </c>
      <c r="T6778">
        <v>5458</v>
      </c>
      <c r="W6778">
        <v>8457</v>
      </c>
      <c r="X6778">
        <v>1</v>
      </c>
      <c r="AC6778">
        <v>8457</v>
      </c>
      <c r="AO6778">
        <v>1</v>
      </c>
      <c r="AU6778">
        <f t="shared" si="210"/>
        <v>1</v>
      </c>
      <c r="AV6778">
        <f t="shared" si="211"/>
        <v>0</v>
      </c>
    </row>
    <row r="6779" spans="1:48" x14ac:dyDescent="0.25">
      <c r="A6779" t="s">
        <v>15669</v>
      </c>
      <c r="B6779" t="s">
        <v>15669</v>
      </c>
      <c r="C6779" t="s">
        <v>15670</v>
      </c>
      <c r="D6779" t="s">
        <v>15671</v>
      </c>
      <c r="E6779" t="s">
        <v>2310</v>
      </c>
      <c r="F6779">
        <v>12</v>
      </c>
      <c r="G6779">
        <v>12.3</v>
      </c>
      <c r="H6779" t="s">
        <v>2017</v>
      </c>
      <c r="I6779" s="21">
        <v>44320.424633333299</v>
      </c>
      <c r="J6779">
        <v>2021</v>
      </c>
      <c r="K6779" s="21">
        <v>44424</v>
      </c>
      <c r="L6779">
        <v>2021</v>
      </c>
      <c r="Q6779" s="262">
        <v>150000</v>
      </c>
      <c r="R6779" s="262">
        <v>32000</v>
      </c>
      <c r="S6779" t="s">
        <v>114</v>
      </c>
      <c r="T6779" t="s">
        <v>114</v>
      </c>
      <c r="W6779">
        <v>262</v>
      </c>
      <c r="X6779">
        <v>0</v>
      </c>
      <c r="AC6779">
        <v>262</v>
      </c>
      <c r="AU6779">
        <f t="shared" si="210"/>
        <v>0</v>
      </c>
      <c r="AV6779">
        <f t="shared" si="211"/>
        <v>0</v>
      </c>
    </row>
    <row r="6780" spans="1:48" x14ac:dyDescent="0.25">
      <c r="A6780" t="s">
        <v>15672</v>
      </c>
      <c r="B6780" t="s">
        <v>15672</v>
      </c>
      <c r="C6780" t="s">
        <v>15673</v>
      </c>
      <c r="D6780" t="s">
        <v>4365</v>
      </c>
      <c r="E6780" t="s">
        <v>2310</v>
      </c>
      <c r="F6780">
        <v>9</v>
      </c>
      <c r="G6780">
        <v>9.1</v>
      </c>
      <c r="H6780" t="s">
        <v>2323</v>
      </c>
      <c r="I6780" s="21">
        <v>44320.482644213</v>
      </c>
      <c r="J6780">
        <v>2021</v>
      </c>
      <c r="K6780" s="21">
        <v>44368</v>
      </c>
      <c r="L6780">
        <v>2021</v>
      </c>
      <c r="M6780" s="21">
        <v>44454</v>
      </c>
      <c r="N6780">
        <v>2021</v>
      </c>
      <c r="Q6780" s="262">
        <v>1000000</v>
      </c>
      <c r="R6780" s="262">
        <v>462000</v>
      </c>
      <c r="S6780" t="s">
        <v>114</v>
      </c>
      <c r="T6780" t="s">
        <v>114</v>
      </c>
      <c r="V6780">
        <v>3761</v>
      </c>
      <c r="W6780">
        <v>0</v>
      </c>
      <c r="X6780">
        <v>0</v>
      </c>
      <c r="AU6780">
        <f t="shared" si="210"/>
        <v>0</v>
      </c>
      <c r="AV6780">
        <f t="shared" si="211"/>
        <v>0</v>
      </c>
    </row>
    <row r="6781" spans="1:48" x14ac:dyDescent="0.25">
      <c r="A6781" t="s">
        <v>15674</v>
      </c>
      <c r="B6781" t="s">
        <v>15674</v>
      </c>
      <c r="C6781" t="s">
        <v>15675</v>
      </c>
      <c r="D6781" t="s">
        <v>15676</v>
      </c>
      <c r="E6781" t="s">
        <v>2310</v>
      </c>
      <c r="F6781">
        <v>14</v>
      </c>
      <c r="G6781">
        <v>14.2</v>
      </c>
      <c r="H6781" t="s">
        <v>2017</v>
      </c>
      <c r="I6781" s="21">
        <v>44320.6101206366</v>
      </c>
      <c r="J6781">
        <v>2021</v>
      </c>
      <c r="K6781" s="21">
        <v>44490</v>
      </c>
      <c r="L6781">
        <v>2021</v>
      </c>
      <c r="Q6781" s="262">
        <v>1700346</v>
      </c>
      <c r="R6781" s="262">
        <v>577000</v>
      </c>
      <c r="S6781" t="s">
        <v>114</v>
      </c>
      <c r="T6781" t="s">
        <v>114</v>
      </c>
      <c r="W6781">
        <v>4806</v>
      </c>
      <c r="X6781">
        <v>1</v>
      </c>
      <c r="AC6781">
        <v>4806</v>
      </c>
      <c r="AO6781">
        <v>1</v>
      </c>
      <c r="AU6781">
        <f t="shared" si="210"/>
        <v>1</v>
      </c>
      <c r="AV6781">
        <f t="shared" si="211"/>
        <v>0</v>
      </c>
    </row>
    <row r="6782" spans="1:48" x14ac:dyDescent="0.25">
      <c r="A6782" t="s">
        <v>15677</v>
      </c>
      <c r="B6782" t="s">
        <v>15678</v>
      </c>
      <c r="C6782" t="s">
        <v>15679</v>
      </c>
      <c r="D6782" t="s">
        <v>2741</v>
      </c>
      <c r="E6782" t="s">
        <v>2310</v>
      </c>
      <c r="F6782">
        <v>8</v>
      </c>
      <c r="G6782">
        <v>8.1</v>
      </c>
      <c r="H6782" t="s">
        <v>2323</v>
      </c>
      <c r="I6782" s="21">
        <v>44320.646060335603</v>
      </c>
      <c r="J6782">
        <v>2021</v>
      </c>
      <c r="K6782" s="21">
        <v>44546</v>
      </c>
      <c r="L6782">
        <v>2021</v>
      </c>
      <c r="Q6782" s="262">
        <v>7000000</v>
      </c>
      <c r="R6782" s="262">
        <v>1249000</v>
      </c>
      <c r="S6782" t="s">
        <v>114</v>
      </c>
      <c r="T6782" t="s">
        <v>114</v>
      </c>
      <c r="W6782">
        <v>-4413</v>
      </c>
      <c r="X6782">
        <v>-1</v>
      </c>
      <c r="AC6782">
        <v>-4413</v>
      </c>
      <c r="AO6782">
        <v>-1</v>
      </c>
      <c r="AU6782">
        <f t="shared" si="210"/>
        <v>-1</v>
      </c>
      <c r="AV6782">
        <f t="shared" si="211"/>
        <v>0</v>
      </c>
    </row>
    <row r="6783" spans="1:48" x14ac:dyDescent="0.25">
      <c r="A6783" t="s">
        <v>15677</v>
      </c>
      <c r="B6783" t="s">
        <v>15677</v>
      </c>
      <c r="C6783" t="s">
        <v>15680</v>
      </c>
      <c r="D6783" t="s">
        <v>2741</v>
      </c>
      <c r="E6783" t="s">
        <v>2310</v>
      </c>
      <c r="F6783">
        <v>8</v>
      </c>
      <c r="G6783">
        <v>8.1</v>
      </c>
      <c r="H6783" t="s">
        <v>2323</v>
      </c>
      <c r="I6783" s="21">
        <v>44320.646060335603</v>
      </c>
      <c r="J6783">
        <v>2021</v>
      </c>
      <c r="K6783" s="21">
        <v>44546</v>
      </c>
      <c r="L6783">
        <v>2021</v>
      </c>
      <c r="Q6783" s="262">
        <v>7000000</v>
      </c>
      <c r="R6783" s="262">
        <v>1249000</v>
      </c>
      <c r="S6783" t="s">
        <v>114</v>
      </c>
      <c r="T6783" t="s">
        <v>114</v>
      </c>
      <c r="W6783">
        <v>9669</v>
      </c>
      <c r="X6783">
        <v>1</v>
      </c>
      <c r="AC6783">
        <v>9669</v>
      </c>
      <c r="AO6783">
        <v>1</v>
      </c>
      <c r="AU6783">
        <f t="shared" si="210"/>
        <v>1</v>
      </c>
      <c r="AV6783">
        <f t="shared" si="211"/>
        <v>0</v>
      </c>
    </row>
    <row r="6784" spans="1:48" x14ac:dyDescent="0.25">
      <c r="A6784" t="s">
        <v>15681</v>
      </c>
      <c r="B6784" t="s">
        <v>15681</v>
      </c>
      <c r="C6784" t="s">
        <v>15682</v>
      </c>
      <c r="D6784" t="s">
        <v>15683</v>
      </c>
      <c r="E6784" t="s">
        <v>2310</v>
      </c>
      <c r="F6784">
        <v>13</v>
      </c>
      <c r="G6784">
        <v>13.3</v>
      </c>
      <c r="H6784" t="s">
        <v>2017</v>
      </c>
      <c r="I6784" s="21">
        <v>44321.603080706001</v>
      </c>
      <c r="J6784">
        <v>2021</v>
      </c>
      <c r="K6784" s="21">
        <v>44417</v>
      </c>
      <c r="L6784">
        <v>2021</v>
      </c>
      <c r="Q6784" s="262">
        <v>1000000</v>
      </c>
      <c r="R6784" s="262">
        <v>227000</v>
      </c>
      <c r="S6784" t="s">
        <v>114</v>
      </c>
      <c r="T6784" t="s">
        <v>114</v>
      </c>
      <c r="V6784">
        <v>2536</v>
      </c>
      <c r="W6784">
        <v>36</v>
      </c>
      <c r="X6784">
        <v>0</v>
      </c>
      <c r="AC6784">
        <v>36</v>
      </c>
      <c r="AU6784">
        <f t="shared" si="210"/>
        <v>0</v>
      </c>
      <c r="AV6784">
        <f t="shared" si="211"/>
        <v>0</v>
      </c>
    </row>
    <row r="6785" spans="1:48" x14ac:dyDescent="0.25">
      <c r="A6785" t="s">
        <v>14827</v>
      </c>
      <c r="C6785" t="s">
        <v>13528</v>
      </c>
      <c r="D6785" t="s">
        <v>14828</v>
      </c>
      <c r="E6785" t="s">
        <v>1663</v>
      </c>
      <c r="F6785">
        <v>5</v>
      </c>
      <c r="G6785">
        <v>5.5</v>
      </c>
      <c r="H6785" t="s">
        <v>2017</v>
      </c>
      <c r="I6785" s="21">
        <v>44322</v>
      </c>
      <c r="J6785">
        <v>2021</v>
      </c>
      <c r="K6785" s="21">
        <v>44348</v>
      </c>
      <c r="L6785">
        <v>2021</v>
      </c>
      <c r="M6785" s="21">
        <v>44672</v>
      </c>
      <c r="N6785">
        <v>2022</v>
      </c>
      <c r="P6785" s="21">
        <v>44727</v>
      </c>
      <c r="Q6785" s="262">
        <v>600000</v>
      </c>
      <c r="S6785" t="s">
        <v>13253</v>
      </c>
      <c r="T6785">
        <v>13542</v>
      </c>
      <c r="W6785">
        <v>925</v>
      </c>
      <c r="X6785">
        <v>0</v>
      </c>
      <c r="AC6785">
        <v>925</v>
      </c>
      <c r="AU6785">
        <f t="shared" si="210"/>
        <v>0</v>
      </c>
      <c r="AV6785">
        <f t="shared" si="211"/>
        <v>0</v>
      </c>
    </row>
    <row r="6786" spans="1:48" x14ac:dyDescent="0.25">
      <c r="A6786" t="s">
        <v>15687</v>
      </c>
      <c r="C6786" t="s">
        <v>15634</v>
      </c>
      <c r="D6786" t="s">
        <v>15688</v>
      </c>
      <c r="E6786" t="s">
        <v>2310</v>
      </c>
      <c r="F6786">
        <v>9</v>
      </c>
      <c r="G6786">
        <v>9.4</v>
      </c>
      <c r="H6786" t="s">
        <v>2323</v>
      </c>
      <c r="I6786" s="21">
        <v>44322.430969212997</v>
      </c>
      <c r="J6786">
        <v>2021</v>
      </c>
      <c r="K6786" s="21">
        <v>44497</v>
      </c>
      <c r="L6786">
        <v>2021</v>
      </c>
      <c r="Q6786" s="262">
        <v>8500000</v>
      </c>
      <c r="R6786" s="262">
        <v>1382000</v>
      </c>
      <c r="S6786" t="s">
        <v>12464</v>
      </c>
      <c r="T6786">
        <v>3152</v>
      </c>
      <c r="W6786">
        <v>-5728</v>
      </c>
      <c r="X6786">
        <v>-1</v>
      </c>
      <c r="AC6786">
        <v>-5728</v>
      </c>
      <c r="AO6786">
        <v>-1</v>
      </c>
      <c r="AU6786">
        <f t="shared" si="210"/>
        <v>-1</v>
      </c>
      <c r="AV6786">
        <f t="shared" si="211"/>
        <v>0</v>
      </c>
    </row>
    <row r="6787" spans="1:48" x14ac:dyDescent="0.25">
      <c r="A6787" t="s">
        <v>15687</v>
      </c>
      <c r="B6787" t="s">
        <v>15687</v>
      </c>
      <c r="C6787" t="s">
        <v>15689</v>
      </c>
      <c r="D6787" t="s">
        <v>15688</v>
      </c>
      <c r="E6787" t="s">
        <v>2310</v>
      </c>
      <c r="F6787">
        <v>9</v>
      </c>
      <c r="G6787">
        <v>9.4</v>
      </c>
      <c r="H6787" t="s">
        <v>2323</v>
      </c>
      <c r="I6787" s="21">
        <v>44322.430969212997</v>
      </c>
      <c r="J6787">
        <v>2021</v>
      </c>
      <c r="K6787" s="21">
        <v>44497</v>
      </c>
      <c r="L6787">
        <v>2021</v>
      </c>
      <c r="Q6787" s="262">
        <v>8500000</v>
      </c>
      <c r="R6787" s="262">
        <v>1382000</v>
      </c>
      <c r="S6787" t="s">
        <v>114</v>
      </c>
      <c r="T6787" t="s">
        <v>114</v>
      </c>
      <c r="W6787">
        <v>9710</v>
      </c>
      <c r="X6787">
        <v>1</v>
      </c>
      <c r="AC6787">
        <v>9710</v>
      </c>
      <c r="AO6787">
        <v>1</v>
      </c>
      <c r="AU6787">
        <f t="shared" si="210"/>
        <v>1</v>
      </c>
      <c r="AV6787">
        <f t="shared" si="211"/>
        <v>0</v>
      </c>
    </row>
    <row r="6788" spans="1:48" x14ac:dyDescent="0.25">
      <c r="A6788" t="s">
        <v>15690</v>
      </c>
      <c r="B6788" t="s">
        <v>15690</v>
      </c>
      <c r="C6788" t="s">
        <v>15691</v>
      </c>
      <c r="D6788" t="s">
        <v>15692</v>
      </c>
      <c r="E6788" t="s">
        <v>2310</v>
      </c>
      <c r="F6788">
        <v>9</v>
      </c>
      <c r="G6788">
        <v>9.4</v>
      </c>
      <c r="H6788" t="s">
        <v>2323</v>
      </c>
      <c r="I6788" s="21">
        <v>44322.549352083297</v>
      </c>
      <c r="J6788">
        <v>2021</v>
      </c>
      <c r="K6788" s="21">
        <v>44496</v>
      </c>
      <c r="L6788">
        <v>2021</v>
      </c>
      <c r="Q6788" s="262">
        <v>6000000</v>
      </c>
      <c r="R6788" s="262">
        <v>1089000</v>
      </c>
      <c r="S6788" t="s">
        <v>114</v>
      </c>
      <c r="T6788" t="s">
        <v>114</v>
      </c>
      <c r="W6788">
        <v>7634</v>
      </c>
      <c r="X6788">
        <v>1</v>
      </c>
      <c r="AC6788">
        <v>7634</v>
      </c>
      <c r="AO6788">
        <v>1</v>
      </c>
      <c r="AU6788">
        <f t="shared" si="210"/>
        <v>1</v>
      </c>
      <c r="AV6788">
        <f t="shared" si="211"/>
        <v>0</v>
      </c>
    </row>
    <row r="6789" spans="1:48" x14ac:dyDescent="0.25">
      <c r="A6789" t="s">
        <v>15693</v>
      </c>
      <c r="B6789" t="s">
        <v>15693</v>
      </c>
      <c r="C6789" t="s">
        <v>15694</v>
      </c>
      <c r="D6789" t="s">
        <v>5707</v>
      </c>
      <c r="E6789" t="s">
        <v>2310</v>
      </c>
      <c r="F6789">
        <v>12</v>
      </c>
      <c r="G6789">
        <v>12.3</v>
      </c>
      <c r="H6789" t="s">
        <v>2017</v>
      </c>
      <c r="I6789" s="21">
        <v>44323.463824537001</v>
      </c>
      <c r="J6789">
        <v>2021</v>
      </c>
      <c r="K6789" s="21">
        <v>44375</v>
      </c>
      <c r="L6789">
        <v>2021</v>
      </c>
      <c r="Q6789" s="262">
        <v>1500000</v>
      </c>
      <c r="R6789" s="262">
        <v>633000</v>
      </c>
      <c r="S6789" t="s">
        <v>114</v>
      </c>
      <c r="T6789" t="s">
        <v>114</v>
      </c>
      <c r="V6789">
        <v>5620</v>
      </c>
      <c r="W6789">
        <v>0</v>
      </c>
      <c r="X6789">
        <v>0</v>
      </c>
      <c r="AU6789">
        <f t="shared" si="210"/>
        <v>0</v>
      </c>
      <c r="AV6789">
        <f t="shared" si="211"/>
        <v>0</v>
      </c>
    </row>
    <row r="6790" spans="1:48" x14ac:dyDescent="0.25">
      <c r="A6790" t="s">
        <v>15695</v>
      </c>
      <c r="B6790" t="s">
        <v>15695</v>
      </c>
      <c r="C6790" t="s">
        <v>15696</v>
      </c>
      <c r="D6790" t="s">
        <v>1832</v>
      </c>
      <c r="E6790" t="s">
        <v>2310</v>
      </c>
      <c r="F6790">
        <v>9</v>
      </c>
      <c r="G6790">
        <v>9.3000000000000007</v>
      </c>
      <c r="H6790" t="s">
        <v>2323</v>
      </c>
      <c r="I6790" s="21">
        <v>44327.575382523202</v>
      </c>
      <c r="J6790">
        <v>2021</v>
      </c>
      <c r="K6790" s="21">
        <v>44405</v>
      </c>
      <c r="L6790">
        <v>2021</v>
      </c>
      <c r="Q6790" s="262">
        <v>1050000</v>
      </c>
      <c r="R6790" s="262">
        <v>175000</v>
      </c>
      <c r="S6790" t="s">
        <v>114</v>
      </c>
      <c r="T6790" t="s">
        <v>114</v>
      </c>
      <c r="V6790">
        <v>1517</v>
      </c>
      <c r="W6790">
        <v>0</v>
      </c>
      <c r="X6790">
        <v>0</v>
      </c>
      <c r="AU6790">
        <f t="shared" si="210"/>
        <v>0</v>
      </c>
      <c r="AV6790">
        <f t="shared" si="211"/>
        <v>0</v>
      </c>
    </row>
    <row r="6791" spans="1:48" x14ac:dyDescent="0.25">
      <c r="A6791" t="s">
        <v>15697</v>
      </c>
      <c r="B6791" t="s">
        <v>15697</v>
      </c>
      <c r="C6791" t="s">
        <v>15698</v>
      </c>
      <c r="D6791" t="s">
        <v>15699</v>
      </c>
      <c r="E6791" t="s">
        <v>2310</v>
      </c>
      <c r="F6791">
        <v>14</v>
      </c>
      <c r="G6791">
        <v>14.1</v>
      </c>
      <c r="H6791" t="s">
        <v>2022</v>
      </c>
      <c r="I6791" s="21">
        <v>44329.416840509301</v>
      </c>
      <c r="J6791">
        <v>2021</v>
      </c>
      <c r="K6791" s="21">
        <v>44484</v>
      </c>
      <c r="L6791">
        <v>2021</v>
      </c>
      <c r="Q6791" s="262">
        <v>300000</v>
      </c>
      <c r="R6791" s="262">
        <v>119000</v>
      </c>
      <c r="S6791" t="s">
        <v>114</v>
      </c>
      <c r="T6791" t="s">
        <v>114</v>
      </c>
      <c r="W6791">
        <v>1000</v>
      </c>
      <c r="X6791">
        <v>1</v>
      </c>
      <c r="AC6791">
        <v>1000</v>
      </c>
      <c r="AO6791">
        <v>1</v>
      </c>
      <c r="AU6791">
        <f t="shared" si="210"/>
        <v>1</v>
      </c>
      <c r="AV6791">
        <f t="shared" si="211"/>
        <v>0</v>
      </c>
    </row>
    <row r="6792" spans="1:48" x14ac:dyDescent="0.25">
      <c r="A6792" t="s">
        <v>15700</v>
      </c>
      <c r="C6792" t="s">
        <v>13717</v>
      </c>
      <c r="D6792" t="s">
        <v>15701</v>
      </c>
      <c r="E6792" t="s">
        <v>1663</v>
      </c>
      <c r="F6792">
        <v>6</v>
      </c>
      <c r="G6792">
        <v>6.1</v>
      </c>
      <c r="H6792" t="s">
        <v>2017</v>
      </c>
      <c r="I6792" s="21">
        <v>44330</v>
      </c>
      <c r="J6792">
        <v>2021</v>
      </c>
      <c r="K6792" s="21">
        <v>44375</v>
      </c>
      <c r="L6792">
        <v>2021</v>
      </c>
      <c r="P6792" s="21">
        <v>44684</v>
      </c>
      <c r="Q6792" s="262">
        <v>2200000</v>
      </c>
      <c r="S6792" t="s">
        <v>114</v>
      </c>
      <c r="T6792" t="s">
        <v>114</v>
      </c>
      <c r="W6792">
        <v>5012</v>
      </c>
      <c r="X6792">
        <v>1</v>
      </c>
      <c r="AC6792">
        <v>5012</v>
      </c>
      <c r="AO6792">
        <v>1</v>
      </c>
      <c r="AU6792">
        <f t="shared" si="210"/>
        <v>1</v>
      </c>
      <c r="AV6792">
        <f t="shared" si="211"/>
        <v>0</v>
      </c>
    </row>
    <row r="6793" spans="1:48" x14ac:dyDescent="0.25">
      <c r="A6793" t="s">
        <v>15702</v>
      </c>
      <c r="C6793" t="s">
        <v>15703</v>
      </c>
      <c r="D6793" t="s">
        <v>15704</v>
      </c>
      <c r="E6793" t="s">
        <v>1663</v>
      </c>
      <c r="F6793">
        <v>6</v>
      </c>
      <c r="G6793">
        <v>6.1</v>
      </c>
      <c r="H6793" t="s">
        <v>2017</v>
      </c>
      <c r="I6793" s="21">
        <v>44330</v>
      </c>
      <c r="J6793">
        <v>2021</v>
      </c>
      <c r="K6793" s="21">
        <v>44355</v>
      </c>
      <c r="L6793">
        <v>2021</v>
      </c>
      <c r="M6793" s="21">
        <v>44508</v>
      </c>
      <c r="N6793">
        <v>2021</v>
      </c>
      <c r="Q6793" s="262">
        <v>50000</v>
      </c>
      <c r="S6793" t="s">
        <v>114</v>
      </c>
      <c r="T6793" t="s">
        <v>114</v>
      </c>
      <c r="W6793">
        <v>0</v>
      </c>
      <c r="X6793">
        <v>0</v>
      </c>
      <c r="AU6793">
        <f t="shared" si="210"/>
        <v>0</v>
      </c>
      <c r="AV6793">
        <f t="shared" si="211"/>
        <v>0</v>
      </c>
    </row>
    <row r="6794" spans="1:48" x14ac:dyDescent="0.25">
      <c r="A6794" t="s">
        <v>15705</v>
      </c>
      <c r="B6794" t="s">
        <v>15705</v>
      </c>
      <c r="C6794" t="s">
        <v>15706</v>
      </c>
      <c r="D6794" t="s">
        <v>15707</v>
      </c>
      <c r="E6794" t="s">
        <v>2310</v>
      </c>
      <c r="F6794">
        <v>8</v>
      </c>
      <c r="G6794">
        <v>8.1999999999999993</v>
      </c>
      <c r="H6794" t="s">
        <v>2022</v>
      </c>
      <c r="I6794" s="21">
        <v>44330.434695601798</v>
      </c>
      <c r="J6794">
        <v>2021</v>
      </c>
      <c r="K6794" s="21">
        <v>44476</v>
      </c>
      <c r="L6794">
        <v>2021</v>
      </c>
      <c r="Q6794" s="262">
        <v>2500000</v>
      </c>
      <c r="R6794" s="262">
        <v>147000</v>
      </c>
      <c r="S6794" t="s">
        <v>114</v>
      </c>
      <c r="T6794" t="s">
        <v>114</v>
      </c>
      <c r="W6794">
        <v>1519</v>
      </c>
      <c r="X6794">
        <v>1</v>
      </c>
      <c r="AC6794">
        <v>520</v>
      </c>
      <c r="AF6794">
        <v>999</v>
      </c>
      <c r="AR6794">
        <v>1</v>
      </c>
      <c r="AU6794">
        <f t="shared" si="210"/>
        <v>0</v>
      </c>
      <c r="AV6794">
        <f t="shared" si="211"/>
        <v>0</v>
      </c>
    </row>
    <row r="6795" spans="1:48" x14ac:dyDescent="0.25">
      <c r="A6795" t="s">
        <v>15708</v>
      </c>
      <c r="B6795" t="s">
        <v>15708</v>
      </c>
      <c r="C6795" t="s">
        <v>15709</v>
      </c>
      <c r="D6795" t="s">
        <v>4407</v>
      </c>
      <c r="E6795" t="s">
        <v>2310</v>
      </c>
      <c r="F6795">
        <v>8</v>
      </c>
      <c r="G6795">
        <v>8.4</v>
      </c>
      <c r="H6795" t="s">
        <v>2017</v>
      </c>
      <c r="I6795" s="21">
        <v>44333.476993518503</v>
      </c>
      <c r="J6795">
        <v>2021</v>
      </c>
      <c r="K6795" s="21">
        <v>44473</v>
      </c>
      <c r="L6795">
        <v>2021</v>
      </c>
      <c r="Q6795" s="262">
        <v>59900</v>
      </c>
      <c r="R6795" s="262">
        <v>99000</v>
      </c>
      <c r="S6795" t="s">
        <v>114</v>
      </c>
      <c r="T6795" t="s">
        <v>114</v>
      </c>
      <c r="W6795">
        <v>794</v>
      </c>
      <c r="X6795">
        <v>0</v>
      </c>
      <c r="AC6795">
        <v>794</v>
      </c>
      <c r="AU6795">
        <f t="shared" si="210"/>
        <v>0</v>
      </c>
      <c r="AV6795">
        <f t="shared" si="211"/>
        <v>0</v>
      </c>
    </row>
    <row r="6796" spans="1:48" x14ac:dyDescent="0.25">
      <c r="A6796" t="s">
        <v>15710</v>
      </c>
      <c r="B6796" t="s">
        <v>15710</v>
      </c>
      <c r="C6796" t="s">
        <v>15711</v>
      </c>
      <c r="D6796" t="s">
        <v>15712</v>
      </c>
      <c r="E6796" t="s">
        <v>2310</v>
      </c>
      <c r="F6796">
        <v>13</v>
      </c>
      <c r="G6796">
        <v>13.2</v>
      </c>
      <c r="H6796" t="s">
        <v>2327</v>
      </c>
      <c r="I6796" s="21">
        <v>44334.460404826401</v>
      </c>
      <c r="J6796">
        <v>2021</v>
      </c>
      <c r="K6796" s="21">
        <v>44469</v>
      </c>
      <c r="L6796">
        <v>2021</v>
      </c>
      <c r="Q6796" s="262">
        <v>2000000</v>
      </c>
      <c r="R6796" s="262">
        <v>1139000</v>
      </c>
      <c r="S6796" t="s">
        <v>114</v>
      </c>
      <c r="T6796" t="s">
        <v>114</v>
      </c>
      <c r="W6796">
        <v>7689</v>
      </c>
      <c r="X6796">
        <v>1</v>
      </c>
      <c r="AC6796">
        <v>7689</v>
      </c>
      <c r="AO6796">
        <v>1</v>
      </c>
      <c r="AU6796">
        <f t="shared" si="210"/>
        <v>1</v>
      </c>
      <c r="AV6796">
        <f t="shared" si="211"/>
        <v>0</v>
      </c>
    </row>
    <row r="6797" spans="1:48" x14ac:dyDescent="0.25">
      <c r="A6797" t="s">
        <v>15713</v>
      </c>
      <c r="B6797" t="s">
        <v>15713</v>
      </c>
      <c r="C6797" t="s">
        <v>15714</v>
      </c>
      <c r="D6797" t="s">
        <v>15715</v>
      </c>
      <c r="E6797" t="s">
        <v>2310</v>
      </c>
      <c r="F6797">
        <v>9</v>
      </c>
      <c r="G6797">
        <v>9.1999999999999993</v>
      </c>
      <c r="H6797" t="s">
        <v>2022</v>
      </c>
      <c r="I6797" s="21">
        <v>44334.489413541698</v>
      </c>
      <c r="J6797">
        <v>2021</v>
      </c>
      <c r="K6797" s="21">
        <v>44508</v>
      </c>
      <c r="L6797">
        <v>2021</v>
      </c>
      <c r="Q6797" s="262">
        <v>2500000</v>
      </c>
      <c r="R6797" s="262">
        <v>530000</v>
      </c>
      <c r="S6797" t="s">
        <v>114</v>
      </c>
      <c r="T6797" t="s">
        <v>114</v>
      </c>
      <c r="W6797">
        <v>4532</v>
      </c>
      <c r="X6797">
        <v>1</v>
      </c>
      <c r="AC6797">
        <v>4532</v>
      </c>
      <c r="AO6797">
        <v>1</v>
      </c>
      <c r="AU6797">
        <f t="shared" si="210"/>
        <v>1</v>
      </c>
      <c r="AV6797">
        <f t="shared" si="211"/>
        <v>0</v>
      </c>
    </row>
    <row r="6798" spans="1:48" x14ac:dyDescent="0.25">
      <c r="A6798" t="s">
        <v>15716</v>
      </c>
      <c r="B6798" t="s">
        <v>15716</v>
      </c>
      <c r="C6798" t="s">
        <v>15717</v>
      </c>
      <c r="D6798" t="s">
        <v>15718</v>
      </c>
      <c r="E6798" t="s">
        <v>2310</v>
      </c>
      <c r="F6798">
        <v>14</v>
      </c>
      <c r="G6798">
        <v>14.2</v>
      </c>
      <c r="H6798" t="s">
        <v>2017</v>
      </c>
      <c r="I6798" s="21">
        <v>44334.593925312503</v>
      </c>
      <c r="J6798">
        <v>2021</v>
      </c>
      <c r="K6798" s="21">
        <v>44504</v>
      </c>
      <c r="L6798">
        <v>2021</v>
      </c>
      <c r="Q6798" s="262">
        <v>3200000</v>
      </c>
      <c r="R6798" s="262">
        <v>576000</v>
      </c>
      <c r="S6798" t="s">
        <v>114</v>
      </c>
      <c r="T6798" t="s">
        <v>114</v>
      </c>
      <c r="W6798">
        <v>4784</v>
      </c>
      <c r="X6798">
        <v>1</v>
      </c>
      <c r="AC6798">
        <v>4784</v>
      </c>
      <c r="AO6798">
        <v>1</v>
      </c>
      <c r="AU6798">
        <f t="shared" si="210"/>
        <v>1</v>
      </c>
      <c r="AV6798">
        <f t="shared" si="211"/>
        <v>0</v>
      </c>
    </row>
    <row r="6799" spans="1:48" x14ac:dyDescent="0.25">
      <c r="A6799" t="s">
        <v>15719</v>
      </c>
      <c r="B6799" t="s">
        <v>15719</v>
      </c>
      <c r="C6799" t="s">
        <v>15720</v>
      </c>
      <c r="D6799" t="s">
        <v>15721</v>
      </c>
      <c r="E6799" t="s">
        <v>2310</v>
      </c>
      <c r="F6799">
        <v>9</v>
      </c>
      <c r="G6799">
        <v>9.1</v>
      </c>
      <c r="H6799" t="s">
        <v>2323</v>
      </c>
      <c r="I6799" s="21">
        <v>44334.688421527797</v>
      </c>
      <c r="J6799">
        <v>2021</v>
      </c>
      <c r="K6799" s="21">
        <v>44425</v>
      </c>
      <c r="L6799">
        <v>2021</v>
      </c>
      <c r="Q6799" s="262">
        <v>600000</v>
      </c>
      <c r="R6799" s="262">
        <v>155000</v>
      </c>
      <c r="S6799" t="s">
        <v>114</v>
      </c>
      <c r="T6799" t="s">
        <v>114</v>
      </c>
      <c r="W6799">
        <v>1200</v>
      </c>
      <c r="X6799">
        <v>0</v>
      </c>
      <c r="AC6799">
        <v>1200</v>
      </c>
      <c r="AU6799">
        <f t="shared" si="210"/>
        <v>0</v>
      </c>
      <c r="AV6799">
        <f t="shared" si="211"/>
        <v>0</v>
      </c>
    </row>
    <row r="6800" spans="1:48" x14ac:dyDescent="0.25">
      <c r="A6800" t="s">
        <v>15722</v>
      </c>
      <c r="C6800" t="s">
        <v>15723</v>
      </c>
      <c r="D6800" t="s">
        <v>15724</v>
      </c>
      <c r="E6800" t="s">
        <v>1663</v>
      </c>
      <c r="F6800">
        <v>5</v>
      </c>
      <c r="G6800">
        <v>5.5</v>
      </c>
      <c r="H6800" t="s">
        <v>2017</v>
      </c>
      <c r="I6800" s="21">
        <v>44335</v>
      </c>
      <c r="J6800">
        <v>2021</v>
      </c>
      <c r="K6800" s="21">
        <v>44386</v>
      </c>
      <c r="L6800">
        <v>2021</v>
      </c>
      <c r="P6800" s="21">
        <v>44732</v>
      </c>
      <c r="Q6800" s="262">
        <v>350000</v>
      </c>
      <c r="S6800" t="s">
        <v>114</v>
      </c>
      <c r="T6800" t="s">
        <v>114</v>
      </c>
      <c r="W6800">
        <v>1536</v>
      </c>
      <c r="X6800">
        <v>1</v>
      </c>
      <c r="AC6800">
        <v>1189</v>
      </c>
      <c r="AF6800">
        <v>347</v>
      </c>
      <c r="AR6800">
        <v>1</v>
      </c>
      <c r="AU6800">
        <f t="shared" si="210"/>
        <v>0</v>
      </c>
      <c r="AV6800">
        <f t="shared" si="211"/>
        <v>0</v>
      </c>
    </row>
    <row r="6801" spans="1:48" x14ac:dyDescent="0.25">
      <c r="A6801" t="s">
        <v>15725</v>
      </c>
      <c r="C6801" t="s">
        <v>12530</v>
      </c>
      <c r="D6801" t="s">
        <v>12339</v>
      </c>
      <c r="E6801" t="s">
        <v>1663</v>
      </c>
      <c r="F6801">
        <v>5</v>
      </c>
      <c r="G6801">
        <v>5.0999999999999996</v>
      </c>
      <c r="H6801" t="s">
        <v>2327</v>
      </c>
      <c r="I6801" s="21">
        <v>44335</v>
      </c>
      <c r="J6801">
        <v>2021</v>
      </c>
      <c r="Q6801" s="262">
        <v>1500000</v>
      </c>
      <c r="S6801" t="s">
        <v>114</v>
      </c>
      <c r="T6801" t="s">
        <v>114</v>
      </c>
      <c r="W6801">
        <v>0</v>
      </c>
      <c r="X6801">
        <v>0</v>
      </c>
      <c r="AU6801">
        <f t="shared" si="210"/>
        <v>0</v>
      </c>
      <c r="AV6801">
        <f t="shared" si="211"/>
        <v>0</v>
      </c>
    </row>
    <row r="6802" spans="1:48" x14ac:dyDescent="0.25">
      <c r="A6802" t="s">
        <v>15726</v>
      </c>
      <c r="C6802" t="s">
        <v>15727</v>
      </c>
      <c r="D6802" t="s">
        <v>15728</v>
      </c>
      <c r="E6802" t="s">
        <v>1663</v>
      </c>
      <c r="F6802">
        <v>3</v>
      </c>
      <c r="G6802">
        <v>3.4</v>
      </c>
      <c r="H6802" t="s">
        <v>2017</v>
      </c>
      <c r="I6802" s="21">
        <v>44335</v>
      </c>
      <c r="J6802">
        <v>2021</v>
      </c>
      <c r="K6802" s="21">
        <v>44342</v>
      </c>
      <c r="L6802">
        <v>2021</v>
      </c>
      <c r="P6802" s="21">
        <v>44522</v>
      </c>
      <c r="Q6802" s="262">
        <v>25000</v>
      </c>
      <c r="S6802" t="s">
        <v>114</v>
      </c>
      <c r="T6802" t="s">
        <v>114</v>
      </c>
      <c r="W6802">
        <v>85</v>
      </c>
      <c r="X6802">
        <v>0</v>
      </c>
      <c r="AC6802">
        <v>85</v>
      </c>
      <c r="AU6802">
        <f t="shared" si="210"/>
        <v>0</v>
      </c>
      <c r="AV6802">
        <f t="shared" si="211"/>
        <v>0</v>
      </c>
    </row>
    <row r="6803" spans="1:48" x14ac:dyDescent="0.25">
      <c r="A6803" t="s">
        <v>15729</v>
      </c>
      <c r="B6803" t="s">
        <v>15729</v>
      </c>
      <c r="C6803" t="s">
        <v>15730</v>
      </c>
      <c r="D6803" t="s">
        <v>3735</v>
      </c>
      <c r="E6803" t="s">
        <v>2310</v>
      </c>
      <c r="F6803">
        <v>10</v>
      </c>
      <c r="G6803">
        <v>10.1</v>
      </c>
      <c r="H6803" t="s">
        <v>2323</v>
      </c>
      <c r="I6803" s="21">
        <v>44335.619104594902</v>
      </c>
      <c r="J6803">
        <v>2021</v>
      </c>
      <c r="K6803" s="21">
        <v>44446</v>
      </c>
      <c r="L6803">
        <v>2021</v>
      </c>
      <c r="Q6803" s="262">
        <v>300000</v>
      </c>
      <c r="R6803" s="262">
        <v>184000</v>
      </c>
      <c r="S6803" t="s">
        <v>114</v>
      </c>
      <c r="T6803" t="s">
        <v>114</v>
      </c>
      <c r="V6803">
        <v>95</v>
      </c>
      <c r="W6803">
        <v>1475</v>
      </c>
      <c r="X6803">
        <v>0</v>
      </c>
      <c r="AC6803">
        <v>1475</v>
      </c>
      <c r="AU6803">
        <f t="shared" si="210"/>
        <v>0</v>
      </c>
      <c r="AV6803">
        <f t="shared" si="211"/>
        <v>0</v>
      </c>
    </row>
    <row r="6804" spans="1:48" x14ac:dyDescent="0.25">
      <c r="A6804" t="s">
        <v>15731</v>
      </c>
      <c r="C6804" t="s">
        <v>11237</v>
      </c>
      <c r="D6804" t="s">
        <v>14601</v>
      </c>
      <c r="E6804" t="s">
        <v>1663</v>
      </c>
      <c r="F6804">
        <v>2</v>
      </c>
      <c r="G6804">
        <v>2.6</v>
      </c>
      <c r="H6804" t="s">
        <v>2327</v>
      </c>
      <c r="I6804" s="21">
        <v>44336</v>
      </c>
      <c r="J6804">
        <v>2021</v>
      </c>
      <c r="K6804" s="21">
        <v>44364</v>
      </c>
      <c r="L6804">
        <v>2021</v>
      </c>
      <c r="M6804" s="21">
        <v>44477</v>
      </c>
      <c r="N6804">
        <v>2021</v>
      </c>
      <c r="Q6804" s="262">
        <v>110000</v>
      </c>
      <c r="S6804" t="s">
        <v>114</v>
      </c>
      <c r="T6804" t="s">
        <v>114</v>
      </c>
      <c r="W6804">
        <v>0</v>
      </c>
      <c r="X6804">
        <v>0</v>
      </c>
      <c r="AU6804">
        <f t="shared" si="210"/>
        <v>0</v>
      </c>
      <c r="AV6804">
        <f t="shared" si="211"/>
        <v>0</v>
      </c>
    </row>
    <row r="6805" spans="1:48" x14ac:dyDescent="0.25">
      <c r="A6805" t="s">
        <v>15732</v>
      </c>
      <c r="B6805" t="s">
        <v>15732</v>
      </c>
      <c r="C6805" t="s">
        <v>15733</v>
      </c>
      <c r="D6805" t="s">
        <v>4365</v>
      </c>
      <c r="E6805" t="s">
        <v>2310</v>
      </c>
      <c r="F6805">
        <v>9</v>
      </c>
      <c r="G6805">
        <v>9.1</v>
      </c>
      <c r="H6805" t="s">
        <v>2323</v>
      </c>
      <c r="I6805" s="21">
        <v>44337.5942532755</v>
      </c>
      <c r="J6805">
        <v>2021</v>
      </c>
      <c r="K6805" s="21">
        <v>44414</v>
      </c>
      <c r="L6805">
        <v>2021</v>
      </c>
      <c r="Q6805" s="262">
        <v>5000000</v>
      </c>
      <c r="R6805" s="262">
        <v>1451000</v>
      </c>
      <c r="S6805" t="s">
        <v>114</v>
      </c>
      <c r="T6805" t="s">
        <v>114</v>
      </c>
      <c r="V6805">
        <v>12494</v>
      </c>
      <c r="W6805">
        <v>0</v>
      </c>
      <c r="X6805">
        <v>0</v>
      </c>
      <c r="AU6805">
        <f t="shared" si="210"/>
        <v>0</v>
      </c>
      <c r="AV6805">
        <f t="shared" si="211"/>
        <v>0</v>
      </c>
    </row>
    <row r="6806" spans="1:48" x14ac:dyDescent="0.25">
      <c r="A6806" t="s">
        <v>15734</v>
      </c>
      <c r="C6806" t="s">
        <v>11237</v>
      </c>
      <c r="D6806" t="s">
        <v>6053</v>
      </c>
      <c r="E6806" t="s">
        <v>1663</v>
      </c>
      <c r="F6806">
        <v>5</v>
      </c>
      <c r="G6806">
        <v>5.5</v>
      </c>
      <c r="H6806" t="s">
        <v>2017</v>
      </c>
      <c r="I6806" s="21">
        <v>44340</v>
      </c>
      <c r="J6806">
        <v>2021</v>
      </c>
      <c r="K6806" s="21">
        <v>44356</v>
      </c>
      <c r="L6806">
        <v>2021</v>
      </c>
      <c r="M6806" s="21">
        <v>44511</v>
      </c>
      <c r="N6806">
        <v>2021</v>
      </c>
      <c r="Q6806" s="262">
        <v>100000</v>
      </c>
      <c r="S6806" t="s">
        <v>114</v>
      </c>
      <c r="T6806" t="s">
        <v>114</v>
      </c>
      <c r="W6806">
        <v>0</v>
      </c>
      <c r="X6806">
        <v>0</v>
      </c>
      <c r="AU6806">
        <f t="shared" si="210"/>
        <v>0</v>
      </c>
      <c r="AV6806">
        <f t="shared" si="211"/>
        <v>0</v>
      </c>
    </row>
    <row r="6807" spans="1:48" x14ac:dyDescent="0.25">
      <c r="A6807" t="s">
        <v>15735</v>
      </c>
      <c r="C6807" t="s">
        <v>11559</v>
      </c>
      <c r="D6807" t="s">
        <v>15736</v>
      </c>
      <c r="E6807" t="s">
        <v>1663</v>
      </c>
      <c r="F6807">
        <v>2</v>
      </c>
      <c r="G6807">
        <v>2.6</v>
      </c>
      <c r="H6807" t="s">
        <v>2327</v>
      </c>
      <c r="I6807" s="21">
        <v>44340</v>
      </c>
      <c r="J6807">
        <v>2021</v>
      </c>
      <c r="K6807" s="21">
        <v>44384</v>
      </c>
      <c r="L6807">
        <v>2021</v>
      </c>
      <c r="P6807" s="21">
        <v>44692</v>
      </c>
      <c r="Q6807" s="262">
        <v>5000000</v>
      </c>
      <c r="S6807" t="s">
        <v>114</v>
      </c>
      <c r="T6807" t="s">
        <v>114</v>
      </c>
      <c r="W6807">
        <v>5502</v>
      </c>
      <c r="X6807">
        <v>1</v>
      </c>
      <c r="AC6807">
        <v>5502</v>
      </c>
      <c r="AO6807">
        <v>1</v>
      </c>
      <c r="AU6807">
        <f t="shared" si="210"/>
        <v>1</v>
      </c>
      <c r="AV6807">
        <f t="shared" si="211"/>
        <v>0</v>
      </c>
    </row>
    <row r="6808" spans="1:48" x14ac:dyDescent="0.25">
      <c r="A6808" t="s">
        <v>15735</v>
      </c>
      <c r="C6808" t="s">
        <v>15737</v>
      </c>
      <c r="D6808" t="s">
        <v>15736</v>
      </c>
      <c r="E6808" t="s">
        <v>1663</v>
      </c>
      <c r="F6808">
        <v>2</v>
      </c>
      <c r="G6808">
        <v>2.6</v>
      </c>
      <c r="H6808" t="s">
        <v>2327</v>
      </c>
      <c r="I6808" s="21">
        <v>44340</v>
      </c>
      <c r="J6808">
        <v>2021</v>
      </c>
      <c r="K6808" s="21">
        <v>44384</v>
      </c>
      <c r="L6808">
        <v>2021</v>
      </c>
      <c r="P6808" s="21">
        <v>44692</v>
      </c>
      <c r="Q6808" s="262">
        <v>5000000</v>
      </c>
      <c r="S6808" t="s">
        <v>114</v>
      </c>
      <c r="T6808" t="s">
        <v>114</v>
      </c>
      <c r="W6808">
        <v>-2347</v>
      </c>
      <c r="X6808">
        <v>-1</v>
      </c>
      <c r="AC6808">
        <v>-2347</v>
      </c>
      <c r="AO6808">
        <v>-1</v>
      </c>
      <c r="AU6808">
        <f t="shared" si="210"/>
        <v>-1</v>
      </c>
      <c r="AV6808">
        <f t="shared" si="211"/>
        <v>0</v>
      </c>
    </row>
    <row r="6809" spans="1:48" x14ac:dyDescent="0.25">
      <c r="A6809" t="s">
        <v>15738</v>
      </c>
      <c r="B6809" t="s">
        <v>15738</v>
      </c>
      <c r="C6809" t="s">
        <v>15739</v>
      </c>
      <c r="D6809" t="s">
        <v>15740</v>
      </c>
      <c r="E6809" t="s">
        <v>2310</v>
      </c>
      <c r="F6809">
        <v>8</v>
      </c>
      <c r="G6809">
        <v>8.1</v>
      </c>
      <c r="H6809" t="s">
        <v>2323</v>
      </c>
      <c r="I6809" s="21">
        <v>44341.477142476899</v>
      </c>
      <c r="J6809">
        <v>2021</v>
      </c>
      <c r="K6809" s="21">
        <v>44452</v>
      </c>
      <c r="L6809">
        <v>2021</v>
      </c>
      <c r="Q6809" s="262">
        <v>2800000</v>
      </c>
      <c r="R6809" s="262">
        <v>363000</v>
      </c>
      <c r="S6809" t="s">
        <v>114</v>
      </c>
      <c r="T6809" t="s">
        <v>114</v>
      </c>
      <c r="W6809">
        <v>3324</v>
      </c>
      <c r="X6809">
        <v>1</v>
      </c>
      <c r="AC6809">
        <v>3324</v>
      </c>
      <c r="AO6809">
        <v>1</v>
      </c>
      <c r="AU6809">
        <f t="shared" ref="AU6809:AU6872" si="212">SUM(AN6809:AQ6809,AS6809)</f>
        <v>1</v>
      </c>
      <c r="AV6809">
        <f t="shared" ref="AV6809:AV6872" si="213">SUM(Y6809:AB6809,AH6809:AM6809)</f>
        <v>0</v>
      </c>
    </row>
    <row r="6810" spans="1:48" x14ac:dyDescent="0.25">
      <c r="A6810" t="s">
        <v>19676</v>
      </c>
      <c r="B6810" t="s">
        <v>19676</v>
      </c>
      <c r="C6810" t="s">
        <v>19677</v>
      </c>
      <c r="D6810" t="s">
        <v>19678</v>
      </c>
      <c r="E6810" t="s">
        <v>2310</v>
      </c>
      <c r="F6810">
        <v>15</v>
      </c>
      <c r="G6810">
        <v>15.2</v>
      </c>
      <c r="H6810" t="s">
        <v>2323</v>
      </c>
      <c r="I6810" s="21">
        <v>44341.590571608802</v>
      </c>
      <c r="J6810">
        <v>2021</v>
      </c>
      <c r="K6810" s="21">
        <v>44405</v>
      </c>
      <c r="L6810">
        <v>2021</v>
      </c>
      <c r="M6810" s="21">
        <v>44918</v>
      </c>
      <c r="N6810">
        <v>2022</v>
      </c>
      <c r="Q6810" s="262">
        <v>650000</v>
      </c>
      <c r="R6810" s="262">
        <v>205000</v>
      </c>
      <c r="S6810" t="s">
        <v>13254</v>
      </c>
      <c r="T6810">
        <v>0</v>
      </c>
      <c r="W6810">
        <v>2440</v>
      </c>
      <c r="X6810">
        <v>1</v>
      </c>
      <c r="AC6810">
        <v>1440</v>
      </c>
      <c r="AF6810">
        <v>1000</v>
      </c>
      <c r="AR6810">
        <v>1</v>
      </c>
      <c r="AU6810">
        <f t="shared" si="212"/>
        <v>0</v>
      </c>
      <c r="AV6810">
        <f t="shared" si="213"/>
        <v>0</v>
      </c>
    </row>
    <row r="6811" spans="1:48" x14ac:dyDescent="0.25">
      <c r="A6811" t="s">
        <v>15743</v>
      </c>
      <c r="B6811" t="s">
        <v>15743</v>
      </c>
      <c r="C6811" t="s">
        <v>15744</v>
      </c>
      <c r="D6811" t="s">
        <v>15745</v>
      </c>
      <c r="E6811" t="s">
        <v>2310</v>
      </c>
      <c r="F6811">
        <v>13</v>
      </c>
      <c r="G6811">
        <v>13.3</v>
      </c>
      <c r="H6811" t="s">
        <v>2017</v>
      </c>
      <c r="I6811" s="21">
        <v>44341.656066354197</v>
      </c>
      <c r="J6811">
        <v>2021</v>
      </c>
      <c r="K6811" s="21">
        <v>44545</v>
      </c>
      <c r="L6811">
        <v>2021</v>
      </c>
      <c r="Q6811" s="262">
        <v>6800000</v>
      </c>
      <c r="R6811" s="262">
        <v>2960000</v>
      </c>
      <c r="S6811" t="s">
        <v>114</v>
      </c>
      <c r="T6811" t="s">
        <v>114</v>
      </c>
      <c r="W6811">
        <v>7371</v>
      </c>
      <c r="X6811">
        <v>1</v>
      </c>
      <c r="AC6811">
        <v>7371</v>
      </c>
      <c r="AO6811">
        <v>1</v>
      </c>
      <c r="AU6811">
        <f t="shared" si="212"/>
        <v>1</v>
      </c>
      <c r="AV6811">
        <f t="shared" si="213"/>
        <v>0</v>
      </c>
    </row>
    <row r="6812" spans="1:48" x14ac:dyDescent="0.25">
      <c r="A6812" t="s">
        <v>14847</v>
      </c>
      <c r="C6812" t="s">
        <v>14848</v>
      </c>
      <c r="D6812" t="s">
        <v>14849</v>
      </c>
      <c r="E6812" t="s">
        <v>1663</v>
      </c>
      <c r="F6812">
        <v>3</v>
      </c>
      <c r="G6812">
        <v>3.2</v>
      </c>
      <c r="H6812" t="s">
        <v>2327</v>
      </c>
      <c r="I6812" s="21">
        <v>44342</v>
      </c>
      <c r="J6812">
        <v>2021</v>
      </c>
      <c r="K6812" s="21">
        <v>44389</v>
      </c>
      <c r="L6812">
        <v>2021</v>
      </c>
      <c r="M6812" s="21">
        <v>44645</v>
      </c>
      <c r="N6812">
        <v>2022</v>
      </c>
      <c r="P6812" s="21">
        <v>44744</v>
      </c>
      <c r="Q6812" s="262">
        <v>8000</v>
      </c>
      <c r="S6812" t="s">
        <v>13253</v>
      </c>
      <c r="T6812">
        <v>9594</v>
      </c>
      <c r="W6812">
        <v>0</v>
      </c>
      <c r="X6812">
        <v>0</v>
      </c>
      <c r="AU6812">
        <f t="shared" si="212"/>
        <v>0</v>
      </c>
      <c r="AV6812">
        <f t="shared" si="213"/>
        <v>0</v>
      </c>
    </row>
    <row r="6813" spans="1:48" x14ac:dyDescent="0.25">
      <c r="A6813" t="s">
        <v>14829</v>
      </c>
      <c r="C6813" t="s">
        <v>14830</v>
      </c>
      <c r="D6813" t="s">
        <v>14831</v>
      </c>
      <c r="E6813" t="s">
        <v>1663</v>
      </c>
      <c r="F6813">
        <v>2</v>
      </c>
      <c r="G6813">
        <v>2.2999999999999998</v>
      </c>
      <c r="H6813" t="s">
        <v>2327</v>
      </c>
      <c r="I6813" s="21">
        <v>44342</v>
      </c>
      <c r="J6813">
        <v>2021</v>
      </c>
      <c r="K6813" s="21">
        <v>44425</v>
      </c>
      <c r="L6813">
        <v>2021</v>
      </c>
      <c r="M6813" s="21">
        <v>44841</v>
      </c>
      <c r="N6813">
        <v>2022</v>
      </c>
      <c r="P6813" s="21">
        <v>44731</v>
      </c>
      <c r="Q6813" s="262">
        <v>1567070</v>
      </c>
      <c r="S6813" t="s">
        <v>13253</v>
      </c>
      <c r="T6813">
        <v>11797</v>
      </c>
      <c r="V6813">
        <v>15880</v>
      </c>
      <c r="W6813">
        <v>0</v>
      </c>
      <c r="X6813">
        <v>0</v>
      </c>
      <c r="AU6813">
        <f t="shared" si="212"/>
        <v>0</v>
      </c>
      <c r="AV6813">
        <f t="shared" si="213"/>
        <v>0</v>
      </c>
    </row>
    <row r="6814" spans="1:48" x14ac:dyDescent="0.25">
      <c r="A6814" t="s">
        <v>14845</v>
      </c>
      <c r="C6814" t="s">
        <v>14846</v>
      </c>
      <c r="D6814" t="s">
        <v>11756</v>
      </c>
      <c r="E6814" t="s">
        <v>1663</v>
      </c>
      <c r="F6814">
        <v>2</v>
      </c>
      <c r="G6814">
        <v>2.2999999999999998</v>
      </c>
      <c r="H6814" t="s">
        <v>2327</v>
      </c>
      <c r="I6814" s="21">
        <v>44342</v>
      </c>
      <c r="J6814">
        <v>2021</v>
      </c>
      <c r="K6814" s="21">
        <v>44425</v>
      </c>
      <c r="L6814">
        <v>2021</v>
      </c>
      <c r="M6814" s="21">
        <v>44785</v>
      </c>
      <c r="N6814">
        <v>2022</v>
      </c>
      <c r="P6814" s="21">
        <v>44641</v>
      </c>
      <c r="Q6814" s="262">
        <v>355000</v>
      </c>
      <c r="S6814" t="s">
        <v>13253</v>
      </c>
      <c r="T6814">
        <v>11702</v>
      </c>
      <c r="V6814">
        <v>5078</v>
      </c>
      <c r="W6814">
        <v>0</v>
      </c>
      <c r="X6814">
        <v>0</v>
      </c>
      <c r="AU6814">
        <f t="shared" si="212"/>
        <v>0</v>
      </c>
      <c r="AV6814">
        <f t="shared" si="213"/>
        <v>0</v>
      </c>
    </row>
    <row r="6815" spans="1:48" x14ac:dyDescent="0.25">
      <c r="A6815" t="s">
        <v>15751</v>
      </c>
      <c r="C6815" t="s">
        <v>15752</v>
      </c>
      <c r="D6815" t="s">
        <v>14019</v>
      </c>
      <c r="E6815" t="s">
        <v>1663</v>
      </c>
      <c r="F6815">
        <v>2</v>
      </c>
      <c r="G6815">
        <v>2.2999999999999998</v>
      </c>
      <c r="H6815" t="s">
        <v>2327</v>
      </c>
      <c r="I6815" s="21">
        <v>44342</v>
      </c>
      <c r="J6815">
        <v>2021</v>
      </c>
      <c r="K6815" s="21">
        <v>44390</v>
      </c>
      <c r="L6815">
        <v>2021</v>
      </c>
      <c r="P6815" s="21">
        <v>44570</v>
      </c>
      <c r="Q6815" s="262">
        <v>93330</v>
      </c>
      <c r="S6815" t="s">
        <v>114</v>
      </c>
      <c r="T6815" t="s">
        <v>114</v>
      </c>
      <c r="V6815">
        <v>21280</v>
      </c>
      <c r="W6815">
        <v>0</v>
      </c>
      <c r="X6815">
        <v>0</v>
      </c>
      <c r="AU6815">
        <f t="shared" si="212"/>
        <v>0</v>
      </c>
      <c r="AV6815">
        <f t="shared" si="213"/>
        <v>0</v>
      </c>
    </row>
    <row r="6816" spans="1:48" x14ac:dyDescent="0.25">
      <c r="A6816" t="s">
        <v>15753</v>
      </c>
      <c r="C6816" t="s">
        <v>11237</v>
      </c>
      <c r="D6816" t="s">
        <v>14792</v>
      </c>
      <c r="E6816" t="s">
        <v>1663</v>
      </c>
      <c r="F6816">
        <v>2</v>
      </c>
      <c r="G6816">
        <v>2.2999999999999998</v>
      </c>
      <c r="H6816" t="s">
        <v>2327</v>
      </c>
      <c r="I6816" s="21">
        <v>44342</v>
      </c>
      <c r="J6816">
        <v>2021</v>
      </c>
      <c r="K6816" s="21">
        <v>44390</v>
      </c>
      <c r="L6816">
        <v>2021</v>
      </c>
      <c r="P6816" s="21">
        <v>44570</v>
      </c>
      <c r="Q6816" s="262">
        <v>174945</v>
      </c>
      <c r="S6816" t="s">
        <v>114</v>
      </c>
      <c r="T6816" t="s">
        <v>114</v>
      </c>
      <c r="V6816">
        <v>7902</v>
      </c>
      <c r="W6816">
        <v>0</v>
      </c>
      <c r="X6816">
        <v>0</v>
      </c>
      <c r="AU6816">
        <f t="shared" si="212"/>
        <v>0</v>
      </c>
      <c r="AV6816">
        <f t="shared" si="213"/>
        <v>0</v>
      </c>
    </row>
    <row r="6817" spans="1:48" x14ac:dyDescent="0.25">
      <c r="A6817" t="s">
        <v>15746</v>
      </c>
      <c r="C6817" t="s">
        <v>15747</v>
      </c>
      <c r="D6817" t="s">
        <v>9065</v>
      </c>
      <c r="E6817" t="s">
        <v>1663</v>
      </c>
      <c r="F6817">
        <v>2</v>
      </c>
      <c r="G6817">
        <v>2.1</v>
      </c>
      <c r="H6817" t="s">
        <v>2327</v>
      </c>
      <c r="I6817" s="21">
        <v>44342</v>
      </c>
      <c r="J6817">
        <v>2021</v>
      </c>
      <c r="K6817" s="21">
        <v>44447</v>
      </c>
      <c r="L6817">
        <v>2021</v>
      </c>
      <c r="P6817" s="21">
        <v>44720</v>
      </c>
      <c r="Q6817" s="262">
        <v>113400</v>
      </c>
      <c r="S6817" t="s">
        <v>114</v>
      </c>
      <c r="T6817" t="s">
        <v>114</v>
      </c>
      <c r="W6817">
        <v>756</v>
      </c>
      <c r="X6817">
        <v>0</v>
      </c>
      <c r="AB6817">
        <v>756</v>
      </c>
      <c r="AU6817">
        <f t="shared" si="212"/>
        <v>0</v>
      </c>
      <c r="AV6817">
        <f t="shared" si="213"/>
        <v>756</v>
      </c>
    </row>
    <row r="6818" spans="1:48" x14ac:dyDescent="0.25">
      <c r="A6818" t="s">
        <v>15759</v>
      </c>
      <c r="C6818" t="s">
        <v>15760</v>
      </c>
      <c r="D6818" t="s">
        <v>15761</v>
      </c>
      <c r="E6818" t="s">
        <v>1663</v>
      </c>
      <c r="F6818">
        <v>5</v>
      </c>
      <c r="G6818">
        <v>5.5</v>
      </c>
      <c r="H6818" t="s">
        <v>2017</v>
      </c>
      <c r="I6818" s="21">
        <v>44343</v>
      </c>
      <c r="J6818">
        <v>2021</v>
      </c>
      <c r="K6818" s="21">
        <v>44386</v>
      </c>
      <c r="L6818">
        <v>2021</v>
      </c>
      <c r="P6818" s="21">
        <v>44732</v>
      </c>
      <c r="Q6818" s="262">
        <v>2244800</v>
      </c>
      <c r="S6818" t="s">
        <v>114</v>
      </c>
      <c r="T6818" t="s">
        <v>114</v>
      </c>
      <c r="W6818">
        <v>3535</v>
      </c>
      <c r="X6818">
        <v>2</v>
      </c>
      <c r="AC6818">
        <v>3113</v>
      </c>
      <c r="AF6818">
        <v>422</v>
      </c>
      <c r="AO6818">
        <v>1</v>
      </c>
      <c r="AR6818">
        <v>1</v>
      </c>
      <c r="AU6818">
        <f t="shared" si="212"/>
        <v>1</v>
      </c>
      <c r="AV6818">
        <f t="shared" si="213"/>
        <v>0</v>
      </c>
    </row>
    <row r="6819" spans="1:48" x14ac:dyDescent="0.25">
      <c r="A6819" t="s">
        <v>15762</v>
      </c>
      <c r="C6819" t="s">
        <v>15763</v>
      </c>
      <c r="D6819" t="s">
        <v>15764</v>
      </c>
      <c r="E6819" t="s">
        <v>1663</v>
      </c>
      <c r="F6819">
        <v>2</v>
      </c>
      <c r="G6819">
        <v>2.2999999999999998</v>
      </c>
      <c r="H6819" t="s">
        <v>2327</v>
      </c>
      <c r="I6819" s="21">
        <v>44343</v>
      </c>
      <c r="J6819">
        <v>2021</v>
      </c>
      <c r="K6819" s="21">
        <v>44365</v>
      </c>
      <c r="L6819">
        <v>2021</v>
      </c>
      <c r="M6819" s="21">
        <v>44474</v>
      </c>
      <c r="N6819">
        <v>2021</v>
      </c>
      <c r="Q6819" s="262">
        <v>900000</v>
      </c>
      <c r="S6819" t="s">
        <v>114</v>
      </c>
      <c r="T6819" t="s">
        <v>114</v>
      </c>
      <c r="W6819">
        <v>0</v>
      </c>
      <c r="X6819">
        <v>0</v>
      </c>
      <c r="AU6819">
        <f t="shared" si="212"/>
        <v>0</v>
      </c>
      <c r="AV6819">
        <f t="shared" si="213"/>
        <v>0</v>
      </c>
    </row>
    <row r="6820" spans="1:48" x14ac:dyDescent="0.25">
      <c r="A6820" t="s">
        <v>15765</v>
      </c>
      <c r="B6820" t="s">
        <v>15765</v>
      </c>
      <c r="C6820" t="s">
        <v>15766</v>
      </c>
      <c r="D6820" t="s">
        <v>15767</v>
      </c>
      <c r="E6820" t="s">
        <v>2310</v>
      </c>
      <c r="F6820">
        <v>10</v>
      </c>
      <c r="G6820">
        <v>10.1</v>
      </c>
      <c r="H6820" t="s">
        <v>2323</v>
      </c>
      <c r="I6820" s="21">
        <v>44343.566331678201</v>
      </c>
      <c r="J6820">
        <v>2021</v>
      </c>
      <c r="K6820" s="21">
        <v>44480</v>
      </c>
      <c r="L6820">
        <v>2021</v>
      </c>
      <c r="Q6820" s="262">
        <v>500000</v>
      </c>
      <c r="R6820" s="262">
        <v>262000</v>
      </c>
      <c r="S6820" t="s">
        <v>114</v>
      </c>
      <c r="T6820" t="s">
        <v>114</v>
      </c>
      <c r="V6820">
        <v>2428</v>
      </c>
      <c r="W6820">
        <v>388</v>
      </c>
      <c r="X6820">
        <v>0</v>
      </c>
      <c r="AC6820">
        <v>388</v>
      </c>
      <c r="AU6820">
        <f t="shared" si="212"/>
        <v>0</v>
      </c>
      <c r="AV6820">
        <f t="shared" si="213"/>
        <v>0</v>
      </c>
    </row>
    <row r="6821" spans="1:48" x14ac:dyDescent="0.25">
      <c r="A6821" t="s">
        <v>15768</v>
      </c>
      <c r="B6821" t="s">
        <v>15768</v>
      </c>
      <c r="C6821" t="s">
        <v>15769</v>
      </c>
      <c r="D6821" t="s">
        <v>15770</v>
      </c>
      <c r="E6821" t="s">
        <v>2310</v>
      </c>
      <c r="F6821">
        <v>8</v>
      </c>
      <c r="G6821">
        <v>8.3000000000000007</v>
      </c>
      <c r="H6821" t="s">
        <v>2323</v>
      </c>
      <c r="I6821" s="21">
        <v>44343.590245289299</v>
      </c>
      <c r="J6821">
        <v>2021</v>
      </c>
      <c r="K6821" s="21">
        <v>44498</v>
      </c>
      <c r="L6821">
        <v>2021</v>
      </c>
      <c r="Q6821" s="262">
        <v>910000</v>
      </c>
      <c r="R6821" s="262">
        <v>541000</v>
      </c>
      <c r="S6821" t="s">
        <v>114</v>
      </c>
      <c r="T6821" t="s">
        <v>114</v>
      </c>
      <c r="W6821">
        <v>4547</v>
      </c>
      <c r="X6821">
        <v>1</v>
      </c>
      <c r="AC6821">
        <v>4547</v>
      </c>
      <c r="AO6821">
        <v>1</v>
      </c>
      <c r="AU6821">
        <f t="shared" si="212"/>
        <v>1</v>
      </c>
      <c r="AV6821">
        <f t="shared" si="213"/>
        <v>0</v>
      </c>
    </row>
    <row r="6822" spans="1:48" x14ac:dyDescent="0.25">
      <c r="A6822" t="s">
        <v>15771</v>
      </c>
      <c r="B6822" t="s">
        <v>15771</v>
      </c>
      <c r="C6822" t="s">
        <v>15772</v>
      </c>
      <c r="D6822" t="s">
        <v>15773</v>
      </c>
      <c r="E6822" t="s">
        <v>2310</v>
      </c>
      <c r="F6822">
        <v>8</v>
      </c>
      <c r="G6822">
        <v>8.3000000000000007</v>
      </c>
      <c r="H6822" t="s">
        <v>2323</v>
      </c>
      <c r="I6822" s="21">
        <v>44343.624095335603</v>
      </c>
      <c r="J6822">
        <v>2021</v>
      </c>
      <c r="K6822" s="21">
        <v>44498</v>
      </c>
      <c r="L6822">
        <v>2021</v>
      </c>
      <c r="Q6822" s="262">
        <v>910000</v>
      </c>
      <c r="R6822" s="262">
        <v>570000</v>
      </c>
      <c r="S6822" t="s">
        <v>114</v>
      </c>
      <c r="T6822" t="s">
        <v>114</v>
      </c>
      <c r="W6822">
        <v>4720</v>
      </c>
      <c r="X6822">
        <v>1</v>
      </c>
      <c r="AC6822">
        <v>4720</v>
      </c>
      <c r="AO6822">
        <v>1</v>
      </c>
      <c r="AU6822">
        <f t="shared" si="212"/>
        <v>1</v>
      </c>
      <c r="AV6822">
        <f t="shared" si="213"/>
        <v>0</v>
      </c>
    </row>
    <row r="6823" spans="1:48" x14ac:dyDescent="0.25">
      <c r="A6823" t="s">
        <v>15774</v>
      </c>
      <c r="B6823" t="s">
        <v>15774</v>
      </c>
      <c r="C6823" t="s">
        <v>15775</v>
      </c>
      <c r="D6823" t="s">
        <v>15776</v>
      </c>
      <c r="E6823" t="s">
        <v>2310</v>
      </c>
      <c r="F6823">
        <v>10</v>
      </c>
      <c r="G6823">
        <v>10.1</v>
      </c>
      <c r="H6823" t="s">
        <v>2323</v>
      </c>
      <c r="I6823" s="21">
        <v>44344.455900925903</v>
      </c>
      <c r="J6823">
        <v>2021</v>
      </c>
      <c r="K6823" s="21">
        <v>44504</v>
      </c>
      <c r="L6823">
        <v>2021</v>
      </c>
      <c r="Q6823" s="262">
        <v>600000</v>
      </c>
      <c r="R6823" s="262">
        <v>373000</v>
      </c>
      <c r="S6823" t="s">
        <v>114</v>
      </c>
      <c r="T6823" t="s">
        <v>114</v>
      </c>
      <c r="W6823">
        <v>3948</v>
      </c>
      <c r="X6823">
        <v>0</v>
      </c>
      <c r="AC6823">
        <v>3948</v>
      </c>
      <c r="AU6823">
        <f t="shared" si="212"/>
        <v>0</v>
      </c>
      <c r="AV6823">
        <f t="shared" si="213"/>
        <v>0</v>
      </c>
    </row>
    <row r="6824" spans="1:48" x14ac:dyDescent="0.25">
      <c r="A6824" t="s">
        <v>15777</v>
      </c>
      <c r="B6824" t="s">
        <v>15777</v>
      </c>
      <c r="C6824" t="s">
        <v>15778</v>
      </c>
      <c r="D6824" t="s">
        <v>15110</v>
      </c>
      <c r="E6824" t="s">
        <v>2310</v>
      </c>
      <c r="F6824">
        <v>9</v>
      </c>
      <c r="G6824">
        <v>9.3000000000000007</v>
      </c>
      <c r="H6824" t="s">
        <v>2323</v>
      </c>
      <c r="I6824" s="21">
        <v>44348.568838576401</v>
      </c>
      <c r="J6824">
        <v>2021</v>
      </c>
      <c r="K6824" s="21">
        <v>44440</v>
      </c>
      <c r="L6824">
        <v>2021</v>
      </c>
      <c r="Q6824" s="262">
        <v>110000</v>
      </c>
      <c r="R6824" s="262">
        <v>70000</v>
      </c>
      <c r="S6824" t="s">
        <v>114</v>
      </c>
      <c r="T6824" t="s">
        <v>114</v>
      </c>
      <c r="W6824">
        <v>588</v>
      </c>
      <c r="X6824">
        <v>1</v>
      </c>
      <c r="AF6824">
        <v>588</v>
      </c>
      <c r="AR6824">
        <v>1</v>
      </c>
      <c r="AU6824">
        <f t="shared" si="212"/>
        <v>0</v>
      </c>
      <c r="AV6824">
        <f t="shared" si="213"/>
        <v>0</v>
      </c>
    </row>
    <row r="6825" spans="1:48" x14ac:dyDescent="0.25">
      <c r="A6825" t="s">
        <v>15779</v>
      </c>
      <c r="B6825" t="s">
        <v>15779</v>
      </c>
      <c r="C6825" t="s">
        <v>15780</v>
      </c>
      <c r="D6825" t="s">
        <v>8595</v>
      </c>
      <c r="E6825" t="s">
        <v>2310</v>
      </c>
      <c r="F6825">
        <v>8</v>
      </c>
      <c r="G6825">
        <v>8.1999999999999993</v>
      </c>
      <c r="H6825" t="s">
        <v>2022</v>
      </c>
      <c r="I6825" s="21">
        <v>44348.595664085602</v>
      </c>
      <c r="J6825">
        <v>2021</v>
      </c>
      <c r="K6825" s="21">
        <v>44467</v>
      </c>
      <c r="L6825">
        <v>2021</v>
      </c>
      <c r="Q6825" s="262">
        <v>6500500</v>
      </c>
      <c r="R6825" s="262">
        <v>899000</v>
      </c>
      <c r="S6825" t="s">
        <v>114</v>
      </c>
      <c r="T6825" t="s">
        <v>114</v>
      </c>
      <c r="W6825">
        <v>7685</v>
      </c>
      <c r="X6825">
        <v>1</v>
      </c>
      <c r="AC6825">
        <v>7685</v>
      </c>
      <c r="AO6825">
        <v>1</v>
      </c>
      <c r="AU6825">
        <f t="shared" si="212"/>
        <v>1</v>
      </c>
      <c r="AV6825">
        <f t="shared" si="213"/>
        <v>0</v>
      </c>
    </row>
    <row r="6826" spans="1:48" x14ac:dyDescent="0.25">
      <c r="A6826" t="s">
        <v>19679</v>
      </c>
      <c r="B6826" t="s">
        <v>19679</v>
      </c>
      <c r="C6826" t="s">
        <v>19680</v>
      </c>
      <c r="D6826" t="s">
        <v>19335</v>
      </c>
      <c r="E6826" t="s">
        <v>2310</v>
      </c>
      <c r="F6826">
        <v>9</v>
      </c>
      <c r="G6826">
        <v>9.3000000000000007</v>
      </c>
      <c r="H6826" t="s">
        <v>2323</v>
      </c>
      <c r="I6826" s="21">
        <v>44350.4885897801</v>
      </c>
      <c r="J6826">
        <v>2021</v>
      </c>
      <c r="K6826" s="21">
        <v>44509</v>
      </c>
      <c r="L6826">
        <v>2021</v>
      </c>
      <c r="M6826" s="21">
        <v>44839</v>
      </c>
      <c r="N6826">
        <v>2022</v>
      </c>
      <c r="Q6826" s="262">
        <v>400000</v>
      </c>
      <c r="R6826" s="262">
        <v>58000</v>
      </c>
      <c r="S6826" t="s">
        <v>13254</v>
      </c>
      <c r="T6826">
        <v>0</v>
      </c>
      <c r="W6826">
        <v>488</v>
      </c>
      <c r="X6826">
        <v>0</v>
      </c>
      <c r="AC6826">
        <v>488</v>
      </c>
      <c r="AU6826">
        <f t="shared" si="212"/>
        <v>0</v>
      </c>
      <c r="AV6826">
        <f t="shared" si="213"/>
        <v>0</v>
      </c>
    </row>
    <row r="6827" spans="1:48" x14ac:dyDescent="0.25">
      <c r="A6827" t="s">
        <v>15783</v>
      </c>
      <c r="B6827" t="s">
        <v>15783</v>
      </c>
      <c r="C6827" t="s">
        <v>15784</v>
      </c>
      <c r="D6827" t="s">
        <v>15785</v>
      </c>
      <c r="E6827" t="s">
        <v>2310</v>
      </c>
      <c r="F6827">
        <v>10</v>
      </c>
      <c r="G6827">
        <v>10.1</v>
      </c>
      <c r="H6827" t="s">
        <v>2323</v>
      </c>
      <c r="I6827" s="21">
        <v>44351.5806492708</v>
      </c>
      <c r="J6827">
        <v>2021</v>
      </c>
      <c r="K6827" s="21">
        <v>44496</v>
      </c>
      <c r="L6827">
        <v>2021</v>
      </c>
      <c r="Q6827" s="262">
        <v>1500000</v>
      </c>
      <c r="R6827" s="262">
        <v>570000</v>
      </c>
      <c r="S6827" t="s">
        <v>114</v>
      </c>
      <c r="T6827" t="s">
        <v>114</v>
      </c>
      <c r="W6827">
        <v>4989</v>
      </c>
      <c r="X6827">
        <v>1</v>
      </c>
      <c r="AC6827">
        <v>4989</v>
      </c>
      <c r="AO6827">
        <v>1</v>
      </c>
      <c r="AU6827">
        <f t="shared" si="212"/>
        <v>1</v>
      </c>
      <c r="AV6827">
        <f t="shared" si="213"/>
        <v>0</v>
      </c>
    </row>
    <row r="6828" spans="1:48" x14ac:dyDescent="0.25">
      <c r="A6828" t="s">
        <v>15786</v>
      </c>
      <c r="B6828" t="s">
        <v>15786</v>
      </c>
      <c r="C6828" t="s">
        <v>15787</v>
      </c>
      <c r="D6828" t="s">
        <v>15788</v>
      </c>
      <c r="E6828" t="s">
        <v>2310</v>
      </c>
      <c r="F6828">
        <v>15</v>
      </c>
      <c r="G6828">
        <v>15.2</v>
      </c>
      <c r="H6828" t="s">
        <v>2323</v>
      </c>
      <c r="I6828" s="21">
        <v>44351.645565544</v>
      </c>
      <c r="J6828">
        <v>2021</v>
      </c>
      <c r="O6828" s="21">
        <v>44545</v>
      </c>
      <c r="Q6828" s="262">
        <v>6000000</v>
      </c>
      <c r="R6828" s="262">
        <v>1577000</v>
      </c>
      <c r="S6828" t="s">
        <v>114</v>
      </c>
      <c r="T6828" t="s">
        <v>114</v>
      </c>
      <c r="W6828">
        <v>11909</v>
      </c>
      <c r="X6828">
        <v>1</v>
      </c>
      <c r="AC6828">
        <v>11909</v>
      </c>
      <c r="AO6828">
        <v>1</v>
      </c>
      <c r="AU6828">
        <f t="shared" si="212"/>
        <v>1</v>
      </c>
      <c r="AV6828">
        <f t="shared" si="213"/>
        <v>0</v>
      </c>
    </row>
    <row r="6829" spans="1:48" x14ac:dyDescent="0.25">
      <c r="A6829" t="s">
        <v>15789</v>
      </c>
      <c r="C6829" t="s">
        <v>11237</v>
      </c>
      <c r="D6829" t="s">
        <v>11233</v>
      </c>
      <c r="E6829" t="s">
        <v>1663</v>
      </c>
      <c r="F6829">
        <v>5</v>
      </c>
      <c r="G6829">
        <v>5.2</v>
      </c>
      <c r="H6829" t="s">
        <v>2327</v>
      </c>
      <c r="I6829" s="21">
        <v>44354</v>
      </c>
      <c r="J6829">
        <v>2021</v>
      </c>
      <c r="K6829" s="21">
        <v>44375</v>
      </c>
      <c r="L6829">
        <v>2021</v>
      </c>
      <c r="M6829" s="21">
        <v>44418</v>
      </c>
      <c r="N6829">
        <v>2021</v>
      </c>
      <c r="Q6829" s="262">
        <v>125000</v>
      </c>
      <c r="S6829" t="s">
        <v>114</v>
      </c>
      <c r="T6829" t="s">
        <v>114</v>
      </c>
      <c r="W6829">
        <v>0</v>
      </c>
      <c r="X6829">
        <v>0</v>
      </c>
      <c r="AU6829">
        <f t="shared" si="212"/>
        <v>0</v>
      </c>
      <c r="AV6829">
        <f t="shared" si="213"/>
        <v>0</v>
      </c>
    </row>
    <row r="6830" spans="1:48" x14ac:dyDescent="0.25">
      <c r="A6830" t="s">
        <v>15790</v>
      </c>
      <c r="B6830" t="s">
        <v>15790</v>
      </c>
      <c r="C6830" t="s">
        <v>15791</v>
      </c>
      <c r="D6830" t="s">
        <v>15792</v>
      </c>
      <c r="E6830" t="s">
        <v>2310</v>
      </c>
      <c r="F6830">
        <v>9</v>
      </c>
      <c r="G6830">
        <v>9.3000000000000007</v>
      </c>
      <c r="H6830" t="s">
        <v>2323</v>
      </c>
      <c r="I6830" s="21">
        <v>44354.563361655099</v>
      </c>
      <c r="J6830">
        <v>2021</v>
      </c>
      <c r="O6830" s="21">
        <v>44414</v>
      </c>
      <c r="Q6830" s="262">
        <v>273350</v>
      </c>
      <c r="R6830" s="262">
        <v>148000</v>
      </c>
      <c r="S6830" t="s">
        <v>114</v>
      </c>
      <c r="T6830" t="s">
        <v>114</v>
      </c>
      <c r="W6830">
        <v>1610</v>
      </c>
      <c r="X6830">
        <v>1</v>
      </c>
      <c r="AC6830">
        <v>616</v>
      </c>
      <c r="AF6830">
        <v>994</v>
      </c>
      <c r="AR6830">
        <v>1</v>
      </c>
      <c r="AU6830">
        <f t="shared" si="212"/>
        <v>0</v>
      </c>
      <c r="AV6830">
        <f t="shared" si="213"/>
        <v>0</v>
      </c>
    </row>
    <row r="6831" spans="1:48" x14ac:dyDescent="0.25">
      <c r="A6831" t="s">
        <v>15795</v>
      </c>
      <c r="C6831" t="s">
        <v>15796</v>
      </c>
      <c r="D6831" t="s">
        <v>7639</v>
      </c>
      <c r="E6831" t="s">
        <v>1663</v>
      </c>
      <c r="F6831">
        <v>5</v>
      </c>
      <c r="G6831">
        <v>5.0999999999999996</v>
      </c>
      <c r="H6831" t="s">
        <v>2327</v>
      </c>
      <c r="I6831" s="21">
        <v>44355</v>
      </c>
      <c r="J6831">
        <v>2021</v>
      </c>
      <c r="K6831" s="21">
        <v>44385</v>
      </c>
      <c r="L6831">
        <v>2021</v>
      </c>
      <c r="P6831" s="21">
        <v>44565</v>
      </c>
      <c r="Q6831" s="262">
        <v>5000</v>
      </c>
      <c r="S6831" t="s">
        <v>114</v>
      </c>
      <c r="T6831" t="s">
        <v>114</v>
      </c>
      <c r="W6831">
        <v>0</v>
      </c>
      <c r="X6831">
        <v>0</v>
      </c>
      <c r="AU6831">
        <f t="shared" si="212"/>
        <v>0</v>
      </c>
      <c r="AV6831">
        <f t="shared" si="213"/>
        <v>0</v>
      </c>
    </row>
    <row r="6832" spans="1:48" x14ac:dyDescent="0.25">
      <c r="A6832" t="s">
        <v>15793</v>
      </c>
      <c r="C6832" t="s">
        <v>9529</v>
      </c>
      <c r="D6832" t="s">
        <v>15248</v>
      </c>
      <c r="E6832" t="s">
        <v>1663</v>
      </c>
      <c r="F6832">
        <v>3</v>
      </c>
      <c r="G6832">
        <v>3.2</v>
      </c>
      <c r="H6832" t="s">
        <v>2327</v>
      </c>
      <c r="I6832" s="21">
        <v>44355</v>
      </c>
      <c r="J6832">
        <v>2021</v>
      </c>
      <c r="K6832" s="21">
        <v>44491</v>
      </c>
      <c r="L6832">
        <v>2021</v>
      </c>
      <c r="P6832" s="21">
        <v>44720</v>
      </c>
      <c r="Q6832" s="262">
        <v>750000</v>
      </c>
      <c r="S6832" t="s">
        <v>114</v>
      </c>
      <c r="T6832" t="s">
        <v>114</v>
      </c>
      <c r="V6832">
        <v>3140</v>
      </c>
      <c r="W6832">
        <v>-3140</v>
      </c>
      <c r="X6832">
        <v>0</v>
      </c>
      <c r="AJ6832">
        <v>-3140</v>
      </c>
      <c r="AU6832">
        <f t="shared" si="212"/>
        <v>0</v>
      </c>
      <c r="AV6832">
        <f t="shared" si="213"/>
        <v>-3140</v>
      </c>
    </row>
    <row r="6833" spans="1:48" x14ac:dyDescent="0.25">
      <c r="A6833" t="s">
        <v>15793</v>
      </c>
      <c r="C6833" t="s">
        <v>15794</v>
      </c>
      <c r="D6833" t="s">
        <v>15248</v>
      </c>
      <c r="E6833" t="s">
        <v>1663</v>
      </c>
      <c r="F6833">
        <v>3</v>
      </c>
      <c r="G6833">
        <v>3.2</v>
      </c>
      <c r="H6833" t="s">
        <v>2327</v>
      </c>
      <c r="I6833" s="21">
        <v>44355</v>
      </c>
      <c r="J6833">
        <v>2021</v>
      </c>
      <c r="K6833" s="21">
        <v>44491</v>
      </c>
      <c r="L6833">
        <v>2021</v>
      </c>
      <c r="P6833" s="21">
        <v>44720</v>
      </c>
      <c r="Q6833" s="262">
        <v>750000</v>
      </c>
      <c r="S6833" t="s">
        <v>114</v>
      </c>
      <c r="T6833" t="s">
        <v>114</v>
      </c>
      <c r="W6833">
        <v>3291</v>
      </c>
      <c r="X6833">
        <v>0</v>
      </c>
      <c r="AJ6833">
        <v>3291</v>
      </c>
      <c r="AU6833">
        <f t="shared" si="212"/>
        <v>0</v>
      </c>
      <c r="AV6833">
        <f t="shared" si="213"/>
        <v>3291</v>
      </c>
    </row>
    <row r="6834" spans="1:48" x14ac:dyDescent="0.25">
      <c r="A6834" t="s">
        <v>15797</v>
      </c>
      <c r="C6834" t="s">
        <v>15798</v>
      </c>
      <c r="D6834" t="s">
        <v>2750</v>
      </c>
      <c r="E6834" t="s">
        <v>2310</v>
      </c>
      <c r="F6834">
        <v>9</v>
      </c>
      <c r="G6834">
        <v>9.1999999999999993</v>
      </c>
      <c r="H6834" t="s">
        <v>2022</v>
      </c>
      <c r="I6834" s="21">
        <v>44355.5773517708</v>
      </c>
      <c r="J6834">
        <v>2021</v>
      </c>
      <c r="K6834" s="21">
        <v>44424</v>
      </c>
      <c r="L6834">
        <v>2021</v>
      </c>
      <c r="Q6834" s="262">
        <v>3200000</v>
      </c>
      <c r="R6834" s="262">
        <v>406000</v>
      </c>
      <c r="S6834" t="s">
        <v>114</v>
      </c>
      <c r="T6834" t="s">
        <v>114</v>
      </c>
      <c r="V6834">
        <v>960</v>
      </c>
      <c r="W6834">
        <v>0</v>
      </c>
      <c r="X6834">
        <v>0</v>
      </c>
      <c r="AC6834">
        <v>-960</v>
      </c>
      <c r="AF6834">
        <v>960</v>
      </c>
      <c r="AO6834">
        <v>-1</v>
      </c>
      <c r="AR6834">
        <v>1</v>
      </c>
      <c r="AU6834">
        <f t="shared" si="212"/>
        <v>-1</v>
      </c>
      <c r="AV6834">
        <f t="shared" si="213"/>
        <v>0</v>
      </c>
    </row>
    <row r="6835" spans="1:48" x14ac:dyDescent="0.25">
      <c r="A6835" t="s">
        <v>15797</v>
      </c>
      <c r="B6835" t="s">
        <v>15797</v>
      </c>
      <c r="C6835" t="s">
        <v>15799</v>
      </c>
      <c r="D6835" t="s">
        <v>2750</v>
      </c>
      <c r="E6835" t="s">
        <v>2310</v>
      </c>
      <c r="F6835">
        <v>9</v>
      </c>
      <c r="G6835">
        <v>9.1999999999999993</v>
      </c>
      <c r="H6835" t="s">
        <v>2022</v>
      </c>
      <c r="I6835" s="21">
        <v>44355.5773517708</v>
      </c>
      <c r="J6835">
        <v>2021</v>
      </c>
      <c r="K6835" s="21">
        <v>44424</v>
      </c>
      <c r="L6835">
        <v>2021</v>
      </c>
      <c r="Q6835" s="262">
        <v>3200000</v>
      </c>
      <c r="R6835" s="262">
        <v>406000</v>
      </c>
      <c r="S6835" t="s">
        <v>114</v>
      </c>
      <c r="T6835" t="s">
        <v>114</v>
      </c>
      <c r="W6835">
        <v>3853</v>
      </c>
      <c r="X6835">
        <v>1</v>
      </c>
      <c r="AC6835">
        <v>3853</v>
      </c>
      <c r="AO6835">
        <v>1</v>
      </c>
      <c r="AU6835">
        <f t="shared" si="212"/>
        <v>1</v>
      </c>
      <c r="AV6835">
        <f t="shared" si="213"/>
        <v>0</v>
      </c>
    </row>
    <row r="6836" spans="1:48" x14ac:dyDescent="0.25">
      <c r="A6836" t="s">
        <v>15800</v>
      </c>
      <c r="B6836" t="s">
        <v>15800</v>
      </c>
      <c r="C6836" t="s">
        <v>15801</v>
      </c>
      <c r="D6836" t="s">
        <v>15802</v>
      </c>
      <c r="E6836" t="s">
        <v>2310</v>
      </c>
      <c r="F6836">
        <v>8</v>
      </c>
      <c r="G6836">
        <v>8.3000000000000007</v>
      </c>
      <c r="H6836" t="s">
        <v>2323</v>
      </c>
      <c r="I6836" s="21">
        <v>44355.639078205997</v>
      </c>
      <c r="J6836">
        <v>2021</v>
      </c>
      <c r="O6836" s="21">
        <v>44392</v>
      </c>
      <c r="Q6836" s="262">
        <v>800000</v>
      </c>
      <c r="R6836" s="262">
        <v>138000</v>
      </c>
      <c r="S6836" t="s">
        <v>114</v>
      </c>
      <c r="T6836" t="s">
        <v>114</v>
      </c>
      <c r="W6836">
        <v>1396</v>
      </c>
      <c r="X6836">
        <v>1</v>
      </c>
      <c r="AC6836">
        <v>1396</v>
      </c>
      <c r="AO6836">
        <v>1</v>
      </c>
      <c r="AU6836">
        <f t="shared" si="212"/>
        <v>1</v>
      </c>
      <c r="AV6836">
        <f t="shared" si="213"/>
        <v>0</v>
      </c>
    </row>
    <row r="6837" spans="1:48" x14ac:dyDescent="0.25">
      <c r="A6837" t="s">
        <v>15803</v>
      </c>
      <c r="B6837" t="s">
        <v>15803</v>
      </c>
      <c r="C6837" t="s">
        <v>15804</v>
      </c>
      <c r="D6837" t="s">
        <v>15116</v>
      </c>
      <c r="E6837" t="s">
        <v>2310</v>
      </c>
      <c r="F6837">
        <v>9</v>
      </c>
      <c r="G6837">
        <v>9.1999999999999993</v>
      </c>
      <c r="H6837" t="s">
        <v>2022</v>
      </c>
      <c r="I6837" s="21">
        <v>44355.663207905098</v>
      </c>
      <c r="J6837">
        <v>2021</v>
      </c>
      <c r="K6837" s="21">
        <v>44405</v>
      </c>
      <c r="L6837">
        <v>2021</v>
      </c>
      <c r="Q6837" s="262">
        <v>1000000</v>
      </c>
      <c r="R6837" s="262">
        <v>128000</v>
      </c>
      <c r="S6837" t="s">
        <v>114</v>
      </c>
      <c r="T6837" t="s">
        <v>114</v>
      </c>
      <c r="W6837">
        <v>997</v>
      </c>
      <c r="X6837">
        <v>1</v>
      </c>
      <c r="AF6837">
        <v>997</v>
      </c>
      <c r="AR6837">
        <v>1</v>
      </c>
      <c r="AU6837">
        <f t="shared" si="212"/>
        <v>0</v>
      </c>
      <c r="AV6837">
        <f t="shared" si="213"/>
        <v>0</v>
      </c>
    </row>
    <row r="6838" spans="1:48" x14ac:dyDescent="0.25">
      <c r="A6838" t="s">
        <v>15805</v>
      </c>
      <c r="B6838" t="s">
        <v>15805</v>
      </c>
      <c r="C6838" t="s">
        <v>15806</v>
      </c>
      <c r="D6838" t="s">
        <v>15807</v>
      </c>
      <c r="E6838" t="s">
        <v>2310</v>
      </c>
      <c r="F6838">
        <v>13</v>
      </c>
      <c r="G6838">
        <v>13.3</v>
      </c>
      <c r="H6838" t="s">
        <v>2017</v>
      </c>
      <c r="I6838" s="21">
        <v>44357.4055401273</v>
      </c>
      <c r="J6838">
        <v>2021</v>
      </c>
      <c r="K6838" s="21">
        <v>44483</v>
      </c>
      <c r="L6838">
        <v>2021</v>
      </c>
      <c r="Q6838" s="262">
        <v>1500000</v>
      </c>
      <c r="R6838" s="262">
        <v>353000</v>
      </c>
      <c r="S6838" t="s">
        <v>114</v>
      </c>
      <c r="T6838" t="s">
        <v>114</v>
      </c>
      <c r="W6838">
        <v>3254</v>
      </c>
      <c r="X6838">
        <v>1</v>
      </c>
      <c r="AC6838">
        <v>3254</v>
      </c>
      <c r="AO6838">
        <v>1</v>
      </c>
      <c r="AU6838">
        <f t="shared" si="212"/>
        <v>1</v>
      </c>
      <c r="AV6838">
        <f t="shared" si="213"/>
        <v>0</v>
      </c>
    </row>
    <row r="6839" spans="1:48" x14ac:dyDescent="0.25">
      <c r="A6839" t="s">
        <v>15808</v>
      </c>
      <c r="B6839" t="s">
        <v>15808</v>
      </c>
      <c r="C6839" t="s">
        <v>15809</v>
      </c>
      <c r="D6839" t="s">
        <v>4340</v>
      </c>
      <c r="E6839" t="s">
        <v>2310</v>
      </c>
      <c r="F6839">
        <v>8</v>
      </c>
      <c r="G6839">
        <v>8.1</v>
      </c>
      <c r="H6839" t="s">
        <v>2323</v>
      </c>
      <c r="I6839" s="21">
        <v>44357.452472766199</v>
      </c>
      <c r="J6839">
        <v>2021</v>
      </c>
      <c r="K6839" s="21">
        <v>44425</v>
      </c>
      <c r="L6839">
        <v>2021</v>
      </c>
      <c r="Q6839" s="262">
        <v>860000</v>
      </c>
      <c r="R6839" s="262">
        <v>163000</v>
      </c>
      <c r="S6839" t="s">
        <v>114</v>
      </c>
      <c r="T6839" t="s">
        <v>114</v>
      </c>
      <c r="V6839">
        <v>390</v>
      </c>
      <c r="W6839">
        <v>1080</v>
      </c>
      <c r="X6839">
        <v>0</v>
      </c>
      <c r="AC6839">
        <v>1080</v>
      </c>
      <c r="AU6839">
        <f t="shared" si="212"/>
        <v>0</v>
      </c>
      <c r="AV6839">
        <f t="shared" si="213"/>
        <v>0</v>
      </c>
    </row>
    <row r="6840" spans="1:48" x14ac:dyDescent="0.25">
      <c r="A6840" t="s">
        <v>15810</v>
      </c>
      <c r="B6840" t="s">
        <v>15810</v>
      </c>
      <c r="C6840" t="s">
        <v>15811</v>
      </c>
      <c r="D6840" t="s">
        <v>1553</v>
      </c>
      <c r="E6840" t="s">
        <v>2310</v>
      </c>
      <c r="F6840">
        <v>9</v>
      </c>
      <c r="G6840">
        <v>9.1999999999999993</v>
      </c>
      <c r="H6840" t="s">
        <v>2022</v>
      </c>
      <c r="I6840" s="21">
        <v>44358.600527199102</v>
      </c>
      <c r="J6840">
        <v>2021</v>
      </c>
      <c r="K6840" s="21">
        <v>44552</v>
      </c>
      <c r="L6840">
        <v>2021</v>
      </c>
      <c r="Q6840" s="262">
        <v>7000000</v>
      </c>
      <c r="R6840" s="262">
        <v>2365000</v>
      </c>
      <c r="S6840" t="s">
        <v>114</v>
      </c>
      <c r="T6840" t="s">
        <v>114</v>
      </c>
      <c r="W6840">
        <v>14210</v>
      </c>
      <c r="X6840">
        <v>1</v>
      </c>
      <c r="AC6840">
        <v>14210</v>
      </c>
      <c r="AO6840">
        <v>1</v>
      </c>
      <c r="AU6840">
        <f t="shared" si="212"/>
        <v>1</v>
      </c>
      <c r="AV6840">
        <f t="shared" si="213"/>
        <v>0</v>
      </c>
    </row>
    <row r="6841" spans="1:48" x14ac:dyDescent="0.25">
      <c r="A6841" t="s">
        <v>15812</v>
      </c>
      <c r="B6841" t="s">
        <v>15812</v>
      </c>
      <c r="C6841" t="s">
        <v>15813</v>
      </c>
      <c r="D6841" t="s">
        <v>15814</v>
      </c>
      <c r="E6841" t="s">
        <v>2310</v>
      </c>
      <c r="F6841">
        <v>10</v>
      </c>
      <c r="G6841">
        <v>10.1</v>
      </c>
      <c r="H6841" t="s">
        <v>2323</v>
      </c>
      <c r="I6841" s="21">
        <v>44362.447581909699</v>
      </c>
      <c r="J6841">
        <v>2021</v>
      </c>
      <c r="K6841" s="21">
        <v>44508</v>
      </c>
      <c r="L6841">
        <v>2021</v>
      </c>
      <c r="Q6841" s="262">
        <v>620000</v>
      </c>
      <c r="R6841" s="262">
        <v>256000</v>
      </c>
      <c r="S6841" t="s">
        <v>114</v>
      </c>
      <c r="T6841" t="s">
        <v>114</v>
      </c>
      <c r="V6841">
        <v>1209</v>
      </c>
      <c r="W6841">
        <v>1479</v>
      </c>
      <c r="X6841">
        <v>0</v>
      </c>
      <c r="AC6841">
        <v>1479</v>
      </c>
      <c r="AU6841">
        <f t="shared" si="212"/>
        <v>0</v>
      </c>
      <c r="AV6841">
        <f t="shared" si="213"/>
        <v>0</v>
      </c>
    </row>
    <row r="6842" spans="1:48" x14ac:dyDescent="0.25">
      <c r="A6842" t="s">
        <v>15815</v>
      </c>
      <c r="B6842" t="s">
        <v>15815</v>
      </c>
      <c r="C6842" t="s">
        <v>15816</v>
      </c>
      <c r="D6842" t="s">
        <v>15817</v>
      </c>
      <c r="E6842" t="s">
        <v>2310</v>
      </c>
      <c r="F6842">
        <v>9</v>
      </c>
      <c r="G6842">
        <v>9.1999999999999993</v>
      </c>
      <c r="H6842" t="s">
        <v>2022</v>
      </c>
      <c r="I6842" s="21">
        <v>44362.598547372698</v>
      </c>
      <c r="J6842">
        <v>2021</v>
      </c>
      <c r="K6842" s="21">
        <v>44475</v>
      </c>
      <c r="L6842">
        <v>2021</v>
      </c>
      <c r="Q6842" s="262">
        <v>19000000</v>
      </c>
      <c r="R6842" s="262">
        <v>1468000</v>
      </c>
      <c r="S6842" t="s">
        <v>114</v>
      </c>
      <c r="T6842" t="s">
        <v>114</v>
      </c>
      <c r="W6842">
        <v>9358</v>
      </c>
      <c r="X6842">
        <v>1</v>
      </c>
      <c r="AC6842">
        <v>9358</v>
      </c>
      <c r="AO6842">
        <v>1</v>
      </c>
      <c r="AU6842">
        <f t="shared" si="212"/>
        <v>1</v>
      </c>
      <c r="AV6842">
        <f t="shared" si="213"/>
        <v>0</v>
      </c>
    </row>
    <row r="6843" spans="1:48" x14ac:dyDescent="0.25">
      <c r="A6843" t="s">
        <v>15818</v>
      </c>
      <c r="B6843" t="s">
        <v>15818</v>
      </c>
      <c r="C6843" t="s">
        <v>15819</v>
      </c>
      <c r="D6843" t="s">
        <v>15817</v>
      </c>
      <c r="E6843" t="s">
        <v>2310</v>
      </c>
      <c r="F6843">
        <v>9</v>
      </c>
      <c r="G6843">
        <v>9.1999999999999993</v>
      </c>
      <c r="H6843" t="s">
        <v>2022</v>
      </c>
      <c r="I6843" s="21">
        <v>44362.6030378125</v>
      </c>
      <c r="J6843">
        <v>2021</v>
      </c>
      <c r="K6843" s="21">
        <v>44475</v>
      </c>
      <c r="L6843">
        <v>2021</v>
      </c>
      <c r="Q6843" s="262">
        <v>1000000</v>
      </c>
      <c r="R6843" s="262">
        <v>58000</v>
      </c>
      <c r="S6843" t="s">
        <v>114</v>
      </c>
      <c r="T6843" t="s">
        <v>114</v>
      </c>
      <c r="W6843">
        <v>1206</v>
      </c>
      <c r="X6843">
        <v>0</v>
      </c>
      <c r="AC6843">
        <v>1206</v>
      </c>
      <c r="AU6843">
        <f t="shared" si="212"/>
        <v>0</v>
      </c>
      <c r="AV6843">
        <f t="shared" si="213"/>
        <v>0</v>
      </c>
    </row>
    <row r="6844" spans="1:48" x14ac:dyDescent="0.25">
      <c r="A6844" t="s">
        <v>20093</v>
      </c>
      <c r="B6844" t="s">
        <v>20093</v>
      </c>
      <c r="C6844" t="s">
        <v>20094</v>
      </c>
      <c r="D6844" t="s">
        <v>20095</v>
      </c>
      <c r="E6844" t="s">
        <v>2310</v>
      </c>
      <c r="F6844">
        <v>8</v>
      </c>
      <c r="G6844">
        <v>8.1</v>
      </c>
      <c r="H6844" t="s">
        <v>2323</v>
      </c>
      <c r="I6844" s="21">
        <v>44363.660941284703</v>
      </c>
      <c r="J6844">
        <v>2021</v>
      </c>
      <c r="K6844" s="21">
        <v>44488</v>
      </c>
      <c r="L6844">
        <v>2021</v>
      </c>
      <c r="M6844" s="21">
        <v>44481</v>
      </c>
      <c r="N6844">
        <v>2021</v>
      </c>
      <c r="Q6844" s="262">
        <v>3500000</v>
      </c>
      <c r="R6844" s="262">
        <v>1413000</v>
      </c>
      <c r="S6844" t="s">
        <v>13254</v>
      </c>
      <c r="U6844">
        <v>5</v>
      </c>
      <c r="W6844">
        <v>8874</v>
      </c>
      <c r="X6844">
        <v>1</v>
      </c>
      <c r="AC6844">
        <v>8874</v>
      </c>
      <c r="AO6844">
        <v>1</v>
      </c>
      <c r="AU6844">
        <f t="shared" si="212"/>
        <v>1</v>
      </c>
      <c r="AV6844">
        <f t="shared" si="213"/>
        <v>0</v>
      </c>
    </row>
    <row r="6845" spans="1:48" x14ac:dyDescent="0.25">
      <c r="A6845" t="s">
        <v>14872</v>
      </c>
      <c r="C6845" t="s">
        <v>14873</v>
      </c>
      <c r="D6845" t="s">
        <v>14821</v>
      </c>
      <c r="E6845" t="s">
        <v>1663</v>
      </c>
      <c r="F6845">
        <v>5</v>
      </c>
      <c r="G6845">
        <v>5.5</v>
      </c>
      <c r="H6845" t="s">
        <v>2017</v>
      </c>
      <c r="I6845" s="21">
        <v>44364</v>
      </c>
      <c r="J6845">
        <v>2021</v>
      </c>
      <c r="K6845" s="21">
        <v>44375</v>
      </c>
      <c r="L6845">
        <v>2021</v>
      </c>
      <c r="M6845" s="21">
        <v>44721</v>
      </c>
      <c r="N6845">
        <v>2022</v>
      </c>
      <c r="P6845" s="21">
        <v>44744</v>
      </c>
      <c r="Q6845" s="262">
        <v>253000</v>
      </c>
      <c r="S6845" t="s">
        <v>13253</v>
      </c>
      <c r="T6845">
        <v>12399</v>
      </c>
      <c r="W6845">
        <v>246</v>
      </c>
      <c r="X6845">
        <v>0</v>
      </c>
      <c r="AC6845">
        <v>246</v>
      </c>
      <c r="AU6845">
        <f t="shared" si="212"/>
        <v>0</v>
      </c>
      <c r="AV6845">
        <f t="shared" si="213"/>
        <v>0</v>
      </c>
    </row>
    <row r="6846" spans="1:48" x14ac:dyDescent="0.25">
      <c r="A6846" t="s">
        <v>15823</v>
      </c>
      <c r="B6846" t="s">
        <v>15823</v>
      </c>
      <c r="C6846" t="s">
        <v>15824</v>
      </c>
      <c r="D6846" t="s">
        <v>15825</v>
      </c>
      <c r="E6846" t="s">
        <v>2310</v>
      </c>
      <c r="F6846">
        <v>15</v>
      </c>
      <c r="G6846">
        <v>15.2</v>
      </c>
      <c r="H6846" t="s">
        <v>2323</v>
      </c>
      <c r="I6846" s="21">
        <v>44364.437914548602</v>
      </c>
      <c r="J6846">
        <v>2021</v>
      </c>
      <c r="K6846" s="21">
        <v>44488</v>
      </c>
      <c r="L6846">
        <v>2021</v>
      </c>
      <c r="Q6846" s="262">
        <v>95000</v>
      </c>
      <c r="R6846" s="262">
        <v>38000</v>
      </c>
      <c r="S6846" t="s">
        <v>114</v>
      </c>
      <c r="T6846" t="s">
        <v>114</v>
      </c>
      <c r="W6846">
        <v>320</v>
      </c>
      <c r="X6846">
        <v>0</v>
      </c>
      <c r="AC6846">
        <v>320</v>
      </c>
      <c r="AU6846">
        <f t="shared" si="212"/>
        <v>0</v>
      </c>
      <c r="AV6846">
        <f t="shared" si="213"/>
        <v>0</v>
      </c>
    </row>
    <row r="6847" spans="1:48" x14ac:dyDescent="0.25">
      <c r="A6847" t="s">
        <v>15826</v>
      </c>
      <c r="B6847" t="s">
        <v>15826</v>
      </c>
      <c r="C6847" t="s">
        <v>15827</v>
      </c>
      <c r="D6847" t="s">
        <v>15828</v>
      </c>
      <c r="E6847" t="s">
        <v>2310</v>
      </c>
      <c r="F6847">
        <v>9</v>
      </c>
      <c r="G6847">
        <v>9.1</v>
      </c>
      <c r="H6847" t="s">
        <v>2323</v>
      </c>
      <c r="I6847" s="21">
        <v>44365.450039699099</v>
      </c>
      <c r="J6847">
        <v>2021</v>
      </c>
      <c r="K6847" s="21">
        <v>44489</v>
      </c>
      <c r="L6847">
        <v>2021</v>
      </c>
      <c r="Q6847" s="262">
        <v>750000</v>
      </c>
      <c r="R6847" s="262">
        <v>188000</v>
      </c>
      <c r="S6847" t="s">
        <v>114</v>
      </c>
      <c r="T6847" t="s">
        <v>114</v>
      </c>
      <c r="V6847">
        <v>906</v>
      </c>
      <c r="W6847">
        <v>906</v>
      </c>
      <c r="X6847">
        <v>0</v>
      </c>
      <c r="AC6847">
        <v>906</v>
      </c>
      <c r="AU6847">
        <f t="shared" si="212"/>
        <v>0</v>
      </c>
      <c r="AV6847">
        <f t="shared" si="213"/>
        <v>0</v>
      </c>
    </row>
    <row r="6848" spans="1:48" x14ac:dyDescent="0.25">
      <c r="A6848" t="s">
        <v>15829</v>
      </c>
      <c r="B6848" t="s">
        <v>15830</v>
      </c>
      <c r="C6848" t="s">
        <v>15831</v>
      </c>
      <c r="D6848" t="s">
        <v>15832</v>
      </c>
      <c r="E6848" t="s">
        <v>2310</v>
      </c>
      <c r="F6848">
        <v>9</v>
      </c>
      <c r="G6848">
        <v>9.3000000000000007</v>
      </c>
      <c r="H6848" t="s">
        <v>2323</v>
      </c>
      <c r="I6848" s="21">
        <v>44368.441538194398</v>
      </c>
      <c r="J6848">
        <v>2021</v>
      </c>
      <c r="Q6848" s="262">
        <v>6000000</v>
      </c>
      <c r="R6848" s="262">
        <v>1304000</v>
      </c>
      <c r="S6848" t="s">
        <v>114</v>
      </c>
      <c r="T6848" t="s">
        <v>114</v>
      </c>
      <c r="V6848">
        <v>3607</v>
      </c>
      <c r="W6848">
        <v>-3607</v>
      </c>
      <c r="X6848">
        <v>-1</v>
      </c>
      <c r="AC6848">
        <v>-3607</v>
      </c>
      <c r="AO6848">
        <v>-1</v>
      </c>
      <c r="AU6848">
        <f t="shared" si="212"/>
        <v>-1</v>
      </c>
      <c r="AV6848">
        <f t="shared" si="213"/>
        <v>0</v>
      </c>
    </row>
    <row r="6849" spans="1:48" x14ac:dyDescent="0.25">
      <c r="A6849" t="s">
        <v>15829</v>
      </c>
      <c r="B6849" t="s">
        <v>15829</v>
      </c>
      <c r="C6849" t="s">
        <v>15833</v>
      </c>
      <c r="D6849" t="s">
        <v>15832</v>
      </c>
      <c r="E6849" t="s">
        <v>2310</v>
      </c>
      <c r="F6849">
        <v>9</v>
      </c>
      <c r="G6849">
        <v>9.3000000000000007</v>
      </c>
      <c r="H6849" t="s">
        <v>2323</v>
      </c>
      <c r="I6849" s="21">
        <v>44368.441538194398</v>
      </c>
      <c r="J6849">
        <v>2021</v>
      </c>
      <c r="Q6849" s="262">
        <v>6000000</v>
      </c>
      <c r="R6849" s="262">
        <v>1304000</v>
      </c>
      <c r="S6849" t="s">
        <v>114</v>
      </c>
      <c r="T6849" t="s">
        <v>114</v>
      </c>
      <c r="W6849">
        <v>9351</v>
      </c>
      <c r="X6849">
        <v>1</v>
      </c>
      <c r="AC6849">
        <v>9351</v>
      </c>
      <c r="AO6849">
        <v>1</v>
      </c>
      <c r="AU6849">
        <f t="shared" si="212"/>
        <v>1</v>
      </c>
      <c r="AV6849">
        <f t="shared" si="213"/>
        <v>0</v>
      </c>
    </row>
    <row r="6850" spans="1:48" x14ac:dyDescent="0.25">
      <c r="A6850" t="s">
        <v>15834</v>
      </c>
      <c r="B6850" t="s">
        <v>15834</v>
      </c>
      <c r="C6850" t="s">
        <v>15835</v>
      </c>
      <c r="D6850" t="s">
        <v>3663</v>
      </c>
      <c r="E6850" t="s">
        <v>2310</v>
      </c>
      <c r="F6850">
        <v>9</v>
      </c>
      <c r="G6850">
        <v>9.3000000000000007</v>
      </c>
      <c r="H6850" t="s">
        <v>2323</v>
      </c>
      <c r="I6850" s="21">
        <v>44369.473186261603</v>
      </c>
      <c r="J6850">
        <v>2021</v>
      </c>
      <c r="K6850" s="21">
        <v>44453</v>
      </c>
      <c r="L6850">
        <v>2021</v>
      </c>
      <c r="Q6850" s="262">
        <v>382900</v>
      </c>
      <c r="R6850" s="262">
        <v>143000</v>
      </c>
      <c r="S6850" t="s">
        <v>114</v>
      </c>
      <c r="T6850" t="s">
        <v>114</v>
      </c>
      <c r="V6850">
        <v>90</v>
      </c>
      <c r="W6850">
        <v>1094</v>
      </c>
      <c r="X6850">
        <v>0</v>
      </c>
      <c r="AC6850">
        <v>1094</v>
      </c>
      <c r="AU6850">
        <f t="shared" si="212"/>
        <v>0</v>
      </c>
      <c r="AV6850">
        <f t="shared" si="213"/>
        <v>0</v>
      </c>
    </row>
    <row r="6851" spans="1:48" x14ac:dyDescent="0.25">
      <c r="A6851" t="s">
        <v>15836</v>
      </c>
      <c r="B6851" t="s">
        <v>15836</v>
      </c>
      <c r="C6851" t="s">
        <v>15837</v>
      </c>
      <c r="D6851" t="s">
        <v>13298</v>
      </c>
      <c r="E6851" t="s">
        <v>2310</v>
      </c>
      <c r="F6851">
        <v>8</v>
      </c>
      <c r="G6851">
        <v>8.3000000000000007</v>
      </c>
      <c r="H6851" t="s">
        <v>2323</v>
      </c>
      <c r="I6851" s="21">
        <v>44371.447296493097</v>
      </c>
      <c r="J6851">
        <v>2021</v>
      </c>
      <c r="K6851" s="21">
        <v>44498</v>
      </c>
      <c r="L6851">
        <v>2021</v>
      </c>
      <c r="Q6851" s="262">
        <v>1500000</v>
      </c>
      <c r="R6851" s="262">
        <v>707000</v>
      </c>
      <c r="S6851" t="s">
        <v>114</v>
      </c>
      <c r="T6851" t="s">
        <v>114</v>
      </c>
      <c r="W6851">
        <v>5358</v>
      </c>
      <c r="X6851">
        <v>1</v>
      </c>
      <c r="AC6851">
        <v>5358</v>
      </c>
      <c r="AO6851">
        <v>1</v>
      </c>
      <c r="AU6851">
        <f t="shared" si="212"/>
        <v>1</v>
      </c>
      <c r="AV6851">
        <f t="shared" si="213"/>
        <v>0</v>
      </c>
    </row>
    <row r="6852" spans="1:48" x14ac:dyDescent="0.25">
      <c r="A6852" t="s">
        <v>15838</v>
      </c>
      <c r="B6852" t="s">
        <v>15839</v>
      </c>
      <c r="C6852" t="s">
        <v>15840</v>
      </c>
      <c r="D6852" t="s">
        <v>6553</v>
      </c>
      <c r="E6852" t="s">
        <v>2310</v>
      </c>
      <c r="F6852">
        <v>11</v>
      </c>
      <c r="G6852">
        <v>11.4</v>
      </c>
      <c r="H6852" t="s">
        <v>2017</v>
      </c>
      <c r="I6852" s="21">
        <v>44371.634223761597</v>
      </c>
      <c r="J6852">
        <v>2021</v>
      </c>
      <c r="K6852" s="21">
        <v>44453</v>
      </c>
      <c r="L6852">
        <v>2021</v>
      </c>
      <c r="Q6852" s="262">
        <v>300000</v>
      </c>
      <c r="R6852" s="262">
        <v>91000</v>
      </c>
      <c r="S6852" t="s">
        <v>114</v>
      </c>
      <c r="T6852" t="s">
        <v>114</v>
      </c>
      <c r="W6852">
        <v>-1148</v>
      </c>
      <c r="X6852">
        <v>-1</v>
      </c>
      <c r="AC6852">
        <v>-1148</v>
      </c>
      <c r="AO6852">
        <v>-1</v>
      </c>
      <c r="AU6852">
        <f t="shared" si="212"/>
        <v>-1</v>
      </c>
      <c r="AV6852">
        <f t="shared" si="213"/>
        <v>0</v>
      </c>
    </row>
    <row r="6853" spans="1:48" x14ac:dyDescent="0.25">
      <c r="A6853" t="s">
        <v>15838</v>
      </c>
      <c r="B6853" t="s">
        <v>15838</v>
      </c>
      <c r="C6853" t="s">
        <v>15841</v>
      </c>
      <c r="D6853" t="s">
        <v>6553</v>
      </c>
      <c r="E6853" t="s">
        <v>2310</v>
      </c>
      <c r="F6853">
        <v>11</v>
      </c>
      <c r="G6853">
        <v>11.4</v>
      </c>
      <c r="H6853" t="s">
        <v>2017</v>
      </c>
      <c r="I6853" s="21">
        <v>44371.634223761597</v>
      </c>
      <c r="J6853">
        <v>2021</v>
      </c>
      <c r="K6853" s="21">
        <v>44453</v>
      </c>
      <c r="L6853">
        <v>2021</v>
      </c>
      <c r="Q6853" s="262">
        <v>300000</v>
      </c>
      <c r="R6853" s="262">
        <v>91000</v>
      </c>
      <c r="S6853" t="s">
        <v>114</v>
      </c>
      <c r="T6853" t="s">
        <v>114</v>
      </c>
      <c r="W6853">
        <v>1050</v>
      </c>
      <c r="X6853">
        <v>1</v>
      </c>
      <c r="AC6853">
        <v>1050</v>
      </c>
      <c r="AO6853">
        <v>1</v>
      </c>
      <c r="AU6853">
        <f t="shared" si="212"/>
        <v>1</v>
      </c>
      <c r="AV6853">
        <f t="shared" si="213"/>
        <v>0</v>
      </c>
    </row>
    <row r="6854" spans="1:48" x14ac:dyDescent="0.25">
      <c r="A6854" t="s">
        <v>15842</v>
      </c>
      <c r="B6854" t="s">
        <v>15842</v>
      </c>
      <c r="C6854" t="s">
        <v>15843</v>
      </c>
      <c r="D6854" t="s">
        <v>15844</v>
      </c>
      <c r="E6854" t="s">
        <v>2310</v>
      </c>
      <c r="F6854">
        <v>9</v>
      </c>
      <c r="G6854">
        <v>9.1</v>
      </c>
      <c r="H6854" t="s">
        <v>2323</v>
      </c>
      <c r="I6854" s="21">
        <v>44372.432482870398</v>
      </c>
      <c r="J6854">
        <v>2021</v>
      </c>
      <c r="K6854" s="21">
        <v>44540</v>
      </c>
      <c r="L6854">
        <v>2021</v>
      </c>
      <c r="Q6854" s="262">
        <v>8000000</v>
      </c>
      <c r="R6854" s="262">
        <v>2171000</v>
      </c>
      <c r="S6854" t="s">
        <v>114</v>
      </c>
      <c r="T6854" t="s">
        <v>114</v>
      </c>
      <c r="W6854">
        <v>13086</v>
      </c>
      <c r="X6854">
        <v>1</v>
      </c>
      <c r="AC6854">
        <v>13086</v>
      </c>
      <c r="AO6854">
        <v>1</v>
      </c>
      <c r="AU6854">
        <f t="shared" si="212"/>
        <v>1</v>
      </c>
      <c r="AV6854">
        <f t="shared" si="213"/>
        <v>0</v>
      </c>
    </row>
    <row r="6855" spans="1:48" x14ac:dyDescent="0.25">
      <c r="A6855" t="s">
        <v>15845</v>
      </c>
      <c r="B6855" t="s">
        <v>15845</v>
      </c>
      <c r="C6855" t="s">
        <v>15846</v>
      </c>
      <c r="D6855" t="s">
        <v>15847</v>
      </c>
      <c r="E6855" t="s">
        <v>2310</v>
      </c>
      <c r="F6855">
        <v>9</v>
      </c>
      <c r="G6855">
        <v>9.3000000000000007</v>
      </c>
      <c r="H6855" t="s">
        <v>2323</v>
      </c>
      <c r="I6855" s="21">
        <v>44372.5000190625</v>
      </c>
      <c r="J6855">
        <v>2021</v>
      </c>
      <c r="K6855" s="21">
        <v>44468</v>
      </c>
      <c r="L6855">
        <v>2021</v>
      </c>
      <c r="Q6855" s="262">
        <v>1500000</v>
      </c>
      <c r="R6855" s="262">
        <v>831000</v>
      </c>
      <c r="S6855" t="s">
        <v>114</v>
      </c>
      <c r="T6855" t="s">
        <v>114</v>
      </c>
      <c r="W6855">
        <v>6296</v>
      </c>
      <c r="X6855">
        <v>1</v>
      </c>
      <c r="AC6855">
        <v>6296</v>
      </c>
      <c r="AO6855">
        <v>1</v>
      </c>
      <c r="AU6855">
        <f t="shared" si="212"/>
        <v>1</v>
      </c>
      <c r="AV6855">
        <f t="shared" si="213"/>
        <v>0</v>
      </c>
    </row>
    <row r="6856" spans="1:48" x14ac:dyDescent="0.25">
      <c r="A6856" t="s">
        <v>15848</v>
      </c>
      <c r="B6856" t="s">
        <v>15848</v>
      </c>
      <c r="C6856" t="s">
        <v>15849</v>
      </c>
      <c r="D6856" t="s">
        <v>15847</v>
      </c>
      <c r="E6856" t="s">
        <v>2310</v>
      </c>
      <c r="F6856">
        <v>9</v>
      </c>
      <c r="G6856">
        <v>9.3000000000000007</v>
      </c>
      <c r="H6856" t="s">
        <v>2323</v>
      </c>
      <c r="I6856" s="21">
        <v>44372.573342094904</v>
      </c>
      <c r="J6856">
        <v>2021</v>
      </c>
      <c r="K6856" s="21">
        <v>44468</v>
      </c>
      <c r="L6856">
        <v>2021</v>
      </c>
      <c r="Q6856" s="262">
        <v>1000000</v>
      </c>
      <c r="R6856" s="262">
        <v>190000</v>
      </c>
      <c r="S6856" t="s">
        <v>114</v>
      </c>
      <c r="T6856" t="s">
        <v>114</v>
      </c>
      <c r="W6856">
        <v>2412</v>
      </c>
      <c r="X6856">
        <v>1</v>
      </c>
      <c r="AC6856">
        <v>1412</v>
      </c>
      <c r="AF6856">
        <v>1000</v>
      </c>
      <c r="AR6856">
        <v>1</v>
      </c>
      <c r="AU6856">
        <f t="shared" si="212"/>
        <v>0</v>
      </c>
      <c r="AV6856">
        <f t="shared" si="213"/>
        <v>0</v>
      </c>
    </row>
    <row r="6857" spans="1:48" x14ac:dyDescent="0.25">
      <c r="A6857" t="s">
        <v>14883</v>
      </c>
      <c r="C6857" t="s">
        <v>14884</v>
      </c>
      <c r="D6857" t="s">
        <v>14885</v>
      </c>
      <c r="E6857" t="s">
        <v>1663</v>
      </c>
      <c r="F6857">
        <v>2</v>
      </c>
      <c r="G6857">
        <v>2.2999999999999998</v>
      </c>
      <c r="H6857" t="s">
        <v>2327</v>
      </c>
      <c r="I6857" s="21">
        <v>44375</v>
      </c>
      <c r="J6857">
        <v>2021</v>
      </c>
      <c r="M6857" s="21">
        <v>44704</v>
      </c>
      <c r="N6857">
        <v>2022</v>
      </c>
      <c r="Q6857" s="262">
        <v>325000</v>
      </c>
      <c r="S6857" t="s">
        <v>13253</v>
      </c>
      <c r="T6857">
        <v>11796</v>
      </c>
      <c r="V6857">
        <v>1517</v>
      </c>
      <c r="W6857">
        <v>0</v>
      </c>
      <c r="X6857">
        <v>0</v>
      </c>
      <c r="AI6857">
        <v>1517</v>
      </c>
      <c r="AK6857">
        <v>-1517</v>
      </c>
      <c r="AU6857">
        <f t="shared" si="212"/>
        <v>0</v>
      </c>
      <c r="AV6857">
        <f t="shared" si="213"/>
        <v>0</v>
      </c>
    </row>
    <row r="6858" spans="1:48" x14ac:dyDescent="0.25">
      <c r="A6858" t="s">
        <v>15852</v>
      </c>
      <c r="B6858" t="s">
        <v>15852</v>
      </c>
      <c r="C6858" t="s">
        <v>15853</v>
      </c>
      <c r="D6858" t="s">
        <v>15854</v>
      </c>
      <c r="E6858" t="s">
        <v>2310</v>
      </c>
      <c r="F6858">
        <v>13</v>
      </c>
      <c r="G6858">
        <v>13.3</v>
      </c>
      <c r="H6858" t="s">
        <v>2017</v>
      </c>
      <c r="I6858" s="21">
        <v>44376.484770914401</v>
      </c>
      <c r="J6858">
        <v>2021</v>
      </c>
      <c r="K6858" s="21">
        <v>44480</v>
      </c>
      <c r="L6858">
        <v>2021</v>
      </c>
      <c r="Q6858" s="262">
        <v>201000</v>
      </c>
      <c r="R6858" s="262">
        <v>297000</v>
      </c>
      <c r="S6858" t="s">
        <v>114</v>
      </c>
      <c r="T6858" t="s">
        <v>114</v>
      </c>
      <c r="V6858">
        <v>2000</v>
      </c>
      <c r="W6858">
        <v>1005</v>
      </c>
      <c r="X6858">
        <v>0</v>
      </c>
      <c r="AC6858">
        <v>1005</v>
      </c>
      <c r="AU6858">
        <f t="shared" si="212"/>
        <v>0</v>
      </c>
      <c r="AV6858">
        <f t="shared" si="213"/>
        <v>0</v>
      </c>
    </row>
    <row r="6859" spans="1:48" x14ac:dyDescent="0.25">
      <c r="A6859" t="s">
        <v>15855</v>
      </c>
      <c r="B6859" t="s">
        <v>15855</v>
      </c>
      <c r="C6859" t="s">
        <v>15856</v>
      </c>
      <c r="D6859" t="s">
        <v>15857</v>
      </c>
      <c r="E6859" t="s">
        <v>2310</v>
      </c>
      <c r="F6859">
        <v>12</v>
      </c>
      <c r="G6859">
        <v>12.3</v>
      </c>
      <c r="H6859" t="s">
        <v>2017</v>
      </c>
      <c r="I6859" s="21">
        <v>44376.615617511598</v>
      </c>
      <c r="J6859">
        <v>2021</v>
      </c>
      <c r="K6859" s="21">
        <v>44490</v>
      </c>
      <c r="L6859">
        <v>2021</v>
      </c>
      <c r="Q6859" s="262">
        <v>12900000</v>
      </c>
      <c r="R6859" s="262">
        <v>1468000</v>
      </c>
      <c r="S6859" t="s">
        <v>114</v>
      </c>
      <c r="T6859" t="s">
        <v>114</v>
      </c>
      <c r="W6859">
        <v>9451</v>
      </c>
      <c r="X6859">
        <v>1</v>
      </c>
      <c r="AC6859">
        <v>9451</v>
      </c>
      <c r="AO6859">
        <v>1</v>
      </c>
      <c r="AU6859">
        <f t="shared" si="212"/>
        <v>1</v>
      </c>
      <c r="AV6859">
        <f t="shared" si="213"/>
        <v>0</v>
      </c>
    </row>
    <row r="6860" spans="1:48" x14ac:dyDescent="0.25">
      <c r="A6860" t="s">
        <v>15255</v>
      </c>
      <c r="B6860" t="s">
        <v>15255</v>
      </c>
      <c r="C6860" t="s">
        <v>15256</v>
      </c>
      <c r="D6860" t="s">
        <v>15257</v>
      </c>
      <c r="E6860" t="s">
        <v>2310</v>
      </c>
      <c r="F6860">
        <v>12</v>
      </c>
      <c r="G6860">
        <v>12.1</v>
      </c>
      <c r="H6860" t="s">
        <v>2327</v>
      </c>
      <c r="I6860" s="21">
        <v>44377.594845567102</v>
      </c>
      <c r="J6860">
        <v>2021</v>
      </c>
      <c r="K6860" s="21">
        <v>44391</v>
      </c>
      <c r="L6860">
        <v>2021</v>
      </c>
      <c r="M6860" s="21">
        <v>44680.681682210648</v>
      </c>
      <c r="N6860">
        <v>2022</v>
      </c>
      <c r="Q6860" s="262">
        <v>75000</v>
      </c>
      <c r="R6860" s="262">
        <v>185000</v>
      </c>
      <c r="S6860" t="s">
        <v>13253</v>
      </c>
      <c r="T6860">
        <v>3859</v>
      </c>
      <c r="V6860">
        <v>1503</v>
      </c>
      <c r="W6860">
        <v>0</v>
      </c>
      <c r="X6860">
        <v>0</v>
      </c>
      <c r="AU6860">
        <f t="shared" si="212"/>
        <v>0</v>
      </c>
      <c r="AV6860">
        <f t="shared" si="213"/>
        <v>0</v>
      </c>
    </row>
    <row r="6861" spans="1:48" x14ac:dyDescent="0.25">
      <c r="A6861" t="s">
        <v>15861</v>
      </c>
      <c r="B6861" t="s">
        <v>15861</v>
      </c>
      <c r="C6861" t="s">
        <v>15862</v>
      </c>
      <c r="D6861" t="s">
        <v>15863</v>
      </c>
      <c r="E6861" t="s">
        <v>2310</v>
      </c>
      <c r="F6861">
        <v>12</v>
      </c>
      <c r="G6861">
        <v>12.3</v>
      </c>
      <c r="H6861" t="s">
        <v>2017</v>
      </c>
      <c r="I6861" s="21">
        <v>44378.391483911997</v>
      </c>
      <c r="J6861">
        <v>2021</v>
      </c>
      <c r="K6861" s="21">
        <v>44459</v>
      </c>
      <c r="L6861">
        <v>2021</v>
      </c>
      <c r="Q6861" s="262">
        <v>125200</v>
      </c>
      <c r="R6861" s="262">
        <v>86000</v>
      </c>
      <c r="S6861" t="s">
        <v>114</v>
      </c>
      <c r="T6861" t="s">
        <v>114</v>
      </c>
      <c r="V6861">
        <v>724</v>
      </c>
      <c r="W6861">
        <v>1252</v>
      </c>
      <c r="X6861">
        <v>0</v>
      </c>
      <c r="AC6861">
        <v>1252</v>
      </c>
      <c r="AU6861">
        <f t="shared" si="212"/>
        <v>0</v>
      </c>
      <c r="AV6861">
        <f t="shared" si="213"/>
        <v>0</v>
      </c>
    </row>
    <row r="6862" spans="1:48" x14ac:dyDescent="0.25">
      <c r="A6862" t="s">
        <v>15864</v>
      </c>
      <c r="B6862" t="s">
        <v>15864</v>
      </c>
      <c r="C6862" t="s">
        <v>15865</v>
      </c>
      <c r="D6862" t="s">
        <v>15866</v>
      </c>
      <c r="E6862" t="s">
        <v>2310</v>
      </c>
      <c r="F6862">
        <v>8</v>
      </c>
      <c r="G6862">
        <v>8.1</v>
      </c>
      <c r="H6862" t="s">
        <v>2323</v>
      </c>
      <c r="I6862" s="21">
        <v>44378.431864548598</v>
      </c>
      <c r="J6862">
        <v>2021</v>
      </c>
      <c r="K6862" s="21">
        <v>44508</v>
      </c>
      <c r="L6862">
        <v>2021</v>
      </c>
      <c r="Q6862" s="262">
        <v>4400000</v>
      </c>
      <c r="R6862" s="262">
        <v>769000</v>
      </c>
      <c r="S6862" t="s">
        <v>114</v>
      </c>
      <c r="T6862" t="s">
        <v>114</v>
      </c>
      <c r="W6862">
        <v>6317</v>
      </c>
      <c r="X6862">
        <v>1</v>
      </c>
      <c r="AC6862">
        <v>6317</v>
      </c>
      <c r="AO6862">
        <v>1</v>
      </c>
      <c r="AU6862">
        <f t="shared" si="212"/>
        <v>1</v>
      </c>
      <c r="AV6862">
        <f t="shared" si="213"/>
        <v>0</v>
      </c>
    </row>
    <row r="6863" spans="1:48" x14ac:dyDescent="0.25">
      <c r="A6863" t="s">
        <v>15867</v>
      </c>
      <c r="B6863" t="s">
        <v>15867</v>
      </c>
      <c r="C6863" t="s">
        <v>15868</v>
      </c>
      <c r="D6863" t="s">
        <v>15869</v>
      </c>
      <c r="E6863" t="s">
        <v>2310</v>
      </c>
      <c r="F6863">
        <v>9</v>
      </c>
      <c r="G6863">
        <v>9.4</v>
      </c>
      <c r="H6863" t="s">
        <v>2323</v>
      </c>
      <c r="I6863" s="21">
        <v>44378.486003437501</v>
      </c>
      <c r="J6863">
        <v>2021</v>
      </c>
      <c r="K6863" s="21">
        <v>44477</v>
      </c>
      <c r="L6863">
        <v>2021</v>
      </c>
      <c r="Q6863" s="262">
        <v>9544103.8000000007</v>
      </c>
      <c r="R6863" s="262">
        <v>857000</v>
      </c>
      <c r="S6863" t="s">
        <v>114</v>
      </c>
      <c r="T6863" t="s">
        <v>114</v>
      </c>
      <c r="W6863">
        <v>6249</v>
      </c>
      <c r="X6863">
        <v>1</v>
      </c>
      <c r="AC6863">
        <v>6249</v>
      </c>
      <c r="AO6863">
        <v>1</v>
      </c>
      <c r="AU6863">
        <f t="shared" si="212"/>
        <v>1</v>
      </c>
      <c r="AV6863">
        <f t="shared" si="213"/>
        <v>0</v>
      </c>
    </row>
    <row r="6864" spans="1:48" x14ac:dyDescent="0.25">
      <c r="A6864" t="s">
        <v>15870</v>
      </c>
      <c r="B6864" t="s">
        <v>15870</v>
      </c>
      <c r="C6864" t="s">
        <v>15871</v>
      </c>
      <c r="D6864" t="s">
        <v>14516</v>
      </c>
      <c r="E6864" t="s">
        <v>2310</v>
      </c>
      <c r="F6864">
        <v>8</v>
      </c>
      <c r="G6864">
        <v>8.3000000000000007</v>
      </c>
      <c r="H6864" t="s">
        <v>2323</v>
      </c>
      <c r="I6864" s="21">
        <v>44379.431181631902</v>
      </c>
      <c r="J6864">
        <v>2021</v>
      </c>
      <c r="K6864" s="21">
        <v>44560</v>
      </c>
      <c r="L6864">
        <v>2021</v>
      </c>
      <c r="Q6864" s="262">
        <v>300000</v>
      </c>
      <c r="R6864" s="262">
        <v>72000</v>
      </c>
      <c r="S6864" t="s">
        <v>114</v>
      </c>
      <c r="T6864" t="s">
        <v>114</v>
      </c>
      <c r="W6864">
        <v>1345</v>
      </c>
      <c r="X6864">
        <v>0</v>
      </c>
      <c r="AC6864">
        <v>1345</v>
      </c>
      <c r="AU6864">
        <f t="shared" si="212"/>
        <v>0</v>
      </c>
      <c r="AV6864">
        <f t="shared" si="213"/>
        <v>0</v>
      </c>
    </row>
    <row r="6865" spans="1:48" x14ac:dyDescent="0.25">
      <c r="A6865" t="s">
        <v>19681</v>
      </c>
      <c r="B6865" t="s">
        <v>19681</v>
      </c>
      <c r="C6865" t="s">
        <v>19682</v>
      </c>
      <c r="D6865" t="s">
        <v>19683</v>
      </c>
      <c r="E6865" t="s">
        <v>2310</v>
      </c>
      <c r="F6865">
        <v>9</v>
      </c>
      <c r="G6865">
        <v>9.3000000000000007</v>
      </c>
      <c r="H6865" t="s">
        <v>2323</v>
      </c>
      <c r="I6865" s="21">
        <v>44379.463476851903</v>
      </c>
      <c r="J6865">
        <v>2021</v>
      </c>
      <c r="K6865" s="21">
        <v>44454</v>
      </c>
      <c r="L6865">
        <v>2021</v>
      </c>
      <c r="M6865" s="21">
        <v>44727.623501041664</v>
      </c>
      <c r="N6865">
        <v>2022</v>
      </c>
      <c r="Q6865" s="262">
        <v>144000</v>
      </c>
      <c r="R6865" s="262">
        <v>115000</v>
      </c>
      <c r="S6865" t="s">
        <v>13254</v>
      </c>
      <c r="T6865">
        <v>0</v>
      </c>
      <c r="W6865">
        <v>2400</v>
      </c>
      <c r="X6865">
        <v>0</v>
      </c>
      <c r="AC6865">
        <v>2400</v>
      </c>
      <c r="AU6865">
        <f t="shared" si="212"/>
        <v>0</v>
      </c>
      <c r="AV6865">
        <f t="shared" si="213"/>
        <v>0</v>
      </c>
    </row>
    <row r="6866" spans="1:48" x14ac:dyDescent="0.25">
      <c r="A6866" t="s">
        <v>19684</v>
      </c>
      <c r="B6866" t="s">
        <v>19684</v>
      </c>
      <c r="C6866" t="s">
        <v>19685</v>
      </c>
      <c r="D6866" t="s">
        <v>19686</v>
      </c>
      <c r="E6866" t="s">
        <v>2310</v>
      </c>
      <c r="F6866">
        <v>13</v>
      </c>
      <c r="G6866">
        <v>13.3</v>
      </c>
      <c r="H6866" t="s">
        <v>2017</v>
      </c>
      <c r="I6866" s="21">
        <v>44383.418601041703</v>
      </c>
      <c r="J6866">
        <v>2021</v>
      </c>
      <c r="K6866" s="21">
        <v>44550</v>
      </c>
      <c r="L6866">
        <v>2021</v>
      </c>
      <c r="M6866" s="21">
        <v>44851</v>
      </c>
      <c r="N6866">
        <v>2022</v>
      </c>
      <c r="Q6866" s="262">
        <v>1500000</v>
      </c>
      <c r="R6866" s="262">
        <v>176000</v>
      </c>
      <c r="S6866" t="s">
        <v>13253</v>
      </c>
      <c r="T6866">
        <v>6687</v>
      </c>
      <c r="V6866">
        <v>489</v>
      </c>
      <c r="W6866">
        <v>1073</v>
      </c>
      <c r="X6866">
        <v>0</v>
      </c>
      <c r="AC6866">
        <v>1073</v>
      </c>
      <c r="AU6866">
        <f t="shared" si="212"/>
        <v>0</v>
      </c>
      <c r="AV6866">
        <f t="shared" si="213"/>
        <v>0</v>
      </c>
    </row>
    <row r="6867" spans="1:48" x14ac:dyDescent="0.25">
      <c r="A6867" t="s">
        <v>15877</v>
      </c>
      <c r="B6867" t="s">
        <v>15877</v>
      </c>
      <c r="C6867" t="s">
        <v>15878</v>
      </c>
      <c r="D6867" t="s">
        <v>15879</v>
      </c>
      <c r="E6867" t="s">
        <v>2310</v>
      </c>
      <c r="F6867">
        <v>9</v>
      </c>
      <c r="G6867">
        <v>9.1</v>
      </c>
      <c r="H6867" t="s">
        <v>2323</v>
      </c>
      <c r="I6867" s="21">
        <v>44383.562952349501</v>
      </c>
      <c r="J6867">
        <v>2021</v>
      </c>
      <c r="K6867" s="21">
        <v>44481</v>
      </c>
      <c r="L6867">
        <v>2021</v>
      </c>
      <c r="Q6867" s="262">
        <v>280000</v>
      </c>
      <c r="R6867" s="262">
        <v>114000</v>
      </c>
      <c r="S6867" t="s">
        <v>114</v>
      </c>
      <c r="T6867" t="s">
        <v>114</v>
      </c>
      <c r="W6867">
        <v>960</v>
      </c>
      <c r="X6867">
        <v>1</v>
      </c>
      <c r="AC6867">
        <v>960</v>
      </c>
      <c r="AO6867">
        <v>1</v>
      </c>
      <c r="AU6867">
        <f t="shared" si="212"/>
        <v>1</v>
      </c>
      <c r="AV6867">
        <f t="shared" si="213"/>
        <v>0</v>
      </c>
    </row>
    <row r="6868" spans="1:48" x14ac:dyDescent="0.25">
      <c r="A6868" t="s">
        <v>15880</v>
      </c>
      <c r="B6868" t="s">
        <v>15880</v>
      </c>
      <c r="C6868" t="s">
        <v>15881</v>
      </c>
      <c r="D6868" t="s">
        <v>15882</v>
      </c>
      <c r="E6868" t="s">
        <v>2310</v>
      </c>
      <c r="F6868">
        <v>9</v>
      </c>
      <c r="G6868">
        <v>9.1</v>
      </c>
      <c r="H6868" t="s">
        <v>2323</v>
      </c>
      <c r="I6868" s="21">
        <v>44384.598535150501</v>
      </c>
      <c r="J6868">
        <v>2021</v>
      </c>
      <c r="O6868" s="21">
        <v>44540</v>
      </c>
      <c r="Q6868" s="262">
        <v>3000000</v>
      </c>
      <c r="R6868" s="262">
        <v>762000</v>
      </c>
      <c r="S6868" t="s">
        <v>114</v>
      </c>
      <c r="T6868" t="s">
        <v>114</v>
      </c>
      <c r="W6868">
        <v>6195</v>
      </c>
      <c r="X6868">
        <v>1</v>
      </c>
      <c r="AC6868">
        <v>6195</v>
      </c>
      <c r="AO6868">
        <v>1</v>
      </c>
      <c r="AU6868">
        <f t="shared" si="212"/>
        <v>1</v>
      </c>
      <c r="AV6868">
        <f t="shared" si="213"/>
        <v>0</v>
      </c>
    </row>
    <row r="6869" spans="1:48" x14ac:dyDescent="0.25">
      <c r="A6869" t="s">
        <v>19687</v>
      </c>
      <c r="B6869" t="s">
        <v>19687</v>
      </c>
      <c r="C6869" t="s">
        <v>19688</v>
      </c>
      <c r="D6869" t="s">
        <v>19689</v>
      </c>
      <c r="E6869" t="s">
        <v>2310</v>
      </c>
      <c r="F6869">
        <v>13</v>
      </c>
      <c r="G6869">
        <v>13.2</v>
      </c>
      <c r="H6869" t="s">
        <v>2327</v>
      </c>
      <c r="I6869" s="21">
        <v>44385.385482141202</v>
      </c>
      <c r="J6869">
        <v>2021</v>
      </c>
      <c r="K6869" s="21">
        <v>44544</v>
      </c>
      <c r="L6869">
        <v>2021</v>
      </c>
      <c r="M6869" s="21">
        <v>44839</v>
      </c>
      <c r="N6869">
        <v>2022</v>
      </c>
      <c r="Q6869" s="262">
        <v>300000</v>
      </c>
      <c r="R6869" s="262">
        <v>125000</v>
      </c>
      <c r="S6869" t="s">
        <v>13253</v>
      </c>
      <c r="T6869">
        <v>7177</v>
      </c>
      <c r="V6869">
        <v>1400</v>
      </c>
      <c r="W6869">
        <v>0</v>
      </c>
      <c r="X6869">
        <v>0</v>
      </c>
      <c r="AU6869">
        <f t="shared" si="212"/>
        <v>0</v>
      </c>
      <c r="AV6869">
        <f t="shared" si="213"/>
        <v>0</v>
      </c>
    </row>
    <row r="6870" spans="1:48" x14ac:dyDescent="0.25">
      <c r="A6870" t="s">
        <v>15886</v>
      </c>
      <c r="B6870" t="s">
        <v>15886</v>
      </c>
      <c r="C6870" t="s">
        <v>15887</v>
      </c>
      <c r="D6870" t="s">
        <v>15888</v>
      </c>
      <c r="E6870" t="s">
        <v>2310</v>
      </c>
      <c r="F6870">
        <v>8</v>
      </c>
      <c r="G6870">
        <v>8.1</v>
      </c>
      <c r="H6870" t="s">
        <v>2323</v>
      </c>
      <c r="I6870" s="21">
        <v>44385.561894675899</v>
      </c>
      <c r="J6870">
        <v>2021</v>
      </c>
      <c r="K6870" s="21">
        <v>44475</v>
      </c>
      <c r="L6870">
        <v>2021</v>
      </c>
      <c r="Q6870" s="262">
        <v>850000</v>
      </c>
      <c r="R6870" s="262">
        <v>258000</v>
      </c>
      <c r="S6870" t="s">
        <v>114</v>
      </c>
      <c r="T6870" t="s">
        <v>114</v>
      </c>
      <c r="W6870">
        <v>2178</v>
      </c>
      <c r="X6870">
        <v>0</v>
      </c>
      <c r="AC6870">
        <v>2178</v>
      </c>
      <c r="AU6870">
        <f t="shared" si="212"/>
        <v>0</v>
      </c>
      <c r="AV6870">
        <f t="shared" si="213"/>
        <v>0</v>
      </c>
    </row>
    <row r="6871" spans="1:48" x14ac:dyDescent="0.25">
      <c r="A6871" t="s">
        <v>2069</v>
      </c>
      <c r="C6871" t="s">
        <v>15889</v>
      </c>
      <c r="D6871" t="s">
        <v>3362</v>
      </c>
      <c r="E6871" t="s">
        <v>1663</v>
      </c>
      <c r="F6871">
        <v>4</v>
      </c>
      <c r="G6871">
        <v>4.0999999999999996</v>
      </c>
      <c r="H6871" t="s">
        <v>2327</v>
      </c>
      <c r="I6871" s="21">
        <v>44386</v>
      </c>
      <c r="J6871">
        <v>2021</v>
      </c>
      <c r="K6871" s="21">
        <v>44488</v>
      </c>
      <c r="L6871">
        <v>2021</v>
      </c>
      <c r="P6871" s="21">
        <v>44723</v>
      </c>
      <c r="Q6871" s="262">
        <v>10800000</v>
      </c>
      <c r="S6871" t="s">
        <v>114</v>
      </c>
      <c r="T6871" t="s">
        <v>114</v>
      </c>
      <c r="W6871">
        <v>-2200</v>
      </c>
      <c r="X6871">
        <v>-7</v>
      </c>
      <c r="AI6871">
        <v>-2200</v>
      </c>
      <c r="AT6871">
        <v>-7</v>
      </c>
      <c r="AU6871">
        <f t="shared" si="212"/>
        <v>0</v>
      </c>
      <c r="AV6871">
        <f t="shared" si="213"/>
        <v>-2200</v>
      </c>
    </row>
    <row r="6872" spans="1:48" x14ac:dyDescent="0.25">
      <c r="A6872" t="s">
        <v>2069</v>
      </c>
      <c r="C6872" t="s">
        <v>15890</v>
      </c>
      <c r="D6872" t="s">
        <v>3362</v>
      </c>
      <c r="E6872" t="s">
        <v>1663</v>
      </c>
      <c r="F6872">
        <v>4</v>
      </c>
      <c r="G6872">
        <v>4.0999999999999996</v>
      </c>
      <c r="H6872" t="s">
        <v>2327</v>
      </c>
      <c r="I6872" s="21">
        <v>44386</v>
      </c>
      <c r="J6872">
        <v>2021</v>
      </c>
      <c r="K6872" s="21">
        <v>44488</v>
      </c>
      <c r="L6872">
        <v>2021</v>
      </c>
      <c r="P6872" s="21">
        <v>44723</v>
      </c>
      <c r="Q6872" s="262">
        <v>10800000</v>
      </c>
      <c r="S6872" t="s">
        <v>114</v>
      </c>
      <c r="T6872" t="s">
        <v>114</v>
      </c>
      <c r="W6872">
        <v>29019</v>
      </c>
      <c r="X6872">
        <v>26</v>
      </c>
      <c r="AE6872">
        <v>29019</v>
      </c>
      <c r="AQ6872">
        <v>26</v>
      </c>
      <c r="AU6872">
        <f t="shared" si="212"/>
        <v>26</v>
      </c>
      <c r="AV6872">
        <f t="shared" si="213"/>
        <v>0</v>
      </c>
    </row>
    <row r="6873" spans="1:48" x14ac:dyDescent="0.25">
      <c r="A6873" t="s">
        <v>15891</v>
      </c>
      <c r="B6873" t="s">
        <v>15891</v>
      </c>
      <c r="C6873" t="s">
        <v>15892</v>
      </c>
      <c r="D6873" t="s">
        <v>15893</v>
      </c>
      <c r="E6873" t="s">
        <v>2310</v>
      </c>
      <c r="F6873">
        <v>8</v>
      </c>
      <c r="G6873">
        <v>8.3000000000000007</v>
      </c>
      <c r="H6873" t="s">
        <v>2323</v>
      </c>
      <c r="I6873" s="21">
        <v>44386.465912997701</v>
      </c>
      <c r="J6873">
        <v>2021</v>
      </c>
      <c r="O6873" s="21">
        <v>44459</v>
      </c>
      <c r="Q6873" s="262">
        <v>2700000</v>
      </c>
      <c r="R6873" s="262">
        <v>645000</v>
      </c>
      <c r="S6873" t="s">
        <v>114</v>
      </c>
      <c r="T6873" t="s">
        <v>114</v>
      </c>
      <c r="W6873">
        <v>5547</v>
      </c>
      <c r="X6873">
        <v>1</v>
      </c>
      <c r="AC6873">
        <v>5547</v>
      </c>
      <c r="AO6873">
        <v>1</v>
      </c>
      <c r="AU6873">
        <f t="shared" ref="AU6873:AU6936" si="214">SUM(AN6873:AQ6873,AS6873)</f>
        <v>1</v>
      </c>
      <c r="AV6873">
        <f t="shared" ref="AV6873:AV6936" si="215">SUM(Y6873:AB6873,AH6873:AM6873)</f>
        <v>0</v>
      </c>
    </row>
    <row r="6874" spans="1:48" x14ac:dyDescent="0.25">
      <c r="A6874" t="s">
        <v>15894</v>
      </c>
      <c r="B6874" t="s">
        <v>15894</v>
      </c>
      <c r="C6874" t="s">
        <v>15895</v>
      </c>
      <c r="D6874" t="s">
        <v>6706</v>
      </c>
      <c r="E6874" t="s">
        <v>2310</v>
      </c>
      <c r="F6874">
        <v>8</v>
      </c>
      <c r="G6874">
        <v>8.3000000000000007</v>
      </c>
      <c r="H6874" t="s">
        <v>2323</v>
      </c>
      <c r="I6874" s="21">
        <v>44386.5926251157</v>
      </c>
      <c r="J6874">
        <v>2021</v>
      </c>
      <c r="K6874" s="21">
        <v>44432</v>
      </c>
      <c r="L6874">
        <v>2021</v>
      </c>
      <c r="Q6874" s="262">
        <v>12000</v>
      </c>
      <c r="R6874" s="262">
        <v>4000</v>
      </c>
      <c r="S6874" t="s">
        <v>114</v>
      </c>
      <c r="T6874" t="s">
        <v>114</v>
      </c>
      <c r="V6874">
        <v>26</v>
      </c>
      <c r="W6874">
        <v>0</v>
      </c>
      <c r="X6874">
        <v>0</v>
      </c>
      <c r="AU6874">
        <f t="shared" si="214"/>
        <v>0</v>
      </c>
      <c r="AV6874">
        <f t="shared" si="215"/>
        <v>0</v>
      </c>
    </row>
    <row r="6875" spans="1:48" x14ac:dyDescent="0.25">
      <c r="A6875" t="s">
        <v>15896</v>
      </c>
      <c r="B6875" t="s">
        <v>15896</v>
      </c>
      <c r="C6875" t="s">
        <v>15897</v>
      </c>
      <c r="D6875" t="s">
        <v>15898</v>
      </c>
      <c r="E6875" t="s">
        <v>2310</v>
      </c>
      <c r="F6875">
        <v>8</v>
      </c>
      <c r="G6875">
        <v>8.3000000000000007</v>
      </c>
      <c r="H6875" t="s">
        <v>2323</v>
      </c>
      <c r="I6875" s="21">
        <v>44386.6050245718</v>
      </c>
      <c r="J6875">
        <v>2021</v>
      </c>
      <c r="K6875" s="21">
        <v>44544</v>
      </c>
      <c r="L6875">
        <v>2021</v>
      </c>
      <c r="Q6875" s="262">
        <v>70000</v>
      </c>
      <c r="R6875" s="262">
        <v>358000</v>
      </c>
      <c r="S6875" t="s">
        <v>114</v>
      </c>
      <c r="T6875" t="s">
        <v>114</v>
      </c>
      <c r="V6875">
        <v>1710</v>
      </c>
      <c r="W6875">
        <v>545</v>
      </c>
      <c r="X6875">
        <v>0</v>
      </c>
      <c r="AH6875">
        <v>545</v>
      </c>
      <c r="AU6875">
        <f t="shared" si="214"/>
        <v>0</v>
      </c>
      <c r="AV6875">
        <f t="shared" si="215"/>
        <v>545</v>
      </c>
    </row>
    <row r="6876" spans="1:48" x14ac:dyDescent="0.25">
      <c r="A6876" t="s">
        <v>15899</v>
      </c>
      <c r="B6876" t="s">
        <v>15899</v>
      </c>
      <c r="C6876" t="s">
        <v>15900</v>
      </c>
      <c r="D6876" t="s">
        <v>15901</v>
      </c>
      <c r="E6876" t="s">
        <v>2310</v>
      </c>
      <c r="F6876">
        <v>9</v>
      </c>
      <c r="G6876">
        <v>9.1</v>
      </c>
      <c r="H6876" t="s">
        <v>2323</v>
      </c>
      <c r="I6876" s="21">
        <v>44386.623395486102</v>
      </c>
      <c r="J6876">
        <v>2021</v>
      </c>
      <c r="Q6876" s="262">
        <v>4515200</v>
      </c>
      <c r="R6876" s="262">
        <v>660000</v>
      </c>
      <c r="S6876" t="s">
        <v>114</v>
      </c>
      <c r="T6876" t="s">
        <v>114</v>
      </c>
      <c r="W6876">
        <v>5312</v>
      </c>
      <c r="X6876">
        <v>1</v>
      </c>
      <c r="AC6876">
        <v>5312</v>
      </c>
      <c r="AO6876">
        <v>1</v>
      </c>
      <c r="AU6876">
        <f t="shared" si="214"/>
        <v>1</v>
      </c>
      <c r="AV6876">
        <f t="shared" si="215"/>
        <v>0</v>
      </c>
    </row>
    <row r="6877" spans="1:48" x14ac:dyDescent="0.25">
      <c r="A6877" t="s">
        <v>14892</v>
      </c>
      <c r="C6877" t="s">
        <v>14893</v>
      </c>
      <c r="D6877" t="s">
        <v>11756</v>
      </c>
      <c r="E6877" t="s">
        <v>1663</v>
      </c>
      <c r="F6877">
        <v>2</v>
      </c>
      <c r="G6877">
        <v>2.2999999999999998</v>
      </c>
      <c r="H6877" t="s">
        <v>2327</v>
      </c>
      <c r="I6877" s="21">
        <v>44390</v>
      </c>
      <c r="J6877">
        <v>2021</v>
      </c>
      <c r="K6877" s="21">
        <v>44510</v>
      </c>
      <c r="L6877">
        <v>2021</v>
      </c>
      <c r="M6877" s="21">
        <v>44852</v>
      </c>
      <c r="N6877">
        <v>2022</v>
      </c>
      <c r="P6877" s="21">
        <v>44690</v>
      </c>
      <c r="Q6877" s="262">
        <v>950000</v>
      </c>
      <c r="S6877" t="s">
        <v>13253</v>
      </c>
      <c r="T6877">
        <v>11701</v>
      </c>
      <c r="W6877">
        <v>0</v>
      </c>
      <c r="X6877">
        <v>0</v>
      </c>
      <c r="AU6877">
        <f t="shared" si="214"/>
        <v>0</v>
      </c>
      <c r="AV6877">
        <f t="shared" si="215"/>
        <v>0</v>
      </c>
    </row>
    <row r="6878" spans="1:48" x14ac:dyDescent="0.25">
      <c r="A6878" t="s">
        <v>15905</v>
      </c>
      <c r="B6878" t="s">
        <v>15905</v>
      </c>
      <c r="C6878" t="s">
        <v>15906</v>
      </c>
      <c r="D6878" t="s">
        <v>15907</v>
      </c>
      <c r="E6878" t="s">
        <v>2310</v>
      </c>
      <c r="F6878">
        <v>9</v>
      </c>
      <c r="G6878">
        <v>9.1</v>
      </c>
      <c r="H6878" t="s">
        <v>2323</v>
      </c>
      <c r="I6878" s="21">
        <v>44390.426606330999</v>
      </c>
      <c r="J6878">
        <v>2021</v>
      </c>
      <c r="K6878" s="21">
        <v>44482</v>
      </c>
      <c r="L6878">
        <v>2021</v>
      </c>
      <c r="Q6878" s="262">
        <v>175000</v>
      </c>
      <c r="R6878" s="262">
        <v>38000</v>
      </c>
      <c r="S6878" t="s">
        <v>114</v>
      </c>
      <c r="T6878" t="s">
        <v>114</v>
      </c>
      <c r="W6878">
        <v>780</v>
      </c>
      <c r="X6878">
        <v>0</v>
      </c>
      <c r="AC6878">
        <v>780</v>
      </c>
      <c r="AU6878">
        <f t="shared" si="214"/>
        <v>0</v>
      </c>
      <c r="AV6878">
        <f t="shared" si="215"/>
        <v>0</v>
      </c>
    </row>
    <row r="6879" spans="1:48" x14ac:dyDescent="0.25">
      <c r="A6879" t="s">
        <v>15908</v>
      </c>
      <c r="C6879" t="s">
        <v>15634</v>
      </c>
      <c r="D6879" t="s">
        <v>3738</v>
      </c>
      <c r="E6879" t="s">
        <v>2310</v>
      </c>
      <c r="F6879">
        <v>8</v>
      </c>
      <c r="G6879">
        <v>8.1999999999999993</v>
      </c>
      <c r="H6879" t="s">
        <v>2022</v>
      </c>
      <c r="I6879" s="21">
        <v>44390.490618171301</v>
      </c>
      <c r="J6879">
        <v>2021</v>
      </c>
      <c r="Q6879" s="262">
        <v>3500000</v>
      </c>
      <c r="R6879" s="262">
        <v>1160000</v>
      </c>
      <c r="S6879" t="s">
        <v>114</v>
      </c>
      <c r="T6879" t="s">
        <v>114</v>
      </c>
      <c r="W6879">
        <v>-4813</v>
      </c>
      <c r="X6879">
        <v>-1</v>
      </c>
      <c r="AC6879">
        <v>-4813</v>
      </c>
      <c r="AO6879">
        <v>-1</v>
      </c>
      <c r="AU6879">
        <f t="shared" si="214"/>
        <v>-1</v>
      </c>
      <c r="AV6879">
        <f t="shared" si="215"/>
        <v>0</v>
      </c>
    </row>
    <row r="6880" spans="1:48" x14ac:dyDescent="0.25">
      <c r="A6880" t="s">
        <v>15908</v>
      </c>
      <c r="B6880" t="s">
        <v>15908</v>
      </c>
      <c r="C6880" t="s">
        <v>15909</v>
      </c>
      <c r="D6880" t="s">
        <v>3738</v>
      </c>
      <c r="E6880" t="s">
        <v>2310</v>
      </c>
      <c r="F6880">
        <v>8</v>
      </c>
      <c r="G6880">
        <v>8.1999999999999993</v>
      </c>
      <c r="H6880" t="s">
        <v>2022</v>
      </c>
      <c r="I6880" s="21">
        <v>44390.490618171301</v>
      </c>
      <c r="J6880">
        <v>2021</v>
      </c>
      <c r="Q6880" s="262">
        <v>3500000</v>
      </c>
      <c r="R6880" s="262">
        <v>1160000</v>
      </c>
      <c r="S6880" t="s">
        <v>114</v>
      </c>
      <c r="T6880" t="s">
        <v>114</v>
      </c>
      <c r="W6880">
        <v>7248</v>
      </c>
      <c r="X6880">
        <v>1</v>
      </c>
      <c r="AC6880">
        <v>7248</v>
      </c>
      <c r="AO6880">
        <v>1</v>
      </c>
      <c r="AU6880">
        <f t="shared" si="214"/>
        <v>1</v>
      </c>
      <c r="AV6880">
        <f t="shared" si="215"/>
        <v>0</v>
      </c>
    </row>
    <row r="6881" spans="1:48" x14ac:dyDescent="0.25">
      <c r="A6881" t="s">
        <v>15910</v>
      </c>
      <c r="B6881" t="s">
        <v>15910</v>
      </c>
      <c r="C6881" t="s">
        <v>15911</v>
      </c>
      <c r="D6881" t="s">
        <v>8308</v>
      </c>
      <c r="E6881" t="s">
        <v>2310</v>
      </c>
      <c r="F6881">
        <v>8</v>
      </c>
      <c r="G6881">
        <v>8.1999999999999993</v>
      </c>
      <c r="H6881" t="s">
        <v>2022</v>
      </c>
      <c r="I6881" s="21">
        <v>44390.560535219898</v>
      </c>
      <c r="J6881">
        <v>2021</v>
      </c>
      <c r="K6881" s="21">
        <v>44484</v>
      </c>
      <c r="L6881">
        <v>2021</v>
      </c>
      <c r="Q6881" s="262">
        <v>2500000</v>
      </c>
      <c r="R6881" s="262">
        <v>158000</v>
      </c>
      <c r="S6881" t="s">
        <v>114</v>
      </c>
      <c r="T6881" t="s">
        <v>114</v>
      </c>
      <c r="W6881">
        <v>1814</v>
      </c>
      <c r="X6881">
        <v>1</v>
      </c>
      <c r="AC6881">
        <v>815</v>
      </c>
      <c r="AF6881">
        <v>999</v>
      </c>
      <c r="AR6881">
        <v>1</v>
      </c>
      <c r="AU6881">
        <f t="shared" si="214"/>
        <v>0</v>
      </c>
      <c r="AV6881">
        <f t="shared" si="215"/>
        <v>0</v>
      </c>
    </row>
    <row r="6882" spans="1:48" x14ac:dyDescent="0.25">
      <c r="A6882" t="s">
        <v>15912</v>
      </c>
      <c r="B6882" t="s">
        <v>15912</v>
      </c>
      <c r="C6882" t="s">
        <v>15913</v>
      </c>
      <c r="D6882" t="s">
        <v>15914</v>
      </c>
      <c r="E6882" t="s">
        <v>2310</v>
      </c>
      <c r="F6882">
        <v>9</v>
      </c>
      <c r="G6882">
        <v>9.3000000000000007</v>
      </c>
      <c r="H6882" t="s">
        <v>2323</v>
      </c>
      <c r="I6882" s="21">
        <v>44390.5921467593</v>
      </c>
      <c r="J6882">
        <v>2021</v>
      </c>
      <c r="K6882" s="21">
        <v>44480</v>
      </c>
      <c r="L6882">
        <v>2021</v>
      </c>
      <c r="Q6882" s="262">
        <v>400000</v>
      </c>
      <c r="R6882" s="262">
        <v>67000</v>
      </c>
      <c r="S6882" t="s">
        <v>114</v>
      </c>
      <c r="T6882" t="s">
        <v>114</v>
      </c>
      <c r="W6882">
        <v>645</v>
      </c>
      <c r="X6882">
        <v>0</v>
      </c>
      <c r="AC6882">
        <v>645</v>
      </c>
      <c r="AU6882">
        <f t="shared" si="214"/>
        <v>0</v>
      </c>
      <c r="AV6882">
        <f t="shared" si="215"/>
        <v>0</v>
      </c>
    </row>
    <row r="6883" spans="1:48" x14ac:dyDescent="0.25">
      <c r="A6883" t="s">
        <v>15915</v>
      </c>
      <c r="B6883" t="s">
        <v>15915</v>
      </c>
      <c r="C6883" t="s">
        <v>15916</v>
      </c>
      <c r="D6883" t="s">
        <v>14110</v>
      </c>
      <c r="E6883" t="s">
        <v>2310</v>
      </c>
      <c r="F6883">
        <v>9</v>
      </c>
      <c r="G6883">
        <v>9.1999999999999993</v>
      </c>
      <c r="H6883" t="s">
        <v>2022</v>
      </c>
      <c r="I6883" s="21">
        <v>44392.442074884297</v>
      </c>
      <c r="J6883">
        <v>2021</v>
      </c>
      <c r="K6883" s="21">
        <v>44530</v>
      </c>
      <c r="L6883">
        <v>2021</v>
      </c>
      <c r="Q6883" s="262">
        <v>1000000</v>
      </c>
      <c r="R6883" s="262">
        <v>185000</v>
      </c>
      <c r="S6883" t="s">
        <v>114</v>
      </c>
      <c r="T6883" t="s">
        <v>114</v>
      </c>
      <c r="W6883">
        <v>2236</v>
      </c>
      <c r="X6883">
        <v>0</v>
      </c>
      <c r="AC6883">
        <v>1270</v>
      </c>
      <c r="AF6883">
        <v>966</v>
      </c>
      <c r="AU6883">
        <f t="shared" si="214"/>
        <v>0</v>
      </c>
      <c r="AV6883">
        <f t="shared" si="215"/>
        <v>0</v>
      </c>
    </row>
    <row r="6884" spans="1:48" x14ac:dyDescent="0.25">
      <c r="A6884" t="s">
        <v>15917</v>
      </c>
      <c r="B6884" t="s">
        <v>15917</v>
      </c>
      <c r="C6884" t="s">
        <v>15918</v>
      </c>
      <c r="D6884" t="s">
        <v>15919</v>
      </c>
      <c r="E6884" t="s">
        <v>2310</v>
      </c>
      <c r="F6884">
        <v>8</v>
      </c>
      <c r="G6884">
        <v>8.3000000000000007</v>
      </c>
      <c r="H6884" t="s">
        <v>2323</v>
      </c>
      <c r="I6884" s="21">
        <v>44392.633542511598</v>
      </c>
      <c r="J6884">
        <v>2021</v>
      </c>
      <c r="K6884" s="21">
        <v>44483</v>
      </c>
      <c r="L6884">
        <v>2021</v>
      </c>
      <c r="Q6884" s="262">
        <v>3000000</v>
      </c>
      <c r="R6884" s="262">
        <v>475000</v>
      </c>
      <c r="S6884" t="s">
        <v>114</v>
      </c>
      <c r="T6884" t="s">
        <v>114</v>
      </c>
      <c r="W6884">
        <v>3963</v>
      </c>
      <c r="X6884">
        <v>1</v>
      </c>
      <c r="AC6884">
        <v>3963</v>
      </c>
      <c r="AO6884">
        <v>1</v>
      </c>
      <c r="AU6884">
        <f t="shared" si="214"/>
        <v>1</v>
      </c>
      <c r="AV6884">
        <f t="shared" si="215"/>
        <v>0</v>
      </c>
    </row>
    <row r="6885" spans="1:48" x14ac:dyDescent="0.25">
      <c r="A6885" t="s">
        <v>19690</v>
      </c>
      <c r="B6885" t="s">
        <v>19690</v>
      </c>
      <c r="C6885" t="s">
        <v>19691</v>
      </c>
      <c r="D6885" t="s">
        <v>19692</v>
      </c>
      <c r="E6885" t="s">
        <v>2310</v>
      </c>
      <c r="F6885">
        <v>8</v>
      </c>
      <c r="G6885">
        <v>8.3000000000000007</v>
      </c>
      <c r="H6885" t="s">
        <v>2323</v>
      </c>
      <c r="I6885" s="21">
        <v>44392.657673113397</v>
      </c>
      <c r="J6885">
        <v>2021</v>
      </c>
      <c r="K6885" s="21">
        <v>44553</v>
      </c>
      <c r="L6885">
        <v>2021</v>
      </c>
      <c r="M6885" s="21">
        <v>44727.626744872687</v>
      </c>
      <c r="N6885">
        <v>2022</v>
      </c>
      <c r="Q6885" s="262">
        <v>132000</v>
      </c>
      <c r="R6885" s="262">
        <v>73000</v>
      </c>
      <c r="S6885" t="s">
        <v>13254</v>
      </c>
      <c r="T6885">
        <v>0</v>
      </c>
      <c r="W6885">
        <v>1512</v>
      </c>
      <c r="X6885">
        <v>0</v>
      </c>
      <c r="AC6885">
        <v>1512</v>
      </c>
      <c r="AU6885">
        <f t="shared" si="214"/>
        <v>0</v>
      </c>
      <c r="AV6885">
        <f t="shared" si="215"/>
        <v>0</v>
      </c>
    </row>
    <row r="6886" spans="1:48" x14ac:dyDescent="0.25">
      <c r="A6886" t="s">
        <v>15923</v>
      </c>
      <c r="B6886" t="s">
        <v>15923</v>
      </c>
      <c r="C6886" t="s">
        <v>15924</v>
      </c>
      <c r="D6886" t="s">
        <v>15925</v>
      </c>
      <c r="E6886" t="s">
        <v>2310</v>
      </c>
      <c r="F6886">
        <v>9</v>
      </c>
      <c r="G6886">
        <v>9.1999999999999993</v>
      </c>
      <c r="H6886" t="s">
        <v>2022</v>
      </c>
      <c r="I6886" s="21">
        <v>44393.4376037037</v>
      </c>
      <c r="J6886">
        <v>2021</v>
      </c>
      <c r="Q6886" s="262">
        <v>550000</v>
      </c>
      <c r="R6886" s="262">
        <v>110000</v>
      </c>
      <c r="S6886" t="s">
        <v>114</v>
      </c>
      <c r="T6886" t="s">
        <v>114</v>
      </c>
      <c r="W6886">
        <v>918</v>
      </c>
      <c r="X6886">
        <v>0</v>
      </c>
      <c r="AC6886">
        <v>918</v>
      </c>
      <c r="AU6886">
        <f t="shared" si="214"/>
        <v>0</v>
      </c>
      <c r="AV6886">
        <f t="shared" si="215"/>
        <v>0</v>
      </c>
    </row>
    <row r="6887" spans="1:48" x14ac:dyDescent="0.25">
      <c r="A6887" t="s">
        <v>15926</v>
      </c>
      <c r="B6887" t="s">
        <v>15926</v>
      </c>
      <c r="C6887" t="s">
        <v>15927</v>
      </c>
      <c r="D6887" t="s">
        <v>15928</v>
      </c>
      <c r="E6887" t="s">
        <v>2310</v>
      </c>
      <c r="F6887">
        <v>14</v>
      </c>
      <c r="G6887">
        <v>14.1</v>
      </c>
      <c r="H6887" t="s">
        <v>2022</v>
      </c>
      <c r="I6887" s="21">
        <v>44393.4903627315</v>
      </c>
      <c r="J6887">
        <v>2021</v>
      </c>
      <c r="K6887" s="21">
        <v>44470</v>
      </c>
      <c r="L6887">
        <v>2021</v>
      </c>
      <c r="Q6887" s="262">
        <v>88000</v>
      </c>
      <c r="R6887" s="262">
        <v>72000</v>
      </c>
      <c r="S6887" t="s">
        <v>114</v>
      </c>
      <c r="T6887" t="s">
        <v>114</v>
      </c>
      <c r="W6887">
        <v>1500</v>
      </c>
      <c r="X6887">
        <v>0</v>
      </c>
      <c r="AC6887">
        <v>1500</v>
      </c>
      <c r="AU6887">
        <f t="shared" si="214"/>
        <v>0</v>
      </c>
      <c r="AV6887">
        <f t="shared" si="215"/>
        <v>0</v>
      </c>
    </row>
    <row r="6888" spans="1:48" x14ac:dyDescent="0.25">
      <c r="A6888" t="s">
        <v>15929</v>
      </c>
      <c r="B6888" t="s">
        <v>15929</v>
      </c>
      <c r="C6888" t="s">
        <v>15930</v>
      </c>
      <c r="D6888" t="s">
        <v>15931</v>
      </c>
      <c r="E6888" t="s">
        <v>2310</v>
      </c>
      <c r="F6888">
        <v>15</v>
      </c>
      <c r="G6888">
        <v>15.2</v>
      </c>
      <c r="H6888" t="s">
        <v>2323</v>
      </c>
      <c r="I6888" s="21">
        <v>44393.629307210598</v>
      </c>
      <c r="J6888">
        <v>2021</v>
      </c>
      <c r="K6888" s="21">
        <v>44468</v>
      </c>
      <c r="L6888">
        <v>2021</v>
      </c>
      <c r="Q6888" s="262">
        <v>400000</v>
      </c>
      <c r="R6888" s="262">
        <v>237000</v>
      </c>
      <c r="S6888" t="s">
        <v>114</v>
      </c>
      <c r="T6888" t="s">
        <v>114</v>
      </c>
      <c r="V6888">
        <v>73</v>
      </c>
      <c r="W6888">
        <v>2728</v>
      </c>
      <c r="X6888">
        <v>1</v>
      </c>
      <c r="AC6888">
        <v>1728</v>
      </c>
      <c r="AF6888">
        <v>1000</v>
      </c>
      <c r="AR6888">
        <v>1</v>
      </c>
      <c r="AU6888">
        <f t="shared" si="214"/>
        <v>0</v>
      </c>
      <c r="AV6888">
        <f t="shared" si="215"/>
        <v>0</v>
      </c>
    </row>
    <row r="6889" spans="1:48" x14ac:dyDescent="0.25">
      <c r="A6889" t="s">
        <v>14917</v>
      </c>
      <c r="C6889" t="s">
        <v>11237</v>
      </c>
      <c r="D6889" t="s">
        <v>14918</v>
      </c>
      <c r="E6889" t="s">
        <v>1663</v>
      </c>
      <c r="F6889">
        <v>6</v>
      </c>
      <c r="G6889">
        <v>6.2</v>
      </c>
      <c r="H6889" t="s">
        <v>2017</v>
      </c>
      <c r="I6889" s="21">
        <v>44396</v>
      </c>
      <c r="J6889">
        <v>2021</v>
      </c>
      <c r="K6889" s="21">
        <v>44413</v>
      </c>
      <c r="L6889">
        <v>2021</v>
      </c>
      <c r="M6889" s="21">
        <v>44701</v>
      </c>
      <c r="N6889">
        <v>2022</v>
      </c>
      <c r="P6889" s="21">
        <v>44732</v>
      </c>
      <c r="Q6889" s="262">
        <v>700000</v>
      </c>
      <c r="S6889" t="s">
        <v>13253</v>
      </c>
      <c r="T6889">
        <v>9262</v>
      </c>
      <c r="W6889">
        <v>0</v>
      </c>
      <c r="X6889">
        <v>0</v>
      </c>
      <c r="AU6889">
        <f t="shared" si="214"/>
        <v>0</v>
      </c>
      <c r="AV6889">
        <f t="shared" si="215"/>
        <v>0</v>
      </c>
    </row>
    <row r="6890" spans="1:48" x14ac:dyDescent="0.25">
      <c r="A6890" t="s">
        <v>15935</v>
      </c>
      <c r="B6890" t="s">
        <v>15935</v>
      </c>
      <c r="C6890" t="s">
        <v>15936</v>
      </c>
      <c r="D6890" t="s">
        <v>15937</v>
      </c>
      <c r="E6890" t="s">
        <v>2310</v>
      </c>
      <c r="F6890">
        <v>9</v>
      </c>
      <c r="G6890">
        <v>9.1</v>
      </c>
      <c r="H6890" t="s">
        <v>2323</v>
      </c>
      <c r="I6890" s="21">
        <v>44397.452985879601</v>
      </c>
      <c r="J6890">
        <v>2021</v>
      </c>
      <c r="K6890" s="21">
        <v>44523</v>
      </c>
      <c r="L6890">
        <v>2021</v>
      </c>
      <c r="Q6890" s="262">
        <v>2000000</v>
      </c>
      <c r="R6890" s="262">
        <v>593000</v>
      </c>
      <c r="S6890" t="s">
        <v>114</v>
      </c>
      <c r="T6890" t="s">
        <v>114</v>
      </c>
      <c r="V6890">
        <v>4683</v>
      </c>
      <c r="W6890">
        <v>1757</v>
      </c>
      <c r="X6890">
        <v>0</v>
      </c>
      <c r="AC6890">
        <v>1757</v>
      </c>
      <c r="AU6890">
        <f t="shared" si="214"/>
        <v>0</v>
      </c>
      <c r="AV6890">
        <f t="shared" si="215"/>
        <v>0</v>
      </c>
    </row>
    <row r="6891" spans="1:48" x14ac:dyDescent="0.25">
      <c r="A6891" t="s">
        <v>15938</v>
      </c>
      <c r="B6891" t="s">
        <v>15938</v>
      </c>
      <c r="C6891" t="s">
        <v>15939</v>
      </c>
      <c r="D6891" t="s">
        <v>15940</v>
      </c>
      <c r="E6891" t="s">
        <v>2310</v>
      </c>
      <c r="F6891">
        <v>9</v>
      </c>
      <c r="G6891">
        <v>9.1999999999999993</v>
      </c>
      <c r="H6891" t="s">
        <v>2022</v>
      </c>
      <c r="I6891" s="21">
        <v>44397.568514236104</v>
      </c>
      <c r="J6891">
        <v>2021</v>
      </c>
      <c r="K6891" s="21">
        <v>44496</v>
      </c>
      <c r="L6891">
        <v>2021</v>
      </c>
      <c r="Q6891" s="262">
        <v>7250000</v>
      </c>
      <c r="R6891" s="262">
        <v>1760000</v>
      </c>
      <c r="S6891" t="s">
        <v>114</v>
      </c>
      <c r="T6891" t="s">
        <v>114</v>
      </c>
      <c r="W6891">
        <v>12229</v>
      </c>
      <c r="X6891">
        <v>1</v>
      </c>
      <c r="AC6891">
        <v>12229</v>
      </c>
      <c r="AO6891">
        <v>1</v>
      </c>
      <c r="AU6891">
        <f t="shared" si="214"/>
        <v>1</v>
      </c>
      <c r="AV6891">
        <f t="shared" si="215"/>
        <v>0</v>
      </c>
    </row>
    <row r="6892" spans="1:48" x14ac:dyDescent="0.25">
      <c r="A6892" t="s">
        <v>15941</v>
      </c>
      <c r="B6892" t="s">
        <v>15941</v>
      </c>
      <c r="C6892" t="s">
        <v>15942</v>
      </c>
      <c r="D6892" t="s">
        <v>15940</v>
      </c>
      <c r="E6892" t="s">
        <v>2310</v>
      </c>
      <c r="F6892">
        <v>9</v>
      </c>
      <c r="G6892">
        <v>9.1999999999999993</v>
      </c>
      <c r="H6892" t="s">
        <v>2022</v>
      </c>
      <c r="I6892" s="21">
        <v>44397.582591284699</v>
      </c>
      <c r="J6892">
        <v>2021</v>
      </c>
      <c r="K6892" s="21">
        <v>44496</v>
      </c>
      <c r="L6892">
        <v>2021</v>
      </c>
      <c r="Q6892" s="262">
        <v>215000</v>
      </c>
      <c r="R6892" s="262">
        <v>33000</v>
      </c>
      <c r="S6892" t="s">
        <v>114</v>
      </c>
      <c r="T6892" t="s">
        <v>114</v>
      </c>
      <c r="W6892">
        <v>682</v>
      </c>
      <c r="X6892">
        <v>0</v>
      </c>
      <c r="AC6892">
        <v>682</v>
      </c>
      <c r="AU6892">
        <f t="shared" si="214"/>
        <v>0</v>
      </c>
      <c r="AV6892">
        <f t="shared" si="215"/>
        <v>0</v>
      </c>
    </row>
    <row r="6893" spans="1:48" x14ac:dyDescent="0.25">
      <c r="A6893" t="s">
        <v>19693</v>
      </c>
      <c r="B6893" t="s">
        <v>19693</v>
      </c>
      <c r="C6893" t="s">
        <v>19694</v>
      </c>
      <c r="D6893" t="s">
        <v>19695</v>
      </c>
      <c r="E6893" t="s">
        <v>2310</v>
      </c>
      <c r="F6893">
        <v>15</v>
      </c>
      <c r="G6893">
        <v>15.2</v>
      </c>
      <c r="H6893" t="s">
        <v>2323</v>
      </c>
      <c r="I6893" s="21">
        <v>44398.621321446801</v>
      </c>
      <c r="J6893">
        <v>2021</v>
      </c>
      <c r="K6893" s="21">
        <v>44462</v>
      </c>
      <c r="L6893">
        <v>2021</v>
      </c>
      <c r="M6893" s="21">
        <v>44768.404748611109</v>
      </c>
      <c r="N6893">
        <v>2022</v>
      </c>
      <c r="O6893" s="21">
        <v>44399</v>
      </c>
      <c r="Q6893" s="262">
        <v>1495000</v>
      </c>
      <c r="R6893" s="262">
        <v>653000</v>
      </c>
      <c r="S6893" t="s">
        <v>114</v>
      </c>
      <c r="T6893" t="s">
        <v>114</v>
      </c>
      <c r="W6893">
        <v>4920</v>
      </c>
      <c r="X6893">
        <v>1</v>
      </c>
      <c r="AC6893">
        <v>4920</v>
      </c>
      <c r="AO6893">
        <v>1</v>
      </c>
      <c r="AU6893">
        <f t="shared" si="214"/>
        <v>1</v>
      </c>
      <c r="AV6893">
        <f t="shared" si="215"/>
        <v>0</v>
      </c>
    </row>
    <row r="6894" spans="1:48" x14ac:dyDescent="0.25">
      <c r="A6894" t="s">
        <v>15945</v>
      </c>
      <c r="C6894" t="s">
        <v>15946</v>
      </c>
      <c r="D6894" t="s">
        <v>15947</v>
      </c>
      <c r="E6894" t="s">
        <v>1663</v>
      </c>
      <c r="F6894">
        <v>2</v>
      </c>
      <c r="G6894">
        <v>2.2999999999999998</v>
      </c>
      <c r="H6894" t="s">
        <v>2327</v>
      </c>
      <c r="I6894" s="21">
        <v>44399</v>
      </c>
      <c r="J6894">
        <v>2021</v>
      </c>
      <c r="K6894" s="21">
        <v>44449</v>
      </c>
      <c r="L6894">
        <v>2021</v>
      </c>
      <c r="P6894" s="21">
        <v>44629</v>
      </c>
      <c r="Q6894" s="262">
        <v>47000</v>
      </c>
      <c r="S6894" t="s">
        <v>114</v>
      </c>
      <c r="T6894" t="s">
        <v>114</v>
      </c>
      <c r="V6894">
        <v>3247</v>
      </c>
      <c r="W6894">
        <v>0</v>
      </c>
      <c r="X6894">
        <v>0</v>
      </c>
      <c r="AJ6894">
        <v>3247</v>
      </c>
      <c r="AK6894">
        <v>-3247</v>
      </c>
      <c r="AU6894">
        <f t="shared" si="214"/>
        <v>0</v>
      </c>
      <c r="AV6894">
        <f t="shared" si="215"/>
        <v>0</v>
      </c>
    </row>
    <row r="6895" spans="1:48" x14ac:dyDescent="0.25">
      <c r="A6895" t="s">
        <v>15948</v>
      </c>
      <c r="B6895" t="s">
        <v>15948</v>
      </c>
      <c r="C6895" t="s">
        <v>15949</v>
      </c>
      <c r="D6895" t="s">
        <v>6027</v>
      </c>
      <c r="E6895" t="s">
        <v>2310</v>
      </c>
      <c r="F6895">
        <v>8</v>
      </c>
      <c r="G6895">
        <v>8.1999999999999993</v>
      </c>
      <c r="H6895" t="s">
        <v>2022</v>
      </c>
      <c r="I6895" s="21">
        <v>44400.500757175898</v>
      </c>
      <c r="J6895">
        <v>2021</v>
      </c>
      <c r="K6895" s="21">
        <v>44477</v>
      </c>
      <c r="L6895">
        <v>2021</v>
      </c>
      <c r="Q6895" s="262">
        <v>500000</v>
      </c>
      <c r="R6895" s="262">
        <v>53000</v>
      </c>
      <c r="S6895" t="s">
        <v>114</v>
      </c>
      <c r="T6895" t="s">
        <v>114</v>
      </c>
      <c r="W6895">
        <v>775</v>
      </c>
      <c r="X6895">
        <v>0</v>
      </c>
      <c r="AC6895">
        <v>775</v>
      </c>
      <c r="AU6895">
        <f t="shared" si="214"/>
        <v>0</v>
      </c>
      <c r="AV6895">
        <f t="shared" si="215"/>
        <v>0</v>
      </c>
    </row>
    <row r="6896" spans="1:48" x14ac:dyDescent="0.25">
      <c r="A6896" t="s">
        <v>15950</v>
      </c>
      <c r="C6896" t="s">
        <v>15951</v>
      </c>
      <c r="D6896" t="s">
        <v>15952</v>
      </c>
      <c r="E6896" t="s">
        <v>1663</v>
      </c>
      <c r="F6896">
        <v>3</v>
      </c>
      <c r="G6896">
        <v>3.2</v>
      </c>
      <c r="H6896" t="s">
        <v>2327</v>
      </c>
      <c r="I6896" s="21">
        <v>44403</v>
      </c>
      <c r="J6896">
        <v>2021</v>
      </c>
      <c r="K6896" s="21">
        <v>44414</v>
      </c>
      <c r="L6896">
        <v>2021</v>
      </c>
      <c r="P6896" s="21">
        <v>44594</v>
      </c>
      <c r="Q6896" s="262">
        <v>31753</v>
      </c>
      <c r="S6896" t="s">
        <v>114</v>
      </c>
      <c r="T6896" t="s">
        <v>114</v>
      </c>
      <c r="W6896">
        <v>96</v>
      </c>
      <c r="X6896">
        <v>0</v>
      </c>
      <c r="AC6896">
        <v>96</v>
      </c>
      <c r="AU6896">
        <f t="shared" si="214"/>
        <v>0</v>
      </c>
      <c r="AV6896">
        <f t="shared" si="215"/>
        <v>0</v>
      </c>
    </row>
    <row r="6897" spans="1:48" x14ac:dyDescent="0.25">
      <c r="A6897" t="s">
        <v>15953</v>
      </c>
      <c r="B6897" t="s">
        <v>15953</v>
      </c>
      <c r="C6897" t="s">
        <v>15954</v>
      </c>
      <c r="D6897" t="s">
        <v>15955</v>
      </c>
      <c r="E6897" t="s">
        <v>2310</v>
      </c>
      <c r="F6897">
        <v>8</v>
      </c>
      <c r="G6897">
        <v>8.1999999999999993</v>
      </c>
      <c r="H6897" t="s">
        <v>2022</v>
      </c>
      <c r="I6897" s="21">
        <v>44404.487001585701</v>
      </c>
      <c r="J6897">
        <v>2021</v>
      </c>
      <c r="K6897" s="21">
        <v>44545</v>
      </c>
      <c r="L6897">
        <v>2021</v>
      </c>
      <c r="Q6897" s="262">
        <v>5500000</v>
      </c>
      <c r="R6897" s="262">
        <v>904000</v>
      </c>
      <c r="S6897" t="s">
        <v>114</v>
      </c>
      <c r="T6897" t="s">
        <v>114</v>
      </c>
      <c r="W6897">
        <v>6282</v>
      </c>
      <c r="X6897">
        <v>1</v>
      </c>
      <c r="AC6897">
        <v>6282</v>
      </c>
      <c r="AO6897">
        <v>1</v>
      </c>
      <c r="AU6897">
        <f t="shared" si="214"/>
        <v>1</v>
      </c>
      <c r="AV6897">
        <f t="shared" si="215"/>
        <v>0</v>
      </c>
    </row>
    <row r="6898" spans="1:48" x14ac:dyDescent="0.25">
      <c r="A6898" t="s">
        <v>14919</v>
      </c>
      <c r="C6898" t="s">
        <v>14920</v>
      </c>
      <c r="D6898" t="s">
        <v>14921</v>
      </c>
      <c r="E6898" t="s">
        <v>1663</v>
      </c>
      <c r="F6898">
        <v>6</v>
      </c>
      <c r="G6898">
        <v>6.2</v>
      </c>
      <c r="H6898" t="s">
        <v>2017</v>
      </c>
      <c r="I6898" s="21">
        <v>44405</v>
      </c>
      <c r="J6898">
        <v>2021</v>
      </c>
      <c r="K6898" s="21">
        <v>44473</v>
      </c>
      <c r="L6898">
        <v>2021</v>
      </c>
      <c r="M6898" s="21">
        <v>44748</v>
      </c>
      <c r="N6898">
        <v>2022</v>
      </c>
      <c r="P6898" s="21">
        <v>44681</v>
      </c>
      <c r="Q6898" s="262">
        <v>250000</v>
      </c>
      <c r="S6898" t="s">
        <v>13254</v>
      </c>
      <c r="W6898">
        <v>757</v>
      </c>
      <c r="X6898">
        <v>1</v>
      </c>
      <c r="AF6898">
        <v>757</v>
      </c>
      <c r="AR6898">
        <v>1</v>
      </c>
      <c r="AU6898">
        <f t="shared" si="214"/>
        <v>0</v>
      </c>
      <c r="AV6898">
        <f t="shared" si="215"/>
        <v>0</v>
      </c>
    </row>
    <row r="6899" spans="1:48" x14ac:dyDescent="0.25">
      <c r="A6899" t="s">
        <v>15958</v>
      </c>
      <c r="B6899" t="s">
        <v>15958</v>
      </c>
      <c r="C6899" t="s">
        <v>15959</v>
      </c>
      <c r="D6899" t="s">
        <v>15960</v>
      </c>
      <c r="E6899" t="s">
        <v>2310</v>
      </c>
      <c r="F6899">
        <v>8</v>
      </c>
      <c r="G6899">
        <v>8.1</v>
      </c>
      <c r="H6899" t="s">
        <v>2323</v>
      </c>
      <c r="I6899" s="21">
        <v>44405.628925810197</v>
      </c>
      <c r="J6899">
        <v>2021</v>
      </c>
      <c r="K6899" s="21">
        <v>44483</v>
      </c>
      <c r="L6899">
        <v>2021</v>
      </c>
      <c r="Q6899" s="262">
        <v>10000000</v>
      </c>
      <c r="R6899" s="262">
        <v>1042000</v>
      </c>
      <c r="S6899" t="s">
        <v>114</v>
      </c>
      <c r="T6899" t="s">
        <v>114</v>
      </c>
      <c r="W6899">
        <v>7475</v>
      </c>
      <c r="X6899">
        <v>1</v>
      </c>
      <c r="AC6899">
        <v>7475</v>
      </c>
      <c r="AO6899">
        <v>1</v>
      </c>
      <c r="AU6899">
        <f t="shared" si="214"/>
        <v>1</v>
      </c>
      <c r="AV6899">
        <f t="shared" si="215"/>
        <v>0</v>
      </c>
    </row>
    <row r="6900" spans="1:48" x14ac:dyDescent="0.25">
      <c r="A6900" t="s">
        <v>15961</v>
      </c>
      <c r="B6900" t="s">
        <v>15961</v>
      </c>
      <c r="C6900" t="s">
        <v>15962</v>
      </c>
      <c r="D6900" t="s">
        <v>15960</v>
      </c>
      <c r="E6900" t="s">
        <v>2310</v>
      </c>
      <c r="F6900">
        <v>8</v>
      </c>
      <c r="G6900">
        <v>8.1</v>
      </c>
      <c r="H6900" t="s">
        <v>2323</v>
      </c>
      <c r="I6900" s="21">
        <v>44406.342448344898</v>
      </c>
      <c r="J6900">
        <v>2021</v>
      </c>
      <c r="K6900" s="21">
        <v>44483</v>
      </c>
      <c r="L6900">
        <v>2021</v>
      </c>
      <c r="Q6900" s="262">
        <v>5000000</v>
      </c>
      <c r="R6900" s="262">
        <v>107000</v>
      </c>
      <c r="S6900" t="s">
        <v>114</v>
      </c>
      <c r="T6900" t="s">
        <v>114</v>
      </c>
      <c r="W6900">
        <v>904</v>
      </c>
      <c r="X6900">
        <v>1</v>
      </c>
      <c r="AF6900">
        <v>904</v>
      </c>
      <c r="AR6900">
        <v>1</v>
      </c>
      <c r="AU6900">
        <f t="shared" si="214"/>
        <v>0</v>
      </c>
      <c r="AV6900">
        <f t="shared" si="215"/>
        <v>0</v>
      </c>
    </row>
    <row r="6901" spans="1:48" x14ac:dyDescent="0.25">
      <c r="A6901" t="s">
        <v>15963</v>
      </c>
      <c r="B6901" t="s">
        <v>15963</v>
      </c>
      <c r="C6901" t="s">
        <v>15964</v>
      </c>
      <c r="D6901" t="s">
        <v>15960</v>
      </c>
      <c r="E6901" t="s">
        <v>2310</v>
      </c>
      <c r="F6901">
        <v>8</v>
      </c>
      <c r="G6901">
        <v>8.1</v>
      </c>
      <c r="H6901" t="s">
        <v>2323</v>
      </c>
      <c r="I6901" s="21">
        <v>44406.347637881903</v>
      </c>
      <c r="J6901">
        <v>2021</v>
      </c>
      <c r="K6901" s="21">
        <v>44518</v>
      </c>
      <c r="L6901">
        <v>2021</v>
      </c>
      <c r="Q6901" s="262">
        <v>5000000</v>
      </c>
      <c r="R6901" s="262">
        <v>132000</v>
      </c>
      <c r="S6901" t="s">
        <v>114</v>
      </c>
      <c r="T6901" t="s">
        <v>114</v>
      </c>
      <c r="W6901">
        <v>1752</v>
      </c>
      <c r="X6901">
        <v>0</v>
      </c>
      <c r="AC6901">
        <v>1752</v>
      </c>
      <c r="AU6901">
        <f t="shared" si="214"/>
        <v>0</v>
      </c>
      <c r="AV6901">
        <f t="shared" si="215"/>
        <v>0</v>
      </c>
    </row>
    <row r="6902" spans="1:48" x14ac:dyDescent="0.25">
      <c r="A6902" t="s">
        <v>15965</v>
      </c>
      <c r="B6902" t="s">
        <v>15965</v>
      </c>
      <c r="C6902" t="s">
        <v>15966</v>
      </c>
      <c r="D6902" t="s">
        <v>15967</v>
      </c>
      <c r="E6902" t="s">
        <v>2310</v>
      </c>
      <c r="F6902">
        <v>11</v>
      </c>
      <c r="G6902">
        <v>11.3</v>
      </c>
      <c r="H6902" t="s">
        <v>2017</v>
      </c>
      <c r="I6902" s="21">
        <v>44406.380854548603</v>
      </c>
      <c r="J6902">
        <v>2021</v>
      </c>
      <c r="Q6902" s="262">
        <v>2250000</v>
      </c>
      <c r="R6902" s="262">
        <v>486000</v>
      </c>
      <c r="S6902" t="s">
        <v>114</v>
      </c>
      <c r="T6902" t="s">
        <v>114</v>
      </c>
      <c r="W6902">
        <v>4119</v>
      </c>
      <c r="X6902">
        <v>1</v>
      </c>
      <c r="AC6902">
        <v>4119</v>
      </c>
      <c r="AO6902">
        <v>1</v>
      </c>
      <c r="AU6902">
        <f t="shared" si="214"/>
        <v>1</v>
      </c>
      <c r="AV6902">
        <f t="shared" si="215"/>
        <v>0</v>
      </c>
    </row>
    <row r="6903" spans="1:48" x14ac:dyDescent="0.25">
      <c r="A6903" t="s">
        <v>15968</v>
      </c>
      <c r="B6903" t="s">
        <v>15968</v>
      </c>
      <c r="C6903" t="s">
        <v>15969</v>
      </c>
      <c r="D6903" t="s">
        <v>1553</v>
      </c>
      <c r="E6903" t="s">
        <v>2310</v>
      </c>
      <c r="F6903">
        <v>9</v>
      </c>
      <c r="G6903">
        <v>9.1999999999999993</v>
      </c>
      <c r="H6903" t="s">
        <v>2022</v>
      </c>
      <c r="I6903" s="21">
        <v>44406.426430474501</v>
      </c>
      <c r="J6903">
        <v>2021</v>
      </c>
      <c r="K6903" s="21">
        <v>44552</v>
      </c>
      <c r="L6903">
        <v>2021</v>
      </c>
      <c r="Q6903" s="262">
        <v>3250000</v>
      </c>
      <c r="R6903" s="262">
        <v>525000</v>
      </c>
      <c r="S6903" t="s">
        <v>114</v>
      </c>
      <c r="T6903" t="s">
        <v>114</v>
      </c>
      <c r="W6903">
        <v>4744</v>
      </c>
      <c r="X6903">
        <v>1</v>
      </c>
      <c r="AC6903">
        <v>4744</v>
      </c>
      <c r="AO6903">
        <v>1</v>
      </c>
      <c r="AU6903">
        <f t="shared" si="214"/>
        <v>1</v>
      </c>
      <c r="AV6903">
        <f t="shared" si="215"/>
        <v>0</v>
      </c>
    </row>
    <row r="6904" spans="1:48" x14ac:dyDescent="0.25">
      <c r="A6904" t="s">
        <v>19696</v>
      </c>
      <c r="B6904" t="s">
        <v>19696</v>
      </c>
      <c r="C6904" t="s">
        <v>19697</v>
      </c>
      <c r="D6904" t="s">
        <v>19698</v>
      </c>
      <c r="E6904" t="s">
        <v>2310</v>
      </c>
      <c r="F6904">
        <v>8</v>
      </c>
      <c r="G6904">
        <v>8.1</v>
      </c>
      <c r="H6904" t="s">
        <v>2323</v>
      </c>
      <c r="I6904" s="21">
        <v>44406.478214317103</v>
      </c>
      <c r="J6904">
        <v>2021</v>
      </c>
      <c r="K6904" s="21">
        <v>44475</v>
      </c>
      <c r="L6904">
        <v>2021</v>
      </c>
      <c r="M6904" s="21">
        <v>44851</v>
      </c>
      <c r="N6904">
        <v>2022</v>
      </c>
      <c r="Q6904" s="262">
        <v>700000</v>
      </c>
      <c r="R6904" s="262">
        <v>245000</v>
      </c>
      <c r="S6904" t="s">
        <v>13254</v>
      </c>
      <c r="T6904">
        <v>0</v>
      </c>
      <c r="W6904">
        <v>2977</v>
      </c>
      <c r="X6904">
        <v>1</v>
      </c>
      <c r="AC6904">
        <v>2977</v>
      </c>
      <c r="AO6904">
        <v>1</v>
      </c>
      <c r="AU6904">
        <f t="shared" si="214"/>
        <v>1</v>
      </c>
      <c r="AV6904">
        <f t="shared" si="215"/>
        <v>0</v>
      </c>
    </row>
    <row r="6905" spans="1:48" x14ac:dyDescent="0.25">
      <c r="A6905" t="s">
        <v>14927</v>
      </c>
      <c r="C6905" t="s">
        <v>14928</v>
      </c>
      <c r="D6905" t="s">
        <v>12603</v>
      </c>
      <c r="E6905" t="s">
        <v>1663</v>
      </c>
      <c r="F6905">
        <v>2</v>
      </c>
      <c r="G6905">
        <v>2.2999999999999998</v>
      </c>
      <c r="H6905" t="s">
        <v>2327</v>
      </c>
      <c r="I6905" s="21">
        <v>44410</v>
      </c>
      <c r="J6905">
        <v>2021</v>
      </c>
      <c r="M6905" s="21">
        <v>44704</v>
      </c>
      <c r="N6905">
        <v>2022</v>
      </c>
      <c r="Q6905" s="262">
        <v>50000</v>
      </c>
      <c r="S6905" t="s">
        <v>13253</v>
      </c>
      <c r="T6905">
        <v>13121</v>
      </c>
      <c r="W6905">
        <v>0</v>
      </c>
      <c r="X6905">
        <v>0</v>
      </c>
      <c r="AU6905">
        <f t="shared" si="214"/>
        <v>0</v>
      </c>
      <c r="AV6905">
        <f t="shared" si="215"/>
        <v>0</v>
      </c>
    </row>
    <row r="6906" spans="1:48" x14ac:dyDescent="0.25">
      <c r="A6906" t="s">
        <v>15975</v>
      </c>
      <c r="B6906" t="s">
        <v>15975</v>
      </c>
      <c r="C6906" t="s">
        <v>15976</v>
      </c>
      <c r="D6906" t="s">
        <v>15977</v>
      </c>
      <c r="E6906" t="s">
        <v>2310</v>
      </c>
      <c r="F6906">
        <v>15</v>
      </c>
      <c r="G6906">
        <v>15.2</v>
      </c>
      <c r="H6906" t="s">
        <v>2323</v>
      </c>
      <c r="I6906" s="21">
        <v>44410.533811307898</v>
      </c>
      <c r="J6906">
        <v>2021</v>
      </c>
      <c r="O6906" s="21">
        <v>44449</v>
      </c>
      <c r="Q6906" s="262">
        <v>10000</v>
      </c>
      <c r="R6906" s="262">
        <v>62000</v>
      </c>
      <c r="S6906" t="s">
        <v>114</v>
      </c>
      <c r="T6906" t="s">
        <v>114</v>
      </c>
      <c r="W6906">
        <v>199</v>
      </c>
      <c r="X6906">
        <v>0</v>
      </c>
      <c r="AC6906">
        <v>199</v>
      </c>
      <c r="AU6906">
        <f t="shared" si="214"/>
        <v>0</v>
      </c>
      <c r="AV6906">
        <f t="shared" si="215"/>
        <v>0</v>
      </c>
    </row>
    <row r="6907" spans="1:48" x14ac:dyDescent="0.25">
      <c r="A6907" t="s">
        <v>15978</v>
      </c>
      <c r="B6907" t="s">
        <v>15978</v>
      </c>
      <c r="C6907" t="s">
        <v>15979</v>
      </c>
      <c r="D6907" t="s">
        <v>15980</v>
      </c>
      <c r="E6907" t="s">
        <v>2310</v>
      </c>
      <c r="F6907">
        <v>9</v>
      </c>
      <c r="G6907">
        <v>9.1</v>
      </c>
      <c r="H6907" t="s">
        <v>2323</v>
      </c>
      <c r="I6907" s="21">
        <v>44411.4339096412</v>
      </c>
      <c r="J6907">
        <v>2021</v>
      </c>
      <c r="K6907" s="21">
        <v>44489</v>
      </c>
      <c r="L6907">
        <v>2021</v>
      </c>
      <c r="Q6907" s="262">
        <v>1750000</v>
      </c>
      <c r="R6907" s="262">
        <v>165000</v>
      </c>
      <c r="S6907" t="s">
        <v>114</v>
      </c>
      <c r="T6907" t="s">
        <v>114</v>
      </c>
      <c r="W6907">
        <v>3124</v>
      </c>
      <c r="X6907">
        <v>0</v>
      </c>
      <c r="AC6907">
        <v>3124</v>
      </c>
      <c r="AU6907">
        <f t="shared" si="214"/>
        <v>0</v>
      </c>
      <c r="AV6907">
        <f t="shared" si="215"/>
        <v>0</v>
      </c>
    </row>
    <row r="6908" spans="1:48" x14ac:dyDescent="0.25">
      <c r="A6908" t="s">
        <v>15981</v>
      </c>
      <c r="B6908" t="s">
        <v>15981</v>
      </c>
      <c r="C6908" t="s">
        <v>15982</v>
      </c>
      <c r="D6908" t="s">
        <v>15983</v>
      </c>
      <c r="E6908" t="s">
        <v>2310</v>
      </c>
      <c r="F6908">
        <v>8</v>
      </c>
      <c r="G6908">
        <v>8.1</v>
      </c>
      <c r="H6908" t="s">
        <v>2323</v>
      </c>
      <c r="I6908" s="21">
        <v>44411.565234456</v>
      </c>
      <c r="J6908">
        <v>2021</v>
      </c>
      <c r="Q6908" s="262">
        <v>3000000</v>
      </c>
      <c r="R6908" s="262">
        <v>647000</v>
      </c>
      <c r="S6908" t="s">
        <v>114</v>
      </c>
      <c r="T6908" t="s">
        <v>114</v>
      </c>
      <c r="W6908">
        <v>5340</v>
      </c>
      <c r="X6908">
        <v>1</v>
      </c>
      <c r="AC6908">
        <v>5340</v>
      </c>
      <c r="AO6908">
        <v>1</v>
      </c>
      <c r="AU6908">
        <f t="shared" si="214"/>
        <v>1</v>
      </c>
      <c r="AV6908">
        <f t="shared" si="215"/>
        <v>0</v>
      </c>
    </row>
    <row r="6909" spans="1:48" x14ac:dyDescent="0.25">
      <c r="A6909" t="s">
        <v>15984</v>
      </c>
      <c r="B6909" t="s">
        <v>15984</v>
      </c>
      <c r="C6909" t="s">
        <v>15985</v>
      </c>
      <c r="D6909" t="s">
        <v>4365</v>
      </c>
      <c r="E6909" t="s">
        <v>2310</v>
      </c>
      <c r="F6909">
        <v>9</v>
      </c>
      <c r="G6909">
        <v>9.1</v>
      </c>
      <c r="H6909" t="s">
        <v>2323</v>
      </c>
      <c r="I6909" s="21">
        <v>44413.466893900499</v>
      </c>
      <c r="J6909">
        <v>2021</v>
      </c>
      <c r="Q6909" s="262">
        <v>12000000</v>
      </c>
      <c r="R6909" s="262">
        <v>1921000</v>
      </c>
      <c r="S6909" t="s">
        <v>114</v>
      </c>
      <c r="T6909" t="s">
        <v>114</v>
      </c>
      <c r="V6909">
        <v>12637</v>
      </c>
      <c r="W6909">
        <v>0</v>
      </c>
      <c r="X6909">
        <v>0</v>
      </c>
      <c r="AU6909">
        <f t="shared" si="214"/>
        <v>0</v>
      </c>
      <c r="AV6909">
        <f t="shared" si="215"/>
        <v>0</v>
      </c>
    </row>
    <row r="6910" spans="1:48" x14ac:dyDescent="0.25">
      <c r="A6910" t="s">
        <v>15986</v>
      </c>
      <c r="B6910" t="s">
        <v>15986</v>
      </c>
      <c r="C6910" t="s">
        <v>15987</v>
      </c>
      <c r="D6910" t="s">
        <v>13113</v>
      </c>
      <c r="E6910" t="s">
        <v>2310</v>
      </c>
      <c r="F6910">
        <v>7</v>
      </c>
      <c r="G6910">
        <v>7.2</v>
      </c>
      <c r="H6910" t="s">
        <v>2017</v>
      </c>
      <c r="I6910" s="21">
        <v>44413.590888773098</v>
      </c>
      <c r="J6910">
        <v>2021</v>
      </c>
      <c r="Q6910" s="262">
        <v>250000</v>
      </c>
      <c r="R6910" s="262">
        <v>1000</v>
      </c>
      <c r="S6910" t="s">
        <v>114</v>
      </c>
      <c r="T6910" t="s">
        <v>114</v>
      </c>
      <c r="W6910">
        <v>2040</v>
      </c>
      <c r="X6910">
        <v>0</v>
      </c>
      <c r="AL6910">
        <v>2040</v>
      </c>
      <c r="AU6910">
        <f t="shared" si="214"/>
        <v>0</v>
      </c>
      <c r="AV6910">
        <f t="shared" si="215"/>
        <v>2040</v>
      </c>
    </row>
    <row r="6911" spans="1:48" x14ac:dyDescent="0.25">
      <c r="A6911" t="s">
        <v>15988</v>
      </c>
      <c r="B6911" t="s">
        <v>15988</v>
      </c>
      <c r="C6911" t="s">
        <v>15989</v>
      </c>
      <c r="D6911" t="s">
        <v>15990</v>
      </c>
      <c r="E6911" t="s">
        <v>2310</v>
      </c>
      <c r="F6911">
        <v>9</v>
      </c>
      <c r="G6911">
        <v>9.1</v>
      </c>
      <c r="H6911" t="s">
        <v>2323</v>
      </c>
      <c r="I6911" s="21">
        <v>44413.625775</v>
      </c>
      <c r="J6911">
        <v>2021</v>
      </c>
      <c r="K6911" s="21">
        <v>44540</v>
      </c>
      <c r="L6911">
        <v>2021</v>
      </c>
      <c r="Q6911" s="262">
        <v>5400000</v>
      </c>
      <c r="R6911" s="262">
        <v>944000</v>
      </c>
      <c r="S6911" t="s">
        <v>114</v>
      </c>
      <c r="T6911" t="s">
        <v>114</v>
      </c>
      <c r="W6911">
        <v>6952</v>
      </c>
      <c r="X6911">
        <v>1</v>
      </c>
      <c r="AC6911">
        <v>6952</v>
      </c>
      <c r="AO6911">
        <v>1</v>
      </c>
      <c r="AU6911">
        <f t="shared" si="214"/>
        <v>1</v>
      </c>
      <c r="AV6911">
        <f t="shared" si="215"/>
        <v>0</v>
      </c>
    </row>
    <row r="6912" spans="1:48" x14ac:dyDescent="0.25">
      <c r="A6912" t="s">
        <v>14974</v>
      </c>
      <c r="C6912" t="s">
        <v>14920</v>
      </c>
      <c r="D6912" t="s">
        <v>13674</v>
      </c>
      <c r="E6912" t="s">
        <v>1663</v>
      </c>
      <c r="F6912">
        <v>6</v>
      </c>
      <c r="G6912">
        <v>6.1</v>
      </c>
      <c r="H6912" t="s">
        <v>2017</v>
      </c>
      <c r="I6912" s="21">
        <v>44417</v>
      </c>
      <c r="J6912">
        <v>2021</v>
      </c>
      <c r="M6912" s="21">
        <v>44704</v>
      </c>
      <c r="N6912">
        <v>2022</v>
      </c>
      <c r="P6912" s="21">
        <v>44636</v>
      </c>
      <c r="Q6912" s="262">
        <v>250000</v>
      </c>
      <c r="S6912" t="s">
        <v>13254</v>
      </c>
      <c r="W6912">
        <v>1023</v>
      </c>
      <c r="X6912">
        <v>1</v>
      </c>
      <c r="AF6912">
        <v>1023</v>
      </c>
      <c r="AR6912">
        <v>1</v>
      </c>
      <c r="AU6912">
        <f t="shared" si="214"/>
        <v>0</v>
      </c>
      <c r="AV6912">
        <f t="shared" si="215"/>
        <v>0</v>
      </c>
    </row>
    <row r="6913" spans="1:48" x14ac:dyDescent="0.25">
      <c r="A6913" t="s">
        <v>15993</v>
      </c>
      <c r="C6913" t="s">
        <v>15994</v>
      </c>
      <c r="D6913" t="s">
        <v>15995</v>
      </c>
      <c r="E6913" t="s">
        <v>1663</v>
      </c>
      <c r="F6913">
        <v>6</v>
      </c>
      <c r="G6913">
        <v>6.1</v>
      </c>
      <c r="H6913" t="s">
        <v>2017</v>
      </c>
      <c r="I6913" s="21">
        <v>44418</v>
      </c>
      <c r="J6913">
        <v>2021</v>
      </c>
      <c r="K6913" s="21">
        <v>44428</v>
      </c>
      <c r="L6913">
        <v>2021</v>
      </c>
      <c r="P6913" s="21">
        <v>44716</v>
      </c>
      <c r="Q6913" s="262">
        <v>35000</v>
      </c>
      <c r="S6913" t="s">
        <v>114</v>
      </c>
      <c r="T6913" t="s">
        <v>114</v>
      </c>
      <c r="W6913">
        <v>130</v>
      </c>
      <c r="X6913">
        <v>0</v>
      </c>
      <c r="AC6913">
        <v>130</v>
      </c>
      <c r="AU6913">
        <f t="shared" si="214"/>
        <v>0</v>
      </c>
      <c r="AV6913">
        <f t="shared" si="215"/>
        <v>0</v>
      </c>
    </row>
    <row r="6914" spans="1:48" x14ac:dyDescent="0.25">
      <c r="A6914" t="s">
        <v>15996</v>
      </c>
      <c r="B6914" t="s">
        <v>15996</v>
      </c>
      <c r="C6914" t="s">
        <v>15997</v>
      </c>
      <c r="D6914" t="s">
        <v>15998</v>
      </c>
      <c r="E6914" t="s">
        <v>2310</v>
      </c>
      <c r="F6914">
        <v>14</v>
      </c>
      <c r="G6914">
        <v>14.1</v>
      </c>
      <c r="H6914" t="s">
        <v>2022</v>
      </c>
      <c r="I6914" s="21">
        <v>44418.527260335599</v>
      </c>
      <c r="J6914">
        <v>2021</v>
      </c>
      <c r="K6914" s="21">
        <v>44516</v>
      </c>
      <c r="L6914">
        <v>2021</v>
      </c>
      <c r="Q6914" s="262">
        <v>2000000</v>
      </c>
      <c r="R6914" s="262">
        <v>410000</v>
      </c>
      <c r="S6914" t="s">
        <v>114</v>
      </c>
      <c r="T6914" t="s">
        <v>114</v>
      </c>
      <c r="W6914">
        <v>3255</v>
      </c>
      <c r="X6914">
        <v>1</v>
      </c>
      <c r="AC6914">
        <v>3255</v>
      </c>
      <c r="AO6914">
        <v>1</v>
      </c>
      <c r="AU6914">
        <f t="shared" si="214"/>
        <v>1</v>
      </c>
      <c r="AV6914">
        <f t="shared" si="215"/>
        <v>0</v>
      </c>
    </row>
    <row r="6915" spans="1:48" x14ac:dyDescent="0.25">
      <c r="A6915" t="s">
        <v>15999</v>
      </c>
      <c r="B6915" t="s">
        <v>15999</v>
      </c>
      <c r="C6915" t="s">
        <v>16000</v>
      </c>
      <c r="D6915" t="s">
        <v>15998</v>
      </c>
      <c r="E6915" t="s">
        <v>2310</v>
      </c>
      <c r="F6915">
        <v>14</v>
      </c>
      <c r="G6915">
        <v>14.1</v>
      </c>
      <c r="H6915" t="s">
        <v>2022</v>
      </c>
      <c r="I6915" s="21">
        <v>44418.613191284698</v>
      </c>
      <c r="J6915">
        <v>2021</v>
      </c>
      <c r="K6915" s="21">
        <v>44516</v>
      </c>
      <c r="L6915">
        <v>2021</v>
      </c>
      <c r="Q6915" s="262">
        <v>1000000</v>
      </c>
      <c r="R6915" s="262">
        <v>59000</v>
      </c>
      <c r="S6915" t="s">
        <v>114</v>
      </c>
      <c r="T6915" t="s">
        <v>114</v>
      </c>
      <c r="W6915">
        <v>958</v>
      </c>
      <c r="X6915">
        <v>0</v>
      </c>
      <c r="AC6915">
        <v>958</v>
      </c>
      <c r="AU6915">
        <f t="shared" si="214"/>
        <v>0</v>
      </c>
      <c r="AV6915">
        <f t="shared" si="215"/>
        <v>0</v>
      </c>
    </row>
    <row r="6916" spans="1:48" x14ac:dyDescent="0.25">
      <c r="A6916" t="s">
        <v>19699</v>
      </c>
      <c r="B6916" t="s">
        <v>19699</v>
      </c>
      <c r="C6916" t="s">
        <v>19700</v>
      </c>
      <c r="D6916" t="s">
        <v>15707</v>
      </c>
      <c r="E6916" t="s">
        <v>2310</v>
      </c>
      <c r="F6916">
        <v>8</v>
      </c>
      <c r="G6916">
        <v>8.1999999999999993</v>
      </c>
      <c r="H6916" t="s">
        <v>2022</v>
      </c>
      <c r="I6916" s="21">
        <v>44418.615592164402</v>
      </c>
      <c r="J6916">
        <v>2021</v>
      </c>
      <c r="K6916" s="21">
        <v>44475</v>
      </c>
      <c r="L6916">
        <v>2021</v>
      </c>
      <c r="M6916" s="21">
        <v>44848</v>
      </c>
      <c r="N6916">
        <v>2022</v>
      </c>
      <c r="Q6916" s="262">
        <v>100000</v>
      </c>
      <c r="R6916" s="262">
        <v>97000</v>
      </c>
      <c r="S6916" t="s">
        <v>13253</v>
      </c>
      <c r="T6916">
        <v>5713</v>
      </c>
      <c r="W6916">
        <v>362</v>
      </c>
      <c r="X6916">
        <v>0</v>
      </c>
      <c r="AC6916">
        <v>362</v>
      </c>
      <c r="AU6916">
        <f t="shared" si="214"/>
        <v>0</v>
      </c>
      <c r="AV6916">
        <f t="shared" si="215"/>
        <v>0</v>
      </c>
    </row>
    <row r="6917" spans="1:48" x14ac:dyDescent="0.25">
      <c r="A6917" t="s">
        <v>16004</v>
      </c>
      <c r="B6917" t="s">
        <v>16004</v>
      </c>
      <c r="C6917" t="s">
        <v>16005</v>
      </c>
      <c r="D6917" t="s">
        <v>3045</v>
      </c>
      <c r="E6917" t="s">
        <v>2310</v>
      </c>
      <c r="F6917">
        <v>9</v>
      </c>
      <c r="G6917">
        <v>9.3000000000000007</v>
      </c>
      <c r="H6917" t="s">
        <v>2323</v>
      </c>
      <c r="I6917" s="21">
        <v>44418.659247719901</v>
      </c>
      <c r="J6917">
        <v>2021</v>
      </c>
      <c r="K6917" s="21">
        <v>44539</v>
      </c>
      <c r="L6917">
        <v>2021</v>
      </c>
      <c r="Q6917" s="262">
        <v>1750000</v>
      </c>
      <c r="R6917" s="262">
        <v>291000</v>
      </c>
      <c r="S6917" t="s">
        <v>114</v>
      </c>
      <c r="T6917" t="s">
        <v>114</v>
      </c>
      <c r="V6917">
        <v>1777</v>
      </c>
      <c r="W6917">
        <v>1777</v>
      </c>
      <c r="X6917">
        <v>0</v>
      </c>
      <c r="AC6917">
        <v>1777</v>
      </c>
      <c r="AU6917">
        <f t="shared" si="214"/>
        <v>0</v>
      </c>
      <c r="AV6917">
        <f t="shared" si="215"/>
        <v>0</v>
      </c>
    </row>
    <row r="6918" spans="1:48" x14ac:dyDescent="0.25">
      <c r="A6918" t="s">
        <v>16006</v>
      </c>
      <c r="B6918" t="s">
        <v>16006</v>
      </c>
      <c r="C6918" t="s">
        <v>16007</v>
      </c>
      <c r="D6918" t="s">
        <v>6484</v>
      </c>
      <c r="E6918" t="s">
        <v>2310</v>
      </c>
      <c r="F6918">
        <v>11</v>
      </c>
      <c r="G6918">
        <v>11.2</v>
      </c>
      <c r="H6918" t="s">
        <v>2017</v>
      </c>
      <c r="I6918" s="21">
        <v>44419.639264432903</v>
      </c>
      <c r="J6918">
        <v>2021</v>
      </c>
      <c r="K6918" s="21">
        <v>44495</v>
      </c>
      <c r="L6918">
        <v>2021</v>
      </c>
      <c r="Q6918" s="262">
        <v>800000</v>
      </c>
      <c r="R6918" s="262">
        <v>133000</v>
      </c>
      <c r="S6918" t="s">
        <v>114</v>
      </c>
      <c r="T6918" t="s">
        <v>114</v>
      </c>
      <c r="W6918">
        <v>1120</v>
      </c>
      <c r="X6918">
        <v>0</v>
      </c>
      <c r="AC6918">
        <v>1120</v>
      </c>
      <c r="AU6918">
        <f t="shared" si="214"/>
        <v>0</v>
      </c>
      <c r="AV6918">
        <f t="shared" si="215"/>
        <v>0</v>
      </c>
    </row>
    <row r="6919" spans="1:48" x14ac:dyDescent="0.25">
      <c r="A6919" t="s">
        <v>19943</v>
      </c>
      <c r="C6919" t="s">
        <v>11246</v>
      </c>
      <c r="D6919" t="s">
        <v>19944</v>
      </c>
      <c r="E6919" t="s">
        <v>1663</v>
      </c>
      <c r="F6919">
        <v>6</v>
      </c>
      <c r="G6919">
        <v>6.1</v>
      </c>
      <c r="H6919" t="s">
        <v>2017</v>
      </c>
      <c r="I6919" s="21">
        <v>44420</v>
      </c>
      <c r="J6919">
        <v>2021</v>
      </c>
      <c r="M6919" s="21">
        <v>44424</v>
      </c>
      <c r="N6919">
        <v>2021</v>
      </c>
      <c r="Q6919" s="262">
        <v>0</v>
      </c>
      <c r="S6919" t="s">
        <v>13254</v>
      </c>
      <c r="U6919">
        <v>5</v>
      </c>
      <c r="W6919">
        <v>4677</v>
      </c>
      <c r="X6919">
        <v>1</v>
      </c>
      <c r="AC6919">
        <v>4677</v>
      </c>
      <c r="AO6919">
        <v>1</v>
      </c>
      <c r="AU6919">
        <f t="shared" si="214"/>
        <v>1</v>
      </c>
      <c r="AV6919">
        <f t="shared" si="215"/>
        <v>0</v>
      </c>
    </row>
    <row r="6920" spans="1:48" x14ac:dyDescent="0.25">
      <c r="A6920" t="s">
        <v>15263</v>
      </c>
      <c r="B6920" t="s">
        <v>15263</v>
      </c>
      <c r="C6920" t="s">
        <v>15264</v>
      </c>
      <c r="D6920" t="s">
        <v>3585</v>
      </c>
      <c r="E6920" t="s">
        <v>2310</v>
      </c>
      <c r="F6920">
        <v>7</v>
      </c>
      <c r="G6920">
        <v>7.1</v>
      </c>
      <c r="H6920" t="s">
        <v>2017</v>
      </c>
      <c r="I6920" s="21">
        <v>44421.432052546297</v>
      </c>
      <c r="J6920">
        <v>2021</v>
      </c>
      <c r="K6920" s="21">
        <v>44551</v>
      </c>
      <c r="L6920">
        <v>2021</v>
      </c>
      <c r="M6920" s="21">
        <v>44768.387953437501</v>
      </c>
      <c r="N6920">
        <v>2022</v>
      </c>
      <c r="Q6920" s="262">
        <v>99100</v>
      </c>
      <c r="R6920" s="262">
        <v>204000</v>
      </c>
      <c r="S6920" t="s">
        <v>13253</v>
      </c>
      <c r="T6920">
        <v>1236</v>
      </c>
      <c r="V6920">
        <v>1995</v>
      </c>
      <c r="W6920">
        <v>0</v>
      </c>
      <c r="X6920">
        <v>0</v>
      </c>
      <c r="AU6920">
        <f t="shared" si="214"/>
        <v>0</v>
      </c>
      <c r="AV6920">
        <f t="shared" si="215"/>
        <v>0</v>
      </c>
    </row>
    <row r="6921" spans="1:48" x14ac:dyDescent="0.25">
      <c r="A6921" t="s">
        <v>16011</v>
      </c>
      <c r="C6921" t="s">
        <v>15450</v>
      </c>
      <c r="D6921" t="s">
        <v>16012</v>
      </c>
      <c r="E6921" t="s">
        <v>1663</v>
      </c>
      <c r="F6921">
        <v>3</v>
      </c>
      <c r="G6921">
        <v>3.1</v>
      </c>
      <c r="H6921" t="s">
        <v>2017</v>
      </c>
      <c r="I6921" s="21">
        <v>44425</v>
      </c>
      <c r="J6921">
        <v>2021</v>
      </c>
      <c r="K6921" s="21">
        <v>44648</v>
      </c>
      <c r="L6921">
        <v>2022</v>
      </c>
      <c r="P6921" s="21">
        <v>44643</v>
      </c>
      <c r="Q6921" s="262">
        <v>2000000</v>
      </c>
      <c r="S6921" t="s">
        <v>114</v>
      </c>
      <c r="T6921" t="s">
        <v>114</v>
      </c>
      <c r="W6921">
        <v>-2501</v>
      </c>
      <c r="X6921">
        <v>-1</v>
      </c>
      <c r="AC6921">
        <v>-2501</v>
      </c>
      <c r="AO6921">
        <v>-1</v>
      </c>
      <c r="AU6921">
        <f t="shared" si="214"/>
        <v>-1</v>
      </c>
      <c r="AV6921">
        <f t="shared" si="215"/>
        <v>0</v>
      </c>
    </row>
    <row r="6922" spans="1:48" x14ac:dyDescent="0.25">
      <c r="A6922" t="s">
        <v>16011</v>
      </c>
      <c r="C6922" t="s">
        <v>16013</v>
      </c>
      <c r="D6922" t="s">
        <v>16012</v>
      </c>
      <c r="E6922" t="s">
        <v>1663</v>
      </c>
      <c r="F6922">
        <v>3</v>
      </c>
      <c r="G6922">
        <v>3.1</v>
      </c>
      <c r="H6922" t="s">
        <v>2017</v>
      </c>
      <c r="I6922" s="21">
        <v>44425</v>
      </c>
      <c r="J6922">
        <v>2021</v>
      </c>
      <c r="K6922" s="21">
        <v>44648</v>
      </c>
      <c r="L6922">
        <v>2022</v>
      </c>
      <c r="P6922" s="21">
        <v>44643</v>
      </c>
      <c r="Q6922" s="262">
        <v>2000000</v>
      </c>
      <c r="S6922" t="s">
        <v>114</v>
      </c>
      <c r="T6922" t="s">
        <v>114</v>
      </c>
      <c r="W6922">
        <v>4970</v>
      </c>
      <c r="X6922">
        <v>2</v>
      </c>
      <c r="AC6922">
        <v>4170</v>
      </c>
      <c r="AF6922">
        <v>800</v>
      </c>
      <c r="AO6922">
        <v>1</v>
      </c>
      <c r="AR6922">
        <v>1</v>
      </c>
      <c r="AU6922">
        <f t="shared" si="214"/>
        <v>1</v>
      </c>
      <c r="AV6922">
        <f t="shared" si="215"/>
        <v>0</v>
      </c>
    </row>
    <row r="6923" spans="1:48" x14ac:dyDescent="0.25">
      <c r="A6923" t="s">
        <v>16014</v>
      </c>
      <c r="B6923" t="s">
        <v>16014</v>
      </c>
      <c r="C6923" t="s">
        <v>16015</v>
      </c>
      <c r="D6923" t="s">
        <v>16016</v>
      </c>
      <c r="E6923" t="s">
        <v>2310</v>
      </c>
      <c r="F6923">
        <v>9</v>
      </c>
      <c r="G6923">
        <v>9.3000000000000007</v>
      </c>
      <c r="H6923" t="s">
        <v>2323</v>
      </c>
      <c r="I6923" s="21">
        <v>44425.434813923603</v>
      </c>
      <c r="J6923">
        <v>2021</v>
      </c>
      <c r="K6923" s="21">
        <v>44509</v>
      </c>
      <c r="L6923">
        <v>2021</v>
      </c>
      <c r="Q6923" s="262">
        <v>2300000</v>
      </c>
      <c r="R6923" s="262">
        <v>249000</v>
      </c>
      <c r="S6923" t="s">
        <v>114</v>
      </c>
      <c r="T6923" t="s">
        <v>114</v>
      </c>
      <c r="V6923">
        <v>225</v>
      </c>
      <c r="W6923">
        <v>1925</v>
      </c>
      <c r="X6923">
        <v>0</v>
      </c>
      <c r="AC6923">
        <v>1925</v>
      </c>
      <c r="AU6923">
        <f t="shared" si="214"/>
        <v>0</v>
      </c>
      <c r="AV6923">
        <f t="shared" si="215"/>
        <v>0</v>
      </c>
    </row>
    <row r="6924" spans="1:48" x14ac:dyDescent="0.25">
      <c r="A6924" t="s">
        <v>16017</v>
      </c>
      <c r="B6924" t="s">
        <v>16017</v>
      </c>
      <c r="C6924" t="s">
        <v>16018</v>
      </c>
      <c r="D6924" t="s">
        <v>16016</v>
      </c>
      <c r="E6924" t="s">
        <v>2310</v>
      </c>
      <c r="F6924">
        <v>9</v>
      </c>
      <c r="G6924">
        <v>9.3000000000000007</v>
      </c>
      <c r="H6924" t="s">
        <v>2323</v>
      </c>
      <c r="I6924" s="21">
        <v>44425.449963113402</v>
      </c>
      <c r="J6924">
        <v>2021</v>
      </c>
      <c r="K6924" s="21">
        <v>44509</v>
      </c>
      <c r="L6924">
        <v>2021</v>
      </c>
      <c r="Q6924" s="262">
        <v>450000</v>
      </c>
      <c r="R6924" s="262">
        <v>45000</v>
      </c>
      <c r="S6924" t="s">
        <v>114</v>
      </c>
      <c r="T6924" t="s">
        <v>114</v>
      </c>
      <c r="W6924">
        <v>922</v>
      </c>
      <c r="X6924">
        <v>0</v>
      </c>
      <c r="AC6924">
        <v>922</v>
      </c>
      <c r="AU6924">
        <f t="shared" si="214"/>
        <v>0</v>
      </c>
      <c r="AV6924">
        <f t="shared" si="215"/>
        <v>0</v>
      </c>
    </row>
    <row r="6925" spans="1:48" x14ac:dyDescent="0.25">
      <c r="A6925" t="s">
        <v>16019</v>
      </c>
      <c r="B6925" t="s">
        <v>16019</v>
      </c>
      <c r="C6925" t="s">
        <v>16020</v>
      </c>
      <c r="D6925" t="s">
        <v>9490</v>
      </c>
      <c r="E6925" t="s">
        <v>2310</v>
      </c>
      <c r="F6925">
        <v>8</v>
      </c>
      <c r="G6925">
        <v>8.1</v>
      </c>
      <c r="H6925" t="s">
        <v>2323</v>
      </c>
      <c r="I6925" s="21">
        <v>44425.5618824884</v>
      </c>
      <c r="J6925">
        <v>2021</v>
      </c>
      <c r="O6925" s="21">
        <v>44533</v>
      </c>
      <c r="Q6925" s="262">
        <v>700000</v>
      </c>
      <c r="R6925" s="262">
        <v>210000</v>
      </c>
      <c r="S6925" t="s">
        <v>114</v>
      </c>
      <c r="T6925" t="s">
        <v>114</v>
      </c>
      <c r="W6925">
        <v>1768</v>
      </c>
      <c r="X6925">
        <v>0</v>
      </c>
      <c r="AC6925">
        <v>1768</v>
      </c>
      <c r="AU6925">
        <f t="shared" si="214"/>
        <v>0</v>
      </c>
      <c r="AV6925">
        <f t="shared" si="215"/>
        <v>0</v>
      </c>
    </row>
    <row r="6926" spans="1:48" x14ac:dyDescent="0.25">
      <c r="A6926" t="s">
        <v>16021</v>
      </c>
      <c r="B6926" t="s">
        <v>16021</v>
      </c>
      <c r="C6926" t="s">
        <v>16022</v>
      </c>
      <c r="D6926" t="s">
        <v>5937</v>
      </c>
      <c r="E6926" t="s">
        <v>2310</v>
      </c>
      <c r="F6926">
        <v>13</v>
      </c>
      <c r="G6926">
        <v>13.3</v>
      </c>
      <c r="H6926" t="s">
        <v>2017</v>
      </c>
      <c r="I6926" s="21">
        <v>44425.645278854201</v>
      </c>
      <c r="J6926">
        <v>2021</v>
      </c>
      <c r="K6926" s="21">
        <v>44518</v>
      </c>
      <c r="L6926">
        <v>2021</v>
      </c>
      <c r="Q6926" s="262">
        <v>2000000</v>
      </c>
      <c r="R6926" s="262">
        <v>243000</v>
      </c>
      <c r="S6926" t="s">
        <v>114</v>
      </c>
      <c r="T6926" t="s">
        <v>114</v>
      </c>
      <c r="W6926">
        <v>2061</v>
      </c>
      <c r="X6926">
        <v>1</v>
      </c>
      <c r="AC6926">
        <v>1112</v>
      </c>
      <c r="AF6926">
        <v>949</v>
      </c>
      <c r="AR6926">
        <v>1</v>
      </c>
      <c r="AU6926">
        <f t="shared" si="214"/>
        <v>0</v>
      </c>
      <c r="AV6926">
        <f t="shared" si="215"/>
        <v>0</v>
      </c>
    </row>
    <row r="6927" spans="1:48" x14ac:dyDescent="0.25">
      <c r="A6927" t="s">
        <v>16023</v>
      </c>
      <c r="B6927" t="s">
        <v>16023</v>
      </c>
      <c r="C6927" t="s">
        <v>16024</v>
      </c>
      <c r="D6927" t="s">
        <v>3392</v>
      </c>
      <c r="E6927" t="s">
        <v>2310</v>
      </c>
      <c r="F6927">
        <v>12</v>
      </c>
      <c r="G6927">
        <v>12.1</v>
      </c>
      <c r="H6927" t="s">
        <v>2327</v>
      </c>
      <c r="I6927" s="21">
        <v>44427.510168831002</v>
      </c>
      <c r="J6927">
        <v>2021</v>
      </c>
      <c r="Q6927" s="262">
        <v>500000</v>
      </c>
      <c r="R6927" s="262">
        <v>208000</v>
      </c>
      <c r="S6927" t="s">
        <v>114</v>
      </c>
      <c r="T6927" t="s">
        <v>114</v>
      </c>
      <c r="V6927">
        <v>1588</v>
      </c>
      <c r="W6927">
        <v>104</v>
      </c>
      <c r="X6927">
        <v>0</v>
      </c>
      <c r="AJ6927">
        <v>104</v>
      </c>
      <c r="AU6927">
        <f t="shared" si="214"/>
        <v>0</v>
      </c>
      <c r="AV6927">
        <f t="shared" si="215"/>
        <v>104</v>
      </c>
    </row>
    <row r="6928" spans="1:48" x14ac:dyDescent="0.25">
      <c r="A6928" t="s">
        <v>14981</v>
      </c>
      <c r="C6928" t="s">
        <v>14982</v>
      </c>
      <c r="D6928" t="s">
        <v>14983</v>
      </c>
      <c r="E6928" t="s">
        <v>1663</v>
      </c>
      <c r="F6928">
        <v>5</v>
      </c>
      <c r="G6928">
        <v>5.5</v>
      </c>
      <c r="H6928" t="s">
        <v>2017</v>
      </c>
      <c r="I6928" s="21">
        <v>44428</v>
      </c>
      <c r="J6928">
        <v>2021</v>
      </c>
      <c r="K6928" s="21">
        <v>44460</v>
      </c>
      <c r="L6928">
        <v>2021</v>
      </c>
      <c r="M6928" s="21">
        <v>44663</v>
      </c>
      <c r="N6928">
        <v>2022</v>
      </c>
      <c r="P6928" s="21">
        <v>44725</v>
      </c>
      <c r="Q6928" s="262">
        <v>276400</v>
      </c>
      <c r="S6928" t="s">
        <v>13253</v>
      </c>
      <c r="T6928">
        <v>13439</v>
      </c>
      <c r="W6928">
        <v>606</v>
      </c>
      <c r="X6928">
        <v>0</v>
      </c>
      <c r="AC6928">
        <v>606</v>
      </c>
      <c r="AU6928">
        <f t="shared" si="214"/>
        <v>0</v>
      </c>
      <c r="AV6928">
        <f t="shared" si="215"/>
        <v>0</v>
      </c>
    </row>
    <row r="6929" spans="1:48" x14ac:dyDescent="0.25">
      <c r="A6929" t="s">
        <v>14989</v>
      </c>
      <c r="C6929" t="s">
        <v>14990</v>
      </c>
      <c r="D6929" t="s">
        <v>14991</v>
      </c>
      <c r="E6929" t="s">
        <v>1663</v>
      </c>
      <c r="F6929">
        <v>3</v>
      </c>
      <c r="G6929">
        <v>3.2</v>
      </c>
      <c r="H6929" t="s">
        <v>2327</v>
      </c>
      <c r="I6929" s="21">
        <v>44428</v>
      </c>
      <c r="J6929">
        <v>2021</v>
      </c>
      <c r="K6929" s="21">
        <v>44440</v>
      </c>
      <c r="L6929">
        <v>2021</v>
      </c>
      <c r="M6929" s="21">
        <v>44658</v>
      </c>
      <c r="N6929">
        <v>2022</v>
      </c>
      <c r="P6929" s="21">
        <v>44740</v>
      </c>
      <c r="Q6929" s="262">
        <v>10000</v>
      </c>
      <c r="S6929" t="s">
        <v>13253</v>
      </c>
      <c r="T6929">
        <v>11501</v>
      </c>
      <c r="W6929">
        <v>0</v>
      </c>
      <c r="X6929">
        <v>0</v>
      </c>
      <c r="AU6929">
        <f t="shared" si="214"/>
        <v>0</v>
      </c>
      <c r="AV6929">
        <f t="shared" si="215"/>
        <v>0</v>
      </c>
    </row>
    <row r="6930" spans="1:48" x14ac:dyDescent="0.25">
      <c r="A6930" t="s">
        <v>16030</v>
      </c>
      <c r="C6930" t="s">
        <v>16031</v>
      </c>
      <c r="D6930" t="s">
        <v>16032</v>
      </c>
      <c r="E6930" t="s">
        <v>1663</v>
      </c>
      <c r="F6930">
        <v>2</v>
      </c>
      <c r="G6930">
        <v>2.2999999999999998</v>
      </c>
      <c r="H6930" t="s">
        <v>2327</v>
      </c>
      <c r="I6930" s="21">
        <v>44431</v>
      </c>
      <c r="J6930">
        <v>2021</v>
      </c>
      <c r="K6930" s="21">
        <v>44449</v>
      </c>
      <c r="L6930">
        <v>2021</v>
      </c>
      <c r="P6930" s="21">
        <v>44730</v>
      </c>
      <c r="Q6930" s="262">
        <v>275000</v>
      </c>
      <c r="S6930" t="s">
        <v>114</v>
      </c>
      <c r="T6930" t="s">
        <v>114</v>
      </c>
      <c r="W6930">
        <v>0</v>
      </c>
      <c r="X6930">
        <v>0</v>
      </c>
      <c r="AU6930">
        <f t="shared" si="214"/>
        <v>0</v>
      </c>
      <c r="AV6930">
        <f t="shared" si="215"/>
        <v>0</v>
      </c>
    </row>
    <row r="6931" spans="1:48" x14ac:dyDescent="0.25">
      <c r="A6931" t="s">
        <v>15003</v>
      </c>
      <c r="C6931" t="s">
        <v>14122</v>
      </c>
      <c r="D6931" t="s">
        <v>15004</v>
      </c>
      <c r="E6931" t="s">
        <v>1663</v>
      </c>
      <c r="F6931">
        <v>5</v>
      </c>
      <c r="G6931">
        <v>5.0999999999999996</v>
      </c>
      <c r="H6931" t="s">
        <v>2327</v>
      </c>
      <c r="I6931" s="21">
        <v>44432</v>
      </c>
      <c r="J6931">
        <v>2021</v>
      </c>
      <c r="K6931" s="21">
        <v>44515</v>
      </c>
      <c r="L6931">
        <v>2021</v>
      </c>
      <c r="M6931" s="21">
        <v>44900</v>
      </c>
      <c r="N6931">
        <v>2022</v>
      </c>
      <c r="P6931" s="21">
        <v>44709</v>
      </c>
      <c r="Q6931" s="262">
        <v>176100</v>
      </c>
      <c r="S6931" t="s">
        <v>13253</v>
      </c>
      <c r="T6931">
        <v>13742</v>
      </c>
      <c r="W6931">
        <v>0</v>
      </c>
      <c r="X6931">
        <v>0</v>
      </c>
      <c r="AU6931">
        <f t="shared" si="214"/>
        <v>0</v>
      </c>
      <c r="AV6931">
        <f t="shared" si="215"/>
        <v>0</v>
      </c>
    </row>
    <row r="6932" spans="1:48" x14ac:dyDescent="0.25">
      <c r="A6932" t="s">
        <v>16035</v>
      </c>
      <c r="B6932" t="s">
        <v>16035</v>
      </c>
      <c r="C6932" t="s">
        <v>16036</v>
      </c>
      <c r="D6932" t="s">
        <v>2937</v>
      </c>
      <c r="E6932" t="s">
        <v>2310</v>
      </c>
      <c r="F6932">
        <v>10</v>
      </c>
      <c r="G6932">
        <v>10.1</v>
      </c>
      <c r="H6932" t="s">
        <v>2323</v>
      </c>
      <c r="I6932" s="21">
        <v>44432.432749768501</v>
      </c>
      <c r="J6932">
        <v>2021</v>
      </c>
      <c r="K6932" s="21">
        <v>44536</v>
      </c>
      <c r="L6932">
        <v>2021</v>
      </c>
      <c r="Q6932" s="262">
        <v>1200000</v>
      </c>
      <c r="R6932" s="262">
        <v>350000</v>
      </c>
      <c r="S6932" t="s">
        <v>114</v>
      </c>
      <c r="T6932" t="s">
        <v>114</v>
      </c>
      <c r="V6932">
        <v>2078</v>
      </c>
      <c r="W6932">
        <v>1655</v>
      </c>
      <c r="X6932">
        <v>0</v>
      </c>
      <c r="AC6932">
        <v>1655</v>
      </c>
      <c r="AU6932">
        <f t="shared" si="214"/>
        <v>0</v>
      </c>
      <c r="AV6932">
        <f t="shared" si="215"/>
        <v>0</v>
      </c>
    </row>
    <row r="6933" spans="1:48" x14ac:dyDescent="0.25">
      <c r="A6933" t="s">
        <v>15005</v>
      </c>
      <c r="C6933" t="s">
        <v>12530</v>
      </c>
      <c r="D6933" t="s">
        <v>15006</v>
      </c>
      <c r="E6933" t="s">
        <v>1663</v>
      </c>
      <c r="F6933">
        <v>4</v>
      </c>
      <c r="G6933">
        <v>4.4000000000000004</v>
      </c>
      <c r="H6933" t="s">
        <v>2017</v>
      </c>
      <c r="I6933" s="21">
        <v>44433</v>
      </c>
      <c r="J6933">
        <v>2021</v>
      </c>
      <c r="K6933" s="21">
        <v>44442</v>
      </c>
      <c r="L6933">
        <v>2021</v>
      </c>
      <c r="M6933" s="21">
        <v>44819</v>
      </c>
      <c r="N6933">
        <v>2022</v>
      </c>
      <c r="P6933" s="21">
        <v>44657</v>
      </c>
      <c r="Q6933" s="262">
        <v>60000</v>
      </c>
      <c r="S6933" t="s">
        <v>13253</v>
      </c>
      <c r="T6933">
        <v>12145</v>
      </c>
      <c r="W6933">
        <v>0</v>
      </c>
      <c r="X6933">
        <v>0</v>
      </c>
      <c r="AU6933">
        <f t="shared" si="214"/>
        <v>0</v>
      </c>
      <c r="AV6933">
        <f t="shared" si="215"/>
        <v>0</v>
      </c>
    </row>
    <row r="6934" spans="1:48" x14ac:dyDescent="0.25">
      <c r="A6934" t="s">
        <v>2071</v>
      </c>
      <c r="C6934" t="s">
        <v>16040</v>
      </c>
      <c r="D6934" t="s">
        <v>2235</v>
      </c>
      <c r="E6934" t="s">
        <v>1663</v>
      </c>
      <c r="F6934">
        <v>4</v>
      </c>
      <c r="G6934">
        <v>4.3</v>
      </c>
      <c r="H6934" t="s">
        <v>2327</v>
      </c>
      <c r="I6934" s="21">
        <v>44433</v>
      </c>
      <c r="J6934">
        <v>2021</v>
      </c>
      <c r="K6934" s="21">
        <v>44545</v>
      </c>
      <c r="L6934">
        <v>2021</v>
      </c>
      <c r="P6934" s="21">
        <v>44725</v>
      </c>
      <c r="Q6934" s="262">
        <v>10000000</v>
      </c>
      <c r="S6934" t="s">
        <v>114</v>
      </c>
      <c r="T6934" t="s">
        <v>114</v>
      </c>
      <c r="W6934">
        <v>43232</v>
      </c>
      <c r="X6934">
        <v>36</v>
      </c>
      <c r="AE6934">
        <v>43232</v>
      </c>
      <c r="AQ6934">
        <v>36</v>
      </c>
      <c r="AU6934">
        <f t="shared" si="214"/>
        <v>36</v>
      </c>
      <c r="AV6934">
        <f t="shared" si="215"/>
        <v>0</v>
      </c>
    </row>
    <row r="6935" spans="1:48" x14ac:dyDescent="0.25">
      <c r="A6935" t="s">
        <v>19904</v>
      </c>
      <c r="C6935" t="s">
        <v>19905</v>
      </c>
      <c r="D6935" t="s">
        <v>14141</v>
      </c>
      <c r="E6935" t="s">
        <v>1663</v>
      </c>
      <c r="F6935">
        <v>2</v>
      </c>
      <c r="G6935">
        <v>2.5</v>
      </c>
      <c r="H6935" t="s">
        <v>2327</v>
      </c>
      <c r="I6935" s="21">
        <v>44433</v>
      </c>
      <c r="J6935">
        <v>2021</v>
      </c>
      <c r="K6935" s="21">
        <v>44441</v>
      </c>
      <c r="L6935">
        <v>2021</v>
      </c>
      <c r="M6935" s="21">
        <v>44512</v>
      </c>
      <c r="N6935">
        <v>2021</v>
      </c>
      <c r="Q6935" s="262">
        <v>106664</v>
      </c>
      <c r="S6935" t="s">
        <v>12464</v>
      </c>
      <c r="T6935">
        <v>12922</v>
      </c>
      <c r="U6935">
        <v>9</v>
      </c>
      <c r="W6935">
        <v>1216</v>
      </c>
      <c r="X6935">
        <v>1</v>
      </c>
      <c r="AG6935">
        <v>1216</v>
      </c>
      <c r="AS6935">
        <v>1</v>
      </c>
      <c r="AU6935">
        <f t="shared" si="214"/>
        <v>1</v>
      </c>
      <c r="AV6935">
        <f t="shared" si="215"/>
        <v>0</v>
      </c>
    </row>
    <row r="6936" spans="1:48" x14ac:dyDescent="0.25">
      <c r="A6936" t="s">
        <v>19904</v>
      </c>
      <c r="C6936" t="s">
        <v>19909</v>
      </c>
      <c r="D6936" t="s">
        <v>14141</v>
      </c>
      <c r="E6936" t="s">
        <v>1663</v>
      </c>
      <c r="F6936">
        <v>2</v>
      </c>
      <c r="G6936">
        <v>2.5</v>
      </c>
      <c r="H6936" t="s">
        <v>2327</v>
      </c>
      <c r="I6936" s="21">
        <v>44433</v>
      </c>
      <c r="J6936">
        <v>2021</v>
      </c>
      <c r="K6936" s="21">
        <v>44441</v>
      </c>
      <c r="L6936">
        <v>2021</v>
      </c>
      <c r="M6936" s="21">
        <v>44512</v>
      </c>
      <c r="N6936">
        <v>2021</v>
      </c>
      <c r="Q6936" s="262">
        <v>106664</v>
      </c>
      <c r="S6936" t="s">
        <v>9529</v>
      </c>
      <c r="T6936">
        <v>12925</v>
      </c>
      <c r="U6936">
        <v>9</v>
      </c>
      <c r="W6936">
        <v>-1216</v>
      </c>
      <c r="X6936">
        <v>-1</v>
      </c>
      <c r="AG6936">
        <v>-1216</v>
      </c>
      <c r="AS6936">
        <v>-1</v>
      </c>
      <c r="AU6936">
        <f t="shared" si="214"/>
        <v>-1</v>
      </c>
      <c r="AV6936">
        <f t="shared" si="215"/>
        <v>0</v>
      </c>
    </row>
    <row r="6937" spans="1:48" x14ac:dyDescent="0.25">
      <c r="A6937" t="s">
        <v>16041</v>
      </c>
      <c r="B6937" t="s">
        <v>16041</v>
      </c>
      <c r="C6937" t="s">
        <v>16042</v>
      </c>
      <c r="D6937" t="s">
        <v>16043</v>
      </c>
      <c r="E6937" t="s">
        <v>2310</v>
      </c>
      <c r="F6937">
        <v>9</v>
      </c>
      <c r="G6937">
        <v>9.1</v>
      </c>
      <c r="H6937" t="s">
        <v>2323</v>
      </c>
      <c r="I6937" s="21">
        <v>44433.606192013904</v>
      </c>
      <c r="J6937">
        <v>2021</v>
      </c>
      <c r="Q6937" s="262">
        <v>3750000</v>
      </c>
      <c r="R6937" s="262">
        <v>596000</v>
      </c>
      <c r="S6937" t="s">
        <v>114</v>
      </c>
      <c r="T6937" t="s">
        <v>114</v>
      </c>
      <c r="W6937">
        <v>4974</v>
      </c>
      <c r="X6937">
        <v>1</v>
      </c>
      <c r="AC6937">
        <v>4974</v>
      </c>
      <c r="AO6937">
        <v>1</v>
      </c>
      <c r="AU6937">
        <f t="shared" ref="AU6937:AU7000" si="216">SUM(AN6937:AQ6937,AS6937)</f>
        <v>1</v>
      </c>
      <c r="AV6937">
        <f t="shared" ref="AV6937:AV7000" si="217">SUM(Y6937:AB6937,AH6937:AM6937)</f>
        <v>0</v>
      </c>
    </row>
    <row r="6938" spans="1:48" x14ac:dyDescent="0.25">
      <c r="A6938" t="s">
        <v>16044</v>
      </c>
      <c r="B6938" t="s">
        <v>16044</v>
      </c>
      <c r="C6938" t="s">
        <v>16045</v>
      </c>
      <c r="D6938" t="s">
        <v>16046</v>
      </c>
      <c r="E6938" t="s">
        <v>2310</v>
      </c>
      <c r="F6938">
        <v>15</v>
      </c>
      <c r="G6938">
        <v>15.2</v>
      </c>
      <c r="H6938" t="s">
        <v>2323</v>
      </c>
      <c r="I6938" s="21">
        <v>44434.529249571802</v>
      </c>
      <c r="J6938">
        <v>2021</v>
      </c>
      <c r="K6938" s="21">
        <v>44496</v>
      </c>
      <c r="L6938">
        <v>2021</v>
      </c>
      <c r="Q6938" s="262">
        <v>7000000</v>
      </c>
      <c r="R6938" s="262">
        <v>986000</v>
      </c>
      <c r="S6938" t="s">
        <v>114</v>
      </c>
      <c r="T6938" t="s">
        <v>114</v>
      </c>
      <c r="W6938">
        <v>6766</v>
      </c>
      <c r="X6938">
        <v>1</v>
      </c>
      <c r="AC6938">
        <v>6766</v>
      </c>
      <c r="AO6938">
        <v>1</v>
      </c>
      <c r="AU6938">
        <f t="shared" si="216"/>
        <v>1</v>
      </c>
      <c r="AV6938">
        <f t="shared" si="217"/>
        <v>0</v>
      </c>
    </row>
    <row r="6939" spans="1:48" x14ac:dyDescent="0.25">
      <c r="A6939" t="s">
        <v>16047</v>
      </c>
      <c r="B6939" t="s">
        <v>16047</v>
      </c>
      <c r="C6939" t="s">
        <v>16048</v>
      </c>
      <c r="D6939" t="s">
        <v>16046</v>
      </c>
      <c r="E6939" t="s">
        <v>2310</v>
      </c>
      <c r="F6939">
        <v>15</v>
      </c>
      <c r="G6939">
        <v>15.2</v>
      </c>
      <c r="H6939" t="s">
        <v>2323</v>
      </c>
      <c r="I6939" s="21">
        <v>44434.604921724502</v>
      </c>
      <c r="J6939">
        <v>2021</v>
      </c>
      <c r="K6939" s="21">
        <v>44496</v>
      </c>
      <c r="L6939">
        <v>2021</v>
      </c>
      <c r="Q6939" s="262">
        <v>852233</v>
      </c>
      <c r="R6939" s="262">
        <v>38000</v>
      </c>
      <c r="S6939" t="s">
        <v>114</v>
      </c>
      <c r="T6939" t="s">
        <v>114</v>
      </c>
      <c r="W6939">
        <v>792</v>
      </c>
      <c r="X6939">
        <v>0</v>
      </c>
      <c r="AC6939">
        <v>792</v>
      </c>
      <c r="AU6939">
        <f t="shared" si="216"/>
        <v>0</v>
      </c>
      <c r="AV6939">
        <f t="shared" si="217"/>
        <v>0</v>
      </c>
    </row>
    <row r="6940" spans="1:48" x14ac:dyDescent="0.25">
      <c r="A6940" t="s">
        <v>16049</v>
      </c>
      <c r="B6940" t="s">
        <v>16049</v>
      </c>
      <c r="C6940" t="s">
        <v>16050</v>
      </c>
      <c r="D6940" t="s">
        <v>16051</v>
      </c>
      <c r="E6940" t="s">
        <v>2310</v>
      </c>
      <c r="F6940">
        <v>9</v>
      </c>
      <c r="G6940">
        <v>9.1</v>
      </c>
      <c r="H6940" t="s">
        <v>2323</v>
      </c>
      <c r="I6940" s="21">
        <v>44435.440825613397</v>
      </c>
      <c r="J6940">
        <v>2021</v>
      </c>
      <c r="K6940" s="21">
        <v>44483</v>
      </c>
      <c r="L6940">
        <v>2021</v>
      </c>
      <c r="Q6940" s="262">
        <v>1000000</v>
      </c>
      <c r="R6940" s="262">
        <v>304000</v>
      </c>
      <c r="S6940" t="s">
        <v>114</v>
      </c>
      <c r="T6940" t="s">
        <v>114</v>
      </c>
      <c r="V6940">
        <v>2585</v>
      </c>
      <c r="W6940">
        <v>690</v>
      </c>
      <c r="X6940">
        <v>0</v>
      </c>
      <c r="AC6940">
        <v>690</v>
      </c>
      <c r="AU6940">
        <f t="shared" si="216"/>
        <v>0</v>
      </c>
      <c r="AV6940">
        <f t="shared" si="217"/>
        <v>0</v>
      </c>
    </row>
    <row r="6941" spans="1:48" x14ac:dyDescent="0.25">
      <c r="A6941" t="s">
        <v>16054</v>
      </c>
      <c r="C6941" t="s">
        <v>11246</v>
      </c>
      <c r="D6941" t="s">
        <v>16055</v>
      </c>
      <c r="E6941" t="s">
        <v>1663</v>
      </c>
      <c r="F6941">
        <v>6</v>
      </c>
      <c r="G6941">
        <v>6.1</v>
      </c>
      <c r="H6941" t="s">
        <v>2017</v>
      </c>
      <c r="I6941" s="21">
        <v>44438</v>
      </c>
      <c r="J6941">
        <v>2021</v>
      </c>
      <c r="K6941" s="21">
        <v>44473</v>
      </c>
      <c r="L6941">
        <v>2021</v>
      </c>
      <c r="P6941" s="21">
        <v>44744</v>
      </c>
      <c r="Q6941" s="262">
        <v>2000000</v>
      </c>
      <c r="S6941" t="s">
        <v>114</v>
      </c>
      <c r="T6941" t="s">
        <v>114</v>
      </c>
      <c r="W6941">
        <v>4342</v>
      </c>
      <c r="X6941">
        <v>1</v>
      </c>
      <c r="AC6941">
        <v>4342</v>
      </c>
      <c r="AO6941">
        <v>1</v>
      </c>
      <c r="AU6941">
        <f t="shared" si="216"/>
        <v>1</v>
      </c>
      <c r="AV6941">
        <f t="shared" si="217"/>
        <v>0</v>
      </c>
    </row>
    <row r="6942" spans="1:48" x14ac:dyDescent="0.25">
      <c r="A6942" t="s">
        <v>15007</v>
      </c>
      <c r="C6942" t="s">
        <v>15008</v>
      </c>
      <c r="D6942" t="s">
        <v>11756</v>
      </c>
      <c r="E6942" t="s">
        <v>1663</v>
      </c>
      <c r="F6942">
        <v>2</v>
      </c>
      <c r="G6942">
        <v>2.2999999999999998</v>
      </c>
      <c r="H6942" t="s">
        <v>2327</v>
      </c>
      <c r="I6942" s="21">
        <v>44438</v>
      </c>
      <c r="J6942">
        <v>2021</v>
      </c>
      <c r="K6942" s="21">
        <v>44510</v>
      </c>
      <c r="L6942">
        <v>2021</v>
      </c>
      <c r="M6942" s="21">
        <v>44826</v>
      </c>
      <c r="N6942">
        <v>2022</v>
      </c>
      <c r="P6942" s="21">
        <v>44690</v>
      </c>
      <c r="Q6942" s="262">
        <v>1489175</v>
      </c>
      <c r="S6942" t="s">
        <v>13253</v>
      </c>
      <c r="T6942">
        <v>11700</v>
      </c>
      <c r="W6942">
        <v>0</v>
      </c>
      <c r="X6942">
        <v>0</v>
      </c>
      <c r="AU6942">
        <f t="shared" si="216"/>
        <v>0</v>
      </c>
      <c r="AV6942">
        <f t="shared" si="217"/>
        <v>0</v>
      </c>
    </row>
    <row r="6943" spans="1:48" x14ac:dyDescent="0.25">
      <c r="A6943" t="s">
        <v>16056</v>
      </c>
      <c r="B6943" t="s">
        <v>16056</v>
      </c>
      <c r="C6943" t="s">
        <v>16057</v>
      </c>
      <c r="D6943" t="s">
        <v>2805</v>
      </c>
      <c r="E6943" t="s">
        <v>2310</v>
      </c>
      <c r="F6943">
        <v>8</v>
      </c>
      <c r="G6943">
        <v>8.3000000000000007</v>
      </c>
      <c r="H6943" t="s">
        <v>2323</v>
      </c>
      <c r="I6943" s="21">
        <v>44438.624987847201</v>
      </c>
      <c r="J6943">
        <v>2021</v>
      </c>
      <c r="Q6943" s="262">
        <v>120000</v>
      </c>
      <c r="R6943" s="262">
        <v>67000</v>
      </c>
      <c r="S6943" t="s">
        <v>114</v>
      </c>
      <c r="T6943" t="s">
        <v>114</v>
      </c>
      <c r="W6943">
        <v>560</v>
      </c>
      <c r="X6943">
        <v>0</v>
      </c>
      <c r="AC6943">
        <v>560</v>
      </c>
      <c r="AU6943">
        <f t="shared" si="216"/>
        <v>0</v>
      </c>
      <c r="AV6943">
        <f t="shared" si="217"/>
        <v>0</v>
      </c>
    </row>
    <row r="6944" spans="1:48" x14ac:dyDescent="0.25">
      <c r="A6944" t="s">
        <v>15009</v>
      </c>
      <c r="C6944" t="s">
        <v>15010</v>
      </c>
      <c r="D6944" t="s">
        <v>15011</v>
      </c>
      <c r="E6944" t="s">
        <v>1663</v>
      </c>
      <c r="F6944">
        <v>3</v>
      </c>
      <c r="G6944">
        <v>3.1</v>
      </c>
      <c r="H6944" t="s">
        <v>2017</v>
      </c>
      <c r="I6944" s="21">
        <v>44439</v>
      </c>
      <c r="J6944">
        <v>2021</v>
      </c>
      <c r="M6944" s="21">
        <v>44704</v>
      </c>
      <c r="N6944">
        <v>2022</v>
      </c>
      <c r="Q6944" s="262">
        <v>200000</v>
      </c>
      <c r="S6944" t="s">
        <v>13253</v>
      </c>
      <c r="T6944">
        <v>9751</v>
      </c>
      <c r="W6944">
        <v>466</v>
      </c>
      <c r="X6944">
        <v>0</v>
      </c>
      <c r="AC6944">
        <v>466</v>
      </c>
      <c r="AU6944">
        <f t="shared" si="216"/>
        <v>0</v>
      </c>
      <c r="AV6944">
        <f t="shared" si="217"/>
        <v>0</v>
      </c>
    </row>
    <row r="6945" spans="1:48" x14ac:dyDescent="0.25">
      <c r="A6945" t="s">
        <v>16060</v>
      </c>
      <c r="B6945" t="s">
        <v>16060</v>
      </c>
      <c r="C6945" t="s">
        <v>16061</v>
      </c>
      <c r="D6945" t="s">
        <v>16062</v>
      </c>
      <c r="E6945" t="s">
        <v>2310</v>
      </c>
      <c r="F6945">
        <v>9</v>
      </c>
      <c r="G6945">
        <v>9.1999999999999993</v>
      </c>
      <c r="H6945" t="s">
        <v>2022</v>
      </c>
      <c r="I6945" s="21">
        <v>44439.588745219902</v>
      </c>
      <c r="J6945">
        <v>2021</v>
      </c>
      <c r="Q6945" s="262">
        <v>327250</v>
      </c>
      <c r="R6945" s="262">
        <v>124000</v>
      </c>
      <c r="S6945" t="s">
        <v>114</v>
      </c>
      <c r="T6945" t="s">
        <v>114</v>
      </c>
      <c r="V6945">
        <v>135</v>
      </c>
      <c r="W6945">
        <v>939</v>
      </c>
      <c r="X6945">
        <v>0</v>
      </c>
      <c r="AC6945">
        <v>939</v>
      </c>
      <c r="AU6945">
        <f t="shared" si="216"/>
        <v>0</v>
      </c>
      <c r="AV6945">
        <f t="shared" si="217"/>
        <v>0</v>
      </c>
    </row>
    <row r="6946" spans="1:48" x14ac:dyDescent="0.25">
      <c r="A6946" t="s">
        <v>16063</v>
      </c>
      <c r="B6946" t="s">
        <v>16063</v>
      </c>
      <c r="C6946" t="s">
        <v>16064</v>
      </c>
      <c r="D6946" t="s">
        <v>16065</v>
      </c>
      <c r="E6946" t="s">
        <v>2310</v>
      </c>
      <c r="F6946">
        <v>9</v>
      </c>
      <c r="G6946">
        <v>9.1999999999999993</v>
      </c>
      <c r="H6946" t="s">
        <v>2022</v>
      </c>
      <c r="I6946" s="21">
        <v>44439.625671145797</v>
      </c>
      <c r="J6946">
        <v>2021</v>
      </c>
      <c r="Q6946" s="262">
        <v>11600</v>
      </c>
      <c r="R6946" s="262">
        <v>120000</v>
      </c>
      <c r="S6946" t="s">
        <v>114</v>
      </c>
      <c r="T6946" t="s">
        <v>114</v>
      </c>
      <c r="V6946">
        <v>1345</v>
      </c>
      <c r="W6946">
        <v>0</v>
      </c>
      <c r="X6946">
        <v>0</v>
      </c>
      <c r="AU6946">
        <f t="shared" si="216"/>
        <v>0</v>
      </c>
      <c r="AV6946">
        <f t="shared" si="217"/>
        <v>0</v>
      </c>
    </row>
    <row r="6947" spans="1:48" x14ac:dyDescent="0.25">
      <c r="A6947" t="s">
        <v>16066</v>
      </c>
      <c r="B6947" t="s">
        <v>16066</v>
      </c>
      <c r="C6947" t="s">
        <v>16067</v>
      </c>
      <c r="D6947" t="s">
        <v>16065</v>
      </c>
      <c r="E6947" t="s">
        <v>2310</v>
      </c>
      <c r="F6947">
        <v>9</v>
      </c>
      <c r="G6947">
        <v>9.1999999999999993</v>
      </c>
      <c r="H6947" t="s">
        <v>2022</v>
      </c>
      <c r="I6947" s="21">
        <v>44439.625680902798</v>
      </c>
      <c r="J6947">
        <v>2021</v>
      </c>
      <c r="Q6947" s="262">
        <v>187500</v>
      </c>
      <c r="R6947" s="262">
        <v>113000</v>
      </c>
      <c r="S6947" t="s">
        <v>114</v>
      </c>
      <c r="T6947" t="s">
        <v>114</v>
      </c>
      <c r="V6947">
        <v>1409</v>
      </c>
      <c r="W6947">
        <v>0</v>
      </c>
      <c r="X6947">
        <v>0</v>
      </c>
      <c r="AU6947">
        <f t="shared" si="216"/>
        <v>0</v>
      </c>
      <c r="AV6947">
        <f t="shared" si="217"/>
        <v>0</v>
      </c>
    </row>
    <row r="6948" spans="1:48" x14ac:dyDescent="0.25">
      <c r="A6948" t="s">
        <v>16068</v>
      </c>
      <c r="B6948" t="s">
        <v>16068</v>
      </c>
      <c r="C6948" t="s">
        <v>16069</v>
      </c>
      <c r="D6948" t="s">
        <v>16070</v>
      </c>
      <c r="E6948" t="s">
        <v>2310</v>
      </c>
      <c r="F6948">
        <v>9</v>
      </c>
      <c r="G6948">
        <v>9.4</v>
      </c>
      <c r="H6948" t="s">
        <v>2323</v>
      </c>
      <c r="I6948" s="21">
        <v>44440.6157478819</v>
      </c>
      <c r="J6948">
        <v>2021</v>
      </c>
      <c r="K6948" s="21">
        <v>44557</v>
      </c>
      <c r="L6948">
        <v>2021</v>
      </c>
      <c r="Q6948" s="262">
        <v>14000000</v>
      </c>
      <c r="R6948" s="262">
        <v>1337000</v>
      </c>
      <c r="S6948" t="s">
        <v>114</v>
      </c>
      <c r="T6948" t="s">
        <v>114</v>
      </c>
      <c r="W6948">
        <v>9784</v>
      </c>
      <c r="X6948">
        <v>1</v>
      </c>
      <c r="AC6948">
        <v>9784</v>
      </c>
      <c r="AO6948">
        <v>1</v>
      </c>
      <c r="AU6948">
        <f t="shared" si="216"/>
        <v>1</v>
      </c>
      <c r="AV6948">
        <f t="shared" si="217"/>
        <v>0</v>
      </c>
    </row>
    <row r="6949" spans="1:48" x14ac:dyDescent="0.25">
      <c r="A6949" t="s">
        <v>19701</v>
      </c>
      <c r="B6949" t="s">
        <v>19701</v>
      </c>
      <c r="C6949" t="s">
        <v>19702</v>
      </c>
      <c r="D6949" t="s">
        <v>19703</v>
      </c>
      <c r="E6949" t="s">
        <v>2310</v>
      </c>
      <c r="F6949">
        <v>9</v>
      </c>
      <c r="G6949">
        <v>9.4</v>
      </c>
      <c r="H6949" t="s">
        <v>2323</v>
      </c>
      <c r="I6949" s="21">
        <v>44442.604806169002</v>
      </c>
      <c r="J6949">
        <v>2021</v>
      </c>
      <c r="K6949" s="21">
        <v>44504</v>
      </c>
      <c r="L6949">
        <v>2021</v>
      </c>
      <c r="M6949" s="21">
        <v>44907</v>
      </c>
      <c r="N6949">
        <v>2022</v>
      </c>
      <c r="Q6949" s="262">
        <v>100000</v>
      </c>
      <c r="R6949" s="262">
        <v>45000</v>
      </c>
      <c r="S6949" t="s">
        <v>13253</v>
      </c>
      <c r="T6949">
        <v>2920</v>
      </c>
      <c r="W6949">
        <v>0</v>
      </c>
      <c r="X6949">
        <v>0</v>
      </c>
      <c r="AU6949">
        <f t="shared" si="216"/>
        <v>0</v>
      </c>
      <c r="AV6949">
        <f t="shared" si="217"/>
        <v>0</v>
      </c>
    </row>
    <row r="6950" spans="1:48" x14ac:dyDescent="0.25">
      <c r="A6950" t="s">
        <v>16074</v>
      </c>
      <c r="B6950" t="s">
        <v>16074</v>
      </c>
      <c r="C6950" t="s">
        <v>16075</v>
      </c>
      <c r="D6950" t="s">
        <v>16076</v>
      </c>
      <c r="E6950" t="s">
        <v>2310</v>
      </c>
      <c r="F6950">
        <v>15</v>
      </c>
      <c r="G6950">
        <v>15.1</v>
      </c>
      <c r="H6950" t="s">
        <v>2022</v>
      </c>
      <c r="I6950" s="21">
        <v>44446.435039814802</v>
      </c>
      <c r="J6950">
        <v>2021</v>
      </c>
      <c r="Q6950" s="262">
        <v>250000</v>
      </c>
      <c r="R6950" s="262">
        <v>107000</v>
      </c>
      <c r="S6950" t="s">
        <v>114</v>
      </c>
      <c r="T6950" t="s">
        <v>114</v>
      </c>
      <c r="W6950">
        <v>842</v>
      </c>
      <c r="X6950">
        <v>0</v>
      </c>
      <c r="AC6950">
        <v>842</v>
      </c>
      <c r="AU6950">
        <f t="shared" si="216"/>
        <v>0</v>
      </c>
      <c r="AV6950">
        <f t="shared" si="217"/>
        <v>0</v>
      </c>
    </row>
    <row r="6951" spans="1:48" x14ac:dyDescent="0.25">
      <c r="A6951" t="s">
        <v>16077</v>
      </c>
      <c r="B6951" t="s">
        <v>16077</v>
      </c>
      <c r="C6951" t="s">
        <v>16078</v>
      </c>
      <c r="D6951" t="s">
        <v>5979</v>
      </c>
      <c r="E6951" t="s">
        <v>2310</v>
      </c>
      <c r="F6951">
        <v>15</v>
      </c>
      <c r="G6951">
        <v>15.2</v>
      </c>
      <c r="H6951" t="s">
        <v>2323</v>
      </c>
      <c r="I6951" s="21">
        <v>44447.482658217603</v>
      </c>
      <c r="J6951">
        <v>2021</v>
      </c>
      <c r="Q6951" s="262">
        <v>20000</v>
      </c>
      <c r="R6951" s="262">
        <v>75000</v>
      </c>
      <c r="S6951" t="s">
        <v>114</v>
      </c>
      <c r="T6951" t="s">
        <v>114</v>
      </c>
      <c r="V6951">
        <v>700</v>
      </c>
      <c r="W6951">
        <v>0</v>
      </c>
      <c r="X6951">
        <v>1</v>
      </c>
      <c r="AC6951">
        <v>-700</v>
      </c>
      <c r="AF6951">
        <v>700</v>
      </c>
      <c r="AR6951">
        <v>1</v>
      </c>
      <c r="AU6951">
        <f t="shared" si="216"/>
        <v>0</v>
      </c>
      <c r="AV6951">
        <f t="shared" si="217"/>
        <v>0</v>
      </c>
    </row>
    <row r="6952" spans="1:48" x14ac:dyDescent="0.25">
      <c r="A6952" t="s">
        <v>15266</v>
      </c>
      <c r="B6952" t="s">
        <v>15266</v>
      </c>
      <c r="C6952" t="s">
        <v>15267</v>
      </c>
      <c r="D6952" t="s">
        <v>12905</v>
      </c>
      <c r="E6952" t="s">
        <v>2310</v>
      </c>
      <c r="F6952">
        <v>12</v>
      </c>
      <c r="G6952">
        <v>12.3</v>
      </c>
      <c r="H6952" t="s">
        <v>2017</v>
      </c>
      <c r="I6952" s="21">
        <v>44448.3889416319</v>
      </c>
      <c r="J6952">
        <v>2021</v>
      </c>
      <c r="K6952" s="21">
        <v>44480</v>
      </c>
      <c r="L6952">
        <v>2021</v>
      </c>
      <c r="M6952" s="21">
        <v>44564.434290474535</v>
      </c>
      <c r="N6952">
        <v>2022</v>
      </c>
      <c r="Q6952" s="262">
        <v>76000</v>
      </c>
      <c r="R6952" s="262">
        <v>197000</v>
      </c>
      <c r="S6952" t="s">
        <v>13253</v>
      </c>
      <c r="T6952">
        <v>3841</v>
      </c>
      <c r="V6952">
        <v>1600</v>
      </c>
      <c r="W6952">
        <v>0</v>
      </c>
      <c r="X6952">
        <v>0</v>
      </c>
      <c r="AU6952">
        <f t="shared" si="216"/>
        <v>0</v>
      </c>
      <c r="AV6952">
        <f t="shared" si="217"/>
        <v>0</v>
      </c>
    </row>
    <row r="6953" spans="1:48" x14ac:dyDescent="0.25">
      <c r="A6953" t="s">
        <v>16082</v>
      </c>
      <c r="B6953" t="s">
        <v>16082</v>
      </c>
      <c r="C6953" t="s">
        <v>16083</v>
      </c>
      <c r="D6953" t="s">
        <v>8536</v>
      </c>
      <c r="E6953" t="s">
        <v>2310</v>
      </c>
      <c r="F6953">
        <v>14</v>
      </c>
      <c r="G6953">
        <v>14.1</v>
      </c>
      <c r="H6953" t="s">
        <v>2022</v>
      </c>
      <c r="I6953" s="21">
        <v>44448.496776157401</v>
      </c>
      <c r="J6953">
        <v>2021</v>
      </c>
      <c r="O6953" s="21">
        <v>44489</v>
      </c>
      <c r="Q6953" s="262">
        <v>120000</v>
      </c>
      <c r="R6953" s="262">
        <v>57000</v>
      </c>
      <c r="S6953" t="s">
        <v>114</v>
      </c>
      <c r="T6953" t="s">
        <v>114</v>
      </c>
      <c r="W6953">
        <v>1176</v>
      </c>
      <c r="X6953">
        <v>0</v>
      </c>
      <c r="AC6953">
        <v>1176</v>
      </c>
      <c r="AU6953">
        <f t="shared" si="216"/>
        <v>0</v>
      </c>
      <c r="AV6953">
        <f t="shared" si="217"/>
        <v>0</v>
      </c>
    </row>
    <row r="6954" spans="1:48" x14ac:dyDescent="0.25">
      <c r="A6954" t="s">
        <v>16084</v>
      </c>
      <c r="B6954" t="s">
        <v>16084</v>
      </c>
      <c r="C6954" t="s">
        <v>16085</v>
      </c>
      <c r="D6954" t="s">
        <v>16086</v>
      </c>
      <c r="E6954" t="s">
        <v>2310</v>
      </c>
      <c r="F6954">
        <v>8</v>
      </c>
      <c r="G6954">
        <v>8.3000000000000007</v>
      </c>
      <c r="H6954" t="s">
        <v>2323</v>
      </c>
      <c r="I6954" s="21">
        <v>44448.517932488401</v>
      </c>
      <c r="J6954">
        <v>2021</v>
      </c>
      <c r="K6954" s="21">
        <v>44529</v>
      </c>
      <c r="L6954">
        <v>2021</v>
      </c>
      <c r="Q6954" s="262">
        <v>500000</v>
      </c>
      <c r="R6954" s="262">
        <v>160000</v>
      </c>
      <c r="S6954" t="s">
        <v>114</v>
      </c>
      <c r="T6954" t="s">
        <v>114</v>
      </c>
      <c r="W6954">
        <v>1000</v>
      </c>
      <c r="X6954">
        <v>1</v>
      </c>
      <c r="AF6954">
        <v>1000</v>
      </c>
      <c r="AR6954">
        <v>1</v>
      </c>
      <c r="AU6954">
        <f t="shared" si="216"/>
        <v>0</v>
      </c>
      <c r="AV6954">
        <f t="shared" si="217"/>
        <v>0</v>
      </c>
    </row>
    <row r="6955" spans="1:48" x14ac:dyDescent="0.25">
      <c r="A6955" t="s">
        <v>16087</v>
      </c>
      <c r="B6955" t="s">
        <v>16087</v>
      </c>
      <c r="C6955" t="s">
        <v>16088</v>
      </c>
      <c r="D6955" t="s">
        <v>16086</v>
      </c>
      <c r="E6955" t="s">
        <v>2310</v>
      </c>
      <c r="F6955">
        <v>8</v>
      </c>
      <c r="G6955">
        <v>8.3000000000000007</v>
      </c>
      <c r="H6955" t="s">
        <v>2323</v>
      </c>
      <c r="I6955" s="21">
        <v>44448.529921990703</v>
      </c>
      <c r="J6955">
        <v>2021</v>
      </c>
      <c r="K6955" s="21">
        <v>44529</v>
      </c>
      <c r="L6955">
        <v>2021</v>
      </c>
      <c r="Q6955" s="262">
        <v>768000</v>
      </c>
      <c r="R6955" s="262">
        <v>27000</v>
      </c>
      <c r="S6955" t="s">
        <v>114</v>
      </c>
      <c r="T6955" t="s">
        <v>114</v>
      </c>
      <c r="W6955">
        <v>384</v>
      </c>
      <c r="X6955">
        <v>0</v>
      </c>
      <c r="AC6955">
        <v>384</v>
      </c>
      <c r="AU6955">
        <f t="shared" si="216"/>
        <v>0</v>
      </c>
      <c r="AV6955">
        <f t="shared" si="217"/>
        <v>0</v>
      </c>
    </row>
    <row r="6956" spans="1:48" x14ac:dyDescent="0.25">
      <c r="A6956" t="s">
        <v>16089</v>
      </c>
      <c r="B6956" t="s">
        <v>16089</v>
      </c>
      <c r="C6956" t="s">
        <v>16090</v>
      </c>
      <c r="D6956" t="s">
        <v>16091</v>
      </c>
      <c r="E6956" t="s">
        <v>2310</v>
      </c>
      <c r="F6956">
        <v>8</v>
      </c>
      <c r="G6956">
        <v>8.1</v>
      </c>
      <c r="H6956" t="s">
        <v>2323</v>
      </c>
      <c r="I6956" s="21">
        <v>44449.514246759303</v>
      </c>
      <c r="J6956">
        <v>2021</v>
      </c>
      <c r="K6956" s="21">
        <v>44543</v>
      </c>
      <c r="L6956">
        <v>2021</v>
      </c>
      <c r="Q6956" s="262">
        <v>2300000</v>
      </c>
      <c r="R6956" s="262">
        <v>685000</v>
      </c>
      <c r="S6956" t="s">
        <v>114</v>
      </c>
      <c r="T6956" t="s">
        <v>114</v>
      </c>
      <c r="W6956">
        <v>5448</v>
      </c>
      <c r="X6956">
        <v>1</v>
      </c>
      <c r="AC6956">
        <v>5448</v>
      </c>
      <c r="AO6956">
        <v>1</v>
      </c>
      <c r="AU6956">
        <f t="shared" si="216"/>
        <v>1</v>
      </c>
      <c r="AV6956">
        <f t="shared" si="217"/>
        <v>0</v>
      </c>
    </row>
    <row r="6957" spans="1:48" x14ac:dyDescent="0.25">
      <c r="A6957" t="s">
        <v>15012</v>
      </c>
      <c r="C6957" t="s">
        <v>15013</v>
      </c>
      <c r="D6957" t="s">
        <v>4612</v>
      </c>
      <c r="E6957" t="s">
        <v>1663</v>
      </c>
      <c r="F6957">
        <v>3</v>
      </c>
      <c r="G6957">
        <v>3.2</v>
      </c>
      <c r="H6957" t="s">
        <v>2327</v>
      </c>
      <c r="I6957" s="21">
        <v>44455</v>
      </c>
      <c r="J6957">
        <v>2021</v>
      </c>
      <c r="K6957" s="21">
        <v>44487</v>
      </c>
      <c r="L6957">
        <v>2021</v>
      </c>
      <c r="M6957" s="21">
        <v>44699</v>
      </c>
      <c r="N6957">
        <v>2022</v>
      </c>
      <c r="P6957" s="21">
        <v>44667</v>
      </c>
      <c r="Q6957" s="262">
        <v>650</v>
      </c>
      <c r="S6957" t="s">
        <v>13253</v>
      </c>
      <c r="T6957">
        <v>9893</v>
      </c>
      <c r="W6957">
        <v>0</v>
      </c>
      <c r="X6957">
        <v>0</v>
      </c>
      <c r="AU6957">
        <f t="shared" si="216"/>
        <v>0</v>
      </c>
      <c r="AV6957">
        <f t="shared" si="217"/>
        <v>0</v>
      </c>
    </row>
    <row r="6958" spans="1:48" x14ac:dyDescent="0.25">
      <c r="A6958" t="s">
        <v>16092</v>
      </c>
      <c r="C6958" t="s">
        <v>15760</v>
      </c>
      <c r="D6958" t="s">
        <v>14125</v>
      </c>
      <c r="E6958" t="s">
        <v>1663</v>
      </c>
      <c r="F6958">
        <v>3</v>
      </c>
      <c r="G6958">
        <v>3.1</v>
      </c>
      <c r="H6958" t="s">
        <v>2017</v>
      </c>
      <c r="I6958" s="21">
        <v>44455</v>
      </c>
      <c r="J6958">
        <v>2021</v>
      </c>
      <c r="K6958" s="21">
        <v>44721</v>
      </c>
      <c r="L6958">
        <v>2022</v>
      </c>
      <c r="Q6958" s="262">
        <v>3000000</v>
      </c>
      <c r="S6958" t="s">
        <v>114</v>
      </c>
      <c r="T6958" t="s">
        <v>114</v>
      </c>
      <c r="W6958">
        <v>4775</v>
      </c>
      <c r="X6958">
        <v>2</v>
      </c>
      <c r="AC6958">
        <v>4027</v>
      </c>
      <c r="AE6958">
        <v>748</v>
      </c>
      <c r="AO6958">
        <v>1</v>
      </c>
      <c r="AQ6958">
        <v>1</v>
      </c>
      <c r="AU6958">
        <f t="shared" si="216"/>
        <v>2</v>
      </c>
      <c r="AV6958">
        <f t="shared" si="217"/>
        <v>0</v>
      </c>
    </row>
    <row r="6959" spans="1:48" x14ac:dyDescent="0.25">
      <c r="A6959" t="s">
        <v>16096</v>
      </c>
      <c r="B6959" t="s">
        <v>16096</v>
      </c>
      <c r="C6959" t="s">
        <v>16097</v>
      </c>
      <c r="D6959" t="s">
        <v>16098</v>
      </c>
      <c r="E6959" t="s">
        <v>2310</v>
      </c>
      <c r="F6959">
        <v>15</v>
      </c>
      <c r="G6959">
        <v>15.1</v>
      </c>
      <c r="H6959" t="s">
        <v>2022</v>
      </c>
      <c r="I6959" s="21">
        <v>44455.499385150499</v>
      </c>
      <c r="J6959">
        <v>2021</v>
      </c>
      <c r="K6959" s="21">
        <v>44491</v>
      </c>
      <c r="L6959">
        <v>2021</v>
      </c>
      <c r="Q6959" s="262">
        <v>75000</v>
      </c>
      <c r="R6959" s="262">
        <v>28000</v>
      </c>
      <c r="S6959" t="s">
        <v>114</v>
      </c>
      <c r="T6959" t="s">
        <v>114</v>
      </c>
      <c r="V6959">
        <v>310</v>
      </c>
      <c r="W6959">
        <v>0</v>
      </c>
      <c r="X6959">
        <v>0</v>
      </c>
      <c r="AU6959">
        <f t="shared" si="216"/>
        <v>0</v>
      </c>
      <c r="AV6959">
        <f t="shared" si="217"/>
        <v>0</v>
      </c>
    </row>
    <row r="6960" spans="1:48" x14ac:dyDescent="0.25">
      <c r="A6960" t="s">
        <v>16099</v>
      </c>
      <c r="B6960" t="s">
        <v>16099</v>
      </c>
      <c r="C6960" t="s">
        <v>16100</v>
      </c>
      <c r="D6960" t="s">
        <v>16101</v>
      </c>
      <c r="E6960" t="s">
        <v>2310</v>
      </c>
      <c r="F6960">
        <v>11</v>
      </c>
      <c r="G6960">
        <v>11.4</v>
      </c>
      <c r="H6960" t="s">
        <v>2017</v>
      </c>
      <c r="I6960" s="21">
        <v>44456.5749278125</v>
      </c>
      <c r="J6960">
        <v>2021</v>
      </c>
      <c r="Q6960" s="262">
        <v>1250000</v>
      </c>
      <c r="R6960" s="262">
        <v>325000</v>
      </c>
      <c r="S6960" t="s">
        <v>114</v>
      </c>
      <c r="T6960" t="s">
        <v>114</v>
      </c>
      <c r="W6960">
        <v>3018</v>
      </c>
      <c r="X6960">
        <v>1</v>
      </c>
      <c r="AC6960">
        <v>3018</v>
      </c>
      <c r="AO6960">
        <v>1</v>
      </c>
      <c r="AU6960">
        <f t="shared" si="216"/>
        <v>1</v>
      </c>
      <c r="AV6960">
        <f t="shared" si="217"/>
        <v>0</v>
      </c>
    </row>
    <row r="6961" spans="1:48" x14ac:dyDescent="0.25">
      <c r="A6961" t="s">
        <v>16102</v>
      </c>
      <c r="B6961" t="s">
        <v>16102</v>
      </c>
      <c r="C6961" t="s">
        <v>16103</v>
      </c>
      <c r="D6961" t="s">
        <v>1832</v>
      </c>
      <c r="E6961" t="s">
        <v>2310</v>
      </c>
      <c r="F6961">
        <v>9</v>
      </c>
      <c r="G6961">
        <v>9.3000000000000007</v>
      </c>
      <c r="H6961" t="s">
        <v>2323</v>
      </c>
      <c r="I6961" s="21">
        <v>44460.350640659701</v>
      </c>
      <c r="J6961">
        <v>2021</v>
      </c>
      <c r="Q6961" s="262">
        <v>200000</v>
      </c>
      <c r="R6961" s="262">
        <v>52000</v>
      </c>
      <c r="S6961" t="s">
        <v>114</v>
      </c>
      <c r="T6961" t="s">
        <v>114</v>
      </c>
      <c r="V6961">
        <v>0</v>
      </c>
      <c r="W6961">
        <v>0</v>
      </c>
      <c r="X6961">
        <v>0</v>
      </c>
      <c r="AU6961">
        <f t="shared" si="216"/>
        <v>0</v>
      </c>
      <c r="AV6961">
        <f t="shared" si="217"/>
        <v>0</v>
      </c>
    </row>
    <row r="6962" spans="1:48" x14ac:dyDescent="0.25">
      <c r="A6962" t="s">
        <v>16104</v>
      </c>
      <c r="B6962" t="s">
        <v>16104</v>
      </c>
      <c r="C6962" t="s">
        <v>16105</v>
      </c>
      <c r="D6962" t="s">
        <v>16106</v>
      </c>
      <c r="E6962" t="s">
        <v>2310</v>
      </c>
      <c r="F6962">
        <v>9</v>
      </c>
      <c r="G6962">
        <v>9.1</v>
      </c>
      <c r="H6962" t="s">
        <v>2323</v>
      </c>
      <c r="I6962" s="21">
        <v>44460.551876585603</v>
      </c>
      <c r="J6962">
        <v>2021</v>
      </c>
      <c r="K6962" s="21">
        <v>44502</v>
      </c>
      <c r="L6962">
        <v>2021</v>
      </c>
      <c r="Q6962" s="262">
        <v>1000000</v>
      </c>
      <c r="R6962" s="262">
        <v>197000</v>
      </c>
      <c r="S6962" t="s">
        <v>114</v>
      </c>
      <c r="T6962" t="s">
        <v>114</v>
      </c>
      <c r="W6962">
        <v>2633</v>
      </c>
      <c r="X6962">
        <v>1</v>
      </c>
      <c r="AC6962">
        <v>1639</v>
      </c>
      <c r="AF6962">
        <v>994</v>
      </c>
      <c r="AR6962">
        <v>1</v>
      </c>
      <c r="AU6962">
        <f t="shared" si="216"/>
        <v>0</v>
      </c>
      <c r="AV6962">
        <f t="shared" si="217"/>
        <v>0</v>
      </c>
    </row>
    <row r="6963" spans="1:48" x14ac:dyDescent="0.25">
      <c r="A6963" t="s">
        <v>16107</v>
      </c>
      <c r="B6963" t="s">
        <v>16107</v>
      </c>
      <c r="C6963" t="s">
        <v>16108</v>
      </c>
      <c r="D6963" t="s">
        <v>16109</v>
      </c>
      <c r="E6963" t="s">
        <v>2310</v>
      </c>
      <c r="F6963">
        <v>10</v>
      </c>
      <c r="G6963">
        <v>10.1</v>
      </c>
      <c r="H6963" t="s">
        <v>2323</v>
      </c>
      <c r="I6963" s="21">
        <v>44460.575475810198</v>
      </c>
      <c r="J6963">
        <v>2021</v>
      </c>
      <c r="O6963" s="21">
        <v>44659</v>
      </c>
      <c r="Q6963" s="262">
        <v>100000</v>
      </c>
      <c r="R6963" s="262">
        <v>27000</v>
      </c>
      <c r="S6963" t="s">
        <v>114</v>
      </c>
      <c r="T6963" t="s">
        <v>114</v>
      </c>
      <c r="W6963">
        <v>548</v>
      </c>
      <c r="X6963">
        <v>0</v>
      </c>
      <c r="AC6963">
        <v>548</v>
      </c>
      <c r="AU6963">
        <f t="shared" si="216"/>
        <v>0</v>
      </c>
      <c r="AV6963">
        <f t="shared" si="217"/>
        <v>0</v>
      </c>
    </row>
    <row r="6964" spans="1:48" x14ac:dyDescent="0.25">
      <c r="A6964" t="s">
        <v>16110</v>
      </c>
      <c r="B6964" t="s">
        <v>16110</v>
      </c>
      <c r="C6964" t="s">
        <v>16111</v>
      </c>
      <c r="D6964" t="s">
        <v>1881</v>
      </c>
      <c r="E6964" t="s">
        <v>2310</v>
      </c>
      <c r="F6964">
        <v>14</v>
      </c>
      <c r="G6964">
        <v>14.3</v>
      </c>
      <c r="H6964" t="s">
        <v>2327</v>
      </c>
      <c r="I6964" s="21">
        <v>44460.691813888901</v>
      </c>
      <c r="J6964">
        <v>2021</v>
      </c>
      <c r="Q6964" s="262">
        <v>1000000</v>
      </c>
      <c r="R6964" s="262">
        <v>591000</v>
      </c>
      <c r="S6964" t="s">
        <v>114</v>
      </c>
      <c r="T6964" t="s">
        <v>114</v>
      </c>
      <c r="V6964">
        <v>45</v>
      </c>
      <c r="W6964">
        <v>0</v>
      </c>
      <c r="X6964">
        <v>0</v>
      </c>
      <c r="AU6964">
        <f t="shared" si="216"/>
        <v>0</v>
      </c>
      <c r="AV6964">
        <f t="shared" si="217"/>
        <v>0</v>
      </c>
    </row>
    <row r="6965" spans="1:48" x14ac:dyDescent="0.25">
      <c r="A6965" t="s">
        <v>15014</v>
      </c>
      <c r="C6965" t="s">
        <v>15015</v>
      </c>
      <c r="D6965" t="s">
        <v>8502</v>
      </c>
      <c r="E6965" t="s">
        <v>1663</v>
      </c>
      <c r="F6965">
        <v>4</v>
      </c>
      <c r="G6965">
        <v>4.3</v>
      </c>
      <c r="H6965" t="s">
        <v>2327</v>
      </c>
      <c r="I6965" s="21">
        <v>44461</v>
      </c>
      <c r="J6965">
        <v>2021</v>
      </c>
      <c r="K6965" s="21">
        <v>44468</v>
      </c>
      <c r="L6965">
        <v>2021</v>
      </c>
      <c r="M6965" s="21">
        <v>44579</v>
      </c>
      <c r="N6965">
        <v>2022</v>
      </c>
      <c r="P6965" s="21">
        <v>44648</v>
      </c>
      <c r="Q6965" s="262">
        <v>75000</v>
      </c>
      <c r="S6965" t="s">
        <v>13253</v>
      </c>
      <c r="T6965">
        <v>12212</v>
      </c>
      <c r="W6965">
        <v>0</v>
      </c>
      <c r="X6965">
        <v>0</v>
      </c>
      <c r="AU6965">
        <f t="shared" si="216"/>
        <v>0</v>
      </c>
      <c r="AV6965">
        <f t="shared" si="217"/>
        <v>0</v>
      </c>
    </row>
    <row r="6966" spans="1:48" x14ac:dyDescent="0.25">
      <c r="A6966" t="s">
        <v>15016</v>
      </c>
      <c r="C6966" t="s">
        <v>11237</v>
      </c>
      <c r="D6966" t="s">
        <v>15017</v>
      </c>
      <c r="E6966" t="s">
        <v>1663</v>
      </c>
      <c r="F6966">
        <v>3</v>
      </c>
      <c r="G6966">
        <v>3.2</v>
      </c>
      <c r="H6966" t="s">
        <v>2327</v>
      </c>
      <c r="I6966" s="21">
        <v>44462</v>
      </c>
      <c r="J6966">
        <v>2021</v>
      </c>
      <c r="K6966" s="21">
        <v>44480</v>
      </c>
      <c r="L6966">
        <v>2021</v>
      </c>
      <c r="M6966" s="21">
        <v>44756</v>
      </c>
      <c r="N6966">
        <v>2022</v>
      </c>
      <c r="P6966" s="21">
        <v>44732</v>
      </c>
      <c r="Q6966" s="262">
        <v>25000</v>
      </c>
      <c r="S6966" t="s">
        <v>13253</v>
      </c>
      <c r="T6966">
        <v>9880</v>
      </c>
      <c r="W6966">
        <v>0</v>
      </c>
      <c r="X6966">
        <v>0</v>
      </c>
      <c r="AU6966">
        <f t="shared" si="216"/>
        <v>0</v>
      </c>
      <c r="AV6966">
        <f t="shared" si="217"/>
        <v>0</v>
      </c>
    </row>
    <row r="6967" spans="1:48" x14ac:dyDescent="0.25">
      <c r="A6967" t="s">
        <v>16117</v>
      </c>
      <c r="B6967" t="s">
        <v>16117</v>
      </c>
      <c r="C6967" t="s">
        <v>16118</v>
      </c>
      <c r="D6967" t="s">
        <v>16119</v>
      </c>
      <c r="E6967" t="s">
        <v>2310</v>
      </c>
      <c r="F6967">
        <v>8</v>
      </c>
      <c r="G6967">
        <v>8.3000000000000007</v>
      </c>
      <c r="H6967" t="s">
        <v>2323</v>
      </c>
      <c r="I6967" s="21">
        <v>44462.517807719902</v>
      </c>
      <c r="J6967">
        <v>2021</v>
      </c>
      <c r="Q6967" s="262">
        <v>300000</v>
      </c>
      <c r="R6967" s="262">
        <v>119000</v>
      </c>
      <c r="S6967" t="s">
        <v>114</v>
      </c>
      <c r="T6967" t="s">
        <v>114</v>
      </c>
      <c r="W6967">
        <v>999</v>
      </c>
      <c r="X6967">
        <v>1</v>
      </c>
      <c r="AF6967">
        <v>999</v>
      </c>
      <c r="AR6967">
        <v>1</v>
      </c>
      <c r="AU6967">
        <f t="shared" si="216"/>
        <v>0</v>
      </c>
      <c r="AV6967">
        <f t="shared" si="217"/>
        <v>0</v>
      </c>
    </row>
    <row r="6968" spans="1:48" x14ac:dyDescent="0.25">
      <c r="A6968" t="s">
        <v>16120</v>
      </c>
      <c r="B6968" t="s">
        <v>16120</v>
      </c>
      <c r="C6968" t="s">
        <v>16121</v>
      </c>
      <c r="D6968" t="s">
        <v>16119</v>
      </c>
      <c r="E6968" t="s">
        <v>2310</v>
      </c>
      <c r="F6968">
        <v>8</v>
      </c>
      <c r="G6968">
        <v>8.3000000000000007</v>
      </c>
      <c r="H6968" t="s">
        <v>2323</v>
      </c>
      <c r="I6968" s="21">
        <v>44462.601568136597</v>
      </c>
      <c r="J6968">
        <v>2021</v>
      </c>
      <c r="Q6968" s="262">
        <v>100000</v>
      </c>
      <c r="R6968" s="262">
        <v>17000</v>
      </c>
      <c r="S6968" t="s">
        <v>114</v>
      </c>
      <c r="T6968" t="s">
        <v>114</v>
      </c>
      <c r="W6968">
        <v>354</v>
      </c>
      <c r="X6968">
        <v>0</v>
      </c>
      <c r="AC6968">
        <v>354</v>
      </c>
      <c r="AU6968">
        <f t="shared" si="216"/>
        <v>0</v>
      </c>
      <c r="AV6968">
        <f t="shared" si="217"/>
        <v>0</v>
      </c>
    </row>
    <row r="6969" spans="1:48" x14ac:dyDescent="0.25">
      <c r="A6969" t="s">
        <v>16122</v>
      </c>
      <c r="B6969" t="s">
        <v>16122</v>
      </c>
      <c r="C6969" t="s">
        <v>16123</v>
      </c>
      <c r="D6969" t="s">
        <v>2639</v>
      </c>
      <c r="E6969" t="s">
        <v>2310</v>
      </c>
      <c r="F6969">
        <v>8</v>
      </c>
      <c r="G6969">
        <v>8.1999999999999993</v>
      </c>
      <c r="H6969" t="s">
        <v>2022</v>
      </c>
      <c r="I6969" s="21">
        <v>44463.489964930603</v>
      </c>
      <c r="J6969">
        <v>2021</v>
      </c>
      <c r="K6969" s="21">
        <v>44504</v>
      </c>
      <c r="L6969">
        <v>2021</v>
      </c>
      <c r="Q6969" s="262">
        <v>1000000</v>
      </c>
      <c r="R6969" s="262">
        <v>130000</v>
      </c>
      <c r="S6969" t="s">
        <v>114</v>
      </c>
      <c r="T6969" t="s">
        <v>114</v>
      </c>
      <c r="V6969">
        <v>1904</v>
      </c>
      <c r="W6969">
        <v>0</v>
      </c>
      <c r="X6969">
        <v>0</v>
      </c>
      <c r="AU6969">
        <f t="shared" si="216"/>
        <v>0</v>
      </c>
      <c r="AV6969">
        <f t="shared" si="217"/>
        <v>0</v>
      </c>
    </row>
    <row r="6970" spans="1:48" x14ac:dyDescent="0.25">
      <c r="A6970" t="s">
        <v>16124</v>
      </c>
      <c r="C6970" t="s">
        <v>16125</v>
      </c>
      <c r="D6970" t="s">
        <v>16126</v>
      </c>
      <c r="E6970" t="s">
        <v>1663</v>
      </c>
      <c r="F6970">
        <v>4</v>
      </c>
      <c r="G6970">
        <v>4.4000000000000004</v>
      </c>
      <c r="H6970" t="s">
        <v>2017</v>
      </c>
      <c r="I6970" s="21">
        <v>44467</v>
      </c>
      <c r="J6970">
        <v>2021</v>
      </c>
      <c r="K6970" s="21">
        <v>44490</v>
      </c>
      <c r="L6970">
        <v>2021</v>
      </c>
      <c r="P6970" s="21">
        <v>44739</v>
      </c>
      <c r="Q6970" s="262">
        <v>450000</v>
      </c>
      <c r="S6970" t="s">
        <v>114</v>
      </c>
      <c r="T6970" t="s">
        <v>114</v>
      </c>
      <c r="V6970">
        <v>339</v>
      </c>
      <c r="W6970">
        <v>278</v>
      </c>
      <c r="X6970">
        <v>1</v>
      </c>
      <c r="AD6970">
        <v>-339</v>
      </c>
      <c r="AF6970">
        <v>617</v>
      </c>
      <c r="AR6970">
        <v>1</v>
      </c>
      <c r="AU6970">
        <f t="shared" si="216"/>
        <v>0</v>
      </c>
      <c r="AV6970">
        <f t="shared" si="217"/>
        <v>0</v>
      </c>
    </row>
    <row r="6971" spans="1:48" x14ac:dyDescent="0.25">
      <c r="A6971" t="s">
        <v>16127</v>
      </c>
      <c r="B6971" t="s">
        <v>16127</v>
      </c>
      <c r="C6971" t="s">
        <v>16128</v>
      </c>
      <c r="D6971" t="s">
        <v>16062</v>
      </c>
      <c r="E6971" t="s">
        <v>2310</v>
      </c>
      <c r="F6971">
        <v>9</v>
      </c>
      <c r="G6971">
        <v>9.1999999999999993</v>
      </c>
      <c r="H6971" t="s">
        <v>2022</v>
      </c>
      <c r="I6971" s="21">
        <v>44467.6282707176</v>
      </c>
      <c r="J6971">
        <v>2021</v>
      </c>
      <c r="Q6971" s="262">
        <v>321500</v>
      </c>
      <c r="R6971" s="262">
        <v>95000</v>
      </c>
      <c r="S6971" t="s">
        <v>114</v>
      </c>
      <c r="T6971" t="s">
        <v>114</v>
      </c>
      <c r="V6971">
        <v>402</v>
      </c>
      <c r="W6971">
        <v>495</v>
      </c>
      <c r="X6971">
        <v>0</v>
      </c>
      <c r="AC6971">
        <v>495</v>
      </c>
      <c r="AU6971">
        <f t="shared" si="216"/>
        <v>0</v>
      </c>
      <c r="AV6971">
        <f t="shared" si="217"/>
        <v>0</v>
      </c>
    </row>
    <row r="6972" spans="1:48" x14ac:dyDescent="0.25">
      <c r="A6972" t="s">
        <v>16129</v>
      </c>
      <c r="B6972" t="s">
        <v>16129</v>
      </c>
      <c r="C6972" t="s">
        <v>16130</v>
      </c>
      <c r="D6972" t="s">
        <v>16062</v>
      </c>
      <c r="E6972" t="s">
        <v>2310</v>
      </c>
      <c r="F6972">
        <v>9</v>
      </c>
      <c r="G6972">
        <v>9.1999999999999993</v>
      </c>
      <c r="H6972" t="s">
        <v>2022</v>
      </c>
      <c r="I6972" s="21">
        <v>44467.648242280098</v>
      </c>
      <c r="J6972">
        <v>2021</v>
      </c>
      <c r="Q6972" s="262">
        <v>303000</v>
      </c>
      <c r="R6972" s="262">
        <v>135000</v>
      </c>
      <c r="S6972" t="s">
        <v>114</v>
      </c>
      <c r="T6972" t="s">
        <v>114</v>
      </c>
      <c r="V6972">
        <v>1515</v>
      </c>
      <c r="W6972">
        <v>0</v>
      </c>
      <c r="X6972">
        <v>0</v>
      </c>
      <c r="AU6972">
        <f t="shared" si="216"/>
        <v>0</v>
      </c>
      <c r="AV6972">
        <f t="shared" si="217"/>
        <v>0</v>
      </c>
    </row>
    <row r="6973" spans="1:48" x14ac:dyDescent="0.25">
      <c r="A6973" t="s">
        <v>16131</v>
      </c>
      <c r="B6973" t="s">
        <v>16131</v>
      </c>
      <c r="C6973" t="s">
        <v>16132</v>
      </c>
      <c r="D6973" t="s">
        <v>16062</v>
      </c>
      <c r="E6973" t="s">
        <v>2310</v>
      </c>
      <c r="F6973">
        <v>9</v>
      </c>
      <c r="G6973">
        <v>9.1999999999999993</v>
      </c>
      <c r="H6973" t="s">
        <v>2022</v>
      </c>
      <c r="I6973" s="21">
        <v>44467.648252430597</v>
      </c>
      <c r="J6973">
        <v>2021</v>
      </c>
      <c r="Q6973" s="262">
        <v>83200</v>
      </c>
      <c r="R6973" s="262">
        <v>37000</v>
      </c>
      <c r="S6973" t="s">
        <v>114</v>
      </c>
      <c r="T6973" t="s">
        <v>114</v>
      </c>
      <c r="V6973">
        <v>416</v>
      </c>
      <c r="W6973">
        <v>0</v>
      </c>
      <c r="X6973">
        <v>0</v>
      </c>
      <c r="AU6973">
        <f t="shared" si="216"/>
        <v>0</v>
      </c>
      <c r="AV6973">
        <f t="shared" si="217"/>
        <v>0</v>
      </c>
    </row>
    <row r="6974" spans="1:48" x14ac:dyDescent="0.25">
      <c r="A6974" t="s">
        <v>16133</v>
      </c>
      <c r="C6974" t="s">
        <v>16134</v>
      </c>
      <c r="D6974" t="s">
        <v>16135</v>
      </c>
      <c r="E6974" t="s">
        <v>1663</v>
      </c>
      <c r="F6974">
        <v>5</v>
      </c>
      <c r="G6974">
        <v>5.5</v>
      </c>
      <c r="H6974" t="s">
        <v>2017</v>
      </c>
      <c r="I6974" s="21">
        <v>44468</v>
      </c>
      <c r="J6974">
        <v>2021</v>
      </c>
      <c r="K6974" s="21">
        <v>44491</v>
      </c>
      <c r="L6974">
        <v>2021</v>
      </c>
      <c r="P6974" s="21">
        <v>44725</v>
      </c>
      <c r="Q6974" s="262">
        <v>76682.92</v>
      </c>
      <c r="S6974" t="s">
        <v>114</v>
      </c>
      <c r="T6974" t="s">
        <v>114</v>
      </c>
      <c r="W6974">
        <v>0</v>
      </c>
      <c r="X6974">
        <v>0</v>
      </c>
      <c r="AU6974">
        <f t="shared" si="216"/>
        <v>0</v>
      </c>
      <c r="AV6974">
        <f t="shared" si="217"/>
        <v>0</v>
      </c>
    </row>
    <row r="6975" spans="1:48" x14ac:dyDescent="0.25">
      <c r="A6975" t="s">
        <v>16136</v>
      </c>
      <c r="C6975" t="s">
        <v>13717</v>
      </c>
      <c r="D6975" t="s">
        <v>16137</v>
      </c>
      <c r="E6975" t="s">
        <v>1663</v>
      </c>
      <c r="F6975">
        <v>3</v>
      </c>
      <c r="G6975">
        <v>3.4</v>
      </c>
      <c r="H6975" t="s">
        <v>2017</v>
      </c>
      <c r="I6975" s="21">
        <v>44468</v>
      </c>
      <c r="J6975">
        <v>2021</v>
      </c>
      <c r="K6975" s="21">
        <v>44518</v>
      </c>
      <c r="L6975">
        <v>2021</v>
      </c>
      <c r="P6975" s="21">
        <v>44698</v>
      </c>
      <c r="Q6975" s="262">
        <v>1400000</v>
      </c>
      <c r="S6975" t="s">
        <v>114</v>
      </c>
      <c r="T6975" t="s">
        <v>114</v>
      </c>
      <c r="W6975">
        <v>4131</v>
      </c>
      <c r="X6975">
        <v>1</v>
      </c>
      <c r="AC6975">
        <v>4131</v>
      </c>
      <c r="AO6975">
        <v>1</v>
      </c>
      <c r="AU6975">
        <f t="shared" si="216"/>
        <v>1</v>
      </c>
      <c r="AV6975">
        <f t="shared" si="217"/>
        <v>0</v>
      </c>
    </row>
    <row r="6976" spans="1:48" x14ac:dyDescent="0.25">
      <c r="A6976" t="s">
        <v>16138</v>
      </c>
      <c r="C6976" t="s">
        <v>11246</v>
      </c>
      <c r="D6976" t="s">
        <v>16139</v>
      </c>
      <c r="E6976" t="s">
        <v>1663</v>
      </c>
      <c r="F6976">
        <v>6</v>
      </c>
      <c r="G6976">
        <v>6.2</v>
      </c>
      <c r="H6976" t="s">
        <v>2017</v>
      </c>
      <c r="I6976" s="21">
        <v>44469</v>
      </c>
      <c r="J6976">
        <v>2021</v>
      </c>
      <c r="K6976" s="21">
        <v>44503</v>
      </c>
      <c r="L6976">
        <v>2021</v>
      </c>
      <c r="P6976" s="21">
        <v>44699</v>
      </c>
      <c r="Q6976" s="262">
        <v>150000</v>
      </c>
      <c r="S6976" t="s">
        <v>114</v>
      </c>
      <c r="T6976" t="s">
        <v>114</v>
      </c>
      <c r="W6976">
        <v>494</v>
      </c>
      <c r="X6976">
        <v>1</v>
      </c>
      <c r="AC6976">
        <v>494</v>
      </c>
      <c r="AO6976">
        <v>1</v>
      </c>
      <c r="AU6976">
        <f t="shared" si="216"/>
        <v>1</v>
      </c>
      <c r="AV6976">
        <f t="shared" si="217"/>
        <v>0</v>
      </c>
    </row>
    <row r="6977" spans="1:48" x14ac:dyDescent="0.25">
      <c r="A6977" t="s">
        <v>16143</v>
      </c>
      <c r="C6977" t="s">
        <v>13528</v>
      </c>
      <c r="D6977" t="s">
        <v>16144</v>
      </c>
      <c r="E6977" t="s">
        <v>1663</v>
      </c>
      <c r="F6977">
        <v>6</v>
      </c>
      <c r="G6977">
        <v>6.2</v>
      </c>
      <c r="H6977" t="s">
        <v>2017</v>
      </c>
      <c r="I6977" s="21">
        <v>44477</v>
      </c>
      <c r="J6977">
        <v>2021</v>
      </c>
      <c r="K6977" s="21">
        <v>44586</v>
      </c>
      <c r="L6977">
        <v>2022</v>
      </c>
      <c r="Q6977" s="262">
        <v>1500000</v>
      </c>
      <c r="S6977" t="s">
        <v>114</v>
      </c>
      <c r="T6977" t="s">
        <v>114</v>
      </c>
      <c r="W6977">
        <v>2072</v>
      </c>
      <c r="X6977">
        <v>0</v>
      </c>
      <c r="AC6977">
        <v>2072</v>
      </c>
      <c r="AU6977">
        <f t="shared" si="216"/>
        <v>0</v>
      </c>
      <c r="AV6977">
        <f t="shared" si="217"/>
        <v>0</v>
      </c>
    </row>
    <row r="6978" spans="1:48" x14ac:dyDescent="0.25">
      <c r="A6978" t="s">
        <v>15018</v>
      </c>
      <c r="C6978" t="s">
        <v>15019</v>
      </c>
      <c r="D6978" t="s">
        <v>12303</v>
      </c>
      <c r="E6978" t="s">
        <v>1663</v>
      </c>
      <c r="F6978">
        <v>2</v>
      </c>
      <c r="G6978">
        <v>2.6</v>
      </c>
      <c r="H6978" t="s">
        <v>2327</v>
      </c>
      <c r="I6978" s="21">
        <v>44477</v>
      </c>
      <c r="J6978">
        <v>2021</v>
      </c>
      <c r="M6978" s="21">
        <v>44704</v>
      </c>
      <c r="N6978">
        <v>2022</v>
      </c>
      <c r="Q6978" s="262">
        <v>0</v>
      </c>
      <c r="S6978" t="s">
        <v>13253</v>
      </c>
      <c r="T6978">
        <v>14029</v>
      </c>
      <c r="W6978">
        <v>0</v>
      </c>
      <c r="X6978">
        <v>0</v>
      </c>
      <c r="AU6978">
        <f t="shared" si="216"/>
        <v>0</v>
      </c>
      <c r="AV6978">
        <f t="shared" si="217"/>
        <v>0</v>
      </c>
    </row>
    <row r="6979" spans="1:48" x14ac:dyDescent="0.25">
      <c r="A6979" t="s">
        <v>16145</v>
      </c>
      <c r="C6979" t="s">
        <v>16146</v>
      </c>
      <c r="D6979" t="s">
        <v>6627</v>
      </c>
      <c r="E6979" t="s">
        <v>1663</v>
      </c>
      <c r="F6979">
        <v>2</v>
      </c>
      <c r="G6979">
        <v>2.2999999999999998</v>
      </c>
      <c r="H6979" t="s">
        <v>2327</v>
      </c>
      <c r="I6979" s="21">
        <v>44481</v>
      </c>
      <c r="J6979">
        <v>2021</v>
      </c>
      <c r="K6979" s="21">
        <v>44736</v>
      </c>
      <c r="L6979">
        <v>2022</v>
      </c>
      <c r="Q6979" s="262">
        <v>1000</v>
      </c>
      <c r="S6979" t="s">
        <v>114</v>
      </c>
      <c r="T6979" t="s">
        <v>114</v>
      </c>
      <c r="W6979">
        <v>0</v>
      </c>
      <c r="X6979">
        <v>0</v>
      </c>
      <c r="AH6979">
        <v>-2996</v>
      </c>
      <c r="AK6979">
        <v>2996</v>
      </c>
      <c r="AU6979">
        <f t="shared" si="216"/>
        <v>0</v>
      </c>
      <c r="AV6979">
        <f t="shared" si="217"/>
        <v>0</v>
      </c>
    </row>
    <row r="6980" spans="1:48" x14ac:dyDescent="0.25">
      <c r="A6980" t="s">
        <v>15020</v>
      </c>
      <c r="C6980" t="s">
        <v>11237</v>
      </c>
      <c r="D6980" t="s">
        <v>15021</v>
      </c>
      <c r="E6980" t="s">
        <v>1663</v>
      </c>
      <c r="F6980">
        <v>5</v>
      </c>
      <c r="G6980">
        <v>5.0999999999999996</v>
      </c>
      <c r="H6980" t="s">
        <v>2327</v>
      </c>
      <c r="I6980" s="21">
        <v>44483</v>
      </c>
      <c r="J6980">
        <v>2021</v>
      </c>
      <c r="K6980" s="21">
        <v>44664</v>
      </c>
      <c r="L6980">
        <v>2022</v>
      </c>
      <c r="M6980" s="21">
        <v>44911</v>
      </c>
      <c r="N6980">
        <v>2022</v>
      </c>
      <c r="Q6980" s="262">
        <v>2000000</v>
      </c>
      <c r="S6980" t="s">
        <v>13253</v>
      </c>
      <c r="T6980">
        <v>13905</v>
      </c>
      <c r="W6980">
        <v>0</v>
      </c>
      <c r="X6980">
        <v>0</v>
      </c>
      <c r="AU6980">
        <f t="shared" si="216"/>
        <v>0</v>
      </c>
      <c r="AV6980">
        <f t="shared" si="217"/>
        <v>0</v>
      </c>
    </row>
    <row r="6981" spans="1:48" x14ac:dyDescent="0.25">
      <c r="A6981" t="s">
        <v>16150</v>
      </c>
      <c r="B6981" t="s">
        <v>16150</v>
      </c>
      <c r="C6981" t="s">
        <v>16151</v>
      </c>
      <c r="D6981" t="s">
        <v>8211</v>
      </c>
      <c r="E6981" t="s">
        <v>2310</v>
      </c>
      <c r="F6981">
        <v>9</v>
      </c>
      <c r="G6981">
        <v>9.1</v>
      </c>
      <c r="H6981" t="s">
        <v>2323</v>
      </c>
      <c r="I6981" s="21">
        <v>44483.420333796297</v>
      </c>
      <c r="J6981">
        <v>2021</v>
      </c>
      <c r="Q6981" s="262">
        <v>500000</v>
      </c>
      <c r="R6981" s="262">
        <v>125000</v>
      </c>
      <c r="S6981" t="s">
        <v>114</v>
      </c>
      <c r="T6981" t="s">
        <v>114</v>
      </c>
      <c r="V6981">
        <v>1402</v>
      </c>
      <c r="W6981">
        <v>0</v>
      </c>
      <c r="X6981">
        <v>0</v>
      </c>
      <c r="AU6981">
        <f t="shared" si="216"/>
        <v>0</v>
      </c>
      <c r="AV6981">
        <f t="shared" si="217"/>
        <v>0</v>
      </c>
    </row>
    <row r="6982" spans="1:48" x14ac:dyDescent="0.25">
      <c r="A6982" t="s">
        <v>16152</v>
      </c>
      <c r="B6982" t="s">
        <v>16152</v>
      </c>
      <c r="C6982" t="s">
        <v>16153</v>
      </c>
      <c r="D6982" t="s">
        <v>16154</v>
      </c>
      <c r="E6982" t="s">
        <v>2310</v>
      </c>
      <c r="F6982">
        <v>9</v>
      </c>
      <c r="G6982">
        <v>9.1</v>
      </c>
      <c r="H6982" t="s">
        <v>2323</v>
      </c>
      <c r="I6982" s="21">
        <v>44483.512313622698</v>
      </c>
      <c r="J6982">
        <v>2021</v>
      </c>
      <c r="Q6982" s="262">
        <v>900000</v>
      </c>
      <c r="R6982" s="262">
        <v>135000</v>
      </c>
      <c r="S6982" t="s">
        <v>114</v>
      </c>
      <c r="T6982" t="s">
        <v>114</v>
      </c>
      <c r="W6982">
        <v>1334</v>
      </c>
      <c r="X6982">
        <v>1</v>
      </c>
      <c r="AC6982">
        <v>336</v>
      </c>
      <c r="AF6982">
        <v>998</v>
      </c>
      <c r="AR6982">
        <v>1</v>
      </c>
      <c r="AU6982">
        <f t="shared" si="216"/>
        <v>0</v>
      </c>
      <c r="AV6982">
        <f t="shared" si="217"/>
        <v>0</v>
      </c>
    </row>
    <row r="6983" spans="1:48" x14ac:dyDescent="0.25">
      <c r="A6983" t="s">
        <v>16155</v>
      </c>
      <c r="B6983" t="s">
        <v>16155</v>
      </c>
      <c r="C6983" t="s">
        <v>16156</v>
      </c>
      <c r="D6983" t="s">
        <v>13638</v>
      </c>
      <c r="E6983" t="s">
        <v>2310</v>
      </c>
      <c r="F6983">
        <v>9</v>
      </c>
      <c r="G6983">
        <v>9.1</v>
      </c>
      <c r="H6983" t="s">
        <v>2323</v>
      </c>
      <c r="I6983" s="21">
        <v>44483.599084178197</v>
      </c>
      <c r="J6983">
        <v>2021</v>
      </c>
      <c r="Q6983" s="262">
        <v>5000000</v>
      </c>
      <c r="R6983" s="262">
        <v>1973000</v>
      </c>
      <c r="S6983" t="s">
        <v>114</v>
      </c>
      <c r="T6983" t="s">
        <v>114</v>
      </c>
      <c r="W6983">
        <v>12129</v>
      </c>
      <c r="X6983">
        <v>1</v>
      </c>
      <c r="AC6983">
        <v>12129</v>
      </c>
      <c r="AO6983">
        <v>1</v>
      </c>
      <c r="AU6983">
        <f t="shared" si="216"/>
        <v>1</v>
      </c>
      <c r="AV6983">
        <f t="shared" si="217"/>
        <v>0</v>
      </c>
    </row>
    <row r="6984" spans="1:48" x14ac:dyDescent="0.25">
      <c r="A6984" t="s">
        <v>16157</v>
      </c>
      <c r="B6984" t="s">
        <v>16157</v>
      </c>
      <c r="C6984" t="s">
        <v>16158</v>
      </c>
      <c r="D6984" t="s">
        <v>16159</v>
      </c>
      <c r="E6984" t="s">
        <v>2310</v>
      </c>
      <c r="F6984">
        <v>9</v>
      </c>
      <c r="G6984">
        <v>9.4</v>
      </c>
      <c r="H6984" t="s">
        <v>2323</v>
      </c>
      <c r="I6984" s="21">
        <v>44484.356111956004</v>
      </c>
      <c r="J6984">
        <v>2021</v>
      </c>
      <c r="K6984" s="21">
        <v>44537</v>
      </c>
      <c r="L6984">
        <v>2021</v>
      </c>
      <c r="Q6984" s="262">
        <v>400000</v>
      </c>
      <c r="R6984" s="262">
        <v>104000</v>
      </c>
      <c r="S6984" t="s">
        <v>114</v>
      </c>
      <c r="T6984" t="s">
        <v>114</v>
      </c>
      <c r="V6984">
        <v>584</v>
      </c>
      <c r="W6984">
        <v>434</v>
      </c>
      <c r="X6984">
        <v>0</v>
      </c>
      <c r="AC6984">
        <v>434</v>
      </c>
      <c r="AU6984">
        <f t="shared" si="216"/>
        <v>0</v>
      </c>
      <c r="AV6984">
        <f t="shared" si="217"/>
        <v>0</v>
      </c>
    </row>
    <row r="6985" spans="1:48" x14ac:dyDescent="0.25">
      <c r="A6985" t="s">
        <v>16160</v>
      </c>
      <c r="B6985" t="s">
        <v>16160</v>
      </c>
      <c r="C6985" t="s">
        <v>16161</v>
      </c>
      <c r="D6985" t="s">
        <v>16162</v>
      </c>
      <c r="E6985" t="s">
        <v>2310</v>
      </c>
      <c r="F6985">
        <v>10</v>
      </c>
      <c r="G6985">
        <v>10.1</v>
      </c>
      <c r="H6985" t="s">
        <v>2323</v>
      </c>
      <c r="I6985" s="21">
        <v>44484.3913741551</v>
      </c>
      <c r="J6985">
        <v>2021</v>
      </c>
      <c r="Q6985" s="262">
        <v>50000</v>
      </c>
      <c r="R6985" s="262">
        <v>55000</v>
      </c>
      <c r="S6985" t="s">
        <v>114</v>
      </c>
      <c r="T6985" t="s">
        <v>114</v>
      </c>
      <c r="V6985">
        <v>612</v>
      </c>
      <c r="W6985">
        <v>0</v>
      </c>
      <c r="X6985">
        <v>0</v>
      </c>
      <c r="AU6985">
        <f t="shared" si="216"/>
        <v>0</v>
      </c>
      <c r="AV6985">
        <f t="shared" si="217"/>
        <v>0</v>
      </c>
    </row>
    <row r="6986" spans="1:48" x14ac:dyDescent="0.25">
      <c r="A6986" t="s">
        <v>16163</v>
      </c>
      <c r="B6986" t="s">
        <v>16163</v>
      </c>
      <c r="C6986" t="s">
        <v>16164</v>
      </c>
      <c r="D6986" t="s">
        <v>2339</v>
      </c>
      <c r="E6986" t="s">
        <v>2310</v>
      </c>
      <c r="F6986">
        <v>9</v>
      </c>
      <c r="G6986">
        <v>9.1999999999999993</v>
      </c>
      <c r="H6986" t="s">
        <v>2022</v>
      </c>
      <c r="I6986" s="21">
        <v>44484.440981678199</v>
      </c>
      <c r="J6986">
        <v>2021</v>
      </c>
      <c r="O6986" s="21">
        <v>44496</v>
      </c>
      <c r="Q6986" s="262">
        <v>1200000</v>
      </c>
      <c r="R6986" s="262">
        <v>142000</v>
      </c>
      <c r="S6986" t="s">
        <v>114</v>
      </c>
      <c r="T6986" t="s">
        <v>114</v>
      </c>
      <c r="W6986">
        <v>1176</v>
      </c>
      <c r="X6986">
        <v>0</v>
      </c>
      <c r="AC6986">
        <v>1176</v>
      </c>
      <c r="AU6986">
        <f t="shared" si="216"/>
        <v>0</v>
      </c>
      <c r="AV6986">
        <f t="shared" si="217"/>
        <v>0</v>
      </c>
    </row>
    <row r="6987" spans="1:48" x14ac:dyDescent="0.25">
      <c r="A6987" t="s">
        <v>16165</v>
      </c>
      <c r="C6987" t="s">
        <v>16166</v>
      </c>
      <c r="D6987" t="s">
        <v>14713</v>
      </c>
      <c r="E6987" t="s">
        <v>1663</v>
      </c>
      <c r="F6987">
        <v>3</v>
      </c>
      <c r="G6987">
        <v>3.2</v>
      </c>
      <c r="H6987" t="s">
        <v>2327</v>
      </c>
      <c r="I6987" s="21">
        <v>44487</v>
      </c>
      <c r="J6987">
        <v>2021</v>
      </c>
      <c r="K6987" s="21">
        <v>44523</v>
      </c>
      <c r="L6987">
        <v>2021</v>
      </c>
      <c r="P6987" s="21">
        <v>44730</v>
      </c>
      <c r="Q6987" s="262">
        <v>250000</v>
      </c>
      <c r="S6987" t="s">
        <v>114</v>
      </c>
      <c r="T6987" t="s">
        <v>114</v>
      </c>
      <c r="W6987">
        <v>0</v>
      </c>
      <c r="X6987">
        <v>0</v>
      </c>
      <c r="AU6987">
        <f t="shared" si="216"/>
        <v>0</v>
      </c>
      <c r="AV6987">
        <f t="shared" si="217"/>
        <v>0</v>
      </c>
    </row>
    <row r="6988" spans="1:48" x14ac:dyDescent="0.25">
      <c r="A6988" t="s">
        <v>15022</v>
      </c>
      <c r="C6988" t="s">
        <v>15023</v>
      </c>
      <c r="D6988" t="s">
        <v>15024</v>
      </c>
      <c r="E6988" t="s">
        <v>1663</v>
      </c>
      <c r="F6988">
        <v>2</v>
      </c>
      <c r="G6988">
        <v>2.2999999999999998</v>
      </c>
      <c r="H6988" t="s">
        <v>2327</v>
      </c>
      <c r="I6988" s="21">
        <v>44488</v>
      </c>
      <c r="J6988">
        <v>2021</v>
      </c>
      <c r="M6988" s="21">
        <v>44874</v>
      </c>
      <c r="N6988">
        <v>2022</v>
      </c>
      <c r="Q6988" s="262">
        <v>2000000</v>
      </c>
      <c r="S6988" t="s">
        <v>13253</v>
      </c>
      <c r="T6988">
        <v>12698</v>
      </c>
      <c r="W6988">
        <v>435</v>
      </c>
      <c r="X6988">
        <v>0</v>
      </c>
      <c r="AE6988">
        <v>435</v>
      </c>
      <c r="AU6988">
        <f t="shared" si="216"/>
        <v>0</v>
      </c>
      <c r="AV6988">
        <f t="shared" si="217"/>
        <v>0</v>
      </c>
    </row>
    <row r="6989" spans="1:48" x14ac:dyDescent="0.25">
      <c r="A6989" t="s">
        <v>15025</v>
      </c>
      <c r="C6989" t="s">
        <v>15026</v>
      </c>
      <c r="D6989" t="s">
        <v>15027</v>
      </c>
      <c r="E6989" t="s">
        <v>1663</v>
      </c>
      <c r="F6989">
        <v>3</v>
      </c>
      <c r="G6989">
        <v>3.2</v>
      </c>
      <c r="H6989" t="s">
        <v>2327</v>
      </c>
      <c r="I6989" s="21">
        <v>44489</v>
      </c>
      <c r="J6989">
        <v>2021</v>
      </c>
      <c r="K6989" s="21">
        <v>44523</v>
      </c>
      <c r="L6989">
        <v>2021</v>
      </c>
      <c r="M6989" s="21">
        <v>44643</v>
      </c>
      <c r="N6989">
        <v>2022</v>
      </c>
      <c r="P6989" s="21">
        <v>44703</v>
      </c>
      <c r="Q6989" s="262">
        <v>10000</v>
      </c>
      <c r="S6989" t="s">
        <v>13253</v>
      </c>
      <c r="T6989">
        <v>11475</v>
      </c>
      <c r="W6989">
        <v>0</v>
      </c>
      <c r="X6989">
        <v>0</v>
      </c>
      <c r="AU6989">
        <f t="shared" si="216"/>
        <v>0</v>
      </c>
      <c r="AV6989">
        <f t="shared" si="217"/>
        <v>0</v>
      </c>
    </row>
    <row r="6990" spans="1:48" x14ac:dyDescent="0.25">
      <c r="A6990" t="s">
        <v>16170</v>
      </c>
      <c r="C6990" t="s">
        <v>16171</v>
      </c>
      <c r="D6990" t="s">
        <v>16172</v>
      </c>
      <c r="E6990" t="s">
        <v>1663</v>
      </c>
      <c r="F6990">
        <v>3</v>
      </c>
      <c r="G6990">
        <v>3.2</v>
      </c>
      <c r="H6990" t="s">
        <v>2327</v>
      </c>
      <c r="I6990" s="21">
        <v>44489</v>
      </c>
      <c r="J6990">
        <v>2021</v>
      </c>
      <c r="K6990" s="21">
        <v>44589</v>
      </c>
      <c r="L6990">
        <v>2022</v>
      </c>
      <c r="Q6990" s="262">
        <v>60000</v>
      </c>
      <c r="S6990" t="s">
        <v>114</v>
      </c>
      <c r="T6990" t="s">
        <v>114</v>
      </c>
      <c r="V6990">
        <v>504</v>
      </c>
      <c r="W6990">
        <v>0</v>
      </c>
      <c r="X6990">
        <v>1</v>
      </c>
      <c r="AQ6990">
        <v>1</v>
      </c>
      <c r="AU6990">
        <f t="shared" si="216"/>
        <v>1</v>
      </c>
      <c r="AV6990">
        <f t="shared" si="217"/>
        <v>0</v>
      </c>
    </row>
    <row r="6991" spans="1:48" x14ac:dyDescent="0.25">
      <c r="A6991" t="s">
        <v>15028</v>
      </c>
      <c r="C6991" t="s">
        <v>15029</v>
      </c>
      <c r="D6991" t="s">
        <v>9205</v>
      </c>
      <c r="E6991" t="s">
        <v>1663</v>
      </c>
      <c r="F6991">
        <v>2</v>
      </c>
      <c r="G6991">
        <v>2.2999999999999998</v>
      </c>
      <c r="H6991" t="s">
        <v>2327</v>
      </c>
      <c r="I6991" s="21">
        <v>44496</v>
      </c>
      <c r="J6991">
        <v>2021</v>
      </c>
      <c r="K6991" s="21">
        <v>44516</v>
      </c>
      <c r="L6991">
        <v>2021</v>
      </c>
      <c r="M6991" s="21">
        <v>44676</v>
      </c>
      <c r="N6991">
        <v>2022</v>
      </c>
      <c r="P6991" s="21">
        <v>44738</v>
      </c>
      <c r="Q6991" s="262">
        <v>52789</v>
      </c>
      <c r="S6991" t="s">
        <v>13253</v>
      </c>
      <c r="T6991">
        <v>9913</v>
      </c>
      <c r="W6991">
        <v>0</v>
      </c>
      <c r="X6991">
        <v>0</v>
      </c>
      <c r="AU6991">
        <f t="shared" si="216"/>
        <v>0</v>
      </c>
      <c r="AV6991">
        <f t="shared" si="217"/>
        <v>0</v>
      </c>
    </row>
    <row r="6992" spans="1:48" x14ac:dyDescent="0.25">
      <c r="A6992" t="s">
        <v>16179</v>
      </c>
      <c r="B6992" t="s">
        <v>16179</v>
      </c>
      <c r="C6992" t="s">
        <v>16180</v>
      </c>
      <c r="D6992" t="s">
        <v>16181</v>
      </c>
      <c r="E6992" t="s">
        <v>2310</v>
      </c>
      <c r="F6992">
        <v>9</v>
      </c>
      <c r="G6992">
        <v>9.4</v>
      </c>
      <c r="H6992" t="s">
        <v>2323</v>
      </c>
      <c r="I6992" s="21">
        <v>44497.601643402799</v>
      </c>
      <c r="J6992">
        <v>2021</v>
      </c>
      <c r="Q6992" s="262">
        <v>5000000</v>
      </c>
      <c r="R6992" s="262">
        <v>846000</v>
      </c>
      <c r="S6992" t="s">
        <v>114</v>
      </c>
      <c r="T6992" t="s">
        <v>114</v>
      </c>
      <c r="W6992">
        <v>6601</v>
      </c>
      <c r="X6992">
        <v>1</v>
      </c>
      <c r="AC6992">
        <v>6601</v>
      </c>
      <c r="AO6992">
        <v>1</v>
      </c>
      <c r="AU6992">
        <f t="shared" si="216"/>
        <v>1</v>
      </c>
      <c r="AV6992">
        <f t="shared" si="217"/>
        <v>0</v>
      </c>
    </row>
    <row r="6993" spans="1:48" x14ac:dyDescent="0.25">
      <c r="A6993" t="s">
        <v>16182</v>
      </c>
      <c r="B6993" t="s">
        <v>16182</v>
      </c>
      <c r="C6993" t="s">
        <v>16183</v>
      </c>
      <c r="D6993" t="s">
        <v>16184</v>
      </c>
      <c r="E6993" t="s">
        <v>2310</v>
      </c>
      <c r="F6993">
        <v>9</v>
      </c>
      <c r="G6993">
        <v>9.1</v>
      </c>
      <c r="H6993" t="s">
        <v>2323</v>
      </c>
      <c r="I6993" s="21">
        <v>44497.672948645799</v>
      </c>
      <c r="J6993">
        <v>2021</v>
      </c>
      <c r="Q6993" s="262">
        <v>1450000</v>
      </c>
      <c r="R6993" s="262">
        <v>614000</v>
      </c>
      <c r="S6993" t="s">
        <v>114</v>
      </c>
      <c r="T6993" t="s">
        <v>114</v>
      </c>
      <c r="W6993">
        <v>4939</v>
      </c>
      <c r="X6993">
        <v>0</v>
      </c>
      <c r="AC6993">
        <v>4939</v>
      </c>
      <c r="AU6993">
        <f t="shared" si="216"/>
        <v>0</v>
      </c>
      <c r="AV6993">
        <f t="shared" si="217"/>
        <v>0</v>
      </c>
    </row>
    <row r="6994" spans="1:48" x14ac:dyDescent="0.25">
      <c r="A6994" t="s">
        <v>16185</v>
      </c>
      <c r="B6994" t="s">
        <v>16185</v>
      </c>
      <c r="C6994" t="s">
        <v>16186</v>
      </c>
      <c r="D6994" t="s">
        <v>3477</v>
      </c>
      <c r="E6994" t="s">
        <v>2310</v>
      </c>
      <c r="F6994">
        <v>9</v>
      </c>
      <c r="G6994">
        <v>9.1999999999999993</v>
      </c>
      <c r="H6994" t="s">
        <v>2022</v>
      </c>
      <c r="I6994" s="21">
        <v>44498.671501504599</v>
      </c>
      <c r="J6994">
        <v>2021</v>
      </c>
      <c r="Q6994" s="262">
        <v>1000000</v>
      </c>
      <c r="R6994" s="262">
        <v>223000</v>
      </c>
      <c r="S6994" t="s">
        <v>114</v>
      </c>
      <c r="T6994" t="s">
        <v>114</v>
      </c>
      <c r="V6994">
        <v>2500</v>
      </c>
      <c r="W6994">
        <v>0</v>
      </c>
      <c r="X6994">
        <v>0</v>
      </c>
      <c r="AU6994">
        <f t="shared" si="216"/>
        <v>0</v>
      </c>
      <c r="AV6994">
        <f t="shared" si="217"/>
        <v>0</v>
      </c>
    </row>
    <row r="6995" spans="1:48" x14ac:dyDescent="0.25">
      <c r="A6995" t="s">
        <v>16187</v>
      </c>
      <c r="C6995" t="s">
        <v>11488</v>
      </c>
      <c r="D6995" t="s">
        <v>9670</v>
      </c>
      <c r="E6995" t="s">
        <v>1663</v>
      </c>
      <c r="F6995">
        <v>6</v>
      </c>
      <c r="G6995">
        <v>6.1</v>
      </c>
      <c r="H6995" t="s">
        <v>2017</v>
      </c>
      <c r="I6995" s="21">
        <v>44501</v>
      </c>
      <c r="J6995">
        <v>2021</v>
      </c>
      <c r="K6995" s="21">
        <v>44538</v>
      </c>
      <c r="L6995">
        <v>2021</v>
      </c>
      <c r="P6995" s="21">
        <v>44725</v>
      </c>
      <c r="Q6995" s="262">
        <v>4000000</v>
      </c>
      <c r="S6995" t="s">
        <v>114</v>
      </c>
      <c r="T6995" t="s">
        <v>114</v>
      </c>
      <c r="W6995">
        <v>3537</v>
      </c>
      <c r="X6995">
        <v>0</v>
      </c>
      <c r="AC6995">
        <v>3537</v>
      </c>
      <c r="AU6995">
        <f t="shared" si="216"/>
        <v>0</v>
      </c>
      <c r="AV6995">
        <f t="shared" si="217"/>
        <v>0</v>
      </c>
    </row>
    <row r="6996" spans="1:48" x14ac:dyDescent="0.25">
      <c r="A6996" t="s">
        <v>16188</v>
      </c>
      <c r="C6996" t="s">
        <v>16189</v>
      </c>
      <c r="D6996" t="s">
        <v>16190</v>
      </c>
      <c r="E6996" t="s">
        <v>1663</v>
      </c>
      <c r="F6996">
        <v>4</v>
      </c>
      <c r="G6996">
        <v>4.4000000000000004</v>
      </c>
      <c r="H6996" t="s">
        <v>2017</v>
      </c>
      <c r="I6996" s="21">
        <v>44502</v>
      </c>
      <c r="J6996">
        <v>2021</v>
      </c>
      <c r="K6996" s="21">
        <v>44785</v>
      </c>
      <c r="L6996">
        <v>2022</v>
      </c>
      <c r="Q6996" s="262">
        <v>0</v>
      </c>
      <c r="S6996" t="s">
        <v>114</v>
      </c>
      <c r="T6996" t="s">
        <v>114</v>
      </c>
      <c r="W6996">
        <v>220</v>
      </c>
      <c r="X6996">
        <v>2</v>
      </c>
      <c r="AC6996">
        <v>-1688</v>
      </c>
      <c r="AE6996">
        <v>1908</v>
      </c>
      <c r="AO6996">
        <v>-1</v>
      </c>
      <c r="AQ6996">
        <v>3</v>
      </c>
      <c r="AU6996">
        <f t="shared" si="216"/>
        <v>2</v>
      </c>
      <c r="AV6996">
        <f t="shared" si="217"/>
        <v>0</v>
      </c>
    </row>
    <row r="6997" spans="1:48" x14ac:dyDescent="0.25">
      <c r="A6997" t="s">
        <v>15030</v>
      </c>
      <c r="C6997" t="s">
        <v>15031</v>
      </c>
      <c r="D6997" t="s">
        <v>12379</v>
      </c>
      <c r="E6997" t="s">
        <v>1663</v>
      </c>
      <c r="F6997">
        <v>5</v>
      </c>
      <c r="G6997">
        <v>5.2</v>
      </c>
      <c r="H6997" t="s">
        <v>2327</v>
      </c>
      <c r="I6997" s="21">
        <v>44503</v>
      </c>
      <c r="J6997">
        <v>2021</v>
      </c>
      <c r="K6997" s="21">
        <v>44621</v>
      </c>
      <c r="L6997">
        <v>2022</v>
      </c>
      <c r="M6997" s="21">
        <v>44704</v>
      </c>
      <c r="N6997">
        <v>2022</v>
      </c>
      <c r="Q6997" s="262">
        <v>25000</v>
      </c>
      <c r="S6997" t="s">
        <v>13253</v>
      </c>
      <c r="T6997">
        <v>14370</v>
      </c>
      <c r="W6997">
        <v>0</v>
      </c>
      <c r="X6997">
        <v>0</v>
      </c>
      <c r="AU6997">
        <f t="shared" si="216"/>
        <v>0</v>
      </c>
      <c r="AV6997">
        <f t="shared" si="217"/>
        <v>0</v>
      </c>
    </row>
    <row r="6998" spans="1:48" x14ac:dyDescent="0.25">
      <c r="A6998" t="s">
        <v>15032</v>
      </c>
      <c r="C6998" t="s">
        <v>15033</v>
      </c>
      <c r="D6998" t="s">
        <v>13936</v>
      </c>
      <c r="E6998" t="s">
        <v>1663</v>
      </c>
      <c r="F6998">
        <v>2</v>
      </c>
      <c r="G6998">
        <v>2.2999999999999998</v>
      </c>
      <c r="H6998" t="s">
        <v>2327</v>
      </c>
      <c r="I6998" s="21">
        <v>44505</v>
      </c>
      <c r="J6998">
        <v>2021</v>
      </c>
      <c r="K6998" s="21">
        <v>44533</v>
      </c>
      <c r="L6998">
        <v>2021</v>
      </c>
      <c r="M6998" s="21">
        <v>44747</v>
      </c>
      <c r="N6998">
        <v>2022</v>
      </c>
      <c r="P6998" s="21">
        <v>44713</v>
      </c>
      <c r="Q6998" s="262">
        <v>75000</v>
      </c>
      <c r="S6998" t="s">
        <v>13253</v>
      </c>
      <c r="T6998">
        <v>11794</v>
      </c>
      <c r="W6998">
        <v>0</v>
      </c>
      <c r="X6998">
        <v>0</v>
      </c>
      <c r="AU6998">
        <f t="shared" si="216"/>
        <v>0</v>
      </c>
      <c r="AV6998">
        <f t="shared" si="217"/>
        <v>0</v>
      </c>
    </row>
    <row r="6999" spans="1:48" x14ac:dyDescent="0.25">
      <c r="A6999" t="s">
        <v>16196</v>
      </c>
      <c r="C6999" t="s">
        <v>11879</v>
      </c>
      <c r="D6999" t="s">
        <v>13656</v>
      </c>
      <c r="E6999" t="s">
        <v>1663</v>
      </c>
      <c r="F6999">
        <v>1</v>
      </c>
      <c r="G6999">
        <v>1.2</v>
      </c>
      <c r="H6999" t="s">
        <v>2017</v>
      </c>
      <c r="I6999" s="21">
        <v>44509</v>
      </c>
      <c r="J6999">
        <v>2021</v>
      </c>
      <c r="K6999" s="21">
        <v>44603</v>
      </c>
      <c r="L6999">
        <v>2022</v>
      </c>
      <c r="Q6999" s="262">
        <v>18000</v>
      </c>
      <c r="S6999" t="s">
        <v>114</v>
      </c>
      <c r="T6999" t="s">
        <v>114</v>
      </c>
      <c r="W6999">
        <v>0</v>
      </c>
      <c r="X6999">
        <v>0</v>
      </c>
      <c r="AU6999">
        <f t="shared" si="216"/>
        <v>0</v>
      </c>
      <c r="AV6999">
        <f t="shared" si="217"/>
        <v>0</v>
      </c>
    </row>
    <row r="7000" spans="1:48" x14ac:dyDescent="0.25">
      <c r="A7000" t="s">
        <v>16197</v>
      </c>
      <c r="B7000" t="s">
        <v>16197</v>
      </c>
      <c r="C7000" t="s">
        <v>16198</v>
      </c>
      <c r="D7000" t="s">
        <v>4365</v>
      </c>
      <c r="E7000" t="s">
        <v>2310</v>
      </c>
      <c r="F7000">
        <v>9</v>
      </c>
      <c r="G7000">
        <v>9.1</v>
      </c>
      <c r="H7000" t="s">
        <v>2323</v>
      </c>
      <c r="I7000" s="21">
        <v>44509.617245289402</v>
      </c>
      <c r="J7000">
        <v>2021</v>
      </c>
      <c r="Q7000" s="262">
        <v>17000000</v>
      </c>
      <c r="R7000" s="262">
        <v>2338000</v>
      </c>
      <c r="S7000" t="s">
        <v>114</v>
      </c>
      <c r="T7000" t="s">
        <v>114</v>
      </c>
      <c r="V7000">
        <v>16944</v>
      </c>
      <c r="W7000">
        <v>0</v>
      </c>
      <c r="X7000">
        <v>0</v>
      </c>
      <c r="AU7000">
        <f t="shared" si="216"/>
        <v>0</v>
      </c>
      <c r="AV7000">
        <f t="shared" si="217"/>
        <v>0</v>
      </c>
    </row>
    <row r="7001" spans="1:48" x14ac:dyDescent="0.25">
      <c r="A7001" t="s">
        <v>16199</v>
      </c>
      <c r="B7001" t="s">
        <v>16199</v>
      </c>
      <c r="C7001" t="s">
        <v>16200</v>
      </c>
      <c r="D7001" t="s">
        <v>3351</v>
      </c>
      <c r="E7001" t="s">
        <v>2310</v>
      </c>
      <c r="F7001">
        <v>11</v>
      </c>
      <c r="G7001">
        <v>11.2</v>
      </c>
      <c r="H7001" t="s">
        <v>2017</v>
      </c>
      <c r="I7001" s="21">
        <v>44512.479620752303</v>
      </c>
      <c r="J7001">
        <v>2021</v>
      </c>
      <c r="Q7001" s="262">
        <v>1200000</v>
      </c>
      <c r="R7001" s="262">
        <v>254000</v>
      </c>
      <c r="S7001" t="s">
        <v>114</v>
      </c>
      <c r="T7001" t="s">
        <v>114</v>
      </c>
      <c r="V7001">
        <v>1336</v>
      </c>
      <c r="W7001">
        <v>1108</v>
      </c>
      <c r="X7001">
        <v>0</v>
      </c>
      <c r="AC7001">
        <v>1108</v>
      </c>
      <c r="AU7001">
        <f t="shared" ref="AU7001:AU7064" si="218">SUM(AN7001:AQ7001,AS7001)</f>
        <v>0</v>
      </c>
      <c r="AV7001">
        <f t="shared" ref="AV7001:AV7064" si="219">SUM(Y7001:AB7001,AH7001:AM7001)</f>
        <v>0</v>
      </c>
    </row>
    <row r="7002" spans="1:48" x14ac:dyDescent="0.25">
      <c r="A7002" t="s">
        <v>16201</v>
      </c>
      <c r="C7002" t="s">
        <v>16202</v>
      </c>
      <c r="D7002" t="s">
        <v>16203</v>
      </c>
      <c r="E7002" t="s">
        <v>1663</v>
      </c>
      <c r="F7002">
        <v>2</v>
      </c>
      <c r="G7002">
        <v>2.1</v>
      </c>
      <c r="H7002" t="s">
        <v>2327</v>
      </c>
      <c r="I7002" s="21">
        <v>44515</v>
      </c>
      <c r="J7002">
        <v>2021</v>
      </c>
      <c r="K7002" s="21">
        <v>44582</v>
      </c>
      <c r="L7002">
        <v>2022</v>
      </c>
      <c r="Q7002" s="262">
        <v>3100000</v>
      </c>
      <c r="S7002" t="s">
        <v>114</v>
      </c>
      <c r="T7002" t="s">
        <v>114</v>
      </c>
      <c r="W7002">
        <v>0</v>
      </c>
      <c r="X7002">
        <v>0</v>
      </c>
      <c r="AU7002">
        <f t="shared" si="218"/>
        <v>0</v>
      </c>
      <c r="AV7002">
        <f t="shared" si="219"/>
        <v>0</v>
      </c>
    </row>
    <row r="7003" spans="1:48" x14ac:dyDescent="0.25">
      <c r="A7003" t="s">
        <v>16204</v>
      </c>
      <c r="B7003" t="s">
        <v>16204</v>
      </c>
      <c r="C7003" t="s">
        <v>16205</v>
      </c>
      <c r="D7003" t="s">
        <v>15321</v>
      </c>
      <c r="E7003" t="s">
        <v>2310</v>
      </c>
      <c r="F7003">
        <v>10</v>
      </c>
      <c r="G7003">
        <v>10.1</v>
      </c>
      <c r="H7003" t="s">
        <v>2323</v>
      </c>
      <c r="I7003" s="21">
        <v>44518.424368205997</v>
      </c>
      <c r="J7003">
        <v>2021</v>
      </c>
      <c r="K7003" s="21">
        <v>44551</v>
      </c>
      <c r="L7003">
        <v>2021</v>
      </c>
      <c r="Q7003" s="262">
        <v>20000</v>
      </c>
      <c r="R7003" s="262">
        <v>72000</v>
      </c>
      <c r="S7003" t="s">
        <v>114</v>
      </c>
      <c r="T7003" t="s">
        <v>114</v>
      </c>
      <c r="V7003">
        <v>800</v>
      </c>
      <c r="W7003">
        <v>0</v>
      </c>
      <c r="X7003">
        <v>0</v>
      </c>
      <c r="AU7003">
        <f t="shared" si="218"/>
        <v>0</v>
      </c>
      <c r="AV7003">
        <f t="shared" si="219"/>
        <v>0</v>
      </c>
    </row>
    <row r="7004" spans="1:48" x14ac:dyDescent="0.25">
      <c r="A7004" t="s">
        <v>16206</v>
      </c>
      <c r="B7004" t="s">
        <v>16206</v>
      </c>
      <c r="C7004" t="s">
        <v>16207</v>
      </c>
      <c r="D7004" t="s">
        <v>16208</v>
      </c>
      <c r="E7004" t="s">
        <v>2310</v>
      </c>
      <c r="F7004">
        <v>15</v>
      </c>
      <c r="G7004">
        <v>15.4</v>
      </c>
      <c r="H7004" t="s">
        <v>2323</v>
      </c>
      <c r="I7004" s="21">
        <v>44518.530354131901</v>
      </c>
      <c r="J7004">
        <v>2021</v>
      </c>
      <c r="Q7004" s="262">
        <v>2000000</v>
      </c>
      <c r="R7004" s="262">
        <v>354000</v>
      </c>
      <c r="S7004" t="s">
        <v>114</v>
      </c>
      <c r="T7004" t="s">
        <v>114</v>
      </c>
      <c r="W7004">
        <v>3236</v>
      </c>
      <c r="X7004">
        <v>2</v>
      </c>
      <c r="AC7004">
        <v>2503</v>
      </c>
      <c r="AF7004">
        <v>733</v>
      </c>
      <c r="AO7004">
        <v>1</v>
      </c>
      <c r="AR7004">
        <v>1</v>
      </c>
      <c r="AU7004">
        <f t="shared" si="218"/>
        <v>1</v>
      </c>
      <c r="AV7004">
        <f t="shared" si="219"/>
        <v>0</v>
      </c>
    </row>
    <row r="7005" spans="1:48" x14ac:dyDescent="0.25">
      <c r="A7005" t="s">
        <v>16209</v>
      </c>
      <c r="C7005" t="s">
        <v>16210</v>
      </c>
      <c r="D7005" t="s">
        <v>13738</v>
      </c>
      <c r="E7005" t="s">
        <v>1663</v>
      </c>
      <c r="F7005">
        <v>6</v>
      </c>
      <c r="G7005">
        <v>6.2</v>
      </c>
      <c r="H7005" t="s">
        <v>2017</v>
      </c>
      <c r="I7005" s="21">
        <v>44519</v>
      </c>
      <c r="J7005">
        <v>2021</v>
      </c>
      <c r="K7005" s="21">
        <v>44547</v>
      </c>
      <c r="L7005">
        <v>2021</v>
      </c>
      <c r="P7005" s="21">
        <v>44727</v>
      </c>
      <c r="Q7005" s="262">
        <v>640000</v>
      </c>
      <c r="S7005" t="s">
        <v>114</v>
      </c>
      <c r="T7005" t="s">
        <v>114</v>
      </c>
      <c r="W7005">
        <v>1372</v>
      </c>
      <c r="X7005">
        <v>0</v>
      </c>
      <c r="AC7005">
        <v>1372</v>
      </c>
      <c r="AU7005">
        <f t="shared" si="218"/>
        <v>0</v>
      </c>
      <c r="AV7005">
        <f t="shared" si="219"/>
        <v>0</v>
      </c>
    </row>
    <row r="7006" spans="1:48" x14ac:dyDescent="0.25">
      <c r="A7006" t="s">
        <v>16211</v>
      </c>
      <c r="B7006" t="s">
        <v>16211</v>
      </c>
      <c r="C7006" t="s">
        <v>16212</v>
      </c>
      <c r="D7006" t="s">
        <v>16213</v>
      </c>
      <c r="E7006" t="s">
        <v>2310</v>
      </c>
      <c r="F7006">
        <v>14</v>
      </c>
      <c r="G7006">
        <v>14.2</v>
      </c>
      <c r="H7006" t="s">
        <v>2017</v>
      </c>
      <c r="I7006" s="21">
        <v>44519.413506446799</v>
      </c>
      <c r="J7006">
        <v>2021</v>
      </c>
      <c r="Q7006" s="262">
        <v>1000000</v>
      </c>
      <c r="R7006" s="262">
        <v>755000</v>
      </c>
      <c r="S7006" t="s">
        <v>114</v>
      </c>
      <c r="T7006" t="s">
        <v>114</v>
      </c>
      <c r="W7006">
        <v>5610</v>
      </c>
      <c r="X7006">
        <v>1</v>
      </c>
      <c r="AC7006">
        <v>5610</v>
      </c>
      <c r="AO7006">
        <v>1</v>
      </c>
      <c r="AU7006">
        <f t="shared" si="218"/>
        <v>1</v>
      </c>
      <c r="AV7006">
        <f t="shared" si="219"/>
        <v>0</v>
      </c>
    </row>
    <row r="7007" spans="1:48" x14ac:dyDescent="0.25">
      <c r="A7007" t="s">
        <v>16214</v>
      </c>
      <c r="B7007" t="s">
        <v>16214</v>
      </c>
      <c r="C7007" t="s">
        <v>16215</v>
      </c>
      <c r="D7007" t="s">
        <v>16213</v>
      </c>
      <c r="E7007" t="s">
        <v>2310</v>
      </c>
      <c r="F7007">
        <v>14</v>
      </c>
      <c r="G7007">
        <v>14.2</v>
      </c>
      <c r="H7007" t="s">
        <v>2017</v>
      </c>
      <c r="I7007" s="21">
        <v>44519.493308217599</v>
      </c>
      <c r="J7007">
        <v>2021</v>
      </c>
      <c r="Q7007" s="262">
        <v>1000000</v>
      </c>
      <c r="R7007" s="262">
        <v>138000</v>
      </c>
      <c r="S7007" t="s">
        <v>114</v>
      </c>
      <c r="T7007" t="s">
        <v>114</v>
      </c>
      <c r="W7007">
        <v>994</v>
      </c>
      <c r="X7007">
        <v>1</v>
      </c>
      <c r="AF7007">
        <v>994</v>
      </c>
      <c r="AR7007">
        <v>1</v>
      </c>
      <c r="AU7007">
        <f t="shared" si="218"/>
        <v>0</v>
      </c>
      <c r="AV7007">
        <f t="shared" si="219"/>
        <v>0</v>
      </c>
    </row>
    <row r="7008" spans="1:48" x14ac:dyDescent="0.25">
      <c r="A7008" t="s">
        <v>16216</v>
      </c>
      <c r="B7008" t="s">
        <v>16216</v>
      </c>
      <c r="C7008" t="s">
        <v>16217</v>
      </c>
      <c r="D7008" t="s">
        <v>16213</v>
      </c>
      <c r="E7008" t="s">
        <v>2310</v>
      </c>
      <c r="F7008">
        <v>14</v>
      </c>
      <c r="G7008">
        <v>14.2</v>
      </c>
      <c r="H7008" t="s">
        <v>2017</v>
      </c>
      <c r="I7008" s="21">
        <v>44519.493320370399</v>
      </c>
      <c r="J7008">
        <v>2021</v>
      </c>
      <c r="Q7008" s="262">
        <v>750000</v>
      </c>
      <c r="R7008" s="262">
        <v>356000</v>
      </c>
      <c r="S7008" t="s">
        <v>114</v>
      </c>
      <c r="T7008" t="s">
        <v>114</v>
      </c>
      <c r="W7008">
        <v>3299</v>
      </c>
      <c r="X7008">
        <v>0</v>
      </c>
      <c r="AC7008">
        <v>3299</v>
      </c>
      <c r="AU7008">
        <f t="shared" si="218"/>
        <v>0</v>
      </c>
      <c r="AV7008">
        <f t="shared" si="219"/>
        <v>0</v>
      </c>
    </row>
    <row r="7009" spans="1:48" x14ac:dyDescent="0.25">
      <c r="A7009" t="s">
        <v>16218</v>
      </c>
      <c r="B7009" t="s">
        <v>16218</v>
      </c>
      <c r="C7009" t="s">
        <v>16219</v>
      </c>
      <c r="D7009" t="s">
        <v>16220</v>
      </c>
      <c r="E7009" t="s">
        <v>2310</v>
      </c>
      <c r="F7009">
        <v>9</v>
      </c>
      <c r="G7009">
        <v>9.1999999999999993</v>
      </c>
      <c r="H7009" t="s">
        <v>2022</v>
      </c>
      <c r="I7009" s="21">
        <v>44519.506214664398</v>
      </c>
      <c r="J7009">
        <v>2021</v>
      </c>
      <c r="Q7009" s="262">
        <v>7500000</v>
      </c>
      <c r="R7009" s="262">
        <v>1393000</v>
      </c>
      <c r="S7009" t="s">
        <v>114</v>
      </c>
      <c r="T7009" t="s">
        <v>114</v>
      </c>
      <c r="W7009">
        <v>-5224</v>
      </c>
      <c r="X7009">
        <v>-1</v>
      </c>
      <c r="AC7009">
        <v>-5224</v>
      </c>
      <c r="AO7009">
        <v>-1</v>
      </c>
      <c r="AU7009">
        <f t="shared" si="218"/>
        <v>-1</v>
      </c>
      <c r="AV7009">
        <f t="shared" si="219"/>
        <v>0</v>
      </c>
    </row>
    <row r="7010" spans="1:48" x14ac:dyDescent="0.25">
      <c r="A7010" t="s">
        <v>16218</v>
      </c>
      <c r="B7010" t="s">
        <v>16218</v>
      </c>
      <c r="C7010" t="s">
        <v>16221</v>
      </c>
      <c r="D7010" t="s">
        <v>16220</v>
      </c>
      <c r="E7010" t="s">
        <v>2310</v>
      </c>
      <c r="F7010">
        <v>9</v>
      </c>
      <c r="G7010">
        <v>9.1999999999999993</v>
      </c>
      <c r="H7010" t="s">
        <v>2022</v>
      </c>
      <c r="I7010" s="21">
        <v>44519.506214664398</v>
      </c>
      <c r="J7010">
        <v>2021</v>
      </c>
      <c r="Q7010" s="262">
        <v>7500000</v>
      </c>
      <c r="R7010" s="262">
        <v>1393000</v>
      </c>
      <c r="S7010" t="s">
        <v>114</v>
      </c>
      <c r="T7010" t="s">
        <v>114</v>
      </c>
      <c r="W7010">
        <v>9530</v>
      </c>
      <c r="X7010">
        <v>1</v>
      </c>
      <c r="AC7010">
        <v>9530</v>
      </c>
      <c r="AO7010">
        <v>1</v>
      </c>
      <c r="AU7010">
        <f t="shared" si="218"/>
        <v>1</v>
      </c>
      <c r="AV7010">
        <f t="shared" si="219"/>
        <v>0</v>
      </c>
    </row>
    <row r="7011" spans="1:48" x14ac:dyDescent="0.25">
      <c r="A7011" t="s">
        <v>16222</v>
      </c>
      <c r="B7011" t="s">
        <v>16222</v>
      </c>
      <c r="C7011" t="s">
        <v>16223</v>
      </c>
      <c r="D7011" t="s">
        <v>2602</v>
      </c>
      <c r="E7011" t="s">
        <v>2310</v>
      </c>
      <c r="F7011">
        <v>8</v>
      </c>
      <c r="G7011">
        <v>8.1</v>
      </c>
      <c r="H7011" t="s">
        <v>2323</v>
      </c>
      <c r="I7011" s="21">
        <v>44532.426484490701</v>
      </c>
      <c r="J7011">
        <v>2021</v>
      </c>
      <c r="Q7011" s="262">
        <v>277200</v>
      </c>
      <c r="R7011" s="262">
        <v>30000</v>
      </c>
      <c r="S7011" t="s">
        <v>114</v>
      </c>
      <c r="T7011" t="s">
        <v>114</v>
      </c>
      <c r="W7011">
        <v>616</v>
      </c>
      <c r="X7011">
        <v>0</v>
      </c>
      <c r="AC7011">
        <v>616</v>
      </c>
      <c r="AU7011">
        <f t="shared" si="218"/>
        <v>0</v>
      </c>
      <c r="AV7011">
        <f t="shared" si="219"/>
        <v>0</v>
      </c>
    </row>
    <row r="7012" spans="1:48" x14ac:dyDescent="0.25">
      <c r="A7012" t="s">
        <v>16224</v>
      </c>
      <c r="B7012" t="s">
        <v>16224</v>
      </c>
      <c r="C7012" t="s">
        <v>16225</v>
      </c>
      <c r="D7012" t="s">
        <v>16226</v>
      </c>
      <c r="E7012" t="s">
        <v>2310</v>
      </c>
      <c r="F7012">
        <v>14</v>
      </c>
      <c r="G7012">
        <v>14.2</v>
      </c>
      <c r="H7012" t="s">
        <v>2017</v>
      </c>
      <c r="I7012" s="21">
        <v>44532.5036179745</v>
      </c>
      <c r="J7012">
        <v>2021</v>
      </c>
      <c r="Q7012" s="262">
        <v>1600000</v>
      </c>
      <c r="R7012" s="262">
        <v>413000</v>
      </c>
      <c r="S7012" t="s">
        <v>114</v>
      </c>
      <c r="T7012" t="s">
        <v>114</v>
      </c>
      <c r="W7012">
        <v>3731</v>
      </c>
      <c r="X7012">
        <v>1</v>
      </c>
      <c r="AC7012">
        <v>3731</v>
      </c>
      <c r="AO7012">
        <v>1</v>
      </c>
      <c r="AU7012">
        <f t="shared" si="218"/>
        <v>1</v>
      </c>
      <c r="AV7012">
        <f t="shared" si="219"/>
        <v>0</v>
      </c>
    </row>
    <row r="7013" spans="1:48" x14ac:dyDescent="0.25">
      <c r="A7013" t="s">
        <v>16227</v>
      </c>
      <c r="B7013" t="s">
        <v>16227</v>
      </c>
      <c r="C7013" t="s">
        <v>16228</v>
      </c>
      <c r="D7013" t="s">
        <v>16229</v>
      </c>
      <c r="E7013" t="s">
        <v>2310</v>
      </c>
      <c r="F7013">
        <v>14</v>
      </c>
      <c r="G7013">
        <v>14.2</v>
      </c>
      <c r="H7013" t="s">
        <v>2017</v>
      </c>
      <c r="I7013" s="21">
        <v>44533.442022835603</v>
      </c>
      <c r="J7013">
        <v>2021</v>
      </c>
      <c r="Q7013" s="262">
        <v>975000</v>
      </c>
      <c r="R7013" s="262">
        <v>414000</v>
      </c>
      <c r="S7013" t="s">
        <v>114</v>
      </c>
      <c r="T7013" t="s">
        <v>114</v>
      </c>
      <c r="W7013">
        <v>4970</v>
      </c>
      <c r="X7013">
        <v>1</v>
      </c>
      <c r="AC7013">
        <v>4970</v>
      </c>
      <c r="AO7013">
        <v>1</v>
      </c>
      <c r="AU7013">
        <f t="shared" si="218"/>
        <v>1</v>
      </c>
      <c r="AV7013">
        <f t="shared" si="219"/>
        <v>0</v>
      </c>
    </row>
    <row r="7014" spans="1:48" x14ac:dyDescent="0.25">
      <c r="A7014" t="s">
        <v>16230</v>
      </c>
      <c r="C7014" t="s">
        <v>16231</v>
      </c>
      <c r="D7014" t="s">
        <v>11644</v>
      </c>
      <c r="E7014" t="s">
        <v>1663</v>
      </c>
      <c r="F7014">
        <v>4</v>
      </c>
      <c r="G7014">
        <v>4.3</v>
      </c>
      <c r="H7014" t="s">
        <v>2327</v>
      </c>
      <c r="I7014" s="21">
        <v>44538</v>
      </c>
      <c r="J7014">
        <v>2021</v>
      </c>
      <c r="K7014" s="21">
        <v>44827</v>
      </c>
      <c r="L7014">
        <v>2022</v>
      </c>
      <c r="Q7014" s="262">
        <v>22261322</v>
      </c>
      <c r="S7014" t="s">
        <v>114</v>
      </c>
      <c r="T7014" t="s">
        <v>114</v>
      </c>
      <c r="W7014">
        <v>5385</v>
      </c>
      <c r="X7014">
        <v>0</v>
      </c>
      <c r="AM7014">
        <v>5385</v>
      </c>
      <c r="AU7014">
        <f t="shared" si="218"/>
        <v>0</v>
      </c>
      <c r="AV7014">
        <f t="shared" si="219"/>
        <v>5385</v>
      </c>
    </row>
    <row r="7015" spans="1:48" x14ac:dyDescent="0.25">
      <c r="A7015" t="s">
        <v>16232</v>
      </c>
      <c r="B7015" t="s">
        <v>16232</v>
      </c>
      <c r="C7015" t="s">
        <v>16233</v>
      </c>
      <c r="D7015" t="s">
        <v>16234</v>
      </c>
      <c r="E7015" t="s">
        <v>2310</v>
      </c>
      <c r="F7015">
        <v>9</v>
      </c>
      <c r="G7015">
        <v>9.4</v>
      </c>
      <c r="H7015" t="s">
        <v>2323</v>
      </c>
      <c r="I7015" s="21">
        <v>44539.396124999999</v>
      </c>
      <c r="J7015">
        <v>2021</v>
      </c>
      <c r="Q7015" s="262">
        <v>1500000</v>
      </c>
      <c r="R7015" s="262">
        <v>262000</v>
      </c>
      <c r="S7015" t="s">
        <v>114</v>
      </c>
      <c r="T7015" t="s">
        <v>114</v>
      </c>
      <c r="V7015">
        <v>1720</v>
      </c>
      <c r="W7015">
        <v>917</v>
      </c>
      <c r="X7015">
        <v>0</v>
      </c>
      <c r="AC7015">
        <v>917</v>
      </c>
      <c r="AU7015">
        <f t="shared" si="218"/>
        <v>0</v>
      </c>
      <c r="AV7015">
        <f t="shared" si="219"/>
        <v>0</v>
      </c>
    </row>
    <row r="7016" spans="1:48" x14ac:dyDescent="0.25">
      <c r="A7016" t="s">
        <v>16235</v>
      </c>
      <c r="B7016" t="s">
        <v>16235</v>
      </c>
      <c r="C7016" t="s">
        <v>16236</v>
      </c>
      <c r="D7016" t="s">
        <v>16237</v>
      </c>
      <c r="E7016" t="s">
        <v>2310</v>
      </c>
      <c r="F7016">
        <v>9</v>
      </c>
      <c r="G7016">
        <v>9.4</v>
      </c>
      <c r="H7016" t="s">
        <v>2323</v>
      </c>
      <c r="I7016" s="21">
        <v>44539.509277349498</v>
      </c>
      <c r="J7016">
        <v>2021</v>
      </c>
      <c r="Q7016" s="262">
        <v>30000</v>
      </c>
      <c r="R7016" s="262">
        <v>32000</v>
      </c>
      <c r="S7016" t="s">
        <v>114</v>
      </c>
      <c r="T7016" t="s">
        <v>114</v>
      </c>
      <c r="W7016">
        <v>654</v>
      </c>
      <c r="X7016">
        <v>0</v>
      </c>
      <c r="AC7016">
        <v>654</v>
      </c>
      <c r="AU7016">
        <f t="shared" si="218"/>
        <v>0</v>
      </c>
      <c r="AV7016">
        <f t="shared" si="219"/>
        <v>0</v>
      </c>
    </row>
    <row r="7017" spans="1:48" x14ac:dyDescent="0.25">
      <c r="A7017" t="s">
        <v>16238</v>
      </c>
      <c r="B7017" t="s">
        <v>16238</v>
      </c>
      <c r="C7017" t="s">
        <v>16239</v>
      </c>
      <c r="D7017" t="s">
        <v>16240</v>
      </c>
      <c r="E7017" t="s">
        <v>2310</v>
      </c>
      <c r="F7017">
        <v>8</v>
      </c>
      <c r="G7017">
        <v>8.1</v>
      </c>
      <c r="H7017" t="s">
        <v>2323</v>
      </c>
      <c r="I7017" s="21">
        <v>44539.652298530098</v>
      </c>
      <c r="J7017">
        <v>2021</v>
      </c>
      <c r="Q7017" s="262">
        <v>550000</v>
      </c>
      <c r="R7017" s="262">
        <v>162000</v>
      </c>
      <c r="S7017" t="s">
        <v>114</v>
      </c>
      <c r="T7017" t="s">
        <v>114</v>
      </c>
      <c r="W7017">
        <v>1893</v>
      </c>
      <c r="X7017">
        <v>0</v>
      </c>
      <c r="AC7017">
        <v>897</v>
      </c>
      <c r="AF7017">
        <v>996</v>
      </c>
      <c r="AU7017">
        <f t="shared" si="218"/>
        <v>0</v>
      </c>
      <c r="AV7017">
        <f t="shared" si="219"/>
        <v>0</v>
      </c>
    </row>
    <row r="7018" spans="1:48" x14ac:dyDescent="0.25">
      <c r="A7018" t="s">
        <v>16241</v>
      </c>
      <c r="B7018" t="s">
        <v>16241</v>
      </c>
      <c r="C7018" t="s">
        <v>16242</v>
      </c>
      <c r="D7018" t="s">
        <v>15350</v>
      </c>
      <c r="E7018" t="s">
        <v>2310</v>
      </c>
      <c r="F7018">
        <v>8</v>
      </c>
      <c r="G7018">
        <v>8.1999999999999993</v>
      </c>
      <c r="H7018" t="s">
        <v>2022</v>
      </c>
      <c r="I7018" s="21">
        <v>44540.602215972198</v>
      </c>
      <c r="J7018">
        <v>2021</v>
      </c>
      <c r="Q7018" s="262">
        <v>2300000</v>
      </c>
      <c r="R7018" s="262">
        <v>136000</v>
      </c>
      <c r="S7018" t="s">
        <v>114</v>
      </c>
      <c r="T7018" t="s">
        <v>114</v>
      </c>
      <c r="W7018">
        <v>2834</v>
      </c>
      <c r="X7018">
        <v>0</v>
      </c>
      <c r="AC7018">
        <v>2834</v>
      </c>
      <c r="AU7018">
        <f t="shared" si="218"/>
        <v>0</v>
      </c>
      <c r="AV7018">
        <f t="shared" si="219"/>
        <v>0</v>
      </c>
    </row>
    <row r="7019" spans="1:48" x14ac:dyDescent="0.25">
      <c r="A7019" t="s">
        <v>16243</v>
      </c>
      <c r="B7019" t="s">
        <v>16243</v>
      </c>
      <c r="C7019" t="s">
        <v>16244</v>
      </c>
      <c r="D7019" t="s">
        <v>14168</v>
      </c>
      <c r="E7019" t="s">
        <v>2310</v>
      </c>
      <c r="F7019">
        <v>13</v>
      </c>
      <c r="G7019">
        <v>13.2</v>
      </c>
      <c r="H7019" t="s">
        <v>2327</v>
      </c>
      <c r="I7019" s="21">
        <v>44540.669007326404</v>
      </c>
      <c r="J7019">
        <v>2021</v>
      </c>
      <c r="Q7019" s="262">
        <v>5000000</v>
      </c>
      <c r="R7019" s="262">
        <v>1196000</v>
      </c>
      <c r="S7019" t="s">
        <v>114</v>
      </c>
      <c r="T7019" t="s">
        <v>114</v>
      </c>
      <c r="W7019">
        <v>7931</v>
      </c>
      <c r="X7019">
        <v>1</v>
      </c>
      <c r="AC7019">
        <v>7931</v>
      </c>
      <c r="AO7019">
        <v>1</v>
      </c>
      <c r="AU7019">
        <f t="shared" si="218"/>
        <v>1</v>
      </c>
      <c r="AV7019">
        <f t="shared" si="219"/>
        <v>0</v>
      </c>
    </row>
    <row r="7020" spans="1:48" x14ac:dyDescent="0.25">
      <c r="A7020" t="s">
        <v>16245</v>
      </c>
      <c r="C7020" t="s">
        <v>16246</v>
      </c>
      <c r="D7020" t="s">
        <v>12915</v>
      </c>
      <c r="E7020" t="s">
        <v>1663</v>
      </c>
      <c r="F7020">
        <v>2</v>
      </c>
      <c r="G7020">
        <v>2.2999999999999998</v>
      </c>
      <c r="H7020" t="s">
        <v>2327</v>
      </c>
      <c r="I7020" s="21">
        <v>44543</v>
      </c>
      <c r="J7020">
        <v>2021</v>
      </c>
      <c r="K7020" s="21">
        <v>44776</v>
      </c>
      <c r="L7020">
        <v>2022</v>
      </c>
      <c r="Q7020" s="262">
        <v>5800000</v>
      </c>
      <c r="S7020" t="s">
        <v>114</v>
      </c>
      <c r="T7020" t="s">
        <v>114</v>
      </c>
      <c r="W7020">
        <v>-660</v>
      </c>
      <c r="X7020">
        <v>0</v>
      </c>
      <c r="AK7020">
        <v>-660</v>
      </c>
      <c r="AU7020">
        <f t="shared" si="218"/>
        <v>0</v>
      </c>
      <c r="AV7020">
        <f t="shared" si="219"/>
        <v>-660</v>
      </c>
    </row>
    <row r="7021" spans="1:48" x14ac:dyDescent="0.25">
      <c r="A7021" t="s">
        <v>16245</v>
      </c>
      <c r="C7021" t="s">
        <v>16246</v>
      </c>
      <c r="D7021" t="s">
        <v>12915</v>
      </c>
      <c r="E7021" t="s">
        <v>1663</v>
      </c>
      <c r="F7021">
        <v>2</v>
      </c>
      <c r="G7021">
        <v>2.2999999999999998</v>
      </c>
      <c r="H7021" t="s">
        <v>2327</v>
      </c>
      <c r="I7021" s="21">
        <v>44543</v>
      </c>
      <c r="J7021">
        <v>2021</v>
      </c>
      <c r="K7021" s="21">
        <v>44776</v>
      </c>
      <c r="L7021">
        <v>2022</v>
      </c>
      <c r="Q7021" s="262">
        <v>5800000</v>
      </c>
      <c r="S7021" t="s">
        <v>114</v>
      </c>
      <c r="T7021" t="s">
        <v>114</v>
      </c>
      <c r="W7021">
        <v>-795</v>
      </c>
      <c r="X7021">
        <v>0</v>
      </c>
      <c r="AK7021">
        <v>-795</v>
      </c>
      <c r="AU7021">
        <f t="shared" si="218"/>
        <v>0</v>
      </c>
      <c r="AV7021">
        <f t="shared" si="219"/>
        <v>-795</v>
      </c>
    </row>
    <row r="7022" spans="1:48" x14ac:dyDescent="0.25">
      <c r="A7022" t="s">
        <v>16245</v>
      </c>
      <c r="C7022" t="s">
        <v>16247</v>
      </c>
      <c r="D7022" t="s">
        <v>12915</v>
      </c>
      <c r="E7022" t="s">
        <v>1663</v>
      </c>
      <c r="F7022">
        <v>2</v>
      </c>
      <c r="G7022">
        <v>2.2999999999999998</v>
      </c>
      <c r="H7022" t="s">
        <v>2327</v>
      </c>
      <c r="I7022" s="21">
        <v>44543</v>
      </c>
      <c r="J7022">
        <v>2021</v>
      </c>
      <c r="K7022" s="21">
        <v>44776</v>
      </c>
      <c r="L7022">
        <v>2022</v>
      </c>
      <c r="Q7022" s="262">
        <v>5800000</v>
      </c>
      <c r="S7022" t="s">
        <v>114</v>
      </c>
      <c r="T7022" t="s">
        <v>114</v>
      </c>
      <c r="W7022">
        <v>-2680</v>
      </c>
      <c r="X7022">
        <v>-4</v>
      </c>
      <c r="AE7022">
        <v>-2680</v>
      </c>
      <c r="AQ7022">
        <v>-4</v>
      </c>
      <c r="AU7022">
        <f t="shared" si="218"/>
        <v>-4</v>
      </c>
      <c r="AV7022">
        <f t="shared" si="219"/>
        <v>0</v>
      </c>
    </row>
    <row r="7023" spans="1:48" x14ac:dyDescent="0.25">
      <c r="A7023" t="s">
        <v>16245</v>
      </c>
      <c r="C7023" t="s">
        <v>16248</v>
      </c>
      <c r="D7023" t="s">
        <v>12915</v>
      </c>
      <c r="E7023" t="s">
        <v>1663</v>
      </c>
      <c r="F7023">
        <v>2</v>
      </c>
      <c r="G7023">
        <v>2.2999999999999998</v>
      </c>
      <c r="H7023" t="s">
        <v>2327</v>
      </c>
      <c r="I7023" s="21">
        <v>44543</v>
      </c>
      <c r="J7023">
        <v>2021</v>
      </c>
      <c r="K7023" s="21">
        <v>44776</v>
      </c>
      <c r="L7023">
        <v>2022</v>
      </c>
      <c r="Q7023" s="262">
        <v>5800000</v>
      </c>
      <c r="S7023" t="s">
        <v>114</v>
      </c>
      <c r="T7023" t="s">
        <v>114</v>
      </c>
      <c r="W7023">
        <v>-5078</v>
      </c>
      <c r="X7023">
        <v>-6</v>
      </c>
      <c r="AE7023">
        <v>-2539</v>
      </c>
      <c r="AK7023">
        <v>-2539</v>
      </c>
      <c r="AQ7023">
        <v>-6</v>
      </c>
      <c r="AU7023">
        <f t="shared" si="218"/>
        <v>-6</v>
      </c>
      <c r="AV7023">
        <f t="shared" si="219"/>
        <v>-2539</v>
      </c>
    </row>
    <row r="7024" spans="1:48" x14ac:dyDescent="0.25">
      <c r="A7024" t="s">
        <v>16245</v>
      </c>
      <c r="C7024" t="s">
        <v>16249</v>
      </c>
      <c r="D7024" t="s">
        <v>12915</v>
      </c>
      <c r="E7024" t="s">
        <v>1663</v>
      </c>
      <c r="F7024">
        <v>2</v>
      </c>
      <c r="G7024">
        <v>2.2999999999999998</v>
      </c>
      <c r="H7024" t="s">
        <v>2327</v>
      </c>
      <c r="I7024" s="21">
        <v>44543</v>
      </c>
      <c r="J7024">
        <v>2021</v>
      </c>
      <c r="K7024" s="21">
        <v>44776</v>
      </c>
      <c r="L7024">
        <v>2022</v>
      </c>
      <c r="Q7024" s="262">
        <v>5800000</v>
      </c>
      <c r="S7024" t="s">
        <v>114</v>
      </c>
      <c r="T7024" t="s">
        <v>114</v>
      </c>
      <c r="W7024">
        <v>9528</v>
      </c>
      <c r="X7024">
        <v>0</v>
      </c>
      <c r="AD7024">
        <v>9528</v>
      </c>
      <c r="AU7024">
        <f t="shared" si="218"/>
        <v>0</v>
      </c>
      <c r="AV7024">
        <f t="shared" si="219"/>
        <v>0</v>
      </c>
    </row>
    <row r="7025" spans="1:48" x14ac:dyDescent="0.25">
      <c r="A7025" t="s">
        <v>16250</v>
      </c>
      <c r="C7025" t="s">
        <v>16251</v>
      </c>
      <c r="D7025" t="s">
        <v>12915</v>
      </c>
      <c r="E7025" t="s">
        <v>1663</v>
      </c>
      <c r="F7025">
        <v>2</v>
      </c>
      <c r="G7025">
        <v>2.2999999999999998</v>
      </c>
      <c r="H7025" t="s">
        <v>2327</v>
      </c>
      <c r="I7025" s="21">
        <v>44543</v>
      </c>
      <c r="J7025">
        <v>2021</v>
      </c>
      <c r="K7025" s="21">
        <v>44776</v>
      </c>
      <c r="L7025">
        <v>2022</v>
      </c>
      <c r="Q7025" s="262">
        <v>1100000</v>
      </c>
      <c r="S7025" t="s">
        <v>114</v>
      </c>
      <c r="T7025" t="s">
        <v>114</v>
      </c>
      <c r="W7025">
        <v>1859</v>
      </c>
      <c r="X7025">
        <v>1</v>
      </c>
      <c r="AD7025">
        <v>1859</v>
      </c>
      <c r="AP7025">
        <v>1</v>
      </c>
      <c r="AU7025">
        <f t="shared" si="218"/>
        <v>1</v>
      </c>
      <c r="AV7025">
        <f t="shared" si="219"/>
        <v>0</v>
      </c>
    </row>
    <row r="7026" spans="1:48" x14ac:dyDescent="0.25">
      <c r="A7026" t="s">
        <v>16252</v>
      </c>
      <c r="C7026" t="s">
        <v>16253</v>
      </c>
      <c r="D7026" t="s">
        <v>12915</v>
      </c>
      <c r="E7026" t="s">
        <v>1663</v>
      </c>
      <c r="F7026">
        <v>2</v>
      </c>
      <c r="G7026">
        <v>2.2999999999999998</v>
      </c>
      <c r="H7026" t="s">
        <v>2327</v>
      </c>
      <c r="I7026" s="21">
        <v>44543</v>
      </c>
      <c r="J7026">
        <v>2021</v>
      </c>
      <c r="K7026" s="21">
        <v>44776</v>
      </c>
      <c r="L7026">
        <v>2022</v>
      </c>
      <c r="Q7026" s="262">
        <v>1300000</v>
      </c>
      <c r="S7026" t="s">
        <v>114</v>
      </c>
      <c r="T7026" t="s">
        <v>114</v>
      </c>
      <c r="W7026">
        <v>2177</v>
      </c>
      <c r="X7026">
        <v>1</v>
      </c>
      <c r="AD7026">
        <v>2177</v>
      </c>
      <c r="AP7026">
        <v>1</v>
      </c>
      <c r="AU7026">
        <f t="shared" si="218"/>
        <v>1</v>
      </c>
      <c r="AV7026">
        <f t="shared" si="219"/>
        <v>0</v>
      </c>
    </row>
    <row r="7027" spans="1:48" x14ac:dyDescent="0.25">
      <c r="A7027" t="s">
        <v>16254</v>
      </c>
      <c r="C7027" t="s">
        <v>16255</v>
      </c>
      <c r="D7027" t="s">
        <v>12915</v>
      </c>
      <c r="E7027" t="s">
        <v>1663</v>
      </c>
      <c r="F7027">
        <v>2</v>
      </c>
      <c r="G7027">
        <v>2.2999999999999998</v>
      </c>
      <c r="H7027" t="s">
        <v>2327</v>
      </c>
      <c r="I7027" s="21">
        <v>44543</v>
      </c>
      <c r="J7027">
        <v>2021</v>
      </c>
      <c r="K7027" s="21">
        <v>44776</v>
      </c>
      <c r="L7027">
        <v>2022</v>
      </c>
      <c r="Q7027" s="262">
        <v>1300000</v>
      </c>
      <c r="S7027" t="s">
        <v>114</v>
      </c>
      <c r="T7027" t="s">
        <v>114</v>
      </c>
      <c r="W7027">
        <v>2163</v>
      </c>
      <c r="X7027">
        <v>1</v>
      </c>
      <c r="AD7027">
        <v>2163</v>
      </c>
      <c r="AP7027">
        <v>1</v>
      </c>
      <c r="AU7027">
        <f t="shared" si="218"/>
        <v>1</v>
      </c>
      <c r="AV7027">
        <f t="shared" si="219"/>
        <v>0</v>
      </c>
    </row>
    <row r="7028" spans="1:48" x14ac:dyDescent="0.25">
      <c r="A7028" t="s">
        <v>16256</v>
      </c>
      <c r="C7028" t="s">
        <v>16257</v>
      </c>
      <c r="D7028" t="s">
        <v>12915</v>
      </c>
      <c r="E7028" t="s">
        <v>1663</v>
      </c>
      <c r="F7028">
        <v>2</v>
      </c>
      <c r="G7028">
        <v>2.2999999999999998</v>
      </c>
      <c r="H7028" t="s">
        <v>2327</v>
      </c>
      <c r="I7028" s="21">
        <v>44543</v>
      </c>
      <c r="J7028">
        <v>2021</v>
      </c>
      <c r="K7028" s="21">
        <v>44776</v>
      </c>
      <c r="L7028">
        <v>2022</v>
      </c>
      <c r="Q7028" s="262">
        <v>1900000</v>
      </c>
      <c r="S7028" t="s">
        <v>114</v>
      </c>
      <c r="T7028" t="s">
        <v>114</v>
      </c>
      <c r="W7028">
        <v>3151</v>
      </c>
      <c r="X7028">
        <v>1</v>
      </c>
      <c r="AD7028">
        <v>3151</v>
      </c>
      <c r="AP7028">
        <v>1</v>
      </c>
      <c r="AU7028">
        <f t="shared" si="218"/>
        <v>1</v>
      </c>
      <c r="AV7028">
        <f t="shared" si="219"/>
        <v>0</v>
      </c>
    </row>
    <row r="7029" spans="1:48" x14ac:dyDescent="0.25">
      <c r="A7029" t="s">
        <v>16258</v>
      </c>
      <c r="C7029" t="s">
        <v>16259</v>
      </c>
      <c r="D7029" t="s">
        <v>12915</v>
      </c>
      <c r="E7029" t="s">
        <v>1663</v>
      </c>
      <c r="F7029">
        <v>2</v>
      </c>
      <c r="G7029">
        <v>2.2999999999999998</v>
      </c>
      <c r="H7029" t="s">
        <v>2327</v>
      </c>
      <c r="I7029" s="21">
        <v>44543</v>
      </c>
      <c r="J7029">
        <v>2021</v>
      </c>
      <c r="K7029" s="21">
        <v>44776</v>
      </c>
      <c r="L7029">
        <v>2022</v>
      </c>
      <c r="Q7029" s="262">
        <v>1900000</v>
      </c>
      <c r="S7029" t="s">
        <v>114</v>
      </c>
      <c r="T7029" t="s">
        <v>114</v>
      </c>
      <c r="W7029">
        <v>3150</v>
      </c>
      <c r="X7029">
        <v>1</v>
      </c>
      <c r="AD7029">
        <v>3150</v>
      </c>
      <c r="AP7029">
        <v>1</v>
      </c>
      <c r="AU7029">
        <f t="shared" si="218"/>
        <v>1</v>
      </c>
      <c r="AV7029">
        <f t="shared" si="219"/>
        <v>0</v>
      </c>
    </row>
    <row r="7030" spans="1:48" x14ac:dyDescent="0.25">
      <c r="A7030" t="s">
        <v>16260</v>
      </c>
      <c r="C7030" t="s">
        <v>16261</v>
      </c>
      <c r="D7030" t="s">
        <v>12915</v>
      </c>
      <c r="E7030" t="s">
        <v>1663</v>
      </c>
      <c r="F7030">
        <v>2</v>
      </c>
      <c r="G7030">
        <v>2.2999999999999998</v>
      </c>
      <c r="H7030" t="s">
        <v>2327</v>
      </c>
      <c r="I7030" s="21">
        <v>44543</v>
      </c>
      <c r="J7030">
        <v>2021</v>
      </c>
      <c r="K7030" s="21">
        <v>44776</v>
      </c>
      <c r="L7030">
        <v>2022</v>
      </c>
      <c r="Q7030" s="262">
        <v>2200000</v>
      </c>
      <c r="S7030" t="s">
        <v>114</v>
      </c>
      <c r="T7030" t="s">
        <v>114</v>
      </c>
      <c r="W7030">
        <v>3646</v>
      </c>
      <c r="X7030">
        <v>1</v>
      </c>
      <c r="AD7030">
        <v>3646</v>
      </c>
      <c r="AP7030">
        <v>1</v>
      </c>
      <c r="AU7030">
        <f t="shared" si="218"/>
        <v>1</v>
      </c>
      <c r="AV7030">
        <f t="shared" si="219"/>
        <v>0</v>
      </c>
    </row>
    <row r="7031" spans="1:48" x14ac:dyDescent="0.25">
      <c r="A7031" t="s">
        <v>16262</v>
      </c>
      <c r="C7031" t="s">
        <v>16263</v>
      </c>
      <c r="D7031" t="s">
        <v>12915</v>
      </c>
      <c r="E7031" t="s">
        <v>1663</v>
      </c>
      <c r="F7031">
        <v>2</v>
      </c>
      <c r="G7031">
        <v>2.2999999999999998</v>
      </c>
      <c r="H7031" t="s">
        <v>2327</v>
      </c>
      <c r="I7031" s="21">
        <v>44543</v>
      </c>
      <c r="J7031">
        <v>2021</v>
      </c>
      <c r="K7031" s="21">
        <v>44776</v>
      </c>
      <c r="L7031">
        <v>2022</v>
      </c>
      <c r="Q7031" s="262">
        <v>2300000</v>
      </c>
      <c r="S7031" t="s">
        <v>114</v>
      </c>
      <c r="T7031" t="s">
        <v>114</v>
      </c>
      <c r="W7031">
        <v>3821</v>
      </c>
      <c r="X7031">
        <v>1</v>
      </c>
      <c r="AD7031">
        <v>3821</v>
      </c>
      <c r="AP7031">
        <v>1</v>
      </c>
      <c r="AU7031">
        <f t="shared" si="218"/>
        <v>1</v>
      </c>
      <c r="AV7031">
        <f t="shared" si="219"/>
        <v>0</v>
      </c>
    </row>
    <row r="7032" spans="1:48" x14ac:dyDescent="0.25">
      <c r="A7032" t="s">
        <v>16264</v>
      </c>
      <c r="C7032" t="s">
        <v>16265</v>
      </c>
      <c r="D7032" t="s">
        <v>12915</v>
      </c>
      <c r="E7032" t="s">
        <v>1663</v>
      </c>
      <c r="F7032">
        <v>2</v>
      </c>
      <c r="G7032">
        <v>2.2999999999999998</v>
      </c>
      <c r="H7032" t="s">
        <v>2327</v>
      </c>
      <c r="I7032" s="21">
        <v>44543</v>
      </c>
      <c r="J7032">
        <v>2021</v>
      </c>
      <c r="K7032" s="21">
        <v>44776</v>
      </c>
      <c r="L7032">
        <v>2022</v>
      </c>
      <c r="Q7032" s="262">
        <v>1900000</v>
      </c>
      <c r="S7032" t="s">
        <v>114</v>
      </c>
      <c r="T7032" t="s">
        <v>114</v>
      </c>
      <c r="W7032">
        <v>3063</v>
      </c>
      <c r="X7032">
        <v>1</v>
      </c>
      <c r="AD7032">
        <v>3063</v>
      </c>
      <c r="AP7032">
        <v>1</v>
      </c>
      <c r="AU7032">
        <f t="shared" si="218"/>
        <v>1</v>
      </c>
      <c r="AV7032">
        <f t="shared" si="219"/>
        <v>0</v>
      </c>
    </row>
    <row r="7033" spans="1:48" x14ac:dyDescent="0.25">
      <c r="A7033" t="s">
        <v>16266</v>
      </c>
      <c r="C7033" t="s">
        <v>16267</v>
      </c>
      <c r="D7033" t="s">
        <v>12915</v>
      </c>
      <c r="E7033" t="s">
        <v>1663</v>
      </c>
      <c r="F7033">
        <v>2</v>
      </c>
      <c r="G7033">
        <v>2.2999999999999998</v>
      </c>
      <c r="H7033" t="s">
        <v>2327</v>
      </c>
      <c r="I7033" s="21">
        <v>44543</v>
      </c>
      <c r="J7033">
        <v>2021</v>
      </c>
      <c r="K7033" s="21">
        <v>44776</v>
      </c>
      <c r="L7033">
        <v>2022</v>
      </c>
      <c r="Q7033" s="262">
        <v>1900000</v>
      </c>
      <c r="S7033" t="s">
        <v>114</v>
      </c>
      <c r="T7033" t="s">
        <v>114</v>
      </c>
      <c r="W7033">
        <v>3062</v>
      </c>
      <c r="X7033">
        <v>1</v>
      </c>
      <c r="AD7033">
        <v>3062</v>
      </c>
      <c r="AP7033">
        <v>1</v>
      </c>
      <c r="AU7033">
        <f t="shared" si="218"/>
        <v>1</v>
      </c>
      <c r="AV7033">
        <f t="shared" si="219"/>
        <v>0</v>
      </c>
    </row>
    <row r="7034" spans="1:48" x14ac:dyDescent="0.25">
      <c r="A7034" t="s">
        <v>16268</v>
      </c>
      <c r="C7034" t="s">
        <v>16269</v>
      </c>
      <c r="D7034" t="s">
        <v>12915</v>
      </c>
      <c r="E7034" t="s">
        <v>1663</v>
      </c>
      <c r="F7034">
        <v>2</v>
      </c>
      <c r="G7034">
        <v>2.2999999999999998</v>
      </c>
      <c r="H7034" t="s">
        <v>2327</v>
      </c>
      <c r="I7034" s="21">
        <v>44543</v>
      </c>
      <c r="J7034">
        <v>2021</v>
      </c>
      <c r="K7034" s="21">
        <v>44776</v>
      </c>
      <c r="L7034">
        <v>2022</v>
      </c>
      <c r="Q7034" s="262">
        <v>1900000</v>
      </c>
      <c r="S7034" t="s">
        <v>114</v>
      </c>
      <c r="T7034" t="s">
        <v>114</v>
      </c>
      <c r="W7034">
        <v>3219</v>
      </c>
      <c r="X7034">
        <v>1</v>
      </c>
      <c r="AD7034">
        <v>3219</v>
      </c>
      <c r="AP7034">
        <v>1</v>
      </c>
      <c r="AU7034">
        <f t="shared" si="218"/>
        <v>1</v>
      </c>
      <c r="AV7034">
        <f t="shared" si="219"/>
        <v>0</v>
      </c>
    </row>
    <row r="7035" spans="1:48" x14ac:dyDescent="0.25">
      <c r="A7035" t="s">
        <v>16270</v>
      </c>
      <c r="C7035" t="s">
        <v>11240</v>
      </c>
      <c r="D7035" t="s">
        <v>16271</v>
      </c>
      <c r="E7035" t="s">
        <v>1663</v>
      </c>
      <c r="F7035">
        <v>3</v>
      </c>
      <c r="G7035">
        <v>3.4</v>
      </c>
      <c r="H7035" t="s">
        <v>2017</v>
      </c>
      <c r="I7035" s="21">
        <v>44546</v>
      </c>
      <c r="J7035">
        <v>2021</v>
      </c>
      <c r="K7035" s="21">
        <v>44581</v>
      </c>
      <c r="L7035">
        <v>2022</v>
      </c>
      <c r="Q7035" s="262">
        <v>1200000</v>
      </c>
      <c r="S7035" t="s">
        <v>114</v>
      </c>
      <c r="T7035" t="s">
        <v>114</v>
      </c>
      <c r="W7035">
        <v>2558</v>
      </c>
      <c r="X7035">
        <v>1</v>
      </c>
      <c r="AC7035">
        <v>2558</v>
      </c>
      <c r="AO7035">
        <v>1</v>
      </c>
      <c r="AU7035">
        <f t="shared" si="218"/>
        <v>1</v>
      </c>
      <c r="AV7035">
        <f t="shared" si="219"/>
        <v>0</v>
      </c>
    </row>
    <row r="7036" spans="1:48" x14ac:dyDescent="0.25">
      <c r="A7036" t="s">
        <v>16272</v>
      </c>
      <c r="B7036" t="s">
        <v>16272</v>
      </c>
      <c r="C7036" t="s">
        <v>16273</v>
      </c>
      <c r="D7036" t="s">
        <v>16274</v>
      </c>
      <c r="E7036" t="s">
        <v>2310</v>
      </c>
      <c r="F7036">
        <v>9</v>
      </c>
      <c r="G7036">
        <v>9.1999999999999993</v>
      </c>
      <c r="H7036" t="s">
        <v>2022</v>
      </c>
      <c r="I7036" s="21">
        <v>44546.470351157397</v>
      </c>
      <c r="J7036">
        <v>2021</v>
      </c>
      <c r="Q7036" s="262">
        <v>300000</v>
      </c>
      <c r="R7036" s="262">
        <v>118000</v>
      </c>
      <c r="S7036" t="s">
        <v>114</v>
      </c>
      <c r="T7036" t="s">
        <v>114</v>
      </c>
      <c r="W7036">
        <v>988</v>
      </c>
      <c r="X7036">
        <v>1</v>
      </c>
      <c r="AC7036">
        <v>988</v>
      </c>
      <c r="AO7036">
        <v>1</v>
      </c>
      <c r="AU7036">
        <f t="shared" si="218"/>
        <v>1</v>
      </c>
      <c r="AV7036">
        <f t="shared" si="219"/>
        <v>0</v>
      </c>
    </row>
    <row r="7037" spans="1:48" x14ac:dyDescent="0.25">
      <c r="A7037" t="s">
        <v>16275</v>
      </c>
      <c r="B7037" t="s">
        <v>16275</v>
      </c>
      <c r="C7037" t="s">
        <v>16276</v>
      </c>
      <c r="D7037" t="s">
        <v>16277</v>
      </c>
      <c r="E7037" t="s">
        <v>2310</v>
      </c>
      <c r="F7037">
        <v>9</v>
      </c>
      <c r="G7037">
        <v>9.3000000000000007</v>
      </c>
      <c r="H7037" t="s">
        <v>2323</v>
      </c>
      <c r="I7037" s="21">
        <v>44546.577499919003</v>
      </c>
      <c r="J7037">
        <v>2021</v>
      </c>
      <c r="Q7037" s="262">
        <v>2200000</v>
      </c>
      <c r="R7037" s="262">
        <v>1313000</v>
      </c>
      <c r="S7037" t="s">
        <v>114</v>
      </c>
      <c r="T7037" t="s">
        <v>114</v>
      </c>
      <c r="W7037">
        <v>8975</v>
      </c>
      <c r="X7037">
        <v>1</v>
      </c>
      <c r="AC7037">
        <v>8975</v>
      </c>
      <c r="AO7037">
        <v>1</v>
      </c>
      <c r="AU7037">
        <f t="shared" si="218"/>
        <v>1</v>
      </c>
      <c r="AV7037">
        <f t="shared" si="219"/>
        <v>0</v>
      </c>
    </row>
    <row r="7038" spans="1:48" x14ac:dyDescent="0.25">
      <c r="A7038" t="s">
        <v>16278</v>
      </c>
      <c r="B7038" t="s">
        <v>16278</v>
      </c>
      <c r="C7038" t="s">
        <v>16279</v>
      </c>
      <c r="D7038" t="s">
        <v>16277</v>
      </c>
      <c r="E7038" t="s">
        <v>2310</v>
      </c>
      <c r="F7038">
        <v>9</v>
      </c>
      <c r="G7038">
        <v>9.3000000000000007</v>
      </c>
      <c r="H7038" t="s">
        <v>2323</v>
      </c>
      <c r="I7038" s="21">
        <v>44546.628384224503</v>
      </c>
      <c r="J7038">
        <v>2021</v>
      </c>
      <c r="Q7038" s="262">
        <v>800000</v>
      </c>
      <c r="R7038" s="262">
        <v>129000</v>
      </c>
      <c r="S7038" t="s">
        <v>114</v>
      </c>
      <c r="T7038" t="s">
        <v>114</v>
      </c>
      <c r="W7038">
        <v>1000</v>
      </c>
      <c r="X7038">
        <v>1</v>
      </c>
      <c r="AF7038">
        <v>1000</v>
      </c>
      <c r="AR7038">
        <v>1</v>
      </c>
      <c r="AU7038">
        <f t="shared" si="218"/>
        <v>0</v>
      </c>
      <c r="AV7038">
        <f t="shared" si="219"/>
        <v>0</v>
      </c>
    </row>
    <row r="7039" spans="1:48" x14ac:dyDescent="0.25">
      <c r="A7039" t="s">
        <v>16280</v>
      </c>
      <c r="B7039" t="s">
        <v>16281</v>
      </c>
      <c r="C7039" t="s">
        <v>16282</v>
      </c>
      <c r="D7039" t="s">
        <v>12905</v>
      </c>
      <c r="E7039" t="s">
        <v>2310</v>
      </c>
      <c r="F7039">
        <v>12</v>
      </c>
      <c r="G7039">
        <v>12.3</v>
      </c>
      <c r="H7039" t="s">
        <v>2017</v>
      </c>
      <c r="I7039" s="21">
        <v>44547.467400659698</v>
      </c>
      <c r="J7039">
        <v>2021</v>
      </c>
      <c r="Q7039" s="262">
        <v>6200000</v>
      </c>
      <c r="R7039" s="262">
        <v>928000</v>
      </c>
      <c r="S7039" t="s">
        <v>114</v>
      </c>
      <c r="T7039" t="s">
        <v>114</v>
      </c>
      <c r="W7039">
        <v>-197</v>
      </c>
      <c r="X7039">
        <v>0</v>
      </c>
      <c r="AI7039">
        <v>-197</v>
      </c>
      <c r="AU7039">
        <f t="shared" si="218"/>
        <v>0</v>
      </c>
      <c r="AV7039">
        <f t="shared" si="219"/>
        <v>-197</v>
      </c>
    </row>
    <row r="7040" spans="1:48" x14ac:dyDescent="0.25">
      <c r="A7040" t="s">
        <v>16280</v>
      </c>
      <c r="B7040" t="s">
        <v>16280</v>
      </c>
      <c r="C7040" t="s">
        <v>16283</v>
      </c>
      <c r="D7040" t="s">
        <v>12905</v>
      </c>
      <c r="E7040" t="s">
        <v>2310</v>
      </c>
      <c r="F7040">
        <v>12</v>
      </c>
      <c r="G7040">
        <v>12.3</v>
      </c>
      <c r="H7040" t="s">
        <v>2017</v>
      </c>
      <c r="I7040" s="21">
        <v>44547.467400659698</v>
      </c>
      <c r="J7040">
        <v>2021</v>
      </c>
      <c r="Q7040" s="262">
        <v>6200000</v>
      </c>
      <c r="R7040" s="262">
        <v>928000</v>
      </c>
      <c r="S7040" t="s">
        <v>114</v>
      </c>
      <c r="T7040" t="s">
        <v>114</v>
      </c>
      <c r="W7040">
        <v>6818</v>
      </c>
      <c r="X7040">
        <v>0</v>
      </c>
      <c r="AI7040">
        <v>6818</v>
      </c>
      <c r="AU7040">
        <f t="shared" si="218"/>
        <v>0</v>
      </c>
      <c r="AV7040">
        <f t="shared" si="219"/>
        <v>6818</v>
      </c>
    </row>
    <row r="7041" spans="1:48" x14ac:dyDescent="0.25">
      <c r="A7041" t="s">
        <v>15034</v>
      </c>
      <c r="C7041" t="s">
        <v>11879</v>
      </c>
      <c r="D7041" t="s">
        <v>15035</v>
      </c>
      <c r="E7041" t="s">
        <v>1663</v>
      </c>
      <c r="F7041">
        <v>2</v>
      </c>
      <c r="G7041">
        <v>2.2999999999999998</v>
      </c>
      <c r="H7041" t="s">
        <v>2327</v>
      </c>
      <c r="I7041" s="21">
        <v>44553</v>
      </c>
      <c r="J7041">
        <v>2021</v>
      </c>
      <c r="K7041" s="21">
        <v>44601</v>
      </c>
      <c r="L7041">
        <v>2022</v>
      </c>
      <c r="M7041" s="21">
        <v>44763</v>
      </c>
      <c r="N7041">
        <v>2022</v>
      </c>
      <c r="Q7041" s="262">
        <v>100000</v>
      </c>
      <c r="S7041" t="s">
        <v>13253</v>
      </c>
      <c r="T7041">
        <v>12572</v>
      </c>
      <c r="W7041">
        <v>0</v>
      </c>
      <c r="X7041">
        <v>0</v>
      </c>
      <c r="AU7041">
        <f t="shared" si="218"/>
        <v>0</v>
      </c>
      <c r="AV7041">
        <f t="shared" si="219"/>
        <v>0</v>
      </c>
    </row>
    <row r="7042" spans="1:48" x14ac:dyDescent="0.25">
      <c r="A7042" t="s">
        <v>19704</v>
      </c>
      <c r="B7042" t="s">
        <v>19704</v>
      </c>
      <c r="C7042" t="s">
        <v>19705</v>
      </c>
      <c r="D7042" t="s">
        <v>15613</v>
      </c>
      <c r="E7042" t="s">
        <v>2310</v>
      </c>
      <c r="F7042">
        <v>8</v>
      </c>
      <c r="G7042">
        <v>8.3000000000000007</v>
      </c>
      <c r="H7042" t="s">
        <v>2323</v>
      </c>
      <c r="I7042" s="21">
        <v>44553.432714965304</v>
      </c>
      <c r="J7042">
        <v>2021</v>
      </c>
      <c r="M7042" s="21">
        <v>44796.377675729163</v>
      </c>
      <c r="N7042">
        <v>2022</v>
      </c>
      <c r="Q7042" s="262">
        <v>436000</v>
      </c>
      <c r="R7042" s="262">
        <v>105000</v>
      </c>
      <c r="S7042" t="s">
        <v>13253</v>
      </c>
      <c r="T7042">
        <v>176</v>
      </c>
      <c r="V7042">
        <v>672</v>
      </c>
      <c r="W7042">
        <v>1680</v>
      </c>
      <c r="X7042">
        <v>0</v>
      </c>
      <c r="AC7042">
        <v>1680</v>
      </c>
      <c r="AU7042">
        <f t="shared" si="218"/>
        <v>0</v>
      </c>
      <c r="AV7042">
        <f t="shared" si="219"/>
        <v>0</v>
      </c>
    </row>
    <row r="7043" spans="1:48" x14ac:dyDescent="0.25">
      <c r="A7043" t="s">
        <v>16289</v>
      </c>
      <c r="B7043" t="s">
        <v>16289</v>
      </c>
      <c r="C7043" t="s">
        <v>16290</v>
      </c>
      <c r="D7043" t="s">
        <v>16291</v>
      </c>
      <c r="E7043" t="s">
        <v>2310</v>
      </c>
      <c r="F7043">
        <v>14</v>
      </c>
      <c r="G7043">
        <v>14.2</v>
      </c>
      <c r="H7043" t="s">
        <v>2017</v>
      </c>
      <c r="I7043" s="21">
        <v>44553.582230671302</v>
      </c>
      <c r="J7043">
        <v>2021</v>
      </c>
      <c r="Q7043" s="262">
        <v>1000000</v>
      </c>
      <c r="R7043" s="262">
        <v>524000</v>
      </c>
      <c r="S7043" t="s">
        <v>114</v>
      </c>
      <c r="T7043" t="s">
        <v>114</v>
      </c>
      <c r="W7043">
        <v>3801</v>
      </c>
      <c r="X7043">
        <v>1</v>
      </c>
      <c r="AC7043">
        <v>3801</v>
      </c>
      <c r="AO7043">
        <v>1</v>
      </c>
      <c r="AU7043">
        <f t="shared" si="218"/>
        <v>1</v>
      </c>
      <c r="AV7043">
        <f t="shared" si="219"/>
        <v>0</v>
      </c>
    </row>
    <row r="7044" spans="1:48" x14ac:dyDescent="0.25">
      <c r="A7044" t="s">
        <v>16292</v>
      </c>
      <c r="B7044" t="s">
        <v>16292</v>
      </c>
      <c r="C7044" t="s">
        <v>16293</v>
      </c>
      <c r="D7044" t="s">
        <v>16291</v>
      </c>
      <c r="E7044" t="s">
        <v>2310</v>
      </c>
      <c r="F7044">
        <v>14</v>
      </c>
      <c r="G7044">
        <v>14.2</v>
      </c>
      <c r="H7044" t="s">
        <v>2017</v>
      </c>
      <c r="I7044" s="21">
        <v>44553.635347534699</v>
      </c>
      <c r="J7044">
        <v>2021</v>
      </c>
      <c r="Q7044" s="262">
        <v>800000</v>
      </c>
      <c r="R7044" s="262">
        <v>83000</v>
      </c>
      <c r="S7044" t="s">
        <v>114</v>
      </c>
      <c r="T7044" t="s">
        <v>114</v>
      </c>
      <c r="W7044">
        <v>1160</v>
      </c>
      <c r="X7044">
        <v>0</v>
      </c>
      <c r="AC7044">
        <v>1160</v>
      </c>
      <c r="AU7044">
        <f t="shared" si="218"/>
        <v>0</v>
      </c>
      <c r="AV7044">
        <f t="shared" si="219"/>
        <v>0</v>
      </c>
    </row>
    <row r="7045" spans="1:48" x14ac:dyDescent="0.25">
      <c r="A7045" t="s">
        <v>16294</v>
      </c>
      <c r="C7045" t="s">
        <v>13129</v>
      </c>
      <c r="D7045" t="s">
        <v>16295</v>
      </c>
      <c r="E7045" t="s">
        <v>1663</v>
      </c>
      <c r="F7045">
        <v>3</v>
      </c>
      <c r="G7045">
        <v>3.2</v>
      </c>
      <c r="H7045" t="s">
        <v>2327</v>
      </c>
      <c r="I7045" s="21">
        <v>44556</v>
      </c>
      <c r="J7045">
        <v>2021</v>
      </c>
      <c r="K7045" s="21">
        <v>44573</v>
      </c>
      <c r="L7045">
        <v>2022</v>
      </c>
      <c r="Q7045" s="262">
        <v>18000</v>
      </c>
      <c r="S7045" t="s">
        <v>114</v>
      </c>
      <c r="T7045" t="s">
        <v>114</v>
      </c>
      <c r="W7045">
        <v>0</v>
      </c>
      <c r="X7045">
        <v>0</v>
      </c>
      <c r="AU7045">
        <f t="shared" si="218"/>
        <v>0</v>
      </c>
      <c r="AV7045">
        <f t="shared" si="219"/>
        <v>0</v>
      </c>
    </row>
    <row r="7046" spans="1:48" x14ac:dyDescent="0.25">
      <c r="A7046" t="s">
        <v>16296</v>
      </c>
      <c r="B7046" t="s">
        <v>16296</v>
      </c>
      <c r="C7046" t="s">
        <v>16297</v>
      </c>
      <c r="D7046" t="s">
        <v>16298</v>
      </c>
      <c r="E7046" t="s">
        <v>2310</v>
      </c>
      <c r="F7046">
        <v>15</v>
      </c>
      <c r="G7046">
        <v>15.2</v>
      </c>
      <c r="H7046" t="s">
        <v>2323</v>
      </c>
      <c r="I7046" s="21">
        <v>44557.446417048603</v>
      </c>
      <c r="J7046">
        <v>2021</v>
      </c>
      <c r="Q7046" s="262">
        <v>3300000</v>
      </c>
      <c r="R7046" s="262">
        <v>482000</v>
      </c>
      <c r="S7046" t="s">
        <v>114</v>
      </c>
      <c r="T7046" t="s">
        <v>114</v>
      </c>
      <c r="W7046">
        <v>4026</v>
      </c>
      <c r="X7046">
        <v>1</v>
      </c>
      <c r="AC7046">
        <v>4026</v>
      </c>
      <c r="AO7046">
        <v>1</v>
      </c>
      <c r="AU7046">
        <f t="shared" si="218"/>
        <v>1</v>
      </c>
      <c r="AV7046">
        <f t="shared" si="219"/>
        <v>0</v>
      </c>
    </row>
    <row r="7047" spans="1:48" x14ac:dyDescent="0.25">
      <c r="A7047" t="s">
        <v>16299</v>
      </c>
      <c r="C7047" t="s">
        <v>11559</v>
      </c>
      <c r="D7047" t="s">
        <v>16300</v>
      </c>
      <c r="E7047" t="s">
        <v>1663</v>
      </c>
      <c r="F7047">
        <v>2</v>
      </c>
      <c r="G7047">
        <v>2.6</v>
      </c>
      <c r="H7047" t="s">
        <v>2327</v>
      </c>
      <c r="I7047" s="21">
        <v>44559</v>
      </c>
      <c r="J7047">
        <v>2021</v>
      </c>
      <c r="K7047" s="21">
        <v>44671</v>
      </c>
      <c r="L7047">
        <v>2022</v>
      </c>
      <c r="Q7047" s="262">
        <v>1540000</v>
      </c>
      <c r="S7047" t="s">
        <v>114</v>
      </c>
      <c r="T7047" t="s">
        <v>114</v>
      </c>
      <c r="W7047">
        <v>4532</v>
      </c>
      <c r="X7047">
        <v>1</v>
      </c>
      <c r="AC7047">
        <v>4532</v>
      </c>
      <c r="AO7047">
        <v>1</v>
      </c>
      <c r="AU7047">
        <f t="shared" si="218"/>
        <v>1</v>
      </c>
      <c r="AV7047">
        <f t="shared" si="219"/>
        <v>0</v>
      </c>
    </row>
    <row r="7048" spans="1:48" x14ac:dyDescent="0.25">
      <c r="A7048" t="s">
        <v>16299</v>
      </c>
      <c r="C7048" t="s">
        <v>16301</v>
      </c>
      <c r="D7048" t="s">
        <v>16300</v>
      </c>
      <c r="E7048" t="s">
        <v>1663</v>
      </c>
      <c r="F7048">
        <v>2</v>
      </c>
      <c r="G7048">
        <v>2.6</v>
      </c>
      <c r="H7048" t="s">
        <v>2327</v>
      </c>
      <c r="I7048" s="21">
        <v>44559</v>
      </c>
      <c r="J7048">
        <v>2021</v>
      </c>
      <c r="K7048" s="21">
        <v>44671</v>
      </c>
      <c r="L7048">
        <v>2022</v>
      </c>
      <c r="Q7048" s="262">
        <v>1540000</v>
      </c>
      <c r="S7048" t="s">
        <v>114</v>
      </c>
      <c r="T7048" t="s">
        <v>114</v>
      </c>
      <c r="W7048">
        <v>-3294</v>
      </c>
      <c r="X7048">
        <v>-1</v>
      </c>
      <c r="AC7048">
        <v>-3294</v>
      </c>
      <c r="AO7048">
        <v>-1</v>
      </c>
      <c r="AU7048">
        <f t="shared" si="218"/>
        <v>-1</v>
      </c>
      <c r="AV7048">
        <f t="shared" si="219"/>
        <v>0</v>
      </c>
    </row>
    <row r="7049" spans="1:48" x14ac:dyDescent="0.25">
      <c r="A7049" t="s">
        <v>16302</v>
      </c>
      <c r="C7049" t="s">
        <v>16303</v>
      </c>
      <c r="D7049" t="s">
        <v>16304</v>
      </c>
      <c r="E7049" t="s">
        <v>1663</v>
      </c>
      <c r="F7049">
        <v>2</v>
      </c>
      <c r="G7049">
        <v>2.6</v>
      </c>
      <c r="H7049" t="s">
        <v>2327</v>
      </c>
      <c r="I7049" s="21">
        <v>44559</v>
      </c>
      <c r="J7049">
        <v>2021</v>
      </c>
      <c r="K7049" s="21">
        <v>44671</v>
      </c>
      <c r="L7049">
        <v>2022</v>
      </c>
      <c r="Q7049" s="262">
        <v>1460000</v>
      </c>
      <c r="S7049" t="s">
        <v>114</v>
      </c>
      <c r="T7049" t="s">
        <v>114</v>
      </c>
      <c r="W7049">
        <v>-443</v>
      </c>
      <c r="X7049">
        <v>-1</v>
      </c>
      <c r="AC7049">
        <v>-443</v>
      </c>
      <c r="AO7049">
        <v>-1</v>
      </c>
      <c r="AU7049">
        <f t="shared" si="218"/>
        <v>-1</v>
      </c>
      <c r="AV7049">
        <f t="shared" si="219"/>
        <v>0</v>
      </c>
    </row>
    <row r="7050" spans="1:48" x14ac:dyDescent="0.25">
      <c r="A7050" t="s">
        <v>16302</v>
      </c>
      <c r="C7050" t="s">
        <v>11330</v>
      </c>
      <c r="D7050" t="s">
        <v>16304</v>
      </c>
      <c r="E7050" t="s">
        <v>1663</v>
      </c>
      <c r="F7050">
        <v>2</v>
      </c>
      <c r="G7050">
        <v>2.6</v>
      </c>
      <c r="H7050" t="s">
        <v>2327</v>
      </c>
      <c r="I7050" s="21">
        <v>44559</v>
      </c>
      <c r="J7050">
        <v>2021</v>
      </c>
      <c r="K7050" s="21">
        <v>44671</v>
      </c>
      <c r="L7050">
        <v>2022</v>
      </c>
      <c r="Q7050" s="262">
        <v>1460000</v>
      </c>
      <c r="S7050" t="s">
        <v>114</v>
      </c>
      <c r="T7050" t="s">
        <v>114</v>
      </c>
      <c r="W7050">
        <v>4396</v>
      </c>
      <c r="X7050">
        <v>1</v>
      </c>
      <c r="AC7050">
        <v>4396</v>
      </c>
      <c r="AO7050">
        <v>1</v>
      </c>
      <c r="AU7050">
        <f t="shared" si="218"/>
        <v>1</v>
      </c>
      <c r="AV7050">
        <f t="shared" si="219"/>
        <v>0</v>
      </c>
    </row>
    <row r="7051" spans="1:48" x14ac:dyDescent="0.25">
      <c r="A7051" t="s">
        <v>16305</v>
      </c>
      <c r="B7051" t="s">
        <v>16305</v>
      </c>
      <c r="C7051" t="s">
        <v>16306</v>
      </c>
      <c r="D7051" t="s">
        <v>16307</v>
      </c>
      <c r="E7051" t="s">
        <v>2310</v>
      </c>
      <c r="F7051">
        <v>9</v>
      </c>
      <c r="G7051">
        <v>9.4</v>
      </c>
      <c r="H7051" t="s">
        <v>2323</v>
      </c>
      <c r="I7051" s="21">
        <v>44560.434681712999</v>
      </c>
      <c r="J7051">
        <v>2021</v>
      </c>
      <c r="Q7051" s="262">
        <v>6000000</v>
      </c>
      <c r="R7051" s="262">
        <v>1660000</v>
      </c>
      <c r="S7051" t="s">
        <v>114</v>
      </c>
      <c r="T7051" t="s">
        <v>114</v>
      </c>
      <c r="W7051">
        <v>10609</v>
      </c>
      <c r="X7051">
        <v>1</v>
      </c>
      <c r="AC7051">
        <v>10609</v>
      </c>
      <c r="AO7051">
        <v>1</v>
      </c>
      <c r="AU7051">
        <f t="shared" si="218"/>
        <v>1</v>
      </c>
      <c r="AV7051">
        <f t="shared" si="219"/>
        <v>0</v>
      </c>
    </row>
    <row r="7052" spans="1:48" x14ac:dyDescent="0.25">
      <c r="A7052" t="s">
        <v>16308</v>
      </c>
      <c r="B7052" t="s">
        <v>16308</v>
      </c>
      <c r="C7052" t="s">
        <v>16309</v>
      </c>
      <c r="D7052" t="s">
        <v>16307</v>
      </c>
      <c r="E7052" t="s">
        <v>2310</v>
      </c>
      <c r="F7052">
        <v>9</v>
      </c>
      <c r="G7052">
        <v>9.4</v>
      </c>
      <c r="H7052" t="s">
        <v>2323</v>
      </c>
      <c r="I7052" s="21">
        <v>44560.448434571801</v>
      </c>
      <c r="J7052">
        <v>2021</v>
      </c>
      <c r="Q7052" s="262">
        <v>2000000</v>
      </c>
      <c r="R7052" s="262">
        <v>119000</v>
      </c>
      <c r="S7052" t="s">
        <v>114</v>
      </c>
      <c r="T7052" t="s">
        <v>114</v>
      </c>
      <c r="W7052">
        <v>999</v>
      </c>
      <c r="X7052">
        <v>1</v>
      </c>
      <c r="AF7052">
        <v>999</v>
      </c>
      <c r="AR7052">
        <v>1</v>
      </c>
      <c r="AU7052">
        <f t="shared" si="218"/>
        <v>0</v>
      </c>
      <c r="AV7052">
        <f t="shared" si="219"/>
        <v>0</v>
      </c>
    </row>
    <row r="7053" spans="1:48" x14ac:dyDescent="0.25">
      <c r="A7053" t="s">
        <v>16310</v>
      </c>
      <c r="B7053" t="s">
        <v>16310</v>
      </c>
      <c r="C7053" t="s">
        <v>16311</v>
      </c>
      <c r="D7053" t="s">
        <v>16312</v>
      </c>
      <c r="E7053" t="s">
        <v>2310</v>
      </c>
      <c r="F7053">
        <v>9</v>
      </c>
      <c r="G7053">
        <v>9.1</v>
      </c>
      <c r="H7053" t="s">
        <v>2323</v>
      </c>
      <c r="I7053" s="21">
        <v>44560.642735648202</v>
      </c>
      <c r="J7053">
        <v>2021</v>
      </c>
      <c r="Q7053" s="262">
        <v>2100000</v>
      </c>
      <c r="R7053" s="262">
        <v>1475000</v>
      </c>
      <c r="S7053" t="s">
        <v>114</v>
      </c>
      <c r="T7053" t="s">
        <v>114</v>
      </c>
      <c r="W7053">
        <v>12551</v>
      </c>
      <c r="X7053">
        <v>1</v>
      </c>
      <c r="AC7053">
        <v>12551</v>
      </c>
      <c r="AO7053">
        <v>1</v>
      </c>
      <c r="AU7053">
        <f t="shared" si="218"/>
        <v>1</v>
      </c>
      <c r="AV7053">
        <f t="shared" si="219"/>
        <v>0</v>
      </c>
    </row>
    <row r="7054" spans="1:48" x14ac:dyDescent="0.25">
      <c r="A7054" t="s">
        <v>16313</v>
      </c>
      <c r="C7054" t="s">
        <v>16314</v>
      </c>
      <c r="D7054" t="s">
        <v>16315</v>
      </c>
      <c r="E7054" t="s">
        <v>1663</v>
      </c>
      <c r="F7054">
        <v>6</v>
      </c>
      <c r="G7054">
        <v>6.2</v>
      </c>
      <c r="H7054" t="s">
        <v>2017</v>
      </c>
      <c r="I7054" s="21">
        <v>44561</v>
      </c>
      <c r="J7054">
        <v>2021</v>
      </c>
      <c r="K7054" s="21">
        <v>44727</v>
      </c>
      <c r="L7054">
        <v>2022</v>
      </c>
      <c r="Q7054" s="262">
        <v>500000</v>
      </c>
      <c r="S7054" t="s">
        <v>114</v>
      </c>
      <c r="T7054" t="s">
        <v>114</v>
      </c>
      <c r="W7054">
        <v>630</v>
      </c>
      <c r="X7054">
        <v>0</v>
      </c>
      <c r="AC7054">
        <v>630</v>
      </c>
      <c r="AU7054">
        <f t="shared" si="218"/>
        <v>0</v>
      </c>
      <c r="AV7054">
        <f t="shared" si="219"/>
        <v>0</v>
      </c>
    </row>
    <row r="7055" spans="1:48" x14ac:dyDescent="0.25">
      <c r="A7055" t="s">
        <v>16316</v>
      </c>
      <c r="C7055" t="s">
        <v>16317</v>
      </c>
      <c r="D7055" t="s">
        <v>16318</v>
      </c>
      <c r="E7055" t="s">
        <v>1663</v>
      </c>
      <c r="F7055">
        <v>4</v>
      </c>
      <c r="G7055">
        <v>4.3</v>
      </c>
      <c r="H7055" t="s">
        <v>2327</v>
      </c>
      <c r="I7055" s="21">
        <v>44561</v>
      </c>
      <c r="J7055">
        <v>2021</v>
      </c>
      <c r="K7055" s="21">
        <v>44687</v>
      </c>
      <c r="L7055">
        <v>2022</v>
      </c>
      <c r="Q7055" s="262">
        <v>0</v>
      </c>
      <c r="S7055" t="s">
        <v>114</v>
      </c>
      <c r="T7055" t="s">
        <v>114</v>
      </c>
      <c r="W7055">
        <v>10764</v>
      </c>
      <c r="X7055">
        <v>10</v>
      </c>
      <c r="AE7055">
        <v>10764</v>
      </c>
      <c r="AQ7055">
        <v>10</v>
      </c>
      <c r="AU7055">
        <f t="shared" si="218"/>
        <v>10</v>
      </c>
      <c r="AV7055">
        <f t="shared" si="219"/>
        <v>0</v>
      </c>
    </row>
    <row r="7056" spans="1:48" x14ac:dyDescent="0.25">
      <c r="A7056" t="s">
        <v>16319</v>
      </c>
      <c r="C7056" t="s">
        <v>16317</v>
      </c>
      <c r="D7056" t="s">
        <v>16320</v>
      </c>
      <c r="E7056" t="s">
        <v>1663</v>
      </c>
      <c r="F7056">
        <v>4</v>
      </c>
      <c r="G7056">
        <v>4.3</v>
      </c>
      <c r="H7056" t="s">
        <v>2327</v>
      </c>
      <c r="I7056" s="21">
        <v>44561</v>
      </c>
      <c r="J7056">
        <v>2021</v>
      </c>
      <c r="K7056" s="21">
        <v>44687</v>
      </c>
      <c r="L7056">
        <v>2022</v>
      </c>
      <c r="Q7056" s="262">
        <v>0</v>
      </c>
      <c r="S7056" t="s">
        <v>114</v>
      </c>
      <c r="T7056" t="s">
        <v>114</v>
      </c>
      <c r="W7056">
        <v>11284</v>
      </c>
      <c r="X7056">
        <v>10</v>
      </c>
      <c r="AE7056">
        <v>11284</v>
      </c>
      <c r="AQ7056">
        <v>10</v>
      </c>
      <c r="AU7056">
        <f t="shared" si="218"/>
        <v>10</v>
      </c>
      <c r="AV7056">
        <f t="shared" si="219"/>
        <v>0</v>
      </c>
    </row>
    <row r="7057" spans="1:48" x14ac:dyDescent="0.25">
      <c r="A7057" t="s">
        <v>16321</v>
      </c>
      <c r="C7057" t="s">
        <v>16317</v>
      </c>
      <c r="D7057" t="s">
        <v>16322</v>
      </c>
      <c r="E7057" t="s">
        <v>1663</v>
      </c>
      <c r="F7057">
        <v>4</v>
      </c>
      <c r="G7057">
        <v>4.3</v>
      </c>
      <c r="H7057" t="s">
        <v>2327</v>
      </c>
      <c r="I7057" s="21">
        <v>44561</v>
      </c>
      <c r="J7057">
        <v>2021</v>
      </c>
      <c r="K7057" s="21">
        <v>44687</v>
      </c>
      <c r="L7057">
        <v>2022</v>
      </c>
      <c r="Q7057" s="262">
        <v>0</v>
      </c>
      <c r="S7057" t="s">
        <v>114</v>
      </c>
      <c r="T7057" t="s">
        <v>114</v>
      </c>
      <c r="W7057">
        <v>10800</v>
      </c>
      <c r="X7057">
        <v>10</v>
      </c>
      <c r="AE7057">
        <v>10800</v>
      </c>
      <c r="AQ7057">
        <v>10</v>
      </c>
      <c r="AU7057">
        <f t="shared" si="218"/>
        <v>10</v>
      </c>
      <c r="AV7057">
        <f t="shared" si="219"/>
        <v>0</v>
      </c>
    </row>
    <row r="7058" spans="1:48" x14ac:dyDescent="0.25">
      <c r="A7058" t="s">
        <v>16323</v>
      </c>
      <c r="C7058" t="s">
        <v>16324</v>
      </c>
      <c r="D7058" t="s">
        <v>16325</v>
      </c>
      <c r="E7058" t="s">
        <v>1663</v>
      </c>
      <c r="F7058">
        <v>6</v>
      </c>
      <c r="G7058">
        <v>6.1</v>
      </c>
      <c r="H7058" t="s">
        <v>2017</v>
      </c>
      <c r="I7058" s="21">
        <v>44564</v>
      </c>
      <c r="J7058">
        <v>2022</v>
      </c>
      <c r="K7058" s="21">
        <v>44615</v>
      </c>
      <c r="L7058">
        <v>2022</v>
      </c>
      <c r="P7058" s="21" t="s">
        <v>114</v>
      </c>
      <c r="Q7058" s="262">
        <v>1066500</v>
      </c>
      <c r="S7058" t="s">
        <v>12464</v>
      </c>
      <c r="T7058">
        <v>10785</v>
      </c>
      <c r="W7058">
        <v>5231</v>
      </c>
      <c r="X7058">
        <v>2</v>
      </c>
      <c r="AC7058">
        <v>4501</v>
      </c>
      <c r="AF7058">
        <v>730</v>
      </c>
      <c r="AO7058">
        <v>1</v>
      </c>
      <c r="AR7058">
        <v>1</v>
      </c>
      <c r="AU7058">
        <f t="shared" si="218"/>
        <v>1</v>
      </c>
      <c r="AV7058">
        <f t="shared" si="219"/>
        <v>0</v>
      </c>
    </row>
    <row r="7059" spans="1:48" x14ac:dyDescent="0.25">
      <c r="A7059" t="s">
        <v>16323</v>
      </c>
      <c r="C7059" t="s">
        <v>16324</v>
      </c>
      <c r="D7059" t="s">
        <v>16325</v>
      </c>
      <c r="E7059" t="s">
        <v>1663</v>
      </c>
      <c r="F7059">
        <v>6</v>
      </c>
      <c r="G7059">
        <v>6.1</v>
      </c>
      <c r="I7059" s="21">
        <v>44564</v>
      </c>
      <c r="J7059">
        <v>2022</v>
      </c>
      <c r="K7059" s="21">
        <v>44615</v>
      </c>
      <c r="L7059">
        <v>2022</v>
      </c>
      <c r="Q7059" s="262">
        <v>1066500</v>
      </c>
      <c r="S7059" t="s">
        <v>9529</v>
      </c>
      <c r="T7059">
        <v>10785</v>
      </c>
      <c r="U7059">
        <v>5</v>
      </c>
      <c r="W7059">
        <v>-4545</v>
      </c>
      <c r="X7059">
        <v>-1</v>
      </c>
      <c r="Y7059">
        <v>0</v>
      </c>
      <c r="Z7059">
        <v>0</v>
      </c>
      <c r="AA7059">
        <v>0</v>
      </c>
      <c r="AB7059">
        <v>0</v>
      </c>
      <c r="AC7059">
        <v>-4545</v>
      </c>
      <c r="AD7059">
        <v>0</v>
      </c>
      <c r="AE7059">
        <v>0</v>
      </c>
      <c r="AF7059">
        <v>0</v>
      </c>
      <c r="AG7059">
        <v>0</v>
      </c>
      <c r="AH7059">
        <v>0</v>
      </c>
      <c r="AI7059">
        <v>0</v>
      </c>
      <c r="AJ7059">
        <v>0</v>
      </c>
      <c r="AK7059">
        <v>0</v>
      </c>
      <c r="AL7059">
        <v>0</v>
      </c>
      <c r="AM7059">
        <v>0</v>
      </c>
      <c r="AN7059">
        <v>0</v>
      </c>
      <c r="AO7059">
        <v>-1</v>
      </c>
      <c r="AP7059">
        <v>0</v>
      </c>
      <c r="AQ7059">
        <v>0</v>
      </c>
      <c r="AR7059">
        <v>0</v>
      </c>
      <c r="AS7059">
        <v>0</v>
      </c>
      <c r="AT7059">
        <v>0</v>
      </c>
      <c r="AU7059">
        <f t="shared" si="218"/>
        <v>-1</v>
      </c>
      <c r="AV7059">
        <f t="shared" si="219"/>
        <v>0</v>
      </c>
    </row>
    <row r="7060" spans="1:48" x14ac:dyDescent="0.25">
      <c r="A7060" t="s">
        <v>16327</v>
      </c>
      <c r="B7060" t="s">
        <v>16327</v>
      </c>
      <c r="C7060" t="s">
        <v>16328</v>
      </c>
      <c r="D7060" t="s">
        <v>5553</v>
      </c>
      <c r="E7060" t="s">
        <v>2310</v>
      </c>
      <c r="F7060">
        <v>9</v>
      </c>
      <c r="G7060">
        <v>9.1</v>
      </c>
      <c r="H7060" t="s">
        <v>2323</v>
      </c>
      <c r="I7060" s="21">
        <v>44567.417136655095</v>
      </c>
      <c r="J7060">
        <v>2022</v>
      </c>
      <c r="K7060" s="21">
        <v>44589.563216400464</v>
      </c>
      <c r="L7060">
        <v>2022</v>
      </c>
      <c r="O7060" s="21" t="s">
        <v>114</v>
      </c>
      <c r="P7060" s="21" t="s">
        <v>114</v>
      </c>
      <c r="Q7060" s="262">
        <v>188000</v>
      </c>
      <c r="R7060" s="262">
        <v>600000</v>
      </c>
      <c r="S7060" t="s">
        <v>13253</v>
      </c>
      <c r="T7060">
        <v>6423</v>
      </c>
      <c r="V7060">
        <v>924</v>
      </c>
      <c r="W7060">
        <v>862</v>
      </c>
      <c r="X7060">
        <v>0</v>
      </c>
      <c r="AC7060">
        <v>862</v>
      </c>
      <c r="AU7060">
        <f t="shared" si="218"/>
        <v>0</v>
      </c>
      <c r="AV7060">
        <f t="shared" si="219"/>
        <v>0</v>
      </c>
    </row>
    <row r="7061" spans="1:48" x14ac:dyDescent="0.25">
      <c r="A7061" t="s">
        <v>15271</v>
      </c>
      <c r="B7061" t="s">
        <v>15271</v>
      </c>
      <c r="C7061" t="s">
        <v>15272</v>
      </c>
      <c r="D7061" t="s">
        <v>6329</v>
      </c>
      <c r="E7061" t="s">
        <v>2310</v>
      </c>
      <c r="F7061">
        <v>8</v>
      </c>
      <c r="G7061">
        <v>8.1999999999999993</v>
      </c>
      <c r="H7061" t="s">
        <v>2022</v>
      </c>
      <c r="I7061" s="21">
        <v>44567.524071562497</v>
      </c>
      <c r="J7061">
        <v>2022</v>
      </c>
      <c r="K7061" s="21">
        <v>44599.624726354166</v>
      </c>
      <c r="L7061">
        <v>2022</v>
      </c>
      <c r="M7061" s="21">
        <v>44839.525949803239</v>
      </c>
      <c r="N7061">
        <v>2022</v>
      </c>
      <c r="O7061" s="21" t="s">
        <v>114</v>
      </c>
      <c r="P7061" s="21" t="s">
        <v>114</v>
      </c>
      <c r="Q7061" s="262">
        <v>74000</v>
      </c>
      <c r="R7061" s="262">
        <v>170000</v>
      </c>
      <c r="S7061" t="s">
        <v>13253</v>
      </c>
      <c r="T7061">
        <v>8633</v>
      </c>
      <c r="V7061">
        <v>0</v>
      </c>
      <c r="W7061">
        <v>0</v>
      </c>
      <c r="X7061">
        <v>0</v>
      </c>
      <c r="AU7061">
        <f t="shared" si="218"/>
        <v>0</v>
      </c>
      <c r="AV7061">
        <f t="shared" si="219"/>
        <v>0</v>
      </c>
    </row>
    <row r="7062" spans="1:48" x14ac:dyDescent="0.25">
      <c r="A7062" t="s">
        <v>16332</v>
      </c>
      <c r="B7062" t="s">
        <v>16332</v>
      </c>
      <c r="C7062" t="s">
        <v>16333</v>
      </c>
      <c r="D7062" t="s">
        <v>16334</v>
      </c>
      <c r="E7062" t="s">
        <v>2310</v>
      </c>
      <c r="F7062">
        <v>8</v>
      </c>
      <c r="G7062">
        <v>8.1</v>
      </c>
      <c r="H7062" t="s">
        <v>2323</v>
      </c>
      <c r="I7062" s="21">
        <v>44568.410603391203</v>
      </c>
      <c r="J7062">
        <v>2022</v>
      </c>
      <c r="K7062" s="21">
        <v>44665.650431284725</v>
      </c>
      <c r="L7062">
        <v>2022</v>
      </c>
      <c r="O7062" s="21" t="s">
        <v>114</v>
      </c>
      <c r="P7062" s="21" t="s">
        <v>114</v>
      </c>
      <c r="Q7062" s="262">
        <v>1128000</v>
      </c>
      <c r="R7062" s="262">
        <v>6000000</v>
      </c>
      <c r="S7062" t="s">
        <v>13254</v>
      </c>
      <c r="U7062">
        <v>5</v>
      </c>
      <c r="V7062">
        <v>0</v>
      </c>
      <c r="W7062">
        <v>7842</v>
      </c>
      <c r="X7062">
        <v>1</v>
      </c>
      <c r="AC7062">
        <v>7842</v>
      </c>
      <c r="AO7062">
        <v>1</v>
      </c>
      <c r="AU7062">
        <f t="shared" si="218"/>
        <v>1</v>
      </c>
      <c r="AV7062">
        <f t="shared" si="219"/>
        <v>0</v>
      </c>
    </row>
    <row r="7063" spans="1:48" x14ac:dyDescent="0.25">
      <c r="A7063" t="s">
        <v>16335</v>
      </c>
      <c r="C7063" t="s">
        <v>16336</v>
      </c>
      <c r="D7063" t="s">
        <v>4683</v>
      </c>
      <c r="E7063" t="s">
        <v>1663</v>
      </c>
      <c r="F7063">
        <v>2</v>
      </c>
      <c r="G7063">
        <v>2.6</v>
      </c>
      <c r="H7063" t="s">
        <v>2327</v>
      </c>
      <c r="I7063" s="21">
        <v>44572</v>
      </c>
      <c r="J7063">
        <v>2022</v>
      </c>
      <c r="K7063" s="21">
        <v>44601</v>
      </c>
      <c r="L7063">
        <v>2022</v>
      </c>
      <c r="P7063" s="21" t="s">
        <v>114</v>
      </c>
      <c r="Q7063" s="262">
        <v>5800000</v>
      </c>
      <c r="S7063" t="s">
        <v>13253</v>
      </c>
      <c r="T7063">
        <v>12950</v>
      </c>
      <c r="W7063">
        <v>-17919</v>
      </c>
      <c r="X7063">
        <v>0</v>
      </c>
      <c r="AM7063">
        <v>-17919</v>
      </c>
      <c r="AU7063">
        <f t="shared" si="218"/>
        <v>0</v>
      </c>
      <c r="AV7063">
        <f t="shared" si="219"/>
        <v>-17919</v>
      </c>
    </row>
    <row r="7064" spans="1:48" x14ac:dyDescent="0.25">
      <c r="A7064" t="s">
        <v>15036</v>
      </c>
      <c r="C7064" t="s">
        <v>11237</v>
      </c>
      <c r="D7064" t="s">
        <v>15037</v>
      </c>
      <c r="E7064" t="s">
        <v>1663</v>
      </c>
      <c r="F7064">
        <v>1</v>
      </c>
      <c r="G7064">
        <v>1.2</v>
      </c>
      <c r="H7064" t="s">
        <v>2017</v>
      </c>
      <c r="I7064" s="21">
        <v>44572</v>
      </c>
      <c r="J7064">
        <v>2022</v>
      </c>
      <c r="K7064" s="21">
        <v>44617</v>
      </c>
      <c r="L7064">
        <v>2022</v>
      </c>
      <c r="M7064" s="21">
        <v>44788</v>
      </c>
      <c r="N7064">
        <v>2022</v>
      </c>
      <c r="P7064" s="21" t="s">
        <v>114</v>
      </c>
      <c r="Q7064" s="262">
        <v>600000</v>
      </c>
      <c r="S7064" t="s">
        <v>13253</v>
      </c>
      <c r="T7064">
        <v>9802</v>
      </c>
      <c r="V7064">
        <v>2616</v>
      </c>
      <c r="W7064">
        <v>0</v>
      </c>
      <c r="X7064">
        <v>0</v>
      </c>
      <c r="AU7064">
        <f t="shared" si="218"/>
        <v>0</v>
      </c>
      <c r="AV7064">
        <f t="shared" si="219"/>
        <v>0</v>
      </c>
    </row>
    <row r="7065" spans="1:48" x14ac:dyDescent="0.25">
      <c r="A7065" t="s">
        <v>16340</v>
      </c>
      <c r="B7065" t="s">
        <v>16340</v>
      </c>
      <c r="C7065" t="s">
        <v>16341</v>
      </c>
      <c r="D7065" t="s">
        <v>16342</v>
      </c>
      <c r="E7065" t="s">
        <v>2310</v>
      </c>
      <c r="F7065">
        <v>8</v>
      </c>
      <c r="G7065">
        <v>8.1999999999999993</v>
      </c>
      <c r="H7065" t="s">
        <v>2022</v>
      </c>
      <c r="I7065" s="21">
        <v>44574.415181944445</v>
      </c>
      <c r="J7065">
        <v>2022</v>
      </c>
      <c r="K7065" s="21">
        <v>44623.564309293979</v>
      </c>
      <c r="L7065">
        <v>2022</v>
      </c>
      <c r="O7065" s="21" t="s">
        <v>114</v>
      </c>
      <c r="P7065" s="21" t="s">
        <v>114</v>
      </c>
      <c r="Q7065" s="262">
        <v>73000</v>
      </c>
      <c r="R7065" s="262">
        <v>500000</v>
      </c>
      <c r="S7065" t="s">
        <v>13253</v>
      </c>
      <c r="T7065">
        <v>6519</v>
      </c>
      <c r="V7065">
        <v>290</v>
      </c>
      <c r="W7065">
        <v>391</v>
      </c>
      <c r="X7065">
        <v>0</v>
      </c>
      <c r="AC7065">
        <v>391</v>
      </c>
      <c r="AU7065">
        <f t="shared" ref="AU7065:AU7128" si="220">SUM(AN7065:AQ7065,AS7065)</f>
        <v>0</v>
      </c>
      <c r="AV7065">
        <f t="shared" ref="AV7065:AV7128" si="221">SUM(Y7065:AB7065,AH7065:AM7065)</f>
        <v>0</v>
      </c>
    </row>
    <row r="7066" spans="1:48" x14ac:dyDescent="0.25">
      <c r="A7066" t="s">
        <v>16343</v>
      </c>
      <c r="B7066" t="s">
        <v>16343</v>
      </c>
      <c r="C7066" t="s">
        <v>16344</v>
      </c>
      <c r="D7066" t="s">
        <v>16345</v>
      </c>
      <c r="E7066" t="s">
        <v>2310</v>
      </c>
      <c r="F7066">
        <v>9</v>
      </c>
      <c r="G7066">
        <v>9.1</v>
      </c>
      <c r="H7066" t="s">
        <v>2323</v>
      </c>
      <c r="I7066" s="21">
        <v>44574.492904282408</v>
      </c>
      <c r="J7066">
        <v>2022</v>
      </c>
      <c r="K7066" s="21">
        <v>44641.435096643516</v>
      </c>
      <c r="L7066">
        <v>2022</v>
      </c>
      <c r="O7066" s="21" t="s">
        <v>114</v>
      </c>
      <c r="P7066" s="21" t="s">
        <v>114</v>
      </c>
      <c r="Q7066" s="262">
        <v>1149000</v>
      </c>
      <c r="R7066" s="262">
        <v>6328000</v>
      </c>
      <c r="S7066" t="s">
        <v>13254</v>
      </c>
      <c r="U7066">
        <v>5</v>
      </c>
      <c r="V7066">
        <v>0</v>
      </c>
      <c r="W7066">
        <v>8373</v>
      </c>
      <c r="X7066">
        <v>1</v>
      </c>
      <c r="AC7066">
        <v>8373</v>
      </c>
      <c r="AO7066">
        <v>1</v>
      </c>
      <c r="AU7066">
        <f t="shared" si="220"/>
        <v>1</v>
      </c>
      <c r="AV7066">
        <f t="shared" si="221"/>
        <v>0</v>
      </c>
    </row>
    <row r="7067" spans="1:48" x14ac:dyDescent="0.25">
      <c r="A7067" t="s">
        <v>16346</v>
      </c>
      <c r="B7067" t="s">
        <v>16346</v>
      </c>
      <c r="C7067" t="s">
        <v>16347</v>
      </c>
      <c r="D7067" t="s">
        <v>16345</v>
      </c>
      <c r="E7067" t="s">
        <v>2310</v>
      </c>
      <c r="F7067">
        <v>9</v>
      </c>
      <c r="G7067">
        <v>9.1</v>
      </c>
      <c r="H7067" t="s">
        <v>2323</v>
      </c>
      <c r="I7067" s="21">
        <v>44574.500883414352</v>
      </c>
      <c r="J7067">
        <v>2022</v>
      </c>
      <c r="K7067" s="21">
        <v>44641.436712037037</v>
      </c>
      <c r="L7067">
        <v>2022</v>
      </c>
      <c r="O7067" s="21" t="s">
        <v>114</v>
      </c>
      <c r="P7067" s="21" t="s">
        <v>114</v>
      </c>
      <c r="Q7067" s="262">
        <v>106000</v>
      </c>
      <c r="R7067" s="262">
        <v>670000</v>
      </c>
      <c r="S7067" t="s">
        <v>13254</v>
      </c>
      <c r="U7067">
        <v>8</v>
      </c>
      <c r="V7067">
        <v>0</v>
      </c>
      <c r="W7067">
        <v>889</v>
      </c>
      <c r="X7067">
        <v>1</v>
      </c>
      <c r="AF7067">
        <v>889</v>
      </c>
      <c r="AR7067">
        <v>1</v>
      </c>
      <c r="AU7067">
        <f t="shared" si="220"/>
        <v>0</v>
      </c>
      <c r="AV7067">
        <f t="shared" si="221"/>
        <v>0</v>
      </c>
    </row>
    <row r="7068" spans="1:48" x14ac:dyDescent="0.25">
      <c r="A7068" t="s">
        <v>16348</v>
      </c>
      <c r="B7068" t="s">
        <v>16348</v>
      </c>
      <c r="C7068" t="s">
        <v>16349</v>
      </c>
      <c r="D7068" t="s">
        <v>14804</v>
      </c>
      <c r="E7068" t="s">
        <v>2310</v>
      </c>
      <c r="F7068">
        <v>9</v>
      </c>
      <c r="G7068">
        <v>9.3000000000000007</v>
      </c>
      <c r="H7068" t="s">
        <v>2323</v>
      </c>
      <c r="I7068" s="21">
        <v>44574.621441238429</v>
      </c>
      <c r="J7068">
        <v>2022</v>
      </c>
      <c r="K7068" s="21">
        <v>44628.547841168984</v>
      </c>
      <c r="L7068">
        <v>2022</v>
      </c>
      <c r="O7068" s="21" t="s">
        <v>114</v>
      </c>
      <c r="P7068" s="21" t="s">
        <v>114</v>
      </c>
      <c r="Q7068" s="262">
        <v>116000</v>
      </c>
      <c r="R7068" s="262">
        <v>1000000</v>
      </c>
      <c r="S7068" t="s">
        <v>13254</v>
      </c>
      <c r="U7068">
        <v>8</v>
      </c>
      <c r="V7068">
        <v>0</v>
      </c>
      <c r="W7068">
        <v>956</v>
      </c>
      <c r="X7068">
        <v>1</v>
      </c>
      <c r="AF7068">
        <v>956</v>
      </c>
      <c r="AR7068">
        <v>1</v>
      </c>
      <c r="AU7068">
        <f t="shared" si="220"/>
        <v>0</v>
      </c>
      <c r="AV7068">
        <f t="shared" si="221"/>
        <v>0</v>
      </c>
    </row>
    <row r="7069" spans="1:48" x14ac:dyDescent="0.25">
      <c r="A7069" t="s">
        <v>16350</v>
      </c>
      <c r="B7069" t="s">
        <v>16350</v>
      </c>
      <c r="C7069" t="s">
        <v>16351</v>
      </c>
      <c r="D7069" t="s">
        <v>16352</v>
      </c>
      <c r="E7069" t="s">
        <v>2310</v>
      </c>
      <c r="F7069">
        <v>10</v>
      </c>
      <c r="G7069">
        <v>10.1</v>
      </c>
      <c r="H7069" t="s">
        <v>2323</v>
      </c>
      <c r="I7069" s="21">
        <v>44574.643728935182</v>
      </c>
      <c r="J7069">
        <v>2022</v>
      </c>
      <c r="K7069" s="21">
        <v>44641.61588125</v>
      </c>
      <c r="L7069">
        <v>2022</v>
      </c>
      <c r="O7069" s="21" t="s">
        <v>114</v>
      </c>
      <c r="P7069" s="21" t="s">
        <v>114</v>
      </c>
      <c r="Q7069" s="262">
        <v>621000</v>
      </c>
      <c r="R7069" s="262">
        <v>3160000</v>
      </c>
      <c r="S7069" t="s">
        <v>13253</v>
      </c>
      <c r="T7069">
        <v>1153</v>
      </c>
      <c r="V7069">
        <v>4328</v>
      </c>
      <c r="W7069">
        <v>283</v>
      </c>
      <c r="X7069">
        <v>0</v>
      </c>
      <c r="AC7069">
        <v>283</v>
      </c>
      <c r="AU7069">
        <f t="shared" si="220"/>
        <v>0</v>
      </c>
      <c r="AV7069">
        <f t="shared" si="221"/>
        <v>0</v>
      </c>
    </row>
    <row r="7070" spans="1:48" x14ac:dyDescent="0.25">
      <c r="A7070" t="s">
        <v>16353</v>
      </c>
      <c r="B7070" t="s">
        <v>16353</v>
      </c>
      <c r="C7070" t="s">
        <v>16354</v>
      </c>
      <c r="D7070" t="s">
        <v>16355</v>
      </c>
      <c r="E7070" t="s">
        <v>2310</v>
      </c>
      <c r="F7070">
        <v>8</v>
      </c>
      <c r="G7070">
        <v>8.1</v>
      </c>
      <c r="H7070" t="s">
        <v>2323</v>
      </c>
      <c r="I7070" s="21">
        <v>44575.406850613428</v>
      </c>
      <c r="J7070">
        <v>2022</v>
      </c>
      <c r="K7070" s="21">
        <v>44657.542047025461</v>
      </c>
      <c r="L7070">
        <v>2022</v>
      </c>
      <c r="O7070" s="21" t="s">
        <v>114</v>
      </c>
      <c r="P7070" s="21" t="s">
        <v>114</v>
      </c>
      <c r="Q7070" s="262">
        <v>937000</v>
      </c>
      <c r="R7070" s="262">
        <v>3000000</v>
      </c>
      <c r="S7070" t="s">
        <v>13254</v>
      </c>
      <c r="U7070">
        <v>5</v>
      </c>
      <c r="V7070">
        <v>0</v>
      </c>
      <c r="W7070">
        <v>7549</v>
      </c>
      <c r="X7070">
        <v>1</v>
      </c>
      <c r="AC7070">
        <v>7549</v>
      </c>
      <c r="AO7070">
        <v>1</v>
      </c>
      <c r="AU7070">
        <f t="shared" si="220"/>
        <v>1</v>
      </c>
      <c r="AV7070">
        <f t="shared" si="221"/>
        <v>0</v>
      </c>
    </row>
    <row r="7071" spans="1:48" x14ac:dyDescent="0.25">
      <c r="A7071" t="s">
        <v>16356</v>
      </c>
      <c r="B7071" t="s">
        <v>16356</v>
      </c>
      <c r="C7071" t="s">
        <v>16357</v>
      </c>
      <c r="D7071" t="s">
        <v>16358</v>
      </c>
      <c r="E7071" t="s">
        <v>2310</v>
      </c>
      <c r="F7071">
        <v>8</v>
      </c>
      <c r="G7071">
        <v>8.1</v>
      </c>
      <c r="H7071" t="s">
        <v>2323</v>
      </c>
      <c r="I7071" s="21">
        <v>44575.438750266207</v>
      </c>
      <c r="J7071">
        <v>2022</v>
      </c>
      <c r="K7071" s="21">
        <v>44636.686689965281</v>
      </c>
      <c r="L7071">
        <v>2022</v>
      </c>
      <c r="O7071" s="21" t="s">
        <v>114</v>
      </c>
      <c r="P7071" s="21" t="s">
        <v>114</v>
      </c>
      <c r="Q7071" s="262">
        <v>584000</v>
      </c>
      <c r="R7071" s="262">
        <v>3000000</v>
      </c>
      <c r="S7071" t="s">
        <v>13254</v>
      </c>
      <c r="U7071">
        <v>5</v>
      </c>
      <c r="V7071">
        <v>0</v>
      </c>
      <c r="W7071">
        <v>4995</v>
      </c>
      <c r="X7071">
        <v>1</v>
      </c>
      <c r="AC7071">
        <v>4995</v>
      </c>
      <c r="AO7071">
        <v>1</v>
      </c>
      <c r="AU7071">
        <f t="shared" si="220"/>
        <v>1</v>
      </c>
      <c r="AV7071">
        <f t="shared" si="221"/>
        <v>0</v>
      </c>
    </row>
    <row r="7072" spans="1:48" x14ac:dyDescent="0.25">
      <c r="A7072" t="s">
        <v>16359</v>
      </c>
      <c r="C7072" t="s">
        <v>11246</v>
      </c>
      <c r="D7072" t="s">
        <v>16360</v>
      </c>
      <c r="E7072" t="s">
        <v>1663</v>
      </c>
      <c r="F7072">
        <v>6</v>
      </c>
      <c r="G7072">
        <v>6.1</v>
      </c>
      <c r="H7072" t="s">
        <v>2017</v>
      </c>
      <c r="I7072" s="21">
        <v>44578</v>
      </c>
      <c r="J7072">
        <v>2022</v>
      </c>
      <c r="K7072" s="21">
        <v>44617</v>
      </c>
      <c r="L7072">
        <v>2022</v>
      </c>
      <c r="P7072" s="21" t="s">
        <v>114</v>
      </c>
      <c r="Q7072" s="262">
        <v>4600000</v>
      </c>
      <c r="S7072" t="s">
        <v>13254</v>
      </c>
      <c r="W7072">
        <v>5721</v>
      </c>
      <c r="X7072">
        <v>1</v>
      </c>
      <c r="AC7072">
        <v>5721</v>
      </c>
      <c r="AO7072">
        <v>1</v>
      </c>
      <c r="AU7072">
        <f t="shared" si="220"/>
        <v>1</v>
      </c>
      <c r="AV7072">
        <f t="shared" si="221"/>
        <v>0</v>
      </c>
    </row>
    <row r="7073" spans="1:48" x14ac:dyDescent="0.25">
      <c r="A7073" t="s">
        <v>16361</v>
      </c>
      <c r="C7073" t="s">
        <v>16362</v>
      </c>
      <c r="D7073" t="s">
        <v>16363</v>
      </c>
      <c r="E7073" t="s">
        <v>1663</v>
      </c>
      <c r="F7073">
        <v>3</v>
      </c>
      <c r="G7073">
        <v>3.1</v>
      </c>
      <c r="H7073" t="s">
        <v>2017</v>
      </c>
      <c r="I7073" s="21">
        <v>44581</v>
      </c>
      <c r="J7073">
        <v>2022</v>
      </c>
      <c r="K7073" s="21">
        <v>44774</v>
      </c>
      <c r="L7073">
        <v>2022</v>
      </c>
      <c r="P7073" s="21" t="s">
        <v>114</v>
      </c>
      <c r="Q7073" s="262">
        <v>10000</v>
      </c>
      <c r="S7073" t="s">
        <v>13253</v>
      </c>
      <c r="T7073">
        <v>9857</v>
      </c>
      <c r="W7073">
        <v>0</v>
      </c>
      <c r="X7073">
        <v>0</v>
      </c>
      <c r="AU7073">
        <f t="shared" si="220"/>
        <v>0</v>
      </c>
      <c r="AV7073">
        <f t="shared" si="221"/>
        <v>0</v>
      </c>
    </row>
    <row r="7074" spans="1:48" x14ac:dyDescent="0.25">
      <c r="A7074" t="s">
        <v>16364</v>
      </c>
      <c r="B7074" t="s">
        <v>16364</v>
      </c>
      <c r="C7074" t="s">
        <v>16365</v>
      </c>
      <c r="D7074" t="s">
        <v>16366</v>
      </c>
      <c r="E7074" t="s">
        <v>2310</v>
      </c>
      <c r="F7074">
        <v>9</v>
      </c>
      <c r="G7074">
        <v>9.3000000000000007</v>
      </c>
      <c r="H7074" t="s">
        <v>2323</v>
      </c>
      <c r="I7074" s="21">
        <v>44581.613796030091</v>
      </c>
      <c r="J7074">
        <v>2022</v>
      </c>
      <c r="K7074" s="21">
        <v>44690.670978391201</v>
      </c>
      <c r="L7074">
        <v>2022</v>
      </c>
      <c r="O7074" s="21" t="s">
        <v>114</v>
      </c>
      <c r="P7074" s="21" t="s">
        <v>114</v>
      </c>
      <c r="Q7074" s="262">
        <v>1823000</v>
      </c>
      <c r="R7074" s="262">
        <v>9500000</v>
      </c>
      <c r="S7074" t="s">
        <v>13254</v>
      </c>
      <c r="U7074">
        <v>5</v>
      </c>
      <c r="V7074">
        <v>0</v>
      </c>
      <c r="W7074">
        <v>12679</v>
      </c>
      <c r="X7074">
        <v>1</v>
      </c>
      <c r="AC7074">
        <v>12679</v>
      </c>
      <c r="AO7074">
        <v>1</v>
      </c>
      <c r="AU7074">
        <f t="shared" si="220"/>
        <v>1</v>
      </c>
      <c r="AV7074">
        <f t="shared" si="221"/>
        <v>0</v>
      </c>
    </row>
    <row r="7075" spans="1:48" x14ac:dyDescent="0.25">
      <c r="A7075" t="s">
        <v>16367</v>
      </c>
      <c r="B7075" t="s">
        <v>16367</v>
      </c>
      <c r="C7075" t="s">
        <v>16368</v>
      </c>
      <c r="D7075" t="s">
        <v>16366</v>
      </c>
      <c r="E7075" t="s">
        <v>2310</v>
      </c>
      <c r="F7075">
        <v>9</v>
      </c>
      <c r="G7075">
        <v>9.3000000000000007</v>
      </c>
      <c r="H7075" t="s">
        <v>2323</v>
      </c>
      <c r="I7075" s="21">
        <v>44581.620901932867</v>
      </c>
      <c r="J7075">
        <v>2022</v>
      </c>
      <c r="K7075" s="21">
        <v>44690.67134695602</v>
      </c>
      <c r="L7075">
        <v>2022</v>
      </c>
      <c r="O7075" s="21" t="s">
        <v>114</v>
      </c>
      <c r="P7075" s="21" t="s">
        <v>114</v>
      </c>
      <c r="Q7075" s="262">
        <v>119000</v>
      </c>
      <c r="R7075" s="262">
        <v>1000000</v>
      </c>
      <c r="S7075" t="s">
        <v>13254</v>
      </c>
      <c r="U7075">
        <v>8</v>
      </c>
      <c r="V7075">
        <v>0</v>
      </c>
      <c r="W7075">
        <v>1000</v>
      </c>
      <c r="X7075">
        <v>1</v>
      </c>
      <c r="AF7075">
        <v>1000</v>
      </c>
      <c r="AR7075">
        <v>1</v>
      </c>
      <c r="AU7075">
        <f t="shared" si="220"/>
        <v>0</v>
      </c>
      <c r="AV7075">
        <f t="shared" si="221"/>
        <v>0</v>
      </c>
    </row>
    <row r="7076" spans="1:48" x14ac:dyDescent="0.25">
      <c r="A7076" t="s">
        <v>16369</v>
      </c>
      <c r="B7076" t="s">
        <v>16369</v>
      </c>
      <c r="C7076" t="s">
        <v>16370</v>
      </c>
      <c r="D7076" t="s">
        <v>16371</v>
      </c>
      <c r="E7076" t="s">
        <v>2310</v>
      </c>
      <c r="F7076">
        <v>9</v>
      </c>
      <c r="G7076">
        <v>9.1</v>
      </c>
      <c r="H7076" t="s">
        <v>2323</v>
      </c>
      <c r="I7076" s="21">
        <v>44581.651468715281</v>
      </c>
      <c r="J7076">
        <v>2022</v>
      </c>
      <c r="K7076" s="21" t="s">
        <v>114</v>
      </c>
      <c r="L7076" t="e">
        <v>#VALUE!</v>
      </c>
      <c r="O7076" s="21" t="s">
        <v>114</v>
      </c>
      <c r="P7076" s="21" t="s">
        <v>114</v>
      </c>
      <c r="Q7076" s="262">
        <v>670000</v>
      </c>
      <c r="R7076" s="262">
        <v>3500000</v>
      </c>
      <c r="S7076" t="s">
        <v>13254</v>
      </c>
      <c r="U7076">
        <v>5</v>
      </c>
      <c r="V7076">
        <v>0</v>
      </c>
      <c r="W7076">
        <v>5343</v>
      </c>
      <c r="X7076">
        <v>1</v>
      </c>
      <c r="AC7076">
        <v>5343</v>
      </c>
      <c r="AO7076">
        <v>1</v>
      </c>
      <c r="AU7076">
        <f t="shared" si="220"/>
        <v>1</v>
      </c>
      <c r="AV7076">
        <f t="shared" si="221"/>
        <v>0</v>
      </c>
    </row>
    <row r="7077" spans="1:48" x14ac:dyDescent="0.25">
      <c r="A7077" t="s">
        <v>16372</v>
      </c>
      <c r="B7077" t="s">
        <v>16372</v>
      </c>
      <c r="C7077" t="s">
        <v>16373</v>
      </c>
      <c r="D7077" t="s">
        <v>16371</v>
      </c>
      <c r="E7077" t="s">
        <v>2310</v>
      </c>
      <c r="F7077">
        <v>9</v>
      </c>
      <c r="G7077">
        <v>9.1</v>
      </c>
      <c r="H7077" t="s">
        <v>2323</v>
      </c>
      <c r="I7077" s="21">
        <v>44581.660978622684</v>
      </c>
      <c r="J7077">
        <v>2022</v>
      </c>
      <c r="K7077" s="21" t="s">
        <v>114</v>
      </c>
      <c r="L7077" t="e">
        <v>#VALUE!</v>
      </c>
      <c r="O7077" s="21" t="s">
        <v>114</v>
      </c>
      <c r="P7077" s="21" t="s">
        <v>114</v>
      </c>
      <c r="Q7077" s="262">
        <v>118000</v>
      </c>
      <c r="R7077" s="262">
        <v>1000000</v>
      </c>
      <c r="S7077" t="s">
        <v>13254</v>
      </c>
      <c r="U7077">
        <v>8</v>
      </c>
      <c r="V7077">
        <v>0</v>
      </c>
      <c r="W7077">
        <v>996</v>
      </c>
      <c r="X7077">
        <v>1</v>
      </c>
      <c r="AF7077">
        <v>996</v>
      </c>
      <c r="AR7077">
        <v>1</v>
      </c>
      <c r="AU7077">
        <f t="shared" si="220"/>
        <v>0</v>
      </c>
      <c r="AV7077">
        <f t="shared" si="221"/>
        <v>0</v>
      </c>
    </row>
    <row r="7078" spans="1:48" x14ac:dyDescent="0.25">
      <c r="A7078" t="s">
        <v>16374</v>
      </c>
      <c r="B7078" t="s">
        <v>16374</v>
      </c>
      <c r="C7078" t="s">
        <v>16375</v>
      </c>
      <c r="D7078" t="s">
        <v>4353</v>
      </c>
      <c r="E7078" t="s">
        <v>2310</v>
      </c>
      <c r="F7078">
        <v>15</v>
      </c>
      <c r="G7078">
        <v>15.2</v>
      </c>
      <c r="H7078" t="s">
        <v>2323</v>
      </c>
      <c r="I7078" s="21">
        <v>44582.433968171295</v>
      </c>
      <c r="J7078">
        <v>2022</v>
      </c>
      <c r="K7078" s="21" t="s">
        <v>114</v>
      </c>
      <c r="L7078" t="e">
        <v>#VALUE!</v>
      </c>
      <c r="O7078" s="21" t="s">
        <v>114</v>
      </c>
      <c r="P7078" s="21" t="s">
        <v>114</v>
      </c>
      <c r="Q7078" s="262">
        <v>176000</v>
      </c>
      <c r="R7078" s="262">
        <v>400000</v>
      </c>
      <c r="S7078" t="s">
        <v>13254</v>
      </c>
      <c r="U7078">
        <v>8</v>
      </c>
      <c r="V7078">
        <v>0</v>
      </c>
      <c r="W7078">
        <v>1944</v>
      </c>
      <c r="X7078">
        <v>1</v>
      </c>
      <c r="AC7078">
        <v>944</v>
      </c>
      <c r="AF7078">
        <v>1000</v>
      </c>
      <c r="AR7078">
        <v>1</v>
      </c>
      <c r="AU7078">
        <f t="shared" si="220"/>
        <v>0</v>
      </c>
      <c r="AV7078">
        <f t="shared" si="221"/>
        <v>0</v>
      </c>
    </row>
    <row r="7079" spans="1:48" x14ac:dyDescent="0.25">
      <c r="A7079" t="s">
        <v>16376</v>
      </c>
      <c r="B7079" t="s">
        <v>16376</v>
      </c>
      <c r="C7079" t="s">
        <v>16377</v>
      </c>
      <c r="D7079" t="s">
        <v>16378</v>
      </c>
      <c r="E7079" t="s">
        <v>2310</v>
      </c>
      <c r="F7079">
        <v>9</v>
      </c>
      <c r="G7079">
        <v>9.3000000000000007</v>
      </c>
      <c r="H7079" t="s">
        <v>2323</v>
      </c>
      <c r="I7079" s="21">
        <v>44582.467921215277</v>
      </c>
      <c r="J7079">
        <v>2022</v>
      </c>
      <c r="K7079" s="21">
        <v>44643.387259224539</v>
      </c>
      <c r="L7079">
        <v>2022</v>
      </c>
      <c r="O7079" s="21" t="s">
        <v>114</v>
      </c>
      <c r="P7079" s="21" t="s">
        <v>114</v>
      </c>
      <c r="Q7079" s="262">
        <v>113000</v>
      </c>
      <c r="R7079" s="262">
        <v>67400</v>
      </c>
      <c r="S7079" t="s">
        <v>13253</v>
      </c>
      <c r="T7079">
        <v>1658</v>
      </c>
      <c r="V7079">
        <v>177</v>
      </c>
      <c r="W7079">
        <v>733</v>
      </c>
      <c r="X7079">
        <v>0</v>
      </c>
      <c r="AC7079">
        <v>733</v>
      </c>
      <c r="AU7079">
        <f t="shared" si="220"/>
        <v>0</v>
      </c>
      <c r="AV7079">
        <f t="shared" si="221"/>
        <v>0</v>
      </c>
    </row>
    <row r="7080" spans="1:48" x14ac:dyDescent="0.25">
      <c r="A7080" t="s">
        <v>16379</v>
      </c>
      <c r="B7080" t="s">
        <v>16379</v>
      </c>
      <c r="C7080" t="s">
        <v>16380</v>
      </c>
      <c r="D7080" t="s">
        <v>16381</v>
      </c>
      <c r="E7080" t="s">
        <v>2310</v>
      </c>
      <c r="F7080">
        <v>14</v>
      </c>
      <c r="G7080">
        <v>14.1</v>
      </c>
      <c r="H7080" t="s">
        <v>2022</v>
      </c>
      <c r="I7080" s="21">
        <v>44587.661529131947</v>
      </c>
      <c r="J7080">
        <v>2022</v>
      </c>
      <c r="K7080" s="21">
        <v>44694.475968437502</v>
      </c>
      <c r="L7080">
        <v>2022</v>
      </c>
      <c r="O7080" s="21" t="s">
        <v>114</v>
      </c>
      <c r="P7080" s="21" t="s">
        <v>114</v>
      </c>
      <c r="Q7080" s="262">
        <v>562000</v>
      </c>
      <c r="R7080" s="262">
        <v>3000000</v>
      </c>
      <c r="S7080" t="s">
        <v>13254</v>
      </c>
      <c r="U7080">
        <v>5</v>
      </c>
      <c r="V7080">
        <v>0</v>
      </c>
      <c r="W7080">
        <v>5591</v>
      </c>
      <c r="X7080">
        <v>1</v>
      </c>
      <c r="AC7080">
        <v>5591</v>
      </c>
      <c r="AO7080">
        <v>1</v>
      </c>
      <c r="AU7080">
        <f t="shared" si="220"/>
        <v>1</v>
      </c>
      <c r="AV7080">
        <f t="shared" si="221"/>
        <v>0</v>
      </c>
    </row>
    <row r="7081" spans="1:48" x14ac:dyDescent="0.25">
      <c r="A7081" t="s">
        <v>16382</v>
      </c>
      <c r="C7081" t="s">
        <v>16383</v>
      </c>
      <c r="D7081" t="s">
        <v>16384</v>
      </c>
      <c r="E7081" t="s">
        <v>1663</v>
      </c>
      <c r="F7081">
        <v>3</v>
      </c>
      <c r="G7081">
        <v>3.1</v>
      </c>
      <c r="H7081" t="s">
        <v>2017</v>
      </c>
      <c r="I7081" s="21">
        <v>44588</v>
      </c>
      <c r="J7081">
        <v>2022</v>
      </c>
      <c r="K7081" s="21">
        <v>44620</v>
      </c>
      <c r="L7081">
        <v>2022</v>
      </c>
      <c r="P7081" s="21" t="s">
        <v>114</v>
      </c>
      <c r="Q7081" s="262">
        <v>300000</v>
      </c>
      <c r="S7081" t="s">
        <v>13253</v>
      </c>
      <c r="T7081">
        <v>9979</v>
      </c>
      <c r="V7081">
        <v>849</v>
      </c>
      <c r="W7081">
        <v>-1375</v>
      </c>
      <c r="X7081">
        <v>-1</v>
      </c>
      <c r="AC7081">
        <v>-2224</v>
      </c>
      <c r="AM7081">
        <v>849</v>
      </c>
      <c r="AP7081">
        <v>-1</v>
      </c>
      <c r="AU7081">
        <f t="shared" si="220"/>
        <v>-1</v>
      </c>
      <c r="AV7081">
        <f t="shared" si="221"/>
        <v>849</v>
      </c>
    </row>
    <row r="7082" spans="1:48" x14ac:dyDescent="0.25">
      <c r="A7082" t="s">
        <v>16385</v>
      </c>
      <c r="B7082" t="s">
        <v>16385</v>
      </c>
      <c r="C7082" t="s">
        <v>16386</v>
      </c>
      <c r="D7082" t="s">
        <v>15750</v>
      </c>
      <c r="E7082" t="s">
        <v>2310</v>
      </c>
      <c r="F7082">
        <v>9</v>
      </c>
      <c r="G7082">
        <v>9.1</v>
      </c>
      <c r="H7082" t="s">
        <v>2323</v>
      </c>
      <c r="I7082" s="21">
        <v>44588.6709309375</v>
      </c>
      <c r="J7082">
        <v>2022</v>
      </c>
      <c r="K7082" s="21">
        <v>44641.697978240743</v>
      </c>
      <c r="L7082">
        <v>2022</v>
      </c>
      <c r="O7082" s="21" t="s">
        <v>114</v>
      </c>
      <c r="P7082" s="21" t="s">
        <v>114</v>
      </c>
      <c r="Q7082" s="262">
        <v>101000</v>
      </c>
      <c r="R7082" s="262">
        <v>750000</v>
      </c>
      <c r="S7082" t="s">
        <v>13254</v>
      </c>
      <c r="U7082">
        <v>8</v>
      </c>
      <c r="V7082">
        <v>0</v>
      </c>
      <c r="W7082">
        <v>979</v>
      </c>
      <c r="X7082">
        <v>1</v>
      </c>
      <c r="AC7082">
        <v>261</v>
      </c>
      <c r="AF7082">
        <v>718</v>
      </c>
      <c r="AR7082">
        <v>1</v>
      </c>
      <c r="AU7082">
        <f t="shared" si="220"/>
        <v>0</v>
      </c>
      <c r="AV7082">
        <f t="shared" si="221"/>
        <v>0</v>
      </c>
    </row>
    <row r="7083" spans="1:48" x14ac:dyDescent="0.25">
      <c r="A7083" t="s">
        <v>16389</v>
      </c>
      <c r="B7083" t="s">
        <v>16389</v>
      </c>
      <c r="C7083" t="s">
        <v>16390</v>
      </c>
      <c r="D7083" t="s">
        <v>15707</v>
      </c>
      <c r="E7083" t="s">
        <v>2310</v>
      </c>
      <c r="F7083">
        <v>8</v>
      </c>
      <c r="G7083">
        <v>8.1</v>
      </c>
      <c r="H7083" t="s">
        <v>2323</v>
      </c>
      <c r="I7083" s="21">
        <v>44589.44724065972</v>
      </c>
      <c r="J7083">
        <v>2022</v>
      </c>
      <c r="K7083" s="21">
        <v>44652.425317673609</v>
      </c>
      <c r="L7083">
        <v>2022</v>
      </c>
      <c r="O7083" s="21" t="s">
        <v>114</v>
      </c>
      <c r="P7083" s="21" t="s">
        <v>114</v>
      </c>
      <c r="Q7083" s="262">
        <v>177000</v>
      </c>
      <c r="R7083" s="262">
        <v>3000000</v>
      </c>
      <c r="S7083" t="s">
        <v>12464</v>
      </c>
      <c r="T7083">
        <v>5707</v>
      </c>
      <c r="U7083">
        <v>5</v>
      </c>
      <c r="V7083">
        <v>0</v>
      </c>
      <c r="W7083">
        <v>3459</v>
      </c>
      <c r="X7083">
        <v>1</v>
      </c>
      <c r="AC7083">
        <v>3459</v>
      </c>
      <c r="AO7083">
        <v>1</v>
      </c>
      <c r="AU7083">
        <f t="shared" si="220"/>
        <v>1</v>
      </c>
      <c r="AV7083">
        <f t="shared" si="221"/>
        <v>0</v>
      </c>
    </row>
    <row r="7084" spans="1:48" x14ac:dyDescent="0.25">
      <c r="A7084" t="s">
        <v>16389</v>
      </c>
      <c r="D7084" t="s">
        <v>15707</v>
      </c>
      <c r="E7084" t="s">
        <v>2310</v>
      </c>
      <c r="F7084">
        <v>8</v>
      </c>
      <c r="G7084">
        <v>8.1</v>
      </c>
      <c r="H7084" t="s">
        <v>2323</v>
      </c>
      <c r="I7084" s="21">
        <v>44589.44724065972</v>
      </c>
      <c r="J7084">
        <v>2022</v>
      </c>
      <c r="K7084" s="21">
        <v>44652.425317673609</v>
      </c>
      <c r="L7084">
        <v>2022</v>
      </c>
      <c r="O7084" s="21" t="s">
        <v>114</v>
      </c>
      <c r="P7084" s="21" t="s">
        <v>114</v>
      </c>
      <c r="Q7084" s="262">
        <v>177000</v>
      </c>
      <c r="R7084" s="262">
        <v>3000000</v>
      </c>
      <c r="S7084" t="s">
        <v>9529</v>
      </c>
      <c r="T7084">
        <v>5707</v>
      </c>
      <c r="U7084">
        <v>5</v>
      </c>
      <c r="W7084">
        <v>-2671</v>
      </c>
      <c r="X7084">
        <v>-1</v>
      </c>
      <c r="Y7084">
        <v>0</v>
      </c>
      <c r="Z7084">
        <v>0</v>
      </c>
      <c r="AA7084">
        <v>0</v>
      </c>
      <c r="AB7084">
        <v>0</v>
      </c>
      <c r="AC7084">
        <v>-2671</v>
      </c>
      <c r="AD7084">
        <v>0</v>
      </c>
      <c r="AE7084">
        <v>0</v>
      </c>
      <c r="AF7084">
        <v>0</v>
      </c>
      <c r="AG7084">
        <v>0</v>
      </c>
      <c r="AH7084">
        <v>0</v>
      </c>
      <c r="AI7084">
        <v>0</v>
      </c>
      <c r="AJ7084">
        <v>0</v>
      </c>
      <c r="AK7084">
        <v>0</v>
      </c>
      <c r="AL7084">
        <v>0</v>
      </c>
      <c r="AM7084">
        <v>0</v>
      </c>
      <c r="AN7084">
        <v>0</v>
      </c>
      <c r="AO7084">
        <v>-1</v>
      </c>
      <c r="AP7084">
        <v>0</v>
      </c>
      <c r="AQ7084">
        <v>0</v>
      </c>
      <c r="AR7084">
        <v>0</v>
      </c>
      <c r="AS7084">
        <v>0</v>
      </c>
      <c r="AT7084">
        <v>0</v>
      </c>
      <c r="AU7084">
        <f t="shared" si="220"/>
        <v>-1</v>
      </c>
      <c r="AV7084">
        <f t="shared" si="221"/>
        <v>0</v>
      </c>
    </row>
    <row r="7085" spans="1:48" x14ac:dyDescent="0.25">
      <c r="A7085" t="s">
        <v>15040</v>
      </c>
      <c r="C7085" t="s">
        <v>15041</v>
      </c>
      <c r="D7085" t="s">
        <v>14809</v>
      </c>
      <c r="E7085" t="s">
        <v>1663</v>
      </c>
      <c r="F7085">
        <v>2</v>
      </c>
      <c r="G7085">
        <v>2.2999999999999998</v>
      </c>
      <c r="H7085" t="s">
        <v>2327</v>
      </c>
      <c r="I7085" s="21">
        <v>44594</v>
      </c>
      <c r="J7085">
        <v>2022</v>
      </c>
      <c r="K7085" s="21">
        <v>44624</v>
      </c>
      <c r="L7085">
        <v>2022</v>
      </c>
      <c r="M7085" s="21">
        <v>44755</v>
      </c>
      <c r="N7085">
        <v>2022</v>
      </c>
      <c r="P7085" s="21" t="s">
        <v>114</v>
      </c>
      <c r="Q7085" s="262">
        <v>315000</v>
      </c>
      <c r="S7085" t="s">
        <v>13253</v>
      </c>
      <c r="T7085">
        <v>11320</v>
      </c>
      <c r="V7085">
        <v>3953</v>
      </c>
      <c r="W7085">
        <v>0</v>
      </c>
      <c r="X7085">
        <v>0</v>
      </c>
      <c r="AU7085">
        <f t="shared" si="220"/>
        <v>0</v>
      </c>
      <c r="AV7085">
        <f t="shared" si="221"/>
        <v>0</v>
      </c>
    </row>
    <row r="7086" spans="1:48" x14ac:dyDescent="0.25">
      <c r="A7086" t="s">
        <v>15276</v>
      </c>
      <c r="B7086" t="s">
        <v>15276</v>
      </c>
      <c r="C7086" t="s">
        <v>15277</v>
      </c>
      <c r="D7086" t="s">
        <v>10839</v>
      </c>
      <c r="E7086" t="s">
        <v>2310</v>
      </c>
      <c r="F7086">
        <v>13</v>
      </c>
      <c r="G7086">
        <v>13.1</v>
      </c>
      <c r="H7086" t="s">
        <v>2327</v>
      </c>
      <c r="I7086" s="21">
        <v>44595.394858020831</v>
      </c>
      <c r="J7086">
        <v>2022</v>
      </c>
      <c r="K7086" s="21">
        <v>44665.531630011574</v>
      </c>
      <c r="L7086">
        <v>2022</v>
      </c>
      <c r="M7086" s="21">
        <v>44754.462884409724</v>
      </c>
      <c r="N7086">
        <v>2022</v>
      </c>
      <c r="O7086" s="21" t="s">
        <v>114</v>
      </c>
      <c r="P7086" s="21" t="s">
        <v>114</v>
      </c>
      <c r="Q7086" s="262">
        <v>376000</v>
      </c>
      <c r="R7086" s="262">
        <v>600000</v>
      </c>
      <c r="S7086" t="s">
        <v>13253</v>
      </c>
      <c r="T7086">
        <v>7347</v>
      </c>
      <c r="V7086">
        <v>2846</v>
      </c>
      <c r="W7086">
        <v>0</v>
      </c>
      <c r="X7086">
        <v>0</v>
      </c>
      <c r="AU7086">
        <f t="shared" si="220"/>
        <v>0</v>
      </c>
      <c r="AV7086">
        <f t="shared" si="221"/>
        <v>0</v>
      </c>
    </row>
    <row r="7087" spans="1:48" x14ac:dyDescent="0.25">
      <c r="A7087" t="s">
        <v>16397</v>
      </c>
      <c r="B7087" t="s">
        <v>16397</v>
      </c>
      <c r="C7087" t="s">
        <v>16398</v>
      </c>
      <c r="D7087" t="s">
        <v>16399</v>
      </c>
      <c r="E7087" t="s">
        <v>2310</v>
      </c>
      <c r="F7087">
        <v>12</v>
      </c>
      <c r="G7087">
        <v>12.3</v>
      </c>
      <c r="H7087" t="s">
        <v>2017</v>
      </c>
      <c r="I7087" s="21">
        <v>44595.464864965281</v>
      </c>
      <c r="J7087">
        <v>2022</v>
      </c>
      <c r="K7087" s="21">
        <v>44691.639059293979</v>
      </c>
      <c r="L7087">
        <v>2022</v>
      </c>
      <c r="O7087" s="21" t="s">
        <v>114</v>
      </c>
      <c r="P7087" s="21" t="s">
        <v>114</v>
      </c>
      <c r="Q7087" s="262">
        <v>213000</v>
      </c>
      <c r="R7087" s="262">
        <v>750000</v>
      </c>
      <c r="S7087" t="s">
        <v>13253</v>
      </c>
      <c r="T7087">
        <v>3618</v>
      </c>
      <c r="V7087">
        <v>0</v>
      </c>
      <c r="W7087">
        <v>1649</v>
      </c>
      <c r="X7087">
        <v>0</v>
      </c>
      <c r="AI7087">
        <v>1649</v>
      </c>
      <c r="AU7087">
        <f t="shared" si="220"/>
        <v>0</v>
      </c>
      <c r="AV7087">
        <f t="shared" si="221"/>
        <v>1649</v>
      </c>
    </row>
    <row r="7088" spans="1:48" x14ac:dyDescent="0.25">
      <c r="A7088" t="s">
        <v>16400</v>
      </c>
      <c r="B7088" t="s">
        <v>16400</v>
      </c>
      <c r="C7088" t="s">
        <v>16401</v>
      </c>
      <c r="D7088" t="s">
        <v>16402</v>
      </c>
      <c r="E7088" t="s">
        <v>2310</v>
      </c>
      <c r="F7088">
        <v>15</v>
      </c>
      <c r="G7088">
        <v>15.1</v>
      </c>
      <c r="H7088" t="s">
        <v>2022</v>
      </c>
      <c r="I7088" s="21">
        <v>44595.595811921296</v>
      </c>
      <c r="J7088">
        <v>2022</v>
      </c>
      <c r="K7088" s="21" t="s">
        <v>114</v>
      </c>
      <c r="L7088" t="e">
        <v>#VALUE!</v>
      </c>
      <c r="O7088" s="21" t="s">
        <v>114</v>
      </c>
      <c r="P7088" s="21" t="s">
        <v>114</v>
      </c>
      <c r="Q7088" s="262">
        <v>2608000</v>
      </c>
      <c r="R7088" s="262">
        <v>11000000</v>
      </c>
      <c r="S7088" t="s">
        <v>13254</v>
      </c>
      <c r="U7088">
        <v>5</v>
      </c>
      <c r="V7088">
        <v>0</v>
      </c>
      <c r="W7088">
        <v>15082</v>
      </c>
      <c r="X7088">
        <v>1</v>
      </c>
      <c r="AC7088">
        <v>15082</v>
      </c>
      <c r="AO7088">
        <v>1</v>
      </c>
      <c r="AU7088">
        <f t="shared" si="220"/>
        <v>1</v>
      </c>
      <c r="AV7088">
        <f t="shared" si="221"/>
        <v>0</v>
      </c>
    </row>
    <row r="7089" spans="1:48" x14ac:dyDescent="0.25">
      <c r="A7089" t="s">
        <v>16403</v>
      </c>
      <c r="B7089" t="s">
        <v>16403</v>
      </c>
      <c r="C7089" t="s">
        <v>16404</v>
      </c>
      <c r="D7089" t="s">
        <v>5716</v>
      </c>
      <c r="E7089" t="s">
        <v>2310</v>
      </c>
      <c r="F7089">
        <v>9</v>
      </c>
      <c r="G7089">
        <v>9.4</v>
      </c>
      <c r="H7089" t="s">
        <v>2323</v>
      </c>
      <c r="I7089" s="21">
        <v>44595.636363692131</v>
      </c>
      <c r="J7089">
        <v>2022</v>
      </c>
      <c r="K7089" s="21">
        <v>44775.586142361113</v>
      </c>
      <c r="L7089">
        <v>2022</v>
      </c>
      <c r="O7089" s="21" t="s">
        <v>114</v>
      </c>
      <c r="P7089" s="21" t="s">
        <v>114</v>
      </c>
      <c r="Q7089" s="262">
        <v>120000</v>
      </c>
      <c r="R7089" s="262">
        <v>750000</v>
      </c>
      <c r="S7089" t="s">
        <v>13253</v>
      </c>
      <c r="T7089">
        <v>2903</v>
      </c>
      <c r="V7089">
        <v>0</v>
      </c>
      <c r="W7089">
        <v>904</v>
      </c>
      <c r="X7089">
        <v>0</v>
      </c>
      <c r="AI7089">
        <v>904</v>
      </c>
      <c r="AU7089">
        <f t="shared" si="220"/>
        <v>0</v>
      </c>
      <c r="AV7089">
        <f t="shared" si="221"/>
        <v>904</v>
      </c>
    </row>
    <row r="7090" spans="1:48" x14ac:dyDescent="0.25">
      <c r="A7090" t="s">
        <v>16405</v>
      </c>
      <c r="B7090" t="s">
        <v>16405</v>
      </c>
      <c r="C7090" t="s">
        <v>16406</v>
      </c>
      <c r="D7090" t="s">
        <v>16407</v>
      </c>
      <c r="E7090" t="s">
        <v>2310</v>
      </c>
      <c r="F7090">
        <v>14</v>
      </c>
      <c r="G7090">
        <v>14.1</v>
      </c>
      <c r="H7090" t="s">
        <v>2022</v>
      </c>
      <c r="I7090" s="21">
        <v>44596.476048495373</v>
      </c>
      <c r="J7090">
        <v>2022</v>
      </c>
      <c r="K7090" s="21" t="s">
        <v>114</v>
      </c>
      <c r="L7090" t="e">
        <v>#VALUE!</v>
      </c>
      <c r="O7090" s="21" t="s">
        <v>114</v>
      </c>
      <c r="P7090" s="21" t="s">
        <v>114</v>
      </c>
      <c r="Q7090" s="262">
        <v>593000</v>
      </c>
      <c r="R7090" s="262">
        <v>2700000</v>
      </c>
      <c r="S7090" t="s">
        <v>13254</v>
      </c>
      <c r="U7090">
        <v>5</v>
      </c>
      <c r="V7090">
        <v>0</v>
      </c>
      <c r="W7090">
        <v>4977</v>
      </c>
      <c r="X7090">
        <v>1</v>
      </c>
      <c r="AC7090">
        <v>4977</v>
      </c>
      <c r="AO7090">
        <v>1</v>
      </c>
      <c r="AU7090">
        <f t="shared" si="220"/>
        <v>1</v>
      </c>
      <c r="AV7090">
        <f t="shared" si="221"/>
        <v>0</v>
      </c>
    </row>
    <row r="7091" spans="1:48" x14ac:dyDescent="0.25">
      <c r="A7091" t="s">
        <v>15042</v>
      </c>
      <c r="C7091" t="s">
        <v>11879</v>
      </c>
      <c r="D7091" t="s">
        <v>9164</v>
      </c>
      <c r="E7091" t="s">
        <v>1663</v>
      </c>
      <c r="F7091">
        <v>3</v>
      </c>
      <c r="G7091">
        <v>3.2</v>
      </c>
      <c r="H7091" t="s">
        <v>2327</v>
      </c>
      <c r="I7091" s="21">
        <v>44600</v>
      </c>
      <c r="J7091">
        <v>2022</v>
      </c>
      <c r="K7091" s="21">
        <v>44662</v>
      </c>
      <c r="L7091">
        <v>2022</v>
      </c>
      <c r="M7091" s="21">
        <v>44699</v>
      </c>
      <c r="N7091">
        <v>2022</v>
      </c>
      <c r="P7091" s="21" t="s">
        <v>114</v>
      </c>
      <c r="Q7091" s="262">
        <v>100000</v>
      </c>
      <c r="S7091" t="s">
        <v>13253</v>
      </c>
      <c r="T7091">
        <v>11580</v>
      </c>
      <c r="V7091">
        <v>88</v>
      </c>
      <c r="W7091">
        <v>512</v>
      </c>
      <c r="X7091">
        <v>0</v>
      </c>
      <c r="AH7091">
        <v>512</v>
      </c>
      <c r="AU7091">
        <f t="shared" si="220"/>
        <v>0</v>
      </c>
      <c r="AV7091">
        <f t="shared" si="221"/>
        <v>512</v>
      </c>
    </row>
    <row r="7092" spans="1:48" x14ac:dyDescent="0.25">
      <c r="A7092" t="s">
        <v>16410</v>
      </c>
      <c r="B7092" t="s">
        <v>16410</v>
      </c>
      <c r="C7092" t="s">
        <v>16411</v>
      </c>
      <c r="D7092" t="s">
        <v>15688</v>
      </c>
      <c r="E7092" t="s">
        <v>2310</v>
      </c>
      <c r="F7092">
        <v>9</v>
      </c>
      <c r="G7092">
        <v>9.4</v>
      </c>
      <c r="H7092" t="s">
        <v>2323</v>
      </c>
      <c r="I7092" s="21">
        <v>44602.458611805552</v>
      </c>
      <c r="J7092">
        <v>2022</v>
      </c>
      <c r="K7092" s="21">
        <v>44685.372031597224</v>
      </c>
      <c r="L7092">
        <v>2022</v>
      </c>
      <c r="O7092" s="21" t="s">
        <v>114</v>
      </c>
      <c r="P7092" s="21" t="s">
        <v>114</v>
      </c>
      <c r="Q7092" s="262">
        <v>130000</v>
      </c>
      <c r="R7092" s="262">
        <v>1000000</v>
      </c>
      <c r="S7092" t="s">
        <v>13254</v>
      </c>
      <c r="U7092">
        <v>8</v>
      </c>
      <c r="V7092">
        <v>0</v>
      </c>
      <c r="W7092">
        <v>999</v>
      </c>
      <c r="X7092">
        <v>1</v>
      </c>
      <c r="AF7092">
        <v>999</v>
      </c>
      <c r="AR7092">
        <v>1</v>
      </c>
      <c r="AU7092">
        <f t="shared" si="220"/>
        <v>0</v>
      </c>
      <c r="AV7092">
        <f t="shared" si="221"/>
        <v>0</v>
      </c>
    </row>
    <row r="7093" spans="1:48" x14ac:dyDescent="0.25">
      <c r="A7093" t="s">
        <v>16412</v>
      </c>
      <c r="B7093" t="s">
        <v>16412</v>
      </c>
      <c r="C7093" t="s">
        <v>16413</v>
      </c>
      <c r="D7093" t="s">
        <v>16414</v>
      </c>
      <c r="E7093" t="s">
        <v>2310</v>
      </c>
      <c r="F7093">
        <v>10</v>
      </c>
      <c r="G7093">
        <v>10.1</v>
      </c>
      <c r="H7093" t="s">
        <v>2323</v>
      </c>
      <c r="I7093" s="21">
        <v>44602.645157372688</v>
      </c>
      <c r="J7093">
        <v>2022</v>
      </c>
      <c r="K7093" s="21">
        <v>44776.628179664353</v>
      </c>
      <c r="L7093">
        <v>2022</v>
      </c>
      <c r="O7093" s="21" t="s">
        <v>114</v>
      </c>
      <c r="P7093" s="21" t="s">
        <v>114</v>
      </c>
      <c r="Q7093" s="262">
        <v>199000</v>
      </c>
      <c r="R7093" s="262">
        <v>503100</v>
      </c>
      <c r="S7093" t="s">
        <v>13253</v>
      </c>
      <c r="T7093">
        <v>1073</v>
      </c>
      <c r="V7093">
        <v>582</v>
      </c>
      <c r="W7093">
        <v>884</v>
      </c>
      <c r="X7093">
        <v>0</v>
      </c>
      <c r="AC7093">
        <v>884</v>
      </c>
      <c r="AU7093">
        <f t="shared" si="220"/>
        <v>0</v>
      </c>
      <c r="AV7093">
        <f t="shared" si="221"/>
        <v>0</v>
      </c>
    </row>
    <row r="7094" spans="1:48" x14ac:dyDescent="0.25">
      <c r="A7094" t="s">
        <v>16415</v>
      </c>
      <c r="B7094" t="s">
        <v>16415</v>
      </c>
      <c r="C7094" t="s">
        <v>16416</v>
      </c>
      <c r="D7094" t="s">
        <v>6027</v>
      </c>
      <c r="E7094" t="s">
        <v>2310</v>
      </c>
      <c r="F7094">
        <v>8</v>
      </c>
      <c r="G7094">
        <v>8.1999999999999993</v>
      </c>
      <c r="H7094" t="s">
        <v>2022</v>
      </c>
      <c r="I7094" s="21">
        <v>44603.577337233794</v>
      </c>
      <c r="J7094">
        <v>2022</v>
      </c>
      <c r="K7094" s="21">
        <v>44715.347709571761</v>
      </c>
      <c r="L7094">
        <v>2022</v>
      </c>
      <c r="O7094" s="21" t="s">
        <v>114</v>
      </c>
      <c r="P7094" s="21" t="s">
        <v>114</v>
      </c>
      <c r="Q7094" s="262">
        <v>2490000</v>
      </c>
      <c r="R7094" s="262">
        <v>9000000</v>
      </c>
      <c r="S7094" t="s">
        <v>13254</v>
      </c>
      <c r="U7094">
        <v>5</v>
      </c>
      <c r="V7094">
        <v>0</v>
      </c>
      <c r="W7094">
        <v>13888</v>
      </c>
      <c r="X7094">
        <v>0</v>
      </c>
      <c r="AC7094">
        <v>13888</v>
      </c>
      <c r="AU7094">
        <f t="shared" si="220"/>
        <v>0</v>
      </c>
      <c r="AV7094">
        <f t="shared" si="221"/>
        <v>0</v>
      </c>
    </row>
    <row r="7095" spans="1:48" x14ac:dyDescent="0.25">
      <c r="A7095" t="s">
        <v>16417</v>
      </c>
      <c r="C7095" t="s">
        <v>16418</v>
      </c>
      <c r="D7095" t="s">
        <v>16419</v>
      </c>
      <c r="E7095" t="s">
        <v>1663</v>
      </c>
      <c r="F7095">
        <v>5</v>
      </c>
      <c r="G7095">
        <v>5.2</v>
      </c>
      <c r="H7095" t="s">
        <v>2327</v>
      </c>
      <c r="I7095" s="21">
        <v>44607</v>
      </c>
      <c r="J7095">
        <v>2022</v>
      </c>
      <c r="K7095" s="21">
        <v>44747</v>
      </c>
      <c r="L7095">
        <v>2022</v>
      </c>
      <c r="P7095" s="21" t="s">
        <v>114</v>
      </c>
      <c r="Q7095" s="262">
        <v>600000</v>
      </c>
      <c r="S7095" t="s">
        <v>13254</v>
      </c>
      <c r="W7095">
        <v>1200</v>
      </c>
      <c r="X7095">
        <v>0</v>
      </c>
      <c r="AL7095">
        <v>1200</v>
      </c>
      <c r="AU7095">
        <f t="shared" si="220"/>
        <v>0</v>
      </c>
      <c r="AV7095">
        <f t="shared" si="221"/>
        <v>1200</v>
      </c>
    </row>
    <row r="7096" spans="1:48" x14ac:dyDescent="0.25">
      <c r="A7096" t="s">
        <v>16420</v>
      </c>
      <c r="B7096" t="s">
        <v>16420</v>
      </c>
      <c r="C7096" t="s">
        <v>16421</v>
      </c>
      <c r="D7096" t="s">
        <v>16422</v>
      </c>
      <c r="E7096" t="s">
        <v>2310</v>
      </c>
      <c r="F7096">
        <v>9</v>
      </c>
      <c r="G7096">
        <v>9.1999999999999993</v>
      </c>
      <c r="H7096" t="s">
        <v>2022</v>
      </c>
      <c r="I7096" s="21">
        <v>44610.360431909721</v>
      </c>
      <c r="J7096">
        <v>2022</v>
      </c>
      <c r="K7096" s="21">
        <v>44694.672663807869</v>
      </c>
      <c r="L7096">
        <v>2022</v>
      </c>
      <c r="O7096" s="21" t="s">
        <v>114</v>
      </c>
      <c r="P7096" s="21" t="s">
        <v>114</v>
      </c>
      <c r="Q7096" s="262">
        <v>965000</v>
      </c>
      <c r="R7096" s="262">
        <v>3000000</v>
      </c>
      <c r="S7096" t="s">
        <v>13254</v>
      </c>
      <c r="U7096">
        <v>5</v>
      </c>
      <c r="V7096">
        <v>0</v>
      </c>
      <c r="W7096">
        <v>6912</v>
      </c>
      <c r="X7096">
        <v>1</v>
      </c>
      <c r="AC7096">
        <v>6912</v>
      </c>
      <c r="AO7096">
        <v>1</v>
      </c>
      <c r="AU7096">
        <f t="shared" si="220"/>
        <v>1</v>
      </c>
      <c r="AV7096">
        <f t="shared" si="221"/>
        <v>0</v>
      </c>
    </row>
    <row r="7097" spans="1:48" x14ac:dyDescent="0.25">
      <c r="A7097" t="s">
        <v>16423</v>
      </c>
      <c r="B7097" t="s">
        <v>16423</v>
      </c>
      <c r="C7097" t="s">
        <v>16424</v>
      </c>
      <c r="D7097" t="s">
        <v>16422</v>
      </c>
      <c r="E7097" t="s">
        <v>2310</v>
      </c>
      <c r="F7097">
        <v>9</v>
      </c>
      <c r="G7097">
        <v>9.1999999999999993</v>
      </c>
      <c r="H7097" t="s">
        <v>2022</v>
      </c>
      <c r="I7097" s="21">
        <v>44610.406814849535</v>
      </c>
      <c r="J7097">
        <v>2022</v>
      </c>
      <c r="K7097" s="21">
        <v>44694.673638194443</v>
      </c>
      <c r="L7097">
        <v>2022</v>
      </c>
      <c r="O7097" s="21" t="s">
        <v>114</v>
      </c>
      <c r="P7097" s="21" t="s">
        <v>114</v>
      </c>
      <c r="Q7097" s="262">
        <v>119000</v>
      </c>
      <c r="R7097" s="262">
        <v>500000</v>
      </c>
      <c r="S7097" t="s">
        <v>13254</v>
      </c>
      <c r="U7097">
        <v>8</v>
      </c>
      <c r="V7097">
        <v>0</v>
      </c>
      <c r="W7097">
        <v>2218</v>
      </c>
      <c r="X7097">
        <v>1</v>
      </c>
      <c r="AC7097">
        <v>1218</v>
      </c>
      <c r="AF7097">
        <v>1000</v>
      </c>
      <c r="AR7097">
        <v>1</v>
      </c>
      <c r="AU7097">
        <f t="shared" si="220"/>
        <v>0</v>
      </c>
      <c r="AV7097">
        <f t="shared" si="221"/>
        <v>0</v>
      </c>
    </row>
    <row r="7098" spans="1:48" x14ac:dyDescent="0.25">
      <c r="A7098" t="s">
        <v>16425</v>
      </c>
      <c r="B7098" t="s">
        <v>16425</v>
      </c>
      <c r="C7098" t="s">
        <v>16426</v>
      </c>
      <c r="D7098" t="s">
        <v>16274</v>
      </c>
      <c r="E7098" t="s">
        <v>2310</v>
      </c>
      <c r="F7098">
        <v>9</v>
      </c>
      <c r="G7098">
        <v>9.1999999999999993</v>
      </c>
      <c r="H7098" t="s">
        <v>2022</v>
      </c>
      <c r="I7098" s="21">
        <v>44610.530778125001</v>
      </c>
      <c r="J7098">
        <v>2022</v>
      </c>
      <c r="K7098" s="21">
        <v>44792.550642511575</v>
      </c>
      <c r="L7098">
        <v>2022</v>
      </c>
      <c r="O7098" s="21" t="s">
        <v>114</v>
      </c>
      <c r="P7098" s="21" t="s">
        <v>114</v>
      </c>
      <c r="Q7098" s="262">
        <v>1128000</v>
      </c>
      <c r="R7098" s="262">
        <v>2000000</v>
      </c>
      <c r="S7098" t="s">
        <v>13254</v>
      </c>
      <c r="U7098">
        <v>5</v>
      </c>
      <c r="V7098">
        <v>0</v>
      </c>
      <c r="W7098">
        <v>6804</v>
      </c>
      <c r="X7098">
        <v>1</v>
      </c>
      <c r="AC7098">
        <v>6804</v>
      </c>
      <c r="AO7098">
        <v>1</v>
      </c>
      <c r="AU7098">
        <f t="shared" si="220"/>
        <v>1</v>
      </c>
      <c r="AV7098">
        <f t="shared" si="221"/>
        <v>0</v>
      </c>
    </row>
    <row r="7099" spans="1:48" x14ac:dyDescent="0.25">
      <c r="A7099" t="s">
        <v>15278</v>
      </c>
      <c r="B7099" t="s">
        <v>15278</v>
      </c>
      <c r="C7099" t="s">
        <v>15279</v>
      </c>
      <c r="D7099" t="s">
        <v>2432</v>
      </c>
      <c r="E7099" t="s">
        <v>2310</v>
      </c>
      <c r="F7099">
        <v>13</v>
      </c>
      <c r="G7099">
        <v>13.1</v>
      </c>
      <c r="H7099" t="s">
        <v>2327</v>
      </c>
      <c r="I7099" s="21">
        <v>44610.597748032407</v>
      </c>
      <c r="J7099">
        <v>2022</v>
      </c>
      <c r="K7099" s="21">
        <v>44657.493189004628</v>
      </c>
      <c r="L7099">
        <v>2022</v>
      </c>
      <c r="M7099" s="21">
        <v>44907</v>
      </c>
      <c r="N7099">
        <v>2022</v>
      </c>
      <c r="O7099" s="21" t="s">
        <v>114</v>
      </c>
      <c r="P7099" s="21" t="s">
        <v>114</v>
      </c>
      <c r="Q7099" s="262">
        <v>224000</v>
      </c>
      <c r="R7099" s="262">
        <v>1500000</v>
      </c>
      <c r="S7099" t="s">
        <v>13253</v>
      </c>
      <c r="T7099">
        <v>15159</v>
      </c>
      <c r="V7099">
        <v>2100</v>
      </c>
      <c r="W7099">
        <v>0</v>
      </c>
      <c r="X7099">
        <v>0</v>
      </c>
      <c r="AU7099">
        <f t="shared" si="220"/>
        <v>0</v>
      </c>
      <c r="AV7099">
        <f t="shared" si="221"/>
        <v>0</v>
      </c>
    </row>
    <row r="7100" spans="1:48" x14ac:dyDescent="0.25">
      <c r="A7100" t="s">
        <v>15050</v>
      </c>
      <c r="C7100" t="s">
        <v>15051</v>
      </c>
      <c r="D7100" t="s">
        <v>15052</v>
      </c>
      <c r="E7100" t="s">
        <v>1663</v>
      </c>
      <c r="F7100">
        <v>4</v>
      </c>
      <c r="G7100">
        <v>4.3</v>
      </c>
      <c r="H7100" t="s">
        <v>2327</v>
      </c>
      <c r="I7100" s="21">
        <v>44616</v>
      </c>
      <c r="J7100">
        <v>2022</v>
      </c>
      <c r="K7100" s="21">
        <v>44634</v>
      </c>
      <c r="L7100">
        <v>2022</v>
      </c>
      <c r="M7100" s="21">
        <v>44734</v>
      </c>
      <c r="N7100">
        <v>2022</v>
      </c>
      <c r="P7100" s="21" t="s">
        <v>114</v>
      </c>
      <c r="Q7100" s="262">
        <v>235000</v>
      </c>
      <c r="S7100" t="s">
        <v>13253</v>
      </c>
      <c r="T7100">
        <v>12119</v>
      </c>
      <c r="W7100">
        <v>0</v>
      </c>
      <c r="X7100">
        <v>0</v>
      </c>
      <c r="AU7100">
        <f t="shared" si="220"/>
        <v>0</v>
      </c>
      <c r="AV7100">
        <f t="shared" si="221"/>
        <v>0</v>
      </c>
    </row>
    <row r="7101" spans="1:48" x14ac:dyDescent="0.25">
      <c r="A7101" t="s">
        <v>15053</v>
      </c>
      <c r="C7101" t="s">
        <v>15054</v>
      </c>
      <c r="D7101" t="s">
        <v>15055</v>
      </c>
      <c r="E7101" t="s">
        <v>1663</v>
      </c>
      <c r="F7101">
        <v>4</v>
      </c>
      <c r="G7101">
        <v>4.3</v>
      </c>
      <c r="H7101" t="s">
        <v>2327</v>
      </c>
      <c r="I7101" s="21">
        <v>44616</v>
      </c>
      <c r="J7101">
        <v>2022</v>
      </c>
      <c r="K7101" s="21">
        <v>44642</v>
      </c>
      <c r="L7101">
        <v>2022</v>
      </c>
      <c r="M7101" s="21">
        <v>44706</v>
      </c>
      <c r="N7101">
        <v>2022</v>
      </c>
      <c r="P7101" s="21" t="s">
        <v>114</v>
      </c>
      <c r="Q7101" s="262">
        <v>40000</v>
      </c>
      <c r="S7101" t="s">
        <v>13253</v>
      </c>
      <c r="T7101">
        <v>12307</v>
      </c>
      <c r="V7101">
        <v>2636</v>
      </c>
      <c r="W7101">
        <v>0</v>
      </c>
      <c r="X7101">
        <v>0</v>
      </c>
      <c r="AB7101">
        <v>2636</v>
      </c>
      <c r="AH7101">
        <v>-2636</v>
      </c>
      <c r="AU7101">
        <f t="shared" si="220"/>
        <v>0</v>
      </c>
      <c r="AV7101">
        <f t="shared" si="221"/>
        <v>0</v>
      </c>
    </row>
    <row r="7102" spans="1:48" x14ac:dyDescent="0.25">
      <c r="A7102" t="s">
        <v>16433</v>
      </c>
      <c r="B7102" t="s">
        <v>16433</v>
      </c>
      <c r="C7102" t="s">
        <v>16434</v>
      </c>
      <c r="D7102" t="s">
        <v>16435</v>
      </c>
      <c r="E7102" t="s">
        <v>2310</v>
      </c>
      <c r="F7102">
        <v>8</v>
      </c>
      <c r="G7102">
        <v>8.1999999999999993</v>
      </c>
      <c r="H7102" t="s">
        <v>2022</v>
      </c>
      <c r="I7102" s="21">
        <v>44616.463207025467</v>
      </c>
      <c r="J7102">
        <v>2022</v>
      </c>
      <c r="K7102" s="21">
        <v>44791.573456597223</v>
      </c>
      <c r="L7102">
        <v>2022</v>
      </c>
      <c r="O7102" s="21" t="s">
        <v>114</v>
      </c>
      <c r="P7102" s="21" t="s">
        <v>114</v>
      </c>
      <c r="Q7102" s="262">
        <v>1471000</v>
      </c>
      <c r="R7102" s="262">
        <v>8000000</v>
      </c>
      <c r="S7102" t="s">
        <v>13254</v>
      </c>
      <c r="U7102">
        <v>5</v>
      </c>
      <c r="V7102">
        <v>0</v>
      </c>
      <c r="W7102">
        <v>9211</v>
      </c>
      <c r="X7102">
        <v>1</v>
      </c>
      <c r="AC7102">
        <v>9211</v>
      </c>
      <c r="AO7102">
        <v>1</v>
      </c>
      <c r="AU7102">
        <f t="shared" si="220"/>
        <v>1</v>
      </c>
      <c r="AV7102">
        <f t="shared" si="221"/>
        <v>0</v>
      </c>
    </row>
    <row r="7103" spans="1:48" x14ac:dyDescent="0.25">
      <c r="A7103" t="s">
        <v>16436</v>
      </c>
      <c r="B7103" t="s">
        <v>16436</v>
      </c>
      <c r="C7103" t="s">
        <v>16437</v>
      </c>
      <c r="D7103" t="s">
        <v>16435</v>
      </c>
      <c r="E7103" t="s">
        <v>2310</v>
      </c>
      <c r="F7103">
        <v>8</v>
      </c>
      <c r="G7103">
        <v>8.1999999999999993</v>
      </c>
      <c r="H7103" t="s">
        <v>2022</v>
      </c>
      <c r="I7103" s="21">
        <v>44616.477809143522</v>
      </c>
      <c r="J7103">
        <v>2022</v>
      </c>
      <c r="K7103" s="21">
        <v>44791.572093668983</v>
      </c>
      <c r="L7103">
        <v>2022</v>
      </c>
      <c r="O7103" s="21" t="s">
        <v>114</v>
      </c>
      <c r="P7103" s="21" t="s">
        <v>114</v>
      </c>
      <c r="Q7103" s="262">
        <v>291000</v>
      </c>
      <c r="R7103" s="262">
        <v>3000000</v>
      </c>
      <c r="S7103" t="s">
        <v>13254</v>
      </c>
      <c r="U7103">
        <v>5</v>
      </c>
      <c r="V7103">
        <v>0</v>
      </c>
      <c r="W7103">
        <v>2541</v>
      </c>
      <c r="X7103">
        <v>0</v>
      </c>
      <c r="AC7103">
        <v>2541</v>
      </c>
      <c r="AU7103">
        <f t="shared" si="220"/>
        <v>0</v>
      </c>
      <c r="AV7103">
        <f t="shared" si="221"/>
        <v>0</v>
      </c>
    </row>
    <row r="7104" spans="1:48" x14ac:dyDescent="0.25">
      <c r="A7104" t="s">
        <v>16438</v>
      </c>
      <c r="B7104" t="s">
        <v>16438</v>
      </c>
      <c r="C7104" t="s">
        <v>16439</v>
      </c>
      <c r="D7104" t="s">
        <v>4570</v>
      </c>
      <c r="E7104" t="s">
        <v>2310</v>
      </c>
      <c r="F7104">
        <v>10</v>
      </c>
      <c r="G7104">
        <v>10.1</v>
      </c>
      <c r="H7104" t="s">
        <v>2323</v>
      </c>
      <c r="I7104" s="21">
        <v>44616.490386770834</v>
      </c>
      <c r="J7104">
        <v>2022</v>
      </c>
      <c r="K7104" s="21">
        <v>44755.493742858795</v>
      </c>
      <c r="L7104">
        <v>2022</v>
      </c>
      <c r="O7104" s="21" t="s">
        <v>114</v>
      </c>
      <c r="P7104" s="21" t="s">
        <v>114</v>
      </c>
      <c r="Q7104" s="262">
        <v>546000</v>
      </c>
      <c r="R7104" s="262">
        <v>1800000</v>
      </c>
      <c r="S7104" t="s">
        <v>13254</v>
      </c>
      <c r="U7104">
        <v>5</v>
      </c>
      <c r="V7104">
        <v>0</v>
      </c>
      <c r="W7104">
        <v>4997</v>
      </c>
      <c r="X7104">
        <v>0</v>
      </c>
      <c r="AC7104">
        <v>4997</v>
      </c>
      <c r="AU7104">
        <f t="shared" si="220"/>
        <v>0</v>
      </c>
      <c r="AV7104">
        <f t="shared" si="221"/>
        <v>0</v>
      </c>
    </row>
    <row r="7105" spans="1:48" x14ac:dyDescent="0.25">
      <c r="A7105" t="s">
        <v>16440</v>
      </c>
      <c r="B7105" t="s">
        <v>16440</v>
      </c>
      <c r="C7105" t="s">
        <v>16441</v>
      </c>
      <c r="D7105" t="s">
        <v>16442</v>
      </c>
      <c r="E7105" t="s">
        <v>2310</v>
      </c>
      <c r="F7105">
        <v>15</v>
      </c>
      <c r="G7105">
        <v>15.2</v>
      </c>
      <c r="H7105" t="s">
        <v>2323</v>
      </c>
      <c r="I7105" s="21">
        <v>44616.602196064814</v>
      </c>
      <c r="J7105">
        <v>2022</v>
      </c>
      <c r="K7105" s="21" t="s">
        <v>114</v>
      </c>
      <c r="L7105" t="e">
        <v>#VALUE!</v>
      </c>
      <c r="O7105" s="21" t="s">
        <v>114</v>
      </c>
      <c r="P7105" s="21" t="s">
        <v>114</v>
      </c>
      <c r="Q7105" s="262">
        <v>627000</v>
      </c>
      <c r="R7105" s="262">
        <v>1995600</v>
      </c>
      <c r="S7105" t="s">
        <v>13254</v>
      </c>
      <c r="U7105">
        <v>5</v>
      </c>
      <c r="V7105">
        <v>0</v>
      </c>
      <c r="W7105">
        <v>4989</v>
      </c>
      <c r="X7105">
        <v>1</v>
      </c>
      <c r="AC7105">
        <v>4989</v>
      </c>
      <c r="AO7105">
        <v>1</v>
      </c>
      <c r="AU7105">
        <f t="shared" si="220"/>
        <v>1</v>
      </c>
      <c r="AV7105">
        <f t="shared" si="221"/>
        <v>0</v>
      </c>
    </row>
    <row r="7106" spans="1:48" x14ac:dyDescent="0.25">
      <c r="A7106" t="s">
        <v>16443</v>
      </c>
      <c r="B7106" t="s">
        <v>16443</v>
      </c>
      <c r="C7106" t="s">
        <v>16444</v>
      </c>
      <c r="D7106" t="s">
        <v>16445</v>
      </c>
      <c r="E7106" t="s">
        <v>2310</v>
      </c>
      <c r="F7106">
        <v>15</v>
      </c>
      <c r="G7106">
        <v>15.2</v>
      </c>
      <c r="H7106" t="s">
        <v>2323</v>
      </c>
      <c r="I7106" s="21">
        <v>44617.406746562498</v>
      </c>
      <c r="J7106">
        <v>2022</v>
      </c>
      <c r="K7106" s="21" t="s">
        <v>114</v>
      </c>
      <c r="L7106" t="e">
        <v>#VALUE!</v>
      </c>
      <c r="O7106" s="21" t="s">
        <v>114</v>
      </c>
      <c r="P7106" s="21" t="s">
        <v>114</v>
      </c>
      <c r="Q7106" s="262">
        <v>54000</v>
      </c>
      <c r="R7106" s="262">
        <v>200000</v>
      </c>
      <c r="S7106" t="s">
        <v>13253</v>
      </c>
      <c r="T7106">
        <v>5283</v>
      </c>
      <c r="V7106">
        <v>600</v>
      </c>
      <c r="W7106">
        <v>-170</v>
      </c>
      <c r="X7106">
        <v>0</v>
      </c>
      <c r="AC7106">
        <v>-170</v>
      </c>
      <c r="AU7106">
        <f t="shared" si="220"/>
        <v>0</v>
      </c>
      <c r="AV7106">
        <f t="shared" si="221"/>
        <v>0</v>
      </c>
    </row>
    <row r="7107" spans="1:48" x14ac:dyDescent="0.25">
      <c r="A7107" t="s">
        <v>15067</v>
      </c>
      <c r="C7107" t="s">
        <v>15068</v>
      </c>
      <c r="D7107" t="s">
        <v>15069</v>
      </c>
      <c r="E7107" t="s">
        <v>1663</v>
      </c>
      <c r="F7107">
        <v>1</v>
      </c>
      <c r="G7107">
        <v>1.1000000000000001</v>
      </c>
      <c r="H7107" t="s">
        <v>2017</v>
      </c>
      <c r="I7107" s="21">
        <v>44620</v>
      </c>
      <c r="J7107">
        <v>2022</v>
      </c>
      <c r="K7107" s="21">
        <v>44634</v>
      </c>
      <c r="L7107">
        <v>2022</v>
      </c>
      <c r="M7107" s="21">
        <v>44720</v>
      </c>
      <c r="N7107">
        <v>2022</v>
      </c>
      <c r="P7107" s="21" t="s">
        <v>114</v>
      </c>
      <c r="Q7107" s="262">
        <v>300000</v>
      </c>
      <c r="S7107" t="s">
        <v>13253</v>
      </c>
      <c r="T7107">
        <v>12644</v>
      </c>
      <c r="W7107">
        <v>0</v>
      </c>
      <c r="X7107">
        <v>0</v>
      </c>
      <c r="AU7107">
        <f t="shared" si="220"/>
        <v>0</v>
      </c>
      <c r="AV7107">
        <f t="shared" si="221"/>
        <v>0</v>
      </c>
    </row>
    <row r="7108" spans="1:48" x14ac:dyDescent="0.25">
      <c r="A7108" t="s">
        <v>16449</v>
      </c>
      <c r="B7108" t="s">
        <v>16449</v>
      </c>
      <c r="C7108" t="s">
        <v>16450</v>
      </c>
      <c r="D7108" t="s">
        <v>16451</v>
      </c>
      <c r="E7108" t="s">
        <v>2310</v>
      </c>
      <c r="F7108">
        <v>9</v>
      </c>
      <c r="G7108">
        <v>9.1</v>
      </c>
      <c r="H7108" t="s">
        <v>2323</v>
      </c>
      <c r="I7108" s="21">
        <v>44623.415465972219</v>
      </c>
      <c r="J7108">
        <v>2022</v>
      </c>
      <c r="K7108" s="21">
        <v>44677.521603900466</v>
      </c>
      <c r="L7108">
        <v>2022</v>
      </c>
      <c r="O7108" s="21" t="s">
        <v>114</v>
      </c>
      <c r="P7108" s="21" t="s">
        <v>114</v>
      </c>
      <c r="Q7108" s="262">
        <v>568000</v>
      </c>
      <c r="R7108" s="262">
        <v>2750000</v>
      </c>
      <c r="S7108" t="s">
        <v>13254</v>
      </c>
      <c r="U7108">
        <v>5</v>
      </c>
      <c r="V7108">
        <v>0</v>
      </c>
      <c r="W7108">
        <v>4783</v>
      </c>
      <c r="X7108">
        <v>1</v>
      </c>
      <c r="AC7108">
        <v>4783</v>
      </c>
      <c r="AO7108">
        <v>1</v>
      </c>
      <c r="AU7108">
        <f t="shared" si="220"/>
        <v>1</v>
      </c>
      <c r="AV7108">
        <f t="shared" si="221"/>
        <v>0</v>
      </c>
    </row>
    <row r="7109" spans="1:48" x14ac:dyDescent="0.25">
      <c r="A7109" t="s">
        <v>16452</v>
      </c>
      <c r="B7109" t="s">
        <v>16452</v>
      </c>
      <c r="C7109" t="s">
        <v>16453</v>
      </c>
      <c r="D7109" t="s">
        <v>16454</v>
      </c>
      <c r="E7109" t="s">
        <v>2310</v>
      </c>
      <c r="F7109">
        <v>8</v>
      </c>
      <c r="G7109">
        <v>8.1</v>
      </c>
      <c r="H7109" t="s">
        <v>2323</v>
      </c>
      <c r="I7109" s="21">
        <v>44624.448018136573</v>
      </c>
      <c r="J7109">
        <v>2022</v>
      </c>
      <c r="K7109" s="21">
        <v>44720.561825034725</v>
      </c>
      <c r="L7109">
        <v>2022</v>
      </c>
      <c r="O7109" s="21" t="s">
        <v>114</v>
      </c>
      <c r="P7109" s="21" t="s">
        <v>114</v>
      </c>
      <c r="Q7109" s="262">
        <v>558000</v>
      </c>
      <c r="R7109" s="262">
        <v>2800000</v>
      </c>
      <c r="S7109" t="s">
        <v>13254</v>
      </c>
      <c r="U7109">
        <v>5</v>
      </c>
      <c r="V7109">
        <v>0</v>
      </c>
      <c r="W7109">
        <v>4639</v>
      </c>
      <c r="X7109">
        <v>0</v>
      </c>
      <c r="AC7109">
        <v>4639</v>
      </c>
      <c r="AU7109">
        <f t="shared" si="220"/>
        <v>0</v>
      </c>
      <c r="AV7109">
        <f t="shared" si="221"/>
        <v>0</v>
      </c>
    </row>
    <row r="7110" spans="1:48" x14ac:dyDescent="0.25">
      <c r="A7110" t="s">
        <v>16455</v>
      </c>
      <c r="B7110" t="s">
        <v>16455</v>
      </c>
      <c r="C7110" t="s">
        <v>16456</v>
      </c>
      <c r="D7110" t="s">
        <v>16457</v>
      </c>
      <c r="E7110" t="s">
        <v>2310</v>
      </c>
      <c r="F7110">
        <v>9</v>
      </c>
      <c r="G7110">
        <v>9.1</v>
      </c>
      <c r="H7110" t="s">
        <v>2323</v>
      </c>
      <c r="I7110" s="21">
        <v>44624.474835497684</v>
      </c>
      <c r="J7110">
        <v>2022</v>
      </c>
      <c r="K7110" s="21">
        <v>44697.61811304398</v>
      </c>
      <c r="L7110">
        <v>2022</v>
      </c>
      <c r="O7110" s="21" t="s">
        <v>114</v>
      </c>
      <c r="P7110" s="21" t="s">
        <v>114</v>
      </c>
      <c r="Q7110" s="262">
        <v>428000</v>
      </c>
      <c r="R7110" s="262">
        <v>1697800</v>
      </c>
      <c r="S7110" t="s">
        <v>13253</v>
      </c>
      <c r="T7110">
        <v>6212</v>
      </c>
      <c r="V7110">
        <v>1000</v>
      </c>
      <c r="W7110">
        <v>2450</v>
      </c>
      <c r="X7110">
        <v>0</v>
      </c>
      <c r="AC7110">
        <v>2450</v>
      </c>
      <c r="AU7110">
        <f t="shared" si="220"/>
        <v>0</v>
      </c>
      <c r="AV7110">
        <f t="shared" si="221"/>
        <v>0</v>
      </c>
    </row>
    <row r="7111" spans="1:48" x14ac:dyDescent="0.25">
      <c r="A7111" t="s">
        <v>16458</v>
      </c>
      <c r="B7111" t="s">
        <v>16458</v>
      </c>
      <c r="C7111" t="s">
        <v>16459</v>
      </c>
      <c r="D7111" t="s">
        <v>16460</v>
      </c>
      <c r="E7111" t="s">
        <v>2310</v>
      </c>
      <c r="F7111">
        <v>9</v>
      </c>
      <c r="G7111">
        <v>9.3000000000000007</v>
      </c>
      <c r="H7111" t="s">
        <v>2323</v>
      </c>
      <c r="I7111" s="21">
        <v>44630.356556481478</v>
      </c>
      <c r="J7111">
        <v>2022</v>
      </c>
      <c r="K7111" s="21">
        <v>44718.550201620368</v>
      </c>
      <c r="L7111">
        <v>2022</v>
      </c>
      <c r="O7111" s="21" t="s">
        <v>114</v>
      </c>
      <c r="P7111" s="21" t="s">
        <v>114</v>
      </c>
      <c r="Q7111" s="262">
        <v>243000</v>
      </c>
      <c r="R7111" s="262">
        <v>2250000</v>
      </c>
      <c r="S7111" t="s">
        <v>13254</v>
      </c>
      <c r="U7111">
        <v>8</v>
      </c>
      <c r="V7111">
        <v>0</v>
      </c>
      <c r="W7111">
        <v>3463</v>
      </c>
      <c r="X7111">
        <v>1</v>
      </c>
      <c r="AC7111">
        <v>2464</v>
      </c>
      <c r="AF7111">
        <v>999</v>
      </c>
      <c r="AR7111">
        <v>1</v>
      </c>
      <c r="AU7111">
        <f t="shared" si="220"/>
        <v>0</v>
      </c>
      <c r="AV7111">
        <f t="shared" si="221"/>
        <v>0</v>
      </c>
    </row>
    <row r="7112" spans="1:48" x14ac:dyDescent="0.25">
      <c r="A7112" t="s">
        <v>16461</v>
      </c>
      <c r="B7112" t="s">
        <v>16461</v>
      </c>
      <c r="C7112" t="s">
        <v>16462</v>
      </c>
      <c r="D7112" t="s">
        <v>15869</v>
      </c>
      <c r="E7112" t="s">
        <v>2310</v>
      </c>
      <c r="F7112">
        <v>9</v>
      </c>
      <c r="G7112">
        <v>9.4</v>
      </c>
      <c r="H7112" t="s">
        <v>2323</v>
      </c>
      <c r="I7112" s="21">
        <v>44630.655144525466</v>
      </c>
      <c r="J7112">
        <v>2022</v>
      </c>
      <c r="K7112" s="21" t="s">
        <v>114</v>
      </c>
      <c r="L7112" t="e">
        <v>#VALUE!</v>
      </c>
      <c r="P7112" s="21" t="s">
        <v>114</v>
      </c>
      <c r="Q7112" s="262">
        <v>119000</v>
      </c>
      <c r="R7112" s="262">
        <v>1500000</v>
      </c>
      <c r="S7112" t="s">
        <v>13254</v>
      </c>
      <c r="U7112">
        <v>8</v>
      </c>
      <c r="V7112">
        <v>0</v>
      </c>
      <c r="W7112">
        <v>999</v>
      </c>
      <c r="X7112">
        <v>1</v>
      </c>
      <c r="AF7112">
        <v>999</v>
      </c>
      <c r="AR7112">
        <v>1</v>
      </c>
      <c r="AU7112">
        <f t="shared" si="220"/>
        <v>0</v>
      </c>
      <c r="AV7112">
        <f t="shared" si="221"/>
        <v>0</v>
      </c>
    </row>
    <row r="7113" spans="1:48" x14ac:dyDescent="0.25">
      <c r="A7113" t="s">
        <v>16466</v>
      </c>
      <c r="C7113" t="s">
        <v>11246</v>
      </c>
      <c r="D7113" t="s">
        <v>16467</v>
      </c>
      <c r="E7113" t="s">
        <v>1663</v>
      </c>
      <c r="F7113">
        <v>3</v>
      </c>
      <c r="G7113">
        <v>3.1</v>
      </c>
      <c r="H7113" t="s">
        <v>2017</v>
      </c>
      <c r="I7113" s="21">
        <v>44631</v>
      </c>
      <c r="J7113">
        <v>2022</v>
      </c>
      <c r="K7113" s="21">
        <v>44692</v>
      </c>
      <c r="L7113">
        <v>2022</v>
      </c>
      <c r="P7113" s="21" t="s">
        <v>114</v>
      </c>
      <c r="Q7113" s="262">
        <v>800000</v>
      </c>
      <c r="S7113" t="s">
        <v>12464</v>
      </c>
      <c r="T7113">
        <v>9752</v>
      </c>
      <c r="W7113">
        <v>4547</v>
      </c>
      <c r="X7113">
        <v>2</v>
      </c>
      <c r="AC7113">
        <v>3367</v>
      </c>
      <c r="AF7113">
        <v>1180</v>
      </c>
      <c r="AO7113">
        <v>1</v>
      </c>
      <c r="AR7113">
        <v>1</v>
      </c>
      <c r="AU7113">
        <f t="shared" si="220"/>
        <v>1</v>
      </c>
      <c r="AV7113">
        <f t="shared" si="221"/>
        <v>0</v>
      </c>
    </row>
    <row r="7114" spans="1:48" x14ac:dyDescent="0.25">
      <c r="A7114" t="s">
        <v>16466</v>
      </c>
      <c r="C7114" t="s">
        <v>11246</v>
      </c>
      <c r="D7114" t="s">
        <v>16467</v>
      </c>
      <c r="E7114" t="s">
        <v>1663</v>
      </c>
      <c r="F7114">
        <v>3</v>
      </c>
      <c r="G7114">
        <v>3.1</v>
      </c>
      <c r="H7114" t="s">
        <v>2017</v>
      </c>
      <c r="I7114" s="21">
        <v>44631</v>
      </c>
      <c r="J7114">
        <v>2022</v>
      </c>
      <c r="K7114" s="21">
        <v>44692</v>
      </c>
      <c r="L7114">
        <v>2022</v>
      </c>
      <c r="Q7114" s="262">
        <v>800000</v>
      </c>
      <c r="S7114" t="s">
        <v>9529</v>
      </c>
      <c r="T7114">
        <v>9752</v>
      </c>
      <c r="U7114">
        <v>5</v>
      </c>
      <c r="W7114">
        <v>-1601</v>
      </c>
      <c r="X7114">
        <v>-1</v>
      </c>
      <c r="Y7114">
        <v>0</v>
      </c>
      <c r="Z7114">
        <v>0</v>
      </c>
      <c r="AA7114">
        <v>0</v>
      </c>
      <c r="AB7114">
        <v>0</v>
      </c>
      <c r="AC7114">
        <v>-1601</v>
      </c>
      <c r="AD7114">
        <v>0</v>
      </c>
      <c r="AE7114">
        <v>0</v>
      </c>
      <c r="AF7114">
        <v>0</v>
      </c>
      <c r="AG7114">
        <v>0</v>
      </c>
      <c r="AH7114">
        <v>0</v>
      </c>
      <c r="AI7114">
        <v>0</v>
      </c>
      <c r="AJ7114">
        <v>0</v>
      </c>
      <c r="AK7114">
        <v>0</v>
      </c>
      <c r="AL7114">
        <v>0</v>
      </c>
      <c r="AM7114">
        <v>0</v>
      </c>
      <c r="AN7114">
        <v>0</v>
      </c>
      <c r="AO7114">
        <v>-1</v>
      </c>
      <c r="AP7114">
        <v>0</v>
      </c>
      <c r="AQ7114">
        <v>0</v>
      </c>
      <c r="AR7114">
        <v>0</v>
      </c>
      <c r="AS7114">
        <v>0</v>
      </c>
      <c r="AT7114">
        <v>0</v>
      </c>
      <c r="AU7114">
        <f t="shared" si="220"/>
        <v>-1</v>
      </c>
      <c r="AV7114">
        <f t="shared" si="221"/>
        <v>0</v>
      </c>
    </row>
    <row r="7115" spans="1:48" x14ac:dyDescent="0.25">
      <c r="A7115" t="s">
        <v>16463</v>
      </c>
      <c r="C7115" t="s">
        <v>16464</v>
      </c>
      <c r="D7115" t="s">
        <v>16465</v>
      </c>
      <c r="E7115" t="s">
        <v>1663</v>
      </c>
      <c r="F7115">
        <v>2</v>
      </c>
      <c r="G7115">
        <v>2.4</v>
      </c>
      <c r="H7115" t="s">
        <v>2017</v>
      </c>
      <c r="I7115" s="21">
        <v>44631</v>
      </c>
      <c r="J7115">
        <v>2022</v>
      </c>
      <c r="K7115" s="21">
        <v>44774</v>
      </c>
      <c r="L7115">
        <v>2022</v>
      </c>
      <c r="P7115" s="21" t="s">
        <v>114</v>
      </c>
      <c r="Q7115" s="262">
        <v>29000000</v>
      </c>
      <c r="S7115" t="s">
        <v>13253</v>
      </c>
      <c r="T7115">
        <v>13151</v>
      </c>
      <c r="W7115">
        <v>26990</v>
      </c>
      <c r="X7115">
        <v>0</v>
      </c>
      <c r="AM7115">
        <v>26990</v>
      </c>
      <c r="AU7115">
        <f t="shared" si="220"/>
        <v>0</v>
      </c>
      <c r="AV7115">
        <f t="shared" si="221"/>
        <v>26990</v>
      </c>
    </row>
    <row r="7116" spans="1:48" x14ac:dyDescent="0.25">
      <c r="A7116" t="s">
        <v>16471</v>
      </c>
      <c r="B7116" t="s">
        <v>16471</v>
      </c>
      <c r="C7116" t="s">
        <v>16472</v>
      </c>
      <c r="D7116" t="s">
        <v>16046</v>
      </c>
      <c r="E7116" t="s">
        <v>2310</v>
      </c>
      <c r="F7116">
        <v>15</v>
      </c>
      <c r="G7116">
        <v>15.2</v>
      </c>
      <c r="H7116" t="s">
        <v>2323</v>
      </c>
      <c r="I7116" s="21">
        <v>44631.36071400463</v>
      </c>
      <c r="J7116">
        <v>2022</v>
      </c>
      <c r="K7116" s="21" t="s">
        <v>114</v>
      </c>
      <c r="L7116" t="e">
        <v>#VALUE!</v>
      </c>
      <c r="O7116" s="21" t="s">
        <v>114</v>
      </c>
      <c r="P7116" s="21" t="s">
        <v>114</v>
      </c>
      <c r="Q7116" s="262">
        <v>132000</v>
      </c>
      <c r="R7116" s="262">
        <v>800000</v>
      </c>
      <c r="S7116" t="s">
        <v>13254</v>
      </c>
      <c r="U7116">
        <v>8</v>
      </c>
      <c r="V7116">
        <v>0</v>
      </c>
      <c r="W7116">
        <v>999.5</v>
      </c>
      <c r="X7116">
        <v>1</v>
      </c>
      <c r="AF7116">
        <v>999.5</v>
      </c>
      <c r="AR7116">
        <v>1</v>
      </c>
      <c r="AU7116">
        <f t="shared" si="220"/>
        <v>0</v>
      </c>
      <c r="AV7116">
        <f t="shared" si="221"/>
        <v>0</v>
      </c>
    </row>
    <row r="7117" spans="1:48" x14ac:dyDescent="0.25">
      <c r="A7117" t="s">
        <v>16473</v>
      </c>
      <c r="B7117" t="s">
        <v>16473</v>
      </c>
      <c r="C7117" t="s">
        <v>16474</v>
      </c>
      <c r="D7117" t="s">
        <v>16046</v>
      </c>
      <c r="E7117" t="s">
        <v>2310</v>
      </c>
      <c r="F7117">
        <v>15</v>
      </c>
      <c r="G7117">
        <v>15.2</v>
      </c>
      <c r="H7117" t="s">
        <v>2323</v>
      </c>
      <c r="I7117" s="21">
        <v>44631.368086539354</v>
      </c>
      <c r="J7117">
        <v>2022</v>
      </c>
      <c r="K7117" s="21" t="s">
        <v>114</v>
      </c>
      <c r="L7117" t="e">
        <v>#VALUE!</v>
      </c>
      <c r="O7117" s="21" t="s">
        <v>114</v>
      </c>
      <c r="P7117" s="21" t="s">
        <v>114</v>
      </c>
      <c r="Q7117" s="262">
        <v>128000</v>
      </c>
      <c r="R7117" s="262">
        <v>800000</v>
      </c>
      <c r="S7117" t="s">
        <v>13254</v>
      </c>
      <c r="U7117">
        <v>5</v>
      </c>
      <c r="V7117">
        <v>0</v>
      </c>
      <c r="W7117">
        <v>1405.5</v>
      </c>
      <c r="X7117">
        <v>0</v>
      </c>
      <c r="AC7117">
        <v>1405.5</v>
      </c>
      <c r="AU7117">
        <f t="shared" si="220"/>
        <v>0</v>
      </c>
      <c r="AV7117">
        <f t="shared" si="221"/>
        <v>0</v>
      </c>
    </row>
    <row r="7118" spans="1:48" x14ac:dyDescent="0.25">
      <c r="A7118" t="s">
        <v>16475</v>
      </c>
      <c r="C7118" t="s">
        <v>11879</v>
      </c>
      <c r="D7118" t="s">
        <v>9070</v>
      </c>
      <c r="E7118" t="s">
        <v>1663</v>
      </c>
      <c r="F7118">
        <v>5</v>
      </c>
      <c r="G7118">
        <v>5.5</v>
      </c>
      <c r="H7118" t="s">
        <v>2017</v>
      </c>
      <c r="I7118" s="21">
        <v>44635</v>
      </c>
      <c r="J7118">
        <v>2022</v>
      </c>
      <c r="K7118" s="21">
        <v>44643</v>
      </c>
      <c r="L7118">
        <v>2022</v>
      </c>
      <c r="P7118" s="21" t="s">
        <v>114</v>
      </c>
      <c r="Q7118" s="262">
        <v>500000</v>
      </c>
      <c r="S7118" t="s">
        <v>13253</v>
      </c>
      <c r="T7118">
        <v>13472</v>
      </c>
      <c r="W7118">
        <v>0</v>
      </c>
      <c r="X7118">
        <v>0</v>
      </c>
      <c r="AU7118">
        <f t="shared" si="220"/>
        <v>0</v>
      </c>
      <c r="AV7118">
        <f t="shared" si="221"/>
        <v>0</v>
      </c>
    </row>
    <row r="7119" spans="1:48" x14ac:dyDescent="0.25">
      <c r="A7119" t="s">
        <v>15070</v>
      </c>
      <c r="C7119" t="s">
        <v>11237</v>
      </c>
      <c r="D7119" t="s">
        <v>15071</v>
      </c>
      <c r="E7119" t="s">
        <v>1663</v>
      </c>
      <c r="F7119">
        <v>4</v>
      </c>
      <c r="G7119">
        <v>4.4000000000000004</v>
      </c>
      <c r="H7119" t="s">
        <v>2017</v>
      </c>
      <c r="I7119" s="21">
        <v>44637</v>
      </c>
      <c r="J7119">
        <v>2022</v>
      </c>
      <c r="M7119" s="21">
        <v>44719</v>
      </c>
      <c r="N7119">
        <v>2022</v>
      </c>
      <c r="P7119" s="21" t="s">
        <v>114</v>
      </c>
      <c r="Q7119" s="262">
        <v>0</v>
      </c>
      <c r="S7119" t="s">
        <v>13253</v>
      </c>
      <c r="T7119">
        <v>12158</v>
      </c>
      <c r="W7119">
        <v>0</v>
      </c>
      <c r="X7119">
        <v>0</v>
      </c>
      <c r="AU7119">
        <f t="shared" si="220"/>
        <v>0</v>
      </c>
      <c r="AV7119">
        <f t="shared" si="221"/>
        <v>0</v>
      </c>
    </row>
    <row r="7120" spans="1:48" x14ac:dyDescent="0.25">
      <c r="A7120" t="s">
        <v>16479</v>
      </c>
      <c r="B7120" t="s">
        <v>16479</v>
      </c>
      <c r="C7120" t="s">
        <v>16480</v>
      </c>
      <c r="D7120" t="s">
        <v>11764</v>
      </c>
      <c r="E7120" t="s">
        <v>2310</v>
      </c>
      <c r="F7120">
        <v>14</v>
      </c>
      <c r="G7120">
        <v>14.1</v>
      </c>
      <c r="H7120" t="s">
        <v>2022</v>
      </c>
      <c r="I7120" s="21">
        <v>44637.41340208333</v>
      </c>
      <c r="J7120">
        <v>2022</v>
      </c>
      <c r="K7120" s="21">
        <v>44698.688344756942</v>
      </c>
      <c r="L7120">
        <v>2022</v>
      </c>
      <c r="O7120" s="21" t="s">
        <v>114</v>
      </c>
      <c r="P7120" s="21" t="s">
        <v>114</v>
      </c>
      <c r="Q7120" s="262">
        <v>818000</v>
      </c>
      <c r="R7120" s="262">
        <v>3000000</v>
      </c>
      <c r="S7120" t="s">
        <v>13254</v>
      </c>
      <c r="U7120">
        <v>5</v>
      </c>
      <c r="V7120">
        <v>0</v>
      </c>
      <c r="W7120">
        <v>7235</v>
      </c>
      <c r="X7120">
        <v>0</v>
      </c>
      <c r="AC7120">
        <v>7235</v>
      </c>
      <c r="AU7120">
        <f t="shared" si="220"/>
        <v>0</v>
      </c>
      <c r="AV7120">
        <f t="shared" si="221"/>
        <v>0</v>
      </c>
    </row>
    <row r="7121" spans="1:48" x14ac:dyDescent="0.25">
      <c r="A7121" t="s">
        <v>16481</v>
      </c>
      <c r="B7121" t="s">
        <v>16481</v>
      </c>
      <c r="C7121" t="s">
        <v>16482</v>
      </c>
      <c r="D7121" t="s">
        <v>12505</v>
      </c>
      <c r="E7121" t="s">
        <v>2310</v>
      </c>
      <c r="F7121">
        <v>8</v>
      </c>
      <c r="G7121">
        <v>8.1</v>
      </c>
      <c r="H7121" t="s">
        <v>2323</v>
      </c>
      <c r="I7121" s="21">
        <v>44637.41374556713</v>
      </c>
      <c r="J7121">
        <v>2022</v>
      </c>
      <c r="K7121" s="21" t="s">
        <v>114</v>
      </c>
      <c r="L7121" t="e">
        <v>#VALUE!</v>
      </c>
      <c r="O7121" s="21" t="s">
        <v>114</v>
      </c>
      <c r="P7121" s="21" t="s">
        <v>114</v>
      </c>
      <c r="Q7121" s="262">
        <v>203000</v>
      </c>
      <c r="R7121" s="262">
        <v>1400000</v>
      </c>
      <c r="S7121" t="s">
        <v>13253</v>
      </c>
      <c r="T7121">
        <v>2827</v>
      </c>
      <c r="V7121">
        <v>672</v>
      </c>
      <c r="W7121">
        <v>928</v>
      </c>
      <c r="X7121">
        <v>0</v>
      </c>
      <c r="AC7121">
        <v>928</v>
      </c>
      <c r="AU7121">
        <f t="shared" si="220"/>
        <v>0</v>
      </c>
      <c r="AV7121">
        <f t="shared" si="221"/>
        <v>0</v>
      </c>
    </row>
    <row r="7122" spans="1:48" x14ac:dyDescent="0.25">
      <c r="A7122" t="s">
        <v>16483</v>
      </c>
      <c r="B7122" t="s">
        <v>16483</v>
      </c>
      <c r="C7122" t="s">
        <v>16484</v>
      </c>
      <c r="D7122" t="s">
        <v>16485</v>
      </c>
      <c r="E7122" t="s">
        <v>2310</v>
      </c>
      <c r="F7122">
        <v>15</v>
      </c>
      <c r="G7122">
        <v>15.2</v>
      </c>
      <c r="H7122" t="s">
        <v>2323</v>
      </c>
      <c r="I7122" s="21">
        <v>44637.446369675927</v>
      </c>
      <c r="J7122">
        <v>2022</v>
      </c>
      <c r="K7122" s="21">
        <v>44789.547793171296</v>
      </c>
      <c r="L7122">
        <v>2022</v>
      </c>
      <c r="O7122" s="21" t="s">
        <v>114</v>
      </c>
      <c r="P7122" s="21" t="s">
        <v>114</v>
      </c>
      <c r="Q7122" s="262">
        <v>583000</v>
      </c>
      <c r="R7122" s="262">
        <v>1750000</v>
      </c>
      <c r="S7122" t="s">
        <v>13254</v>
      </c>
      <c r="U7122">
        <v>5</v>
      </c>
      <c r="V7122">
        <v>0</v>
      </c>
      <c r="W7122">
        <v>4976</v>
      </c>
      <c r="X7122">
        <v>1</v>
      </c>
      <c r="AC7122">
        <v>4976</v>
      </c>
      <c r="AO7122">
        <v>1</v>
      </c>
      <c r="AU7122">
        <f t="shared" si="220"/>
        <v>1</v>
      </c>
      <c r="AV7122">
        <f t="shared" si="221"/>
        <v>0</v>
      </c>
    </row>
    <row r="7123" spans="1:48" x14ac:dyDescent="0.25">
      <c r="A7123" t="s">
        <v>19706</v>
      </c>
      <c r="B7123" t="s">
        <v>19706</v>
      </c>
      <c r="C7123" t="s">
        <v>19707</v>
      </c>
      <c r="D7123" t="s">
        <v>7797</v>
      </c>
      <c r="E7123" t="s">
        <v>2310</v>
      </c>
      <c r="F7123">
        <v>9</v>
      </c>
      <c r="G7123">
        <v>9.3000000000000007</v>
      </c>
      <c r="H7123" t="s">
        <v>2323</v>
      </c>
      <c r="I7123" s="21">
        <v>44637.59964695602</v>
      </c>
      <c r="J7123">
        <v>2022</v>
      </c>
      <c r="K7123" s="21">
        <v>44712.361192557873</v>
      </c>
      <c r="L7123">
        <v>2022</v>
      </c>
      <c r="M7123" s="21">
        <v>44918</v>
      </c>
      <c r="N7123">
        <v>2022</v>
      </c>
      <c r="O7123" s="21" t="s">
        <v>114</v>
      </c>
      <c r="P7123" s="21" t="s">
        <v>114</v>
      </c>
      <c r="Q7123" s="262">
        <v>118000</v>
      </c>
      <c r="R7123" s="262">
        <v>675000</v>
      </c>
      <c r="S7123" t="s">
        <v>13253</v>
      </c>
      <c r="T7123">
        <v>4425</v>
      </c>
      <c r="V7123">
        <v>1320</v>
      </c>
      <c r="W7123">
        <v>0</v>
      </c>
      <c r="X7123">
        <v>0</v>
      </c>
      <c r="AU7123">
        <f t="shared" si="220"/>
        <v>0</v>
      </c>
      <c r="AV7123">
        <f t="shared" si="221"/>
        <v>0</v>
      </c>
    </row>
    <row r="7124" spans="1:48" x14ac:dyDescent="0.25">
      <c r="A7124" t="s">
        <v>16489</v>
      </c>
      <c r="B7124" t="s">
        <v>16489</v>
      </c>
      <c r="C7124" t="s">
        <v>16490</v>
      </c>
      <c r="D7124" t="s">
        <v>16491</v>
      </c>
      <c r="E7124" t="s">
        <v>2310</v>
      </c>
      <c r="F7124">
        <v>14</v>
      </c>
      <c r="G7124">
        <v>14.2</v>
      </c>
      <c r="H7124" t="s">
        <v>2017</v>
      </c>
      <c r="I7124" s="21">
        <v>44638.347624849535</v>
      </c>
      <c r="J7124">
        <v>2022</v>
      </c>
      <c r="K7124" s="21">
        <v>44753.415908182869</v>
      </c>
      <c r="L7124">
        <v>2022</v>
      </c>
      <c r="O7124" s="21" t="s">
        <v>114</v>
      </c>
      <c r="P7124" s="21" t="s">
        <v>114</v>
      </c>
      <c r="Q7124" s="262">
        <v>787000</v>
      </c>
      <c r="R7124" s="262">
        <v>1500000</v>
      </c>
      <c r="S7124" t="s">
        <v>13254</v>
      </c>
      <c r="U7124">
        <v>5</v>
      </c>
      <c r="V7124">
        <v>0</v>
      </c>
      <c r="W7124">
        <v>6742</v>
      </c>
      <c r="X7124">
        <v>1</v>
      </c>
      <c r="AC7124">
        <v>6742</v>
      </c>
      <c r="AO7124">
        <v>1</v>
      </c>
      <c r="AU7124">
        <f t="shared" si="220"/>
        <v>1</v>
      </c>
      <c r="AV7124">
        <f t="shared" si="221"/>
        <v>0</v>
      </c>
    </row>
    <row r="7125" spans="1:48" x14ac:dyDescent="0.25">
      <c r="A7125" t="s">
        <v>16492</v>
      </c>
      <c r="B7125" t="s">
        <v>16492</v>
      </c>
      <c r="C7125" t="s">
        <v>16493</v>
      </c>
      <c r="D7125" t="s">
        <v>16491</v>
      </c>
      <c r="E7125" t="s">
        <v>2310</v>
      </c>
      <c r="F7125">
        <v>14</v>
      </c>
      <c r="G7125">
        <v>14.2</v>
      </c>
      <c r="H7125" t="s">
        <v>2017</v>
      </c>
      <c r="I7125" s="21">
        <v>44638.354412499997</v>
      </c>
      <c r="J7125">
        <v>2022</v>
      </c>
      <c r="K7125" s="21">
        <v>44753.416720682872</v>
      </c>
      <c r="L7125">
        <v>2022</v>
      </c>
      <c r="O7125" s="21" t="s">
        <v>114</v>
      </c>
      <c r="P7125" s="21" t="s">
        <v>114</v>
      </c>
      <c r="Q7125" s="262">
        <v>172000</v>
      </c>
      <c r="R7125" s="262">
        <v>500000</v>
      </c>
      <c r="S7125" t="s">
        <v>13254</v>
      </c>
      <c r="U7125">
        <v>8</v>
      </c>
      <c r="V7125">
        <v>0</v>
      </c>
      <c r="W7125">
        <v>1958</v>
      </c>
      <c r="X7125">
        <v>1</v>
      </c>
      <c r="AC7125">
        <v>933</v>
      </c>
      <c r="AF7125">
        <v>1025</v>
      </c>
      <c r="AR7125">
        <v>1</v>
      </c>
      <c r="AU7125">
        <f t="shared" si="220"/>
        <v>0</v>
      </c>
      <c r="AV7125">
        <f t="shared" si="221"/>
        <v>0</v>
      </c>
    </row>
    <row r="7126" spans="1:48" x14ac:dyDescent="0.25">
      <c r="A7126" t="s">
        <v>16494</v>
      </c>
      <c r="B7126" t="s">
        <v>16494</v>
      </c>
      <c r="C7126" t="s">
        <v>16495</v>
      </c>
      <c r="D7126" t="s">
        <v>16496</v>
      </c>
      <c r="E7126" t="s">
        <v>2310</v>
      </c>
      <c r="F7126">
        <v>8</v>
      </c>
      <c r="G7126">
        <v>8.3000000000000007</v>
      </c>
      <c r="H7126" t="s">
        <v>2323</v>
      </c>
      <c r="I7126" s="21">
        <v>44638.438429513888</v>
      </c>
      <c r="J7126">
        <v>2022</v>
      </c>
      <c r="K7126" s="21">
        <v>44769.40069771991</v>
      </c>
      <c r="L7126">
        <v>2022</v>
      </c>
      <c r="O7126" s="21" t="s">
        <v>114</v>
      </c>
      <c r="P7126" s="21" t="s">
        <v>114</v>
      </c>
      <c r="Q7126" s="262">
        <v>1794000</v>
      </c>
      <c r="R7126" s="262">
        <v>5172400</v>
      </c>
      <c r="S7126" t="s">
        <v>13253</v>
      </c>
      <c r="T7126">
        <v>14544</v>
      </c>
      <c r="V7126">
        <v>9880</v>
      </c>
      <c r="W7126">
        <v>2561</v>
      </c>
      <c r="X7126">
        <v>0</v>
      </c>
      <c r="AC7126">
        <v>2561</v>
      </c>
      <c r="AU7126">
        <f t="shared" si="220"/>
        <v>0</v>
      </c>
      <c r="AV7126">
        <f t="shared" si="221"/>
        <v>0</v>
      </c>
    </row>
    <row r="7127" spans="1:48" x14ac:dyDescent="0.25">
      <c r="A7127" t="s">
        <v>16497</v>
      </c>
      <c r="B7127" t="s">
        <v>16497</v>
      </c>
      <c r="C7127" t="s">
        <v>16498</v>
      </c>
      <c r="D7127" t="s">
        <v>16086</v>
      </c>
      <c r="E7127" t="s">
        <v>2310</v>
      </c>
      <c r="F7127">
        <v>8</v>
      </c>
      <c r="G7127">
        <v>8.3000000000000007</v>
      </c>
      <c r="H7127" t="s">
        <v>2323</v>
      </c>
      <c r="I7127" s="21">
        <v>44638.488849618057</v>
      </c>
      <c r="J7127">
        <v>2022</v>
      </c>
      <c r="K7127" s="21" t="s">
        <v>114</v>
      </c>
      <c r="L7127" t="e">
        <v>#VALUE!</v>
      </c>
      <c r="O7127" s="21" t="s">
        <v>114</v>
      </c>
      <c r="P7127" s="21" t="s">
        <v>114</v>
      </c>
      <c r="Q7127" s="262">
        <v>268000</v>
      </c>
      <c r="R7127" s="262">
        <v>650000</v>
      </c>
      <c r="S7127" t="s">
        <v>13254</v>
      </c>
      <c r="U7127">
        <v>5</v>
      </c>
      <c r="V7127">
        <v>0</v>
      </c>
      <c r="W7127">
        <v>3498</v>
      </c>
      <c r="X7127">
        <v>0</v>
      </c>
      <c r="AC7127">
        <v>3498</v>
      </c>
      <c r="AU7127">
        <f t="shared" si="220"/>
        <v>0</v>
      </c>
      <c r="AV7127">
        <f t="shared" si="221"/>
        <v>0</v>
      </c>
    </row>
    <row r="7128" spans="1:48" x14ac:dyDescent="0.25">
      <c r="A7128" t="s">
        <v>16499</v>
      </c>
      <c r="C7128" t="s">
        <v>11246</v>
      </c>
      <c r="D7128" t="s">
        <v>16500</v>
      </c>
      <c r="E7128" t="s">
        <v>1663</v>
      </c>
      <c r="F7128">
        <v>6</v>
      </c>
      <c r="G7128">
        <v>6.1</v>
      </c>
      <c r="H7128" t="s">
        <v>2017</v>
      </c>
      <c r="I7128" s="21">
        <v>44641</v>
      </c>
      <c r="J7128">
        <v>2022</v>
      </c>
      <c r="K7128" s="21">
        <v>44683</v>
      </c>
      <c r="L7128">
        <v>2022</v>
      </c>
      <c r="P7128" s="21" t="s">
        <v>114</v>
      </c>
      <c r="Q7128" s="262">
        <v>1500000</v>
      </c>
      <c r="S7128" t="s">
        <v>13254</v>
      </c>
      <c r="W7128">
        <v>5797</v>
      </c>
      <c r="X7128">
        <v>1</v>
      </c>
      <c r="AC7128">
        <v>5797</v>
      </c>
      <c r="AO7128">
        <v>1</v>
      </c>
      <c r="AU7128">
        <f t="shared" si="220"/>
        <v>1</v>
      </c>
      <c r="AV7128">
        <f t="shared" si="221"/>
        <v>0</v>
      </c>
    </row>
    <row r="7129" spans="1:48" x14ac:dyDescent="0.25">
      <c r="A7129" t="s">
        <v>16501</v>
      </c>
      <c r="C7129" t="s">
        <v>16502</v>
      </c>
      <c r="D7129" t="s">
        <v>3127</v>
      </c>
      <c r="E7129" t="s">
        <v>1663</v>
      </c>
      <c r="F7129">
        <v>2</v>
      </c>
      <c r="G7129">
        <v>2.2000000000000002</v>
      </c>
      <c r="H7129" t="s">
        <v>2327</v>
      </c>
      <c r="I7129" s="21">
        <v>44642</v>
      </c>
      <c r="J7129">
        <v>2022</v>
      </c>
      <c r="K7129" s="21">
        <v>44718</v>
      </c>
      <c r="L7129">
        <v>2022</v>
      </c>
      <c r="P7129" s="21" t="s">
        <v>114</v>
      </c>
      <c r="Q7129" s="262">
        <v>1500000</v>
      </c>
      <c r="S7129" t="s">
        <v>13253</v>
      </c>
      <c r="T7129">
        <v>9619</v>
      </c>
      <c r="V7129">
        <v>3750</v>
      </c>
      <c r="W7129">
        <v>1242</v>
      </c>
      <c r="X7129">
        <v>0</v>
      </c>
      <c r="AE7129">
        <v>1242</v>
      </c>
      <c r="AQ7129">
        <v>0</v>
      </c>
      <c r="AU7129">
        <f t="shared" ref="AU7129:AU7192" si="222">SUM(AN7129:AQ7129,AS7129)</f>
        <v>0</v>
      </c>
      <c r="AV7129">
        <f t="shared" ref="AV7129:AV7192" si="223">SUM(Y7129:AB7129,AH7129:AM7129)</f>
        <v>0</v>
      </c>
    </row>
    <row r="7130" spans="1:48" x14ac:dyDescent="0.25">
      <c r="A7130" t="s">
        <v>16503</v>
      </c>
      <c r="C7130" t="s">
        <v>11879</v>
      </c>
      <c r="D7130" t="s">
        <v>16504</v>
      </c>
      <c r="E7130" t="s">
        <v>1663</v>
      </c>
      <c r="F7130">
        <v>2</v>
      </c>
      <c r="G7130">
        <v>2.2999999999999998</v>
      </c>
      <c r="H7130" t="s">
        <v>2327</v>
      </c>
      <c r="I7130" s="21">
        <v>44644</v>
      </c>
      <c r="J7130">
        <v>2022</v>
      </c>
      <c r="K7130" s="21">
        <v>44659</v>
      </c>
      <c r="L7130">
        <v>2022</v>
      </c>
      <c r="P7130" s="21" t="s">
        <v>114</v>
      </c>
      <c r="Q7130" s="262">
        <v>5000</v>
      </c>
      <c r="S7130" t="s">
        <v>13253</v>
      </c>
      <c r="T7130">
        <v>11273</v>
      </c>
      <c r="V7130">
        <v>76.5</v>
      </c>
      <c r="W7130">
        <v>0</v>
      </c>
      <c r="X7130">
        <v>0</v>
      </c>
      <c r="AU7130">
        <f t="shared" si="222"/>
        <v>0</v>
      </c>
      <c r="AV7130">
        <f t="shared" si="223"/>
        <v>0</v>
      </c>
    </row>
    <row r="7131" spans="1:48" x14ac:dyDescent="0.25">
      <c r="A7131" t="s">
        <v>16507</v>
      </c>
      <c r="B7131" t="s">
        <v>16507</v>
      </c>
      <c r="C7131" t="s">
        <v>16508</v>
      </c>
      <c r="D7131" t="s">
        <v>16509</v>
      </c>
      <c r="E7131" t="s">
        <v>2310</v>
      </c>
      <c r="F7131">
        <v>9</v>
      </c>
      <c r="G7131">
        <v>9.4</v>
      </c>
      <c r="H7131" t="s">
        <v>2323</v>
      </c>
      <c r="I7131" s="21">
        <v>44644.496425543985</v>
      </c>
      <c r="J7131">
        <v>2022</v>
      </c>
      <c r="K7131" s="21">
        <v>44753.424622916667</v>
      </c>
      <c r="L7131">
        <v>2022</v>
      </c>
      <c r="O7131" s="21" t="s">
        <v>114</v>
      </c>
      <c r="P7131" s="21" t="s">
        <v>114</v>
      </c>
      <c r="Q7131" s="262">
        <v>494000</v>
      </c>
      <c r="R7131" s="262">
        <v>4000000</v>
      </c>
      <c r="S7131" t="s">
        <v>12464</v>
      </c>
      <c r="T7131">
        <v>3170</v>
      </c>
      <c r="U7131">
        <v>5</v>
      </c>
      <c r="V7131">
        <v>0</v>
      </c>
      <c r="W7131">
        <v>4232</v>
      </c>
      <c r="X7131">
        <v>1</v>
      </c>
      <c r="AC7131">
        <v>4232</v>
      </c>
      <c r="AO7131">
        <v>1</v>
      </c>
      <c r="AU7131">
        <f t="shared" si="222"/>
        <v>1</v>
      </c>
      <c r="AV7131">
        <f t="shared" si="223"/>
        <v>0</v>
      </c>
    </row>
    <row r="7132" spans="1:48" x14ac:dyDescent="0.25">
      <c r="A7132" t="s">
        <v>16507</v>
      </c>
      <c r="D7132" t="s">
        <v>16509</v>
      </c>
      <c r="E7132" t="s">
        <v>2310</v>
      </c>
      <c r="F7132">
        <v>9</v>
      </c>
      <c r="G7132">
        <v>9.4</v>
      </c>
      <c r="H7132" t="s">
        <v>2323</v>
      </c>
      <c r="I7132" s="21">
        <v>44644.496425543985</v>
      </c>
      <c r="J7132">
        <v>2022</v>
      </c>
      <c r="K7132" s="21">
        <v>44753.424622916667</v>
      </c>
      <c r="L7132">
        <v>2022</v>
      </c>
      <c r="O7132" s="21" t="s">
        <v>114</v>
      </c>
      <c r="P7132" s="21" t="s">
        <v>114</v>
      </c>
      <c r="Q7132" s="262">
        <v>494000</v>
      </c>
      <c r="R7132" s="262">
        <v>4000000</v>
      </c>
      <c r="S7132" t="s">
        <v>9529</v>
      </c>
      <c r="T7132">
        <v>3170</v>
      </c>
      <c r="U7132">
        <v>5</v>
      </c>
      <c r="W7132">
        <v>-1242</v>
      </c>
      <c r="X7132">
        <v>-1</v>
      </c>
      <c r="Y7132">
        <v>0</v>
      </c>
      <c r="Z7132">
        <v>0</v>
      </c>
      <c r="AA7132">
        <v>0</v>
      </c>
      <c r="AB7132">
        <v>0</v>
      </c>
      <c r="AC7132">
        <v>-1242</v>
      </c>
      <c r="AD7132">
        <v>0</v>
      </c>
      <c r="AE7132">
        <v>0</v>
      </c>
      <c r="AF7132">
        <v>0</v>
      </c>
      <c r="AG7132">
        <v>0</v>
      </c>
      <c r="AH7132">
        <v>0</v>
      </c>
      <c r="AI7132">
        <v>0</v>
      </c>
      <c r="AJ7132">
        <v>0</v>
      </c>
      <c r="AK7132">
        <v>0</v>
      </c>
      <c r="AL7132">
        <v>0</v>
      </c>
      <c r="AM7132">
        <v>0</v>
      </c>
      <c r="AN7132">
        <v>0</v>
      </c>
      <c r="AO7132">
        <v>-1</v>
      </c>
      <c r="AP7132">
        <v>0</v>
      </c>
      <c r="AQ7132">
        <v>0</v>
      </c>
      <c r="AR7132">
        <v>0</v>
      </c>
      <c r="AS7132">
        <v>0</v>
      </c>
      <c r="AT7132">
        <v>0</v>
      </c>
      <c r="AU7132">
        <f t="shared" si="222"/>
        <v>-1</v>
      </c>
      <c r="AV7132">
        <f t="shared" si="223"/>
        <v>0</v>
      </c>
    </row>
    <row r="7133" spans="1:48" x14ac:dyDescent="0.25">
      <c r="A7133" t="s">
        <v>16510</v>
      </c>
      <c r="C7133" t="s">
        <v>16511</v>
      </c>
      <c r="D7133" t="s">
        <v>16512</v>
      </c>
      <c r="E7133" t="s">
        <v>1663</v>
      </c>
      <c r="F7133">
        <v>3</v>
      </c>
      <c r="G7133">
        <v>3.2</v>
      </c>
      <c r="H7133" t="s">
        <v>2327</v>
      </c>
      <c r="I7133" s="21">
        <v>44645</v>
      </c>
      <c r="J7133">
        <v>2022</v>
      </c>
      <c r="K7133" s="21">
        <v>44812</v>
      </c>
      <c r="L7133">
        <v>2022</v>
      </c>
      <c r="P7133" s="21" t="s">
        <v>114</v>
      </c>
      <c r="Q7133" s="262">
        <v>3250000</v>
      </c>
      <c r="S7133" t="s">
        <v>12464</v>
      </c>
      <c r="T7133">
        <v>11556</v>
      </c>
      <c r="W7133">
        <v>8008</v>
      </c>
      <c r="X7133">
        <v>7</v>
      </c>
      <c r="AE7133">
        <v>8008</v>
      </c>
      <c r="AQ7133">
        <v>7</v>
      </c>
      <c r="AU7133">
        <f t="shared" si="222"/>
        <v>7</v>
      </c>
      <c r="AV7133">
        <f t="shared" si="223"/>
        <v>0</v>
      </c>
    </row>
    <row r="7134" spans="1:48" x14ac:dyDescent="0.25">
      <c r="A7134" t="s">
        <v>16514</v>
      </c>
      <c r="C7134" t="s">
        <v>16515</v>
      </c>
      <c r="D7134" t="s">
        <v>16512</v>
      </c>
      <c r="E7134" t="s">
        <v>1663</v>
      </c>
      <c r="F7134">
        <v>3</v>
      </c>
      <c r="G7134">
        <v>3.2</v>
      </c>
      <c r="H7134" t="s">
        <v>2327</v>
      </c>
      <c r="I7134" s="21">
        <v>44645</v>
      </c>
      <c r="J7134">
        <v>2022</v>
      </c>
      <c r="K7134" s="21">
        <v>44847</v>
      </c>
      <c r="L7134">
        <v>2022</v>
      </c>
      <c r="P7134" s="21" t="s">
        <v>114</v>
      </c>
      <c r="Q7134" s="262">
        <v>3250000</v>
      </c>
      <c r="S7134" t="s">
        <v>13254</v>
      </c>
      <c r="W7134">
        <v>8008</v>
      </c>
      <c r="X7134">
        <v>7</v>
      </c>
      <c r="AE7134">
        <v>8008</v>
      </c>
      <c r="AQ7134">
        <v>7</v>
      </c>
      <c r="AU7134">
        <f t="shared" si="222"/>
        <v>7</v>
      </c>
      <c r="AV7134">
        <f t="shared" si="223"/>
        <v>0</v>
      </c>
    </row>
    <row r="7135" spans="1:48" x14ac:dyDescent="0.25">
      <c r="A7135" t="s">
        <v>16510</v>
      </c>
      <c r="C7135" t="s">
        <v>16511</v>
      </c>
      <c r="D7135" t="s">
        <v>16512</v>
      </c>
      <c r="E7135" t="s">
        <v>1663</v>
      </c>
      <c r="F7135">
        <v>3</v>
      </c>
      <c r="G7135">
        <v>3.2</v>
      </c>
      <c r="H7135" t="s">
        <v>2327</v>
      </c>
      <c r="I7135" s="21">
        <v>44645</v>
      </c>
      <c r="J7135">
        <v>2022</v>
      </c>
      <c r="K7135" s="21">
        <v>44812</v>
      </c>
      <c r="L7135">
        <v>2022</v>
      </c>
      <c r="Q7135" s="262">
        <v>3250000</v>
      </c>
      <c r="S7135" t="s">
        <v>9529</v>
      </c>
      <c r="T7135">
        <v>11556</v>
      </c>
      <c r="U7135">
        <v>18</v>
      </c>
      <c r="W7135">
        <v>-3294</v>
      </c>
      <c r="X7135">
        <v>0</v>
      </c>
      <c r="Y7135">
        <v>0</v>
      </c>
      <c r="Z7135">
        <v>0</v>
      </c>
      <c r="AA7135">
        <v>0</v>
      </c>
      <c r="AB7135">
        <v>0</v>
      </c>
      <c r="AC7135">
        <v>0</v>
      </c>
      <c r="AD7135">
        <v>0</v>
      </c>
      <c r="AE7135">
        <v>0</v>
      </c>
      <c r="AF7135">
        <v>0</v>
      </c>
      <c r="AG7135">
        <v>0</v>
      </c>
      <c r="AH7135">
        <v>0</v>
      </c>
      <c r="AI7135">
        <v>0</v>
      </c>
      <c r="AJ7135">
        <v>-1794</v>
      </c>
      <c r="AK7135">
        <v>0</v>
      </c>
      <c r="AL7135">
        <v>-1500</v>
      </c>
      <c r="AM7135">
        <v>0</v>
      </c>
      <c r="AN7135">
        <v>0</v>
      </c>
      <c r="AO7135">
        <v>0</v>
      </c>
      <c r="AP7135">
        <v>0</v>
      </c>
      <c r="AQ7135">
        <v>0</v>
      </c>
      <c r="AR7135">
        <v>0</v>
      </c>
      <c r="AS7135">
        <v>0</v>
      </c>
      <c r="AT7135">
        <v>0</v>
      </c>
      <c r="AU7135">
        <f t="shared" si="222"/>
        <v>0</v>
      </c>
      <c r="AV7135">
        <f t="shared" si="223"/>
        <v>-3294</v>
      </c>
    </row>
    <row r="7136" spans="1:48" x14ac:dyDescent="0.25">
      <c r="A7136" t="s">
        <v>16516</v>
      </c>
      <c r="B7136" t="s">
        <v>16516</v>
      </c>
      <c r="C7136" t="s">
        <v>16517</v>
      </c>
      <c r="D7136" t="s">
        <v>8483</v>
      </c>
      <c r="E7136" t="s">
        <v>2310</v>
      </c>
      <c r="F7136">
        <v>15</v>
      </c>
      <c r="G7136">
        <v>15.1</v>
      </c>
      <c r="H7136" t="s">
        <v>2022</v>
      </c>
      <c r="I7136" s="21">
        <v>44645.377628587965</v>
      </c>
      <c r="J7136">
        <v>2022</v>
      </c>
      <c r="K7136" s="21">
        <v>44726.476754664349</v>
      </c>
      <c r="L7136">
        <v>2022</v>
      </c>
      <c r="O7136" s="21" t="s">
        <v>114</v>
      </c>
      <c r="P7136" s="21" t="s">
        <v>114</v>
      </c>
      <c r="Q7136" s="262">
        <v>67000</v>
      </c>
      <c r="R7136" s="262">
        <v>840000</v>
      </c>
      <c r="S7136" t="s">
        <v>13254</v>
      </c>
      <c r="U7136">
        <v>5</v>
      </c>
      <c r="V7136">
        <v>0</v>
      </c>
      <c r="W7136">
        <v>1400</v>
      </c>
      <c r="X7136">
        <v>0</v>
      </c>
      <c r="AC7136">
        <v>1400</v>
      </c>
      <c r="AU7136">
        <f t="shared" si="222"/>
        <v>0</v>
      </c>
      <c r="AV7136">
        <f t="shared" si="223"/>
        <v>0</v>
      </c>
    </row>
    <row r="7137" spans="1:48" x14ac:dyDescent="0.25">
      <c r="A7137" t="s">
        <v>16518</v>
      </c>
      <c r="B7137" t="s">
        <v>16518</v>
      </c>
      <c r="C7137" t="s">
        <v>16519</v>
      </c>
      <c r="D7137" t="s">
        <v>8483</v>
      </c>
      <c r="E7137" t="s">
        <v>2310</v>
      </c>
      <c r="F7137">
        <v>15</v>
      </c>
      <c r="G7137">
        <v>15.1</v>
      </c>
      <c r="H7137" t="s">
        <v>2022</v>
      </c>
      <c r="I7137" s="21">
        <v>44645.408018518516</v>
      </c>
      <c r="J7137">
        <v>2022</v>
      </c>
      <c r="K7137" s="21">
        <v>44726.476924155089</v>
      </c>
      <c r="L7137">
        <v>2022</v>
      </c>
      <c r="O7137" s="21" t="s">
        <v>114</v>
      </c>
      <c r="P7137" s="21" t="s">
        <v>114</v>
      </c>
      <c r="Q7137" s="262">
        <v>224000</v>
      </c>
      <c r="R7137" s="262">
        <v>2859000</v>
      </c>
      <c r="S7137" t="s">
        <v>13254</v>
      </c>
      <c r="U7137">
        <v>5</v>
      </c>
      <c r="V7137">
        <v>0</v>
      </c>
      <c r="W7137">
        <v>2111</v>
      </c>
      <c r="X7137">
        <v>0</v>
      </c>
      <c r="AC7137">
        <v>2111</v>
      </c>
      <c r="AU7137">
        <f t="shared" si="222"/>
        <v>0</v>
      </c>
      <c r="AV7137">
        <f t="shared" si="223"/>
        <v>0</v>
      </c>
    </row>
    <row r="7138" spans="1:48" x14ac:dyDescent="0.25">
      <c r="A7138" t="s">
        <v>16520</v>
      </c>
      <c r="B7138" t="s">
        <v>16520</v>
      </c>
      <c r="C7138" t="s">
        <v>16521</v>
      </c>
      <c r="D7138" t="s">
        <v>2939</v>
      </c>
      <c r="E7138" t="s">
        <v>2310</v>
      </c>
      <c r="F7138">
        <v>9</v>
      </c>
      <c r="G7138">
        <v>9.3000000000000007</v>
      </c>
      <c r="H7138" t="s">
        <v>2323</v>
      </c>
      <c r="I7138" s="21">
        <v>44645.538406944448</v>
      </c>
      <c r="J7138">
        <v>2022</v>
      </c>
      <c r="K7138" s="21">
        <v>44789.491795138892</v>
      </c>
      <c r="L7138">
        <v>2022</v>
      </c>
      <c r="O7138" s="21" t="s">
        <v>114</v>
      </c>
      <c r="P7138" s="21" t="s">
        <v>114</v>
      </c>
      <c r="Q7138" s="262">
        <v>110000</v>
      </c>
      <c r="R7138" s="262">
        <v>500000</v>
      </c>
      <c r="S7138" t="s">
        <v>13253</v>
      </c>
      <c r="T7138">
        <v>14395</v>
      </c>
      <c r="V7138">
        <v>1232</v>
      </c>
      <c r="W7138">
        <v>0</v>
      </c>
      <c r="X7138">
        <v>0</v>
      </c>
      <c r="AU7138">
        <f t="shared" si="222"/>
        <v>0</v>
      </c>
      <c r="AV7138">
        <f t="shared" si="223"/>
        <v>0</v>
      </c>
    </row>
    <row r="7139" spans="1:48" x14ac:dyDescent="0.25">
      <c r="A7139" t="s">
        <v>16522</v>
      </c>
      <c r="B7139" t="s">
        <v>16522</v>
      </c>
      <c r="C7139" t="s">
        <v>16523</v>
      </c>
      <c r="D7139" t="s">
        <v>16524</v>
      </c>
      <c r="E7139" t="s">
        <v>2310</v>
      </c>
      <c r="F7139">
        <v>13</v>
      </c>
      <c r="G7139">
        <v>13.2</v>
      </c>
      <c r="H7139" t="s">
        <v>2327</v>
      </c>
      <c r="I7139" s="21">
        <v>44645.601156631943</v>
      </c>
      <c r="J7139">
        <v>2022</v>
      </c>
      <c r="K7139" s="21">
        <v>44762.706485266201</v>
      </c>
      <c r="L7139">
        <v>2022</v>
      </c>
      <c r="O7139" s="21" t="s">
        <v>114</v>
      </c>
      <c r="P7139" s="21" t="s">
        <v>114</v>
      </c>
      <c r="Q7139" s="262">
        <v>265000</v>
      </c>
      <c r="R7139" s="262">
        <v>850000</v>
      </c>
      <c r="S7139" t="s">
        <v>13253</v>
      </c>
      <c r="T7139">
        <v>6988</v>
      </c>
      <c r="V7139">
        <v>1518</v>
      </c>
      <c r="W7139">
        <v>1079.5</v>
      </c>
      <c r="X7139">
        <v>0</v>
      </c>
      <c r="AI7139">
        <v>1079.5</v>
      </c>
      <c r="AU7139">
        <f t="shared" si="222"/>
        <v>0</v>
      </c>
      <c r="AV7139">
        <f t="shared" si="223"/>
        <v>1079.5</v>
      </c>
    </row>
    <row r="7140" spans="1:48" x14ac:dyDescent="0.25">
      <c r="A7140" t="s">
        <v>16525</v>
      </c>
      <c r="B7140" t="s">
        <v>16525</v>
      </c>
      <c r="C7140" t="s">
        <v>16526</v>
      </c>
      <c r="D7140" t="s">
        <v>16527</v>
      </c>
      <c r="E7140" t="s">
        <v>2310</v>
      </c>
      <c r="F7140">
        <v>14</v>
      </c>
      <c r="G7140">
        <v>14.1</v>
      </c>
      <c r="H7140" t="s">
        <v>2022</v>
      </c>
      <c r="I7140" s="21">
        <v>44650.423088854164</v>
      </c>
      <c r="J7140">
        <v>2022</v>
      </c>
      <c r="K7140" s="21" t="s">
        <v>114</v>
      </c>
      <c r="L7140" t="e">
        <v>#VALUE!</v>
      </c>
      <c r="O7140" s="21" t="s">
        <v>114</v>
      </c>
      <c r="P7140" s="21" t="s">
        <v>114</v>
      </c>
      <c r="Q7140" s="262">
        <v>1229000</v>
      </c>
      <c r="R7140" s="262">
        <v>6000000</v>
      </c>
      <c r="S7140" t="s">
        <v>13254</v>
      </c>
      <c r="U7140">
        <v>5</v>
      </c>
      <c r="V7140">
        <v>0</v>
      </c>
      <c r="W7140">
        <v>8050</v>
      </c>
      <c r="X7140">
        <v>1</v>
      </c>
      <c r="AC7140">
        <v>8050</v>
      </c>
      <c r="AO7140">
        <v>1</v>
      </c>
      <c r="AU7140">
        <f t="shared" si="222"/>
        <v>1</v>
      </c>
      <c r="AV7140">
        <f t="shared" si="223"/>
        <v>0</v>
      </c>
    </row>
    <row r="7141" spans="1:48" x14ac:dyDescent="0.25">
      <c r="A7141" t="s">
        <v>16528</v>
      </c>
      <c r="B7141" t="s">
        <v>16528</v>
      </c>
      <c r="C7141" t="s">
        <v>16529</v>
      </c>
      <c r="D7141" t="s">
        <v>16530</v>
      </c>
      <c r="E7141" t="s">
        <v>2310</v>
      </c>
      <c r="F7141">
        <v>11</v>
      </c>
      <c r="G7141">
        <v>11.2</v>
      </c>
      <c r="H7141" t="s">
        <v>2017</v>
      </c>
      <c r="I7141" s="21">
        <v>44650.619364351849</v>
      </c>
      <c r="J7141">
        <v>2022</v>
      </c>
      <c r="K7141" s="21">
        <v>44757.641675150466</v>
      </c>
      <c r="L7141">
        <v>2022</v>
      </c>
      <c r="O7141" s="21" t="s">
        <v>114</v>
      </c>
      <c r="P7141" s="21" t="s">
        <v>114</v>
      </c>
      <c r="Q7141" s="262">
        <v>100000</v>
      </c>
      <c r="R7141" s="262">
        <v>400000</v>
      </c>
      <c r="S7141" t="s">
        <v>13254</v>
      </c>
      <c r="U7141">
        <v>8</v>
      </c>
      <c r="V7141">
        <v>0</v>
      </c>
      <c r="W7141">
        <v>845</v>
      </c>
      <c r="X7141">
        <v>1</v>
      </c>
      <c r="AC7141">
        <v>13</v>
      </c>
      <c r="AF7141">
        <v>832</v>
      </c>
      <c r="AR7141">
        <v>1</v>
      </c>
      <c r="AU7141">
        <f t="shared" si="222"/>
        <v>0</v>
      </c>
      <c r="AV7141">
        <f t="shared" si="223"/>
        <v>0</v>
      </c>
    </row>
    <row r="7142" spans="1:48" x14ac:dyDescent="0.25">
      <c r="A7142" t="s">
        <v>16531</v>
      </c>
      <c r="B7142" t="s">
        <v>16531</v>
      </c>
      <c r="C7142" t="s">
        <v>16532</v>
      </c>
      <c r="D7142" t="s">
        <v>16530</v>
      </c>
      <c r="E7142" t="s">
        <v>2310</v>
      </c>
      <c r="F7142">
        <v>11</v>
      </c>
      <c r="G7142">
        <v>11.2</v>
      </c>
      <c r="H7142" t="s">
        <v>2017</v>
      </c>
      <c r="I7142" s="21">
        <v>44650.629566979165</v>
      </c>
      <c r="J7142">
        <v>2022</v>
      </c>
      <c r="K7142" s="21" t="s">
        <v>114</v>
      </c>
      <c r="L7142" t="e">
        <v>#VALUE!</v>
      </c>
      <c r="O7142" s="21" t="s">
        <v>114</v>
      </c>
      <c r="P7142" s="21" t="s">
        <v>114</v>
      </c>
      <c r="Q7142" s="262">
        <v>110000</v>
      </c>
      <c r="R7142" s="262">
        <v>300000</v>
      </c>
      <c r="S7142" t="s">
        <v>13253</v>
      </c>
      <c r="T7142">
        <v>4622</v>
      </c>
      <c r="V7142">
        <v>418</v>
      </c>
      <c r="W7142">
        <v>459</v>
      </c>
      <c r="X7142">
        <v>0</v>
      </c>
      <c r="AC7142">
        <v>459</v>
      </c>
      <c r="AU7142">
        <f t="shared" si="222"/>
        <v>0</v>
      </c>
      <c r="AV7142">
        <f t="shared" si="223"/>
        <v>0</v>
      </c>
    </row>
    <row r="7143" spans="1:48" x14ac:dyDescent="0.25">
      <c r="A7143" t="s">
        <v>16533</v>
      </c>
      <c r="B7143" t="s">
        <v>16533</v>
      </c>
      <c r="C7143" t="s">
        <v>16534</v>
      </c>
      <c r="D7143" t="s">
        <v>16535</v>
      </c>
      <c r="E7143" t="s">
        <v>2310</v>
      </c>
      <c r="F7143">
        <v>14</v>
      </c>
      <c r="G7143">
        <v>14.2</v>
      </c>
      <c r="H7143" t="s">
        <v>2017</v>
      </c>
      <c r="I7143" s="21">
        <v>44651.609072951389</v>
      </c>
      <c r="J7143">
        <v>2022</v>
      </c>
      <c r="K7143" s="21" t="s">
        <v>114</v>
      </c>
      <c r="L7143" t="e">
        <v>#VALUE!</v>
      </c>
      <c r="O7143" s="21" t="s">
        <v>114</v>
      </c>
      <c r="P7143" s="21" t="s">
        <v>114</v>
      </c>
      <c r="Q7143" s="262">
        <v>745000</v>
      </c>
      <c r="R7143" s="262">
        <v>2000000</v>
      </c>
      <c r="S7143" t="s">
        <v>13254</v>
      </c>
      <c r="U7143">
        <v>5</v>
      </c>
      <c r="V7143">
        <v>0</v>
      </c>
      <c r="W7143">
        <v>5943</v>
      </c>
      <c r="X7143">
        <v>1</v>
      </c>
      <c r="AC7143">
        <v>5943</v>
      </c>
      <c r="AO7143">
        <v>1</v>
      </c>
      <c r="AU7143">
        <f t="shared" si="222"/>
        <v>1</v>
      </c>
      <c r="AV7143">
        <f t="shared" si="223"/>
        <v>0</v>
      </c>
    </row>
    <row r="7144" spans="1:48" x14ac:dyDescent="0.25">
      <c r="A7144" t="s">
        <v>16536</v>
      </c>
      <c r="B7144" t="s">
        <v>16536</v>
      </c>
      <c r="C7144" t="s">
        <v>16537</v>
      </c>
      <c r="D7144" t="s">
        <v>16535</v>
      </c>
      <c r="E7144" t="s">
        <v>2310</v>
      </c>
      <c r="F7144">
        <v>14</v>
      </c>
      <c r="G7144">
        <v>14.2</v>
      </c>
      <c r="H7144" t="s">
        <v>2017</v>
      </c>
      <c r="I7144" s="21">
        <v>44651.697980868055</v>
      </c>
      <c r="J7144">
        <v>2022</v>
      </c>
      <c r="K7144" s="21" t="s">
        <v>114</v>
      </c>
      <c r="L7144" t="e">
        <v>#VALUE!</v>
      </c>
      <c r="O7144" s="21" t="s">
        <v>114</v>
      </c>
      <c r="P7144" s="21" t="s">
        <v>114</v>
      </c>
      <c r="Q7144" s="262">
        <v>180000</v>
      </c>
      <c r="R7144" s="262">
        <v>2000000</v>
      </c>
      <c r="S7144" t="s">
        <v>13254</v>
      </c>
      <c r="U7144">
        <v>8</v>
      </c>
      <c r="V7144">
        <v>0</v>
      </c>
      <c r="W7144">
        <v>2296</v>
      </c>
      <c r="X7144">
        <v>1</v>
      </c>
      <c r="AC7144">
        <v>1313</v>
      </c>
      <c r="AF7144">
        <v>983</v>
      </c>
      <c r="AR7144">
        <v>1</v>
      </c>
      <c r="AU7144">
        <f t="shared" si="222"/>
        <v>0</v>
      </c>
      <c r="AV7144">
        <f t="shared" si="223"/>
        <v>0</v>
      </c>
    </row>
    <row r="7145" spans="1:48" x14ac:dyDescent="0.25">
      <c r="A7145" t="s">
        <v>16538</v>
      </c>
      <c r="B7145" t="s">
        <v>16538</v>
      </c>
      <c r="C7145" t="s">
        <v>16539</v>
      </c>
      <c r="D7145" t="s">
        <v>10369</v>
      </c>
      <c r="E7145" t="s">
        <v>2310</v>
      </c>
      <c r="F7145">
        <v>9</v>
      </c>
      <c r="G7145">
        <v>9.3000000000000007</v>
      </c>
      <c r="H7145" t="s">
        <v>2323</v>
      </c>
      <c r="I7145" s="21">
        <v>44651.73435471065</v>
      </c>
      <c r="J7145">
        <v>2022</v>
      </c>
      <c r="K7145" s="21">
        <v>44785.384620405093</v>
      </c>
      <c r="L7145">
        <v>2022</v>
      </c>
      <c r="O7145" s="21" t="s">
        <v>114</v>
      </c>
      <c r="P7145" s="21" t="s">
        <v>114</v>
      </c>
      <c r="Q7145" s="262">
        <v>95000</v>
      </c>
      <c r="R7145" s="262">
        <v>180000</v>
      </c>
      <c r="S7145" t="s">
        <v>13253</v>
      </c>
      <c r="T7145">
        <v>14091</v>
      </c>
      <c r="V7145">
        <v>0</v>
      </c>
      <c r="W7145">
        <v>770</v>
      </c>
      <c r="X7145">
        <v>0</v>
      </c>
      <c r="AC7145">
        <v>770</v>
      </c>
      <c r="AU7145">
        <f t="shared" si="222"/>
        <v>0</v>
      </c>
      <c r="AV7145">
        <f t="shared" si="223"/>
        <v>0</v>
      </c>
    </row>
    <row r="7146" spans="1:48" x14ac:dyDescent="0.25">
      <c r="A7146" t="s">
        <v>16540</v>
      </c>
      <c r="B7146" t="s">
        <v>16540</v>
      </c>
      <c r="C7146" t="s">
        <v>16541</v>
      </c>
      <c r="D7146" t="s">
        <v>13779</v>
      </c>
      <c r="E7146" t="s">
        <v>2310</v>
      </c>
      <c r="F7146">
        <v>15</v>
      </c>
      <c r="G7146">
        <v>15.2</v>
      </c>
      <c r="H7146" t="s">
        <v>2323</v>
      </c>
      <c r="I7146" s="21">
        <v>44651.748263738424</v>
      </c>
      <c r="J7146">
        <v>2022</v>
      </c>
      <c r="K7146" s="21">
        <v>44784.582939583335</v>
      </c>
      <c r="L7146">
        <v>2022</v>
      </c>
      <c r="O7146" s="21" t="s">
        <v>114</v>
      </c>
      <c r="P7146" s="21" t="s">
        <v>114</v>
      </c>
      <c r="Q7146" s="262">
        <v>35000</v>
      </c>
      <c r="R7146" s="262">
        <v>200000</v>
      </c>
      <c r="S7146" t="s">
        <v>13254</v>
      </c>
      <c r="U7146">
        <v>5</v>
      </c>
      <c r="V7146">
        <v>0</v>
      </c>
      <c r="W7146">
        <v>719</v>
      </c>
      <c r="X7146">
        <v>0</v>
      </c>
      <c r="AC7146">
        <v>719</v>
      </c>
      <c r="AU7146">
        <f t="shared" si="222"/>
        <v>0</v>
      </c>
      <c r="AV7146">
        <f t="shared" si="223"/>
        <v>0</v>
      </c>
    </row>
    <row r="7147" spans="1:48" x14ac:dyDescent="0.25">
      <c r="A7147" t="s">
        <v>16542</v>
      </c>
      <c r="B7147" t="s">
        <v>16542</v>
      </c>
      <c r="C7147" t="s">
        <v>16543</v>
      </c>
      <c r="D7147" t="s">
        <v>15707</v>
      </c>
      <c r="E7147" t="s">
        <v>2310</v>
      </c>
      <c r="F7147">
        <v>8</v>
      </c>
      <c r="G7147">
        <v>8.1</v>
      </c>
      <c r="H7147" t="s">
        <v>2323</v>
      </c>
      <c r="I7147" s="21">
        <v>44651.77278521991</v>
      </c>
      <c r="J7147">
        <v>2022</v>
      </c>
      <c r="K7147" s="21">
        <v>44841.673998842591</v>
      </c>
      <c r="L7147">
        <v>2022</v>
      </c>
      <c r="O7147" s="21" t="s">
        <v>114</v>
      </c>
      <c r="P7147" s="21" t="s">
        <v>114</v>
      </c>
      <c r="Q7147" s="262">
        <v>127000</v>
      </c>
      <c r="R7147" s="262">
        <v>1500000</v>
      </c>
      <c r="S7147" t="s">
        <v>13254</v>
      </c>
      <c r="U7147">
        <v>5</v>
      </c>
      <c r="V7147">
        <v>0</v>
      </c>
      <c r="W7147">
        <v>1262</v>
      </c>
      <c r="X7147">
        <v>0</v>
      </c>
      <c r="AC7147">
        <v>1262</v>
      </c>
      <c r="AU7147">
        <f t="shared" si="222"/>
        <v>0</v>
      </c>
      <c r="AV7147">
        <f t="shared" si="223"/>
        <v>0</v>
      </c>
    </row>
    <row r="7148" spans="1:48" x14ac:dyDescent="0.25">
      <c r="A7148" t="s">
        <v>16544</v>
      </c>
      <c r="B7148" t="s">
        <v>16544</v>
      </c>
      <c r="C7148" t="s">
        <v>16545</v>
      </c>
      <c r="D7148" t="s">
        <v>16546</v>
      </c>
      <c r="E7148" t="s">
        <v>2310</v>
      </c>
      <c r="F7148">
        <v>5</v>
      </c>
      <c r="G7148">
        <v>5.5</v>
      </c>
      <c r="H7148" t="s">
        <v>2017</v>
      </c>
      <c r="I7148" s="21">
        <v>44652.528331250003</v>
      </c>
      <c r="J7148">
        <v>2022</v>
      </c>
      <c r="K7148" s="21" t="s">
        <v>114</v>
      </c>
      <c r="L7148" t="e">
        <v>#VALUE!</v>
      </c>
      <c r="O7148" s="21" t="s">
        <v>114</v>
      </c>
      <c r="P7148" s="21" t="s">
        <v>114</v>
      </c>
      <c r="Q7148" s="262">
        <v>148000</v>
      </c>
      <c r="R7148" s="262">
        <v>308655</v>
      </c>
      <c r="S7148" t="s">
        <v>13253</v>
      </c>
      <c r="T7148">
        <v>3223</v>
      </c>
      <c r="V7148">
        <v>0</v>
      </c>
      <c r="W7148">
        <v>1235</v>
      </c>
      <c r="X7148">
        <v>0</v>
      </c>
      <c r="AC7148">
        <v>1235</v>
      </c>
      <c r="AU7148">
        <f t="shared" si="222"/>
        <v>0</v>
      </c>
      <c r="AV7148">
        <f t="shared" si="223"/>
        <v>0</v>
      </c>
    </row>
    <row r="7149" spans="1:48" x14ac:dyDescent="0.25">
      <c r="A7149" t="s">
        <v>16547</v>
      </c>
      <c r="B7149" t="s">
        <v>16547</v>
      </c>
      <c r="C7149" t="s">
        <v>16548</v>
      </c>
      <c r="D7149" t="s">
        <v>16549</v>
      </c>
      <c r="E7149" t="s">
        <v>2310</v>
      </c>
      <c r="F7149">
        <v>11</v>
      </c>
      <c r="G7149">
        <v>11.4</v>
      </c>
      <c r="H7149" t="s">
        <v>2017</v>
      </c>
      <c r="I7149" s="21">
        <v>44652.563036145832</v>
      </c>
      <c r="J7149">
        <v>2022</v>
      </c>
      <c r="K7149" s="21" t="s">
        <v>114</v>
      </c>
      <c r="L7149" t="e">
        <v>#VALUE!</v>
      </c>
      <c r="O7149" s="21" t="s">
        <v>114</v>
      </c>
      <c r="P7149" s="21" t="s">
        <v>114</v>
      </c>
      <c r="Q7149" s="262">
        <v>196000</v>
      </c>
      <c r="R7149" s="262">
        <v>475000</v>
      </c>
      <c r="S7149" t="s">
        <v>13254</v>
      </c>
      <c r="U7149">
        <v>5</v>
      </c>
      <c r="V7149">
        <v>0</v>
      </c>
      <c r="W7149">
        <v>2246</v>
      </c>
      <c r="X7149">
        <v>1</v>
      </c>
      <c r="AC7149">
        <v>2246</v>
      </c>
      <c r="AO7149">
        <v>1</v>
      </c>
      <c r="AU7149">
        <f t="shared" si="222"/>
        <v>1</v>
      </c>
      <c r="AV7149">
        <f t="shared" si="223"/>
        <v>0</v>
      </c>
    </row>
    <row r="7150" spans="1:48" x14ac:dyDescent="0.25">
      <c r="A7150" t="s">
        <v>16550</v>
      </c>
      <c r="B7150" t="s">
        <v>16550</v>
      </c>
      <c r="C7150" t="s">
        <v>16551</v>
      </c>
      <c r="D7150" t="s">
        <v>16552</v>
      </c>
      <c r="E7150" t="s">
        <v>2310</v>
      </c>
      <c r="F7150">
        <v>8</v>
      </c>
      <c r="G7150">
        <v>8.3000000000000007</v>
      </c>
      <c r="H7150" t="s">
        <v>2323</v>
      </c>
      <c r="I7150" s="21">
        <v>44652.63272642361</v>
      </c>
      <c r="J7150">
        <v>2022</v>
      </c>
      <c r="K7150" s="21">
        <v>44789.706681944444</v>
      </c>
      <c r="L7150">
        <v>2022</v>
      </c>
      <c r="O7150" s="21" t="s">
        <v>114</v>
      </c>
      <c r="P7150" s="21" t="s">
        <v>114</v>
      </c>
      <c r="Q7150" s="262">
        <v>245000</v>
      </c>
      <c r="R7150" s="262">
        <v>3389268</v>
      </c>
      <c r="S7150" t="s">
        <v>13254</v>
      </c>
      <c r="U7150">
        <v>5</v>
      </c>
      <c r="V7150">
        <v>0</v>
      </c>
      <c r="W7150">
        <v>3916</v>
      </c>
      <c r="X7150">
        <v>1</v>
      </c>
      <c r="AC7150">
        <v>3916</v>
      </c>
      <c r="AO7150">
        <v>1</v>
      </c>
      <c r="AU7150">
        <f t="shared" si="222"/>
        <v>1</v>
      </c>
      <c r="AV7150">
        <f t="shared" si="223"/>
        <v>0</v>
      </c>
    </row>
    <row r="7151" spans="1:48" x14ac:dyDescent="0.25">
      <c r="A7151" t="s">
        <v>16553</v>
      </c>
      <c r="B7151" t="s">
        <v>16553</v>
      </c>
      <c r="C7151" t="s">
        <v>16554</v>
      </c>
      <c r="D7151" t="s">
        <v>3392</v>
      </c>
      <c r="E7151" t="s">
        <v>2310</v>
      </c>
      <c r="F7151">
        <v>12</v>
      </c>
      <c r="G7151">
        <v>12.1</v>
      </c>
      <c r="H7151" t="s">
        <v>2327</v>
      </c>
      <c r="I7151" s="21">
        <v>44652.66935945602</v>
      </c>
      <c r="J7151">
        <v>2022</v>
      </c>
      <c r="K7151" s="21" t="s">
        <v>114</v>
      </c>
      <c r="L7151" t="e">
        <v>#VALUE!</v>
      </c>
      <c r="O7151" s="21" t="s">
        <v>114</v>
      </c>
      <c r="P7151" s="21" t="s">
        <v>114</v>
      </c>
      <c r="Q7151" s="262">
        <v>3277000</v>
      </c>
      <c r="R7151" s="262">
        <v>5295143</v>
      </c>
      <c r="S7151" t="s">
        <v>13253</v>
      </c>
      <c r="T7151">
        <v>3526</v>
      </c>
      <c r="V7151">
        <v>25392</v>
      </c>
      <c r="W7151">
        <v>3388</v>
      </c>
      <c r="X7151">
        <v>0</v>
      </c>
      <c r="AJ7151">
        <v>28780</v>
      </c>
      <c r="AK7151">
        <v>-25392</v>
      </c>
      <c r="AU7151">
        <f t="shared" si="222"/>
        <v>0</v>
      </c>
      <c r="AV7151">
        <f t="shared" si="223"/>
        <v>3388</v>
      </c>
    </row>
    <row r="7152" spans="1:48" x14ac:dyDescent="0.25">
      <c r="A7152" t="s">
        <v>16555</v>
      </c>
      <c r="C7152" t="s">
        <v>11237</v>
      </c>
      <c r="D7152" t="s">
        <v>16556</v>
      </c>
      <c r="E7152" t="s">
        <v>1663</v>
      </c>
      <c r="F7152">
        <v>5</v>
      </c>
      <c r="G7152">
        <v>5.5</v>
      </c>
      <c r="H7152" t="s">
        <v>2017</v>
      </c>
      <c r="I7152" s="21">
        <v>44658</v>
      </c>
      <c r="J7152">
        <v>2022</v>
      </c>
      <c r="K7152" s="21">
        <v>44662</v>
      </c>
      <c r="L7152">
        <v>2022</v>
      </c>
      <c r="P7152" s="21" t="s">
        <v>114</v>
      </c>
      <c r="Q7152" s="262">
        <v>30400</v>
      </c>
      <c r="S7152" t="s">
        <v>13253</v>
      </c>
      <c r="T7152">
        <v>12442</v>
      </c>
      <c r="W7152">
        <v>0</v>
      </c>
      <c r="X7152">
        <v>0</v>
      </c>
      <c r="AU7152">
        <f t="shared" si="222"/>
        <v>0</v>
      </c>
      <c r="AV7152">
        <f t="shared" si="223"/>
        <v>0</v>
      </c>
    </row>
    <row r="7153" spans="1:48" x14ac:dyDescent="0.25">
      <c r="A7153" t="s">
        <v>16557</v>
      </c>
      <c r="C7153" t="s">
        <v>16558</v>
      </c>
      <c r="D7153" t="s">
        <v>16559</v>
      </c>
      <c r="E7153" t="s">
        <v>1663</v>
      </c>
      <c r="F7153">
        <v>4</v>
      </c>
      <c r="G7153">
        <v>4.2</v>
      </c>
      <c r="H7153" t="s">
        <v>2327</v>
      </c>
      <c r="I7153" s="21">
        <v>44658</v>
      </c>
      <c r="J7153">
        <v>2022</v>
      </c>
      <c r="K7153" s="21">
        <v>44761</v>
      </c>
      <c r="L7153">
        <v>2022</v>
      </c>
      <c r="P7153" s="21" t="s">
        <v>114</v>
      </c>
      <c r="Q7153" s="262">
        <v>750000</v>
      </c>
      <c r="S7153" t="s">
        <v>13253</v>
      </c>
      <c r="T7153">
        <v>13934</v>
      </c>
      <c r="W7153">
        <v>1261</v>
      </c>
      <c r="X7153">
        <v>0</v>
      </c>
      <c r="AC7153">
        <v>1261</v>
      </c>
      <c r="AU7153">
        <f t="shared" si="222"/>
        <v>0</v>
      </c>
      <c r="AV7153">
        <f t="shared" si="223"/>
        <v>0</v>
      </c>
    </row>
    <row r="7154" spans="1:48" x14ac:dyDescent="0.25">
      <c r="A7154" t="s">
        <v>16560</v>
      </c>
      <c r="C7154" t="s">
        <v>16561</v>
      </c>
      <c r="D7154" t="s">
        <v>3609</v>
      </c>
      <c r="E7154" t="s">
        <v>1663</v>
      </c>
      <c r="F7154">
        <v>3</v>
      </c>
      <c r="G7154">
        <v>3.1</v>
      </c>
      <c r="H7154" t="s">
        <v>2017</v>
      </c>
      <c r="I7154" s="21">
        <v>44658</v>
      </c>
      <c r="J7154">
        <v>2022</v>
      </c>
      <c r="K7154" s="21">
        <v>44725</v>
      </c>
      <c r="L7154">
        <v>2022</v>
      </c>
      <c r="P7154" s="21" t="s">
        <v>114</v>
      </c>
      <c r="Q7154" s="262">
        <v>350000</v>
      </c>
      <c r="S7154" t="s">
        <v>13253</v>
      </c>
      <c r="T7154">
        <v>10170</v>
      </c>
      <c r="V7154">
        <v>2048</v>
      </c>
      <c r="W7154">
        <v>0</v>
      </c>
      <c r="X7154">
        <v>0</v>
      </c>
      <c r="AC7154">
        <v>0</v>
      </c>
      <c r="AO7154">
        <v>0</v>
      </c>
      <c r="AU7154">
        <f t="shared" si="222"/>
        <v>0</v>
      </c>
      <c r="AV7154">
        <f t="shared" si="223"/>
        <v>0</v>
      </c>
    </row>
    <row r="7155" spans="1:48" x14ac:dyDescent="0.25">
      <c r="A7155" t="s">
        <v>15094</v>
      </c>
      <c r="C7155" t="s">
        <v>15095</v>
      </c>
      <c r="D7155" t="s">
        <v>15096</v>
      </c>
      <c r="E7155" t="s">
        <v>1663</v>
      </c>
      <c r="F7155">
        <v>2</v>
      </c>
      <c r="G7155">
        <v>2.2999999999999998</v>
      </c>
      <c r="H7155" t="s">
        <v>2327</v>
      </c>
      <c r="I7155" s="21">
        <v>44658</v>
      </c>
      <c r="J7155">
        <v>2022</v>
      </c>
      <c r="K7155" s="21">
        <v>44704</v>
      </c>
      <c r="L7155">
        <v>2022</v>
      </c>
      <c r="M7155" s="21">
        <v>44783</v>
      </c>
      <c r="N7155">
        <v>2022</v>
      </c>
      <c r="P7155" s="21" t="s">
        <v>114</v>
      </c>
      <c r="Q7155" s="262">
        <v>194853</v>
      </c>
      <c r="S7155" t="s">
        <v>13253</v>
      </c>
      <c r="T7155" t="s">
        <v>1936</v>
      </c>
      <c r="V7155">
        <v>1243</v>
      </c>
      <c r="W7155">
        <v>0</v>
      </c>
      <c r="X7155">
        <v>0</v>
      </c>
      <c r="AJ7155">
        <v>1243</v>
      </c>
      <c r="AK7155">
        <v>-1243</v>
      </c>
      <c r="AU7155">
        <f t="shared" si="222"/>
        <v>0</v>
      </c>
      <c r="AV7155">
        <f t="shared" si="223"/>
        <v>0</v>
      </c>
    </row>
    <row r="7156" spans="1:48" x14ac:dyDescent="0.25">
      <c r="A7156" t="s">
        <v>16564</v>
      </c>
      <c r="B7156" t="s">
        <v>16564</v>
      </c>
      <c r="C7156" t="s">
        <v>16565</v>
      </c>
      <c r="D7156" t="s">
        <v>16566</v>
      </c>
      <c r="E7156" t="s">
        <v>2310</v>
      </c>
      <c r="F7156">
        <v>9</v>
      </c>
      <c r="G7156">
        <v>9.1</v>
      </c>
      <c r="H7156" t="s">
        <v>2323</v>
      </c>
      <c r="I7156" s="21">
        <v>44658.42830644676</v>
      </c>
      <c r="J7156">
        <v>2022</v>
      </c>
      <c r="K7156" s="21" t="s">
        <v>114</v>
      </c>
      <c r="L7156" t="e">
        <v>#VALUE!</v>
      </c>
      <c r="O7156" s="21" t="s">
        <v>114</v>
      </c>
      <c r="P7156" s="21" t="s">
        <v>114</v>
      </c>
      <c r="Q7156" s="262">
        <v>1006000</v>
      </c>
      <c r="R7156" s="262">
        <v>12000000</v>
      </c>
      <c r="S7156" t="s">
        <v>13254</v>
      </c>
      <c r="U7156">
        <v>5</v>
      </c>
      <c r="V7156">
        <v>0</v>
      </c>
      <c r="W7156">
        <v>7712</v>
      </c>
      <c r="X7156">
        <v>1</v>
      </c>
      <c r="AC7156">
        <v>7712</v>
      </c>
      <c r="AO7156">
        <v>1</v>
      </c>
      <c r="AU7156">
        <f t="shared" si="222"/>
        <v>1</v>
      </c>
      <c r="AV7156">
        <f t="shared" si="223"/>
        <v>0</v>
      </c>
    </row>
    <row r="7157" spans="1:48" x14ac:dyDescent="0.25">
      <c r="A7157" t="s">
        <v>16567</v>
      </c>
      <c r="B7157" t="s">
        <v>16567</v>
      </c>
      <c r="C7157" t="s">
        <v>16568</v>
      </c>
      <c r="D7157" t="s">
        <v>2162</v>
      </c>
      <c r="E7157" t="s">
        <v>2310</v>
      </c>
      <c r="F7157">
        <v>8</v>
      </c>
      <c r="G7157">
        <v>8.1999999999999993</v>
      </c>
      <c r="H7157" t="s">
        <v>2022</v>
      </c>
      <c r="I7157" s="21">
        <v>44658.509136840279</v>
      </c>
      <c r="J7157">
        <v>2022</v>
      </c>
      <c r="K7157" s="21">
        <v>44792.450748460651</v>
      </c>
      <c r="L7157">
        <v>2022</v>
      </c>
      <c r="O7157" s="21" t="s">
        <v>114</v>
      </c>
      <c r="P7157" s="21" t="s">
        <v>114</v>
      </c>
      <c r="Q7157" s="262">
        <v>281000</v>
      </c>
      <c r="R7157" s="262">
        <v>1942400</v>
      </c>
      <c r="S7157" t="s">
        <v>13254</v>
      </c>
      <c r="U7157">
        <v>5</v>
      </c>
      <c r="V7157">
        <v>0</v>
      </c>
      <c r="W7157">
        <v>2428</v>
      </c>
      <c r="X7157">
        <v>0</v>
      </c>
      <c r="AC7157">
        <v>2428</v>
      </c>
      <c r="AU7157">
        <f t="shared" si="222"/>
        <v>0</v>
      </c>
      <c r="AV7157">
        <f t="shared" si="223"/>
        <v>0</v>
      </c>
    </row>
    <row r="7158" spans="1:48" x14ac:dyDescent="0.25">
      <c r="A7158" t="s">
        <v>16569</v>
      </c>
      <c r="B7158" t="s">
        <v>16569</v>
      </c>
      <c r="C7158" t="s">
        <v>16570</v>
      </c>
      <c r="D7158" t="s">
        <v>16571</v>
      </c>
      <c r="E7158" t="s">
        <v>2310</v>
      </c>
      <c r="F7158">
        <v>9</v>
      </c>
      <c r="G7158">
        <v>9.1</v>
      </c>
      <c r="H7158" t="s">
        <v>2323</v>
      </c>
      <c r="I7158" s="21">
        <v>44659.417800810188</v>
      </c>
      <c r="J7158">
        <v>2022</v>
      </c>
      <c r="K7158" s="21" t="s">
        <v>114</v>
      </c>
      <c r="L7158" t="e">
        <v>#VALUE!</v>
      </c>
      <c r="O7158" s="21" t="s">
        <v>114</v>
      </c>
      <c r="P7158" s="21" t="s">
        <v>114</v>
      </c>
      <c r="Q7158" s="262">
        <v>279000</v>
      </c>
      <c r="R7158" s="262">
        <v>550000</v>
      </c>
      <c r="S7158" t="s">
        <v>13254</v>
      </c>
      <c r="U7158">
        <v>8</v>
      </c>
      <c r="V7158">
        <v>0</v>
      </c>
      <c r="W7158">
        <v>4352</v>
      </c>
      <c r="X7158">
        <v>1</v>
      </c>
      <c r="AC7158">
        <v>3354</v>
      </c>
      <c r="AF7158">
        <v>998</v>
      </c>
      <c r="AR7158">
        <v>1</v>
      </c>
      <c r="AU7158">
        <f t="shared" si="222"/>
        <v>0</v>
      </c>
      <c r="AV7158">
        <f t="shared" si="223"/>
        <v>0</v>
      </c>
    </row>
    <row r="7159" spans="1:48" x14ac:dyDescent="0.25">
      <c r="A7159" t="s">
        <v>16572</v>
      </c>
      <c r="B7159" t="s">
        <v>16572</v>
      </c>
      <c r="C7159" t="s">
        <v>16573</v>
      </c>
      <c r="D7159" t="s">
        <v>16574</v>
      </c>
      <c r="E7159" t="s">
        <v>2310</v>
      </c>
      <c r="F7159">
        <v>14</v>
      </c>
      <c r="G7159">
        <v>14.2</v>
      </c>
      <c r="H7159" t="s">
        <v>2017</v>
      </c>
      <c r="I7159" s="21">
        <v>44659.442429976851</v>
      </c>
      <c r="J7159">
        <v>2022</v>
      </c>
      <c r="K7159" s="21" t="s">
        <v>114</v>
      </c>
      <c r="L7159" t="e">
        <v>#VALUE!</v>
      </c>
      <c r="O7159" s="21" t="s">
        <v>114</v>
      </c>
      <c r="P7159" s="21" t="s">
        <v>114</v>
      </c>
      <c r="Q7159" s="262">
        <v>123000</v>
      </c>
      <c r="R7159" s="262">
        <v>150000</v>
      </c>
      <c r="S7159" t="s">
        <v>13254</v>
      </c>
      <c r="V7159">
        <v>0</v>
      </c>
      <c r="W7159">
        <v>1000</v>
      </c>
      <c r="X7159">
        <v>1</v>
      </c>
      <c r="AC7159">
        <v>1000</v>
      </c>
      <c r="AO7159">
        <v>1</v>
      </c>
      <c r="AU7159">
        <f t="shared" si="222"/>
        <v>1</v>
      </c>
      <c r="AV7159">
        <f t="shared" si="223"/>
        <v>0</v>
      </c>
    </row>
    <row r="7160" spans="1:48" x14ac:dyDescent="0.25">
      <c r="A7160" t="s">
        <v>16575</v>
      </c>
      <c r="B7160" t="s">
        <v>16575</v>
      </c>
      <c r="C7160" t="s">
        <v>16576</v>
      </c>
      <c r="D7160" t="s">
        <v>5822</v>
      </c>
      <c r="E7160" t="s">
        <v>2310</v>
      </c>
      <c r="F7160">
        <v>8</v>
      </c>
      <c r="G7160">
        <v>8.1999999999999993</v>
      </c>
      <c r="H7160" t="s">
        <v>2022</v>
      </c>
      <c r="I7160" s="21">
        <v>44659.537237349534</v>
      </c>
      <c r="J7160">
        <v>2022</v>
      </c>
      <c r="K7160" s="21">
        <v>44761.507724039351</v>
      </c>
      <c r="L7160">
        <v>2022</v>
      </c>
      <c r="O7160" s="21" t="s">
        <v>114</v>
      </c>
      <c r="P7160" s="21" t="s">
        <v>114</v>
      </c>
      <c r="Q7160" s="262">
        <v>223000</v>
      </c>
      <c r="R7160" s="262">
        <v>950000</v>
      </c>
      <c r="S7160" t="s">
        <v>13254</v>
      </c>
      <c r="U7160">
        <v>5</v>
      </c>
      <c r="V7160">
        <v>0</v>
      </c>
      <c r="W7160">
        <v>3283</v>
      </c>
      <c r="X7160">
        <v>0</v>
      </c>
      <c r="AC7160">
        <v>3283</v>
      </c>
      <c r="AU7160">
        <f t="shared" si="222"/>
        <v>0</v>
      </c>
      <c r="AV7160">
        <f t="shared" si="223"/>
        <v>0</v>
      </c>
    </row>
    <row r="7161" spans="1:48" x14ac:dyDescent="0.25">
      <c r="A7161" t="s">
        <v>15100</v>
      </c>
      <c r="C7161" t="s">
        <v>15101</v>
      </c>
      <c r="D7161" t="s">
        <v>15102</v>
      </c>
      <c r="E7161" t="s">
        <v>1663</v>
      </c>
      <c r="F7161">
        <v>6</v>
      </c>
      <c r="G7161">
        <v>6.2</v>
      </c>
      <c r="H7161" t="s">
        <v>2017</v>
      </c>
      <c r="I7161" s="21">
        <v>44664</v>
      </c>
      <c r="J7161">
        <v>2022</v>
      </c>
      <c r="M7161" s="21">
        <v>44874</v>
      </c>
      <c r="N7161">
        <v>2022</v>
      </c>
      <c r="P7161" s="21" t="s">
        <v>114</v>
      </c>
      <c r="Q7161" s="262">
        <v>300000</v>
      </c>
      <c r="S7161" t="s">
        <v>13253</v>
      </c>
      <c r="T7161">
        <v>9254</v>
      </c>
      <c r="W7161">
        <v>0</v>
      </c>
      <c r="X7161">
        <v>0</v>
      </c>
      <c r="AU7161">
        <f t="shared" si="222"/>
        <v>0</v>
      </c>
      <c r="AV7161">
        <f t="shared" si="223"/>
        <v>0</v>
      </c>
    </row>
    <row r="7162" spans="1:48" x14ac:dyDescent="0.25">
      <c r="A7162" t="s">
        <v>16580</v>
      </c>
      <c r="C7162" t="s">
        <v>16558</v>
      </c>
      <c r="D7162" t="s">
        <v>16581</v>
      </c>
      <c r="E7162" t="s">
        <v>1663</v>
      </c>
      <c r="F7162">
        <v>3</v>
      </c>
      <c r="G7162">
        <v>3.2</v>
      </c>
      <c r="H7162" t="s">
        <v>2327</v>
      </c>
      <c r="I7162" s="21">
        <v>44665</v>
      </c>
      <c r="J7162">
        <v>2022</v>
      </c>
      <c r="P7162" s="21" t="s">
        <v>114</v>
      </c>
      <c r="Q7162" s="262">
        <v>600000</v>
      </c>
      <c r="S7162" t="s">
        <v>13253</v>
      </c>
      <c r="T7162">
        <v>11585</v>
      </c>
      <c r="W7162">
        <v>1427</v>
      </c>
      <c r="X7162">
        <v>0</v>
      </c>
      <c r="AC7162">
        <v>1427</v>
      </c>
      <c r="AU7162">
        <f t="shared" si="222"/>
        <v>0</v>
      </c>
      <c r="AV7162">
        <f t="shared" si="223"/>
        <v>0</v>
      </c>
    </row>
    <row r="7163" spans="1:48" x14ac:dyDescent="0.25">
      <c r="A7163" t="s">
        <v>16582</v>
      </c>
      <c r="B7163" t="s">
        <v>16582</v>
      </c>
      <c r="C7163" t="s">
        <v>16583</v>
      </c>
      <c r="D7163" t="s">
        <v>2700</v>
      </c>
      <c r="E7163" t="s">
        <v>2310</v>
      </c>
      <c r="F7163">
        <v>12</v>
      </c>
      <c r="G7163">
        <v>12.2</v>
      </c>
      <c r="H7163" t="s">
        <v>2017</v>
      </c>
      <c r="I7163" s="21">
        <v>44665.406193287039</v>
      </c>
      <c r="J7163">
        <v>2022</v>
      </c>
      <c r="K7163" s="21" t="s">
        <v>114</v>
      </c>
      <c r="L7163" t="e">
        <v>#VALUE!</v>
      </c>
      <c r="O7163" s="21" t="s">
        <v>114</v>
      </c>
      <c r="P7163" s="21" t="s">
        <v>114</v>
      </c>
      <c r="Q7163" s="262">
        <v>181000</v>
      </c>
      <c r="R7163" s="262">
        <v>1000000</v>
      </c>
      <c r="S7163" t="s">
        <v>13254</v>
      </c>
      <c r="V7163">
        <v>0</v>
      </c>
      <c r="W7163">
        <v>2022</v>
      </c>
      <c r="X7163">
        <v>1</v>
      </c>
      <c r="AC7163">
        <v>1023</v>
      </c>
      <c r="AF7163">
        <v>999</v>
      </c>
      <c r="AR7163">
        <v>1</v>
      </c>
      <c r="AU7163">
        <f t="shared" si="222"/>
        <v>0</v>
      </c>
      <c r="AV7163">
        <f t="shared" si="223"/>
        <v>0</v>
      </c>
    </row>
    <row r="7164" spans="1:48" x14ac:dyDescent="0.25">
      <c r="A7164" t="s">
        <v>16584</v>
      </c>
      <c r="B7164" t="s">
        <v>16584</v>
      </c>
      <c r="C7164" t="s">
        <v>16585</v>
      </c>
      <c r="D7164" t="s">
        <v>16586</v>
      </c>
      <c r="E7164" t="s">
        <v>2310</v>
      </c>
      <c r="F7164">
        <v>15</v>
      </c>
      <c r="G7164">
        <v>15.2</v>
      </c>
      <c r="H7164" t="s">
        <v>2323</v>
      </c>
      <c r="I7164" s="21">
        <v>44665.595993553237</v>
      </c>
      <c r="J7164">
        <v>2022</v>
      </c>
      <c r="K7164" s="21">
        <v>44792.678669479166</v>
      </c>
      <c r="L7164">
        <v>2022</v>
      </c>
      <c r="O7164" s="21" t="s">
        <v>114</v>
      </c>
      <c r="P7164" s="21" t="s">
        <v>114</v>
      </c>
      <c r="Q7164" s="262">
        <v>209000</v>
      </c>
      <c r="R7164" s="262">
        <v>2300000</v>
      </c>
      <c r="S7164" t="s">
        <v>13254</v>
      </c>
      <c r="U7164">
        <v>5</v>
      </c>
      <c r="V7164">
        <v>0</v>
      </c>
      <c r="W7164">
        <v>2433</v>
      </c>
      <c r="X7164">
        <v>1</v>
      </c>
      <c r="AC7164">
        <v>2433</v>
      </c>
      <c r="AO7164">
        <v>1</v>
      </c>
      <c r="AU7164">
        <f t="shared" si="222"/>
        <v>1</v>
      </c>
      <c r="AV7164">
        <f t="shared" si="223"/>
        <v>0</v>
      </c>
    </row>
    <row r="7165" spans="1:48" x14ac:dyDescent="0.25">
      <c r="A7165" t="s">
        <v>16587</v>
      </c>
      <c r="B7165" t="s">
        <v>16587</v>
      </c>
      <c r="C7165" t="s">
        <v>16588</v>
      </c>
      <c r="D7165" t="s">
        <v>16589</v>
      </c>
      <c r="E7165" t="s">
        <v>2310</v>
      </c>
      <c r="F7165">
        <v>9</v>
      </c>
      <c r="G7165">
        <v>9.4</v>
      </c>
      <c r="H7165" t="s">
        <v>2323</v>
      </c>
      <c r="I7165" s="21">
        <v>44665.625188344908</v>
      </c>
      <c r="J7165">
        <v>2022</v>
      </c>
      <c r="K7165" s="21" t="s">
        <v>114</v>
      </c>
      <c r="L7165" t="e">
        <v>#VALUE!</v>
      </c>
      <c r="O7165" s="21" t="s">
        <v>114</v>
      </c>
      <c r="P7165" s="21" t="s">
        <v>114</v>
      </c>
      <c r="Q7165" s="262">
        <v>1175000</v>
      </c>
      <c r="R7165" s="262">
        <v>10000000</v>
      </c>
      <c r="S7165" t="s">
        <v>13254</v>
      </c>
      <c r="U7165">
        <v>5</v>
      </c>
      <c r="V7165">
        <v>0</v>
      </c>
      <c r="W7165">
        <v>7754</v>
      </c>
      <c r="X7165">
        <v>1</v>
      </c>
      <c r="AC7165">
        <v>7754</v>
      </c>
      <c r="AO7165">
        <v>1</v>
      </c>
      <c r="AU7165">
        <f t="shared" si="222"/>
        <v>1</v>
      </c>
      <c r="AV7165">
        <f t="shared" si="223"/>
        <v>0</v>
      </c>
    </row>
    <row r="7166" spans="1:48" x14ac:dyDescent="0.25">
      <c r="A7166" t="s">
        <v>16590</v>
      </c>
      <c r="B7166" t="s">
        <v>16590</v>
      </c>
      <c r="C7166" t="s">
        <v>16591</v>
      </c>
      <c r="D7166" t="s">
        <v>8621</v>
      </c>
      <c r="E7166" t="s">
        <v>2310</v>
      </c>
      <c r="F7166">
        <v>13</v>
      </c>
      <c r="G7166">
        <v>13.2</v>
      </c>
      <c r="H7166" t="s">
        <v>2327</v>
      </c>
      <c r="I7166" s="21">
        <v>44666.439116400463</v>
      </c>
      <c r="J7166">
        <v>2022</v>
      </c>
      <c r="K7166" s="21" t="s">
        <v>114</v>
      </c>
      <c r="L7166" t="e">
        <v>#VALUE!</v>
      </c>
      <c r="O7166" s="21" t="s">
        <v>114</v>
      </c>
      <c r="P7166" s="21" t="s">
        <v>114</v>
      </c>
      <c r="Q7166" s="262">
        <v>206000</v>
      </c>
      <c r="R7166" s="262">
        <v>600000</v>
      </c>
      <c r="S7166" t="s">
        <v>13253</v>
      </c>
      <c r="T7166">
        <v>8416</v>
      </c>
      <c r="V7166">
        <v>1377</v>
      </c>
      <c r="W7166">
        <v>0</v>
      </c>
      <c r="X7166">
        <v>0</v>
      </c>
      <c r="AU7166">
        <f t="shared" si="222"/>
        <v>0</v>
      </c>
      <c r="AV7166">
        <f t="shared" si="223"/>
        <v>0</v>
      </c>
    </row>
    <row r="7167" spans="1:48" x14ac:dyDescent="0.25">
      <c r="A7167" t="s">
        <v>16592</v>
      </c>
      <c r="B7167" t="s">
        <v>16592</v>
      </c>
      <c r="C7167" t="s">
        <v>16593</v>
      </c>
      <c r="D7167" t="s">
        <v>1547</v>
      </c>
      <c r="E7167" t="s">
        <v>2310</v>
      </c>
      <c r="F7167">
        <v>9</v>
      </c>
      <c r="G7167">
        <v>9.1999999999999993</v>
      </c>
      <c r="H7167" t="s">
        <v>2022</v>
      </c>
      <c r="I7167" s="21">
        <v>44666.469784837966</v>
      </c>
      <c r="J7167">
        <v>2022</v>
      </c>
      <c r="K7167" s="21">
        <v>44791.693762233794</v>
      </c>
      <c r="L7167">
        <v>2022</v>
      </c>
      <c r="O7167" s="21" t="s">
        <v>114</v>
      </c>
      <c r="P7167" s="21" t="s">
        <v>114</v>
      </c>
      <c r="Q7167" s="262">
        <v>1490000</v>
      </c>
      <c r="R7167" s="262">
        <v>3000000</v>
      </c>
      <c r="S7167" t="s">
        <v>13254</v>
      </c>
      <c r="U7167">
        <v>5</v>
      </c>
      <c r="V7167">
        <v>0</v>
      </c>
      <c r="W7167">
        <v>9300</v>
      </c>
      <c r="X7167">
        <v>1</v>
      </c>
      <c r="AC7167">
        <v>9300</v>
      </c>
      <c r="AO7167">
        <v>1</v>
      </c>
      <c r="AU7167">
        <f t="shared" si="222"/>
        <v>1</v>
      </c>
      <c r="AV7167">
        <f t="shared" si="223"/>
        <v>0</v>
      </c>
    </row>
    <row r="7168" spans="1:48" x14ac:dyDescent="0.25">
      <c r="A7168" t="s">
        <v>19708</v>
      </c>
      <c r="B7168" t="s">
        <v>19708</v>
      </c>
      <c r="C7168" t="s">
        <v>19709</v>
      </c>
      <c r="D7168" t="s">
        <v>19710</v>
      </c>
      <c r="E7168" t="s">
        <v>2310</v>
      </c>
      <c r="F7168">
        <v>9</v>
      </c>
      <c r="G7168">
        <v>9.1</v>
      </c>
      <c r="H7168" t="s">
        <v>2323</v>
      </c>
      <c r="I7168" s="21">
        <v>44666.59555489583</v>
      </c>
      <c r="J7168">
        <v>2022</v>
      </c>
      <c r="K7168" s="21">
        <v>44719.428625497683</v>
      </c>
      <c r="L7168">
        <v>2022</v>
      </c>
      <c r="M7168" s="21">
        <v>44816</v>
      </c>
      <c r="N7168">
        <v>2022</v>
      </c>
      <c r="O7168" s="21" t="s">
        <v>114</v>
      </c>
      <c r="P7168" s="21" t="s">
        <v>114</v>
      </c>
      <c r="Q7168" s="262">
        <v>680000</v>
      </c>
      <c r="R7168" s="262">
        <v>6600000</v>
      </c>
      <c r="S7168" t="s">
        <v>13254</v>
      </c>
      <c r="U7168">
        <v>5</v>
      </c>
      <c r="V7168">
        <v>0</v>
      </c>
      <c r="W7168">
        <v>5339</v>
      </c>
      <c r="X7168">
        <v>1</v>
      </c>
      <c r="AC7168">
        <v>5339</v>
      </c>
      <c r="AO7168">
        <v>1</v>
      </c>
      <c r="AU7168">
        <f t="shared" si="222"/>
        <v>1</v>
      </c>
      <c r="AV7168">
        <f t="shared" si="223"/>
        <v>0</v>
      </c>
    </row>
    <row r="7169" spans="1:48" x14ac:dyDescent="0.25">
      <c r="A7169" t="s">
        <v>19711</v>
      </c>
      <c r="B7169" t="s">
        <v>19711</v>
      </c>
      <c r="C7169" t="s">
        <v>19712</v>
      </c>
      <c r="D7169" t="s">
        <v>15792</v>
      </c>
      <c r="E7169" t="s">
        <v>2310</v>
      </c>
      <c r="F7169">
        <v>9</v>
      </c>
      <c r="G7169">
        <v>9.3000000000000007</v>
      </c>
      <c r="H7169" t="s">
        <v>2323</v>
      </c>
      <c r="I7169" s="21">
        <v>44666.643219826386</v>
      </c>
      <c r="J7169">
        <v>2022</v>
      </c>
      <c r="K7169" s="21">
        <v>44774.364705243053</v>
      </c>
      <c r="L7169">
        <v>2022</v>
      </c>
      <c r="M7169" s="21">
        <v>44907</v>
      </c>
      <c r="N7169">
        <v>2022</v>
      </c>
      <c r="P7169" s="21" t="s">
        <v>114</v>
      </c>
      <c r="Q7169" s="262">
        <v>111000</v>
      </c>
      <c r="R7169" s="262">
        <v>225000</v>
      </c>
      <c r="S7169" t="s">
        <v>13254</v>
      </c>
      <c r="V7169">
        <v>0</v>
      </c>
      <c r="W7169">
        <v>1549</v>
      </c>
      <c r="X7169">
        <v>1</v>
      </c>
      <c r="AC7169">
        <v>616</v>
      </c>
      <c r="AF7169">
        <v>933</v>
      </c>
      <c r="AR7169">
        <v>1</v>
      </c>
      <c r="AU7169">
        <f t="shared" si="222"/>
        <v>0</v>
      </c>
      <c r="AV7169">
        <f t="shared" si="223"/>
        <v>0</v>
      </c>
    </row>
    <row r="7170" spans="1:48" x14ac:dyDescent="0.25">
      <c r="A7170" t="s">
        <v>16600</v>
      </c>
      <c r="B7170" t="s">
        <v>16600</v>
      </c>
      <c r="C7170" t="s">
        <v>16601</v>
      </c>
      <c r="D7170" t="s">
        <v>16435</v>
      </c>
      <c r="E7170" t="s">
        <v>2310</v>
      </c>
      <c r="F7170">
        <v>8</v>
      </c>
      <c r="G7170">
        <v>8.1999999999999993</v>
      </c>
      <c r="H7170" t="s">
        <v>2022</v>
      </c>
      <c r="I7170" s="21">
        <v>44672.387397025464</v>
      </c>
      <c r="J7170">
        <v>2022</v>
      </c>
      <c r="K7170" s="21" t="s">
        <v>114</v>
      </c>
      <c r="L7170" t="e">
        <v>#VALUE!</v>
      </c>
      <c r="O7170" s="21" t="s">
        <v>114</v>
      </c>
      <c r="P7170" s="21" t="s">
        <v>114</v>
      </c>
      <c r="Q7170" s="262">
        <v>325000</v>
      </c>
      <c r="R7170" s="262">
        <v>2000000</v>
      </c>
      <c r="S7170" t="s">
        <v>13254</v>
      </c>
      <c r="U7170">
        <v>5</v>
      </c>
      <c r="V7170">
        <v>0</v>
      </c>
      <c r="W7170">
        <v>5618</v>
      </c>
      <c r="X7170">
        <v>0</v>
      </c>
      <c r="AC7170">
        <v>5618</v>
      </c>
      <c r="AU7170">
        <f t="shared" si="222"/>
        <v>0</v>
      </c>
      <c r="AV7170">
        <f t="shared" si="223"/>
        <v>0</v>
      </c>
    </row>
    <row r="7171" spans="1:48" x14ac:dyDescent="0.25">
      <c r="A7171" t="s">
        <v>16602</v>
      </c>
      <c r="B7171" t="s">
        <v>16602</v>
      </c>
      <c r="C7171" t="s">
        <v>16603</v>
      </c>
      <c r="D7171" t="s">
        <v>16109</v>
      </c>
      <c r="E7171" t="s">
        <v>2310</v>
      </c>
      <c r="F7171">
        <v>10</v>
      </c>
      <c r="G7171">
        <v>10.1</v>
      </c>
      <c r="H7171" t="s">
        <v>2323</v>
      </c>
      <c r="I7171" s="21">
        <v>44672.625069097223</v>
      </c>
      <c r="J7171">
        <v>2022</v>
      </c>
      <c r="K7171" s="21">
        <v>44672.625069097223</v>
      </c>
      <c r="L7171">
        <v>2022</v>
      </c>
      <c r="O7171" s="21" t="s">
        <v>114</v>
      </c>
      <c r="P7171" s="21" t="s">
        <v>114</v>
      </c>
      <c r="Q7171" s="262">
        <v>119000</v>
      </c>
      <c r="R7171" s="262">
        <v>750000</v>
      </c>
      <c r="S7171" t="s">
        <v>16604</v>
      </c>
      <c r="T7171">
        <v>9023</v>
      </c>
      <c r="V7171">
        <v>0</v>
      </c>
      <c r="W7171">
        <v>451</v>
      </c>
      <c r="X7171">
        <v>0</v>
      </c>
      <c r="AE7171">
        <v>-548</v>
      </c>
      <c r="AF7171">
        <v>999</v>
      </c>
      <c r="AQ7171">
        <v>-1</v>
      </c>
      <c r="AR7171">
        <v>1</v>
      </c>
      <c r="AU7171">
        <f t="shared" si="222"/>
        <v>-1</v>
      </c>
      <c r="AV7171">
        <f t="shared" si="223"/>
        <v>0</v>
      </c>
    </row>
    <row r="7172" spans="1:48" x14ac:dyDescent="0.25">
      <c r="A7172" t="s">
        <v>16605</v>
      </c>
      <c r="C7172" t="s">
        <v>13129</v>
      </c>
      <c r="D7172" t="s">
        <v>14493</v>
      </c>
      <c r="E7172" t="s">
        <v>1663</v>
      </c>
      <c r="F7172">
        <v>4</v>
      </c>
      <c r="G7172">
        <v>4.3</v>
      </c>
      <c r="H7172" t="s">
        <v>2327</v>
      </c>
      <c r="I7172" s="21">
        <v>44673</v>
      </c>
      <c r="J7172">
        <v>2022</v>
      </c>
      <c r="K7172" s="21">
        <v>44727</v>
      </c>
      <c r="L7172">
        <v>2022</v>
      </c>
      <c r="P7172" s="21" t="s">
        <v>114</v>
      </c>
      <c r="Q7172" s="262">
        <v>65000</v>
      </c>
      <c r="S7172" t="s">
        <v>13253</v>
      </c>
      <c r="T7172">
        <v>12113</v>
      </c>
      <c r="W7172">
        <v>0</v>
      </c>
      <c r="X7172">
        <v>0</v>
      </c>
      <c r="AU7172">
        <f t="shared" si="222"/>
        <v>0</v>
      </c>
      <c r="AV7172">
        <f t="shared" si="223"/>
        <v>0</v>
      </c>
    </row>
    <row r="7173" spans="1:48" x14ac:dyDescent="0.25">
      <c r="A7173" t="s">
        <v>16606</v>
      </c>
      <c r="B7173" t="s">
        <v>16606</v>
      </c>
      <c r="C7173" t="s">
        <v>16607</v>
      </c>
      <c r="D7173" t="s">
        <v>16608</v>
      </c>
      <c r="E7173" t="s">
        <v>2310</v>
      </c>
      <c r="F7173">
        <v>9</v>
      </c>
      <c r="G7173">
        <v>9.4</v>
      </c>
      <c r="H7173" t="s">
        <v>2323</v>
      </c>
      <c r="I7173" s="21">
        <v>44673.383920983797</v>
      </c>
      <c r="J7173">
        <v>2022</v>
      </c>
      <c r="K7173" s="21" t="s">
        <v>114</v>
      </c>
      <c r="L7173" t="e">
        <v>#VALUE!</v>
      </c>
      <c r="O7173" s="21" t="s">
        <v>114</v>
      </c>
      <c r="P7173" s="21" t="s">
        <v>114</v>
      </c>
      <c r="Q7173" s="262">
        <v>679000</v>
      </c>
      <c r="R7173" s="262">
        <v>3000000</v>
      </c>
      <c r="S7173" t="s">
        <v>13254</v>
      </c>
      <c r="U7173">
        <v>5</v>
      </c>
      <c r="V7173">
        <v>0</v>
      </c>
      <c r="W7173">
        <v>5553.27</v>
      </c>
      <c r="X7173">
        <v>1</v>
      </c>
      <c r="AC7173">
        <v>5553.27</v>
      </c>
      <c r="AO7173">
        <v>1</v>
      </c>
      <c r="AU7173">
        <f t="shared" si="222"/>
        <v>1</v>
      </c>
      <c r="AV7173">
        <f t="shared" si="223"/>
        <v>0</v>
      </c>
    </row>
    <row r="7174" spans="1:48" x14ac:dyDescent="0.25">
      <c r="A7174" t="s">
        <v>16609</v>
      </c>
      <c r="B7174" t="s">
        <v>16609</v>
      </c>
      <c r="C7174" t="s">
        <v>16610</v>
      </c>
      <c r="D7174" t="s">
        <v>16611</v>
      </c>
      <c r="E7174" t="s">
        <v>2310</v>
      </c>
      <c r="F7174">
        <v>8</v>
      </c>
      <c r="G7174">
        <v>8.3000000000000007</v>
      </c>
      <c r="H7174" t="s">
        <v>2323</v>
      </c>
      <c r="I7174" s="21">
        <v>44673.470604548609</v>
      </c>
      <c r="J7174">
        <v>2022</v>
      </c>
      <c r="K7174" s="21" t="s">
        <v>114</v>
      </c>
      <c r="L7174" t="e">
        <v>#VALUE!</v>
      </c>
      <c r="O7174" s="21" t="s">
        <v>114</v>
      </c>
      <c r="P7174" s="21" t="s">
        <v>114</v>
      </c>
      <c r="Q7174" s="262">
        <v>32000</v>
      </c>
      <c r="R7174" s="262">
        <v>350000</v>
      </c>
      <c r="S7174" t="s">
        <v>13253</v>
      </c>
      <c r="T7174">
        <v>14599</v>
      </c>
      <c r="V7174">
        <v>200</v>
      </c>
      <c r="W7174">
        <v>114</v>
      </c>
      <c r="X7174">
        <v>0</v>
      </c>
      <c r="AC7174">
        <v>114</v>
      </c>
      <c r="AU7174">
        <f t="shared" si="222"/>
        <v>0</v>
      </c>
      <c r="AV7174">
        <f t="shared" si="223"/>
        <v>0</v>
      </c>
    </row>
    <row r="7175" spans="1:48" x14ac:dyDescent="0.25">
      <c r="A7175" t="s">
        <v>16614</v>
      </c>
      <c r="B7175" t="s">
        <v>16614</v>
      </c>
      <c r="C7175" t="s">
        <v>16615</v>
      </c>
      <c r="D7175" t="s">
        <v>16616</v>
      </c>
      <c r="E7175" t="s">
        <v>2310</v>
      </c>
      <c r="F7175">
        <v>15</v>
      </c>
      <c r="G7175">
        <v>15.1</v>
      </c>
      <c r="H7175" t="s">
        <v>2022</v>
      </c>
      <c r="I7175" s="21">
        <v>44673.662596099537</v>
      </c>
      <c r="J7175">
        <v>2022</v>
      </c>
      <c r="K7175" s="21" t="s">
        <v>114</v>
      </c>
      <c r="L7175" t="e">
        <v>#VALUE!</v>
      </c>
      <c r="O7175" s="21" t="s">
        <v>114</v>
      </c>
      <c r="P7175" s="21" t="s">
        <v>114</v>
      </c>
      <c r="Q7175" s="262">
        <v>559000</v>
      </c>
      <c r="R7175" s="262">
        <v>1310400</v>
      </c>
      <c r="S7175" t="s">
        <v>12464</v>
      </c>
      <c r="T7175">
        <v>619</v>
      </c>
      <c r="V7175">
        <v>1008</v>
      </c>
      <c r="W7175">
        <v>4560</v>
      </c>
      <c r="X7175">
        <v>1</v>
      </c>
      <c r="AC7175">
        <v>4560</v>
      </c>
      <c r="AO7175">
        <v>1</v>
      </c>
      <c r="AU7175">
        <f t="shared" si="222"/>
        <v>1</v>
      </c>
      <c r="AV7175">
        <f t="shared" si="223"/>
        <v>0</v>
      </c>
    </row>
    <row r="7176" spans="1:48" x14ac:dyDescent="0.25">
      <c r="A7176" t="s">
        <v>16614</v>
      </c>
      <c r="B7176" t="s">
        <v>16614</v>
      </c>
      <c r="C7176" t="s">
        <v>16615</v>
      </c>
      <c r="D7176" t="s">
        <v>16616</v>
      </c>
      <c r="E7176" t="s">
        <v>2310</v>
      </c>
      <c r="F7176">
        <v>15</v>
      </c>
      <c r="G7176">
        <v>15.1</v>
      </c>
      <c r="H7176" t="s">
        <v>2022</v>
      </c>
      <c r="I7176" s="21">
        <v>44673.662596099537</v>
      </c>
      <c r="J7176">
        <v>2022</v>
      </c>
      <c r="K7176" s="21" t="s">
        <v>114</v>
      </c>
      <c r="L7176" t="e">
        <v>#VALUE!</v>
      </c>
      <c r="O7176" s="21" t="s">
        <v>114</v>
      </c>
      <c r="P7176" s="21" t="s">
        <v>114</v>
      </c>
      <c r="Q7176" s="262">
        <v>559000</v>
      </c>
      <c r="R7176" s="262">
        <v>1310400</v>
      </c>
      <c r="S7176" t="s">
        <v>13253</v>
      </c>
      <c r="T7176">
        <v>618</v>
      </c>
      <c r="V7176">
        <v>1008</v>
      </c>
      <c r="W7176">
        <v>0</v>
      </c>
      <c r="X7176">
        <v>0</v>
      </c>
      <c r="AC7176">
        <v>-1008</v>
      </c>
      <c r="AF7176">
        <v>1008</v>
      </c>
      <c r="AO7176">
        <v>-1</v>
      </c>
      <c r="AR7176">
        <v>1</v>
      </c>
      <c r="AU7176">
        <f t="shared" si="222"/>
        <v>-1</v>
      </c>
      <c r="AV7176">
        <f t="shared" si="223"/>
        <v>0</v>
      </c>
    </row>
    <row r="7177" spans="1:48" x14ac:dyDescent="0.25">
      <c r="A7177" t="s">
        <v>16614</v>
      </c>
      <c r="D7177" t="s">
        <v>16616</v>
      </c>
      <c r="E7177" t="s">
        <v>2310</v>
      </c>
      <c r="F7177">
        <v>15</v>
      </c>
      <c r="G7177">
        <v>15.1</v>
      </c>
      <c r="H7177" t="s">
        <v>2022</v>
      </c>
      <c r="I7177" s="21">
        <v>44673.662596099537</v>
      </c>
      <c r="J7177">
        <v>2022</v>
      </c>
      <c r="K7177" s="21" t="s">
        <v>114</v>
      </c>
      <c r="L7177" t="e">
        <v>#VALUE!</v>
      </c>
      <c r="O7177" s="21" t="s">
        <v>114</v>
      </c>
      <c r="P7177" s="21" t="s">
        <v>114</v>
      </c>
      <c r="Q7177" s="262">
        <v>559000</v>
      </c>
      <c r="R7177" s="262">
        <v>1310400</v>
      </c>
      <c r="S7177" t="s">
        <v>9529</v>
      </c>
      <c r="T7177">
        <v>619</v>
      </c>
      <c r="U7177">
        <v>5</v>
      </c>
      <c r="W7177">
        <v>-888</v>
      </c>
      <c r="X7177">
        <v>0</v>
      </c>
      <c r="Y7177">
        <v>0</v>
      </c>
      <c r="Z7177">
        <v>0</v>
      </c>
      <c r="AA7177">
        <v>0</v>
      </c>
      <c r="AB7177">
        <v>0</v>
      </c>
      <c r="AC7177">
        <v>-888</v>
      </c>
      <c r="AD7177">
        <v>0</v>
      </c>
      <c r="AE7177">
        <v>0</v>
      </c>
      <c r="AF7177">
        <v>0</v>
      </c>
      <c r="AG7177">
        <v>0</v>
      </c>
      <c r="AH7177">
        <v>0</v>
      </c>
      <c r="AI7177">
        <v>0</v>
      </c>
      <c r="AJ7177">
        <v>0</v>
      </c>
      <c r="AK7177">
        <v>0</v>
      </c>
      <c r="AL7177">
        <v>0</v>
      </c>
      <c r="AM7177">
        <v>0</v>
      </c>
      <c r="AN7177">
        <v>0</v>
      </c>
      <c r="AO7177">
        <v>0</v>
      </c>
      <c r="AP7177">
        <v>0</v>
      </c>
      <c r="AQ7177">
        <v>0</v>
      </c>
      <c r="AR7177">
        <v>0</v>
      </c>
      <c r="AS7177">
        <v>0</v>
      </c>
      <c r="AT7177">
        <v>0</v>
      </c>
      <c r="AU7177">
        <f t="shared" si="222"/>
        <v>0</v>
      </c>
      <c r="AV7177">
        <f t="shared" si="223"/>
        <v>0</v>
      </c>
    </row>
    <row r="7178" spans="1:48" x14ac:dyDescent="0.25">
      <c r="A7178" t="s">
        <v>15111</v>
      </c>
      <c r="C7178" t="s">
        <v>15112</v>
      </c>
      <c r="D7178" t="s">
        <v>15113</v>
      </c>
      <c r="E7178" t="s">
        <v>1663</v>
      </c>
      <c r="F7178">
        <v>3</v>
      </c>
      <c r="G7178">
        <v>3.2</v>
      </c>
      <c r="H7178" t="s">
        <v>2327</v>
      </c>
      <c r="I7178" s="21">
        <v>44677</v>
      </c>
      <c r="J7178">
        <v>2022</v>
      </c>
      <c r="K7178" s="21">
        <v>44697</v>
      </c>
      <c r="L7178">
        <v>2022</v>
      </c>
      <c r="M7178" s="21">
        <v>44756</v>
      </c>
      <c r="N7178">
        <v>2022</v>
      </c>
      <c r="P7178" s="21" t="s">
        <v>114</v>
      </c>
      <c r="Q7178" s="262">
        <v>15000</v>
      </c>
      <c r="S7178" t="s">
        <v>13253</v>
      </c>
      <c r="T7178">
        <v>9780</v>
      </c>
      <c r="V7178">
        <v>150</v>
      </c>
      <c r="W7178">
        <v>0</v>
      </c>
      <c r="X7178">
        <v>1</v>
      </c>
      <c r="AE7178">
        <v>589</v>
      </c>
      <c r="AJ7178">
        <v>-589</v>
      </c>
      <c r="AQ7178">
        <v>1</v>
      </c>
      <c r="AU7178">
        <f t="shared" si="222"/>
        <v>1</v>
      </c>
      <c r="AV7178">
        <f t="shared" si="223"/>
        <v>-589</v>
      </c>
    </row>
    <row r="7179" spans="1:48" x14ac:dyDescent="0.25">
      <c r="A7179" t="s">
        <v>16617</v>
      </c>
      <c r="C7179" t="s">
        <v>11706</v>
      </c>
      <c r="D7179" t="s">
        <v>16384</v>
      </c>
      <c r="E7179" t="s">
        <v>1663</v>
      </c>
      <c r="F7179">
        <v>3</v>
      </c>
      <c r="G7179">
        <v>3.1</v>
      </c>
      <c r="H7179" t="s">
        <v>2017</v>
      </c>
      <c r="I7179" s="21">
        <v>44677</v>
      </c>
      <c r="J7179">
        <v>2022</v>
      </c>
      <c r="K7179" s="21">
        <v>44764</v>
      </c>
      <c r="L7179">
        <v>2022</v>
      </c>
      <c r="P7179" s="21" t="s">
        <v>114</v>
      </c>
      <c r="Q7179" s="262">
        <v>278400</v>
      </c>
      <c r="S7179" t="s">
        <v>13254</v>
      </c>
      <c r="V7179">
        <v>0</v>
      </c>
      <c r="W7179">
        <v>1207</v>
      </c>
      <c r="X7179">
        <v>1</v>
      </c>
      <c r="AD7179">
        <v>1207</v>
      </c>
      <c r="AP7179">
        <v>1</v>
      </c>
      <c r="AU7179">
        <f t="shared" si="222"/>
        <v>1</v>
      </c>
      <c r="AV7179">
        <f t="shared" si="223"/>
        <v>0</v>
      </c>
    </row>
    <row r="7180" spans="1:48" x14ac:dyDescent="0.25">
      <c r="A7180" t="s">
        <v>16618</v>
      </c>
      <c r="C7180" t="s">
        <v>11905</v>
      </c>
      <c r="D7180" t="s">
        <v>16384</v>
      </c>
      <c r="E7180" t="s">
        <v>1663</v>
      </c>
      <c r="F7180">
        <v>3</v>
      </c>
      <c r="G7180">
        <v>3.1</v>
      </c>
      <c r="H7180" t="s">
        <v>2017</v>
      </c>
      <c r="I7180" s="21">
        <v>44677</v>
      </c>
      <c r="J7180">
        <v>2022</v>
      </c>
      <c r="K7180" s="21">
        <v>44764</v>
      </c>
      <c r="L7180">
        <v>2022</v>
      </c>
      <c r="P7180" s="21" t="s">
        <v>114</v>
      </c>
      <c r="Q7180" s="262">
        <v>278400</v>
      </c>
      <c r="S7180" t="s">
        <v>13254</v>
      </c>
      <c r="V7180">
        <v>0</v>
      </c>
      <c r="W7180">
        <v>1297</v>
      </c>
      <c r="X7180">
        <v>1</v>
      </c>
      <c r="AD7180">
        <v>1297</v>
      </c>
      <c r="AP7180">
        <v>1</v>
      </c>
      <c r="AU7180">
        <f t="shared" si="222"/>
        <v>1</v>
      </c>
      <c r="AV7180">
        <f t="shared" si="223"/>
        <v>0</v>
      </c>
    </row>
    <row r="7181" spans="1:48" x14ac:dyDescent="0.25">
      <c r="A7181" t="s">
        <v>16619</v>
      </c>
      <c r="C7181" t="s">
        <v>11905</v>
      </c>
      <c r="D7181" t="s">
        <v>16384</v>
      </c>
      <c r="E7181" t="s">
        <v>1663</v>
      </c>
      <c r="F7181">
        <v>3</v>
      </c>
      <c r="G7181">
        <v>3.1</v>
      </c>
      <c r="H7181" t="s">
        <v>2017</v>
      </c>
      <c r="I7181" s="21">
        <v>44677</v>
      </c>
      <c r="J7181">
        <v>2022</v>
      </c>
      <c r="K7181" s="21">
        <v>44764</v>
      </c>
      <c r="L7181">
        <v>2022</v>
      </c>
      <c r="P7181" s="21" t="s">
        <v>114</v>
      </c>
      <c r="Q7181" s="262">
        <v>278400</v>
      </c>
      <c r="S7181" t="s">
        <v>13254</v>
      </c>
      <c r="V7181">
        <v>0</v>
      </c>
      <c r="W7181">
        <v>1207</v>
      </c>
      <c r="X7181">
        <v>1</v>
      </c>
      <c r="AD7181">
        <v>1207</v>
      </c>
      <c r="AP7181">
        <v>1</v>
      </c>
      <c r="AU7181">
        <f t="shared" si="222"/>
        <v>1</v>
      </c>
      <c r="AV7181">
        <f t="shared" si="223"/>
        <v>0</v>
      </c>
    </row>
    <row r="7182" spans="1:48" x14ac:dyDescent="0.25">
      <c r="A7182" t="s">
        <v>15126</v>
      </c>
      <c r="C7182" t="s">
        <v>11879</v>
      </c>
      <c r="D7182" t="s">
        <v>9056</v>
      </c>
      <c r="E7182" t="s">
        <v>1663</v>
      </c>
      <c r="F7182">
        <v>1</v>
      </c>
      <c r="G7182">
        <v>1.2</v>
      </c>
      <c r="H7182" t="s">
        <v>2017</v>
      </c>
      <c r="I7182" s="21">
        <v>44677</v>
      </c>
      <c r="J7182">
        <v>2022</v>
      </c>
      <c r="K7182" s="21">
        <v>44707</v>
      </c>
      <c r="L7182">
        <v>2022</v>
      </c>
      <c r="M7182" s="21">
        <v>44874</v>
      </c>
      <c r="N7182">
        <v>2022</v>
      </c>
      <c r="P7182" s="21" t="s">
        <v>114</v>
      </c>
      <c r="Q7182" s="262">
        <v>10000</v>
      </c>
      <c r="S7182" t="s">
        <v>13253</v>
      </c>
      <c r="T7182">
        <v>12683</v>
      </c>
      <c r="V7182">
        <v>484</v>
      </c>
      <c r="W7182">
        <v>0</v>
      </c>
      <c r="X7182">
        <v>0</v>
      </c>
      <c r="AU7182">
        <f t="shared" si="222"/>
        <v>0</v>
      </c>
      <c r="AV7182">
        <f t="shared" si="223"/>
        <v>0</v>
      </c>
    </row>
    <row r="7183" spans="1:48" x14ac:dyDescent="0.25">
      <c r="A7183" t="s">
        <v>16624</v>
      </c>
      <c r="B7183" t="s">
        <v>16624</v>
      </c>
      <c r="C7183" t="s">
        <v>16625</v>
      </c>
      <c r="D7183" t="s">
        <v>7327</v>
      </c>
      <c r="E7183" t="s">
        <v>2310</v>
      </c>
      <c r="F7183">
        <v>15</v>
      </c>
      <c r="G7183">
        <v>15.3</v>
      </c>
      <c r="H7183" t="s">
        <v>2022</v>
      </c>
      <c r="I7183" s="21">
        <v>44679.683872488429</v>
      </c>
      <c r="J7183">
        <v>2022</v>
      </c>
      <c r="K7183" s="21" t="s">
        <v>114</v>
      </c>
      <c r="L7183" t="e">
        <v>#VALUE!</v>
      </c>
      <c r="O7183" s="21" t="s">
        <v>114</v>
      </c>
      <c r="P7183" s="21" t="s">
        <v>114</v>
      </c>
      <c r="Q7183" s="262">
        <v>0</v>
      </c>
      <c r="R7183" s="262">
        <v>100000</v>
      </c>
      <c r="S7183" t="s">
        <v>13253</v>
      </c>
      <c r="T7183">
        <v>8089</v>
      </c>
      <c r="V7183">
        <v>838</v>
      </c>
      <c r="W7183">
        <v>0</v>
      </c>
      <c r="X7183">
        <v>1</v>
      </c>
      <c r="AC7183">
        <v>-838</v>
      </c>
      <c r="AF7183">
        <v>838</v>
      </c>
      <c r="AR7183">
        <v>1</v>
      </c>
      <c r="AU7183">
        <f t="shared" si="222"/>
        <v>0</v>
      </c>
      <c r="AV7183">
        <f t="shared" si="223"/>
        <v>0</v>
      </c>
    </row>
    <row r="7184" spans="1:48" x14ac:dyDescent="0.25">
      <c r="A7184" t="s">
        <v>16626</v>
      </c>
      <c r="C7184" t="s">
        <v>13528</v>
      </c>
      <c r="D7184" t="s">
        <v>16627</v>
      </c>
      <c r="E7184" t="s">
        <v>1663</v>
      </c>
      <c r="F7184">
        <v>3</v>
      </c>
      <c r="G7184">
        <v>3.2</v>
      </c>
      <c r="H7184" t="s">
        <v>2327</v>
      </c>
      <c r="I7184" s="21">
        <v>44680</v>
      </c>
      <c r="J7184">
        <v>2022</v>
      </c>
      <c r="P7184" s="21" t="s">
        <v>114</v>
      </c>
      <c r="Q7184" s="262">
        <v>2000000</v>
      </c>
      <c r="S7184" t="s">
        <v>12464</v>
      </c>
      <c r="T7184">
        <v>9713</v>
      </c>
      <c r="W7184">
        <v>4136</v>
      </c>
      <c r="X7184">
        <v>1</v>
      </c>
      <c r="AC7184">
        <v>4136</v>
      </c>
      <c r="AO7184">
        <v>1</v>
      </c>
      <c r="AU7184">
        <f t="shared" si="222"/>
        <v>1</v>
      </c>
      <c r="AV7184">
        <f t="shared" si="223"/>
        <v>0</v>
      </c>
    </row>
    <row r="7185" spans="1:48" x14ac:dyDescent="0.25">
      <c r="A7185" t="s">
        <v>16626</v>
      </c>
      <c r="C7185" t="s">
        <v>13528</v>
      </c>
      <c r="D7185" t="s">
        <v>16627</v>
      </c>
      <c r="E7185" t="s">
        <v>1663</v>
      </c>
      <c r="F7185">
        <v>3</v>
      </c>
      <c r="G7185">
        <v>3.2</v>
      </c>
      <c r="H7185" t="s">
        <v>2327</v>
      </c>
      <c r="I7185" s="21">
        <v>44680</v>
      </c>
      <c r="J7185">
        <v>2022</v>
      </c>
      <c r="Q7185" s="262">
        <v>2000000</v>
      </c>
      <c r="S7185" t="s">
        <v>9529</v>
      </c>
      <c r="T7185">
        <v>9713</v>
      </c>
      <c r="U7185">
        <v>5</v>
      </c>
      <c r="W7185">
        <v>-1044</v>
      </c>
      <c r="X7185">
        <v>-1</v>
      </c>
      <c r="Y7185">
        <v>0</v>
      </c>
      <c r="Z7185">
        <v>0</v>
      </c>
      <c r="AA7185">
        <v>0</v>
      </c>
      <c r="AB7185">
        <v>0</v>
      </c>
      <c r="AC7185">
        <v>-1044</v>
      </c>
      <c r="AD7185">
        <v>0</v>
      </c>
      <c r="AE7185">
        <v>0</v>
      </c>
      <c r="AF7185">
        <v>0</v>
      </c>
      <c r="AG7185">
        <v>0</v>
      </c>
      <c r="AH7185">
        <v>0</v>
      </c>
      <c r="AI7185">
        <v>0</v>
      </c>
      <c r="AJ7185">
        <v>0</v>
      </c>
      <c r="AK7185">
        <v>0</v>
      </c>
      <c r="AL7185">
        <v>0</v>
      </c>
      <c r="AM7185">
        <v>0</v>
      </c>
      <c r="AN7185">
        <v>0</v>
      </c>
      <c r="AO7185">
        <v>-1</v>
      </c>
      <c r="AP7185">
        <v>0</v>
      </c>
      <c r="AQ7185">
        <v>0</v>
      </c>
      <c r="AR7185">
        <v>0</v>
      </c>
      <c r="AS7185">
        <v>0</v>
      </c>
      <c r="AT7185">
        <v>0</v>
      </c>
      <c r="AU7185">
        <f t="shared" si="222"/>
        <v>-1</v>
      </c>
      <c r="AV7185">
        <f t="shared" si="223"/>
        <v>0</v>
      </c>
    </row>
    <row r="7186" spans="1:48" x14ac:dyDescent="0.25">
      <c r="A7186" t="s">
        <v>16629</v>
      </c>
      <c r="B7186" t="s">
        <v>16629</v>
      </c>
      <c r="C7186" t="s">
        <v>16630</v>
      </c>
      <c r="D7186" t="s">
        <v>16237</v>
      </c>
      <c r="E7186" t="s">
        <v>2310</v>
      </c>
      <c r="F7186">
        <v>9</v>
      </c>
      <c r="G7186">
        <v>9.4</v>
      </c>
      <c r="H7186" t="s">
        <v>2323</v>
      </c>
      <c r="I7186" s="21">
        <v>44680.509299456018</v>
      </c>
      <c r="J7186">
        <v>2022</v>
      </c>
      <c r="K7186" s="21">
        <v>44784.561027048614</v>
      </c>
      <c r="L7186">
        <v>2022</v>
      </c>
      <c r="O7186" s="21" t="s">
        <v>114</v>
      </c>
      <c r="P7186" s="21" t="s">
        <v>114</v>
      </c>
      <c r="Q7186" s="262">
        <v>152000</v>
      </c>
      <c r="R7186" s="262">
        <v>268800</v>
      </c>
      <c r="S7186" t="s">
        <v>13253</v>
      </c>
      <c r="T7186">
        <v>2916</v>
      </c>
      <c r="V7186">
        <v>1095</v>
      </c>
      <c r="W7186">
        <v>448</v>
      </c>
      <c r="X7186">
        <v>0</v>
      </c>
      <c r="AC7186">
        <v>448</v>
      </c>
      <c r="AU7186">
        <f t="shared" si="222"/>
        <v>0</v>
      </c>
      <c r="AV7186">
        <f t="shared" si="223"/>
        <v>0</v>
      </c>
    </row>
    <row r="7187" spans="1:48" x14ac:dyDescent="0.25">
      <c r="A7187" t="s">
        <v>16631</v>
      </c>
      <c r="B7187" t="s">
        <v>16631</v>
      </c>
      <c r="C7187" t="s">
        <v>16632</v>
      </c>
      <c r="D7187" t="s">
        <v>6706</v>
      </c>
      <c r="E7187" t="s">
        <v>2310</v>
      </c>
      <c r="F7187">
        <v>8</v>
      </c>
      <c r="G7187">
        <v>8.3000000000000007</v>
      </c>
      <c r="H7187" t="s">
        <v>2323</v>
      </c>
      <c r="I7187" s="21">
        <v>44680.603519097225</v>
      </c>
      <c r="J7187">
        <v>2022</v>
      </c>
      <c r="K7187" s="21">
        <v>44783.416919131945</v>
      </c>
      <c r="L7187">
        <v>2022</v>
      </c>
      <c r="O7187" s="21" t="s">
        <v>114</v>
      </c>
      <c r="P7187" s="21" t="s">
        <v>114</v>
      </c>
      <c r="Q7187" s="262">
        <v>5000</v>
      </c>
      <c r="R7187" s="262">
        <v>125000</v>
      </c>
      <c r="S7187" t="s">
        <v>13253</v>
      </c>
      <c r="T7187">
        <v>14066</v>
      </c>
      <c r="V7187">
        <v>0</v>
      </c>
      <c r="W7187">
        <v>110</v>
      </c>
      <c r="X7187">
        <v>0</v>
      </c>
      <c r="AB7187">
        <v>110</v>
      </c>
      <c r="AU7187">
        <f t="shared" si="222"/>
        <v>0</v>
      </c>
      <c r="AV7187">
        <f t="shared" si="223"/>
        <v>110</v>
      </c>
    </row>
    <row r="7188" spans="1:48" x14ac:dyDescent="0.25">
      <c r="A7188" t="s">
        <v>16633</v>
      </c>
      <c r="B7188" t="s">
        <v>16633</v>
      </c>
      <c r="C7188" t="s">
        <v>16634</v>
      </c>
      <c r="D7188" t="s">
        <v>9363</v>
      </c>
      <c r="E7188" t="s">
        <v>2310</v>
      </c>
      <c r="F7188">
        <v>9</v>
      </c>
      <c r="G7188">
        <v>9.1</v>
      </c>
      <c r="H7188" t="s">
        <v>2323</v>
      </c>
      <c r="I7188" s="21">
        <v>44680.694116666666</v>
      </c>
      <c r="J7188">
        <v>2022</v>
      </c>
      <c r="K7188" s="21">
        <v>44798.667489039355</v>
      </c>
      <c r="L7188">
        <v>2022</v>
      </c>
      <c r="O7188" s="21" t="s">
        <v>114</v>
      </c>
      <c r="P7188" s="21" t="s">
        <v>114</v>
      </c>
      <c r="Q7188" s="262">
        <v>160000</v>
      </c>
      <c r="R7188" s="262">
        <v>5500000</v>
      </c>
      <c r="S7188" t="s">
        <v>13254</v>
      </c>
      <c r="U7188">
        <v>8</v>
      </c>
      <c r="V7188">
        <v>0</v>
      </c>
      <c r="W7188">
        <v>1596</v>
      </c>
      <c r="X7188">
        <v>1</v>
      </c>
      <c r="AC7188">
        <v>598</v>
      </c>
      <c r="AF7188">
        <v>998</v>
      </c>
      <c r="AR7188">
        <v>1</v>
      </c>
      <c r="AU7188">
        <f t="shared" si="222"/>
        <v>0</v>
      </c>
      <c r="AV7188">
        <f t="shared" si="223"/>
        <v>0</v>
      </c>
    </row>
    <row r="7189" spans="1:48" x14ac:dyDescent="0.25">
      <c r="A7189" t="s">
        <v>16635</v>
      </c>
      <c r="B7189" t="s">
        <v>16635</v>
      </c>
      <c r="C7189" t="s">
        <v>16636</v>
      </c>
      <c r="D7189" t="s">
        <v>16637</v>
      </c>
      <c r="E7189" t="s">
        <v>2310</v>
      </c>
      <c r="F7189">
        <v>9</v>
      </c>
      <c r="G7189">
        <v>9.1</v>
      </c>
      <c r="H7189" t="s">
        <v>2323</v>
      </c>
      <c r="I7189" s="21">
        <v>44683.339158368057</v>
      </c>
      <c r="J7189">
        <v>2022</v>
      </c>
      <c r="K7189" s="21">
        <v>44719.43217777778</v>
      </c>
      <c r="L7189">
        <v>2022</v>
      </c>
      <c r="O7189" s="21" t="s">
        <v>114</v>
      </c>
      <c r="P7189" s="21" t="s">
        <v>114</v>
      </c>
      <c r="Q7189" s="262">
        <v>619000</v>
      </c>
      <c r="R7189" s="262">
        <v>1200000</v>
      </c>
      <c r="S7189" t="s">
        <v>13254</v>
      </c>
      <c r="U7189">
        <v>5</v>
      </c>
      <c r="V7189">
        <v>0</v>
      </c>
      <c r="W7189">
        <v>4983</v>
      </c>
      <c r="X7189">
        <v>1</v>
      </c>
      <c r="AC7189">
        <v>4983</v>
      </c>
      <c r="AO7189">
        <v>1</v>
      </c>
      <c r="AU7189">
        <f t="shared" si="222"/>
        <v>1</v>
      </c>
      <c r="AV7189">
        <f t="shared" si="223"/>
        <v>0</v>
      </c>
    </row>
    <row r="7190" spans="1:48" x14ac:dyDescent="0.25">
      <c r="A7190" t="s">
        <v>16638</v>
      </c>
      <c r="B7190" t="s">
        <v>16638</v>
      </c>
      <c r="C7190" t="s">
        <v>16639</v>
      </c>
      <c r="D7190" t="s">
        <v>16640</v>
      </c>
      <c r="E7190" t="s">
        <v>2310</v>
      </c>
      <c r="F7190">
        <v>9</v>
      </c>
      <c r="G7190">
        <v>9.1</v>
      </c>
      <c r="H7190" t="s">
        <v>2323</v>
      </c>
      <c r="I7190" s="21">
        <v>44683.411545798612</v>
      </c>
      <c r="J7190">
        <v>2022</v>
      </c>
      <c r="K7190" s="21">
        <v>44789.364170219909</v>
      </c>
      <c r="L7190">
        <v>2022</v>
      </c>
      <c r="O7190" s="21" t="s">
        <v>114</v>
      </c>
      <c r="P7190" s="21" t="s">
        <v>114</v>
      </c>
      <c r="Q7190" s="262">
        <v>420000</v>
      </c>
      <c r="R7190" s="262">
        <v>1500000</v>
      </c>
      <c r="S7190" t="s">
        <v>13253</v>
      </c>
      <c r="T7190">
        <v>8259</v>
      </c>
      <c r="V7190">
        <v>1679</v>
      </c>
      <c r="W7190">
        <v>1820</v>
      </c>
      <c r="X7190">
        <v>0</v>
      </c>
      <c r="AC7190">
        <v>1820</v>
      </c>
      <c r="AU7190">
        <f t="shared" si="222"/>
        <v>0</v>
      </c>
      <c r="AV7190">
        <f t="shared" si="223"/>
        <v>0</v>
      </c>
    </row>
    <row r="7191" spans="1:48" x14ac:dyDescent="0.25">
      <c r="A7191" t="s">
        <v>16641</v>
      </c>
      <c r="B7191" t="s">
        <v>16641</v>
      </c>
      <c r="C7191" t="s">
        <v>16642</v>
      </c>
      <c r="D7191" t="s">
        <v>14325</v>
      </c>
      <c r="E7191" t="s">
        <v>2310</v>
      </c>
      <c r="F7191">
        <v>9</v>
      </c>
      <c r="G7191">
        <v>9.1</v>
      </c>
      <c r="H7191" t="s">
        <v>2323</v>
      </c>
      <c r="I7191" s="21">
        <v>44683.456943252313</v>
      </c>
      <c r="J7191">
        <v>2022</v>
      </c>
      <c r="K7191" s="21">
        <v>44719.467146493058</v>
      </c>
      <c r="L7191">
        <v>2022</v>
      </c>
      <c r="O7191" s="21" t="s">
        <v>114</v>
      </c>
      <c r="P7191" s="21" t="s">
        <v>114</v>
      </c>
      <c r="Q7191" s="262">
        <v>143000</v>
      </c>
      <c r="R7191" s="262">
        <v>550000</v>
      </c>
      <c r="S7191" t="s">
        <v>13254</v>
      </c>
      <c r="V7191">
        <v>0</v>
      </c>
      <c r="W7191">
        <v>1500</v>
      </c>
      <c r="X7191">
        <v>1</v>
      </c>
      <c r="AC7191">
        <v>500</v>
      </c>
      <c r="AF7191">
        <v>1000</v>
      </c>
      <c r="AR7191">
        <v>1</v>
      </c>
      <c r="AU7191">
        <f t="shared" si="222"/>
        <v>0</v>
      </c>
      <c r="AV7191">
        <f t="shared" si="223"/>
        <v>0</v>
      </c>
    </row>
    <row r="7192" spans="1:48" x14ac:dyDescent="0.25">
      <c r="A7192" t="s">
        <v>16643</v>
      </c>
      <c r="B7192" t="s">
        <v>16643</v>
      </c>
      <c r="C7192" t="s">
        <v>16644</v>
      </c>
      <c r="D7192" t="s">
        <v>14325</v>
      </c>
      <c r="E7192" t="s">
        <v>2310</v>
      </c>
      <c r="F7192">
        <v>9</v>
      </c>
      <c r="G7192">
        <v>9.1</v>
      </c>
      <c r="H7192" t="s">
        <v>2323</v>
      </c>
      <c r="I7192" s="21">
        <v>44683.469126886572</v>
      </c>
      <c r="J7192">
        <v>2022</v>
      </c>
      <c r="K7192" s="21">
        <v>44776.634621840276</v>
      </c>
      <c r="L7192">
        <v>2022</v>
      </c>
      <c r="O7192" s="21" t="s">
        <v>114</v>
      </c>
      <c r="P7192" s="21" t="s">
        <v>114</v>
      </c>
      <c r="Q7192" s="262">
        <v>89000</v>
      </c>
      <c r="R7192" s="262">
        <v>250000</v>
      </c>
      <c r="S7192" t="s">
        <v>13253</v>
      </c>
      <c r="T7192">
        <v>6134</v>
      </c>
      <c r="V7192">
        <v>816</v>
      </c>
      <c r="W7192">
        <v>1248</v>
      </c>
      <c r="X7192">
        <v>0</v>
      </c>
      <c r="AC7192">
        <v>1248</v>
      </c>
      <c r="AU7192">
        <f t="shared" si="222"/>
        <v>0</v>
      </c>
      <c r="AV7192">
        <f t="shared" si="223"/>
        <v>0</v>
      </c>
    </row>
    <row r="7193" spans="1:48" x14ac:dyDescent="0.25">
      <c r="A7193" t="s">
        <v>16645</v>
      </c>
      <c r="B7193" t="s">
        <v>16645</v>
      </c>
      <c r="C7193" t="s">
        <v>16646</v>
      </c>
      <c r="D7193" t="s">
        <v>16647</v>
      </c>
      <c r="E7193" t="s">
        <v>2310</v>
      </c>
      <c r="F7193">
        <v>7</v>
      </c>
      <c r="G7193">
        <v>7.1</v>
      </c>
      <c r="H7193" t="s">
        <v>2017</v>
      </c>
      <c r="I7193" s="21">
        <v>44683.598505636575</v>
      </c>
      <c r="J7193">
        <v>2022</v>
      </c>
      <c r="K7193" s="21" t="s">
        <v>114</v>
      </c>
      <c r="L7193" t="e">
        <v>#VALUE!</v>
      </c>
      <c r="O7193" s="21" t="s">
        <v>114</v>
      </c>
      <c r="P7193" s="21" t="s">
        <v>114</v>
      </c>
      <c r="Q7193" s="262">
        <v>716000</v>
      </c>
      <c r="R7193" s="262">
        <v>2000000</v>
      </c>
      <c r="S7193" t="s">
        <v>13254</v>
      </c>
      <c r="V7193">
        <v>0</v>
      </c>
      <c r="W7193">
        <v>7852</v>
      </c>
      <c r="X7193">
        <v>4</v>
      </c>
      <c r="AE7193">
        <v>4352</v>
      </c>
      <c r="AL7193">
        <v>3500</v>
      </c>
      <c r="AQ7193">
        <v>4</v>
      </c>
      <c r="AU7193">
        <f t="shared" ref="AU7193:AU7256" si="224">SUM(AN7193:AQ7193,AS7193)</f>
        <v>4</v>
      </c>
      <c r="AV7193">
        <f t="shared" ref="AV7193:AV7256" si="225">SUM(Y7193:AB7193,AH7193:AM7193)</f>
        <v>3500</v>
      </c>
    </row>
    <row r="7194" spans="1:48" x14ac:dyDescent="0.25">
      <c r="A7194" t="s">
        <v>16648</v>
      </c>
      <c r="C7194" t="s">
        <v>16649</v>
      </c>
      <c r="D7194" t="s">
        <v>16650</v>
      </c>
      <c r="E7194" t="s">
        <v>1663</v>
      </c>
      <c r="F7194">
        <v>6</v>
      </c>
      <c r="G7194">
        <v>6.2</v>
      </c>
      <c r="H7194" t="s">
        <v>2017</v>
      </c>
      <c r="I7194" s="21">
        <v>44686</v>
      </c>
      <c r="J7194">
        <v>2022</v>
      </c>
      <c r="K7194" s="21">
        <v>44705</v>
      </c>
      <c r="L7194">
        <v>2022</v>
      </c>
      <c r="P7194" s="21" t="s">
        <v>114</v>
      </c>
      <c r="Q7194" s="262">
        <v>75000</v>
      </c>
      <c r="S7194" t="s">
        <v>13253</v>
      </c>
      <c r="T7194">
        <v>10428</v>
      </c>
      <c r="W7194">
        <v>0</v>
      </c>
      <c r="X7194">
        <v>0</v>
      </c>
      <c r="AU7194">
        <f t="shared" si="224"/>
        <v>0</v>
      </c>
      <c r="AV7194">
        <f t="shared" si="225"/>
        <v>0</v>
      </c>
    </row>
    <row r="7195" spans="1:48" x14ac:dyDescent="0.25">
      <c r="A7195" t="s">
        <v>16651</v>
      </c>
      <c r="B7195" t="s">
        <v>16651</v>
      </c>
      <c r="C7195" t="s">
        <v>16652</v>
      </c>
      <c r="D7195" t="s">
        <v>16653</v>
      </c>
      <c r="E7195" t="s">
        <v>2310</v>
      </c>
      <c r="F7195">
        <v>14</v>
      </c>
      <c r="G7195">
        <v>14.1</v>
      </c>
      <c r="H7195" t="s">
        <v>2022</v>
      </c>
      <c r="I7195" s="21">
        <v>44686.589278159721</v>
      </c>
      <c r="J7195">
        <v>2022</v>
      </c>
      <c r="K7195" s="21">
        <v>44719.471803587963</v>
      </c>
      <c r="L7195">
        <v>2022</v>
      </c>
      <c r="O7195" s="21" t="s">
        <v>114</v>
      </c>
      <c r="P7195" s="21" t="s">
        <v>114</v>
      </c>
      <c r="Q7195" s="262">
        <v>593000</v>
      </c>
      <c r="R7195" s="262">
        <v>3300000</v>
      </c>
      <c r="S7195" t="s">
        <v>13254</v>
      </c>
      <c r="U7195">
        <v>5</v>
      </c>
      <c r="V7195">
        <v>0</v>
      </c>
      <c r="W7195">
        <v>4873</v>
      </c>
      <c r="X7195">
        <v>1</v>
      </c>
      <c r="AC7195">
        <v>4873</v>
      </c>
      <c r="AO7195">
        <v>1</v>
      </c>
      <c r="AU7195">
        <f t="shared" si="224"/>
        <v>1</v>
      </c>
      <c r="AV7195">
        <f t="shared" si="225"/>
        <v>0</v>
      </c>
    </row>
    <row r="7196" spans="1:48" x14ac:dyDescent="0.25">
      <c r="A7196" t="s">
        <v>16654</v>
      </c>
      <c r="B7196" t="s">
        <v>16654</v>
      </c>
      <c r="C7196" t="s">
        <v>16655</v>
      </c>
      <c r="D7196" t="s">
        <v>16653</v>
      </c>
      <c r="E7196" t="s">
        <v>2310</v>
      </c>
      <c r="F7196">
        <v>14</v>
      </c>
      <c r="G7196">
        <v>14.1</v>
      </c>
      <c r="H7196" t="s">
        <v>2022</v>
      </c>
      <c r="I7196" s="21">
        <v>44686.596104085649</v>
      </c>
      <c r="J7196">
        <v>2022</v>
      </c>
      <c r="K7196" s="21">
        <v>44790.482500613427</v>
      </c>
      <c r="L7196">
        <v>2022</v>
      </c>
      <c r="O7196" s="21" t="s">
        <v>114</v>
      </c>
      <c r="P7196" s="21" t="s">
        <v>114</v>
      </c>
      <c r="Q7196" s="262">
        <v>41000</v>
      </c>
      <c r="R7196" s="262">
        <v>1000000</v>
      </c>
      <c r="S7196" t="s">
        <v>13254</v>
      </c>
      <c r="U7196">
        <v>5</v>
      </c>
      <c r="V7196">
        <v>0</v>
      </c>
      <c r="W7196">
        <v>1823</v>
      </c>
      <c r="X7196">
        <v>0</v>
      </c>
      <c r="AC7196">
        <v>1823</v>
      </c>
      <c r="AU7196">
        <f t="shared" si="224"/>
        <v>0</v>
      </c>
      <c r="AV7196">
        <f t="shared" si="225"/>
        <v>0</v>
      </c>
    </row>
    <row r="7197" spans="1:48" x14ac:dyDescent="0.25">
      <c r="A7197" t="s">
        <v>16656</v>
      </c>
      <c r="B7197" t="s">
        <v>16656</v>
      </c>
      <c r="C7197" t="s">
        <v>16657</v>
      </c>
      <c r="D7197" t="s">
        <v>9039</v>
      </c>
      <c r="E7197" t="s">
        <v>2310</v>
      </c>
      <c r="F7197">
        <v>9</v>
      </c>
      <c r="G7197">
        <v>9.3000000000000007</v>
      </c>
      <c r="H7197" t="s">
        <v>2323</v>
      </c>
      <c r="I7197" s="21">
        <v>44686.685958946757</v>
      </c>
      <c r="J7197">
        <v>2022</v>
      </c>
      <c r="K7197" s="21" t="s">
        <v>114</v>
      </c>
      <c r="L7197" t="e">
        <v>#VALUE!</v>
      </c>
      <c r="O7197" s="21" t="s">
        <v>114</v>
      </c>
      <c r="P7197" s="21" t="s">
        <v>114</v>
      </c>
      <c r="Q7197" s="262">
        <v>170000</v>
      </c>
      <c r="R7197" s="262">
        <v>552750</v>
      </c>
      <c r="S7197" t="s">
        <v>13254</v>
      </c>
      <c r="V7197">
        <v>0</v>
      </c>
      <c r="W7197">
        <v>1611</v>
      </c>
      <c r="X7197">
        <v>1</v>
      </c>
      <c r="AC7197">
        <v>611</v>
      </c>
      <c r="AF7197">
        <v>1000</v>
      </c>
      <c r="AR7197">
        <v>1</v>
      </c>
      <c r="AU7197">
        <f t="shared" si="224"/>
        <v>0</v>
      </c>
      <c r="AV7197">
        <f t="shared" si="225"/>
        <v>0</v>
      </c>
    </row>
    <row r="7198" spans="1:48" x14ac:dyDescent="0.25">
      <c r="A7198" t="s">
        <v>16658</v>
      </c>
      <c r="B7198" t="s">
        <v>16658</v>
      </c>
      <c r="C7198" t="s">
        <v>16659</v>
      </c>
      <c r="D7198" t="s">
        <v>16660</v>
      </c>
      <c r="E7198" t="s">
        <v>2310</v>
      </c>
      <c r="F7198">
        <v>9</v>
      </c>
      <c r="G7198">
        <v>9.1999999999999993</v>
      </c>
      <c r="H7198" t="s">
        <v>2022</v>
      </c>
      <c r="I7198" s="21">
        <v>44687.357961111113</v>
      </c>
      <c r="J7198">
        <v>2022</v>
      </c>
      <c r="K7198" s="21" t="s">
        <v>114</v>
      </c>
      <c r="L7198" t="e">
        <v>#VALUE!</v>
      </c>
      <c r="O7198" s="21" t="s">
        <v>114</v>
      </c>
      <c r="P7198" s="21" t="s">
        <v>114</v>
      </c>
      <c r="Q7198" s="262">
        <v>429000</v>
      </c>
      <c r="R7198" s="262">
        <v>1800000</v>
      </c>
      <c r="S7198" t="s">
        <v>13254</v>
      </c>
      <c r="U7198">
        <v>5</v>
      </c>
      <c r="V7198">
        <v>0</v>
      </c>
      <c r="W7198">
        <v>2779</v>
      </c>
      <c r="X7198">
        <v>1</v>
      </c>
      <c r="AC7198">
        <v>2779</v>
      </c>
      <c r="AO7198">
        <v>1</v>
      </c>
      <c r="AU7198">
        <f t="shared" si="224"/>
        <v>1</v>
      </c>
      <c r="AV7198">
        <f t="shared" si="225"/>
        <v>0</v>
      </c>
    </row>
    <row r="7199" spans="1:48" x14ac:dyDescent="0.25">
      <c r="A7199" t="s">
        <v>16661</v>
      </c>
      <c r="B7199" t="s">
        <v>16661</v>
      </c>
      <c r="C7199" t="s">
        <v>16662</v>
      </c>
      <c r="D7199" t="s">
        <v>14341</v>
      </c>
      <c r="E7199" t="s">
        <v>2310</v>
      </c>
      <c r="F7199">
        <v>9</v>
      </c>
      <c r="G7199">
        <v>9.1</v>
      </c>
      <c r="H7199" t="s">
        <v>2323</v>
      </c>
      <c r="I7199" s="21">
        <v>44687.486849849534</v>
      </c>
      <c r="J7199">
        <v>2022</v>
      </c>
      <c r="K7199" s="21" t="s">
        <v>114</v>
      </c>
      <c r="L7199" t="e">
        <v>#VALUE!</v>
      </c>
      <c r="O7199" s="21" t="s">
        <v>114</v>
      </c>
      <c r="P7199" s="21" t="s">
        <v>114</v>
      </c>
      <c r="Q7199" s="262">
        <v>700000</v>
      </c>
      <c r="R7199" s="262">
        <v>3800000</v>
      </c>
      <c r="S7199" t="s">
        <v>13254</v>
      </c>
      <c r="U7199">
        <v>5</v>
      </c>
      <c r="V7199">
        <v>0</v>
      </c>
      <c r="W7199">
        <v>6038</v>
      </c>
      <c r="X7199">
        <v>1</v>
      </c>
      <c r="AC7199">
        <v>6038</v>
      </c>
      <c r="AO7199">
        <v>1</v>
      </c>
      <c r="AU7199">
        <f t="shared" si="224"/>
        <v>1</v>
      </c>
      <c r="AV7199">
        <f t="shared" si="225"/>
        <v>0</v>
      </c>
    </row>
    <row r="7200" spans="1:48" x14ac:dyDescent="0.25">
      <c r="A7200" t="s">
        <v>16663</v>
      </c>
      <c r="B7200" t="s">
        <v>16663</v>
      </c>
      <c r="C7200" t="s">
        <v>16664</v>
      </c>
      <c r="D7200" t="s">
        <v>8308</v>
      </c>
      <c r="E7200" t="s">
        <v>2310</v>
      </c>
      <c r="F7200">
        <v>8</v>
      </c>
      <c r="G7200">
        <v>8.1</v>
      </c>
      <c r="H7200" t="s">
        <v>2323</v>
      </c>
      <c r="I7200" s="21">
        <v>44687.596563541665</v>
      </c>
      <c r="J7200">
        <v>2022</v>
      </c>
      <c r="K7200" s="21" t="s">
        <v>114</v>
      </c>
      <c r="L7200" t="e">
        <v>#VALUE!</v>
      </c>
      <c r="O7200" s="21" t="s">
        <v>114</v>
      </c>
      <c r="P7200" s="21" t="s">
        <v>114</v>
      </c>
      <c r="Q7200" s="262">
        <v>229000</v>
      </c>
      <c r="R7200" s="262">
        <v>3000000</v>
      </c>
      <c r="S7200" t="s">
        <v>13254</v>
      </c>
      <c r="U7200">
        <v>5</v>
      </c>
      <c r="V7200">
        <v>0</v>
      </c>
      <c r="W7200">
        <v>1940</v>
      </c>
      <c r="X7200">
        <v>0</v>
      </c>
      <c r="AC7200">
        <v>1940</v>
      </c>
      <c r="AU7200">
        <f t="shared" si="224"/>
        <v>0</v>
      </c>
      <c r="AV7200">
        <f t="shared" si="225"/>
        <v>0</v>
      </c>
    </row>
    <row r="7201" spans="1:48" x14ac:dyDescent="0.25">
      <c r="A7201" t="s">
        <v>16665</v>
      </c>
      <c r="C7201" t="s">
        <v>11237</v>
      </c>
      <c r="D7201" t="s">
        <v>11560</v>
      </c>
      <c r="E7201" t="s">
        <v>1663</v>
      </c>
      <c r="F7201">
        <v>3</v>
      </c>
      <c r="G7201">
        <v>3.2</v>
      </c>
      <c r="H7201" t="s">
        <v>2327</v>
      </c>
      <c r="I7201" s="21">
        <v>44690</v>
      </c>
      <c r="J7201">
        <v>2022</v>
      </c>
      <c r="K7201" s="21">
        <v>44840</v>
      </c>
      <c r="L7201">
        <v>2022</v>
      </c>
      <c r="P7201" s="21" t="s">
        <v>114</v>
      </c>
      <c r="Q7201" s="262">
        <v>40000</v>
      </c>
      <c r="S7201" t="s">
        <v>13253</v>
      </c>
      <c r="T7201">
        <v>13994</v>
      </c>
      <c r="V7201">
        <v>14</v>
      </c>
      <c r="W7201">
        <v>0</v>
      </c>
      <c r="X7201">
        <v>0</v>
      </c>
      <c r="AU7201">
        <f t="shared" si="224"/>
        <v>0</v>
      </c>
      <c r="AV7201">
        <f t="shared" si="225"/>
        <v>0</v>
      </c>
    </row>
    <row r="7202" spans="1:48" x14ac:dyDescent="0.25">
      <c r="A7202" t="s">
        <v>15138</v>
      </c>
      <c r="C7202" t="s">
        <v>11879</v>
      </c>
      <c r="D7202" t="s">
        <v>15139</v>
      </c>
      <c r="E7202" t="s">
        <v>1663</v>
      </c>
      <c r="F7202">
        <v>5</v>
      </c>
      <c r="G7202">
        <v>5.0999999999999996</v>
      </c>
      <c r="H7202" t="s">
        <v>2327</v>
      </c>
      <c r="I7202" s="21">
        <v>44692</v>
      </c>
      <c r="J7202">
        <v>2022</v>
      </c>
      <c r="K7202" s="21">
        <v>44761</v>
      </c>
      <c r="L7202">
        <v>2022</v>
      </c>
      <c r="M7202" s="21">
        <v>44861</v>
      </c>
      <c r="N7202">
        <v>2022</v>
      </c>
      <c r="P7202" s="21" t="s">
        <v>114</v>
      </c>
      <c r="Q7202" s="262">
        <v>50000</v>
      </c>
      <c r="S7202" t="s">
        <v>13253</v>
      </c>
      <c r="T7202">
        <v>12329</v>
      </c>
      <c r="V7202">
        <v>2976</v>
      </c>
      <c r="W7202">
        <v>0</v>
      </c>
      <c r="X7202">
        <v>0</v>
      </c>
      <c r="AJ7202">
        <v>-2976</v>
      </c>
      <c r="AK7202">
        <v>2976</v>
      </c>
      <c r="AU7202">
        <f t="shared" si="224"/>
        <v>0</v>
      </c>
      <c r="AV7202">
        <f t="shared" si="225"/>
        <v>0</v>
      </c>
    </row>
    <row r="7203" spans="1:48" x14ac:dyDescent="0.25">
      <c r="A7203" t="s">
        <v>16669</v>
      </c>
      <c r="B7203" t="s">
        <v>16669</v>
      </c>
      <c r="C7203" t="s">
        <v>16670</v>
      </c>
      <c r="D7203" t="s">
        <v>9715</v>
      </c>
      <c r="E7203" t="s">
        <v>2310</v>
      </c>
      <c r="F7203">
        <v>13</v>
      </c>
      <c r="G7203">
        <v>13.2</v>
      </c>
      <c r="H7203" t="s">
        <v>2327</v>
      </c>
      <c r="I7203" s="21">
        <v>44693.513496030093</v>
      </c>
      <c r="J7203">
        <v>2022</v>
      </c>
      <c r="K7203" s="21" t="s">
        <v>114</v>
      </c>
      <c r="L7203" t="e">
        <v>#VALUE!</v>
      </c>
      <c r="O7203" s="21" t="s">
        <v>114</v>
      </c>
      <c r="P7203" s="21" t="s">
        <v>114</v>
      </c>
      <c r="Q7203" s="262">
        <v>203000</v>
      </c>
      <c r="R7203" s="262">
        <v>4100000</v>
      </c>
      <c r="S7203" t="s">
        <v>13253</v>
      </c>
      <c r="T7203">
        <v>8931</v>
      </c>
      <c r="V7203">
        <v>0</v>
      </c>
      <c r="W7203">
        <v>3030</v>
      </c>
      <c r="X7203">
        <v>0</v>
      </c>
      <c r="AM7203">
        <v>3030</v>
      </c>
      <c r="AU7203">
        <f t="shared" si="224"/>
        <v>0</v>
      </c>
      <c r="AV7203">
        <f t="shared" si="225"/>
        <v>3030</v>
      </c>
    </row>
    <row r="7204" spans="1:48" x14ac:dyDescent="0.25">
      <c r="A7204" t="s">
        <v>16671</v>
      </c>
      <c r="B7204" t="s">
        <v>16671</v>
      </c>
      <c r="C7204" t="s">
        <v>16672</v>
      </c>
      <c r="D7204" t="s">
        <v>9715</v>
      </c>
      <c r="E7204" t="s">
        <v>2310</v>
      </c>
      <c r="F7204">
        <v>13</v>
      </c>
      <c r="G7204">
        <v>13.2</v>
      </c>
      <c r="H7204" t="s">
        <v>2327</v>
      </c>
      <c r="I7204" s="21">
        <v>44693.515702928242</v>
      </c>
      <c r="J7204">
        <v>2022</v>
      </c>
      <c r="K7204" s="21" t="s">
        <v>114</v>
      </c>
      <c r="L7204" t="e">
        <v>#VALUE!</v>
      </c>
      <c r="O7204" s="21" t="s">
        <v>114</v>
      </c>
      <c r="P7204" s="21" t="s">
        <v>114</v>
      </c>
      <c r="Q7204" s="262">
        <v>148000</v>
      </c>
      <c r="R7204" s="262">
        <v>3100000</v>
      </c>
      <c r="S7204" t="s">
        <v>13253</v>
      </c>
      <c r="T7204">
        <v>8931</v>
      </c>
      <c r="V7204">
        <v>0</v>
      </c>
      <c r="W7204">
        <v>2180</v>
      </c>
      <c r="X7204">
        <v>0</v>
      </c>
      <c r="AM7204">
        <v>2180</v>
      </c>
      <c r="AU7204">
        <f t="shared" si="224"/>
        <v>0</v>
      </c>
      <c r="AV7204">
        <f t="shared" si="225"/>
        <v>2180</v>
      </c>
    </row>
    <row r="7205" spans="1:48" x14ac:dyDescent="0.25">
      <c r="A7205" t="s">
        <v>16673</v>
      </c>
      <c r="B7205" t="s">
        <v>16673</v>
      </c>
      <c r="C7205" t="s">
        <v>16674</v>
      </c>
      <c r="D7205" t="s">
        <v>9715</v>
      </c>
      <c r="E7205" t="s">
        <v>2310</v>
      </c>
      <c r="F7205">
        <v>13</v>
      </c>
      <c r="G7205">
        <v>13.2</v>
      </c>
      <c r="H7205" t="s">
        <v>2327</v>
      </c>
      <c r="I7205" s="21">
        <v>44693.515716516202</v>
      </c>
      <c r="J7205">
        <v>2022</v>
      </c>
      <c r="K7205" s="21" t="s">
        <v>114</v>
      </c>
      <c r="L7205" t="e">
        <v>#VALUE!</v>
      </c>
      <c r="O7205" s="21" t="s">
        <v>114</v>
      </c>
      <c r="P7205" s="21" t="s">
        <v>114</v>
      </c>
      <c r="Q7205" s="262">
        <v>132000</v>
      </c>
      <c r="R7205" s="262">
        <v>500000</v>
      </c>
      <c r="S7205" t="s">
        <v>13253</v>
      </c>
      <c r="T7205">
        <v>8931</v>
      </c>
      <c r="V7205">
        <v>0</v>
      </c>
      <c r="W7205">
        <v>2300</v>
      </c>
      <c r="X7205">
        <v>0</v>
      </c>
      <c r="AM7205">
        <v>2300</v>
      </c>
      <c r="AU7205">
        <f t="shared" si="224"/>
        <v>0</v>
      </c>
      <c r="AV7205">
        <f t="shared" si="225"/>
        <v>2300</v>
      </c>
    </row>
    <row r="7206" spans="1:48" x14ac:dyDescent="0.25">
      <c r="A7206" t="s">
        <v>16675</v>
      </c>
      <c r="B7206" t="s">
        <v>16675</v>
      </c>
      <c r="C7206" t="s">
        <v>16676</v>
      </c>
      <c r="D7206" t="s">
        <v>16677</v>
      </c>
      <c r="E7206" t="s">
        <v>2310</v>
      </c>
      <c r="F7206">
        <v>13</v>
      </c>
      <c r="G7206">
        <v>13.2</v>
      </c>
      <c r="H7206" t="s">
        <v>2327</v>
      </c>
      <c r="I7206" s="21">
        <v>44693.630430474535</v>
      </c>
      <c r="J7206">
        <v>2022</v>
      </c>
      <c r="K7206" s="21" t="s">
        <v>114</v>
      </c>
      <c r="L7206" t="e">
        <v>#VALUE!</v>
      </c>
      <c r="O7206" s="21" t="s">
        <v>114</v>
      </c>
      <c r="P7206" s="21" t="s">
        <v>114</v>
      </c>
      <c r="Q7206" s="262">
        <v>3181000</v>
      </c>
      <c r="R7206" s="262">
        <v>30000000</v>
      </c>
      <c r="S7206" t="s">
        <v>13254</v>
      </c>
      <c r="U7206">
        <v>5</v>
      </c>
      <c r="V7206">
        <v>0</v>
      </c>
      <c r="W7206">
        <v>18505</v>
      </c>
      <c r="X7206">
        <v>1</v>
      </c>
      <c r="AC7206">
        <v>18505</v>
      </c>
      <c r="AO7206">
        <v>1</v>
      </c>
      <c r="AU7206">
        <f t="shared" si="224"/>
        <v>1</v>
      </c>
      <c r="AV7206">
        <f t="shared" si="225"/>
        <v>0</v>
      </c>
    </row>
    <row r="7207" spans="1:48" x14ac:dyDescent="0.25">
      <c r="A7207" t="s">
        <v>16678</v>
      </c>
      <c r="B7207" t="s">
        <v>16678</v>
      </c>
      <c r="C7207" t="s">
        <v>16679</v>
      </c>
      <c r="D7207" t="s">
        <v>16680</v>
      </c>
      <c r="E7207" t="s">
        <v>2310</v>
      </c>
      <c r="F7207">
        <v>14</v>
      </c>
      <c r="G7207">
        <v>14.1</v>
      </c>
      <c r="H7207" t="s">
        <v>2022</v>
      </c>
      <c r="I7207" s="21">
        <v>44693.682976076387</v>
      </c>
      <c r="J7207">
        <v>2022</v>
      </c>
      <c r="K7207" s="21" t="s">
        <v>114</v>
      </c>
      <c r="L7207" t="e">
        <v>#VALUE!</v>
      </c>
      <c r="O7207" s="21" t="s">
        <v>114</v>
      </c>
      <c r="P7207" s="21" t="s">
        <v>114</v>
      </c>
      <c r="Q7207" s="262">
        <v>435000</v>
      </c>
      <c r="R7207" s="262">
        <v>2097000</v>
      </c>
      <c r="S7207" t="s">
        <v>13254</v>
      </c>
      <c r="U7207">
        <v>5</v>
      </c>
      <c r="V7207">
        <v>0</v>
      </c>
      <c r="W7207">
        <v>3959</v>
      </c>
      <c r="X7207">
        <v>1</v>
      </c>
      <c r="AC7207">
        <v>3959</v>
      </c>
      <c r="AO7207">
        <v>1</v>
      </c>
      <c r="AU7207">
        <f t="shared" si="224"/>
        <v>1</v>
      </c>
      <c r="AV7207">
        <f t="shared" si="225"/>
        <v>0</v>
      </c>
    </row>
    <row r="7208" spans="1:48" x14ac:dyDescent="0.25">
      <c r="A7208" t="s">
        <v>16681</v>
      </c>
      <c r="B7208" t="s">
        <v>16681</v>
      </c>
      <c r="C7208" t="s">
        <v>16682</v>
      </c>
      <c r="D7208" t="s">
        <v>16680</v>
      </c>
      <c r="E7208" t="s">
        <v>2310</v>
      </c>
      <c r="F7208">
        <v>14</v>
      </c>
      <c r="G7208">
        <v>14.1</v>
      </c>
      <c r="H7208" t="s">
        <v>2022</v>
      </c>
      <c r="I7208" s="21">
        <v>44693.687801041669</v>
      </c>
      <c r="J7208">
        <v>2022</v>
      </c>
      <c r="K7208" s="21" t="s">
        <v>114</v>
      </c>
      <c r="L7208" t="e">
        <v>#VALUE!</v>
      </c>
      <c r="O7208" s="21" t="s">
        <v>114</v>
      </c>
      <c r="P7208" s="21" t="s">
        <v>114</v>
      </c>
      <c r="Q7208" s="262">
        <v>166000</v>
      </c>
      <c r="R7208" s="262">
        <v>2097000</v>
      </c>
      <c r="S7208" t="s">
        <v>13254</v>
      </c>
      <c r="U7208">
        <v>8</v>
      </c>
      <c r="V7208">
        <v>0</v>
      </c>
      <c r="W7208">
        <v>1994</v>
      </c>
      <c r="X7208">
        <v>1</v>
      </c>
      <c r="AC7208">
        <v>997</v>
      </c>
      <c r="AF7208">
        <v>997</v>
      </c>
      <c r="AR7208">
        <v>1</v>
      </c>
      <c r="AU7208">
        <f t="shared" si="224"/>
        <v>0</v>
      </c>
      <c r="AV7208">
        <f t="shared" si="225"/>
        <v>0</v>
      </c>
    </row>
    <row r="7209" spans="1:48" x14ac:dyDescent="0.25">
      <c r="A7209" t="s">
        <v>16683</v>
      </c>
      <c r="B7209" t="s">
        <v>16683</v>
      </c>
      <c r="C7209" t="s">
        <v>16684</v>
      </c>
      <c r="D7209" t="s">
        <v>16062</v>
      </c>
      <c r="E7209" t="s">
        <v>2310</v>
      </c>
      <c r="F7209">
        <v>9</v>
      </c>
      <c r="G7209">
        <v>9.1999999999999993</v>
      </c>
      <c r="H7209" t="s">
        <v>2022</v>
      </c>
      <c r="I7209" s="21">
        <v>44694.344549687499</v>
      </c>
      <c r="J7209">
        <v>2022</v>
      </c>
      <c r="K7209" s="21" t="s">
        <v>114</v>
      </c>
      <c r="L7209" t="e">
        <v>#VALUE!</v>
      </c>
      <c r="O7209" s="21" t="s">
        <v>114</v>
      </c>
      <c r="P7209" s="21" t="s">
        <v>114</v>
      </c>
      <c r="Q7209" s="262">
        <v>410000</v>
      </c>
      <c r="R7209" s="262">
        <v>300000</v>
      </c>
      <c r="S7209" t="s">
        <v>13253</v>
      </c>
      <c r="T7209">
        <v>3807</v>
      </c>
      <c r="V7209">
        <v>3121</v>
      </c>
      <c r="W7209">
        <v>1006</v>
      </c>
      <c r="X7209">
        <v>0</v>
      </c>
      <c r="AC7209">
        <v>1006</v>
      </c>
      <c r="AU7209">
        <f t="shared" si="224"/>
        <v>0</v>
      </c>
      <c r="AV7209">
        <f t="shared" si="225"/>
        <v>0</v>
      </c>
    </row>
    <row r="7210" spans="1:48" x14ac:dyDescent="0.25">
      <c r="A7210" t="s">
        <v>16685</v>
      </c>
      <c r="B7210" t="s">
        <v>16685</v>
      </c>
      <c r="C7210" t="s">
        <v>16686</v>
      </c>
      <c r="D7210" t="s">
        <v>16062</v>
      </c>
      <c r="E7210" t="s">
        <v>2310</v>
      </c>
      <c r="F7210">
        <v>9</v>
      </c>
      <c r="G7210">
        <v>9.1999999999999993</v>
      </c>
      <c r="H7210" t="s">
        <v>2022</v>
      </c>
      <c r="I7210" s="21">
        <v>44694.356542476853</v>
      </c>
      <c r="J7210">
        <v>2022</v>
      </c>
      <c r="K7210" s="21" t="s">
        <v>114</v>
      </c>
      <c r="L7210" t="e">
        <v>#VALUE!</v>
      </c>
      <c r="O7210" s="21" t="s">
        <v>114</v>
      </c>
      <c r="P7210" s="21" t="s">
        <v>114</v>
      </c>
      <c r="Q7210" s="262">
        <v>12000</v>
      </c>
      <c r="R7210" s="262">
        <v>10000</v>
      </c>
      <c r="S7210" t="s">
        <v>13254</v>
      </c>
      <c r="U7210">
        <v>5</v>
      </c>
      <c r="V7210">
        <v>0</v>
      </c>
      <c r="W7210">
        <v>234</v>
      </c>
      <c r="X7210">
        <v>0</v>
      </c>
      <c r="AC7210">
        <v>234</v>
      </c>
      <c r="AU7210">
        <f t="shared" si="224"/>
        <v>0</v>
      </c>
      <c r="AV7210">
        <f t="shared" si="225"/>
        <v>0</v>
      </c>
    </row>
    <row r="7211" spans="1:48" x14ac:dyDescent="0.25">
      <c r="A7211" t="s">
        <v>16687</v>
      </c>
      <c r="B7211" t="s">
        <v>16687</v>
      </c>
      <c r="C7211" t="s">
        <v>16688</v>
      </c>
      <c r="D7211" t="s">
        <v>4955</v>
      </c>
      <c r="E7211" t="s">
        <v>2310</v>
      </c>
      <c r="F7211">
        <v>15</v>
      </c>
      <c r="G7211">
        <v>15.2</v>
      </c>
      <c r="H7211" t="s">
        <v>2323</v>
      </c>
      <c r="I7211" s="21">
        <v>44694.419134490738</v>
      </c>
      <c r="J7211">
        <v>2022</v>
      </c>
      <c r="K7211" s="21" t="s">
        <v>114</v>
      </c>
      <c r="L7211" t="e">
        <v>#VALUE!</v>
      </c>
      <c r="O7211" s="21" t="s">
        <v>114</v>
      </c>
      <c r="P7211" s="21" t="s">
        <v>114</v>
      </c>
      <c r="Q7211" s="262">
        <v>269000</v>
      </c>
      <c r="R7211" s="262">
        <v>2225750</v>
      </c>
      <c r="S7211" t="s">
        <v>13253</v>
      </c>
      <c r="T7211">
        <v>2517</v>
      </c>
      <c r="V7211">
        <v>2433</v>
      </c>
      <c r="W7211">
        <v>0</v>
      </c>
      <c r="X7211">
        <v>0</v>
      </c>
      <c r="AC7211">
        <v>0</v>
      </c>
      <c r="AU7211">
        <f t="shared" si="224"/>
        <v>0</v>
      </c>
      <c r="AV7211">
        <f t="shared" si="225"/>
        <v>0</v>
      </c>
    </row>
    <row r="7212" spans="1:48" x14ac:dyDescent="0.25">
      <c r="A7212" t="s">
        <v>16689</v>
      </c>
      <c r="B7212" t="s">
        <v>16689</v>
      </c>
      <c r="C7212" t="s">
        <v>16690</v>
      </c>
      <c r="D7212" t="s">
        <v>16691</v>
      </c>
      <c r="E7212" t="s">
        <v>2310</v>
      </c>
      <c r="F7212">
        <v>10</v>
      </c>
      <c r="G7212">
        <v>10.1</v>
      </c>
      <c r="H7212" t="s">
        <v>2323</v>
      </c>
      <c r="I7212" s="21">
        <v>44694.45550246528</v>
      </c>
      <c r="J7212">
        <v>2022</v>
      </c>
      <c r="K7212" s="21" t="s">
        <v>114</v>
      </c>
      <c r="L7212" t="e">
        <v>#VALUE!</v>
      </c>
      <c r="O7212" s="21" t="s">
        <v>114</v>
      </c>
      <c r="P7212" s="21" t="s">
        <v>114</v>
      </c>
      <c r="Q7212" s="262">
        <v>604000</v>
      </c>
      <c r="R7212" s="262">
        <v>1950000</v>
      </c>
      <c r="S7212" t="s">
        <v>13254</v>
      </c>
      <c r="U7212">
        <v>5</v>
      </c>
      <c r="V7212">
        <v>0</v>
      </c>
      <c r="W7212">
        <v>5557</v>
      </c>
      <c r="X7212">
        <v>1</v>
      </c>
      <c r="AC7212">
        <v>5557</v>
      </c>
      <c r="AO7212">
        <v>1</v>
      </c>
      <c r="AU7212">
        <f t="shared" si="224"/>
        <v>1</v>
      </c>
      <c r="AV7212">
        <f t="shared" si="225"/>
        <v>0</v>
      </c>
    </row>
    <row r="7213" spans="1:48" x14ac:dyDescent="0.25">
      <c r="A7213" t="s">
        <v>16692</v>
      </c>
      <c r="C7213" t="s">
        <v>11246</v>
      </c>
      <c r="D7213" t="s">
        <v>4392</v>
      </c>
      <c r="E7213" t="s">
        <v>1663</v>
      </c>
      <c r="F7213">
        <v>6</v>
      </c>
      <c r="G7213">
        <v>6.1</v>
      </c>
      <c r="H7213" t="s">
        <v>2017</v>
      </c>
      <c r="I7213" s="21">
        <v>44697</v>
      </c>
      <c r="J7213">
        <v>2022</v>
      </c>
      <c r="K7213" s="21">
        <v>44760</v>
      </c>
      <c r="L7213">
        <v>2022</v>
      </c>
      <c r="P7213" s="21" t="s">
        <v>114</v>
      </c>
      <c r="Q7213" s="262">
        <v>2200000</v>
      </c>
      <c r="S7213" t="s">
        <v>12464</v>
      </c>
      <c r="T7213">
        <v>10240</v>
      </c>
      <c r="W7213">
        <v>5843</v>
      </c>
      <c r="X7213">
        <v>2</v>
      </c>
      <c r="AC7213">
        <v>4504</v>
      </c>
      <c r="AF7213">
        <v>1339</v>
      </c>
      <c r="AO7213">
        <v>1</v>
      </c>
      <c r="AR7213">
        <v>1</v>
      </c>
      <c r="AU7213">
        <f t="shared" si="224"/>
        <v>1</v>
      </c>
      <c r="AV7213">
        <f t="shared" si="225"/>
        <v>0</v>
      </c>
    </row>
    <row r="7214" spans="1:48" x14ac:dyDescent="0.25">
      <c r="A7214" t="s">
        <v>16692</v>
      </c>
      <c r="C7214" t="s">
        <v>11246</v>
      </c>
      <c r="D7214" t="s">
        <v>4392</v>
      </c>
      <c r="E7214" t="s">
        <v>1663</v>
      </c>
      <c r="F7214">
        <v>6</v>
      </c>
      <c r="G7214">
        <v>6.1</v>
      </c>
      <c r="I7214" s="21">
        <v>44697</v>
      </c>
      <c r="J7214">
        <v>2022</v>
      </c>
      <c r="K7214" s="21">
        <v>44760</v>
      </c>
      <c r="L7214">
        <v>2022</v>
      </c>
      <c r="Q7214" s="262">
        <v>2200000</v>
      </c>
      <c r="S7214" t="s">
        <v>9529</v>
      </c>
      <c r="T7214">
        <v>10240</v>
      </c>
      <c r="U7214">
        <v>5</v>
      </c>
      <c r="W7214">
        <v>-1200</v>
      </c>
      <c r="X7214">
        <v>-1</v>
      </c>
      <c r="Y7214">
        <v>0</v>
      </c>
      <c r="Z7214">
        <v>0</v>
      </c>
      <c r="AA7214">
        <v>0</v>
      </c>
      <c r="AB7214">
        <v>0</v>
      </c>
      <c r="AC7214">
        <v>-1200</v>
      </c>
      <c r="AD7214">
        <v>0</v>
      </c>
      <c r="AE7214">
        <v>0</v>
      </c>
      <c r="AF7214">
        <v>0</v>
      </c>
      <c r="AG7214">
        <v>0</v>
      </c>
      <c r="AH7214">
        <v>0</v>
      </c>
      <c r="AI7214">
        <v>0</v>
      </c>
      <c r="AJ7214">
        <v>0</v>
      </c>
      <c r="AK7214">
        <v>0</v>
      </c>
      <c r="AL7214">
        <v>0</v>
      </c>
      <c r="AM7214">
        <v>0</v>
      </c>
      <c r="AN7214">
        <v>0</v>
      </c>
      <c r="AO7214">
        <v>-1</v>
      </c>
      <c r="AP7214">
        <v>0</v>
      </c>
      <c r="AQ7214">
        <v>0</v>
      </c>
      <c r="AR7214">
        <v>0</v>
      </c>
      <c r="AS7214">
        <v>0</v>
      </c>
      <c r="AT7214">
        <v>0</v>
      </c>
      <c r="AU7214">
        <f t="shared" si="224"/>
        <v>-1</v>
      </c>
      <c r="AV7214">
        <f t="shared" si="225"/>
        <v>0</v>
      </c>
    </row>
    <row r="7215" spans="1:48" x14ac:dyDescent="0.25">
      <c r="A7215" t="s">
        <v>16695</v>
      </c>
      <c r="B7215" t="s">
        <v>16695</v>
      </c>
      <c r="C7215" t="s">
        <v>16696</v>
      </c>
      <c r="D7215" t="s">
        <v>16491</v>
      </c>
      <c r="E7215" t="s">
        <v>2310</v>
      </c>
      <c r="F7215">
        <v>14</v>
      </c>
      <c r="G7215">
        <v>14.2</v>
      </c>
      <c r="H7215" t="s">
        <v>2017</v>
      </c>
      <c r="I7215" s="21">
        <v>44698.477019872684</v>
      </c>
      <c r="J7215">
        <v>2022</v>
      </c>
      <c r="K7215" s="21">
        <v>44753.417983680556</v>
      </c>
      <c r="L7215">
        <v>2022</v>
      </c>
      <c r="O7215" s="21" t="s">
        <v>114</v>
      </c>
      <c r="P7215" s="21" t="s">
        <v>114</v>
      </c>
      <c r="Q7215" s="262">
        <v>787000</v>
      </c>
      <c r="R7215" s="262">
        <v>1500000</v>
      </c>
      <c r="S7215" t="s">
        <v>13254</v>
      </c>
      <c r="U7215">
        <v>5</v>
      </c>
      <c r="V7215">
        <v>0</v>
      </c>
      <c r="W7215">
        <v>6742</v>
      </c>
      <c r="X7215">
        <v>0</v>
      </c>
      <c r="AC7215">
        <v>6742</v>
      </c>
      <c r="AU7215">
        <f t="shared" si="224"/>
        <v>0</v>
      </c>
      <c r="AV7215">
        <f t="shared" si="225"/>
        <v>0</v>
      </c>
    </row>
    <row r="7216" spans="1:48" x14ac:dyDescent="0.25">
      <c r="A7216" t="s">
        <v>16697</v>
      </c>
      <c r="B7216" t="s">
        <v>16697</v>
      </c>
      <c r="C7216" t="s">
        <v>16698</v>
      </c>
      <c r="D7216" t="s">
        <v>5183</v>
      </c>
      <c r="E7216" t="s">
        <v>2310</v>
      </c>
      <c r="F7216">
        <v>15</v>
      </c>
      <c r="G7216">
        <v>15.2</v>
      </c>
      <c r="H7216" t="s">
        <v>2323</v>
      </c>
      <c r="I7216" s="21">
        <v>44700.424558101855</v>
      </c>
      <c r="J7216">
        <v>2022</v>
      </c>
      <c r="K7216" s="21" t="s">
        <v>114</v>
      </c>
      <c r="L7216" t="e">
        <v>#VALUE!</v>
      </c>
      <c r="O7216" s="21" t="s">
        <v>114</v>
      </c>
      <c r="P7216" s="21" t="s">
        <v>114</v>
      </c>
      <c r="Q7216" s="262">
        <v>341000</v>
      </c>
      <c r="R7216" s="262">
        <v>775000</v>
      </c>
      <c r="S7216" t="s">
        <v>13253</v>
      </c>
      <c r="T7216">
        <v>5326</v>
      </c>
      <c r="V7216">
        <v>952</v>
      </c>
      <c r="W7216">
        <v>0</v>
      </c>
      <c r="X7216">
        <v>0</v>
      </c>
      <c r="AC7216">
        <v>-952</v>
      </c>
      <c r="AF7216">
        <v>952</v>
      </c>
      <c r="AO7216">
        <v>-1</v>
      </c>
      <c r="AR7216">
        <v>1</v>
      </c>
      <c r="AU7216">
        <f t="shared" si="224"/>
        <v>-1</v>
      </c>
      <c r="AV7216">
        <f t="shared" si="225"/>
        <v>0</v>
      </c>
    </row>
    <row r="7217" spans="1:48" x14ac:dyDescent="0.25">
      <c r="A7217" t="s">
        <v>16697</v>
      </c>
      <c r="B7217" t="s">
        <v>16697</v>
      </c>
      <c r="C7217" t="s">
        <v>16698</v>
      </c>
      <c r="D7217" t="s">
        <v>5183</v>
      </c>
      <c r="E7217" t="s">
        <v>2310</v>
      </c>
      <c r="F7217">
        <v>15</v>
      </c>
      <c r="G7217">
        <v>15.2</v>
      </c>
      <c r="H7217" t="s">
        <v>2323</v>
      </c>
      <c r="I7217" s="21">
        <v>44700.424558101855</v>
      </c>
      <c r="J7217">
        <v>2022</v>
      </c>
      <c r="K7217" s="21" t="s">
        <v>114</v>
      </c>
      <c r="L7217" t="e">
        <v>#VALUE!</v>
      </c>
      <c r="O7217" s="21" t="s">
        <v>114</v>
      </c>
      <c r="P7217" s="21" t="s">
        <v>114</v>
      </c>
      <c r="Q7217" s="262">
        <v>341000</v>
      </c>
      <c r="R7217" s="262">
        <v>775000</v>
      </c>
      <c r="S7217" t="s">
        <v>13254</v>
      </c>
      <c r="U7217">
        <v>5</v>
      </c>
      <c r="V7217">
        <v>0</v>
      </c>
      <c r="W7217">
        <v>2453</v>
      </c>
      <c r="X7217">
        <v>1</v>
      </c>
      <c r="AC7217">
        <v>2453</v>
      </c>
      <c r="AO7217">
        <v>1</v>
      </c>
      <c r="AU7217">
        <f t="shared" si="224"/>
        <v>1</v>
      </c>
      <c r="AV7217">
        <f t="shared" si="225"/>
        <v>0</v>
      </c>
    </row>
    <row r="7218" spans="1:48" x14ac:dyDescent="0.25">
      <c r="A7218" t="s">
        <v>16699</v>
      </c>
      <c r="B7218" t="s">
        <v>16699</v>
      </c>
      <c r="C7218" t="s">
        <v>16700</v>
      </c>
      <c r="D7218" t="s">
        <v>16701</v>
      </c>
      <c r="E7218" t="s">
        <v>2310</v>
      </c>
      <c r="F7218">
        <v>14</v>
      </c>
      <c r="G7218">
        <v>14.1</v>
      </c>
      <c r="H7218" t="s">
        <v>2022</v>
      </c>
      <c r="I7218" s="21">
        <v>44700.616773877315</v>
      </c>
      <c r="J7218">
        <v>2022</v>
      </c>
      <c r="K7218" s="21" t="s">
        <v>114</v>
      </c>
      <c r="L7218" t="e">
        <v>#VALUE!</v>
      </c>
      <c r="O7218" s="21" t="s">
        <v>114</v>
      </c>
      <c r="P7218" s="21" t="s">
        <v>114</v>
      </c>
      <c r="Q7218" s="262">
        <v>1143000</v>
      </c>
      <c r="R7218" s="262">
        <v>2500000</v>
      </c>
      <c r="S7218" t="s">
        <v>13254</v>
      </c>
      <c r="U7218">
        <v>5</v>
      </c>
      <c r="V7218">
        <v>0</v>
      </c>
      <c r="W7218">
        <v>7803.83</v>
      </c>
      <c r="X7218">
        <v>1</v>
      </c>
      <c r="AC7218">
        <v>7803.83</v>
      </c>
      <c r="AO7218">
        <v>1</v>
      </c>
      <c r="AU7218">
        <f t="shared" si="224"/>
        <v>1</v>
      </c>
      <c r="AV7218">
        <f t="shared" si="225"/>
        <v>0</v>
      </c>
    </row>
    <row r="7219" spans="1:48" x14ac:dyDescent="0.25">
      <c r="A7219" t="s">
        <v>16702</v>
      </c>
      <c r="B7219" t="s">
        <v>16702</v>
      </c>
      <c r="C7219" t="s">
        <v>16703</v>
      </c>
      <c r="D7219" t="s">
        <v>16704</v>
      </c>
      <c r="E7219" t="s">
        <v>2310</v>
      </c>
      <c r="F7219">
        <v>9</v>
      </c>
      <c r="G7219">
        <v>9.1999999999999993</v>
      </c>
      <c r="H7219" t="s">
        <v>2022</v>
      </c>
      <c r="I7219" s="21">
        <v>44700.698786805558</v>
      </c>
      <c r="J7219">
        <v>2022</v>
      </c>
      <c r="K7219" s="21" t="s">
        <v>114</v>
      </c>
      <c r="L7219" t="e">
        <v>#VALUE!</v>
      </c>
      <c r="O7219" s="21" t="s">
        <v>114</v>
      </c>
      <c r="P7219" s="21" t="s">
        <v>114</v>
      </c>
      <c r="Q7219" s="262">
        <v>593000</v>
      </c>
      <c r="R7219" s="262">
        <v>3000000</v>
      </c>
      <c r="S7219" t="s">
        <v>13254</v>
      </c>
      <c r="U7219">
        <v>5</v>
      </c>
      <c r="V7219">
        <v>0</v>
      </c>
      <c r="W7219">
        <v>5899</v>
      </c>
      <c r="X7219">
        <v>1</v>
      </c>
      <c r="AC7219">
        <v>5899</v>
      </c>
      <c r="AO7219">
        <v>1</v>
      </c>
      <c r="AU7219">
        <f t="shared" si="224"/>
        <v>1</v>
      </c>
      <c r="AV7219">
        <f t="shared" si="225"/>
        <v>0</v>
      </c>
    </row>
    <row r="7220" spans="1:48" x14ac:dyDescent="0.25">
      <c r="A7220" t="s">
        <v>16708</v>
      </c>
      <c r="C7220" t="s">
        <v>16709</v>
      </c>
      <c r="D7220" t="s">
        <v>14141</v>
      </c>
      <c r="E7220" t="s">
        <v>1663</v>
      </c>
      <c r="F7220">
        <v>2</v>
      </c>
      <c r="G7220">
        <v>2.5</v>
      </c>
      <c r="H7220" t="s">
        <v>2327</v>
      </c>
      <c r="I7220" s="21">
        <v>44701</v>
      </c>
      <c r="J7220">
        <v>2022</v>
      </c>
      <c r="K7220" s="21">
        <v>44714</v>
      </c>
      <c r="L7220">
        <v>2022</v>
      </c>
      <c r="P7220" s="21" t="s">
        <v>114</v>
      </c>
      <c r="Q7220" s="262">
        <v>15000</v>
      </c>
      <c r="S7220" t="s">
        <v>13253</v>
      </c>
      <c r="V7220">
        <v>1216</v>
      </c>
      <c r="W7220">
        <v>0</v>
      </c>
      <c r="X7220">
        <v>0</v>
      </c>
      <c r="AU7220">
        <f t="shared" si="224"/>
        <v>0</v>
      </c>
      <c r="AV7220">
        <f t="shared" si="225"/>
        <v>0</v>
      </c>
    </row>
    <row r="7221" spans="1:48" x14ac:dyDescent="0.25">
      <c r="A7221" t="s">
        <v>15140</v>
      </c>
      <c r="C7221" t="s">
        <v>15141</v>
      </c>
      <c r="D7221" t="s">
        <v>15142</v>
      </c>
      <c r="E7221" t="s">
        <v>1663</v>
      </c>
      <c r="F7221">
        <v>2</v>
      </c>
      <c r="G7221">
        <v>2.1</v>
      </c>
      <c r="H7221" t="s">
        <v>2327</v>
      </c>
      <c r="I7221" s="21">
        <v>44701</v>
      </c>
      <c r="J7221">
        <v>2022</v>
      </c>
      <c r="K7221" s="21">
        <v>44720</v>
      </c>
      <c r="L7221">
        <v>2022</v>
      </c>
      <c r="M7221" s="21">
        <v>44756</v>
      </c>
      <c r="N7221">
        <v>2022</v>
      </c>
      <c r="P7221" s="21" t="s">
        <v>114</v>
      </c>
      <c r="Q7221" s="262">
        <v>24000</v>
      </c>
      <c r="S7221" t="s">
        <v>13253</v>
      </c>
      <c r="T7221">
        <v>9558</v>
      </c>
      <c r="W7221">
        <v>0</v>
      </c>
      <c r="X7221">
        <v>0</v>
      </c>
      <c r="AU7221">
        <f t="shared" si="224"/>
        <v>0</v>
      </c>
      <c r="AV7221">
        <f t="shared" si="225"/>
        <v>0</v>
      </c>
    </row>
    <row r="7222" spans="1:48" x14ac:dyDescent="0.25">
      <c r="A7222" t="s">
        <v>16710</v>
      </c>
      <c r="C7222" t="s">
        <v>16711</v>
      </c>
      <c r="D7222" t="s">
        <v>14097</v>
      </c>
      <c r="E7222" t="s">
        <v>1663</v>
      </c>
      <c r="F7222">
        <v>1</v>
      </c>
      <c r="G7222">
        <v>1.2</v>
      </c>
      <c r="H7222" t="s">
        <v>2017</v>
      </c>
      <c r="I7222" s="21">
        <v>44701</v>
      </c>
      <c r="J7222">
        <v>2022</v>
      </c>
      <c r="K7222" s="21">
        <v>44782</v>
      </c>
      <c r="L7222">
        <v>2022</v>
      </c>
      <c r="P7222" s="21" t="s">
        <v>114</v>
      </c>
      <c r="Q7222" s="262">
        <v>2340616</v>
      </c>
      <c r="S7222" t="s">
        <v>13253</v>
      </c>
      <c r="T7222">
        <v>13028</v>
      </c>
      <c r="W7222">
        <v>1526</v>
      </c>
      <c r="X7222">
        <v>0</v>
      </c>
      <c r="AH7222">
        <v>1526</v>
      </c>
      <c r="AU7222">
        <f t="shared" si="224"/>
        <v>0</v>
      </c>
      <c r="AV7222">
        <f t="shared" si="225"/>
        <v>1526</v>
      </c>
    </row>
    <row r="7223" spans="1:48" x14ac:dyDescent="0.25">
      <c r="A7223" t="s">
        <v>16712</v>
      </c>
      <c r="B7223" t="s">
        <v>16712</v>
      </c>
      <c r="C7223" t="s">
        <v>16713</v>
      </c>
      <c r="D7223" t="s">
        <v>16714</v>
      </c>
      <c r="E7223" t="s">
        <v>2310</v>
      </c>
      <c r="F7223">
        <v>9</v>
      </c>
      <c r="G7223">
        <v>9.1999999999999993</v>
      </c>
      <c r="H7223" t="s">
        <v>2022</v>
      </c>
      <c r="I7223" s="21">
        <v>44701.443500497684</v>
      </c>
      <c r="J7223">
        <v>2022</v>
      </c>
      <c r="K7223" s="21" t="s">
        <v>114</v>
      </c>
      <c r="L7223" t="e">
        <v>#VALUE!</v>
      </c>
      <c r="O7223" s="21" t="s">
        <v>114</v>
      </c>
      <c r="P7223" s="21" t="s">
        <v>114</v>
      </c>
      <c r="Q7223" s="262">
        <v>163000</v>
      </c>
      <c r="R7223" s="262">
        <v>500000</v>
      </c>
      <c r="S7223" t="s">
        <v>13253</v>
      </c>
      <c r="T7223">
        <v>4622</v>
      </c>
      <c r="V7223">
        <v>0</v>
      </c>
      <c r="W7223">
        <v>-576</v>
      </c>
      <c r="X7223">
        <v>0</v>
      </c>
      <c r="AC7223">
        <v>-576</v>
      </c>
      <c r="AU7223">
        <f t="shared" si="224"/>
        <v>0</v>
      </c>
      <c r="AV7223">
        <f t="shared" si="225"/>
        <v>0</v>
      </c>
    </row>
    <row r="7224" spans="1:48" x14ac:dyDescent="0.25">
      <c r="A7224" t="s">
        <v>16712</v>
      </c>
      <c r="B7224" t="s">
        <v>16712</v>
      </c>
      <c r="C7224" t="s">
        <v>16713</v>
      </c>
      <c r="D7224" t="s">
        <v>16714</v>
      </c>
      <c r="E7224" t="s">
        <v>2310</v>
      </c>
      <c r="F7224">
        <v>9</v>
      </c>
      <c r="G7224">
        <v>9.1999999999999993</v>
      </c>
      <c r="H7224" t="s">
        <v>2022</v>
      </c>
      <c r="I7224" s="21">
        <v>44701.443500497684</v>
      </c>
      <c r="J7224">
        <v>2022</v>
      </c>
      <c r="K7224" s="21" t="s">
        <v>114</v>
      </c>
      <c r="L7224" t="e">
        <v>#VALUE!</v>
      </c>
      <c r="O7224" s="21" t="s">
        <v>114</v>
      </c>
      <c r="P7224" s="21" t="s">
        <v>114</v>
      </c>
      <c r="Q7224" s="262">
        <v>163000</v>
      </c>
      <c r="R7224" s="262">
        <v>500000</v>
      </c>
      <c r="S7224" t="s">
        <v>13254</v>
      </c>
      <c r="V7224">
        <v>0</v>
      </c>
      <c r="W7224">
        <v>1792</v>
      </c>
      <c r="X7224">
        <v>1</v>
      </c>
      <c r="AC7224">
        <v>864</v>
      </c>
      <c r="AF7224">
        <v>928</v>
      </c>
      <c r="AR7224">
        <v>1</v>
      </c>
      <c r="AU7224">
        <f t="shared" si="224"/>
        <v>0</v>
      </c>
      <c r="AV7224">
        <f t="shared" si="225"/>
        <v>0</v>
      </c>
    </row>
    <row r="7225" spans="1:48" x14ac:dyDescent="0.25">
      <c r="A7225" t="s">
        <v>16715</v>
      </c>
      <c r="B7225" t="s">
        <v>16715</v>
      </c>
      <c r="C7225" t="s">
        <v>16716</v>
      </c>
      <c r="D7225" t="s">
        <v>12257</v>
      </c>
      <c r="E7225" t="s">
        <v>2310</v>
      </c>
      <c r="F7225">
        <v>8</v>
      </c>
      <c r="G7225">
        <v>8.3000000000000007</v>
      </c>
      <c r="H7225" t="s">
        <v>2323</v>
      </c>
      <c r="I7225" s="21">
        <v>44701.577600196761</v>
      </c>
      <c r="J7225">
        <v>2022</v>
      </c>
      <c r="K7225" s="21" t="s">
        <v>114</v>
      </c>
      <c r="L7225" t="e">
        <v>#VALUE!</v>
      </c>
      <c r="O7225" s="21" t="s">
        <v>114</v>
      </c>
      <c r="P7225" s="21" t="s">
        <v>114</v>
      </c>
      <c r="Q7225" s="262">
        <v>367000</v>
      </c>
      <c r="R7225" s="262">
        <v>3000000</v>
      </c>
      <c r="S7225" t="s">
        <v>13254</v>
      </c>
      <c r="U7225">
        <v>8</v>
      </c>
      <c r="V7225">
        <v>0</v>
      </c>
      <c r="W7225">
        <v>2987</v>
      </c>
      <c r="X7225">
        <v>1</v>
      </c>
      <c r="AC7225">
        <v>1988</v>
      </c>
      <c r="AF7225">
        <v>999</v>
      </c>
      <c r="AR7225">
        <v>1</v>
      </c>
      <c r="AU7225">
        <f t="shared" si="224"/>
        <v>0</v>
      </c>
      <c r="AV7225">
        <f t="shared" si="225"/>
        <v>0</v>
      </c>
    </row>
    <row r="7226" spans="1:48" x14ac:dyDescent="0.25">
      <c r="A7226" t="s">
        <v>16717</v>
      </c>
      <c r="B7226" t="s">
        <v>16717</v>
      </c>
      <c r="C7226" t="s">
        <v>16718</v>
      </c>
      <c r="D7226" t="s">
        <v>16719</v>
      </c>
      <c r="E7226" t="s">
        <v>2310</v>
      </c>
      <c r="F7226">
        <v>15</v>
      </c>
      <c r="G7226">
        <v>15.3</v>
      </c>
      <c r="H7226" t="s">
        <v>2022</v>
      </c>
      <c r="I7226" s="21">
        <v>44701.600227696763</v>
      </c>
      <c r="J7226">
        <v>2022</v>
      </c>
      <c r="K7226" s="21" t="s">
        <v>114</v>
      </c>
      <c r="L7226" t="e">
        <v>#VALUE!</v>
      </c>
      <c r="O7226" s="21" t="s">
        <v>114</v>
      </c>
      <c r="P7226" s="21" t="s">
        <v>114</v>
      </c>
      <c r="Q7226" s="262">
        <v>532000</v>
      </c>
      <c r="R7226" s="262">
        <v>800000</v>
      </c>
      <c r="S7226" t="s">
        <v>13254</v>
      </c>
      <c r="U7226">
        <v>5</v>
      </c>
      <c r="V7226">
        <v>0</v>
      </c>
      <c r="W7226">
        <v>5364</v>
      </c>
      <c r="X7226">
        <v>1</v>
      </c>
      <c r="AC7226">
        <v>5364</v>
      </c>
      <c r="AO7226">
        <v>1</v>
      </c>
      <c r="AU7226">
        <f t="shared" si="224"/>
        <v>1</v>
      </c>
      <c r="AV7226">
        <f t="shared" si="225"/>
        <v>0</v>
      </c>
    </row>
    <row r="7227" spans="1:48" x14ac:dyDescent="0.25">
      <c r="A7227" t="s">
        <v>16720</v>
      </c>
      <c r="C7227" t="s">
        <v>11237</v>
      </c>
      <c r="D7227" t="s">
        <v>16721</v>
      </c>
      <c r="E7227" t="s">
        <v>1663</v>
      </c>
      <c r="F7227">
        <v>6</v>
      </c>
      <c r="G7227">
        <v>6.1</v>
      </c>
      <c r="H7227" t="s">
        <v>2017</v>
      </c>
      <c r="I7227" s="21">
        <v>44704</v>
      </c>
      <c r="J7227">
        <v>2022</v>
      </c>
      <c r="K7227" s="21">
        <v>44720</v>
      </c>
      <c r="L7227">
        <v>2022</v>
      </c>
      <c r="P7227" s="21" t="s">
        <v>114</v>
      </c>
      <c r="Q7227" s="262">
        <v>100000</v>
      </c>
      <c r="S7227" t="s">
        <v>13253</v>
      </c>
      <c r="T7227">
        <v>13048</v>
      </c>
      <c r="V7227">
        <v>800</v>
      </c>
      <c r="W7227">
        <v>0</v>
      </c>
      <c r="X7227">
        <v>0</v>
      </c>
      <c r="AU7227">
        <f t="shared" si="224"/>
        <v>0</v>
      </c>
      <c r="AV7227">
        <f t="shared" si="225"/>
        <v>0</v>
      </c>
    </row>
    <row r="7228" spans="1:48" x14ac:dyDescent="0.25">
      <c r="A7228" t="s">
        <v>16722</v>
      </c>
      <c r="C7228" t="s">
        <v>16723</v>
      </c>
      <c r="D7228" t="s">
        <v>16724</v>
      </c>
      <c r="E7228" t="s">
        <v>1663</v>
      </c>
      <c r="F7228">
        <v>2</v>
      </c>
      <c r="G7228">
        <v>2.2999999999999998</v>
      </c>
      <c r="H7228" t="s">
        <v>2327</v>
      </c>
      <c r="I7228" s="21">
        <v>44704</v>
      </c>
      <c r="J7228">
        <v>2022</v>
      </c>
      <c r="K7228" s="21">
        <v>44834</v>
      </c>
      <c r="L7228">
        <v>2022</v>
      </c>
      <c r="P7228" s="21" t="s">
        <v>114</v>
      </c>
      <c r="Q7228" s="262">
        <v>8500000</v>
      </c>
      <c r="S7228" t="s">
        <v>12464</v>
      </c>
      <c r="T7228">
        <v>13169</v>
      </c>
      <c r="W7228">
        <v>11577</v>
      </c>
      <c r="X7228">
        <v>0</v>
      </c>
      <c r="AM7228">
        <v>11577</v>
      </c>
      <c r="AU7228">
        <f t="shared" si="224"/>
        <v>0</v>
      </c>
      <c r="AV7228">
        <f t="shared" si="225"/>
        <v>11577</v>
      </c>
    </row>
    <row r="7229" spans="1:48" x14ac:dyDescent="0.25">
      <c r="A7229" t="s">
        <v>16722</v>
      </c>
      <c r="C7229" t="s">
        <v>16723</v>
      </c>
      <c r="D7229" t="s">
        <v>19717</v>
      </c>
      <c r="E7229" t="s">
        <v>1663</v>
      </c>
      <c r="F7229">
        <v>2</v>
      </c>
      <c r="G7229">
        <v>2.2999999999999998</v>
      </c>
      <c r="H7229" t="s">
        <v>2327</v>
      </c>
      <c r="I7229" s="21">
        <v>44704</v>
      </c>
      <c r="J7229">
        <v>2022</v>
      </c>
      <c r="K7229" s="21">
        <v>44834</v>
      </c>
      <c r="L7229">
        <v>2022</v>
      </c>
      <c r="Q7229" s="262">
        <v>8500000</v>
      </c>
      <c r="S7229" t="s">
        <v>9529</v>
      </c>
      <c r="T7229">
        <v>13169</v>
      </c>
      <c r="U7229">
        <v>5</v>
      </c>
      <c r="W7229">
        <v>-2892</v>
      </c>
      <c r="X7229">
        <v>-1</v>
      </c>
      <c r="Y7229">
        <v>0</v>
      </c>
      <c r="Z7229">
        <v>0</v>
      </c>
      <c r="AA7229">
        <v>0</v>
      </c>
      <c r="AB7229">
        <v>0</v>
      </c>
      <c r="AC7229">
        <v>-2892</v>
      </c>
      <c r="AD7229">
        <v>0</v>
      </c>
      <c r="AE7229">
        <v>0</v>
      </c>
      <c r="AF7229">
        <v>0</v>
      </c>
      <c r="AG7229">
        <v>0</v>
      </c>
      <c r="AH7229">
        <v>0</v>
      </c>
      <c r="AI7229">
        <v>0</v>
      </c>
      <c r="AJ7229">
        <v>0</v>
      </c>
      <c r="AK7229">
        <v>0</v>
      </c>
      <c r="AL7229">
        <v>0</v>
      </c>
      <c r="AM7229">
        <v>0</v>
      </c>
      <c r="AN7229">
        <v>0</v>
      </c>
      <c r="AO7229">
        <v>-1</v>
      </c>
      <c r="AP7229">
        <v>0</v>
      </c>
      <c r="AQ7229">
        <v>0</v>
      </c>
      <c r="AR7229">
        <v>0</v>
      </c>
      <c r="AS7229">
        <v>0</v>
      </c>
      <c r="AT7229">
        <v>0</v>
      </c>
      <c r="AU7229">
        <f t="shared" si="224"/>
        <v>-1</v>
      </c>
      <c r="AV7229">
        <f t="shared" si="225"/>
        <v>0</v>
      </c>
    </row>
    <row r="7230" spans="1:48" x14ac:dyDescent="0.25">
      <c r="A7230" t="s">
        <v>16727</v>
      </c>
      <c r="C7230" t="s">
        <v>11246</v>
      </c>
      <c r="D7230" t="s">
        <v>16728</v>
      </c>
      <c r="E7230" t="s">
        <v>1663</v>
      </c>
      <c r="F7230">
        <v>6</v>
      </c>
      <c r="G7230">
        <v>6.2</v>
      </c>
      <c r="H7230" t="s">
        <v>2017</v>
      </c>
      <c r="I7230" s="21">
        <v>44705</v>
      </c>
      <c r="J7230">
        <v>2022</v>
      </c>
      <c r="K7230" s="21">
        <v>44823</v>
      </c>
      <c r="L7230">
        <v>2022</v>
      </c>
      <c r="P7230" s="21" t="s">
        <v>114</v>
      </c>
      <c r="Q7230" s="262">
        <v>900000</v>
      </c>
      <c r="S7230" t="s">
        <v>13254</v>
      </c>
      <c r="W7230">
        <v>5050</v>
      </c>
      <c r="X7230">
        <v>1</v>
      </c>
      <c r="AC7230">
        <v>5050</v>
      </c>
      <c r="AO7230">
        <v>1</v>
      </c>
      <c r="AU7230">
        <f t="shared" si="224"/>
        <v>1</v>
      </c>
      <c r="AV7230">
        <f t="shared" si="225"/>
        <v>0</v>
      </c>
    </row>
    <row r="7231" spans="1:48" x14ac:dyDescent="0.25">
      <c r="A7231" t="s">
        <v>16729</v>
      </c>
      <c r="C7231" t="s">
        <v>16730</v>
      </c>
      <c r="D7231" t="s">
        <v>16731</v>
      </c>
      <c r="E7231" t="s">
        <v>1663</v>
      </c>
      <c r="F7231">
        <v>3</v>
      </c>
      <c r="G7231">
        <v>3.2</v>
      </c>
      <c r="H7231" t="s">
        <v>2327</v>
      </c>
      <c r="I7231" s="21">
        <v>44706</v>
      </c>
      <c r="J7231">
        <v>2022</v>
      </c>
      <c r="K7231" s="21">
        <v>44713</v>
      </c>
      <c r="L7231">
        <v>2022</v>
      </c>
      <c r="P7231" s="21" t="s">
        <v>114</v>
      </c>
      <c r="Q7231" s="262">
        <v>30000</v>
      </c>
      <c r="S7231" t="s">
        <v>13253</v>
      </c>
      <c r="T7231">
        <v>10543</v>
      </c>
      <c r="W7231">
        <v>0</v>
      </c>
      <c r="X7231">
        <v>0</v>
      </c>
      <c r="AU7231">
        <f t="shared" si="224"/>
        <v>0</v>
      </c>
      <c r="AV7231">
        <f t="shared" si="225"/>
        <v>0</v>
      </c>
    </row>
    <row r="7232" spans="1:48" x14ac:dyDescent="0.25">
      <c r="A7232" t="s">
        <v>16732</v>
      </c>
      <c r="B7232" t="s">
        <v>16732</v>
      </c>
      <c r="C7232" t="s">
        <v>16733</v>
      </c>
      <c r="D7232" t="s">
        <v>15788</v>
      </c>
      <c r="E7232" t="s">
        <v>2310</v>
      </c>
      <c r="F7232">
        <v>15</v>
      </c>
      <c r="G7232">
        <v>15.2</v>
      </c>
      <c r="H7232" t="s">
        <v>2323</v>
      </c>
      <c r="I7232" s="21">
        <v>44707.400032407408</v>
      </c>
      <c r="J7232">
        <v>2022</v>
      </c>
      <c r="K7232" s="21" t="s">
        <v>114</v>
      </c>
      <c r="L7232" t="e">
        <v>#VALUE!</v>
      </c>
      <c r="O7232" s="21" t="s">
        <v>114</v>
      </c>
      <c r="P7232" s="21" t="s">
        <v>114</v>
      </c>
      <c r="Q7232" s="262">
        <v>1209000</v>
      </c>
      <c r="R7232" s="262">
        <v>4959000</v>
      </c>
      <c r="S7232" t="s">
        <v>13254</v>
      </c>
      <c r="U7232">
        <v>5</v>
      </c>
      <c r="V7232">
        <v>0</v>
      </c>
      <c r="W7232">
        <v>8265</v>
      </c>
      <c r="X7232">
        <v>1</v>
      </c>
      <c r="AC7232">
        <v>8265</v>
      </c>
      <c r="AO7232">
        <v>1</v>
      </c>
      <c r="AU7232">
        <f t="shared" si="224"/>
        <v>1</v>
      </c>
      <c r="AV7232">
        <f t="shared" si="225"/>
        <v>0</v>
      </c>
    </row>
    <row r="7233" spans="1:48" x14ac:dyDescent="0.25">
      <c r="A7233" t="s">
        <v>16734</v>
      </c>
      <c r="B7233" t="s">
        <v>16734</v>
      </c>
      <c r="C7233" t="s">
        <v>16735</v>
      </c>
      <c r="D7233" t="s">
        <v>15668</v>
      </c>
      <c r="E7233" t="s">
        <v>2310</v>
      </c>
      <c r="F7233">
        <v>8</v>
      </c>
      <c r="G7233">
        <v>8.1999999999999993</v>
      </c>
      <c r="H7233" t="s">
        <v>2022</v>
      </c>
      <c r="I7233" s="21">
        <v>44707.619207094911</v>
      </c>
      <c r="J7233">
        <v>2022</v>
      </c>
      <c r="K7233" s="21" t="s">
        <v>114</v>
      </c>
      <c r="L7233" t="e">
        <v>#VALUE!</v>
      </c>
      <c r="O7233" s="21" t="s">
        <v>114</v>
      </c>
      <c r="P7233" s="21" t="s">
        <v>114</v>
      </c>
      <c r="Q7233" s="262">
        <v>155000</v>
      </c>
      <c r="R7233" s="262">
        <v>201000</v>
      </c>
      <c r="S7233" t="s">
        <v>13254</v>
      </c>
      <c r="U7233">
        <v>8</v>
      </c>
      <c r="V7233">
        <v>0</v>
      </c>
      <c r="W7233">
        <v>999.8</v>
      </c>
      <c r="X7233">
        <v>1</v>
      </c>
      <c r="AF7233">
        <v>999.8</v>
      </c>
      <c r="AR7233">
        <v>1</v>
      </c>
      <c r="AU7233">
        <f t="shared" si="224"/>
        <v>0</v>
      </c>
      <c r="AV7233">
        <f t="shared" si="225"/>
        <v>0</v>
      </c>
    </row>
    <row r="7234" spans="1:48" x14ac:dyDescent="0.25">
      <c r="A7234" t="s">
        <v>16736</v>
      </c>
      <c r="B7234" t="s">
        <v>16736</v>
      </c>
      <c r="C7234" t="s">
        <v>16737</v>
      </c>
      <c r="D7234" t="s">
        <v>15668</v>
      </c>
      <c r="E7234" t="s">
        <v>2310</v>
      </c>
      <c r="F7234">
        <v>8</v>
      </c>
      <c r="G7234">
        <v>8.1999999999999993</v>
      </c>
      <c r="H7234" t="s">
        <v>2022</v>
      </c>
      <c r="I7234" s="21">
        <v>44707.627839351851</v>
      </c>
      <c r="J7234">
        <v>2022</v>
      </c>
      <c r="K7234" s="21" t="s">
        <v>114</v>
      </c>
      <c r="L7234" t="e">
        <v>#VALUE!</v>
      </c>
      <c r="O7234" s="21" t="s">
        <v>114</v>
      </c>
      <c r="P7234" s="21" t="s">
        <v>114</v>
      </c>
      <c r="Q7234" s="262">
        <v>155000</v>
      </c>
      <c r="R7234" s="262">
        <v>123000</v>
      </c>
      <c r="S7234" t="s">
        <v>13254</v>
      </c>
      <c r="U7234">
        <v>5</v>
      </c>
      <c r="V7234">
        <v>0</v>
      </c>
      <c r="W7234">
        <v>999.2</v>
      </c>
      <c r="X7234">
        <v>0</v>
      </c>
      <c r="AC7234">
        <v>999.2</v>
      </c>
      <c r="AU7234">
        <f t="shared" si="224"/>
        <v>0</v>
      </c>
      <c r="AV7234">
        <f t="shared" si="225"/>
        <v>0</v>
      </c>
    </row>
    <row r="7235" spans="1:48" x14ac:dyDescent="0.25">
      <c r="A7235" t="s">
        <v>16738</v>
      </c>
      <c r="B7235" t="s">
        <v>16738</v>
      </c>
      <c r="C7235" t="s">
        <v>16739</v>
      </c>
      <c r="D7235" t="s">
        <v>16740</v>
      </c>
      <c r="E7235" t="s">
        <v>2310</v>
      </c>
      <c r="F7235">
        <v>13</v>
      </c>
      <c r="G7235">
        <v>13.2</v>
      </c>
      <c r="H7235" t="s">
        <v>2327</v>
      </c>
      <c r="I7235" s="21">
        <v>44708.400318437503</v>
      </c>
      <c r="J7235">
        <v>2022</v>
      </c>
      <c r="K7235" s="21" t="s">
        <v>114</v>
      </c>
      <c r="L7235" t="e">
        <v>#VALUE!</v>
      </c>
      <c r="O7235" s="21" t="s">
        <v>114</v>
      </c>
      <c r="P7235" s="21" t="s">
        <v>114</v>
      </c>
      <c r="Q7235" s="262">
        <v>1248000</v>
      </c>
      <c r="R7235" s="262">
        <v>6500000</v>
      </c>
      <c r="S7235" t="s">
        <v>13254</v>
      </c>
      <c r="U7235">
        <v>5</v>
      </c>
      <c r="V7235">
        <v>0</v>
      </c>
      <c r="W7235">
        <v>8645</v>
      </c>
      <c r="X7235">
        <v>1</v>
      </c>
      <c r="AC7235">
        <v>8645</v>
      </c>
      <c r="AO7235">
        <v>1</v>
      </c>
      <c r="AU7235">
        <f t="shared" si="224"/>
        <v>1</v>
      </c>
      <c r="AV7235">
        <f t="shared" si="225"/>
        <v>0</v>
      </c>
    </row>
    <row r="7236" spans="1:48" x14ac:dyDescent="0.25">
      <c r="A7236" t="s">
        <v>16741</v>
      </c>
      <c r="B7236" t="s">
        <v>16741</v>
      </c>
      <c r="C7236" t="s">
        <v>16742</v>
      </c>
      <c r="D7236" t="s">
        <v>16740</v>
      </c>
      <c r="E7236" t="s">
        <v>2310</v>
      </c>
      <c r="F7236">
        <v>13</v>
      </c>
      <c r="G7236">
        <v>13.2</v>
      </c>
      <c r="H7236" t="s">
        <v>2327</v>
      </c>
      <c r="I7236" s="21">
        <v>44708.404868518519</v>
      </c>
      <c r="J7236">
        <v>2022</v>
      </c>
      <c r="K7236" s="21" t="s">
        <v>114</v>
      </c>
      <c r="L7236" t="e">
        <v>#VALUE!</v>
      </c>
      <c r="O7236" s="21" t="s">
        <v>114</v>
      </c>
      <c r="P7236" s="21" t="s">
        <v>114</v>
      </c>
      <c r="Q7236" s="262">
        <v>117000</v>
      </c>
      <c r="R7236" s="262">
        <v>500000</v>
      </c>
      <c r="S7236" t="s">
        <v>13254</v>
      </c>
      <c r="U7236">
        <v>8</v>
      </c>
      <c r="V7236">
        <v>0</v>
      </c>
      <c r="W7236">
        <v>1012</v>
      </c>
      <c r="X7236">
        <v>1</v>
      </c>
      <c r="AC7236">
        <v>48</v>
      </c>
      <c r="AF7236">
        <v>964</v>
      </c>
      <c r="AR7236">
        <v>1</v>
      </c>
      <c r="AU7236">
        <f t="shared" si="224"/>
        <v>0</v>
      </c>
      <c r="AV7236">
        <f t="shared" si="225"/>
        <v>0</v>
      </c>
    </row>
    <row r="7237" spans="1:48" x14ac:dyDescent="0.25">
      <c r="A7237" t="s">
        <v>16743</v>
      </c>
      <c r="B7237" t="s">
        <v>16743</v>
      </c>
      <c r="C7237" t="s">
        <v>16744</v>
      </c>
      <c r="D7237" t="s">
        <v>4920</v>
      </c>
      <c r="E7237" t="s">
        <v>2310</v>
      </c>
      <c r="F7237">
        <v>8</v>
      </c>
      <c r="G7237">
        <v>8.1</v>
      </c>
      <c r="H7237" t="s">
        <v>2323</v>
      </c>
      <c r="I7237" s="21">
        <v>44714.388861921296</v>
      </c>
      <c r="J7237">
        <v>2022</v>
      </c>
      <c r="K7237" s="21" t="s">
        <v>114</v>
      </c>
      <c r="L7237" t="e">
        <v>#VALUE!</v>
      </c>
      <c r="O7237" s="21" t="s">
        <v>114</v>
      </c>
      <c r="P7237" s="21" t="s">
        <v>114</v>
      </c>
      <c r="Q7237" s="262">
        <v>1089000</v>
      </c>
      <c r="R7237" s="262">
        <v>2000000</v>
      </c>
      <c r="S7237" t="s">
        <v>13253</v>
      </c>
      <c r="T7237">
        <v>4122</v>
      </c>
      <c r="V7237">
        <v>7992</v>
      </c>
      <c r="W7237">
        <v>598</v>
      </c>
      <c r="X7237">
        <v>0</v>
      </c>
      <c r="AC7237">
        <v>598</v>
      </c>
      <c r="AU7237">
        <f t="shared" si="224"/>
        <v>0</v>
      </c>
      <c r="AV7237">
        <f t="shared" si="225"/>
        <v>0</v>
      </c>
    </row>
    <row r="7238" spans="1:48" x14ac:dyDescent="0.25">
      <c r="A7238" t="s">
        <v>16745</v>
      </c>
      <c r="B7238" t="s">
        <v>16745</v>
      </c>
      <c r="C7238" t="s">
        <v>16746</v>
      </c>
      <c r="D7238" t="s">
        <v>16747</v>
      </c>
      <c r="E7238" t="s">
        <v>2310</v>
      </c>
      <c r="F7238">
        <v>8</v>
      </c>
      <c r="G7238">
        <v>8.1</v>
      </c>
      <c r="H7238" t="s">
        <v>2323</v>
      </c>
      <c r="I7238" s="21">
        <v>44714.484215972225</v>
      </c>
      <c r="J7238">
        <v>2022</v>
      </c>
      <c r="K7238" s="21" t="s">
        <v>114</v>
      </c>
      <c r="L7238" t="e">
        <v>#VALUE!</v>
      </c>
      <c r="O7238" s="21" t="s">
        <v>114</v>
      </c>
      <c r="P7238" s="21" t="s">
        <v>114</v>
      </c>
      <c r="Q7238" s="262">
        <v>296000</v>
      </c>
      <c r="R7238" s="262">
        <v>800000</v>
      </c>
      <c r="S7238" t="s">
        <v>13254</v>
      </c>
      <c r="U7238">
        <v>5</v>
      </c>
      <c r="V7238">
        <v>0</v>
      </c>
      <c r="W7238">
        <v>2492</v>
      </c>
      <c r="X7238">
        <v>1</v>
      </c>
      <c r="AC7238">
        <v>2492</v>
      </c>
      <c r="AO7238">
        <v>1</v>
      </c>
      <c r="AU7238">
        <f t="shared" si="224"/>
        <v>1</v>
      </c>
      <c r="AV7238">
        <f t="shared" si="225"/>
        <v>0</v>
      </c>
    </row>
    <row r="7239" spans="1:48" x14ac:dyDescent="0.25">
      <c r="A7239" t="s">
        <v>16748</v>
      </c>
      <c r="B7239" t="s">
        <v>16748</v>
      </c>
      <c r="C7239" t="s">
        <v>16749</v>
      </c>
      <c r="D7239" t="s">
        <v>16747</v>
      </c>
      <c r="E7239" t="s">
        <v>2310</v>
      </c>
      <c r="F7239">
        <v>8</v>
      </c>
      <c r="G7239">
        <v>8.1</v>
      </c>
      <c r="H7239" t="s">
        <v>2323</v>
      </c>
      <c r="I7239" s="21">
        <v>44714.49053333333</v>
      </c>
      <c r="J7239">
        <v>2022</v>
      </c>
      <c r="K7239" s="21" t="s">
        <v>114</v>
      </c>
      <c r="L7239" t="e">
        <v>#VALUE!</v>
      </c>
      <c r="O7239" s="21" t="s">
        <v>114</v>
      </c>
      <c r="P7239" s="21" t="s">
        <v>114</v>
      </c>
      <c r="Q7239" s="262">
        <v>82000</v>
      </c>
      <c r="R7239" s="262">
        <v>200000</v>
      </c>
      <c r="S7239" t="s">
        <v>13254</v>
      </c>
      <c r="U7239">
        <v>5</v>
      </c>
      <c r="V7239">
        <v>0</v>
      </c>
      <c r="W7239">
        <v>1696</v>
      </c>
      <c r="X7239">
        <v>0</v>
      </c>
      <c r="AC7239">
        <v>1696</v>
      </c>
      <c r="AU7239">
        <f t="shared" si="224"/>
        <v>0</v>
      </c>
      <c r="AV7239">
        <f t="shared" si="225"/>
        <v>0</v>
      </c>
    </row>
    <row r="7240" spans="1:48" x14ac:dyDescent="0.25">
      <c r="A7240" t="s">
        <v>16750</v>
      </c>
      <c r="B7240" t="s">
        <v>16750</v>
      </c>
      <c r="C7240" t="s">
        <v>16751</v>
      </c>
      <c r="D7240" t="s">
        <v>16752</v>
      </c>
      <c r="E7240" t="s">
        <v>2310</v>
      </c>
      <c r="F7240">
        <v>8</v>
      </c>
      <c r="G7240">
        <v>8.4</v>
      </c>
      <c r="H7240" t="s">
        <v>2017</v>
      </c>
      <c r="I7240" s="21">
        <v>44714.604667974534</v>
      </c>
      <c r="J7240">
        <v>2022</v>
      </c>
      <c r="K7240" s="21" t="s">
        <v>114</v>
      </c>
      <c r="L7240" t="e">
        <v>#VALUE!</v>
      </c>
      <c r="O7240" s="21" t="s">
        <v>114</v>
      </c>
      <c r="P7240" s="21" t="s">
        <v>114</v>
      </c>
      <c r="Q7240" s="262">
        <v>624000</v>
      </c>
      <c r="R7240" s="262">
        <v>3962400</v>
      </c>
      <c r="S7240" t="s">
        <v>13254</v>
      </c>
      <c r="U7240">
        <v>5</v>
      </c>
      <c r="V7240">
        <v>0</v>
      </c>
      <c r="W7240">
        <v>4953</v>
      </c>
      <c r="X7240">
        <v>1</v>
      </c>
      <c r="AC7240">
        <v>4953</v>
      </c>
      <c r="AO7240">
        <v>1</v>
      </c>
      <c r="AU7240">
        <f t="shared" si="224"/>
        <v>1</v>
      </c>
      <c r="AV7240">
        <f t="shared" si="225"/>
        <v>0</v>
      </c>
    </row>
    <row r="7241" spans="1:48" x14ac:dyDescent="0.25">
      <c r="A7241" t="s">
        <v>16753</v>
      </c>
      <c r="B7241" t="s">
        <v>16753</v>
      </c>
      <c r="C7241" t="s">
        <v>16754</v>
      </c>
      <c r="D7241" t="s">
        <v>16755</v>
      </c>
      <c r="E7241" t="s">
        <v>2310</v>
      </c>
      <c r="F7241">
        <v>8</v>
      </c>
      <c r="G7241">
        <v>8.1999999999999993</v>
      </c>
      <c r="H7241" t="s">
        <v>2022</v>
      </c>
      <c r="I7241" s="21">
        <v>44714.642992673609</v>
      </c>
      <c r="J7241">
        <v>2022</v>
      </c>
      <c r="K7241" s="21" t="s">
        <v>114</v>
      </c>
      <c r="L7241" t="e">
        <v>#VALUE!</v>
      </c>
      <c r="O7241" s="21" t="s">
        <v>114</v>
      </c>
      <c r="P7241" s="21" t="s">
        <v>114</v>
      </c>
      <c r="Q7241" s="262">
        <v>1292000</v>
      </c>
      <c r="R7241" s="262">
        <v>9000000</v>
      </c>
      <c r="S7241" t="s">
        <v>13254</v>
      </c>
      <c r="U7241">
        <v>5</v>
      </c>
      <c r="V7241">
        <v>0</v>
      </c>
      <c r="W7241">
        <v>8858</v>
      </c>
      <c r="X7241">
        <v>1</v>
      </c>
      <c r="AC7241">
        <v>8858</v>
      </c>
      <c r="AO7241">
        <v>1</v>
      </c>
      <c r="AU7241">
        <f t="shared" si="224"/>
        <v>1</v>
      </c>
      <c r="AV7241">
        <f t="shared" si="225"/>
        <v>0</v>
      </c>
    </row>
    <row r="7242" spans="1:48" x14ac:dyDescent="0.25">
      <c r="A7242" t="s">
        <v>16756</v>
      </c>
      <c r="B7242" t="s">
        <v>16756</v>
      </c>
      <c r="C7242" t="s">
        <v>16757</v>
      </c>
      <c r="D7242" t="s">
        <v>16755</v>
      </c>
      <c r="E7242" t="s">
        <v>2310</v>
      </c>
      <c r="F7242">
        <v>8</v>
      </c>
      <c r="G7242">
        <v>8.1999999999999993</v>
      </c>
      <c r="H7242" t="s">
        <v>2022</v>
      </c>
      <c r="I7242" s="21">
        <v>44714.656086111114</v>
      </c>
      <c r="J7242">
        <v>2022</v>
      </c>
      <c r="K7242" s="21" t="s">
        <v>114</v>
      </c>
      <c r="L7242" t="e">
        <v>#VALUE!</v>
      </c>
      <c r="O7242" s="21" t="s">
        <v>114</v>
      </c>
      <c r="P7242" s="21" t="s">
        <v>114</v>
      </c>
      <c r="Q7242" s="262">
        <v>114000</v>
      </c>
      <c r="R7242" s="262">
        <v>800000</v>
      </c>
      <c r="S7242" t="s">
        <v>13254</v>
      </c>
      <c r="U7242">
        <v>5</v>
      </c>
      <c r="V7242">
        <v>0</v>
      </c>
      <c r="W7242">
        <v>1141</v>
      </c>
      <c r="X7242">
        <v>1</v>
      </c>
      <c r="AC7242">
        <v>1141</v>
      </c>
      <c r="AO7242">
        <v>1</v>
      </c>
      <c r="AU7242">
        <f t="shared" si="224"/>
        <v>1</v>
      </c>
      <c r="AV7242">
        <f t="shared" si="225"/>
        <v>0</v>
      </c>
    </row>
    <row r="7243" spans="1:48" x14ac:dyDescent="0.25">
      <c r="A7243" t="s">
        <v>16758</v>
      </c>
      <c r="B7243" t="s">
        <v>16758</v>
      </c>
      <c r="C7243" t="s">
        <v>16759</v>
      </c>
      <c r="D7243" t="s">
        <v>7822</v>
      </c>
      <c r="E7243" t="s">
        <v>2310</v>
      </c>
      <c r="F7243">
        <v>8</v>
      </c>
      <c r="G7243">
        <v>8.1999999999999993</v>
      </c>
      <c r="H7243" t="s">
        <v>2022</v>
      </c>
      <c r="I7243" s="21">
        <v>44715.43776403935</v>
      </c>
      <c r="J7243">
        <v>2022</v>
      </c>
      <c r="K7243" s="21" t="s">
        <v>114</v>
      </c>
      <c r="L7243" t="e">
        <v>#VALUE!</v>
      </c>
      <c r="O7243" s="21" t="s">
        <v>114</v>
      </c>
      <c r="P7243" s="21" t="s">
        <v>114</v>
      </c>
      <c r="Q7243" s="262">
        <v>204000</v>
      </c>
      <c r="R7243" s="262">
        <v>800000</v>
      </c>
      <c r="S7243" t="s">
        <v>13254</v>
      </c>
      <c r="V7243">
        <v>0</v>
      </c>
      <c r="W7243">
        <v>2594</v>
      </c>
      <c r="X7243">
        <v>1</v>
      </c>
      <c r="AC7243">
        <v>1595</v>
      </c>
      <c r="AF7243">
        <v>999</v>
      </c>
      <c r="AR7243">
        <v>1</v>
      </c>
      <c r="AU7243">
        <f t="shared" si="224"/>
        <v>0</v>
      </c>
      <c r="AV7243">
        <f t="shared" si="225"/>
        <v>0</v>
      </c>
    </row>
    <row r="7244" spans="1:48" x14ac:dyDescent="0.25">
      <c r="A7244" t="s">
        <v>16760</v>
      </c>
      <c r="B7244" t="s">
        <v>16760</v>
      </c>
      <c r="C7244" t="s">
        <v>16761</v>
      </c>
      <c r="D7244" t="s">
        <v>16762</v>
      </c>
      <c r="E7244" t="s">
        <v>2310</v>
      </c>
      <c r="F7244">
        <v>9</v>
      </c>
      <c r="G7244">
        <v>9.1</v>
      </c>
      <c r="H7244" t="s">
        <v>2323</v>
      </c>
      <c r="I7244" s="21">
        <v>44715.500206400466</v>
      </c>
      <c r="J7244">
        <v>2022</v>
      </c>
      <c r="K7244" s="21" t="s">
        <v>114</v>
      </c>
      <c r="L7244" t="e">
        <v>#VALUE!</v>
      </c>
      <c r="O7244" s="21" t="s">
        <v>114</v>
      </c>
      <c r="P7244" s="21" t="s">
        <v>114</v>
      </c>
      <c r="Q7244" s="262">
        <v>1332000</v>
      </c>
      <c r="R7244" s="262">
        <v>4000000</v>
      </c>
      <c r="S7244" t="s">
        <v>13254</v>
      </c>
      <c r="U7244">
        <v>5</v>
      </c>
      <c r="V7244">
        <v>0</v>
      </c>
      <c r="W7244">
        <v>8820</v>
      </c>
      <c r="X7244">
        <v>1</v>
      </c>
      <c r="AC7244">
        <v>8820</v>
      </c>
      <c r="AO7244">
        <v>1</v>
      </c>
      <c r="AU7244">
        <f t="shared" si="224"/>
        <v>1</v>
      </c>
      <c r="AV7244">
        <f t="shared" si="225"/>
        <v>0</v>
      </c>
    </row>
    <row r="7245" spans="1:48" x14ac:dyDescent="0.25">
      <c r="A7245" t="s">
        <v>16763</v>
      </c>
      <c r="B7245" t="s">
        <v>16763</v>
      </c>
      <c r="C7245" t="s">
        <v>16764</v>
      </c>
      <c r="D7245" t="s">
        <v>11761</v>
      </c>
      <c r="E7245" t="s">
        <v>2310</v>
      </c>
      <c r="F7245">
        <v>14</v>
      </c>
      <c r="G7245">
        <v>14.1</v>
      </c>
      <c r="H7245" t="s">
        <v>2022</v>
      </c>
      <c r="I7245" s="21">
        <v>44715.512513391201</v>
      </c>
      <c r="J7245">
        <v>2022</v>
      </c>
      <c r="K7245" s="21" t="s">
        <v>114</v>
      </c>
      <c r="L7245" t="e">
        <v>#VALUE!</v>
      </c>
      <c r="O7245" s="21" t="s">
        <v>114</v>
      </c>
      <c r="P7245" s="21" t="s">
        <v>114</v>
      </c>
      <c r="Q7245" s="262">
        <v>100000</v>
      </c>
      <c r="R7245" s="262">
        <v>500000</v>
      </c>
      <c r="S7245" t="s">
        <v>13253</v>
      </c>
      <c r="T7245">
        <v>14220</v>
      </c>
      <c r="V7245">
        <v>0</v>
      </c>
      <c r="W7245">
        <v>837</v>
      </c>
      <c r="X7245">
        <v>0</v>
      </c>
      <c r="AC7245">
        <v>837</v>
      </c>
      <c r="AU7245">
        <f t="shared" si="224"/>
        <v>0</v>
      </c>
      <c r="AV7245">
        <f t="shared" si="225"/>
        <v>0</v>
      </c>
    </row>
    <row r="7246" spans="1:48" x14ac:dyDescent="0.25">
      <c r="A7246" t="s">
        <v>16765</v>
      </c>
      <c r="C7246" t="s">
        <v>16766</v>
      </c>
      <c r="D7246" t="s">
        <v>16767</v>
      </c>
      <c r="E7246" t="s">
        <v>1663</v>
      </c>
      <c r="F7246">
        <v>3</v>
      </c>
      <c r="G7246">
        <v>3.1</v>
      </c>
      <c r="H7246" t="s">
        <v>2017</v>
      </c>
      <c r="I7246" s="21">
        <v>44718</v>
      </c>
      <c r="J7246">
        <v>2022</v>
      </c>
      <c r="K7246" s="21">
        <v>44820</v>
      </c>
      <c r="L7246">
        <v>2022</v>
      </c>
      <c r="P7246" s="21" t="s">
        <v>114</v>
      </c>
      <c r="Q7246" s="262">
        <v>1300000</v>
      </c>
      <c r="S7246" t="s">
        <v>12464</v>
      </c>
      <c r="T7246">
        <v>10419</v>
      </c>
      <c r="W7246">
        <v>2638</v>
      </c>
      <c r="X7246">
        <v>2</v>
      </c>
      <c r="AE7246">
        <v>2638</v>
      </c>
      <c r="AQ7246">
        <v>2</v>
      </c>
      <c r="AU7246">
        <f t="shared" si="224"/>
        <v>2</v>
      </c>
      <c r="AV7246">
        <f t="shared" si="225"/>
        <v>0</v>
      </c>
    </row>
    <row r="7247" spans="1:48" x14ac:dyDescent="0.25">
      <c r="A7247" t="s">
        <v>16771</v>
      </c>
      <c r="C7247" t="s">
        <v>11246</v>
      </c>
      <c r="D7247" t="s">
        <v>16767</v>
      </c>
      <c r="E7247" t="s">
        <v>1663</v>
      </c>
      <c r="F7247">
        <v>3</v>
      </c>
      <c r="G7247">
        <v>3.1</v>
      </c>
      <c r="H7247" t="s">
        <v>2017</v>
      </c>
      <c r="I7247" s="21">
        <v>44718</v>
      </c>
      <c r="J7247">
        <v>2022</v>
      </c>
      <c r="K7247" s="21">
        <v>44820</v>
      </c>
      <c r="L7247">
        <v>2022</v>
      </c>
      <c r="P7247" s="21" t="s">
        <v>114</v>
      </c>
      <c r="Q7247" s="262">
        <v>1600000</v>
      </c>
      <c r="S7247" t="s">
        <v>12464</v>
      </c>
      <c r="T7247">
        <v>10420</v>
      </c>
      <c r="W7247">
        <v>3218</v>
      </c>
      <c r="X7247">
        <v>1</v>
      </c>
      <c r="AC7247">
        <v>3218</v>
      </c>
      <c r="AO7247">
        <v>1</v>
      </c>
      <c r="AU7247">
        <f t="shared" si="224"/>
        <v>1</v>
      </c>
      <c r="AV7247">
        <f t="shared" si="225"/>
        <v>0</v>
      </c>
    </row>
    <row r="7248" spans="1:48" x14ac:dyDescent="0.25">
      <c r="A7248" t="s">
        <v>16765</v>
      </c>
      <c r="C7248" t="s">
        <v>16766</v>
      </c>
      <c r="D7248" t="s">
        <v>16767</v>
      </c>
      <c r="E7248" t="s">
        <v>1663</v>
      </c>
      <c r="F7248">
        <v>3</v>
      </c>
      <c r="G7248">
        <v>3.1</v>
      </c>
      <c r="H7248" t="s">
        <v>2017</v>
      </c>
      <c r="I7248" s="21">
        <v>44718</v>
      </c>
      <c r="J7248">
        <v>2022</v>
      </c>
      <c r="K7248" s="21">
        <v>44820</v>
      </c>
      <c r="L7248">
        <v>2022</v>
      </c>
      <c r="Q7248" s="262">
        <v>1300000</v>
      </c>
      <c r="S7248" t="s">
        <v>9529</v>
      </c>
      <c r="T7248">
        <v>10419</v>
      </c>
      <c r="U7248">
        <v>5</v>
      </c>
      <c r="W7248">
        <v>-1080</v>
      </c>
      <c r="X7248">
        <v>-1</v>
      </c>
      <c r="Y7248">
        <v>0</v>
      </c>
      <c r="Z7248">
        <v>0</v>
      </c>
      <c r="AA7248">
        <v>0</v>
      </c>
      <c r="AB7248">
        <v>0</v>
      </c>
      <c r="AC7248">
        <v>-1080</v>
      </c>
      <c r="AD7248">
        <v>0</v>
      </c>
      <c r="AE7248">
        <v>0</v>
      </c>
      <c r="AF7248">
        <v>0</v>
      </c>
      <c r="AG7248">
        <v>0</v>
      </c>
      <c r="AH7248">
        <v>0</v>
      </c>
      <c r="AI7248">
        <v>0</v>
      </c>
      <c r="AJ7248">
        <v>0</v>
      </c>
      <c r="AK7248">
        <v>0</v>
      </c>
      <c r="AL7248">
        <v>0</v>
      </c>
      <c r="AM7248">
        <v>0</v>
      </c>
      <c r="AN7248">
        <v>0</v>
      </c>
      <c r="AO7248">
        <v>-1</v>
      </c>
      <c r="AP7248">
        <v>0</v>
      </c>
      <c r="AQ7248">
        <v>0</v>
      </c>
      <c r="AR7248">
        <v>0</v>
      </c>
      <c r="AS7248">
        <v>0</v>
      </c>
      <c r="AT7248">
        <v>0</v>
      </c>
      <c r="AU7248">
        <f t="shared" si="224"/>
        <v>-1</v>
      </c>
      <c r="AV7248">
        <f t="shared" si="225"/>
        <v>0</v>
      </c>
    </row>
    <row r="7249" spans="1:48" x14ac:dyDescent="0.25">
      <c r="A7249" t="s">
        <v>16771</v>
      </c>
      <c r="C7249" t="s">
        <v>11246</v>
      </c>
      <c r="D7249" t="s">
        <v>16767</v>
      </c>
      <c r="E7249" t="s">
        <v>1663</v>
      </c>
      <c r="F7249">
        <v>3</v>
      </c>
      <c r="G7249">
        <v>3.1</v>
      </c>
      <c r="H7249" t="s">
        <v>2017</v>
      </c>
      <c r="I7249" s="21">
        <v>44718</v>
      </c>
      <c r="J7249">
        <v>2022</v>
      </c>
      <c r="K7249" s="21">
        <v>44820</v>
      </c>
      <c r="L7249">
        <v>2022</v>
      </c>
      <c r="Q7249" s="262">
        <v>1600000</v>
      </c>
      <c r="S7249" t="s">
        <v>9529</v>
      </c>
      <c r="T7249">
        <v>10420</v>
      </c>
      <c r="U7249">
        <v>9</v>
      </c>
      <c r="W7249">
        <v>-1216</v>
      </c>
      <c r="X7249">
        <v>-1</v>
      </c>
      <c r="Y7249">
        <v>0</v>
      </c>
      <c r="Z7249">
        <v>0</v>
      </c>
      <c r="AA7249">
        <v>0</v>
      </c>
      <c r="AB7249">
        <v>0</v>
      </c>
      <c r="AC7249">
        <v>0</v>
      </c>
      <c r="AD7249">
        <v>0</v>
      </c>
      <c r="AE7249">
        <v>0</v>
      </c>
      <c r="AF7249">
        <v>0</v>
      </c>
      <c r="AG7249">
        <v>-1216</v>
      </c>
      <c r="AH7249">
        <v>0</v>
      </c>
      <c r="AI7249">
        <v>0</v>
      </c>
      <c r="AJ7249">
        <v>0</v>
      </c>
      <c r="AK7249">
        <v>0</v>
      </c>
      <c r="AL7249">
        <v>0</v>
      </c>
      <c r="AM7249">
        <v>0</v>
      </c>
      <c r="AN7249">
        <v>0</v>
      </c>
      <c r="AO7249">
        <v>0</v>
      </c>
      <c r="AP7249">
        <v>0</v>
      </c>
      <c r="AQ7249">
        <v>0</v>
      </c>
      <c r="AR7249">
        <v>0</v>
      </c>
      <c r="AS7249">
        <v>-1</v>
      </c>
      <c r="AT7249">
        <v>0</v>
      </c>
      <c r="AU7249">
        <f t="shared" si="224"/>
        <v>-1</v>
      </c>
      <c r="AV7249">
        <f t="shared" si="225"/>
        <v>0</v>
      </c>
    </row>
    <row r="7250" spans="1:48" x14ac:dyDescent="0.25">
      <c r="A7250" t="s">
        <v>16775</v>
      </c>
      <c r="C7250" t="s">
        <v>16776</v>
      </c>
      <c r="D7250" t="s">
        <v>3609</v>
      </c>
      <c r="E7250" t="s">
        <v>1663</v>
      </c>
      <c r="F7250">
        <v>3</v>
      </c>
      <c r="G7250">
        <v>3.1</v>
      </c>
      <c r="H7250" t="s">
        <v>2017</v>
      </c>
      <c r="I7250" s="21">
        <v>44719</v>
      </c>
      <c r="J7250">
        <v>2022</v>
      </c>
      <c r="K7250" s="21">
        <v>44763</v>
      </c>
      <c r="L7250">
        <v>2022</v>
      </c>
      <c r="P7250" s="21" t="s">
        <v>114</v>
      </c>
      <c r="Q7250" s="262">
        <v>400000</v>
      </c>
      <c r="S7250" t="s">
        <v>13254</v>
      </c>
      <c r="W7250">
        <v>1085</v>
      </c>
      <c r="X7250">
        <v>1</v>
      </c>
      <c r="AC7250">
        <v>602</v>
      </c>
      <c r="AF7250">
        <v>483</v>
      </c>
      <c r="AO7250">
        <v>0</v>
      </c>
      <c r="AR7250">
        <v>1</v>
      </c>
      <c r="AU7250">
        <f t="shared" si="224"/>
        <v>0</v>
      </c>
      <c r="AV7250">
        <f t="shared" si="225"/>
        <v>0</v>
      </c>
    </row>
    <row r="7251" spans="1:48" x14ac:dyDescent="0.25">
      <c r="A7251" t="s">
        <v>16777</v>
      </c>
      <c r="C7251" t="s">
        <v>16778</v>
      </c>
      <c r="D7251" t="s">
        <v>16512</v>
      </c>
      <c r="E7251" t="s">
        <v>1663</v>
      </c>
      <c r="F7251">
        <v>3</v>
      </c>
      <c r="G7251">
        <v>3.2</v>
      </c>
      <c r="H7251" t="s">
        <v>2327</v>
      </c>
      <c r="I7251" s="21">
        <v>44721</v>
      </c>
      <c r="J7251">
        <v>2022</v>
      </c>
      <c r="K7251" s="21">
        <v>44812</v>
      </c>
      <c r="L7251">
        <v>2022</v>
      </c>
      <c r="P7251" s="21" t="s">
        <v>114</v>
      </c>
      <c r="Q7251" s="262">
        <v>3250000</v>
      </c>
      <c r="S7251" t="s">
        <v>13254</v>
      </c>
      <c r="W7251">
        <v>4564</v>
      </c>
      <c r="X7251">
        <v>4</v>
      </c>
      <c r="AE7251">
        <v>4564</v>
      </c>
      <c r="AQ7251">
        <v>4</v>
      </c>
      <c r="AU7251">
        <f t="shared" si="224"/>
        <v>4</v>
      </c>
      <c r="AV7251">
        <f t="shared" si="225"/>
        <v>0</v>
      </c>
    </row>
    <row r="7252" spans="1:48" x14ac:dyDescent="0.25">
      <c r="A7252" t="s">
        <v>16779</v>
      </c>
      <c r="C7252" t="s">
        <v>16780</v>
      </c>
      <c r="D7252" t="s">
        <v>16781</v>
      </c>
      <c r="E7252" t="s">
        <v>1663</v>
      </c>
      <c r="F7252">
        <v>3</v>
      </c>
      <c r="G7252">
        <v>3.2</v>
      </c>
      <c r="H7252" t="s">
        <v>2327</v>
      </c>
      <c r="I7252" s="21">
        <v>44721</v>
      </c>
      <c r="J7252">
        <v>2022</v>
      </c>
      <c r="K7252" s="21">
        <v>44867</v>
      </c>
      <c r="L7252">
        <v>2022</v>
      </c>
      <c r="P7252" s="21" t="s">
        <v>114</v>
      </c>
      <c r="Q7252" s="262">
        <v>3250000</v>
      </c>
      <c r="S7252" t="s">
        <v>13254</v>
      </c>
      <c r="W7252">
        <v>8712</v>
      </c>
      <c r="X7252">
        <v>7</v>
      </c>
      <c r="AE7252">
        <v>8712</v>
      </c>
      <c r="AQ7252">
        <v>7</v>
      </c>
      <c r="AU7252">
        <f t="shared" si="224"/>
        <v>7</v>
      </c>
      <c r="AV7252">
        <f t="shared" si="225"/>
        <v>0</v>
      </c>
    </row>
    <row r="7253" spans="1:48" x14ac:dyDescent="0.25">
      <c r="A7253" t="s">
        <v>16782</v>
      </c>
      <c r="C7253" t="s">
        <v>16783</v>
      </c>
      <c r="D7253" t="s">
        <v>16781</v>
      </c>
      <c r="E7253" t="s">
        <v>1663</v>
      </c>
      <c r="F7253">
        <v>3</v>
      </c>
      <c r="G7253">
        <v>3.2</v>
      </c>
      <c r="H7253" t="s">
        <v>2327</v>
      </c>
      <c r="I7253" s="21">
        <v>44721</v>
      </c>
      <c r="J7253">
        <v>2022</v>
      </c>
      <c r="K7253" s="21">
        <v>44865</v>
      </c>
      <c r="L7253">
        <v>2022</v>
      </c>
      <c r="P7253" s="21" t="s">
        <v>114</v>
      </c>
      <c r="Q7253" s="262">
        <v>3250000</v>
      </c>
      <c r="S7253" t="s">
        <v>12464</v>
      </c>
      <c r="T7253">
        <v>11555</v>
      </c>
      <c r="W7253">
        <v>8008</v>
      </c>
      <c r="X7253">
        <v>7</v>
      </c>
      <c r="AE7253">
        <v>8008</v>
      </c>
      <c r="AQ7253">
        <v>7</v>
      </c>
      <c r="AU7253">
        <f t="shared" si="224"/>
        <v>7</v>
      </c>
      <c r="AV7253">
        <f t="shared" si="225"/>
        <v>0</v>
      </c>
    </row>
    <row r="7254" spans="1:48" x14ac:dyDescent="0.25">
      <c r="A7254" t="s">
        <v>16785</v>
      </c>
      <c r="C7254" t="s">
        <v>16786</v>
      </c>
      <c r="D7254" t="s">
        <v>16787</v>
      </c>
      <c r="E7254" t="s">
        <v>1663</v>
      </c>
      <c r="F7254">
        <v>3</v>
      </c>
      <c r="G7254">
        <v>3.2</v>
      </c>
      <c r="H7254" t="s">
        <v>2327</v>
      </c>
      <c r="I7254" s="21">
        <v>44721</v>
      </c>
      <c r="J7254">
        <v>2022</v>
      </c>
      <c r="P7254" s="21" t="s">
        <v>114</v>
      </c>
      <c r="Q7254" s="262">
        <v>3250000</v>
      </c>
      <c r="S7254" t="s">
        <v>12464</v>
      </c>
      <c r="T7254">
        <v>11554</v>
      </c>
      <c r="W7254">
        <v>4564</v>
      </c>
      <c r="X7254">
        <v>4</v>
      </c>
      <c r="AE7254">
        <v>4564</v>
      </c>
      <c r="AQ7254">
        <v>4</v>
      </c>
      <c r="AU7254">
        <f t="shared" si="224"/>
        <v>4</v>
      </c>
      <c r="AV7254">
        <f t="shared" si="225"/>
        <v>0</v>
      </c>
    </row>
    <row r="7255" spans="1:48" x14ac:dyDescent="0.25">
      <c r="A7255" t="s">
        <v>16782</v>
      </c>
      <c r="C7255" t="s">
        <v>16783</v>
      </c>
      <c r="D7255" t="s">
        <v>16781</v>
      </c>
      <c r="E7255" t="s">
        <v>1663</v>
      </c>
      <c r="F7255">
        <v>3</v>
      </c>
      <c r="G7255">
        <v>3.2</v>
      </c>
      <c r="H7255" t="s">
        <v>2327</v>
      </c>
      <c r="I7255" s="21">
        <v>44721</v>
      </c>
      <c r="J7255">
        <v>2022</v>
      </c>
      <c r="K7255" s="21">
        <v>44865</v>
      </c>
      <c r="L7255">
        <v>2022</v>
      </c>
      <c r="Q7255" s="262">
        <v>3250000</v>
      </c>
      <c r="S7255" t="s">
        <v>9529</v>
      </c>
      <c r="T7255">
        <v>11555</v>
      </c>
      <c r="U7255">
        <v>5</v>
      </c>
      <c r="W7255">
        <v>-2060</v>
      </c>
      <c r="X7255">
        <v>-1</v>
      </c>
      <c r="Y7255">
        <v>0</v>
      </c>
      <c r="Z7255">
        <v>0</v>
      </c>
      <c r="AA7255">
        <v>0</v>
      </c>
      <c r="AB7255">
        <v>0</v>
      </c>
      <c r="AC7255">
        <v>-2060</v>
      </c>
      <c r="AD7255">
        <v>0</v>
      </c>
      <c r="AE7255">
        <v>0</v>
      </c>
      <c r="AF7255">
        <v>0</v>
      </c>
      <c r="AG7255">
        <v>0</v>
      </c>
      <c r="AH7255">
        <v>0</v>
      </c>
      <c r="AI7255">
        <v>0</v>
      </c>
      <c r="AJ7255">
        <v>0</v>
      </c>
      <c r="AK7255">
        <v>0</v>
      </c>
      <c r="AL7255">
        <v>0</v>
      </c>
      <c r="AM7255">
        <v>0</v>
      </c>
      <c r="AN7255">
        <v>0</v>
      </c>
      <c r="AO7255">
        <v>-1</v>
      </c>
      <c r="AP7255">
        <v>0</v>
      </c>
      <c r="AQ7255">
        <v>0</v>
      </c>
      <c r="AR7255">
        <v>0</v>
      </c>
      <c r="AS7255">
        <v>0</v>
      </c>
      <c r="AT7255">
        <v>0</v>
      </c>
      <c r="AU7255">
        <f t="shared" si="224"/>
        <v>-1</v>
      </c>
      <c r="AV7255">
        <f t="shared" si="225"/>
        <v>0</v>
      </c>
    </row>
    <row r="7256" spans="1:48" x14ac:dyDescent="0.25">
      <c r="A7256" t="s">
        <v>16785</v>
      </c>
      <c r="C7256" t="s">
        <v>16786</v>
      </c>
      <c r="D7256" t="s">
        <v>16787</v>
      </c>
      <c r="E7256" t="s">
        <v>1663</v>
      </c>
      <c r="F7256">
        <v>3</v>
      </c>
      <c r="G7256">
        <v>3.2</v>
      </c>
      <c r="H7256" t="s">
        <v>2327</v>
      </c>
      <c r="I7256" s="21">
        <v>44721</v>
      </c>
      <c r="J7256">
        <v>2022</v>
      </c>
      <c r="Q7256" s="262">
        <v>3250000</v>
      </c>
      <c r="S7256" t="s">
        <v>9529</v>
      </c>
      <c r="T7256">
        <v>11554</v>
      </c>
      <c r="U7256">
        <v>5</v>
      </c>
      <c r="W7256">
        <v>-738</v>
      </c>
      <c r="X7256">
        <v>-1</v>
      </c>
      <c r="Y7256">
        <v>0</v>
      </c>
      <c r="Z7256">
        <v>0</v>
      </c>
      <c r="AA7256">
        <v>0</v>
      </c>
      <c r="AB7256">
        <v>0</v>
      </c>
      <c r="AC7256">
        <v>-738</v>
      </c>
      <c r="AD7256">
        <v>0</v>
      </c>
      <c r="AE7256">
        <v>0</v>
      </c>
      <c r="AF7256">
        <v>0</v>
      </c>
      <c r="AG7256">
        <v>0</v>
      </c>
      <c r="AH7256">
        <v>0</v>
      </c>
      <c r="AI7256">
        <v>0</v>
      </c>
      <c r="AJ7256">
        <v>0</v>
      </c>
      <c r="AK7256">
        <v>0</v>
      </c>
      <c r="AL7256">
        <v>0</v>
      </c>
      <c r="AM7256">
        <v>0</v>
      </c>
      <c r="AN7256">
        <v>0</v>
      </c>
      <c r="AO7256">
        <v>-1</v>
      </c>
      <c r="AP7256">
        <v>0</v>
      </c>
      <c r="AQ7256">
        <v>0</v>
      </c>
      <c r="AR7256">
        <v>0</v>
      </c>
      <c r="AS7256">
        <v>0</v>
      </c>
      <c r="AT7256">
        <v>0</v>
      </c>
      <c r="AU7256">
        <f t="shared" si="224"/>
        <v>-1</v>
      </c>
      <c r="AV7256">
        <f t="shared" si="225"/>
        <v>0</v>
      </c>
    </row>
    <row r="7257" spans="1:48" x14ac:dyDescent="0.25">
      <c r="A7257" t="s">
        <v>16790</v>
      </c>
      <c r="B7257" t="s">
        <v>16790</v>
      </c>
      <c r="C7257" t="s">
        <v>16791</v>
      </c>
      <c r="D7257" t="s">
        <v>16792</v>
      </c>
      <c r="E7257" t="s">
        <v>2310</v>
      </c>
      <c r="F7257">
        <v>7</v>
      </c>
      <c r="G7257">
        <v>7.2</v>
      </c>
      <c r="H7257" t="s">
        <v>2017</v>
      </c>
      <c r="I7257" s="21">
        <v>44721.396548414348</v>
      </c>
      <c r="J7257">
        <v>2022</v>
      </c>
      <c r="K7257" s="21" t="s">
        <v>114</v>
      </c>
      <c r="L7257" t="e">
        <v>#VALUE!</v>
      </c>
      <c r="O7257" s="21" t="s">
        <v>114</v>
      </c>
      <c r="P7257" s="21" t="s">
        <v>114</v>
      </c>
      <c r="Q7257" s="262">
        <v>164000</v>
      </c>
      <c r="R7257" s="262">
        <v>80000</v>
      </c>
      <c r="S7257" t="s">
        <v>13254</v>
      </c>
      <c r="V7257">
        <v>0</v>
      </c>
      <c r="W7257">
        <v>3344</v>
      </c>
      <c r="X7257">
        <v>0</v>
      </c>
      <c r="AL7257">
        <v>3344</v>
      </c>
      <c r="AU7257">
        <f t="shared" ref="AU7257:AU7320" si="226">SUM(AN7257:AQ7257,AS7257)</f>
        <v>0</v>
      </c>
      <c r="AV7257">
        <f t="shared" ref="AV7257:AV7320" si="227">SUM(Y7257:AB7257,AH7257:AM7257)</f>
        <v>3344</v>
      </c>
    </row>
    <row r="7258" spans="1:48" x14ac:dyDescent="0.25">
      <c r="A7258" t="s">
        <v>16793</v>
      </c>
      <c r="B7258" t="s">
        <v>16793</v>
      </c>
      <c r="C7258" t="s">
        <v>16794</v>
      </c>
      <c r="D7258" t="s">
        <v>16795</v>
      </c>
      <c r="E7258" t="s">
        <v>2310</v>
      </c>
      <c r="F7258">
        <v>9</v>
      </c>
      <c r="G7258">
        <v>9.3000000000000007</v>
      </c>
      <c r="H7258" t="s">
        <v>2323</v>
      </c>
      <c r="I7258" s="21">
        <v>44721.440067511576</v>
      </c>
      <c r="J7258">
        <v>2022</v>
      </c>
      <c r="K7258" s="21" t="s">
        <v>114</v>
      </c>
      <c r="L7258" t="e">
        <v>#VALUE!</v>
      </c>
      <c r="O7258" s="21" t="s">
        <v>114</v>
      </c>
      <c r="P7258" s="21" t="s">
        <v>114</v>
      </c>
      <c r="Q7258" s="262">
        <v>85000</v>
      </c>
      <c r="R7258" s="262">
        <v>1200000</v>
      </c>
      <c r="S7258" t="s">
        <v>13253</v>
      </c>
      <c r="T7258">
        <v>4727</v>
      </c>
      <c r="V7258">
        <v>952</v>
      </c>
      <c r="W7258">
        <v>0</v>
      </c>
      <c r="X7258">
        <v>0</v>
      </c>
      <c r="AC7258">
        <v>0</v>
      </c>
      <c r="AU7258">
        <f t="shared" si="226"/>
        <v>0</v>
      </c>
      <c r="AV7258">
        <f t="shared" si="227"/>
        <v>0</v>
      </c>
    </row>
    <row r="7259" spans="1:48" x14ac:dyDescent="0.25">
      <c r="A7259" t="s">
        <v>16796</v>
      </c>
      <c r="B7259" t="s">
        <v>16796</v>
      </c>
      <c r="C7259" t="s">
        <v>16797</v>
      </c>
      <c r="D7259" t="s">
        <v>16798</v>
      </c>
      <c r="E7259" t="s">
        <v>2310</v>
      </c>
      <c r="F7259">
        <v>9</v>
      </c>
      <c r="G7259">
        <v>9.3000000000000007</v>
      </c>
      <c r="H7259" t="s">
        <v>2323</v>
      </c>
      <c r="I7259" s="21">
        <v>44721.448252546295</v>
      </c>
      <c r="J7259">
        <v>2022</v>
      </c>
      <c r="K7259" s="21" t="s">
        <v>114</v>
      </c>
      <c r="L7259" t="e">
        <v>#VALUE!</v>
      </c>
      <c r="O7259" s="21" t="s">
        <v>114</v>
      </c>
      <c r="P7259" s="21" t="s">
        <v>114</v>
      </c>
      <c r="Q7259" s="262">
        <v>119000</v>
      </c>
      <c r="R7259" s="262">
        <v>1000000</v>
      </c>
      <c r="S7259" t="s">
        <v>13254</v>
      </c>
      <c r="U7259">
        <v>5</v>
      </c>
      <c r="V7259">
        <v>0</v>
      </c>
      <c r="W7259">
        <v>999</v>
      </c>
      <c r="X7259">
        <v>0</v>
      </c>
      <c r="AC7259">
        <v>999</v>
      </c>
      <c r="AU7259">
        <f t="shared" si="226"/>
        <v>0</v>
      </c>
      <c r="AV7259">
        <f t="shared" si="227"/>
        <v>0</v>
      </c>
    </row>
    <row r="7260" spans="1:48" x14ac:dyDescent="0.25">
      <c r="A7260" t="s">
        <v>16799</v>
      </c>
      <c r="B7260" t="s">
        <v>16799</v>
      </c>
      <c r="C7260" t="s">
        <v>16800</v>
      </c>
      <c r="D7260" t="s">
        <v>2348</v>
      </c>
      <c r="E7260" t="s">
        <v>2310</v>
      </c>
      <c r="F7260">
        <v>9</v>
      </c>
      <c r="G7260">
        <v>9.1</v>
      </c>
      <c r="H7260" t="s">
        <v>2323</v>
      </c>
      <c r="I7260" s="21">
        <v>44721.647054895831</v>
      </c>
      <c r="J7260">
        <v>2022</v>
      </c>
      <c r="K7260" s="21" t="s">
        <v>114</v>
      </c>
      <c r="L7260" t="e">
        <v>#VALUE!</v>
      </c>
      <c r="O7260" s="21" t="s">
        <v>114</v>
      </c>
      <c r="P7260" s="21" t="s">
        <v>114</v>
      </c>
      <c r="Q7260" s="262">
        <v>119000</v>
      </c>
      <c r="R7260" s="262">
        <v>1000000</v>
      </c>
      <c r="S7260" t="s">
        <v>13254</v>
      </c>
      <c r="U7260">
        <v>8</v>
      </c>
      <c r="V7260">
        <v>0</v>
      </c>
      <c r="W7260">
        <v>1000</v>
      </c>
      <c r="X7260">
        <v>1</v>
      </c>
      <c r="AF7260">
        <v>1000</v>
      </c>
      <c r="AR7260">
        <v>1</v>
      </c>
      <c r="AU7260">
        <f t="shared" si="226"/>
        <v>0</v>
      </c>
      <c r="AV7260">
        <f t="shared" si="227"/>
        <v>0</v>
      </c>
    </row>
    <row r="7261" spans="1:48" x14ac:dyDescent="0.25">
      <c r="A7261" t="s">
        <v>16801</v>
      </c>
      <c r="C7261" t="s">
        <v>16802</v>
      </c>
      <c r="D7261" t="s">
        <v>16803</v>
      </c>
      <c r="E7261" t="s">
        <v>1663</v>
      </c>
      <c r="F7261">
        <v>6</v>
      </c>
      <c r="G7261">
        <v>6.1</v>
      </c>
      <c r="H7261" t="s">
        <v>2017</v>
      </c>
      <c r="I7261" s="21">
        <v>44722</v>
      </c>
      <c r="J7261">
        <v>2022</v>
      </c>
      <c r="K7261" s="21">
        <v>44791</v>
      </c>
      <c r="L7261">
        <v>2022</v>
      </c>
      <c r="P7261" s="21" t="s">
        <v>114</v>
      </c>
      <c r="Q7261" s="262">
        <v>3000000</v>
      </c>
      <c r="S7261" t="s">
        <v>13254</v>
      </c>
      <c r="W7261">
        <v>4701</v>
      </c>
      <c r="X7261">
        <v>1</v>
      </c>
      <c r="AC7261">
        <v>4701</v>
      </c>
      <c r="AO7261">
        <v>1</v>
      </c>
      <c r="AU7261">
        <f t="shared" si="226"/>
        <v>1</v>
      </c>
      <c r="AV7261">
        <f t="shared" si="227"/>
        <v>0</v>
      </c>
    </row>
    <row r="7262" spans="1:48" x14ac:dyDescent="0.25">
      <c r="A7262" t="s">
        <v>16804</v>
      </c>
      <c r="B7262" t="s">
        <v>16804</v>
      </c>
      <c r="C7262" t="s">
        <v>16805</v>
      </c>
      <c r="D7262" t="s">
        <v>16806</v>
      </c>
      <c r="E7262" t="s">
        <v>2310</v>
      </c>
      <c r="F7262">
        <v>9</v>
      </c>
      <c r="G7262">
        <v>9.1</v>
      </c>
      <c r="H7262" t="s">
        <v>2323</v>
      </c>
      <c r="I7262" s="21">
        <v>44722.413271180558</v>
      </c>
      <c r="J7262">
        <v>2022</v>
      </c>
      <c r="K7262" s="21" t="s">
        <v>114</v>
      </c>
      <c r="L7262" t="e">
        <v>#VALUE!</v>
      </c>
      <c r="O7262" s="21" t="s">
        <v>114</v>
      </c>
      <c r="P7262" s="21" t="s">
        <v>114</v>
      </c>
      <c r="Q7262" s="262">
        <v>789000</v>
      </c>
      <c r="R7262" s="262">
        <v>4000000</v>
      </c>
      <c r="S7262" t="s">
        <v>13254</v>
      </c>
      <c r="U7262">
        <v>5</v>
      </c>
      <c r="V7262">
        <v>0</v>
      </c>
      <c r="W7262">
        <v>6297</v>
      </c>
      <c r="X7262">
        <v>1</v>
      </c>
      <c r="AC7262">
        <v>6297</v>
      </c>
      <c r="AO7262">
        <v>1</v>
      </c>
      <c r="AU7262">
        <f t="shared" si="226"/>
        <v>1</v>
      </c>
      <c r="AV7262">
        <f t="shared" si="227"/>
        <v>0</v>
      </c>
    </row>
    <row r="7263" spans="1:48" x14ac:dyDescent="0.25">
      <c r="A7263" t="s">
        <v>16807</v>
      </c>
      <c r="B7263" t="s">
        <v>16807</v>
      </c>
      <c r="C7263" t="s">
        <v>16808</v>
      </c>
      <c r="D7263" t="s">
        <v>3675</v>
      </c>
      <c r="E7263" t="s">
        <v>2310</v>
      </c>
      <c r="F7263">
        <v>9</v>
      </c>
      <c r="G7263">
        <v>9.4</v>
      </c>
      <c r="H7263" t="s">
        <v>2323</v>
      </c>
      <c r="I7263" s="21">
        <v>44722.469238043981</v>
      </c>
      <c r="J7263">
        <v>2022</v>
      </c>
      <c r="K7263" s="21" t="s">
        <v>114</v>
      </c>
      <c r="L7263" t="e">
        <v>#VALUE!</v>
      </c>
      <c r="O7263" s="21" t="s">
        <v>114</v>
      </c>
      <c r="P7263" s="21" t="s">
        <v>114</v>
      </c>
      <c r="Q7263" s="262">
        <v>172000</v>
      </c>
      <c r="R7263" s="262">
        <v>800000</v>
      </c>
      <c r="S7263" t="s">
        <v>13254</v>
      </c>
      <c r="V7263">
        <v>0</v>
      </c>
      <c r="W7263">
        <v>1764</v>
      </c>
      <c r="X7263">
        <v>1</v>
      </c>
      <c r="AC7263">
        <v>828</v>
      </c>
      <c r="AF7263">
        <v>936</v>
      </c>
      <c r="AR7263">
        <v>1</v>
      </c>
      <c r="AU7263">
        <f t="shared" si="226"/>
        <v>0</v>
      </c>
      <c r="AV7263">
        <f t="shared" si="227"/>
        <v>0</v>
      </c>
    </row>
    <row r="7264" spans="1:48" x14ac:dyDescent="0.25">
      <c r="A7264" t="s">
        <v>16809</v>
      </c>
      <c r="B7264" t="s">
        <v>16809</v>
      </c>
      <c r="C7264" t="s">
        <v>16810</v>
      </c>
      <c r="D7264" t="s">
        <v>8329</v>
      </c>
      <c r="E7264" t="s">
        <v>2310</v>
      </c>
      <c r="F7264">
        <v>9</v>
      </c>
      <c r="G7264">
        <v>9.1999999999999993</v>
      </c>
      <c r="H7264" t="s">
        <v>2022</v>
      </c>
      <c r="I7264" s="21">
        <v>44722.527486076389</v>
      </c>
      <c r="J7264">
        <v>2022</v>
      </c>
      <c r="K7264" s="21" t="s">
        <v>114</v>
      </c>
      <c r="L7264" t="e">
        <v>#VALUE!</v>
      </c>
      <c r="O7264" s="21" t="s">
        <v>114</v>
      </c>
      <c r="P7264" s="21" t="s">
        <v>114</v>
      </c>
      <c r="Q7264" s="262">
        <v>116000</v>
      </c>
      <c r="R7264" s="262">
        <v>598800</v>
      </c>
      <c r="S7264" t="s">
        <v>13254</v>
      </c>
      <c r="U7264">
        <v>8</v>
      </c>
      <c r="V7264">
        <v>0</v>
      </c>
      <c r="W7264">
        <v>998.15</v>
      </c>
      <c r="X7264">
        <v>1</v>
      </c>
      <c r="AF7264">
        <v>998.15</v>
      </c>
      <c r="AR7264">
        <v>1</v>
      </c>
      <c r="AU7264">
        <f t="shared" si="226"/>
        <v>0</v>
      </c>
      <c r="AV7264">
        <f t="shared" si="227"/>
        <v>0</v>
      </c>
    </row>
    <row r="7265" spans="1:48" x14ac:dyDescent="0.25">
      <c r="A7265" t="s">
        <v>16811</v>
      </c>
      <c r="C7265" t="s">
        <v>16812</v>
      </c>
      <c r="D7265" t="s">
        <v>12339</v>
      </c>
      <c r="E7265" t="s">
        <v>1663</v>
      </c>
      <c r="F7265">
        <v>5</v>
      </c>
      <c r="G7265">
        <v>5.0999999999999996</v>
      </c>
      <c r="H7265" t="s">
        <v>2327</v>
      </c>
      <c r="I7265" s="21">
        <v>44726</v>
      </c>
      <c r="J7265">
        <v>2022</v>
      </c>
      <c r="K7265" s="21">
        <v>44841</v>
      </c>
      <c r="L7265">
        <v>2022</v>
      </c>
      <c r="P7265" s="21" t="s">
        <v>114</v>
      </c>
      <c r="Q7265" s="262">
        <v>1000000</v>
      </c>
      <c r="S7265" t="s">
        <v>13253</v>
      </c>
      <c r="T7265">
        <v>13684</v>
      </c>
      <c r="W7265">
        <v>0</v>
      </c>
      <c r="X7265">
        <v>0</v>
      </c>
      <c r="AU7265">
        <f t="shared" si="226"/>
        <v>0</v>
      </c>
      <c r="AV7265">
        <f t="shared" si="227"/>
        <v>0</v>
      </c>
    </row>
    <row r="7266" spans="1:48" x14ac:dyDescent="0.25">
      <c r="A7266" t="s">
        <v>16813</v>
      </c>
      <c r="C7266" t="s">
        <v>16814</v>
      </c>
      <c r="D7266" t="s">
        <v>16815</v>
      </c>
      <c r="E7266" t="s">
        <v>1663</v>
      </c>
      <c r="F7266">
        <v>2</v>
      </c>
      <c r="G7266">
        <v>2.2999999999999998</v>
      </c>
      <c r="H7266" t="s">
        <v>2327</v>
      </c>
      <c r="I7266" s="21">
        <v>44728</v>
      </c>
      <c r="J7266">
        <v>2022</v>
      </c>
      <c r="K7266" s="21">
        <v>44848</v>
      </c>
      <c r="L7266">
        <v>2022</v>
      </c>
      <c r="P7266" s="21" t="s">
        <v>114</v>
      </c>
      <c r="Q7266" s="262">
        <v>200000</v>
      </c>
      <c r="S7266" t="s">
        <v>13253</v>
      </c>
      <c r="T7266">
        <v>12702</v>
      </c>
      <c r="V7266">
        <v>1748</v>
      </c>
      <c r="W7266">
        <v>0</v>
      </c>
      <c r="X7266">
        <v>0</v>
      </c>
      <c r="AU7266">
        <f t="shared" si="226"/>
        <v>0</v>
      </c>
      <c r="AV7266">
        <f t="shared" si="227"/>
        <v>0</v>
      </c>
    </row>
    <row r="7267" spans="1:48" x14ac:dyDescent="0.25">
      <c r="A7267" t="s">
        <v>16816</v>
      </c>
      <c r="B7267" t="s">
        <v>16816</v>
      </c>
      <c r="C7267" t="s">
        <v>16817</v>
      </c>
      <c r="D7267" t="s">
        <v>8308</v>
      </c>
      <c r="E7267" t="s">
        <v>2310</v>
      </c>
      <c r="F7267">
        <v>8</v>
      </c>
      <c r="G7267">
        <v>8.1</v>
      </c>
      <c r="H7267" t="s">
        <v>2323</v>
      </c>
      <c r="I7267" s="21">
        <v>44728.414308680556</v>
      </c>
      <c r="J7267">
        <v>2022</v>
      </c>
      <c r="K7267" s="21" t="s">
        <v>114</v>
      </c>
      <c r="L7267" t="e">
        <v>#VALUE!</v>
      </c>
      <c r="O7267" s="21" t="s">
        <v>114</v>
      </c>
      <c r="P7267" s="21" t="s">
        <v>114</v>
      </c>
      <c r="Q7267" s="262">
        <v>96000</v>
      </c>
      <c r="R7267" s="262">
        <v>3000000</v>
      </c>
      <c r="S7267" t="s">
        <v>13254</v>
      </c>
      <c r="U7267">
        <v>5</v>
      </c>
      <c r="V7267">
        <v>0</v>
      </c>
      <c r="W7267">
        <v>841</v>
      </c>
      <c r="X7267">
        <v>1</v>
      </c>
      <c r="AC7267">
        <v>841</v>
      </c>
      <c r="AO7267">
        <v>1</v>
      </c>
      <c r="AU7267">
        <f t="shared" si="226"/>
        <v>1</v>
      </c>
      <c r="AV7267">
        <f t="shared" si="227"/>
        <v>0</v>
      </c>
    </row>
    <row r="7268" spans="1:48" x14ac:dyDescent="0.25">
      <c r="A7268" t="s">
        <v>16818</v>
      </c>
      <c r="B7268" t="s">
        <v>16818</v>
      </c>
      <c r="C7268" t="s">
        <v>16819</v>
      </c>
      <c r="D7268" t="s">
        <v>8308</v>
      </c>
      <c r="E7268" t="s">
        <v>2310</v>
      </c>
      <c r="F7268">
        <v>8</v>
      </c>
      <c r="G7268">
        <v>8.1</v>
      </c>
      <c r="H7268" t="s">
        <v>2323</v>
      </c>
      <c r="I7268" s="21">
        <v>44728.425824108795</v>
      </c>
      <c r="J7268">
        <v>2022</v>
      </c>
      <c r="K7268" s="21" t="s">
        <v>114</v>
      </c>
      <c r="L7268" t="e">
        <v>#VALUE!</v>
      </c>
      <c r="O7268" s="21" t="s">
        <v>114</v>
      </c>
      <c r="P7268" s="21" t="s">
        <v>114</v>
      </c>
      <c r="Q7268" s="262">
        <v>187000</v>
      </c>
      <c r="R7268" s="262">
        <v>3000000</v>
      </c>
      <c r="S7268" t="s">
        <v>13254</v>
      </c>
      <c r="U7268">
        <v>5</v>
      </c>
      <c r="V7268">
        <v>0</v>
      </c>
      <c r="W7268">
        <v>1572</v>
      </c>
      <c r="X7268">
        <v>1</v>
      </c>
      <c r="AC7268">
        <v>1572</v>
      </c>
      <c r="AO7268">
        <v>1</v>
      </c>
      <c r="AU7268">
        <f t="shared" si="226"/>
        <v>1</v>
      </c>
      <c r="AV7268">
        <f t="shared" si="227"/>
        <v>0</v>
      </c>
    </row>
    <row r="7269" spans="1:48" x14ac:dyDescent="0.25">
      <c r="A7269" t="s">
        <v>16820</v>
      </c>
      <c r="B7269" t="s">
        <v>16820</v>
      </c>
      <c r="C7269" t="s">
        <v>16821</v>
      </c>
      <c r="D7269" t="s">
        <v>16460</v>
      </c>
      <c r="E7269" t="s">
        <v>2310</v>
      </c>
      <c r="F7269">
        <v>9</v>
      </c>
      <c r="G7269">
        <v>9.3000000000000007</v>
      </c>
      <c r="H7269" t="s">
        <v>2323</v>
      </c>
      <c r="I7269" s="21">
        <v>44728.438013391205</v>
      </c>
      <c r="J7269">
        <v>2022</v>
      </c>
      <c r="K7269" s="21" t="s">
        <v>114</v>
      </c>
      <c r="L7269" t="e">
        <v>#VALUE!</v>
      </c>
      <c r="O7269" s="21" t="s">
        <v>114</v>
      </c>
      <c r="P7269" s="21" t="s">
        <v>114</v>
      </c>
      <c r="Q7269" s="262">
        <v>544000</v>
      </c>
      <c r="R7269" s="262">
        <v>3800000</v>
      </c>
      <c r="S7269" t="s">
        <v>13254</v>
      </c>
      <c r="U7269">
        <v>5</v>
      </c>
      <c r="V7269">
        <v>0</v>
      </c>
      <c r="W7269">
        <v>4762</v>
      </c>
      <c r="X7269">
        <v>0</v>
      </c>
      <c r="AC7269">
        <v>4762</v>
      </c>
      <c r="AU7269">
        <f t="shared" si="226"/>
        <v>0</v>
      </c>
      <c r="AV7269">
        <f t="shared" si="227"/>
        <v>0</v>
      </c>
    </row>
    <row r="7270" spans="1:48" x14ac:dyDescent="0.25">
      <c r="A7270" t="s">
        <v>16822</v>
      </c>
      <c r="B7270" t="s">
        <v>16822</v>
      </c>
      <c r="C7270" t="s">
        <v>16823</v>
      </c>
      <c r="D7270" t="s">
        <v>16824</v>
      </c>
      <c r="E7270" t="s">
        <v>2310</v>
      </c>
      <c r="F7270">
        <v>9</v>
      </c>
      <c r="G7270">
        <v>9.1999999999999993</v>
      </c>
      <c r="H7270" t="s">
        <v>2022</v>
      </c>
      <c r="I7270" s="21">
        <v>44729.452796874997</v>
      </c>
      <c r="J7270">
        <v>2022</v>
      </c>
      <c r="K7270" s="21" t="s">
        <v>114</v>
      </c>
      <c r="L7270" t="e">
        <v>#VALUE!</v>
      </c>
      <c r="O7270" s="21" t="s">
        <v>114</v>
      </c>
      <c r="P7270" s="21" t="s">
        <v>114</v>
      </c>
      <c r="Q7270" s="262">
        <v>2641000</v>
      </c>
      <c r="R7270" s="262">
        <v>6000000</v>
      </c>
      <c r="S7270" t="s">
        <v>13254</v>
      </c>
      <c r="U7270">
        <v>5</v>
      </c>
      <c r="V7270">
        <v>0</v>
      </c>
      <c r="W7270">
        <v>14993</v>
      </c>
      <c r="X7270">
        <v>0</v>
      </c>
      <c r="AC7270">
        <v>14993</v>
      </c>
      <c r="AU7270">
        <f t="shared" si="226"/>
        <v>0</v>
      </c>
      <c r="AV7270">
        <f t="shared" si="227"/>
        <v>0</v>
      </c>
    </row>
    <row r="7271" spans="1:48" x14ac:dyDescent="0.25">
      <c r="A7271" t="s">
        <v>16825</v>
      </c>
      <c r="C7271" t="s">
        <v>11246</v>
      </c>
      <c r="D7271" t="s">
        <v>16826</v>
      </c>
      <c r="E7271" t="s">
        <v>1663</v>
      </c>
      <c r="F7271">
        <v>6</v>
      </c>
      <c r="G7271">
        <v>6.2</v>
      </c>
      <c r="H7271" t="s">
        <v>2017</v>
      </c>
      <c r="I7271" s="21">
        <v>44733</v>
      </c>
      <c r="J7271">
        <v>2022</v>
      </c>
      <c r="K7271" s="21">
        <v>44791</v>
      </c>
      <c r="L7271">
        <v>2022</v>
      </c>
      <c r="P7271" s="21" t="s">
        <v>114</v>
      </c>
      <c r="Q7271" s="262">
        <v>2180250</v>
      </c>
      <c r="S7271" t="s">
        <v>13254</v>
      </c>
      <c r="W7271">
        <v>3945</v>
      </c>
      <c r="X7271">
        <v>1</v>
      </c>
      <c r="AC7271">
        <v>3945</v>
      </c>
      <c r="AO7271">
        <v>1</v>
      </c>
      <c r="AU7271">
        <f t="shared" si="226"/>
        <v>1</v>
      </c>
      <c r="AV7271">
        <f t="shared" si="227"/>
        <v>0</v>
      </c>
    </row>
    <row r="7272" spans="1:48" x14ac:dyDescent="0.25">
      <c r="A7272" t="s">
        <v>16827</v>
      </c>
      <c r="C7272" t="s">
        <v>16828</v>
      </c>
      <c r="D7272" t="s">
        <v>16829</v>
      </c>
      <c r="E7272" t="s">
        <v>1663</v>
      </c>
      <c r="F7272">
        <v>3</v>
      </c>
      <c r="G7272">
        <v>3.1</v>
      </c>
      <c r="H7272" t="s">
        <v>2017</v>
      </c>
      <c r="I7272" s="21">
        <v>44733</v>
      </c>
      <c r="J7272">
        <v>2022</v>
      </c>
      <c r="K7272" s="21">
        <v>44866</v>
      </c>
      <c r="L7272">
        <v>2022</v>
      </c>
      <c r="P7272" s="21" t="s">
        <v>114</v>
      </c>
      <c r="Q7272" s="262">
        <v>1255000</v>
      </c>
      <c r="S7272" t="s">
        <v>13254</v>
      </c>
      <c r="W7272">
        <v>3914</v>
      </c>
      <c r="X7272">
        <v>1</v>
      </c>
      <c r="AC7272">
        <v>3914</v>
      </c>
      <c r="AO7272">
        <v>1</v>
      </c>
      <c r="AU7272">
        <f t="shared" si="226"/>
        <v>1</v>
      </c>
      <c r="AV7272">
        <f t="shared" si="227"/>
        <v>0</v>
      </c>
    </row>
    <row r="7273" spans="1:48" x14ac:dyDescent="0.25">
      <c r="A7273" t="s">
        <v>16832</v>
      </c>
      <c r="B7273" t="s">
        <v>16832</v>
      </c>
      <c r="C7273" t="s">
        <v>16833</v>
      </c>
      <c r="D7273" t="s">
        <v>6005</v>
      </c>
      <c r="E7273" t="s">
        <v>2310</v>
      </c>
      <c r="F7273">
        <v>9</v>
      </c>
      <c r="G7273">
        <v>9.3000000000000007</v>
      </c>
      <c r="H7273" t="s">
        <v>2323</v>
      </c>
      <c r="I7273" s="21">
        <v>44735.488194791666</v>
      </c>
      <c r="J7273">
        <v>2022</v>
      </c>
      <c r="K7273" s="21" t="s">
        <v>114</v>
      </c>
      <c r="L7273" t="e">
        <v>#VALUE!</v>
      </c>
      <c r="O7273" s="21" t="s">
        <v>114</v>
      </c>
      <c r="P7273" s="21" t="s">
        <v>114</v>
      </c>
      <c r="Q7273" s="262">
        <v>688000</v>
      </c>
      <c r="R7273" s="262">
        <v>3600000</v>
      </c>
      <c r="S7273" t="s">
        <v>12464</v>
      </c>
      <c r="T7273">
        <v>9011</v>
      </c>
      <c r="V7273">
        <v>0</v>
      </c>
      <c r="W7273">
        <v>4831</v>
      </c>
      <c r="X7273">
        <v>0</v>
      </c>
      <c r="AB7273">
        <v>1440</v>
      </c>
      <c r="AH7273">
        <v>3391</v>
      </c>
      <c r="AU7273">
        <f t="shared" si="226"/>
        <v>0</v>
      </c>
      <c r="AV7273">
        <f t="shared" si="227"/>
        <v>4831</v>
      </c>
    </row>
    <row r="7274" spans="1:48" x14ac:dyDescent="0.25">
      <c r="A7274" t="s">
        <v>16832</v>
      </c>
      <c r="D7274" t="s">
        <v>6005</v>
      </c>
      <c r="E7274" t="s">
        <v>2310</v>
      </c>
      <c r="F7274">
        <v>9</v>
      </c>
      <c r="G7274">
        <v>9.3000000000000007</v>
      </c>
      <c r="H7274" t="s">
        <v>2323</v>
      </c>
      <c r="I7274" s="21">
        <v>44735.488194791666</v>
      </c>
      <c r="J7274">
        <v>2022</v>
      </c>
      <c r="K7274" s="21" t="s">
        <v>114</v>
      </c>
      <c r="L7274" t="e">
        <v>#VALUE!</v>
      </c>
      <c r="O7274" s="21" t="s">
        <v>114</v>
      </c>
      <c r="P7274" s="21" t="s">
        <v>114</v>
      </c>
      <c r="Q7274" s="262">
        <v>688000</v>
      </c>
      <c r="R7274" s="262">
        <v>3600000</v>
      </c>
      <c r="S7274" t="s">
        <v>9529</v>
      </c>
      <c r="T7274">
        <v>9011</v>
      </c>
      <c r="U7274">
        <v>4</v>
      </c>
      <c r="W7274">
        <v>-807</v>
      </c>
      <c r="X7274">
        <v>0</v>
      </c>
      <c r="Y7274">
        <v>0</v>
      </c>
      <c r="Z7274">
        <v>0</v>
      </c>
      <c r="AA7274">
        <v>0</v>
      </c>
      <c r="AB7274">
        <v>-807</v>
      </c>
      <c r="AC7274">
        <v>0</v>
      </c>
      <c r="AD7274">
        <v>0</v>
      </c>
      <c r="AE7274">
        <v>0</v>
      </c>
      <c r="AF7274">
        <v>0</v>
      </c>
      <c r="AG7274">
        <v>0</v>
      </c>
      <c r="AH7274">
        <v>0</v>
      </c>
      <c r="AI7274">
        <v>0</v>
      </c>
      <c r="AJ7274">
        <v>0</v>
      </c>
      <c r="AK7274">
        <v>0</v>
      </c>
      <c r="AL7274">
        <v>0</v>
      </c>
      <c r="AM7274">
        <v>0</v>
      </c>
      <c r="AN7274">
        <v>0</v>
      </c>
      <c r="AO7274">
        <v>0</v>
      </c>
      <c r="AP7274">
        <v>0</v>
      </c>
      <c r="AQ7274">
        <v>0</v>
      </c>
      <c r="AR7274">
        <v>0</v>
      </c>
      <c r="AS7274">
        <v>0</v>
      </c>
      <c r="AT7274">
        <v>0</v>
      </c>
      <c r="AU7274">
        <f t="shared" si="226"/>
        <v>0</v>
      </c>
      <c r="AV7274">
        <f t="shared" si="227"/>
        <v>-807</v>
      </c>
    </row>
    <row r="7275" spans="1:48" x14ac:dyDescent="0.25">
      <c r="A7275" t="s">
        <v>16834</v>
      </c>
      <c r="B7275" t="s">
        <v>16834</v>
      </c>
      <c r="C7275" t="s">
        <v>16835</v>
      </c>
      <c r="D7275" t="s">
        <v>3650</v>
      </c>
      <c r="E7275" t="s">
        <v>2310</v>
      </c>
      <c r="F7275">
        <v>9</v>
      </c>
      <c r="G7275">
        <v>9.3000000000000007</v>
      </c>
      <c r="H7275" t="s">
        <v>2323</v>
      </c>
      <c r="I7275" s="21">
        <v>44735.62044366898</v>
      </c>
      <c r="J7275">
        <v>2022</v>
      </c>
      <c r="K7275" s="21" t="s">
        <v>114</v>
      </c>
      <c r="L7275" t="e">
        <v>#VALUE!</v>
      </c>
      <c r="O7275" s="21" t="s">
        <v>114</v>
      </c>
      <c r="P7275" s="21" t="s">
        <v>114</v>
      </c>
      <c r="Q7275" s="262">
        <v>1076000</v>
      </c>
      <c r="R7275" s="262">
        <v>4000518</v>
      </c>
      <c r="S7275" t="s">
        <v>13254</v>
      </c>
      <c r="U7275">
        <v>5</v>
      </c>
      <c r="V7275">
        <v>0</v>
      </c>
      <c r="W7275">
        <v>7530</v>
      </c>
      <c r="X7275">
        <v>0</v>
      </c>
      <c r="AC7275">
        <v>7530</v>
      </c>
      <c r="AU7275">
        <f t="shared" si="226"/>
        <v>0</v>
      </c>
      <c r="AV7275">
        <f t="shared" si="227"/>
        <v>0</v>
      </c>
    </row>
    <row r="7276" spans="1:48" x14ac:dyDescent="0.25">
      <c r="A7276" t="s">
        <v>16836</v>
      </c>
      <c r="B7276" t="s">
        <v>16836</v>
      </c>
      <c r="C7276" t="s">
        <v>16837</v>
      </c>
      <c r="D7276" t="s">
        <v>16838</v>
      </c>
      <c r="E7276" t="s">
        <v>2310</v>
      </c>
      <c r="F7276">
        <v>15</v>
      </c>
      <c r="G7276">
        <v>15.2</v>
      </c>
      <c r="H7276" t="s">
        <v>2323</v>
      </c>
      <c r="I7276" s="21">
        <v>44735.639304131946</v>
      </c>
      <c r="J7276">
        <v>2022</v>
      </c>
      <c r="K7276" s="21" t="s">
        <v>114</v>
      </c>
      <c r="L7276" t="e">
        <v>#VALUE!</v>
      </c>
      <c r="O7276" s="21" t="s">
        <v>114</v>
      </c>
      <c r="P7276" s="21" t="s">
        <v>114</v>
      </c>
      <c r="Q7276" s="262">
        <v>184000</v>
      </c>
      <c r="R7276" s="262">
        <v>1130000</v>
      </c>
      <c r="S7276" t="s">
        <v>13254</v>
      </c>
      <c r="U7276">
        <v>5</v>
      </c>
      <c r="V7276">
        <v>0</v>
      </c>
      <c r="W7276">
        <v>1913</v>
      </c>
      <c r="X7276">
        <v>1</v>
      </c>
      <c r="AC7276">
        <v>1913</v>
      </c>
      <c r="AO7276">
        <v>1</v>
      </c>
      <c r="AU7276">
        <f t="shared" si="226"/>
        <v>1</v>
      </c>
      <c r="AV7276">
        <f t="shared" si="227"/>
        <v>0</v>
      </c>
    </row>
    <row r="7277" spans="1:48" x14ac:dyDescent="0.25">
      <c r="A7277" t="s">
        <v>19713</v>
      </c>
      <c r="B7277" t="s">
        <v>19713</v>
      </c>
      <c r="C7277" t="s">
        <v>19714</v>
      </c>
      <c r="D7277" t="s">
        <v>8437</v>
      </c>
      <c r="E7277" t="s">
        <v>2310</v>
      </c>
      <c r="F7277">
        <v>8</v>
      </c>
      <c r="G7277">
        <v>8.3000000000000007</v>
      </c>
      <c r="H7277" t="s">
        <v>2323</v>
      </c>
      <c r="I7277" s="21">
        <v>44736.470501967589</v>
      </c>
      <c r="J7277">
        <v>2022</v>
      </c>
      <c r="K7277" s="21" t="s">
        <v>114</v>
      </c>
      <c r="L7277" t="e">
        <v>#VALUE!</v>
      </c>
      <c r="M7277" s="21">
        <v>44820</v>
      </c>
      <c r="N7277">
        <v>2022</v>
      </c>
      <c r="O7277" s="21" t="s">
        <v>114</v>
      </c>
      <c r="P7277" s="21" t="s">
        <v>114</v>
      </c>
      <c r="Q7277" s="262">
        <v>467000</v>
      </c>
      <c r="R7277" s="262">
        <v>1000000</v>
      </c>
      <c r="S7277" t="s">
        <v>13253</v>
      </c>
      <c r="T7277">
        <v>14352</v>
      </c>
      <c r="V7277">
        <v>4518</v>
      </c>
      <c r="W7277">
        <v>0</v>
      </c>
      <c r="X7277">
        <v>0</v>
      </c>
      <c r="AC7277">
        <v>0</v>
      </c>
      <c r="AU7277">
        <f t="shared" si="226"/>
        <v>0</v>
      </c>
      <c r="AV7277">
        <f t="shared" si="227"/>
        <v>0</v>
      </c>
    </row>
    <row r="7278" spans="1:48" x14ac:dyDescent="0.25">
      <c r="A7278" t="s">
        <v>16842</v>
      </c>
      <c r="B7278" t="s">
        <v>16842</v>
      </c>
      <c r="C7278" t="s">
        <v>16843</v>
      </c>
      <c r="D7278" t="s">
        <v>16844</v>
      </c>
      <c r="E7278" t="s">
        <v>2310</v>
      </c>
      <c r="F7278">
        <v>9</v>
      </c>
      <c r="G7278">
        <v>9.4</v>
      </c>
      <c r="H7278" t="s">
        <v>2323</v>
      </c>
      <c r="I7278" s="21">
        <v>44742.391798263889</v>
      </c>
      <c r="J7278">
        <v>2022</v>
      </c>
      <c r="K7278" s="21" t="s">
        <v>114</v>
      </c>
      <c r="L7278" t="e">
        <v>#VALUE!</v>
      </c>
      <c r="O7278" s="21" t="s">
        <v>114</v>
      </c>
      <c r="P7278" s="21" t="s">
        <v>114</v>
      </c>
      <c r="Q7278" s="262">
        <v>181000</v>
      </c>
      <c r="R7278" s="262">
        <v>700000</v>
      </c>
      <c r="S7278" t="s">
        <v>13253</v>
      </c>
      <c r="T7278">
        <v>3056</v>
      </c>
      <c r="V7278">
        <v>1302</v>
      </c>
      <c r="W7278">
        <v>544</v>
      </c>
      <c r="X7278">
        <v>0</v>
      </c>
      <c r="AI7278">
        <v>544</v>
      </c>
      <c r="AU7278">
        <f t="shared" si="226"/>
        <v>0</v>
      </c>
      <c r="AV7278">
        <f t="shared" si="227"/>
        <v>544</v>
      </c>
    </row>
    <row r="7279" spans="1:48" x14ac:dyDescent="0.25">
      <c r="A7279" t="s">
        <v>16845</v>
      </c>
      <c r="B7279" t="s">
        <v>16845</v>
      </c>
      <c r="C7279" t="s">
        <v>16846</v>
      </c>
      <c r="D7279" t="s">
        <v>16847</v>
      </c>
      <c r="E7279" t="s">
        <v>2310</v>
      </c>
      <c r="F7279">
        <v>9</v>
      </c>
      <c r="G7279">
        <v>9.1</v>
      </c>
      <c r="H7279" t="s">
        <v>2323</v>
      </c>
      <c r="I7279" s="21">
        <v>44742.408113229169</v>
      </c>
      <c r="J7279">
        <v>2022</v>
      </c>
      <c r="K7279" s="21" t="s">
        <v>114</v>
      </c>
      <c r="L7279" t="e">
        <v>#VALUE!</v>
      </c>
      <c r="O7279" s="21" t="s">
        <v>114</v>
      </c>
      <c r="P7279" s="21" t="s">
        <v>114</v>
      </c>
      <c r="Q7279" s="262">
        <v>427000</v>
      </c>
      <c r="R7279" s="262">
        <v>2500000</v>
      </c>
      <c r="S7279" t="s">
        <v>13254</v>
      </c>
      <c r="U7279">
        <v>5</v>
      </c>
      <c r="V7279">
        <v>0</v>
      </c>
      <c r="W7279">
        <v>3788</v>
      </c>
      <c r="X7279">
        <v>1</v>
      </c>
      <c r="AC7279">
        <v>3788</v>
      </c>
      <c r="AO7279">
        <v>1</v>
      </c>
      <c r="AU7279">
        <f t="shared" si="226"/>
        <v>1</v>
      </c>
      <c r="AV7279">
        <f t="shared" si="227"/>
        <v>0</v>
      </c>
    </row>
    <row r="7280" spans="1:48" x14ac:dyDescent="0.25">
      <c r="A7280" t="s">
        <v>16848</v>
      </c>
      <c r="B7280" t="s">
        <v>16848</v>
      </c>
      <c r="C7280" t="s">
        <v>16849</v>
      </c>
      <c r="D7280" t="s">
        <v>16850</v>
      </c>
      <c r="E7280" t="s">
        <v>2310</v>
      </c>
      <c r="F7280">
        <v>9</v>
      </c>
      <c r="G7280">
        <v>9.1</v>
      </c>
      <c r="H7280" t="s">
        <v>2323</v>
      </c>
      <c r="I7280" s="21">
        <v>44742.653921840276</v>
      </c>
      <c r="J7280">
        <v>2022</v>
      </c>
      <c r="K7280" s="21" t="s">
        <v>114</v>
      </c>
      <c r="L7280" t="e">
        <v>#VALUE!</v>
      </c>
      <c r="O7280" s="21" t="s">
        <v>114</v>
      </c>
      <c r="P7280" s="21" t="s">
        <v>114</v>
      </c>
      <c r="Q7280" s="262">
        <v>876000</v>
      </c>
      <c r="R7280" s="262">
        <v>12000000</v>
      </c>
      <c r="S7280" t="s">
        <v>13254</v>
      </c>
      <c r="U7280">
        <v>5</v>
      </c>
      <c r="V7280">
        <v>0</v>
      </c>
      <c r="W7280">
        <v>6976</v>
      </c>
      <c r="X7280">
        <v>1</v>
      </c>
      <c r="AC7280">
        <v>6976</v>
      </c>
      <c r="AO7280">
        <v>1</v>
      </c>
      <c r="AU7280">
        <f t="shared" si="226"/>
        <v>1</v>
      </c>
      <c r="AV7280">
        <f t="shared" si="227"/>
        <v>0</v>
      </c>
    </row>
    <row r="7281" spans="1:48" x14ac:dyDescent="0.25">
      <c r="A7281" t="s">
        <v>16851</v>
      </c>
      <c r="B7281" t="s">
        <v>16851</v>
      </c>
      <c r="C7281" t="s">
        <v>16852</v>
      </c>
      <c r="D7281" t="s">
        <v>16850</v>
      </c>
      <c r="E7281" t="s">
        <v>2310</v>
      </c>
      <c r="F7281">
        <v>9</v>
      </c>
      <c r="G7281">
        <v>9.1</v>
      </c>
      <c r="H7281" t="s">
        <v>2323</v>
      </c>
      <c r="I7281" s="21">
        <v>44742.6606383912</v>
      </c>
      <c r="J7281">
        <v>2022</v>
      </c>
      <c r="K7281" s="21" t="s">
        <v>114</v>
      </c>
      <c r="L7281" t="e">
        <v>#VALUE!</v>
      </c>
      <c r="O7281" s="21" t="s">
        <v>114</v>
      </c>
      <c r="P7281" s="21" t="s">
        <v>114</v>
      </c>
      <c r="Q7281" s="262">
        <v>119000</v>
      </c>
      <c r="R7281" s="262">
        <v>1200000</v>
      </c>
      <c r="S7281" t="s">
        <v>13254</v>
      </c>
      <c r="U7281">
        <v>5</v>
      </c>
      <c r="V7281">
        <v>0</v>
      </c>
      <c r="W7281">
        <v>997</v>
      </c>
      <c r="X7281">
        <v>1</v>
      </c>
      <c r="AC7281">
        <v>997</v>
      </c>
      <c r="AO7281">
        <v>1</v>
      </c>
      <c r="AU7281">
        <f t="shared" si="226"/>
        <v>1</v>
      </c>
      <c r="AV7281">
        <f t="shared" si="227"/>
        <v>0</v>
      </c>
    </row>
    <row r="7282" spans="1:48" x14ac:dyDescent="0.25">
      <c r="A7282" t="s">
        <v>16853</v>
      </c>
      <c r="B7282" t="s">
        <v>16853</v>
      </c>
      <c r="C7282" t="s">
        <v>16854</v>
      </c>
      <c r="D7282" t="s">
        <v>3598</v>
      </c>
      <c r="E7282" t="s">
        <v>2310</v>
      </c>
      <c r="F7282">
        <v>14</v>
      </c>
      <c r="G7282">
        <v>14.1</v>
      </c>
      <c r="H7282" t="s">
        <v>2022</v>
      </c>
      <c r="I7282" s="21">
        <v>44743.397164317132</v>
      </c>
      <c r="J7282">
        <v>2022</v>
      </c>
      <c r="K7282" s="21" t="s">
        <v>114</v>
      </c>
      <c r="L7282" t="e">
        <v>#VALUE!</v>
      </c>
      <c r="O7282" s="21" t="s">
        <v>114</v>
      </c>
      <c r="P7282" s="21" t="s">
        <v>114</v>
      </c>
      <c r="Q7282" s="262">
        <v>106000</v>
      </c>
      <c r="R7282" s="262">
        <v>300000</v>
      </c>
      <c r="S7282" t="s">
        <v>13253</v>
      </c>
      <c r="T7282">
        <v>7720</v>
      </c>
      <c r="V7282">
        <v>0</v>
      </c>
      <c r="W7282">
        <v>1296</v>
      </c>
      <c r="X7282">
        <v>0</v>
      </c>
      <c r="AC7282">
        <v>1296</v>
      </c>
      <c r="AU7282">
        <f t="shared" si="226"/>
        <v>0</v>
      </c>
      <c r="AV7282">
        <f t="shared" si="227"/>
        <v>0</v>
      </c>
    </row>
    <row r="7283" spans="1:48" x14ac:dyDescent="0.25">
      <c r="A7283" t="s">
        <v>16855</v>
      </c>
      <c r="B7283" t="s">
        <v>16855</v>
      </c>
      <c r="C7283" t="s">
        <v>16856</v>
      </c>
      <c r="D7283" t="s">
        <v>16857</v>
      </c>
      <c r="E7283" t="s">
        <v>2310</v>
      </c>
      <c r="F7283">
        <v>9</v>
      </c>
      <c r="G7283">
        <v>9.1999999999999993</v>
      </c>
      <c r="H7283" t="s">
        <v>2022</v>
      </c>
      <c r="I7283" s="21">
        <v>44743.453657210652</v>
      </c>
      <c r="J7283">
        <v>2022</v>
      </c>
      <c r="K7283" s="21" t="s">
        <v>114</v>
      </c>
      <c r="L7283" t="e">
        <v>#VALUE!</v>
      </c>
      <c r="O7283" s="21" t="s">
        <v>114</v>
      </c>
      <c r="P7283" s="21" t="s">
        <v>114</v>
      </c>
      <c r="Q7283" s="262">
        <v>1555000</v>
      </c>
      <c r="R7283" s="262">
        <v>18398460</v>
      </c>
      <c r="S7283" t="s">
        <v>13254</v>
      </c>
      <c r="U7283">
        <v>5</v>
      </c>
      <c r="V7283">
        <v>0</v>
      </c>
      <c r="W7283">
        <v>10288</v>
      </c>
      <c r="X7283">
        <v>1</v>
      </c>
      <c r="AC7283">
        <v>10288</v>
      </c>
      <c r="AO7283">
        <v>1</v>
      </c>
      <c r="AU7283">
        <f t="shared" si="226"/>
        <v>1</v>
      </c>
      <c r="AV7283">
        <f t="shared" si="227"/>
        <v>0</v>
      </c>
    </row>
    <row r="7284" spans="1:48" x14ac:dyDescent="0.25">
      <c r="A7284" t="s">
        <v>16858</v>
      </c>
      <c r="B7284" t="s">
        <v>16858</v>
      </c>
      <c r="C7284" t="s">
        <v>16859</v>
      </c>
      <c r="D7284" t="s">
        <v>16857</v>
      </c>
      <c r="E7284" t="s">
        <v>2310</v>
      </c>
      <c r="F7284">
        <v>9</v>
      </c>
      <c r="G7284">
        <v>9.1999999999999993</v>
      </c>
      <c r="H7284" t="s">
        <v>2022</v>
      </c>
      <c r="I7284" s="21">
        <v>44743.465857025461</v>
      </c>
      <c r="J7284">
        <v>2022</v>
      </c>
      <c r="K7284" s="21" t="s">
        <v>114</v>
      </c>
      <c r="L7284" t="e">
        <v>#VALUE!</v>
      </c>
      <c r="O7284" s="21" t="s">
        <v>114</v>
      </c>
      <c r="P7284" s="21" t="s">
        <v>114</v>
      </c>
      <c r="Q7284" s="262">
        <v>119000</v>
      </c>
      <c r="R7284" s="262">
        <v>2000000</v>
      </c>
      <c r="S7284" t="s">
        <v>13254</v>
      </c>
      <c r="U7284">
        <v>5</v>
      </c>
      <c r="V7284">
        <v>0</v>
      </c>
      <c r="W7284">
        <v>999</v>
      </c>
      <c r="X7284">
        <v>1</v>
      </c>
      <c r="AC7284">
        <v>999</v>
      </c>
      <c r="AO7284">
        <v>1</v>
      </c>
      <c r="AU7284">
        <f t="shared" si="226"/>
        <v>1</v>
      </c>
      <c r="AV7284">
        <f t="shared" si="227"/>
        <v>0</v>
      </c>
    </row>
    <row r="7285" spans="1:48" x14ac:dyDescent="0.25">
      <c r="A7285" t="s">
        <v>16861</v>
      </c>
      <c r="B7285" t="s">
        <v>16861</v>
      </c>
      <c r="C7285" t="s">
        <v>16862</v>
      </c>
      <c r="D7285" t="s">
        <v>16863</v>
      </c>
      <c r="E7285" t="s">
        <v>2310</v>
      </c>
      <c r="F7285">
        <v>12</v>
      </c>
      <c r="G7285">
        <v>12.2</v>
      </c>
      <c r="H7285" t="s">
        <v>2017</v>
      </c>
      <c r="I7285" s="21">
        <v>44743.604519826389</v>
      </c>
      <c r="J7285">
        <v>2022</v>
      </c>
      <c r="K7285" s="21" t="s">
        <v>114</v>
      </c>
      <c r="L7285" t="e">
        <v>#VALUE!</v>
      </c>
      <c r="O7285" s="21" t="s">
        <v>114</v>
      </c>
      <c r="P7285" s="21" t="s">
        <v>114</v>
      </c>
      <c r="Q7285" s="262">
        <v>576000</v>
      </c>
      <c r="R7285" s="262">
        <v>3000000</v>
      </c>
      <c r="S7285" t="s">
        <v>12464</v>
      </c>
      <c r="T7285">
        <v>3992</v>
      </c>
      <c r="U7285">
        <v>5</v>
      </c>
      <c r="V7285">
        <v>0</v>
      </c>
      <c r="W7285">
        <v>4165</v>
      </c>
      <c r="X7285">
        <v>1</v>
      </c>
      <c r="AC7285">
        <v>4165</v>
      </c>
      <c r="AO7285">
        <v>1</v>
      </c>
      <c r="AU7285">
        <f t="shared" si="226"/>
        <v>1</v>
      </c>
      <c r="AV7285">
        <f t="shared" si="227"/>
        <v>0</v>
      </c>
    </row>
    <row r="7286" spans="1:48" x14ac:dyDescent="0.25">
      <c r="A7286" t="s">
        <v>16861</v>
      </c>
      <c r="D7286" t="s">
        <v>16863</v>
      </c>
      <c r="E7286" t="s">
        <v>2310</v>
      </c>
      <c r="F7286">
        <v>12</v>
      </c>
      <c r="G7286">
        <v>12.2</v>
      </c>
      <c r="H7286" t="s">
        <v>2017</v>
      </c>
      <c r="I7286" s="21">
        <v>44743.604519826389</v>
      </c>
      <c r="J7286">
        <v>2022</v>
      </c>
      <c r="K7286" s="21" t="s">
        <v>114</v>
      </c>
      <c r="L7286" t="e">
        <v>#VALUE!</v>
      </c>
      <c r="O7286" s="21" t="s">
        <v>114</v>
      </c>
      <c r="P7286" s="21" t="s">
        <v>114</v>
      </c>
      <c r="Q7286" s="262">
        <v>576000</v>
      </c>
      <c r="R7286" s="262">
        <v>3000000</v>
      </c>
      <c r="S7286" t="s">
        <v>9529</v>
      </c>
      <c r="T7286">
        <v>3992</v>
      </c>
      <c r="U7286">
        <v>5</v>
      </c>
      <c r="W7286">
        <v>-2400</v>
      </c>
      <c r="X7286">
        <v>-1</v>
      </c>
      <c r="Y7286">
        <v>0</v>
      </c>
      <c r="Z7286">
        <v>0</v>
      </c>
      <c r="AA7286">
        <v>0</v>
      </c>
      <c r="AB7286">
        <v>0</v>
      </c>
      <c r="AC7286">
        <v>-2400</v>
      </c>
      <c r="AD7286">
        <v>0</v>
      </c>
      <c r="AE7286">
        <v>0</v>
      </c>
      <c r="AF7286">
        <v>0</v>
      </c>
      <c r="AG7286">
        <v>0</v>
      </c>
      <c r="AH7286">
        <v>0</v>
      </c>
      <c r="AI7286">
        <v>0</v>
      </c>
      <c r="AJ7286">
        <v>0</v>
      </c>
      <c r="AK7286">
        <v>0</v>
      </c>
      <c r="AL7286">
        <v>0</v>
      </c>
      <c r="AM7286">
        <v>0</v>
      </c>
      <c r="AN7286">
        <v>0</v>
      </c>
      <c r="AO7286">
        <v>-1</v>
      </c>
      <c r="AP7286">
        <v>0</v>
      </c>
      <c r="AQ7286">
        <v>0</v>
      </c>
      <c r="AR7286">
        <v>0</v>
      </c>
      <c r="AS7286">
        <v>0</v>
      </c>
      <c r="AT7286">
        <v>0</v>
      </c>
      <c r="AU7286">
        <f t="shared" si="226"/>
        <v>-1</v>
      </c>
      <c r="AV7286">
        <f t="shared" si="227"/>
        <v>0</v>
      </c>
    </row>
    <row r="7287" spans="1:48" x14ac:dyDescent="0.25">
      <c r="A7287" t="s">
        <v>16864</v>
      </c>
      <c r="B7287" t="s">
        <v>16864</v>
      </c>
      <c r="C7287" t="s">
        <v>16865</v>
      </c>
      <c r="D7287" t="s">
        <v>16863</v>
      </c>
      <c r="E7287" t="s">
        <v>2310</v>
      </c>
      <c r="F7287">
        <v>12</v>
      </c>
      <c r="G7287">
        <v>12.2</v>
      </c>
      <c r="H7287" t="s">
        <v>2017</v>
      </c>
      <c r="I7287" s="21">
        <v>44743.61405679398</v>
      </c>
      <c r="J7287">
        <v>2022</v>
      </c>
      <c r="K7287" s="21" t="s">
        <v>114</v>
      </c>
      <c r="L7287" t="e">
        <v>#VALUE!</v>
      </c>
      <c r="O7287" s="21" t="s">
        <v>114</v>
      </c>
      <c r="P7287" s="21" t="s">
        <v>114</v>
      </c>
      <c r="Q7287" s="262">
        <v>118000</v>
      </c>
      <c r="R7287" s="262">
        <v>800000</v>
      </c>
      <c r="S7287" t="s">
        <v>13254</v>
      </c>
      <c r="V7287">
        <v>0</v>
      </c>
      <c r="W7287">
        <v>990</v>
      </c>
      <c r="X7287">
        <v>1</v>
      </c>
      <c r="AF7287">
        <v>990</v>
      </c>
      <c r="AR7287">
        <v>1</v>
      </c>
      <c r="AU7287">
        <f t="shared" si="226"/>
        <v>0</v>
      </c>
      <c r="AV7287">
        <f t="shared" si="227"/>
        <v>0</v>
      </c>
    </row>
    <row r="7288" spans="1:48" x14ac:dyDescent="0.25">
      <c r="A7288" t="s">
        <v>16866</v>
      </c>
      <c r="B7288" t="s">
        <v>16866</v>
      </c>
      <c r="C7288" t="s">
        <v>16867</v>
      </c>
      <c r="D7288" t="s">
        <v>16863</v>
      </c>
      <c r="E7288" t="s">
        <v>2310</v>
      </c>
      <c r="F7288">
        <v>12</v>
      </c>
      <c r="G7288">
        <v>12.2</v>
      </c>
      <c r="H7288" t="s">
        <v>2017</v>
      </c>
      <c r="I7288" s="21">
        <v>44743.616914930557</v>
      </c>
      <c r="J7288">
        <v>2022</v>
      </c>
      <c r="K7288" s="21" t="s">
        <v>114</v>
      </c>
      <c r="L7288" t="e">
        <v>#VALUE!</v>
      </c>
      <c r="O7288" s="21" t="s">
        <v>114</v>
      </c>
      <c r="P7288" s="21" t="s">
        <v>114</v>
      </c>
      <c r="Q7288" s="262">
        <v>134000</v>
      </c>
      <c r="R7288" s="262">
        <v>1000000</v>
      </c>
      <c r="S7288" t="s">
        <v>13254</v>
      </c>
      <c r="U7288">
        <v>5</v>
      </c>
      <c r="V7288">
        <v>0</v>
      </c>
      <c r="W7288">
        <v>1767</v>
      </c>
      <c r="X7288">
        <v>0</v>
      </c>
      <c r="AC7288">
        <v>1767</v>
      </c>
      <c r="AU7288">
        <f t="shared" si="226"/>
        <v>0</v>
      </c>
      <c r="AV7288">
        <f t="shared" si="227"/>
        <v>0</v>
      </c>
    </row>
    <row r="7289" spans="1:48" x14ac:dyDescent="0.25">
      <c r="A7289" t="s">
        <v>15164</v>
      </c>
      <c r="C7289" t="s">
        <v>13129</v>
      </c>
      <c r="D7289" t="s">
        <v>15165</v>
      </c>
      <c r="E7289" t="s">
        <v>1663</v>
      </c>
      <c r="F7289">
        <v>6</v>
      </c>
      <c r="G7289">
        <v>6.2</v>
      </c>
      <c r="H7289" t="s">
        <v>2017</v>
      </c>
      <c r="I7289" s="21">
        <v>44748</v>
      </c>
      <c r="J7289">
        <v>2022</v>
      </c>
      <c r="K7289" s="21">
        <v>44770</v>
      </c>
      <c r="L7289">
        <v>2022</v>
      </c>
      <c r="M7289" s="21">
        <v>44868</v>
      </c>
      <c r="N7289">
        <v>2022</v>
      </c>
      <c r="P7289" s="21" t="s">
        <v>114</v>
      </c>
      <c r="Q7289" s="262">
        <v>22000</v>
      </c>
      <c r="S7289" t="s">
        <v>13253</v>
      </c>
      <c r="T7289">
        <v>9176</v>
      </c>
      <c r="W7289">
        <v>0</v>
      </c>
      <c r="X7289">
        <v>1</v>
      </c>
      <c r="AC7289">
        <v>-898</v>
      </c>
      <c r="AF7289">
        <v>898</v>
      </c>
      <c r="AR7289">
        <v>1</v>
      </c>
      <c r="AU7289">
        <f t="shared" si="226"/>
        <v>0</v>
      </c>
      <c r="AV7289">
        <f t="shared" si="227"/>
        <v>0</v>
      </c>
    </row>
    <row r="7290" spans="1:48" x14ac:dyDescent="0.25">
      <c r="A7290" t="s">
        <v>16868</v>
      </c>
      <c r="C7290" t="s">
        <v>11488</v>
      </c>
      <c r="D7290" t="s">
        <v>12300</v>
      </c>
      <c r="E7290" t="s">
        <v>1663</v>
      </c>
      <c r="F7290">
        <v>6</v>
      </c>
      <c r="G7290">
        <v>6.1</v>
      </c>
      <c r="H7290" t="s">
        <v>2017</v>
      </c>
      <c r="I7290" s="21">
        <v>44748</v>
      </c>
      <c r="J7290">
        <v>2022</v>
      </c>
      <c r="K7290" s="21">
        <v>44781</v>
      </c>
      <c r="L7290">
        <v>2022</v>
      </c>
      <c r="P7290" s="21" t="s">
        <v>114</v>
      </c>
      <c r="Q7290" s="262">
        <v>150000</v>
      </c>
      <c r="S7290" t="s">
        <v>13253</v>
      </c>
      <c r="T7290">
        <v>13037</v>
      </c>
      <c r="W7290">
        <v>120</v>
      </c>
      <c r="X7290">
        <v>0</v>
      </c>
      <c r="AC7290">
        <v>120</v>
      </c>
      <c r="AU7290">
        <f t="shared" si="226"/>
        <v>0</v>
      </c>
      <c r="AV7290">
        <f t="shared" si="227"/>
        <v>0</v>
      </c>
    </row>
    <row r="7291" spans="1:48" x14ac:dyDescent="0.25">
      <c r="A7291" t="s">
        <v>16871</v>
      </c>
      <c r="B7291" t="s">
        <v>16871</v>
      </c>
      <c r="C7291" t="s">
        <v>16872</v>
      </c>
      <c r="D7291" t="s">
        <v>16873</v>
      </c>
      <c r="E7291" t="s">
        <v>2310</v>
      </c>
      <c r="F7291">
        <v>14</v>
      </c>
      <c r="G7291">
        <v>14.1</v>
      </c>
      <c r="H7291" t="s">
        <v>2022</v>
      </c>
      <c r="I7291" s="21">
        <v>44749.4090434838</v>
      </c>
      <c r="J7291">
        <v>2022</v>
      </c>
      <c r="K7291" s="21" t="s">
        <v>114</v>
      </c>
      <c r="L7291" t="e">
        <v>#VALUE!</v>
      </c>
      <c r="O7291" s="21" t="s">
        <v>114</v>
      </c>
      <c r="P7291" s="21" t="s">
        <v>114</v>
      </c>
      <c r="Q7291" s="262">
        <v>342000</v>
      </c>
      <c r="R7291" s="262">
        <v>1500000</v>
      </c>
      <c r="S7291" t="s">
        <v>13254</v>
      </c>
      <c r="U7291">
        <v>5</v>
      </c>
      <c r="V7291">
        <v>0</v>
      </c>
      <c r="W7291">
        <v>3506</v>
      </c>
      <c r="X7291">
        <v>0</v>
      </c>
      <c r="AC7291">
        <v>3506</v>
      </c>
      <c r="AU7291">
        <f t="shared" si="226"/>
        <v>0</v>
      </c>
      <c r="AV7291">
        <f t="shared" si="227"/>
        <v>0</v>
      </c>
    </row>
    <row r="7292" spans="1:48" x14ac:dyDescent="0.25">
      <c r="A7292" t="s">
        <v>16874</v>
      </c>
      <c r="B7292" t="s">
        <v>16874</v>
      </c>
      <c r="C7292" t="s">
        <v>16875</v>
      </c>
      <c r="D7292" t="s">
        <v>16876</v>
      </c>
      <c r="E7292" t="s">
        <v>2310</v>
      </c>
      <c r="F7292">
        <v>12</v>
      </c>
      <c r="G7292">
        <v>12.2</v>
      </c>
      <c r="H7292" t="s">
        <v>2017</v>
      </c>
      <c r="I7292" s="21">
        <v>44749.595358333332</v>
      </c>
      <c r="J7292">
        <v>2022</v>
      </c>
      <c r="K7292" s="21" t="s">
        <v>114</v>
      </c>
      <c r="L7292" t="e">
        <v>#VALUE!</v>
      </c>
      <c r="O7292" s="21" t="s">
        <v>114</v>
      </c>
      <c r="P7292" s="21" t="s">
        <v>114</v>
      </c>
      <c r="Q7292" s="262">
        <v>303000</v>
      </c>
      <c r="R7292" s="262">
        <v>550000</v>
      </c>
      <c r="S7292" t="s">
        <v>13253</v>
      </c>
      <c r="T7292">
        <v>4004</v>
      </c>
      <c r="V7292">
        <v>2364</v>
      </c>
      <c r="W7292">
        <v>780</v>
      </c>
      <c r="X7292">
        <v>0</v>
      </c>
      <c r="AC7292">
        <v>780</v>
      </c>
      <c r="AU7292">
        <f t="shared" si="226"/>
        <v>0</v>
      </c>
      <c r="AV7292">
        <f t="shared" si="227"/>
        <v>0</v>
      </c>
    </row>
    <row r="7293" spans="1:48" x14ac:dyDescent="0.25">
      <c r="A7293" t="s">
        <v>16877</v>
      </c>
      <c r="B7293" t="s">
        <v>16877</v>
      </c>
      <c r="C7293" t="s">
        <v>16878</v>
      </c>
      <c r="D7293" t="s">
        <v>16879</v>
      </c>
      <c r="E7293" t="s">
        <v>2310</v>
      </c>
      <c r="F7293">
        <v>15</v>
      </c>
      <c r="G7293">
        <v>15.2</v>
      </c>
      <c r="H7293" t="s">
        <v>2323</v>
      </c>
      <c r="I7293" s="21">
        <v>44749.643503935185</v>
      </c>
      <c r="J7293">
        <v>2022</v>
      </c>
      <c r="K7293" s="21">
        <v>44783.637992592594</v>
      </c>
      <c r="L7293">
        <v>2022</v>
      </c>
      <c r="O7293" s="21" t="s">
        <v>114</v>
      </c>
      <c r="P7293" s="21" t="s">
        <v>114</v>
      </c>
      <c r="Q7293" s="262">
        <v>582000</v>
      </c>
      <c r="R7293" s="262">
        <v>1000000</v>
      </c>
      <c r="S7293" t="s">
        <v>13254</v>
      </c>
      <c r="V7293">
        <v>0</v>
      </c>
      <c r="W7293">
        <v>5395</v>
      </c>
      <c r="X7293">
        <v>2</v>
      </c>
      <c r="AC7293">
        <v>4395</v>
      </c>
      <c r="AF7293">
        <v>1000</v>
      </c>
      <c r="AO7293">
        <v>1</v>
      </c>
      <c r="AR7293">
        <v>1</v>
      </c>
      <c r="AU7293">
        <f t="shared" si="226"/>
        <v>1</v>
      </c>
      <c r="AV7293">
        <f t="shared" si="227"/>
        <v>0</v>
      </c>
    </row>
    <row r="7294" spans="1:48" x14ac:dyDescent="0.25">
      <c r="A7294" t="s">
        <v>16880</v>
      </c>
      <c r="B7294" t="s">
        <v>16880</v>
      </c>
      <c r="C7294" t="s">
        <v>16881</v>
      </c>
      <c r="D7294" t="s">
        <v>3392</v>
      </c>
      <c r="E7294" t="s">
        <v>2310</v>
      </c>
      <c r="F7294">
        <v>12</v>
      </c>
      <c r="G7294">
        <v>12.1</v>
      </c>
      <c r="H7294" t="s">
        <v>2327</v>
      </c>
      <c r="I7294" s="21">
        <v>44750.386634641203</v>
      </c>
      <c r="J7294">
        <v>2022</v>
      </c>
      <c r="K7294" s="21" t="s">
        <v>114</v>
      </c>
      <c r="L7294" t="e">
        <v>#VALUE!</v>
      </c>
      <c r="O7294" s="21" t="s">
        <v>114</v>
      </c>
      <c r="P7294" s="21" t="s">
        <v>114</v>
      </c>
      <c r="Q7294" s="262">
        <v>422000</v>
      </c>
      <c r="R7294" s="262">
        <v>566973</v>
      </c>
      <c r="S7294" t="s">
        <v>13253</v>
      </c>
      <c r="T7294">
        <v>3526</v>
      </c>
      <c r="V7294">
        <v>3437</v>
      </c>
      <c r="W7294">
        <v>0</v>
      </c>
      <c r="X7294">
        <v>0</v>
      </c>
      <c r="AJ7294">
        <v>-3437</v>
      </c>
      <c r="AK7294">
        <v>3437</v>
      </c>
      <c r="AU7294">
        <f t="shared" si="226"/>
        <v>0</v>
      </c>
      <c r="AV7294">
        <f t="shared" si="227"/>
        <v>0</v>
      </c>
    </row>
    <row r="7295" spans="1:48" x14ac:dyDescent="0.25">
      <c r="A7295" t="s">
        <v>16882</v>
      </c>
      <c r="B7295" t="s">
        <v>16882</v>
      </c>
      <c r="C7295" t="s">
        <v>16883</v>
      </c>
      <c r="D7295" t="s">
        <v>7266</v>
      </c>
      <c r="E7295" t="s">
        <v>2310</v>
      </c>
      <c r="F7295">
        <v>12</v>
      </c>
      <c r="G7295">
        <v>12.2</v>
      </c>
      <c r="H7295" t="s">
        <v>2017</v>
      </c>
      <c r="I7295" s="21">
        <v>44750.429464664354</v>
      </c>
      <c r="J7295">
        <v>2022</v>
      </c>
      <c r="K7295" s="21" t="s">
        <v>114</v>
      </c>
      <c r="L7295" t="e">
        <v>#VALUE!</v>
      </c>
      <c r="O7295" s="21" t="s">
        <v>114</v>
      </c>
      <c r="P7295" s="21" t="s">
        <v>114</v>
      </c>
      <c r="Q7295" s="262">
        <v>165000</v>
      </c>
      <c r="R7295" s="262">
        <v>220000</v>
      </c>
      <c r="S7295" t="s">
        <v>13253</v>
      </c>
      <c r="T7295">
        <v>4099</v>
      </c>
      <c r="V7295">
        <v>1246</v>
      </c>
      <c r="W7295">
        <v>0</v>
      </c>
      <c r="X7295">
        <v>0</v>
      </c>
      <c r="AU7295">
        <f t="shared" si="226"/>
        <v>0</v>
      </c>
      <c r="AV7295">
        <f t="shared" si="227"/>
        <v>0</v>
      </c>
    </row>
    <row r="7296" spans="1:48" x14ac:dyDescent="0.25">
      <c r="A7296" t="s">
        <v>16884</v>
      </c>
      <c r="C7296" t="s">
        <v>16885</v>
      </c>
      <c r="D7296" t="s">
        <v>16886</v>
      </c>
      <c r="E7296" t="s">
        <v>1663</v>
      </c>
      <c r="F7296">
        <v>3</v>
      </c>
      <c r="G7296">
        <v>3.1</v>
      </c>
      <c r="H7296" t="s">
        <v>2017</v>
      </c>
      <c r="I7296" s="21">
        <v>44756</v>
      </c>
      <c r="J7296">
        <v>2022</v>
      </c>
      <c r="K7296" s="21">
        <v>44816</v>
      </c>
      <c r="L7296">
        <v>2022</v>
      </c>
      <c r="P7296" s="21" t="s">
        <v>114</v>
      </c>
      <c r="Q7296" s="262">
        <v>351913</v>
      </c>
      <c r="S7296" t="s">
        <v>13253</v>
      </c>
      <c r="T7296">
        <v>10395</v>
      </c>
      <c r="V7296">
        <v>945</v>
      </c>
      <c r="W7296">
        <v>0</v>
      </c>
      <c r="X7296">
        <v>0</v>
      </c>
      <c r="AU7296">
        <f t="shared" si="226"/>
        <v>0</v>
      </c>
      <c r="AV7296">
        <f t="shared" si="227"/>
        <v>0</v>
      </c>
    </row>
    <row r="7297" spans="1:48" x14ac:dyDescent="0.25">
      <c r="A7297" t="s">
        <v>16887</v>
      </c>
      <c r="B7297" t="s">
        <v>16887</v>
      </c>
      <c r="C7297" t="s">
        <v>16888</v>
      </c>
      <c r="D7297" t="s">
        <v>15647</v>
      </c>
      <c r="E7297" t="s">
        <v>2310</v>
      </c>
      <c r="F7297">
        <v>14</v>
      </c>
      <c r="G7297">
        <v>14.1</v>
      </c>
      <c r="H7297" t="s">
        <v>2022</v>
      </c>
      <c r="I7297" s="21">
        <v>44756.393482673608</v>
      </c>
      <c r="J7297">
        <v>2022</v>
      </c>
      <c r="K7297" s="21" t="s">
        <v>114</v>
      </c>
      <c r="L7297" t="e">
        <v>#VALUE!</v>
      </c>
      <c r="O7297" s="21" t="s">
        <v>114</v>
      </c>
      <c r="P7297" s="21" t="s">
        <v>114</v>
      </c>
      <c r="Q7297" s="262">
        <v>117000</v>
      </c>
      <c r="R7297" s="262">
        <v>800000</v>
      </c>
      <c r="S7297" t="s">
        <v>13254</v>
      </c>
      <c r="U7297">
        <v>5</v>
      </c>
      <c r="V7297">
        <v>0</v>
      </c>
      <c r="W7297">
        <v>985</v>
      </c>
      <c r="X7297">
        <v>1</v>
      </c>
      <c r="AC7297">
        <v>985</v>
      </c>
      <c r="AO7297">
        <v>1</v>
      </c>
      <c r="AU7297">
        <f t="shared" si="226"/>
        <v>1</v>
      </c>
      <c r="AV7297">
        <f t="shared" si="227"/>
        <v>0</v>
      </c>
    </row>
    <row r="7298" spans="1:48" x14ac:dyDescent="0.25">
      <c r="A7298" t="s">
        <v>16889</v>
      </c>
      <c r="B7298" t="s">
        <v>16889</v>
      </c>
      <c r="C7298" t="s">
        <v>16890</v>
      </c>
      <c r="D7298" t="s">
        <v>12826</v>
      </c>
      <c r="E7298" t="s">
        <v>2310</v>
      </c>
      <c r="F7298">
        <v>13</v>
      </c>
      <c r="G7298">
        <v>13.2</v>
      </c>
      <c r="H7298" t="s">
        <v>2327</v>
      </c>
      <c r="I7298" s="21">
        <v>44756.628077627312</v>
      </c>
      <c r="J7298">
        <v>2022</v>
      </c>
      <c r="K7298" s="21" t="s">
        <v>114</v>
      </c>
      <c r="L7298" t="e">
        <v>#VALUE!</v>
      </c>
      <c r="O7298" s="21" t="s">
        <v>114</v>
      </c>
      <c r="P7298" s="21" t="s">
        <v>114</v>
      </c>
      <c r="Q7298" s="262">
        <v>1042000</v>
      </c>
      <c r="R7298" s="262">
        <v>6500000</v>
      </c>
      <c r="S7298" t="s">
        <v>13253</v>
      </c>
      <c r="T7298">
        <v>14327</v>
      </c>
      <c r="V7298">
        <v>4038</v>
      </c>
      <c r="W7298">
        <v>5221</v>
      </c>
      <c r="X7298">
        <v>0</v>
      </c>
      <c r="AC7298">
        <v>5221</v>
      </c>
      <c r="AU7298">
        <f t="shared" si="226"/>
        <v>0</v>
      </c>
      <c r="AV7298">
        <f t="shared" si="227"/>
        <v>0</v>
      </c>
    </row>
    <row r="7299" spans="1:48" x14ac:dyDescent="0.25">
      <c r="A7299" t="s">
        <v>16891</v>
      </c>
      <c r="B7299" t="s">
        <v>16891</v>
      </c>
      <c r="C7299" t="s">
        <v>16892</v>
      </c>
      <c r="D7299" t="s">
        <v>16893</v>
      </c>
      <c r="E7299" t="s">
        <v>2310</v>
      </c>
      <c r="F7299">
        <v>14</v>
      </c>
      <c r="G7299">
        <v>14.1</v>
      </c>
      <c r="H7299" t="s">
        <v>2022</v>
      </c>
      <c r="I7299" s="21">
        <v>44757.399452893522</v>
      </c>
      <c r="J7299">
        <v>2022</v>
      </c>
      <c r="K7299" s="21" t="s">
        <v>114</v>
      </c>
      <c r="L7299" t="e">
        <v>#VALUE!</v>
      </c>
      <c r="O7299" s="21" t="s">
        <v>114</v>
      </c>
      <c r="P7299" s="21" t="s">
        <v>114</v>
      </c>
      <c r="Q7299" s="262">
        <v>105000</v>
      </c>
      <c r="R7299" s="262">
        <v>128625</v>
      </c>
      <c r="S7299" t="s">
        <v>13254</v>
      </c>
      <c r="U7299">
        <v>5</v>
      </c>
      <c r="V7299">
        <v>0</v>
      </c>
      <c r="W7299">
        <v>2184</v>
      </c>
      <c r="X7299">
        <v>0</v>
      </c>
      <c r="AC7299">
        <v>2184</v>
      </c>
      <c r="AU7299">
        <f t="shared" si="226"/>
        <v>0</v>
      </c>
      <c r="AV7299">
        <f t="shared" si="227"/>
        <v>0</v>
      </c>
    </row>
    <row r="7300" spans="1:48" x14ac:dyDescent="0.25">
      <c r="A7300" t="s">
        <v>16894</v>
      </c>
      <c r="B7300" t="s">
        <v>16894</v>
      </c>
      <c r="C7300" t="s">
        <v>16895</v>
      </c>
      <c r="D7300" t="s">
        <v>16896</v>
      </c>
      <c r="E7300" t="s">
        <v>2310</v>
      </c>
      <c r="F7300">
        <v>8</v>
      </c>
      <c r="G7300">
        <v>8.1999999999999993</v>
      </c>
      <c r="H7300" t="s">
        <v>2022</v>
      </c>
      <c r="I7300" s="21">
        <v>44757.445471527775</v>
      </c>
      <c r="J7300">
        <v>2022</v>
      </c>
      <c r="K7300" s="21" t="s">
        <v>114</v>
      </c>
      <c r="L7300" t="e">
        <v>#VALUE!</v>
      </c>
      <c r="O7300" s="21" t="s">
        <v>114</v>
      </c>
      <c r="P7300" s="21" t="s">
        <v>114</v>
      </c>
      <c r="Q7300" s="262">
        <v>860000</v>
      </c>
      <c r="R7300" s="262">
        <v>11031600</v>
      </c>
      <c r="S7300" t="s">
        <v>13254</v>
      </c>
      <c r="U7300">
        <v>5</v>
      </c>
      <c r="V7300">
        <v>0</v>
      </c>
      <c r="W7300">
        <v>6392</v>
      </c>
      <c r="X7300">
        <v>1</v>
      </c>
      <c r="AC7300">
        <v>6392</v>
      </c>
      <c r="AO7300">
        <v>1</v>
      </c>
      <c r="AU7300">
        <f t="shared" si="226"/>
        <v>1</v>
      </c>
      <c r="AV7300">
        <f t="shared" si="227"/>
        <v>0</v>
      </c>
    </row>
    <row r="7301" spans="1:48" x14ac:dyDescent="0.25">
      <c r="A7301" t="s">
        <v>16897</v>
      </c>
      <c r="B7301" t="s">
        <v>16897</v>
      </c>
      <c r="C7301" t="s">
        <v>16898</v>
      </c>
      <c r="D7301" t="s">
        <v>16896</v>
      </c>
      <c r="E7301" t="s">
        <v>2310</v>
      </c>
      <c r="F7301">
        <v>8</v>
      </c>
      <c r="G7301">
        <v>8.1999999999999993</v>
      </c>
      <c r="H7301" t="s">
        <v>2022</v>
      </c>
      <c r="I7301" s="21">
        <v>44757.453234259257</v>
      </c>
      <c r="J7301">
        <v>2022</v>
      </c>
      <c r="K7301" s="21" t="s">
        <v>114</v>
      </c>
      <c r="L7301" t="e">
        <v>#VALUE!</v>
      </c>
      <c r="O7301" s="21" t="s">
        <v>114</v>
      </c>
      <c r="P7301" s="21" t="s">
        <v>114</v>
      </c>
      <c r="Q7301" s="262">
        <v>52000</v>
      </c>
      <c r="R7301" s="262">
        <v>933000</v>
      </c>
      <c r="S7301" t="s">
        <v>13254</v>
      </c>
      <c r="U7301">
        <v>5</v>
      </c>
      <c r="V7301">
        <v>0</v>
      </c>
      <c r="W7301">
        <v>431.1</v>
      </c>
      <c r="X7301">
        <v>0</v>
      </c>
      <c r="AC7301">
        <v>431.1</v>
      </c>
      <c r="AU7301">
        <f t="shared" si="226"/>
        <v>0</v>
      </c>
      <c r="AV7301">
        <f t="shared" si="227"/>
        <v>0</v>
      </c>
    </row>
    <row r="7302" spans="1:48" x14ac:dyDescent="0.25">
      <c r="A7302" t="s">
        <v>16899</v>
      </c>
      <c r="B7302" t="s">
        <v>16899</v>
      </c>
      <c r="C7302" t="s">
        <v>16900</v>
      </c>
      <c r="D7302" t="s">
        <v>16896</v>
      </c>
      <c r="E7302" t="s">
        <v>2310</v>
      </c>
      <c r="F7302">
        <v>8</v>
      </c>
      <c r="G7302">
        <v>8.1999999999999993</v>
      </c>
      <c r="H7302" t="s">
        <v>2022</v>
      </c>
      <c r="I7302" s="21">
        <v>44757.456553622687</v>
      </c>
      <c r="J7302">
        <v>2022</v>
      </c>
      <c r="K7302" s="21" t="s">
        <v>114</v>
      </c>
      <c r="L7302" t="e">
        <v>#VALUE!</v>
      </c>
      <c r="O7302" s="21" t="s">
        <v>114</v>
      </c>
      <c r="P7302" s="21" t="s">
        <v>114</v>
      </c>
      <c r="Q7302" s="262">
        <v>142000</v>
      </c>
      <c r="R7302" s="262">
        <v>2143000</v>
      </c>
      <c r="S7302" t="s">
        <v>13254</v>
      </c>
      <c r="U7302">
        <v>5</v>
      </c>
      <c r="V7302">
        <v>0</v>
      </c>
      <c r="W7302">
        <v>1277.3000000000002</v>
      </c>
      <c r="X7302">
        <v>0</v>
      </c>
      <c r="AC7302">
        <v>1277.3000000000002</v>
      </c>
      <c r="AU7302">
        <f t="shared" si="226"/>
        <v>0</v>
      </c>
      <c r="AV7302">
        <f t="shared" si="227"/>
        <v>0</v>
      </c>
    </row>
    <row r="7303" spans="1:48" x14ac:dyDescent="0.25">
      <c r="A7303" t="s">
        <v>16901</v>
      </c>
      <c r="B7303" t="s">
        <v>16901</v>
      </c>
      <c r="C7303" t="s">
        <v>16902</v>
      </c>
      <c r="D7303" t="s">
        <v>13795</v>
      </c>
      <c r="E7303" t="s">
        <v>2310</v>
      </c>
      <c r="F7303">
        <v>8</v>
      </c>
      <c r="G7303">
        <v>8.1</v>
      </c>
      <c r="H7303" t="s">
        <v>2323</v>
      </c>
      <c r="I7303" s="21">
        <v>44757.555250844911</v>
      </c>
      <c r="J7303">
        <v>2022</v>
      </c>
      <c r="K7303" s="21" t="s">
        <v>114</v>
      </c>
      <c r="L7303" t="e">
        <v>#VALUE!</v>
      </c>
      <c r="O7303" s="21" t="s">
        <v>114</v>
      </c>
      <c r="P7303" s="21" t="s">
        <v>114</v>
      </c>
      <c r="Q7303" s="262">
        <v>1040000</v>
      </c>
      <c r="R7303" s="262">
        <v>6000000</v>
      </c>
      <c r="S7303" t="s">
        <v>13253</v>
      </c>
      <c r="T7303">
        <v>4071</v>
      </c>
      <c r="V7303">
        <v>9040</v>
      </c>
      <c r="W7303">
        <v>0</v>
      </c>
      <c r="X7303">
        <v>0</v>
      </c>
      <c r="AU7303">
        <f t="shared" si="226"/>
        <v>0</v>
      </c>
      <c r="AV7303">
        <f t="shared" si="227"/>
        <v>0</v>
      </c>
    </row>
    <row r="7304" spans="1:48" x14ac:dyDescent="0.25">
      <c r="A7304" t="s">
        <v>16903</v>
      </c>
      <c r="C7304" t="s">
        <v>16904</v>
      </c>
      <c r="D7304" t="s">
        <v>16905</v>
      </c>
      <c r="E7304" t="s">
        <v>1663</v>
      </c>
      <c r="F7304">
        <v>3</v>
      </c>
      <c r="G7304">
        <v>3.2</v>
      </c>
      <c r="H7304" t="s">
        <v>2327</v>
      </c>
      <c r="I7304" s="21">
        <v>44763</v>
      </c>
      <c r="J7304">
        <v>2022</v>
      </c>
      <c r="P7304" s="21" t="s">
        <v>114</v>
      </c>
      <c r="Q7304" s="262">
        <v>0</v>
      </c>
      <c r="S7304" t="s">
        <v>13253</v>
      </c>
      <c r="T7304">
        <v>10722</v>
      </c>
      <c r="W7304">
        <v>0</v>
      </c>
      <c r="X7304">
        <v>0</v>
      </c>
      <c r="AU7304">
        <f t="shared" si="226"/>
        <v>0</v>
      </c>
      <c r="AV7304">
        <f t="shared" si="227"/>
        <v>0</v>
      </c>
    </row>
    <row r="7305" spans="1:48" x14ac:dyDescent="0.25">
      <c r="A7305" t="s">
        <v>16906</v>
      </c>
      <c r="B7305" t="s">
        <v>16906</v>
      </c>
      <c r="C7305" t="s">
        <v>16907</v>
      </c>
      <c r="D7305" t="s">
        <v>16908</v>
      </c>
      <c r="E7305" t="s">
        <v>2310</v>
      </c>
      <c r="F7305">
        <v>14</v>
      </c>
      <c r="G7305">
        <v>14.1</v>
      </c>
      <c r="H7305" t="s">
        <v>2022</v>
      </c>
      <c r="I7305" s="21">
        <v>44763.433145289353</v>
      </c>
      <c r="J7305">
        <v>2022</v>
      </c>
      <c r="K7305" s="21" t="s">
        <v>114</v>
      </c>
      <c r="L7305" t="e">
        <v>#VALUE!</v>
      </c>
      <c r="O7305" s="21" t="s">
        <v>114</v>
      </c>
      <c r="P7305" s="21" t="s">
        <v>114</v>
      </c>
      <c r="Q7305" s="262">
        <v>93000</v>
      </c>
      <c r="R7305" s="262">
        <v>156900</v>
      </c>
      <c r="S7305" t="s">
        <v>13253</v>
      </c>
      <c r="T7305">
        <v>7530</v>
      </c>
      <c r="V7305">
        <v>246</v>
      </c>
      <c r="W7305">
        <v>1134</v>
      </c>
      <c r="X7305">
        <v>0</v>
      </c>
      <c r="AC7305">
        <v>1134</v>
      </c>
      <c r="AU7305">
        <f t="shared" si="226"/>
        <v>0</v>
      </c>
      <c r="AV7305">
        <f t="shared" si="227"/>
        <v>0</v>
      </c>
    </row>
    <row r="7306" spans="1:48" x14ac:dyDescent="0.25">
      <c r="A7306" t="s">
        <v>16909</v>
      </c>
      <c r="B7306" t="s">
        <v>16909</v>
      </c>
      <c r="C7306" t="s">
        <v>16910</v>
      </c>
      <c r="D7306" t="s">
        <v>16911</v>
      </c>
      <c r="E7306" t="s">
        <v>2310</v>
      </c>
      <c r="F7306">
        <v>12</v>
      </c>
      <c r="G7306">
        <v>12.3</v>
      </c>
      <c r="H7306" t="s">
        <v>2017</v>
      </c>
      <c r="I7306" s="21">
        <v>44763.651684525466</v>
      </c>
      <c r="J7306">
        <v>2022</v>
      </c>
      <c r="K7306" s="21" t="s">
        <v>114</v>
      </c>
      <c r="L7306" t="e">
        <v>#VALUE!</v>
      </c>
      <c r="O7306" s="21" t="s">
        <v>114</v>
      </c>
      <c r="P7306" s="21" t="s">
        <v>114</v>
      </c>
      <c r="Q7306" s="262">
        <v>377000</v>
      </c>
      <c r="R7306" s="262">
        <v>3000000</v>
      </c>
      <c r="S7306" t="s">
        <v>13253</v>
      </c>
      <c r="T7306">
        <v>3838</v>
      </c>
      <c r="V7306">
        <v>2552.9</v>
      </c>
      <c r="W7306">
        <v>1470.2999999999997</v>
      </c>
      <c r="X7306">
        <v>0</v>
      </c>
      <c r="AC7306">
        <v>1470.2999999999997</v>
      </c>
      <c r="AU7306">
        <f t="shared" si="226"/>
        <v>0</v>
      </c>
      <c r="AV7306">
        <f t="shared" si="227"/>
        <v>0</v>
      </c>
    </row>
    <row r="7307" spans="1:48" x14ac:dyDescent="0.25">
      <c r="A7307" t="s">
        <v>16912</v>
      </c>
      <c r="B7307" t="s">
        <v>16912</v>
      </c>
      <c r="C7307" t="s">
        <v>16913</v>
      </c>
      <c r="D7307" t="s">
        <v>16914</v>
      </c>
      <c r="E7307" t="s">
        <v>2310</v>
      </c>
      <c r="F7307">
        <v>9</v>
      </c>
      <c r="G7307">
        <v>9.3000000000000007</v>
      </c>
      <c r="H7307" t="s">
        <v>2323</v>
      </c>
      <c r="I7307" s="21">
        <v>44764.504024386573</v>
      </c>
      <c r="J7307">
        <v>2022</v>
      </c>
      <c r="K7307" s="21" t="s">
        <v>114</v>
      </c>
      <c r="L7307" t="e">
        <v>#VALUE!</v>
      </c>
      <c r="O7307" s="21" t="s">
        <v>114</v>
      </c>
      <c r="P7307" s="21" t="s">
        <v>114</v>
      </c>
      <c r="Q7307" s="262">
        <v>1092000</v>
      </c>
      <c r="R7307" s="262">
        <v>16850000</v>
      </c>
      <c r="S7307" t="s">
        <v>13254</v>
      </c>
      <c r="U7307">
        <v>5</v>
      </c>
      <c r="V7307">
        <v>0</v>
      </c>
      <c r="W7307">
        <v>7668</v>
      </c>
      <c r="X7307">
        <v>1</v>
      </c>
      <c r="AC7307">
        <v>7668</v>
      </c>
      <c r="AO7307">
        <v>1</v>
      </c>
      <c r="AU7307">
        <f t="shared" si="226"/>
        <v>1</v>
      </c>
      <c r="AV7307">
        <f t="shared" si="227"/>
        <v>0</v>
      </c>
    </row>
    <row r="7308" spans="1:48" x14ac:dyDescent="0.25">
      <c r="A7308" t="s">
        <v>16915</v>
      </c>
      <c r="B7308" t="s">
        <v>16915</v>
      </c>
      <c r="C7308" t="s">
        <v>16916</v>
      </c>
      <c r="D7308" t="s">
        <v>16914</v>
      </c>
      <c r="E7308" t="s">
        <v>2310</v>
      </c>
      <c r="F7308">
        <v>9</v>
      </c>
      <c r="G7308">
        <v>9.3000000000000007</v>
      </c>
      <c r="H7308" t="s">
        <v>2323</v>
      </c>
      <c r="I7308" s="21">
        <v>44764.51476982639</v>
      </c>
      <c r="J7308">
        <v>2022</v>
      </c>
      <c r="K7308" s="21" t="s">
        <v>114</v>
      </c>
      <c r="L7308" t="e">
        <v>#VALUE!</v>
      </c>
      <c r="O7308" s="21" t="s">
        <v>114</v>
      </c>
      <c r="P7308" s="21" t="s">
        <v>114</v>
      </c>
      <c r="Q7308" s="262">
        <v>119000</v>
      </c>
      <c r="R7308" s="262">
        <v>1600000</v>
      </c>
      <c r="S7308" t="s">
        <v>13254</v>
      </c>
      <c r="U7308">
        <v>8</v>
      </c>
      <c r="V7308">
        <v>0</v>
      </c>
      <c r="W7308">
        <v>1000</v>
      </c>
      <c r="X7308">
        <v>1</v>
      </c>
      <c r="AF7308">
        <v>1000</v>
      </c>
      <c r="AR7308">
        <v>1</v>
      </c>
      <c r="AU7308">
        <f t="shared" si="226"/>
        <v>0</v>
      </c>
      <c r="AV7308">
        <f t="shared" si="227"/>
        <v>0</v>
      </c>
    </row>
    <row r="7309" spans="1:48" x14ac:dyDescent="0.25">
      <c r="A7309" t="s">
        <v>16917</v>
      </c>
      <c r="B7309" t="s">
        <v>16917</v>
      </c>
      <c r="C7309" t="s">
        <v>16918</v>
      </c>
      <c r="D7309" t="s">
        <v>16914</v>
      </c>
      <c r="E7309" t="s">
        <v>2310</v>
      </c>
      <c r="F7309">
        <v>9</v>
      </c>
      <c r="G7309">
        <v>9.3000000000000007</v>
      </c>
      <c r="H7309" t="s">
        <v>2323</v>
      </c>
      <c r="I7309" s="21">
        <v>44764.517988692132</v>
      </c>
      <c r="J7309">
        <v>2022</v>
      </c>
      <c r="K7309" s="21" t="s">
        <v>114</v>
      </c>
      <c r="L7309" t="e">
        <v>#VALUE!</v>
      </c>
      <c r="O7309" s="21" t="s">
        <v>114</v>
      </c>
      <c r="P7309" s="21" t="s">
        <v>114</v>
      </c>
      <c r="Q7309" s="262">
        <v>125000</v>
      </c>
      <c r="R7309" s="262">
        <v>1873300</v>
      </c>
      <c r="S7309" t="s">
        <v>13254</v>
      </c>
      <c r="U7309">
        <v>5</v>
      </c>
      <c r="V7309">
        <v>0</v>
      </c>
      <c r="W7309">
        <v>1250</v>
      </c>
      <c r="X7309">
        <v>0</v>
      </c>
      <c r="AC7309">
        <v>1250</v>
      </c>
      <c r="AU7309">
        <f t="shared" si="226"/>
        <v>0</v>
      </c>
      <c r="AV7309">
        <f t="shared" si="227"/>
        <v>0</v>
      </c>
    </row>
    <row r="7310" spans="1:48" x14ac:dyDescent="0.25">
      <c r="A7310" t="s">
        <v>16919</v>
      </c>
      <c r="C7310" t="s">
        <v>14920</v>
      </c>
      <c r="D7310" t="s">
        <v>16920</v>
      </c>
      <c r="E7310" t="s">
        <v>1663</v>
      </c>
      <c r="F7310">
        <v>6</v>
      </c>
      <c r="G7310">
        <v>6.1</v>
      </c>
      <c r="H7310" t="s">
        <v>2017</v>
      </c>
      <c r="I7310" s="21">
        <v>44768</v>
      </c>
      <c r="J7310">
        <v>2022</v>
      </c>
      <c r="K7310" s="21">
        <v>44795</v>
      </c>
      <c r="L7310">
        <v>2022</v>
      </c>
      <c r="P7310" s="21" t="s">
        <v>114</v>
      </c>
      <c r="Q7310" s="262">
        <v>320000</v>
      </c>
      <c r="S7310" t="s">
        <v>13254</v>
      </c>
      <c r="W7310">
        <v>798</v>
      </c>
      <c r="X7310">
        <v>1</v>
      </c>
      <c r="AF7310">
        <v>798</v>
      </c>
      <c r="AR7310">
        <v>1</v>
      </c>
      <c r="AU7310">
        <f t="shared" si="226"/>
        <v>0</v>
      </c>
      <c r="AV7310">
        <f t="shared" si="227"/>
        <v>0</v>
      </c>
    </row>
    <row r="7311" spans="1:48" x14ac:dyDescent="0.25">
      <c r="A7311" t="s">
        <v>16921</v>
      </c>
      <c r="C7311" t="s">
        <v>16922</v>
      </c>
      <c r="D7311" t="s">
        <v>16923</v>
      </c>
      <c r="E7311" t="s">
        <v>1663</v>
      </c>
      <c r="F7311">
        <v>3</v>
      </c>
      <c r="G7311">
        <v>3.4</v>
      </c>
      <c r="H7311" t="s">
        <v>2017</v>
      </c>
      <c r="I7311" s="21">
        <v>44768</v>
      </c>
      <c r="J7311">
        <v>2022</v>
      </c>
      <c r="P7311" s="21" t="s">
        <v>114</v>
      </c>
      <c r="Q7311" s="262">
        <v>0</v>
      </c>
      <c r="S7311" t="s">
        <v>13253</v>
      </c>
      <c r="T7311">
        <v>10273</v>
      </c>
      <c r="W7311">
        <v>0</v>
      </c>
      <c r="X7311">
        <v>0</v>
      </c>
      <c r="AU7311">
        <f t="shared" si="226"/>
        <v>0</v>
      </c>
      <c r="AV7311">
        <f t="shared" si="227"/>
        <v>0</v>
      </c>
    </row>
    <row r="7312" spans="1:48" x14ac:dyDescent="0.25">
      <c r="A7312" t="s">
        <v>16924</v>
      </c>
      <c r="C7312" t="s">
        <v>16925</v>
      </c>
      <c r="D7312" t="s">
        <v>16926</v>
      </c>
      <c r="E7312" t="s">
        <v>1663</v>
      </c>
      <c r="F7312">
        <v>4</v>
      </c>
      <c r="G7312">
        <v>4.3</v>
      </c>
      <c r="H7312" t="s">
        <v>2327</v>
      </c>
      <c r="I7312" s="21">
        <v>44770</v>
      </c>
      <c r="J7312">
        <v>2022</v>
      </c>
      <c r="K7312" s="21">
        <v>44776</v>
      </c>
      <c r="L7312">
        <v>2022</v>
      </c>
      <c r="P7312" s="21" t="s">
        <v>114</v>
      </c>
      <c r="Q7312" s="262">
        <v>30000</v>
      </c>
      <c r="S7312" t="s">
        <v>13253</v>
      </c>
      <c r="T7312">
        <v>12299</v>
      </c>
      <c r="W7312">
        <v>0</v>
      </c>
      <c r="X7312">
        <v>0</v>
      </c>
      <c r="AU7312">
        <f t="shared" si="226"/>
        <v>0</v>
      </c>
      <c r="AV7312">
        <f t="shared" si="227"/>
        <v>0</v>
      </c>
    </row>
    <row r="7313" spans="1:48" x14ac:dyDescent="0.25">
      <c r="A7313" t="s">
        <v>16927</v>
      </c>
      <c r="B7313" t="s">
        <v>16927</v>
      </c>
      <c r="C7313" t="s">
        <v>16928</v>
      </c>
      <c r="D7313" t="s">
        <v>16929</v>
      </c>
      <c r="E7313" t="s">
        <v>2310</v>
      </c>
      <c r="F7313">
        <v>9</v>
      </c>
      <c r="G7313">
        <v>9.1</v>
      </c>
      <c r="H7313" t="s">
        <v>2323</v>
      </c>
      <c r="I7313" s="21">
        <v>44770.42989644676</v>
      </c>
      <c r="J7313">
        <v>2022</v>
      </c>
      <c r="K7313" s="21" t="s">
        <v>114</v>
      </c>
      <c r="L7313" t="e">
        <v>#VALUE!</v>
      </c>
      <c r="O7313" s="21" t="s">
        <v>114</v>
      </c>
      <c r="P7313" s="21" t="s">
        <v>114</v>
      </c>
      <c r="Q7313" s="262">
        <v>345000</v>
      </c>
      <c r="R7313" s="262">
        <v>1500000</v>
      </c>
      <c r="S7313" t="s">
        <v>13253</v>
      </c>
      <c r="T7313">
        <v>6345</v>
      </c>
      <c r="V7313">
        <v>1085</v>
      </c>
      <c r="W7313">
        <v>1473</v>
      </c>
      <c r="X7313">
        <v>0</v>
      </c>
      <c r="AC7313">
        <v>1473</v>
      </c>
      <c r="AU7313">
        <f t="shared" si="226"/>
        <v>0</v>
      </c>
      <c r="AV7313">
        <f t="shared" si="227"/>
        <v>0</v>
      </c>
    </row>
    <row r="7314" spans="1:48" x14ac:dyDescent="0.25">
      <c r="A7314" t="s">
        <v>16930</v>
      </c>
      <c r="B7314" t="s">
        <v>16930</v>
      </c>
      <c r="C7314" t="s">
        <v>16931</v>
      </c>
      <c r="D7314" t="s">
        <v>16932</v>
      </c>
      <c r="E7314" t="s">
        <v>2310</v>
      </c>
      <c r="F7314">
        <v>9</v>
      </c>
      <c r="G7314">
        <v>9.3000000000000007</v>
      </c>
      <c r="H7314" t="s">
        <v>2323</v>
      </c>
      <c r="I7314" s="21">
        <v>44770.496508564815</v>
      </c>
      <c r="J7314">
        <v>2022</v>
      </c>
      <c r="K7314" s="21" t="s">
        <v>114</v>
      </c>
      <c r="L7314" t="e">
        <v>#VALUE!</v>
      </c>
      <c r="O7314" s="21" t="s">
        <v>114</v>
      </c>
      <c r="P7314" s="21" t="s">
        <v>114</v>
      </c>
      <c r="Q7314" s="262">
        <v>2047000</v>
      </c>
      <c r="R7314" s="262">
        <v>7000000</v>
      </c>
      <c r="S7314" t="s">
        <v>13254</v>
      </c>
      <c r="U7314">
        <v>5</v>
      </c>
      <c r="V7314">
        <v>0</v>
      </c>
      <c r="W7314">
        <v>14141</v>
      </c>
      <c r="X7314">
        <v>1</v>
      </c>
      <c r="AC7314">
        <v>14141</v>
      </c>
      <c r="AO7314">
        <v>1</v>
      </c>
      <c r="AU7314">
        <f t="shared" si="226"/>
        <v>1</v>
      </c>
      <c r="AV7314">
        <f t="shared" si="227"/>
        <v>0</v>
      </c>
    </row>
    <row r="7315" spans="1:48" x14ac:dyDescent="0.25">
      <c r="A7315" t="s">
        <v>16933</v>
      </c>
      <c r="B7315" t="s">
        <v>16933</v>
      </c>
      <c r="C7315" t="s">
        <v>16934</v>
      </c>
      <c r="D7315" t="s">
        <v>16932</v>
      </c>
      <c r="E7315" t="s">
        <v>2310</v>
      </c>
      <c r="F7315">
        <v>9</v>
      </c>
      <c r="G7315">
        <v>9.3000000000000007</v>
      </c>
      <c r="H7315" t="s">
        <v>2323</v>
      </c>
      <c r="I7315" s="21">
        <v>44770.50469710648</v>
      </c>
      <c r="J7315">
        <v>2022</v>
      </c>
      <c r="K7315" s="21" t="s">
        <v>114</v>
      </c>
      <c r="L7315" t="e">
        <v>#VALUE!</v>
      </c>
      <c r="O7315" s="21" t="s">
        <v>114</v>
      </c>
      <c r="P7315" s="21" t="s">
        <v>114</v>
      </c>
      <c r="Q7315" s="262">
        <v>104000</v>
      </c>
      <c r="R7315" s="262">
        <v>1000000</v>
      </c>
      <c r="S7315" t="s">
        <v>13254</v>
      </c>
      <c r="U7315">
        <v>8</v>
      </c>
      <c r="V7315">
        <v>0</v>
      </c>
      <c r="W7315">
        <v>1106</v>
      </c>
      <c r="X7315">
        <v>1</v>
      </c>
      <c r="AC7315">
        <v>438</v>
      </c>
      <c r="AF7315">
        <v>668</v>
      </c>
      <c r="AR7315">
        <v>1</v>
      </c>
      <c r="AU7315">
        <f t="shared" si="226"/>
        <v>0</v>
      </c>
      <c r="AV7315">
        <f t="shared" si="227"/>
        <v>0</v>
      </c>
    </row>
    <row r="7316" spans="1:48" x14ac:dyDescent="0.25">
      <c r="A7316" t="s">
        <v>16935</v>
      </c>
      <c r="B7316" t="s">
        <v>16935</v>
      </c>
      <c r="C7316" t="s">
        <v>16936</v>
      </c>
      <c r="D7316" t="s">
        <v>16937</v>
      </c>
      <c r="E7316" t="s">
        <v>2310</v>
      </c>
      <c r="F7316">
        <v>9</v>
      </c>
      <c r="G7316">
        <v>9.1</v>
      </c>
      <c r="H7316" t="s">
        <v>2323</v>
      </c>
      <c r="I7316" s="21">
        <v>44770.634398726848</v>
      </c>
      <c r="J7316">
        <v>2022</v>
      </c>
      <c r="K7316" s="21" t="s">
        <v>114</v>
      </c>
      <c r="L7316" t="e">
        <v>#VALUE!</v>
      </c>
      <c r="O7316" s="21" t="s">
        <v>114</v>
      </c>
      <c r="P7316" s="21" t="s">
        <v>114</v>
      </c>
      <c r="Q7316" s="262">
        <v>239000</v>
      </c>
      <c r="R7316" s="262">
        <v>1000000</v>
      </c>
      <c r="S7316" t="s">
        <v>13253</v>
      </c>
      <c r="T7316">
        <v>5923</v>
      </c>
      <c r="V7316">
        <v>576</v>
      </c>
      <c r="W7316">
        <v>1951</v>
      </c>
      <c r="X7316">
        <v>0</v>
      </c>
      <c r="AC7316">
        <v>1951</v>
      </c>
      <c r="AU7316">
        <f t="shared" si="226"/>
        <v>0</v>
      </c>
      <c r="AV7316">
        <f t="shared" si="227"/>
        <v>0</v>
      </c>
    </row>
    <row r="7317" spans="1:48" x14ac:dyDescent="0.25">
      <c r="A7317" t="s">
        <v>16938</v>
      </c>
      <c r="B7317" t="s">
        <v>16938</v>
      </c>
      <c r="C7317" t="s">
        <v>16939</v>
      </c>
      <c r="D7317" t="s">
        <v>2536</v>
      </c>
      <c r="E7317" t="s">
        <v>2310</v>
      </c>
      <c r="F7317">
        <v>9</v>
      </c>
      <c r="G7317">
        <v>9.3000000000000007</v>
      </c>
      <c r="H7317" t="s">
        <v>2323</v>
      </c>
      <c r="I7317" s="21">
        <v>44770.645896215276</v>
      </c>
      <c r="J7317">
        <v>2022</v>
      </c>
      <c r="K7317" s="21" t="s">
        <v>114</v>
      </c>
      <c r="L7317" t="e">
        <v>#VALUE!</v>
      </c>
      <c r="O7317" s="21" t="s">
        <v>114</v>
      </c>
      <c r="P7317" s="21" t="s">
        <v>114</v>
      </c>
      <c r="Q7317" s="262">
        <v>147000</v>
      </c>
      <c r="R7317" s="262">
        <v>400000</v>
      </c>
      <c r="S7317" t="s">
        <v>13253</v>
      </c>
      <c r="T7317">
        <v>4374</v>
      </c>
      <c r="V7317">
        <v>460</v>
      </c>
      <c r="W7317">
        <v>890</v>
      </c>
      <c r="X7317">
        <v>0</v>
      </c>
      <c r="AC7317">
        <v>890</v>
      </c>
      <c r="AU7317">
        <f t="shared" si="226"/>
        <v>0</v>
      </c>
      <c r="AV7317">
        <f t="shared" si="227"/>
        <v>0</v>
      </c>
    </row>
    <row r="7318" spans="1:48" x14ac:dyDescent="0.25">
      <c r="A7318" t="s">
        <v>16940</v>
      </c>
      <c r="B7318" t="s">
        <v>16940</v>
      </c>
      <c r="C7318" t="s">
        <v>16941</v>
      </c>
      <c r="D7318" t="s">
        <v>16942</v>
      </c>
      <c r="E7318" t="s">
        <v>2310</v>
      </c>
      <c r="F7318">
        <v>8</v>
      </c>
      <c r="G7318">
        <v>8.1</v>
      </c>
      <c r="H7318" t="s">
        <v>2323</v>
      </c>
      <c r="I7318" s="21">
        <v>44770.653663541663</v>
      </c>
      <c r="J7318">
        <v>2022</v>
      </c>
      <c r="K7318" s="21" t="s">
        <v>114</v>
      </c>
      <c r="L7318" t="e">
        <v>#VALUE!</v>
      </c>
      <c r="O7318" s="21" t="s">
        <v>114</v>
      </c>
      <c r="P7318" s="21" t="s">
        <v>114</v>
      </c>
      <c r="Q7318" s="262">
        <v>362000</v>
      </c>
      <c r="R7318" s="262">
        <v>1200000</v>
      </c>
      <c r="S7318" t="s">
        <v>13253</v>
      </c>
      <c r="T7318">
        <v>5755</v>
      </c>
      <c r="V7318">
        <v>2924</v>
      </c>
      <c r="W7318">
        <v>0</v>
      </c>
      <c r="X7318">
        <v>0</v>
      </c>
      <c r="AU7318">
        <f t="shared" si="226"/>
        <v>0</v>
      </c>
      <c r="AV7318">
        <f t="shared" si="227"/>
        <v>0</v>
      </c>
    </row>
    <row r="7319" spans="1:48" x14ac:dyDescent="0.25">
      <c r="A7319" t="s">
        <v>16943</v>
      </c>
      <c r="B7319" t="s">
        <v>16943</v>
      </c>
      <c r="C7319" t="s">
        <v>16944</v>
      </c>
      <c r="D7319" t="s">
        <v>16945</v>
      </c>
      <c r="E7319" t="s">
        <v>2310</v>
      </c>
      <c r="F7319">
        <v>9</v>
      </c>
      <c r="G7319">
        <v>9.4</v>
      </c>
      <c r="H7319" t="s">
        <v>2323</v>
      </c>
      <c r="I7319" s="21">
        <v>44771.434143321756</v>
      </c>
      <c r="J7319">
        <v>2022</v>
      </c>
      <c r="K7319" s="21" t="s">
        <v>114</v>
      </c>
      <c r="L7319" t="e">
        <v>#VALUE!</v>
      </c>
      <c r="O7319" s="21" t="s">
        <v>114</v>
      </c>
      <c r="P7319" s="21" t="s">
        <v>114</v>
      </c>
      <c r="Q7319" s="262">
        <v>287000</v>
      </c>
      <c r="R7319" s="262">
        <v>1750000</v>
      </c>
      <c r="S7319" t="s">
        <v>13253</v>
      </c>
      <c r="T7319">
        <v>3151</v>
      </c>
      <c r="V7319">
        <v>2682</v>
      </c>
      <c r="W7319">
        <v>317</v>
      </c>
      <c r="X7319">
        <v>0</v>
      </c>
      <c r="AC7319">
        <v>317</v>
      </c>
      <c r="AU7319">
        <f t="shared" si="226"/>
        <v>0</v>
      </c>
      <c r="AV7319">
        <f t="shared" si="227"/>
        <v>0</v>
      </c>
    </row>
    <row r="7320" spans="1:48" x14ac:dyDescent="0.25">
      <c r="A7320" t="s">
        <v>16946</v>
      </c>
      <c r="B7320" t="s">
        <v>16946</v>
      </c>
      <c r="C7320" t="s">
        <v>16947</v>
      </c>
      <c r="D7320" t="s">
        <v>16948</v>
      </c>
      <c r="E7320" t="s">
        <v>2310</v>
      </c>
      <c r="F7320">
        <v>9</v>
      </c>
      <c r="G7320">
        <v>9.1999999999999993</v>
      </c>
      <c r="H7320" t="s">
        <v>2022</v>
      </c>
      <c r="I7320" s="21">
        <v>44771.48286478009</v>
      </c>
      <c r="J7320">
        <v>2022</v>
      </c>
      <c r="K7320" s="21" t="s">
        <v>114</v>
      </c>
      <c r="L7320" t="e">
        <v>#VALUE!</v>
      </c>
      <c r="O7320" s="21" t="s">
        <v>114</v>
      </c>
      <c r="P7320" s="21" t="s">
        <v>114</v>
      </c>
      <c r="Q7320" s="262">
        <v>611000</v>
      </c>
      <c r="R7320" s="262">
        <v>6600000</v>
      </c>
      <c r="S7320" t="s">
        <v>12464</v>
      </c>
      <c r="T7320">
        <v>4610</v>
      </c>
      <c r="U7320">
        <v>5</v>
      </c>
      <c r="V7320">
        <v>0</v>
      </c>
      <c r="W7320">
        <v>4888</v>
      </c>
      <c r="X7320">
        <v>0</v>
      </c>
      <c r="AC7320">
        <v>4888</v>
      </c>
      <c r="AU7320">
        <f t="shared" si="226"/>
        <v>0</v>
      </c>
      <c r="AV7320">
        <f t="shared" si="227"/>
        <v>0</v>
      </c>
    </row>
    <row r="7321" spans="1:48" x14ac:dyDescent="0.25">
      <c r="A7321" t="s">
        <v>16946</v>
      </c>
      <c r="D7321" t="s">
        <v>16948</v>
      </c>
      <c r="E7321" t="s">
        <v>2310</v>
      </c>
      <c r="F7321">
        <v>9</v>
      </c>
      <c r="G7321">
        <v>9.1999999999999993</v>
      </c>
      <c r="H7321" t="s">
        <v>2022</v>
      </c>
      <c r="I7321" s="21">
        <v>44771.48286478009</v>
      </c>
      <c r="J7321">
        <v>2022</v>
      </c>
      <c r="K7321" s="21" t="s">
        <v>114</v>
      </c>
      <c r="L7321" t="e">
        <v>#VALUE!</v>
      </c>
      <c r="Q7321" s="262">
        <v>611000</v>
      </c>
      <c r="R7321" s="262">
        <v>6600000</v>
      </c>
      <c r="S7321" t="s">
        <v>9529</v>
      </c>
      <c r="T7321">
        <v>4610</v>
      </c>
      <c r="U7321">
        <v>8</v>
      </c>
      <c r="W7321">
        <v>-576</v>
      </c>
      <c r="X7321">
        <v>-1</v>
      </c>
      <c r="Y7321">
        <v>0</v>
      </c>
      <c r="Z7321">
        <v>0</v>
      </c>
      <c r="AA7321">
        <v>0</v>
      </c>
      <c r="AB7321">
        <v>0</v>
      </c>
      <c r="AC7321">
        <v>0</v>
      </c>
      <c r="AD7321">
        <v>0</v>
      </c>
      <c r="AE7321">
        <v>0</v>
      </c>
      <c r="AF7321">
        <v>-576</v>
      </c>
      <c r="AG7321">
        <v>0</v>
      </c>
      <c r="AH7321">
        <v>0</v>
      </c>
      <c r="AI7321">
        <v>0</v>
      </c>
      <c r="AJ7321">
        <v>0</v>
      </c>
      <c r="AK7321">
        <v>0</v>
      </c>
      <c r="AL7321">
        <v>0</v>
      </c>
      <c r="AM7321">
        <v>0</v>
      </c>
      <c r="AN7321">
        <v>0</v>
      </c>
      <c r="AO7321">
        <v>0</v>
      </c>
      <c r="AP7321">
        <v>0</v>
      </c>
      <c r="AQ7321">
        <v>0</v>
      </c>
      <c r="AR7321">
        <v>-1</v>
      </c>
      <c r="AS7321">
        <v>0</v>
      </c>
      <c r="AT7321">
        <v>0</v>
      </c>
      <c r="AU7321">
        <f t="shared" ref="AU7321:AU7384" si="228">SUM(AN7321:AQ7321,AS7321)</f>
        <v>0</v>
      </c>
      <c r="AV7321">
        <f t="shared" ref="AV7321:AV7384" si="229">SUM(Y7321:AB7321,AH7321:AM7321)</f>
        <v>0</v>
      </c>
    </row>
    <row r="7322" spans="1:48" x14ac:dyDescent="0.25">
      <c r="A7322" t="s">
        <v>16949</v>
      </c>
      <c r="B7322" t="s">
        <v>16949</v>
      </c>
      <c r="C7322" t="s">
        <v>16950</v>
      </c>
      <c r="D7322" t="s">
        <v>16948</v>
      </c>
      <c r="E7322" t="s">
        <v>2310</v>
      </c>
      <c r="F7322">
        <v>9</v>
      </c>
      <c r="G7322">
        <v>9.1999999999999993</v>
      </c>
      <c r="H7322" t="s">
        <v>2022</v>
      </c>
      <c r="I7322" s="21">
        <v>44771.48933394676</v>
      </c>
      <c r="J7322">
        <v>2022</v>
      </c>
      <c r="K7322" s="21" t="s">
        <v>114</v>
      </c>
      <c r="L7322" t="e">
        <v>#VALUE!</v>
      </c>
      <c r="O7322" s="21" t="s">
        <v>114</v>
      </c>
      <c r="P7322" s="21" t="s">
        <v>114</v>
      </c>
      <c r="Q7322" s="262">
        <v>62000</v>
      </c>
      <c r="R7322" s="262">
        <v>250000</v>
      </c>
      <c r="S7322" t="s">
        <v>13253</v>
      </c>
      <c r="T7322">
        <v>4609</v>
      </c>
      <c r="V7322">
        <v>999</v>
      </c>
      <c r="W7322">
        <v>-827</v>
      </c>
      <c r="X7322">
        <v>0</v>
      </c>
      <c r="AC7322">
        <v>-1826</v>
      </c>
      <c r="AF7322">
        <v>999</v>
      </c>
      <c r="AO7322">
        <v>-1</v>
      </c>
      <c r="AR7322">
        <v>1</v>
      </c>
      <c r="AU7322">
        <f t="shared" si="228"/>
        <v>-1</v>
      </c>
      <c r="AV7322">
        <f t="shared" si="229"/>
        <v>0</v>
      </c>
    </row>
    <row r="7323" spans="1:48" x14ac:dyDescent="0.25">
      <c r="A7323" t="s">
        <v>16951</v>
      </c>
      <c r="C7323" t="s">
        <v>16952</v>
      </c>
      <c r="D7323" t="s">
        <v>3127</v>
      </c>
      <c r="E7323" t="s">
        <v>1663</v>
      </c>
      <c r="F7323">
        <v>2</v>
      </c>
      <c r="G7323">
        <v>2.2000000000000002</v>
      </c>
      <c r="H7323" t="s">
        <v>2327</v>
      </c>
      <c r="I7323" s="21">
        <v>44774</v>
      </c>
      <c r="J7323">
        <v>2022</v>
      </c>
      <c r="K7323" s="21">
        <v>44880</v>
      </c>
      <c r="L7323">
        <v>2022</v>
      </c>
      <c r="P7323" s="21" t="s">
        <v>114</v>
      </c>
      <c r="Q7323" s="262">
        <v>75000</v>
      </c>
      <c r="S7323" t="s">
        <v>13253</v>
      </c>
      <c r="T7323">
        <v>9621</v>
      </c>
      <c r="V7323">
        <v>3480</v>
      </c>
      <c r="W7323">
        <v>89</v>
      </c>
      <c r="X7323">
        <v>0</v>
      </c>
      <c r="AJ7323">
        <v>89</v>
      </c>
      <c r="AU7323">
        <f t="shared" si="228"/>
        <v>0</v>
      </c>
      <c r="AV7323">
        <f t="shared" si="229"/>
        <v>89</v>
      </c>
    </row>
    <row r="7324" spans="1:48" x14ac:dyDescent="0.25">
      <c r="A7324" t="s">
        <v>16953</v>
      </c>
      <c r="C7324" t="s">
        <v>16954</v>
      </c>
      <c r="D7324" t="s">
        <v>16955</v>
      </c>
      <c r="E7324" t="s">
        <v>1663</v>
      </c>
      <c r="F7324">
        <v>3</v>
      </c>
      <c r="G7324">
        <v>3.2</v>
      </c>
      <c r="H7324" t="s">
        <v>2327</v>
      </c>
      <c r="I7324" s="21">
        <v>44775</v>
      </c>
      <c r="J7324">
        <v>2022</v>
      </c>
      <c r="P7324" s="21" t="s">
        <v>114</v>
      </c>
      <c r="Q7324" s="262">
        <v>0</v>
      </c>
      <c r="S7324" t="s">
        <v>13253</v>
      </c>
      <c r="T7324">
        <v>10723</v>
      </c>
      <c r="W7324">
        <v>0</v>
      </c>
      <c r="X7324">
        <v>0</v>
      </c>
      <c r="AU7324">
        <f t="shared" si="228"/>
        <v>0</v>
      </c>
      <c r="AV7324">
        <f t="shared" si="229"/>
        <v>0</v>
      </c>
    </row>
    <row r="7325" spans="1:48" x14ac:dyDescent="0.25">
      <c r="A7325" t="s">
        <v>16956</v>
      </c>
      <c r="B7325" t="s">
        <v>16956</v>
      </c>
      <c r="C7325" t="s">
        <v>16957</v>
      </c>
      <c r="D7325" t="s">
        <v>5037</v>
      </c>
      <c r="E7325" t="s">
        <v>2310</v>
      </c>
      <c r="F7325">
        <v>9</v>
      </c>
      <c r="G7325">
        <v>9.1999999999999993</v>
      </c>
      <c r="H7325" t="s">
        <v>2022</v>
      </c>
      <c r="I7325" s="21">
        <v>44777.401252812502</v>
      </c>
      <c r="J7325">
        <v>2022</v>
      </c>
      <c r="K7325" s="21" t="s">
        <v>114</v>
      </c>
      <c r="L7325" t="e">
        <v>#VALUE!</v>
      </c>
      <c r="O7325" s="21" t="s">
        <v>114</v>
      </c>
      <c r="P7325" s="21" t="s">
        <v>114</v>
      </c>
      <c r="Q7325" s="262">
        <v>937000</v>
      </c>
      <c r="R7325" s="262">
        <v>6000000</v>
      </c>
      <c r="S7325" t="s">
        <v>13254</v>
      </c>
      <c r="U7325">
        <v>5</v>
      </c>
      <c r="V7325">
        <v>0</v>
      </c>
      <c r="W7325">
        <v>6656</v>
      </c>
      <c r="X7325">
        <v>0</v>
      </c>
      <c r="AC7325">
        <v>6656</v>
      </c>
      <c r="AU7325">
        <f t="shared" si="228"/>
        <v>0</v>
      </c>
      <c r="AV7325">
        <f t="shared" si="229"/>
        <v>0</v>
      </c>
    </row>
    <row r="7326" spans="1:48" x14ac:dyDescent="0.25">
      <c r="A7326" t="s">
        <v>16958</v>
      </c>
      <c r="B7326" t="s">
        <v>16958</v>
      </c>
      <c r="C7326" t="s">
        <v>16959</v>
      </c>
      <c r="D7326" t="s">
        <v>16960</v>
      </c>
      <c r="E7326" t="s">
        <v>2310</v>
      </c>
      <c r="F7326">
        <v>9</v>
      </c>
      <c r="G7326">
        <v>9.3000000000000007</v>
      </c>
      <c r="H7326" t="s">
        <v>2323</v>
      </c>
      <c r="I7326" s="21">
        <v>44777.628760300926</v>
      </c>
      <c r="J7326">
        <v>2022</v>
      </c>
      <c r="K7326" s="21" t="s">
        <v>114</v>
      </c>
      <c r="L7326" t="e">
        <v>#VALUE!</v>
      </c>
      <c r="O7326" s="21" t="s">
        <v>114</v>
      </c>
      <c r="P7326" s="21" t="s">
        <v>114</v>
      </c>
      <c r="Q7326" s="262">
        <v>270000</v>
      </c>
      <c r="R7326" s="262">
        <v>600000</v>
      </c>
      <c r="S7326" t="s">
        <v>13253</v>
      </c>
      <c r="T7326">
        <v>2172</v>
      </c>
      <c r="V7326">
        <v>0</v>
      </c>
      <c r="W7326">
        <v>3242</v>
      </c>
      <c r="X7326">
        <v>1</v>
      </c>
      <c r="AC7326">
        <v>2242</v>
      </c>
      <c r="AF7326">
        <v>1000</v>
      </c>
      <c r="AR7326">
        <v>1</v>
      </c>
      <c r="AU7326">
        <f t="shared" si="228"/>
        <v>0</v>
      </c>
      <c r="AV7326">
        <f t="shared" si="229"/>
        <v>0</v>
      </c>
    </row>
    <row r="7327" spans="1:48" x14ac:dyDescent="0.25">
      <c r="A7327" t="s">
        <v>16974</v>
      </c>
      <c r="C7327" t="s">
        <v>16975</v>
      </c>
      <c r="D7327" t="s">
        <v>12402</v>
      </c>
      <c r="E7327" t="s">
        <v>1663</v>
      </c>
      <c r="F7327">
        <v>2</v>
      </c>
      <c r="G7327">
        <v>2.2999999999999998</v>
      </c>
      <c r="H7327" t="s">
        <v>2327</v>
      </c>
      <c r="I7327" s="21">
        <v>44778</v>
      </c>
      <c r="J7327">
        <v>2022</v>
      </c>
      <c r="P7327" s="21" t="s">
        <v>114</v>
      </c>
      <c r="Q7327" s="262">
        <v>51800000</v>
      </c>
      <c r="S7327" t="s">
        <v>12464</v>
      </c>
      <c r="T7327" t="s">
        <v>16976</v>
      </c>
      <c r="U7327" t="s">
        <v>16977</v>
      </c>
      <c r="W7327">
        <v>73354</v>
      </c>
      <c r="X7327">
        <v>18</v>
      </c>
      <c r="AI7327">
        <v>62994</v>
      </c>
      <c r="AK7327">
        <v>10360</v>
      </c>
      <c r="AT7327">
        <v>18</v>
      </c>
      <c r="AU7327">
        <f t="shared" si="228"/>
        <v>0</v>
      </c>
      <c r="AV7327">
        <f t="shared" si="229"/>
        <v>73354</v>
      </c>
    </row>
    <row r="7328" spans="1:48" x14ac:dyDescent="0.25">
      <c r="A7328" t="s">
        <v>16974</v>
      </c>
      <c r="C7328" t="s">
        <v>16975</v>
      </c>
      <c r="D7328" t="s">
        <v>19718</v>
      </c>
      <c r="E7328" t="s">
        <v>1663</v>
      </c>
      <c r="F7328">
        <v>2</v>
      </c>
      <c r="G7328">
        <v>2.2999999999999998</v>
      </c>
      <c r="H7328" t="s">
        <v>2327</v>
      </c>
      <c r="I7328" s="21">
        <v>44778</v>
      </c>
      <c r="J7328">
        <v>2022</v>
      </c>
      <c r="Q7328" s="262">
        <v>51800000</v>
      </c>
      <c r="S7328" t="s">
        <v>9529</v>
      </c>
      <c r="T7328">
        <v>9928</v>
      </c>
      <c r="U7328">
        <v>18</v>
      </c>
      <c r="W7328">
        <v>-9515</v>
      </c>
      <c r="X7328">
        <v>-24</v>
      </c>
      <c r="Y7328">
        <v>0</v>
      </c>
      <c r="Z7328">
        <v>0</v>
      </c>
      <c r="AA7328">
        <v>0</v>
      </c>
      <c r="AB7328">
        <v>0</v>
      </c>
      <c r="AC7328">
        <v>0</v>
      </c>
      <c r="AD7328">
        <v>0</v>
      </c>
      <c r="AE7328">
        <v>0</v>
      </c>
      <c r="AF7328">
        <v>0</v>
      </c>
      <c r="AG7328">
        <v>0</v>
      </c>
      <c r="AH7328">
        <v>-2986</v>
      </c>
      <c r="AI7328">
        <v>-6529</v>
      </c>
      <c r="AJ7328">
        <v>0</v>
      </c>
      <c r="AK7328">
        <v>0</v>
      </c>
      <c r="AL7328">
        <v>0</v>
      </c>
      <c r="AM7328">
        <v>0</v>
      </c>
      <c r="AN7328">
        <v>0</v>
      </c>
      <c r="AO7328">
        <v>0</v>
      </c>
      <c r="AP7328">
        <v>0</v>
      </c>
      <c r="AQ7328">
        <v>0</v>
      </c>
      <c r="AR7328">
        <v>0</v>
      </c>
      <c r="AS7328">
        <v>0</v>
      </c>
      <c r="AT7328">
        <v>-24</v>
      </c>
      <c r="AU7328">
        <f t="shared" si="228"/>
        <v>0</v>
      </c>
      <c r="AV7328">
        <f t="shared" si="229"/>
        <v>-9515</v>
      </c>
    </row>
    <row r="7329" spans="1:48" x14ac:dyDescent="0.25">
      <c r="A7329" t="s">
        <v>16974</v>
      </c>
      <c r="C7329" t="s">
        <v>16975</v>
      </c>
      <c r="D7329" t="s">
        <v>12402</v>
      </c>
      <c r="E7329" t="s">
        <v>1663</v>
      </c>
      <c r="F7329">
        <v>2</v>
      </c>
      <c r="G7329">
        <v>2.2999999999999998</v>
      </c>
      <c r="H7329" t="s">
        <v>2327</v>
      </c>
      <c r="I7329" s="21">
        <v>44778</v>
      </c>
      <c r="J7329">
        <v>2022</v>
      </c>
      <c r="Q7329" s="262">
        <v>51800000</v>
      </c>
      <c r="S7329" t="s">
        <v>9529</v>
      </c>
      <c r="T7329">
        <v>9929</v>
      </c>
      <c r="U7329">
        <v>18</v>
      </c>
      <c r="W7329">
        <v>-10376</v>
      </c>
      <c r="X7329">
        <v>0</v>
      </c>
      <c r="Y7329">
        <v>0</v>
      </c>
      <c r="Z7329">
        <v>0</v>
      </c>
      <c r="AA7329">
        <v>0</v>
      </c>
      <c r="AB7329">
        <v>0</v>
      </c>
      <c r="AC7329">
        <v>0</v>
      </c>
      <c r="AD7329">
        <v>0</v>
      </c>
      <c r="AE7329">
        <v>0</v>
      </c>
      <c r="AF7329">
        <v>0</v>
      </c>
      <c r="AG7329">
        <v>0</v>
      </c>
      <c r="AH7329">
        <v>0</v>
      </c>
      <c r="AI7329">
        <v>0</v>
      </c>
      <c r="AJ7329">
        <v>-2792</v>
      </c>
      <c r="AK7329">
        <v>-7584</v>
      </c>
      <c r="AL7329">
        <v>0</v>
      </c>
      <c r="AM7329">
        <v>0</v>
      </c>
      <c r="AN7329">
        <v>0</v>
      </c>
      <c r="AO7329">
        <v>0</v>
      </c>
      <c r="AP7329">
        <v>0</v>
      </c>
      <c r="AQ7329">
        <v>0</v>
      </c>
      <c r="AR7329">
        <v>0</v>
      </c>
      <c r="AS7329">
        <v>0</v>
      </c>
      <c r="AT7329">
        <v>0</v>
      </c>
      <c r="AU7329">
        <f t="shared" si="228"/>
        <v>0</v>
      </c>
      <c r="AV7329">
        <f t="shared" si="229"/>
        <v>-10376</v>
      </c>
    </row>
    <row r="7330" spans="1:48" x14ac:dyDescent="0.25">
      <c r="A7330" t="s">
        <v>16974</v>
      </c>
      <c r="C7330" t="s">
        <v>16975</v>
      </c>
      <c r="D7330" t="s">
        <v>12402</v>
      </c>
      <c r="E7330" t="s">
        <v>1663</v>
      </c>
      <c r="F7330">
        <v>2</v>
      </c>
      <c r="G7330">
        <v>2.2999999999999998</v>
      </c>
      <c r="H7330" t="s">
        <v>2327</v>
      </c>
      <c r="I7330" s="21">
        <v>44778</v>
      </c>
      <c r="J7330">
        <v>2022</v>
      </c>
      <c r="Q7330" s="262">
        <v>51800000</v>
      </c>
      <c r="S7330" t="s">
        <v>9529</v>
      </c>
      <c r="T7330">
        <v>9930</v>
      </c>
      <c r="U7330">
        <v>18</v>
      </c>
      <c r="W7330">
        <v>-12176</v>
      </c>
      <c r="X7330">
        <v>-24</v>
      </c>
      <c r="Y7330">
        <v>0</v>
      </c>
      <c r="Z7330">
        <v>0</v>
      </c>
      <c r="AA7330">
        <v>0</v>
      </c>
      <c r="AB7330">
        <v>0</v>
      </c>
      <c r="AC7330">
        <v>0</v>
      </c>
      <c r="AD7330">
        <v>0</v>
      </c>
      <c r="AE7330">
        <v>0</v>
      </c>
      <c r="AF7330">
        <v>0</v>
      </c>
      <c r="AG7330">
        <v>0</v>
      </c>
      <c r="AH7330">
        <v>0</v>
      </c>
      <c r="AI7330">
        <v>-9368</v>
      </c>
      <c r="AJ7330">
        <v>0</v>
      </c>
      <c r="AK7330">
        <v>-2808</v>
      </c>
      <c r="AL7330">
        <v>0</v>
      </c>
      <c r="AM7330">
        <v>0</v>
      </c>
      <c r="AN7330">
        <v>0</v>
      </c>
      <c r="AO7330">
        <v>0</v>
      </c>
      <c r="AP7330">
        <v>0</v>
      </c>
      <c r="AQ7330">
        <v>0</v>
      </c>
      <c r="AR7330">
        <v>0</v>
      </c>
      <c r="AS7330">
        <v>0</v>
      </c>
      <c r="AT7330">
        <v>-24</v>
      </c>
      <c r="AU7330">
        <f t="shared" si="228"/>
        <v>0</v>
      </c>
      <c r="AV7330">
        <f t="shared" si="229"/>
        <v>-12176</v>
      </c>
    </row>
    <row r="7331" spans="1:48" x14ac:dyDescent="0.25">
      <c r="A7331" t="s">
        <v>16974</v>
      </c>
      <c r="C7331" t="s">
        <v>16975</v>
      </c>
      <c r="D7331" t="s">
        <v>12402</v>
      </c>
      <c r="E7331" t="s">
        <v>1663</v>
      </c>
      <c r="F7331">
        <v>2</v>
      </c>
      <c r="G7331">
        <v>2.2999999999999998</v>
      </c>
      <c r="H7331" t="s">
        <v>2327</v>
      </c>
      <c r="I7331" s="21">
        <v>44778</v>
      </c>
      <c r="J7331">
        <v>2022</v>
      </c>
      <c r="Q7331" s="262">
        <v>51800000</v>
      </c>
      <c r="S7331" t="s">
        <v>9529</v>
      </c>
      <c r="T7331">
        <v>9931</v>
      </c>
      <c r="U7331">
        <v>11</v>
      </c>
      <c r="W7331">
        <v>-11700</v>
      </c>
      <c r="X7331">
        <v>-20</v>
      </c>
      <c r="Y7331">
        <v>0</v>
      </c>
      <c r="Z7331">
        <v>0</v>
      </c>
      <c r="AA7331">
        <v>0</v>
      </c>
      <c r="AB7331">
        <v>0</v>
      </c>
      <c r="AC7331">
        <v>0</v>
      </c>
      <c r="AD7331">
        <v>0</v>
      </c>
      <c r="AE7331">
        <v>0</v>
      </c>
      <c r="AF7331">
        <v>0</v>
      </c>
      <c r="AG7331">
        <v>0</v>
      </c>
      <c r="AH7331">
        <v>0</v>
      </c>
      <c r="AI7331">
        <v>-11700</v>
      </c>
      <c r="AJ7331">
        <v>0</v>
      </c>
      <c r="AK7331">
        <v>0</v>
      </c>
      <c r="AL7331">
        <v>0</v>
      </c>
      <c r="AM7331">
        <v>0</v>
      </c>
      <c r="AN7331">
        <v>0</v>
      </c>
      <c r="AO7331">
        <v>0</v>
      </c>
      <c r="AP7331">
        <v>0</v>
      </c>
      <c r="AQ7331">
        <v>0</v>
      </c>
      <c r="AR7331">
        <v>0</v>
      </c>
      <c r="AS7331">
        <v>0</v>
      </c>
      <c r="AT7331">
        <v>-20</v>
      </c>
      <c r="AU7331">
        <f t="shared" si="228"/>
        <v>0</v>
      </c>
      <c r="AV7331">
        <f t="shared" si="229"/>
        <v>-11700</v>
      </c>
    </row>
    <row r="7332" spans="1:48" x14ac:dyDescent="0.25">
      <c r="A7332" t="s">
        <v>16974</v>
      </c>
      <c r="C7332" t="s">
        <v>16975</v>
      </c>
      <c r="D7332" t="s">
        <v>19719</v>
      </c>
      <c r="E7332" t="s">
        <v>1663</v>
      </c>
      <c r="F7332">
        <v>2</v>
      </c>
      <c r="G7332">
        <v>2.2999999999999998</v>
      </c>
      <c r="H7332" t="s">
        <v>2327</v>
      </c>
      <c r="I7332" s="21">
        <v>44778</v>
      </c>
      <c r="J7332">
        <v>2022</v>
      </c>
      <c r="Q7332" s="262">
        <v>51800000</v>
      </c>
      <c r="S7332" t="s">
        <v>9529</v>
      </c>
      <c r="T7332">
        <v>9932</v>
      </c>
      <c r="U7332">
        <v>13</v>
      </c>
      <c r="W7332">
        <v>-3113</v>
      </c>
      <c r="X7332">
        <v>0</v>
      </c>
      <c r="Y7332">
        <v>0</v>
      </c>
      <c r="Z7332">
        <v>0</v>
      </c>
      <c r="AA7332">
        <v>0</v>
      </c>
      <c r="AB7332">
        <v>0</v>
      </c>
      <c r="AC7332">
        <v>0</v>
      </c>
      <c r="AD7332">
        <v>0</v>
      </c>
      <c r="AE7332">
        <v>0</v>
      </c>
      <c r="AF7332">
        <v>0</v>
      </c>
      <c r="AG7332">
        <v>0</v>
      </c>
      <c r="AH7332">
        <v>0</v>
      </c>
      <c r="AI7332">
        <v>0</v>
      </c>
      <c r="AJ7332">
        <v>0</v>
      </c>
      <c r="AK7332">
        <v>-3113</v>
      </c>
      <c r="AL7332">
        <v>0</v>
      </c>
      <c r="AM7332">
        <v>0</v>
      </c>
      <c r="AN7332">
        <v>0</v>
      </c>
      <c r="AO7332">
        <v>0</v>
      </c>
      <c r="AP7332">
        <v>0</v>
      </c>
      <c r="AQ7332">
        <v>0</v>
      </c>
      <c r="AR7332">
        <v>0</v>
      </c>
      <c r="AS7332">
        <v>0</v>
      </c>
      <c r="AT7332">
        <v>0</v>
      </c>
      <c r="AU7332">
        <f t="shared" si="228"/>
        <v>0</v>
      </c>
      <c r="AV7332">
        <f t="shared" si="229"/>
        <v>-3113</v>
      </c>
    </row>
    <row r="7333" spans="1:48" x14ac:dyDescent="0.25">
      <c r="A7333" t="s">
        <v>16978</v>
      </c>
      <c r="B7333" t="s">
        <v>16978</v>
      </c>
      <c r="C7333" t="s">
        <v>16979</v>
      </c>
      <c r="D7333" t="s">
        <v>15663</v>
      </c>
      <c r="E7333" t="s">
        <v>2310</v>
      </c>
      <c r="F7333">
        <v>8</v>
      </c>
      <c r="G7333">
        <v>8.3000000000000007</v>
      </c>
      <c r="H7333" t="s">
        <v>2323</v>
      </c>
      <c r="I7333" s="21">
        <v>44778.395681249996</v>
      </c>
      <c r="J7333">
        <v>2022</v>
      </c>
      <c r="K7333" s="21" t="s">
        <v>114</v>
      </c>
      <c r="L7333" t="e">
        <v>#VALUE!</v>
      </c>
      <c r="O7333" s="21" t="s">
        <v>114</v>
      </c>
      <c r="P7333" s="21" t="s">
        <v>114</v>
      </c>
      <c r="Q7333" s="262">
        <v>89000</v>
      </c>
      <c r="R7333" s="262">
        <v>850000</v>
      </c>
      <c r="S7333" t="s">
        <v>13254</v>
      </c>
      <c r="U7333">
        <v>5</v>
      </c>
      <c r="V7333">
        <v>0</v>
      </c>
      <c r="W7333">
        <v>1460</v>
      </c>
      <c r="X7333">
        <v>0</v>
      </c>
      <c r="AC7333">
        <v>1460</v>
      </c>
      <c r="AU7333">
        <f t="shared" si="228"/>
        <v>0</v>
      </c>
      <c r="AV7333">
        <f t="shared" si="229"/>
        <v>0</v>
      </c>
    </row>
    <row r="7334" spans="1:48" x14ac:dyDescent="0.25">
      <c r="A7334" t="s">
        <v>16980</v>
      </c>
      <c r="C7334" t="s">
        <v>11246</v>
      </c>
      <c r="D7334" t="s">
        <v>16981</v>
      </c>
      <c r="E7334" t="s">
        <v>1663</v>
      </c>
      <c r="F7334">
        <v>3</v>
      </c>
      <c r="G7334">
        <v>3.1</v>
      </c>
      <c r="H7334" t="s">
        <v>2017</v>
      </c>
      <c r="I7334" s="21">
        <v>44782</v>
      </c>
      <c r="J7334">
        <v>2022</v>
      </c>
      <c r="K7334" s="21">
        <v>44789</v>
      </c>
      <c r="L7334">
        <v>2022</v>
      </c>
      <c r="P7334" s="21" t="s">
        <v>114</v>
      </c>
      <c r="Q7334" s="262">
        <v>3000000</v>
      </c>
      <c r="S7334" t="s">
        <v>12464</v>
      </c>
      <c r="T7334">
        <v>9763</v>
      </c>
      <c r="W7334">
        <v>3417</v>
      </c>
      <c r="X7334">
        <v>1</v>
      </c>
      <c r="AC7334">
        <v>3417</v>
      </c>
      <c r="AO7334">
        <v>1</v>
      </c>
      <c r="AU7334">
        <f t="shared" si="228"/>
        <v>1</v>
      </c>
      <c r="AV7334">
        <f t="shared" si="229"/>
        <v>0</v>
      </c>
    </row>
    <row r="7335" spans="1:48" x14ac:dyDescent="0.25">
      <c r="A7335" t="s">
        <v>16980</v>
      </c>
      <c r="C7335" t="s">
        <v>11246</v>
      </c>
      <c r="D7335" t="s">
        <v>16981</v>
      </c>
      <c r="E7335" t="s">
        <v>1663</v>
      </c>
      <c r="F7335">
        <v>3</v>
      </c>
      <c r="G7335">
        <v>3.1</v>
      </c>
      <c r="H7335" t="s">
        <v>2017</v>
      </c>
      <c r="I7335" s="21">
        <v>44782</v>
      </c>
      <c r="J7335">
        <v>2022</v>
      </c>
      <c r="K7335" s="21">
        <v>44789</v>
      </c>
      <c r="L7335">
        <v>2022</v>
      </c>
      <c r="Q7335" s="262">
        <v>3000000</v>
      </c>
      <c r="S7335" t="s">
        <v>9529</v>
      </c>
      <c r="T7335">
        <v>9763</v>
      </c>
      <c r="U7335">
        <v>5</v>
      </c>
      <c r="W7335">
        <v>-1850</v>
      </c>
      <c r="X7335">
        <v>-1</v>
      </c>
      <c r="Y7335">
        <v>0</v>
      </c>
      <c r="Z7335">
        <v>0</v>
      </c>
      <c r="AA7335">
        <v>0</v>
      </c>
      <c r="AB7335">
        <v>0</v>
      </c>
      <c r="AC7335">
        <v>-1850</v>
      </c>
      <c r="AD7335">
        <v>0</v>
      </c>
      <c r="AE7335">
        <v>0</v>
      </c>
      <c r="AF7335">
        <v>0</v>
      </c>
      <c r="AG7335">
        <v>0</v>
      </c>
      <c r="AH7335">
        <v>0</v>
      </c>
      <c r="AI7335">
        <v>0</v>
      </c>
      <c r="AJ7335">
        <v>0</v>
      </c>
      <c r="AK7335">
        <v>0</v>
      </c>
      <c r="AL7335">
        <v>0</v>
      </c>
      <c r="AM7335">
        <v>0</v>
      </c>
      <c r="AN7335">
        <v>0</v>
      </c>
      <c r="AO7335">
        <v>-1</v>
      </c>
      <c r="AP7335">
        <v>0</v>
      </c>
      <c r="AQ7335">
        <v>0</v>
      </c>
      <c r="AR7335">
        <v>0</v>
      </c>
      <c r="AS7335">
        <v>0</v>
      </c>
      <c r="AT7335">
        <v>0</v>
      </c>
      <c r="AU7335">
        <f t="shared" si="228"/>
        <v>-1</v>
      </c>
      <c r="AV7335">
        <f t="shared" si="229"/>
        <v>0</v>
      </c>
    </row>
    <row r="7336" spans="1:48" x14ac:dyDescent="0.25">
      <c r="A7336" t="s">
        <v>16984</v>
      </c>
      <c r="C7336" t="s">
        <v>16985</v>
      </c>
      <c r="D7336" t="s">
        <v>3234</v>
      </c>
      <c r="E7336" t="s">
        <v>1663</v>
      </c>
      <c r="F7336">
        <v>2</v>
      </c>
      <c r="G7336">
        <v>2.4</v>
      </c>
      <c r="H7336" t="s">
        <v>2017</v>
      </c>
      <c r="I7336" s="21">
        <v>44782</v>
      </c>
      <c r="J7336">
        <v>2022</v>
      </c>
      <c r="K7336" s="21">
        <v>44837</v>
      </c>
      <c r="L7336">
        <v>2022</v>
      </c>
      <c r="P7336" s="21" t="s">
        <v>114</v>
      </c>
      <c r="Q7336" s="262">
        <v>0</v>
      </c>
      <c r="S7336" t="s">
        <v>13253</v>
      </c>
      <c r="T7336">
        <v>14501</v>
      </c>
      <c r="W7336">
        <v>-1680</v>
      </c>
      <c r="X7336">
        <v>-2</v>
      </c>
      <c r="AE7336">
        <v>-1680</v>
      </c>
      <c r="AQ7336">
        <v>-2</v>
      </c>
      <c r="AU7336">
        <f t="shared" si="228"/>
        <v>-2</v>
      </c>
      <c r="AV7336">
        <f t="shared" si="229"/>
        <v>0</v>
      </c>
    </row>
    <row r="7337" spans="1:48" x14ac:dyDescent="0.25">
      <c r="A7337" t="s">
        <v>16984</v>
      </c>
      <c r="C7337" t="s">
        <v>16985</v>
      </c>
      <c r="D7337" t="s">
        <v>3234</v>
      </c>
      <c r="E7337" t="s">
        <v>1663</v>
      </c>
      <c r="F7337">
        <v>2</v>
      </c>
      <c r="G7337">
        <v>2.4</v>
      </c>
      <c r="H7337" t="s">
        <v>2017</v>
      </c>
      <c r="I7337" s="21">
        <v>44782</v>
      </c>
      <c r="J7337">
        <v>2022</v>
      </c>
      <c r="K7337" s="21">
        <v>44837</v>
      </c>
      <c r="L7337">
        <v>2022</v>
      </c>
      <c r="P7337" s="21" t="s">
        <v>114</v>
      </c>
      <c r="Q7337" s="262">
        <v>0</v>
      </c>
      <c r="S7337" t="s">
        <v>13254</v>
      </c>
      <c r="W7337">
        <v>1680</v>
      </c>
      <c r="X7337">
        <v>2</v>
      </c>
      <c r="AE7337">
        <v>1680</v>
      </c>
      <c r="AQ7337">
        <v>2</v>
      </c>
      <c r="AU7337">
        <f t="shared" si="228"/>
        <v>2</v>
      </c>
      <c r="AV7337">
        <f t="shared" si="229"/>
        <v>0</v>
      </c>
    </row>
    <row r="7338" spans="1:48" x14ac:dyDescent="0.25">
      <c r="A7338" t="s">
        <v>16986</v>
      </c>
      <c r="C7338" t="s">
        <v>16987</v>
      </c>
      <c r="D7338" t="s">
        <v>3234</v>
      </c>
      <c r="E7338" t="s">
        <v>1663</v>
      </c>
      <c r="F7338">
        <v>2</v>
      </c>
      <c r="G7338">
        <v>2.4</v>
      </c>
      <c r="H7338" t="s">
        <v>2017</v>
      </c>
      <c r="I7338" s="21">
        <v>44782</v>
      </c>
      <c r="J7338">
        <v>2022</v>
      </c>
      <c r="K7338" s="21">
        <v>44838</v>
      </c>
      <c r="L7338">
        <v>2022</v>
      </c>
      <c r="P7338" s="21" t="s">
        <v>114</v>
      </c>
      <c r="Q7338" s="262">
        <v>0</v>
      </c>
      <c r="S7338" t="s">
        <v>13254</v>
      </c>
      <c r="W7338">
        <v>1680</v>
      </c>
      <c r="X7338">
        <v>2</v>
      </c>
      <c r="AE7338">
        <v>1680</v>
      </c>
      <c r="AQ7338">
        <v>2</v>
      </c>
      <c r="AU7338">
        <f t="shared" si="228"/>
        <v>2</v>
      </c>
      <c r="AV7338">
        <f t="shared" si="229"/>
        <v>0</v>
      </c>
    </row>
    <row r="7339" spans="1:48" x14ac:dyDescent="0.25">
      <c r="A7339" t="s">
        <v>15178</v>
      </c>
      <c r="C7339" t="s">
        <v>13129</v>
      </c>
      <c r="D7339" t="s">
        <v>15179</v>
      </c>
      <c r="E7339" t="s">
        <v>1663</v>
      </c>
      <c r="F7339">
        <v>2</v>
      </c>
      <c r="G7339">
        <v>2.2999999999999998</v>
      </c>
      <c r="H7339" t="s">
        <v>2327</v>
      </c>
      <c r="I7339" s="21">
        <v>44783</v>
      </c>
      <c r="J7339">
        <v>2022</v>
      </c>
      <c r="K7339" s="21">
        <v>44802</v>
      </c>
      <c r="L7339">
        <v>2022</v>
      </c>
      <c r="M7339" s="21">
        <v>44887</v>
      </c>
      <c r="N7339">
        <v>2022</v>
      </c>
      <c r="P7339" s="21" t="s">
        <v>114</v>
      </c>
      <c r="Q7339" s="262">
        <v>6000</v>
      </c>
      <c r="S7339" t="s">
        <v>13253</v>
      </c>
      <c r="T7339">
        <v>14919</v>
      </c>
      <c r="V7339">
        <v>1557</v>
      </c>
      <c r="W7339">
        <v>0</v>
      </c>
      <c r="X7339">
        <v>0</v>
      </c>
      <c r="AU7339">
        <f t="shared" si="228"/>
        <v>0</v>
      </c>
      <c r="AV7339">
        <f t="shared" si="229"/>
        <v>0</v>
      </c>
    </row>
    <row r="7340" spans="1:48" x14ac:dyDescent="0.25">
      <c r="A7340" t="s">
        <v>16990</v>
      </c>
      <c r="C7340" t="s">
        <v>16991</v>
      </c>
      <c r="D7340" t="s">
        <v>16992</v>
      </c>
      <c r="E7340" t="s">
        <v>1663</v>
      </c>
      <c r="F7340">
        <v>3</v>
      </c>
      <c r="G7340">
        <v>3.2</v>
      </c>
      <c r="H7340" t="s">
        <v>2327</v>
      </c>
      <c r="I7340" s="21">
        <v>44784</v>
      </c>
      <c r="J7340">
        <v>2022</v>
      </c>
      <c r="P7340" s="21" t="s">
        <v>114</v>
      </c>
      <c r="Q7340" s="262">
        <v>3250000</v>
      </c>
      <c r="S7340" t="s">
        <v>12464</v>
      </c>
      <c r="T7340">
        <v>11517</v>
      </c>
      <c r="W7340">
        <v>8008</v>
      </c>
      <c r="X7340">
        <v>7</v>
      </c>
      <c r="AE7340">
        <v>8008</v>
      </c>
      <c r="AQ7340">
        <v>7</v>
      </c>
      <c r="AU7340">
        <f t="shared" si="228"/>
        <v>7</v>
      </c>
      <c r="AV7340">
        <f t="shared" si="229"/>
        <v>0</v>
      </c>
    </row>
    <row r="7341" spans="1:48" x14ac:dyDescent="0.25">
      <c r="A7341" t="s">
        <v>16990</v>
      </c>
      <c r="C7341" t="s">
        <v>16991</v>
      </c>
      <c r="D7341" t="s">
        <v>16992</v>
      </c>
      <c r="E7341" t="s">
        <v>1663</v>
      </c>
      <c r="F7341">
        <v>3</v>
      </c>
      <c r="G7341">
        <v>3.2</v>
      </c>
      <c r="H7341" t="s">
        <v>2327</v>
      </c>
      <c r="I7341" s="21">
        <v>44784</v>
      </c>
      <c r="J7341">
        <v>2022</v>
      </c>
      <c r="Q7341" s="262">
        <v>3250000</v>
      </c>
      <c r="S7341" t="s">
        <v>9529</v>
      </c>
      <c r="T7341">
        <v>11517</v>
      </c>
      <c r="U7341">
        <v>5</v>
      </c>
      <c r="W7341">
        <v>-2640</v>
      </c>
      <c r="X7341">
        <v>-2</v>
      </c>
      <c r="Y7341">
        <v>0</v>
      </c>
      <c r="Z7341">
        <v>0</v>
      </c>
      <c r="AA7341">
        <v>0</v>
      </c>
      <c r="AB7341">
        <v>0</v>
      </c>
      <c r="AC7341">
        <v>-1320</v>
      </c>
      <c r="AD7341">
        <v>0</v>
      </c>
      <c r="AE7341">
        <v>-1320</v>
      </c>
      <c r="AF7341">
        <v>0</v>
      </c>
      <c r="AG7341">
        <v>0</v>
      </c>
      <c r="AH7341">
        <v>0</v>
      </c>
      <c r="AI7341">
        <v>0</v>
      </c>
      <c r="AJ7341">
        <v>0</v>
      </c>
      <c r="AK7341">
        <v>0</v>
      </c>
      <c r="AL7341">
        <v>0</v>
      </c>
      <c r="AM7341">
        <v>0</v>
      </c>
      <c r="AN7341">
        <v>0</v>
      </c>
      <c r="AO7341">
        <v>-1</v>
      </c>
      <c r="AP7341">
        <v>0</v>
      </c>
      <c r="AQ7341">
        <v>-1</v>
      </c>
      <c r="AR7341">
        <v>0</v>
      </c>
      <c r="AS7341">
        <v>0</v>
      </c>
      <c r="AT7341">
        <v>0</v>
      </c>
      <c r="AU7341">
        <f t="shared" si="228"/>
        <v>-2</v>
      </c>
      <c r="AV7341">
        <f t="shared" si="229"/>
        <v>0</v>
      </c>
    </row>
    <row r="7342" spans="1:48" x14ac:dyDescent="0.25">
      <c r="A7342" t="s">
        <v>16996</v>
      </c>
      <c r="B7342" t="s">
        <v>16996</v>
      </c>
      <c r="C7342" t="s">
        <v>16997</v>
      </c>
      <c r="D7342" t="s">
        <v>16998</v>
      </c>
      <c r="E7342" t="s">
        <v>2310</v>
      </c>
      <c r="F7342">
        <v>8</v>
      </c>
      <c r="G7342">
        <v>8.1</v>
      </c>
      <c r="H7342" t="s">
        <v>2323</v>
      </c>
      <c r="I7342" s="21">
        <v>44784.435252511576</v>
      </c>
      <c r="J7342">
        <v>2022</v>
      </c>
      <c r="K7342" s="21" t="s">
        <v>114</v>
      </c>
      <c r="L7342" t="e">
        <v>#VALUE!</v>
      </c>
      <c r="O7342" s="21" t="s">
        <v>114</v>
      </c>
      <c r="P7342" s="21" t="s">
        <v>114</v>
      </c>
      <c r="Q7342" s="262">
        <v>351000</v>
      </c>
      <c r="R7342" s="262">
        <v>3100000</v>
      </c>
      <c r="S7342" t="s">
        <v>13253</v>
      </c>
      <c r="T7342">
        <v>5853</v>
      </c>
      <c r="V7342">
        <v>880.23</v>
      </c>
      <c r="W7342">
        <v>2358.2199999999998</v>
      </c>
      <c r="X7342">
        <v>0</v>
      </c>
      <c r="AC7342">
        <v>2358.2199999999998</v>
      </c>
      <c r="AU7342">
        <f t="shared" si="228"/>
        <v>0</v>
      </c>
      <c r="AV7342">
        <f t="shared" si="229"/>
        <v>0</v>
      </c>
    </row>
    <row r="7343" spans="1:48" x14ac:dyDescent="0.25">
      <c r="A7343" t="s">
        <v>16999</v>
      </c>
      <c r="B7343" t="s">
        <v>16999</v>
      </c>
      <c r="C7343" t="s">
        <v>17000</v>
      </c>
      <c r="D7343" t="s">
        <v>11952</v>
      </c>
      <c r="E7343" t="s">
        <v>2310</v>
      </c>
      <c r="F7343">
        <v>13</v>
      </c>
      <c r="G7343">
        <v>13.3</v>
      </c>
      <c r="H7343" t="s">
        <v>2017</v>
      </c>
      <c r="I7343" s="21">
        <v>44784.469378935188</v>
      </c>
      <c r="J7343">
        <v>2022</v>
      </c>
      <c r="K7343" s="21" t="s">
        <v>114</v>
      </c>
      <c r="L7343" t="e">
        <v>#VALUE!</v>
      </c>
      <c r="O7343" s="21" t="s">
        <v>114</v>
      </c>
      <c r="P7343" s="21" t="s">
        <v>114</v>
      </c>
      <c r="Q7343" s="262">
        <v>211000</v>
      </c>
      <c r="R7343" s="262">
        <v>750000</v>
      </c>
      <c r="S7343" t="s">
        <v>13254</v>
      </c>
      <c r="U7343">
        <v>5</v>
      </c>
      <c r="V7343">
        <v>0</v>
      </c>
      <c r="W7343">
        <v>1332</v>
      </c>
      <c r="X7343">
        <v>0</v>
      </c>
      <c r="AC7343">
        <v>1332</v>
      </c>
      <c r="AU7343">
        <f t="shared" si="228"/>
        <v>0</v>
      </c>
      <c r="AV7343">
        <f t="shared" si="229"/>
        <v>0</v>
      </c>
    </row>
    <row r="7344" spans="1:48" x14ac:dyDescent="0.25">
      <c r="A7344" t="s">
        <v>17001</v>
      </c>
      <c r="B7344" t="s">
        <v>17001</v>
      </c>
      <c r="C7344" t="s">
        <v>17002</v>
      </c>
      <c r="D7344" t="s">
        <v>17003</v>
      </c>
      <c r="E7344" t="s">
        <v>2310</v>
      </c>
      <c r="F7344">
        <v>9</v>
      </c>
      <c r="G7344">
        <v>9.4</v>
      </c>
      <c r="H7344" t="s">
        <v>2323</v>
      </c>
      <c r="I7344" s="21">
        <v>44784.604859178238</v>
      </c>
      <c r="J7344">
        <v>2022</v>
      </c>
      <c r="K7344" s="21" t="s">
        <v>114</v>
      </c>
      <c r="L7344" t="e">
        <v>#VALUE!</v>
      </c>
      <c r="O7344" s="21" t="s">
        <v>114</v>
      </c>
      <c r="P7344" s="21" t="s">
        <v>114</v>
      </c>
      <c r="Q7344" s="262">
        <v>40000</v>
      </c>
      <c r="R7344" s="262">
        <v>227000</v>
      </c>
      <c r="S7344" t="s">
        <v>13253</v>
      </c>
      <c r="T7344">
        <v>2949</v>
      </c>
      <c r="V7344">
        <v>350</v>
      </c>
      <c r="W7344">
        <v>0</v>
      </c>
      <c r="X7344">
        <v>0</v>
      </c>
      <c r="AC7344">
        <v>0</v>
      </c>
      <c r="AU7344">
        <f t="shared" si="228"/>
        <v>0</v>
      </c>
      <c r="AV7344">
        <f t="shared" si="229"/>
        <v>0</v>
      </c>
    </row>
    <row r="7345" spans="1:48" x14ac:dyDescent="0.25">
      <c r="A7345" t="s">
        <v>17004</v>
      </c>
      <c r="B7345" t="s">
        <v>17004</v>
      </c>
      <c r="C7345" t="s">
        <v>17005</v>
      </c>
      <c r="D7345" t="s">
        <v>17006</v>
      </c>
      <c r="E7345" t="s">
        <v>2310</v>
      </c>
      <c r="F7345">
        <v>15</v>
      </c>
      <c r="G7345">
        <v>15.1</v>
      </c>
      <c r="H7345" t="s">
        <v>2022</v>
      </c>
      <c r="I7345" s="21">
        <v>44785.389449224538</v>
      </c>
      <c r="J7345">
        <v>2022</v>
      </c>
      <c r="K7345" s="21" t="s">
        <v>114</v>
      </c>
      <c r="L7345" t="e">
        <v>#VALUE!</v>
      </c>
      <c r="O7345" s="21" t="s">
        <v>114</v>
      </c>
      <c r="P7345" s="21" t="s">
        <v>114</v>
      </c>
      <c r="Q7345" s="262">
        <v>325000</v>
      </c>
      <c r="R7345" s="262">
        <v>750000</v>
      </c>
      <c r="S7345" t="s">
        <v>13254</v>
      </c>
      <c r="U7345">
        <v>5</v>
      </c>
      <c r="V7345">
        <v>0</v>
      </c>
      <c r="W7345">
        <v>1994</v>
      </c>
      <c r="X7345">
        <v>0</v>
      </c>
      <c r="AC7345">
        <v>1994</v>
      </c>
      <c r="AU7345">
        <f t="shared" si="228"/>
        <v>0</v>
      </c>
      <c r="AV7345">
        <f t="shared" si="229"/>
        <v>0</v>
      </c>
    </row>
    <row r="7346" spans="1:48" x14ac:dyDescent="0.25">
      <c r="A7346" t="s">
        <v>17007</v>
      </c>
      <c r="B7346" t="s">
        <v>17007</v>
      </c>
      <c r="C7346" t="s">
        <v>17008</v>
      </c>
      <c r="D7346" t="s">
        <v>17009</v>
      </c>
      <c r="E7346" t="s">
        <v>2310</v>
      </c>
      <c r="F7346">
        <v>15</v>
      </c>
      <c r="G7346">
        <v>15.4</v>
      </c>
      <c r="H7346" t="s">
        <v>2323</v>
      </c>
      <c r="I7346" s="21">
        <v>44785.44346253472</v>
      </c>
      <c r="J7346">
        <v>2022</v>
      </c>
      <c r="K7346" s="21" t="s">
        <v>114</v>
      </c>
      <c r="L7346" t="e">
        <v>#VALUE!</v>
      </c>
      <c r="O7346" s="21" t="s">
        <v>114</v>
      </c>
      <c r="P7346" s="21" t="s">
        <v>114</v>
      </c>
      <c r="Q7346" s="262">
        <v>532000</v>
      </c>
      <c r="R7346" s="262">
        <v>2000000</v>
      </c>
      <c r="S7346" t="s">
        <v>13254</v>
      </c>
      <c r="U7346">
        <v>5</v>
      </c>
      <c r="V7346">
        <v>0</v>
      </c>
      <c r="W7346">
        <v>4964</v>
      </c>
      <c r="X7346">
        <v>1</v>
      </c>
      <c r="AC7346">
        <v>4964</v>
      </c>
      <c r="AO7346">
        <v>1</v>
      </c>
      <c r="AU7346">
        <f t="shared" si="228"/>
        <v>1</v>
      </c>
      <c r="AV7346">
        <f t="shared" si="229"/>
        <v>0</v>
      </c>
    </row>
    <row r="7347" spans="1:48" x14ac:dyDescent="0.25">
      <c r="A7347" t="s">
        <v>17010</v>
      </c>
      <c r="B7347" t="s">
        <v>17010</v>
      </c>
      <c r="C7347" t="s">
        <v>17011</v>
      </c>
      <c r="D7347" t="s">
        <v>17012</v>
      </c>
      <c r="E7347" t="s">
        <v>2310</v>
      </c>
      <c r="F7347">
        <v>12</v>
      </c>
      <c r="G7347">
        <v>12.2</v>
      </c>
      <c r="H7347" t="s">
        <v>2017</v>
      </c>
      <c r="I7347" s="21">
        <v>44785.473889432869</v>
      </c>
      <c r="J7347">
        <v>2022</v>
      </c>
      <c r="K7347" s="21" t="s">
        <v>114</v>
      </c>
      <c r="L7347" t="e">
        <v>#VALUE!</v>
      </c>
      <c r="O7347" s="21" t="s">
        <v>114</v>
      </c>
      <c r="P7347" s="21" t="s">
        <v>114</v>
      </c>
      <c r="Q7347" s="262">
        <v>141000</v>
      </c>
      <c r="R7347" s="262">
        <v>400000</v>
      </c>
      <c r="S7347" t="s">
        <v>13254</v>
      </c>
      <c r="U7347">
        <v>5</v>
      </c>
      <c r="V7347">
        <v>0</v>
      </c>
      <c r="W7347">
        <v>896</v>
      </c>
      <c r="X7347">
        <v>1</v>
      </c>
      <c r="AC7347">
        <v>896</v>
      </c>
      <c r="AO7347">
        <v>1</v>
      </c>
      <c r="AU7347">
        <f t="shared" si="228"/>
        <v>1</v>
      </c>
      <c r="AV7347">
        <f t="shared" si="229"/>
        <v>0</v>
      </c>
    </row>
    <row r="7348" spans="1:48" x14ac:dyDescent="0.25">
      <c r="A7348" t="s">
        <v>17013</v>
      </c>
      <c r="B7348" t="s">
        <v>17013</v>
      </c>
      <c r="C7348" t="s">
        <v>17014</v>
      </c>
      <c r="D7348" t="s">
        <v>17012</v>
      </c>
      <c r="E7348" t="s">
        <v>2310</v>
      </c>
      <c r="F7348">
        <v>12</v>
      </c>
      <c r="G7348">
        <v>12.2</v>
      </c>
      <c r="H7348" t="s">
        <v>2017</v>
      </c>
      <c r="I7348" s="21">
        <v>44785.481566979164</v>
      </c>
      <c r="J7348">
        <v>2022</v>
      </c>
      <c r="K7348" s="21" t="s">
        <v>114</v>
      </c>
      <c r="L7348" t="e">
        <v>#VALUE!</v>
      </c>
      <c r="O7348" s="21" t="s">
        <v>114</v>
      </c>
      <c r="P7348" s="21" t="s">
        <v>114</v>
      </c>
      <c r="Q7348" s="262">
        <v>177000</v>
      </c>
      <c r="R7348" s="262">
        <v>600000</v>
      </c>
      <c r="S7348" t="s">
        <v>13254</v>
      </c>
      <c r="U7348">
        <v>5</v>
      </c>
      <c r="V7348">
        <v>0</v>
      </c>
      <c r="W7348">
        <v>1989</v>
      </c>
      <c r="X7348">
        <v>0</v>
      </c>
      <c r="AC7348">
        <v>1989</v>
      </c>
      <c r="AU7348">
        <f t="shared" si="228"/>
        <v>0</v>
      </c>
      <c r="AV7348">
        <f t="shared" si="229"/>
        <v>0</v>
      </c>
    </row>
    <row r="7349" spans="1:48" x14ac:dyDescent="0.25">
      <c r="A7349" t="s">
        <v>17015</v>
      </c>
      <c r="B7349" t="s">
        <v>17015</v>
      </c>
      <c r="C7349" t="s">
        <v>17016</v>
      </c>
      <c r="D7349" t="s">
        <v>17017</v>
      </c>
      <c r="E7349" t="s">
        <v>2310</v>
      </c>
      <c r="F7349">
        <v>8</v>
      </c>
      <c r="G7349">
        <v>8.1999999999999993</v>
      </c>
      <c r="H7349" t="s">
        <v>2022</v>
      </c>
      <c r="I7349" s="21">
        <v>44791.659784293981</v>
      </c>
      <c r="J7349">
        <v>2022</v>
      </c>
      <c r="K7349" s="21" t="s">
        <v>114</v>
      </c>
      <c r="L7349" t="e">
        <v>#VALUE!</v>
      </c>
      <c r="O7349" s="21" t="s">
        <v>114</v>
      </c>
      <c r="P7349" s="21" t="s">
        <v>114</v>
      </c>
      <c r="Q7349" s="262">
        <v>191000</v>
      </c>
      <c r="R7349" s="262">
        <v>500000</v>
      </c>
      <c r="S7349" t="s">
        <v>13253</v>
      </c>
      <c r="T7349">
        <v>2231</v>
      </c>
      <c r="V7349">
        <v>504</v>
      </c>
      <c r="W7349">
        <v>0</v>
      </c>
      <c r="X7349">
        <v>-1</v>
      </c>
      <c r="AC7349">
        <v>504</v>
      </c>
      <c r="AF7349">
        <v>-504</v>
      </c>
      <c r="AR7349">
        <v>-1</v>
      </c>
      <c r="AU7349">
        <f t="shared" si="228"/>
        <v>0</v>
      </c>
      <c r="AV7349">
        <f t="shared" si="229"/>
        <v>0</v>
      </c>
    </row>
    <row r="7350" spans="1:48" x14ac:dyDescent="0.25">
      <c r="A7350" t="s">
        <v>17015</v>
      </c>
      <c r="B7350" t="s">
        <v>17015</v>
      </c>
      <c r="C7350" t="s">
        <v>17016</v>
      </c>
      <c r="D7350" t="s">
        <v>17017</v>
      </c>
      <c r="E7350" t="s">
        <v>2310</v>
      </c>
      <c r="F7350">
        <v>8</v>
      </c>
      <c r="G7350">
        <v>8.1999999999999993</v>
      </c>
      <c r="H7350" t="s">
        <v>2022</v>
      </c>
      <c r="I7350" s="21">
        <v>44791.659784293981</v>
      </c>
      <c r="J7350">
        <v>2022</v>
      </c>
      <c r="K7350" s="21" t="s">
        <v>114</v>
      </c>
      <c r="L7350" t="e">
        <v>#VALUE!</v>
      </c>
      <c r="O7350" s="21" t="s">
        <v>114</v>
      </c>
      <c r="P7350" s="21" t="s">
        <v>114</v>
      </c>
      <c r="Q7350" s="262">
        <v>191000</v>
      </c>
      <c r="R7350" s="262">
        <v>500000</v>
      </c>
      <c r="S7350" t="s">
        <v>13254</v>
      </c>
      <c r="V7350">
        <v>0</v>
      </c>
      <c r="W7350">
        <v>2410</v>
      </c>
      <c r="X7350">
        <v>1</v>
      </c>
      <c r="AC7350">
        <v>1537</v>
      </c>
      <c r="AF7350">
        <v>873</v>
      </c>
      <c r="AR7350">
        <v>1</v>
      </c>
      <c r="AU7350">
        <f t="shared" si="228"/>
        <v>0</v>
      </c>
      <c r="AV7350">
        <f t="shared" si="229"/>
        <v>0</v>
      </c>
    </row>
    <row r="7351" spans="1:48" x14ac:dyDescent="0.25">
      <c r="A7351" t="s">
        <v>17018</v>
      </c>
      <c r="C7351" t="s">
        <v>17019</v>
      </c>
      <c r="D7351" t="s">
        <v>13259</v>
      </c>
      <c r="E7351" t="s">
        <v>1663</v>
      </c>
      <c r="F7351">
        <v>4</v>
      </c>
      <c r="G7351">
        <v>4.3</v>
      </c>
      <c r="H7351" t="s">
        <v>2327</v>
      </c>
      <c r="I7351" s="21">
        <v>44792</v>
      </c>
      <c r="J7351">
        <v>2022</v>
      </c>
      <c r="K7351" s="21">
        <v>44837</v>
      </c>
      <c r="L7351">
        <v>2022</v>
      </c>
      <c r="P7351" s="21" t="s">
        <v>114</v>
      </c>
      <c r="Q7351" s="262">
        <v>500000</v>
      </c>
      <c r="S7351" t="s">
        <v>13253</v>
      </c>
      <c r="T7351">
        <v>11247</v>
      </c>
      <c r="V7351">
        <v>2860</v>
      </c>
      <c r="W7351">
        <v>768</v>
      </c>
      <c r="X7351">
        <v>0</v>
      </c>
      <c r="AJ7351">
        <v>-1014</v>
      </c>
      <c r="AK7351">
        <v>1782</v>
      </c>
      <c r="AU7351">
        <f t="shared" si="228"/>
        <v>0</v>
      </c>
      <c r="AV7351">
        <f t="shared" si="229"/>
        <v>768</v>
      </c>
    </row>
    <row r="7352" spans="1:48" x14ac:dyDescent="0.25">
      <c r="A7352" t="s">
        <v>17020</v>
      </c>
      <c r="C7352" t="s">
        <v>17021</v>
      </c>
      <c r="D7352" t="s">
        <v>16992</v>
      </c>
      <c r="E7352" t="s">
        <v>1663</v>
      </c>
      <c r="F7352">
        <v>3</v>
      </c>
      <c r="G7352">
        <v>3.2</v>
      </c>
      <c r="H7352" t="s">
        <v>2327</v>
      </c>
      <c r="I7352" s="21">
        <v>44792</v>
      </c>
      <c r="J7352">
        <v>2022</v>
      </c>
      <c r="P7352" s="21" t="s">
        <v>114</v>
      </c>
      <c r="Q7352" s="262">
        <v>3250000</v>
      </c>
      <c r="S7352" t="s">
        <v>13254</v>
      </c>
      <c r="W7352">
        <v>8008</v>
      </c>
      <c r="X7352">
        <v>7</v>
      </c>
      <c r="AE7352">
        <v>8008</v>
      </c>
      <c r="AQ7352">
        <v>7</v>
      </c>
      <c r="AU7352">
        <f t="shared" si="228"/>
        <v>7</v>
      </c>
      <c r="AV7352">
        <f t="shared" si="229"/>
        <v>0</v>
      </c>
    </row>
    <row r="7353" spans="1:48" x14ac:dyDescent="0.25">
      <c r="A7353" t="s">
        <v>17022</v>
      </c>
      <c r="C7353" t="s">
        <v>17023</v>
      </c>
      <c r="D7353" t="s">
        <v>17024</v>
      </c>
      <c r="E7353" t="s">
        <v>1663</v>
      </c>
      <c r="F7353">
        <v>3</v>
      </c>
      <c r="G7353">
        <v>3.2</v>
      </c>
      <c r="H7353" t="s">
        <v>2327</v>
      </c>
      <c r="I7353" s="21">
        <v>44792</v>
      </c>
      <c r="J7353">
        <v>2022</v>
      </c>
      <c r="P7353" s="21" t="s">
        <v>114</v>
      </c>
      <c r="Q7353" s="262">
        <v>3250000</v>
      </c>
      <c r="S7353" t="s">
        <v>12464</v>
      </c>
      <c r="T7353">
        <v>11516</v>
      </c>
      <c r="W7353">
        <v>8008</v>
      </c>
      <c r="X7353">
        <v>7</v>
      </c>
      <c r="AE7353">
        <v>8008</v>
      </c>
      <c r="AQ7353">
        <v>7</v>
      </c>
      <c r="AU7353">
        <f t="shared" si="228"/>
        <v>7</v>
      </c>
      <c r="AV7353">
        <f t="shared" si="229"/>
        <v>0</v>
      </c>
    </row>
    <row r="7354" spans="1:48" x14ac:dyDescent="0.25">
      <c r="A7354" t="s">
        <v>17022</v>
      </c>
      <c r="C7354" t="s">
        <v>17023</v>
      </c>
      <c r="D7354" t="s">
        <v>17024</v>
      </c>
      <c r="E7354" t="s">
        <v>1663</v>
      </c>
      <c r="F7354">
        <v>3</v>
      </c>
      <c r="G7354">
        <v>3.2</v>
      </c>
      <c r="H7354" t="s">
        <v>2327</v>
      </c>
      <c r="I7354" s="21">
        <v>44792</v>
      </c>
      <c r="J7354">
        <v>2022</v>
      </c>
      <c r="Q7354" s="262">
        <v>3250000</v>
      </c>
      <c r="S7354" t="s">
        <v>9529</v>
      </c>
      <c r="T7354">
        <v>11516</v>
      </c>
      <c r="U7354">
        <v>6</v>
      </c>
      <c r="W7354">
        <v>-2725</v>
      </c>
      <c r="X7354">
        <v>-2</v>
      </c>
      <c r="Y7354">
        <v>0</v>
      </c>
      <c r="Z7354">
        <v>0</v>
      </c>
      <c r="AA7354">
        <v>0</v>
      </c>
      <c r="AB7354">
        <v>0</v>
      </c>
      <c r="AC7354">
        <v>0</v>
      </c>
      <c r="AD7354">
        <v>-2725</v>
      </c>
      <c r="AE7354">
        <v>0</v>
      </c>
      <c r="AF7354">
        <v>0</v>
      </c>
      <c r="AG7354">
        <v>0</v>
      </c>
      <c r="AH7354">
        <v>0</v>
      </c>
      <c r="AI7354">
        <v>0</v>
      </c>
      <c r="AJ7354">
        <v>0</v>
      </c>
      <c r="AK7354">
        <v>0</v>
      </c>
      <c r="AL7354">
        <v>0</v>
      </c>
      <c r="AM7354">
        <v>0</v>
      </c>
      <c r="AN7354">
        <v>0</v>
      </c>
      <c r="AO7354">
        <v>0</v>
      </c>
      <c r="AP7354">
        <v>-2</v>
      </c>
      <c r="AQ7354">
        <v>0</v>
      </c>
      <c r="AR7354">
        <v>0</v>
      </c>
      <c r="AS7354">
        <v>0</v>
      </c>
      <c r="AT7354">
        <v>0</v>
      </c>
      <c r="AU7354">
        <f t="shared" si="228"/>
        <v>-2</v>
      </c>
      <c r="AV7354">
        <f t="shared" si="229"/>
        <v>0</v>
      </c>
    </row>
    <row r="7355" spans="1:48" x14ac:dyDescent="0.25">
      <c r="A7355" t="s">
        <v>17025</v>
      </c>
      <c r="B7355" t="s">
        <v>17025</v>
      </c>
      <c r="C7355" t="s">
        <v>17026</v>
      </c>
      <c r="D7355" t="s">
        <v>7943</v>
      </c>
      <c r="E7355" t="s">
        <v>2310</v>
      </c>
      <c r="F7355">
        <v>10</v>
      </c>
      <c r="G7355">
        <v>10.1</v>
      </c>
      <c r="H7355" t="s">
        <v>2323</v>
      </c>
      <c r="I7355" s="21">
        <v>44792.396181481483</v>
      </c>
      <c r="J7355">
        <v>2022</v>
      </c>
      <c r="K7355" s="21" t="s">
        <v>114</v>
      </c>
      <c r="L7355" t="e">
        <v>#VALUE!</v>
      </c>
      <c r="O7355" s="21" t="s">
        <v>114</v>
      </c>
      <c r="P7355" s="21" t="s">
        <v>114</v>
      </c>
      <c r="Q7355" s="262">
        <v>193000</v>
      </c>
      <c r="R7355" s="262">
        <v>350000</v>
      </c>
      <c r="S7355" t="s">
        <v>13254</v>
      </c>
      <c r="U7355">
        <v>8</v>
      </c>
      <c r="V7355">
        <v>0</v>
      </c>
      <c r="W7355">
        <v>2333</v>
      </c>
      <c r="X7355">
        <v>1</v>
      </c>
      <c r="AC7355">
        <v>1333</v>
      </c>
      <c r="AF7355">
        <v>1000</v>
      </c>
      <c r="AR7355">
        <v>1</v>
      </c>
      <c r="AU7355">
        <f t="shared" si="228"/>
        <v>0</v>
      </c>
      <c r="AV7355">
        <f t="shared" si="229"/>
        <v>0</v>
      </c>
    </row>
    <row r="7356" spans="1:48" x14ac:dyDescent="0.25">
      <c r="A7356" t="s">
        <v>17030</v>
      </c>
      <c r="B7356" t="s">
        <v>17030</v>
      </c>
      <c r="C7356" t="s">
        <v>17031</v>
      </c>
      <c r="D7356" t="s">
        <v>10560</v>
      </c>
      <c r="E7356" t="s">
        <v>2310</v>
      </c>
      <c r="F7356">
        <v>9</v>
      </c>
      <c r="G7356">
        <v>9.1999999999999993</v>
      </c>
      <c r="H7356" t="s">
        <v>2022</v>
      </c>
      <c r="I7356" s="21">
        <v>44792.491347800926</v>
      </c>
      <c r="J7356">
        <v>2022</v>
      </c>
      <c r="K7356" s="21" t="s">
        <v>114</v>
      </c>
      <c r="L7356" t="e">
        <v>#VALUE!</v>
      </c>
      <c r="O7356" s="21" t="s">
        <v>114</v>
      </c>
      <c r="P7356" s="21" t="s">
        <v>114</v>
      </c>
      <c r="Q7356" s="262">
        <v>1591000</v>
      </c>
      <c r="R7356" s="262">
        <v>5999000</v>
      </c>
      <c r="S7356" t="s">
        <v>12464</v>
      </c>
      <c r="T7356">
        <v>5001</v>
      </c>
      <c r="U7356">
        <v>5</v>
      </c>
      <c r="V7356">
        <v>0</v>
      </c>
      <c r="W7356">
        <v>9765</v>
      </c>
      <c r="X7356">
        <v>1</v>
      </c>
      <c r="AC7356">
        <v>9765</v>
      </c>
      <c r="AO7356">
        <v>1</v>
      </c>
      <c r="AU7356">
        <f t="shared" si="228"/>
        <v>1</v>
      </c>
      <c r="AV7356">
        <f t="shared" si="229"/>
        <v>0</v>
      </c>
    </row>
    <row r="7357" spans="1:48" x14ac:dyDescent="0.25">
      <c r="A7357" t="s">
        <v>17030</v>
      </c>
      <c r="D7357" t="s">
        <v>10560</v>
      </c>
      <c r="E7357" t="s">
        <v>2310</v>
      </c>
      <c r="F7357">
        <v>9</v>
      </c>
      <c r="G7357">
        <v>9.1999999999999993</v>
      </c>
      <c r="H7357" t="s">
        <v>2022</v>
      </c>
      <c r="I7357" s="21">
        <v>44792.491347800926</v>
      </c>
      <c r="J7357">
        <v>2022</v>
      </c>
      <c r="K7357" s="21" t="s">
        <v>114</v>
      </c>
      <c r="L7357" t="e">
        <v>#VALUE!</v>
      </c>
      <c r="O7357" s="21" t="s">
        <v>114</v>
      </c>
      <c r="P7357" s="21" t="s">
        <v>114</v>
      </c>
      <c r="Q7357" s="262">
        <v>1591000</v>
      </c>
      <c r="R7357" s="262">
        <v>5999000</v>
      </c>
      <c r="S7357" t="s">
        <v>9529</v>
      </c>
      <c r="T7357">
        <v>5001</v>
      </c>
      <c r="U7357">
        <v>5</v>
      </c>
      <c r="W7357">
        <v>-5191</v>
      </c>
      <c r="X7357">
        <v>-1</v>
      </c>
      <c r="Y7357">
        <v>0</v>
      </c>
      <c r="Z7357">
        <v>0</v>
      </c>
      <c r="AA7357">
        <v>0</v>
      </c>
      <c r="AB7357">
        <v>0</v>
      </c>
      <c r="AC7357">
        <v>-5191</v>
      </c>
      <c r="AD7357">
        <v>0</v>
      </c>
      <c r="AE7357">
        <v>0</v>
      </c>
      <c r="AF7357">
        <v>0</v>
      </c>
      <c r="AG7357">
        <v>0</v>
      </c>
      <c r="AH7357">
        <v>0</v>
      </c>
      <c r="AI7357">
        <v>0</v>
      </c>
      <c r="AJ7357">
        <v>0</v>
      </c>
      <c r="AK7357">
        <v>0</v>
      </c>
      <c r="AL7357">
        <v>0</v>
      </c>
      <c r="AM7357">
        <v>0</v>
      </c>
      <c r="AN7357">
        <v>0</v>
      </c>
      <c r="AO7357">
        <v>-1</v>
      </c>
      <c r="AP7357">
        <v>0</v>
      </c>
      <c r="AQ7357">
        <v>0</v>
      </c>
      <c r="AR7357">
        <v>0</v>
      </c>
      <c r="AS7357">
        <v>0</v>
      </c>
      <c r="AT7357">
        <v>0</v>
      </c>
      <c r="AU7357">
        <f t="shared" si="228"/>
        <v>-1</v>
      </c>
      <c r="AV7357">
        <f t="shared" si="229"/>
        <v>0</v>
      </c>
    </row>
    <row r="7358" spans="1:48" x14ac:dyDescent="0.25">
      <c r="A7358" t="s">
        <v>17032</v>
      </c>
      <c r="B7358" t="s">
        <v>17032</v>
      </c>
      <c r="C7358" t="s">
        <v>17033</v>
      </c>
      <c r="D7358" t="s">
        <v>10560</v>
      </c>
      <c r="E7358" t="s">
        <v>2310</v>
      </c>
      <c r="F7358">
        <v>9</v>
      </c>
      <c r="G7358">
        <v>9.1999999999999993</v>
      </c>
      <c r="H7358" t="s">
        <v>2022</v>
      </c>
      <c r="I7358" s="21">
        <v>44792.507049189815</v>
      </c>
      <c r="J7358">
        <v>2022</v>
      </c>
      <c r="K7358" s="21" t="s">
        <v>114</v>
      </c>
      <c r="L7358" t="e">
        <v>#VALUE!</v>
      </c>
      <c r="O7358" s="21" t="s">
        <v>114</v>
      </c>
      <c r="P7358" s="21" t="s">
        <v>114</v>
      </c>
      <c r="Q7358" s="262">
        <v>169000</v>
      </c>
      <c r="R7358" s="262">
        <v>1000000</v>
      </c>
      <c r="S7358" t="s">
        <v>13254</v>
      </c>
      <c r="U7358">
        <v>8</v>
      </c>
      <c r="V7358">
        <v>0</v>
      </c>
      <c r="W7358">
        <v>1776</v>
      </c>
      <c r="X7358">
        <v>1</v>
      </c>
      <c r="AC7358">
        <v>776</v>
      </c>
      <c r="AF7358">
        <v>1000</v>
      </c>
      <c r="AR7358">
        <v>1</v>
      </c>
      <c r="AU7358">
        <f t="shared" si="228"/>
        <v>0</v>
      </c>
      <c r="AV7358">
        <f t="shared" si="229"/>
        <v>0</v>
      </c>
    </row>
    <row r="7359" spans="1:48" x14ac:dyDescent="0.25">
      <c r="A7359" t="s">
        <v>17034</v>
      </c>
      <c r="B7359" t="s">
        <v>17034</v>
      </c>
      <c r="C7359" t="s">
        <v>17035</v>
      </c>
      <c r="D7359" t="s">
        <v>6015</v>
      </c>
      <c r="E7359" t="s">
        <v>2310</v>
      </c>
      <c r="F7359">
        <v>9</v>
      </c>
      <c r="G7359">
        <v>9.3000000000000007</v>
      </c>
      <c r="H7359" t="s">
        <v>2323</v>
      </c>
      <c r="I7359" s="21">
        <v>44798.410855787035</v>
      </c>
      <c r="J7359">
        <v>2022</v>
      </c>
      <c r="K7359" s="21" t="s">
        <v>114</v>
      </c>
      <c r="L7359" t="e">
        <v>#VALUE!</v>
      </c>
      <c r="O7359" s="21" t="s">
        <v>114</v>
      </c>
      <c r="P7359" s="21" t="s">
        <v>114</v>
      </c>
      <c r="Q7359" s="262">
        <v>29000</v>
      </c>
      <c r="R7359" s="262">
        <v>150000</v>
      </c>
      <c r="S7359" t="s">
        <v>13254</v>
      </c>
      <c r="U7359">
        <v>5</v>
      </c>
      <c r="V7359">
        <v>0</v>
      </c>
      <c r="W7359">
        <v>600</v>
      </c>
      <c r="X7359">
        <v>0</v>
      </c>
      <c r="AC7359">
        <v>600</v>
      </c>
      <c r="AU7359">
        <f t="shared" si="228"/>
        <v>0</v>
      </c>
      <c r="AV7359">
        <f t="shared" si="229"/>
        <v>0</v>
      </c>
    </row>
    <row r="7360" spans="1:48" x14ac:dyDescent="0.25">
      <c r="A7360" t="s">
        <v>17036</v>
      </c>
      <c r="B7360" t="s">
        <v>17036</v>
      </c>
      <c r="C7360" t="s">
        <v>17037</v>
      </c>
      <c r="D7360" t="s">
        <v>17038</v>
      </c>
      <c r="E7360" t="s">
        <v>2310</v>
      </c>
      <c r="F7360">
        <v>14</v>
      </c>
      <c r="G7360">
        <v>14.1</v>
      </c>
      <c r="H7360" t="s">
        <v>2022</v>
      </c>
      <c r="I7360" s="21">
        <v>44798.428834293984</v>
      </c>
      <c r="J7360">
        <v>2022</v>
      </c>
      <c r="K7360" s="21" t="s">
        <v>114</v>
      </c>
      <c r="L7360" t="e">
        <v>#VALUE!</v>
      </c>
      <c r="O7360" s="21" t="s">
        <v>114</v>
      </c>
      <c r="P7360" s="21" t="s">
        <v>114</v>
      </c>
      <c r="Q7360" s="262">
        <v>443000</v>
      </c>
      <c r="R7360" s="262">
        <v>400000</v>
      </c>
      <c r="S7360" t="s">
        <v>13253</v>
      </c>
      <c r="T7360">
        <v>7699</v>
      </c>
      <c r="V7360">
        <v>0</v>
      </c>
      <c r="W7360">
        <v>2820</v>
      </c>
      <c r="X7360">
        <v>0</v>
      </c>
      <c r="AC7360">
        <v>2820</v>
      </c>
      <c r="AU7360">
        <f t="shared" si="228"/>
        <v>0</v>
      </c>
      <c r="AV7360">
        <f t="shared" si="229"/>
        <v>0</v>
      </c>
    </row>
    <row r="7361" spans="1:48" x14ac:dyDescent="0.25">
      <c r="A7361" t="s">
        <v>17039</v>
      </c>
      <c r="B7361" t="s">
        <v>17039</v>
      </c>
      <c r="C7361" t="s">
        <v>17040</v>
      </c>
      <c r="D7361" t="s">
        <v>10839</v>
      </c>
      <c r="E7361" t="s">
        <v>2310</v>
      </c>
      <c r="F7361">
        <v>13</v>
      </c>
      <c r="G7361">
        <v>13.1</v>
      </c>
      <c r="H7361" t="s">
        <v>2327</v>
      </c>
      <c r="I7361" s="21">
        <v>44799.58989383102</v>
      </c>
      <c r="J7361">
        <v>2022</v>
      </c>
      <c r="K7361" s="21" t="s">
        <v>114</v>
      </c>
      <c r="L7361" t="e">
        <v>#VALUE!</v>
      </c>
      <c r="O7361" s="21" t="s">
        <v>114</v>
      </c>
      <c r="P7361" s="21" t="s">
        <v>114</v>
      </c>
      <c r="Q7361" s="262">
        <v>61000</v>
      </c>
      <c r="R7361" s="262">
        <v>100000</v>
      </c>
      <c r="S7361" t="s">
        <v>13253</v>
      </c>
      <c r="T7361">
        <v>7347</v>
      </c>
      <c r="V7361">
        <v>400</v>
      </c>
      <c r="W7361">
        <v>0</v>
      </c>
      <c r="X7361">
        <v>0</v>
      </c>
      <c r="AU7361">
        <f t="shared" si="228"/>
        <v>0</v>
      </c>
      <c r="AV7361">
        <f t="shared" si="229"/>
        <v>0</v>
      </c>
    </row>
    <row r="7362" spans="1:48" x14ac:dyDescent="0.25">
      <c r="A7362" t="s">
        <v>17041</v>
      </c>
      <c r="C7362" t="s">
        <v>17042</v>
      </c>
      <c r="D7362" t="s">
        <v>10721</v>
      </c>
      <c r="E7362" t="s">
        <v>1663</v>
      </c>
      <c r="F7362">
        <v>4</v>
      </c>
      <c r="G7362">
        <v>4.2</v>
      </c>
      <c r="H7362" t="s">
        <v>2327</v>
      </c>
      <c r="I7362" s="21">
        <v>44803</v>
      </c>
      <c r="J7362">
        <v>2022</v>
      </c>
      <c r="K7362" s="21">
        <v>44895</v>
      </c>
      <c r="L7362">
        <v>2022</v>
      </c>
      <c r="P7362" s="21" t="s">
        <v>114</v>
      </c>
      <c r="Q7362" s="262">
        <v>50000</v>
      </c>
      <c r="S7362" t="s">
        <v>13253</v>
      </c>
      <c r="T7362">
        <v>13963</v>
      </c>
      <c r="V7362">
        <v>1000</v>
      </c>
      <c r="W7362">
        <v>0</v>
      </c>
      <c r="X7362">
        <v>0</v>
      </c>
      <c r="AU7362">
        <f t="shared" si="228"/>
        <v>0</v>
      </c>
      <c r="AV7362">
        <f t="shared" si="229"/>
        <v>0</v>
      </c>
    </row>
    <row r="7363" spans="1:48" x14ac:dyDescent="0.25">
      <c r="A7363" t="s">
        <v>17049</v>
      </c>
      <c r="C7363" t="s">
        <v>17050</v>
      </c>
      <c r="D7363" t="s">
        <v>13895</v>
      </c>
      <c r="E7363" t="s">
        <v>1663</v>
      </c>
      <c r="F7363">
        <v>3</v>
      </c>
      <c r="G7363">
        <v>3.3</v>
      </c>
      <c r="H7363" t="s">
        <v>2017</v>
      </c>
      <c r="I7363" s="21">
        <v>44803</v>
      </c>
      <c r="J7363">
        <v>2022</v>
      </c>
      <c r="P7363" s="21" t="s">
        <v>114</v>
      </c>
      <c r="Q7363" s="262">
        <v>18000000</v>
      </c>
      <c r="S7363" t="s">
        <v>12464</v>
      </c>
      <c r="T7363" t="s">
        <v>17051</v>
      </c>
      <c r="W7363">
        <v>40070</v>
      </c>
      <c r="X7363">
        <v>48</v>
      </c>
      <c r="AE7363">
        <v>40070</v>
      </c>
      <c r="AQ7363">
        <v>48</v>
      </c>
      <c r="AU7363">
        <f t="shared" si="228"/>
        <v>48</v>
      </c>
      <c r="AV7363">
        <f t="shared" si="229"/>
        <v>0</v>
      </c>
    </row>
    <row r="7364" spans="1:48" x14ac:dyDescent="0.25">
      <c r="A7364" t="s">
        <v>17049</v>
      </c>
      <c r="C7364" t="s">
        <v>17050</v>
      </c>
      <c r="D7364" t="s">
        <v>13895</v>
      </c>
      <c r="E7364" t="s">
        <v>1663</v>
      </c>
      <c r="F7364">
        <v>3</v>
      </c>
      <c r="G7364">
        <v>3.3</v>
      </c>
      <c r="I7364" s="21">
        <v>44803</v>
      </c>
      <c r="J7364">
        <v>2022</v>
      </c>
      <c r="Q7364" s="262">
        <v>18000000</v>
      </c>
      <c r="S7364" t="s">
        <v>9529</v>
      </c>
      <c r="T7364">
        <v>15434</v>
      </c>
      <c r="U7364">
        <v>14</v>
      </c>
      <c r="W7364">
        <v>-1800</v>
      </c>
      <c r="X7364">
        <v>0</v>
      </c>
      <c r="Y7364">
        <v>0</v>
      </c>
      <c r="Z7364">
        <v>0</v>
      </c>
      <c r="AA7364">
        <v>0</v>
      </c>
      <c r="AB7364">
        <v>0</v>
      </c>
      <c r="AC7364">
        <v>0</v>
      </c>
      <c r="AD7364">
        <v>0</v>
      </c>
      <c r="AE7364">
        <v>0</v>
      </c>
      <c r="AF7364">
        <v>0</v>
      </c>
      <c r="AG7364">
        <v>0</v>
      </c>
      <c r="AH7364">
        <v>0</v>
      </c>
      <c r="AI7364">
        <v>0</v>
      </c>
      <c r="AJ7364">
        <v>0</v>
      </c>
      <c r="AK7364">
        <v>0</v>
      </c>
      <c r="AL7364">
        <v>-1800</v>
      </c>
      <c r="AM7364">
        <v>0</v>
      </c>
      <c r="AN7364">
        <v>0</v>
      </c>
      <c r="AO7364">
        <v>0</v>
      </c>
      <c r="AP7364">
        <v>0</v>
      </c>
      <c r="AQ7364">
        <v>0</v>
      </c>
      <c r="AR7364">
        <v>0</v>
      </c>
      <c r="AS7364">
        <v>0</v>
      </c>
      <c r="AT7364">
        <v>0</v>
      </c>
      <c r="AU7364">
        <f t="shared" si="228"/>
        <v>0</v>
      </c>
      <c r="AV7364">
        <f t="shared" si="229"/>
        <v>-1800</v>
      </c>
    </row>
    <row r="7365" spans="1:48" x14ac:dyDescent="0.25">
      <c r="A7365" t="s">
        <v>17049</v>
      </c>
      <c r="C7365" t="s">
        <v>17050</v>
      </c>
      <c r="D7365" t="s">
        <v>13895</v>
      </c>
      <c r="E7365" t="s">
        <v>1663</v>
      </c>
      <c r="F7365">
        <v>3</v>
      </c>
      <c r="G7365">
        <v>3.3</v>
      </c>
      <c r="I7365" s="21">
        <v>44803</v>
      </c>
      <c r="J7365">
        <v>2022</v>
      </c>
      <c r="Q7365" s="262">
        <v>18000000</v>
      </c>
      <c r="S7365" t="s">
        <v>9529</v>
      </c>
      <c r="T7365">
        <v>15435</v>
      </c>
      <c r="U7365">
        <v>15</v>
      </c>
      <c r="W7365">
        <v>-5500</v>
      </c>
      <c r="X7365">
        <v>0</v>
      </c>
      <c r="Y7365">
        <v>0</v>
      </c>
      <c r="Z7365">
        <v>0</v>
      </c>
      <c r="AA7365">
        <v>0</v>
      </c>
      <c r="AB7365">
        <v>0</v>
      </c>
      <c r="AC7365">
        <v>0</v>
      </c>
      <c r="AD7365">
        <v>0</v>
      </c>
      <c r="AE7365">
        <v>0</v>
      </c>
      <c r="AF7365">
        <v>0</v>
      </c>
      <c r="AG7365">
        <v>0</v>
      </c>
      <c r="AH7365">
        <v>0</v>
      </c>
      <c r="AI7365">
        <v>0</v>
      </c>
      <c r="AJ7365">
        <v>0</v>
      </c>
      <c r="AK7365">
        <v>0</v>
      </c>
      <c r="AL7365">
        <v>0</v>
      </c>
      <c r="AM7365">
        <v>-5500</v>
      </c>
      <c r="AN7365">
        <v>0</v>
      </c>
      <c r="AO7365">
        <v>0</v>
      </c>
      <c r="AP7365">
        <v>0</v>
      </c>
      <c r="AQ7365">
        <v>0</v>
      </c>
      <c r="AR7365">
        <v>0</v>
      </c>
      <c r="AS7365">
        <v>0</v>
      </c>
      <c r="AT7365">
        <v>0</v>
      </c>
      <c r="AU7365">
        <f t="shared" si="228"/>
        <v>0</v>
      </c>
      <c r="AV7365">
        <f t="shared" si="229"/>
        <v>-5500</v>
      </c>
    </row>
    <row r="7366" spans="1:48" x14ac:dyDescent="0.25">
      <c r="A7366" t="s">
        <v>17052</v>
      </c>
      <c r="C7366" t="s">
        <v>17053</v>
      </c>
      <c r="D7366" t="s">
        <v>16142</v>
      </c>
      <c r="E7366" t="s">
        <v>2310</v>
      </c>
      <c r="F7366">
        <v>15</v>
      </c>
      <c r="G7366">
        <v>15.2</v>
      </c>
      <c r="H7366" t="s">
        <v>2323</v>
      </c>
      <c r="I7366" s="21">
        <v>44810</v>
      </c>
      <c r="J7366">
        <v>2022</v>
      </c>
      <c r="K7366" s="21">
        <v>44879</v>
      </c>
      <c r="L7366">
        <v>2022</v>
      </c>
      <c r="Q7366" s="262">
        <v>0</v>
      </c>
      <c r="R7366" s="262">
        <v>85438.080000000002</v>
      </c>
      <c r="S7366" t="s">
        <v>13253</v>
      </c>
      <c r="T7366">
        <v>5404</v>
      </c>
      <c r="V7366">
        <v>0</v>
      </c>
      <c r="W7366">
        <v>0</v>
      </c>
      <c r="X7366">
        <v>0</v>
      </c>
      <c r="AU7366">
        <f t="shared" si="228"/>
        <v>0</v>
      </c>
      <c r="AV7366">
        <f t="shared" si="229"/>
        <v>0</v>
      </c>
    </row>
    <row r="7367" spans="1:48" x14ac:dyDescent="0.25">
      <c r="A7367" t="s">
        <v>17054</v>
      </c>
      <c r="C7367" t="s">
        <v>17055</v>
      </c>
      <c r="D7367" t="s">
        <v>17056</v>
      </c>
      <c r="E7367" t="s">
        <v>2310</v>
      </c>
      <c r="F7367">
        <v>10</v>
      </c>
      <c r="G7367">
        <v>10.1</v>
      </c>
      <c r="H7367" t="s">
        <v>2323</v>
      </c>
      <c r="I7367" s="21">
        <v>44810</v>
      </c>
      <c r="J7367">
        <v>2022</v>
      </c>
      <c r="K7367" s="21">
        <v>44959</v>
      </c>
      <c r="L7367">
        <v>2023</v>
      </c>
      <c r="Q7367" s="262">
        <v>2800000</v>
      </c>
      <c r="R7367" s="262">
        <v>664370.06999999995</v>
      </c>
      <c r="S7367" t="s">
        <v>13254</v>
      </c>
      <c r="U7367">
        <v>5</v>
      </c>
      <c r="V7367">
        <v>0</v>
      </c>
      <c r="W7367">
        <v>4479</v>
      </c>
      <c r="X7367">
        <v>1</v>
      </c>
      <c r="AC7367">
        <v>4479</v>
      </c>
      <c r="AO7367">
        <v>1</v>
      </c>
      <c r="AU7367">
        <f t="shared" si="228"/>
        <v>1</v>
      </c>
      <c r="AV7367">
        <f t="shared" si="229"/>
        <v>0</v>
      </c>
    </row>
    <row r="7368" spans="1:48" x14ac:dyDescent="0.25">
      <c r="A7368" t="s">
        <v>17057</v>
      </c>
      <c r="C7368" t="s">
        <v>17058</v>
      </c>
      <c r="D7368" t="s">
        <v>7421</v>
      </c>
      <c r="E7368" t="s">
        <v>2310</v>
      </c>
      <c r="F7368">
        <v>9</v>
      </c>
      <c r="G7368">
        <v>9.3000000000000007</v>
      </c>
      <c r="H7368" t="s">
        <v>2323</v>
      </c>
      <c r="I7368" s="21">
        <v>44810</v>
      </c>
      <c r="J7368">
        <v>2022</v>
      </c>
      <c r="K7368" s="21">
        <v>44931</v>
      </c>
      <c r="L7368">
        <v>2023</v>
      </c>
      <c r="Q7368" s="262">
        <v>600000</v>
      </c>
      <c r="R7368" s="262">
        <v>0</v>
      </c>
      <c r="S7368" t="s">
        <v>13253</v>
      </c>
      <c r="T7368">
        <v>4422</v>
      </c>
      <c r="V7368">
        <v>0</v>
      </c>
      <c r="W7368">
        <v>288</v>
      </c>
      <c r="X7368">
        <v>0</v>
      </c>
      <c r="AC7368">
        <v>288</v>
      </c>
      <c r="AU7368">
        <f t="shared" si="228"/>
        <v>0</v>
      </c>
      <c r="AV7368">
        <f t="shared" si="229"/>
        <v>0</v>
      </c>
    </row>
    <row r="7369" spans="1:48" x14ac:dyDescent="0.25">
      <c r="A7369" t="s">
        <v>17059</v>
      </c>
      <c r="C7369" t="s">
        <v>17060</v>
      </c>
      <c r="D7369" t="s">
        <v>17061</v>
      </c>
      <c r="E7369" t="s">
        <v>2310</v>
      </c>
      <c r="F7369">
        <v>9</v>
      </c>
      <c r="G7369">
        <v>9.3000000000000007</v>
      </c>
      <c r="H7369" t="s">
        <v>2323</v>
      </c>
      <c r="I7369" s="21">
        <v>44811</v>
      </c>
      <c r="J7369">
        <v>2022</v>
      </c>
      <c r="Q7369" s="262">
        <v>3500000</v>
      </c>
      <c r="R7369" s="262">
        <v>0</v>
      </c>
      <c r="S7369" t="s">
        <v>13254</v>
      </c>
      <c r="U7369">
        <v>5</v>
      </c>
      <c r="V7369">
        <v>0</v>
      </c>
      <c r="W7369">
        <v>4541</v>
      </c>
      <c r="X7369">
        <v>1</v>
      </c>
      <c r="AC7369">
        <v>4541</v>
      </c>
      <c r="AO7369">
        <v>1</v>
      </c>
      <c r="AU7369">
        <f t="shared" si="228"/>
        <v>1</v>
      </c>
      <c r="AV7369">
        <f t="shared" si="229"/>
        <v>0</v>
      </c>
    </row>
    <row r="7370" spans="1:48" x14ac:dyDescent="0.25">
      <c r="A7370" t="s">
        <v>17062</v>
      </c>
      <c r="C7370" t="s">
        <v>17063</v>
      </c>
      <c r="D7370" t="s">
        <v>13868</v>
      </c>
      <c r="E7370" t="s">
        <v>2310</v>
      </c>
      <c r="F7370">
        <v>14</v>
      </c>
      <c r="G7370">
        <v>14.2</v>
      </c>
      <c r="H7370" t="s">
        <v>2017</v>
      </c>
      <c r="I7370" s="21">
        <v>44812</v>
      </c>
      <c r="J7370">
        <v>2022</v>
      </c>
      <c r="Q7370" s="262">
        <v>1500000</v>
      </c>
      <c r="R7370" s="262">
        <v>0</v>
      </c>
      <c r="S7370" t="s">
        <v>13254</v>
      </c>
      <c r="U7370">
        <v>5</v>
      </c>
      <c r="V7370">
        <v>0</v>
      </c>
      <c r="W7370">
        <v>4862</v>
      </c>
      <c r="X7370">
        <v>1</v>
      </c>
      <c r="AC7370">
        <v>4862</v>
      </c>
      <c r="AO7370">
        <v>1</v>
      </c>
      <c r="AU7370">
        <f t="shared" si="228"/>
        <v>1</v>
      </c>
      <c r="AV7370">
        <f t="shared" si="229"/>
        <v>0</v>
      </c>
    </row>
    <row r="7371" spans="1:48" x14ac:dyDescent="0.25">
      <c r="A7371" t="s">
        <v>17064</v>
      </c>
      <c r="C7371" t="s">
        <v>17065</v>
      </c>
      <c r="D7371" t="s">
        <v>6516</v>
      </c>
      <c r="E7371" t="s">
        <v>2310</v>
      </c>
      <c r="F7371">
        <v>8</v>
      </c>
      <c r="G7371">
        <v>8.1999999999999993</v>
      </c>
      <c r="H7371" t="s">
        <v>2022</v>
      </c>
      <c r="I7371" s="21">
        <v>44812</v>
      </c>
      <c r="J7371">
        <v>2022</v>
      </c>
      <c r="Q7371" s="262">
        <v>1000000</v>
      </c>
      <c r="R7371" s="262">
        <v>0</v>
      </c>
      <c r="S7371" t="s">
        <v>13254</v>
      </c>
      <c r="V7371">
        <v>0</v>
      </c>
      <c r="W7371">
        <v>1273</v>
      </c>
      <c r="X7371">
        <v>0</v>
      </c>
      <c r="AC7371">
        <v>1273</v>
      </c>
      <c r="AU7371">
        <f t="shared" si="228"/>
        <v>0</v>
      </c>
      <c r="AV7371">
        <f t="shared" si="229"/>
        <v>0</v>
      </c>
    </row>
    <row r="7372" spans="1:48" x14ac:dyDescent="0.25">
      <c r="A7372" t="s">
        <v>17066</v>
      </c>
      <c r="C7372" t="s">
        <v>17067</v>
      </c>
      <c r="D7372" t="s">
        <v>17068</v>
      </c>
      <c r="E7372" t="s">
        <v>2310</v>
      </c>
      <c r="F7372">
        <v>9</v>
      </c>
      <c r="G7372">
        <v>9.1</v>
      </c>
      <c r="H7372" t="s">
        <v>2323</v>
      </c>
      <c r="I7372" s="21">
        <v>44812</v>
      </c>
      <c r="J7372">
        <v>2022</v>
      </c>
      <c r="K7372" s="21">
        <v>44901</v>
      </c>
      <c r="L7372">
        <v>2022</v>
      </c>
      <c r="Q7372" s="262">
        <v>35000</v>
      </c>
      <c r="R7372" s="262">
        <v>0</v>
      </c>
      <c r="S7372" t="s">
        <v>13253</v>
      </c>
      <c r="T7372">
        <v>6324</v>
      </c>
      <c r="V7372">
        <v>0</v>
      </c>
      <c r="W7372">
        <v>0</v>
      </c>
      <c r="X7372">
        <v>0</v>
      </c>
      <c r="AU7372">
        <f t="shared" si="228"/>
        <v>0</v>
      </c>
      <c r="AV7372">
        <f t="shared" si="229"/>
        <v>0</v>
      </c>
    </row>
    <row r="7373" spans="1:48" x14ac:dyDescent="0.25">
      <c r="A7373" t="s">
        <v>17069</v>
      </c>
      <c r="C7373" t="s">
        <v>17070</v>
      </c>
      <c r="D7373" t="s">
        <v>17071</v>
      </c>
      <c r="E7373" t="s">
        <v>2310</v>
      </c>
      <c r="F7373">
        <v>9</v>
      </c>
      <c r="G7373">
        <v>9.3000000000000007</v>
      </c>
      <c r="H7373" t="s">
        <v>2323</v>
      </c>
      <c r="I7373" s="21">
        <v>44812</v>
      </c>
      <c r="J7373">
        <v>2022</v>
      </c>
      <c r="K7373" s="21">
        <v>44840</v>
      </c>
      <c r="L7373">
        <v>2022</v>
      </c>
      <c r="Q7373" s="262">
        <v>10000</v>
      </c>
      <c r="R7373" s="262">
        <v>0</v>
      </c>
      <c r="S7373" t="s">
        <v>13253</v>
      </c>
      <c r="T7373">
        <v>5142</v>
      </c>
      <c r="V7373">
        <v>0</v>
      </c>
      <c r="W7373">
        <v>0</v>
      </c>
      <c r="X7373">
        <v>0</v>
      </c>
      <c r="AU7373">
        <f t="shared" si="228"/>
        <v>0</v>
      </c>
      <c r="AV7373">
        <f t="shared" si="229"/>
        <v>0</v>
      </c>
    </row>
    <row r="7374" spans="1:48" x14ac:dyDescent="0.25">
      <c r="A7374" t="s">
        <v>17072</v>
      </c>
      <c r="C7374" t="s">
        <v>17073</v>
      </c>
      <c r="D7374" t="s">
        <v>17074</v>
      </c>
      <c r="E7374" t="s">
        <v>2310</v>
      </c>
      <c r="F7374">
        <v>9</v>
      </c>
      <c r="G7374">
        <v>9.1999999999999993</v>
      </c>
      <c r="H7374" t="s">
        <v>2022</v>
      </c>
      <c r="I7374" s="21">
        <v>44813</v>
      </c>
      <c r="J7374">
        <v>2022</v>
      </c>
      <c r="Q7374" s="262">
        <v>900000</v>
      </c>
      <c r="R7374" s="262">
        <v>0</v>
      </c>
      <c r="S7374" t="s">
        <v>13254</v>
      </c>
      <c r="U7374">
        <v>5</v>
      </c>
      <c r="V7374">
        <v>0</v>
      </c>
      <c r="W7374">
        <v>3241</v>
      </c>
      <c r="X7374">
        <v>1</v>
      </c>
      <c r="AC7374">
        <v>3241</v>
      </c>
      <c r="AO7374">
        <v>1</v>
      </c>
      <c r="AU7374">
        <f t="shared" si="228"/>
        <v>1</v>
      </c>
      <c r="AV7374">
        <f t="shared" si="229"/>
        <v>0</v>
      </c>
    </row>
    <row r="7375" spans="1:48" x14ac:dyDescent="0.25">
      <c r="A7375" t="s">
        <v>17075</v>
      </c>
      <c r="C7375" t="s">
        <v>17076</v>
      </c>
      <c r="D7375" t="s">
        <v>17074</v>
      </c>
      <c r="E7375" t="s">
        <v>2310</v>
      </c>
      <c r="F7375">
        <v>9</v>
      </c>
      <c r="G7375">
        <v>9.1999999999999993</v>
      </c>
      <c r="H7375" t="s">
        <v>2022</v>
      </c>
      <c r="I7375" s="21">
        <v>44813</v>
      </c>
      <c r="J7375">
        <v>2022</v>
      </c>
      <c r="Q7375" s="262">
        <v>300000</v>
      </c>
      <c r="R7375" s="262">
        <v>0</v>
      </c>
      <c r="S7375" t="s">
        <v>13254</v>
      </c>
      <c r="U7375">
        <v>8</v>
      </c>
      <c r="V7375">
        <v>0</v>
      </c>
      <c r="W7375">
        <v>2254</v>
      </c>
      <c r="X7375">
        <v>1</v>
      </c>
      <c r="AC7375">
        <v>1263</v>
      </c>
      <c r="AF7375">
        <v>991</v>
      </c>
      <c r="AR7375">
        <v>1</v>
      </c>
      <c r="AU7375">
        <f t="shared" si="228"/>
        <v>0</v>
      </c>
      <c r="AV7375">
        <f t="shared" si="229"/>
        <v>0</v>
      </c>
    </row>
    <row r="7376" spans="1:48" x14ac:dyDescent="0.25">
      <c r="A7376" t="s">
        <v>17077</v>
      </c>
      <c r="C7376" t="s">
        <v>17078</v>
      </c>
      <c r="D7376" t="s">
        <v>17079</v>
      </c>
      <c r="E7376" t="s">
        <v>2310</v>
      </c>
      <c r="F7376">
        <v>15</v>
      </c>
      <c r="G7376">
        <v>15.2</v>
      </c>
      <c r="H7376" t="s">
        <v>2323</v>
      </c>
      <c r="I7376" s="21">
        <v>44813</v>
      </c>
      <c r="J7376">
        <v>2022</v>
      </c>
      <c r="Q7376" s="262">
        <v>1840000</v>
      </c>
      <c r="R7376" s="262">
        <v>0</v>
      </c>
      <c r="S7376" t="s">
        <v>13254</v>
      </c>
      <c r="U7376">
        <v>5</v>
      </c>
      <c r="V7376">
        <v>0</v>
      </c>
      <c r="W7376">
        <v>4630</v>
      </c>
      <c r="X7376">
        <v>1</v>
      </c>
      <c r="AC7376">
        <v>4630</v>
      </c>
      <c r="AO7376">
        <v>1</v>
      </c>
      <c r="AU7376">
        <f t="shared" si="228"/>
        <v>1</v>
      </c>
      <c r="AV7376">
        <f t="shared" si="229"/>
        <v>0</v>
      </c>
    </row>
    <row r="7377" spans="1:48" x14ac:dyDescent="0.25">
      <c r="A7377" t="s">
        <v>17080</v>
      </c>
      <c r="C7377" t="s">
        <v>17081</v>
      </c>
      <c r="D7377" t="s">
        <v>17082</v>
      </c>
      <c r="E7377" t="s">
        <v>2310</v>
      </c>
      <c r="F7377">
        <v>9</v>
      </c>
      <c r="G7377">
        <v>9.3000000000000007</v>
      </c>
      <c r="H7377" t="s">
        <v>2323</v>
      </c>
      <c r="I7377" s="21">
        <v>44813</v>
      </c>
      <c r="J7377">
        <v>2022</v>
      </c>
      <c r="Q7377" s="262">
        <v>3000000</v>
      </c>
      <c r="R7377" s="262">
        <v>0</v>
      </c>
      <c r="S7377" t="s">
        <v>13253</v>
      </c>
      <c r="T7377">
        <v>5461</v>
      </c>
      <c r="V7377">
        <v>4429</v>
      </c>
      <c r="W7377">
        <v>164</v>
      </c>
      <c r="X7377">
        <v>0</v>
      </c>
      <c r="AC7377">
        <v>164</v>
      </c>
      <c r="AU7377">
        <f t="shared" si="228"/>
        <v>0</v>
      </c>
      <c r="AV7377">
        <f t="shared" si="229"/>
        <v>0</v>
      </c>
    </row>
    <row r="7378" spans="1:48" x14ac:dyDescent="0.25">
      <c r="A7378" t="s">
        <v>17083</v>
      </c>
      <c r="C7378" t="s">
        <v>17084</v>
      </c>
      <c r="D7378" t="s">
        <v>17082</v>
      </c>
      <c r="E7378" t="s">
        <v>2310</v>
      </c>
      <c r="F7378">
        <v>9</v>
      </c>
      <c r="G7378">
        <v>9.3000000000000007</v>
      </c>
      <c r="H7378" t="s">
        <v>2323</v>
      </c>
      <c r="I7378" s="21">
        <v>44813</v>
      </c>
      <c r="J7378">
        <v>2022</v>
      </c>
      <c r="Q7378" s="262">
        <v>3000000</v>
      </c>
      <c r="R7378" s="262">
        <v>0</v>
      </c>
      <c r="S7378" t="s">
        <v>13253</v>
      </c>
      <c r="T7378">
        <v>5462</v>
      </c>
      <c r="V7378">
        <v>1327</v>
      </c>
      <c r="W7378">
        <v>0</v>
      </c>
      <c r="X7378">
        <v>0</v>
      </c>
      <c r="AC7378">
        <v>-300</v>
      </c>
      <c r="AF7378">
        <v>300</v>
      </c>
      <c r="AU7378">
        <f t="shared" si="228"/>
        <v>0</v>
      </c>
      <c r="AV7378">
        <f t="shared" si="229"/>
        <v>0</v>
      </c>
    </row>
    <row r="7379" spans="1:48" x14ac:dyDescent="0.25">
      <c r="A7379" t="s">
        <v>17085</v>
      </c>
      <c r="C7379" t="s">
        <v>17086</v>
      </c>
      <c r="D7379" t="s">
        <v>6255</v>
      </c>
      <c r="E7379" t="s">
        <v>1663</v>
      </c>
      <c r="F7379">
        <v>3</v>
      </c>
      <c r="G7379">
        <v>3.3</v>
      </c>
      <c r="H7379" t="s">
        <v>2017</v>
      </c>
      <c r="I7379" s="21">
        <v>44817</v>
      </c>
      <c r="J7379">
        <v>2022</v>
      </c>
      <c r="P7379" s="21" t="s">
        <v>114</v>
      </c>
      <c r="Q7379" s="262">
        <v>0</v>
      </c>
      <c r="S7379" t="s">
        <v>13253</v>
      </c>
      <c r="T7379">
        <v>11698</v>
      </c>
      <c r="V7379">
        <v>15306</v>
      </c>
      <c r="W7379">
        <v>0</v>
      </c>
      <c r="X7379">
        <v>0</v>
      </c>
      <c r="AU7379">
        <f t="shared" si="228"/>
        <v>0</v>
      </c>
      <c r="AV7379">
        <f t="shared" si="229"/>
        <v>0</v>
      </c>
    </row>
    <row r="7380" spans="1:48" x14ac:dyDescent="0.25">
      <c r="A7380" t="s">
        <v>17087</v>
      </c>
      <c r="C7380" t="s">
        <v>17088</v>
      </c>
      <c r="D7380" t="s">
        <v>17089</v>
      </c>
      <c r="E7380" t="s">
        <v>2310</v>
      </c>
      <c r="F7380">
        <v>9</v>
      </c>
      <c r="G7380">
        <v>9.3000000000000007</v>
      </c>
      <c r="H7380" t="s">
        <v>2323</v>
      </c>
      <c r="I7380" s="21">
        <v>44819</v>
      </c>
      <c r="J7380">
        <v>2022</v>
      </c>
      <c r="Q7380" s="262">
        <v>650000</v>
      </c>
      <c r="R7380" s="262">
        <v>0</v>
      </c>
      <c r="S7380" t="s">
        <v>13254</v>
      </c>
      <c r="U7380">
        <v>8</v>
      </c>
      <c r="V7380">
        <v>0</v>
      </c>
      <c r="W7380">
        <v>1890</v>
      </c>
      <c r="X7380">
        <v>1</v>
      </c>
      <c r="AC7380">
        <v>1080</v>
      </c>
      <c r="AF7380">
        <v>810</v>
      </c>
      <c r="AR7380">
        <v>1</v>
      </c>
      <c r="AU7380">
        <f t="shared" si="228"/>
        <v>0</v>
      </c>
      <c r="AV7380">
        <f t="shared" si="229"/>
        <v>0</v>
      </c>
    </row>
    <row r="7381" spans="1:48" x14ac:dyDescent="0.25">
      <c r="A7381" t="s">
        <v>17090</v>
      </c>
      <c r="C7381" t="s">
        <v>17091</v>
      </c>
      <c r="D7381" t="s">
        <v>17092</v>
      </c>
      <c r="E7381" t="s">
        <v>2310</v>
      </c>
      <c r="F7381">
        <v>14</v>
      </c>
      <c r="G7381">
        <v>14.1</v>
      </c>
      <c r="H7381" t="s">
        <v>2022</v>
      </c>
      <c r="I7381" s="21">
        <v>44819</v>
      </c>
      <c r="J7381">
        <v>2022</v>
      </c>
      <c r="Q7381" s="262">
        <v>415000</v>
      </c>
      <c r="R7381" s="262">
        <v>0</v>
      </c>
      <c r="S7381" t="s">
        <v>13254</v>
      </c>
      <c r="V7381">
        <v>0</v>
      </c>
      <c r="W7381">
        <v>2000</v>
      </c>
      <c r="X7381">
        <v>1</v>
      </c>
      <c r="AC7381">
        <v>1000</v>
      </c>
      <c r="AH7381">
        <v>1000</v>
      </c>
      <c r="AR7381">
        <v>1</v>
      </c>
      <c r="AU7381">
        <f t="shared" si="228"/>
        <v>0</v>
      </c>
      <c r="AV7381">
        <f t="shared" si="229"/>
        <v>1000</v>
      </c>
    </row>
    <row r="7382" spans="1:48" x14ac:dyDescent="0.25">
      <c r="A7382" t="s">
        <v>17093</v>
      </c>
      <c r="C7382" t="s">
        <v>17094</v>
      </c>
      <c r="D7382" t="s">
        <v>17095</v>
      </c>
      <c r="E7382" t="s">
        <v>2310</v>
      </c>
      <c r="F7382">
        <v>15</v>
      </c>
      <c r="G7382">
        <v>15.2</v>
      </c>
      <c r="H7382" t="s">
        <v>2323</v>
      </c>
      <c r="I7382" s="21">
        <v>44819</v>
      </c>
      <c r="J7382">
        <v>2022</v>
      </c>
      <c r="K7382" s="21">
        <v>44966</v>
      </c>
      <c r="L7382">
        <v>2023</v>
      </c>
      <c r="Q7382" s="262">
        <v>50000</v>
      </c>
      <c r="R7382" s="262">
        <v>0</v>
      </c>
      <c r="S7382" t="s">
        <v>13253</v>
      </c>
      <c r="T7382">
        <v>5401</v>
      </c>
      <c r="V7382">
        <v>0</v>
      </c>
      <c r="W7382">
        <v>0</v>
      </c>
      <c r="X7382">
        <v>0</v>
      </c>
      <c r="AU7382">
        <f t="shared" si="228"/>
        <v>0</v>
      </c>
      <c r="AV7382">
        <f t="shared" si="229"/>
        <v>0</v>
      </c>
    </row>
    <row r="7383" spans="1:48" x14ac:dyDescent="0.25">
      <c r="A7383" t="s">
        <v>17096</v>
      </c>
      <c r="C7383" t="s">
        <v>17097</v>
      </c>
      <c r="D7383" t="s">
        <v>17098</v>
      </c>
      <c r="E7383" t="s">
        <v>2310</v>
      </c>
      <c r="F7383">
        <v>8</v>
      </c>
      <c r="G7383">
        <v>8.1</v>
      </c>
      <c r="H7383" t="s">
        <v>2323</v>
      </c>
      <c r="I7383" s="21">
        <v>44820</v>
      </c>
      <c r="J7383">
        <v>2022</v>
      </c>
      <c r="Q7383" s="262">
        <v>1000000</v>
      </c>
      <c r="R7383" s="262">
        <v>164943.26</v>
      </c>
      <c r="S7383" t="s">
        <v>13254</v>
      </c>
      <c r="U7383">
        <v>8</v>
      </c>
      <c r="V7383">
        <v>0</v>
      </c>
      <c r="W7383">
        <v>998</v>
      </c>
      <c r="X7383">
        <v>1</v>
      </c>
      <c r="AF7383">
        <v>998</v>
      </c>
      <c r="AR7383">
        <v>1</v>
      </c>
      <c r="AU7383">
        <f t="shared" si="228"/>
        <v>0</v>
      </c>
      <c r="AV7383">
        <f t="shared" si="229"/>
        <v>0</v>
      </c>
    </row>
    <row r="7384" spans="1:48" x14ac:dyDescent="0.25">
      <c r="A7384" t="s">
        <v>17099</v>
      </c>
      <c r="C7384" t="s">
        <v>17100</v>
      </c>
      <c r="D7384" t="s">
        <v>17101</v>
      </c>
      <c r="E7384" t="s">
        <v>2310</v>
      </c>
      <c r="F7384">
        <v>9</v>
      </c>
      <c r="G7384">
        <v>9.3000000000000007</v>
      </c>
      <c r="H7384" t="s">
        <v>2323</v>
      </c>
      <c r="I7384" s="21">
        <v>44820</v>
      </c>
      <c r="J7384">
        <v>2022</v>
      </c>
      <c r="Q7384" s="262">
        <v>20000</v>
      </c>
      <c r="R7384" s="262">
        <v>0</v>
      </c>
      <c r="S7384" t="s">
        <v>13253</v>
      </c>
      <c r="T7384">
        <v>15004</v>
      </c>
      <c r="V7384">
        <v>0</v>
      </c>
      <c r="W7384">
        <v>0</v>
      </c>
      <c r="X7384">
        <v>0</v>
      </c>
      <c r="AU7384">
        <f t="shared" si="228"/>
        <v>0</v>
      </c>
      <c r="AV7384">
        <f t="shared" si="229"/>
        <v>0</v>
      </c>
    </row>
    <row r="7385" spans="1:48" x14ac:dyDescent="0.25">
      <c r="A7385" t="s">
        <v>17102</v>
      </c>
      <c r="C7385" t="s">
        <v>11411</v>
      </c>
      <c r="D7385" t="s">
        <v>10189</v>
      </c>
      <c r="E7385" t="s">
        <v>1663</v>
      </c>
      <c r="F7385">
        <v>5</v>
      </c>
      <c r="G7385">
        <v>5.5</v>
      </c>
      <c r="H7385" t="s">
        <v>2017</v>
      </c>
      <c r="I7385" s="21">
        <v>44824</v>
      </c>
      <c r="J7385">
        <v>2022</v>
      </c>
      <c r="K7385" s="21">
        <v>44858</v>
      </c>
      <c r="L7385">
        <v>2022</v>
      </c>
      <c r="P7385" s="21" t="s">
        <v>114</v>
      </c>
      <c r="Q7385" s="262">
        <v>150000</v>
      </c>
      <c r="S7385" t="s">
        <v>13253</v>
      </c>
      <c r="T7385">
        <v>13568</v>
      </c>
      <c r="W7385">
        <v>0</v>
      </c>
      <c r="X7385">
        <v>0</v>
      </c>
      <c r="AU7385">
        <f t="shared" ref="AU7385:AU7448" si="230">SUM(AN7385:AQ7385,AS7385)</f>
        <v>0</v>
      </c>
      <c r="AV7385">
        <f t="shared" ref="AV7385:AV7448" si="231">SUM(Y7385:AB7385,AH7385:AM7385)</f>
        <v>0</v>
      </c>
    </row>
    <row r="7386" spans="1:48" x14ac:dyDescent="0.25">
      <c r="A7386" t="s">
        <v>17103</v>
      </c>
      <c r="C7386" t="s">
        <v>11246</v>
      </c>
      <c r="D7386" t="s">
        <v>17104</v>
      </c>
      <c r="E7386" t="s">
        <v>1663</v>
      </c>
      <c r="F7386">
        <v>6</v>
      </c>
      <c r="G7386">
        <v>6.1</v>
      </c>
      <c r="H7386" t="s">
        <v>2017</v>
      </c>
      <c r="I7386" s="21">
        <v>44826</v>
      </c>
      <c r="J7386">
        <v>2022</v>
      </c>
      <c r="K7386" s="21">
        <v>44895</v>
      </c>
      <c r="L7386">
        <v>2022</v>
      </c>
      <c r="P7386" s="21" t="s">
        <v>114</v>
      </c>
      <c r="Q7386" s="262">
        <v>1500000</v>
      </c>
      <c r="S7386" t="s">
        <v>12464</v>
      </c>
      <c r="T7386">
        <v>13112</v>
      </c>
      <c r="W7386">
        <v>4870</v>
      </c>
      <c r="X7386">
        <v>1</v>
      </c>
      <c r="AC7386">
        <v>4870</v>
      </c>
      <c r="AO7386">
        <v>1</v>
      </c>
      <c r="AU7386">
        <f t="shared" si="230"/>
        <v>1</v>
      </c>
      <c r="AV7386">
        <f t="shared" si="231"/>
        <v>0</v>
      </c>
    </row>
    <row r="7387" spans="1:48" x14ac:dyDescent="0.25">
      <c r="A7387" t="s">
        <v>17103</v>
      </c>
      <c r="C7387" t="s">
        <v>11246</v>
      </c>
      <c r="D7387" t="s">
        <v>9219</v>
      </c>
      <c r="E7387" t="s">
        <v>1663</v>
      </c>
      <c r="F7387">
        <v>6</v>
      </c>
      <c r="G7387">
        <v>6.1</v>
      </c>
      <c r="I7387" s="21">
        <v>44826</v>
      </c>
      <c r="J7387">
        <v>2022</v>
      </c>
      <c r="K7387" s="21">
        <v>44895</v>
      </c>
      <c r="L7387">
        <v>2022</v>
      </c>
      <c r="Q7387" s="262">
        <v>1500000</v>
      </c>
      <c r="S7387" t="s">
        <v>9529</v>
      </c>
      <c r="T7387">
        <v>13112</v>
      </c>
      <c r="U7387">
        <v>5</v>
      </c>
      <c r="W7387">
        <v>-5703</v>
      </c>
      <c r="X7387">
        <v>-1</v>
      </c>
      <c r="Y7387">
        <v>0</v>
      </c>
      <c r="Z7387">
        <v>0</v>
      </c>
      <c r="AA7387">
        <v>0</v>
      </c>
      <c r="AB7387">
        <v>0</v>
      </c>
      <c r="AC7387">
        <v>-5703</v>
      </c>
      <c r="AD7387">
        <v>0</v>
      </c>
      <c r="AE7387">
        <v>0</v>
      </c>
      <c r="AF7387">
        <v>0</v>
      </c>
      <c r="AG7387">
        <v>0</v>
      </c>
      <c r="AH7387">
        <v>0</v>
      </c>
      <c r="AI7387">
        <v>0</v>
      </c>
      <c r="AJ7387">
        <v>0</v>
      </c>
      <c r="AK7387">
        <v>0</v>
      </c>
      <c r="AL7387">
        <v>0</v>
      </c>
      <c r="AM7387">
        <v>0</v>
      </c>
      <c r="AN7387">
        <v>0</v>
      </c>
      <c r="AO7387">
        <v>-1</v>
      </c>
      <c r="AP7387">
        <v>0</v>
      </c>
      <c r="AQ7387">
        <v>0</v>
      </c>
      <c r="AR7387">
        <v>0</v>
      </c>
      <c r="AS7387">
        <v>0</v>
      </c>
      <c r="AT7387">
        <v>0</v>
      </c>
      <c r="AU7387">
        <f t="shared" si="230"/>
        <v>-1</v>
      </c>
      <c r="AV7387">
        <f t="shared" si="231"/>
        <v>0</v>
      </c>
    </row>
    <row r="7388" spans="1:48" x14ac:dyDescent="0.25">
      <c r="A7388" t="s">
        <v>15280</v>
      </c>
      <c r="C7388" t="s">
        <v>15281</v>
      </c>
      <c r="D7388" t="s">
        <v>6633</v>
      </c>
      <c r="E7388" t="s">
        <v>2310</v>
      </c>
      <c r="F7388">
        <v>12</v>
      </c>
      <c r="G7388">
        <v>12.1</v>
      </c>
      <c r="H7388" t="s">
        <v>2327</v>
      </c>
      <c r="I7388" s="21">
        <v>44826</v>
      </c>
      <c r="J7388">
        <v>2022</v>
      </c>
      <c r="K7388" s="21">
        <v>44875</v>
      </c>
      <c r="L7388">
        <v>2022</v>
      </c>
      <c r="M7388" s="21">
        <v>44925</v>
      </c>
      <c r="N7388">
        <v>2022</v>
      </c>
      <c r="Q7388" s="262">
        <v>300000</v>
      </c>
      <c r="R7388" s="262">
        <v>134476.66</v>
      </c>
      <c r="S7388" t="s">
        <v>13253</v>
      </c>
      <c r="T7388">
        <v>3524</v>
      </c>
      <c r="V7388">
        <v>1091</v>
      </c>
      <c r="W7388">
        <v>0</v>
      </c>
      <c r="X7388">
        <v>0</v>
      </c>
      <c r="AU7388">
        <f t="shared" si="230"/>
        <v>0</v>
      </c>
      <c r="AV7388">
        <f t="shared" si="231"/>
        <v>0</v>
      </c>
    </row>
    <row r="7389" spans="1:48" x14ac:dyDescent="0.25">
      <c r="A7389" t="s">
        <v>17107</v>
      </c>
      <c r="C7389" t="s">
        <v>17108</v>
      </c>
      <c r="D7389" t="s">
        <v>17109</v>
      </c>
      <c r="E7389" t="s">
        <v>2310</v>
      </c>
      <c r="F7389">
        <v>9</v>
      </c>
      <c r="G7389">
        <v>9.1</v>
      </c>
      <c r="H7389" t="s">
        <v>2323</v>
      </c>
      <c r="I7389" s="21">
        <v>44826</v>
      </c>
      <c r="J7389">
        <v>2022</v>
      </c>
      <c r="Q7389" s="262">
        <v>35000000</v>
      </c>
      <c r="R7389" s="262">
        <v>5201808.5199999996</v>
      </c>
      <c r="S7389" t="s">
        <v>13254</v>
      </c>
      <c r="V7389">
        <v>0</v>
      </c>
      <c r="W7389">
        <v>44030</v>
      </c>
      <c r="X7389">
        <v>0</v>
      </c>
      <c r="AM7389">
        <v>44030</v>
      </c>
      <c r="AU7389">
        <f t="shared" si="230"/>
        <v>0</v>
      </c>
      <c r="AV7389">
        <f t="shared" si="231"/>
        <v>44030</v>
      </c>
    </row>
    <row r="7390" spans="1:48" x14ac:dyDescent="0.25">
      <c r="A7390" t="s">
        <v>17112</v>
      </c>
      <c r="C7390" t="s">
        <v>17113</v>
      </c>
      <c r="D7390" t="s">
        <v>13462</v>
      </c>
      <c r="E7390" t="s">
        <v>2310</v>
      </c>
      <c r="F7390">
        <v>11</v>
      </c>
      <c r="G7390">
        <v>11.2</v>
      </c>
      <c r="H7390" t="s">
        <v>2017</v>
      </c>
      <c r="I7390" s="21">
        <v>44826</v>
      </c>
      <c r="J7390">
        <v>2022</v>
      </c>
      <c r="K7390" s="21">
        <v>44959</v>
      </c>
      <c r="L7390">
        <v>2023</v>
      </c>
      <c r="Q7390" s="262">
        <v>200000</v>
      </c>
      <c r="R7390" s="262">
        <v>64399.360000000001</v>
      </c>
      <c r="S7390" t="s">
        <v>13253</v>
      </c>
      <c r="T7390">
        <v>14992</v>
      </c>
      <c r="V7390">
        <v>0</v>
      </c>
      <c r="W7390">
        <v>684</v>
      </c>
      <c r="X7390">
        <v>0</v>
      </c>
      <c r="AC7390">
        <v>684</v>
      </c>
      <c r="AU7390">
        <f t="shared" si="230"/>
        <v>0</v>
      </c>
      <c r="AV7390">
        <f t="shared" si="231"/>
        <v>0</v>
      </c>
    </row>
    <row r="7391" spans="1:48" x14ac:dyDescent="0.25">
      <c r="A7391" t="s">
        <v>17114</v>
      </c>
      <c r="C7391" t="s">
        <v>17115</v>
      </c>
      <c r="D7391" t="s">
        <v>17116</v>
      </c>
      <c r="E7391" t="s">
        <v>2310</v>
      </c>
      <c r="F7391">
        <v>15</v>
      </c>
      <c r="G7391">
        <v>15.4</v>
      </c>
      <c r="H7391" t="s">
        <v>2323</v>
      </c>
      <c r="I7391" s="21">
        <v>44831</v>
      </c>
      <c r="J7391">
        <v>2022</v>
      </c>
      <c r="Q7391" s="262">
        <v>300000</v>
      </c>
      <c r="R7391" s="262">
        <v>1356</v>
      </c>
      <c r="S7391" t="s">
        <v>13254</v>
      </c>
      <c r="U7391">
        <v>5</v>
      </c>
      <c r="V7391">
        <v>0</v>
      </c>
      <c r="W7391">
        <v>1494</v>
      </c>
      <c r="X7391">
        <v>1</v>
      </c>
      <c r="AC7391">
        <v>1494</v>
      </c>
      <c r="AO7391">
        <v>1</v>
      </c>
      <c r="AU7391">
        <f t="shared" si="230"/>
        <v>1</v>
      </c>
      <c r="AV7391">
        <f t="shared" si="231"/>
        <v>0</v>
      </c>
    </row>
    <row r="7392" spans="1:48" x14ac:dyDescent="0.25">
      <c r="A7392" t="s">
        <v>17117</v>
      </c>
      <c r="C7392" t="s">
        <v>17118</v>
      </c>
      <c r="D7392" t="s">
        <v>13390</v>
      </c>
      <c r="E7392" t="s">
        <v>2310</v>
      </c>
      <c r="F7392">
        <v>9</v>
      </c>
      <c r="G7392">
        <v>9.1999999999999993</v>
      </c>
      <c r="H7392" t="s">
        <v>2022</v>
      </c>
      <c r="I7392" s="21">
        <v>44833</v>
      </c>
      <c r="J7392">
        <v>2022</v>
      </c>
      <c r="Q7392" s="262">
        <v>632400</v>
      </c>
      <c r="R7392" s="262">
        <v>3846.75</v>
      </c>
      <c r="S7392" t="s">
        <v>12464</v>
      </c>
      <c r="T7392">
        <v>4497</v>
      </c>
      <c r="U7392">
        <v>5</v>
      </c>
      <c r="V7392">
        <v>0</v>
      </c>
      <c r="W7392">
        <v>4216</v>
      </c>
      <c r="X7392">
        <v>1</v>
      </c>
      <c r="AC7392">
        <v>4216</v>
      </c>
      <c r="AR7392">
        <v>1</v>
      </c>
      <c r="AU7392">
        <f t="shared" si="230"/>
        <v>0</v>
      </c>
      <c r="AV7392">
        <f t="shared" si="231"/>
        <v>0</v>
      </c>
    </row>
    <row r="7393" spans="1:48" x14ac:dyDescent="0.25">
      <c r="A7393" t="s">
        <v>17119</v>
      </c>
      <c r="C7393" t="s">
        <v>17120</v>
      </c>
      <c r="D7393" t="s">
        <v>17121</v>
      </c>
      <c r="E7393" t="s">
        <v>2310</v>
      </c>
      <c r="F7393">
        <v>9</v>
      </c>
      <c r="G7393">
        <v>9.1999999999999993</v>
      </c>
      <c r="H7393" t="s">
        <v>2022</v>
      </c>
      <c r="I7393" s="21">
        <v>44833</v>
      </c>
      <c r="J7393">
        <v>2022</v>
      </c>
      <c r="Q7393" s="262">
        <v>21740080</v>
      </c>
      <c r="R7393" s="262">
        <v>24599.1</v>
      </c>
      <c r="S7393" t="s">
        <v>13254</v>
      </c>
      <c r="U7393">
        <v>5</v>
      </c>
      <c r="V7393">
        <v>0</v>
      </c>
      <c r="W7393">
        <v>21259</v>
      </c>
      <c r="X7393">
        <v>1</v>
      </c>
      <c r="AC7393">
        <v>21259</v>
      </c>
      <c r="AO7393">
        <v>1</v>
      </c>
      <c r="AU7393">
        <f t="shared" si="230"/>
        <v>1</v>
      </c>
      <c r="AV7393">
        <f t="shared" si="231"/>
        <v>0</v>
      </c>
    </row>
    <row r="7394" spans="1:48" x14ac:dyDescent="0.25">
      <c r="A7394" t="s">
        <v>17122</v>
      </c>
      <c r="C7394" t="s">
        <v>17123</v>
      </c>
      <c r="D7394" t="s">
        <v>17124</v>
      </c>
      <c r="E7394" t="s">
        <v>2310</v>
      </c>
      <c r="F7394">
        <v>15</v>
      </c>
      <c r="G7394">
        <v>15.4</v>
      </c>
      <c r="H7394" t="s">
        <v>2323</v>
      </c>
      <c r="I7394" s="21">
        <v>44833</v>
      </c>
      <c r="J7394">
        <v>2022</v>
      </c>
      <c r="K7394" s="21">
        <v>44936</v>
      </c>
      <c r="L7394">
        <v>2023</v>
      </c>
      <c r="Q7394" s="262">
        <v>2500000</v>
      </c>
      <c r="R7394" s="262">
        <v>143079.35</v>
      </c>
      <c r="S7394" t="s">
        <v>13253</v>
      </c>
      <c r="T7394">
        <v>5654</v>
      </c>
      <c r="V7394">
        <v>1256</v>
      </c>
      <c r="W7394">
        <v>804</v>
      </c>
      <c r="X7394">
        <v>0</v>
      </c>
      <c r="AC7394">
        <v>804</v>
      </c>
      <c r="AU7394">
        <f t="shared" si="230"/>
        <v>0</v>
      </c>
      <c r="AV7394">
        <f t="shared" si="231"/>
        <v>0</v>
      </c>
    </row>
    <row r="7395" spans="1:48" x14ac:dyDescent="0.25">
      <c r="A7395" t="s">
        <v>17125</v>
      </c>
      <c r="C7395" t="s">
        <v>17126</v>
      </c>
      <c r="D7395" t="s">
        <v>3225</v>
      </c>
      <c r="E7395" t="s">
        <v>2310</v>
      </c>
      <c r="F7395">
        <v>9</v>
      </c>
      <c r="G7395">
        <v>9.3000000000000007</v>
      </c>
      <c r="H7395" t="s">
        <v>2323</v>
      </c>
      <c r="I7395" s="21">
        <v>44833</v>
      </c>
      <c r="J7395">
        <v>2022</v>
      </c>
      <c r="Q7395" s="262">
        <v>0</v>
      </c>
      <c r="R7395" s="262">
        <v>90520</v>
      </c>
      <c r="S7395" t="s">
        <v>13253</v>
      </c>
      <c r="T7395">
        <v>3966</v>
      </c>
      <c r="V7395">
        <v>800</v>
      </c>
      <c r="W7395">
        <v>0</v>
      </c>
      <c r="X7395">
        <v>0</v>
      </c>
      <c r="AU7395">
        <f t="shared" si="230"/>
        <v>0</v>
      </c>
      <c r="AV7395">
        <f t="shared" si="231"/>
        <v>0</v>
      </c>
    </row>
    <row r="7396" spans="1:48" x14ac:dyDescent="0.25">
      <c r="A7396" t="s">
        <v>17117</v>
      </c>
      <c r="D7396" t="s">
        <v>13390</v>
      </c>
      <c r="E7396" t="s">
        <v>2310</v>
      </c>
      <c r="F7396">
        <v>9</v>
      </c>
      <c r="G7396">
        <v>9.1999999999999993</v>
      </c>
      <c r="H7396" t="s">
        <v>2022</v>
      </c>
      <c r="I7396" s="21">
        <v>44833</v>
      </c>
      <c r="J7396">
        <v>2022</v>
      </c>
      <c r="Q7396" s="262">
        <v>632400</v>
      </c>
      <c r="S7396" t="s">
        <v>9529</v>
      </c>
      <c r="T7396">
        <v>4497</v>
      </c>
      <c r="U7396">
        <v>5</v>
      </c>
      <c r="W7396">
        <v>-730</v>
      </c>
      <c r="X7396">
        <v>-1</v>
      </c>
      <c r="Y7396">
        <v>0</v>
      </c>
      <c r="Z7396">
        <v>0</v>
      </c>
      <c r="AA7396">
        <v>0</v>
      </c>
      <c r="AB7396">
        <v>0</v>
      </c>
      <c r="AC7396">
        <v>-730</v>
      </c>
      <c r="AD7396">
        <v>0</v>
      </c>
      <c r="AE7396">
        <v>0</v>
      </c>
      <c r="AF7396">
        <v>0</v>
      </c>
      <c r="AG7396">
        <v>0</v>
      </c>
      <c r="AH7396">
        <v>0</v>
      </c>
      <c r="AI7396">
        <v>0</v>
      </c>
      <c r="AJ7396">
        <v>0</v>
      </c>
      <c r="AK7396">
        <v>0</v>
      </c>
      <c r="AL7396">
        <v>0</v>
      </c>
      <c r="AM7396">
        <v>0</v>
      </c>
      <c r="AN7396">
        <v>0</v>
      </c>
      <c r="AO7396">
        <v>-1</v>
      </c>
      <c r="AP7396">
        <v>0</v>
      </c>
      <c r="AQ7396">
        <v>0</v>
      </c>
      <c r="AR7396">
        <v>0</v>
      </c>
      <c r="AS7396">
        <v>0</v>
      </c>
      <c r="AT7396">
        <v>0</v>
      </c>
      <c r="AU7396">
        <f t="shared" si="230"/>
        <v>-1</v>
      </c>
      <c r="AV7396">
        <f t="shared" si="231"/>
        <v>0</v>
      </c>
    </row>
    <row r="7397" spans="1:48" x14ac:dyDescent="0.25">
      <c r="A7397" t="s">
        <v>17127</v>
      </c>
      <c r="C7397" t="s">
        <v>17128</v>
      </c>
      <c r="D7397" t="s">
        <v>12007</v>
      </c>
      <c r="E7397" t="s">
        <v>2310</v>
      </c>
      <c r="F7397">
        <v>10</v>
      </c>
      <c r="G7397">
        <v>10.1</v>
      </c>
      <c r="H7397" t="s">
        <v>2323</v>
      </c>
      <c r="I7397" s="21">
        <v>44834</v>
      </c>
      <c r="J7397">
        <v>2022</v>
      </c>
      <c r="Q7397" s="262">
        <v>523000</v>
      </c>
      <c r="R7397" s="262">
        <v>975.78</v>
      </c>
      <c r="S7397" t="s">
        <v>13254</v>
      </c>
      <c r="V7397">
        <v>0</v>
      </c>
      <c r="W7397">
        <v>2304</v>
      </c>
      <c r="X7397">
        <v>0</v>
      </c>
      <c r="AC7397">
        <v>2304</v>
      </c>
      <c r="AU7397">
        <f t="shared" si="230"/>
        <v>0</v>
      </c>
      <c r="AV7397">
        <f t="shared" si="231"/>
        <v>0</v>
      </c>
    </row>
    <row r="7398" spans="1:48" x14ac:dyDescent="0.25">
      <c r="A7398" t="s">
        <v>17129</v>
      </c>
      <c r="C7398" t="s">
        <v>17130</v>
      </c>
      <c r="D7398" t="s">
        <v>17131</v>
      </c>
      <c r="E7398" t="s">
        <v>1663</v>
      </c>
      <c r="F7398">
        <v>4</v>
      </c>
      <c r="G7398">
        <v>4.3</v>
      </c>
      <c r="H7398" t="s">
        <v>2327</v>
      </c>
      <c r="I7398" s="21">
        <v>44837</v>
      </c>
      <c r="J7398">
        <v>2022</v>
      </c>
      <c r="P7398" s="21" t="s">
        <v>114</v>
      </c>
      <c r="Q7398" s="262">
        <v>1000000</v>
      </c>
      <c r="S7398" t="s">
        <v>13253</v>
      </c>
      <c r="T7398">
        <v>12305</v>
      </c>
      <c r="V7398">
        <v>3651</v>
      </c>
      <c r="W7398">
        <v>0</v>
      </c>
      <c r="X7398">
        <v>0</v>
      </c>
      <c r="AU7398">
        <f t="shared" si="230"/>
        <v>0</v>
      </c>
      <c r="AV7398">
        <f t="shared" si="231"/>
        <v>0</v>
      </c>
    </row>
    <row r="7399" spans="1:48" x14ac:dyDescent="0.25">
      <c r="A7399" t="s">
        <v>2238</v>
      </c>
      <c r="C7399" t="s">
        <v>17132</v>
      </c>
      <c r="D7399" t="s">
        <v>9210</v>
      </c>
      <c r="E7399" t="s">
        <v>1663</v>
      </c>
      <c r="F7399">
        <v>3</v>
      </c>
      <c r="G7399">
        <v>3.2</v>
      </c>
      <c r="H7399" t="s">
        <v>2327</v>
      </c>
      <c r="I7399" s="21">
        <v>44838</v>
      </c>
      <c r="J7399">
        <v>2022</v>
      </c>
      <c r="P7399" s="21" t="s">
        <v>114</v>
      </c>
      <c r="Q7399" s="262">
        <v>8500000</v>
      </c>
      <c r="S7399" t="s">
        <v>13254</v>
      </c>
      <c r="W7399">
        <v>13763</v>
      </c>
      <c r="X7399">
        <v>15</v>
      </c>
      <c r="AE7399">
        <v>13763</v>
      </c>
      <c r="AQ7399">
        <v>15</v>
      </c>
      <c r="AU7399">
        <f t="shared" si="230"/>
        <v>15</v>
      </c>
      <c r="AV7399">
        <f t="shared" si="231"/>
        <v>0</v>
      </c>
    </row>
    <row r="7400" spans="1:48" x14ac:dyDescent="0.25">
      <c r="A7400" t="s">
        <v>17133</v>
      </c>
      <c r="C7400" t="s">
        <v>17134</v>
      </c>
      <c r="D7400" t="s">
        <v>17135</v>
      </c>
      <c r="E7400" t="s">
        <v>2310</v>
      </c>
      <c r="F7400">
        <v>8</v>
      </c>
      <c r="G7400">
        <v>8.3000000000000007</v>
      </c>
      <c r="H7400" t="s">
        <v>2323</v>
      </c>
      <c r="I7400" s="21">
        <v>44838</v>
      </c>
      <c r="J7400">
        <v>2022</v>
      </c>
      <c r="Q7400" s="262">
        <v>0</v>
      </c>
      <c r="R7400" s="262">
        <v>0</v>
      </c>
      <c r="S7400" t="s">
        <v>13253</v>
      </c>
      <c r="T7400">
        <v>620</v>
      </c>
      <c r="V7400">
        <v>0</v>
      </c>
      <c r="W7400">
        <v>0</v>
      </c>
      <c r="X7400">
        <v>0</v>
      </c>
      <c r="AU7400">
        <f t="shared" si="230"/>
        <v>0</v>
      </c>
      <c r="AV7400">
        <f t="shared" si="231"/>
        <v>0</v>
      </c>
    </row>
    <row r="7401" spans="1:48" x14ac:dyDescent="0.25">
      <c r="A7401" t="s">
        <v>17136</v>
      </c>
      <c r="C7401" t="s">
        <v>17137</v>
      </c>
      <c r="D7401" t="s">
        <v>5781</v>
      </c>
      <c r="E7401" t="s">
        <v>2310</v>
      </c>
      <c r="F7401">
        <v>9</v>
      </c>
      <c r="G7401">
        <v>9.1999999999999993</v>
      </c>
      <c r="H7401" t="s">
        <v>2022</v>
      </c>
      <c r="I7401" s="21">
        <v>44840</v>
      </c>
      <c r="J7401">
        <v>2022</v>
      </c>
      <c r="Q7401" s="262">
        <v>3594000</v>
      </c>
      <c r="R7401" s="262">
        <v>10949.65</v>
      </c>
      <c r="S7401" t="s">
        <v>13253</v>
      </c>
      <c r="T7401">
        <v>4956</v>
      </c>
      <c r="V7401">
        <v>4574</v>
      </c>
      <c r="W7401">
        <v>2165</v>
      </c>
      <c r="X7401">
        <v>0</v>
      </c>
      <c r="AC7401">
        <v>2165</v>
      </c>
      <c r="AU7401">
        <f t="shared" si="230"/>
        <v>0</v>
      </c>
      <c r="AV7401">
        <f t="shared" si="231"/>
        <v>0</v>
      </c>
    </row>
    <row r="7402" spans="1:48" x14ac:dyDescent="0.25">
      <c r="A7402" t="s">
        <v>17138</v>
      </c>
      <c r="C7402" t="s">
        <v>17139</v>
      </c>
      <c r="D7402" t="s">
        <v>15792</v>
      </c>
      <c r="E7402" t="s">
        <v>2310</v>
      </c>
      <c r="F7402">
        <v>9</v>
      </c>
      <c r="G7402">
        <v>9.3000000000000007</v>
      </c>
      <c r="H7402" t="s">
        <v>2323</v>
      </c>
      <c r="I7402" s="21">
        <v>44840</v>
      </c>
      <c r="J7402">
        <v>2022</v>
      </c>
      <c r="Q7402" s="262">
        <v>52000</v>
      </c>
      <c r="R7402" s="262">
        <v>391.59</v>
      </c>
      <c r="S7402" t="s">
        <v>13254</v>
      </c>
      <c r="U7402">
        <v>5</v>
      </c>
      <c r="V7402">
        <v>0</v>
      </c>
      <c r="W7402">
        <v>1080</v>
      </c>
      <c r="X7402">
        <v>0</v>
      </c>
      <c r="AC7402">
        <v>1080</v>
      </c>
      <c r="AU7402">
        <f t="shared" si="230"/>
        <v>0</v>
      </c>
      <c r="AV7402">
        <f t="shared" si="231"/>
        <v>0</v>
      </c>
    </row>
    <row r="7403" spans="1:48" x14ac:dyDescent="0.25">
      <c r="A7403" t="s">
        <v>17140</v>
      </c>
      <c r="C7403" t="s">
        <v>17141</v>
      </c>
      <c r="D7403" t="s">
        <v>17142</v>
      </c>
      <c r="E7403" t="s">
        <v>2310</v>
      </c>
      <c r="F7403">
        <v>10</v>
      </c>
      <c r="G7403">
        <v>10.1</v>
      </c>
      <c r="H7403" t="s">
        <v>2323</v>
      </c>
      <c r="I7403" s="21">
        <v>44840</v>
      </c>
      <c r="J7403">
        <v>2022</v>
      </c>
      <c r="K7403" s="21">
        <v>44840</v>
      </c>
      <c r="L7403">
        <v>2022</v>
      </c>
      <c r="Q7403" s="262">
        <v>50000</v>
      </c>
      <c r="R7403" s="262">
        <v>0</v>
      </c>
      <c r="S7403" t="s">
        <v>13253</v>
      </c>
      <c r="T7403">
        <v>1070</v>
      </c>
      <c r="V7403">
        <v>0</v>
      </c>
      <c r="W7403">
        <v>0</v>
      </c>
      <c r="X7403">
        <v>0</v>
      </c>
      <c r="AU7403">
        <f t="shared" si="230"/>
        <v>0</v>
      </c>
      <c r="AV7403">
        <f t="shared" si="231"/>
        <v>0</v>
      </c>
    </row>
    <row r="7404" spans="1:48" x14ac:dyDescent="0.25">
      <c r="A7404" t="s">
        <v>17143</v>
      </c>
      <c r="C7404" t="s">
        <v>17144</v>
      </c>
      <c r="D7404" t="s">
        <v>17145</v>
      </c>
      <c r="E7404" t="s">
        <v>2310</v>
      </c>
      <c r="F7404">
        <v>8</v>
      </c>
      <c r="G7404">
        <v>8.1999999999999993</v>
      </c>
      <c r="H7404" t="s">
        <v>2022</v>
      </c>
      <c r="I7404" s="21">
        <v>44841</v>
      </c>
      <c r="J7404">
        <v>2022</v>
      </c>
      <c r="Q7404" s="262">
        <v>3348600</v>
      </c>
      <c r="R7404" s="262">
        <v>7064.97</v>
      </c>
      <c r="S7404" t="s">
        <v>13254</v>
      </c>
      <c r="U7404">
        <v>5</v>
      </c>
      <c r="V7404">
        <v>0</v>
      </c>
      <c r="W7404">
        <v>8641</v>
      </c>
      <c r="X7404">
        <v>1</v>
      </c>
      <c r="AC7404">
        <v>8641</v>
      </c>
      <c r="AO7404">
        <v>1</v>
      </c>
      <c r="AU7404">
        <f t="shared" si="230"/>
        <v>1</v>
      </c>
      <c r="AV7404">
        <f t="shared" si="231"/>
        <v>0</v>
      </c>
    </row>
    <row r="7405" spans="1:48" x14ac:dyDescent="0.25">
      <c r="A7405" t="s">
        <v>17146</v>
      </c>
      <c r="C7405" t="s">
        <v>17147</v>
      </c>
      <c r="D7405" t="s">
        <v>17145</v>
      </c>
      <c r="E7405" t="s">
        <v>2310</v>
      </c>
      <c r="F7405">
        <v>8</v>
      </c>
      <c r="G7405">
        <v>8.1999999999999993</v>
      </c>
      <c r="H7405" t="s">
        <v>2022</v>
      </c>
      <c r="I7405" s="21">
        <v>44841</v>
      </c>
      <c r="J7405">
        <v>2022</v>
      </c>
      <c r="Q7405" s="262">
        <v>3348600</v>
      </c>
      <c r="R7405" s="262">
        <v>7064.97</v>
      </c>
      <c r="S7405" t="s">
        <v>13254</v>
      </c>
      <c r="U7405">
        <v>5</v>
      </c>
      <c r="V7405">
        <v>0</v>
      </c>
      <c r="W7405">
        <v>728</v>
      </c>
      <c r="X7405">
        <v>0</v>
      </c>
      <c r="AC7405">
        <v>728</v>
      </c>
      <c r="AU7405">
        <f t="shared" si="230"/>
        <v>0</v>
      </c>
      <c r="AV7405">
        <f t="shared" si="231"/>
        <v>0</v>
      </c>
    </row>
    <row r="7406" spans="1:48" x14ac:dyDescent="0.25">
      <c r="A7406" t="s">
        <v>17148</v>
      </c>
      <c r="C7406" t="s">
        <v>17149</v>
      </c>
      <c r="D7406" t="s">
        <v>17145</v>
      </c>
      <c r="E7406" t="s">
        <v>2310</v>
      </c>
      <c r="F7406">
        <v>8</v>
      </c>
      <c r="G7406">
        <v>8.1999999999999993</v>
      </c>
      <c r="H7406" t="s">
        <v>2022</v>
      </c>
      <c r="I7406" s="21">
        <v>44841</v>
      </c>
      <c r="J7406">
        <v>2022</v>
      </c>
      <c r="Q7406" s="262">
        <v>399600</v>
      </c>
      <c r="R7406" s="262">
        <v>1210.33</v>
      </c>
      <c r="S7406" t="s">
        <v>13254</v>
      </c>
      <c r="U7406">
        <v>8</v>
      </c>
      <c r="V7406">
        <v>0</v>
      </c>
      <c r="W7406">
        <v>1843</v>
      </c>
      <c r="X7406">
        <v>1</v>
      </c>
      <c r="AC7406">
        <v>844</v>
      </c>
      <c r="AF7406">
        <v>999</v>
      </c>
      <c r="AR7406">
        <v>1</v>
      </c>
      <c r="AU7406">
        <f t="shared" si="230"/>
        <v>0</v>
      </c>
      <c r="AV7406">
        <f t="shared" si="231"/>
        <v>0</v>
      </c>
    </row>
    <row r="7407" spans="1:48" x14ac:dyDescent="0.25">
      <c r="A7407" t="s">
        <v>17150</v>
      </c>
      <c r="C7407" t="s">
        <v>17151</v>
      </c>
      <c r="D7407" t="s">
        <v>17145</v>
      </c>
      <c r="E7407" t="s">
        <v>2310</v>
      </c>
      <c r="F7407">
        <v>8</v>
      </c>
      <c r="G7407">
        <v>8.1999999999999993</v>
      </c>
      <c r="H7407" t="s">
        <v>2022</v>
      </c>
      <c r="I7407" s="21">
        <v>44841</v>
      </c>
      <c r="J7407">
        <v>2022</v>
      </c>
      <c r="Q7407" s="262">
        <v>720000</v>
      </c>
      <c r="R7407" s="262">
        <v>870.19</v>
      </c>
      <c r="S7407" t="s">
        <v>13254</v>
      </c>
      <c r="U7407">
        <v>5</v>
      </c>
      <c r="V7407">
        <v>0</v>
      </c>
      <c r="W7407">
        <v>2400</v>
      </c>
      <c r="X7407">
        <v>0</v>
      </c>
      <c r="AC7407">
        <v>2400</v>
      </c>
      <c r="AU7407">
        <f t="shared" si="230"/>
        <v>0</v>
      </c>
      <c r="AV7407">
        <f t="shared" si="231"/>
        <v>0</v>
      </c>
    </row>
    <row r="7408" spans="1:48" x14ac:dyDescent="0.25">
      <c r="A7408" t="s">
        <v>17152</v>
      </c>
      <c r="C7408" t="s">
        <v>17153</v>
      </c>
      <c r="D7408" t="s">
        <v>17154</v>
      </c>
      <c r="E7408" t="s">
        <v>2310</v>
      </c>
      <c r="F7408">
        <v>15</v>
      </c>
      <c r="G7408">
        <v>15.2</v>
      </c>
      <c r="H7408" t="s">
        <v>2323</v>
      </c>
      <c r="I7408" s="21">
        <v>44841</v>
      </c>
      <c r="J7408">
        <v>2022</v>
      </c>
      <c r="Q7408" s="262">
        <v>6000000</v>
      </c>
      <c r="R7408" s="262">
        <v>19940.45</v>
      </c>
      <c r="S7408" t="s">
        <v>13254</v>
      </c>
      <c r="U7408">
        <v>5</v>
      </c>
      <c r="V7408">
        <v>0</v>
      </c>
      <c r="W7408">
        <v>15686</v>
      </c>
      <c r="X7408">
        <v>1</v>
      </c>
      <c r="AC7408">
        <v>15686</v>
      </c>
      <c r="AO7408">
        <v>1</v>
      </c>
      <c r="AU7408">
        <f t="shared" si="230"/>
        <v>1</v>
      </c>
      <c r="AV7408">
        <f t="shared" si="231"/>
        <v>0</v>
      </c>
    </row>
    <row r="7409" spans="1:48" x14ac:dyDescent="0.25">
      <c r="A7409" t="s">
        <v>17155</v>
      </c>
      <c r="C7409" t="s">
        <v>17156</v>
      </c>
      <c r="D7409" t="s">
        <v>17154</v>
      </c>
      <c r="E7409" t="s">
        <v>2310</v>
      </c>
      <c r="F7409">
        <v>15</v>
      </c>
      <c r="G7409">
        <v>15.2</v>
      </c>
      <c r="H7409" t="s">
        <v>2323</v>
      </c>
      <c r="I7409" s="21">
        <v>44841</v>
      </c>
      <c r="J7409">
        <v>2022</v>
      </c>
      <c r="Q7409" s="262">
        <v>250000</v>
      </c>
      <c r="R7409" s="262">
        <v>903.94</v>
      </c>
      <c r="S7409" t="s">
        <v>13254</v>
      </c>
      <c r="U7409">
        <v>8</v>
      </c>
      <c r="V7409">
        <v>0</v>
      </c>
      <c r="W7409">
        <v>1426</v>
      </c>
      <c r="X7409">
        <v>1</v>
      </c>
      <c r="AC7409">
        <v>713</v>
      </c>
      <c r="AF7409">
        <v>713</v>
      </c>
      <c r="AR7409">
        <v>1</v>
      </c>
      <c r="AU7409">
        <f t="shared" si="230"/>
        <v>0</v>
      </c>
      <c r="AV7409">
        <f t="shared" si="231"/>
        <v>0</v>
      </c>
    </row>
    <row r="7410" spans="1:48" x14ac:dyDescent="0.25">
      <c r="A7410" t="s">
        <v>17158</v>
      </c>
      <c r="C7410" t="s">
        <v>17159</v>
      </c>
      <c r="D7410" t="s">
        <v>17160</v>
      </c>
      <c r="E7410" t="s">
        <v>1663</v>
      </c>
      <c r="F7410">
        <v>3</v>
      </c>
      <c r="G7410">
        <v>3.2</v>
      </c>
      <c r="H7410" t="s">
        <v>2327</v>
      </c>
      <c r="I7410" s="21">
        <v>44846</v>
      </c>
      <c r="J7410">
        <v>2022</v>
      </c>
      <c r="K7410" s="21">
        <v>44872</v>
      </c>
      <c r="L7410">
        <v>2022</v>
      </c>
      <c r="P7410" s="21" t="s">
        <v>114</v>
      </c>
      <c r="Q7410" s="262">
        <v>25000</v>
      </c>
      <c r="S7410" t="s">
        <v>13253</v>
      </c>
      <c r="T7410">
        <v>9994</v>
      </c>
      <c r="W7410">
        <v>0</v>
      </c>
      <c r="X7410">
        <v>0</v>
      </c>
      <c r="AU7410">
        <f t="shared" si="230"/>
        <v>0</v>
      </c>
      <c r="AV7410">
        <f t="shared" si="231"/>
        <v>0</v>
      </c>
    </row>
    <row r="7411" spans="1:48" x14ac:dyDescent="0.25">
      <c r="A7411" t="s">
        <v>17161</v>
      </c>
      <c r="C7411" t="s">
        <v>17162</v>
      </c>
      <c r="D7411" t="s">
        <v>16762</v>
      </c>
      <c r="E7411" t="s">
        <v>2310</v>
      </c>
      <c r="F7411">
        <v>9</v>
      </c>
      <c r="G7411">
        <v>9.1</v>
      </c>
      <c r="H7411" t="s">
        <v>2323</v>
      </c>
      <c r="I7411" s="21">
        <v>44846</v>
      </c>
      <c r="J7411">
        <v>2022</v>
      </c>
      <c r="K7411" s="21">
        <v>44859</v>
      </c>
      <c r="L7411">
        <v>2022</v>
      </c>
      <c r="Q7411" s="262">
        <v>0</v>
      </c>
      <c r="R7411" s="262">
        <v>0</v>
      </c>
      <c r="S7411" t="s">
        <v>13254</v>
      </c>
      <c r="U7411">
        <v>5</v>
      </c>
      <c r="V7411">
        <v>0</v>
      </c>
      <c r="W7411">
        <v>1695</v>
      </c>
      <c r="X7411">
        <v>0</v>
      </c>
      <c r="AC7411">
        <v>1695</v>
      </c>
      <c r="AU7411">
        <f t="shared" si="230"/>
        <v>0</v>
      </c>
      <c r="AV7411">
        <f t="shared" si="231"/>
        <v>0</v>
      </c>
    </row>
    <row r="7412" spans="1:48" x14ac:dyDescent="0.25">
      <c r="A7412" t="s">
        <v>17157</v>
      </c>
      <c r="C7412" t="s">
        <v>13129</v>
      </c>
      <c r="D7412" t="s">
        <v>14019</v>
      </c>
      <c r="E7412" t="s">
        <v>1663</v>
      </c>
      <c r="F7412">
        <v>2</v>
      </c>
      <c r="G7412">
        <v>2.2999999999999998</v>
      </c>
      <c r="H7412" t="s">
        <v>2327</v>
      </c>
      <c r="I7412" s="21">
        <v>44846</v>
      </c>
      <c r="J7412">
        <v>2022</v>
      </c>
      <c r="K7412" s="21">
        <v>44866</v>
      </c>
      <c r="L7412">
        <v>2022</v>
      </c>
      <c r="P7412" s="21" t="s">
        <v>114</v>
      </c>
      <c r="Q7412" s="262">
        <v>25000</v>
      </c>
      <c r="S7412" t="s">
        <v>13253</v>
      </c>
      <c r="T7412">
        <v>11800</v>
      </c>
      <c r="V7412">
        <v>396</v>
      </c>
      <c r="W7412">
        <v>0</v>
      </c>
      <c r="X7412">
        <v>0</v>
      </c>
      <c r="AU7412">
        <f t="shared" si="230"/>
        <v>0</v>
      </c>
      <c r="AV7412">
        <f t="shared" si="231"/>
        <v>0</v>
      </c>
    </row>
    <row r="7413" spans="1:48" x14ac:dyDescent="0.25">
      <c r="A7413" t="s">
        <v>17163</v>
      </c>
      <c r="C7413" t="s">
        <v>17164</v>
      </c>
      <c r="D7413" t="s">
        <v>17165</v>
      </c>
      <c r="E7413" t="s">
        <v>2310</v>
      </c>
      <c r="F7413">
        <v>9</v>
      </c>
      <c r="G7413">
        <v>9.4</v>
      </c>
      <c r="H7413" t="s">
        <v>2323</v>
      </c>
      <c r="I7413" s="21">
        <v>44847</v>
      </c>
      <c r="J7413">
        <v>2022</v>
      </c>
      <c r="Q7413" s="262">
        <v>3500000</v>
      </c>
      <c r="R7413" s="262">
        <v>474125.1</v>
      </c>
      <c r="S7413" t="s">
        <v>13253</v>
      </c>
      <c r="T7413">
        <v>8508</v>
      </c>
      <c r="V7413">
        <v>5981</v>
      </c>
      <c r="W7413">
        <v>0</v>
      </c>
      <c r="X7413">
        <v>0</v>
      </c>
      <c r="AU7413">
        <f t="shared" si="230"/>
        <v>0</v>
      </c>
      <c r="AV7413">
        <f t="shared" si="231"/>
        <v>0</v>
      </c>
    </row>
    <row r="7414" spans="1:48" x14ac:dyDescent="0.25">
      <c r="A7414" t="s">
        <v>17166</v>
      </c>
      <c r="C7414" t="s">
        <v>17167</v>
      </c>
      <c r="D7414" t="s">
        <v>17168</v>
      </c>
      <c r="E7414" t="s">
        <v>2310</v>
      </c>
      <c r="F7414">
        <v>14</v>
      </c>
      <c r="G7414">
        <v>14.2</v>
      </c>
      <c r="H7414" t="s">
        <v>2017</v>
      </c>
      <c r="I7414" s="21">
        <v>44847</v>
      </c>
      <c r="J7414">
        <v>2022</v>
      </c>
      <c r="Q7414" s="262">
        <v>405000</v>
      </c>
      <c r="R7414" s="262">
        <v>935.32</v>
      </c>
      <c r="S7414" t="s">
        <v>13254</v>
      </c>
      <c r="U7414">
        <v>8</v>
      </c>
      <c r="V7414">
        <v>0</v>
      </c>
      <c r="W7414">
        <v>1086</v>
      </c>
      <c r="X7414">
        <v>1</v>
      </c>
      <c r="AC7414">
        <v>88</v>
      </c>
      <c r="AF7414">
        <v>998</v>
      </c>
      <c r="AR7414">
        <v>1</v>
      </c>
      <c r="AU7414">
        <f t="shared" si="230"/>
        <v>0</v>
      </c>
      <c r="AV7414">
        <f t="shared" si="231"/>
        <v>0</v>
      </c>
    </row>
    <row r="7415" spans="1:48" x14ac:dyDescent="0.25">
      <c r="A7415" t="s">
        <v>17169</v>
      </c>
      <c r="C7415" t="s">
        <v>17170</v>
      </c>
      <c r="D7415" t="s">
        <v>15955</v>
      </c>
      <c r="E7415" t="s">
        <v>2310</v>
      </c>
      <c r="F7415">
        <v>8</v>
      </c>
      <c r="G7415">
        <v>8.1999999999999993</v>
      </c>
      <c r="H7415" t="s">
        <v>2022</v>
      </c>
      <c r="I7415" s="21">
        <v>44847</v>
      </c>
      <c r="J7415">
        <v>2022</v>
      </c>
      <c r="Q7415" s="262">
        <v>4000000</v>
      </c>
      <c r="R7415" s="262">
        <v>4782.79</v>
      </c>
      <c r="S7415" t="s">
        <v>13254</v>
      </c>
      <c r="U7415">
        <v>5</v>
      </c>
      <c r="V7415">
        <v>0</v>
      </c>
      <c r="W7415">
        <v>4997</v>
      </c>
      <c r="X7415">
        <v>1</v>
      </c>
      <c r="AC7415">
        <v>4997</v>
      </c>
      <c r="AO7415">
        <v>1</v>
      </c>
      <c r="AU7415">
        <f t="shared" si="230"/>
        <v>1</v>
      </c>
      <c r="AV7415">
        <f t="shared" si="231"/>
        <v>0</v>
      </c>
    </row>
    <row r="7416" spans="1:48" x14ac:dyDescent="0.25">
      <c r="A7416" t="s">
        <v>17171</v>
      </c>
      <c r="C7416" t="s">
        <v>17172</v>
      </c>
      <c r="D7416" t="s">
        <v>15955</v>
      </c>
      <c r="E7416" t="s">
        <v>2310</v>
      </c>
      <c r="F7416">
        <v>8</v>
      </c>
      <c r="G7416">
        <v>8.1999999999999993</v>
      </c>
      <c r="H7416" t="s">
        <v>2022</v>
      </c>
      <c r="I7416" s="21">
        <v>44847</v>
      </c>
      <c r="J7416">
        <v>2022</v>
      </c>
      <c r="Q7416" s="262">
        <v>1200000</v>
      </c>
      <c r="R7416" s="262">
        <v>1304.97</v>
      </c>
      <c r="S7416" t="s">
        <v>13254</v>
      </c>
      <c r="U7416">
        <v>5</v>
      </c>
      <c r="V7416">
        <v>0</v>
      </c>
      <c r="W7416">
        <v>1412</v>
      </c>
      <c r="X7416">
        <v>0</v>
      </c>
      <c r="AC7416">
        <v>1412</v>
      </c>
      <c r="AU7416">
        <f t="shared" si="230"/>
        <v>0</v>
      </c>
      <c r="AV7416">
        <f t="shared" si="231"/>
        <v>0</v>
      </c>
    </row>
    <row r="7417" spans="1:48" x14ac:dyDescent="0.25">
      <c r="A7417" t="s">
        <v>17173</v>
      </c>
      <c r="C7417" t="s">
        <v>17174</v>
      </c>
      <c r="D7417" t="s">
        <v>17175</v>
      </c>
      <c r="E7417" t="s">
        <v>2310</v>
      </c>
      <c r="F7417">
        <v>9</v>
      </c>
      <c r="G7417">
        <v>9.3000000000000007</v>
      </c>
      <c r="H7417" t="s">
        <v>2323</v>
      </c>
      <c r="I7417" s="21">
        <v>44847</v>
      </c>
      <c r="J7417">
        <v>2022</v>
      </c>
      <c r="Q7417" s="262">
        <v>1994000</v>
      </c>
      <c r="R7417" s="262">
        <v>4743.53</v>
      </c>
      <c r="S7417" t="s">
        <v>13254</v>
      </c>
      <c r="U7417">
        <v>5</v>
      </c>
      <c r="V7417">
        <v>0</v>
      </c>
      <c r="W7417">
        <v>4985</v>
      </c>
      <c r="X7417">
        <v>1</v>
      </c>
      <c r="AC7417">
        <v>4985</v>
      </c>
      <c r="AO7417">
        <v>1</v>
      </c>
      <c r="AU7417">
        <f t="shared" si="230"/>
        <v>1</v>
      </c>
      <c r="AV7417">
        <f t="shared" si="231"/>
        <v>0</v>
      </c>
    </row>
    <row r="7418" spans="1:48" x14ac:dyDescent="0.25">
      <c r="A7418" t="s">
        <v>17176</v>
      </c>
      <c r="C7418" t="s">
        <v>17177</v>
      </c>
      <c r="D7418" t="s">
        <v>17175</v>
      </c>
      <c r="E7418" t="s">
        <v>2310</v>
      </c>
      <c r="F7418">
        <v>9</v>
      </c>
      <c r="G7418">
        <v>9.3000000000000007</v>
      </c>
      <c r="H7418" t="s">
        <v>2323</v>
      </c>
      <c r="I7418" s="21">
        <v>44847</v>
      </c>
      <c r="J7418">
        <v>2022</v>
      </c>
      <c r="Q7418" s="262">
        <v>435600</v>
      </c>
      <c r="R7418" s="262">
        <v>439.35</v>
      </c>
      <c r="S7418" t="s">
        <v>13254</v>
      </c>
      <c r="U7418">
        <v>5</v>
      </c>
      <c r="V7418">
        <v>0</v>
      </c>
      <c r="W7418">
        <v>1089</v>
      </c>
      <c r="X7418">
        <v>0</v>
      </c>
      <c r="AC7418">
        <v>1089</v>
      </c>
      <c r="AU7418">
        <f t="shared" si="230"/>
        <v>0</v>
      </c>
      <c r="AV7418">
        <f t="shared" si="231"/>
        <v>0</v>
      </c>
    </row>
    <row r="7419" spans="1:48" x14ac:dyDescent="0.25">
      <c r="A7419" t="s">
        <v>17178</v>
      </c>
      <c r="C7419" t="s">
        <v>17179</v>
      </c>
      <c r="D7419" t="s">
        <v>5341</v>
      </c>
      <c r="E7419" t="s">
        <v>2310</v>
      </c>
      <c r="F7419">
        <v>8</v>
      </c>
      <c r="G7419">
        <v>8.1999999999999993</v>
      </c>
      <c r="H7419" t="s">
        <v>2022</v>
      </c>
      <c r="I7419" s="21">
        <v>44848</v>
      </c>
      <c r="J7419">
        <v>2022</v>
      </c>
      <c r="Q7419" s="262">
        <v>2000000</v>
      </c>
      <c r="R7419" s="262">
        <v>1591.38</v>
      </c>
      <c r="S7419" t="s">
        <v>13253</v>
      </c>
      <c r="T7419">
        <v>5497</v>
      </c>
      <c r="V7419">
        <v>0</v>
      </c>
      <c r="W7419">
        <v>1758</v>
      </c>
      <c r="X7419">
        <v>0</v>
      </c>
      <c r="AC7419">
        <v>1758</v>
      </c>
      <c r="AU7419">
        <f t="shared" si="230"/>
        <v>0</v>
      </c>
      <c r="AV7419">
        <f t="shared" si="231"/>
        <v>0</v>
      </c>
    </row>
    <row r="7420" spans="1:48" x14ac:dyDescent="0.25">
      <c r="A7420" t="s">
        <v>17180</v>
      </c>
      <c r="C7420" t="s">
        <v>17181</v>
      </c>
      <c r="D7420" t="s">
        <v>15074</v>
      </c>
      <c r="E7420" t="s">
        <v>2310</v>
      </c>
      <c r="F7420">
        <v>13</v>
      </c>
      <c r="G7420">
        <v>13.2</v>
      </c>
      <c r="H7420" t="s">
        <v>2327</v>
      </c>
      <c r="I7420" s="21">
        <v>44848</v>
      </c>
      <c r="J7420">
        <v>2022</v>
      </c>
      <c r="Q7420" s="262">
        <v>3000000</v>
      </c>
      <c r="R7420" s="262">
        <v>11382.14</v>
      </c>
      <c r="S7420" t="s">
        <v>13254</v>
      </c>
      <c r="U7420">
        <v>5</v>
      </c>
      <c r="V7420">
        <v>0</v>
      </c>
      <c r="W7420">
        <v>9176</v>
      </c>
      <c r="X7420">
        <v>1</v>
      </c>
      <c r="AC7420">
        <v>9176</v>
      </c>
      <c r="AO7420">
        <v>1</v>
      </c>
      <c r="AU7420">
        <f t="shared" si="230"/>
        <v>1</v>
      </c>
      <c r="AV7420">
        <f t="shared" si="231"/>
        <v>0</v>
      </c>
    </row>
    <row r="7421" spans="1:48" x14ac:dyDescent="0.25">
      <c r="A7421" t="s">
        <v>17182</v>
      </c>
      <c r="C7421" t="s">
        <v>17183</v>
      </c>
      <c r="D7421" t="s">
        <v>17184</v>
      </c>
      <c r="E7421" t="s">
        <v>2310</v>
      </c>
      <c r="F7421">
        <v>14</v>
      </c>
      <c r="G7421">
        <v>14.1</v>
      </c>
      <c r="H7421" t="s">
        <v>2022</v>
      </c>
      <c r="I7421" s="21">
        <v>44854</v>
      </c>
      <c r="J7421">
        <v>2022</v>
      </c>
      <c r="Q7421" s="262">
        <v>350000</v>
      </c>
      <c r="R7421" s="262">
        <v>526.47</v>
      </c>
      <c r="S7421" t="s">
        <v>13254</v>
      </c>
      <c r="U7421">
        <v>1</v>
      </c>
      <c r="V7421">
        <v>0</v>
      </c>
      <c r="W7421">
        <v>1452</v>
      </c>
      <c r="X7421">
        <v>0</v>
      </c>
      <c r="Y7421">
        <v>1452</v>
      </c>
      <c r="AU7421">
        <f t="shared" si="230"/>
        <v>0</v>
      </c>
      <c r="AV7421">
        <f t="shared" si="231"/>
        <v>1452</v>
      </c>
    </row>
    <row r="7422" spans="1:48" x14ac:dyDescent="0.25">
      <c r="A7422" t="s">
        <v>17185</v>
      </c>
      <c r="C7422" t="s">
        <v>17186</v>
      </c>
      <c r="D7422" t="s">
        <v>17187</v>
      </c>
      <c r="E7422" t="s">
        <v>2310</v>
      </c>
      <c r="F7422">
        <v>10</v>
      </c>
      <c r="G7422">
        <v>10.1</v>
      </c>
      <c r="H7422" t="s">
        <v>2323</v>
      </c>
      <c r="I7422" s="21">
        <v>44854</v>
      </c>
      <c r="J7422">
        <v>2022</v>
      </c>
      <c r="Q7422" s="262">
        <v>42000</v>
      </c>
      <c r="R7422" s="262">
        <v>326.32</v>
      </c>
      <c r="S7422" t="s">
        <v>13254</v>
      </c>
      <c r="V7422">
        <v>0</v>
      </c>
      <c r="W7422">
        <v>900</v>
      </c>
      <c r="X7422">
        <v>0</v>
      </c>
      <c r="AC7422">
        <v>900</v>
      </c>
      <c r="AU7422">
        <f t="shared" si="230"/>
        <v>0</v>
      </c>
      <c r="AV7422">
        <f t="shared" si="231"/>
        <v>0</v>
      </c>
    </row>
    <row r="7423" spans="1:48" x14ac:dyDescent="0.25">
      <c r="A7423" t="s">
        <v>17188</v>
      </c>
      <c r="C7423" t="s">
        <v>17189</v>
      </c>
      <c r="D7423" t="s">
        <v>17190</v>
      </c>
      <c r="E7423" t="s">
        <v>2310</v>
      </c>
      <c r="F7423">
        <v>9</v>
      </c>
      <c r="G7423">
        <v>9.1999999999999993</v>
      </c>
      <c r="H7423" t="s">
        <v>2022</v>
      </c>
      <c r="I7423" s="21">
        <v>44854</v>
      </c>
      <c r="J7423">
        <v>2022</v>
      </c>
      <c r="Q7423" s="262">
        <v>5200000</v>
      </c>
      <c r="R7423" s="262">
        <v>3238.4</v>
      </c>
      <c r="S7423" t="s">
        <v>13254</v>
      </c>
      <c r="U7423">
        <v>4</v>
      </c>
      <c r="V7423">
        <v>0</v>
      </c>
      <c r="W7423">
        <v>5935</v>
      </c>
      <c r="X7423">
        <v>0</v>
      </c>
      <c r="AB7423">
        <v>5935</v>
      </c>
      <c r="AU7423">
        <f t="shared" si="230"/>
        <v>0</v>
      </c>
      <c r="AV7423">
        <f t="shared" si="231"/>
        <v>5935</v>
      </c>
    </row>
    <row r="7424" spans="1:48" x14ac:dyDescent="0.25">
      <c r="A7424" t="s">
        <v>17191</v>
      </c>
      <c r="C7424" t="s">
        <v>17192</v>
      </c>
      <c r="D7424" t="s">
        <v>8793</v>
      </c>
      <c r="E7424" t="s">
        <v>2310</v>
      </c>
      <c r="F7424">
        <v>13</v>
      </c>
      <c r="G7424">
        <v>13.2</v>
      </c>
      <c r="H7424" t="s">
        <v>2327</v>
      </c>
      <c r="I7424" s="21">
        <v>44854</v>
      </c>
      <c r="J7424">
        <v>2022</v>
      </c>
      <c r="K7424" s="21">
        <v>44957</v>
      </c>
      <c r="L7424">
        <v>2023</v>
      </c>
      <c r="Q7424" s="262">
        <v>180000</v>
      </c>
      <c r="R7424" s="262">
        <v>0</v>
      </c>
      <c r="S7424" t="s">
        <v>13253</v>
      </c>
      <c r="T7424">
        <v>8710</v>
      </c>
      <c r="V7424">
        <v>149</v>
      </c>
      <c r="W7424">
        <v>0</v>
      </c>
      <c r="X7424">
        <v>0</v>
      </c>
      <c r="AU7424">
        <f t="shared" si="230"/>
        <v>0</v>
      </c>
      <c r="AV7424">
        <f t="shared" si="231"/>
        <v>0</v>
      </c>
    </row>
    <row r="7425" spans="1:48" x14ac:dyDescent="0.25">
      <c r="A7425" t="s">
        <v>17193</v>
      </c>
      <c r="C7425" t="s">
        <v>17194</v>
      </c>
      <c r="D7425" t="s">
        <v>17195</v>
      </c>
      <c r="E7425" t="s">
        <v>1663</v>
      </c>
      <c r="F7425">
        <v>6</v>
      </c>
      <c r="G7425">
        <v>6.1</v>
      </c>
      <c r="H7425" t="s">
        <v>2017</v>
      </c>
      <c r="I7425" s="21">
        <v>44855</v>
      </c>
      <c r="J7425">
        <v>2022</v>
      </c>
      <c r="K7425" s="21">
        <v>44882</v>
      </c>
      <c r="L7425">
        <v>2022</v>
      </c>
      <c r="P7425" s="21" t="s">
        <v>114</v>
      </c>
      <c r="Q7425" s="262">
        <v>150000</v>
      </c>
      <c r="S7425" t="s">
        <v>13253</v>
      </c>
      <c r="T7425">
        <v>10931</v>
      </c>
      <c r="W7425">
        <v>0</v>
      </c>
      <c r="X7425">
        <v>0</v>
      </c>
      <c r="AU7425">
        <f t="shared" si="230"/>
        <v>0</v>
      </c>
      <c r="AV7425">
        <f t="shared" si="231"/>
        <v>0</v>
      </c>
    </row>
    <row r="7426" spans="1:48" x14ac:dyDescent="0.25">
      <c r="A7426" t="s">
        <v>17196</v>
      </c>
      <c r="C7426" t="s">
        <v>17197</v>
      </c>
      <c r="D7426" t="s">
        <v>17198</v>
      </c>
      <c r="E7426" t="s">
        <v>2310</v>
      </c>
      <c r="F7426">
        <v>15</v>
      </c>
      <c r="G7426">
        <v>15.2</v>
      </c>
      <c r="H7426" t="s">
        <v>2323</v>
      </c>
      <c r="I7426" s="21">
        <v>44855</v>
      </c>
      <c r="J7426">
        <v>2022</v>
      </c>
      <c r="Q7426" s="262">
        <v>1150000</v>
      </c>
      <c r="R7426" s="262">
        <v>1417.53</v>
      </c>
      <c r="S7426" t="s">
        <v>13253</v>
      </c>
      <c r="T7426">
        <v>2640</v>
      </c>
      <c r="V7426">
        <v>167</v>
      </c>
      <c r="W7426">
        <v>1379</v>
      </c>
      <c r="X7426">
        <v>0</v>
      </c>
      <c r="AC7426">
        <v>1379</v>
      </c>
      <c r="AU7426">
        <f t="shared" si="230"/>
        <v>0</v>
      </c>
      <c r="AV7426">
        <f t="shared" si="231"/>
        <v>0</v>
      </c>
    </row>
    <row r="7427" spans="1:48" x14ac:dyDescent="0.25">
      <c r="A7427" t="s">
        <v>17199</v>
      </c>
      <c r="C7427" t="s">
        <v>17200</v>
      </c>
      <c r="D7427" t="s">
        <v>17201</v>
      </c>
      <c r="E7427" t="s">
        <v>2310</v>
      </c>
      <c r="F7427">
        <v>9</v>
      </c>
      <c r="G7427">
        <v>9.1999999999999993</v>
      </c>
      <c r="H7427" t="s">
        <v>2022</v>
      </c>
      <c r="I7427" s="21">
        <v>44855</v>
      </c>
      <c r="J7427">
        <v>2022</v>
      </c>
      <c r="Q7427" s="262">
        <v>250000</v>
      </c>
      <c r="R7427" s="262">
        <v>339.21</v>
      </c>
      <c r="S7427" t="s">
        <v>13254</v>
      </c>
      <c r="V7427">
        <v>0</v>
      </c>
      <c r="W7427">
        <v>780</v>
      </c>
      <c r="X7427">
        <v>0</v>
      </c>
      <c r="AC7427">
        <v>780</v>
      </c>
      <c r="AU7427">
        <f t="shared" si="230"/>
        <v>0</v>
      </c>
      <c r="AV7427">
        <f t="shared" si="231"/>
        <v>0</v>
      </c>
    </row>
    <row r="7428" spans="1:48" x14ac:dyDescent="0.25">
      <c r="A7428" t="s">
        <v>17202</v>
      </c>
      <c r="C7428" t="s">
        <v>11706</v>
      </c>
      <c r="D7428" t="s">
        <v>16384</v>
      </c>
      <c r="E7428" t="s">
        <v>1663</v>
      </c>
      <c r="F7428">
        <v>3</v>
      </c>
      <c r="G7428">
        <v>3.1</v>
      </c>
      <c r="H7428" t="s">
        <v>2017</v>
      </c>
      <c r="I7428" s="21">
        <v>44861</v>
      </c>
      <c r="J7428">
        <v>2022</v>
      </c>
      <c r="K7428" s="21">
        <v>44930</v>
      </c>
      <c r="L7428">
        <v>2023</v>
      </c>
      <c r="P7428" s="21" t="s">
        <v>114</v>
      </c>
      <c r="Q7428" s="262">
        <v>0</v>
      </c>
      <c r="S7428" t="s">
        <v>13254</v>
      </c>
      <c r="V7428">
        <v>0</v>
      </c>
      <c r="W7428">
        <v>1188</v>
      </c>
      <c r="X7428">
        <v>1</v>
      </c>
      <c r="AD7428">
        <v>1188</v>
      </c>
      <c r="AP7428">
        <v>1</v>
      </c>
      <c r="AU7428">
        <f t="shared" si="230"/>
        <v>1</v>
      </c>
      <c r="AV7428">
        <f t="shared" si="231"/>
        <v>0</v>
      </c>
    </row>
    <row r="7429" spans="1:48" x14ac:dyDescent="0.25">
      <c r="A7429" t="s">
        <v>17203</v>
      </c>
      <c r="C7429" t="s">
        <v>11706</v>
      </c>
      <c r="D7429" t="s">
        <v>16384</v>
      </c>
      <c r="E7429" t="s">
        <v>1663</v>
      </c>
      <c r="F7429">
        <v>3</v>
      </c>
      <c r="G7429">
        <v>3.1</v>
      </c>
      <c r="H7429" t="s">
        <v>2017</v>
      </c>
      <c r="I7429" s="21">
        <v>44861</v>
      </c>
      <c r="J7429">
        <v>2022</v>
      </c>
      <c r="K7429" s="21">
        <v>44930</v>
      </c>
      <c r="L7429">
        <v>2023</v>
      </c>
      <c r="P7429" s="21" t="s">
        <v>114</v>
      </c>
      <c r="Q7429" s="262">
        <v>0</v>
      </c>
      <c r="S7429" t="s">
        <v>13254</v>
      </c>
      <c r="V7429">
        <v>0</v>
      </c>
      <c r="W7429">
        <v>1276</v>
      </c>
      <c r="X7429">
        <v>1</v>
      </c>
      <c r="AD7429">
        <v>1276</v>
      </c>
      <c r="AP7429">
        <v>1</v>
      </c>
      <c r="AU7429">
        <f t="shared" si="230"/>
        <v>1</v>
      </c>
      <c r="AV7429">
        <f t="shared" si="231"/>
        <v>0</v>
      </c>
    </row>
    <row r="7430" spans="1:48" x14ac:dyDescent="0.25">
      <c r="A7430" t="s">
        <v>17204</v>
      </c>
      <c r="C7430" t="s">
        <v>11905</v>
      </c>
      <c r="D7430" t="s">
        <v>16384</v>
      </c>
      <c r="E7430" t="s">
        <v>1663</v>
      </c>
      <c r="F7430">
        <v>3</v>
      </c>
      <c r="G7430">
        <v>3.1</v>
      </c>
      <c r="H7430" t="s">
        <v>2017</v>
      </c>
      <c r="I7430" s="21">
        <v>44861</v>
      </c>
      <c r="J7430">
        <v>2022</v>
      </c>
      <c r="K7430" s="21">
        <v>44930</v>
      </c>
      <c r="L7430">
        <v>2023</v>
      </c>
      <c r="P7430" s="21" t="s">
        <v>114</v>
      </c>
      <c r="Q7430" s="262">
        <v>0</v>
      </c>
      <c r="S7430" t="s">
        <v>13254</v>
      </c>
      <c r="V7430">
        <v>0</v>
      </c>
      <c r="W7430">
        <v>1188</v>
      </c>
      <c r="X7430">
        <v>1</v>
      </c>
      <c r="AD7430">
        <v>1188</v>
      </c>
      <c r="AP7430">
        <v>1</v>
      </c>
      <c r="AU7430">
        <f t="shared" si="230"/>
        <v>1</v>
      </c>
      <c r="AV7430">
        <f t="shared" si="231"/>
        <v>0</v>
      </c>
    </row>
    <row r="7431" spans="1:48" x14ac:dyDescent="0.25">
      <c r="A7431" t="s">
        <v>17205</v>
      </c>
      <c r="C7431" t="s">
        <v>17206</v>
      </c>
      <c r="D7431" t="s">
        <v>16086</v>
      </c>
      <c r="E7431" t="s">
        <v>2310</v>
      </c>
      <c r="F7431">
        <v>8</v>
      </c>
      <c r="G7431">
        <v>8.3000000000000007</v>
      </c>
      <c r="H7431" t="s">
        <v>2323</v>
      </c>
      <c r="I7431" s="21">
        <v>44861</v>
      </c>
      <c r="J7431">
        <v>2022</v>
      </c>
      <c r="Q7431" s="262">
        <v>10000000</v>
      </c>
      <c r="R7431" s="262">
        <v>16463.16</v>
      </c>
      <c r="S7431" t="s">
        <v>13254</v>
      </c>
      <c r="U7431">
        <v>5</v>
      </c>
      <c r="V7431">
        <v>0</v>
      </c>
      <c r="W7431">
        <v>11721</v>
      </c>
      <c r="X7431">
        <v>1</v>
      </c>
      <c r="AC7431">
        <v>11721</v>
      </c>
      <c r="AO7431">
        <v>1</v>
      </c>
      <c r="AU7431">
        <f t="shared" si="230"/>
        <v>1</v>
      </c>
      <c r="AV7431">
        <f t="shared" si="231"/>
        <v>0</v>
      </c>
    </row>
    <row r="7432" spans="1:48" x14ac:dyDescent="0.25">
      <c r="A7432" t="s">
        <v>17207</v>
      </c>
      <c r="C7432" t="s">
        <v>17208</v>
      </c>
      <c r="D7432" t="s">
        <v>17209</v>
      </c>
      <c r="E7432" t="s">
        <v>2310</v>
      </c>
      <c r="F7432">
        <v>15</v>
      </c>
      <c r="G7432">
        <v>15.1</v>
      </c>
      <c r="H7432" t="s">
        <v>2022</v>
      </c>
      <c r="I7432" s="21">
        <v>44862</v>
      </c>
      <c r="J7432">
        <v>2022</v>
      </c>
      <c r="K7432" s="21">
        <v>44951</v>
      </c>
      <c r="L7432">
        <v>2023</v>
      </c>
      <c r="Q7432" s="262">
        <v>150000</v>
      </c>
      <c r="R7432" s="262">
        <v>0</v>
      </c>
      <c r="S7432" t="s">
        <v>13253</v>
      </c>
      <c r="T7432">
        <v>2690</v>
      </c>
      <c r="V7432">
        <v>499</v>
      </c>
      <c r="W7432">
        <v>0</v>
      </c>
      <c r="X7432">
        <v>0</v>
      </c>
      <c r="AU7432">
        <f t="shared" si="230"/>
        <v>0</v>
      </c>
      <c r="AV7432">
        <f t="shared" si="231"/>
        <v>0</v>
      </c>
    </row>
    <row r="7433" spans="1:48" x14ac:dyDescent="0.25">
      <c r="A7433" t="s">
        <v>17210</v>
      </c>
      <c r="C7433" t="s">
        <v>17211</v>
      </c>
      <c r="D7433" t="s">
        <v>10974</v>
      </c>
      <c r="E7433" t="s">
        <v>2310</v>
      </c>
      <c r="F7433">
        <v>8</v>
      </c>
      <c r="G7433">
        <v>8.1999999999999993</v>
      </c>
      <c r="H7433" t="s">
        <v>2022</v>
      </c>
      <c r="I7433" s="21">
        <v>44862</v>
      </c>
      <c r="J7433">
        <v>2022</v>
      </c>
      <c r="K7433" s="21">
        <v>44964</v>
      </c>
      <c r="L7433">
        <v>2023</v>
      </c>
      <c r="Q7433" s="262">
        <v>0</v>
      </c>
      <c r="R7433" s="262">
        <v>0</v>
      </c>
      <c r="S7433" t="s">
        <v>13253</v>
      </c>
      <c r="T7433">
        <v>6516</v>
      </c>
      <c r="V7433">
        <v>490</v>
      </c>
      <c r="W7433">
        <v>0</v>
      </c>
      <c r="X7433">
        <v>0</v>
      </c>
      <c r="AU7433">
        <f t="shared" si="230"/>
        <v>0</v>
      </c>
      <c r="AV7433">
        <f t="shared" si="231"/>
        <v>0</v>
      </c>
    </row>
    <row r="7434" spans="1:48" x14ac:dyDescent="0.25">
      <c r="A7434" t="s">
        <v>19715</v>
      </c>
      <c r="C7434" t="s">
        <v>19716</v>
      </c>
      <c r="D7434" t="s">
        <v>4660</v>
      </c>
      <c r="E7434" t="s">
        <v>2310</v>
      </c>
      <c r="F7434">
        <v>9</v>
      </c>
      <c r="G7434">
        <v>9.1999999999999993</v>
      </c>
      <c r="H7434" t="s">
        <v>2022</v>
      </c>
      <c r="I7434" s="21">
        <v>44865</v>
      </c>
      <c r="J7434">
        <v>2022</v>
      </c>
      <c r="K7434" s="21">
        <v>44866</v>
      </c>
      <c r="L7434">
        <v>2022</v>
      </c>
      <c r="M7434" s="21">
        <v>44937</v>
      </c>
      <c r="N7434">
        <v>2023</v>
      </c>
      <c r="Q7434" s="262">
        <v>0</v>
      </c>
      <c r="R7434" s="262">
        <v>0</v>
      </c>
      <c r="S7434" t="s">
        <v>9529</v>
      </c>
      <c r="T7434">
        <v>5519</v>
      </c>
      <c r="V7434">
        <v>0</v>
      </c>
      <c r="W7434">
        <v>-9442</v>
      </c>
      <c r="X7434">
        <v>-1</v>
      </c>
      <c r="Z7434">
        <v>0</v>
      </c>
      <c r="AA7434">
        <v>0</v>
      </c>
      <c r="AC7434">
        <v>-9442</v>
      </c>
      <c r="AO7434">
        <v>-1</v>
      </c>
      <c r="AU7434">
        <f t="shared" si="230"/>
        <v>-1</v>
      </c>
      <c r="AV7434">
        <f t="shared" si="231"/>
        <v>0</v>
      </c>
    </row>
    <row r="7435" spans="1:48" x14ac:dyDescent="0.25">
      <c r="A7435" t="s">
        <v>19715</v>
      </c>
      <c r="C7435" t="s">
        <v>19716</v>
      </c>
      <c r="D7435" t="s">
        <v>4660</v>
      </c>
      <c r="E7435" t="s">
        <v>2310</v>
      </c>
      <c r="F7435">
        <v>9</v>
      </c>
      <c r="G7435">
        <v>9.1999999999999993</v>
      </c>
      <c r="H7435" t="s">
        <v>2022</v>
      </c>
      <c r="I7435" s="21">
        <v>44865</v>
      </c>
      <c r="J7435">
        <v>2022</v>
      </c>
      <c r="K7435" s="21">
        <v>44866</v>
      </c>
      <c r="L7435">
        <v>2022</v>
      </c>
      <c r="M7435" s="21">
        <v>44937</v>
      </c>
      <c r="N7435">
        <v>2023</v>
      </c>
      <c r="S7435" t="s">
        <v>9529</v>
      </c>
      <c r="T7435">
        <v>5520</v>
      </c>
      <c r="V7435">
        <v>0</v>
      </c>
      <c r="W7435">
        <v>-2127</v>
      </c>
      <c r="X7435">
        <v>-1</v>
      </c>
      <c r="Z7435">
        <v>0</v>
      </c>
      <c r="AA7435">
        <v>0</v>
      </c>
      <c r="AC7435">
        <v>-1128</v>
      </c>
      <c r="AF7435">
        <v>-999</v>
      </c>
      <c r="AR7435">
        <v>-1</v>
      </c>
      <c r="AU7435">
        <f t="shared" si="230"/>
        <v>0</v>
      </c>
      <c r="AV7435">
        <f t="shared" si="231"/>
        <v>0</v>
      </c>
    </row>
    <row r="7436" spans="1:48" x14ac:dyDescent="0.25">
      <c r="A7436" t="s">
        <v>17214</v>
      </c>
      <c r="C7436" t="s">
        <v>17215</v>
      </c>
      <c r="D7436" t="s">
        <v>9546</v>
      </c>
      <c r="E7436" t="s">
        <v>2310</v>
      </c>
      <c r="F7436">
        <v>9</v>
      </c>
      <c r="G7436">
        <v>9.3000000000000007</v>
      </c>
      <c r="H7436" t="s">
        <v>2323</v>
      </c>
      <c r="I7436" s="21">
        <v>44866</v>
      </c>
      <c r="J7436">
        <v>2022</v>
      </c>
      <c r="K7436" s="21">
        <v>44887</v>
      </c>
      <c r="L7436">
        <v>2022</v>
      </c>
      <c r="Q7436" s="262">
        <v>132835</v>
      </c>
      <c r="R7436" s="262">
        <v>0</v>
      </c>
      <c r="S7436" t="s">
        <v>13253</v>
      </c>
      <c r="T7436">
        <v>3276</v>
      </c>
      <c r="V7436">
        <v>0</v>
      </c>
      <c r="W7436">
        <v>0</v>
      </c>
      <c r="X7436">
        <v>0</v>
      </c>
      <c r="AU7436">
        <f t="shared" si="230"/>
        <v>0</v>
      </c>
      <c r="AV7436">
        <f t="shared" si="231"/>
        <v>0</v>
      </c>
    </row>
    <row r="7437" spans="1:48" x14ac:dyDescent="0.25">
      <c r="A7437" t="s">
        <v>17216</v>
      </c>
      <c r="C7437" t="s">
        <v>17217</v>
      </c>
      <c r="D7437" t="s">
        <v>8621</v>
      </c>
      <c r="E7437" t="s">
        <v>2310</v>
      </c>
      <c r="F7437">
        <v>13</v>
      </c>
      <c r="G7437">
        <v>13.2</v>
      </c>
      <c r="H7437" t="s">
        <v>2327</v>
      </c>
      <c r="I7437" s="21">
        <v>44868</v>
      </c>
      <c r="J7437">
        <v>2022</v>
      </c>
      <c r="Q7437" s="262">
        <v>1250000</v>
      </c>
      <c r="R7437" s="262">
        <v>10726.32</v>
      </c>
      <c r="S7437" t="s">
        <v>13253</v>
      </c>
      <c r="T7437">
        <v>8416</v>
      </c>
      <c r="V7437">
        <v>9141</v>
      </c>
      <c r="W7437">
        <v>0</v>
      </c>
      <c r="X7437">
        <v>0</v>
      </c>
      <c r="AU7437">
        <f t="shared" si="230"/>
        <v>0</v>
      </c>
      <c r="AV7437">
        <f t="shared" si="231"/>
        <v>0</v>
      </c>
    </row>
    <row r="7438" spans="1:48" x14ac:dyDescent="0.25">
      <c r="A7438" t="s">
        <v>17218</v>
      </c>
      <c r="C7438" t="s">
        <v>17219</v>
      </c>
      <c r="D7438" t="s">
        <v>17220</v>
      </c>
      <c r="E7438" t="s">
        <v>2310</v>
      </c>
      <c r="F7438">
        <v>9</v>
      </c>
      <c r="G7438">
        <v>9.1999999999999993</v>
      </c>
      <c r="H7438" t="s">
        <v>2022</v>
      </c>
      <c r="I7438" s="21">
        <v>44868</v>
      </c>
      <c r="J7438">
        <v>2022</v>
      </c>
      <c r="Q7438" s="262">
        <v>400000</v>
      </c>
      <c r="R7438" s="262">
        <v>991.89</v>
      </c>
      <c r="S7438" t="s">
        <v>13253</v>
      </c>
      <c r="T7438">
        <v>5197</v>
      </c>
      <c r="V7438">
        <v>1205</v>
      </c>
      <c r="W7438">
        <v>192</v>
      </c>
      <c r="X7438">
        <v>0</v>
      </c>
      <c r="AC7438">
        <v>192</v>
      </c>
      <c r="AU7438">
        <f t="shared" si="230"/>
        <v>0</v>
      </c>
      <c r="AV7438">
        <f t="shared" si="231"/>
        <v>0</v>
      </c>
    </row>
    <row r="7439" spans="1:48" x14ac:dyDescent="0.25">
      <c r="A7439" t="s">
        <v>17221</v>
      </c>
      <c r="C7439" t="s">
        <v>17222</v>
      </c>
      <c r="D7439" t="s">
        <v>17223</v>
      </c>
      <c r="E7439" t="s">
        <v>2310</v>
      </c>
      <c r="F7439">
        <v>13</v>
      </c>
      <c r="G7439">
        <v>13.1</v>
      </c>
      <c r="H7439" t="s">
        <v>2327</v>
      </c>
      <c r="I7439" s="21">
        <v>44868</v>
      </c>
      <c r="J7439">
        <v>2022</v>
      </c>
      <c r="Q7439" s="262">
        <v>20000</v>
      </c>
      <c r="R7439" s="262">
        <v>0</v>
      </c>
      <c r="S7439" t="s">
        <v>13253</v>
      </c>
      <c r="T7439">
        <v>8741</v>
      </c>
      <c r="V7439">
        <v>100</v>
      </c>
      <c r="W7439">
        <v>0</v>
      </c>
      <c r="X7439">
        <v>0</v>
      </c>
      <c r="AU7439">
        <f t="shared" si="230"/>
        <v>0</v>
      </c>
      <c r="AV7439">
        <f t="shared" si="231"/>
        <v>0</v>
      </c>
    </row>
    <row r="7440" spans="1:48" x14ac:dyDescent="0.25">
      <c r="A7440" t="s">
        <v>17224</v>
      </c>
      <c r="C7440" t="s">
        <v>17225</v>
      </c>
      <c r="D7440" t="s">
        <v>2432</v>
      </c>
      <c r="E7440" t="s">
        <v>2310</v>
      </c>
      <c r="F7440">
        <v>13</v>
      </c>
      <c r="G7440">
        <v>13.1</v>
      </c>
      <c r="H7440" t="s">
        <v>2327</v>
      </c>
      <c r="I7440" s="21">
        <v>44869</v>
      </c>
      <c r="J7440">
        <v>2022</v>
      </c>
      <c r="K7440" s="21">
        <v>44971</v>
      </c>
      <c r="L7440">
        <v>2023</v>
      </c>
      <c r="Q7440" s="262">
        <v>200000</v>
      </c>
      <c r="R7440" s="262">
        <v>1047.58</v>
      </c>
      <c r="S7440" t="s">
        <v>13253</v>
      </c>
      <c r="T7440">
        <v>15159</v>
      </c>
      <c r="V7440">
        <v>1086</v>
      </c>
      <c r="W7440">
        <v>0</v>
      </c>
      <c r="X7440">
        <v>0</v>
      </c>
      <c r="AH7440">
        <v>1086</v>
      </c>
      <c r="AK7440">
        <v>-1086</v>
      </c>
      <c r="AU7440">
        <f t="shared" si="230"/>
        <v>0</v>
      </c>
      <c r="AV7440">
        <f t="shared" si="231"/>
        <v>0</v>
      </c>
    </row>
    <row r="7441" spans="1:48" x14ac:dyDescent="0.25">
      <c r="A7441" t="s">
        <v>17226</v>
      </c>
      <c r="C7441" t="s">
        <v>17227</v>
      </c>
      <c r="D7441" t="s">
        <v>4660</v>
      </c>
      <c r="E7441" t="s">
        <v>2310</v>
      </c>
      <c r="F7441">
        <v>9</v>
      </c>
      <c r="G7441">
        <v>9.1999999999999993</v>
      </c>
      <c r="H7441" t="s">
        <v>2022</v>
      </c>
      <c r="I7441" s="21">
        <v>44869</v>
      </c>
      <c r="J7441">
        <v>2022</v>
      </c>
      <c r="Q7441" s="262">
        <v>5600000</v>
      </c>
      <c r="R7441" s="262">
        <v>14163.46</v>
      </c>
      <c r="S7441" t="s">
        <v>12464</v>
      </c>
      <c r="T7441" t="s">
        <v>17228</v>
      </c>
      <c r="V7441">
        <v>0</v>
      </c>
      <c r="W7441">
        <v>10580</v>
      </c>
      <c r="X7441">
        <v>1</v>
      </c>
      <c r="AC7441">
        <v>10580</v>
      </c>
      <c r="AO7441">
        <v>1</v>
      </c>
      <c r="AU7441">
        <f t="shared" si="230"/>
        <v>1</v>
      </c>
      <c r="AV7441">
        <f t="shared" si="231"/>
        <v>0</v>
      </c>
    </row>
    <row r="7442" spans="1:48" x14ac:dyDescent="0.25">
      <c r="A7442" t="s">
        <v>17229</v>
      </c>
      <c r="C7442" t="s">
        <v>17230</v>
      </c>
      <c r="D7442" t="s">
        <v>17231</v>
      </c>
      <c r="E7442" t="s">
        <v>2310</v>
      </c>
      <c r="F7442">
        <v>8</v>
      </c>
      <c r="G7442">
        <v>8.3000000000000007</v>
      </c>
      <c r="H7442" t="s">
        <v>2323</v>
      </c>
      <c r="I7442" s="21">
        <v>44869</v>
      </c>
      <c r="J7442">
        <v>2022</v>
      </c>
      <c r="K7442" s="21">
        <v>44917</v>
      </c>
      <c r="L7442">
        <v>2022</v>
      </c>
      <c r="Q7442" s="262">
        <v>700000</v>
      </c>
      <c r="R7442" s="262">
        <v>1357.83</v>
      </c>
      <c r="S7442" t="s">
        <v>13253</v>
      </c>
      <c r="T7442">
        <v>15286</v>
      </c>
      <c r="V7442">
        <v>2000</v>
      </c>
      <c r="W7442">
        <v>0</v>
      </c>
      <c r="X7442">
        <v>0</v>
      </c>
      <c r="AU7442">
        <f t="shared" si="230"/>
        <v>0</v>
      </c>
      <c r="AV7442">
        <f t="shared" si="231"/>
        <v>0</v>
      </c>
    </row>
    <row r="7443" spans="1:48" x14ac:dyDescent="0.25">
      <c r="A7443" t="s">
        <v>17232</v>
      </c>
      <c r="C7443" t="s">
        <v>13528</v>
      </c>
      <c r="D7443" t="s">
        <v>17233</v>
      </c>
      <c r="E7443" t="s">
        <v>1663</v>
      </c>
      <c r="F7443">
        <v>5</v>
      </c>
      <c r="G7443">
        <v>5.5</v>
      </c>
      <c r="H7443" t="s">
        <v>2017</v>
      </c>
      <c r="I7443" s="21">
        <v>44874</v>
      </c>
      <c r="J7443">
        <v>2022</v>
      </c>
      <c r="P7443" s="21" t="s">
        <v>114</v>
      </c>
      <c r="Q7443" s="262">
        <v>30000</v>
      </c>
      <c r="S7443" t="s">
        <v>13253</v>
      </c>
      <c r="T7443">
        <v>13526</v>
      </c>
      <c r="W7443">
        <v>0</v>
      </c>
      <c r="X7443">
        <v>0</v>
      </c>
      <c r="AU7443">
        <f t="shared" si="230"/>
        <v>0</v>
      </c>
      <c r="AV7443">
        <f t="shared" si="231"/>
        <v>0</v>
      </c>
    </row>
    <row r="7444" spans="1:48" x14ac:dyDescent="0.25">
      <c r="A7444" t="s">
        <v>17234</v>
      </c>
      <c r="C7444" t="s">
        <v>17235</v>
      </c>
      <c r="D7444" t="s">
        <v>17236</v>
      </c>
      <c r="E7444" t="s">
        <v>1663</v>
      </c>
      <c r="F7444">
        <v>2</v>
      </c>
      <c r="G7444">
        <v>2.2999999999999998</v>
      </c>
      <c r="H7444" t="s">
        <v>2327</v>
      </c>
      <c r="I7444" s="21">
        <v>44874</v>
      </c>
      <c r="J7444">
        <v>2022</v>
      </c>
      <c r="P7444" s="21" t="s">
        <v>114</v>
      </c>
      <c r="Q7444" s="262">
        <v>1500000</v>
      </c>
      <c r="S7444" t="s">
        <v>13253</v>
      </c>
      <c r="T7444">
        <v>11636</v>
      </c>
      <c r="V7444">
        <v>7134</v>
      </c>
      <c r="W7444">
        <v>1427</v>
      </c>
      <c r="X7444">
        <v>0</v>
      </c>
      <c r="AJ7444">
        <v>8561</v>
      </c>
      <c r="AK7444">
        <v>-7134</v>
      </c>
      <c r="AU7444">
        <f t="shared" si="230"/>
        <v>0</v>
      </c>
      <c r="AV7444">
        <f t="shared" si="231"/>
        <v>1427</v>
      </c>
    </row>
    <row r="7445" spans="1:48" x14ac:dyDescent="0.25">
      <c r="A7445" t="s">
        <v>17237</v>
      </c>
      <c r="C7445" t="s">
        <v>17238</v>
      </c>
      <c r="D7445" t="s">
        <v>14157</v>
      </c>
      <c r="E7445" t="s">
        <v>1663</v>
      </c>
      <c r="F7445">
        <v>2</v>
      </c>
      <c r="G7445">
        <v>2.2999999999999998</v>
      </c>
      <c r="H7445" t="s">
        <v>2327</v>
      </c>
      <c r="I7445" s="21">
        <v>44874</v>
      </c>
      <c r="J7445">
        <v>2022</v>
      </c>
      <c r="P7445" s="21" t="s">
        <v>114</v>
      </c>
      <c r="Q7445" s="262">
        <v>300000</v>
      </c>
      <c r="S7445" t="s">
        <v>13253</v>
      </c>
      <c r="T7445" t="s">
        <v>14156</v>
      </c>
      <c r="V7445">
        <v>723</v>
      </c>
      <c r="W7445">
        <v>0</v>
      </c>
      <c r="X7445">
        <v>0</v>
      </c>
      <c r="AU7445">
        <f t="shared" si="230"/>
        <v>0</v>
      </c>
      <c r="AV7445">
        <f t="shared" si="231"/>
        <v>0</v>
      </c>
    </row>
    <row r="7446" spans="1:48" x14ac:dyDescent="0.25">
      <c r="A7446" t="s">
        <v>17239</v>
      </c>
      <c r="C7446" t="s">
        <v>17240</v>
      </c>
      <c r="D7446" t="s">
        <v>17241</v>
      </c>
      <c r="E7446" t="s">
        <v>2310</v>
      </c>
      <c r="F7446">
        <v>13</v>
      </c>
      <c r="G7446">
        <v>13.2</v>
      </c>
      <c r="H7446" t="s">
        <v>2327</v>
      </c>
      <c r="I7446" s="21">
        <v>44875</v>
      </c>
      <c r="J7446">
        <v>2022</v>
      </c>
      <c r="Q7446" s="262">
        <v>1000000</v>
      </c>
      <c r="R7446" s="262">
        <v>1305.6099999999999</v>
      </c>
      <c r="S7446" t="s">
        <v>13253</v>
      </c>
      <c r="T7446">
        <v>15166</v>
      </c>
      <c r="V7446">
        <v>0</v>
      </c>
      <c r="W7446">
        <v>1513</v>
      </c>
      <c r="X7446">
        <v>0</v>
      </c>
      <c r="AC7446">
        <v>1513</v>
      </c>
      <c r="AU7446">
        <f t="shared" si="230"/>
        <v>0</v>
      </c>
      <c r="AV7446">
        <f t="shared" si="231"/>
        <v>0</v>
      </c>
    </row>
    <row r="7447" spans="1:48" x14ac:dyDescent="0.25">
      <c r="A7447" t="s">
        <v>17242</v>
      </c>
      <c r="C7447" t="s">
        <v>17243</v>
      </c>
      <c r="D7447" t="s">
        <v>17244</v>
      </c>
      <c r="E7447" t="s">
        <v>2310</v>
      </c>
      <c r="F7447">
        <v>8</v>
      </c>
      <c r="G7447">
        <v>8.1</v>
      </c>
      <c r="H7447" t="s">
        <v>2323</v>
      </c>
      <c r="I7447" s="21">
        <v>44875</v>
      </c>
      <c r="J7447">
        <v>2022</v>
      </c>
      <c r="O7447" s="21">
        <v>44875</v>
      </c>
      <c r="Q7447" s="262">
        <v>6200000</v>
      </c>
      <c r="R7447" s="262">
        <v>9829.65</v>
      </c>
      <c r="S7447" t="s">
        <v>13254</v>
      </c>
      <c r="U7447">
        <v>5</v>
      </c>
      <c r="V7447">
        <v>0</v>
      </c>
      <c r="W7447">
        <v>8902</v>
      </c>
      <c r="X7447">
        <v>1</v>
      </c>
      <c r="AC7447">
        <v>8902</v>
      </c>
      <c r="AO7447">
        <v>1</v>
      </c>
      <c r="AU7447">
        <f t="shared" si="230"/>
        <v>1</v>
      </c>
      <c r="AV7447">
        <f t="shared" si="231"/>
        <v>0</v>
      </c>
    </row>
    <row r="7448" spans="1:48" x14ac:dyDescent="0.25">
      <c r="A7448" t="s">
        <v>17247</v>
      </c>
      <c r="C7448" t="s">
        <v>17248</v>
      </c>
      <c r="D7448" t="s">
        <v>17249</v>
      </c>
      <c r="E7448" t="s">
        <v>2310</v>
      </c>
      <c r="F7448">
        <v>11</v>
      </c>
      <c r="G7448">
        <v>11.3</v>
      </c>
      <c r="H7448" t="s">
        <v>2017</v>
      </c>
      <c r="I7448" s="21">
        <v>44875</v>
      </c>
      <c r="J7448">
        <v>2022</v>
      </c>
      <c r="Q7448" s="262">
        <v>2500000</v>
      </c>
      <c r="R7448" s="262">
        <v>4174.74</v>
      </c>
      <c r="S7448" t="s">
        <v>12464</v>
      </c>
      <c r="T7448">
        <v>4597</v>
      </c>
      <c r="U7448">
        <v>5</v>
      </c>
      <c r="V7448">
        <v>0</v>
      </c>
      <c r="W7448">
        <v>4646</v>
      </c>
      <c r="X7448">
        <v>1</v>
      </c>
      <c r="AC7448">
        <v>4646</v>
      </c>
      <c r="AR7448">
        <v>1</v>
      </c>
      <c r="AU7448">
        <f t="shared" si="230"/>
        <v>0</v>
      </c>
      <c r="AV7448">
        <f t="shared" si="231"/>
        <v>0</v>
      </c>
    </row>
    <row r="7449" spans="1:48" x14ac:dyDescent="0.25">
      <c r="A7449" t="s">
        <v>17247</v>
      </c>
      <c r="D7449" t="s">
        <v>17249</v>
      </c>
      <c r="E7449" t="s">
        <v>2310</v>
      </c>
      <c r="F7449">
        <v>11</v>
      </c>
      <c r="G7449">
        <v>11.3</v>
      </c>
      <c r="H7449" t="s">
        <v>2017</v>
      </c>
      <c r="I7449" s="21">
        <v>44875</v>
      </c>
      <c r="J7449">
        <v>2022</v>
      </c>
      <c r="Q7449" s="262">
        <v>2500000</v>
      </c>
      <c r="S7449" t="s">
        <v>9529</v>
      </c>
      <c r="T7449">
        <v>4597</v>
      </c>
      <c r="U7449">
        <v>5</v>
      </c>
      <c r="W7449">
        <v>-3805</v>
      </c>
      <c r="X7449">
        <v>-1</v>
      </c>
      <c r="Y7449">
        <v>0</v>
      </c>
      <c r="Z7449">
        <v>0</v>
      </c>
      <c r="AA7449">
        <v>0</v>
      </c>
      <c r="AB7449">
        <v>0</v>
      </c>
      <c r="AC7449">
        <v>-3805</v>
      </c>
      <c r="AD7449">
        <v>0</v>
      </c>
      <c r="AE7449">
        <v>0</v>
      </c>
      <c r="AF7449">
        <v>0</v>
      </c>
      <c r="AG7449">
        <v>0</v>
      </c>
      <c r="AH7449">
        <v>0</v>
      </c>
      <c r="AI7449">
        <v>0</v>
      </c>
      <c r="AJ7449">
        <v>0</v>
      </c>
      <c r="AK7449">
        <v>0</v>
      </c>
      <c r="AL7449">
        <v>0</v>
      </c>
      <c r="AM7449">
        <v>0</v>
      </c>
      <c r="AN7449">
        <v>0</v>
      </c>
      <c r="AO7449">
        <v>-1</v>
      </c>
      <c r="AP7449">
        <v>0</v>
      </c>
      <c r="AQ7449">
        <v>0</v>
      </c>
      <c r="AR7449">
        <v>0</v>
      </c>
      <c r="AS7449">
        <v>0</v>
      </c>
      <c r="AT7449">
        <v>0</v>
      </c>
      <c r="AU7449">
        <f t="shared" ref="AU7449:AU7512" si="232">SUM(AN7449:AQ7449,AS7449)</f>
        <v>-1</v>
      </c>
      <c r="AV7449">
        <f t="shared" ref="AV7449:AV7512" si="233">SUM(Y7449:AB7449,AH7449:AM7449)</f>
        <v>0</v>
      </c>
    </row>
    <row r="7450" spans="1:48" x14ac:dyDescent="0.25">
      <c r="A7450" t="s">
        <v>17250</v>
      </c>
      <c r="C7450" t="s">
        <v>17251</v>
      </c>
      <c r="D7450" t="s">
        <v>17252</v>
      </c>
      <c r="E7450" t="s">
        <v>2310</v>
      </c>
      <c r="F7450">
        <v>9</v>
      </c>
      <c r="G7450">
        <v>9.1999999999999993</v>
      </c>
      <c r="H7450" t="s">
        <v>2022</v>
      </c>
      <c r="I7450" s="21">
        <v>44882</v>
      </c>
      <c r="J7450">
        <v>2022</v>
      </c>
      <c r="Q7450" s="262">
        <v>15000</v>
      </c>
      <c r="R7450" s="262">
        <v>14300</v>
      </c>
      <c r="S7450" t="s">
        <v>13253</v>
      </c>
      <c r="T7450">
        <v>5223</v>
      </c>
      <c r="V7450">
        <v>0</v>
      </c>
      <c r="W7450">
        <v>0</v>
      </c>
      <c r="X7450">
        <v>0</v>
      </c>
      <c r="AU7450">
        <f t="shared" si="232"/>
        <v>0</v>
      </c>
      <c r="AV7450">
        <f t="shared" si="233"/>
        <v>0</v>
      </c>
    </row>
    <row r="7451" spans="1:48" x14ac:dyDescent="0.25">
      <c r="A7451" t="s">
        <v>17253</v>
      </c>
      <c r="C7451" t="s">
        <v>13129</v>
      </c>
      <c r="D7451" t="s">
        <v>17254</v>
      </c>
      <c r="E7451" t="s">
        <v>1663</v>
      </c>
      <c r="F7451">
        <v>6</v>
      </c>
      <c r="G7451">
        <v>6.1</v>
      </c>
      <c r="H7451" t="s">
        <v>2017</v>
      </c>
      <c r="I7451" s="21">
        <v>44883</v>
      </c>
      <c r="J7451">
        <v>2022</v>
      </c>
      <c r="K7451" s="21">
        <v>44916</v>
      </c>
      <c r="L7451">
        <v>2022</v>
      </c>
      <c r="P7451" s="21" t="s">
        <v>114</v>
      </c>
      <c r="Q7451" s="262">
        <v>100000</v>
      </c>
      <c r="S7451" t="s">
        <v>13253</v>
      </c>
      <c r="T7451">
        <v>10769</v>
      </c>
      <c r="V7451">
        <v>4099</v>
      </c>
      <c r="W7451">
        <v>-29</v>
      </c>
      <c r="X7451">
        <v>0</v>
      </c>
      <c r="AC7451">
        <v>-29</v>
      </c>
      <c r="AU7451">
        <f t="shared" si="232"/>
        <v>0</v>
      </c>
      <c r="AV7451">
        <f t="shared" si="233"/>
        <v>0</v>
      </c>
    </row>
    <row r="7452" spans="1:48" x14ac:dyDescent="0.25">
      <c r="A7452" t="s">
        <v>17255</v>
      </c>
      <c r="C7452" t="s">
        <v>17256</v>
      </c>
      <c r="D7452" t="s">
        <v>17257</v>
      </c>
      <c r="E7452" t="s">
        <v>1663</v>
      </c>
      <c r="F7452">
        <v>2</v>
      </c>
      <c r="G7452">
        <v>2.6</v>
      </c>
      <c r="H7452" t="s">
        <v>2327</v>
      </c>
      <c r="I7452" s="21">
        <v>44883</v>
      </c>
      <c r="J7452">
        <v>2022</v>
      </c>
      <c r="K7452" s="21">
        <v>44911</v>
      </c>
      <c r="L7452">
        <v>2022</v>
      </c>
      <c r="P7452" s="21" t="s">
        <v>114</v>
      </c>
      <c r="Q7452" s="262">
        <v>300000</v>
      </c>
      <c r="S7452" t="s">
        <v>13253</v>
      </c>
      <c r="T7452">
        <v>10245</v>
      </c>
      <c r="V7452">
        <v>490</v>
      </c>
      <c r="W7452">
        <v>27</v>
      </c>
      <c r="X7452">
        <v>0</v>
      </c>
      <c r="AD7452">
        <v>27</v>
      </c>
      <c r="AU7452">
        <f t="shared" si="232"/>
        <v>0</v>
      </c>
      <c r="AV7452">
        <f t="shared" si="233"/>
        <v>0</v>
      </c>
    </row>
    <row r="7453" spans="1:48" x14ac:dyDescent="0.25">
      <c r="A7453" t="s">
        <v>17258</v>
      </c>
      <c r="C7453" t="s">
        <v>17259</v>
      </c>
      <c r="D7453" t="s">
        <v>14422</v>
      </c>
      <c r="E7453" t="s">
        <v>2310</v>
      </c>
      <c r="F7453">
        <v>10</v>
      </c>
      <c r="G7453">
        <v>10.199999999999999</v>
      </c>
      <c r="H7453" t="s">
        <v>2022</v>
      </c>
      <c r="I7453" s="21">
        <v>44883</v>
      </c>
      <c r="J7453">
        <v>2022</v>
      </c>
      <c r="K7453" s="21">
        <v>44946</v>
      </c>
      <c r="L7453">
        <v>2023</v>
      </c>
      <c r="Q7453" s="262">
        <v>300000</v>
      </c>
      <c r="R7453" s="262">
        <v>74.69</v>
      </c>
      <c r="S7453" t="s">
        <v>13254</v>
      </c>
      <c r="V7453">
        <v>0</v>
      </c>
      <c r="W7453">
        <v>0</v>
      </c>
      <c r="X7453">
        <v>0</v>
      </c>
      <c r="AU7453">
        <f t="shared" si="232"/>
        <v>0</v>
      </c>
      <c r="AV7453">
        <f t="shared" si="233"/>
        <v>0</v>
      </c>
    </row>
    <row r="7454" spans="1:48" x14ac:dyDescent="0.25">
      <c r="A7454" t="s">
        <v>17260</v>
      </c>
      <c r="C7454" t="s">
        <v>17261</v>
      </c>
      <c r="D7454" t="s">
        <v>14513</v>
      </c>
      <c r="E7454" t="s">
        <v>1663</v>
      </c>
      <c r="F7454">
        <v>6</v>
      </c>
      <c r="G7454">
        <v>6.2</v>
      </c>
      <c r="H7454" t="s">
        <v>2017</v>
      </c>
      <c r="I7454" s="21">
        <v>44893</v>
      </c>
      <c r="J7454">
        <v>2022</v>
      </c>
      <c r="P7454" s="21" t="s">
        <v>114</v>
      </c>
      <c r="Q7454" s="262">
        <v>60000</v>
      </c>
      <c r="S7454" t="s">
        <v>13253</v>
      </c>
      <c r="T7454">
        <v>10429</v>
      </c>
      <c r="W7454">
        <v>728</v>
      </c>
      <c r="X7454">
        <v>0</v>
      </c>
      <c r="AC7454">
        <v>728</v>
      </c>
      <c r="AU7454">
        <f t="shared" si="232"/>
        <v>0</v>
      </c>
      <c r="AV7454">
        <f t="shared" si="233"/>
        <v>0</v>
      </c>
    </row>
    <row r="7455" spans="1:48" x14ac:dyDescent="0.25">
      <c r="A7455" t="s">
        <v>17262</v>
      </c>
      <c r="C7455" t="s">
        <v>17263</v>
      </c>
      <c r="D7455" t="s">
        <v>9805</v>
      </c>
      <c r="E7455" t="s">
        <v>2310</v>
      </c>
      <c r="F7455">
        <v>9</v>
      </c>
      <c r="G7455">
        <v>9.1999999999999993</v>
      </c>
      <c r="H7455" t="s">
        <v>2022</v>
      </c>
      <c r="I7455" s="21">
        <v>44896</v>
      </c>
      <c r="J7455">
        <v>2022</v>
      </c>
      <c r="Q7455" s="262">
        <v>500000</v>
      </c>
      <c r="R7455" s="262">
        <v>869.01</v>
      </c>
      <c r="S7455" t="s">
        <v>13254</v>
      </c>
      <c r="U7455">
        <v>8</v>
      </c>
      <c r="V7455">
        <v>0</v>
      </c>
      <c r="W7455">
        <v>960</v>
      </c>
      <c r="X7455">
        <v>1</v>
      </c>
      <c r="AF7455">
        <v>960</v>
      </c>
      <c r="AR7455">
        <v>1</v>
      </c>
      <c r="AU7455">
        <f t="shared" si="232"/>
        <v>0</v>
      </c>
      <c r="AV7455">
        <f t="shared" si="233"/>
        <v>0</v>
      </c>
    </row>
    <row r="7456" spans="1:48" x14ac:dyDescent="0.25">
      <c r="A7456" t="s">
        <v>17264</v>
      </c>
      <c r="C7456" t="s">
        <v>17265</v>
      </c>
      <c r="D7456" t="s">
        <v>17266</v>
      </c>
      <c r="E7456" t="s">
        <v>2310</v>
      </c>
      <c r="F7456">
        <v>11</v>
      </c>
      <c r="G7456">
        <v>11.2</v>
      </c>
      <c r="H7456" t="s">
        <v>2017</v>
      </c>
      <c r="I7456" s="21">
        <v>44896</v>
      </c>
      <c r="J7456">
        <v>2022</v>
      </c>
      <c r="Q7456" s="262">
        <v>340000</v>
      </c>
      <c r="R7456" s="262">
        <v>579.34</v>
      </c>
      <c r="S7456" t="s">
        <v>12464</v>
      </c>
      <c r="T7456">
        <v>4667</v>
      </c>
      <c r="V7456">
        <v>0</v>
      </c>
      <c r="W7456">
        <v>640</v>
      </c>
      <c r="X7456">
        <v>1</v>
      </c>
      <c r="AF7456">
        <v>640</v>
      </c>
      <c r="AR7456">
        <v>1</v>
      </c>
      <c r="AU7456">
        <f t="shared" si="232"/>
        <v>0</v>
      </c>
      <c r="AV7456">
        <f t="shared" si="233"/>
        <v>0</v>
      </c>
    </row>
    <row r="7457" spans="1:48" x14ac:dyDescent="0.25">
      <c r="A7457" t="s">
        <v>17267</v>
      </c>
      <c r="C7457" t="s">
        <v>17268</v>
      </c>
      <c r="D7457" t="s">
        <v>17269</v>
      </c>
      <c r="E7457" t="s">
        <v>2310</v>
      </c>
      <c r="F7457">
        <v>12</v>
      </c>
      <c r="G7457">
        <v>12.3</v>
      </c>
      <c r="H7457" t="s">
        <v>2017</v>
      </c>
      <c r="I7457" s="21">
        <v>44896</v>
      </c>
      <c r="J7457">
        <v>2022</v>
      </c>
      <c r="Q7457" s="262">
        <v>980000</v>
      </c>
      <c r="R7457" s="262">
        <v>4498.28</v>
      </c>
      <c r="S7457" t="s">
        <v>13254</v>
      </c>
      <c r="U7457">
        <v>5</v>
      </c>
      <c r="V7457">
        <v>0</v>
      </c>
      <c r="W7457">
        <v>4744</v>
      </c>
      <c r="X7457">
        <v>1</v>
      </c>
      <c r="AC7457">
        <v>4744</v>
      </c>
      <c r="AO7457">
        <v>1</v>
      </c>
      <c r="AU7457">
        <f t="shared" si="232"/>
        <v>1</v>
      </c>
      <c r="AV7457">
        <f t="shared" si="233"/>
        <v>0</v>
      </c>
    </row>
    <row r="7458" spans="1:48" x14ac:dyDescent="0.25">
      <c r="A7458" t="s">
        <v>17270</v>
      </c>
      <c r="C7458" t="s">
        <v>17271</v>
      </c>
      <c r="D7458" t="s">
        <v>17272</v>
      </c>
      <c r="E7458" t="s">
        <v>2310</v>
      </c>
      <c r="F7458">
        <v>15</v>
      </c>
      <c r="G7458">
        <v>15.1</v>
      </c>
      <c r="H7458" t="s">
        <v>2022</v>
      </c>
      <c r="I7458" s="21">
        <v>44896</v>
      </c>
      <c r="J7458">
        <v>2022</v>
      </c>
      <c r="Q7458" s="262">
        <v>22938129</v>
      </c>
      <c r="R7458" s="262">
        <v>13695.29</v>
      </c>
      <c r="S7458" t="s">
        <v>13254</v>
      </c>
      <c r="U7458">
        <v>5</v>
      </c>
      <c r="V7458">
        <v>0</v>
      </c>
      <c r="W7458">
        <v>13181</v>
      </c>
      <c r="X7458">
        <v>1</v>
      </c>
      <c r="AC7458">
        <v>13181</v>
      </c>
      <c r="AO7458">
        <v>1</v>
      </c>
      <c r="AU7458">
        <f t="shared" si="232"/>
        <v>1</v>
      </c>
      <c r="AV7458">
        <f t="shared" si="233"/>
        <v>0</v>
      </c>
    </row>
    <row r="7459" spans="1:48" x14ac:dyDescent="0.25">
      <c r="A7459" t="s">
        <v>17264</v>
      </c>
      <c r="D7459" t="s">
        <v>17266</v>
      </c>
      <c r="E7459" t="s">
        <v>2310</v>
      </c>
      <c r="F7459">
        <v>11</v>
      </c>
      <c r="G7459">
        <v>11.2</v>
      </c>
      <c r="H7459" t="s">
        <v>2017</v>
      </c>
      <c r="I7459" s="21">
        <v>44896</v>
      </c>
      <c r="J7459">
        <v>2022</v>
      </c>
      <c r="Q7459" s="262">
        <v>340000</v>
      </c>
      <c r="S7459" t="s">
        <v>9529</v>
      </c>
      <c r="T7459">
        <v>4667</v>
      </c>
      <c r="U7459">
        <v>8</v>
      </c>
      <c r="W7459">
        <v>-276</v>
      </c>
      <c r="X7459">
        <v>-1</v>
      </c>
      <c r="Y7459">
        <v>0</v>
      </c>
      <c r="Z7459">
        <v>0</v>
      </c>
      <c r="AA7459">
        <v>0</v>
      </c>
      <c r="AB7459">
        <v>0</v>
      </c>
      <c r="AC7459">
        <v>0</v>
      </c>
      <c r="AD7459">
        <v>0</v>
      </c>
      <c r="AE7459">
        <v>0</v>
      </c>
      <c r="AF7459">
        <v>-276</v>
      </c>
      <c r="AG7459">
        <v>0</v>
      </c>
      <c r="AH7459">
        <v>0</v>
      </c>
      <c r="AI7459">
        <v>0</v>
      </c>
      <c r="AJ7459">
        <v>0</v>
      </c>
      <c r="AK7459">
        <v>0</v>
      </c>
      <c r="AL7459">
        <v>0</v>
      </c>
      <c r="AM7459">
        <v>0</v>
      </c>
      <c r="AN7459">
        <v>0</v>
      </c>
      <c r="AO7459">
        <v>0</v>
      </c>
      <c r="AP7459">
        <v>0</v>
      </c>
      <c r="AQ7459">
        <v>0</v>
      </c>
      <c r="AR7459">
        <v>-1</v>
      </c>
      <c r="AS7459">
        <v>0</v>
      </c>
      <c r="AT7459">
        <v>0</v>
      </c>
      <c r="AU7459">
        <f t="shared" si="232"/>
        <v>0</v>
      </c>
      <c r="AV7459">
        <f t="shared" si="233"/>
        <v>0</v>
      </c>
    </row>
    <row r="7460" spans="1:48" x14ac:dyDescent="0.25">
      <c r="A7460" t="s">
        <v>17273</v>
      </c>
      <c r="C7460" t="s">
        <v>17274</v>
      </c>
      <c r="D7460" t="s">
        <v>17275</v>
      </c>
      <c r="E7460" t="s">
        <v>2310</v>
      </c>
      <c r="F7460">
        <v>9</v>
      </c>
      <c r="G7460">
        <v>9.1999999999999993</v>
      </c>
      <c r="H7460" t="s">
        <v>2022</v>
      </c>
      <c r="I7460" s="21">
        <v>44897</v>
      </c>
      <c r="J7460">
        <v>2022</v>
      </c>
      <c r="O7460" s="21">
        <v>44900</v>
      </c>
      <c r="Q7460" s="262">
        <v>900000</v>
      </c>
      <c r="R7460" s="262">
        <v>4186.3999999999996</v>
      </c>
      <c r="S7460" t="s">
        <v>13254</v>
      </c>
      <c r="V7460">
        <v>0</v>
      </c>
      <c r="W7460">
        <v>4550</v>
      </c>
      <c r="X7460">
        <v>2</v>
      </c>
      <c r="AC7460">
        <v>3559</v>
      </c>
      <c r="AF7460">
        <v>991</v>
      </c>
      <c r="AO7460">
        <v>1</v>
      </c>
      <c r="AR7460">
        <v>1</v>
      </c>
      <c r="AU7460">
        <f t="shared" si="232"/>
        <v>1</v>
      </c>
      <c r="AV7460">
        <f t="shared" si="233"/>
        <v>0</v>
      </c>
    </row>
    <row r="7461" spans="1:48" x14ac:dyDescent="0.25">
      <c r="A7461" t="s">
        <v>17276</v>
      </c>
      <c r="C7461" t="s">
        <v>17277</v>
      </c>
      <c r="D7461" t="s">
        <v>17278</v>
      </c>
      <c r="E7461" t="s">
        <v>2310</v>
      </c>
      <c r="F7461">
        <v>9</v>
      </c>
      <c r="G7461">
        <v>9.3000000000000007</v>
      </c>
      <c r="H7461" t="s">
        <v>2323</v>
      </c>
      <c r="I7461" s="21">
        <v>44897</v>
      </c>
      <c r="J7461">
        <v>2022</v>
      </c>
      <c r="Q7461" s="262">
        <v>1220000</v>
      </c>
      <c r="R7461" s="262">
        <v>857.89</v>
      </c>
      <c r="S7461" t="s">
        <v>13253</v>
      </c>
      <c r="T7461">
        <v>1757</v>
      </c>
      <c r="V7461">
        <v>962</v>
      </c>
      <c r="W7461">
        <v>725</v>
      </c>
      <c r="X7461">
        <v>0</v>
      </c>
      <c r="AC7461">
        <v>725</v>
      </c>
      <c r="AU7461">
        <f t="shared" si="232"/>
        <v>0</v>
      </c>
      <c r="AV7461">
        <f t="shared" si="233"/>
        <v>0</v>
      </c>
    </row>
    <row r="7462" spans="1:48" x14ac:dyDescent="0.25">
      <c r="A7462" t="s">
        <v>17279</v>
      </c>
      <c r="C7462" t="s">
        <v>17280</v>
      </c>
      <c r="D7462" t="s">
        <v>17275</v>
      </c>
      <c r="E7462" t="s">
        <v>2310</v>
      </c>
      <c r="F7462">
        <v>9</v>
      </c>
      <c r="G7462">
        <v>9.1999999999999993</v>
      </c>
      <c r="H7462" t="s">
        <v>2022</v>
      </c>
      <c r="I7462" s="21">
        <v>44897</v>
      </c>
      <c r="J7462">
        <v>2022</v>
      </c>
      <c r="Q7462" s="262">
        <v>450000</v>
      </c>
      <c r="R7462" s="262">
        <v>4673.2</v>
      </c>
      <c r="S7462" t="s">
        <v>13254</v>
      </c>
      <c r="U7462">
        <v>5</v>
      </c>
      <c r="V7462">
        <v>0</v>
      </c>
      <c r="W7462">
        <v>4275</v>
      </c>
      <c r="X7462">
        <v>1</v>
      </c>
      <c r="AC7462">
        <v>4275</v>
      </c>
      <c r="AO7462">
        <v>1</v>
      </c>
      <c r="AU7462">
        <f t="shared" si="232"/>
        <v>1</v>
      </c>
      <c r="AV7462">
        <f t="shared" si="233"/>
        <v>0</v>
      </c>
    </row>
    <row r="7463" spans="1:48" x14ac:dyDescent="0.25">
      <c r="A7463" t="s">
        <v>17281</v>
      </c>
      <c r="C7463" t="s">
        <v>8393</v>
      </c>
      <c r="D7463" t="s">
        <v>17275</v>
      </c>
      <c r="E7463" t="s">
        <v>2310</v>
      </c>
      <c r="F7463">
        <v>9</v>
      </c>
      <c r="G7463">
        <v>9.1999999999999993</v>
      </c>
      <c r="H7463" t="s">
        <v>2022</v>
      </c>
      <c r="I7463" s="21">
        <v>44897</v>
      </c>
      <c r="J7463">
        <v>2022</v>
      </c>
      <c r="Q7463" s="262">
        <v>450000</v>
      </c>
      <c r="R7463" s="262">
        <v>1272.93</v>
      </c>
      <c r="S7463" t="s">
        <v>13254</v>
      </c>
      <c r="U7463">
        <v>8</v>
      </c>
      <c r="V7463">
        <v>0</v>
      </c>
      <c r="W7463">
        <v>0</v>
      </c>
      <c r="X7463">
        <v>0</v>
      </c>
      <c r="AU7463">
        <f t="shared" si="232"/>
        <v>0</v>
      </c>
      <c r="AV7463">
        <f t="shared" si="233"/>
        <v>0</v>
      </c>
    </row>
    <row r="7464" spans="1:48" x14ac:dyDescent="0.25">
      <c r="A7464" t="s">
        <v>17282</v>
      </c>
      <c r="C7464" t="s">
        <v>15760</v>
      </c>
      <c r="D7464" t="s">
        <v>17283</v>
      </c>
      <c r="E7464" t="s">
        <v>1663</v>
      </c>
      <c r="F7464">
        <v>6</v>
      </c>
      <c r="G7464">
        <v>6.1</v>
      </c>
      <c r="H7464" t="s">
        <v>2017</v>
      </c>
      <c r="I7464" s="21">
        <v>44901</v>
      </c>
      <c r="J7464">
        <v>2022</v>
      </c>
      <c r="P7464" s="21" t="s">
        <v>114</v>
      </c>
      <c r="Q7464" s="262">
        <v>7000000</v>
      </c>
      <c r="S7464" t="s">
        <v>12464</v>
      </c>
      <c r="T7464">
        <v>13074</v>
      </c>
      <c r="W7464">
        <v>8156</v>
      </c>
      <c r="X7464">
        <v>1</v>
      </c>
      <c r="AC7464">
        <v>8156</v>
      </c>
      <c r="AO7464">
        <v>1</v>
      </c>
      <c r="AU7464">
        <f t="shared" si="232"/>
        <v>1</v>
      </c>
      <c r="AV7464">
        <f t="shared" si="233"/>
        <v>0</v>
      </c>
    </row>
    <row r="7465" spans="1:48" x14ac:dyDescent="0.25">
      <c r="A7465" t="s">
        <v>17282</v>
      </c>
      <c r="C7465" t="s">
        <v>15760</v>
      </c>
      <c r="D7465" t="s">
        <v>17283</v>
      </c>
      <c r="E7465" t="s">
        <v>1663</v>
      </c>
      <c r="F7465">
        <v>6</v>
      </c>
      <c r="G7465">
        <v>6.1</v>
      </c>
      <c r="I7465" s="21">
        <v>44901</v>
      </c>
      <c r="J7465">
        <v>2022</v>
      </c>
      <c r="Q7465" s="262">
        <v>7000000</v>
      </c>
      <c r="S7465" t="s">
        <v>9529</v>
      </c>
      <c r="T7465">
        <v>13074</v>
      </c>
      <c r="U7465">
        <v>5</v>
      </c>
      <c r="W7465">
        <v>-4036</v>
      </c>
      <c r="X7465">
        <v>-1</v>
      </c>
      <c r="Y7465">
        <v>0</v>
      </c>
      <c r="Z7465">
        <v>0</v>
      </c>
      <c r="AA7465">
        <v>0</v>
      </c>
      <c r="AB7465">
        <v>0</v>
      </c>
      <c r="AC7465">
        <v>-4036</v>
      </c>
      <c r="AD7465">
        <v>0</v>
      </c>
      <c r="AE7465">
        <v>0</v>
      </c>
      <c r="AF7465">
        <v>0</v>
      </c>
      <c r="AG7465">
        <v>0</v>
      </c>
      <c r="AH7465">
        <v>0</v>
      </c>
      <c r="AI7465">
        <v>0</v>
      </c>
      <c r="AJ7465">
        <v>0</v>
      </c>
      <c r="AK7465">
        <v>0</v>
      </c>
      <c r="AL7465">
        <v>0</v>
      </c>
      <c r="AM7465">
        <v>0</v>
      </c>
      <c r="AN7465">
        <v>0</v>
      </c>
      <c r="AO7465">
        <v>-1</v>
      </c>
      <c r="AP7465">
        <v>0</v>
      </c>
      <c r="AQ7465">
        <v>0</v>
      </c>
      <c r="AR7465">
        <v>0</v>
      </c>
      <c r="AS7465">
        <v>0</v>
      </c>
      <c r="AT7465">
        <v>0</v>
      </c>
      <c r="AU7465">
        <f t="shared" si="232"/>
        <v>-1</v>
      </c>
      <c r="AV7465">
        <f t="shared" si="233"/>
        <v>0</v>
      </c>
    </row>
    <row r="7466" spans="1:48" x14ac:dyDescent="0.25">
      <c r="A7466" t="s">
        <v>17284</v>
      </c>
      <c r="C7466" t="s">
        <v>13129</v>
      </c>
      <c r="D7466" t="s">
        <v>17285</v>
      </c>
      <c r="E7466" t="s">
        <v>1663</v>
      </c>
      <c r="F7466">
        <v>4</v>
      </c>
      <c r="G7466">
        <v>4.3</v>
      </c>
      <c r="H7466" t="s">
        <v>2327</v>
      </c>
      <c r="I7466" s="21">
        <v>44902</v>
      </c>
      <c r="J7466">
        <v>2022</v>
      </c>
      <c r="K7466" s="21">
        <v>44922</v>
      </c>
      <c r="L7466">
        <v>2022</v>
      </c>
      <c r="P7466" s="21" t="s">
        <v>114</v>
      </c>
      <c r="Q7466" s="262">
        <v>10000</v>
      </c>
      <c r="S7466" t="s">
        <v>13253</v>
      </c>
      <c r="T7466">
        <v>11841</v>
      </c>
      <c r="V7466">
        <v>150</v>
      </c>
      <c r="W7466">
        <v>0</v>
      </c>
      <c r="X7466">
        <v>0</v>
      </c>
      <c r="AU7466">
        <f t="shared" si="232"/>
        <v>0</v>
      </c>
      <c r="AV7466">
        <f t="shared" si="233"/>
        <v>0</v>
      </c>
    </row>
    <row r="7467" spans="1:48" x14ac:dyDescent="0.25">
      <c r="A7467" t="s">
        <v>17286</v>
      </c>
      <c r="C7467" t="s">
        <v>17287</v>
      </c>
      <c r="D7467" t="s">
        <v>12581</v>
      </c>
      <c r="E7467" t="s">
        <v>2310</v>
      </c>
      <c r="F7467">
        <v>12</v>
      </c>
      <c r="G7467">
        <v>12.2</v>
      </c>
      <c r="H7467" t="s">
        <v>2017</v>
      </c>
      <c r="I7467" s="21">
        <v>44903</v>
      </c>
      <c r="J7467">
        <v>2022</v>
      </c>
      <c r="Q7467" s="262">
        <v>325000</v>
      </c>
      <c r="R7467" s="262">
        <v>2479.39</v>
      </c>
      <c r="S7467" t="s">
        <v>13253</v>
      </c>
      <c r="T7467">
        <v>4022</v>
      </c>
      <c r="V7467">
        <v>2416</v>
      </c>
      <c r="W7467">
        <v>1201</v>
      </c>
      <c r="X7467">
        <v>0</v>
      </c>
      <c r="AC7467">
        <v>1201</v>
      </c>
      <c r="AU7467">
        <f t="shared" si="232"/>
        <v>0</v>
      </c>
      <c r="AV7467">
        <f t="shared" si="233"/>
        <v>0</v>
      </c>
    </row>
    <row r="7468" spans="1:48" x14ac:dyDescent="0.25">
      <c r="A7468" t="s">
        <v>17288</v>
      </c>
      <c r="C7468" t="s">
        <v>17289</v>
      </c>
      <c r="D7468" t="s">
        <v>15308</v>
      </c>
      <c r="E7468" t="s">
        <v>2310</v>
      </c>
      <c r="F7468">
        <v>9</v>
      </c>
      <c r="G7468">
        <v>9.1999999999999993</v>
      </c>
      <c r="H7468" t="s">
        <v>2022</v>
      </c>
      <c r="I7468" s="21">
        <v>44903</v>
      </c>
      <c r="J7468">
        <v>2022</v>
      </c>
      <c r="Q7468" s="262">
        <v>1500000</v>
      </c>
      <c r="R7468" s="262">
        <v>413.34</v>
      </c>
      <c r="S7468" t="s">
        <v>13254</v>
      </c>
      <c r="V7468">
        <v>0</v>
      </c>
      <c r="W7468">
        <v>0</v>
      </c>
      <c r="X7468">
        <v>0</v>
      </c>
      <c r="AU7468">
        <f t="shared" si="232"/>
        <v>0</v>
      </c>
      <c r="AV7468">
        <f t="shared" si="233"/>
        <v>0</v>
      </c>
    </row>
    <row r="7469" spans="1:48" x14ac:dyDescent="0.25">
      <c r="A7469" t="s">
        <v>17290</v>
      </c>
      <c r="C7469" t="s">
        <v>17291</v>
      </c>
      <c r="D7469" t="s">
        <v>17292</v>
      </c>
      <c r="E7469" t="s">
        <v>2310</v>
      </c>
      <c r="F7469">
        <v>10</v>
      </c>
      <c r="G7469">
        <v>10.1</v>
      </c>
      <c r="H7469" t="s">
        <v>2323</v>
      </c>
      <c r="I7469" s="21">
        <v>44903</v>
      </c>
      <c r="J7469">
        <v>2022</v>
      </c>
      <c r="Q7469" s="262">
        <v>350000</v>
      </c>
      <c r="R7469" s="262">
        <v>343.03</v>
      </c>
      <c r="S7469" t="s">
        <v>13253</v>
      </c>
      <c r="T7469">
        <v>2017</v>
      </c>
      <c r="V7469">
        <v>492</v>
      </c>
      <c r="W7469">
        <v>0</v>
      </c>
      <c r="X7469">
        <v>0</v>
      </c>
      <c r="AU7469">
        <f t="shared" si="232"/>
        <v>0</v>
      </c>
      <c r="AV7469">
        <f t="shared" si="233"/>
        <v>0</v>
      </c>
    </row>
    <row r="7470" spans="1:48" x14ac:dyDescent="0.25">
      <c r="A7470" t="s">
        <v>17293</v>
      </c>
      <c r="C7470" t="s">
        <v>17294</v>
      </c>
      <c r="D7470" t="s">
        <v>17295</v>
      </c>
      <c r="E7470" t="s">
        <v>2310</v>
      </c>
      <c r="F7470">
        <v>12</v>
      </c>
      <c r="G7470">
        <v>12.2</v>
      </c>
      <c r="H7470" t="s">
        <v>2017</v>
      </c>
      <c r="I7470" s="21">
        <v>44903</v>
      </c>
      <c r="J7470">
        <v>2022</v>
      </c>
      <c r="O7470" s="21">
        <v>0</v>
      </c>
      <c r="S7470" t="s">
        <v>13253</v>
      </c>
      <c r="T7470">
        <v>3926</v>
      </c>
      <c r="V7470">
        <v>0</v>
      </c>
      <c r="W7470">
        <v>-3166</v>
      </c>
      <c r="X7470">
        <v>-1</v>
      </c>
      <c r="AC7470">
        <v>-3166</v>
      </c>
      <c r="AO7470">
        <v>-1</v>
      </c>
      <c r="AU7470">
        <f t="shared" si="232"/>
        <v>-1</v>
      </c>
      <c r="AV7470">
        <f t="shared" si="233"/>
        <v>0</v>
      </c>
    </row>
    <row r="7471" spans="1:48" x14ac:dyDescent="0.25">
      <c r="A7471" t="s">
        <v>17293</v>
      </c>
      <c r="C7471" t="s">
        <v>17294</v>
      </c>
      <c r="D7471" t="s">
        <v>17295</v>
      </c>
      <c r="E7471" t="s">
        <v>2310</v>
      </c>
      <c r="F7471">
        <v>12</v>
      </c>
      <c r="G7471">
        <v>12.2</v>
      </c>
      <c r="H7471" t="s">
        <v>2017</v>
      </c>
      <c r="I7471" s="21">
        <v>44903</v>
      </c>
      <c r="J7471">
        <v>2022</v>
      </c>
      <c r="Q7471" s="262">
        <v>175000</v>
      </c>
      <c r="R7471" s="262">
        <v>3983.68</v>
      </c>
      <c r="S7471" t="s">
        <v>13254</v>
      </c>
      <c r="U7471">
        <v>5</v>
      </c>
      <c r="V7471">
        <v>0</v>
      </c>
      <c r="W7471">
        <v>4034</v>
      </c>
      <c r="X7471">
        <v>1</v>
      </c>
      <c r="AC7471">
        <v>4034</v>
      </c>
      <c r="AO7471">
        <v>1</v>
      </c>
      <c r="AU7471">
        <f t="shared" si="232"/>
        <v>1</v>
      </c>
      <c r="AV7471">
        <f t="shared" si="233"/>
        <v>0</v>
      </c>
    </row>
    <row r="7472" spans="1:48" x14ac:dyDescent="0.25">
      <c r="A7472" t="s">
        <v>17296</v>
      </c>
      <c r="C7472" t="s">
        <v>17297</v>
      </c>
      <c r="D7472" t="s">
        <v>4892</v>
      </c>
      <c r="E7472" t="s">
        <v>2310</v>
      </c>
      <c r="F7472">
        <v>8</v>
      </c>
      <c r="G7472">
        <v>8.1</v>
      </c>
      <c r="H7472" t="s">
        <v>2323</v>
      </c>
      <c r="I7472" s="21">
        <v>44903</v>
      </c>
      <c r="J7472">
        <v>2022</v>
      </c>
      <c r="Q7472" s="262">
        <v>500000</v>
      </c>
      <c r="R7472" s="262">
        <v>239.3</v>
      </c>
      <c r="S7472" t="s">
        <v>13253</v>
      </c>
      <c r="T7472">
        <v>4125</v>
      </c>
      <c r="V7472">
        <v>0</v>
      </c>
      <c r="W7472">
        <v>0</v>
      </c>
      <c r="X7472">
        <v>0</v>
      </c>
      <c r="AU7472">
        <f t="shared" si="232"/>
        <v>0</v>
      </c>
      <c r="AV7472">
        <f t="shared" si="233"/>
        <v>0</v>
      </c>
    </row>
    <row r="7473" spans="1:48" x14ac:dyDescent="0.25">
      <c r="A7473" t="s">
        <v>17298</v>
      </c>
      <c r="C7473" t="s">
        <v>17299</v>
      </c>
      <c r="D7473" t="s">
        <v>17300</v>
      </c>
      <c r="E7473" t="s">
        <v>2310</v>
      </c>
      <c r="F7473">
        <v>14</v>
      </c>
      <c r="G7473">
        <v>14.1</v>
      </c>
      <c r="H7473" t="s">
        <v>2022</v>
      </c>
      <c r="I7473" s="21">
        <v>44904</v>
      </c>
      <c r="J7473">
        <v>2022</v>
      </c>
      <c r="Q7473" s="262">
        <v>3600000</v>
      </c>
      <c r="R7473" s="262">
        <v>4303.91</v>
      </c>
      <c r="S7473" t="s">
        <v>13254</v>
      </c>
      <c r="U7473">
        <v>5</v>
      </c>
      <c r="V7473">
        <v>0</v>
      </c>
      <c r="W7473">
        <v>4478</v>
      </c>
      <c r="X7473">
        <v>1</v>
      </c>
      <c r="AC7473">
        <v>4478</v>
      </c>
      <c r="AO7473">
        <v>1</v>
      </c>
      <c r="AU7473">
        <f t="shared" si="232"/>
        <v>1</v>
      </c>
      <c r="AV7473">
        <f t="shared" si="233"/>
        <v>0</v>
      </c>
    </row>
    <row r="7474" spans="1:48" x14ac:dyDescent="0.25">
      <c r="A7474" t="s">
        <v>17301</v>
      </c>
      <c r="C7474" t="s">
        <v>17302</v>
      </c>
      <c r="D7474" t="s">
        <v>17303</v>
      </c>
      <c r="E7474" t="s">
        <v>2310</v>
      </c>
      <c r="F7474">
        <v>12</v>
      </c>
      <c r="G7474">
        <v>12.3</v>
      </c>
      <c r="H7474" t="s">
        <v>2017</v>
      </c>
      <c r="I7474" s="21">
        <v>44907</v>
      </c>
      <c r="J7474">
        <v>2022</v>
      </c>
      <c r="Q7474" s="262">
        <v>1600000</v>
      </c>
      <c r="R7474" s="262">
        <v>1708.83</v>
      </c>
      <c r="S7474" t="s">
        <v>13253</v>
      </c>
      <c r="T7474">
        <v>3767</v>
      </c>
      <c r="V7474">
        <v>1091</v>
      </c>
      <c r="W7474">
        <v>651</v>
      </c>
      <c r="X7474">
        <v>0</v>
      </c>
      <c r="AC7474">
        <v>651</v>
      </c>
      <c r="AU7474">
        <f t="shared" si="232"/>
        <v>0</v>
      </c>
      <c r="AV7474">
        <f t="shared" si="233"/>
        <v>0</v>
      </c>
    </row>
    <row r="7475" spans="1:48" x14ac:dyDescent="0.25">
      <c r="A7475" t="s">
        <v>17304</v>
      </c>
      <c r="C7475" t="s">
        <v>17305</v>
      </c>
      <c r="D7475" t="s">
        <v>17306</v>
      </c>
      <c r="E7475" t="s">
        <v>2310</v>
      </c>
      <c r="F7475">
        <v>15</v>
      </c>
      <c r="G7475">
        <v>15.2</v>
      </c>
      <c r="H7475" t="s">
        <v>2323</v>
      </c>
      <c r="I7475" s="21">
        <v>44907</v>
      </c>
      <c r="J7475">
        <v>2022</v>
      </c>
      <c r="Q7475" s="262">
        <v>400000</v>
      </c>
      <c r="R7475" s="262">
        <v>349.53</v>
      </c>
      <c r="S7475" t="s">
        <v>13254</v>
      </c>
      <c r="U7475">
        <v>5</v>
      </c>
      <c r="V7475">
        <v>0</v>
      </c>
      <c r="W7475">
        <v>964</v>
      </c>
      <c r="X7475">
        <v>0</v>
      </c>
      <c r="AC7475">
        <v>964</v>
      </c>
      <c r="AU7475">
        <f t="shared" si="232"/>
        <v>0</v>
      </c>
      <c r="AV7475">
        <f t="shared" si="233"/>
        <v>0</v>
      </c>
    </row>
    <row r="7476" spans="1:48" x14ac:dyDescent="0.25">
      <c r="A7476" t="s">
        <v>17307</v>
      </c>
      <c r="C7476" t="s">
        <v>17308</v>
      </c>
      <c r="D7476" t="s">
        <v>17309</v>
      </c>
      <c r="E7476" t="s">
        <v>2310</v>
      </c>
      <c r="F7476">
        <v>6</v>
      </c>
      <c r="G7476">
        <v>6.1</v>
      </c>
      <c r="H7476" t="s">
        <v>2017</v>
      </c>
      <c r="I7476" s="21">
        <v>44908</v>
      </c>
      <c r="J7476">
        <v>2022</v>
      </c>
      <c r="K7476" s="21">
        <v>44914</v>
      </c>
      <c r="L7476">
        <v>2022</v>
      </c>
      <c r="Q7476" s="262">
        <v>29000</v>
      </c>
      <c r="R7476" s="262">
        <v>0</v>
      </c>
      <c r="S7476" t="s">
        <v>13253</v>
      </c>
      <c r="T7476">
        <v>13890</v>
      </c>
      <c r="V7476">
        <v>0</v>
      </c>
      <c r="W7476">
        <v>0</v>
      </c>
      <c r="X7476">
        <v>0</v>
      </c>
      <c r="AU7476">
        <f t="shared" si="232"/>
        <v>0</v>
      </c>
      <c r="AV7476">
        <f t="shared" si="233"/>
        <v>0</v>
      </c>
    </row>
    <row r="7477" spans="1:48" x14ac:dyDescent="0.25">
      <c r="A7477" t="s">
        <v>17310</v>
      </c>
      <c r="C7477" t="s">
        <v>17311</v>
      </c>
      <c r="D7477" t="s">
        <v>14422</v>
      </c>
      <c r="E7477" t="s">
        <v>2310</v>
      </c>
      <c r="F7477">
        <v>10</v>
      </c>
      <c r="G7477">
        <v>10.199999999999999</v>
      </c>
      <c r="H7477" t="s">
        <v>2022</v>
      </c>
      <c r="I7477" s="21">
        <v>44910</v>
      </c>
      <c r="J7477">
        <v>2022</v>
      </c>
      <c r="Q7477" s="262">
        <v>2287607</v>
      </c>
      <c r="R7477" s="262">
        <v>4906.8</v>
      </c>
      <c r="S7477" t="s">
        <v>13253</v>
      </c>
      <c r="T7477">
        <v>14671</v>
      </c>
      <c r="V7477">
        <v>0</v>
      </c>
      <c r="W7477">
        <v>3432</v>
      </c>
      <c r="X7477">
        <v>0</v>
      </c>
      <c r="AM7477">
        <v>3432</v>
      </c>
      <c r="AU7477">
        <f t="shared" si="232"/>
        <v>0</v>
      </c>
      <c r="AV7477">
        <f t="shared" si="233"/>
        <v>3432</v>
      </c>
    </row>
    <row r="7478" spans="1:48" x14ac:dyDescent="0.25">
      <c r="A7478" t="s">
        <v>17312</v>
      </c>
      <c r="C7478" t="s">
        <v>17313</v>
      </c>
      <c r="D7478" t="s">
        <v>17314</v>
      </c>
      <c r="E7478" t="s">
        <v>2310</v>
      </c>
      <c r="F7478">
        <v>8</v>
      </c>
      <c r="G7478">
        <v>8.1</v>
      </c>
      <c r="H7478" t="s">
        <v>2323</v>
      </c>
      <c r="I7478" s="21">
        <v>44910</v>
      </c>
      <c r="J7478">
        <v>2022</v>
      </c>
      <c r="Q7478" s="262">
        <v>3200000</v>
      </c>
      <c r="R7478" s="262">
        <v>4076.28</v>
      </c>
      <c r="S7478" t="s">
        <v>13254</v>
      </c>
      <c r="U7478">
        <v>5</v>
      </c>
      <c r="V7478">
        <v>0</v>
      </c>
      <c r="W7478">
        <v>4492</v>
      </c>
      <c r="X7478">
        <v>1</v>
      </c>
      <c r="AC7478">
        <v>4492</v>
      </c>
      <c r="AO7478">
        <v>1</v>
      </c>
      <c r="AU7478">
        <f t="shared" si="232"/>
        <v>1</v>
      </c>
      <c r="AV7478">
        <f t="shared" si="233"/>
        <v>0</v>
      </c>
    </row>
    <row r="7479" spans="1:48" x14ac:dyDescent="0.25">
      <c r="A7479" t="s">
        <v>17315</v>
      </c>
      <c r="C7479" t="s">
        <v>17289</v>
      </c>
      <c r="D7479" t="s">
        <v>17316</v>
      </c>
      <c r="E7479" t="s">
        <v>2310</v>
      </c>
      <c r="F7479">
        <v>8</v>
      </c>
      <c r="G7479">
        <v>8.3000000000000007</v>
      </c>
      <c r="H7479" t="s">
        <v>2323</v>
      </c>
      <c r="I7479" s="21">
        <v>44911</v>
      </c>
      <c r="J7479">
        <v>2022</v>
      </c>
      <c r="Q7479" s="262">
        <v>3000000</v>
      </c>
      <c r="R7479" s="262">
        <v>3255.59</v>
      </c>
      <c r="S7479" t="s">
        <v>13254</v>
      </c>
      <c r="U7479">
        <v>5</v>
      </c>
      <c r="V7479">
        <v>0</v>
      </c>
      <c r="W7479">
        <v>3637</v>
      </c>
      <c r="X7479">
        <v>1</v>
      </c>
      <c r="AC7479">
        <v>3637</v>
      </c>
      <c r="AO7479">
        <v>1</v>
      </c>
      <c r="AU7479">
        <f t="shared" si="232"/>
        <v>1</v>
      </c>
      <c r="AV7479">
        <f t="shared" si="233"/>
        <v>0</v>
      </c>
    </row>
    <row r="7480" spans="1:48" x14ac:dyDescent="0.25">
      <c r="A7480" t="s">
        <v>17317</v>
      </c>
      <c r="C7480" t="s">
        <v>16561</v>
      </c>
      <c r="D7480" t="s">
        <v>17318</v>
      </c>
      <c r="E7480" t="s">
        <v>1663</v>
      </c>
      <c r="F7480">
        <v>2</v>
      </c>
      <c r="G7480">
        <v>2.6</v>
      </c>
      <c r="H7480" t="s">
        <v>2327</v>
      </c>
      <c r="I7480" s="21">
        <v>44914</v>
      </c>
      <c r="J7480">
        <v>2022</v>
      </c>
      <c r="K7480" s="21">
        <v>44937</v>
      </c>
      <c r="L7480">
        <v>2023</v>
      </c>
      <c r="P7480" s="21" t="s">
        <v>114</v>
      </c>
      <c r="Q7480" s="262">
        <v>300000</v>
      </c>
      <c r="S7480" t="s">
        <v>13253</v>
      </c>
      <c r="T7480">
        <v>10193</v>
      </c>
      <c r="W7480">
        <v>0</v>
      </c>
      <c r="X7480">
        <v>0</v>
      </c>
      <c r="AU7480">
        <f t="shared" si="232"/>
        <v>0</v>
      </c>
      <c r="AV7480">
        <f t="shared" si="233"/>
        <v>0</v>
      </c>
    </row>
    <row r="7481" spans="1:48" x14ac:dyDescent="0.25">
      <c r="A7481" t="s">
        <v>17319</v>
      </c>
      <c r="C7481" t="s">
        <v>13509</v>
      </c>
      <c r="D7481" t="s">
        <v>17320</v>
      </c>
      <c r="E7481" t="s">
        <v>1663</v>
      </c>
      <c r="F7481">
        <v>2</v>
      </c>
      <c r="G7481">
        <v>2.6</v>
      </c>
      <c r="H7481" t="s">
        <v>2327</v>
      </c>
      <c r="I7481" s="21">
        <v>44914</v>
      </c>
      <c r="J7481">
        <v>2022</v>
      </c>
      <c r="P7481" s="21" t="s">
        <v>114</v>
      </c>
      <c r="Q7481" s="262">
        <v>0</v>
      </c>
      <c r="S7481" t="s">
        <v>13254</v>
      </c>
      <c r="W7481">
        <v>8771</v>
      </c>
      <c r="X7481">
        <v>5</v>
      </c>
      <c r="AE7481">
        <v>6117</v>
      </c>
      <c r="AI7481">
        <v>2504</v>
      </c>
      <c r="AM7481">
        <v>150</v>
      </c>
      <c r="AP7481">
        <v>1</v>
      </c>
      <c r="AT7481">
        <v>4</v>
      </c>
      <c r="AU7481">
        <f t="shared" si="232"/>
        <v>1</v>
      </c>
      <c r="AV7481">
        <f t="shared" si="233"/>
        <v>2654</v>
      </c>
    </row>
    <row r="7482" spans="1:48" x14ac:dyDescent="0.25">
      <c r="A7482" t="s">
        <v>17321</v>
      </c>
      <c r="C7482" t="s">
        <v>17322</v>
      </c>
      <c r="D7482" t="s">
        <v>17323</v>
      </c>
      <c r="E7482" t="s">
        <v>2310</v>
      </c>
      <c r="F7482">
        <v>7</v>
      </c>
      <c r="G7482">
        <v>7.1</v>
      </c>
      <c r="H7482" t="s">
        <v>2017</v>
      </c>
      <c r="I7482" s="21">
        <v>44914</v>
      </c>
      <c r="J7482">
        <v>2022</v>
      </c>
      <c r="Q7482" s="262">
        <v>15000</v>
      </c>
      <c r="R7482" s="262">
        <v>0</v>
      </c>
      <c r="S7482" t="s">
        <v>13253</v>
      </c>
      <c r="T7482">
        <v>1872</v>
      </c>
      <c r="V7482">
        <v>200</v>
      </c>
      <c r="W7482">
        <v>0</v>
      </c>
      <c r="X7482">
        <v>0</v>
      </c>
      <c r="AU7482">
        <f t="shared" si="232"/>
        <v>0</v>
      </c>
      <c r="AV7482">
        <f t="shared" si="233"/>
        <v>0</v>
      </c>
    </row>
    <row r="7483" spans="1:48" x14ac:dyDescent="0.25">
      <c r="A7483" t="s">
        <v>17324</v>
      </c>
      <c r="C7483" t="s">
        <v>17325</v>
      </c>
      <c r="D7483" t="s">
        <v>15438</v>
      </c>
      <c r="E7483" t="s">
        <v>2310</v>
      </c>
      <c r="F7483">
        <v>9</v>
      </c>
      <c r="G7483">
        <v>9.1</v>
      </c>
      <c r="H7483" t="s">
        <v>2323</v>
      </c>
      <c r="I7483" s="21">
        <v>44917</v>
      </c>
      <c r="J7483">
        <v>2022</v>
      </c>
      <c r="Q7483" s="262">
        <v>2800000</v>
      </c>
      <c r="R7483" s="262">
        <v>964.99</v>
      </c>
      <c r="S7483" t="s">
        <v>13253</v>
      </c>
      <c r="T7483">
        <v>15120</v>
      </c>
      <c r="V7483">
        <v>568.03</v>
      </c>
      <c r="W7483">
        <v>1325</v>
      </c>
      <c r="X7483">
        <v>0</v>
      </c>
      <c r="AC7483">
        <v>1325</v>
      </c>
      <c r="AU7483">
        <f t="shared" si="232"/>
        <v>0</v>
      </c>
      <c r="AV7483">
        <f t="shared" si="233"/>
        <v>0</v>
      </c>
    </row>
    <row r="7484" spans="1:48" x14ac:dyDescent="0.25">
      <c r="A7484" t="s">
        <v>17326</v>
      </c>
      <c r="C7484" t="s">
        <v>17327</v>
      </c>
      <c r="D7484" t="s">
        <v>10448</v>
      </c>
      <c r="E7484" t="s">
        <v>2310</v>
      </c>
      <c r="F7484">
        <v>13</v>
      </c>
      <c r="G7484">
        <v>13.3</v>
      </c>
      <c r="H7484" t="s">
        <v>2017</v>
      </c>
      <c r="I7484" s="21">
        <v>44917</v>
      </c>
      <c r="J7484">
        <v>2022</v>
      </c>
      <c r="Q7484" s="262">
        <v>1000000</v>
      </c>
      <c r="R7484" s="262">
        <v>905.22</v>
      </c>
      <c r="S7484" t="s">
        <v>13254</v>
      </c>
      <c r="V7484">
        <v>0</v>
      </c>
      <c r="W7484">
        <v>999</v>
      </c>
      <c r="X7484">
        <v>1</v>
      </c>
      <c r="AF7484">
        <v>999</v>
      </c>
      <c r="AR7484">
        <v>1</v>
      </c>
      <c r="AU7484">
        <f t="shared" si="232"/>
        <v>0</v>
      </c>
      <c r="AV7484">
        <f t="shared" si="233"/>
        <v>0</v>
      </c>
    </row>
    <row r="7485" spans="1:48" x14ac:dyDescent="0.25">
      <c r="A7485" t="s">
        <v>17328</v>
      </c>
      <c r="C7485" t="s">
        <v>17329</v>
      </c>
      <c r="D7485" t="s">
        <v>10448</v>
      </c>
      <c r="E7485" t="s">
        <v>2310</v>
      </c>
      <c r="F7485">
        <v>13</v>
      </c>
      <c r="G7485">
        <v>13.3</v>
      </c>
      <c r="H7485" t="s">
        <v>2017</v>
      </c>
      <c r="I7485" s="21">
        <v>44917</v>
      </c>
      <c r="J7485">
        <v>2022</v>
      </c>
      <c r="S7485" t="s">
        <v>13253</v>
      </c>
      <c r="T7485">
        <v>6834</v>
      </c>
      <c r="V7485">
        <v>0</v>
      </c>
      <c r="W7485">
        <v>-3885</v>
      </c>
      <c r="X7485">
        <v>-1</v>
      </c>
      <c r="AC7485">
        <v>-3885</v>
      </c>
      <c r="AO7485">
        <v>-1</v>
      </c>
      <c r="AU7485">
        <f t="shared" si="232"/>
        <v>-1</v>
      </c>
      <c r="AV7485">
        <f t="shared" si="233"/>
        <v>0</v>
      </c>
    </row>
    <row r="7486" spans="1:48" x14ac:dyDescent="0.25">
      <c r="A7486" t="s">
        <v>17328</v>
      </c>
      <c r="C7486" t="s">
        <v>17329</v>
      </c>
      <c r="D7486" t="s">
        <v>10448</v>
      </c>
      <c r="E7486" t="s">
        <v>2310</v>
      </c>
      <c r="F7486">
        <v>13</v>
      </c>
      <c r="G7486">
        <v>13.3</v>
      </c>
      <c r="H7486" t="s">
        <v>2017</v>
      </c>
      <c r="I7486" s="21">
        <v>44917</v>
      </c>
      <c r="J7486">
        <v>2022</v>
      </c>
      <c r="Q7486" s="262">
        <v>3500000</v>
      </c>
      <c r="R7486" s="262">
        <v>4776.2700000000004</v>
      </c>
      <c r="S7486" t="s">
        <v>13254</v>
      </c>
      <c r="V7486">
        <v>0</v>
      </c>
      <c r="W7486">
        <v>4396</v>
      </c>
      <c r="X7486">
        <v>1</v>
      </c>
      <c r="AC7486">
        <v>4396</v>
      </c>
      <c r="AO7486">
        <v>1</v>
      </c>
      <c r="AU7486">
        <f t="shared" si="232"/>
        <v>1</v>
      </c>
      <c r="AV7486">
        <f t="shared" si="233"/>
        <v>0</v>
      </c>
    </row>
    <row r="7487" spans="1:48" x14ac:dyDescent="0.25">
      <c r="A7487" t="s">
        <v>17330</v>
      </c>
      <c r="C7487">
        <v>0</v>
      </c>
      <c r="D7487" t="s">
        <v>17331</v>
      </c>
      <c r="E7487" t="s">
        <v>2310</v>
      </c>
      <c r="F7487">
        <v>8</v>
      </c>
      <c r="G7487">
        <v>8.3000000000000007</v>
      </c>
      <c r="H7487" t="s">
        <v>2323</v>
      </c>
      <c r="I7487" s="21">
        <v>44917</v>
      </c>
      <c r="J7487">
        <v>2022</v>
      </c>
      <c r="Q7487" s="262">
        <v>3375000</v>
      </c>
      <c r="R7487" s="262">
        <v>5675.21</v>
      </c>
      <c r="S7487" t="s">
        <v>13254</v>
      </c>
      <c r="U7487">
        <v>5</v>
      </c>
      <c r="V7487">
        <v>0</v>
      </c>
      <c r="W7487">
        <v>6177</v>
      </c>
      <c r="X7487">
        <v>1</v>
      </c>
      <c r="AC7487">
        <v>6177</v>
      </c>
      <c r="AO7487">
        <v>1</v>
      </c>
      <c r="AU7487">
        <f t="shared" si="232"/>
        <v>1</v>
      </c>
      <c r="AV7487">
        <f t="shared" si="233"/>
        <v>0</v>
      </c>
    </row>
    <row r="7488" spans="1:48" x14ac:dyDescent="0.25">
      <c r="A7488" t="s">
        <v>17332</v>
      </c>
      <c r="C7488" t="s">
        <v>17333</v>
      </c>
      <c r="D7488" t="s">
        <v>2348</v>
      </c>
      <c r="E7488" t="s">
        <v>2310</v>
      </c>
      <c r="F7488">
        <v>9</v>
      </c>
      <c r="G7488">
        <v>9.1</v>
      </c>
      <c r="H7488" t="s">
        <v>2323</v>
      </c>
      <c r="I7488" s="21">
        <v>44917</v>
      </c>
      <c r="J7488">
        <v>2022</v>
      </c>
      <c r="Q7488" s="262">
        <v>300000</v>
      </c>
      <c r="R7488" s="262">
        <v>228.79</v>
      </c>
      <c r="S7488" t="s">
        <v>13253</v>
      </c>
      <c r="T7488">
        <v>6451</v>
      </c>
      <c r="V7488">
        <v>337</v>
      </c>
      <c r="W7488">
        <v>0</v>
      </c>
      <c r="X7488">
        <v>0</v>
      </c>
      <c r="AU7488">
        <f t="shared" si="232"/>
        <v>0</v>
      </c>
      <c r="AV7488">
        <f t="shared" si="233"/>
        <v>0</v>
      </c>
    </row>
    <row r="7489" spans="1:48" x14ac:dyDescent="0.25">
      <c r="A7489" t="s">
        <v>17336</v>
      </c>
      <c r="C7489" t="s">
        <v>17337</v>
      </c>
      <c r="D7489" t="s">
        <v>17338</v>
      </c>
      <c r="E7489" t="s">
        <v>2310</v>
      </c>
      <c r="F7489">
        <v>11</v>
      </c>
      <c r="G7489">
        <v>11.2</v>
      </c>
      <c r="H7489" t="s">
        <v>2017</v>
      </c>
      <c r="I7489" s="21">
        <v>44923</v>
      </c>
      <c r="J7489">
        <v>2022</v>
      </c>
      <c r="Q7489" s="262">
        <v>2000000</v>
      </c>
      <c r="R7489" s="262">
        <v>4609.92</v>
      </c>
      <c r="S7489" t="s">
        <v>12464</v>
      </c>
      <c r="T7489">
        <v>4723</v>
      </c>
      <c r="U7489" t="s">
        <v>17339</v>
      </c>
      <c r="V7489">
        <v>0</v>
      </c>
      <c r="W7489">
        <v>4709</v>
      </c>
      <c r="X7489">
        <v>2</v>
      </c>
      <c r="AC7489">
        <v>4349</v>
      </c>
      <c r="AF7489">
        <v>360</v>
      </c>
      <c r="AO7489">
        <v>1</v>
      </c>
      <c r="AR7489">
        <v>1</v>
      </c>
      <c r="AU7489">
        <f t="shared" si="232"/>
        <v>1</v>
      </c>
      <c r="AV7489">
        <f t="shared" si="233"/>
        <v>0</v>
      </c>
    </row>
    <row r="7490" spans="1:48" x14ac:dyDescent="0.25">
      <c r="A7490" t="s">
        <v>17336</v>
      </c>
      <c r="D7490" t="s">
        <v>17338</v>
      </c>
      <c r="E7490" t="s">
        <v>2310</v>
      </c>
      <c r="F7490">
        <v>11</v>
      </c>
      <c r="G7490">
        <v>11.2</v>
      </c>
      <c r="H7490" t="s">
        <v>2017</v>
      </c>
      <c r="I7490" s="21">
        <v>44923</v>
      </c>
      <c r="J7490">
        <v>2022</v>
      </c>
      <c r="Q7490" s="262">
        <v>2000000</v>
      </c>
      <c r="S7490" t="s">
        <v>9529</v>
      </c>
      <c r="T7490">
        <v>4723</v>
      </c>
      <c r="U7490">
        <v>5</v>
      </c>
      <c r="W7490">
        <v>-3090</v>
      </c>
      <c r="X7490">
        <v>-1</v>
      </c>
      <c r="Y7490">
        <v>0</v>
      </c>
      <c r="Z7490">
        <v>0</v>
      </c>
      <c r="AA7490">
        <v>0</v>
      </c>
      <c r="AB7490">
        <v>0</v>
      </c>
      <c r="AC7490">
        <v>-3090</v>
      </c>
      <c r="AD7490">
        <v>0</v>
      </c>
      <c r="AE7490">
        <v>0</v>
      </c>
      <c r="AF7490">
        <v>0</v>
      </c>
      <c r="AG7490">
        <v>0</v>
      </c>
      <c r="AH7490">
        <v>0</v>
      </c>
      <c r="AI7490">
        <v>0</v>
      </c>
      <c r="AJ7490">
        <v>0</v>
      </c>
      <c r="AK7490">
        <v>0</v>
      </c>
      <c r="AL7490">
        <v>0</v>
      </c>
      <c r="AM7490">
        <v>0</v>
      </c>
      <c r="AN7490">
        <v>0</v>
      </c>
      <c r="AO7490">
        <v>-1</v>
      </c>
      <c r="AP7490">
        <v>0</v>
      </c>
      <c r="AQ7490">
        <v>0</v>
      </c>
      <c r="AR7490">
        <v>0</v>
      </c>
      <c r="AS7490">
        <v>0</v>
      </c>
      <c r="AT7490">
        <v>0</v>
      </c>
      <c r="AU7490">
        <f t="shared" si="232"/>
        <v>-1</v>
      </c>
      <c r="AV7490">
        <f t="shared" si="233"/>
        <v>0</v>
      </c>
    </row>
    <row r="7491" spans="1:48" x14ac:dyDescent="0.25">
      <c r="A7491" t="s">
        <v>17340</v>
      </c>
      <c r="C7491" t="s">
        <v>17341</v>
      </c>
      <c r="D7491" t="s">
        <v>17342</v>
      </c>
      <c r="E7491" t="s">
        <v>2310</v>
      </c>
      <c r="F7491">
        <v>15</v>
      </c>
      <c r="G7491">
        <v>15.1</v>
      </c>
      <c r="H7491" t="s">
        <v>2022</v>
      </c>
      <c r="I7491" s="21">
        <v>44924</v>
      </c>
      <c r="J7491">
        <v>2022</v>
      </c>
      <c r="Q7491" s="262">
        <v>895000</v>
      </c>
      <c r="R7491" s="262">
        <v>108.63</v>
      </c>
      <c r="S7491" t="s">
        <v>13253</v>
      </c>
      <c r="T7491">
        <v>7466</v>
      </c>
      <c r="V7491">
        <v>160</v>
      </c>
      <c r="W7491">
        <v>-115</v>
      </c>
      <c r="X7491">
        <v>0</v>
      </c>
      <c r="AC7491">
        <v>-115</v>
      </c>
      <c r="AU7491">
        <f t="shared" si="232"/>
        <v>0</v>
      </c>
      <c r="AV7491">
        <f t="shared" si="233"/>
        <v>0</v>
      </c>
    </row>
    <row r="7492" spans="1:48" x14ac:dyDescent="0.25">
      <c r="A7492" t="s">
        <v>17348</v>
      </c>
      <c r="C7492" t="s">
        <v>17349</v>
      </c>
      <c r="D7492" t="s">
        <v>17350</v>
      </c>
      <c r="E7492" t="s">
        <v>1663</v>
      </c>
      <c r="F7492">
        <v>3</v>
      </c>
      <c r="G7492">
        <v>3.2</v>
      </c>
      <c r="H7492" t="s">
        <v>2327</v>
      </c>
      <c r="J7492">
        <v>1900</v>
      </c>
      <c r="S7492" t="s">
        <v>114</v>
      </c>
      <c r="T7492" t="s">
        <v>114</v>
      </c>
      <c r="V7492">
        <v>0</v>
      </c>
      <c r="W7492">
        <v>-1991</v>
      </c>
      <c r="X7492">
        <v>-2</v>
      </c>
      <c r="AC7492">
        <v>-1695</v>
      </c>
      <c r="AE7492">
        <v>-296</v>
      </c>
      <c r="AO7492">
        <v>-1</v>
      </c>
      <c r="AQ7492">
        <v>-1</v>
      </c>
      <c r="AU7492">
        <f t="shared" si="232"/>
        <v>-2</v>
      </c>
      <c r="AV7492">
        <f t="shared" si="233"/>
        <v>0</v>
      </c>
    </row>
    <row r="7493" spans="1:48" x14ac:dyDescent="0.25">
      <c r="A7493" t="s">
        <v>17345</v>
      </c>
      <c r="C7493" t="s">
        <v>17346</v>
      </c>
      <c r="D7493" t="s">
        <v>17347</v>
      </c>
      <c r="E7493" t="s">
        <v>1663</v>
      </c>
      <c r="F7493">
        <v>3</v>
      </c>
      <c r="G7493">
        <v>3.1</v>
      </c>
      <c r="H7493" t="s">
        <v>2017</v>
      </c>
      <c r="J7493">
        <v>1900</v>
      </c>
      <c r="S7493" t="s">
        <v>114</v>
      </c>
      <c r="T7493" t="s">
        <v>114</v>
      </c>
      <c r="V7493">
        <v>0</v>
      </c>
      <c r="W7493">
        <v>-5297</v>
      </c>
      <c r="X7493">
        <v>0</v>
      </c>
      <c r="AL7493">
        <v>-5297</v>
      </c>
      <c r="AU7493">
        <f t="shared" si="232"/>
        <v>0</v>
      </c>
      <c r="AV7493">
        <f t="shared" si="233"/>
        <v>-5297</v>
      </c>
    </row>
    <row r="7494" spans="1:48" x14ac:dyDescent="0.25">
      <c r="A7494" t="s">
        <v>17343</v>
      </c>
      <c r="D7494" t="s">
        <v>17344</v>
      </c>
      <c r="E7494" t="s">
        <v>2310</v>
      </c>
      <c r="F7494">
        <v>7</v>
      </c>
      <c r="G7494">
        <v>7.1</v>
      </c>
      <c r="H7494" t="s">
        <v>2017</v>
      </c>
      <c r="J7494">
        <v>1900</v>
      </c>
      <c r="S7494" t="s">
        <v>114</v>
      </c>
      <c r="T7494" t="s">
        <v>114</v>
      </c>
      <c r="U7494">
        <v>7</v>
      </c>
      <c r="W7494">
        <v>2796</v>
      </c>
      <c r="X7494">
        <v>4</v>
      </c>
      <c r="Y7494">
        <v>0</v>
      </c>
      <c r="Z7494">
        <v>0</v>
      </c>
      <c r="AA7494">
        <v>0</v>
      </c>
      <c r="AB7494">
        <v>0</v>
      </c>
      <c r="AC7494">
        <v>0</v>
      </c>
      <c r="AD7494">
        <v>0</v>
      </c>
      <c r="AE7494">
        <v>2796</v>
      </c>
      <c r="AF7494">
        <v>0</v>
      </c>
      <c r="AG7494">
        <v>0</v>
      </c>
      <c r="AH7494">
        <v>0</v>
      </c>
      <c r="AI7494">
        <v>0</v>
      </c>
      <c r="AJ7494">
        <v>0</v>
      </c>
      <c r="AK7494">
        <v>0</v>
      </c>
      <c r="AL7494">
        <v>0</v>
      </c>
      <c r="AM7494">
        <v>0</v>
      </c>
      <c r="AN7494">
        <v>0</v>
      </c>
      <c r="AO7494">
        <v>0</v>
      </c>
      <c r="AP7494">
        <v>0</v>
      </c>
      <c r="AQ7494">
        <v>4</v>
      </c>
      <c r="AR7494">
        <v>0</v>
      </c>
      <c r="AS7494">
        <v>0</v>
      </c>
      <c r="AT7494">
        <v>0</v>
      </c>
      <c r="AU7494">
        <f t="shared" si="232"/>
        <v>4</v>
      </c>
      <c r="AV7494">
        <f t="shared" si="233"/>
        <v>0</v>
      </c>
    </row>
    <row r="7495" spans="1:48" x14ac:dyDescent="0.25">
      <c r="A7495" t="s">
        <v>17351</v>
      </c>
      <c r="C7495" t="s">
        <v>9672</v>
      </c>
      <c r="D7495" t="s">
        <v>4365</v>
      </c>
      <c r="E7495" t="s">
        <v>2310</v>
      </c>
      <c r="F7495">
        <v>9</v>
      </c>
      <c r="G7495">
        <v>9.1</v>
      </c>
      <c r="H7495" t="s">
        <v>2323</v>
      </c>
      <c r="J7495">
        <v>1900</v>
      </c>
      <c r="S7495" t="s">
        <v>114</v>
      </c>
      <c r="T7495" t="s">
        <v>114</v>
      </c>
      <c r="U7495">
        <v>15</v>
      </c>
      <c r="W7495">
        <v>3472</v>
      </c>
      <c r="X7495">
        <v>0</v>
      </c>
      <c r="Y7495">
        <v>0</v>
      </c>
      <c r="Z7495">
        <v>0</v>
      </c>
      <c r="AA7495">
        <v>0</v>
      </c>
      <c r="AB7495">
        <v>0</v>
      </c>
      <c r="AC7495">
        <v>0</v>
      </c>
      <c r="AD7495">
        <v>0</v>
      </c>
      <c r="AE7495">
        <v>0</v>
      </c>
      <c r="AF7495">
        <v>0</v>
      </c>
      <c r="AG7495">
        <v>0</v>
      </c>
      <c r="AH7495">
        <v>0</v>
      </c>
      <c r="AI7495">
        <v>0</v>
      </c>
      <c r="AJ7495">
        <v>0</v>
      </c>
      <c r="AK7495">
        <v>0</v>
      </c>
      <c r="AL7495">
        <v>0</v>
      </c>
      <c r="AM7495">
        <v>3472</v>
      </c>
      <c r="AN7495">
        <v>0</v>
      </c>
      <c r="AO7495">
        <v>0</v>
      </c>
      <c r="AP7495">
        <v>0</v>
      </c>
      <c r="AQ7495">
        <v>0</v>
      </c>
      <c r="AR7495">
        <v>0</v>
      </c>
      <c r="AS7495">
        <v>0</v>
      </c>
      <c r="AT7495">
        <v>0</v>
      </c>
      <c r="AU7495">
        <f t="shared" si="232"/>
        <v>0</v>
      </c>
      <c r="AV7495">
        <f t="shared" si="233"/>
        <v>3472</v>
      </c>
    </row>
    <row r="7496" spans="1:48" x14ac:dyDescent="0.25">
      <c r="A7496" t="s">
        <v>17352</v>
      </c>
      <c r="C7496" t="s">
        <v>9093</v>
      </c>
      <c r="D7496" t="s">
        <v>7089</v>
      </c>
      <c r="E7496" t="s">
        <v>2310</v>
      </c>
      <c r="F7496">
        <v>7</v>
      </c>
      <c r="G7496">
        <v>7.1</v>
      </c>
      <c r="H7496" t="s">
        <v>2017</v>
      </c>
      <c r="J7496">
        <v>1900</v>
      </c>
      <c r="S7496" t="s">
        <v>114</v>
      </c>
      <c r="T7496" t="s">
        <v>114</v>
      </c>
      <c r="U7496">
        <v>10</v>
      </c>
      <c r="W7496">
        <v>0</v>
      </c>
      <c r="X7496">
        <v>0</v>
      </c>
      <c r="Y7496">
        <v>0</v>
      </c>
      <c r="Z7496">
        <v>0</v>
      </c>
      <c r="AA7496">
        <v>0</v>
      </c>
      <c r="AB7496">
        <v>0</v>
      </c>
      <c r="AC7496">
        <v>0</v>
      </c>
      <c r="AD7496">
        <v>0</v>
      </c>
      <c r="AE7496">
        <v>0</v>
      </c>
      <c r="AF7496">
        <v>0</v>
      </c>
      <c r="AG7496">
        <v>0</v>
      </c>
      <c r="AH7496">
        <v>0</v>
      </c>
      <c r="AI7496">
        <v>0</v>
      </c>
      <c r="AJ7496">
        <v>0</v>
      </c>
      <c r="AK7496">
        <v>0</v>
      </c>
      <c r="AL7496">
        <v>0</v>
      </c>
      <c r="AM7496">
        <v>0</v>
      </c>
      <c r="AN7496">
        <v>0</v>
      </c>
      <c r="AO7496">
        <v>0</v>
      </c>
      <c r="AP7496">
        <v>0</v>
      </c>
      <c r="AQ7496">
        <v>0</v>
      </c>
      <c r="AR7496">
        <v>0</v>
      </c>
      <c r="AS7496">
        <v>0</v>
      </c>
      <c r="AT7496">
        <v>0</v>
      </c>
      <c r="AU7496">
        <f t="shared" si="232"/>
        <v>0</v>
      </c>
      <c r="AV7496">
        <f t="shared" si="233"/>
        <v>0</v>
      </c>
    </row>
    <row r="7497" spans="1:48" x14ac:dyDescent="0.25">
      <c r="A7497" t="s">
        <v>17353</v>
      </c>
      <c r="B7497" t="s">
        <v>17353</v>
      </c>
      <c r="C7497" t="s">
        <v>17354</v>
      </c>
      <c r="D7497" t="s">
        <v>1695</v>
      </c>
      <c r="E7497" t="s">
        <v>2310</v>
      </c>
      <c r="F7497">
        <v>15</v>
      </c>
      <c r="G7497">
        <v>15.1</v>
      </c>
      <c r="H7497" t="s">
        <v>2022</v>
      </c>
      <c r="J7497">
        <v>1900</v>
      </c>
      <c r="K7497" s="21">
        <v>42108.611851851798</v>
      </c>
      <c r="L7497">
        <v>2015</v>
      </c>
      <c r="M7497" s="21">
        <v>42166.601273148102</v>
      </c>
      <c r="N7497">
        <v>2015</v>
      </c>
      <c r="Q7497" s="262">
        <v>600000</v>
      </c>
      <c r="R7497" s="262">
        <v>374000</v>
      </c>
      <c r="S7497" t="s">
        <v>114</v>
      </c>
      <c r="T7497" t="s">
        <v>114</v>
      </c>
      <c r="V7497">
        <v>2182</v>
      </c>
      <c r="W7497">
        <v>1593</v>
      </c>
      <c r="X7497">
        <v>0</v>
      </c>
      <c r="Y7497">
        <v>1593</v>
      </c>
      <c r="Z7497">
        <v>0</v>
      </c>
      <c r="AA7497">
        <v>0</v>
      </c>
      <c r="AB7497">
        <v>0</v>
      </c>
      <c r="AC7497">
        <v>0</v>
      </c>
      <c r="AD7497">
        <v>0</v>
      </c>
      <c r="AE7497">
        <v>0</v>
      </c>
      <c r="AF7497">
        <v>0</v>
      </c>
      <c r="AG7497">
        <v>0</v>
      </c>
      <c r="AH7497">
        <v>0</v>
      </c>
      <c r="AI7497">
        <v>0</v>
      </c>
      <c r="AJ7497">
        <v>0</v>
      </c>
      <c r="AK7497">
        <v>0</v>
      </c>
      <c r="AL7497">
        <v>0</v>
      </c>
      <c r="AM7497">
        <v>0</v>
      </c>
      <c r="AN7497">
        <v>0</v>
      </c>
      <c r="AO7497">
        <v>0</v>
      </c>
      <c r="AP7497">
        <v>0</v>
      </c>
      <c r="AQ7497">
        <v>0</v>
      </c>
      <c r="AR7497">
        <v>0</v>
      </c>
      <c r="AS7497">
        <v>0</v>
      </c>
      <c r="AT7497">
        <v>0</v>
      </c>
      <c r="AU7497">
        <f t="shared" si="232"/>
        <v>0</v>
      </c>
      <c r="AV7497">
        <f t="shared" si="233"/>
        <v>1593</v>
      </c>
    </row>
    <row r="7498" spans="1:48" x14ac:dyDescent="0.25">
      <c r="A7498" t="s">
        <v>17353</v>
      </c>
      <c r="B7498" t="s">
        <v>17355</v>
      </c>
      <c r="C7498" t="s">
        <v>17356</v>
      </c>
      <c r="D7498" t="s">
        <v>1695</v>
      </c>
      <c r="E7498" t="s">
        <v>2310</v>
      </c>
      <c r="F7498">
        <v>15</v>
      </c>
      <c r="G7498">
        <v>15.1</v>
      </c>
      <c r="H7498" t="s">
        <v>2022</v>
      </c>
      <c r="J7498">
        <v>1900</v>
      </c>
      <c r="K7498" s="21">
        <v>42108.611851851798</v>
      </c>
      <c r="L7498">
        <v>2015</v>
      </c>
      <c r="M7498" s="21">
        <v>42166.601273148102</v>
      </c>
      <c r="N7498">
        <v>2015</v>
      </c>
      <c r="S7498" t="s">
        <v>114</v>
      </c>
      <c r="T7498" t="s">
        <v>114</v>
      </c>
      <c r="V7498">
        <v>1593</v>
      </c>
      <c r="W7498">
        <v>0</v>
      </c>
      <c r="X7498">
        <v>2</v>
      </c>
      <c r="Y7498">
        <v>0</v>
      </c>
      <c r="Z7498">
        <v>0</v>
      </c>
      <c r="AA7498">
        <v>0</v>
      </c>
      <c r="AB7498">
        <v>0</v>
      </c>
      <c r="AC7498">
        <v>0</v>
      </c>
      <c r="AD7498">
        <v>0</v>
      </c>
      <c r="AE7498">
        <v>1593</v>
      </c>
      <c r="AF7498">
        <v>0</v>
      </c>
      <c r="AG7498">
        <v>0</v>
      </c>
      <c r="AH7498">
        <v>0</v>
      </c>
      <c r="AI7498">
        <v>-1593</v>
      </c>
      <c r="AJ7498">
        <v>0</v>
      </c>
      <c r="AK7498">
        <v>0</v>
      </c>
      <c r="AL7498">
        <v>0</v>
      </c>
      <c r="AM7498">
        <v>0</v>
      </c>
      <c r="AN7498">
        <v>0</v>
      </c>
      <c r="AO7498">
        <v>0</v>
      </c>
      <c r="AP7498">
        <v>0</v>
      </c>
      <c r="AQ7498">
        <v>2</v>
      </c>
      <c r="AR7498">
        <v>0</v>
      </c>
      <c r="AS7498">
        <v>0</v>
      </c>
      <c r="AT7498">
        <v>0</v>
      </c>
      <c r="AU7498">
        <f t="shared" si="232"/>
        <v>2</v>
      </c>
      <c r="AV7498">
        <f t="shared" si="233"/>
        <v>-1593</v>
      </c>
    </row>
    <row r="7499" spans="1:48" x14ac:dyDescent="0.25">
      <c r="A7499" t="s">
        <v>17357</v>
      </c>
      <c r="C7499" t="s">
        <v>9129</v>
      </c>
      <c r="D7499" t="s">
        <v>9130</v>
      </c>
      <c r="E7499" t="s">
        <v>2310</v>
      </c>
      <c r="F7499">
        <v>15</v>
      </c>
      <c r="G7499">
        <v>15.2</v>
      </c>
      <c r="H7499" t="s">
        <v>2323</v>
      </c>
      <c r="J7499">
        <v>1900</v>
      </c>
      <c r="S7499" t="s">
        <v>114</v>
      </c>
      <c r="T7499" t="s">
        <v>114</v>
      </c>
      <c r="U7499">
        <v>5</v>
      </c>
      <c r="W7499">
        <v>420</v>
      </c>
      <c r="X7499">
        <v>0</v>
      </c>
      <c r="Y7499">
        <v>0</v>
      </c>
      <c r="Z7499">
        <v>0</v>
      </c>
      <c r="AA7499">
        <v>0</v>
      </c>
      <c r="AB7499">
        <v>0</v>
      </c>
      <c r="AC7499">
        <v>420</v>
      </c>
      <c r="AD7499">
        <v>0</v>
      </c>
      <c r="AE7499">
        <v>0</v>
      </c>
      <c r="AF7499">
        <v>0</v>
      </c>
      <c r="AG7499">
        <v>0</v>
      </c>
      <c r="AH7499">
        <v>0</v>
      </c>
      <c r="AI7499">
        <v>0</v>
      </c>
      <c r="AJ7499">
        <v>0</v>
      </c>
      <c r="AK7499">
        <v>0</v>
      </c>
      <c r="AL7499">
        <v>0</v>
      </c>
      <c r="AM7499">
        <v>0</v>
      </c>
      <c r="AN7499">
        <v>0</v>
      </c>
      <c r="AO7499">
        <v>0</v>
      </c>
      <c r="AP7499">
        <v>0</v>
      </c>
      <c r="AQ7499">
        <v>0</v>
      </c>
      <c r="AR7499">
        <v>0</v>
      </c>
      <c r="AS7499">
        <v>0</v>
      </c>
      <c r="AT7499">
        <v>0</v>
      </c>
      <c r="AU7499">
        <f t="shared" si="232"/>
        <v>0</v>
      </c>
      <c r="AV7499">
        <f t="shared" si="233"/>
        <v>0</v>
      </c>
    </row>
    <row r="7500" spans="1:48" x14ac:dyDescent="0.25">
      <c r="A7500" t="s">
        <v>17358</v>
      </c>
      <c r="C7500" t="s">
        <v>17359</v>
      </c>
      <c r="D7500" t="s">
        <v>9738</v>
      </c>
      <c r="E7500" t="s">
        <v>2310</v>
      </c>
      <c r="F7500">
        <v>15</v>
      </c>
      <c r="G7500">
        <v>15.1</v>
      </c>
      <c r="H7500" t="s">
        <v>2022</v>
      </c>
      <c r="J7500">
        <v>1900</v>
      </c>
      <c r="S7500" t="s">
        <v>114</v>
      </c>
      <c r="T7500" t="s">
        <v>114</v>
      </c>
      <c r="U7500">
        <v>5</v>
      </c>
      <c r="W7500">
        <v>5009</v>
      </c>
      <c r="X7500">
        <v>1</v>
      </c>
      <c r="Y7500">
        <v>0</v>
      </c>
      <c r="Z7500">
        <v>0</v>
      </c>
      <c r="AA7500">
        <v>0</v>
      </c>
      <c r="AB7500">
        <v>0</v>
      </c>
      <c r="AC7500">
        <v>5009</v>
      </c>
      <c r="AD7500">
        <v>0</v>
      </c>
      <c r="AE7500">
        <v>0</v>
      </c>
      <c r="AF7500">
        <v>0</v>
      </c>
      <c r="AG7500">
        <v>0</v>
      </c>
      <c r="AH7500">
        <v>0</v>
      </c>
      <c r="AI7500">
        <v>0</v>
      </c>
      <c r="AJ7500">
        <v>0</v>
      </c>
      <c r="AK7500">
        <v>0</v>
      </c>
      <c r="AL7500">
        <v>0</v>
      </c>
      <c r="AM7500">
        <v>0</v>
      </c>
      <c r="AN7500">
        <v>0</v>
      </c>
      <c r="AO7500">
        <v>1</v>
      </c>
      <c r="AP7500">
        <v>0</v>
      </c>
      <c r="AQ7500">
        <v>0</v>
      </c>
      <c r="AR7500">
        <v>0</v>
      </c>
      <c r="AS7500">
        <v>0</v>
      </c>
      <c r="AT7500">
        <v>0</v>
      </c>
      <c r="AU7500">
        <f t="shared" si="232"/>
        <v>1</v>
      </c>
      <c r="AV7500">
        <f t="shared" si="233"/>
        <v>0</v>
      </c>
    </row>
    <row r="7501" spans="1:48" x14ac:dyDescent="0.25">
      <c r="A7501" t="s">
        <v>17360</v>
      </c>
      <c r="C7501" t="s">
        <v>17361</v>
      </c>
      <c r="D7501" t="s">
        <v>10158</v>
      </c>
      <c r="E7501" t="s">
        <v>2310</v>
      </c>
      <c r="F7501">
        <v>9</v>
      </c>
      <c r="G7501">
        <v>9.3000000000000007</v>
      </c>
      <c r="H7501" t="s">
        <v>2323</v>
      </c>
      <c r="J7501">
        <v>1900</v>
      </c>
      <c r="S7501" t="s">
        <v>114</v>
      </c>
      <c r="T7501" t="s">
        <v>114</v>
      </c>
      <c r="U7501">
        <v>5</v>
      </c>
      <c r="W7501">
        <v>8198</v>
      </c>
      <c r="X7501">
        <v>1</v>
      </c>
      <c r="Y7501">
        <v>0</v>
      </c>
      <c r="Z7501">
        <v>0</v>
      </c>
      <c r="AA7501">
        <v>0</v>
      </c>
      <c r="AB7501">
        <v>0</v>
      </c>
      <c r="AC7501">
        <v>8198</v>
      </c>
      <c r="AD7501">
        <v>0</v>
      </c>
      <c r="AE7501">
        <v>0</v>
      </c>
      <c r="AF7501">
        <v>0</v>
      </c>
      <c r="AG7501">
        <v>0</v>
      </c>
      <c r="AH7501">
        <v>0</v>
      </c>
      <c r="AI7501">
        <v>0</v>
      </c>
      <c r="AJ7501">
        <v>0</v>
      </c>
      <c r="AK7501">
        <v>0</v>
      </c>
      <c r="AL7501">
        <v>0</v>
      </c>
      <c r="AM7501">
        <v>0</v>
      </c>
      <c r="AN7501">
        <v>0</v>
      </c>
      <c r="AO7501">
        <v>1</v>
      </c>
      <c r="AP7501">
        <v>0</v>
      </c>
      <c r="AQ7501">
        <v>0</v>
      </c>
      <c r="AR7501">
        <v>0</v>
      </c>
      <c r="AS7501">
        <v>0</v>
      </c>
      <c r="AT7501">
        <v>0</v>
      </c>
      <c r="AU7501">
        <f t="shared" si="232"/>
        <v>1</v>
      </c>
      <c r="AV7501">
        <f t="shared" si="233"/>
        <v>0</v>
      </c>
    </row>
    <row r="7502" spans="1:48" x14ac:dyDescent="0.25">
      <c r="A7502" t="s">
        <v>17362</v>
      </c>
      <c r="C7502" t="s">
        <v>17363</v>
      </c>
      <c r="D7502" t="s">
        <v>11052</v>
      </c>
      <c r="E7502" t="s">
        <v>2310</v>
      </c>
      <c r="F7502">
        <v>9</v>
      </c>
      <c r="G7502">
        <v>9.3000000000000007</v>
      </c>
      <c r="H7502" t="s">
        <v>2323</v>
      </c>
      <c r="J7502">
        <v>1900</v>
      </c>
      <c r="S7502" t="s">
        <v>114</v>
      </c>
      <c r="T7502" t="s">
        <v>114</v>
      </c>
      <c r="U7502">
        <v>5</v>
      </c>
      <c r="W7502">
        <v>2517</v>
      </c>
      <c r="X7502">
        <v>0</v>
      </c>
      <c r="Y7502">
        <v>0</v>
      </c>
      <c r="Z7502">
        <v>0</v>
      </c>
      <c r="AA7502">
        <v>0</v>
      </c>
      <c r="AB7502">
        <v>0</v>
      </c>
      <c r="AC7502">
        <v>2221</v>
      </c>
      <c r="AD7502">
        <v>0</v>
      </c>
      <c r="AE7502">
        <v>0</v>
      </c>
      <c r="AF7502">
        <v>296</v>
      </c>
      <c r="AG7502">
        <v>0</v>
      </c>
      <c r="AH7502">
        <v>0</v>
      </c>
      <c r="AI7502">
        <v>0</v>
      </c>
      <c r="AJ7502">
        <v>0</v>
      </c>
      <c r="AK7502">
        <v>0</v>
      </c>
      <c r="AL7502">
        <v>0</v>
      </c>
      <c r="AM7502">
        <v>0</v>
      </c>
      <c r="AN7502">
        <v>0</v>
      </c>
      <c r="AO7502">
        <v>0</v>
      </c>
      <c r="AP7502">
        <v>0</v>
      </c>
      <c r="AQ7502">
        <v>0</v>
      </c>
      <c r="AR7502">
        <v>0</v>
      </c>
      <c r="AS7502">
        <v>0</v>
      </c>
      <c r="AT7502">
        <v>0</v>
      </c>
      <c r="AU7502">
        <f t="shared" si="232"/>
        <v>0</v>
      </c>
      <c r="AV7502">
        <f t="shared" si="233"/>
        <v>0</v>
      </c>
    </row>
    <row r="7503" spans="1:48" x14ac:dyDescent="0.25">
      <c r="A7503" t="s">
        <v>17364</v>
      </c>
      <c r="C7503" t="s">
        <v>9807</v>
      </c>
      <c r="D7503" t="s">
        <v>6726</v>
      </c>
      <c r="E7503" t="s">
        <v>2310</v>
      </c>
      <c r="F7503">
        <v>14</v>
      </c>
      <c r="G7503">
        <v>14.1</v>
      </c>
      <c r="H7503" t="s">
        <v>2022</v>
      </c>
      <c r="J7503">
        <v>1900</v>
      </c>
      <c r="S7503" t="s">
        <v>114</v>
      </c>
      <c r="T7503" t="s">
        <v>114</v>
      </c>
      <c r="U7503">
        <v>5</v>
      </c>
      <c r="W7503">
        <v>889</v>
      </c>
      <c r="X7503">
        <v>0</v>
      </c>
      <c r="Y7503">
        <v>0</v>
      </c>
      <c r="Z7503">
        <v>0</v>
      </c>
      <c r="AA7503">
        <v>0</v>
      </c>
      <c r="AB7503">
        <v>0</v>
      </c>
      <c r="AC7503">
        <v>889</v>
      </c>
      <c r="AD7503">
        <v>0</v>
      </c>
      <c r="AE7503">
        <v>0</v>
      </c>
      <c r="AF7503">
        <v>0</v>
      </c>
      <c r="AG7503">
        <v>0</v>
      </c>
      <c r="AH7503">
        <v>0</v>
      </c>
      <c r="AI7503">
        <v>0</v>
      </c>
      <c r="AJ7503">
        <v>0</v>
      </c>
      <c r="AK7503">
        <v>0</v>
      </c>
      <c r="AL7503">
        <v>0</v>
      </c>
      <c r="AM7503">
        <v>0</v>
      </c>
      <c r="AN7503">
        <v>0</v>
      </c>
      <c r="AO7503">
        <v>0</v>
      </c>
      <c r="AP7503">
        <v>0</v>
      </c>
      <c r="AQ7503">
        <v>0</v>
      </c>
      <c r="AR7503">
        <v>0</v>
      </c>
      <c r="AS7503">
        <v>0</v>
      </c>
      <c r="AT7503">
        <v>0</v>
      </c>
      <c r="AU7503">
        <f t="shared" si="232"/>
        <v>0</v>
      </c>
      <c r="AV7503">
        <f t="shared" si="233"/>
        <v>0</v>
      </c>
    </row>
    <row r="7504" spans="1:48" x14ac:dyDescent="0.25">
      <c r="A7504" t="s">
        <v>17365</v>
      </c>
      <c r="C7504" t="s">
        <v>9882</v>
      </c>
      <c r="D7504" t="s">
        <v>9883</v>
      </c>
      <c r="E7504" t="s">
        <v>2310</v>
      </c>
      <c r="F7504">
        <v>8</v>
      </c>
      <c r="G7504">
        <v>8.1</v>
      </c>
      <c r="H7504" t="s">
        <v>2323</v>
      </c>
      <c r="J7504">
        <v>1900</v>
      </c>
      <c r="S7504" t="s">
        <v>114</v>
      </c>
      <c r="T7504" t="s">
        <v>114</v>
      </c>
      <c r="U7504">
        <v>5</v>
      </c>
      <c r="V7504">
        <v>336</v>
      </c>
      <c r="W7504">
        <v>768</v>
      </c>
      <c r="X7504">
        <v>0</v>
      </c>
      <c r="Y7504">
        <v>0</v>
      </c>
      <c r="Z7504">
        <v>0</v>
      </c>
      <c r="AA7504">
        <v>0</v>
      </c>
      <c r="AB7504">
        <v>0</v>
      </c>
      <c r="AC7504">
        <v>768</v>
      </c>
      <c r="AD7504">
        <v>0</v>
      </c>
      <c r="AE7504">
        <v>0</v>
      </c>
      <c r="AF7504">
        <v>0</v>
      </c>
      <c r="AG7504">
        <v>0</v>
      </c>
      <c r="AH7504">
        <v>0</v>
      </c>
      <c r="AI7504">
        <v>0</v>
      </c>
      <c r="AJ7504">
        <v>0</v>
      </c>
      <c r="AK7504">
        <v>0</v>
      </c>
      <c r="AL7504">
        <v>0</v>
      </c>
      <c r="AM7504">
        <v>0</v>
      </c>
      <c r="AN7504">
        <v>0</v>
      </c>
      <c r="AO7504">
        <v>0</v>
      </c>
      <c r="AP7504">
        <v>0</v>
      </c>
      <c r="AQ7504">
        <v>0</v>
      </c>
      <c r="AR7504">
        <v>0</v>
      </c>
      <c r="AS7504">
        <v>0</v>
      </c>
      <c r="AT7504">
        <v>0</v>
      </c>
      <c r="AU7504">
        <f t="shared" si="232"/>
        <v>0</v>
      </c>
      <c r="AV7504">
        <f t="shared" si="233"/>
        <v>0</v>
      </c>
    </row>
    <row r="7505" spans="1:48" x14ac:dyDescent="0.25">
      <c r="A7505" t="s">
        <v>17366</v>
      </c>
      <c r="C7505" t="s">
        <v>10099</v>
      </c>
      <c r="D7505" t="s">
        <v>7243</v>
      </c>
      <c r="E7505" t="s">
        <v>2310</v>
      </c>
      <c r="F7505">
        <v>9</v>
      </c>
      <c r="G7505">
        <v>9.1999999999999993</v>
      </c>
      <c r="H7505" t="s">
        <v>2022</v>
      </c>
      <c r="J7505">
        <v>1900</v>
      </c>
      <c r="S7505" t="s">
        <v>114</v>
      </c>
      <c r="T7505" t="s">
        <v>114</v>
      </c>
      <c r="U7505">
        <v>5</v>
      </c>
      <c r="W7505">
        <v>610</v>
      </c>
      <c r="X7505">
        <v>0</v>
      </c>
      <c r="Y7505">
        <v>0</v>
      </c>
      <c r="Z7505">
        <v>0</v>
      </c>
      <c r="AA7505">
        <v>0</v>
      </c>
      <c r="AB7505">
        <v>0</v>
      </c>
      <c r="AC7505">
        <v>610</v>
      </c>
      <c r="AD7505">
        <v>0</v>
      </c>
      <c r="AE7505">
        <v>0</v>
      </c>
      <c r="AF7505">
        <v>0</v>
      </c>
      <c r="AG7505">
        <v>0</v>
      </c>
      <c r="AH7505">
        <v>0</v>
      </c>
      <c r="AI7505">
        <v>0</v>
      </c>
      <c r="AJ7505">
        <v>0</v>
      </c>
      <c r="AK7505">
        <v>0</v>
      </c>
      <c r="AL7505">
        <v>0</v>
      </c>
      <c r="AM7505">
        <v>0</v>
      </c>
      <c r="AN7505">
        <v>0</v>
      </c>
      <c r="AO7505">
        <v>0</v>
      </c>
      <c r="AP7505">
        <v>0</v>
      </c>
      <c r="AQ7505">
        <v>0</v>
      </c>
      <c r="AR7505">
        <v>0</v>
      </c>
      <c r="AS7505">
        <v>0</v>
      </c>
      <c r="AT7505">
        <v>0</v>
      </c>
      <c r="AU7505">
        <f t="shared" si="232"/>
        <v>0</v>
      </c>
      <c r="AV7505">
        <f t="shared" si="233"/>
        <v>0</v>
      </c>
    </row>
    <row r="7506" spans="1:48" x14ac:dyDescent="0.25">
      <c r="A7506" t="s">
        <v>17367</v>
      </c>
      <c r="C7506" t="s">
        <v>10228</v>
      </c>
      <c r="D7506" t="s">
        <v>10229</v>
      </c>
      <c r="E7506" t="s">
        <v>2310</v>
      </c>
      <c r="F7506">
        <v>8</v>
      </c>
      <c r="G7506">
        <v>8.1999999999999993</v>
      </c>
      <c r="H7506" t="s">
        <v>2022</v>
      </c>
      <c r="J7506">
        <v>1900</v>
      </c>
      <c r="S7506" t="s">
        <v>114</v>
      </c>
      <c r="T7506" t="s">
        <v>114</v>
      </c>
      <c r="U7506">
        <v>5</v>
      </c>
      <c r="W7506">
        <v>227</v>
      </c>
      <c r="X7506">
        <v>0</v>
      </c>
      <c r="Y7506">
        <v>0</v>
      </c>
      <c r="Z7506">
        <v>0</v>
      </c>
      <c r="AA7506">
        <v>0</v>
      </c>
      <c r="AB7506">
        <v>0</v>
      </c>
      <c r="AC7506">
        <v>227</v>
      </c>
      <c r="AD7506">
        <v>0</v>
      </c>
      <c r="AE7506">
        <v>0</v>
      </c>
      <c r="AF7506">
        <v>0</v>
      </c>
      <c r="AG7506">
        <v>0</v>
      </c>
      <c r="AH7506">
        <v>0</v>
      </c>
      <c r="AI7506">
        <v>0</v>
      </c>
      <c r="AJ7506">
        <v>0</v>
      </c>
      <c r="AK7506">
        <v>0</v>
      </c>
      <c r="AL7506">
        <v>0</v>
      </c>
      <c r="AM7506">
        <v>0</v>
      </c>
      <c r="AN7506">
        <v>0</v>
      </c>
      <c r="AO7506">
        <v>0</v>
      </c>
      <c r="AP7506">
        <v>0</v>
      </c>
      <c r="AQ7506">
        <v>0</v>
      </c>
      <c r="AR7506">
        <v>0</v>
      </c>
      <c r="AS7506">
        <v>0</v>
      </c>
      <c r="AT7506">
        <v>0</v>
      </c>
      <c r="AU7506">
        <f t="shared" si="232"/>
        <v>0</v>
      </c>
      <c r="AV7506">
        <f t="shared" si="233"/>
        <v>0</v>
      </c>
    </row>
    <row r="7507" spans="1:48" x14ac:dyDescent="0.25">
      <c r="A7507" t="s">
        <v>17368</v>
      </c>
      <c r="C7507" t="s">
        <v>17363</v>
      </c>
      <c r="D7507" t="s">
        <v>11052</v>
      </c>
      <c r="E7507" t="s">
        <v>2310</v>
      </c>
      <c r="F7507">
        <v>9</v>
      </c>
      <c r="G7507">
        <v>9.3000000000000007</v>
      </c>
      <c r="H7507" t="s">
        <v>2323</v>
      </c>
      <c r="J7507">
        <v>1900</v>
      </c>
      <c r="S7507" t="s">
        <v>114</v>
      </c>
      <c r="T7507" t="s">
        <v>114</v>
      </c>
      <c r="U7507">
        <v>8</v>
      </c>
      <c r="W7507">
        <v>416</v>
      </c>
      <c r="X7507">
        <v>1</v>
      </c>
      <c r="Y7507">
        <v>0</v>
      </c>
      <c r="Z7507">
        <v>0</v>
      </c>
      <c r="AA7507">
        <v>0</v>
      </c>
      <c r="AB7507">
        <v>0</v>
      </c>
      <c r="AC7507">
        <v>0</v>
      </c>
      <c r="AD7507">
        <v>0</v>
      </c>
      <c r="AE7507">
        <v>0</v>
      </c>
      <c r="AF7507">
        <v>416</v>
      </c>
      <c r="AG7507">
        <v>0</v>
      </c>
      <c r="AH7507">
        <v>0</v>
      </c>
      <c r="AI7507">
        <v>0</v>
      </c>
      <c r="AJ7507">
        <v>0</v>
      </c>
      <c r="AK7507">
        <v>0</v>
      </c>
      <c r="AL7507">
        <v>0</v>
      </c>
      <c r="AM7507">
        <v>0</v>
      </c>
      <c r="AN7507">
        <v>0</v>
      </c>
      <c r="AO7507">
        <v>0</v>
      </c>
      <c r="AP7507">
        <v>0</v>
      </c>
      <c r="AQ7507">
        <v>0</v>
      </c>
      <c r="AR7507">
        <v>1</v>
      </c>
      <c r="AS7507">
        <v>0</v>
      </c>
      <c r="AT7507">
        <v>0</v>
      </c>
      <c r="AU7507">
        <f t="shared" si="232"/>
        <v>0</v>
      </c>
      <c r="AV7507">
        <f t="shared" si="233"/>
        <v>0</v>
      </c>
    </row>
    <row r="7508" spans="1:48" x14ac:dyDescent="0.25">
      <c r="A7508" t="s">
        <v>17369</v>
      </c>
      <c r="C7508" t="s">
        <v>9982</v>
      </c>
      <c r="D7508" t="s">
        <v>9983</v>
      </c>
      <c r="E7508" t="s">
        <v>2310</v>
      </c>
      <c r="F7508">
        <v>9</v>
      </c>
      <c r="G7508">
        <v>9.1999999999999993</v>
      </c>
      <c r="H7508" t="s">
        <v>2022</v>
      </c>
      <c r="J7508">
        <v>1900</v>
      </c>
      <c r="S7508" t="s">
        <v>114</v>
      </c>
      <c r="T7508" t="s">
        <v>114</v>
      </c>
      <c r="U7508">
        <v>5</v>
      </c>
      <c r="W7508">
        <v>60</v>
      </c>
      <c r="X7508">
        <v>0</v>
      </c>
      <c r="Y7508">
        <v>0</v>
      </c>
      <c r="Z7508">
        <v>0</v>
      </c>
      <c r="AA7508">
        <v>0</v>
      </c>
      <c r="AB7508">
        <v>0</v>
      </c>
      <c r="AC7508">
        <v>60</v>
      </c>
      <c r="AD7508">
        <v>0</v>
      </c>
      <c r="AE7508">
        <v>0</v>
      </c>
      <c r="AF7508">
        <v>0</v>
      </c>
      <c r="AG7508">
        <v>0</v>
      </c>
      <c r="AH7508">
        <v>0</v>
      </c>
      <c r="AI7508">
        <v>0</v>
      </c>
      <c r="AJ7508">
        <v>0</v>
      </c>
      <c r="AK7508">
        <v>0</v>
      </c>
      <c r="AL7508">
        <v>0</v>
      </c>
      <c r="AM7508">
        <v>0</v>
      </c>
      <c r="AN7508">
        <v>0</v>
      </c>
      <c r="AO7508">
        <v>0</v>
      </c>
      <c r="AP7508">
        <v>0</v>
      </c>
      <c r="AQ7508">
        <v>0</v>
      </c>
      <c r="AR7508">
        <v>0</v>
      </c>
      <c r="AS7508">
        <v>0</v>
      </c>
      <c r="AT7508">
        <v>0</v>
      </c>
      <c r="AU7508">
        <f t="shared" si="232"/>
        <v>0</v>
      </c>
      <c r="AV7508">
        <f t="shared" si="233"/>
        <v>0</v>
      </c>
    </row>
    <row r="7509" spans="1:48" x14ac:dyDescent="0.25">
      <c r="A7509" t="s">
        <v>17370</v>
      </c>
      <c r="C7509" t="s">
        <v>10554</v>
      </c>
      <c r="D7509" t="s">
        <v>17371</v>
      </c>
      <c r="E7509" t="s">
        <v>2310</v>
      </c>
      <c r="F7509">
        <v>13</v>
      </c>
      <c r="G7509">
        <v>13.2</v>
      </c>
      <c r="H7509" t="s">
        <v>2327</v>
      </c>
      <c r="J7509">
        <v>1900</v>
      </c>
      <c r="S7509" t="s">
        <v>114</v>
      </c>
      <c r="T7509" t="s">
        <v>114</v>
      </c>
      <c r="U7509">
        <v>5</v>
      </c>
      <c r="W7509">
        <v>7614</v>
      </c>
      <c r="X7509">
        <v>2</v>
      </c>
      <c r="Y7509">
        <v>0</v>
      </c>
      <c r="Z7509">
        <v>0</v>
      </c>
      <c r="AA7509">
        <v>0</v>
      </c>
      <c r="AB7509">
        <v>0</v>
      </c>
      <c r="AC7509">
        <v>7614</v>
      </c>
      <c r="AD7509">
        <v>0</v>
      </c>
      <c r="AE7509">
        <v>0</v>
      </c>
      <c r="AF7509">
        <v>0</v>
      </c>
      <c r="AG7509">
        <v>0</v>
      </c>
      <c r="AH7509">
        <v>0</v>
      </c>
      <c r="AI7509">
        <v>0</v>
      </c>
      <c r="AJ7509">
        <v>0</v>
      </c>
      <c r="AK7509">
        <v>0</v>
      </c>
      <c r="AL7509">
        <v>0</v>
      </c>
      <c r="AM7509">
        <v>0</v>
      </c>
      <c r="AN7509">
        <v>0</v>
      </c>
      <c r="AO7509">
        <v>2</v>
      </c>
      <c r="AP7509">
        <v>0</v>
      </c>
      <c r="AQ7509">
        <v>0</v>
      </c>
      <c r="AR7509">
        <v>0</v>
      </c>
      <c r="AS7509">
        <v>0</v>
      </c>
      <c r="AT7509">
        <v>0</v>
      </c>
      <c r="AU7509">
        <f t="shared" si="232"/>
        <v>2</v>
      </c>
      <c r="AV7509">
        <f t="shared" si="233"/>
        <v>0</v>
      </c>
    </row>
    <row r="7510" spans="1:48" x14ac:dyDescent="0.25">
      <c r="A7510" t="s">
        <v>17372</v>
      </c>
      <c r="C7510" t="s">
        <v>17363</v>
      </c>
      <c r="D7510" t="s">
        <v>11052</v>
      </c>
      <c r="E7510" t="s">
        <v>2310</v>
      </c>
      <c r="F7510">
        <v>9</v>
      </c>
      <c r="G7510">
        <v>9.3000000000000007</v>
      </c>
      <c r="H7510" t="s">
        <v>2323</v>
      </c>
      <c r="J7510">
        <v>1900</v>
      </c>
      <c r="S7510" t="s">
        <v>114</v>
      </c>
      <c r="T7510" t="s">
        <v>114</v>
      </c>
      <c r="U7510">
        <v>5</v>
      </c>
      <c r="W7510">
        <v>1321</v>
      </c>
      <c r="X7510">
        <v>1</v>
      </c>
      <c r="Y7510">
        <v>0</v>
      </c>
      <c r="Z7510">
        <v>0</v>
      </c>
      <c r="AA7510">
        <v>0</v>
      </c>
      <c r="AB7510">
        <v>0</v>
      </c>
      <c r="AC7510">
        <v>1321</v>
      </c>
      <c r="AD7510">
        <v>0</v>
      </c>
      <c r="AE7510">
        <v>0</v>
      </c>
      <c r="AF7510">
        <v>0</v>
      </c>
      <c r="AG7510">
        <v>0</v>
      </c>
      <c r="AH7510">
        <v>0</v>
      </c>
      <c r="AI7510">
        <v>0</v>
      </c>
      <c r="AJ7510">
        <v>0</v>
      </c>
      <c r="AK7510">
        <v>0</v>
      </c>
      <c r="AL7510">
        <v>0</v>
      </c>
      <c r="AM7510">
        <v>0</v>
      </c>
      <c r="AN7510">
        <v>0</v>
      </c>
      <c r="AO7510">
        <v>1</v>
      </c>
      <c r="AP7510">
        <v>0</v>
      </c>
      <c r="AQ7510">
        <v>0</v>
      </c>
      <c r="AR7510">
        <v>0</v>
      </c>
      <c r="AS7510">
        <v>0</v>
      </c>
      <c r="AT7510">
        <v>0</v>
      </c>
      <c r="AU7510">
        <f t="shared" si="232"/>
        <v>1</v>
      </c>
      <c r="AV7510">
        <f t="shared" si="233"/>
        <v>0</v>
      </c>
    </row>
    <row r="7511" spans="1:48" x14ac:dyDescent="0.25">
      <c r="A7511" t="s">
        <v>17373</v>
      </c>
      <c r="C7511" t="s">
        <v>10533</v>
      </c>
      <c r="D7511" t="s">
        <v>10548</v>
      </c>
      <c r="E7511" t="s">
        <v>2310</v>
      </c>
      <c r="F7511">
        <v>9</v>
      </c>
      <c r="G7511">
        <v>9.1</v>
      </c>
      <c r="H7511" t="s">
        <v>2323</v>
      </c>
      <c r="J7511">
        <v>1900</v>
      </c>
      <c r="S7511" t="s">
        <v>114</v>
      </c>
      <c r="T7511" t="s">
        <v>114</v>
      </c>
      <c r="U7511">
        <v>5</v>
      </c>
      <c r="W7511">
        <v>863</v>
      </c>
      <c r="X7511">
        <v>0</v>
      </c>
      <c r="Y7511">
        <v>0</v>
      </c>
      <c r="Z7511">
        <v>0</v>
      </c>
      <c r="AA7511">
        <v>0</v>
      </c>
      <c r="AB7511">
        <v>0</v>
      </c>
      <c r="AC7511">
        <v>863</v>
      </c>
      <c r="AD7511">
        <v>0</v>
      </c>
      <c r="AE7511">
        <v>0</v>
      </c>
      <c r="AF7511">
        <v>0</v>
      </c>
      <c r="AG7511">
        <v>0</v>
      </c>
      <c r="AH7511">
        <v>0</v>
      </c>
      <c r="AI7511">
        <v>0</v>
      </c>
      <c r="AJ7511">
        <v>0</v>
      </c>
      <c r="AK7511">
        <v>0</v>
      </c>
      <c r="AL7511">
        <v>0</v>
      </c>
      <c r="AM7511">
        <v>0</v>
      </c>
      <c r="AN7511">
        <v>0</v>
      </c>
      <c r="AO7511">
        <v>0</v>
      </c>
      <c r="AP7511">
        <v>0</v>
      </c>
      <c r="AQ7511">
        <v>0</v>
      </c>
      <c r="AR7511">
        <v>0</v>
      </c>
      <c r="AS7511">
        <v>0</v>
      </c>
      <c r="AT7511">
        <v>0</v>
      </c>
      <c r="AU7511">
        <f t="shared" si="232"/>
        <v>0</v>
      </c>
      <c r="AV7511">
        <f t="shared" si="233"/>
        <v>0</v>
      </c>
    </row>
    <row r="7512" spans="1:48" x14ac:dyDescent="0.25">
      <c r="A7512" t="s">
        <v>17374</v>
      </c>
      <c r="C7512" t="s">
        <v>10559</v>
      </c>
      <c r="D7512" t="s">
        <v>10560</v>
      </c>
      <c r="E7512" t="s">
        <v>2310</v>
      </c>
      <c r="F7512">
        <v>9</v>
      </c>
      <c r="G7512">
        <v>9.1999999999999993</v>
      </c>
      <c r="H7512" t="s">
        <v>2022</v>
      </c>
      <c r="J7512">
        <v>1900</v>
      </c>
      <c r="S7512" t="s">
        <v>114</v>
      </c>
      <c r="T7512" t="s">
        <v>114</v>
      </c>
      <c r="U7512">
        <v>5</v>
      </c>
      <c r="W7512">
        <v>790</v>
      </c>
      <c r="X7512">
        <v>0</v>
      </c>
      <c r="Y7512">
        <v>0</v>
      </c>
      <c r="Z7512">
        <v>0</v>
      </c>
      <c r="AA7512">
        <v>0</v>
      </c>
      <c r="AB7512">
        <v>0</v>
      </c>
      <c r="AC7512">
        <v>790</v>
      </c>
      <c r="AD7512">
        <v>0</v>
      </c>
      <c r="AE7512">
        <v>0</v>
      </c>
      <c r="AF7512">
        <v>0</v>
      </c>
      <c r="AG7512">
        <v>0</v>
      </c>
      <c r="AH7512">
        <v>0</v>
      </c>
      <c r="AI7512">
        <v>0</v>
      </c>
      <c r="AJ7512">
        <v>0</v>
      </c>
      <c r="AK7512">
        <v>0</v>
      </c>
      <c r="AL7512">
        <v>0</v>
      </c>
      <c r="AM7512">
        <v>0</v>
      </c>
      <c r="AN7512">
        <v>0</v>
      </c>
      <c r="AO7512">
        <v>0</v>
      </c>
      <c r="AP7512">
        <v>0</v>
      </c>
      <c r="AQ7512">
        <v>0</v>
      </c>
      <c r="AR7512">
        <v>0</v>
      </c>
      <c r="AS7512">
        <v>0</v>
      </c>
      <c r="AT7512">
        <v>0</v>
      </c>
      <c r="AU7512">
        <f t="shared" si="232"/>
        <v>0</v>
      </c>
      <c r="AV7512">
        <f t="shared" si="233"/>
        <v>0</v>
      </c>
    </row>
    <row r="7513" spans="1:48" x14ac:dyDescent="0.25">
      <c r="A7513" t="s">
        <v>17375</v>
      </c>
      <c r="C7513" t="s">
        <v>9957</v>
      </c>
      <c r="D7513" t="s">
        <v>9958</v>
      </c>
      <c r="E7513" t="s">
        <v>2310</v>
      </c>
      <c r="F7513">
        <v>9</v>
      </c>
      <c r="G7513">
        <v>9.3000000000000007</v>
      </c>
      <c r="H7513" t="s">
        <v>2323</v>
      </c>
      <c r="J7513">
        <v>1900</v>
      </c>
      <c r="S7513" t="s">
        <v>114</v>
      </c>
      <c r="T7513" t="s">
        <v>114</v>
      </c>
      <c r="U7513">
        <v>5</v>
      </c>
      <c r="W7513">
        <v>3651</v>
      </c>
      <c r="X7513">
        <v>1</v>
      </c>
      <c r="Y7513">
        <v>0</v>
      </c>
      <c r="Z7513">
        <v>0</v>
      </c>
      <c r="AA7513">
        <v>0</v>
      </c>
      <c r="AB7513">
        <v>0</v>
      </c>
      <c r="AC7513">
        <v>3651</v>
      </c>
      <c r="AD7513">
        <v>0</v>
      </c>
      <c r="AE7513">
        <v>0</v>
      </c>
      <c r="AF7513">
        <v>0</v>
      </c>
      <c r="AG7513">
        <v>0</v>
      </c>
      <c r="AH7513">
        <v>0</v>
      </c>
      <c r="AI7513">
        <v>0</v>
      </c>
      <c r="AJ7513">
        <v>0</v>
      </c>
      <c r="AK7513">
        <v>0</v>
      </c>
      <c r="AL7513">
        <v>0</v>
      </c>
      <c r="AM7513">
        <v>0</v>
      </c>
      <c r="AN7513">
        <v>0</v>
      </c>
      <c r="AO7513">
        <v>1</v>
      </c>
      <c r="AP7513">
        <v>0</v>
      </c>
      <c r="AQ7513">
        <v>0</v>
      </c>
      <c r="AR7513">
        <v>0</v>
      </c>
      <c r="AS7513">
        <v>0</v>
      </c>
      <c r="AT7513">
        <v>0</v>
      </c>
      <c r="AU7513">
        <f t="shared" ref="AU7513:AU7526" si="234">SUM(AN7513:AQ7513,AS7513)</f>
        <v>1</v>
      </c>
      <c r="AV7513">
        <f t="shared" ref="AV7513:AV7526" si="235">SUM(Y7513:AB7513,AH7513:AM7513)</f>
        <v>0</v>
      </c>
    </row>
    <row r="7514" spans="1:48" x14ac:dyDescent="0.25">
      <c r="A7514" t="s">
        <v>17376</v>
      </c>
      <c r="C7514" t="s">
        <v>10591</v>
      </c>
      <c r="D7514" t="s">
        <v>10592</v>
      </c>
      <c r="E7514" t="s">
        <v>2310</v>
      </c>
      <c r="F7514">
        <v>12</v>
      </c>
      <c r="G7514">
        <v>12.3</v>
      </c>
      <c r="H7514" t="s">
        <v>2017</v>
      </c>
      <c r="J7514">
        <v>1900</v>
      </c>
      <c r="S7514" t="s">
        <v>114</v>
      </c>
      <c r="T7514" t="s">
        <v>114</v>
      </c>
      <c r="U7514">
        <v>5</v>
      </c>
      <c r="W7514">
        <v>40</v>
      </c>
      <c r="X7514">
        <v>0</v>
      </c>
      <c r="Y7514">
        <v>0</v>
      </c>
      <c r="Z7514">
        <v>0</v>
      </c>
      <c r="AA7514">
        <v>0</v>
      </c>
      <c r="AB7514">
        <v>0</v>
      </c>
      <c r="AC7514">
        <v>40</v>
      </c>
      <c r="AD7514">
        <v>0</v>
      </c>
      <c r="AE7514">
        <v>0</v>
      </c>
      <c r="AF7514">
        <v>0</v>
      </c>
      <c r="AG7514">
        <v>0</v>
      </c>
      <c r="AH7514">
        <v>0</v>
      </c>
      <c r="AI7514">
        <v>0</v>
      </c>
      <c r="AJ7514">
        <v>0</v>
      </c>
      <c r="AK7514">
        <v>0</v>
      </c>
      <c r="AL7514">
        <v>0</v>
      </c>
      <c r="AM7514">
        <v>0</v>
      </c>
      <c r="AN7514">
        <v>0</v>
      </c>
      <c r="AO7514">
        <v>0</v>
      </c>
      <c r="AP7514">
        <v>0</v>
      </c>
      <c r="AQ7514">
        <v>0</v>
      </c>
      <c r="AR7514">
        <v>0</v>
      </c>
      <c r="AS7514">
        <v>0</v>
      </c>
      <c r="AT7514">
        <v>0</v>
      </c>
      <c r="AU7514">
        <f t="shared" si="234"/>
        <v>0</v>
      </c>
      <c r="AV7514">
        <f t="shared" si="235"/>
        <v>0</v>
      </c>
    </row>
    <row r="7515" spans="1:48" x14ac:dyDescent="0.25">
      <c r="A7515" t="s">
        <v>17377</v>
      </c>
      <c r="C7515" t="s">
        <v>10695</v>
      </c>
      <c r="D7515" t="s">
        <v>10696</v>
      </c>
      <c r="E7515" t="s">
        <v>2310</v>
      </c>
      <c r="F7515">
        <v>15</v>
      </c>
      <c r="G7515">
        <v>15.2</v>
      </c>
      <c r="H7515" t="s">
        <v>2323</v>
      </c>
      <c r="J7515">
        <v>1900</v>
      </c>
      <c r="S7515" t="s">
        <v>114</v>
      </c>
      <c r="T7515" t="s">
        <v>114</v>
      </c>
      <c r="U7515">
        <v>5</v>
      </c>
      <c r="W7515">
        <v>285</v>
      </c>
      <c r="X7515">
        <v>0</v>
      </c>
      <c r="Y7515">
        <v>0</v>
      </c>
      <c r="Z7515">
        <v>0</v>
      </c>
      <c r="AA7515">
        <v>0</v>
      </c>
      <c r="AB7515">
        <v>0</v>
      </c>
      <c r="AC7515">
        <v>285</v>
      </c>
      <c r="AD7515">
        <v>0</v>
      </c>
      <c r="AE7515">
        <v>0</v>
      </c>
      <c r="AF7515">
        <v>0</v>
      </c>
      <c r="AG7515">
        <v>0</v>
      </c>
      <c r="AH7515">
        <v>0</v>
      </c>
      <c r="AI7515">
        <v>0</v>
      </c>
      <c r="AJ7515">
        <v>0</v>
      </c>
      <c r="AK7515">
        <v>0</v>
      </c>
      <c r="AL7515">
        <v>0</v>
      </c>
      <c r="AM7515">
        <v>0</v>
      </c>
      <c r="AN7515">
        <v>0</v>
      </c>
      <c r="AO7515">
        <v>0</v>
      </c>
      <c r="AP7515">
        <v>0</v>
      </c>
      <c r="AQ7515">
        <v>0</v>
      </c>
      <c r="AR7515">
        <v>0</v>
      </c>
      <c r="AS7515">
        <v>0</v>
      </c>
      <c r="AT7515">
        <v>0</v>
      </c>
      <c r="AU7515">
        <f t="shared" si="234"/>
        <v>0</v>
      </c>
      <c r="AV7515">
        <f t="shared" si="235"/>
        <v>0</v>
      </c>
    </row>
    <row r="7516" spans="1:48" x14ac:dyDescent="0.25">
      <c r="A7516" t="s">
        <v>17378</v>
      </c>
      <c r="C7516" t="s">
        <v>7393</v>
      </c>
      <c r="D7516" t="s">
        <v>8142</v>
      </c>
      <c r="E7516" t="s">
        <v>2310</v>
      </c>
      <c r="F7516">
        <v>14</v>
      </c>
      <c r="G7516">
        <v>14.1</v>
      </c>
      <c r="H7516" t="s">
        <v>2022</v>
      </c>
      <c r="J7516">
        <v>1900</v>
      </c>
      <c r="K7516" s="21">
        <v>41674.498680555596</v>
      </c>
      <c r="L7516">
        <v>2014</v>
      </c>
      <c r="M7516" s="21">
        <v>42046.671087962997</v>
      </c>
      <c r="N7516">
        <v>2015</v>
      </c>
      <c r="R7516" s="262">
        <v>660000</v>
      </c>
      <c r="S7516" t="s">
        <v>114</v>
      </c>
      <c r="T7516" t="s">
        <v>114</v>
      </c>
      <c r="U7516">
        <v>5</v>
      </c>
      <c r="W7516">
        <v>4127</v>
      </c>
      <c r="X7516">
        <v>1</v>
      </c>
      <c r="Y7516">
        <v>0</v>
      </c>
      <c r="Z7516">
        <v>0</v>
      </c>
      <c r="AA7516">
        <v>0</v>
      </c>
      <c r="AB7516">
        <v>0</v>
      </c>
      <c r="AC7516">
        <v>4127</v>
      </c>
      <c r="AD7516">
        <v>0</v>
      </c>
      <c r="AE7516">
        <v>0</v>
      </c>
      <c r="AF7516">
        <v>0</v>
      </c>
      <c r="AG7516">
        <v>0</v>
      </c>
      <c r="AH7516">
        <v>0</v>
      </c>
      <c r="AI7516">
        <v>0</v>
      </c>
      <c r="AJ7516">
        <v>0</v>
      </c>
      <c r="AK7516">
        <v>0</v>
      </c>
      <c r="AL7516">
        <v>0</v>
      </c>
      <c r="AM7516">
        <v>0</v>
      </c>
      <c r="AN7516">
        <v>0</v>
      </c>
      <c r="AO7516">
        <v>1</v>
      </c>
      <c r="AP7516">
        <v>0</v>
      </c>
      <c r="AQ7516">
        <v>0</v>
      </c>
      <c r="AR7516">
        <v>0</v>
      </c>
      <c r="AS7516">
        <v>0</v>
      </c>
      <c r="AT7516">
        <v>0</v>
      </c>
      <c r="AU7516">
        <f t="shared" si="234"/>
        <v>1</v>
      </c>
      <c r="AV7516">
        <f t="shared" si="235"/>
        <v>0</v>
      </c>
    </row>
    <row r="7517" spans="1:48" x14ac:dyDescent="0.25">
      <c r="A7517" t="s">
        <v>17378</v>
      </c>
      <c r="B7517" t="s">
        <v>17379</v>
      </c>
      <c r="C7517" t="s">
        <v>7393</v>
      </c>
      <c r="D7517" t="s">
        <v>8142</v>
      </c>
      <c r="E7517" t="s">
        <v>2310</v>
      </c>
      <c r="F7517">
        <v>14</v>
      </c>
      <c r="G7517">
        <v>14.1</v>
      </c>
      <c r="H7517" t="s">
        <v>2022</v>
      </c>
      <c r="J7517">
        <v>1900</v>
      </c>
      <c r="K7517" s="21">
        <v>41674.498680555596</v>
      </c>
      <c r="L7517">
        <v>2014</v>
      </c>
      <c r="M7517" s="21">
        <v>42046.671087962997</v>
      </c>
      <c r="N7517">
        <v>2015</v>
      </c>
      <c r="S7517" t="s">
        <v>114</v>
      </c>
      <c r="T7517" t="s">
        <v>114</v>
      </c>
      <c r="V7517">
        <v>0</v>
      </c>
      <c r="W7517">
        <v>0</v>
      </c>
      <c r="X7517">
        <v>0</v>
      </c>
      <c r="Y7517">
        <v>0</v>
      </c>
      <c r="Z7517">
        <v>0</v>
      </c>
      <c r="AA7517">
        <v>0</v>
      </c>
      <c r="AB7517">
        <v>0</v>
      </c>
      <c r="AC7517">
        <v>0</v>
      </c>
      <c r="AD7517">
        <v>0</v>
      </c>
      <c r="AE7517">
        <v>0</v>
      </c>
      <c r="AF7517">
        <v>0</v>
      </c>
      <c r="AG7517">
        <v>0</v>
      </c>
      <c r="AH7517">
        <v>0</v>
      </c>
      <c r="AI7517">
        <v>0</v>
      </c>
      <c r="AJ7517">
        <v>0</v>
      </c>
      <c r="AK7517">
        <v>0</v>
      </c>
      <c r="AL7517">
        <v>0</v>
      </c>
      <c r="AM7517">
        <v>0</v>
      </c>
      <c r="AN7517">
        <v>0</v>
      </c>
      <c r="AO7517">
        <v>0</v>
      </c>
      <c r="AP7517">
        <v>0</v>
      </c>
      <c r="AQ7517">
        <v>0</v>
      </c>
      <c r="AR7517">
        <v>0</v>
      </c>
      <c r="AS7517">
        <v>0</v>
      </c>
      <c r="AT7517">
        <v>0</v>
      </c>
      <c r="AU7517">
        <f t="shared" si="234"/>
        <v>0</v>
      </c>
      <c r="AV7517">
        <f t="shared" si="235"/>
        <v>0</v>
      </c>
    </row>
    <row r="7518" spans="1:48" x14ac:dyDescent="0.25">
      <c r="A7518" t="s">
        <v>17380</v>
      </c>
      <c r="C7518" t="s">
        <v>17381</v>
      </c>
      <c r="D7518" t="s">
        <v>15377</v>
      </c>
      <c r="E7518" t="s">
        <v>2310</v>
      </c>
      <c r="F7518">
        <v>15</v>
      </c>
      <c r="G7518">
        <v>15.1</v>
      </c>
      <c r="H7518" t="s">
        <v>2022</v>
      </c>
      <c r="J7518">
        <v>1900</v>
      </c>
      <c r="S7518" t="s">
        <v>114</v>
      </c>
      <c r="T7518" t="s">
        <v>114</v>
      </c>
      <c r="U7518">
        <v>5</v>
      </c>
      <c r="W7518">
        <v>469</v>
      </c>
      <c r="X7518">
        <v>0</v>
      </c>
      <c r="Y7518">
        <v>0</v>
      </c>
      <c r="Z7518">
        <v>0</v>
      </c>
      <c r="AA7518">
        <v>0</v>
      </c>
      <c r="AB7518">
        <v>0</v>
      </c>
      <c r="AC7518">
        <v>469</v>
      </c>
      <c r="AD7518">
        <v>0</v>
      </c>
      <c r="AE7518">
        <v>0</v>
      </c>
      <c r="AF7518">
        <v>0</v>
      </c>
      <c r="AG7518">
        <v>0</v>
      </c>
      <c r="AH7518">
        <v>0</v>
      </c>
      <c r="AI7518">
        <v>0</v>
      </c>
      <c r="AJ7518">
        <v>0</v>
      </c>
      <c r="AK7518">
        <v>0</v>
      </c>
      <c r="AL7518">
        <v>0</v>
      </c>
      <c r="AM7518">
        <v>0</v>
      </c>
      <c r="AN7518">
        <v>0</v>
      </c>
      <c r="AO7518">
        <v>0</v>
      </c>
      <c r="AP7518">
        <v>0</v>
      </c>
      <c r="AQ7518">
        <v>0</v>
      </c>
      <c r="AR7518">
        <v>0</v>
      </c>
      <c r="AS7518">
        <v>0</v>
      </c>
      <c r="AT7518">
        <v>0</v>
      </c>
      <c r="AU7518">
        <f t="shared" si="234"/>
        <v>0</v>
      </c>
      <c r="AV7518">
        <f t="shared" si="235"/>
        <v>0</v>
      </c>
    </row>
    <row r="7519" spans="1:48" x14ac:dyDescent="0.25">
      <c r="A7519" t="s">
        <v>17382</v>
      </c>
      <c r="C7519" t="s">
        <v>17383</v>
      </c>
      <c r="D7519" t="s">
        <v>17384</v>
      </c>
      <c r="E7519" t="s">
        <v>2310</v>
      </c>
      <c r="F7519">
        <v>8</v>
      </c>
      <c r="G7519">
        <v>8.1999999999999993</v>
      </c>
      <c r="H7519" t="s">
        <v>2022</v>
      </c>
      <c r="J7519">
        <v>1900</v>
      </c>
      <c r="S7519" t="s">
        <v>114</v>
      </c>
      <c r="T7519" t="s">
        <v>114</v>
      </c>
      <c r="U7519">
        <v>17</v>
      </c>
      <c r="W7519">
        <v>6779</v>
      </c>
      <c r="X7519">
        <v>2</v>
      </c>
      <c r="Y7519">
        <v>0</v>
      </c>
      <c r="Z7519">
        <v>0</v>
      </c>
      <c r="AA7519">
        <v>0</v>
      </c>
      <c r="AB7519">
        <v>0</v>
      </c>
      <c r="AC7519">
        <v>0</v>
      </c>
      <c r="AD7519">
        <v>5779</v>
      </c>
      <c r="AE7519">
        <v>0</v>
      </c>
      <c r="AF7519">
        <v>1000</v>
      </c>
      <c r="AG7519">
        <v>0</v>
      </c>
      <c r="AH7519">
        <v>0</v>
      </c>
      <c r="AI7519">
        <v>0</v>
      </c>
      <c r="AJ7519">
        <v>0</v>
      </c>
      <c r="AK7519">
        <v>0</v>
      </c>
      <c r="AL7519">
        <v>0</v>
      </c>
      <c r="AM7519">
        <v>0</v>
      </c>
      <c r="AN7519">
        <v>0</v>
      </c>
      <c r="AO7519">
        <v>0</v>
      </c>
      <c r="AP7519">
        <v>1</v>
      </c>
      <c r="AQ7519">
        <v>0</v>
      </c>
      <c r="AR7519">
        <v>1</v>
      </c>
      <c r="AS7519">
        <v>0</v>
      </c>
      <c r="AT7519">
        <v>0</v>
      </c>
      <c r="AU7519">
        <f t="shared" si="234"/>
        <v>1</v>
      </c>
      <c r="AV7519">
        <f t="shared" si="235"/>
        <v>0</v>
      </c>
    </row>
    <row r="7520" spans="1:48" x14ac:dyDescent="0.25">
      <c r="A7520" t="s">
        <v>17385</v>
      </c>
      <c r="C7520" t="s">
        <v>9589</v>
      </c>
      <c r="D7520" t="s">
        <v>4859</v>
      </c>
      <c r="E7520" t="s">
        <v>2310</v>
      </c>
      <c r="F7520">
        <v>15</v>
      </c>
      <c r="G7520">
        <v>15.1</v>
      </c>
      <c r="H7520" t="s">
        <v>2022</v>
      </c>
      <c r="J7520">
        <v>1900</v>
      </c>
      <c r="S7520" t="s">
        <v>114</v>
      </c>
      <c r="T7520" t="s">
        <v>114</v>
      </c>
      <c r="U7520">
        <v>5</v>
      </c>
      <c r="W7520">
        <v>0</v>
      </c>
      <c r="X7520">
        <v>0</v>
      </c>
      <c r="Y7520">
        <v>0</v>
      </c>
      <c r="Z7520">
        <v>0</v>
      </c>
      <c r="AA7520">
        <v>0</v>
      </c>
      <c r="AB7520">
        <v>0</v>
      </c>
      <c r="AC7520">
        <v>0</v>
      </c>
      <c r="AD7520">
        <v>0</v>
      </c>
      <c r="AE7520">
        <v>0</v>
      </c>
      <c r="AF7520">
        <v>0</v>
      </c>
      <c r="AG7520">
        <v>0</v>
      </c>
      <c r="AH7520">
        <v>0</v>
      </c>
      <c r="AI7520">
        <v>0</v>
      </c>
      <c r="AJ7520">
        <v>0</v>
      </c>
      <c r="AK7520">
        <v>0</v>
      </c>
      <c r="AL7520">
        <v>0</v>
      </c>
      <c r="AM7520">
        <v>0</v>
      </c>
      <c r="AN7520">
        <v>0</v>
      </c>
      <c r="AO7520">
        <v>0</v>
      </c>
      <c r="AP7520">
        <v>0</v>
      </c>
      <c r="AQ7520">
        <v>0</v>
      </c>
      <c r="AR7520">
        <v>0</v>
      </c>
      <c r="AS7520">
        <v>0</v>
      </c>
      <c r="AT7520">
        <v>0</v>
      </c>
      <c r="AU7520">
        <f t="shared" si="234"/>
        <v>0</v>
      </c>
      <c r="AV7520">
        <f t="shared" si="235"/>
        <v>0</v>
      </c>
    </row>
    <row r="7521" spans="1:48" x14ac:dyDescent="0.25">
      <c r="A7521" t="s">
        <v>20173</v>
      </c>
      <c r="D7521" t="s">
        <v>20174</v>
      </c>
      <c r="E7521" t="s">
        <v>1663</v>
      </c>
      <c r="F7521">
        <v>2</v>
      </c>
      <c r="G7521">
        <v>2.2999999999999998</v>
      </c>
      <c r="H7521" t="s">
        <v>2327</v>
      </c>
      <c r="J7521">
        <v>1900</v>
      </c>
      <c r="N7521">
        <v>2018</v>
      </c>
      <c r="S7521" t="s">
        <v>9529</v>
      </c>
      <c r="T7521">
        <v>12731</v>
      </c>
      <c r="U7521">
        <v>11</v>
      </c>
      <c r="W7521">
        <v>-1904</v>
      </c>
      <c r="X7521">
        <v>-9</v>
      </c>
      <c r="Y7521">
        <v>0</v>
      </c>
      <c r="Z7521">
        <v>0</v>
      </c>
      <c r="AA7521">
        <v>0</v>
      </c>
      <c r="AB7521">
        <v>0</v>
      </c>
      <c r="AC7521">
        <v>0</v>
      </c>
      <c r="AD7521">
        <v>0</v>
      </c>
      <c r="AE7521">
        <v>0</v>
      </c>
      <c r="AF7521">
        <v>0</v>
      </c>
      <c r="AG7521">
        <v>0</v>
      </c>
      <c r="AH7521">
        <v>0</v>
      </c>
      <c r="AI7521">
        <v>-1904</v>
      </c>
      <c r="AJ7521">
        <v>0</v>
      </c>
      <c r="AK7521">
        <v>0</v>
      </c>
      <c r="AL7521">
        <v>0</v>
      </c>
      <c r="AM7521">
        <v>0</v>
      </c>
      <c r="AN7521">
        <v>0</v>
      </c>
      <c r="AO7521">
        <v>0</v>
      </c>
      <c r="AP7521">
        <v>0</v>
      </c>
      <c r="AQ7521">
        <v>0</v>
      </c>
      <c r="AR7521">
        <v>0</v>
      </c>
      <c r="AS7521">
        <v>0</v>
      </c>
      <c r="AT7521">
        <v>-9</v>
      </c>
      <c r="AU7521">
        <f t="shared" si="234"/>
        <v>0</v>
      </c>
      <c r="AV7521">
        <f t="shared" si="235"/>
        <v>-1904</v>
      </c>
    </row>
    <row r="7522" spans="1:48" x14ac:dyDescent="0.25">
      <c r="A7522" t="s">
        <v>20173</v>
      </c>
      <c r="D7522" t="s">
        <v>20174</v>
      </c>
      <c r="E7522" t="s">
        <v>1663</v>
      </c>
      <c r="F7522">
        <v>2</v>
      </c>
      <c r="G7522">
        <v>2.2999999999999998</v>
      </c>
      <c r="H7522" t="s">
        <v>2327</v>
      </c>
      <c r="J7522">
        <v>1900</v>
      </c>
      <c r="N7522">
        <v>2018</v>
      </c>
      <c r="S7522" t="s">
        <v>9529</v>
      </c>
      <c r="T7522">
        <v>12732</v>
      </c>
      <c r="U7522">
        <v>11</v>
      </c>
      <c r="W7522">
        <v>-1680</v>
      </c>
      <c r="X7522">
        <v>-7</v>
      </c>
      <c r="Y7522">
        <v>0</v>
      </c>
      <c r="Z7522">
        <v>0</v>
      </c>
      <c r="AA7522">
        <v>0</v>
      </c>
      <c r="AB7522">
        <v>0</v>
      </c>
      <c r="AC7522">
        <v>0</v>
      </c>
      <c r="AD7522">
        <v>0</v>
      </c>
      <c r="AE7522">
        <v>0</v>
      </c>
      <c r="AF7522">
        <v>0</v>
      </c>
      <c r="AG7522">
        <v>0</v>
      </c>
      <c r="AH7522">
        <v>0</v>
      </c>
      <c r="AI7522">
        <v>-1680</v>
      </c>
      <c r="AJ7522">
        <v>0</v>
      </c>
      <c r="AK7522">
        <v>0</v>
      </c>
      <c r="AL7522">
        <v>0</v>
      </c>
      <c r="AM7522">
        <v>0</v>
      </c>
      <c r="AN7522">
        <v>0</v>
      </c>
      <c r="AO7522">
        <v>0</v>
      </c>
      <c r="AP7522">
        <v>0</v>
      </c>
      <c r="AQ7522">
        <v>0</v>
      </c>
      <c r="AR7522">
        <v>0</v>
      </c>
      <c r="AS7522">
        <v>0</v>
      </c>
      <c r="AT7522">
        <v>-7</v>
      </c>
      <c r="AU7522">
        <f t="shared" si="234"/>
        <v>0</v>
      </c>
      <c r="AV7522">
        <f t="shared" si="235"/>
        <v>-1680</v>
      </c>
    </row>
    <row r="7523" spans="1:48" x14ac:dyDescent="0.25">
      <c r="A7523" t="s">
        <v>20173</v>
      </c>
      <c r="D7523" t="s">
        <v>20174</v>
      </c>
      <c r="E7523" t="s">
        <v>1663</v>
      </c>
      <c r="F7523">
        <v>2</v>
      </c>
      <c r="G7523">
        <v>2.2999999999999998</v>
      </c>
      <c r="H7523" t="s">
        <v>2327</v>
      </c>
      <c r="J7523">
        <v>1900</v>
      </c>
      <c r="N7523">
        <v>2018</v>
      </c>
      <c r="S7523" t="s">
        <v>9529</v>
      </c>
      <c r="T7523">
        <v>12733</v>
      </c>
      <c r="U7523">
        <v>11</v>
      </c>
      <c r="W7523">
        <v>-1600</v>
      </c>
      <c r="X7523">
        <v>-6</v>
      </c>
      <c r="Y7523">
        <v>0</v>
      </c>
      <c r="Z7523">
        <v>0</v>
      </c>
      <c r="AA7523">
        <v>0</v>
      </c>
      <c r="AB7523">
        <v>0</v>
      </c>
      <c r="AC7523">
        <v>0</v>
      </c>
      <c r="AD7523">
        <v>0</v>
      </c>
      <c r="AE7523">
        <v>0</v>
      </c>
      <c r="AF7523">
        <v>0</v>
      </c>
      <c r="AG7523">
        <v>0</v>
      </c>
      <c r="AH7523">
        <v>0</v>
      </c>
      <c r="AI7523">
        <v>-1600</v>
      </c>
      <c r="AJ7523">
        <v>0</v>
      </c>
      <c r="AK7523">
        <v>0</v>
      </c>
      <c r="AL7523">
        <v>0</v>
      </c>
      <c r="AM7523">
        <v>0</v>
      </c>
      <c r="AN7523">
        <v>0</v>
      </c>
      <c r="AO7523">
        <v>0</v>
      </c>
      <c r="AP7523">
        <v>0</v>
      </c>
      <c r="AQ7523">
        <v>0</v>
      </c>
      <c r="AR7523">
        <v>0</v>
      </c>
      <c r="AS7523">
        <v>0</v>
      </c>
      <c r="AT7523">
        <v>-6</v>
      </c>
      <c r="AU7523">
        <f t="shared" si="234"/>
        <v>0</v>
      </c>
      <c r="AV7523">
        <f t="shared" si="235"/>
        <v>-1600</v>
      </c>
    </row>
    <row r="7524" spans="1:48" x14ac:dyDescent="0.25">
      <c r="A7524" t="s">
        <v>20173</v>
      </c>
      <c r="D7524" t="s">
        <v>20175</v>
      </c>
      <c r="E7524" t="s">
        <v>1663</v>
      </c>
      <c r="F7524">
        <v>2</v>
      </c>
      <c r="G7524">
        <v>2.2999999999999998</v>
      </c>
      <c r="H7524" t="s">
        <v>2327</v>
      </c>
      <c r="J7524">
        <v>1900</v>
      </c>
      <c r="N7524">
        <v>2018</v>
      </c>
      <c r="S7524" t="s">
        <v>9529</v>
      </c>
      <c r="T7524">
        <v>12728</v>
      </c>
      <c r="U7524">
        <v>11</v>
      </c>
      <c r="W7524">
        <v>-3115</v>
      </c>
      <c r="X7524">
        <v>-10</v>
      </c>
      <c r="Y7524">
        <v>0</v>
      </c>
      <c r="Z7524">
        <v>0</v>
      </c>
      <c r="AA7524">
        <v>0</v>
      </c>
      <c r="AB7524">
        <v>0</v>
      </c>
      <c r="AC7524">
        <v>0</v>
      </c>
      <c r="AD7524">
        <v>0</v>
      </c>
      <c r="AE7524">
        <v>0</v>
      </c>
      <c r="AF7524">
        <v>0</v>
      </c>
      <c r="AG7524">
        <v>0</v>
      </c>
      <c r="AH7524">
        <v>0</v>
      </c>
      <c r="AI7524">
        <v>-3115</v>
      </c>
      <c r="AJ7524">
        <v>0</v>
      </c>
      <c r="AK7524">
        <v>0</v>
      </c>
      <c r="AL7524">
        <v>0</v>
      </c>
      <c r="AM7524">
        <v>0</v>
      </c>
      <c r="AN7524">
        <v>0</v>
      </c>
      <c r="AO7524">
        <v>0</v>
      </c>
      <c r="AP7524">
        <v>0</v>
      </c>
      <c r="AQ7524">
        <v>0</v>
      </c>
      <c r="AR7524">
        <v>0</v>
      </c>
      <c r="AS7524">
        <v>0</v>
      </c>
      <c r="AT7524">
        <v>-10</v>
      </c>
      <c r="AU7524">
        <f t="shared" si="234"/>
        <v>0</v>
      </c>
      <c r="AV7524">
        <f t="shared" si="235"/>
        <v>-3115</v>
      </c>
    </row>
    <row r="7525" spans="1:48" x14ac:dyDescent="0.25">
      <c r="A7525">
        <v>2012</v>
      </c>
      <c r="D7525" t="s">
        <v>8033</v>
      </c>
      <c r="E7525" t="s">
        <v>1663</v>
      </c>
      <c r="F7525">
        <v>2</v>
      </c>
      <c r="G7525">
        <v>2.2999999999999998</v>
      </c>
      <c r="H7525" t="s">
        <v>2327</v>
      </c>
      <c r="J7525">
        <v>1900</v>
      </c>
      <c r="N7525">
        <v>2012</v>
      </c>
      <c r="S7525" t="s">
        <v>9529</v>
      </c>
      <c r="T7525">
        <v>12865</v>
      </c>
      <c r="U7525">
        <v>5</v>
      </c>
      <c r="W7525">
        <v>-2808</v>
      </c>
      <c r="X7525">
        <v>-1</v>
      </c>
      <c r="Y7525">
        <v>0</v>
      </c>
      <c r="Z7525">
        <v>0</v>
      </c>
      <c r="AA7525">
        <v>0</v>
      </c>
      <c r="AB7525">
        <v>0</v>
      </c>
      <c r="AC7525">
        <v>-2808</v>
      </c>
      <c r="AD7525">
        <v>0</v>
      </c>
      <c r="AE7525">
        <v>0</v>
      </c>
      <c r="AF7525">
        <v>0</v>
      </c>
      <c r="AG7525">
        <v>0</v>
      </c>
      <c r="AH7525">
        <v>0</v>
      </c>
      <c r="AI7525">
        <v>0</v>
      </c>
      <c r="AJ7525">
        <v>0</v>
      </c>
      <c r="AK7525">
        <v>0</v>
      </c>
      <c r="AL7525">
        <v>0</v>
      </c>
      <c r="AM7525">
        <v>0</v>
      </c>
      <c r="AN7525">
        <v>0</v>
      </c>
      <c r="AO7525">
        <v>-1</v>
      </c>
      <c r="AP7525">
        <v>0</v>
      </c>
      <c r="AQ7525">
        <v>0</v>
      </c>
      <c r="AR7525">
        <v>0</v>
      </c>
      <c r="AS7525">
        <v>0</v>
      </c>
      <c r="AT7525">
        <v>0</v>
      </c>
      <c r="AU7525">
        <f t="shared" si="234"/>
        <v>-1</v>
      </c>
      <c r="AV7525">
        <f t="shared" si="235"/>
        <v>0</v>
      </c>
    </row>
    <row r="7526" spans="1:48" x14ac:dyDescent="0.25">
      <c r="A7526">
        <v>2012</v>
      </c>
      <c r="D7526" t="s">
        <v>8033</v>
      </c>
      <c r="E7526" t="s">
        <v>1663</v>
      </c>
      <c r="F7526">
        <v>2</v>
      </c>
      <c r="G7526">
        <v>2.2999999999999998</v>
      </c>
      <c r="H7526" t="s">
        <v>2327</v>
      </c>
      <c r="J7526">
        <v>1900</v>
      </c>
      <c r="N7526">
        <v>2012</v>
      </c>
      <c r="S7526" t="s">
        <v>9529</v>
      </c>
      <c r="T7526">
        <v>12866</v>
      </c>
      <c r="U7526">
        <v>11</v>
      </c>
      <c r="W7526">
        <v>-928</v>
      </c>
      <c r="X7526">
        <v>-1</v>
      </c>
      <c r="Y7526">
        <v>0</v>
      </c>
      <c r="Z7526">
        <v>0</v>
      </c>
      <c r="AA7526">
        <v>0</v>
      </c>
      <c r="AB7526">
        <v>0</v>
      </c>
      <c r="AC7526">
        <v>0</v>
      </c>
      <c r="AD7526">
        <v>0</v>
      </c>
      <c r="AE7526">
        <v>0</v>
      </c>
      <c r="AF7526">
        <v>0</v>
      </c>
      <c r="AG7526">
        <v>0</v>
      </c>
      <c r="AH7526">
        <v>0</v>
      </c>
      <c r="AI7526">
        <v>-928</v>
      </c>
      <c r="AJ7526">
        <v>0</v>
      </c>
      <c r="AK7526">
        <v>0</v>
      </c>
      <c r="AL7526">
        <v>0</v>
      </c>
      <c r="AM7526">
        <v>0</v>
      </c>
      <c r="AN7526">
        <v>0</v>
      </c>
      <c r="AO7526">
        <v>0</v>
      </c>
      <c r="AP7526">
        <v>0</v>
      </c>
      <c r="AQ7526">
        <v>0</v>
      </c>
      <c r="AR7526">
        <v>0</v>
      </c>
      <c r="AS7526">
        <v>0</v>
      </c>
      <c r="AT7526">
        <v>-1</v>
      </c>
      <c r="AU7526">
        <f t="shared" si="234"/>
        <v>0</v>
      </c>
      <c r="AV7526">
        <f t="shared" si="235"/>
        <v>-928</v>
      </c>
    </row>
  </sheetData>
  <autoFilter ref="A23:AT7526" xr:uid="{AEA29506-06E4-406D-A4DD-91BFA3EEFB6D}"/>
  <hyperlinks>
    <hyperlink ref="B14" location="GrowthUse" display="Growth by Use" xr:uid="{E8639240-D114-43B4-ACBB-929B3BD5FBCB}"/>
    <hyperlink ref="B15" location="GrowthLoc" display="Growth by Location" xr:uid="{78200CEC-4981-4D83-A5EF-B7376752155F}"/>
  </hyperlink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D1EA7-3EFF-4B16-98A7-13B58DC28338}">
  <dimension ref="A1:AG286"/>
  <sheetViews>
    <sheetView workbookViewId="0">
      <pane xSplit="2" ySplit="3" topLeftCell="D4" activePane="bottomRight" state="frozen"/>
      <selection pane="topRight" activeCell="C1" sqref="C1"/>
      <selection pane="bottomLeft" activeCell="A4" sqref="A4"/>
      <selection pane="bottomRight"/>
    </sheetView>
  </sheetViews>
  <sheetFormatPr defaultRowHeight="15" x14ac:dyDescent="0.25"/>
  <cols>
    <col min="1" max="1" width="16.28515625" customWidth="1"/>
    <col min="2" max="2" width="54.5703125" customWidth="1"/>
    <col min="4" max="4" width="8" customWidth="1"/>
    <col min="6" max="6" width="11.42578125" customWidth="1"/>
    <col min="7" max="7" width="8.140625" customWidth="1"/>
    <col min="8" max="8" width="19.5703125" customWidth="1"/>
    <col min="10" max="10" width="9.140625" style="31" customWidth="1"/>
    <col min="11" max="12" width="9.140625" customWidth="1"/>
    <col min="13" max="13" width="10.7109375" customWidth="1"/>
    <col min="14" max="14" width="9.140625" style="31" customWidth="1"/>
    <col min="15" max="15" width="12.42578125" customWidth="1"/>
    <col min="16" max="16" width="9.140625" customWidth="1"/>
    <col min="17" max="17" width="11.85546875" customWidth="1"/>
    <col min="18" max="18" width="9.140625" style="31" customWidth="1"/>
    <col min="19" max="19" width="14.85546875" customWidth="1"/>
    <col min="20" max="20" width="13" customWidth="1"/>
    <col min="21" max="21" width="9.140625" style="31" customWidth="1"/>
    <col min="22" max="22" width="9.140625" style="31"/>
    <col min="26" max="26" width="9.140625" style="31"/>
  </cols>
  <sheetData>
    <row r="1" spans="1:27" ht="18" thickBot="1" x14ac:dyDescent="0.35">
      <c r="A1" s="247" t="s">
        <v>1432</v>
      </c>
      <c r="J1"/>
      <c r="N1"/>
      <c r="R1"/>
      <c r="U1"/>
      <c r="V1"/>
      <c r="Z1"/>
    </row>
    <row r="2" spans="1:27" s="250" customFormat="1" ht="15.75" customHeight="1" thickTop="1" x14ac:dyDescent="0.25">
      <c r="A2" s="276" t="s">
        <v>1451</v>
      </c>
      <c r="B2" s="276" t="s">
        <v>1452</v>
      </c>
      <c r="C2" s="276" t="s">
        <v>1453</v>
      </c>
      <c r="D2" s="282" t="s">
        <v>1454</v>
      </c>
      <c r="E2" s="282" t="s">
        <v>1455</v>
      </c>
      <c r="F2" s="276" t="s">
        <v>1456</v>
      </c>
      <c r="G2" s="227" t="s">
        <v>1457</v>
      </c>
      <c r="H2" s="276" t="s">
        <v>1458</v>
      </c>
      <c r="I2" s="278" t="s">
        <v>1459</v>
      </c>
      <c r="J2" s="248" t="s">
        <v>1460</v>
      </c>
      <c r="K2" s="249"/>
      <c r="L2" s="249"/>
      <c r="M2" s="249"/>
      <c r="N2" s="248" t="s">
        <v>1461</v>
      </c>
      <c r="O2" s="249"/>
      <c r="P2" s="249"/>
      <c r="Q2" s="249"/>
      <c r="R2" s="248" t="s">
        <v>1462</v>
      </c>
      <c r="S2" s="249"/>
      <c r="T2" s="249"/>
      <c r="U2" s="248" t="s">
        <v>1463</v>
      </c>
      <c r="V2" s="248" t="s">
        <v>1464</v>
      </c>
      <c r="Y2" s="249"/>
      <c r="Z2" s="280" t="s">
        <v>1465</v>
      </c>
      <c r="AA2" s="249"/>
    </row>
    <row r="3" spans="1:27" s="253" customFormat="1" ht="15.75" thickBot="1" x14ac:dyDescent="0.3">
      <c r="A3" s="277"/>
      <c r="B3" s="277"/>
      <c r="C3" s="277"/>
      <c r="D3" s="283"/>
      <c r="E3" s="283"/>
      <c r="F3" s="277"/>
      <c r="G3" s="251"/>
      <c r="H3" s="277"/>
      <c r="I3" s="279"/>
      <c r="J3" s="252" t="s">
        <v>1466</v>
      </c>
      <c r="K3" s="253" t="s">
        <v>1467</v>
      </c>
      <c r="L3" s="253" t="s">
        <v>29</v>
      </c>
      <c r="M3" s="253" t="s">
        <v>1468</v>
      </c>
      <c r="N3" s="252" t="s">
        <v>1466</v>
      </c>
      <c r="O3" s="253" t="s">
        <v>1467</v>
      </c>
      <c r="P3" s="253" t="s">
        <v>29</v>
      </c>
      <c r="Q3" s="253" t="s">
        <v>1468</v>
      </c>
      <c r="R3" s="252" t="s">
        <v>1467</v>
      </c>
      <c r="S3" s="253" t="s">
        <v>29</v>
      </c>
      <c r="T3" s="253" t="s">
        <v>1468</v>
      </c>
      <c r="U3" s="252"/>
      <c r="V3" s="252" t="s">
        <v>1015</v>
      </c>
      <c r="W3" s="253" t="s">
        <v>901</v>
      </c>
      <c r="X3" s="253" t="s">
        <v>902</v>
      </c>
      <c r="Y3" s="253" t="s">
        <v>1469</v>
      </c>
      <c r="Z3" s="281"/>
    </row>
    <row r="4" spans="1:27" ht="15.75" thickTop="1" x14ac:dyDescent="0.25">
      <c r="A4" s="29" t="s">
        <v>3</v>
      </c>
      <c r="B4" t="s">
        <v>1433</v>
      </c>
      <c r="J4"/>
      <c r="N4"/>
      <c r="R4"/>
      <c r="U4"/>
      <c r="V4"/>
      <c r="Z4"/>
    </row>
    <row r="5" spans="1:27" x14ac:dyDescent="0.25">
      <c r="A5" s="29"/>
      <c r="B5" t="s">
        <v>1434</v>
      </c>
      <c r="J5"/>
      <c r="N5"/>
      <c r="R5"/>
      <c r="U5"/>
      <c r="V5"/>
      <c r="Z5"/>
    </row>
    <row r="6" spans="1:27" x14ac:dyDescent="0.25">
      <c r="A6" s="29"/>
      <c r="B6" t="s">
        <v>1435</v>
      </c>
      <c r="J6"/>
      <c r="N6"/>
      <c r="R6"/>
      <c r="U6"/>
      <c r="V6"/>
      <c r="Z6"/>
    </row>
    <row r="7" spans="1:27" x14ac:dyDescent="0.25">
      <c r="A7" s="1"/>
      <c r="B7" t="s">
        <v>1436</v>
      </c>
      <c r="J7"/>
      <c r="N7"/>
      <c r="R7"/>
      <c r="U7"/>
      <c r="V7"/>
      <c r="Z7"/>
    </row>
    <row r="8" spans="1:27" x14ac:dyDescent="0.25">
      <c r="A8" s="1"/>
      <c r="B8" t="s">
        <v>1437</v>
      </c>
      <c r="J8"/>
      <c r="N8"/>
      <c r="R8"/>
      <c r="U8"/>
      <c r="V8"/>
      <c r="Z8"/>
    </row>
    <row r="9" spans="1:27" x14ac:dyDescent="0.25">
      <c r="A9" s="1"/>
      <c r="B9" s="165" t="s">
        <v>1438</v>
      </c>
      <c r="J9"/>
      <c r="N9"/>
      <c r="R9"/>
      <c r="U9"/>
      <c r="V9"/>
      <c r="Z9"/>
    </row>
    <row r="10" spans="1:27" x14ac:dyDescent="0.25">
      <c r="A10" s="29" t="s">
        <v>10</v>
      </c>
      <c r="B10" s="144" t="s">
        <v>11</v>
      </c>
      <c r="H10" s="29" t="s">
        <v>1439</v>
      </c>
      <c r="I10" t="s">
        <v>1440</v>
      </c>
      <c r="J10"/>
      <c r="N10"/>
      <c r="R10"/>
      <c r="U10"/>
      <c r="V10"/>
      <c r="Z10"/>
    </row>
    <row r="11" spans="1:27" x14ac:dyDescent="0.25">
      <c r="A11" s="1"/>
      <c r="B11" s="144" t="s">
        <v>1441</v>
      </c>
      <c r="I11" t="s">
        <v>1442</v>
      </c>
      <c r="J11"/>
      <c r="N11"/>
      <c r="R11"/>
      <c r="U11"/>
      <c r="V11"/>
      <c r="Z11"/>
    </row>
    <row r="12" spans="1:27" x14ac:dyDescent="0.25">
      <c r="A12" s="29" t="s">
        <v>14</v>
      </c>
      <c r="B12" t="s">
        <v>1443</v>
      </c>
      <c r="I12" t="s">
        <v>1444</v>
      </c>
      <c r="J12"/>
      <c r="N12"/>
      <c r="R12"/>
      <c r="U12"/>
      <c r="V12"/>
      <c r="Z12"/>
    </row>
    <row r="13" spans="1:27" x14ac:dyDescent="0.25">
      <c r="A13" s="29" t="s">
        <v>17</v>
      </c>
      <c r="B13" t="s">
        <v>1445</v>
      </c>
      <c r="I13" t="s">
        <v>2199</v>
      </c>
      <c r="J13"/>
      <c r="N13"/>
      <c r="R13"/>
      <c r="U13"/>
      <c r="V13"/>
      <c r="Z13"/>
    </row>
    <row r="14" spans="1:27" x14ac:dyDescent="0.25">
      <c r="A14" s="29" t="s">
        <v>19</v>
      </c>
      <c r="B14" t="s">
        <v>1446</v>
      </c>
      <c r="I14" t="s">
        <v>1447</v>
      </c>
      <c r="J14"/>
      <c r="N14"/>
      <c r="R14"/>
      <c r="U14"/>
      <c r="V14"/>
      <c r="Z14"/>
    </row>
    <row r="15" spans="1:27" x14ac:dyDescent="0.25">
      <c r="A15" s="29"/>
      <c r="B15" t="s">
        <v>1448</v>
      </c>
      <c r="I15" t="s">
        <v>1449</v>
      </c>
      <c r="J15"/>
      <c r="N15"/>
      <c r="R15"/>
      <c r="U15"/>
      <c r="V15"/>
      <c r="Z15"/>
    </row>
    <row r="16" spans="1:27" x14ac:dyDescent="0.25">
      <c r="A16" s="29"/>
      <c r="B16" t="s">
        <v>2084</v>
      </c>
      <c r="J16"/>
      <c r="N16"/>
      <c r="R16"/>
      <c r="U16"/>
      <c r="V16"/>
      <c r="Z16"/>
    </row>
    <row r="17" spans="1:27" s="25" customFormat="1" ht="15.75" thickBot="1" x14ac:dyDescent="0.3">
      <c r="A17" s="30"/>
      <c r="B17" s="25" t="s">
        <v>1450</v>
      </c>
    </row>
    <row r="18" spans="1:27" s="250" customFormat="1" ht="15.75" customHeight="1" thickTop="1" x14ac:dyDescent="0.25">
      <c r="A18" s="276" t="s">
        <v>1451</v>
      </c>
      <c r="B18" s="276" t="s">
        <v>1452</v>
      </c>
      <c r="C18" s="276" t="s">
        <v>1453</v>
      </c>
      <c r="D18" s="282" t="s">
        <v>1454</v>
      </c>
      <c r="E18" s="282" t="s">
        <v>1455</v>
      </c>
      <c r="F18" s="276" t="s">
        <v>1456</v>
      </c>
      <c r="G18" s="227" t="s">
        <v>1457</v>
      </c>
      <c r="H18" s="276" t="s">
        <v>1458</v>
      </c>
      <c r="I18" s="278" t="s">
        <v>1459</v>
      </c>
      <c r="J18" s="248" t="s">
        <v>1460</v>
      </c>
      <c r="K18" s="249"/>
      <c r="L18" s="249"/>
      <c r="M18" s="249"/>
      <c r="N18" s="248" t="s">
        <v>1461</v>
      </c>
      <c r="O18" s="249"/>
      <c r="P18" s="249"/>
      <c r="Q18" s="249"/>
      <c r="R18" s="248" t="s">
        <v>1462</v>
      </c>
      <c r="S18" s="249"/>
      <c r="T18" s="249"/>
      <c r="U18" s="248" t="s">
        <v>1463</v>
      </c>
      <c r="V18" s="248" t="s">
        <v>1464</v>
      </c>
      <c r="Y18" s="249"/>
      <c r="Z18" s="280" t="s">
        <v>1465</v>
      </c>
      <c r="AA18" s="249"/>
    </row>
    <row r="19" spans="1:27" s="253" customFormat="1" ht="15.75" thickBot="1" x14ac:dyDescent="0.3">
      <c r="A19" s="277"/>
      <c r="B19" s="277"/>
      <c r="C19" s="277"/>
      <c r="D19" s="283"/>
      <c r="E19" s="283"/>
      <c r="F19" s="277"/>
      <c r="G19" s="251"/>
      <c r="H19" s="277"/>
      <c r="I19" s="279"/>
      <c r="J19" s="252" t="s">
        <v>1466</v>
      </c>
      <c r="K19" s="253" t="s">
        <v>1467</v>
      </c>
      <c r="L19" s="253" t="s">
        <v>29</v>
      </c>
      <c r="M19" s="253" t="s">
        <v>1468</v>
      </c>
      <c r="N19" s="252" t="s">
        <v>1466</v>
      </c>
      <c r="O19" s="253" t="s">
        <v>1467</v>
      </c>
      <c r="P19" s="253" t="s">
        <v>29</v>
      </c>
      <c r="Q19" s="253" t="s">
        <v>1468</v>
      </c>
      <c r="R19" s="252" t="s">
        <v>1467</v>
      </c>
      <c r="S19" s="253" t="s">
        <v>29</v>
      </c>
      <c r="T19" s="253" t="s">
        <v>1468</v>
      </c>
      <c r="U19" s="252"/>
      <c r="V19" s="252" t="s">
        <v>1015</v>
      </c>
      <c r="W19" s="253" t="s">
        <v>901</v>
      </c>
      <c r="X19" s="253" t="s">
        <v>902</v>
      </c>
      <c r="Y19" s="253" t="s">
        <v>1469</v>
      </c>
      <c r="Z19" s="281"/>
    </row>
    <row r="20" spans="1:27" s="4" customFormat="1" ht="15.75" thickTop="1" x14ac:dyDescent="0.25">
      <c r="A20" s="36" t="s">
        <v>1470</v>
      </c>
      <c r="B20" s="37"/>
      <c r="C20" s="37"/>
      <c r="D20" s="202"/>
      <c r="E20" s="202"/>
      <c r="F20" s="37"/>
      <c r="G20" s="203"/>
      <c r="H20" s="37"/>
      <c r="I20" s="204"/>
      <c r="J20" s="205"/>
      <c r="K20" s="129"/>
      <c r="L20" s="129"/>
      <c r="M20" s="129"/>
      <c r="N20" s="205"/>
      <c r="O20" s="129"/>
      <c r="P20" s="129"/>
      <c r="Q20" s="129"/>
      <c r="R20" s="205"/>
      <c r="S20" s="129"/>
      <c r="T20" s="129"/>
      <c r="U20" s="205"/>
      <c r="V20" s="205"/>
      <c r="W20" s="129"/>
      <c r="X20" s="129"/>
      <c r="Y20" s="129"/>
      <c r="Z20" s="206"/>
    </row>
    <row r="21" spans="1:27" s="4" customFormat="1" x14ac:dyDescent="0.25">
      <c r="A21" t="s">
        <v>1540</v>
      </c>
      <c r="B21" t="s">
        <v>1541</v>
      </c>
      <c r="C21" s="13" t="s">
        <v>1542</v>
      </c>
      <c r="D21" s="13" t="s">
        <v>1473</v>
      </c>
      <c r="E21" s="13" t="s">
        <v>1474</v>
      </c>
      <c r="F21" s="15">
        <v>38786</v>
      </c>
      <c r="G21" s="38">
        <f t="shared" ref="G21:G52" si="0">YEAR(F21)</f>
        <v>2006</v>
      </c>
      <c r="H21" t="s">
        <v>1543</v>
      </c>
      <c r="I21" s="17"/>
      <c r="J21" s="33" t="s">
        <v>1544</v>
      </c>
      <c r="K21" s="4">
        <v>6</v>
      </c>
      <c r="L21" s="4">
        <v>0</v>
      </c>
      <c r="M21" s="4">
        <v>0</v>
      </c>
      <c r="N21" s="33"/>
      <c r="O21" s="4">
        <v>2</v>
      </c>
      <c r="P21">
        <v>0</v>
      </c>
      <c r="Q21">
        <v>0</v>
      </c>
      <c r="R21" s="31">
        <f t="shared" ref="R21:R46" si="1">O21-K21</f>
        <v>-4</v>
      </c>
      <c r="S21">
        <f t="shared" ref="S21:S46" si="2">P21-L21</f>
        <v>0</v>
      </c>
      <c r="T21">
        <f t="shared" ref="T21:T46" si="3">Q21-M21</f>
        <v>0</v>
      </c>
      <c r="U21" s="31"/>
      <c r="V21" s="33">
        <v>115</v>
      </c>
      <c r="W21" s="4">
        <v>0</v>
      </c>
      <c r="X21" s="4">
        <v>115</v>
      </c>
      <c r="Y21" s="4">
        <v>115</v>
      </c>
      <c r="Z21" s="201" t="s">
        <v>1545</v>
      </c>
    </row>
    <row r="22" spans="1:27" s="4" customFormat="1" x14ac:dyDescent="0.25">
      <c r="A22" t="s">
        <v>1540</v>
      </c>
      <c r="B22" t="s">
        <v>1546</v>
      </c>
      <c r="C22" s="13" t="s">
        <v>1542</v>
      </c>
      <c r="D22" s="13" t="s">
        <v>1473</v>
      </c>
      <c r="E22" s="13" t="s">
        <v>1474</v>
      </c>
      <c r="F22" s="15">
        <v>38786</v>
      </c>
      <c r="G22" s="38">
        <f t="shared" si="0"/>
        <v>2006</v>
      </c>
      <c r="H22" t="s">
        <v>1547</v>
      </c>
      <c r="I22" s="17"/>
      <c r="J22" s="33" t="s">
        <v>1544</v>
      </c>
      <c r="K22" s="4">
        <v>6</v>
      </c>
      <c r="L22" s="4">
        <v>0</v>
      </c>
      <c r="M22" s="4">
        <v>0</v>
      </c>
      <c r="N22" s="33"/>
      <c r="O22" s="4">
        <v>2</v>
      </c>
      <c r="P22">
        <v>0</v>
      </c>
      <c r="Q22">
        <v>0</v>
      </c>
      <c r="R22" s="31">
        <f t="shared" si="1"/>
        <v>-4</v>
      </c>
      <c r="S22">
        <f t="shared" si="2"/>
        <v>0</v>
      </c>
      <c r="T22">
        <f t="shared" si="3"/>
        <v>0</v>
      </c>
      <c r="U22" s="31"/>
      <c r="V22" s="33">
        <v>115</v>
      </c>
      <c r="W22" s="4">
        <v>0</v>
      </c>
      <c r="X22" s="4">
        <v>115</v>
      </c>
      <c r="Y22" s="4">
        <v>115</v>
      </c>
      <c r="Z22" s="201" t="s">
        <v>1548</v>
      </c>
    </row>
    <row r="23" spans="1:27" s="4" customFormat="1" x14ac:dyDescent="0.25">
      <c r="A23" t="s">
        <v>1540</v>
      </c>
      <c r="B23" t="s">
        <v>1549</v>
      </c>
      <c r="C23" s="13" t="s">
        <v>1542</v>
      </c>
      <c r="D23" s="13" t="s">
        <v>1473</v>
      </c>
      <c r="E23" s="13" t="s">
        <v>1474</v>
      </c>
      <c r="F23" s="15">
        <v>38786</v>
      </c>
      <c r="G23" s="38">
        <f t="shared" si="0"/>
        <v>2006</v>
      </c>
      <c r="H23" t="s">
        <v>1550</v>
      </c>
      <c r="I23" s="17"/>
      <c r="J23" s="33" t="s">
        <v>1544</v>
      </c>
      <c r="K23" s="4">
        <v>6</v>
      </c>
      <c r="L23" s="4">
        <v>0</v>
      </c>
      <c r="M23" s="4">
        <v>0</v>
      </c>
      <c r="N23" s="33"/>
      <c r="O23" s="4">
        <v>2</v>
      </c>
      <c r="P23">
        <v>0</v>
      </c>
      <c r="Q23">
        <v>0</v>
      </c>
      <c r="R23" s="31">
        <f t="shared" si="1"/>
        <v>-4</v>
      </c>
      <c r="S23">
        <f t="shared" si="2"/>
        <v>0</v>
      </c>
      <c r="T23">
        <f t="shared" si="3"/>
        <v>0</v>
      </c>
      <c r="U23" s="31"/>
      <c r="V23" s="33">
        <v>115</v>
      </c>
      <c r="W23" s="4">
        <v>21.1</v>
      </c>
      <c r="X23" s="4">
        <v>115</v>
      </c>
      <c r="Y23" s="4">
        <v>115</v>
      </c>
      <c r="Z23" s="201" t="s">
        <v>1551</v>
      </c>
    </row>
    <row r="24" spans="1:27" s="4" customFormat="1" x14ac:dyDescent="0.25">
      <c r="A24" t="s">
        <v>1540</v>
      </c>
      <c r="B24" t="s">
        <v>1552</v>
      </c>
      <c r="C24" s="13" t="s">
        <v>1542</v>
      </c>
      <c r="D24" s="13" t="s">
        <v>1473</v>
      </c>
      <c r="E24" s="13" t="s">
        <v>1474</v>
      </c>
      <c r="F24" s="15">
        <v>38786</v>
      </c>
      <c r="G24" s="38">
        <f t="shared" si="0"/>
        <v>2006</v>
      </c>
      <c r="H24" t="s">
        <v>1553</v>
      </c>
      <c r="I24" s="17"/>
      <c r="J24" s="33" t="s">
        <v>1544</v>
      </c>
      <c r="K24" s="4">
        <v>21</v>
      </c>
      <c r="L24" s="4">
        <v>0</v>
      </c>
      <c r="M24" s="4">
        <v>0</v>
      </c>
      <c r="N24" s="33"/>
      <c r="O24" s="4">
        <v>2</v>
      </c>
      <c r="P24">
        <v>0</v>
      </c>
      <c r="Q24">
        <v>0</v>
      </c>
      <c r="R24" s="31">
        <f t="shared" si="1"/>
        <v>-19</v>
      </c>
      <c r="S24">
        <f t="shared" si="2"/>
        <v>0</v>
      </c>
      <c r="T24">
        <f t="shared" si="3"/>
        <v>0</v>
      </c>
      <c r="U24" s="31"/>
      <c r="V24" s="33">
        <v>162</v>
      </c>
      <c r="W24" s="4">
        <v>101.9</v>
      </c>
      <c r="X24" s="4">
        <v>162</v>
      </c>
      <c r="Y24" s="4">
        <v>162</v>
      </c>
      <c r="Z24" s="201" t="s">
        <v>1554</v>
      </c>
    </row>
    <row r="25" spans="1:27" s="4" customFormat="1" x14ac:dyDescent="0.25">
      <c r="A25" t="s">
        <v>1555</v>
      </c>
      <c r="B25" t="s">
        <v>1556</v>
      </c>
      <c r="C25" s="13" t="s">
        <v>1542</v>
      </c>
      <c r="D25" s="13" t="s">
        <v>1473</v>
      </c>
      <c r="E25" s="13" t="s">
        <v>1474</v>
      </c>
      <c r="F25" s="15">
        <v>39204</v>
      </c>
      <c r="G25" s="38">
        <f t="shared" si="0"/>
        <v>2007</v>
      </c>
      <c r="H25" s="16" t="s">
        <v>1557</v>
      </c>
      <c r="I25" s="17"/>
      <c r="J25" s="33" t="s">
        <v>1544</v>
      </c>
      <c r="L25" s="4">
        <v>0</v>
      </c>
      <c r="M25" s="4">
        <v>0</v>
      </c>
      <c r="N25" s="33"/>
      <c r="P25">
        <v>0</v>
      </c>
      <c r="Q25">
        <v>0</v>
      </c>
      <c r="R25" s="31">
        <f t="shared" si="1"/>
        <v>0</v>
      </c>
      <c r="S25">
        <f t="shared" si="2"/>
        <v>0</v>
      </c>
      <c r="T25">
        <f t="shared" si="3"/>
        <v>0</v>
      </c>
      <c r="U25" s="31"/>
      <c r="V25" s="33">
        <v>0.08</v>
      </c>
      <c r="W25" s="4">
        <v>0</v>
      </c>
      <c r="X25" s="4">
        <v>0.08</v>
      </c>
      <c r="Y25" s="4">
        <v>0</v>
      </c>
      <c r="Z25" s="201" t="s">
        <v>1558</v>
      </c>
    </row>
    <row r="26" spans="1:27" s="4" customFormat="1" x14ac:dyDescent="0.25">
      <c r="A26" t="s">
        <v>1559</v>
      </c>
      <c r="B26" t="s">
        <v>1560</v>
      </c>
      <c r="C26" s="13" t="s">
        <v>1542</v>
      </c>
      <c r="D26" s="13" t="s">
        <v>1473</v>
      </c>
      <c r="E26" s="13" t="s">
        <v>1474</v>
      </c>
      <c r="F26" s="15">
        <v>39227</v>
      </c>
      <c r="G26" s="38">
        <f t="shared" si="0"/>
        <v>2007</v>
      </c>
      <c r="H26" t="s">
        <v>1561</v>
      </c>
      <c r="I26" s="17"/>
      <c r="J26" s="33" t="s">
        <v>1544</v>
      </c>
      <c r="L26" s="4">
        <v>0</v>
      </c>
      <c r="M26" s="4">
        <v>0</v>
      </c>
      <c r="N26" s="33"/>
      <c r="P26">
        <v>0</v>
      </c>
      <c r="Q26">
        <v>0</v>
      </c>
      <c r="R26" s="31">
        <f t="shared" si="1"/>
        <v>0</v>
      </c>
      <c r="S26">
        <f t="shared" si="2"/>
        <v>0</v>
      </c>
      <c r="T26">
        <f t="shared" si="3"/>
        <v>0</v>
      </c>
      <c r="U26" s="31"/>
      <c r="V26" s="33">
        <v>14</v>
      </c>
      <c r="W26" s="4">
        <v>0</v>
      </c>
      <c r="X26" s="4">
        <v>14</v>
      </c>
      <c r="Y26" s="4">
        <v>14</v>
      </c>
      <c r="Z26" s="201" t="s">
        <v>1562</v>
      </c>
    </row>
    <row r="27" spans="1:27" s="4" customFormat="1" x14ac:dyDescent="0.25">
      <c r="A27" t="s">
        <v>1571</v>
      </c>
      <c r="B27" t="s">
        <v>1572</v>
      </c>
      <c r="C27" s="13" t="s">
        <v>1542</v>
      </c>
      <c r="D27" s="13" t="s">
        <v>1473</v>
      </c>
      <c r="E27" s="13" t="s">
        <v>1474</v>
      </c>
      <c r="F27" s="15">
        <v>39259</v>
      </c>
      <c r="G27" s="38">
        <f t="shared" si="0"/>
        <v>2007</v>
      </c>
      <c r="H27" t="s">
        <v>1573</v>
      </c>
      <c r="I27" s="17"/>
      <c r="J27" s="33" t="s">
        <v>1544</v>
      </c>
      <c r="K27" s="4">
        <v>17</v>
      </c>
      <c r="L27" s="4">
        <v>0</v>
      </c>
      <c r="M27" s="4">
        <v>0</v>
      </c>
      <c r="N27" s="33"/>
      <c r="O27" s="4">
        <v>4</v>
      </c>
      <c r="P27">
        <v>0</v>
      </c>
      <c r="Q27">
        <v>0</v>
      </c>
      <c r="R27" s="31">
        <f t="shared" si="1"/>
        <v>-13</v>
      </c>
      <c r="S27">
        <f t="shared" si="2"/>
        <v>0</v>
      </c>
      <c r="T27">
        <f t="shared" si="3"/>
        <v>0</v>
      </c>
      <c r="U27" s="31"/>
      <c r="V27" s="33">
        <v>136.5</v>
      </c>
      <c r="W27" s="4">
        <v>12.29</v>
      </c>
      <c r="X27" s="4">
        <v>136.5</v>
      </c>
      <c r="Y27" s="4">
        <v>136.5</v>
      </c>
      <c r="Z27" s="201" t="s">
        <v>1574</v>
      </c>
    </row>
    <row r="28" spans="1:27" s="4" customFormat="1" x14ac:dyDescent="0.25">
      <c r="A28" t="s">
        <v>1563</v>
      </c>
      <c r="B28" t="s">
        <v>1564</v>
      </c>
      <c r="C28" s="13" t="s">
        <v>1542</v>
      </c>
      <c r="D28" s="13" t="s">
        <v>1473</v>
      </c>
      <c r="E28" s="13" t="s">
        <v>1474</v>
      </c>
      <c r="F28" s="15">
        <v>39279</v>
      </c>
      <c r="G28" s="38">
        <f t="shared" si="0"/>
        <v>2007</v>
      </c>
      <c r="H28" t="s">
        <v>1565</v>
      </c>
      <c r="I28" s="17"/>
      <c r="J28" s="33" t="s">
        <v>1544</v>
      </c>
      <c r="K28" s="4">
        <v>3</v>
      </c>
      <c r="L28" s="4">
        <v>0</v>
      </c>
      <c r="M28" s="4">
        <v>0</v>
      </c>
      <c r="N28" s="33"/>
      <c r="O28" s="4">
        <v>1</v>
      </c>
      <c r="P28">
        <v>0</v>
      </c>
      <c r="Q28">
        <v>0</v>
      </c>
      <c r="R28" s="31">
        <f t="shared" si="1"/>
        <v>-2</v>
      </c>
      <c r="S28">
        <f t="shared" si="2"/>
        <v>0</v>
      </c>
      <c r="T28">
        <f t="shared" si="3"/>
        <v>0</v>
      </c>
      <c r="U28" s="31"/>
      <c r="V28" s="33">
        <v>36.56</v>
      </c>
      <c r="W28" s="4">
        <v>36.56</v>
      </c>
      <c r="X28" s="4">
        <v>0</v>
      </c>
      <c r="Y28" s="4">
        <v>0</v>
      </c>
      <c r="Z28" s="201"/>
    </row>
    <row r="29" spans="1:27" s="4" customFormat="1" x14ac:dyDescent="0.25">
      <c r="A29" t="s">
        <v>1575</v>
      </c>
      <c r="B29" t="s">
        <v>1576</v>
      </c>
      <c r="C29" s="13" t="s">
        <v>1542</v>
      </c>
      <c r="D29" s="13" t="s">
        <v>1473</v>
      </c>
      <c r="E29" s="13" t="s">
        <v>1474</v>
      </c>
      <c r="F29" s="15">
        <v>39294</v>
      </c>
      <c r="G29" s="38">
        <f t="shared" si="0"/>
        <v>2007</v>
      </c>
      <c r="H29" t="s">
        <v>1577</v>
      </c>
      <c r="I29" s="17"/>
      <c r="J29" s="33" t="s">
        <v>1544</v>
      </c>
      <c r="K29" s="4">
        <v>3</v>
      </c>
      <c r="L29" s="4">
        <v>0</v>
      </c>
      <c r="M29" s="4">
        <v>0</v>
      </c>
      <c r="N29" s="33"/>
      <c r="O29" s="4">
        <v>3</v>
      </c>
      <c r="P29">
        <v>0</v>
      </c>
      <c r="Q29">
        <v>0</v>
      </c>
      <c r="R29" s="31">
        <f t="shared" si="1"/>
        <v>0</v>
      </c>
      <c r="S29">
        <f t="shared" si="2"/>
        <v>0</v>
      </c>
      <c r="T29">
        <f t="shared" si="3"/>
        <v>0</v>
      </c>
      <c r="U29" s="31"/>
      <c r="V29" s="33">
        <v>49.73</v>
      </c>
      <c r="W29" s="4">
        <v>49.73</v>
      </c>
      <c r="X29" s="4">
        <v>0</v>
      </c>
      <c r="Y29" s="4">
        <v>0</v>
      </c>
      <c r="Z29" s="201" t="s">
        <v>1578</v>
      </c>
    </row>
    <row r="30" spans="1:27" s="4" customFormat="1" x14ac:dyDescent="0.25">
      <c r="A30" t="s">
        <v>1579</v>
      </c>
      <c r="B30" t="s">
        <v>1580</v>
      </c>
      <c r="C30" s="13" t="s">
        <v>1542</v>
      </c>
      <c r="D30" s="13" t="s">
        <v>1473</v>
      </c>
      <c r="E30" s="13" t="s">
        <v>1474</v>
      </c>
      <c r="F30" s="15">
        <v>39302</v>
      </c>
      <c r="G30" s="38">
        <f t="shared" si="0"/>
        <v>2007</v>
      </c>
      <c r="H30" t="s">
        <v>1581</v>
      </c>
      <c r="I30" s="17"/>
      <c r="J30" s="33" t="s">
        <v>1544</v>
      </c>
      <c r="L30" s="4">
        <v>0</v>
      </c>
      <c r="M30" s="4">
        <v>0</v>
      </c>
      <c r="N30" s="33"/>
      <c r="P30">
        <v>0</v>
      </c>
      <c r="Q30">
        <v>0</v>
      </c>
      <c r="R30" s="31">
        <f t="shared" si="1"/>
        <v>0</v>
      </c>
      <c r="S30">
        <f t="shared" si="2"/>
        <v>0</v>
      </c>
      <c r="T30">
        <f t="shared" si="3"/>
        <v>0</v>
      </c>
      <c r="U30" s="31"/>
      <c r="V30" s="33">
        <v>1320</v>
      </c>
      <c r="W30" s="4">
        <v>201.97</v>
      </c>
      <c r="X30" s="4">
        <v>607.37</v>
      </c>
      <c r="Y30" s="4">
        <v>1320</v>
      </c>
      <c r="Z30" s="201" t="s">
        <v>1582</v>
      </c>
    </row>
    <row r="31" spans="1:27" s="4" customFormat="1" x14ac:dyDescent="0.25">
      <c r="A31" t="s">
        <v>1583</v>
      </c>
      <c r="B31" t="s">
        <v>1584</v>
      </c>
      <c r="C31" s="13" t="s">
        <v>1542</v>
      </c>
      <c r="D31" s="13" t="s">
        <v>1473</v>
      </c>
      <c r="E31" s="13" t="s">
        <v>1474</v>
      </c>
      <c r="F31" s="15">
        <v>39302</v>
      </c>
      <c r="G31" s="38">
        <f t="shared" si="0"/>
        <v>2007</v>
      </c>
      <c r="H31" t="s">
        <v>1585</v>
      </c>
      <c r="I31" s="17"/>
      <c r="J31" s="33" t="s">
        <v>1544</v>
      </c>
      <c r="L31" s="4">
        <v>0</v>
      </c>
      <c r="M31" s="4">
        <v>0</v>
      </c>
      <c r="N31" s="33"/>
      <c r="P31">
        <v>0</v>
      </c>
      <c r="Q31">
        <v>0</v>
      </c>
      <c r="R31" s="31">
        <f t="shared" si="1"/>
        <v>0</v>
      </c>
      <c r="S31">
        <f t="shared" si="2"/>
        <v>0</v>
      </c>
      <c r="T31">
        <f t="shared" si="3"/>
        <v>0</v>
      </c>
      <c r="U31" s="31"/>
      <c r="V31" s="33">
        <v>246.36</v>
      </c>
      <c r="W31" s="4">
        <v>0</v>
      </c>
      <c r="X31" s="4">
        <v>246.36</v>
      </c>
      <c r="Y31" s="4">
        <v>0</v>
      </c>
      <c r="Z31" s="201" t="s">
        <v>1586</v>
      </c>
    </row>
    <row r="32" spans="1:27" s="4" customFormat="1" x14ac:dyDescent="0.25">
      <c r="A32" t="s">
        <v>1587</v>
      </c>
      <c r="B32" t="s">
        <v>1588</v>
      </c>
      <c r="C32" s="13" t="s">
        <v>1542</v>
      </c>
      <c r="D32" s="13" t="s">
        <v>1473</v>
      </c>
      <c r="E32" s="13"/>
      <c r="F32" s="15">
        <v>39302</v>
      </c>
      <c r="G32" s="38">
        <f t="shared" si="0"/>
        <v>2007</v>
      </c>
      <c r="H32" t="s">
        <v>1589</v>
      </c>
      <c r="I32" s="17"/>
      <c r="J32" s="33" t="s">
        <v>1544</v>
      </c>
      <c r="L32" s="4">
        <v>0</v>
      </c>
      <c r="M32" s="4">
        <v>0</v>
      </c>
      <c r="N32" s="33"/>
      <c r="P32">
        <v>0</v>
      </c>
      <c r="Q32">
        <v>0</v>
      </c>
      <c r="R32" s="31">
        <f t="shared" si="1"/>
        <v>0</v>
      </c>
      <c r="S32">
        <f t="shared" si="2"/>
        <v>0</v>
      </c>
      <c r="T32">
        <f t="shared" si="3"/>
        <v>0</v>
      </c>
      <c r="U32" s="31"/>
      <c r="V32" s="33">
        <v>12.41</v>
      </c>
      <c r="W32" s="4">
        <v>0</v>
      </c>
      <c r="X32" s="4">
        <v>12.41</v>
      </c>
      <c r="Y32" s="4">
        <v>0</v>
      </c>
      <c r="Z32" s="201" t="s">
        <v>1586</v>
      </c>
    </row>
    <row r="33" spans="1:26" s="4" customFormat="1" x14ac:dyDescent="0.25">
      <c r="A33" t="s">
        <v>1590</v>
      </c>
      <c r="B33" t="s">
        <v>1591</v>
      </c>
      <c r="C33" s="13" t="s">
        <v>1542</v>
      </c>
      <c r="D33" s="13" t="s">
        <v>1473</v>
      </c>
      <c r="E33" s="13" t="s">
        <v>1474</v>
      </c>
      <c r="F33" s="15">
        <v>39370</v>
      </c>
      <c r="G33" s="38">
        <f t="shared" si="0"/>
        <v>2007</v>
      </c>
      <c r="H33" t="s">
        <v>1592</v>
      </c>
      <c r="I33" s="17"/>
      <c r="J33" s="33" t="s">
        <v>1593</v>
      </c>
      <c r="K33" s="4">
        <v>3</v>
      </c>
      <c r="L33" s="4">
        <v>0</v>
      </c>
      <c r="M33" s="4">
        <v>0</v>
      </c>
      <c r="N33" s="33"/>
      <c r="O33" s="4">
        <v>0</v>
      </c>
      <c r="P33">
        <v>0</v>
      </c>
      <c r="Q33">
        <v>0</v>
      </c>
      <c r="R33" s="31">
        <f t="shared" si="1"/>
        <v>-3</v>
      </c>
      <c r="S33">
        <f t="shared" si="2"/>
        <v>0</v>
      </c>
      <c r="T33">
        <f t="shared" si="3"/>
        <v>0</v>
      </c>
      <c r="U33" s="31"/>
      <c r="V33" s="33">
        <v>10.9</v>
      </c>
      <c r="W33" s="4">
        <v>0</v>
      </c>
      <c r="X33" s="4">
        <v>0</v>
      </c>
      <c r="Y33" s="4">
        <v>0</v>
      </c>
      <c r="Z33" s="201"/>
    </row>
    <row r="34" spans="1:26" s="4" customFormat="1" x14ac:dyDescent="0.25">
      <c r="A34" t="s">
        <v>1594</v>
      </c>
      <c r="B34" t="s">
        <v>1595</v>
      </c>
      <c r="C34" s="13" t="s">
        <v>1542</v>
      </c>
      <c r="D34" s="13" t="s">
        <v>1473</v>
      </c>
      <c r="E34" s="13" t="s">
        <v>1474</v>
      </c>
      <c r="F34" s="15">
        <v>39442</v>
      </c>
      <c r="G34" s="38">
        <f t="shared" si="0"/>
        <v>2007</v>
      </c>
      <c r="H34" t="s">
        <v>1596</v>
      </c>
      <c r="I34" s="17"/>
      <c r="J34" s="33" t="s">
        <v>1544</v>
      </c>
      <c r="K34" s="4">
        <v>2</v>
      </c>
      <c r="L34" s="4">
        <v>0</v>
      </c>
      <c r="M34" s="4">
        <v>0</v>
      </c>
      <c r="N34" s="33"/>
      <c r="O34" s="4">
        <v>0</v>
      </c>
      <c r="P34">
        <v>0</v>
      </c>
      <c r="Q34">
        <v>0</v>
      </c>
      <c r="R34" s="31">
        <f t="shared" si="1"/>
        <v>-2</v>
      </c>
      <c r="S34">
        <f t="shared" si="2"/>
        <v>0</v>
      </c>
      <c r="T34">
        <f t="shared" si="3"/>
        <v>0</v>
      </c>
      <c r="U34" s="31"/>
      <c r="V34" s="33">
        <v>35.89</v>
      </c>
      <c r="W34" s="4">
        <v>35.89</v>
      </c>
      <c r="X34" s="4">
        <v>0</v>
      </c>
      <c r="Y34" s="4">
        <v>0</v>
      </c>
      <c r="Z34" s="201" t="s">
        <v>1597</v>
      </c>
    </row>
    <row r="35" spans="1:26" s="4" customFormat="1" x14ac:dyDescent="0.25">
      <c r="A35" t="s">
        <v>1598</v>
      </c>
      <c r="B35" t="s">
        <v>1599</v>
      </c>
      <c r="C35" s="13" t="s">
        <v>1542</v>
      </c>
      <c r="D35" s="13" t="s">
        <v>1473</v>
      </c>
      <c r="E35" s="13" t="s">
        <v>1474</v>
      </c>
      <c r="F35" s="15">
        <v>39442</v>
      </c>
      <c r="G35" s="38">
        <f t="shared" si="0"/>
        <v>2007</v>
      </c>
      <c r="H35" t="s">
        <v>1600</v>
      </c>
      <c r="I35" s="17"/>
      <c r="J35" s="33" t="s">
        <v>1544</v>
      </c>
      <c r="K35" s="4">
        <v>27</v>
      </c>
      <c r="L35" s="4">
        <v>0</v>
      </c>
      <c r="M35" s="4">
        <v>0</v>
      </c>
      <c r="N35" s="33"/>
      <c r="O35" s="4">
        <v>1</v>
      </c>
      <c r="P35">
        <v>0</v>
      </c>
      <c r="Q35">
        <v>0</v>
      </c>
      <c r="R35" s="31">
        <f t="shared" si="1"/>
        <v>-26</v>
      </c>
      <c r="S35">
        <f t="shared" si="2"/>
        <v>0</v>
      </c>
      <c r="T35">
        <f t="shared" si="3"/>
        <v>0</v>
      </c>
      <c r="U35" s="31"/>
      <c r="V35" s="33">
        <v>158.78</v>
      </c>
      <c r="W35" s="4">
        <v>158.78</v>
      </c>
      <c r="X35" s="4">
        <v>0</v>
      </c>
      <c r="Y35" s="4">
        <v>158.78</v>
      </c>
      <c r="Z35" s="201" t="s">
        <v>1601</v>
      </c>
    </row>
    <row r="36" spans="1:26" s="4" customFormat="1" x14ac:dyDescent="0.25">
      <c r="A36" t="s">
        <v>1602</v>
      </c>
      <c r="B36" t="s">
        <v>1603</v>
      </c>
      <c r="C36" s="13" t="s">
        <v>1542</v>
      </c>
      <c r="D36" s="13" t="s">
        <v>1473</v>
      </c>
      <c r="E36" s="13" t="s">
        <v>1474</v>
      </c>
      <c r="F36" s="15">
        <v>39444</v>
      </c>
      <c r="G36" s="38">
        <f t="shared" si="0"/>
        <v>2007</v>
      </c>
      <c r="H36" t="s">
        <v>1604</v>
      </c>
      <c r="I36" s="17"/>
      <c r="J36" s="33" t="s">
        <v>1544</v>
      </c>
      <c r="K36" s="4">
        <v>9</v>
      </c>
      <c r="L36" s="4">
        <v>0</v>
      </c>
      <c r="M36" s="4">
        <v>0</v>
      </c>
      <c r="N36" s="33"/>
      <c r="O36" s="4">
        <v>2</v>
      </c>
      <c r="P36">
        <v>0</v>
      </c>
      <c r="Q36">
        <v>0</v>
      </c>
      <c r="R36" s="31">
        <f t="shared" si="1"/>
        <v>-7</v>
      </c>
      <c r="S36">
        <f t="shared" si="2"/>
        <v>0</v>
      </c>
      <c r="T36">
        <f t="shared" si="3"/>
        <v>0</v>
      </c>
      <c r="U36" s="31"/>
      <c r="V36" s="33">
        <v>81.7</v>
      </c>
      <c r="W36" s="4">
        <v>25.12</v>
      </c>
      <c r="X36" s="4">
        <v>0</v>
      </c>
      <c r="Y36" s="4">
        <v>28.56</v>
      </c>
      <c r="Z36" s="201" t="s">
        <v>1605</v>
      </c>
    </row>
    <row r="37" spans="1:26" s="4" customFormat="1" x14ac:dyDescent="0.25">
      <c r="A37" t="s">
        <v>1606</v>
      </c>
      <c r="B37" t="s">
        <v>1607</v>
      </c>
      <c r="C37" s="13" t="s">
        <v>1542</v>
      </c>
      <c r="D37" s="13" t="s">
        <v>1473</v>
      </c>
      <c r="E37" s="13" t="s">
        <v>1474</v>
      </c>
      <c r="F37" s="15">
        <v>39447</v>
      </c>
      <c r="G37" s="38">
        <f t="shared" si="0"/>
        <v>2007</v>
      </c>
      <c r="H37" t="s">
        <v>1608</v>
      </c>
      <c r="I37" s="17"/>
      <c r="J37" s="33" t="s">
        <v>1544</v>
      </c>
      <c r="K37" s="4">
        <v>27</v>
      </c>
      <c r="L37" s="4">
        <v>0</v>
      </c>
      <c r="M37" s="4">
        <v>0</v>
      </c>
      <c r="N37" s="33"/>
      <c r="O37" s="4">
        <v>0</v>
      </c>
      <c r="P37">
        <v>0</v>
      </c>
      <c r="Q37">
        <v>0</v>
      </c>
      <c r="R37" s="31">
        <f t="shared" si="1"/>
        <v>-27</v>
      </c>
      <c r="S37">
        <f t="shared" si="2"/>
        <v>0</v>
      </c>
      <c r="T37">
        <f t="shared" si="3"/>
        <v>0</v>
      </c>
      <c r="U37" s="31"/>
      <c r="V37" s="33">
        <v>216.47</v>
      </c>
      <c r="W37" s="4">
        <v>216.47</v>
      </c>
      <c r="X37" s="4">
        <v>0</v>
      </c>
      <c r="Y37" s="4">
        <v>216.47</v>
      </c>
      <c r="Z37" s="201" t="s">
        <v>1609</v>
      </c>
    </row>
    <row r="38" spans="1:26" s="4" customFormat="1" x14ac:dyDescent="0.25">
      <c r="A38" t="s">
        <v>1610</v>
      </c>
      <c r="B38" t="s">
        <v>1611</v>
      </c>
      <c r="C38" s="13" t="s">
        <v>1542</v>
      </c>
      <c r="D38" s="13" t="s">
        <v>1473</v>
      </c>
      <c r="E38" s="13" t="s">
        <v>1474</v>
      </c>
      <c r="F38" s="15">
        <v>39447</v>
      </c>
      <c r="G38" s="38">
        <f t="shared" si="0"/>
        <v>2007</v>
      </c>
      <c r="H38" t="s">
        <v>1612</v>
      </c>
      <c r="I38" s="17"/>
      <c r="J38" s="33" t="s">
        <v>1544</v>
      </c>
      <c r="K38" s="4">
        <v>3</v>
      </c>
      <c r="L38" s="4">
        <v>0</v>
      </c>
      <c r="M38" s="4">
        <v>0</v>
      </c>
      <c r="N38" s="33"/>
      <c r="O38" s="4">
        <v>0</v>
      </c>
      <c r="P38">
        <v>0</v>
      </c>
      <c r="Q38">
        <v>0</v>
      </c>
      <c r="R38" s="31">
        <f t="shared" si="1"/>
        <v>-3</v>
      </c>
      <c r="S38">
        <f t="shared" si="2"/>
        <v>0</v>
      </c>
      <c r="T38">
        <f t="shared" si="3"/>
        <v>0</v>
      </c>
      <c r="U38" s="31"/>
      <c r="V38" s="33">
        <v>34.85</v>
      </c>
      <c r="W38" s="4">
        <v>34.85</v>
      </c>
      <c r="X38" s="4">
        <v>0</v>
      </c>
      <c r="Y38" s="4">
        <v>34.85</v>
      </c>
      <c r="Z38" s="201" t="s">
        <v>1613</v>
      </c>
    </row>
    <row r="39" spans="1:26" s="4" customFormat="1" x14ac:dyDescent="0.25">
      <c r="A39" t="s">
        <v>1614</v>
      </c>
      <c r="B39" t="s">
        <v>1615</v>
      </c>
      <c r="C39" s="13" t="s">
        <v>1542</v>
      </c>
      <c r="D39" s="13" t="s">
        <v>1473</v>
      </c>
      <c r="E39" s="13" t="s">
        <v>1474</v>
      </c>
      <c r="F39" s="15">
        <v>39447</v>
      </c>
      <c r="G39" s="38">
        <f t="shared" si="0"/>
        <v>2007</v>
      </c>
      <c r="H39" t="s">
        <v>1616</v>
      </c>
      <c r="I39" s="17"/>
      <c r="J39" s="33" t="s">
        <v>1544</v>
      </c>
      <c r="K39" s="4">
        <v>6</v>
      </c>
      <c r="L39" s="4">
        <v>0</v>
      </c>
      <c r="M39" s="4">
        <v>0</v>
      </c>
      <c r="N39" s="33"/>
      <c r="O39" s="4">
        <v>0</v>
      </c>
      <c r="P39">
        <v>0</v>
      </c>
      <c r="Q39">
        <v>0</v>
      </c>
      <c r="R39" s="31">
        <f t="shared" si="1"/>
        <v>-6</v>
      </c>
      <c r="S39">
        <f t="shared" si="2"/>
        <v>0</v>
      </c>
      <c r="T39">
        <f t="shared" si="3"/>
        <v>0</v>
      </c>
      <c r="U39" s="31"/>
      <c r="V39" s="33">
        <v>109.55</v>
      </c>
      <c r="W39" s="4">
        <v>109.55</v>
      </c>
      <c r="X39" s="4">
        <v>0</v>
      </c>
      <c r="Y39" s="4">
        <v>109.55</v>
      </c>
      <c r="Z39" s="201" t="s">
        <v>1617</v>
      </c>
    </row>
    <row r="40" spans="1:26" s="4" customFormat="1" x14ac:dyDescent="0.25">
      <c r="A40" t="s">
        <v>1566</v>
      </c>
      <c r="B40" t="s">
        <v>1567</v>
      </c>
      <c r="C40" s="13" t="s">
        <v>1542</v>
      </c>
      <c r="D40" s="13" t="s">
        <v>1473</v>
      </c>
      <c r="E40" s="13" t="s">
        <v>1474</v>
      </c>
      <c r="F40" s="15">
        <v>39490</v>
      </c>
      <c r="G40" s="38">
        <f t="shared" si="0"/>
        <v>2008</v>
      </c>
      <c r="H40" t="s">
        <v>1568</v>
      </c>
      <c r="I40" s="17"/>
      <c r="J40" s="33" t="s">
        <v>1569</v>
      </c>
      <c r="L40" s="4">
        <v>0</v>
      </c>
      <c r="M40" s="4">
        <v>0</v>
      </c>
      <c r="N40" s="33"/>
      <c r="P40">
        <v>0</v>
      </c>
      <c r="Q40">
        <v>0</v>
      </c>
      <c r="R40" s="31">
        <f t="shared" si="1"/>
        <v>0</v>
      </c>
      <c r="S40">
        <f t="shared" si="2"/>
        <v>0</v>
      </c>
      <c r="T40">
        <f t="shared" si="3"/>
        <v>0</v>
      </c>
      <c r="U40" s="31"/>
      <c r="V40" s="33">
        <v>1.25</v>
      </c>
      <c r="W40" s="4">
        <v>1.25</v>
      </c>
      <c r="X40" s="4">
        <v>0</v>
      </c>
      <c r="Y40" s="4">
        <v>0</v>
      </c>
      <c r="Z40" s="201" t="s">
        <v>1570</v>
      </c>
    </row>
    <row r="41" spans="1:26" s="4" customFormat="1" x14ac:dyDescent="0.25">
      <c r="A41" t="s">
        <v>1618</v>
      </c>
      <c r="B41" t="s">
        <v>1619</v>
      </c>
      <c r="C41" s="13" t="s">
        <v>1542</v>
      </c>
      <c r="D41" s="13" t="s">
        <v>1473</v>
      </c>
      <c r="E41" s="13" t="s">
        <v>1474</v>
      </c>
      <c r="F41" s="15">
        <v>39811</v>
      </c>
      <c r="G41" s="38">
        <f t="shared" si="0"/>
        <v>2008</v>
      </c>
      <c r="H41" t="s">
        <v>1620</v>
      </c>
      <c r="I41" s="17"/>
      <c r="J41" s="33" t="s">
        <v>1593</v>
      </c>
      <c r="K41" s="4">
        <v>2</v>
      </c>
      <c r="L41" s="4">
        <v>0</v>
      </c>
      <c r="M41" s="4">
        <v>0</v>
      </c>
      <c r="N41" s="33"/>
      <c r="O41" s="4">
        <v>1</v>
      </c>
      <c r="P41">
        <v>0</v>
      </c>
      <c r="Q41">
        <v>0</v>
      </c>
      <c r="R41" s="31">
        <f t="shared" si="1"/>
        <v>-1</v>
      </c>
      <c r="S41">
        <f t="shared" si="2"/>
        <v>0</v>
      </c>
      <c r="T41">
        <f t="shared" si="3"/>
        <v>0</v>
      </c>
      <c r="U41" s="31"/>
      <c r="V41" s="33">
        <v>8.8000000000000007</v>
      </c>
      <c r="W41" s="4">
        <v>0</v>
      </c>
      <c r="X41" s="4">
        <v>8.8000000000000007</v>
      </c>
      <c r="Y41" s="4">
        <v>0</v>
      </c>
      <c r="Z41" s="201" t="s">
        <v>1621</v>
      </c>
    </row>
    <row r="42" spans="1:26" s="4" customFormat="1" x14ac:dyDescent="0.25">
      <c r="A42" t="s">
        <v>1622</v>
      </c>
      <c r="B42" t="s">
        <v>1623</v>
      </c>
      <c r="C42" s="13" t="s">
        <v>1542</v>
      </c>
      <c r="D42" s="13" t="s">
        <v>1473</v>
      </c>
      <c r="E42" s="13" t="s">
        <v>1474</v>
      </c>
      <c r="F42" s="15">
        <v>39812</v>
      </c>
      <c r="G42" s="38">
        <f t="shared" si="0"/>
        <v>2008</v>
      </c>
      <c r="H42" t="s">
        <v>1624</v>
      </c>
      <c r="I42" s="17"/>
      <c r="J42" s="33" t="s">
        <v>1544</v>
      </c>
      <c r="K42" s="4">
        <v>4</v>
      </c>
      <c r="L42" s="4">
        <v>0</v>
      </c>
      <c r="M42" s="4">
        <v>0</v>
      </c>
      <c r="N42" s="33"/>
      <c r="O42" s="4">
        <v>0</v>
      </c>
      <c r="P42">
        <v>0</v>
      </c>
      <c r="Q42">
        <v>0</v>
      </c>
      <c r="R42" s="31">
        <f t="shared" si="1"/>
        <v>-4</v>
      </c>
      <c r="S42">
        <f t="shared" si="2"/>
        <v>0</v>
      </c>
      <c r="T42">
        <f t="shared" si="3"/>
        <v>0</v>
      </c>
      <c r="U42" s="31"/>
      <c r="V42" s="33">
        <v>70.86</v>
      </c>
      <c r="W42" s="4">
        <v>70.86</v>
      </c>
      <c r="X42" s="4">
        <v>0</v>
      </c>
      <c r="Y42" s="4">
        <v>70.86</v>
      </c>
      <c r="Z42" s="201" t="s">
        <v>1625</v>
      </c>
    </row>
    <row r="43" spans="1:26" s="4" customFormat="1" x14ac:dyDescent="0.25">
      <c r="A43" t="s">
        <v>1626</v>
      </c>
      <c r="B43" t="s">
        <v>1627</v>
      </c>
      <c r="C43" s="13" t="s">
        <v>1542</v>
      </c>
      <c r="D43" s="13" t="s">
        <v>1473</v>
      </c>
      <c r="E43" s="13" t="s">
        <v>1474</v>
      </c>
      <c r="F43" s="15">
        <v>39924</v>
      </c>
      <c r="G43" s="38">
        <f t="shared" si="0"/>
        <v>2009</v>
      </c>
      <c r="H43" s="16" t="s">
        <v>1628</v>
      </c>
      <c r="I43" s="17"/>
      <c r="J43" s="33" t="s">
        <v>1544</v>
      </c>
      <c r="K43" s="4">
        <v>2</v>
      </c>
      <c r="L43" s="4">
        <v>0</v>
      </c>
      <c r="M43" s="4">
        <v>0</v>
      </c>
      <c r="N43" s="33"/>
      <c r="O43" s="4">
        <v>2</v>
      </c>
      <c r="P43">
        <v>0</v>
      </c>
      <c r="Q43">
        <v>0</v>
      </c>
      <c r="R43" s="31">
        <f t="shared" si="1"/>
        <v>0</v>
      </c>
      <c r="S43">
        <f t="shared" si="2"/>
        <v>0</v>
      </c>
      <c r="T43">
        <f t="shared" si="3"/>
        <v>0</v>
      </c>
      <c r="U43" s="31"/>
      <c r="V43" s="33">
        <v>20.74</v>
      </c>
      <c r="W43" s="4">
        <v>20.74</v>
      </c>
      <c r="X43" s="4">
        <v>0</v>
      </c>
      <c r="Y43" s="4">
        <v>0</v>
      </c>
      <c r="Z43" s="201" t="s">
        <v>1629</v>
      </c>
    </row>
    <row r="44" spans="1:26" s="4" customFormat="1" x14ac:dyDescent="0.25">
      <c r="A44" t="s">
        <v>1630</v>
      </c>
      <c r="B44" t="s">
        <v>1631</v>
      </c>
      <c r="C44" s="13" t="s">
        <v>1542</v>
      </c>
      <c r="D44" s="13" t="s">
        <v>1473</v>
      </c>
      <c r="E44" s="13" t="s">
        <v>1474</v>
      </c>
      <c r="F44" s="15">
        <v>39954</v>
      </c>
      <c r="G44" s="38">
        <f t="shared" si="0"/>
        <v>2009</v>
      </c>
      <c r="H44" t="s">
        <v>1632</v>
      </c>
      <c r="I44" s="17"/>
      <c r="J44" s="33" t="s">
        <v>1633</v>
      </c>
      <c r="L44" s="4">
        <v>0</v>
      </c>
      <c r="M44" s="4">
        <v>0</v>
      </c>
      <c r="N44" s="33"/>
      <c r="P44">
        <v>0</v>
      </c>
      <c r="Q44">
        <v>0</v>
      </c>
      <c r="R44" s="31">
        <f t="shared" si="1"/>
        <v>0</v>
      </c>
      <c r="S44">
        <f t="shared" si="2"/>
        <v>0</v>
      </c>
      <c r="T44">
        <f t="shared" si="3"/>
        <v>0</v>
      </c>
      <c r="U44" s="31"/>
      <c r="V44" s="33">
        <v>2</v>
      </c>
      <c r="W44" s="4">
        <v>2</v>
      </c>
      <c r="X44" s="4">
        <v>2</v>
      </c>
      <c r="Y44" s="4">
        <v>0</v>
      </c>
      <c r="Z44" s="201" t="s">
        <v>1634</v>
      </c>
    </row>
    <row r="45" spans="1:26" s="4" customFormat="1" x14ac:dyDescent="0.25">
      <c r="A45" t="s">
        <v>1639</v>
      </c>
      <c r="B45" t="s">
        <v>1640</v>
      </c>
      <c r="C45" s="13" t="s">
        <v>1542</v>
      </c>
      <c r="D45" s="13" t="s">
        <v>1473</v>
      </c>
      <c r="E45" s="13" t="s">
        <v>1474</v>
      </c>
      <c r="F45" s="15">
        <v>40114</v>
      </c>
      <c r="G45" s="38">
        <f t="shared" si="0"/>
        <v>2009</v>
      </c>
      <c r="H45" t="s">
        <v>1641</v>
      </c>
      <c r="I45" s="17"/>
      <c r="J45" s="33" t="s">
        <v>1544</v>
      </c>
      <c r="K45" s="4">
        <v>4</v>
      </c>
      <c r="L45" s="4">
        <v>0</v>
      </c>
      <c r="M45" s="4">
        <v>0</v>
      </c>
      <c r="N45" s="33"/>
      <c r="O45" s="4">
        <v>2</v>
      </c>
      <c r="P45">
        <v>0</v>
      </c>
      <c r="Q45">
        <v>0</v>
      </c>
      <c r="R45" s="31">
        <f t="shared" si="1"/>
        <v>-2</v>
      </c>
      <c r="S45">
        <f t="shared" si="2"/>
        <v>0</v>
      </c>
      <c r="T45">
        <f t="shared" si="3"/>
        <v>0</v>
      </c>
      <c r="U45" s="31"/>
      <c r="V45" s="33">
        <v>54.8</v>
      </c>
      <c r="W45" s="4">
        <v>23.82</v>
      </c>
      <c r="X45" s="4">
        <v>0</v>
      </c>
      <c r="Y45" s="4">
        <v>0</v>
      </c>
      <c r="Z45" s="201" t="s">
        <v>1642</v>
      </c>
    </row>
    <row r="46" spans="1:26" s="4" customFormat="1" x14ac:dyDescent="0.25">
      <c r="A46" t="s">
        <v>1635</v>
      </c>
      <c r="B46" t="s">
        <v>1636</v>
      </c>
      <c r="C46" s="13" t="s">
        <v>1542</v>
      </c>
      <c r="D46" s="13" t="s">
        <v>1473</v>
      </c>
      <c r="E46" s="13" t="s">
        <v>1474</v>
      </c>
      <c r="F46" s="15">
        <v>40116</v>
      </c>
      <c r="G46" s="38">
        <f t="shared" si="0"/>
        <v>2009</v>
      </c>
      <c r="H46" t="s">
        <v>1637</v>
      </c>
      <c r="I46" s="17"/>
      <c r="J46" s="33" t="s">
        <v>1544</v>
      </c>
      <c r="L46" s="4">
        <v>0</v>
      </c>
      <c r="M46" s="4">
        <v>0</v>
      </c>
      <c r="N46" s="33"/>
      <c r="P46">
        <v>0</v>
      </c>
      <c r="Q46">
        <v>0</v>
      </c>
      <c r="R46" s="31">
        <f t="shared" si="1"/>
        <v>0</v>
      </c>
      <c r="S46">
        <f t="shared" si="2"/>
        <v>0</v>
      </c>
      <c r="T46">
        <f t="shared" si="3"/>
        <v>0</v>
      </c>
      <c r="U46" s="31"/>
      <c r="V46" s="33">
        <v>4</v>
      </c>
      <c r="W46" s="4">
        <v>0</v>
      </c>
      <c r="X46" s="4">
        <v>0</v>
      </c>
      <c r="Y46" s="4">
        <v>0</v>
      </c>
      <c r="Z46" s="201" t="s">
        <v>1638</v>
      </c>
    </row>
    <row r="47" spans="1:26" s="4" customFormat="1" x14ac:dyDescent="0.25">
      <c r="A47" s="200"/>
      <c r="B47" s="208" t="s">
        <v>1471</v>
      </c>
      <c r="C47" s="34" t="s">
        <v>1472</v>
      </c>
      <c r="D47" s="13" t="s">
        <v>1473</v>
      </c>
      <c r="E47" s="13" t="s">
        <v>1474</v>
      </c>
      <c r="F47" s="209">
        <v>40373</v>
      </c>
      <c r="G47" s="38">
        <f t="shared" si="0"/>
        <v>2010</v>
      </c>
      <c r="H47" t="s">
        <v>1475</v>
      </c>
      <c r="I47" s="35"/>
      <c r="J47" s="33"/>
      <c r="N47" s="33"/>
      <c r="R47" s="33"/>
      <c r="U47" s="33">
        <v>23</v>
      </c>
      <c r="V47" s="33">
        <v>2.75</v>
      </c>
      <c r="W47" s="4">
        <v>0</v>
      </c>
      <c r="X47" s="4">
        <v>0</v>
      </c>
      <c r="Y47" s="4">
        <v>0</v>
      </c>
      <c r="Z47" s="201" t="s">
        <v>1476</v>
      </c>
    </row>
    <row r="48" spans="1:26" s="4" customFormat="1" x14ac:dyDescent="0.25">
      <c r="A48" s="200"/>
      <c r="B48" s="208" t="s">
        <v>1477</v>
      </c>
      <c r="C48" s="34" t="s">
        <v>1472</v>
      </c>
      <c r="D48" s="13" t="s">
        <v>1473</v>
      </c>
      <c r="E48" s="13" t="s">
        <v>1474</v>
      </c>
      <c r="F48" s="209">
        <v>40381</v>
      </c>
      <c r="G48" s="38">
        <f t="shared" si="0"/>
        <v>2010</v>
      </c>
      <c r="H48" t="s">
        <v>1478</v>
      </c>
      <c r="I48" s="35"/>
      <c r="J48" s="33"/>
      <c r="N48" s="33"/>
      <c r="R48" s="33"/>
      <c r="U48" s="33">
        <v>1</v>
      </c>
      <c r="V48" s="33">
        <v>10.82</v>
      </c>
      <c r="W48" s="4">
        <v>0</v>
      </c>
      <c r="X48" s="4">
        <v>10.82</v>
      </c>
      <c r="Y48" s="4">
        <v>0</v>
      </c>
      <c r="Z48" s="201">
        <v>7270</v>
      </c>
    </row>
    <row r="49" spans="1:26" s="4" customFormat="1" x14ac:dyDescent="0.25">
      <c r="A49" s="200"/>
      <c r="B49" s="208" t="s">
        <v>1479</v>
      </c>
      <c r="C49" s="34" t="s">
        <v>1472</v>
      </c>
      <c r="D49" s="13" t="s">
        <v>1473</v>
      </c>
      <c r="E49" s="13" t="s">
        <v>1474</v>
      </c>
      <c r="F49" s="209">
        <v>40407</v>
      </c>
      <c r="G49" s="38">
        <f t="shared" si="0"/>
        <v>2010</v>
      </c>
      <c r="H49" t="s">
        <v>1480</v>
      </c>
      <c r="I49" s="35"/>
      <c r="J49" s="33"/>
      <c r="N49" s="33"/>
      <c r="R49" s="33"/>
      <c r="U49" s="33">
        <v>1</v>
      </c>
      <c r="V49" s="33">
        <v>4.99</v>
      </c>
      <c r="W49" s="4">
        <v>0.27</v>
      </c>
      <c r="X49" s="4">
        <v>0</v>
      </c>
      <c r="Y49" s="4">
        <v>0</v>
      </c>
      <c r="Z49" s="201" t="s">
        <v>1481</v>
      </c>
    </row>
    <row r="50" spans="1:26" s="4" customFormat="1" x14ac:dyDescent="0.25">
      <c r="A50" t="s">
        <v>1643</v>
      </c>
      <c r="B50" t="s">
        <v>1644</v>
      </c>
      <c r="C50" s="13" t="s">
        <v>1542</v>
      </c>
      <c r="D50" s="13" t="s">
        <v>1473</v>
      </c>
      <c r="E50" s="13" t="s">
        <v>1474</v>
      </c>
      <c r="F50" s="15">
        <v>40456</v>
      </c>
      <c r="G50" s="38">
        <f t="shared" si="0"/>
        <v>2010</v>
      </c>
      <c r="H50" t="s">
        <v>1645</v>
      </c>
      <c r="I50" s="17"/>
      <c r="J50" s="33" t="s">
        <v>1544</v>
      </c>
      <c r="K50" s="4">
        <v>4</v>
      </c>
      <c r="L50" s="4">
        <v>0</v>
      </c>
      <c r="M50" s="4">
        <v>0</v>
      </c>
      <c r="N50" s="33"/>
      <c r="O50" s="4">
        <v>4</v>
      </c>
      <c r="P50">
        <v>0</v>
      </c>
      <c r="Q50">
        <v>0</v>
      </c>
      <c r="R50" s="31">
        <f t="shared" ref="R50:T52" si="4">O50-K50</f>
        <v>0</v>
      </c>
      <c r="S50">
        <f t="shared" si="4"/>
        <v>0</v>
      </c>
      <c r="T50">
        <f t="shared" si="4"/>
        <v>0</v>
      </c>
      <c r="U50" s="31"/>
      <c r="V50" s="33">
        <v>52.18</v>
      </c>
      <c r="W50" s="4">
        <v>0</v>
      </c>
      <c r="X50" s="4">
        <v>0</v>
      </c>
      <c r="Y50" s="4">
        <v>0</v>
      </c>
      <c r="Z50" s="201" t="s">
        <v>1646</v>
      </c>
    </row>
    <row r="51" spans="1:26" s="4" customFormat="1" x14ac:dyDescent="0.25">
      <c r="A51" t="s">
        <v>1647</v>
      </c>
      <c r="B51" t="s">
        <v>1644</v>
      </c>
      <c r="C51" s="13" t="s">
        <v>1542</v>
      </c>
      <c r="D51" s="13" t="s">
        <v>1473</v>
      </c>
      <c r="E51" s="13" t="s">
        <v>1474</v>
      </c>
      <c r="F51" s="15">
        <v>40456</v>
      </c>
      <c r="G51" s="38">
        <f t="shared" si="0"/>
        <v>2010</v>
      </c>
      <c r="H51" t="s">
        <v>1637</v>
      </c>
      <c r="I51" s="17"/>
      <c r="J51" s="33" t="s">
        <v>1544</v>
      </c>
      <c r="K51" s="4">
        <v>2</v>
      </c>
      <c r="L51" s="4">
        <v>0</v>
      </c>
      <c r="M51" s="4">
        <v>0</v>
      </c>
      <c r="N51" s="33"/>
      <c r="O51" s="4">
        <v>2</v>
      </c>
      <c r="P51">
        <v>0</v>
      </c>
      <c r="Q51">
        <v>0</v>
      </c>
      <c r="R51" s="31">
        <f t="shared" si="4"/>
        <v>0</v>
      </c>
      <c r="S51">
        <f t="shared" si="4"/>
        <v>0</v>
      </c>
      <c r="T51">
        <f t="shared" si="4"/>
        <v>0</v>
      </c>
      <c r="U51" s="31"/>
      <c r="V51" s="33">
        <v>5.8999999999999986</v>
      </c>
      <c r="W51" s="4">
        <v>0</v>
      </c>
      <c r="X51" s="4">
        <v>0</v>
      </c>
      <c r="Y51" s="4">
        <v>0</v>
      </c>
      <c r="Z51" s="201" t="s">
        <v>1648</v>
      </c>
    </row>
    <row r="52" spans="1:26" s="4" customFormat="1" x14ac:dyDescent="0.25">
      <c r="A52" t="s">
        <v>1649</v>
      </c>
      <c r="B52" t="s">
        <v>1650</v>
      </c>
      <c r="C52" s="13" t="s">
        <v>1542</v>
      </c>
      <c r="D52" s="13" t="s">
        <v>1473</v>
      </c>
      <c r="E52" s="13" t="s">
        <v>1474</v>
      </c>
      <c r="F52" s="15">
        <v>40526</v>
      </c>
      <c r="G52" s="38">
        <f t="shared" si="0"/>
        <v>2010</v>
      </c>
      <c r="H52" t="s">
        <v>1651</v>
      </c>
      <c r="I52" s="17"/>
      <c r="J52" s="33" t="s">
        <v>1544</v>
      </c>
      <c r="L52" s="4">
        <v>0</v>
      </c>
      <c r="M52" s="4">
        <v>0</v>
      </c>
      <c r="N52" s="33"/>
      <c r="P52">
        <v>0</v>
      </c>
      <c r="Q52">
        <v>0</v>
      </c>
      <c r="R52" s="31">
        <f t="shared" si="4"/>
        <v>0</v>
      </c>
      <c r="S52">
        <f t="shared" si="4"/>
        <v>0</v>
      </c>
      <c r="T52">
        <f t="shared" si="4"/>
        <v>0</v>
      </c>
      <c r="U52" s="31"/>
      <c r="V52" s="33">
        <v>6.0000000000002274E-2</v>
      </c>
      <c r="W52" s="4">
        <v>0.06</v>
      </c>
      <c r="X52" s="4">
        <v>0</v>
      </c>
      <c r="Y52" s="4">
        <v>0</v>
      </c>
      <c r="Z52" s="201" t="s">
        <v>1652</v>
      </c>
    </row>
    <row r="53" spans="1:26" s="4" customFormat="1" x14ac:dyDescent="0.25">
      <c r="A53" s="200"/>
      <c r="B53" s="208"/>
      <c r="C53" s="34" t="s">
        <v>1472</v>
      </c>
      <c r="D53" s="13" t="s">
        <v>1473</v>
      </c>
      <c r="E53" s="13" t="s">
        <v>1474</v>
      </c>
      <c r="F53" s="209">
        <v>40532</v>
      </c>
      <c r="G53" s="38">
        <f t="shared" ref="G53:G84" si="5">YEAR(F53)</f>
        <v>2010</v>
      </c>
      <c r="H53" t="s">
        <v>1482</v>
      </c>
      <c r="I53" s="35"/>
      <c r="J53" s="33"/>
      <c r="N53" s="33"/>
      <c r="R53" s="33"/>
      <c r="U53" s="33">
        <v>2</v>
      </c>
      <c r="V53" s="33">
        <v>133.94999999999999</v>
      </c>
      <c r="W53" s="4">
        <v>133.94999999999999</v>
      </c>
      <c r="X53" s="4">
        <v>0</v>
      </c>
      <c r="Y53" s="4">
        <v>0</v>
      </c>
      <c r="Z53" s="201">
        <v>35</v>
      </c>
    </row>
    <row r="54" spans="1:26" s="4" customFormat="1" x14ac:dyDescent="0.25">
      <c r="A54" t="s">
        <v>1653</v>
      </c>
      <c r="B54" t="s">
        <v>1654</v>
      </c>
      <c r="C54" s="13" t="s">
        <v>1542</v>
      </c>
      <c r="D54" s="13" t="s">
        <v>1473</v>
      </c>
      <c r="E54" s="13" t="s">
        <v>1474</v>
      </c>
      <c r="F54" s="15">
        <v>40533</v>
      </c>
      <c r="G54" s="38">
        <f t="shared" si="5"/>
        <v>2010</v>
      </c>
      <c r="H54" t="s">
        <v>1655</v>
      </c>
      <c r="I54" s="17"/>
      <c r="J54" s="33" t="s">
        <v>1544</v>
      </c>
      <c r="K54" s="4">
        <v>2</v>
      </c>
      <c r="L54" s="4">
        <v>0</v>
      </c>
      <c r="M54" s="4">
        <v>0</v>
      </c>
      <c r="N54" s="33"/>
      <c r="O54" s="4">
        <v>2</v>
      </c>
      <c r="P54">
        <v>0</v>
      </c>
      <c r="Q54">
        <v>0</v>
      </c>
      <c r="R54" s="31">
        <f t="shared" ref="R54:T56" si="6">O54-K54</f>
        <v>0</v>
      </c>
      <c r="S54">
        <f t="shared" si="6"/>
        <v>0</v>
      </c>
      <c r="T54">
        <f t="shared" si="6"/>
        <v>0</v>
      </c>
      <c r="U54" s="31"/>
      <c r="V54" s="33">
        <v>36.94</v>
      </c>
      <c r="W54" s="4">
        <v>36.94</v>
      </c>
      <c r="X54" s="4">
        <v>0</v>
      </c>
      <c r="Y54" s="4">
        <v>0</v>
      </c>
      <c r="Z54" s="201" t="s">
        <v>1656</v>
      </c>
    </row>
    <row r="55" spans="1:26" s="4" customFormat="1" x14ac:dyDescent="0.25">
      <c r="A55" t="s">
        <v>1657</v>
      </c>
      <c r="B55" t="s">
        <v>1658</v>
      </c>
      <c r="C55" s="13" t="s">
        <v>1542</v>
      </c>
      <c r="D55" s="13" t="s">
        <v>1473</v>
      </c>
      <c r="E55" s="13" t="s">
        <v>1474</v>
      </c>
      <c r="F55" s="15">
        <v>40539</v>
      </c>
      <c r="G55" s="38">
        <f t="shared" si="5"/>
        <v>2010</v>
      </c>
      <c r="H55" t="s">
        <v>1659</v>
      </c>
      <c r="I55" s="17"/>
      <c r="J55" s="33" t="s">
        <v>1544</v>
      </c>
      <c r="K55" s="4">
        <v>1</v>
      </c>
      <c r="L55" s="4">
        <v>0</v>
      </c>
      <c r="M55" s="4">
        <v>0</v>
      </c>
      <c r="N55" s="33"/>
      <c r="O55" s="4">
        <v>0</v>
      </c>
      <c r="P55">
        <v>0</v>
      </c>
      <c r="Q55">
        <v>0</v>
      </c>
      <c r="R55" s="31">
        <f t="shared" si="6"/>
        <v>-1</v>
      </c>
      <c r="S55">
        <f t="shared" si="6"/>
        <v>0</v>
      </c>
      <c r="T55">
        <f t="shared" si="6"/>
        <v>0</v>
      </c>
      <c r="U55" s="31"/>
      <c r="V55" s="33">
        <v>30.4</v>
      </c>
      <c r="W55" s="4">
        <v>6.63</v>
      </c>
      <c r="X55" s="4">
        <v>0</v>
      </c>
      <c r="Y55" s="4">
        <v>0</v>
      </c>
      <c r="Z55" s="201" t="s">
        <v>1660</v>
      </c>
    </row>
    <row r="56" spans="1:26" s="4" customFormat="1" x14ac:dyDescent="0.25">
      <c r="A56" t="s">
        <v>1661</v>
      </c>
      <c r="B56" t="s">
        <v>1662</v>
      </c>
      <c r="C56" s="13" t="s">
        <v>1542</v>
      </c>
      <c r="D56" s="13" t="s">
        <v>1663</v>
      </c>
      <c r="E56" s="13" t="s">
        <v>1474</v>
      </c>
      <c r="F56" s="15">
        <v>40576</v>
      </c>
      <c r="G56" s="38">
        <f t="shared" si="5"/>
        <v>2011</v>
      </c>
      <c r="H56" t="s">
        <v>1664</v>
      </c>
      <c r="I56" s="17"/>
      <c r="J56" s="33" t="s">
        <v>1544</v>
      </c>
      <c r="K56" s="4">
        <v>1</v>
      </c>
      <c r="L56" s="4">
        <v>0</v>
      </c>
      <c r="M56" s="4">
        <v>0</v>
      </c>
      <c r="N56" s="33"/>
      <c r="O56" s="4">
        <v>0</v>
      </c>
      <c r="P56" s="4">
        <v>0</v>
      </c>
      <c r="Q56" s="4">
        <v>0</v>
      </c>
      <c r="R56" s="31">
        <f t="shared" si="6"/>
        <v>-1</v>
      </c>
      <c r="S56">
        <f t="shared" si="6"/>
        <v>0</v>
      </c>
      <c r="T56">
        <f t="shared" si="6"/>
        <v>0</v>
      </c>
      <c r="U56" s="31"/>
      <c r="V56" s="33">
        <v>1.91</v>
      </c>
      <c r="W56" s="4">
        <v>1.91</v>
      </c>
      <c r="X56" s="4">
        <v>0</v>
      </c>
      <c r="Y56" s="4">
        <v>0</v>
      </c>
      <c r="Z56" s="201"/>
    </row>
    <row r="57" spans="1:26" s="4" customFormat="1" x14ac:dyDescent="0.25">
      <c r="A57" s="200"/>
      <c r="B57" s="208" t="s">
        <v>1483</v>
      </c>
      <c r="C57" s="34" t="s">
        <v>1472</v>
      </c>
      <c r="D57" s="13" t="s">
        <v>1473</v>
      </c>
      <c r="E57" s="13" t="s">
        <v>1474</v>
      </c>
      <c r="F57" s="209">
        <v>40819</v>
      </c>
      <c r="G57" s="38">
        <f t="shared" si="5"/>
        <v>2011</v>
      </c>
      <c r="H57" t="s">
        <v>1484</v>
      </c>
      <c r="I57" s="35"/>
      <c r="J57" s="33"/>
      <c r="N57" s="33"/>
      <c r="R57" s="33"/>
      <c r="U57" s="33">
        <v>1</v>
      </c>
      <c r="V57" s="33">
        <v>33.64</v>
      </c>
      <c r="W57" s="4">
        <v>33.64</v>
      </c>
      <c r="X57" s="4">
        <v>0</v>
      </c>
      <c r="Y57" s="4">
        <v>0</v>
      </c>
      <c r="Z57" s="201" t="s">
        <v>1485</v>
      </c>
    </row>
    <row r="58" spans="1:26" s="4" customFormat="1" x14ac:dyDescent="0.25">
      <c r="A58" t="s">
        <v>1665</v>
      </c>
      <c r="B58" t="s">
        <v>1666</v>
      </c>
      <c r="C58" s="13" t="s">
        <v>1542</v>
      </c>
      <c r="D58" s="13" t="s">
        <v>1473</v>
      </c>
      <c r="E58" s="13" t="s">
        <v>1474</v>
      </c>
      <c r="F58" s="15">
        <v>40898</v>
      </c>
      <c r="G58" s="38">
        <f t="shared" si="5"/>
        <v>2011</v>
      </c>
      <c r="H58" t="s">
        <v>1667</v>
      </c>
      <c r="I58" s="17"/>
      <c r="J58" s="33" t="s">
        <v>1544</v>
      </c>
      <c r="K58" s="4">
        <v>1</v>
      </c>
      <c r="L58" s="4">
        <v>0</v>
      </c>
      <c r="M58" s="4">
        <v>0</v>
      </c>
      <c r="N58" s="33"/>
      <c r="O58" s="4">
        <v>1</v>
      </c>
      <c r="P58">
        <v>0</v>
      </c>
      <c r="Q58">
        <v>0</v>
      </c>
      <c r="R58" s="31">
        <f t="shared" ref="R58:T63" si="7">O58-K58</f>
        <v>0</v>
      </c>
      <c r="S58">
        <f t="shared" si="7"/>
        <v>0</v>
      </c>
      <c r="T58">
        <f t="shared" si="7"/>
        <v>0</v>
      </c>
      <c r="U58" s="31"/>
      <c r="V58" s="33">
        <v>19.38</v>
      </c>
      <c r="W58" s="4">
        <v>19.38</v>
      </c>
      <c r="X58" s="4">
        <v>0</v>
      </c>
      <c r="Y58" s="4">
        <v>0</v>
      </c>
      <c r="Z58" s="201" t="s">
        <v>1668</v>
      </c>
    </row>
    <row r="59" spans="1:26" s="4" customFormat="1" x14ac:dyDescent="0.25">
      <c r="A59" t="s">
        <v>1669</v>
      </c>
      <c r="B59" t="s">
        <v>1670</v>
      </c>
      <c r="C59" s="13" t="s">
        <v>1542</v>
      </c>
      <c r="D59" s="13" t="s">
        <v>1473</v>
      </c>
      <c r="E59" s="13" t="s">
        <v>1474</v>
      </c>
      <c r="F59" s="15">
        <v>40932</v>
      </c>
      <c r="G59" s="38">
        <f t="shared" si="5"/>
        <v>2012</v>
      </c>
      <c r="H59" t="s">
        <v>1671</v>
      </c>
      <c r="I59" s="17"/>
      <c r="J59" s="33" t="s">
        <v>1544</v>
      </c>
      <c r="K59" s="4">
        <v>2</v>
      </c>
      <c r="L59" s="4">
        <v>0</v>
      </c>
      <c r="M59" s="4">
        <v>0</v>
      </c>
      <c r="N59" s="33"/>
      <c r="O59" s="4">
        <v>0</v>
      </c>
      <c r="P59">
        <v>0</v>
      </c>
      <c r="Q59">
        <v>0</v>
      </c>
      <c r="R59" s="31">
        <f t="shared" si="7"/>
        <v>-2</v>
      </c>
      <c r="S59">
        <f t="shared" si="7"/>
        <v>0</v>
      </c>
      <c r="T59">
        <f t="shared" si="7"/>
        <v>0</v>
      </c>
      <c r="U59" s="31"/>
      <c r="V59" s="33">
        <v>0</v>
      </c>
      <c r="W59" s="4">
        <v>0</v>
      </c>
      <c r="X59" s="4">
        <v>0</v>
      </c>
      <c r="Y59" s="4">
        <v>0</v>
      </c>
      <c r="Z59" s="201" t="s">
        <v>1672</v>
      </c>
    </row>
    <row r="60" spans="1:26" s="4" customFormat="1" x14ac:dyDescent="0.25">
      <c r="A60" t="s">
        <v>1673</v>
      </c>
      <c r="B60" t="s">
        <v>1674</v>
      </c>
      <c r="C60" s="13" t="s">
        <v>1542</v>
      </c>
      <c r="D60" s="13" t="s">
        <v>1473</v>
      </c>
      <c r="E60" s="13" t="s">
        <v>1474</v>
      </c>
      <c r="F60" s="15">
        <v>41082</v>
      </c>
      <c r="G60" s="38">
        <f t="shared" si="5"/>
        <v>2012</v>
      </c>
      <c r="H60" t="s">
        <v>1675</v>
      </c>
      <c r="I60" s="17"/>
      <c r="J60" s="33" t="s">
        <v>1544</v>
      </c>
      <c r="L60" s="4">
        <v>0</v>
      </c>
      <c r="M60" s="4">
        <v>0</v>
      </c>
      <c r="N60" s="33"/>
      <c r="P60">
        <v>0</v>
      </c>
      <c r="Q60">
        <v>0</v>
      </c>
      <c r="R60" s="31">
        <f t="shared" si="7"/>
        <v>0</v>
      </c>
      <c r="S60">
        <f t="shared" si="7"/>
        <v>0</v>
      </c>
      <c r="T60">
        <f t="shared" si="7"/>
        <v>0</v>
      </c>
      <c r="U60" s="31"/>
      <c r="V60" s="33">
        <v>0.97</v>
      </c>
      <c r="W60" s="4">
        <v>0</v>
      </c>
      <c r="X60" s="4">
        <v>0</v>
      </c>
      <c r="Y60" s="4">
        <v>0</v>
      </c>
      <c r="Z60" s="201" t="s">
        <v>1676</v>
      </c>
    </row>
    <row r="61" spans="1:26" s="4" customFormat="1" x14ac:dyDescent="0.25">
      <c r="A61" t="s">
        <v>1681</v>
      </c>
      <c r="B61" t="s">
        <v>1490</v>
      </c>
      <c r="C61" s="13" t="s">
        <v>1542</v>
      </c>
      <c r="D61" s="13" t="s">
        <v>1473</v>
      </c>
      <c r="E61" s="13" t="s">
        <v>1474</v>
      </c>
      <c r="F61" s="15">
        <v>41122</v>
      </c>
      <c r="G61" s="38">
        <f t="shared" si="5"/>
        <v>2012</v>
      </c>
      <c r="H61" s="16" t="s">
        <v>1682</v>
      </c>
      <c r="I61" s="17"/>
      <c r="J61" s="33" t="s">
        <v>1544</v>
      </c>
      <c r="K61" s="4">
        <v>3</v>
      </c>
      <c r="L61" s="4">
        <v>0</v>
      </c>
      <c r="M61" s="4">
        <v>0</v>
      </c>
      <c r="N61" s="33"/>
      <c r="O61" s="4">
        <v>3</v>
      </c>
      <c r="P61">
        <v>0</v>
      </c>
      <c r="Q61">
        <v>0</v>
      </c>
      <c r="R61" s="31">
        <f t="shared" si="7"/>
        <v>0</v>
      </c>
      <c r="S61">
        <f t="shared" si="7"/>
        <v>0</v>
      </c>
      <c r="T61">
        <f t="shared" si="7"/>
        <v>0</v>
      </c>
      <c r="U61" s="31"/>
      <c r="V61" s="33">
        <v>37.01</v>
      </c>
      <c r="W61" s="4">
        <v>0</v>
      </c>
      <c r="X61" s="4">
        <v>0</v>
      </c>
      <c r="Y61" s="4">
        <v>0</v>
      </c>
      <c r="Z61" s="201" t="s">
        <v>1683</v>
      </c>
    </row>
    <row r="62" spans="1:26" s="4" customFormat="1" x14ac:dyDescent="0.25">
      <c r="A62" t="s">
        <v>1677</v>
      </c>
      <c r="B62" t="s">
        <v>1678</v>
      </c>
      <c r="C62" s="13" t="s">
        <v>1542</v>
      </c>
      <c r="D62" s="13" t="s">
        <v>1473</v>
      </c>
      <c r="E62" s="13" t="s">
        <v>1474</v>
      </c>
      <c r="F62" s="15">
        <v>41136</v>
      </c>
      <c r="G62" s="38">
        <f t="shared" si="5"/>
        <v>2012</v>
      </c>
      <c r="H62" t="s">
        <v>1679</v>
      </c>
      <c r="I62" s="17"/>
      <c r="J62" s="33" t="s">
        <v>1544</v>
      </c>
      <c r="K62" s="4">
        <v>1</v>
      </c>
      <c r="L62" s="4">
        <v>0</v>
      </c>
      <c r="M62" s="4">
        <v>0</v>
      </c>
      <c r="N62" s="33"/>
      <c r="O62" s="4">
        <v>1</v>
      </c>
      <c r="P62">
        <v>0</v>
      </c>
      <c r="Q62">
        <v>0</v>
      </c>
      <c r="R62" s="31">
        <f t="shared" si="7"/>
        <v>0</v>
      </c>
      <c r="S62">
        <f t="shared" si="7"/>
        <v>0</v>
      </c>
      <c r="T62">
        <f t="shared" si="7"/>
        <v>0</v>
      </c>
      <c r="U62" s="31"/>
      <c r="V62" s="33">
        <v>49.25</v>
      </c>
      <c r="W62" s="4">
        <v>49.25</v>
      </c>
      <c r="X62" s="4">
        <v>0</v>
      </c>
      <c r="Y62" s="4">
        <v>0</v>
      </c>
      <c r="Z62" s="201" t="s">
        <v>1680</v>
      </c>
    </row>
    <row r="63" spans="1:26" s="4" customFormat="1" x14ac:dyDescent="0.25">
      <c r="A63" t="s">
        <v>1684</v>
      </c>
      <c r="B63" t="s">
        <v>1685</v>
      </c>
      <c r="C63" s="13" t="s">
        <v>1542</v>
      </c>
      <c r="D63" s="13" t="s">
        <v>1473</v>
      </c>
      <c r="E63" s="13" t="s">
        <v>1474</v>
      </c>
      <c r="F63" s="15">
        <v>41136</v>
      </c>
      <c r="G63" s="38">
        <f t="shared" si="5"/>
        <v>2012</v>
      </c>
      <c r="H63" s="16" t="s">
        <v>1686</v>
      </c>
      <c r="I63" s="17"/>
      <c r="J63" s="33" t="s">
        <v>1544</v>
      </c>
      <c r="K63" s="4">
        <v>4</v>
      </c>
      <c r="L63" s="4">
        <v>0</v>
      </c>
      <c r="M63" s="4">
        <v>0</v>
      </c>
      <c r="N63" s="33"/>
      <c r="O63" s="4">
        <v>2</v>
      </c>
      <c r="P63">
        <v>0</v>
      </c>
      <c r="Q63">
        <v>0</v>
      </c>
      <c r="R63" s="31">
        <f t="shared" si="7"/>
        <v>-2</v>
      </c>
      <c r="S63">
        <f t="shared" si="7"/>
        <v>0</v>
      </c>
      <c r="T63">
        <f t="shared" si="7"/>
        <v>0</v>
      </c>
      <c r="U63" s="31"/>
      <c r="V63" s="33">
        <v>129.69999999999999</v>
      </c>
      <c r="W63" s="4">
        <v>115.21</v>
      </c>
      <c r="X63" s="4">
        <v>0</v>
      </c>
      <c r="Y63" s="4">
        <v>0</v>
      </c>
      <c r="Z63" s="201" t="s">
        <v>1687</v>
      </c>
    </row>
    <row r="64" spans="1:26" s="4" customFormat="1" x14ac:dyDescent="0.25">
      <c r="A64" s="200"/>
      <c r="B64" s="208" t="s">
        <v>1486</v>
      </c>
      <c r="C64" s="34" t="s">
        <v>1472</v>
      </c>
      <c r="D64" s="13" t="s">
        <v>1473</v>
      </c>
      <c r="E64" s="13" t="s">
        <v>1474</v>
      </c>
      <c r="F64" s="209">
        <v>41159</v>
      </c>
      <c r="G64" s="38">
        <f t="shared" si="5"/>
        <v>2012</v>
      </c>
      <c r="H64" t="s">
        <v>1487</v>
      </c>
      <c r="I64" s="35"/>
      <c r="J64" s="33"/>
      <c r="N64" s="33"/>
      <c r="R64" s="33"/>
      <c r="U64" s="33">
        <v>1</v>
      </c>
      <c r="V64" s="33">
        <v>5.38</v>
      </c>
      <c r="W64" s="4">
        <v>0</v>
      </c>
      <c r="X64" s="4">
        <v>0</v>
      </c>
      <c r="Y64" s="4">
        <v>0</v>
      </c>
      <c r="Z64" s="201" t="s">
        <v>1481</v>
      </c>
    </row>
    <row r="65" spans="1:26" s="4" customFormat="1" x14ac:dyDescent="0.25">
      <c r="A65" s="200"/>
      <c r="B65" s="208" t="s">
        <v>1488</v>
      </c>
      <c r="C65" s="34" t="s">
        <v>1472</v>
      </c>
      <c r="D65" s="13" t="s">
        <v>1473</v>
      </c>
      <c r="E65" s="13" t="s">
        <v>1474</v>
      </c>
      <c r="F65" s="209">
        <v>41159</v>
      </c>
      <c r="G65" s="38">
        <f t="shared" si="5"/>
        <v>2012</v>
      </c>
      <c r="H65" t="s">
        <v>1489</v>
      </c>
      <c r="I65" s="35"/>
      <c r="J65" s="33"/>
      <c r="N65" s="33"/>
      <c r="R65" s="33"/>
      <c r="U65" s="33">
        <v>1</v>
      </c>
      <c r="V65" s="33">
        <v>5.72</v>
      </c>
      <c r="W65" s="4">
        <v>3</v>
      </c>
      <c r="X65" s="4">
        <v>0</v>
      </c>
      <c r="Y65" s="4">
        <v>0</v>
      </c>
      <c r="Z65" s="201" t="s">
        <v>1481</v>
      </c>
    </row>
    <row r="66" spans="1:26" s="4" customFormat="1" x14ac:dyDescent="0.25">
      <c r="A66" s="200"/>
      <c r="B66" s="208" t="s">
        <v>1490</v>
      </c>
      <c r="C66" s="34" t="s">
        <v>1472</v>
      </c>
      <c r="D66" s="13" t="s">
        <v>1473</v>
      </c>
      <c r="E66" s="13" t="s">
        <v>1474</v>
      </c>
      <c r="F66" s="209">
        <v>41201</v>
      </c>
      <c r="G66" s="38">
        <f t="shared" si="5"/>
        <v>2012</v>
      </c>
      <c r="H66" t="s">
        <v>1491</v>
      </c>
      <c r="I66" s="35"/>
      <c r="J66" s="33"/>
      <c r="N66" s="33"/>
      <c r="R66" s="33"/>
      <c r="U66" s="33">
        <v>2</v>
      </c>
      <c r="V66" s="33">
        <v>25.93</v>
      </c>
      <c r="W66" s="4">
        <v>0</v>
      </c>
      <c r="X66" s="4">
        <v>0</v>
      </c>
      <c r="Y66" s="4">
        <v>0</v>
      </c>
      <c r="Z66" s="201" t="s">
        <v>1492</v>
      </c>
    </row>
    <row r="67" spans="1:26" s="4" customFormat="1" x14ac:dyDescent="0.25">
      <c r="A67"/>
      <c r="B67" t="s">
        <v>1688</v>
      </c>
      <c r="C67" s="13" t="s">
        <v>1542</v>
      </c>
      <c r="D67" s="13" t="s">
        <v>1663</v>
      </c>
      <c r="E67" s="13" t="s">
        <v>1474</v>
      </c>
      <c r="F67" s="15">
        <v>41247</v>
      </c>
      <c r="G67" s="38">
        <f t="shared" si="5"/>
        <v>2012</v>
      </c>
      <c r="H67" t="s">
        <v>1689</v>
      </c>
      <c r="I67" s="17"/>
      <c r="J67" s="33" t="s">
        <v>1544</v>
      </c>
      <c r="K67" s="4">
        <v>1</v>
      </c>
      <c r="L67" s="4">
        <v>0</v>
      </c>
      <c r="M67" s="4">
        <v>0</v>
      </c>
      <c r="N67" s="33"/>
      <c r="O67" s="4">
        <v>0</v>
      </c>
      <c r="P67" s="4">
        <v>0</v>
      </c>
      <c r="Q67" s="4">
        <v>0</v>
      </c>
      <c r="R67" s="31">
        <f t="shared" ref="R67:T71" si="8">O67-K67</f>
        <v>-1</v>
      </c>
      <c r="S67">
        <f t="shared" si="8"/>
        <v>0</v>
      </c>
      <c r="T67">
        <f t="shared" si="8"/>
        <v>0</v>
      </c>
      <c r="U67" s="31"/>
      <c r="V67" s="33">
        <v>1.82</v>
      </c>
      <c r="W67" s="4">
        <v>18.2</v>
      </c>
      <c r="X67" s="4">
        <v>0</v>
      </c>
      <c r="Y67" s="4">
        <v>0</v>
      </c>
      <c r="Z67" s="201"/>
    </row>
    <row r="68" spans="1:26" s="4" customFormat="1" x14ac:dyDescent="0.25">
      <c r="A68" t="s">
        <v>1690</v>
      </c>
      <c r="B68" t="s">
        <v>1691</v>
      </c>
      <c r="C68" s="13" t="s">
        <v>1542</v>
      </c>
      <c r="D68" s="13" t="s">
        <v>1473</v>
      </c>
      <c r="E68" s="13" t="s">
        <v>1474</v>
      </c>
      <c r="F68" s="15">
        <v>41271</v>
      </c>
      <c r="G68" s="38">
        <f t="shared" si="5"/>
        <v>2012</v>
      </c>
      <c r="H68" t="s">
        <v>1692</v>
      </c>
      <c r="I68" s="17"/>
      <c r="J68" s="33" t="s">
        <v>1544</v>
      </c>
      <c r="K68" s="4">
        <v>3</v>
      </c>
      <c r="L68" s="4">
        <v>0</v>
      </c>
      <c r="M68" s="4">
        <v>0</v>
      </c>
      <c r="N68" s="33"/>
      <c r="O68" s="4">
        <v>0</v>
      </c>
      <c r="P68">
        <v>0</v>
      </c>
      <c r="Q68">
        <v>0</v>
      </c>
      <c r="R68" s="31">
        <f t="shared" si="8"/>
        <v>-3</v>
      </c>
      <c r="S68">
        <f t="shared" si="8"/>
        <v>0</v>
      </c>
      <c r="T68">
        <f t="shared" si="8"/>
        <v>0</v>
      </c>
      <c r="U68" s="31"/>
      <c r="V68" s="33">
        <v>35</v>
      </c>
      <c r="W68" s="4">
        <v>33.93</v>
      </c>
      <c r="X68" s="4">
        <v>0</v>
      </c>
      <c r="Y68" s="4">
        <v>0</v>
      </c>
      <c r="Z68" s="201"/>
    </row>
    <row r="69" spans="1:26" s="4" customFormat="1" x14ac:dyDescent="0.25">
      <c r="A69" t="s">
        <v>1693</v>
      </c>
      <c r="B69" t="s">
        <v>1694</v>
      </c>
      <c r="C69" s="13" t="s">
        <v>1542</v>
      </c>
      <c r="D69" s="13" t="s">
        <v>1473</v>
      </c>
      <c r="E69" s="13" t="s">
        <v>1474</v>
      </c>
      <c r="F69" s="15">
        <v>41271</v>
      </c>
      <c r="G69" s="38">
        <f t="shared" si="5"/>
        <v>2012</v>
      </c>
      <c r="H69" t="s">
        <v>1695</v>
      </c>
      <c r="I69" s="17"/>
      <c r="J69" s="33" t="s">
        <v>1544</v>
      </c>
      <c r="K69" s="4">
        <v>13</v>
      </c>
      <c r="L69" s="4">
        <v>0</v>
      </c>
      <c r="M69" s="4">
        <v>0</v>
      </c>
      <c r="N69" s="33"/>
      <c r="O69" s="4">
        <v>0</v>
      </c>
      <c r="P69">
        <v>0</v>
      </c>
      <c r="Q69">
        <v>0</v>
      </c>
      <c r="R69" s="31">
        <f t="shared" si="8"/>
        <v>-13</v>
      </c>
      <c r="S69">
        <f t="shared" si="8"/>
        <v>0</v>
      </c>
      <c r="T69">
        <f t="shared" si="8"/>
        <v>0</v>
      </c>
      <c r="U69" s="31"/>
      <c r="V69" s="33">
        <v>153</v>
      </c>
      <c r="W69" s="4">
        <v>95.05</v>
      </c>
      <c r="X69" s="4">
        <v>0</v>
      </c>
      <c r="Y69" s="4">
        <v>153</v>
      </c>
      <c r="Z69" s="201" t="s">
        <v>1696</v>
      </c>
    </row>
    <row r="70" spans="1:26" s="4" customFormat="1" x14ac:dyDescent="0.25">
      <c r="A70" t="s">
        <v>1697</v>
      </c>
      <c r="B70" t="s">
        <v>1698</v>
      </c>
      <c r="C70" s="13" t="s">
        <v>1542</v>
      </c>
      <c r="D70" s="13" t="s">
        <v>1473</v>
      </c>
      <c r="E70" s="13" t="s">
        <v>1474</v>
      </c>
      <c r="F70" s="15">
        <v>41274</v>
      </c>
      <c r="G70" s="38">
        <f t="shared" si="5"/>
        <v>2012</v>
      </c>
      <c r="H70" t="s">
        <v>1699</v>
      </c>
      <c r="I70" s="17"/>
      <c r="J70" s="33" t="s">
        <v>1593</v>
      </c>
      <c r="K70" s="4">
        <v>1</v>
      </c>
      <c r="L70" s="4">
        <v>0</v>
      </c>
      <c r="M70" s="4">
        <v>0</v>
      </c>
      <c r="N70" s="33"/>
      <c r="O70" s="4">
        <v>0</v>
      </c>
      <c r="P70">
        <v>0</v>
      </c>
      <c r="Q70">
        <v>0</v>
      </c>
      <c r="R70" s="31">
        <f t="shared" si="8"/>
        <v>-1</v>
      </c>
      <c r="S70">
        <f t="shared" si="8"/>
        <v>0</v>
      </c>
      <c r="T70">
        <f t="shared" si="8"/>
        <v>0</v>
      </c>
      <c r="U70" s="31"/>
      <c r="V70" s="33">
        <v>4.9000000000000004</v>
      </c>
      <c r="W70" s="4">
        <v>2.4900000000000002</v>
      </c>
      <c r="X70" s="4">
        <v>0.34</v>
      </c>
      <c r="Y70" s="4">
        <v>0</v>
      </c>
      <c r="Z70" s="201" t="s">
        <v>1700</v>
      </c>
    </row>
    <row r="71" spans="1:26" s="4" customFormat="1" x14ac:dyDescent="0.25">
      <c r="A71" t="s">
        <v>1701</v>
      </c>
      <c r="B71" t="s">
        <v>1702</v>
      </c>
      <c r="C71" s="13" t="s">
        <v>1542</v>
      </c>
      <c r="D71" s="13" t="s">
        <v>1473</v>
      </c>
      <c r="E71" s="13" t="s">
        <v>1474</v>
      </c>
      <c r="F71" s="15">
        <v>41274</v>
      </c>
      <c r="G71" s="38">
        <f t="shared" si="5"/>
        <v>2012</v>
      </c>
      <c r="H71" t="s">
        <v>1703</v>
      </c>
      <c r="I71" s="17"/>
      <c r="J71" s="33" t="s">
        <v>1544</v>
      </c>
      <c r="K71" s="4">
        <v>6</v>
      </c>
      <c r="L71" s="4">
        <v>0</v>
      </c>
      <c r="M71" s="4">
        <v>0</v>
      </c>
      <c r="N71" s="33"/>
      <c r="O71" s="4">
        <v>0</v>
      </c>
      <c r="P71">
        <v>0</v>
      </c>
      <c r="Q71">
        <v>0</v>
      </c>
      <c r="R71" s="31">
        <f t="shared" si="8"/>
        <v>-6</v>
      </c>
      <c r="S71">
        <f t="shared" si="8"/>
        <v>0</v>
      </c>
      <c r="T71">
        <f t="shared" si="8"/>
        <v>0</v>
      </c>
      <c r="U71" s="31"/>
      <c r="V71" s="33">
        <v>62.15</v>
      </c>
      <c r="W71" s="4">
        <v>62.15</v>
      </c>
      <c r="X71" s="4">
        <v>0</v>
      </c>
      <c r="Y71" s="4">
        <v>0</v>
      </c>
      <c r="Z71" s="201" t="s">
        <v>1704</v>
      </c>
    </row>
    <row r="72" spans="1:26" s="4" customFormat="1" x14ac:dyDescent="0.25">
      <c r="A72" s="200"/>
      <c r="B72" s="208" t="s">
        <v>1493</v>
      </c>
      <c r="C72" s="34" t="s">
        <v>1472</v>
      </c>
      <c r="D72" s="13" t="s">
        <v>1473</v>
      </c>
      <c r="E72" s="13" t="s">
        <v>1474</v>
      </c>
      <c r="F72" s="209">
        <v>41304</v>
      </c>
      <c r="G72" s="38">
        <f t="shared" si="5"/>
        <v>2013</v>
      </c>
      <c r="H72" t="s">
        <v>1494</v>
      </c>
      <c r="I72" s="35"/>
      <c r="J72" s="33"/>
      <c r="N72" s="33"/>
      <c r="R72" s="33"/>
      <c r="U72" s="33">
        <v>8</v>
      </c>
      <c r="V72" s="33">
        <v>38.26</v>
      </c>
      <c r="W72" s="4">
        <v>37.06</v>
      </c>
      <c r="X72" s="4">
        <v>0</v>
      </c>
      <c r="Y72" s="4">
        <v>38.26</v>
      </c>
      <c r="Z72" s="201" t="s">
        <v>1495</v>
      </c>
    </row>
    <row r="73" spans="1:26" s="4" customFormat="1" x14ac:dyDescent="0.25">
      <c r="A73" t="s">
        <v>1705</v>
      </c>
      <c r="B73" t="s">
        <v>1706</v>
      </c>
      <c r="C73" s="13" t="s">
        <v>1542</v>
      </c>
      <c r="D73" s="13" t="s">
        <v>1473</v>
      </c>
      <c r="E73" s="13" t="s">
        <v>1474</v>
      </c>
      <c r="F73" s="15">
        <v>41400</v>
      </c>
      <c r="G73" s="38">
        <f t="shared" si="5"/>
        <v>2013</v>
      </c>
      <c r="H73" t="s">
        <v>1707</v>
      </c>
      <c r="I73" s="17"/>
      <c r="J73" s="33" t="s">
        <v>1544</v>
      </c>
      <c r="K73" s="4">
        <v>3</v>
      </c>
      <c r="L73" s="4">
        <v>0</v>
      </c>
      <c r="M73" s="4">
        <v>0</v>
      </c>
      <c r="N73" s="33"/>
      <c r="O73" s="4">
        <v>3</v>
      </c>
      <c r="P73">
        <v>0</v>
      </c>
      <c r="Q73">
        <v>0</v>
      </c>
      <c r="R73" s="31">
        <f>O73-K73</f>
        <v>0</v>
      </c>
      <c r="S73">
        <f>P73-L73</f>
        <v>0</v>
      </c>
      <c r="T73">
        <f>Q73-M73</f>
        <v>0</v>
      </c>
      <c r="U73" s="31"/>
      <c r="V73" s="33">
        <v>72.52</v>
      </c>
      <c r="W73" s="4">
        <v>72.52</v>
      </c>
      <c r="X73" s="4">
        <v>0</v>
      </c>
      <c r="Y73" s="4">
        <v>0</v>
      </c>
      <c r="Z73" s="201" t="s">
        <v>1708</v>
      </c>
    </row>
    <row r="74" spans="1:26" s="4" customFormat="1" x14ac:dyDescent="0.25">
      <c r="A74" s="200"/>
      <c r="B74" s="208"/>
      <c r="C74" s="34" t="s">
        <v>1472</v>
      </c>
      <c r="D74" s="13" t="s">
        <v>1473</v>
      </c>
      <c r="E74" s="13" t="s">
        <v>1474</v>
      </c>
      <c r="F74" s="209">
        <v>41498</v>
      </c>
      <c r="G74" s="38">
        <f t="shared" si="5"/>
        <v>2013</v>
      </c>
      <c r="H74" t="s">
        <v>1496</v>
      </c>
      <c r="I74" s="35"/>
      <c r="J74" s="33"/>
      <c r="N74" s="33"/>
      <c r="R74" s="33"/>
      <c r="U74" s="33">
        <v>1</v>
      </c>
      <c r="V74" s="33">
        <v>35.92</v>
      </c>
      <c r="W74" s="4">
        <v>6.8</v>
      </c>
      <c r="X74" s="4">
        <v>0</v>
      </c>
      <c r="Y74" s="4">
        <v>35.92</v>
      </c>
      <c r="Z74" s="201">
        <v>35</v>
      </c>
    </row>
    <row r="75" spans="1:26" s="4" customFormat="1" x14ac:dyDescent="0.25">
      <c r="A75" s="200"/>
      <c r="B75" s="208" t="s">
        <v>1497</v>
      </c>
      <c r="C75" s="34" t="s">
        <v>1472</v>
      </c>
      <c r="D75" s="13" t="s">
        <v>1473</v>
      </c>
      <c r="E75" s="13" t="s">
        <v>1474</v>
      </c>
      <c r="F75" s="209">
        <v>41501</v>
      </c>
      <c r="G75" s="38">
        <f t="shared" si="5"/>
        <v>2013</v>
      </c>
      <c r="H75" t="s">
        <v>1498</v>
      </c>
      <c r="I75" s="35"/>
      <c r="J75" s="33"/>
      <c r="N75" s="33"/>
      <c r="R75" s="33"/>
      <c r="U75" s="33">
        <v>2</v>
      </c>
      <c r="V75" s="33">
        <v>8.31</v>
      </c>
      <c r="W75" s="4">
        <v>8.31</v>
      </c>
      <c r="X75" s="4">
        <v>0</v>
      </c>
      <c r="Y75" s="4">
        <v>0</v>
      </c>
      <c r="Z75" s="201" t="s">
        <v>1499</v>
      </c>
    </row>
    <row r="76" spans="1:26" s="4" customFormat="1" x14ac:dyDescent="0.25">
      <c r="A76" t="s">
        <v>1709</v>
      </c>
      <c r="B76" t="s">
        <v>1710</v>
      </c>
      <c r="C76" s="13" t="s">
        <v>1542</v>
      </c>
      <c r="D76" s="13" t="s">
        <v>1473</v>
      </c>
      <c r="E76" s="13" t="s">
        <v>1474</v>
      </c>
      <c r="F76" s="15">
        <v>41563</v>
      </c>
      <c r="G76" s="38">
        <f t="shared" si="5"/>
        <v>2013</v>
      </c>
      <c r="H76" t="s">
        <v>1711</v>
      </c>
      <c r="I76" s="17"/>
      <c r="J76" s="33" t="s">
        <v>1569</v>
      </c>
      <c r="L76" s="4">
        <v>0</v>
      </c>
      <c r="M76" s="4">
        <v>0</v>
      </c>
      <c r="N76" s="33"/>
      <c r="P76">
        <v>0</v>
      </c>
      <c r="Q76">
        <v>0</v>
      </c>
      <c r="R76" s="31">
        <f t="shared" ref="R76:R85" si="9">O76-K76</f>
        <v>0</v>
      </c>
      <c r="S76">
        <f t="shared" ref="S76:S85" si="10">P76-L76</f>
        <v>0</v>
      </c>
      <c r="T76">
        <f t="shared" ref="T76:T85" si="11">Q76-M76</f>
        <v>0</v>
      </c>
      <c r="U76" s="31"/>
      <c r="V76" s="33">
        <v>1.87</v>
      </c>
      <c r="W76" s="4">
        <v>1.87</v>
      </c>
      <c r="X76" s="4">
        <v>0</v>
      </c>
      <c r="Y76" s="4">
        <v>0</v>
      </c>
      <c r="Z76" s="201" t="s">
        <v>1712</v>
      </c>
    </row>
    <row r="77" spans="1:26" s="4" customFormat="1" x14ac:dyDescent="0.25">
      <c r="A77" t="s">
        <v>1713</v>
      </c>
      <c r="B77" t="s">
        <v>1714</v>
      </c>
      <c r="C77" s="13" t="s">
        <v>1542</v>
      </c>
      <c r="D77" s="13" t="s">
        <v>1473</v>
      </c>
      <c r="E77" s="13" t="s">
        <v>1474</v>
      </c>
      <c r="F77" s="15">
        <v>41579</v>
      </c>
      <c r="G77" s="38">
        <f t="shared" si="5"/>
        <v>2013</v>
      </c>
      <c r="H77" t="s">
        <v>1715</v>
      </c>
      <c r="I77" s="17"/>
      <c r="J77" s="33" t="s">
        <v>1544</v>
      </c>
      <c r="K77" s="4">
        <v>9</v>
      </c>
      <c r="L77" s="4">
        <v>0</v>
      </c>
      <c r="M77" s="4">
        <v>0</v>
      </c>
      <c r="N77" s="33"/>
      <c r="O77" s="4">
        <v>0</v>
      </c>
      <c r="P77">
        <v>0</v>
      </c>
      <c r="Q77">
        <v>0</v>
      </c>
      <c r="R77" s="31">
        <f t="shared" si="9"/>
        <v>-9</v>
      </c>
      <c r="S77">
        <f t="shared" si="10"/>
        <v>0</v>
      </c>
      <c r="T77">
        <f t="shared" si="11"/>
        <v>0</v>
      </c>
      <c r="U77" s="31"/>
      <c r="V77" s="33">
        <v>181.29</v>
      </c>
      <c r="W77" s="4">
        <v>174.02</v>
      </c>
      <c r="X77" s="4">
        <v>181.29</v>
      </c>
      <c r="Y77" s="4">
        <v>0</v>
      </c>
      <c r="Z77" s="201" t="s">
        <v>1716</v>
      </c>
    </row>
    <row r="78" spans="1:26" s="4" customFormat="1" x14ac:dyDescent="0.25">
      <c r="A78" t="s">
        <v>1717</v>
      </c>
      <c r="B78" t="s">
        <v>1718</v>
      </c>
      <c r="C78" s="13" t="s">
        <v>1542</v>
      </c>
      <c r="D78" s="13" t="s">
        <v>1663</v>
      </c>
      <c r="E78" s="13" t="s">
        <v>1474</v>
      </c>
      <c r="F78" s="15">
        <v>41598</v>
      </c>
      <c r="G78" s="38">
        <f t="shared" si="5"/>
        <v>2013</v>
      </c>
      <c r="H78" t="s">
        <v>1719</v>
      </c>
      <c r="I78" s="17"/>
      <c r="J78" s="33" t="s">
        <v>1544</v>
      </c>
      <c r="K78" s="4">
        <v>1</v>
      </c>
      <c r="L78" s="4">
        <v>0</v>
      </c>
      <c r="M78" s="4">
        <v>0</v>
      </c>
      <c r="N78" s="33"/>
      <c r="O78" s="4">
        <v>0</v>
      </c>
      <c r="P78">
        <v>0</v>
      </c>
      <c r="Q78">
        <v>0</v>
      </c>
      <c r="R78" s="31">
        <f t="shared" si="9"/>
        <v>-1</v>
      </c>
      <c r="S78">
        <f t="shared" si="10"/>
        <v>0</v>
      </c>
      <c r="T78">
        <f t="shared" si="11"/>
        <v>0</v>
      </c>
      <c r="U78" s="31"/>
      <c r="V78" s="33">
        <v>3.7</v>
      </c>
      <c r="W78" s="4">
        <v>0.81</v>
      </c>
      <c r="X78" s="4">
        <v>0</v>
      </c>
      <c r="Y78" s="4">
        <v>0</v>
      </c>
      <c r="Z78" s="201" t="s">
        <v>1720</v>
      </c>
    </row>
    <row r="79" spans="1:26" s="4" customFormat="1" x14ac:dyDescent="0.25">
      <c r="A79" t="s">
        <v>1721</v>
      </c>
      <c r="B79" t="s">
        <v>1722</v>
      </c>
      <c r="C79" s="13" t="s">
        <v>1542</v>
      </c>
      <c r="D79" s="13" t="s">
        <v>1473</v>
      </c>
      <c r="E79" s="13" t="s">
        <v>1474</v>
      </c>
      <c r="F79" s="15">
        <v>41837</v>
      </c>
      <c r="G79" s="38">
        <f t="shared" si="5"/>
        <v>2014</v>
      </c>
      <c r="H79" t="s">
        <v>1723</v>
      </c>
      <c r="I79" s="17"/>
      <c r="J79" s="33" t="s">
        <v>1544</v>
      </c>
      <c r="K79" s="4">
        <v>2</v>
      </c>
      <c r="L79" s="4">
        <v>0</v>
      </c>
      <c r="M79" s="4">
        <v>0</v>
      </c>
      <c r="N79" s="33"/>
      <c r="O79" s="4">
        <v>2</v>
      </c>
      <c r="P79">
        <v>0</v>
      </c>
      <c r="Q79">
        <v>0</v>
      </c>
      <c r="R79" s="31">
        <f t="shared" si="9"/>
        <v>0</v>
      </c>
      <c r="S79">
        <f t="shared" si="10"/>
        <v>0</v>
      </c>
      <c r="T79">
        <f t="shared" si="11"/>
        <v>0</v>
      </c>
      <c r="U79" s="31"/>
      <c r="V79" s="33">
        <v>37.03</v>
      </c>
      <c r="W79" s="4">
        <v>37.03</v>
      </c>
      <c r="X79" s="4">
        <v>0</v>
      </c>
      <c r="Y79" s="4">
        <v>0</v>
      </c>
      <c r="Z79" s="201" t="s">
        <v>1724</v>
      </c>
    </row>
    <row r="80" spans="1:26" s="4" customFormat="1" x14ac:dyDescent="0.25">
      <c r="A80" t="s">
        <v>1725</v>
      </c>
      <c r="B80" t="s">
        <v>1726</v>
      </c>
      <c r="C80" s="13" t="s">
        <v>1542</v>
      </c>
      <c r="D80" s="13" t="s">
        <v>1473</v>
      </c>
      <c r="E80" s="13" t="s">
        <v>1474</v>
      </c>
      <c r="F80" s="15">
        <v>41892</v>
      </c>
      <c r="G80" s="38">
        <f t="shared" si="5"/>
        <v>2014</v>
      </c>
      <c r="H80" t="s">
        <v>1727</v>
      </c>
      <c r="I80" s="17"/>
      <c r="J80" s="33" t="s">
        <v>1544</v>
      </c>
      <c r="K80" s="4">
        <v>1</v>
      </c>
      <c r="L80" s="4">
        <v>0</v>
      </c>
      <c r="M80" s="4">
        <v>0</v>
      </c>
      <c r="N80" s="33"/>
      <c r="O80" s="4">
        <v>0</v>
      </c>
      <c r="P80">
        <v>0</v>
      </c>
      <c r="Q80">
        <v>0</v>
      </c>
      <c r="R80" s="31">
        <f t="shared" si="9"/>
        <v>-1</v>
      </c>
      <c r="S80">
        <f t="shared" si="10"/>
        <v>0</v>
      </c>
      <c r="T80">
        <f t="shared" si="11"/>
        <v>0</v>
      </c>
      <c r="U80" s="31"/>
      <c r="V80" s="33">
        <v>38.46</v>
      </c>
      <c r="W80" s="4">
        <v>38.46</v>
      </c>
      <c r="X80" s="4">
        <v>0</v>
      </c>
      <c r="Y80" s="4">
        <v>0</v>
      </c>
      <c r="Z80" s="201"/>
    </row>
    <row r="81" spans="1:26" s="4" customFormat="1" x14ac:dyDescent="0.25">
      <c r="A81" t="s">
        <v>1728</v>
      </c>
      <c r="B81" t="s">
        <v>1729</v>
      </c>
      <c r="C81" s="13" t="s">
        <v>1542</v>
      </c>
      <c r="D81" s="13" t="s">
        <v>1473</v>
      </c>
      <c r="E81" s="13" t="s">
        <v>1474</v>
      </c>
      <c r="F81" s="15">
        <v>41984</v>
      </c>
      <c r="G81" s="38">
        <f t="shared" si="5"/>
        <v>2014</v>
      </c>
      <c r="H81" t="s">
        <v>1730</v>
      </c>
      <c r="I81" s="17"/>
      <c r="J81" s="33" t="s">
        <v>1593</v>
      </c>
      <c r="K81" s="4">
        <v>1</v>
      </c>
      <c r="L81" s="4">
        <v>0</v>
      </c>
      <c r="M81" s="4">
        <v>0</v>
      </c>
      <c r="N81" s="33"/>
      <c r="O81" s="4">
        <v>0</v>
      </c>
      <c r="P81">
        <v>0</v>
      </c>
      <c r="Q81">
        <v>0</v>
      </c>
      <c r="R81" s="31">
        <f t="shared" si="9"/>
        <v>-1</v>
      </c>
      <c r="S81">
        <f t="shared" si="10"/>
        <v>0</v>
      </c>
      <c r="T81">
        <f t="shared" si="11"/>
        <v>0</v>
      </c>
      <c r="U81" s="31"/>
      <c r="V81" s="33">
        <v>3.25</v>
      </c>
      <c r="W81" s="4">
        <v>0</v>
      </c>
      <c r="X81" s="4">
        <v>0</v>
      </c>
      <c r="Y81" s="4">
        <v>0</v>
      </c>
      <c r="Z81" s="201" t="s">
        <v>1731</v>
      </c>
    </row>
    <row r="82" spans="1:26" s="4" customFormat="1" x14ac:dyDescent="0.25">
      <c r="A82" t="s">
        <v>1732</v>
      </c>
      <c r="B82" t="s">
        <v>1733</v>
      </c>
      <c r="C82" s="13" t="s">
        <v>1542</v>
      </c>
      <c r="D82" s="13" t="s">
        <v>1473</v>
      </c>
      <c r="E82" s="13" t="s">
        <v>1474</v>
      </c>
      <c r="F82" s="15">
        <v>41992</v>
      </c>
      <c r="G82" s="38">
        <f t="shared" si="5"/>
        <v>2014</v>
      </c>
      <c r="H82" t="s">
        <v>1734</v>
      </c>
      <c r="I82" s="17"/>
      <c r="J82" s="33" t="s">
        <v>1544</v>
      </c>
      <c r="K82" s="4">
        <v>12</v>
      </c>
      <c r="L82" s="4">
        <v>0</v>
      </c>
      <c r="M82" s="4">
        <v>0</v>
      </c>
      <c r="N82" s="33"/>
      <c r="O82" s="4">
        <v>1</v>
      </c>
      <c r="P82">
        <v>0</v>
      </c>
      <c r="Q82">
        <v>0</v>
      </c>
      <c r="R82" s="31">
        <f t="shared" si="9"/>
        <v>-11</v>
      </c>
      <c r="S82">
        <f t="shared" si="10"/>
        <v>0</v>
      </c>
      <c r="T82">
        <f t="shared" si="11"/>
        <v>0</v>
      </c>
      <c r="U82" s="31"/>
      <c r="V82" s="33">
        <v>70.69</v>
      </c>
      <c r="W82" s="4">
        <v>0</v>
      </c>
      <c r="X82" s="4">
        <v>70.69</v>
      </c>
      <c r="Y82" s="4">
        <v>70.69</v>
      </c>
      <c r="Z82" s="201" t="s">
        <v>1735</v>
      </c>
    </row>
    <row r="83" spans="1:26" s="4" customFormat="1" x14ac:dyDescent="0.25">
      <c r="A83" t="s">
        <v>1736</v>
      </c>
      <c r="B83" t="s">
        <v>1737</v>
      </c>
      <c r="C83" s="13" t="s">
        <v>1542</v>
      </c>
      <c r="D83" s="13" t="s">
        <v>1473</v>
      </c>
      <c r="E83" s="13" t="s">
        <v>1474</v>
      </c>
      <c r="F83" s="15">
        <v>42004</v>
      </c>
      <c r="G83" s="38">
        <f t="shared" si="5"/>
        <v>2014</v>
      </c>
      <c r="H83" t="s">
        <v>1738</v>
      </c>
      <c r="I83" s="17"/>
      <c r="J83" s="33" t="s">
        <v>1544</v>
      </c>
      <c r="K83" s="4">
        <v>2</v>
      </c>
      <c r="L83" s="4">
        <v>0</v>
      </c>
      <c r="M83" s="4">
        <v>0</v>
      </c>
      <c r="N83" s="33"/>
      <c r="O83" s="4">
        <v>2</v>
      </c>
      <c r="P83">
        <v>0</v>
      </c>
      <c r="Q83">
        <v>0</v>
      </c>
      <c r="R83" s="31">
        <f t="shared" si="9"/>
        <v>0</v>
      </c>
      <c r="S83">
        <f t="shared" si="10"/>
        <v>0</v>
      </c>
      <c r="T83">
        <f t="shared" si="11"/>
        <v>0</v>
      </c>
      <c r="U83" s="31"/>
      <c r="V83" s="33">
        <v>87.7</v>
      </c>
      <c r="W83" s="4">
        <v>87.7</v>
      </c>
      <c r="X83" s="4">
        <v>0</v>
      </c>
      <c r="Y83" s="4">
        <v>0</v>
      </c>
      <c r="Z83" s="201" t="s">
        <v>62</v>
      </c>
    </row>
    <row r="84" spans="1:26" s="4" customFormat="1" x14ac:dyDescent="0.25">
      <c r="A84" t="s">
        <v>1739</v>
      </c>
      <c r="B84" t="s">
        <v>1740</v>
      </c>
      <c r="C84" s="13" t="s">
        <v>1542</v>
      </c>
      <c r="D84" s="13" t="s">
        <v>1473</v>
      </c>
      <c r="E84" s="13" t="s">
        <v>1474</v>
      </c>
      <c r="F84" s="15">
        <v>42004</v>
      </c>
      <c r="G84" s="38">
        <f t="shared" si="5"/>
        <v>2014</v>
      </c>
      <c r="H84" t="s">
        <v>1741</v>
      </c>
      <c r="I84" s="17"/>
      <c r="J84" s="33" t="s">
        <v>1544</v>
      </c>
      <c r="K84" s="4">
        <v>2</v>
      </c>
      <c r="L84" s="4">
        <v>0</v>
      </c>
      <c r="M84" s="4">
        <v>0</v>
      </c>
      <c r="N84" s="33"/>
      <c r="O84" s="4">
        <v>2</v>
      </c>
      <c r="P84">
        <v>0</v>
      </c>
      <c r="Q84">
        <v>0</v>
      </c>
      <c r="R84" s="31">
        <f t="shared" si="9"/>
        <v>0</v>
      </c>
      <c r="S84">
        <f t="shared" si="10"/>
        <v>0</v>
      </c>
      <c r="T84">
        <f t="shared" si="11"/>
        <v>0</v>
      </c>
      <c r="U84" s="31"/>
      <c r="V84" s="33">
        <v>46.3</v>
      </c>
      <c r="W84" s="4">
        <v>46.3</v>
      </c>
      <c r="X84" s="4">
        <v>0</v>
      </c>
      <c r="Y84" s="4">
        <v>0</v>
      </c>
      <c r="Z84" s="201" t="s">
        <v>1742</v>
      </c>
    </row>
    <row r="85" spans="1:26" s="4" customFormat="1" x14ac:dyDescent="0.25">
      <c r="A85" t="s">
        <v>1743</v>
      </c>
      <c r="B85" t="s">
        <v>1744</v>
      </c>
      <c r="C85" s="13" t="s">
        <v>1542</v>
      </c>
      <c r="D85" s="13" t="s">
        <v>1473</v>
      </c>
      <c r="E85" s="13" t="s">
        <v>1474</v>
      </c>
      <c r="F85" s="15">
        <v>42004</v>
      </c>
      <c r="G85" s="38">
        <f t="shared" ref="G85:G116" si="12">YEAR(F85)</f>
        <v>2014</v>
      </c>
      <c r="H85" t="s">
        <v>1745</v>
      </c>
      <c r="I85" s="17"/>
      <c r="J85" s="33" t="s">
        <v>1544</v>
      </c>
      <c r="K85" s="4">
        <v>1</v>
      </c>
      <c r="L85" s="4">
        <v>0</v>
      </c>
      <c r="M85" s="4">
        <v>0</v>
      </c>
      <c r="N85" s="33"/>
      <c r="O85" s="4">
        <v>0</v>
      </c>
      <c r="P85">
        <v>0</v>
      </c>
      <c r="Q85">
        <v>0</v>
      </c>
      <c r="R85" s="31">
        <f t="shared" si="9"/>
        <v>-1</v>
      </c>
      <c r="S85">
        <f t="shared" si="10"/>
        <v>0</v>
      </c>
      <c r="T85">
        <f t="shared" si="11"/>
        <v>0</v>
      </c>
      <c r="U85" s="31"/>
      <c r="V85" s="33">
        <v>38.65</v>
      </c>
      <c r="W85" s="4">
        <v>38.65</v>
      </c>
      <c r="X85" s="4">
        <v>0</v>
      </c>
      <c r="Y85" s="4">
        <v>0</v>
      </c>
      <c r="Z85" s="201"/>
    </row>
    <row r="86" spans="1:26" s="4" customFormat="1" x14ac:dyDescent="0.25">
      <c r="A86" s="200"/>
      <c r="B86" s="208" t="s">
        <v>1500</v>
      </c>
      <c r="C86" s="34" t="s">
        <v>1472</v>
      </c>
      <c r="D86" s="13" t="s">
        <v>1473</v>
      </c>
      <c r="E86" s="13" t="s">
        <v>1474</v>
      </c>
      <c r="F86" s="209">
        <v>42019</v>
      </c>
      <c r="G86" s="38">
        <f t="shared" si="12"/>
        <v>2015</v>
      </c>
      <c r="H86" t="s">
        <v>1501</v>
      </c>
      <c r="I86" s="35"/>
      <c r="J86" s="33"/>
      <c r="N86" s="33"/>
      <c r="R86" s="33"/>
      <c r="U86" s="33">
        <v>1</v>
      </c>
      <c r="V86" s="33">
        <v>38.770000000000003</v>
      </c>
      <c r="W86" s="4">
        <v>31</v>
      </c>
      <c r="X86" s="4">
        <v>0</v>
      </c>
      <c r="Y86" s="4">
        <v>38.770000000000003</v>
      </c>
      <c r="Z86" s="201">
        <v>35</v>
      </c>
    </row>
    <row r="87" spans="1:26" s="4" customFormat="1" x14ac:dyDescent="0.25">
      <c r="A87" s="200"/>
      <c r="B87" s="208"/>
      <c r="C87" s="34" t="s">
        <v>1472</v>
      </c>
      <c r="D87" s="13" t="s">
        <v>1473</v>
      </c>
      <c r="E87" s="13" t="s">
        <v>1474</v>
      </c>
      <c r="F87" s="209">
        <v>42045</v>
      </c>
      <c r="G87" s="38">
        <f t="shared" si="12"/>
        <v>2015</v>
      </c>
      <c r="H87" t="s">
        <v>1502</v>
      </c>
      <c r="I87" s="35"/>
      <c r="J87" s="33"/>
      <c r="N87" s="33"/>
      <c r="R87" s="33"/>
      <c r="U87" s="33">
        <v>1</v>
      </c>
      <c r="V87" s="33">
        <v>34.76</v>
      </c>
      <c r="W87" s="4">
        <v>34.76</v>
      </c>
      <c r="X87" s="4">
        <v>0</v>
      </c>
      <c r="Y87" s="4">
        <v>34.76</v>
      </c>
      <c r="Z87" s="201">
        <v>35</v>
      </c>
    </row>
    <row r="88" spans="1:26" s="4" customFormat="1" x14ac:dyDescent="0.25">
      <c r="A88" t="s">
        <v>1746</v>
      </c>
      <c r="B88" t="s">
        <v>1747</v>
      </c>
      <c r="C88" s="13" t="s">
        <v>1542</v>
      </c>
      <c r="D88" s="13" t="s">
        <v>1473</v>
      </c>
      <c r="E88" s="13" t="s">
        <v>1474</v>
      </c>
      <c r="F88" s="15">
        <v>42087</v>
      </c>
      <c r="G88" s="38">
        <f t="shared" si="12"/>
        <v>2015</v>
      </c>
      <c r="H88" t="s">
        <v>1748</v>
      </c>
      <c r="I88" s="17"/>
      <c r="J88" s="33" t="s">
        <v>1749</v>
      </c>
      <c r="K88" s="4">
        <v>0</v>
      </c>
      <c r="L88" s="4">
        <v>0</v>
      </c>
      <c r="M88" s="4">
        <v>0</v>
      </c>
      <c r="N88" s="33"/>
      <c r="O88" s="4">
        <v>0</v>
      </c>
      <c r="P88">
        <v>0</v>
      </c>
      <c r="Q88">
        <v>0</v>
      </c>
      <c r="R88" s="31">
        <f t="shared" ref="R88:T93" si="13">O88-K88</f>
        <v>0</v>
      </c>
      <c r="S88">
        <f t="shared" si="13"/>
        <v>0</v>
      </c>
      <c r="T88">
        <f t="shared" si="13"/>
        <v>0</v>
      </c>
      <c r="U88" s="31"/>
      <c r="V88" s="33">
        <v>39.799999999999997</v>
      </c>
      <c r="W88" s="4">
        <v>39.799999999999997</v>
      </c>
      <c r="X88" s="4">
        <v>0</v>
      </c>
      <c r="Y88" s="4">
        <v>0</v>
      </c>
      <c r="Z88" s="201"/>
    </row>
    <row r="89" spans="1:26" s="4" customFormat="1" x14ac:dyDescent="0.25">
      <c r="A89" t="s">
        <v>1757</v>
      </c>
      <c r="B89" t="s">
        <v>1758</v>
      </c>
      <c r="C89" s="13" t="s">
        <v>1542</v>
      </c>
      <c r="D89" s="13" t="s">
        <v>1473</v>
      </c>
      <c r="E89" s="13" t="s">
        <v>1474</v>
      </c>
      <c r="F89" s="15">
        <v>42136</v>
      </c>
      <c r="G89" s="38">
        <f t="shared" si="12"/>
        <v>2015</v>
      </c>
      <c r="H89" t="s">
        <v>1759</v>
      </c>
      <c r="I89" s="17"/>
      <c r="J89" s="33" t="s">
        <v>1544</v>
      </c>
      <c r="K89" s="4">
        <v>18</v>
      </c>
      <c r="L89" s="4">
        <v>0</v>
      </c>
      <c r="M89" s="4">
        <v>0</v>
      </c>
      <c r="N89" s="33"/>
      <c r="O89" s="4">
        <v>2</v>
      </c>
      <c r="P89">
        <v>0</v>
      </c>
      <c r="Q89">
        <v>0</v>
      </c>
      <c r="R89" s="31">
        <f t="shared" si="13"/>
        <v>-16</v>
      </c>
      <c r="S89">
        <f t="shared" si="13"/>
        <v>0</v>
      </c>
      <c r="T89">
        <f t="shared" si="13"/>
        <v>0</v>
      </c>
      <c r="U89" s="31"/>
      <c r="V89" s="33">
        <v>71</v>
      </c>
      <c r="W89" s="4">
        <v>0.12</v>
      </c>
      <c r="X89" s="4">
        <v>71</v>
      </c>
      <c r="Y89" s="4">
        <v>71</v>
      </c>
      <c r="Z89" s="201" t="s">
        <v>1760</v>
      </c>
    </row>
    <row r="90" spans="1:26" s="4" customFormat="1" x14ac:dyDescent="0.25">
      <c r="A90" t="s">
        <v>1761</v>
      </c>
      <c r="B90" t="s">
        <v>1762</v>
      </c>
      <c r="C90" s="13" t="s">
        <v>1542</v>
      </c>
      <c r="D90" s="13" t="s">
        <v>1473</v>
      </c>
      <c r="E90" s="13" t="s">
        <v>1474</v>
      </c>
      <c r="F90" s="15">
        <v>42136</v>
      </c>
      <c r="G90" s="38">
        <f t="shared" si="12"/>
        <v>2015</v>
      </c>
      <c r="H90" t="s">
        <v>1763</v>
      </c>
      <c r="I90" s="17"/>
      <c r="J90" s="33" t="s">
        <v>1544</v>
      </c>
      <c r="K90" s="4">
        <v>18</v>
      </c>
      <c r="L90" s="4">
        <v>0</v>
      </c>
      <c r="M90" s="4">
        <v>0</v>
      </c>
      <c r="N90" s="33"/>
      <c r="O90" s="4">
        <v>1</v>
      </c>
      <c r="P90">
        <v>0</v>
      </c>
      <c r="Q90">
        <v>0</v>
      </c>
      <c r="R90" s="31">
        <f t="shared" si="13"/>
        <v>-17</v>
      </c>
      <c r="S90">
        <f t="shared" si="13"/>
        <v>0</v>
      </c>
      <c r="T90">
        <f t="shared" si="13"/>
        <v>0</v>
      </c>
      <c r="U90" s="31"/>
      <c r="V90" s="33">
        <v>71</v>
      </c>
      <c r="W90" s="4">
        <v>21.05</v>
      </c>
      <c r="X90" s="4">
        <v>0</v>
      </c>
      <c r="Y90" s="4">
        <v>71</v>
      </c>
      <c r="Z90" s="201" t="s">
        <v>1764</v>
      </c>
    </row>
    <row r="91" spans="1:26" s="4" customFormat="1" x14ac:dyDescent="0.25">
      <c r="A91" t="s">
        <v>1765</v>
      </c>
      <c r="B91" t="s">
        <v>1766</v>
      </c>
      <c r="C91" s="13" t="s">
        <v>1542</v>
      </c>
      <c r="D91" s="13" t="s">
        <v>1473</v>
      </c>
      <c r="E91" s="13" t="s">
        <v>1474</v>
      </c>
      <c r="F91" s="15">
        <v>42136</v>
      </c>
      <c r="G91" s="38">
        <f t="shared" si="12"/>
        <v>2015</v>
      </c>
      <c r="H91" t="s">
        <v>1767</v>
      </c>
      <c r="I91" s="17"/>
      <c r="J91" s="33" t="s">
        <v>1544</v>
      </c>
      <c r="K91" s="4">
        <v>18</v>
      </c>
      <c r="L91" s="4">
        <v>0</v>
      </c>
      <c r="M91" s="4">
        <v>0</v>
      </c>
      <c r="N91" s="33"/>
      <c r="O91" s="4">
        <v>1</v>
      </c>
      <c r="P91">
        <v>0</v>
      </c>
      <c r="Q91">
        <v>0</v>
      </c>
      <c r="R91" s="31">
        <f t="shared" si="13"/>
        <v>-17</v>
      </c>
      <c r="S91">
        <f t="shared" si="13"/>
        <v>0</v>
      </c>
      <c r="T91">
        <f t="shared" si="13"/>
        <v>0</v>
      </c>
      <c r="U91" s="31"/>
      <c r="V91" s="33">
        <v>71</v>
      </c>
      <c r="W91" s="4">
        <v>1.55</v>
      </c>
      <c r="X91" s="4">
        <v>0</v>
      </c>
      <c r="Y91" s="4">
        <v>71</v>
      </c>
      <c r="Z91" s="201" t="s">
        <v>1764</v>
      </c>
    </row>
    <row r="92" spans="1:26" s="4" customFormat="1" x14ac:dyDescent="0.25">
      <c r="A92" t="s">
        <v>1768</v>
      </c>
      <c r="B92" t="s">
        <v>1769</v>
      </c>
      <c r="C92" s="13" t="s">
        <v>1542</v>
      </c>
      <c r="D92" s="13" t="s">
        <v>1473</v>
      </c>
      <c r="E92" s="13" t="s">
        <v>1474</v>
      </c>
      <c r="F92" s="15">
        <v>42136</v>
      </c>
      <c r="G92" s="38">
        <f t="shared" si="12"/>
        <v>2015</v>
      </c>
      <c r="H92" t="s">
        <v>1770</v>
      </c>
      <c r="I92" s="17"/>
      <c r="J92" s="33" t="s">
        <v>1544</v>
      </c>
      <c r="K92" s="4">
        <v>18</v>
      </c>
      <c r="L92" s="4">
        <v>0</v>
      </c>
      <c r="M92" s="4">
        <v>0</v>
      </c>
      <c r="N92" s="33"/>
      <c r="O92" s="4">
        <v>1</v>
      </c>
      <c r="P92">
        <v>0</v>
      </c>
      <c r="Q92">
        <v>0</v>
      </c>
      <c r="R92" s="31">
        <f t="shared" si="13"/>
        <v>-17</v>
      </c>
      <c r="S92">
        <f t="shared" si="13"/>
        <v>0</v>
      </c>
      <c r="T92">
        <f t="shared" si="13"/>
        <v>0</v>
      </c>
      <c r="U92" s="31"/>
      <c r="V92" s="33">
        <v>71</v>
      </c>
      <c r="W92" s="4">
        <v>22.57</v>
      </c>
      <c r="X92" s="4">
        <v>0</v>
      </c>
      <c r="Y92" s="4">
        <v>71</v>
      </c>
      <c r="Z92" s="201" t="s">
        <v>1764</v>
      </c>
    </row>
    <row r="93" spans="1:26" s="4" customFormat="1" x14ac:dyDescent="0.25">
      <c r="A93" t="s">
        <v>1771</v>
      </c>
      <c r="B93" t="s">
        <v>1772</v>
      </c>
      <c r="C93" s="13" t="s">
        <v>1542</v>
      </c>
      <c r="D93" s="13" t="s">
        <v>1473</v>
      </c>
      <c r="E93" s="13" t="s">
        <v>1474</v>
      </c>
      <c r="F93" s="15">
        <v>42136</v>
      </c>
      <c r="G93" s="38">
        <f t="shared" si="12"/>
        <v>2015</v>
      </c>
      <c r="H93" t="s">
        <v>1773</v>
      </c>
      <c r="I93" s="17"/>
      <c r="J93" s="33" t="s">
        <v>1544</v>
      </c>
      <c r="K93" s="4">
        <v>23</v>
      </c>
      <c r="L93" s="4">
        <v>0</v>
      </c>
      <c r="M93" s="4">
        <v>0</v>
      </c>
      <c r="N93" s="33"/>
      <c r="O93" s="4">
        <v>0</v>
      </c>
      <c r="P93">
        <v>0</v>
      </c>
      <c r="Q93">
        <v>0</v>
      </c>
      <c r="R93" s="31">
        <f t="shared" si="13"/>
        <v>-23</v>
      </c>
      <c r="S93">
        <f t="shared" si="13"/>
        <v>0</v>
      </c>
      <c r="T93">
        <f t="shared" si="13"/>
        <v>0</v>
      </c>
      <c r="U93" s="31"/>
      <c r="V93" s="33">
        <v>94</v>
      </c>
      <c r="W93" s="4">
        <v>34.36</v>
      </c>
      <c r="X93" s="4">
        <v>0</v>
      </c>
      <c r="Y93" s="4">
        <v>94</v>
      </c>
      <c r="Z93" s="201"/>
    </row>
    <row r="94" spans="1:26" s="4" customFormat="1" x14ac:dyDescent="0.25">
      <c r="A94" s="200"/>
      <c r="B94" s="208"/>
      <c r="C94" s="34" t="s">
        <v>1472</v>
      </c>
      <c r="D94" s="13" t="s">
        <v>1473</v>
      </c>
      <c r="E94" s="13" t="s">
        <v>1474</v>
      </c>
      <c r="F94" s="209">
        <v>42213</v>
      </c>
      <c r="G94" s="38">
        <f t="shared" si="12"/>
        <v>2015</v>
      </c>
      <c r="H94" t="s">
        <v>1503</v>
      </c>
      <c r="I94" s="35"/>
      <c r="J94" s="33"/>
      <c r="N94" s="33"/>
      <c r="R94" s="33"/>
      <c r="U94" s="33">
        <v>1</v>
      </c>
      <c r="V94" s="33">
        <v>37.86</v>
      </c>
      <c r="W94" s="4">
        <v>25.3</v>
      </c>
      <c r="X94" s="4">
        <v>37.86</v>
      </c>
      <c r="Y94" s="4">
        <v>37.86</v>
      </c>
      <c r="Z94" s="201">
        <v>35</v>
      </c>
    </row>
    <row r="95" spans="1:26" s="4" customFormat="1" x14ac:dyDescent="0.25">
      <c r="A95" t="s">
        <v>1753</v>
      </c>
      <c r="B95" t="s">
        <v>1754</v>
      </c>
      <c r="C95" s="13" t="s">
        <v>1542</v>
      </c>
      <c r="D95" s="13" t="s">
        <v>1473</v>
      </c>
      <c r="E95" s="13" t="s">
        <v>1474</v>
      </c>
      <c r="F95" s="15">
        <v>42354</v>
      </c>
      <c r="G95" s="38">
        <f t="shared" si="12"/>
        <v>2015</v>
      </c>
      <c r="H95" t="s">
        <v>1755</v>
      </c>
      <c r="I95" s="17"/>
      <c r="J95" s="33" t="s">
        <v>1593</v>
      </c>
      <c r="K95" s="4">
        <v>1</v>
      </c>
      <c r="L95" s="4">
        <v>0</v>
      </c>
      <c r="M95" s="4">
        <v>0</v>
      </c>
      <c r="N95" s="33"/>
      <c r="O95" s="4">
        <v>1</v>
      </c>
      <c r="P95">
        <v>0</v>
      </c>
      <c r="Q95">
        <v>0</v>
      </c>
      <c r="R95" s="31">
        <f t="shared" ref="R95:T96" si="14">O95-K95</f>
        <v>0</v>
      </c>
      <c r="S95">
        <f t="shared" si="14"/>
        <v>0</v>
      </c>
      <c r="T95">
        <f t="shared" si="14"/>
        <v>0</v>
      </c>
      <c r="U95" s="31"/>
      <c r="V95" s="33">
        <v>7</v>
      </c>
      <c r="W95" s="4">
        <v>0</v>
      </c>
      <c r="X95" s="4">
        <v>0</v>
      </c>
      <c r="Y95" s="4">
        <v>0</v>
      </c>
      <c r="Z95" s="201" t="s">
        <v>1756</v>
      </c>
    </row>
    <row r="96" spans="1:26" s="4" customFormat="1" x14ac:dyDescent="0.25">
      <c r="A96" t="s">
        <v>1750</v>
      </c>
      <c r="B96" t="s">
        <v>1751</v>
      </c>
      <c r="C96" s="13" t="s">
        <v>1542</v>
      </c>
      <c r="D96" s="13" t="s">
        <v>1473</v>
      </c>
      <c r="E96" s="13" t="s">
        <v>1474</v>
      </c>
      <c r="F96" s="15">
        <v>42368</v>
      </c>
      <c r="G96" s="38">
        <f t="shared" si="12"/>
        <v>2015</v>
      </c>
      <c r="H96" t="s">
        <v>1752</v>
      </c>
      <c r="I96" s="17"/>
      <c r="J96" s="33" t="s">
        <v>1544</v>
      </c>
      <c r="K96" s="4">
        <v>1</v>
      </c>
      <c r="L96" s="4">
        <v>0</v>
      </c>
      <c r="M96" s="4">
        <v>0</v>
      </c>
      <c r="N96" s="33"/>
      <c r="O96" s="4">
        <v>0</v>
      </c>
      <c r="P96">
        <v>0</v>
      </c>
      <c r="Q96">
        <v>0</v>
      </c>
      <c r="R96" s="31">
        <f t="shared" si="14"/>
        <v>-1</v>
      </c>
      <c r="S96">
        <f t="shared" si="14"/>
        <v>0</v>
      </c>
      <c r="T96">
        <f t="shared" si="14"/>
        <v>0</v>
      </c>
      <c r="U96" s="31"/>
      <c r="V96" s="33">
        <v>0.5</v>
      </c>
      <c r="W96" s="4">
        <v>0</v>
      </c>
      <c r="X96" s="4">
        <v>0</v>
      </c>
      <c r="Y96" s="4">
        <v>0</v>
      </c>
      <c r="Z96" s="201"/>
    </row>
    <row r="97" spans="1:33" s="4" customFormat="1" x14ac:dyDescent="0.25">
      <c r="A97" t="s">
        <v>1774</v>
      </c>
      <c r="B97" t="s">
        <v>1775</v>
      </c>
      <c r="C97" s="13" t="s">
        <v>1542</v>
      </c>
      <c r="D97" s="13" t="s">
        <v>1473</v>
      </c>
      <c r="E97" s="13" t="s">
        <v>1474</v>
      </c>
      <c r="F97" s="15">
        <v>42437</v>
      </c>
      <c r="G97" s="38">
        <f t="shared" si="12"/>
        <v>2016</v>
      </c>
      <c r="H97" s="16" t="s">
        <v>1776</v>
      </c>
      <c r="I97" s="17">
        <v>41.5</v>
      </c>
      <c r="J97" s="31" t="s">
        <v>1544</v>
      </c>
      <c r="K97" t="s">
        <v>1777</v>
      </c>
      <c r="L97"/>
      <c r="M97"/>
      <c r="N97" s="31" t="s">
        <v>1544</v>
      </c>
      <c r="O97">
        <v>0</v>
      </c>
      <c r="P97">
        <v>0</v>
      </c>
      <c r="Q97">
        <v>0</v>
      </c>
      <c r="R97" s="31">
        <v>0</v>
      </c>
      <c r="S97">
        <f t="shared" ref="S97:S105" si="15">P97-L97</f>
        <v>0</v>
      </c>
      <c r="T97">
        <f t="shared" ref="T97:T105" si="16">Q97-M97</f>
        <v>0</v>
      </c>
      <c r="U97" s="31"/>
      <c r="V97" s="31">
        <v>41.5</v>
      </c>
      <c r="W97">
        <v>41.5</v>
      </c>
      <c r="X97">
        <v>41.5</v>
      </c>
      <c r="Y97" s="4">
        <v>0</v>
      </c>
      <c r="Z97" s="31" t="s">
        <v>1778</v>
      </c>
      <c r="AA97"/>
      <c r="AB97"/>
      <c r="AC97"/>
      <c r="AD97"/>
      <c r="AE97"/>
      <c r="AF97"/>
      <c r="AG97"/>
    </row>
    <row r="98" spans="1:33" s="4" customFormat="1" x14ac:dyDescent="0.25">
      <c r="A98" t="s">
        <v>1779</v>
      </c>
      <c r="B98" t="s">
        <v>1780</v>
      </c>
      <c r="C98" s="13" t="s">
        <v>1542</v>
      </c>
      <c r="D98" s="13" t="s">
        <v>1473</v>
      </c>
      <c r="E98" s="13" t="s">
        <v>1474</v>
      </c>
      <c r="F98" s="15">
        <v>42437</v>
      </c>
      <c r="G98" s="38">
        <f t="shared" si="12"/>
        <v>2016</v>
      </c>
      <c r="H98" s="16" t="s">
        <v>1781</v>
      </c>
      <c r="I98" s="17">
        <v>20</v>
      </c>
      <c r="J98" s="31" t="s">
        <v>1544</v>
      </c>
      <c r="K98" t="s">
        <v>1777</v>
      </c>
      <c r="L98"/>
      <c r="M98"/>
      <c r="N98" s="31" t="s">
        <v>1544</v>
      </c>
      <c r="O98">
        <v>0</v>
      </c>
      <c r="P98">
        <v>0</v>
      </c>
      <c r="Q98">
        <v>0</v>
      </c>
      <c r="R98" s="31">
        <v>0</v>
      </c>
      <c r="S98">
        <f t="shared" si="15"/>
        <v>0</v>
      </c>
      <c r="T98">
        <f t="shared" si="16"/>
        <v>0</v>
      </c>
      <c r="U98" s="31"/>
      <c r="V98" s="31">
        <v>20</v>
      </c>
      <c r="W98">
        <v>20</v>
      </c>
      <c r="X98">
        <v>20</v>
      </c>
      <c r="Y98" s="4">
        <v>0</v>
      </c>
      <c r="Z98" s="31" t="s">
        <v>1778</v>
      </c>
      <c r="AA98"/>
      <c r="AB98"/>
      <c r="AC98"/>
      <c r="AD98"/>
      <c r="AE98"/>
      <c r="AF98"/>
      <c r="AG98"/>
    </row>
    <row r="99" spans="1:33" s="4" customFormat="1" x14ac:dyDescent="0.25">
      <c r="A99" t="s">
        <v>1782</v>
      </c>
      <c r="B99" t="s">
        <v>1783</v>
      </c>
      <c r="C99" s="13" t="s">
        <v>1542</v>
      </c>
      <c r="D99" s="13" t="s">
        <v>1473</v>
      </c>
      <c r="E99" s="13" t="s">
        <v>1474</v>
      </c>
      <c r="F99" s="15">
        <v>42522</v>
      </c>
      <c r="G99" s="38">
        <f t="shared" si="12"/>
        <v>2016</v>
      </c>
      <c r="H99" s="16" t="s">
        <v>1784</v>
      </c>
      <c r="I99" s="17">
        <v>44</v>
      </c>
      <c r="J99" s="31" t="s">
        <v>1785</v>
      </c>
      <c r="K99">
        <v>1</v>
      </c>
      <c r="L99">
        <v>0</v>
      </c>
      <c r="M99">
        <v>0</v>
      </c>
      <c r="N99" s="31" t="s">
        <v>1785</v>
      </c>
      <c r="O99">
        <v>0</v>
      </c>
      <c r="P99">
        <v>0</v>
      </c>
      <c r="Q99">
        <v>0</v>
      </c>
      <c r="R99" s="31">
        <f>O99-K99</f>
        <v>-1</v>
      </c>
      <c r="S99">
        <f t="shared" si="15"/>
        <v>0</v>
      </c>
      <c r="T99">
        <f t="shared" si="16"/>
        <v>0</v>
      </c>
      <c r="U99" s="31"/>
      <c r="V99" s="31">
        <v>44</v>
      </c>
      <c r="W99">
        <v>44</v>
      </c>
      <c r="X99" s="4">
        <v>0</v>
      </c>
      <c r="Y99" s="4">
        <v>0</v>
      </c>
      <c r="Z99" s="31"/>
      <c r="AA99"/>
      <c r="AB99"/>
      <c r="AC99"/>
      <c r="AD99"/>
      <c r="AE99"/>
      <c r="AF99"/>
      <c r="AG99"/>
    </row>
    <row r="100" spans="1:33" s="4" customFormat="1" x14ac:dyDescent="0.25">
      <c r="A100" s="16" t="s">
        <v>1786</v>
      </c>
      <c r="B100" s="16" t="s">
        <v>1787</v>
      </c>
      <c r="C100" s="13" t="s">
        <v>1788</v>
      </c>
      <c r="D100" s="13" t="s">
        <v>1663</v>
      </c>
      <c r="E100" s="13" t="s">
        <v>1789</v>
      </c>
      <c r="F100" s="15">
        <v>42529</v>
      </c>
      <c r="G100" s="38">
        <f t="shared" si="12"/>
        <v>2016</v>
      </c>
      <c r="H100" s="15"/>
      <c r="I100" s="18">
        <f>250*150/43560</f>
        <v>0.8608815426997245</v>
      </c>
      <c r="J100" s="31" t="s">
        <v>1790</v>
      </c>
      <c r="K100">
        <f>ROUNDDOWN(I100*17.424,0)</f>
        <v>15</v>
      </c>
      <c r="L100">
        <v>0</v>
      </c>
      <c r="M100">
        <v>0</v>
      </c>
      <c r="N100" s="31" t="s">
        <v>1791</v>
      </c>
      <c r="O100">
        <f>ROUNDDOWN(I100*43560*0.65/1200,0)</f>
        <v>20</v>
      </c>
      <c r="P100">
        <v>0</v>
      </c>
      <c r="Q100">
        <v>0</v>
      </c>
      <c r="R100" s="31">
        <f>O100-K100</f>
        <v>5</v>
      </c>
      <c r="S100">
        <f t="shared" si="15"/>
        <v>0</v>
      </c>
      <c r="T100">
        <f t="shared" si="16"/>
        <v>0</v>
      </c>
      <c r="U100" s="31"/>
      <c r="V100" s="31"/>
      <c r="W100"/>
      <c r="X100"/>
      <c r="Y100"/>
      <c r="Z100" s="31"/>
      <c r="AA100"/>
      <c r="AB100"/>
      <c r="AC100"/>
      <c r="AD100"/>
      <c r="AE100"/>
      <c r="AF100"/>
      <c r="AG100"/>
    </row>
    <row r="101" spans="1:33" s="4" customFormat="1" x14ac:dyDescent="0.25">
      <c r="A101" s="16" t="s">
        <v>1792</v>
      </c>
      <c r="B101" s="16" t="s">
        <v>1793</v>
      </c>
      <c r="C101" s="13" t="s">
        <v>1788</v>
      </c>
      <c r="D101" s="13" t="s">
        <v>1473</v>
      </c>
      <c r="E101" s="13" t="s">
        <v>1789</v>
      </c>
      <c r="F101" s="15">
        <v>42534</v>
      </c>
      <c r="G101" s="38">
        <f t="shared" si="12"/>
        <v>2016</v>
      </c>
      <c r="H101" s="15"/>
      <c r="I101" s="18">
        <v>20</v>
      </c>
      <c r="J101" s="31" t="s">
        <v>1544</v>
      </c>
      <c r="K101">
        <v>1</v>
      </c>
      <c r="L101">
        <v>0</v>
      </c>
      <c r="M101">
        <v>0</v>
      </c>
      <c r="N101" s="31" t="s">
        <v>1794</v>
      </c>
      <c r="O101">
        <v>0</v>
      </c>
      <c r="P101">
        <v>0</v>
      </c>
      <c r="Q101">
        <v>0</v>
      </c>
      <c r="R101" s="31">
        <f>O101-K101</f>
        <v>-1</v>
      </c>
      <c r="S101">
        <f t="shared" si="15"/>
        <v>0</v>
      </c>
      <c r="T101">
        <f t="shared" si="16"/>
        <v>0</v>
      </c>
      <c r="U101" s="31"/>
      <c r="V101" s="31"/>
      <c r="W101"/>
      <c r="X101"/>
      <c r="Y101"/>
      <c r="Z101" s="31"/>
      <c r="AA101"/>
      <c r="AB101"/>
      <c r="AC101"/>
      <c r="AD101"/>
      <c r="AE101"/>
      <c r="AF101"/>
      <c r="AG101"/>
    </row>
    <row r="102" spans="1:33" s="4" customFormat="1" x14ac:dyDescent="0.25">
      <c r="A102" s="16" t="s">
        <v>1795</v>
      </c>
      <c r="B102" s="16" t="s">
        <v>1796</v>
      </c>
      <c r="C102" s="13" t="s">
        <v>1788</v>
      </c>
      <c r="D102" s="13" t="s">
        <v>1663</v>
      </c>
      <c r="E102" s="13" t="s">
        <v>1789</v>
      </c>
      <c r="F102" s="15">
        <v>42557</v>
      </c>
      <c r="G102" s="38">
        <f t="shared" si="12"/>
        <v>2016</v>
      </c>
      <c r="H102" s="15"/>
      <c r="I102" s="18">
        <f>43395.77/43560</f>
        <v>0.99622979797979794</v>
      </c>
      <c r="J102" s="31" t="s">
        <v>1797</v>
      </c>
      <c r="K102">
        <f>ROUNDDOWN(I102*43560*0.325*0.25/1200,0)</f>
        <v>2</v>
      </c>
      <c r="L102">
        <v>0</v>
      </c>
      <c r="M102" s="19">
        <f>I102*43560*0.325*0.75</f>
        <v>10577.7189375</v>
      </c>
      <c r="N102" s="31" t="s">
        <v>1798</v>
      </c>
      <c r="O102">
        <v>20</v>
      </c>
      <c r="P102">
        <v>0</v>
      </c>
      <c r="Q102">
        <v>0</v>
      </c>
      <c r="R102" s="31">
        <f>O102-K102</f>
        <v>18</v>
      </c>
      <c r="S102">
        <f t="shared" si="15"/>
        <v>0</v>
      </c>
      <c r="T102" s="19">
        <f t="shared" si="16"/>
        <v>-10577.7189375</v>
      </c>
      <c r="U102" s="32"/>
      <c r="V102" s="32"/>
      <c r="W102"/>
      <c r="X102"/>
      <c r="Y102"/>
      <c r="Z102" s="31"/>
      <c r="AA102"/>
      <c r="AB102"/>
      <c r="AC102"/>
      <c r="AD102"/>
      <c r="AE102"/>
      <c r="AF102"/>
      <c r="AG102"/>
    </row>
    <row r="103" spans="1:33" s="4" customFormat="1" x14ac:dyDescent="0.25">
      <c r="A103" t="s">
        <v>1799</v>
      </c>
      <c r="B103" t="s">
        <v>1800</v>
      </c>
      <c r="C103" s="13" t="s">
        <v>1801</v>
      </c>
      <c r="D103" s="13" t="s">
        <v>1473</v>
      </c>
      <c r="E103" s="13" t="s">
        <v>1474</v>
      </c>
      <c r="F103" s="15">
        <v>42562</v>
      </c>
      <c r="G103" s="38">
        <f t="shared" si="12"/>
        <v>2016</v>
      </c>
      <c r="H103" s="16" t="s">
        <v>1802</v>
      </c>
      <c r="I103" s="17">
        <v>35.54</v>
      </c>
      <c r="J103" s="31" t="s">
        <v>1785</v>
      </c>
      <c r="K103">
        <v>1</v>
      </c>
      <c r="L103">
        <v>0</v>
      </c>
      <c r="M103">
        <v>0</v>
      </c>
      <c r="N103" s="31" t="s">
        <v>1803</v>
      </c>
      <c r="O103">
        <v>0</v>
      </c>
      <c r="P103">
        <v>0</v>
      </c>
      <c r="Q103">
        <v>0</v>
      </c>
      <c r="R103" s="31">
        <f>O103-K103</f>
        <v>-1</v>
      </c>
      <c r="S103">
        <f t="shared" si="15"/>
        <v>0</v>
      </c>
      <c r="T103">
        <f t="shared" si="16"/>
        <v>0</v>
      </c>
      <c r="U103" s="31"/>
      <c r="V103" s="31">
        <v>35.54</v>
      </c>
      <c r="W103">
        <v>35.54</v>
      </c>
      <c r="X103">
        <v>35.54</v>
      </c>
      <c r="Y103">
        <v>0</v>
      </c>
      <c r="Z103" s="31"/>
      <c r="AA103"/>
      <c r="AB103"/>
      <c r="AC103"/>
      <c r="AD103"/>
      <c r="AE103"/>
      <c r="AF103"/>
      <c r="AG103"/>
    </row>
    <row r="104" spans="1:33" s="4" customFormat="1" x14ac:dyDescent="0.25">
      <c r="A104" s="16" t="s">
        <v>1804</v>
      </c>
      <c r="B104" s="16" t="s">
        <v>1805</v>
      </c>
      <c r="C104" s="13" t="s">
        <v>1788</v>
      </c>
      <c r="D104" s="13" t="s">
        <v>1663</v>
      </c>
      <c r="E104" s="13" t="s">
        <v>1789</v>
      </c>
      <c r="F104" s="15">
        <v>42585</v>
      </c>
      <c r="G104" s="38">
        <f t="shared" si="12"/>
        <v>2016</v>
      </c>
      <c r="H104" s="15"/>
      <c r="I104" s="18"/>
      <c r="J104" s="31" t="s">
        <v>1791</v>
      </c>
      <c r="K104" t="s">
        <v>1777</v>
      </c>
      <c r="L104"/>
      <c r="M104"/>
      <c r="N104" s="31" t="s">
        <v>1798</v>
      </c>
      <c r="O104" t="s">
        <v>1777</v>
      </c>
      <c r="P104"/>
      <c r="Q104"/>
      <c r="R104" s="31">
        <v>0</v>
      </c>
      <c r="S104">
        <f t="shared" si="15"/>
        <v>0</v>
      </c>
      <c r="T104">
        <f t="shared" si="16"/>
        <v>0</v>
      </c>
      <c r="U104" s="31"/>
      <c r="V104" s="31"/>
      <c r="W104"/>
      <c r="X104"/>
      <c r="Y104"/>
      <c r="Z104" s="31" t="s">
        <v>1806</v>
      </c>
      <c r="AA104"/>
      <c r="AB104"/>
      <c r="AC104"/>
      <c r="AD104"/>
      <c r="AE104"/>
      <c r="AF104"/>
      <c r="AG104"/>
    </row>
    <row r="105" spans="1:33" s="4" customFormat="1" x14ac:dyDescent="0.25">
      <c r="A105" s="16" t="s">
        <v>1807</v>
      </c>
      <c r="B105" s="16" t="s">
        <v>1808</v>
      </c>
      <c r="C105" s="13" t="s">
        <v>1788</v>
      </c>
      <c r="D105" s="13" t="s">
        <v>1663</v>
      </c>
      <c r="E105" s="13" t="s">
        <v>1789</v>
      </c>
      <c r="F105" s="15">
        <v>42585</v>
      </c>
      <c r="G105" s="38">
        <f t="shared" si="12"/>
        <v>2016</v>
      </c>
      <c r="H105" s="15"/>
      <c r="I105" s="18">
        <v>1.2895133000000001</v>
      </c>
      <c r="J105" s="31" t="s">
        <v>1809</v>
      </c>
      <c r="K105">
        <f>ROUNDDOWN(I105*17.424,0)</f>
        <v>22</v>
      </c>
      <c r="L105">
        <v>0</v>
      </c>
      <c r="M105">
        <v>0</v>
      </c>
      <c r="N105" s="31" t="s">
        <v>1810</v>
      </c>
      <c r="O105">
        <v>28</v>
      </c>
      <c r="P105">
        <v>0</v>
      </c>
      <c r="Q105">
        <v>0</v>
      </c>
      <c r="R105" s="31">
        <f>O105-K105</f>
        <v>6</v>
      </c>
      <c r="S105">
        <f t="shared" si="15"/>
        <v>0</v>
      </c>
      <c r="T105">
        <f t="shared" si="16"/>
        <v>0</v>
      </c>
      <c r="U105" s="31"/>
      <c r="V105" s="31"/>
      <c r="W105"/>
      <c r="X105"/>
      <c r="Y105"/>
      <c r="Z105" s="31"/>
      <c r="AA105"/>
      <c r="AB105"/>
      <c r="AC105"/>
      <c r="AD105"/>
      <c r="AE105"/>
      <c r="AF105"/>
      <c r="AG105"/>
    </row>
    <row r="106" spans="1:33" s="4" customFormat="1" x14ac:dyDescent="0.25">
      <c r="A106" s="200"/>
      <c r="B106" s="208" t="s">
        <v>1504</v>
      </c>
      <c r="C106" s="34" t="s">
        <v>1472</v>
      </c>
      <c r="D106" s="13" t="s">
        <v>1473</v>
      </c>
      <c r="E106" s="13" t="s">
        <v>1474</v>
      </c>
      <c r="F106" s="209">
        <v>42588</v>
      </c>
      <c r="G106" s="38">
        <f t="shared" si="12"/>
        <v>2016</v>
      </c>
      <c r="H106" t="s">
        <v>1505</v>
      </c>
      <c r="I106" s="35"/>
      <c r="J106" s="33"/>
      <c r="N106" s="33"/>
      <c r="R106" s="33"/>
      <c r="U106" s="33">
        <v>1</v>
      </c>
      <c r="V106" s="33">
        <v>20.91</v>
      </c>
      <c r="W106" s="4">
        <v>9.3000000000000007</v>
      </c>
      <c r="X106" s="4">
        <v>0</v>
      </c>
      <c r="Y106" s="4">
        <v>0</v>
      </c>
      <c r="Z106" s="201" t="s">
        <v>1495</v>
      </c>
    </row>
    <row r="107" spans="1:33" s="4" customFormat="1" x14ac:dyDescent="0.25">
      <c r="A107" s="16" t="s">
        <v>1811</v>
      </c>
      <c r="B107" s="16" t="s">
        <v>1812</v>
      </c>
      <c r="C107" s="13" t="s">
        <v>1788</v>
      </c>
      <c r="D107" s="13" t="s">
        <v>1473</v>
      </c>
      <c r="E107" s="13" t="s">
        <v>1474</v>
      </c>
      <c r="F107" s="15">
        <v>42613</v>
      </c>
      <c r="G107" s="38">
        <f t="shared" si="12"/>
        <v>2016</v>
      </c>
      <c r="H107" s="15"/>
      <c r="I107" s="18"/>
      <c r="J107" s="31" t="s">
        <v>1813</v>
      </c>
      <c r="K107"/>
      <c r="L107"/>
      <c r="M107"/>
      <c r="N107" s="31" t="s">
        <v>1813</v>
      </c>
      <c r="O107"/>
      <c r="P107"/>
      <c r="Q107"/>
      <c r="R107" s="31">
        <f t="shared" ref="R107:T111" si="17">O107-K107</f>
        <v>0</v>
      </c>
      <c r="S107">
        <f t="shared" si="17"/>
        <v>0</v>
      </c>
      <c r="T107">
        <f t="shared" si="17"/>
        <v>0</v>
      </c>
      <c r="U107" s="31"/>
      <c r="V107" s="31"/>
      <c r="W107"/>
      <c r="X107"/>
      <c r="Y107"/>
      <c r="Z107" s="31"/>
      <c r="AA107"/>
      <c r="AB107"/>
      <c r="AC107"/>
      <c r="AD107"/>
      <c r="AE107"/>
      <c r="AF107"/>
      <c r="AG107"/>
    </row>
    <row r="108" spans="1:33" s="4" customFormat="1" x14ac:dyDescent="0.25">
      <c r="A108" t="s">
        <v>1814</v>
      </c>
      <c r="B108" t="s">
        <v>1815</v>
      </c>
      <c r="C108" s="13" t="s">
        <v>1801</v>
      </c>
      <c r="D108" s="13" t="s">
        <v>1473</v>
      </c>
      <c r="E108" s="13" t="s">
        <v>1474</v>
      </c>
      <c r="F108" s="15">
        <v>42628</v>
      </c>
      <c r="G108" s="38">
        <f t="shared" si="12"/>
        <v>2016</v>
      </c>
      <c r="H108" s="16" t="s">
        <v>1816</v>
      </c>
      <c r="I108" s="17">
        <v>43.55</v>
      </c>
      <c r="J108" s="31" t="s">
        <v>1817</v>
      </c>
      <c r="K108">
        <v>1</v>
      </c>
      <c r="L108">
        <v>0</v>
      </c>
      <c r="M108">
        <v>0</v>
      </c>
      <c r="N108" s="31" t="s">
        <v>1803</v>
      </c>
      <c r="O108">
        <v>0</v>
      </c>
      <c r="P108">
        <v>0</v>
      </c>
      <c r="Q108">
        <v>0</v>
      </c>
      <c r="R108" s="31">
        <f t="shared" si="17"/>
        <v>-1</v>
      </c>
      <c r="S108">
        <f t="shared" si="17"/>
        <v>0</v>
      </c>
      <c r="T108">
        <f t="shared" si="17"/>
        <v>0</v>
      </c>
      <c r="U108" s="31"/>
      <c r="V108" s="31">
        <v>34.549999999999997</v>
      </c>
      <c r="W108">
        <v>0</v>
      </c>
      <c r="X108">
        <v>0</v>
      </c>
      <c r="Y108">
        <v>34.549999999999997</v>
      </c>
      <c r="Z108" s="31"/>
      <c r="AA108"/>
      <c r="AB108"/>
      <c r="AC108"/>
      <c r="AD108"/>
      <c r="AE108"/>
      <c r="AF108"/>
      <c r="AG108"/>
    </row>
    <row r="109" spans="1:33" s="4" customFormat="1" x14ac:dyDescent="0.25">
      <c r="A109" s="16" t="s">
        <v>1818</v>
      </c>
      <c r="B109" s="16" t="s">
        <v>1819</v>
      </c>
      <c r="C109" s="13" t="s">
        <v>1788</v>
      </c>
      <c r="D109" s="13" t="s">
        <v>1663</v>
      </c>
      <c r="E109" s="13" t="s">
        <v>1789</v>
      </c>
      <c r="F109" s="15">
        <v>42634</v>
      </c>
      <c r="G109" s="38">
        <f t="shared" si="12"/>
        <v>2016</v>
      </c>
      <c r="H109" s="15"/>
      <c r="I109" s="18">
        <v>0.45</v>
      </c>
      <c r="J109" s="31" t="s">
        <v>1820</v>
      </c>
      <c r="K109">
        <v>0</v>
      </c>
      <c r="L109">
        <v>0</v>
      </c>
      <c r="M109" s="19">
        <f>I109*43560*0.35</f>
        <v>6860.7</v>
      </c>
      <c r="N109" s="31" t="s">
        <v>1797</v>
      </c>
      <c r="O109">
        <f>ROUNDDOWN(I109*43560*0.325*0.25/1200,0)</f>
        <v>1</v>
      </c>
      <c r="P109">
        <v>0</v>
      </c>
      <c r="Q109" s="19">
        <f>I109*43560*0.325*0.75</f>
        <v>4777.9875000000002</v>
      </c>
      <c r="R109" s="31">
        <f t="shared" si="17"/>
        <v>1</v>
      </c>
      <c r="S109">
        <f t="shared" si="17"/>
        <v>0</v>
      </c>
      <c r="T109" s="19">
        <f t="shared" si="17"/>
        <v>-2082.7124999999996</v>
      </c>
      <c r="U109" s="32"/>
      <c r="V109" s="32"/>
      <c r="W109"/>
      <c r="X109"/>
      <c r="Y109"/>
      <c r="Z109" s="31"/>
      <c r="AA109"/>
      <c r="AB109"/>
      <c r="AC109"/>
      <c r="AD109"/>
      <c r="AE109"/>
      <c r="AF109"/>
      <c r="AG109"/>
    </row>
    <row r="110" spans="1:33" s="4" customFormat="1" x14ac:dyDescent="0.25">
      <c r="A110" s="16" t="s">
        <v>1818</v>
      </c>
      <c r="B110" s="16" t="s">
        <v>1819</v>
      </c>
      <c r="C110" s="13" t="s">
        <v>1788</v>
      </c>
      <c r="D110" s="13" t="s">
        <v>1663</v>
      </c>
      <c r="E110" s="13" t="s">
        <v>1789</v>
      </c>
      <c r="F110" s="15">
        <v>42634</v>
      </c>
      <c r="G110" s="38">
        <f t="shared" si="12"/>
        <v>2016</v>
      </c>
      <c r="H110" s="15"/>
      <c r="I110" s="18">
        <v>1.4</v>
      </c>
      <c r="J110" s="31" t="s">
        <v>1820</v>
      </c>
      <c r="K110">
        <v>0</v>
      </c>
      <c r="L110">
        <v>0</v>
      </c>
      <c r="M110" s="19">
        <f>I110*43560*0.35</f>
        <v>21344.399999999998</v>
      </c>
      <c r="N110" s="31" t="s">
        <v>1797</v>
      </c>
      <c r="O110">
        <f>ROUNDDOWN(I110*43560*0.325*0.25/1200,0)</f>
        <v>4</v>
      </c>
      <c r="P110">
        <v>0</v>
      </c>
      <c r="Q110" s="19">
        <f>I110*43560*0.325*0.75</f>
        <v>14864.849999999999</v>
      </c>
      <c r="R110" s="31">
        <f t="shared" si="17"/>
        <v>4</v>
      </c>
      <c r="S110">
        <f t="shared" si="17"/>
        <v>0</v>
      </c>
      <c r="T110" s="19">
        <f t="shared" si="17"/>
        <v>-6479.5499999999993</v>
      </c>
      <c r="U110" s="32"/>
      <c r="V110" s="32"/>
      <c r="W110"/>
      <c r="X110"/>
      <c r="Y110"/>
      <c r="Z110" s="31"/>
      <c r="AA110"/>
      <c r="AB110"/>
      <c r="AC110"/>
      <c r="AD110"/>
      <c r="AE110"/>
      <c r="AF110"/>
      <c r="AG110"/>
    </row>
    <row r="111" spans="1:33" s="4" customFormat="1" x14ac:dyDescent="0.25">
      <c r="A111" t="s">
        <v>1821</v>
      </c>
      <c r="B111" t="s">
        <v>1822</v>
      </c>
      <c r="C111" s="13" t="s">
        <v>1801</v>
      </c>
      <c r="D111" s="13" t="s">
        <v>1473</v>
      </c>
      <c r="E111" s="13" t="s">
        <v>1474</v>
      </c>
      <c r="F111" s="15">
        <v>42664</v>
      </c>
      <c r="G111" s="38">
        <f t="shared" si="12"/>
        <v>2016</v>
      </c>
      <c r="H111" s="16" t="s">
        <v>1823</v>
      </c>
      <c r="I111" s="17">
        <v>27.98</v>
      </c>
      <c r="J111" s="31" t="s">
        <v>1785</v>
      </c>
      <c r="K111">
        <v>0</v>
      </c>
      <c r="L111">
        <v>0</v>
      </c>
      <c r="M111">
        <v>0</v>
      </c>
      <c r="N111" s="31" t="s">
        <v>1803</v>
      </c>
      <c r="O111">
        <v>0</v>
      </c>
      <c r="P111">
        <v>0</v>
      </c>
      <c r="Q111">
        <v>0</v>
      </c>
      <c r="R111" s="31">
        <f t="shared" si="17"/>
        <v>0</v>
      </c>
      <c r="S111">
        <f t="shared" si="17"/>
        <v>0</v>
      </c>
      <c r="T111">
        <f t="shared" si="17"/>
        <v>0</v>
      </c>
      <c r="U111" s="31"/>
      <c r="V111" s="31"/>
      <c r="W111"/>
      <c r="X111"/>
      <c r="Y111"/>
      <c r="Z111" s="31" t="s">
        <v>1824</v>
      </c>
      <c r="AA111"/>
      <c r="AB111"/>
      <c r="AC111"/>
      <c r="AD111"/>
      <c r="AE111"/>
      <c r="AF111"/>
      <c r="AG111"/>
    </row>
    <row r="112" spans="1:33" s="4" customFormat="1" x14ac:dyDescent="0.25">
      <c r="A112" s="200"/>
      <c r="B112" s="208" t="s">
        <v>1506</v>
      </c>
      <c r="C112" s="34" t="s">
        <v>1472</v>
      </c>
      <c r="D112" s="13" t="s">
        <v>1473</v>
      </c>
      <c r="E112" s="13" t="s">
        <v>1474</v>
      </c>
      <c r="F112" s="209">
        <v>42697</v>
      </c>
      <c r="G112" s="38">
        <f t="shared" si="12"/>
        <v>2016</v>
      </c>
      <c r="H112" t="s">
        <v>1507</v>
      </c>
      <c r="I112" s="35"/>
      <c r="J112" s="33"/>
      <c r="N112" s="33"/>
      <c r="R112" s="33"/>
      <c r="U112" s="33">
        <v>2</v>
      </c>
      <c r="V112" s="33">
        <v>7.98</v>
      </c>
      <c r="W112" s="4">
        <v>1.5</v>
      </c>
      <c r="X112" s="4">
        <v>0</v>
      </c>
      <c r="Y112" s="4">
        <v>0</v>
      </c>
      <c r="Z112" s="201" t="s">
        <v>1508</v>
      </c>
    </row>
    <row r="113" spans="1:33" s="4" customFormat="1" x14ac:dyDescent="0.25">
      <c r="A113" s="16" t="s">
        <v>1825</v>
      </c>
      <c r="B113" s="16" t="s">
        <v>80</v>
      </c>
      <c r="C113" s="13" t="s">
        <v>1788</v>
      </c>
      <c r="D113" s="13" t="s">
        <v>1663</v>
      </c>
      <c r="E113" s="13" t="s">
        <v>1789</v>
      </c>
      <c r="F113" s="15">
        <v>42697</v>
      </c>
      <c r="G113" s="38">
        <f t="shared" si="12"/>
        <v>2016</v>
      </c>
      <c r="H113" s="15"/>
      <c r="I113" s="17"/>
      <c r="J113" s="31" t="s">
        <v>1813</v>
      </c>
      <c r="K113" t="s">
        <v>1777</v>
      </c>
      <c r="L113"/>
      <c r="M113"/>
      <c r="N113" s="31" t="s">
        <v>1813</v>
      </c>
      <c r="O113" t="s">
        <v>1777</v>
      </c>
      <c r="P113"/>
      <c r="Q113"/>
      <c r="R113" s="31">
        <f>ROUNDDOWN(55271*0.25/1200,0)-51+ROUNDDOWN(59436*0.25/1200,0)-75+ROUNDDOWN(150139*0.25/1200,0)</f>
        <v>-72</v>
      </c>
      <c r="S113" s="19">
        <f>150139*0.25/650+150139*0.25/1200</f>
        <v>89.024727564102562</v>
      </c>
      <c r="T113" s="19">
        <f>55271*0.75+59436*0.75+150139*0.25</f>
        <v>123565</v>
      </c>
      <c r="U113" s="32"/>
      <c r="V113" s="32"/>
      <c r="W113"/>
      <c r="X113"/>
      <c r="Y113"/>
      <c r="Z113" s="31" t="s">
        <v>1826</v>
      </c>
      <c r="AA113"/>
      <c r="AB113"/>
      <c r="AC113"/>
      <c r="AD113"/>
      <c r="AE113"/>
      <c r="AF113"/>
      <c r="AG113"/>
    </row>
    <row r="114" spans="1:33" s="4" customFormat="1" x14ac:dyDescent="0.25">
      <c r="A114" t="s">
        <v>1827</v>
      </c>
      <c r="B114" t="s">
        <v>1828</v>
      </c>
      <c r="C114" s="13" t="s">
        <v>1801</v>
      </c>
      <c r="D114" s="13" t="s">
        <v>1473</v>
      </c>
      <c r="E114" s="13" t="s">
        <v>1474</v>
      </c>
      <c r="F114" s="15">
        <v>42716</v>
      </c>
      <c r="G114" s="38">
        <f t="shared" si="12"/>
        <v>2016</v>
      </c>
      <c r="H114" s="16" t="s">
        <v>1829</v>
      </c>
      <c r="I114" s="18">
        <v>658.92</v>
      </c>
      <c r="J114" s="31" t="s">
        <v>1785</v>
      </c>
      <c r="K114" s="19">
        <f>ROUNDDOWN(I114*2/35,0)*0.6+ROUNDDOWN(I114/35,0)</f>
        <v>40.200000000000003</v>
      </c>
      <c r="L114">
        <v>0</v>
      </c>
      <c r="M114" s="20">
        <f>I114*0.007*0.05*43560</f>
        <v>10045.894319999999</v>
      </c>
      <c r="N114" s="31" t="s">
        <v>1803</v>
      </c>
      <c r="O114">
        <v>0</v>
      </c>
      <c r="P114">
        <v>0</v>
      </c>
      <c r="Q114">
        <v>0</v>
      </c>
      <c r="R114" s="32">
        <f>O114-K114</f>
        <v>-40.200000000000003</v>
      </c>
      <c r="S114">
        <f>P114-L114</f>
        <v>0</v>
      </c>
      <c r="T114" s="19">
        <f>Q114-M114</f>
        <v>-10045.894319999999</v>
      </c>
      <c r="U114" s="32"/>
      <c r="V114" s="32">
        <v>658.92</v>
      </c>
      <c r="W114">
        <v>0</v>
      </c>
      <c r="X114" s="32">
        <v>658.92</v>
      </c>
      <c r="Y114" s="19">
        <v>0</v>
      </c>
      <c r="Z114" s="31"/>
      <c r="AA114"/>
      <c r="AB114"/>
      <c r="AC114"/>
      <c r="AD114"/>
      <c r="AE114"/>
      <c r="AF114"/>
      <c r="AG114"/>
    </row>
    <row r="115" spans="1:33" s="4" customFormat="1" x14ac:dyDescent="0.25">
      <c r="A115" s="200"/>
      <c r="B115" s="208" t="s">
        <v>1509</v>
      </c>
      <c r="C115" s="34" t="s">
        <v>1472</v>
      </c>
      <c r="D115" s="13" t="s">
        <v>1473</v>
      </c>
      <c r="E115" s="13" t="s">
        <v>1474</v>
      </c>
      <c r="F115" s="209">
        <v>42735</v>
      </c>
      <c r="G115" s="38">
        <f t="shared" si="12"/>
        <v>2016</v>
      </c>
      <c r="H115" t="s">
        <v>1510</v>
      </c>
      <c r="I115" s="35"/>
      <c r="J115" s="33"/>
      <c r="N115" s="33"/>
      <c r="R115" s="33"/>
      <c r="U115" s="33">
        <v>1</v>
      </c>
      <c r="V115" s="33">
        <v>35.01</v>
      </c>
      <c r="W115" s="4">
        <v>35.01</v>
      </c>
      <c r="X115" s="4">
        <v>35.01</v>
      </c>
      <c r="Y115" s="4">
        <v>35.01</v>
      </c>
      <c r="Z115" s="201">
        <v>35</v>
      </c>
    </row>
    <row r="116" spans="1:33" s="4" customFormat="1" x14ac:dyDescent="0.25">
      <c r="A116" s="200"/>
      <c r="B116" s="208" t="s">
        <v>1511</v>
      </c>
      <c r="C116" s="34" t="s">
        <v>1472</v>
      </c>
      <c r="D116" s="13" t="s">
        <v>1473</v>
      </c>
      <c r="E116" s="13" t="s">
        <v>1474</v>
      </c>
      <c r="F116" s="209">
        <v>42748</v>
      </c>
      <c r="G116" s="38">
        <f t="shared" si="12"/>
        <v>2017</v>
      </c>
      <c r="H116" t="s">
        <v>1512</v>
      </c>
      <c r="I116" s="35"/>
      <c r="J116" s="33"/>
      <c r="N116" s="33"/>
      <c r="R116" s="33"/>
      <c r="U116" s="33">
        <v>1</v>
      </c>
      <c r="V116" s="33">
        <v>22.61</v>
      </c>
      <c r="W116" s="4">
        <v>22.61</v>
      </c>
      <c r="X116" s="4">
        <v>0</v>
      </c>
      <c r="Y116" s="4">
        <v>0</v>
      </c>
      <c r="Z116" s="201" t="s">
        <v>1492</v>
      </c>
    </row>
    <row r="117" spans="1:33" x14ac:dyDescent="0.25">
      <c r="A117" t="s">
        <v>1830</v>
      </c>
      <c r="B117" t="s">
        <v>1831</v>
      </c>
      <c r="C117" s="13" t="s">
        <v>1788</v>
      </c>
      <c r="D117" s="13" t="s">
        <v>1473</v>
      </c>
      <c r="E117" s="13" t="s">
        <v>1474</v>
      </c>
      <c r="F117" s="21">
        <v>42748</v>
      </c>
      <c r="G117" s="38">
        <f t="shared" ref="G117:G148" si="18">YEAR(F117)</f>
        <v>2017</v>
      </c>
      <c r="H117" s="16" t="s">
        <v>1832</v>
      </c>
      <c r="I117" s="18">
        <v>26.81</v>
      </c>
      <c r="J117" s="31" t="s">
        <v>1544</v>
      </c>
      <c r="K117" t="s">
        <v>1833</v>
      </c>
      <c r="N117" s="31" t="s">
        <v>1834</v>
      </c>
      <c r="O117" t="s">
        <v>1835</v>
      </c>
      <c r="R117" s="31">
        <v>0</v>
      </c>
      <c r="S117">
        <v>0</v>
      </c>
      <c r="T117">
        <v>0</v>
      </c>
      <c r="AG117">
        <f>82-67</f>
        <v>15</v>
      </c>
    </row>
    <row r="118" spans="1:33" x14ac:dyDescent="0.25">
      <c r="A118" t="s">
        <v>1836</v>
      </c>
      <c r="B118" t="s">
        <v>1812</v>
      </c>
      <c r="C118" s="13" t="s">
        <v>1788</v>
      </c>
      <c r="D118" s="13" t="s">
        <v>1473</v>
      </c>
      <c r="E118" s="13" t="s">
        <v>1474</v>
      </c>
      <c r="F118" s="21">
        <v>42752</v>
      </c>
      <c r="G118" s="38">
        <f t="shared" si="18"/>
        <v>2017</v>
      </c>
      <c r="H118" s="16" t="s">
        <v>1837</v>
      </c>
      <c r="I118" s="18"/>
      <c r="J118" s="31" t="s">
        <v>1838</v>
      </c>
      <c r="K118" t="s">
        <v>1839</v>
      </c>
      <c r="N118" s="31" t="s">
        <v>1840</v>
      </c>
      <c r="O118">
        <v>1</v>
      </c>
      <c r="P118">
        <v>0</v>
      </c>
      <c r="Q118">
        <v>0</v>
      </c>
      <c r="R118" s="31">
        <v>1</v>
      </c>
      <c r="S118">
        <v>0</v>
      </c>
      <c r="T118">
        <v>0</v>
      </c>
      <c r="Z118" s="31" t="s">
        <v>1841</v>
      </c>
    </row>
    <row r="119" spans="1:33" x14ac:dyDescent="0.25">
      <c r="A119" t="s">
        <v>1842</v>
      </c>
      <c r="B119" t="s">
        <v>1843</v>
      </c>
      <c r="C119" s="13" t="s">
        <v>1788</v>
      </c>
      <c r="D119" s="13" t="s">
        <v>1663</v>
      </c>
      <c r="E119" s="13" t="s">
        <v>1789</v>
      </c>
      <c r="F119" s="21">
        <v>42774</v>
      </c>
      <c r="G119" s="38">
        <f t="shared" si="18"/>
        <v>2017</v>
      </c>
      <c r="H119" t="s">
        <v>1844</v>
      </c>
      <c r="I119" s="18">
        <v>10</v>
      </c>
      <c r="J119" s="31" t="s">
        <v>1791</v>
      </c>
      <c r="K119">
        <f>43560*10*0.65/1200-0.95</f>
        <v>235</v>
      </c>
      <c r="L119">
        <v>0</v>
      </c>
      <c r="M119">
        <v>0</v>
      </c>
      <c r="N119" s="31" t="s">
        <v>1798</v>
      </c>
      <c r="O119">
        <v>168</v>
      </c>
      <c r="P119">
        <v>0</v>
      </c>
      <c r="Q119">
        <v>0</v>
      </c>
      <c r="R119" s="31">
        <f>168-235</f>
        <v>-67</v>
      </c>
    </row>
    <row r="120" spans="1:33" x14ac:dyDescent="0.25">
      <c r="A120" s="16" t="s">
        <v>2079</v>
      </c>
      <c r="B120" s="16" t="s">
        <v>2080</v>
      </c>
      <c r="C120" s="13" t="s">
        <v>2200</v>
      </c>
      <c r="D120" s="13" t="s">
        <v>1663</v>
      </c>
      <c r="E120" s="13" t="s">
        <v>1789</v>
      </c>
      <c r="F120" s="15">
        <v>42781</v>
      </c>
      <c r="G120" s="38">
        <f t="shared" si="18"/>
        <v>2017</v>
      </c>
      <c r="H120" s="16" t="s">
        <v>2081</v>
      </c>
      <c r="I120" s="18"/>
      <c r="J120" s="31" t="s">
        <v>1939</v>
      </c>
      <c r="K120" s="19"/>
      <c r="M120" s="20"/>
      <c r="N120" s="31" t="s">
        <v>1939</v>
      </c>
      <c r="R120" s="32">
        <v>2</v>
      </c>
      <c r="T120" s="19"/>
      <c r="U120" s="32"/>
      <c r="V120" s="32"/>
      <c r="Z120" s="31" t="s">
        <v>2082</v>
      </c>
    </row>
    <row r="121" spans="1:33" x14ac:dyDescent="0.25">
      <c r="A121" t="s">
        <v>1845</v>
      </c>
      <c r="B121" t="s">
        <v>1846</v>
      </c>
      <c r="C121" s="13" t="s">
        <v>1542</v>
      </c>
      <c r="D121" s="13" t="s">
        <v>1473</v>
      </c>
      <c r="E121" s="13" t="s">
        <v>1474</v>
      </c>
      <c r="F121" s="21">
        <v>42842</v>
      </c>
      <c r="G121" s="38">
        <f t="shared" si="18"/>
        <v>2017</v>
      </c>
      <c r="H121" s="22" t="s">
        <v>1847</v>
      </c>
      <c r="I121" s="18">
        <v>35</v>
      </c>
      <c r="J121" s="31" t="s">
        <v>1848</v>
      </c>
      <c r="K121">
        <v>2</v>
      </c>
      <c r="N121" s="31" t="s">
        <v>1803</v>
      </c>
      <c r="O121">
        <v>2</v>
      </c>
      <c r="P121">
        <v>0</v>
      </c>
      <c r="Q121">
        <v>0</v>
      </c>
      <c r="R121" s="31">
        <v>0</v>
      </c>
      <c r="S121">
        <v>0</v>
      </c>
      <c r="T121">
        <v>0</v>
      </c>
      <c r="V121" s="31">
        <v>35</v>
      </c>
      <c r="W121">
        <v>35</v>
      </c>
      <c r="X121">
        <v>0</v>
      </c>
      <c r="Y121">
        <v>0</v>
      </c>
      <c r="Z121" s="31" t="s">
        <v>1849</v>
      </c>
      <c r="AB121" t="b">
        <v>1</v>
      </c>
      <c r="AC121" t="b">
        <v>1</v>
      </c>
    </row>
    <row r="122" spans="1:33" x14ac:dyDescent="0.25">
      <c r="A122" t="s">
        <v>1850</v>
      </c>
      <c r="B122" t="s">
        <v>1851</v>
      </c>
      <c r="C122" s="13" t="s">
        <v>1542</v>
      </c>
      <c r="D122" s="13" t="s">
        <v>1473</v>
      </c>
      <c r="E122" s="13" t="s">
        <v>1474</v>
      </c>
      <c r="F122" s="21">
        <v>42909</v>
      </c>
      <c r="G122" s="38">
        <f t="shared" si="18"/>
        <v>2017</v>
      </c>
      <c r="H122" t="s">
        <v>1852</v>
      </c>
      <c r="I122" s="18">
        <v>35</v>
      </c>
      <c r="J122" s="31" t="s">
        <v>1848</v>
      </c>
      <c r="K122">
        <v>2</v>
      </c>
      <c r="L122">
        <v>0</v>
      </c>
      <c r="M122">
        <v>0</v>
      </c>
      <c r="N122" s="31" t="s">
        <v>1848</v>
      </c>
      <c r="O122">
        <v>0</v>
      </c>
      <c r="P122">
        <v>0</v>
      </c>
      <c r="Q122">
        <v>0</v>
      </c>
      <c r="R122" s="31">
        <v>-2</v>
      </c>
      <c r="S122">
        <v>0</v>
      </c>
      <c r="T122">
        <v>0</v>
      </c>
      <c r="V122" s="31">
        <v>35</v>
      </c>
      <c r="W122">
        <v>35</v>
      </c>
      <c r="X122">
        <v>35</v>
      </c>
      <c r="Y122">
        <v>0</v>
      </c>
    </row>
    <row r="123" spans="1:33" x14ac:dyDescent="0.25">
      <c r="A123" s="200"/>
      <c r="B123" s="208" t="s">
        <v>1513</v>
      </c>
      <c r="C123" s="34" t="s">
        <v>1472</v>
      </c>
      <c r="D123" s="13" t="s">
        <v>1473</v>
      </c>
      <c r="E123" s="13" t="s">
        <v>1474</v>
      </c>
      <c r="F123" s="209">
        <v>42944</v>
      </c>
      <c r="G123" s="38">
        <f t="shared" si="18"/>
        <v>2017</v>
      </c>
      <c r="H123" t="s">
        <v>1514</v>
      </c>
      <c r="I123" s="35"/>
      <c r="J123" s="33"/>
      <c r="K123" s="4"/>
      <c r="L123" s="4"/>
      <c r="M123" s="4"/>
      <c r="N123" s="33"/>
      <c r="O123" s="4"/>
      <c r="P123" s="4"/>
      <c r="Q123" s="4"/>
      <c r="R123" s="33"/>
      <c r="S123" s="4"/>
      <c r="T123" s="4"/>
      <c r="U123" s="33">
        <v>3</v>
      </c>
      <c r="V123" s="33">
        <v>68.64</v>
      </c>
      <c r="W123" s="4">
        <v>0</v>
      </c>
      <c r="X123" s="4">
        <v>0</v>
      </c>
      <c r="Y123" s="4">
        <v>0</v>
      </c>
      <c r="Z123" s="201" t="s">
        <v>1492</v>
      </c>
      <c r="AA123" s="4"/>
      <c r="AB123" s="4"/>
      <c r="AC123" s="4"/>
      <c r="AD123" s="4"/>
      <c r="AE123" s="4"/>
      <c r="AF123" s="4"/>
      <c r="AG123" s="4"/>
    </row>
    <row r="124" spans="1:33" x14ac:dyDescent="0.25">
      <c r="A124" t="s">
        <v>1853</v>
      </c>
      <c r="B124" t="s">
        <v>1854</v>
      </c>
      <c r="C124" s="13" t="s">
        <v>1542</v>
      </c>
      <c r="D124" s="13" t="s">
        <v>1473</v>
      </c>
      <c r="E124" s="13" t="s">
        <v>1474</v>
      </c>
      <c r="F124" s="21">
        <v>42950</v>
      </c>
      <c r="G124" s="38">
        <f t="shared" si="18"/>
        <v>2017</v>
      </c>
      <c r="H124" s="22" t="s">
        <v>1711</v>
      </c>
      <c r="I124" s="18">
        <v>1.9</v>
      </c>
      <c r="J124" s="31" t="s">
        <v>1855</v>
      </c>
      <c r="K124" t="s">
        <v>1856</v>
      </c>
      <c r="N124" s="31" t="s">
        <v>1803</v>
      </c>
      <c r="O124" t="s">
        <v>1856</v>
      </c>
      <c r="R124" s="31">
        <v>0</v>
      </c>
      <c r="S124">
        <v>0</v>
      </c>
      <c r="T124">
        <v>0</v>
      </c>
      <c r="V124" s="31">
        <v>1.9</v>
      </c>
      <c r="W124">
        <v>1.9</v>
      </c>
      <c r="X124">
        <v>0</v>
      </c>
      <c r="Y124">
        <v>0</v>
      </c>
      <c r="Z124" s="31" t="s">
        <v>1857</v>
      </c>
      <c r="AB124" t="b">
        <v>1</v>
      </c>
      <c r="AC124" t="b">
        <v>1</v>
      </c>
    </row>
    <row r="125" spans="1:33" x14ac:dyDescent="0.25">
      <c r="A125" t="s">
        <v>1858</v>
      </c>
      <c r="B125" t="s">
        <v>1859</v>
      </c>
      <c r="C125" s="13" t="s">
        <v>1542</v>
      </c>
      <c r="D125" s="13" t="s">
        <v>1473</v>
      </c>
      <c r="E125" s="13" t="s">
        <v>1474</v>
      </c>
      <c r="F125" s="21">
        <v>42950</v>
      </c>
      <c r="G125" s="38">
        <f t="shared" si="18"/>
        <v>2017</v>
      </c>
      <c r="H125" s="23" t="s">
        <v>1860</v>
      </c>
      <c r="I125" s="18">
        <v>2.5</v>
      </c>
      <c r="J125" s="31" t="s">
        <v>1855</v>
      </c>
      <c r="K125" t="s">
        <v>1856</v>
      </c>
      <c r="N125" s="31" t="s">
        <v>1803</v>
      </c>
      <c r="O125" t="s">
        <v>1856</v>
      </c>
      <c r="R125" s="31">
        <v>0</v>
      </c>
      <c r="S125">
        <v>0</v>
      </c>
      <c r="T125">
        <v>0</v>
      </c>
      <c r="V125" s="31">
        <v>2.5</v>
      </c>
      <c r="W125">
        <v>2.5</v>
      </c>
      <c r="X125">
        <v>0</v>
      </c>
      <c r="Y125">
        <v>0</v>
      </c>
      <c r="Z125" s="31" t="s">
        <v>1857</v>
      </c>
      <c r="AB125" t="b">
        <v>1</v>
      </c>
      <c r="AC125" t="b">
        <v>1</v>
      </c>
    </row>
    <row r="126" spans="1:33" x14ac:dyDescent="0.25">
      <c r="A126" s="200"/>
      <c r="B126" s="208" t="s">
        <v>1515</v>
      </c>
      <c r="C126" s="34" t="s">
        <v>1472</v>
      </c>
      <c r="D126" s="13" t="s">
        <v>1473</v>
      </c>
      <c r="E126" s="13" t="s">
        <v>1474</v>
      </c>
      <c r="F126" s="209">
        <v>42951</v>
      </c>
      <c r="G126" s="38">
        <f t="shared" si="18"/>
        <v>2017</v>
      </c>
      <c r="H126" t="s">
        <v>1516</v>
      </c>
      <c r="I126" s="35"/>
      <c r="J126" s="33"/>
      <c r="K126" s="4"/>
      <c r="L126" s="4"/>
      <c r="M126" s="4"/>
      <c r="N126" s="33"/>
      <c r="O126" s="4"/>
      <c r="P126" s="4"/>
      <c r="Q126" s="4"/>
      <c r="R126" s="33"/>
      <c r="S126" s="4"/>
      <c r="T126" s="4"/>
      <c r="U126" s="33">
        <v>5</v>
      </c>
      <c r="V126" s="33">
        <v>38.519999999999996</v>
      </c>
      <c r="W126" s="4">
        <v>29.53</v>
      </c>
      <c r="X126" s="4">
        <v>0</v>
      </c>
      <c r="Y126" s="4">
        <v>38.520000000000003</v>
      </c>
      <c r="Z126" s="201" t="s">
        <v>1481</v>
      </c>
      <c r="AA126" s="4"/>
      <c r="AB126" s="4"/>
      <c r="AC126" s="4"/>
      <c r="AD126" s="4"/>
      <c r="AE126" s="4"/>
      <c r="AF126" s="4"/>
      <c r="AG126" s="4"/>
    </row>
    <row r="127" spans="1:33" x14ac:dyDescent="0.25">
      <c r="A127" t="s">
        <v>1861</v>
      </c>
      <c r="B127" t="s">
        <v>1862</v>
      </c>
      <c r="C127" s="13" t="s">
        <v>1788</v>
      </c>
      <c r="D127" s="13" t="s">
        <v>1663</v>
      </c>
      <c r="E127" s="13" t="s">
        <v>1789</v>
      </c>
      <c r="F127" s="21">
        <v>42956</v>
      </c>
      <c r="G127" s="38">
        <f t="shared" si="18"/>
        <v>2017</v>
      </c>
      <c r="H127" t="s">
        <v>1863</v>
      </c>
      <c r="I127" s="18">
        <v>2</v>
      </c>
      <c r="J127" s="31" t="s">
        <v>1864</v>
      </c>
      <c r="K127">
        <v>8</v>
      </c>
      <c r="L127">
        <v>0</v>
      </c>
      <c r="M127">
        <v>30056.400000000001</v>
      </c>
      <c r="N127" s="31" t="s">
        <v>1798</v>
      </c>
      <c r="O127">
        <v>90</v>
      </c>
      <c r="P127">
        <v>0</v>
      </c>
      <c r="Q127">
        <v>0</v>
      </c>
      <c r="R127" s="31">
        <v>82</v>
      </c>
      <c r="S127">
        <v>0</v>
      </c>
      <c r="T127">
        <v>-30056.400000000001</v>
      </c>
    </row>
    <row r="128" spans="1:33" x14ac:dyDescent="0.25">
      <c r="A128" s="200"/>
      <c r="B128" s="208" t="s">
        <v>1517</v>
      </c>
      <c r="C128" s="34" t="s">
        <v>1472</v>
      </c>
      <c r="D128" s="13" t="s">
        <v>1473</v>
      </c>
      <c r="E128" s="13" t="s">
        <v>1474</v>
      </c>
      <c r="F128" s="209">
        <v>42957</v>
      </c>
      <c r="G128" s="38">
        <f t="shared" si="18"/>
        <v>2017</v>
      </c>
      <c r="H128" t="s">
        <v>1518</v>
      </c>
      <c r="I128" s="35"/>
      <c r="J128" s="33"/>
      <c r="K128" s="4"/>
      <c r="L128" s="4"/>
      <c r="M128" s="4"/>
      <c r="N128" s="33"/>
      <c r="O128" s="4"/>
      <c r="P128" s="4"/>
      <c r="Q128" s="4"/>
      <c r="R128" s="33"/>
      <c r="S128" s="4"/>
      <c r="T128" s="4"/>
      <c r="U128" s="33">
        <v>8</v>
      </c>
      <c r="V128" s="33">
        <v>315.13</v>
      </c>
      <c r="W128" s="4">
        <v>315.13</v>
      </c>
      <c r="X128" s="4">
        <v>315.13</v>
      </c>
      <c r="Y128" s="4">
        <v>315.13</v>
      </c>
      <c r="Z128" s="201">
        <v>35</v>
      </c>
      <c r="AA128" s="4"/>
      <c r="AB128" s="4"/>
      <c r="AC128" s="4"/>
      <c r="AD128" s="4"/>
      <c r="AE128" s="4"/>
      <c r="AF128" s="4"/>
      <c r="AG128" s="4"/>
    </row>
    <row r="129" spans="1:33" x14ac:dyDescent="0.25">
      <c r="A129" s="200"/>
      <c r="B129" s="208" t="s">
        <v>1519</v>
      </c>
      <c r="C129" s="34" t="s">
        <v>1472</v>
      </c>
      <c r="D129" s="13" t="s">
        <v>1473</v>
      </c>
      <c r="E129" s="13" t="s">
        <v>1474</v>
      </c>
      <c r="F129" s="209">
        <v>42962</v>
      </c>
      <c r="G129" s="38">
        <f t="shared" si="18"/>
        <v>2017</v>
      </c>
      <c r="H129" t="s">
        <v>1520</v>
      </c>
      <c r="I129" s="35"/>
      <c r="J129" s="33"/>
      <c r="K129" s="4"/>
      <c r="L129" s="4"/>
      <c r="M129" s="4"/>
      <c r="N129" s="33"/>
      <c r="O129" s="4"/>
      <c r="P129" s="4"/>
      <c r="Q129" s="4"/>
      <c r="R129" s="33"/>
      <c r="S129" s="4"/>
      <c r="T129" s="4"/>
      <c r="U129" s="33">
        <v>10</v>
      </c>
      <c r="V129" s="33">
        <v>3.7100000000000004</v>
      </c>
      <c r="W129" s="4">
        <v>3.71</v>
      </c>
      <c r="X129" s="4">
        <v>3.71</v>
      </c>
      <c r="Y129" s="4">
        <v>0</v>
      </c>
      <c r="Z129" s="201" t="s">
        <v>1476</v>
      </c>
      <c r="AA129" s="4"/>
      <c r="AB129" s="4"/>
      <c r="AC129" s="4"/>
      <c r="AD129" s="4"/>
      <c r="AE129" s="4"/>
      <c r="AF129" s="4"/>
      <c r="AG129" s="4"/>
    </row>
    <row r="130" spans="1:33" x14ac:dyDescent="0.25">
      <c r="A130" s="200"/>
      <c r="B130" s="208" t="s">
        <v>1521</v>
      </c>
      <c r="C130" s="34" t="s">
        <v>1472</v>
      </c>
      <c r="D130" s="13" t="s">
        <v>1473</v>
      </c>
      <c r="E130" s="13" t="s">
        <v>1474</v>
      </c>
      <c r="F130" s="209">
        <v>42964</v>
      </c>
      <c r="G130" s="38">
        <f t="shared" si="18"/>
        <v>2017</v>
      </c>
      <c r="H130" t="s">
        <v>1522</v>
      </c>
      <c r="I130" s="35"/>
      <c r="J130" s="33"/>
      <c r="K130" s="4"/>
      <c r="L130" s="4"/>
      <c r="M130" s="4"/>
      <c r="N130" s="33"/>
      <c r="O130" s="4"/>
      <c r="P130" s="4"/>
      <c r="Q130" s="4"/>
      <c r="R130" s="33"/>
      <c r="S130" s="4"/>
      <c r="T130" s="4"/>
      <c r="U130" s="33">
        <v>10</v>
      </c>
      <c r="V130" s="33">
        <v>430</v>
      </c>
      <c r="W130" s="4">
        <v>420.9</v>
      </c>
      <c r="X130" s="4">
        <v>430</v>
      </c>
      <c r="Y130" s="4">
        <v>430</v>
      </c>
      <c r="Z130" s="201">
        <v>35</v>
      </c>
      <c r="AA130" s="4"/>
      <c r="AB130" s="4"/>
      <c r="AC130" s="4"/>
      <c r="AD130" s="4"/>
      <c r="AE130" s="4"/>
      <c r="AF130" s="4"/>
      <c r="AG130" s="4"/>
    </row>
    <row r="131" spans="1:33" x14ac:dyDescent="0.25">
      <c r="A131" s="200"/>
      <c r="B131" s="200" t="s">
        <v>1523</v>
      </c>
      <c r="C131" s="34" t="s">
        <v>1472</v>
      </c>
      <c r="D131" s="13" t="s">
        <v>1473</v>
      </c>
      <c r="E131" s="13" t="s">
        <v>1474</v>
      </c>
      <c r="F131" s="209">
        <v>42965</v>
      </c>
      <c r="G131" s="38">
        <f t="shared" si="18"/>
        <v>2017</v>
      </c>
      <c r="H131" t="s">
        <v>1524</v>
      </c>
      <c r="I131" s="35"/>
      <c r="J131" s="33"/>
      <c r="K131" s="4"/>
      <c r="L131" s="4"/>
      <c r="M131" s="4"/>
      <c r="N131" s="33"/>
      <c r="O131" s="4"/>
      <c r="P131" s="4"/>
      <c r="Q131" s="4"/>
      <c r="R131" s="33"/>
      <c r="S131" s="4"/>
      <c r="T131" s="4"/>
      <c r="U131" s="33">
        <v>19</v>
      </c>
      <c r="V131" s="33">
        <v>6.78</v>
      </c>
      <c r="W131" s="4">
        <v>6.78</v>
      </c>
      <c r="X131" s="4">
        <v>6.78</v>
      </c>
      <c r="Y131" s="4">
        <v>0</v>
      </c>
      <c r="Z131" s="201" t="s">
        <v>1476</v>
      </c>
      <c r="AA131" s="4"/>
      <c r="AB131" s="4"/>
      <c r="AC131" s="4"/>
      <c r="AD131" s="4"/>
      <c r="AE131" s="4"/>
      <c r="AF131" s="4"/>
      <c r="AG131" s="4"/>
    </row>
    <row r="132" spans="1:33" x14ac:dyDescent="0.25">
      <c r="A132" s="200"/>
      <c r="B132" s="200"/>
      <c r="C132" s="34" t="s">
        <v>1472</v>
      </c>
      <c r="D132" s="13" t="s">
        <v>1473</v>
      </c>
      <c r="E132" s="13" t="s">
        <v>1474</v>
      </c>
      <c r="F132" s="209">
        <v>42965</v>
      </c>
      <c r="G132" s="38">
        <f t="shared" si="18"/>
        <v>2017</v>
      </c>
      <c r="H132" t="s">
        <v>1525</v>
      </c>
      <c r="I132" s="35"/>
      <c r="J132" s="33"/>
      <c r="K132" s="4"/>
      <c r="L132" s="4"/>
      <c r="M132" s="4"/>
      <c r="N132" s="33"/>
      <c r="O132" s="4"/>
      <c r="P132" s="4"/>
      <c r="Q132" s="4"/>
      <c r="R132" s="33"/>
      <c r="S132" s="4"/>
      <c r="T132" s="4"/>
      <c r="U132" s="33">
        <v>1</v>
      </c>
      <c r="V132" s="33">
        <v>70</v>
      </c>
      <c r="W132" s="4">
        <v>70</v>
      </c>
      <c r="X132" s="4">
        <v>70</v>
      </c>
      <c r="Y132" s="4">
        <v>0</v>
      </c>
      <c r="Z132" s="201">
        <v>35</v>
      </c>
      <c r="AA132" s="4"/>
      <c r="AB132" s="4"/>
      <c r="AC132" s="4"/>
      <c r="AD132" s="4"/>
      <c r="AE132" s="4"/>
      <c r="AF132" s="4"/>
      <c r="AG132" s="4"/>
    </row>
    <row r="133" spans="1:33" x14ac:dyDescent="0.25">
      <c r="A133" t="s">
        <v>1865</v>
      </c>
      <c r="B133" t="s">
        <v>1866</v>
      </c>
      <c r="C133" s="13" t="s">
        <v>1542</v>
      </c>
      <c r="D133" s="13" t="s">
        <v>1473</v>
      </c>
      <c r="E133" s="13" t="s">
        <v>1474</v>
      </c>
      <c r="F133" s="21">
        <v>42984</v>
      </c>
      <c r="G133" s="38">
        <f t="shared" si="18"/>
        <v>2017</v>
      </c>
      <c r="H133" s="22" t="s">
        <v>1867</v>
      </c>
      <c r="I133" s="18">
        <v>39</v>
      </c>
      <c r="J133" s="31" t="s">
        <v>1785</v>
      </c>
      <c r="K133">
        <v>1</v>
      </c>
      <c r="L133">
        <v>0</v>
      </c>
      <c r="M133">
        <f>39*43560*0.007*0.05</f>
        <v>594.59400000000005</v>
      </c>
      <c r="N133" s="31" t="s">
        <v>1803</v>
      </c>
      <c r="O133">
        <v>0</v>
      </c>
      <c r="P133">
        <v>0</v>
      </c>
      <c r="Q133">
        <v>0</v>
      </c>
      <c r="R133" s="31">
        <v>-1</v>
      </c>
      <c r="S133">
        <v>0</v>
      </c>
      <c r="T133">
        <v>-594.59400000000005</v>
      </c>
      <c r="V133" s="31">
        <v>39</v>
      </c>
      <c r="W133">
        <v>39</v>
      </c>
      <c r="X133">
        <v>0</v>
      </c>
      <c r="Y133">
        <v>0</v>
      </c>
      <c r="Z133" s="31" t="s">
        <v>1868</v>
      </c>
      <c r="AB133" t="b">
        <v>1</v>
      </c>
      <c r="AC133" t="b">
        <v>1</v>
      </c>
    </row>
    <row r="134" spans="1:33" x14ac:dyDescent="0.25">
      <c r="A134" s="200"/>
      <c r="B134" s="34"/>
      <c r="C134" s="34" t="s">
        <v>1472</v>
      </c>
      <c r="D134" s="13" t="s">
        <v>1473</v>
      </c>
      <c r="E134" s="13" t="s">
        <v>1474</v>
      </c>
      <c r="F134" s="209">
        <v>43040</v>
      </c>
      <c r="G134" s="38">
        <f t="shared" si="18"/>
        <v>2017</v>
      </c>
      <c r="H134" t="s">
        <v>1526</v>
      </c>
      <c r="I134" s="35"/>
      <c r="J134" s="33"/>
      <c r="K134" s="4"/>
      <c r="L134" s="4"/>
      <c r="M134" s="4"/>
      <c r="N134" s="33"/>
      <c r="O134" s="4"/>
      <c r="P134" s="4"/>
      <c r="Q134" s="4"/>
      <c r="R134" s="33"/>
      <c r="S134" s="4"/>
      <c r="T134" s="4"/>
      <c r="U134" s="33">
        <v>2</v>
      </c>
      <c r="V134" s="33">
        <v>70.59</v>
      </c>
      <c r="W134" s="4">
        <v>70.59</v>
      </c>
      <c r="X134" s="4">
        <v>0</v>
      </c>
      <c r="Y134" s="4">
        <v>70.59</v>
      </c>
      <c r="Z134" s="201">
        <v>35</v>
      </c>
      <c r="AA134" s="4"/>
      <c r="AB134" s="4"/>
      <c r="AC134" s="4"/>
      <c r="AD134" s="4"/>
      <c r="AE134" s="4"/>
      <c r="AF134" s="4"/>
      <c r="AG134" s="4"/>
    </row>
    <row r="135" spans="1:33" x14ac:dyDescent="0.25">
      <c r="A135" s="200"/>
      <c r="B135" s="200" t="s">
        <v>1527</v>
      </c>
      <c r="C135" s="34" t="s">
        <v>1472</v>
      </c>
      <c r="D135" s="13" t="s">
        <v>1473</v>
      </c>
      <c r="E135" s="13" t="s">
        <v>1474</v>
      </c>
      <c r="F135" s="209">
        <v>43069</v>
      </c>
      <c r="G135" s="38">
        <f t="shared" si="18"/>
        <v>2017</v>
      </c>
      <c r="H135" t="s">
        <v>1528</v>
      </c>
      <c r="I135" s="35"/>
      <c r="J135" s="33"/>
      <c r="K135" s="4"/>
      <c r="L135" s="4"/>
      <c r="M135" s="4"/>
      <c r="N135" s="33"/>
      <c r="O135" s="4"/>
      <c r="P135" s="4"/>
      <c r="Q135" s="4"/>
      <c r="R135" s="33"/>
      <c r="S135" s="4"/>
      <c r="T135" s="4"/>
      <c r="U135" s="33">
        <v>1</v>
      </c>
      <c r="V135" s="33">
        <v>19.77</v>
      </c>
      <c r="W135" s="4">
        <v>0</v>
      </c>
      <c r="X135" s="4">
        <v>19.77</v>
      </c>
      <c r="Y135" s="4">
        <v>0</v>
      </c>
      <c r="Z135" s="201" t="s">
        <v>1481</v>
      </c>
      <c r="AA135" s="4"/>
      <c r="AB135" s="4"/>
      <c r="AC135" s="4"/>
      <c r="AD135" s="4"/>
      <c r="AE135" s="4"/>
      <c r="AF135" s="4"/>
      <c r="AG135" s="4"/>
    </row>
    <row r="136" spans="1:33" x14ac:dyDescent="0.25">
      <c r="A136" t="s">
        <v>1869</v>
      </c>
      <c r="B136" t="s">
        <v>1870</v>
      </c>
      <c r="C136" s="13" t="s">
        <v>1542</v>
      </c>
      <c r="D136" s="13" t="s">
        <v>1473</v>
      </c>
      <c r="E136" s="13" t="s">
        <v>1474</v>
      </c>
      <c r="F136" s="21">
        <v>43194</v>
      </c>
      <c r="G136" s="38">
        <f t="shared" si="18"/>
        <v>2018</v>
      </c>
      <c r="H136" t="s">
        <v>1525</v>
      </c>
      <c r="I136" s="18">
        <v>35</v>
      </c>
      <c r="J136" s="31" t="s">
        <v>1848</v>
      </c>
      <c r="K136">
        <v>2</v>
      </c>
      <c r="L136">
        <v>0</v>
      </c>
      <c r="M136">
        <v>0</v>
      </c>
      <c r="N136" s="31" t="s">
        <v>1848</v>
      </c>
      <c r="O136">
        <v>0</v>
      </c>
      <c r="P136">
        <v>0</v>
      </c>
      <c r="Q136">
        <v>0</v>
      </c>
      <c r="R136" s="31">
        <v>-2</v>
      </c>
      <c r="S136">
        <v>0</v>
      </c>
      <c r="T136">
        <v>0</v>
      </c>
      <c r="V136" s="31">
        <v>35</v>
      </c>
      <c r="W136">
        <v>35</v>
      </c>
      <c r="X136">
        <v>35</v>
      </c>
      <c r="Y136">
        <v>0</v>
      </c>
    </row>
    <row r="137" spans="1:33" x14ac:dyDescent="0.25">
      <c r="A137" t="s">
        <v>1871</v>
      </c>
      <c r="B137" t="s">
        <v>1872</v>
      </c>
      <c r="C137" s="13" t="s">
        <v>1788</v>
      </c>
      <c r="D137" s="13" t="s">
        <v>1663</v>
      </c>
      <c r="E137" s="13" t="s">
        <v>1789</v>
      </c>
      <c r="F137" s="21">
        <v>43299</v>
      </c>
      <c r="G137" s="38">
        <f t="shared" si="18"/>
        <v>2018</v>
      </c>
      <c r="H137" s="22" t="s">
        <v>1873</v>
      </c>
      <c r="I137" s="18" t="s">
        <v>1874</v>
      </c>
      <c r="R137" s="31">
        <v>132.57239999999999</v>
      </c>
      <c r="T137">
        <v>34854.97</v>
      </c>
    </row>
    <row r="138" spans="1:33" x14ac:dyDescent="0.25">
      <c r="A138" s="200"/>
      <c r="B138" s="34"/>
      <c r="C138" s="34" t="s">
        <v>1472</v>
      </c>
      <c r="D138" s="13" t="s">
        <v>1473</v>
      </c>
      <c r="E138" s="13" t="s">
        <v>1474</v>
      </c>
      <c r="F138" s="209">
        <v>43301</v>
      </c>
      <c r="G138" s="38">
        <f t="shared" si="18"/>
        <v>2018</v>
      </c>
      <c r="H138" t="s">
        <v>1529</v>
      </c>
      <c r="I138" s="35"/>
      <c r="J138" s="33"/>
      <c r="K138" s="4"/>
      <c r="L138" s="4"/>
      <c r="M138" s="4"/>
      <c r="N138" s="33"/>
      <c r="O138" s="4"/>
      <c r="P138" s="4"/>
      <c r="Q138" s="4"/>
      <c r="R138" s="33"/>
      <c r="S138" s="4"/>
      <c r="T138" s="4"/>
      <c r="U138" s="33">
        <v>1</v>
      </c>
      <c r="V138" s="33">
        <v>79.86</v>
      </c>
      <c r="W138" s="4">
        <v>79.86</v>
      </c>
      <c r="X138" s="4">
        <v>79.86</v>
      </c>
      <c r="Y138" s="4">
        <v>79.86</v>
      </c>
      <c r="Z138" s="201">
        <v>35</v>
      </c>
      <c r="AA138" s="4"/>
      <c r="AB138" s="4"/>
      <c r="AC138" s="4"/>
      <c r="AD138" s="4"/>
      <c r="AE138" s="4"/>
      <c r="AF138" s="4"/>
      <c r="AG138" s="4"/>
    </row>
    <row r="139" spans="1:33" x14ac:dyDescent="0.25">
      <c r="A139" t="s">
        <v>1875</v>
      </c>
      <c r="B139" t="s">
        <v>1876</v>
      </c>
      <c r="C139" s="13" t="s">
        <v>1542</v>
      </c>
      <c r="D139" s="13" t="s">
        <v>1473</v>
      </c>
      <c r="E139" s="13" t="s">
        <v>1474</v>
      </c>
      <c r="F139" s="21">
        <v>43325</v>
      </c>
      <c r="G139" s="38">
        <f t="shared" si="18"/>
        <v>2018</v>
      </c>
      <c r="H139" s="22" t="s">
        <v>1877</v>
      </c>
      <c r="I139" s="18">
        <v>44</v>
      </c>
      <c r="J139" s="31" t="s">
        <v>1785</v>
      </c>
      <c r="K139">
        <v>1</v>
      </c>
      <c r="M139">
        <v>670.82400000000007</v>
      </c>
      <c r="N139" s="31" t="s">
        <v>1803</v>
      </c>
      <c r="O139">
        <v>1</v>
      </c>
      <c r="P139">
        <v>0</v>
      </c>
      <c r="Q139">
        <v>0</v>
      </c>
      <c r="R139" s="31">
        <v>0</v>
      </c>
      <c r="S139">
        <v>0</v>
      </c>
      <c r="T139">
        <v>-670.82400000000007</v>
      </c>
      <c r="V139" s="31">
        <v>44</v>
      </c>
      <c r="W139">
        <v>0</v>
      </c>
      <c r="X139">
        <v>0</v>
      </c>
      <c r="Y139">
        <v>44</v>
      </c>
      <c r="Z139" s="31" t="s">
        <v>1878</v>
      </c>
      <c r="AA139" t="b">
        <v>1</v>
      </c>
      <c r="AB139" t="b">
        <v>1</v>
      </c>
      <c r="AC139" t="b">
        <v>1</v>
      </c>
      <c r="AE139">
        <v>0</v>
      </c>
      <c r="AF139">
        <v>0</v>
      </c>
      <c r="AG139">
        <v>44</v>
      </c>
    </row>
    <row r="140" spans="1:33" x14ac:dyDescent="0.25">
      <c r="A140" s="200"/>
      <c r="B140" s="200" t="s">
        <v>1506</v>
      </c>
      <c r="C140" s="34" t="s">
        <v>1472</v>
      </c>
      <c r="D140" s="13" t="s">
        <v>1473</v>
      </c>
      <c r="E140" s="13" t="s">
        <v>1474</v>
      </c>
      <c r="F140" s="209">
        <v>43356</v>
      </c>
      <c r="G140" s="38">
        <f t="shared" si="18"/>
        <v>2018</v>
      </c>
      <c r="H140" t="s">
        <v>1530</v>
      </c>
      <c r="I140" s="35"/>
      <c r="J140" s="33"/>
      <c r="K140" s="4"/>
      <c r="L140" s="4"/>
      <c r="M140" s="4"/>
      <c r="N140" s="33"/>
      <c r="O140" s="4"/>
      <c r="P140" s="4"/>
      <c r="Q140" s="4"/>
      <c r="R140" s="33"/>
      <c r="S140" s="4"/>
      <c r="T140" s="4"/>
      <c r="U140" s="33">
        <v>1</v>
      </c>
      <c r="V140" s="33">
        <v>80.14</v>
      </c>
      <c r="W140" s="4">
        <v>0</v>
      </c>
      <c r="X140" s="4">
        <v>0</v>
      </c>
      <c r="Y140" s="4">
        <v>80.14</v>
      </c>
      <c r="Z140" s="201" t="s">
        <v>1508</v>
      </c>
      <c r="AA140" s="4"/>
      <c r="AB140" s="4"/>
      <c r="AC140" s="4"/>
      <c r="AD140" s="4"/>
      <c r="AE140" s="4"/>
      <c r="AF140" s="4"/>
      <c r="AG140" s="4"/>
    </row>
    <row r="141" spans="1:33" x14ac:dyDescent="0.25">
      <c r="A141" t="s">
        <v>1883</v>
      </c>
      <c r="B141" t="s">
        <v>1884</v>
      </c>
      <c r="C141" s="13" t="s">
        <v>1788</v>
      </c>
      <c r="D141" s="13" t="s">
        <v>1473</v>
      </c>
      <c r="E141" s="13" t="s">
        <v>1789</v>
      </c>
      <c r="F141" s="21">
        <v>43438</v>
      </c>
      <c r="G141" s="38">
        <f t="shared" si="18"/>
        <v>2018</v>
      </c>
      <c r="H141" s="16" t="s">
        <v>1885</v>
      </c>
      <c r="I141" s="18"/>
      <c r="J141" s="31" t="s">
        <v>1785</v>
      </c>
      <c r="K141">
        <v>0</v>
      </c>
      <c r="L141">
        <v>0</v>
      </c>
      <c r="M141">
        <v>0</v>
      </c>
      <c r="N141" s="31" t="s">
        <v>1794</v>
      </c>
      <c r="O141">
        <v>0</v>
      </c>
      <c r="P141">
        <v>0</v>
      </c>
      <c r="Q141">
        <v>0</v>
      </c>
      <c r="R141" s="31">
        <f>O141-K141</f>
        <v>0</v>
      </c>
      <c r="S141">
        <f>P141-L141</f>
        <v>0</v>
      </c>
      <c r="T141">
        <f>Q141-M141</f>
        <v>0</v>
      </c>
    </row>
    <row r="142" spans="1:33" ht="15" customHeight="1" x14ac:dyDescent="0.25">
      <c r="A142">
        <v>956893</v>
      </c>
      <c r="B142" s="34"/>
      <c r="C142" s="34" t="s">
        <v>1472</v>
      </c>
      <c r="D142" s="13" t="s">
        <v>1473</v>
      </c>
      <c r="E142" s="13" t="s">
        <v>1474</v>
      </c>
      <c r="F142" s="209">
        <v>43455</v>
      </c>
      <c r="G142" s="38">
        <f t="shared" si="18"/>
        <v>2018</v>
      </c>
      <c r="H142" t="s">
        <v>1539</v>
      </c>
      <c r="I142" s="35"/>
      <c r="J142" s="33"/>
      <c r="K142" s="4"/>
      <c r="L142" s="4"/>
      <c r="M142" s="4"/>
      <c r="N142" s="33"/>
      <c r="O142" s="4"/>
      <c r="P142" s="4"/>
      <c r="Q142" s="4"/>
      <c r="R142" s="33"/>
      <c r="S142" s="4"/>
      <c r="T142" s="4"/>
      <c r="U142" s="33">
        <v>1</v>
      </c>
      <c r="V142" s="33">
        <v>44.06</v>
      </c>
      <c r="W142" s="4">
        <v>44.06</v>
      </c>
      <c r="X142" s="4">
        <v>0</v>
      </c>
      <c r="Y142" s="4">
        <v>44.06</v>
      </c>
      <c r="Z142" s="201">
        <v>35</v>
      </c>
      <c r="AA142" s="4"/>
      <c r="AB142" s="4"/>
      <c r="AC142" s="4"/>
      <c r="AD142" s="4"/>
      <c r="AE142" s="4"/>
      <c r="AF142" s="4"/>
      <c r="AG142" s="4"/>
    </row>
    <row r="143" spans="1:33" x14ac:dyDescent="0.25">
      <c r="A143" s="200"/>
      <c r="B143" s="34"/>
      <c r="C143" s="34" t="s">
        <v>1472</v>
      </c>
      <c r="D143" s="13" t="s">
        <v>1473</v>
      </c>
      <c r="E143" s="13" t="s">
        <v>1474</v>
      </c>
      <c r="F143" s="209">
        <v>43456</v>
      </c>
      <c r="G143" s="38">
        <f t="shared" si="18"/>
        <v>2018</v>
      </c>
      <c r="H143" t="s">
        <v>1531</v>
      </c>
      <c r="I143" s="35"/>
      <c r="J143" s="33"/>
      <c r="K143" s="4"/>
      <c r="L143" s="4"/>
      <c r="M143" s="4"/>
      <c r="N143" s="33"/>
      <c r="O143" s="4"/>
      <c r="P143" s="4"/>
      <c r="Q143" s="4"/>
      <c r="R143" s="33"/>
      <c r="S143" s="4"/>
      <c r="T143" s="4"/>
      <c r="U143" s="33">
        <v>1</v>
      </c>
      <c r="V143" s="33">
        <v>77.31</v>
      </c>
      <c r="W143" s="4">
        <v>5.8</v>
      </c>
      <c r="X143" s="4">
        <v>0</v>
      </c>
      <c r="Y143" s="4">
        <v>77.31</v>
      </c>
      <c r="Z143" s="201">
        <v>35</v>
      </c>
      <c r="AA143" s="4"/>
      <c r="AB143" s="4"/>
      <c r="AC143" s="4"/>
      <c r="AD143" s="4"/>
      <c r="AE143" s="4"/>
      <c r="AF143" s="4"/>
      <c r="AG143" s="4"/>
    </row>
    <row r="144" spans="1:33" x14ac:dyDescent="0.25">
      <c r="A144" t="s">
        <v>1886</v>
      </c>
      <c r="B144" s="24" t="s">
        <v>1887</v>
      </c>
      <c r="C144" s="13" t="s">
        <v>1542</v>
      </c>
      <c r="D144" s="13" t="s">
        <v>1473</v>
      </c>
      <c r="E144" s="13" t="s">
        <v>1474</v>
      </c>
      <c r="F144" s="21">
        <v>43462</v>
      </c>
      <c r="G144" s="38">
        <f t="shared" si="18"/>
        <v>2018</v>
      </c>
      <c r="H144" s="22" t="s">
        <v>1888</v>
      </c>
      <c r="I144" s="18">
        <v>112</v>
      </c>
      <c r="J144" s="31" t="s">
        <v>1785</v>
      </c>
      <c r="K144">
        <v>6.048</v>
      </c>
      <c r="M144">
        <v>1707.5520000000001</v>
      </c>
      <c r="N144" s="31" t="s">
        <v>1803</v>
      </c>
      <c r="O144">
        <v>2</v>
      </c>
      <c r="P144">
        <v>0</v>
      </c>
      <c r="Q144">
        <v>0</v>
      </c>
      <c r="R144" s="31">
        <v>-4</v>
      </c>
      <c r="S144">
        <v>0</v>
      </c>
      <c r="T144">
        <v>-1707.5520000000001</v>
      </c>
      <c r="V144" s="31">
        <v>112</v>
      </c>
      <c r="W144">
        <v>69.3</v>
      </c>
      <c r="X144">
        <v>0</v>
      </c>
      <c r="Y144">
        <v>112</v>
      </c>
      <c r="Z144" s="31" t="s">
        <v>1889</v>
      </c>
      <c r="AA144" t="b">
        <v>1</v>
      </c>
      <c r="AB144" t="b">
        <v>1</v>
      </c>
      <c r="AC144" t="b">
        <v>1</v>
      </c>
      <c r="AE144">
        <v>69.3</v>
      </c>
      <c r="AF144">
        <v>0</v>
      </c>
      <c r="AG144">
        <v>112</v>
      </c>
    </row>
    <row r="145" spans="1:33" x14ac:dyDescent="0.25">
      <c r="A145" t="s">
        <v>1890</v>
      </c>
      <c r="B145" t="s">
        <v>1891</v>
      </c>
      <c r="C145" s="13" t="s">
        <v>2200</v>
      </c>
      <c r="D145" s="13" t="s">
        <v>1663</v>
      </c>
      <c r="E145" s="13" t="s">
        <v>1789</v>
      </c>
      <c r="F145" s="21">
        <v>43647</v>
      </c>
      <c r="G145" s="38">
        <f t="shared" si="18"/>
        <v>2019</v>
      </c>
      <c r="H145" t="s">
        <v>1892</v>
      </c>
      <c r="I145" s="18"/>
      <c r="J145" s="31" t="s">
        <v>1893</v>
      </c>
      <c r="N145" s="31" t="s">
        <v>1893</v>
      </c>
      <c r="R145" s="31">
        <v>12</v>
      </c>
      <c r="Z145" s="31" t="s">
        <v>2107</v>
      </c>
    </row>
    <row r="146" spans="1:33" x14ac:dyDescent="0.25">
      <c r="A146" t="s">
        <v>1894</v>
      </c>
      <c r="B146" t="s">
        <v>1895</v>
      </c>
      <c r="C146" s="13" t="s">
        <v>1542</v>
      </c>
      <c r="D146" s="13" t="s">
        <v>1663</v>
      </c>
      <c r="E146" s="13" t="s">
        <v>1789</v>
      </c>
      <c r="F146" s="21">
        <v>43693</v>
      </c>
      <c r="G146" s="38">
        <f t="shared" si="18"/>
        <v>2019</v>
      </c>
      <c r="H146" t="s">
        <v>1896</v>
      </c>
      <c r="I146" s="18">
        <v>1.2529999999999999</v>
      </c>
      <c r="J146" s="31" t="s">
        <v>1897</v>
      </c>
      <c r="N146" s="31" t="s">
        <v>1897</v>
      </c>
      <c r="R146" s="31">
        <v>-7</v>
      </c>
      <c r="S146">
        <v>-22</v>
      </c>
      <c r="T146">
        <v>-9339</v>
      </c>
      <c r="V146" s="31">
        <v>1.2529999999999999</v>
      </c>
      <c r="W146">
        <v>0</v>
      </c>
      <c r="X146">
        <v>0</v>
      </c>
      <c r="Y146">
        <v>0</v>
      </c>
      <c r="Z146" s="31" t="s">
        <v>1898</v>
      </c>
    </row>
    <row r="147" spans="1:33" x14ac:dyDescent="0.25">
      <c r="A147" t="s">
        <v>1532</v>
      </c>
      <c r="B147" s="34"/>
      <c r="C147" s="34" t="s">
        <v>1472</v>
      </c>
      <c r="D147" s="13" t="s">
        <v>1473</v>
      </c>
      <c r="E147" s="13" t="s">
        <v>1474</v>
      </c>
      <c r="F147" s="209">
        <v>43708</v>
      </c>
      <c r="G147" s="38">
        <f t="shared" si="18"/>
        <v>2019</v>
      </c>
      <c r="H147" t="s">
        <v>1533</v>
      </c>
      <c r="I147" s="35"/>
      <c r="J147" s="33"/>
      <c r="K147" s="4"/>
      <c r="L147" s="4"/>
      <c r="M147" s="4"/>
      <c r="N147" s="33"/>
      <c r="O147" s="4"/>
      <c r="P147" s="4"/>
      <c r="Q147" s="4"/>
      <c r="R147" s="33"/>
      <c r="S147" s="4"/>
      <c r="T147" s="4"/>
      <c r="U147" s="33">
        <v>2</v>
      </c>
      <c r="V147" s="33">
        <v>31.380000000000003</v>
      </c>
      <c r="W147" s="4">
        <v>24.1</v>
      </c>
      <c r="X147" s="4">
        <v>0</v>
      </c>
      <c r="Y147" s="4">
        <v>0</v>
      </c>
      <c r="Z147" s="201" t="s">
        <v>1499</v>
      </c>
      <c r="AA147" s="4"/>
      <c r="AB147" s="4"/>
      <c r="AC147" s="4"/>
      <c r="AD147" s="4"/>
      <c r="AE147" s="4"/>
      <c r="AF147" s="4"/>
      <c r="AG147" s="4"/>
    </row>
    <row r="148" spans="1:33" x14ac:dyDescent="0.25">
      <c r="A148" t="s">
        <v>1534</v>
      </c>
      <c r="B148" s="200" t="s">
        <v>1535</v>
      </c>
      <c r="C148" s="34" t="s">
        <v>1472</v>
      </c>
      <c r="D148" s="13" t="s">
        <v>1473</v>
      </c>
      <c r="E148" s="13" t="s">
        <v>1474</v>
      </c>
      <c r="F148" s="209">
        <v>43718</v>
      </c>
      <c r="G148" s="38">
        <f t="shared" si="18"/>
        <v>2019</v>
      </c>
      <c r="H148" t="s">
        <v>1536</v>
      </c>
      <c r="I148" s="35"/>
      <c r="J148" s="33"/>
      <c r="K148" s="4"/>
      <c r="L148" s="4"/>
      <c r="M148" s="4"/>
      <c r="N148" s="33"/>
      <c r="O148" s="4"/>
      <c r="P148" s="4"/>
      <c r="Q148" s="4"/>
      <c r="R148" s="33"/>
      <c r="S148" s="4"/>
      <c r="T148" s="4"/>
      <c r="U148" s="33">
        <v>2</v>
      </c>
      <c r="V148" s="33">
        <v>16.200000000000003</v>
      </c>
      <c r="W148" s="4">
        <v>0.35</v>
      </c>
      <c r="X148" s="4">
        <v>0</v>
      </c>
      <c r="Y148" s="4">
        <v>0</v>
      </c>
      <c r="Z148" s="201" t="s">
        <v>1481</v>
      </c>
      <c r="AA148" s="4"/>
      <c r="AB148" s="4"/>
      <c r="AC148" s="4"/>
      <c r="AD148" s="4"/>
      <c r="AE148" s="4"/>
      <c r="AF148" s="4"/>
      <c r="AG148" s="4"/>
    </row>
    <row r="149" spans="1:33" x14ac:dyDescent="0.25">
      <c r="A149" t="s">
        <v>1899</v>
      </c>
      <c r="B149" t="s">
        <v>1900</v>
      </c>
      <c r="C149" s="13" t="s">
        <v>1788</v>
      </c>
      <c r="D149" s="13" t="s">
        <v>1473</v>
      </c>
      <c r="E149" s="13" t="s">
        <v>1474</v>
      </c>
      <c r="F149" s="21">
        <v>43774</v>
      </c>
      <c r="G149" s="38">
        <f t="shared" ref="G149:G159" si="19">YEAR(F149)</f>
        <v>2019</v>
      </c>
      <c r="H149" s="16" t="s">
        <v>1901</v>
      </c>
      <c r="I149" s="18"/>
      <c r="J149" s="31" t="s">
        <v>1785</v>
      </c>
      <c r="K149">
        <v>1</v>
      </c>
      <c r="L149">
        <v>0</v>
      </c>
      <c r="M149">
        <v>0</v>
      </c>
      <c r="N149" s="31" t="s">
        <v>1817</v>
      </c>
      <c r="O149">
        <v>1</v>
      </c>
      <c r="P149">
        <v>0</v>
      </c>
      <c r="Q149">
        <v>0</v>
      </c>
      <c r="R149" s="31">
        <f t="shared" ref="R149:T150" si="20">O149-K149</f>
        <v>0</v>
      </c>
      <c r="S149">
        <f t="shared" si="20"/>
        <v>0</v>
      </c>
      <c r="T149">
        <f t="shared" si="20"/>
        <v>0</v>
      </c>
    </row>
    <row r="150" spans="1:33" x14ac:dyDescent="0.25">
      <c r="A150" t="s">
        <v>1902</v>
      </c>
      <c r="B150" t="s">
        <v>1903</v>
      </c>
      <c r="C150" s="13" t="s">
        <v>1788</v>
      </c>
      <c r="D150" s="13" t="s">
        <v>1473</v>
      </c>
      <c r="E150" s="13" t="s">
        <v>1789</v>
      </c>
      <c r="F150" s="21">
        <v>43781</v>
      </c>
      <c r="G150" s="38">
        <f t="shared" si="19"/>
        <v>2019</v>
      </c>
      <c r="H150" s="22" t="s">
        <v>1904</v>
      </c>
      <c r="I150" s="18"/>
      <c r="J150" s="31" t="s">
        <v>1474</v>
      </c>
      <c r="K150">
        <v>2</v>
      </c>
      <c r="L150">
        <v>0</v>
      </c>
      <c r="M150">
        <v>0</v>
      </c>
      <c r="N150" s="31" t="s">
        <v>1485</v>
      </c>
      <c r="O150">
        <v>2</v>
      </c>
      <c r="P150">
        <v>0</v>
      </c>
      <c r="Q150">
        <v>0</v>
      </c>
      <c r="R150" s="31">
        <f t="shared" si="20"/>
        <v>0</v>
      </c>
      <c r="S150">
        <f t="shared" si="20"/>
        <v>0</v>
      </c>
      <c r="T150">
        <f t="shared" si="20"/>
        <v>0</v>
      </c>
    </row>
    <row r="151" spans="1:33" x14ac:dyDescent="0.25">
      <c r="A151" t="s">
        <v>1537</v>
      </c>
      <c r="B151" s="34"/>
      <c r="C151" s="34" t="s">
        <v>1472</v>
      </c>
      <c r="D151" s="13" t="s">
        <v>1473</v>
      </c>
      <c r="E151" s="13" t="s">
        <v>1474</v>
      </c>
      <c r="F151" s="209">
        <v>43804</v>
      </c>
      <c r="G151" s="38">
        <f t="shared" si="19"/>
        <v>2019</v>
      </c>
      <c r="H151" t="s">
        <v>1538</v>
      </c>
      <c r="I151" s="35"/>
      <c r="J151" s="33"/>
      <c r="K151" s="4"/>
      <c r="L151" s="4"/>
      <c r="M151" s="4"/>
      <c r="N151" s="33"/>
      <c r="O151" s="4"/>
      <c r="P151" s="4"/>
      <c r="Q151" s="4"/>
      <c r="R151" s="33"/>
      <c r="S151" s="4"/>
      <c r="T151" s="4"/>
      <c r="U151" s="33">
        <v>1</v>
      </c>
      <c r="V151" s="33">
        <v>101.2</v>
      </c>
      <c r="W151" s="4">
        <v>15.6</v>
      </c>
      <c r="X151" s="4">
        <v>0</v>
      </c>
      <c r="Y151" s="4">
        <v>101.2</v>
      </c>
      <c r="Z151" s="201">
        <v>35</v>
      </c>
      <c r="AA151" s="4"/>
      <c r="AB151" s="4"/>
      <c r="AC151" s="4"/>
      <c r="AD151" s="4"/>
      <c r="AE151" s="4"/>
      <c r="AF151" s="4"/>
      <c r="AG151" s="4"/>
    </row>
    <row r="152" spans="1:33" x14ac:dyDescent="0.25">
      <c r="A152" t="s">
        <v>1916</v>
      </c>
      <c r="B152" t="s">
        <v>1917</v>
      </c>
      <c r="C152" s="13" t="s">
        <v>1788</v>
      </c>
      <c r="D152" s="13" t="s">
        <v>1663</v>
      </c>
      <c r="E152" s="13" t="s">
        <v>1789</v>
      </c>
      <c r="F152" s="21">
        <v>43838</v>
      </c>
      <c r="G152" s="38">
        <f t="shared" si="19"/>
        <v>2020</v>
      </c>
      <c r="H152" s="13" t="s">
        <v>1918</v>
      </c>
      <c r="I152" s="18">
        <v>3.72</v>
      </c>
      <c r="J152" s="31" t="s">
        <v>1820</v>
      </c>
      <c r="M152" s="220">
        <f>I152*0.35*43560</f>
        <v>56715.12</v>
      </c>
      <c r="N152" s="31" t="s">
        <v>1914</v>
      </c>
      <c r="O152" s="218">
        <f>ROUNDDOWN(I152*0.4*43560*0.25/1200,0)</f>
        <v>13</v>
      </c>
      <c r="Q152" s="218">
        <f>I152*0.4*43560*0.75</f>
        <v>48612.960000000006</v>
      </c>
      <c r="R152" s="31">
        <f>O152-K152</f>
        <v>13</v>
      </c>
      <c r="S152">
        <f>P152-L152</f>
        <v>0</v>
      </c>
      <c r="T152">
        <f>Q152-M152</f>
        <v>-8102.1599999999962</v>
      </c>
    </row>
    <row r="153" spans="1:33" x14ac:dyDescent="0.25">
      <c r="A153" t="s">
        <v>2074</v>
      </c>
      <c r="B153" t="s">
        <v>2075</v>
      </c>
      <c r="C153" s="13" t="s">
        <v>2200</v>
      </c>
      <c r="D153" s="13" t="s">
        <v>1663</v>
      </c>
      <c r="E153" s="13" t="s">
        <v>1789</v>
      </c>
      <c r="F153" s="219">
        <v>43882</v>
      </c>
      <c r="G153" s="38">
        <f t="shared" si="19"/>
        <v>2020</v>
      </c>
      <c r="H153" s="16" t="s">
        <v>2076</v>
      </c>
      <c r="I153" s="18"/>
      <c r="J153" s="31" t="s">
        <v>2077</v>
      </c>
      <c r="N153" s="31" t="s">
        <v>2077</v>
      </c>
      <c r="R153" s="31">
        <v>2</v>
      </c>
      <c r="S153">
        <v>0</v>
      </c>
      <c r="T153">
        <v>0</v>
      </c>
      <c r="Z153" s="31" t="s">
        <v>2078</v>
      </c>
    </row>
    <row r="154" spans="1:33" x14ac:dyDescent="0.25">
      <c r="A154" t="s">
        <v>1919</v>
      </c>
      <c r="B154" t="s">
        <v>1920</v>
      </c>
      <c r="C154" s="13" t="s">
        <v>1801</v>
      </c>
      <c r="D154" s="13" t="s">
        <v>1473</v>
      </c>
      <c r="E154" s="13" t="s">
        <v>1474</v>
      </c>
      <c r="F154" s="21">
        <v>43923</v>
      </c>
      <c r="G154" s="38">
        <f t="shared" si="19"/>
        <v>2020</v>
      </c>
      <c r="H154" s="13" t="s">
        <v>1921</v>
      </c>
      <c r="I154" s="18">
        <v>1</v>
      </c>
      <c r="J154" s="31" t="s">
        <v>1838</v>
      </c>
      <c r="K154">
        <v>1</v>
      </c>
      <c r="N154" s="31" t="s">
        <v>1803</v>
      </c>
      <c r="O154">
        <v>0</v>
      </c>
      <c r="P154">
        <v>0</v>
      </c>
      <c r="Q154">
        <v>0</v>
      </c>
      <c r="R154" s="31">
        <f>O154-K154</f>
        <v>-1</v>
      </c>
      <c r="S154">
        <f>P154-L154</f>
        <v>0</v>
      </c>
      <c r="T154">
        <f>Q154-M154</f>
        <v>0</v>
      </c>
      <c r="V154" s="31">
        <v>1</v>
      </c>
      <c r="W154">
        <v>0</v>
      </c>
      <c r="X154">
        <v>0</v>
      </c>
      <c r="Y154">
        <v>0</v>
      </c>
    </row>
    <row r="155" spans="1:33" x14ac:dyDescent="0.25">
      <c r="A155" t="s">
        <v>1911</v>
      </c>
      <c r="B155" t="s">
        <v>1912</v>
      </c>
      <c r="C155" s="40" t="s">
        <v>2200</v>
      </c>
      <c r="D155" s="13" t="s">
        <v>1663</v>
      </c>
      <c r="E155" s="13" t="s">
        <v>1789</v>
      </c>
      <c r="F155" s="219">
        <v>43952</v>
      </c>
      <c r="G155" s="38">
        <f t="shared" si="19"/>
        <v>2020</v>
      </c>
      <c r="H155" t="s">
        <v>1913</v>
      </c>
      <c r="I155" s="18"/>
      <c r="J155" s="31" t="s">
        <v>1914</v>
      </c>
      <c r="N155" s="31" t="s">
        <v>1914</v>
      </c>
      <c r="R155" s="31">
        <v>13</v>
      </c>
      <c r="Z155" s="31" t="s">
        <v>1915</v>
      </c>
    </row>
    <row r="156" spans="1:33" x14ac:dyDescent="0.25">
      <c r="A156" t="s">
        <v>1936</v>
      </c>
      <c r="B156" t="s">
        <v>1937</v>
      </c>
      <c r="C156" s="13" t="s">
        <v>2200</v>
      </c>
      <c r="D156" s="13" t="s">
        <v>1663</v>
      </c>
      <c r="E156" s="13" t="s">
        <v>1789</v>
      </c>
      <c r="F156" s="21">
        <v>43952</v>
      </c>
      <c r="G156" s="38">
        <f t="shared" si="19"/>
        <v>2020</v>
      </c>
      <c r="H156" t="s">
        <v>1938</v>
      </c>
      <c r="I156" s="18"/>
      <c r="J156" s="31" t="s">
        <v>1939</v>
      </c>
      <c r="N156" s="31" t="s">
        <v>1939</v>
      </c>
      <c r="R156" s="31">
        <v>6</v>
      </c>
      <c r="S156">
        <f t="shared" ref="S156:T159" si="21">P156-L156</f>
        <v>0</v>
      </c>
      <c r="T156">
        <f t="shared" si="21"/>
        <v>0</v>
      </c>
      <c r="Z156" s="31" t="s">
        <v>2106</v>
      </c>
    </row>
    <row r="157" spans="1:33" x14ac:dyDescent="0.25">
      <c r="A157" t="s">
        <v>1932</v>
      </c>
      <c r="B157" t="s">
        <v>1933</v>
      </c>
      <c r="C157" s="13" t="s">
        <v>2200</v>
      </c>
      <c r="D157" s="13" t="s">
        <v>1663</v>
      </c>
      <c r="E157" s="13" t="s">
        <v>1789</v>
      </c>
      <c r="F157" s="21">
        <v>44044</v>
      </c>
      <c r="G157" s="38">
        <f t="shared" si="19"/>
        <v>2020</v>
      </c>
      <c r="H157" t="s">
        <v>1934</v>
      </c>
      <c r="I157" s="18"/>
      <c r="J157" s="31" t="s">
        <v>1930</v>
      </c>
      <c r="N157" s="31" t="s">
        <v>1930</v>
      </c>
      <c r="R157" s="31">
        <v>1</v>
      </c>
      <c r="S157">
        <f t="shared" si="21"/>
        <v>0</v>
      </c>
      <c r="T157">
        <f t="shared" si="21"/>
        <v>0</v>
      </c>
      <c r="Z157" s="31" t="s">
        <v>1935</v>
      </c>
    </row>
    <row r="158" spans="1:33" x14ac:dyDescent="0.25">
      <c r="A158" s="221" t="s">
        <v>1943</v>
      </c>
      <c r="B158" t="s">
        <v>1944</v>
      </c>
      <c r="C158" s="40" t="s">
        <v>2200</v>
      </c>
      <c r="D158" s="13" t="s">
        <v>1663</v>
      </c>
      <c r="E158" s="13" t="s">
        <v>1789</v>
      </c>
      <c r="F158" s="21">
        <v>44044</v>
      </c>
      <c r="G158" s="38">
        <f t="shared" si="19"/>
        <v>2020</v>
      </c>
      <c r="H158" t="s">
        <v>1945</v>
      </c>
      <c r="I158" s="14"/>
      <c r="J158" s="31" t="s">
        <v>1946</v>
      </c>
      <c r="N158" s="31" t="s">
        <v>1946</v>
      </c>
      <c r="R158" s="31">
        <v>3</v>
      </c>
      <c r="S158">
        <f t="shared" si="21"/>
        <v>0</v>
      </c>
      <c r="T158">
        <f t="shared" si="21"/>
        <v>0</v>
      </c>
      <c r="Z158" s="31" t="s">
        <v>1947</v>
      </c>
    </row>
    <row r="159" spans="1:33" x14ac:dyDescent="0.25">
      <c r="A159" t="s">
        <v>1927</v>
      </c>
      <c r="B159" t="s">
        <v>1928</v>
      </c>
      <c r="C159" s="13" t="s">
        <v>2200</v>
      </c>
      <c r="D159" s="13" t="s">
        <v>1663</v>
      </c>
      <c r="E159" s="13" t="s">
        <v>1789</v>
      </c>
      <c r="F159" s="21">
        <v>44075</v>
      </c>
      <c r="G159" s="38">
        <f t="shared" si="19"/>
        <v>2020</v>
      </c>
      <c r="H159" t="s">
        <v>1929</v>
      </c>
      <c r="I159" s="18"/>
      <c r="J159" s="31" t="s">
        <v>1930</v>
      </c>
      <c r="N159" s="31" t="s">
        <v>1930</v>
      </c>
      <c r="R159" s="31">
        <v>3</v>
      </c>
      <c r="S159">
        <f t="shared" si="21"/>
        <v>0</v>
      </c>
      <c r="T159">
        <f t="shared" si="21"/>
        <v>0</v>
      </c>
      <c r="Z159" s="31" t="s">
        <v>1931</v>
      </c>
    </row>
    <row r="160" spans="1:33" x14ac:dyDescent="0.25">
      <c r="A160" t="s">
        <v>2085</v>
      </c>
      <c r="B160" t="s">
        <v>2086</v>
      </c>
      <c r="C160" s="13" t="s">
        <v>1788</v>
      </c>
      <c r="D160" s="13" t="s">
        <v>1473</v>
      </c>
      <c r="E160" s="13" t="s">
        <v>1789</v>
      </c>
      <c r="F160" s="21">
        <v>44110</v>
      </c>
      <c r="G160" s="38">
        <v>2020</v>
      </c>
      <c r="H160" s="13"/>
      <c r="I160" s="14"/>
      <c r="R160" s="31">
        <v>0</v>
      </c>
      <c r="S160">
        <v>0</v>
      </c>
      <c r="T160">
        <v>0</v>
      </c>
      <c r="Z160" s="31" t="s">
        <v>2056</v>
      </c>
    </row>
    <row r="161" spans="1:26" x14ac:dyDescent="0.25">
      <c r="A161" t="s">
        <v>1922</v>
      </c>
      <c r="B161" t="s">
        <v>1923</v>
      </c>
      <c r="C161" s="13" t="s">
        <v>1801</v>
      </c>
      <c r="D161" s="13" t="s">
        <v>1473</v>
      </c>
      <c r="E161" s="13" t="s">
        <v>1474</v>
      </c>
      <c r="F161" s="21">
        <v>44141</v>
      </c>
      <c r="G161" s="38">
        <f t="shared" ref="G161:G192" si="22">YEAR(F161)</f>
        <v>2020</v>
      </c>
      <c r="H161" s="13" t="s">
        <v>1924</v>
      </c>
      <c r="I161" s="18">
        <v>35.67</v>
      </c>
      <c r="J161" s="31" t="s">
        <v>1785</v>
      </c>
      <c r="K161" s="218">
        <v>1</v>
      </c>
      <c r="N161" s="31" t="s">
        <v>1803</v>
      </c>
      <c r="O161">
        <v>0</v>
      </c>
      <c r="P161">
        <v>0</v>
      </c>
      <c r="Q161">
        <v>0</v>
      </c>
      <c r="R161" s="31">
        <f t="shared" ref="R161:T164" si="23">O161-K161</f>
        <v>-1</v>
      </c>
      <c r="S161">
        <f t="shared" si="23"/>
        <v>0</v>
      </c>
      <c r="T161">
        <f t="shared" si="23"/>
        <v>0</v>
      </c>
      <c r="V161" s="31">
        <v>35.67</v>
      </c>
      <c r="W161">
        <v>0</v>
      </c>
      <c r="X161">
        <v>35.67</v>
      </c>
      <c r="Y161">
        <v>0</v>
      </c>
    </row>
    <row r="162" spans="1:26" x14ac:dyDescent="0.25">
      <c r="A162" t="s">
        <v>1948</v>
      </c>
      <c r="B162" t="s">
        <v>1949</v>
      </c>
      <c r="C162" s="13" t="s">
        <v>1542</v>
      </c>
      <c r="D162" s="13" t="s">
        <v>1473</v>
      </c>
      <c r="E162" s="13" t="s">
        <v>1474</v>
      </c>
      <c r="F162" s="21">
        <v>44152</v>
      </c>
      <c r="G162" s="38">
        <f t="shared" si="22"/>
        <v>2020</v>
      </c>
      <c r="H162" t="s">
        <v>1950</v>
      </c>
      <c r="I162" s="14">
        <v>12.02</v>
      </c>
      <c r="R162" s="31">
        <f t="shared" si="23"/>
        <v>0</v>
      </c>
      <c r="S162">
        <f t="shared" si="23"/>
        <v>0</v>
      </c>
      <c r="T162">
        <f t="shared" si="23"/>
        <v>0</v>
      </c>
      <c r="V162" s="31">
        <v>3.47</v>
      </c>
      <c r="X162">
        <v>2.38</v>
      </c>
      <c r="Z162" s="31" t="s">
        <v>1951</v>
      </c>
    </row>
    <row r="163" spans="1:26" x14ac:dyDescent="0.25">
      <c r="A163" t="s">
        <v>1952</v>
      </c>
      <c r="B163" t="s">
        <v>1953</v>
      </c>
      <c r="C163" s="13" t="s">
        <v>1472</v>
      </c>
      <c r="D163" s="13" t="s">
        <v>1473</v>
      </c>
      <c r="E163" s="13" t="s">
        <v>1474</v>
      </c>
      <c r="F163" s="21">
        <v>44187</v>
      </c>
      <c r="G163" s="38">
        <f t="shared" si="22"/>
        <v>2020</v>
      </c>
      <c r="H163" s="13" t="s">
        <v>1954</v>
      </c>
      <c r="I163" s="14">
        <f>46.18+50.83+55.84</f>
        <v>152.85</v>
      </c>
      <c r="R163" s="31">
        <f t="shared" si="23"/>
        <v>0</v>
      </c>
      <c r="S163">
        <f t="shared" si="23"/>
        <v>0</v>
      </c>
      <c r="T163">
        <f t="shared" si="23"/>
        <v>0</v>
      </c>
      <c r="U163" s="31">
        <v>2</v>
      </c>
      <c r="V163" s="31">
        <v>152.85</v>
      </c>
      <c r="W163" s="12"/>
      <c r="X163">
        <v>152.85</v>
      </c>
      <c r="Y163">
        <v>152.85</v>
      </c>
      <c r="Z163" s="31">
        <v>35</v>
      </c>
    </row>
    <row r="164" spans="1:26" x14ac:dyDescent="0.25">
      <c r="A164" t="s">
        <v>1879</v>
      </c>
      <c r="B164" t="s">
        <v>1880</v>
      </c>
      <c r="C164" s="13" t="s">
        <v>1788</v>
      </c>
      <c r="D164" s="13" t="s">
        <v>1473</v>
      </c>
      <c r="E164" s="13" t="s">
        <v>1474</v>
      </c>
      <c r="F164" s="21">
        <v>44200</v>
      </c>
      <c r="G164" s="38">
        <f t="shared" si="22"/>
        <v>2021</v>
      </c>
      <c r="H164" s="22" t="s">
        <v>1881</v>
      </c>
      <c r="I164" s="18"/>
      <c r="J164" s="31" t="s">
        <v>1882</v>
      </c>
      <c r="N164" s="31" t="s">
        <v>1882</v>
      </c>
      <c r="R164" s="31">
        <f t="shared" si="23"/>
        <v>0</v>
      </c>
      <c r="S164">
        <f t="shared" si="23"/>
        <v>0</v>
      </c>
      <c r="T164">
        <f t="shared" si="23"/>
        <v>0</v>
      </c>
      <c r="W164" s="12"/>
    </row>
    <row r="165" spans="1:26" x14ac:dyDescent="0.25">
      <c r="A165" t="s">
        <v>1905</v>
      </c>
      <c r="B165" t="s">
        <v>1906</v>
      </c>
      <c r="C165" s="13" t="s">
        <v>1788</v>
      </c>
      <c r="D165" s="13" t="s">
        <v>1473</v>
      </c>
      <c r="E165" s="13" t="s">
        <v>1474</v>
      </c>
      <c r="F165" s="21">
        <v>44200</v>
      </c>
      <c r="G165" s="38">
        <f t="shared" si="22"/>
        <v>2021</v>
      </c>
      <c r="H165" s="22" t="s">
        <v>1907</v>
      </c>
      <c r="I165" s="18"/>
      <c r="J165" s="31" t="s">
        <v>1908</v>
      </c>
      <c r="N165" s="31" t="s">
        <v>1908</v>
      </c>
      <c r="R165" s="31">
        <v>7</v>
      </c>
      <c r="S165">
        <f t="shared" ref="S165:S175" si="24">P165-L165</f>
        <v>0</v>
      </c>
      <c r="T165">
        <f t="shared" ref="T165:T175" si="25">Q165-M165</f>
        <v>0</v>
      </c>
      <c r="W165" s="12"/>
      <c r="Z165" s="31" t="s">
        <v>1909</v>
      </c>
    </row>
    <row r="166" spans="1:26" x14ac:dyDescent="0.25">
      <c r="A166" t="s">
        <v>1955</v>
      </c>
      <c r="B166" t="s">
        <v>1956</v>
      </c>
      <c r="C166" s="13" t="s">
        <v>1472</v>
      </c>
      <c r="D166" s="13" t="s">
        <v>1473</v>
      </c>
      <c r="E166" s="13" t="s">
        <v>1474</v>
      </c>
      <c r="F166" s="21">
        <v>44235</v>
      </c>
      <c r="G166" s="38">
        <f t="shared" si="22"/>
        <v>2021</v>
      </c>
      <c r="H166" s="13" t="s">
        <v>1957</v>
      </c>
      <c r="I166" s="14">
        <v>26.63</v>
      </c>
      <c r="R166" s="31">
        <f>O166-K166</f>
        <v>0</v>
      </c>
      <c r="S166">
        <f t="shared" si="24"/>
        <v>0</v>
      </c>
      <c r="T166">
        <f t="shared" si="25"/>
        <v>0</v>
      </c>
      <c r="U166" s="31">
        <v>2</v>
      </c>
      <c r="V166" s="31">
        <v>26.63</v>
      </c>
      <c r="W166" s="12"/>
      <c r="Y166">
        <v>26.63</v>
      </c>
      <c r="Z166" s="31" t="s">
        <v>1499</v>
      </c>
    </row>
    <row r="167" spans="1:26" x14ac:dyDescent="0.25">
      <c r="A167" t="s">
        <v>2067</v>
      </c>
      <c r="B167" t="s">
        <v>1958</v>
      </c>
      <c r="C167" s="13" t="s">
        <v>2200</v>
      </c>
      <c r="D167" s="13" t="s">
        <v>1663</v>
      </c>
      <c r="E167" s="13" t="s">
        <v>1789</v>
      </c>
      <c r="F167" s="21">
        <v>44245</v>
      </c>
      <c r="G167" s="38">
        <f t="shared" si="22"/>
        <v>2021</v>
      </c>
      <c r="H167" s="13" t="s">
        <v>2066</v>
      </c>
      <c r="I167" s="14"/>
      <c r="J167" s="31" t="s">
        <v>2236</v>
      </c>
      <c r="N167" s="31" t="s">
        <v>2236</v>
      </c>
      <c r="R167" s="31">
        <v>7</v>
      </c>
      <c r="S167">
        <f t="shared" si="24"/>
        <v>0</v>
      </c>
      <c r="T167">
        <f t="shared" si="25"/>
        <v>0</v>
      </c>
      <c r="W167" s="12"/>
      <c r="Z167" s="31" t="s">
        <v>2112</v>
      </c>
    </row>
    <row r="168" spans="1:26" x14ac:dyDescent="0.25">
      <c r="A168" t="s">
        <v>2051</v>
      </c>
      <c r="B168" t="s">
        <v>2052</v>
      </c>
      <c r="C168" s="13" t="s">
        <v>1788</v>
      </c>
      <c r="D168" s="13" t="s">
        <v>1473</v>
      </c>
      <c r="E168" s="13" t="s">
        <v>1789</v>
      </c>
      <c r="F168" s="21">
        <v>44319</v>
      </c>
      <c r="G168" s="38">
        <f t="shared" si="22"/>
        <v>2021</v>
      </c>
      <c r="H168" s="13" t="s">
        <v>2053</v>
      </c>
      <c r="I168" s="14">
        <v>180</v>
      </c>
      <c r="J168" s="31" t="s">
        <v>1593</v>
      </c>
      <c r="N168" s="31" t="s">
        <v>2054</v>
      </c>
      <c r="R168" s="31">
        <f>O168-K168</f>
        <v>0</v>
      </c>
      <c r="S168">
        <f t="shared" si="24"/>
        <v>0</v>
      </c>
      <c r="T168">
        <f t="shared" si="25"/>
        <v>0</v>
      </c>
      <c r="W168" s="12"/>
      <c r="Z168" s="31" t="s">
        <v>2056</v>
      </c>
    </row>
    <row r="169" spans="1:26" x14ac:dyDescent="0.25">
      <c r="A169" t="s">
        <v>2089</v>
      </c>
      <c r="B169" t="s">
        <v>2087</v>
      </c>
      <c r="C169" s="13" t="s">
        <v>1542</v>
      </c>
      <c r="D169" s="13" t="s">
        <v>1473</v>
      </c>
      <c r="E169" s="13" t="s">
        <v>1474</v>
      </c>
      <c r="F169" s="219">
        <v>44327</v>
      </c>
      <c r="G169" s="38">
        <f t="shared" si="22"/>
        <v>2021</v>
      </c>
      <c r="H169" s="13" t="s">
        <v>2088</v>
      </c>
      <c r="I169">
        <v>98</v>
      </c>
      <c r="J169" s="31" t="s">
        <v>1785</v>
      </c>
      <c r="K169">
        <v>2</v>
      </c>
      <c r="O169">
        <v>1</v>
      </c>
      <c r="R169" s="31">
        <f>O169-K169</f>
        <v>-1</v>
      </c>
      <c r="S169">
        <f t="shared" si="24"/>
        <v>0</v>
      </c>
      <c r="T169">
        <f t="shared" si="25"/>
        <v>0</v>
      </c>
      <c r="V169" s="31">
        <v>90</v>
      </c>
      <c r="W169" s="12">
        <v>90</v>
      </c>
      <c r="X169">
        <v>90</v>
      </c>
      <c r="Y169">
        <v>90</v>
      </c>
      <c r="Z169" s="31" t="s">
        <v>2092</v>
      </c>
    </row>
    <row r="170" spans="1:26" x14ac:dyDescent="0.25">
      <c r="A170" t="s">
        <v>1940</v>
      </c>
      <c r="B170" t="s">
        <v>1941</v>
      </c>
      <c r="C170" s="40" t="s">
        <v>2200</v>
      </c>
      <c r="D170" s="13" t="s">
        <v>1663</v>
      </c>
      <c r="E170" s="13" t="s">
        <v>1789</v>
      </c>
      <c r="F170" s="21">
        <v>44357</v>
      </c>
      <c r="G170" s="38">
        <f t="shared" si="22"/>
        <v>2021</v>
      </c>
      <c r="H170" t="s">
        <v>1942</v>
      </c>
      <c r="I170" s="14"/>
      <c r="J170" s="31" t="s">
        <v>1864</v>
      </c>
      <c r="N170" s="31" t="s">
        <v>1864</v>
      </c>
      <c r="R170" s="31">
        <v>30</v>
      </c>
      <c r="S170">
        <f t="shared" si="24"/>
        <v>0</v>
      </c>
      <c r="T170">
        <f t="shared" si="25"/>
        <v>0</v>
      </c>
      <c r="W170" s="12"/>
      <c r="Z170" s="31" t="s">
        <v>2111</v>
      </c>
    </row>
    <row r="171" spans="1:26" x14ac:dyDescent="0.25">
      <c r="A171" t="s">
        <v>2034</v>
      </c>
      <c r="B171" t="s">
        <v>2035</v>
      </c>
      <c r="C171" s="13" t="s">
        <v>1472</v>
      </c>
      <c r="D171" s="13" t="s">
        <v>1473</v>
      </c>
      <c r="E171" s="13" t="s">
        <v>1474</v>
      </c>
      <c r="F171" s="21">
        <v>44414</v>
      </c>
      <c r="G171" s="38">
        <f t="shared" si="22"/>
        <v>2021</v>
      </c>
      <c r="H171" s="13" t="s">
        <v>2036</v>
      </c>
      <c r="I171" s="14">
        <v>54.3</v>
      </c>
      <c r="R171" s="31">
        <f>O171-K171</f>
        <v>0</v>
      </c>
      <c r="S171">
        <f t="shared" si="24"/>
        <v>0</v>
      </c>
      <c r="T171">
        <f t="shared" si="25"/>
        <v>0</v>
      </c>
      <c r="U171" s="31">
        <v>1</v>
      </c>
      <c r="V171" s="31">
        <v>54.3</v>
      </c>
      <c r="W171" s="12">
        <v>0</v>
      </c>
      <c r="X171">
        <v>0</v>
      </c>
      <c r="Y171">
        <v>0</v>
      </c>
      <c r="Z171" s="31" t="s">
        <v>1499</v>
      </c>
    </row>
    <row r="172" spans="1:26" x14ac:dyDescent="0.25">
      <c r="A172" t="s">
        <v>2037</v>
      </c>
      <c r="B172" t="s">
        <v>2038</v>
      </c>
      <c r="C172" s="13" t="s">
        <v>1472</v>
      </c>
      <c r="D172" s="13" t="s">
        <v>1473</v>
      </c>
      <c r="E172" s="13" t="s">
        <v>1474</v>
      </c>
      <c r="F172" s="21">
        <v>44414</v>
      </c>
      <c r="G172" s="38">
        <f t="shared" si="22"/>
        <v>2021</v>
      </c>
      <c r="H172" s="13" t="s">
        <v>2039</v>
      </c>
      <c r="I172" s="14">
        <v>39</v>
      </c>
      <c r="R172" s="31">
        <f>O172-K172</f>
        <v>0</v>
      </c>
      <c r="S172">
        <f t="shared" si="24"/>
        <v>0</v>
      </c>
      <c r="T172">
        <f t="shared" si="25"/>
        <v>0</v>
      </c>
      <c r="U172" s="31">
        <v>1</v>
      </c>
      <c r="V172" s="31">
        <v>39</v>
      </c>
      <c r="W172" s="12"/>
      <c r="Z172" s="31" t="s">
        <v>1499</v>
      </c>
    </row>
    <row r="173" spans="1:26" x14ac:dyDescent="0.25">
      <c r="A173" t="s">
        <v>2058</v>
      </c>
      <c r="B173" t="s">
        <v>2057</v>
      </c>
      <c r="C173" s="13" t="s">
        <v>1472</v>
      </c>
      <c r="D173" s="13" t="s">
        <v>1473</v>
      </c>
      <c r="E173" s="13" t="s">
        <v>1474</v>
      </c>
      <c r="F173" s="21">
        <v>44414</v>
      </c>
      <c r="G173" s="38">
        <f t="shared" si="22"/>
        <v>2021</v>
      </c>
      <c r="H173" s="13" t="s">
        <v>2060</v>
      </c>
      <c r="I173" s="14">
        <v>4.93</v>
      </c>
      <c r="R173" s="31">
        <f>O173-K173</f>
        <v>0</v>
      </c>
      <c r="S173">
        <f t="shared" si="24"/>
        <v>0</v>
      </c>
      <c r="T173">
        <f t="shared" si="25"/>
        <v>0</v>
      </c>
      <c r="U173" s="31">
        <v>1</v>
      </c>
      <c r="V173" s="31">
        <v>4.93</v>
      </c>
      <c r="W173" s="12"/>
      <c r="Z173" s="31" t="s">
        <v>1499</v>
      </c>
    </row>
    <row r="174" spans="1:26" x14ac:dyDescent="0.25">
      <c r="A174" t="s">
        <v>2069</v>
      </c>
      <c r="B174" t="s">
        <v>2108</v>
      </c>
      <c r="C174" s="13" t="s">
        <v>2200</v>
      </c>
      <c r="D174" s="13" t="s">
        <v>1663</v>
      </c>
      <c r="E174" s="13" t="s">
        <v>1789</v>
      </c>
      <c r="F174" s="21">
        <v>44481</v>
      </c>
      <c r="G174" s="38">
        <f t="shared" si="22"/>
        <v>2021</v>
      </c>
      <c r="H174" s="13" t="s">
        <v>2068</v>
      </c>
      <c r="J174" s="31" t="s">
        <v>1914</v>
      </c>
      <c r="N174" s="31" t="s">
        <v>1914</v>
      </c>
      <c r="R174" s="31">
        <v>16</v>
      </c>
      <c r="S174">
        <f t="shared" si="24"/>
        <v>0</v>
      </c>
      <c r="T174">
        <f t="shared" si="25"/>
        <v>0</v>
      </c>
      <c r="Z174" s="31" t="s">
        <v>2070</v>
      </c>
    </row>
    <row r="175" spans="1:26" x14ac:dyDescent="0.25">
      <c r="A175" t="s">
        <v>2040</v>
      </c>
      <c r="B175" t="s">
        <v>2042</v>
      </c>
      <c r="C175" s="13" t="s">
        <v>1472</v>
      </c>
      <c r="D175" s="13" t="s">
        <v>1473</v>
      </c>
      <c r="E175" s="13" t="s">
        <v>1474</v>
      </c>
      <c r="F175" s="21">
        <v>44532</v>
      </c>
      <c r="G175" s="38">
        <f t="shared" si="22"/>
        <v>2021</v>
      </c>
      <c r="H175" s="13" t="s">
        <v>2041</v>
      </c>
      <c r="I175" s="14">
        <v>3</v>
      </c>
      <c r="R175" s="31">
        <f t="shared" ref="R175:R200" si="26">O175-K175</f>
        <v>0</v>
      </c>
      <c r="S175">
        <f t="shared" si="24"/>
        <v>0</v>
      </c>
      <c r="T175">
        <f t="shared" si="25"/>
        <v>0</v>
      </c>
      <c r="U175" s="31">
        <v>1</v>
      </c>
      <c r="V175" s="31">
        <v>3</v>
      </c>
      <c r="Z175" s="31" t="s">
        <v>1499</v>
      </c>
    </row>
    <row r="176" spans="1:26" x14ac:dyDescent="0.25">
      <c r="A176" t="s">
        <v>2094</v>
      </c>
      <c r="B176" t="s">
        <v>2090</v>
      </c>
      <c r="C176" s="13" t="s">
        <v>1542</v>
      </c>
      <c r="D176" s="13" t="s">
        <v>1473</v>
      </c>
      <c r="E176" s="13" t="s">
        <v>1474</v>
      </c>
      <c r="F176" s="219">
        <v>44532</v>
      </c>
      <c r="G176" s="38">
        <f t="shared" si="22"/>
        <v>2021</v>
      </c>
      <c r="H176" s="13" t="s">
        <v>2093</v>
      </c>
      <c r="I176">
        <v>40</v>
      </c>
      <c r="J176" s="31" t="s">
        <v>1817</v>
      </c>
      <c r="K176">
        <v>2</v>
      </c>
      <c r="O176">
        <v>1</v>
      </c>
      <c r="R176" s="31">
        <f t="shared" si="26"/>
        <v>-1</v>
      </c>
      <c r="S176">
        <v>0</v>
      </c>
      <c r="T176">
        <v>0</v>
      </c>
      <c r="V176" s="31">
        <f>40-3.25</f>
        <v>36.75</v>
      </c>
      <c r="W176">
        <f>40-3.25</f>
        <v>36.75</v>
      </c>
      <c r="X176">
        <v>0</v>
      </c>
      <c r="Y176">
        <v>0</v>
      </c>
      <c r="Z176" s="31" t="s">
        <v>2095</v>
      </c>
    </row>
    <row r="177" spans="1:26" x14ac:dyDescent="0.25">
      <c r="A177" t="s">
        <v>2043</v>
      </c>
      <c r="B177" t="s">
        <v>2044</v>
      </c>
      <c r="C177" s="13" t="s">
        <v>1472</v>
      </c>
      <c r="D177" s="13" t="s">
        <v>1473</v>
      </c>
      <c r="E177" s="13" t="s">
        <v>1474</v>
      </c>
      <c r="F177" s="21">
        <v>44533</v>
      </c>
      <c r="G177" s="38">
        <f t="shared" si="22"/>
        <v>2021</v>
      </c>
      <c r="H177" s="13" t="s">
        <v>2045</v>
      </c>
      <c r="I177">
        <v>31.3</v>
      </c>
      <c r="R177" s="31">
        <f t="shared" si="26"/>
        <v>0</v>
      </c>
      <c r="S177">
        <f>P177-L177</f>
        <v>0</v>
      </c>
      <c r="T177">
        <f>Q177-M177</f>
        <v>0</v>
      </c>
      <c r="U177" s="31">
        <v>1</v>
      </c>
      <c r="V177" s="31">
        <v>31.3</v>
      </c>
      <c r="W177">
        <v>11.7</v>
      </c>
      <c r="Z177" s="31" t="s">
        <v>1499</v>
      </c>
    </row>
    <row r="178" spans="1:26" x14ac:dyDescent="0.25">
      <c r="A178" t="s">
        <v>2046</v>
      </c>
      <c r="B178" t="s">
        <v>2047</v>
      </c>
      <c r="C178" s="13" t="s">
        <v>1472</v>
      </c>
      <c r="D178" s="13" t="s">
        <v>1473</v>
      </c>
      <c r="E178" s="13" t="s">
        <v>1474</v>
      </c>
      <c r="F178" s="219">
        <v>44560</v>
      </c>
      <c r="G178" s="38">
        <f t="shared" si="22"/>
        <v>2021</v>
      </c>
      <c r="H178" s="13" t="s">
        <v>2048</v>
      </c>
      <c r="I178" s="14">
        <v>40.21</v>
      </c>
      <c r="R178" s="31">
        <f t="shared" si="26"/>
        <v>0</v>
      </c>
      <c r="S178">
        <f>P178-L178</f>
        <v>0</v>
      </c>
      <c r="T178">
        <f>Q178-M178</f>
        <v>0</v>
      </c>
      <c r="U178" s="31">
        <v>1</v>
      </c>
      <c r="V178" s="31">
        <v>40.21</v>
      </c>
      <c r="W178">
        <v>24.2</v>
      </c>
      <c r="Z178" s="31" t="s">
        <v>1499</v>
      </c>
    </row>
    <row r="179" spans="1:26" x14ac:dyDescent="0.25">
      <c r="A179" t="s">
        <v>2096</v>
      </c>
      <c r="B179" t="s">
        <v>2091</v>
      </c>
      <c r="C179" s="13" t="s">
        <v>1542</v>
      </c>
      <c r="D179" s="13" t="s">
        <v>1473</v>
      </c>
      <c r="E179" s="13" t="s">
        <v>1474</v>
      </c>
      <c r="F179" s="219">
        <v>44560</v>
      </c>
      <c r="G179" s="38">
        <f t="shared" si="22"/>
        <v>2021</v>
      </c>
      <c r="H179" s="13" t="s">
        <v>2099</v>
      </c>
      <c r="I179">
        <v>121</v>
      </c>
      <c r="K179">
        <v>3</v>
      </c>
      <c r="O179">
        <v>0</v>
      </c>
      <c r="R179" s="31">
        <f t="shared" si="26"/>
        <v>-3</v>
      </c>
      <c r="S179">
        <v>0</v>
      </c>
      <c r="T179">
        <v>0</v>
      </c>
      <c r="V179" s="31">
        <v>121</v>
      </c>
      <c r="W179">
        <v>121</v>
      </c>
      <c r="X179">
        <v>121</v>
      </c>
      <c r="Z179" s="31" t="s">
        <v>2100</v>
      </c>
    </row>
    <row r="180" spans="1:26" x14ac:dyDescent="0.25">
      <c r="A180" t="s">
        <v>2049</v>
      </c>
      <c r="B180" t="s">
        <v>2050</v>
      </c>
      <c r="C180" s="13" t="s">
        <v>1472</v>
      </c>
      <c r="D180" s="13" t="s">
        <v>1473</v>
      </c>
      <c r="E180" s="13" t="s">
        <v>1474</v>
      </c>
      <c r="F180" s="219">
        <v>44580</v>
      </c>
      <c r="G180" s="38">
        <f t="shared" si="22"/>
        <v>2022</v>
      </c>
      <c r="H180" s="13" t="s">
        <v>2059</v>
      </c>
      <c r="I180" s="14">
        <v>76.78</v>
      </c>
      <c r="R180" s="31">
        <f t="shared" si="26"/>
        <v>0</v>
      </c>
      <c r="S180">
        <f t="shared" ref="S180:S209" si="27">P180-L180</f>
        <v>0</v>
      </c>
      <c r="T180">
        <f t="shared" ref="T180:T209" si="28">Q180-M180</f>
        <v>0</v>
      </c>
      <c r="U180" s="31">
        <v>1</v>
      </c>
      <c r="V180" s="31">
        <v>76.78</v>
      </c>
      <c r="W180" s="31">
        <v>76.78</v>
      </c>
      <c r="Y180">
        <v>76.78</v>
      </c>
      <c r="Z180" s="31">
        <v>35</v>
      </c>
    </row>
    <row r="181" spans="1:26" x14ac:dyDescent="0.25">
      <c r="A181" t="s">
        <v>2164</v>
      </c>
      <c r="B181" t="s">
        <v>1923</v>
      </c>
      <c r="C181" s="13" t="s">
        <v>1801</v>
      </c>
      <c r="D181" s="13" t="s">
        <v>1473</v>
      </c>
      <c r="E181" s="13" t="s">
        <v>1474</v>
      </c>
      <c r="F181" s="21">
        <v>44617</v>
      </c>
      <c r="G181" s="38">
        <f t="shared" si="22"/>
        <v>2022</v>
      </c>
      <c r="H181" t="s">
        <v>2165</v>
      </c>
      <c r="I181">
        <v>35.354999999999997</v>
      </c>
      <c r="J181" s="31" t="s">
        <v>1785</v>
      </c>
      <c r="K181" s="218">
        <v>1</v>
      </c>
      <c r="N181" s="31" t="s">
        <v>1803</v>
      </c>
      <c r="O181">
        <v>0</v>
      </c>
      <c r="P181">
        <v>0</v>
      </c>
      <c r="Q181">
        <v>0</v>
      </c>
      <c r="R181" s="31">
        <f t="shared" si="26"/>
        <v>-1</v>
      </c>
      <c r="S181">
        <f t="shared" si="27"/>
        <v>0</v>
      </c>
      <c r="T181">
        <f t="shared" si="28"/>
        <v>0</v>
      </c>
      <c r="V181" s="31">
        <v>35.354999999999997</v>
      </c>
      <c r="W181">
        <v>0</v>
      </c>
      <c r="X181">
        <v>23.4</v>
      </c>
      <c r="Y181">
        <v>0</v>
      </c>
    </row>
    <row r="182" spans="1:26" x14ac:dyDescent="0.25">
      <c r="A182" t="s">
        <v>2104</v>
      </c>
      <c r="B182" t="s">
        <v>2105</v>
      </c>
      <c r="C182" s="13" t="s">
        <v>1788</v>
      </c>
      <c r="D182" s="13" t="s">
        <v>1473</v>
      </c>
      <c r="E182" s="13" t="s">
        <v>1789</v>
      </c>
      <c r="F182" s="219">
        <v>44621</v>
      </c>
      <c r="G182" s="38">
        <f t="shared" si="22"/>
        <v>2022</v>
      </c>
      <c r="H182" t="s">
        <v>2198</v>
      </c>
      <c r="I182">
        <v>14.4</v>
      </c>
      <c r="J182" s="31" t="s">
        <v>1485</v>
      </c>
      <c r="K182">
        <v>4</v>
      </c>
      <c r="N182" s="31" t="s">
        <v>1794</v>
      </c>
      <c r="O182">
        <v>0</v>
      </c>
      <c r="R182" s="31">
        <f t="shared" si="26"/>
        <v>-4</v>
      </c>
      <c r="S182">
        <f t="shared" si="27"/>
        <v>0</v>
      </c>
      <c r="T182">
        <f t="shared" si="28"/>
        <v>0</v>
      </c>
    </row>
    <row r="183" spans="1:26" x14ac:dyDescent="0.25">
      <c r="A183" t="s">
        <v>1925</v>
      </c>
      <c r="B183" t="s">
        <v>1926</v>
      </c>
      <c r="C183" s="13" t="s">
        <v>1788</v>
      </c>
      <c r="D183" s="13" t="s">
        <v>1473</v>
      </c>
      <c r="E183" s="13" t="s">
        <v>1789</v>
      </c>
      <c r="F183" s="219">
        <v>44622</v>
      </c>
      <c r="G183" s="38">
        <f t="shared" si="22"/>
        <v>2022</v>
      </c>
      <c r="H183" s="13" t="s">
        <v>2061</v>
      </c>
      <c r="I183" s="18">
        <v>7.14</v>
      </c>
      <c r="J183" s="31" t="s">
        <v>1838</v>
      </c>
      <c r="K183">
        <v>1</v>
      </c>
      <c r="N183" s="31" t="s">
        <v>2017</v>
      </c>
      <c r="O183">
        <v>17</v>
      </c>
      <c r="R183" s="31">
        <f t="shared" si="26"/>
        <v>16</v>
      </c>
      <c r="S183">
        <f t="shared" si="27"/>
        <v>0</v>
      </c>
      <c r="T183">
        <f t="shared" si="28"/>
        <v>0</v>
      </c>
      <c r="Z183" s="31" t="s">
        <v>2103</v>
      </c>
    </row>
    <row r="184" spans="1:26" x14ac:dyDescent="0.25">
      <c r="A184" t="s">
        <v>2055</v>
      </c>
      <c r="B184" t="s">
        <v>2117</v>
      </c>
      <c r="C184" s="13" t="s">
        <v>1788</v>
      </c>
      <c r="D184" s="13" t="s">
        <v>1473</v>
      </c>
      <c r="E184" s="13" t="s">
        <v>1789</v>
      </c>
      <c r="F184" s="219">
        <v>44635</v>
      </c>
      <c r="G184" s="38">
        <f t="shared" si="22"/>
        <v>2022</v>
      </c>
      <c r="H184" t="s">
        <v>2062</v>
      </c>
      <c r="N184" s="31" t="s">
        <v>2101</v>
      </c>
      <c r="R184" s="31">
        <f t="shared" si="26"/>
        <v>0</v>
      </c>
      <c r="S184">
        <f t="shared" si="27"/>
        <v>0</v>
      </c>
      <c r="T184">
        <f t="shared" si="28"/>
        <v>0</v>
      </c>
      <c r="Z184" s="31" t="s">
        <v>2201</v>
      </c>
    </row>
    <row r="185" spans="1:26" x14ac:dyDescent="0.25">
      <c r="A185" t="s">
        <v>2055</v>
      </c>
      <c r="B185" t="s">
        <v>2113</v>
      </c>
      <c r="C185" s="13" t="s">
        <v>1788</v>
      </c>
      <c r="D185" s="13" t="s">
        <v>1473</v>
      </c>
      <c r="E185" s="13" t="s">
        <v>1789</v>
      </c>
      <c r="F185" s="219">
        <v>44635</v>
      </c>
      <c r="G185" s="38">
        <f t="shared" si="22"/>
        <v>2022</v>
      </c>
      <c r="H185" t="s">
        <v>2062</v>
      </c>
      <c r="I185">
        <v>35</v>
      </c>
      <c r="J185" s="31" t="s">
        <v>1474</v>
      </c>
      <c r="N185" s="31" t="s">
        <v>1817</v>
      </c>
      <c r="R185" s="31">
        <f t="shared" si="26"/>
        <v>0</v>
      </c>
      <c r="S185">
        <f t="shared" si="27"/>
        <v>0</v>
      </c>
      <c r="T185">
        <f t="shared" si="28"/>
        <v>0</v>
      </c>
      <c r="Z185" s="31" t="s">
        <v>2114</v>
      </c>
    </row>
    <row r="186" spans="1:26" x14ac:dyDescent="0.25">
      <c r="A186" t="s">
        <v>2055</v>
      </c>
      <c r="B186" t="s">
        <v>2115</v>
      </c>
      <c r="C186" s="13" t="s">
        <v>1788</v>
      </c>
      <c r="D186" s="13" t="s">
        <v>1473</v>
      </c>
      <c r="E186" s="13" t="s">
        <v>1789</v>
      </c>
      <c r="F186" s="219">
        <v>44635</v>
      </c>
      <c r="G186" s="38">
        <f t="shared" si="22"/>
        <v>2022</v>
      </c>
      <c r="H186" s="13" t="s">
        <v>2062</v>
      </c>
      <c r="J186" s="31" t="s">
        <v>1474</v>
      </c>
      <c r="N186" s="31" t="s">
        <v>1785</v>
      </c>
      <c r="R186" s="31">
        <f t="shared" si="26"/>
        <v>0</v>
      </c>
      <c r="S186">
        <f t="shared" si="27"/>
        <v>0</v>
      </c>
      <c r="T186">
        <f t="shared" si="28"/>
        <v>0</v>
      </c>
      <c r="Z186" s="31" t="s">
        <v>2116</v>
      </c>
    </row>
    <row r="187" spans="1:26" x14ac:dyDescent="0.25">
      <c r="A187" t="s">
        <v>2157</v>
      </c>
      <c r="B187" s="19" t="s">
        <v>2159</v>
      </c>
      <c r="C187" s="13" t="s">
        <v>1542</v>
      </c>
      <c r="D187" s="13" t="s">
        <v>1473</v>
      </c>
      <c r="E187" s="13" t="s">
        <v>1474</v>
      </c>
      <c r="F187" s="21">
        <v>44700</v>
      </c>
      <c r="G187" s="38">
        <f t="shared" si="22"/>
        <v>2022</v>
      </c>
      <c r="H187" t="s">
        <v>2162</v>
      </c>
      <c r="I187">
        <v>16.72</v>
      </c>
      <c r="R187" s="31">
        <f t="shared" si="26"/>
        <v>0</v>
      </c>
      <c r="S187">
        <f t="shared" si="27"/>
        <v>0</v>
      </c>
      <c r="T187">
        <f t="shared" si="28"/>
        <v>0</v>
      </c>
      <c r="V187" s="31">
        <v>16.72</v>
      </c>
      <c r="W187">
        <v>16.72</v>
      </c>
      <c r="X187">
        <v>0</v>
      </c>
      <c r="Y187">
        <v>0</v>
      </c>
      <c r="Z187" s="31" t="s">
        <v>2161</v>
      </c>
    </row>
    <row r="188" spans="1:26" x14ac:dyDescent="0.25">
      <c r="A188" t="s">
        <v>2158</v>
      </c>
      <c r="B188" s="19" t="s">
        <v>2160</v>
      </c>
      <c r="C188" s="13" t="s">
        <v>1542</v>
      </c>
      <c r="D188" s="13" t="s">
        <v>1473</v>
      </c>
      <c r="E188" s="13" t="s">
        <v>1474</v>
      </c>
      <c r="F188" s="21">
        <v>44700</v>
      </c>
      <c r="G188" s="38">
        <f t="shared" si="22"/>
        <v>2022</v>
      </c>
      <c r="H188" t="s">
        <v>2163</v>
      </c>
      <c r="I188">
        <v>37.145000000000003</v>
      </c>
      <c r="R188" s="31">
        <f t="shared" si="26"/>
        <v>0</v>
      </c>
      <c r="S188">
        <f t="shared" si="27"/>
        <v>0</v>
      </c>
      <c r="T188">
        <f t="shared" si="28"/>
        <v>0</v>
      </c>
      <c r="V188" s="31">
        <v>37.145000000000003</v>
      </c>
      <c r="W188">
        <v>19.7</v>
      </c>
      <c r="X188">
        <v>0</v>
      </c>
      <c r="Y188">
        <v>37.145000000000003</v>
      </c>
      <c r="Z188" s="31" t="s">
        <v>2161</v>
      </c>
    </row>
    <row r="189" spans="1:26" x14ac:dyDescent="0.25">
      <c r="A189" t="s">
        <v>2130</v>
      </c>
      <c r="B189" t="s">
        <v>2195</v>
      </c>
      <c r="C189" s="13" t="s">
        <v>1788</v>
      </c>
      <c r="D189" s="13" t="s">
        <v>1473</v>
      </c>
      <c r="E189" s="13" t="s">
        <v>1474</v>
      </c>
      <c r="F189" s="21">
        <v>44719</v>
      </c>
      <c r="G189" s="38">
        <f t="shared" si="22"/>
        <v>2022</v>
      </c>
      <c r="I189">
        <v>13.13</v>
      </c>
      <c r="J189" s="31" t="s">
        <v>2196</v>
      </c>
      <c r="K189">
        <v>1</v>
      </c>
      <c r="N189" s="31" t="s">
        <v>2017</v>
      </c>
      <c r="O189">
        <v>26</v>
      </c>
      <c r="R189" s="31">
        <f t="shared" si="26"/>
        <v>25</v>
      </c>
      <c r="S189">
        <f t="shared" si="27"/>
        <v>0</v>
      </c>
      <c r="T189">
        <f t="shared" si="28"/>
        <v>0</v>
      </c>
      <c r="Z189" s="31" t="s">
        <v>2197</v>
      </c>
    </row>
    <row r="190" spans="1:26" x14ac:dyDescent="0.25">
      <c r="A190" t="s">
        <v>2131</v>
      </c>
      <c r="B190" t="s">
        <v>2193</v>
      </c>
      <c r="C190" s="13" t="s">
        <v>1788</v>
      </c>
      <c r="D190" s="13" t="s">
        <v>1473</v>
      </c>
      <c r="E190" s="13" t="s">
        <v>1789</v>
      </c>
      <c r="F190" s="21">
        <v>44775</v>
      </c>
      <c r="G190" s="38">
        <f t="shared" si="22"/>
        <v>2022</v>
      </c>
      <c r="I190">
        <v>25.67</v>
      </c>
      <c r="R190" s="31">
        <f t="shared" si="26"/>
        <v>0</v>
      </c>
      <c r="S190">
        <f t="shared" si="27"/>
        <v>0</v>
      </c>
      <c r="T190">
        <f t="shared" si="28"/>
        <v>0</v>
      </c>
      <c r="Z190" s="31" t="s">
        <v>2194</v>
      </c>
    </row>
    <row r="191" spans="1:26" x14ac:dyDescent="0.25">
      <c r="A191" t="s">
        <v>2140</v>
      </c>
      <c r="B191" t="s">
        <v>2141</v>
      </c>
      <c r="C191" s="13" t="s">
        <v>1788</v>
      </c>
      <c r="D191" s="13" t="s">
        <v>1663</v>
      </c>
      <c r="E191" s="13" t="s">
        <v>1789</v>
      </c>
      <c r="F191" s="219">
        <v>44788</v>
      </c>
      <c r="G191" s="38">
        <f t="shared" si="22"/>
        <v>2022</v>
      </c>
      <c r="H191" s="13" t="s">
        <v>2142</v>
      </c>
      <c r="I191">
        <v>1.65</v>
      </c>
      <c r="J191" s="31" t="s">
        <v>1930</v>
      </c>
      <c r="K191">
        <v>28</v>
      </c>
      <c r="N191" s="31" t="s">
        <v>1794</v>
      </c>
      <c r="O191">
        <v>0</v>
      </c>
      <c r="R191" s="31">
        <f t="shared" si="26"/>
        <v>-28</v>
      </c>
      <c r="S191">
        <f t="shared" si="27"/>
        <v>0</v>
      </c>
      <c r="T191">
        <f t="shared" si="28"/>
        <v>0</v>
      </c>
    </row>
    <row r="192" spans="1:26" x14ac:dyDescent="0.25">
      <c r="A192" t="s">
        <v>2178</v>
      </c>
      <c r="B192" t="s">
        <v>2180</v>
      </c>
      <c r="C192" s="13" t="s">
        <v>1472</v>
      </c>
      <c r="D192" s="13" t="s">
        <v>1473</v>
      </c>
      <c r="E192" s="13" t="s">
        <v>1474</v>
      </c>
      <c r="F192" s="21">
        <v>44813</v>
      </c>
      <c r="G192" s="38">
        <f t="shared" si="22"/>
        <v>2022</v>
      </c>
      <c r="H192" s="13" t="s">
        <v>2177</v>
      </c>
      <c r="I192">
        <v>142.18</v>
      </c>
      <c r="R192" s="31">
        <f t="shared" si="26"/>
        <v>0</v>
      </c>
      <c r="S192">
        <f t="shared" si="27"/>
        <v>0</v>
      </c>
      <c r="T192">
        <f t="shared" si="28"/>
        <v>0</v>
      </c>
      <c r="U192" s="31">
        <v>3</v>
      </c>
      <c r="V192" s="31">
        <v>142.18</v>
      </c>
      <c r="W192">
        <v>0</v>
      </c>
      <c r="X192">
        <v>0</v>
      </c>
      <c r="Y192">
        <v>142.18</v>
      </c>
    </row>
    <row r="193" spans="1:26" x14ac:dyDescent="0.25">
      <c r="A193" t="s">
        <v>2167</v>
      </c>
      <c r="B193" t="s">
        <v>2168</v>
      </c>
      <c r="C193" s="13" t="s">
        <v>1472</v>
      </c>
      <c r="D193" s="13" t="s">
        <v>1473</v>
      </c>
      <c r="E193" s="13" t="s">
        <v>1474</v>
      </c>
      <c r="F193" s="21">
        <v>44817</v>
      </c>
      <c r="G193" s="38">
        <f t="shared" ref="G193:G209" si="29">YEAR(F193)</f>
        <v>2022</v>
      </c>
      <c r="H193" s="13" t="s">
        <v>2172</v>
      </c>
      <c r="I193">
        <v>27.66</v>
      </c>
      <c r="R193" s="31">
        <f t="shared" si="26"/>
        <v>0</v>
      </c>
      <c r="S193">
        <f t="shared" si="27"/>
        <v>0</v>
      </c>
      <c r="T193">
        <f t="shared" si="28"/>
        <v>0</v>
      </c>
      <c r="U193" s="31">
        <v>4</v>
      </c>
      <c r="V193" s="31">
        <v>27.66</v>
      </c>
      <c r="W193">
        <v>0</v>
      </c>
      <c r="X193">
        <v>0</v>
      </c>
      <c r="Y193">
        <v>0</v>
      </c>
      <c r="Z193" s="31" t="s">
        <v>2171</v>
      </c>
    </row>
    <row r="194" spans="1:26" x14ac:dyDescent="0.25">
      <c r="A194" t="s">
        <v>2176</v>
      </c>
      <c r="B194" t="s">
        <v>2179</v>
      </c>
      <c r="C194" s="13" t="s">
        <v>1472</v>
      </c>
      <c r="D194" s="13" t="s">
        <v>1473</v>
      </c>
      <c r="E194" s="13" t="s">
        <v>1474</v>
      </c>
      <c r="F194" s="21">
        <v>44824</v>
      </c>
      <c r="G194" s="38">
        <f t="shared" si="29"/>
        <v>2022</v>
      </c>
      <c r="H194" s="13" t="s">
        <v>2175</v>
      </c>
      <c r="I194">
        <v>35</v>
      </c>
      <c r="R194" s="31">
        <f t="shared" si="26"/>
        <v>0</v>
      </c>
      <c r="S194">
        <f t="shared" si="27"/>
        <v>0</v>
      </c>
      <c r="T194">
        <f t="shared" si="28"/>
        <v>0</v>
      </c>
      <c r="U194" s="31">
        <v>1</v>
      </c>
      <c r="V194" s="31">
        <v>35</v>
      </c>
      <c r="W194">
        <v>35</v>
      </c>
      <c r="X194">
        <v>0</v>
      </c>
      <c r="Y194">
        <v>0</v>
      </c>
    </row>
    <row r="195" spans="1:26" x14ac:dyDescent="0.25">
      <c r="A195" t="s">
        <v>2173</v>
      </c>
      <c r="B195" t="s">
        <v>2181</v>
      </c>
      <c r="C195" s="13" t="s">
        <v>1472</v>
      </c>
      <c r="D195" s="13" t="s">
        <v>1473</v>
      </c>
      <c r="E195" s="13" t="s">
        <v>1474</v>
      </c>
      <c r="F195" s="21">
        <v>44840</v>
      </c>
      <c r="G195" s="38">
        <f t="shared" si="29"/>
        <v>2022</v>
      </c>
      <c r="H195" s="13" t="s">
        <v>2174</v>
      </c>
      <c r="I195">
        <f>170.28-144.97</f>
        <v>25.310000000000002</v>
      </c>
      <c r="R195" s="31">
        <f t="shared" si="26"/>
        <v>0</v>
      </c>
      <c r="S195">
        <f t="shared" si="27"/>
        <v>0</v>
      </c>
      <c r="T195">
        <f t="shared" si="28"/>
        <v>0</v>
      </c>
      <c r="U195" s="31">
        <v>7</v>
      </c>
      <c r="V195" s="31">
        <v>25.31</v>
      </c>
      <c r="W195">
        <v>0</v>
      </c>
      <c r="X195">
        <v>0</v>
      </c>
      <c r="Y195">
        <v>25.31</v>
      </c>
    </row>
    <row r="196" spans="1:26" x14ac:dyDescent="0.25">
      <c r="A196" t="s">
        <v>2183</v>
      </c>
      <c r="B196" t="s">
        <v>2188</v>
      </c>
      <c r="C196" s="13" t="s">
        <v>1472</v>
      </c>
      <c r="D196" s="13" t="s">
        <v>1473</v>
      </c>
      <c r="E196" s="13" t="s">
        <v>1474</v>
      </c>
      <c r="F196" s="21">
        <v>44883</v>
      </c>
      <c r="G196" s="38">
        <f t="shared" si="29"/>
        <v>2022</v>
      </c>
      <c r="H196" s="13" t="s">
        <v>2187</v>
      </c>
      <c r="I196">
        <v>8</v>
      </c>
      <c r="R196" s="31">
        <f t="shared" si="26"/>
        <v>0</v>
      </c>
      <c r="S196">
        <f t="shared" si="27"/>
        <v>0</v>
      </c>
      <c r="T196">
        <f t="shared" si="28"/>
        <v>0</v>
      </c>
      <c r="U196" s="31">
        <v>4</v>
      </c>
      <c r="V196" s="31">
        <v>8</v>
      </c>
      <c r="W196">
        <v>0</v>
      </c>
      <c r="X196">
        <v>0</v>
      </c>
      <c r="Y196">
        <v>0</v>
      </c>
    </row>
    <row r="197" spans="1:26" x14ac:dyDescent="0.25">
      <c r="A197" t="s">
        <v>2184</v>
      </c>
      <c r="B197" t="s">
        <v>2190</v>
      </c>
      <c r="C197" s="13" t="s">
        <v>1472</v>
      </c>
      <c r="D197" s="13" t="s">
        <v>1473</v>
      </c>
      <c r="E197" s="13" t="s">
        <v>1474</v>
      </c>
      <c r="F197" s="21">
        <v>44901</v>
      </c>
      <c r="G197" s="38">
        <f t="shared" si="29"/>
        <v>2022</v>
      </c>
      <c r="H197" s="13" t="s">
        <v>2189</v>
      </c>
      <c r="I197">
        <v>44.9</v>
      </c>
      <c r="R197" s="31">
        <f t="shared" si="26"/>
        <v>0</v>
      </c>
      <c r="S197">
        <f t="shared" si="27"/>
        <v>0</v>
      </c>
      <c r="T197">
        <f t="shared" si="28"/>
        <v>0</v>
      </c>
      <c r="U197" s="31">
        <v>1</v>
      </c>
      <c r="V197" s="31">
        <v>44.9</v>
      </c>
      <c r="W197">
        <v>44.9</v>
      </c>
      <c r="X197">
        <v>0</v>
      </c>
      <c r="Y197">
        <v>44.9</v>
      </c>
    </row>
    <row r="198" spans="1:26" x14ac:dyDescent="0.25">
      <c r="A198" t="s">
        <v>2147</v>
      </c>
      <c r="B198" t="s">
        <v>2148</v>
      </c>
      <c r="C198" s="13" t="s">
        <v>1788</v>
      </c>
      <c r="D198" s="13" t="s">
        <v>1663</v>
      </c>
      <c r="E198" s="13" t="s">
        <v>1789</v>
      </c>
      <c r="F198" s="219">
        <v>44935</v>
      </c>
      <c r="G198" s="38">
        <f t="shared" si="29"/>
        <v>2023</v>
      </c>
      <c r="I198">
        <v>1.65</v>
      </c>
      <c r="R198" s="31">
        <f t="shared" si="26"/>
        <v>0</v>
      </c>
      <c r="S198">
        <f t="shared" si="27"/>
        <v>0</v>
      </c>
      <c r="T198">
        <f t="shared" si="28"/>
        <v>0</v>
      </c>
      <c r="Z198" s="31" t="s">
        <v>2149</v>
      </c>
    </row>
    <row r="199" spans="1:26" x14ac:dyDescent="0.25">
      <c r="A199" t="s">
        <v>2182</v>
      </c>
      <c r="B199" t="s">
        <v>2185</v>
      </c>
      <c r="C199" s="13" t="s">
        <v>1472</v>
      </c>
      <c r="D199" s="13" t="s">
        <v>1473</v>
      </c>
      <c r="E199" s="13" t="s">
        <v>1474</v>
      </c>
      <c r="F199" s="21">
        <v>44936</v>
      </c>
      <c r="G199" s="38">
        <f t="shared" si="29"/>
        <v>2023</v>
      </c>
      <c r="H199" s="13" t="s">
        <v>2186</v>
      </c>
      <c r="I199">
        <v>39.42</v>
      </c>
      <c r="R199" s="31">
        <f t="shared" si="26"/>
        <v>0</v>
      </c>
      <c r="S199">
        <f t="shared" si="27"/>
        <v>0</v>
      </c>
      <c r="T199">
        <f t="shared" si="28"/>
        <v>0</v>
      </c>
      <c r="U199" s="31">
        <v>2</v>
      </c>
      <c r="V199" s="31">
        <v>39.42</v>
      </c>
      <c r="W199">
        <v>39.42</v>
      </c>
      <c r="X199">
        <v>0</v>
      </c>
      <c r="Y199">
        <v>0</v>
      </c>
    </row>
    <row r="200" spans="1:26" x14ac:dyDescent="0.25">
      <c r="A200" t="s">
        <v>2132</v>
      </c>
      <c r="B200" t="s">
        <v>1910</v>
      </c>
      <c r="C200" s="13" t="s">
        <v>1788</v>
      </c>
      <c r="D200" s="13" t="s">
        <v>1473</v>
      </c>
      <c r="E200" s="13" t="s">
        <v>1789</v>
      </c>
      <c r="F200" s="219">
        <v>44963</v>
      </c>
      <c r="G200" s="38">
        <f t="shared" si="29"/>
        <v>2023</v>
      </c>
      <c r="I200">
        <v>2</v>
      </c>
      <c r="J200" s="31" t="s">
        <v>1848</v>
      </c>
      <c r="K200">
        <v>0</v>
      </c>
      <c r="N200" s="31" t="s">
        <v>1794</v>
      </c>
      <c r="O200">
        <v>0</v>
      </c>
      <c r="R200" s="31">
        <f t="shared" si="26"/>
        <v>0</v>
      </c>
      <c r="S200">
        <f t="shared" si="27"/>
        <v>0</v>
      </c>
      <c r="T200">
        <f t="shared" si="28"/>
        <v>0</v>
      </c>
      <c r="Z200" s="31" t="s">
        <v>2137</v>
      </c>
    </row>
    <row r="201" spans="1:26" x14ac:dyDescent="0.25">
      <c r="A201" t="s">
        <v>2071</v>
      </c>
      <c r="B201" t="s">
        <v>2072</v>
      </c>
      <c r="C201" s="13" t="s">
        <v>2200</v>
      </c>
      <c r="D201" s="13" t="s">
        <v>1663</v>
      </c>
      <c r="E201" s="13" t="s">
        <v>1789</v>
      </c>
      <c r="F201" s="219">
        <v>44545</v>
      </c>
      <c r="G201" s="38">
        <f t="shared" si="29"/>
        <v>2021</v>
      </c>
      <c r="H201" s="13" t="s">
        <v>2235</v>
      </c>
      <c r="J201" s="31" t="s">
        <v>1914</v>
      </c>
      <c r="N201" s="31" t="s">
        <v>1914</v>
      </c>
      <c r="R201" s="31">
        <v>23</v>
      </c>
      <c r="S201">
        <f t="shared" si="27"/>
        <v>0</v>
      </c>
      <c r="T201">
        <f t="shared" si="28"/>
        <v>0</v>
      </c>
      <c r="Z201" s="31" t="s">
        <v>2073</v>
      </c>
    </row>
    <row r="202" spans="1:26" x14ac:dyDescent="0.25">
      <c r="A202" t="s">
        <v>2202</v>
      </c>
      <c r="B202" t="s">
        <v>2083</v>
      </c>
      <c r="C202" s="13" t="s">
        <v>2200</v>
      </c>
      <c r="D202" s="13" t="s">
        <v>1663</v>
      </c>
      <c r="E202" s="13" t="s">
        <v>1789</v>
      </c>
      <c r="F202" s="219">
        <v>44963</v>
      </c>
      <c r="G202" s="38">
        <f t="shared" si="29"/>
        <v>2023</v>
      </c>
      <c r="J202" s="31" t="s">
        <v>1914</v>
      </c>
      <c r="N202" s="31" t="s">
        <v>1914</v>
      </c>
      <c r="R202" s="31">
        <f>63+37</f>
        <v>100</v>
      </c>
      <c r="S202">
        <f t="shared" si="27"/>
        <v>0</v>
      </c>
      <c r="T202">
        <f t="shared" si="28"/>
        <v>0</v>
      </c>
      <c r="Z202" s="31" t="s">
        <v>2240</v>
      </c>
    </row>
    <row r="203" spans="1:26" x14ac:dyDescent="0.25">
      <c r="A203" t="s">
        <v>2238</v>
      </c>
      <c r="B203" t="s">
        <v>2237</v>
      </c>
      <c r="C203" s="13" t="s">
        <v>2200</v>
      </c>
      <c r="D203" s="13" t="s">
        <v>1663</v>
      </c>
      <c r="E203" s="13" t="s">
        <v>1789</v>
      </c>
      <c r="F203" s="219">
        <v>44966</v>
      </c>
      <c r="G203" s="38">
        <f t="shared" si="29"/>
        <v>2023</v>
      </c>
      <c r="J203" s="31" t="s">
        <v>2236</v>
      </c>
      <c r="N203" s="31" t="s">
        <v>2236</v>
      </c>
      <c r="R203" s="31">
        <v>9</v>
      </c>
      <c r="S203">
        <v>0</v>
      </c>
      <c r="T203">
        <v>0</v>
      </c>
      <c r="Z203" s="31" t="s">
        <v>2239</v>
      </c>
    </row>
    <row r="204" spans="1:26" x14ac:dyDescent="0.25">
      <c r="A204" t="s">
        <v>2133</v>
      </c>
      <c r="B204" t="s">
        <v>2135</v>
      </c>
      <c r="C204" s="13" t="s">
        <v>1788</v>
      </c>
      <c r="D204" s="13" t="s">
        <v>1473</v>
      </c>
      <c r="E204" s="13" t="s">
        <v>1789</v>
      </c>
      <c r="F204" s="13" t="s">
        <v>419</v>
      </c>
      <c r="G204" s="38" t="e">
        <f t="shared" si="29"/>
        <v>#VALUE!</v>
      </c>
      <c r="R204" s="31">
        <f t="shared" ref="R204:R209" si="30">O204-K204</f>
        <v>0</v>
      </c>
      <c r="S204">
        <f t="shared" si="27"/>
        <v>0</v>
      </c>
      <c r="T204">
        <f t="shared" si="28"/>
        <v>0</v>
      </c>
    </row>
    <row r="205" spans="1:26" x14ac:dyDescent="0.25">
      <c r="A205" t="s">
        <v>2134</v>
      </c>
      <c r="B205" t="s">
        <v>2136</v>
      </c>
      <c r="C205" s="13" t="s">
        <v>1788</v>
      </c>
      <c r="D205" s="13" t="s">
        <v>1473</v>
      </c>
      <c r="E205" s="13" t="s">
        <v>1789</v>
      </c>
      <c r="F205" s="13" t="s">
        <v>419</v>
      </c>
      <c r="G205" s="38" t="e">
        <f t="shared" si="29"/>
        <v>#VALUE!</v>
      </c>
      <c r="H205" t="s">
        <v>2192</v>
      </c>
      <c r="I205">
        <f>1.38+1.14</f>
        <v>2.5199999999999996</v>
      </c>
      <c r="J205" s="31" t="s">
        <v>2191</v>
      </c>
      <c r="K205">
        <v>3</v>
      </c>
      <c r="L205">
        <v>0</v>
      </c>
      <c r="M205">
        <v>0</v>
      </c>
      <c r="N205" s="31" t="s">
        <v>2019</v>
      </c>
      <c r="O205">
        <f>ROUNDDOWN(P205*0.105/600,0)</f>
        <v>0</v>
      </c>
      <c r="P205" s="19"/>
      <c r="Q205">
        <v>45006</v>
      </c>
      <c r="R205" s="31">
        <f t="shared" si="30"/>
        <v>-3</v>
      </c>
      <c r="S205">
        <f t="shared" si="27"/>
        <v>0</v>
      </c>
      <c r="T205">
        <f t="shared" si="28"/>
        <v>45006</v>
      </c>
    </row>
    <row r="206" spans="1:26" x14ac:dyDescent="0.25">
      <c r="A206" t="s">
        <v>2143</v>
      </c>
      <c r="B206" t="s">
        <v>2144</v>
      </c>
      <c r="C206" s="13" t="s">
        <v>1788</v>
      </c>
      <c r="D206" s="13" t="s">
        <v>1663</v>
      </c>
      <c r="E206" s="13" t="s">
        <v>1789</v>
      </c>
      <c r="F206" s="13" t="s">
        <v>419</v>
      </c>
      <c r="G206" s="38" t="e">
        <f t="shared" si="29"/>
        <v>#VALUE!</v>
      </c>
      <c r="R206" s="31">
        <f t="shared" si="30"/>
        <v>0</v>
      </c>
      <c r="S206">
        <f t="shared" si="27"/>
        <v>0</v>
      </c>
      <c r="T206">
        <f t="shared" si="28"/>
        <v>0</v>
      </c>
    </row>
    <row r="207" spans="1:26" x14ac:dyDescent="0.25">
      <c r="A207" t="s">
        <v>2145</v>
      </c>
      <c r="B207" t="s">
        <v>2146</v>
      </c>
      <c r="C207" s="13" t="s">
        <v>1788</v>
      </c>
      <c r="D207" s="13" t="s">
        <v>1663</v>
      </c>
      <c r="E207" s="13" t="s">
        <v>1789</v>
      </c>
      <c r="F207" s="13" t="s">
        <v>419</v>
      </c>
      <c r="G207" s="38" t="e">
        <f t="shared" si="29"/>
        <v>#VALUE!</v>
      </c>
      <c r="R207" s="31">
        <f t="shared" si="30"/>
        <v>0</v>
      </c>
      <c r="S207">
        <f t="shared" si="27"/>
        <v>0</v>
      </c>
      <c r="T207">
        <f t="shared" si="28"/>
        <v>0</v>
      </c>
    </row>
    <row r="208" spans="1:26" x14ac:dyDescent="0.25">
      <c r="A208" t="s">
        <v>2166</v>
      </c>
      <c r="B208" t="s">
        <v>2169</v>
      </c>
      <c r="C208" s="13" t="s">
        <v>1472</v>
      </c>
      <c r="D208" s="13" t="s">
        <v>1473</v>
      </c>
      <c r="E208" s="13" t="s">
        <v>1474</v>
      </c>
      <c r="F208" s="21" t="s">
        <v>419</v>
      </c>
      <c r="G208" s="38" t="e">
        <f t="shared" si="29"/>
        <v>#VALUE!</v>
      </c>
      <c r="R208" s="31">
        <f t="shared" si="30"/>
        <v>0</v>
      </c>
      <c r="S208">
        <f t="shared" si="27"/>
        <v>0</v>
      </c>
      <c r="T208">
        <f t="shared" si="28"/>
        <v>0</v>
      </c>
      <c r="U208" s="31">
        <v>1</v>
      </c>
      <c r="Z208" s="31" t="s">
        <v>2170</v>
      </c>
    </row>
    <row r="209" spans="1:26" x14ac:dyDescent="0.25">
      <c r="A209" t="s">
        <v>2063</v>
      </c>
      <c r="B209" t="s">
        <v>2064</v>
      </c>
      <c r="C209" s="13" t="s">
        <v>1542</v>
      </c>
      <c r="D209" s="13" t="s">
        <v>1473</v>
      </c>
      <c r="E209" s="13" t="s">
        <v>1474</v>
      </c>
      <c r="F209" s="21" t="s">
        <v>419</v>
      </c>
      <c r="G209" s="38" t="e">
        <f t="shared" si="29"/>
        <v>#VALUE!</v>
      </c>
      <c r="H209" s="13" t="s">
        <v>2065</v>
      </c>
      <c r="R209" s="31">
        <f t="shared" si="30"/>
        <v>0</v>
      </c>
      <c r="S209">
        <f t="shared" si="27"/>
        <v>0</v>
      </c>
      <c r="T209">
        <f t="shared" si="28"/>
        <v>0</v>
      </c>
    </row>
    <row r="210" spans="1:26" x14ac:dyDescent="0.25">
      <c r="A210" t="s">
        <v>2150</v>
      </c>
      <c r="B210" t="s">
        <v>2151</v>
      </c>
      <c r="C210" s="13" t="s">
        <v>2200</v>
      </c>
      <c r="D210" s="13" t="s">
        <v>1663</v>
      </c>
      <c r="E210" s="13" t="s">
        <v>1789</v>
      </c>
      <c r="F210" s="13" t="s">
        <v>1813</v>
      </c>
      <c r="G210" s="38">
        <v>2022</v>
      </c>
      <c r="J210" s="31" t="s">
        <v>1864</v>
      </c>
      <c r="N210" s="31" t="s">
        <v>1864</v>
      </c>
      <c r="R210" s="31">
        <v>30</v>
      </c>
      <c r="S210">
        <f t="shared" ref="S210:S241" si="31">P210-L210</f>
        <v>0</v>
      </c>
      <c r="T210">
        <f t="shared" ref="T210:T241" si="32">Q210-M210</f>
        <v>0</v>
      </c>
      <c r="Z210" s="31" t="s">
        <v>2111</v>
      </c>
    </row>
    <row r="211" spans="1:26" x14ac:dyDescent="0.25">
      <c r="G211" s="38">
        <f t="shared" ref="G211:G242" si="33">YEAR(F211)</f>
        <v>1900</v>
      </c>
      <c r="R211" s="31">
        <f t="shared" ref="R211:R242" si="34">O211-K211</f>
        <v>0</v>
      </c>
      <c r="S211">
        <f t="shared" si="31"/>
        <v>0</v>
      </c>
      <c r="T211">
        <f t="shared" si="32"/>
        <v>0</v>
      </c>
    </row>
    <row r="212" spans="1:26" x14ac:dyDescent="0.25">
      <c r="G212" s="38">
        <f t="shared" si="33"/>
        <v>1900</v>
      </c>
      <c r="R212" s="31">
        <f t="shared" si="34"/>
        <v>0</v>
      </c>
      <c r="S212">
        <f t="shared" si="31"/>
        <v>0</v>
      </c>
      <c r="T212">
        <f t="shared" si="32"/>
        <v>0</v>
      </c>
    </row>
    <row r="213" spans="1:26" x14ac:dyDescent="0.25">
      <c r="G213" s="38">
        <f t="shared" si="33"/>
        <v>1900</v>
      </c>
      <c r="R213" s="31">
        <f t="shared" si="34"/>
        <v>0</v>
      </c>
      <c r="S213">
        <f t="shared" si="31"/>
        <v>0</v>
      </c>
      <c r="T213">
        <f t="shared" si="32"/>
        <v>0</v>
      </c>
    </row>
    <row r="214" spans="1:26" x14ac:dyDescent="0.25">
      <c r="G214" s="38">
        <f t="shared" si="33"/>
        <v>1900</v>
      </c>
      <c r="R214" s="31">
        <f t="shared" si="34"/>
        <v>0</v>
      </c>
      <c r="S214">
        <f t="shared" si="31"/>
        <v>0</v>
      </c>
      <c r="T214">
        <f t="shared" si="32"/>
        <v>0</v>
      </c>
    </row>
    <row r="215" spans="1:26" x14ac:dyDescent="0.25">
      <c r="G215" s="38">
        <f t="shared" si="33"/>
        <v>1900</v>
      </c>
      <c r="R215" s="31">
        <f t="shared" si="34"/>
        <v>0</v>
      </c>
      <c r="S215">
        <f t="shared" si="31"/>
        <v>0</v>
      </c>
      <c r="T215">
        <f t="shared" si="32"/>
        <v>0</v>
      </c>
    </row>
    <row r="216" spans="1:26" x14ac:dyDescent="0.25">
      <c r="G216" s="38">
        <f t="shared" si="33"/>
        <v>1900</v>
      </c>
      <c r="R216" s="31">
        <f t="shared" si="34"/>
        <v>0</v>
      </c>
      <c r="S216">
        <f t="shared" si="31"/>
        <v>0</v>
      </c>
      <c r="T216">
        <f t="shared" si="32"/>
        <v>0</v>
      </c>
    </row>
    <row r="217" spans="1:26" x14ac:dyDescent="0.25">
      <c r="G217" s="38">
        <f t="shared" si="33"/>
        <v>1900</v>
      </c>
      <c r="R217" s="31">
        <f t="shared" si="34"/>
        <v>0</v>
      </c>
      <c r="S217">
        <f t="shared" si="31"/>
        <v>0</v>
      </c>
      <c r="T217">
        <f t="shared" si="32"/>
        <v>0</v>
      </c>
    </row>
    <row r="218" spans="1:26" x14ac:dyDescent="0.25">
      <c r="G218" s="38">
        <f t="shared" si="33"/>
        <v>1900</v>
      </c>
      <c r="R218" s="31">
        <f t="shared" si="34"/>
        <v>0</v>
      </c>
      <c r="S218">
        <f t="shared" si="31"/>
        <v>0</v>
      </c>
      <c r="T218">
        <f t="shared" si="32"/>
        <v>0</v>
      </c>
    </row>
    <row r="219" spans="1:26" x14ac:dyDescent="0.25">
      <c r="G219" s="38">
        <f t="shared" si="33"/>
        <v>1900</v>
      </c>
      <c r="R219" s="31">
        <f t="shared" si="34"/>
        <v>0</v>
      </c>
      <c r="S219">
        <f t="shared" si="31"/>
        <v>0</v>
      </c>
      <c r="T219">
        <f t="shared" si="32"/>
        <v>0</v>
      </c>
    </row>
    <row r="220" spans="1:26" x14ac:dyDescent="0.25">
      <c r="G220" s="38">
        <f t="shared" si="33"/>
        <v>1900</v>
      </c>
      <c r="R220" s="31">
        <f t="shared" si="34"/>
        <v>0</v>
      </c>
      <c r="S220">
        <f t="shared" si="31"/>
        <v>0</v>
      </c>
      <c r="T220">
        <f t="shared" si="32"/>
        <v>0</v>
      </c>
    </row>
    <row r="221" spans="1:26" x14ac:dyDescent="0.25">
      <c r="G221" s="38">
        <f t="shared" si="33"/>
        <v>1900</v>
      </c>
      <c r="R221" s="31">
        <f t="shared" si="34"/>
        <v>0</v>
      </c>
      <c r="S221">
        <f t="shared" si="31"/>
        <v>0</v>
      </c>
      <c r="T221">
        <f t="shared" si="32"/>
        <v>0</v>
      </c>
    </row>
    <row r="222" spans="1:26" x14ac:dyDescent="0.25">
      <c r="G222" s="38">
        <f t="shared" si="33"/>
        <v>1900</v>
      </c>
      <c r="R222" s="31">
        <f t="shared" si="34"/>
        <v>0</v>
      </c>
      <c r="S222">
        <f t="shared" si="31"/>
        <v>0</v>
      </c>
      <c r="T222">
        <f t="shared" si="32"/>
        <v>0</v>
      </c>
    </row>
    <row r="223" spans="1:26" x14ac:dyDescent="0.25">
      <c r="G223" s="38">
        <f t="shared" si="33"/>
        <v>1900</v>
      </c>
      <c r="R223" s="31">
        <f t="shared" si="34"/>
        <v>0</v>
      </c>
      <c r="S223">
        <f t="shared" si="31"/>
        <v>0</v>
      </c>
      <c r="T223">
        <f t="shared" si="32"/>
        <v>0</v>
      </c>
    </row>
    <row r="224" spans="1:26" x14ac:dyDescent="0.25">
      <c r="G224" s="38">
        <f t="shared" si="33"/>
        <v>1900</v>
      </c>
      <c r="R224" s="31">
        <f t="shared" si="34"/>
        <v>0</v>
      </c>
      <c r="S224">
        <f t="shared" si="31"/>
        <v>0</v>
      </c>
      <c r="T224">
        <f t="shared" si="32"/>
        <v>0</v>
      </c>
    </row>
    <row r="225" spans="7:20" x14ac:dyDescent="0.25">
      <c r="G225" s="38">
        <f t="shared" si="33"/>
        <v>1900</v>
      </c>
      <c r="R225" s="31">
        <f t="shared" si="34"/>
        <v>0</v>
      </c>
      <c r="S225">
        <f t="shared" si="31"/>
        <v>0</v>
      </c>
      <c r="T225">
        <f t="shared" si="32"/>
        <v>0</v>
      </c>
    </row>
    <row r="226" spans="7:20" x14ac:dyDescent="0.25">
      <c r="G226" s="38">
        <f t="shared" si="33"/>
        <v>1900</v>
      </c>
      <c r="R226" s="31">
        <f t="shared" si="34"/>
        <v>0</v>
      </c>
      <c r="S226">
        <f t="shared" si="31"/>
        <v>0</v>
      </c>
      <c r="T226">
        <f t="shared" si="32"/>
        <v>0</v>
      </c>
    </row>
    <row r="227" spans="7:20" x14ac:dyDescent="0.25">
      <c r="G227" s="38">
        <f t="shared" si="33"/>
        <v>1900</v>
      </c>
      <c r="R227" s="31">
        <f t="shared" si="34"/>
        <v>0</v>
      </c>
      <c r="S227">
        <f t="shared" si="31"/>
        <v>0</v>
      </c>
      <c r="T227">
        <f t="shared" si="32"/>
        <v>0</v>
      </c>
    </row>
    <row r="228" spans="7:20" x14ac:dyDescent="0.25">
      <c r="G228" s="38">
        <f t="shared" si="33"/>
        <v>1900</v>
      </c>
      <c r="R228" s="31">
        <f t="shared" si="34"/>
        <v>0</v>
      </c>
      <c r="S228">
        <f t="shared" si="31"/>
        <v>0</v>
      </c>
      <c r="T228">
        <f t="shared" si="32"/>
        <v>0</v>
      </c>
    </row>
    <row r="229" spans="7:20" x14ac:dyDescent="0.25">
      <c r="G229" s="38">
        <f t="shared" si="33"/>
        <v>1900</v>
      </c>
      <c r="R229" s="31">
        <f t="shared" si="34"/>
        <v>0</v>
      </c>
      <c r="S229">
        <f t="shared" si="31"/>
        <v>0</v>
      </c>
      <c r="T229">
        <f t="shared" si="32"/>
        <v>0</v>
      </c>
    </row>
    <row r="230" spans="7:20" x14ac:dyDescent="0.25">
      <c r="G230" s="38">
        <f t="shared" si="33"/>
        <v>1900</v>
      </c>
      <c r="R230" s="31">
        <f t="shared" si="34"/>
        <v>0</v>
      </c>
      <c r="S230">
        <f t="shared" si="31"/>
        <v>0</v>
      </c>
      <c r="T230">
        <f t="shared" si="32"/>
        <v>0</v>
      </c>
    </row>
    <row r="231" spans="7:20" x14ac:dyDescent="0.25">
      <c r="G231" s="38">
        <f t="shared" si="33"/>
        <v>1900</v>
      </c>
      <c r="R231" s="31">
        <f t="shared" si="34"/>
        <v>0</v>
      </c>
      <c r="S231">
        <f t="shared" si="31"/>
        <v>0</v>
      </c>
      <c r="T231">
        <f t="shared" si="32"/>
        <v>0</v>
      </c>
    </row>
    <row r="232" spans="7:20" x14ac:dyDescent="0.25">
      <c r="G232" s="38">
        <f t="shared" si="33"/>
        <v>1900</v>
      </c>
      <c r="R232" s="31">
        <f t="shared" si="34"/>
        <v>0</v>
      </c>
      <c r="S232">
        <f t="shared" si="31"/>
        <v>0</v>
      </c>
      <c r="T232">
        <f t="shared" si="32"/>
        <v>0</v>
      </c>
    </row>
    <row r="233" spans="7:20" x14ac:dyDescent="0.25">
      <c r="G233" s="38">
        <f t="shared" si="33"/>
        <v>1900</v>
      </c>
      <c r="R233" s="31">
        <f t="shared" si="34"/>
        <v>0</v>
      </c>
      <c r="S233">
        <f t="shared" si="31"/>
        <v>0</v>
      </c>
      <c r="T233">
        <f t="shared" si="32"/>
        <v>0</v>
      </c>
    </row>
    <row r="234" spans="7:20" x14ac:dyDescent="0.25">
      <c r="G234" s="38">
        <f t="shared" si="33"/>
        <v>1900</v>
      </c>
      <c r="R234" s="31">
        <f t="shared" si="34"/>
        <v>0</v>
      </c>
      <c r="S234">
        <f t="shared" si="31"/>
        <v>0</v>
      </c>
      <c r="T234">
        <f t="shared" si="32"/>
        <v>0</v>
      </c>
    </row>
    <row r="235" spans="7:20" x14ac:dyDescent="0.25">
      <c r="G235" s="38">
        <f t="shared" si="33"/>
        <v>1900</v>
      </c>
      <c r="R235" s="31">
        <f t="shared" si="34"/>
        <v>0</v>
      </c>
      <c r="S235">
        <f t="shared" si="31"/>
        <v>0</v>
      </c>
      <c r="T235">
        <f t="shared" si="32"/>
        <v>0</v>
      </c>
    </row>
    <row r="236" spans="7:20" x14ac:dyDescent="0.25">
      <c r="G236" s="38">
        <f t="shared" si="33"/>
        <v>1900</v>
      </c>
      <c r="R236" s="31">
        <f t="shared" si="34"/>
        <v>0</v>
      </c>
      <c r="S236">
        <f t="shared" si="31"/>
        <v>0</v>
      </c>
      <c r="T236">
        <f t="shared" si="32"/>
        <v>0</v>
      </c>
    </row>
    <row r="237" spans="7:20" x14ac:dyDescent="0.25">
      <c r="G237" s="38">
        <f t="shared" si="33"/>
        <v>1900</v>
      </c>
      <c r="R237" s="31">
        <f t="shared" si="34"/>
        <v>0</v>
      </c>
      <c r="S237">
        <f t="shared" si="31"/>
        <v>0</v>
      </c>
      <c r="T237">
        <f t="shared" si="32"/>
        <v>0</v>
      </c>
    </row>
    <row r="238" spans="7:20" x14ac:dyDescent="0.25">
      <c r="G238" s="38">
        <f t="shared" si="33"/>
        <v>1900</v>
      </c>
      <c r="R238" s="31">
        <f t="shared" si="34"/>
        <v>0</v>
      </c>
      <c r="S238">
        <f t="shared" si="31"/>
        <v>0</v>
      </c>
      <c r="T238">
        <f t="shared" si="32"/>
        <v>0</v>
      </c>
    </row>
    <row r="239" spans="7:20" x14ac:dyDescent="0.25">
      <c r="G239" s="38">
        <f t="shared" si="33"/>
        <v>1900</v>
      </c>
      <c r="R239" s="31">
        <f t="shared" si="34"/>
        <v>0</v>
      </c>
      <c r="S239">
        <f t="shared" si="31"/>
        <v>0</v>
      </c>
      <c r="T239">
        <f t="shared" si="32"/>
        <v>0</v>
      </c>
    </row>
    <row r="240" spans="7:20" x14ac:dyDescent="0.25">
      <c r="G240" s="38">
        <f t="shared" si="33"/>
        <v>1900</v>
      </c>
      <c r="R240" s="31">
        <f t="shared" si="34"/>
        <v>0</v>
      </c>
      <c r="S240">
        <f t="shared" si="31"/>
        <v>0</v>
      </c>
      <c r="T240">
        <f t="shared" si="32"/>
        <v>0</v>
      </c>
    </row>
    <row r="241" spans="7:20" x14ac:dyDescent="0.25">
      <c r="G241" s="38">
        <f t="shared" si="33"/>
        <v>1900</v>
      </c>
      <c r="R241" s="31">
        <f t="shared" si="34"/>
        <v>0</v>
      </c>
      <c r="S241">
        <f t="shared" si="31"/>
        <v>0</v>
      </c>
      <c r="T241">
        <f t="shared" si="32"/>
        <v>0</v>
      </c>
    </row>
    <row r="242" spans="7:20" x14ac:dyDescent="0.25">
      <c r="G242" s="38">
        <f t="shared" si="33"/>
        <v>1900</v>
      </c>
      <c r="R242" s="31">
        <f t="shared" si="34"/>
        <v>0</v>
      </c>
      <c r="S242">
        <f t="shared" ref="S242:S273" si="35">P242-L242</f>
        <v>0</v>
      </c>
      <c r="T242">
        <f t="shared" ref="T242:T273" si="36">Q242-M242</f>
        <v>0</v>
      </c>
    </row>
    <row r="243" spans="7:20" x14ac:dyDescent="0.25">
      <c r="G243" s="38">
        <f t="shared" ref="G243:G274" si="37">YEAR(F243)</f>
        <v>1900</v>
      </c>
      <c r="R243" s="31">
        <f t="shared" ref="R243:R274" si="38">O243-K243</f>
        <v>0</v>
      </c>
      <c r="S243">
        <f t="shared" si="35"/>
        <v>0</v>
      </c>
      <c r="T243">
        <f t="shared" si="36"/>
        <v>0</v>
      </c>
    </row>
    <row r="244" spans="7:20" x14ac:dyDescent="0.25">
      <c r="G244" s="38">
        <f t="shared" si="37"/>
        <v>1900</v>
      </c>
      <c r="R244" s="31">
        <f t="shared" si="38"/>
        <v>0</v>
      </c>
      <c r="S244">
        <f t="shared" si="35"/>
        <v>0</v>
      </c>
      <c r="T244">
        <f t="shared" si="36"/>
        <v>0</v>
      </c>
    </row>
    <row r="245" spans="7:20" x14ac:dyDescent="0.25">
      <c r="G245" s="38">
        <f t="shared" si="37"/>
        <v>1900</v>
      </c>
      <c r="R245" s="31">
        <f t="shared" si="38"/>
        <v>0</v>
      </c>
      <c r="S245">
        <f t="shared" si="35"/>
        <v>0</v>
      </c>
      <c r="T245">
        <f t="shared" si="36"/>
        <v>0</v>
      </c>
    </row>
    <row r="246" spans="7:20" x14ac:dyDescent="0.25">
      <c r="G246" s="38">
        <f t="shared" si="37"/>
        <v>1900</v>
      </c>
      <c r="R246" s="31">
        <f t="shared" si="38"/>
        <v>0</v>
      </c>
      <c r="S246">
        <f t="shared" si="35"/>
        <v>0</v>
      </c>
      <c r="T246">
        <f t="shared" si="36"/>
        <v>0</v>
      </c>
    </row>
    <row r="247" spans="7:20" x14ac:dyDescent="0.25">
      <c r="G247" s="38">
        <f t="shared" si="37"/>
        <v>1900</v>
      </c>
      <c r="R247" s="31">
        <f t="shared" si="38"/>
        <v>0</v>
      </c>
      <c r="S247">
        <f t="shared" si="35"/>
        <v>0</v>
      </c>
      <c r="T247">
        <f t="shared" si="36"/>
        <v>0</v>
      </c>
    </row>
    <row r="248" spans="7:20" x14ac:dyDescent="0.25">
      <c r="G248" s="38">
        <f t="shared" si="37"/>
        <v>1900</v>
      </c>
      <c r="R248" s="31">
        <f t="shared" si="38"/>
        <v>0</v>
      </c>
      <c r="S248">
        <f t="shared" si="35"/>
        <v>0</v>
      </c>
      <c r="T248">
        <f t="shared" si="36"/>
        <v>0</v>
      </c>
    </row>
    <row r="249" spans="7:20" x14ac:dyDescent="0.25">
      <c r="G249" s="38">
        <f t="shared" si="37"/>
        <v>1900</v>
      </c>
      <c r="R249" s="31">
        <f t="shared" si="38"/>
        <v>0</v>
      </c>
      <c r="S249">
        <f t="shared" si="35"/>
        <v>0</v>
      </c>
      <c r="T249">
        <f t="shared" si="36"/>
        <v>0</v>
      </c>
    </row>
    <row r="250" spans="7:20" x14ac:dyDescent="0.25">
      <c r="G250" s="38">
        <f t="shared" si="37"/>
        <v>1900</v>
      </c>
      <c r="R250" s="31">
        <f t="shared" si="38"/>
        <v>0</v>
      </c>
      <c r="S250">
        <f t="shared" si="35"/>
        <v>0</v>
      </c>
      <c r="T250">
        <f t="shared" si="36"/>
        <v>0</v>
      </c>
    </row>
    <row r="251" spans="7:20" x14ac:dyDescent="0.25">
      <c r="G251" s="38">
        <f t="shared" si="37"/>
        <v>1900</v>
      </c>
      <c r="R251" s="31">
        <f t="shared" si="38"/>
        <v>0</v>
      </c>
      <c r="S251">
        <f t="shared" si="35"/>
        <v>0</v>
      </c>
      <c r="T251">
        <f t="shared" si="36"/>
        <v>0</v>
      </c>
    </row>
    <row r="252" spans="7:20" x14ac:dyDescent="0.25">
      <c r="G252" s="38">
        <f t="shared" si="37"/>
        <v>1900</v>
      </c>
      <c r="R252" s="31">
        <f t="shared" si="38"/>
        <v>0</v>
      </c>
      <c r="S252">
        <f t="shared" si="35"/>
        <v>0</v>
      </c>
      <c r="T252">
        <f t="shared" si="36"/>
        <v>0</v>
      </c>
    </row>
    <row r="253" spans="7:20" x14ac:dyDescent="0.25">
      <c r="G253" s="38">
        <f t="shared" si="37"/>
        <v>1900</v>
      </c>
      <c r="R253" s="31">
        <f t="shared" si="38"/>
        <v>0</v>
      </c>
      <c r="S253">
        <f t="shared" si="35"/>
        <v>0</v>
      </c>
      <c r="T253">
        <f t="shared" si="36"/>
        <v>0</v>
      </c>
    </row>
    <row r="254" spans="7:20" x14ac:dyDescent="0.25">
      <c r="G254" s="38">
        <f t="shared" si="37"/>
        <v>1900</v>
      </c>
      <c r="R254" s="31">
        <f t="shared" si="38"/>
        <v>0</v>
      </c>
      <c r="S254">
        <f t="shared" si="35"/>
        <v>0</v>
      </c>
      <c r="T254">
        <f t="shared" si="36"/>
        <v>0</v>
      </c>
    </row>
    <row r="255" spans="7:20" x14ac:dyDescent="0.25">
      <c r="G255" s="38">
        <f t="shared" si="37"/>
        <v>1900</v>
      </c>
      <c r="R255" s="31">
        <f t="shared" si="38"/>
        <v>0</v>
      </c>
      <c r="S255">
        <f t="shared" si="35"/>
        <v>0</v>
      </c>
      <c r="T255">
        <f t="shared" si="36"/>
        <v>0</v>
      </c>
    </row>
    <row r="256" spans="7:20" x14ac:dyDescent="0.25">
      <c r="G256" s="38">
        <f t="shared" si="37"/>
        <v>1900</v>
      </c>
      <c r="R256" s="31">
        <f t="shared" si="38"/>
        <v>0</v>
      </c>
      <c r="S256">
        <f t="shared" si="35"/>
        <v>0</v>
      </c>
      <c r="T256">
        <f t="shared" si="36"/>
        <v>0</v>
      </c>
    </row>
    <row r="257" spans="7:20" x14ac:dyDescent="0.25">
      <c r="G257" s="38">
        <f t="shared" si="37"/>
        <v>1900</v>
      </c>
      <c r="R257" s="31">
        <f t="shared" si="38"/>
        <v>0</v>
      </c>
      <c r="S257">
        <f t="shared" si="35"/>
        <v>0</v>
      </c>
      <c r="T257">
        <f t="shared" si="36"/>
        <v>0</v>
      </c>
    </row>
    <row r="258" spans="7:20" x14ac:dyDescent="0.25">
      <c r="G258" s="38">
        <f t="shared" si="37"/>
        <v>1900</v>
      </c>
      <c r="R258" s="31">
        <f t="shared" si="38"/>
        <v>0</v>
      </c>
      <c r="S258">
        <f t="shared" si="35"/>
        <v>0</v>
      </c>
      <c r="T258">
        <f t="shared" si="36"/>
        <v>0</v>
      </c>
    </row>
    <row r="259" spans="7:20" x14ac:dyDescent="0.25">
      <c r="G259" s="38">
        <f t="shared" si="37"/>
        <v>1900</v>
      </c>
      <c r="R259" s="31">
        <f t="shared" si="38"/>
        <v>0</v>
      </c>
      <c r="S259">
        <f t="shared" si="35"/>
        <v>0</v>
      </c>
      <c r="T259">
        <f t="shared" si="36"/>
        <v>0</v>
      </c>
    </row>
    <row r="260" spans="7:20" x14ac:dyDescent="0.25">
      <c r="G260" s="38">
        <f t="shared" si="37"/>
        <v>1900</v>
      </c>
      <c r="R260" s="31">
        <f t="shared" si="38"/>
        <v>0</v>
      </c>
      <c r="S260">
        <f t="shared" si="35"/>
        <v>0</v>
      </c>
      <c r="T260">
        <f t="shared" si="36"/>
        <v>0</v>
      </c>
    </row>
    <row r="261" spans="7:20" x14ac:dyDescent="0.25">
      <c r="G261" s="38">
        <f t="shared" si="37"/>
        <v>1900</v>
      </c>
      <c r="R261" s="31">
        <f t="shared" si="38"/>
        <v>0</v>
      </c>
      <c r="S261">
        <f t="shared" si="35"/>
        <v>0</v>
      </c>
      <c r="T261">
        <f t="shared" si="36"/>
        <v>0</v>
      </c>
    </row>
    <row r="262" spans="7:20" x14ac:dyDescent="0.25">
      <c r="G262" s="38">
        <f t="shared" si="37"/>
        <v>1900</v>
      </c>
      <c r="R262" s="31">
        <f t="shared" si="38"/>
        <v>0</v>
      </c>
      <c r="S262">
        <f t="shared" si="35"/>
        <v>0</v>
      </c>
      <c r="T262">
        <f t="shared" si="36"/>
        <v>0</v>
      </c>
    </row>
    <row r="263" spans="7:20" x14ac:dyDescent="0.25">
      <c r="G263" s="38">
        <f t="shared" si="37"/>
        <v>1900</v>
      </c>
      <c r="R263" s="31">
        <f t="shared" si="38"/>
        <v>0</v>
      </c>
      <c r="S263">
        <f t="shared" si="35"/>
        <v>0</v>
      </c>
      <c r="T263">
        <f t="shared" si="36"/>
        <v>0</v>
      </c>
    </row>
    <row r="264" spans="7:20" x14ac:dyDescent="0.25">
      <c r="G264" s="38">
        <f t="shared" si="37"/>
        <v>1900</v>
      </c>
      <c r="R264" s="31">
        <f t="shared" si="38"/>
        <v>0</v>
      </c>
      <c r="S264">
        <f t="shared" si="35"/>
        <v>0</v>
      </c>
      <c r="T264">
        <f t="shared" si="36"/>
        <v>0</v>
      </c>
    </row>
    <row r="265" spans="7:20" x14ac:dyDescent="0.25">
      <c r="G265" s="38">
        <f t="shared" si="37"/>
        <v>1900</v>
      </c>
      <c r="R265" s="31">
        <f t="shared" si="38"/>
        <v>0</v>
      </c>
      <c r="S265">
        <f t="shared" si="35"/>
        <v>0</v>
      </c>
      <c r="T265">
        <f t="shared" si="36"/>
        <v>0</v>
      </c>
    </row>
    <row r="266" spans="7:20" x14ac:dyDescent="0.25">
      <c r="G266" s="38">
        <f t="shared" si="37"/>
        <v>1900</v>
      </c>
      <c r="R266" s="31">
        <f t="shared" si="38"/>
        <v>0</v>
      </c>
      <c r="S266">
        <f t="shared" si="35"/>
        <v>0</v>
      </c>
      <c r="T266">
        <f t="shared" si="36"/>
        <v>0</v>
      </c>
    </row>
    <row r="267" spans="7:20" x14ac:dyDescent="0.25">
      <c r="G267" s="38">
        <f t="shared" si="37"/>
        <v>1900</v>
      </c>
      <c r="R267" s="31">
        <f t="shared" si="38"/>
        <v>0</v>
      </c>
      <c r="S267">
        <f t="shared" si="35"/>
        <v>0</v>
      </c>
      <c r="T267">
        <f t="shared" si="36"/>
        <v>0</v>
      </c>
    </row>
    <row r="268" spans="7:20" x14ac:dyDescent="0.25">
      <c r="G268" s="38">
        <f t="shared" si="37"/>
        <v>1900</v>
      </c>
      <c r="R268" s="31">
        <f t="shared" si="38"/>
        <v>0</v>
      </c>
      <c r="S268">
        <f t="shared" si="35"/>
        <v>0</v>
      </c>
      <c r="T268">
        <f t="shared" si="36"/>
        <v>0</v>
      </c>
    </row>
    <row r="269" spans="7:20" x14ac:dyDescent="0.25">
      <c r="G269" s="38">
        <f t="shared" si="37"/>
        <v>1900</v>
      </c>
      <c r="R269" s="31">
        <f t="shared" si="38"/>
        <v>0</v>
      </c>
      <c r="S269">
        <f t="shared" si="35"/>
        <v>0</v>
      </c>
      <c r="T269">
        <f t="shared" si="36"/>
        <v>0</v>
      </c>
    </row>
    <row r="270" spans="7:20" x14ac:dyDescent="0.25">
      <c r="G270" s="38">
        <f t="shared" si="37"/>
        <v>1900</v>
      </c>
      <c r="R270" s="31">
        <f t="shared" si="38"/>
        <v>0</v>
      </c>
      <c r="S270">
        <f t="shared" si="35"/>
        <v>0</v>
      </c>
      <c r="T270">
        <f t="shared" si="36"/>
        <v>0</v>
      </c>
    </row>
    <row r="271" spans="7:20" x14ac:dyDescent="0.25">
      <c r="G271" s="38">
        <f t="shared" si="37"/>
        <v>1900</v>
      </c>
      <c r="R271" s="31">
        <f t="shared" si="38"/>
        <v>0</v>
      </c>
      <c r="S271">
        <f t="shared" si="35"/>
        <v>0</v>
      </c>
      <c r="T271">
        <f t="shared" si="36"/>
        <v>0</v>
      </c>
    </row>
    <row r="272" spans="7:20" x14ac:dyDescent="0.25">
      <c r="G272" s="38">
        <f t="shared" si="37"/>
        <v>1900</v>
      </c>
      <c r="R272" s="31">
        <f t="shared" si="38"/>
        <v>0</v>
      </c>
      <c r="S272">
        <f t="shared" si="35"/>
        <v>0</v>
      </c>
      <c r="T272">
        <f t="shared" si="36"/>
        <v>0</v>
      </c>
    </row>
    <row r="273" spans="7:20" x14ac:dyDescent="0.25">
      <c r="G273" s="38">
        <f t="shared" si="37"/>
        <v>1900</v>
      </c>
      <c r="R273" s="31">
        <f t="shared" si="38"/>
        <v>0</v>
      </c>
      <c r="S273">
        <f t="shared" si="35"/>
        <v>0</v>
      </c>
      <c r="T273">
        <f t="shared" si="36"/>
        <v>0</v>
      </c>
    </row>
    <row r="274" spans="7:20" x14ac:dyDescent="0.25">
      <c r="G274" s="38">
        <f t="shared" si="37"/>
        <v>1900</v>
      </c>
      <c r="R274" s="31">
        <f t="shared" si="38"/>
        <v>0</v>
      </c>
      <c r="S274">
        <f t="shared" ref="S274:S286" si="39">P274-L274</f>
        <v>0</v>
      </c>
      <c r="T274">
        <f t="shared" ref="T274:T286" si="40">Q274-M274</f>
        <v>0</v>
      </c>
    </row>
    <row r="275" spans="7:20" x14ac:dyDescent="0.25">
      <c r="G275" s="38">
        <f t="shared" ref="G275:G286" si="41">YEAR(F275)</f>
        <v>1900</v>
      </c>
      <c r="R275" s="31">
        <f t="shared" ref="R275:R286" si="42">O275-K275</f>
        <v>0</v>
      </c>
      <c r="S275">
        <f t="shared" si="39"/>
        <v>0</v>
      </c>
      <c r="T275">
        <f t="shared" si="40"/>
        <v>0</v>
      </c>
    </row>
    <row r="276" spans="7:20" x14ac:dyDescent="0.25">
      <c r="G276" s="38">
        <f t="shared" si="41"/>
        <v>1900</v>
      </c>
      <c r="R276" s="31">
        <f t="shared" si="42"/>
        <v>0</v>
      </c>
      <c r="S276">
        <f t="shared" si="39"/>
        <v>0</v>
      </c>
      <c r="T276">
        <f t="shared" si="40"/>
        <v>0</v>
      </c>
    </row>
    <row r="277" spans="7:20" x14ac:dyDescent="0.25">
      <c r="G277" s="38">
        <f t="shared" si="41"/>
        <v>1900</v>
      </c>
      <c r="R277" s="31">
        <f t="shared" si="42"/>
        <v>0</v>
      </c>
      <c r="S277">
        <f t="shared" si="39"/>
        <v>0</v>
      </c>
      <c r="T277">
        <f t="shared" si="40"/>
        <v>0</v>
      </c>
    </row>
    <row r="278" spans="7:20" x14ac:dyDescent="0.25">
      <c r="G278" s="38">
        <f t="shared" si="41"/>
        <v>1900</v>
      </c>
      <c r="R278" s="31">
        <f t="shared" si="42"/>
        <v>0</v>
      </c>
      <c r="S278">
        <f t="shared" si="39"/>
        <v>0</v>
      </c>
      <c r="T278">
        <f t="shared" si="40"/>
        <v>0</v>
      </c>
    </row>
    <row r="279" spans="7:20" x14ac:dyDescent="0.25">
      <c r="G279" s="38">
        <f t="shared" si="41"/>
        <v>1900</v>
      </c>
      <c r="R279" s="31">
        <f t="shared" si="42"/>
        <v>0</v>
      </c>
      <c r="S279">
        <f t="shared" si="39"/>
        <v>0</v>
      </c>
      <c r="T279">
        <f t="shared" si="40"/>
        <v>0</v>
      </c>
    </row>
    <row r="280" spans="7:20" x14ac:dyDescent="0.25">
      <c r="G280" s="38">
        <f t="shared" si="41"/>
        <v>1900</v>
      </c>
      <c r="R280" s="31">
        <f t="shared" si="42"/>
        <v>0</v>
      </c>
      <c r="S280">
        <f t="shared" si="39"/>
        <v>0</v>
      </c>
      <c r="T280">
        <f t="shared" si="40"/>
        <v>0</v>
      </c>
    </row>
    <row r="281" spans="7:20" x14ac:dyDescent="0.25">
      <c r="G281" s="38">
        <f t="shared" si="41"/>
        <v>1900</v>
      </c>
      <c r="R281" s="31">
        <f t="shared" si="42"/>
        <v>0</v>
      </c>
      <c r="S281">
        <f t="shared" si="39"/>
        <v>0</v>
      </c>
      <c r="T281">
        <f t="shared" si="40"/>
        <v>0</v>
      </c>
    </row>
    <row r="282" spans="7:20" x14ac:dyDescent="0.25">
      <c r="G282" s="38">
        <f t="shared" si="41"/>
        <v>1900</v>
      </c>
      <c r="R282" s="31">
        <f t="shared" si="42"/>
        <v>0</v>
      </c>
      <c r="S282">
        <f t="shared" si="39"/>
        <v>0</v>
      </c>
      <c r="T282">
        <f t="shared" si="40"/>
        <v>0</v>
      </c>
    </row>
    <row r="283" spans="7:20" x14ac:dyDescent="0.25">
      <c r="G283" s="38">
        <f t="shared" si="41"/>
        <v>1900</v>
      </c>
      <c r="R283" s="31">
        <f t="shared" si="42"/>
        <v>0</v>
      </c>
      <c r="S283">
        <f t="shared" si="39"/>
        <v>0</v>
      </c>
      <c r="T283">
        <f t="shared" si="40"/>
        <v>0</v>
      </c>
    </row>
    <row r="284" spans="7:20" x14ac:dyDescent="0.25">
      <c r="G284" s="38">
        <f t="shared" si="41"/>
        <v>1900</v>
      </c>
      <c r="R284" s="31">
        <f t="shared" si="42"/>
        <v>0</v>
      </c>
      <c r="S284">
        <f t="shared" si="39"/>
        <v>0</v>
      </c>
      <c r="T284">
        <f t="shared" si="40"/>
        <v>0</v>
      </c>
    </row>
    <row r="285" spans="7:20" x14ac:dyDescent="0.25">
      <c r="G285" s="38">
        <f t="shared" si="41"/>
        <v>1900</v>
      </c>
      <c r="R285" s="31">
        <f t="shared" si="42"/>
        <v>0</v>
      </c>
      <c r="S285">
        <f t="shared" si="39"/>
        <v>0</v>
      </c>
      <c r="T285">
        <f t="shared" si="40"/>
        <v>0</v>
      </c>
    </row>
    <row r="286" spans="7:20" x14ac:dyDescent="0.25">
      <c r="G286" s="38">
        <f t="shared" si="41"/>
        <v>1900</v>
      </c>
      <c r="R286" s="31">
        <f t="shared" si="42"/>
        <v>0</v>
      </c>
      <c r="S286">
        <f t="shared" si="39"/>
        <v>0</v>
      </c>
      <c r="T286">
        <f t="shared" si="40"/>
        <v>0</v>
      </c>
    </row>
  </sheetData>
  <autoFilter ref="A18:AG286" xr:uid="{19FD1EA7-3EFF-4B16-98A7-13B58DC28338}"/>
  <sortState xmlns:xlrd2="http://schemas.microsoft.com/office/spreadsheetml/2017/richdata2" ref="A21:AG210">
    <sortCondition ref="F21:F210"/>
  </sortState>
  <mergeCells count="18">
    <mergeCell ref="I2:I3"/>
    <mergeCell ref="H2:H3"/>
    <mergeCell ref="Z2:Z3"/>
    <mergeCell ref="A2:A3"/>
    <mergeCell ref="B2:B3"/>
    <mergeCell ref="C2:C3"/>
    <mergeCell ref="D2:D3"/>
    <mergeCell ref="E2:E3"/>
    <mergeCell ref="F2:F3"/>
    <mergeCell ref="F18:F19"/>
    <mergeCell ref="H18:H19"/>
    <mergeCell ref="I18:I19"/>
    <mergeCell ref="Z18:Z19"/>
    <mergeCell ref="A18:A19"/>
    <mergeCell ref="B18:B19"/>
    <mergeCell ref="C18:C19"/>
    <mergeCell ref="D18:D19"/>
    <mergeCell ref="E18:E19"/>
  </mergeCells>
  <phoneticPr fontId="25" type="noConversion"/>
  <hyperlinks>
    <hyperlink ref="B9" location="BuildoutAssumptions!A1" display="BuildoutAssupmtions sheet" xr:uid="{41BC8EBA-11E0-4333-A3C0-8682C8E7F792}"/>
    <hyperlink ref="H192" r:id="rId1" display="https://maps.greenwoodmap.com/tetonwy/clerk/scannedMaps/scanned_map.php?number=T-258R" xr:uid="{32646E71-BBD7-4F76-B004-8A18E2235E79}"/>
  </hyperlinks>
  <pageMargins left="0.7" right="0.7" top="0.75" bottom="0.75" header="0.3" footer="0.3"/>
  <pageSetup orientation="portrait"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177F3-B572-4754-9FB9-4E6D2C4ACAF5}">
  <dimension ref="A1:O66"/>
  <sheetViews>
    <sheetView workbookViewId="0">
      <selection activeCell="J24" sqref="J24"/>
    </sheetView>
  </sheetViews>
  <sheetFormatPr defaultRowHeight="15" x14ac:dyDescent="0.25"/>
  <cols>
    <col min="1" max="4" width="6.42578125" customWidth="1"/>
    <col min="5" max="8" width="10.7109375" style="154" customWidth="1"/>
    <col min="9" max="11" width="8.28515625" style="39" customWidth="1"/>
    <col min="12" max="12" width="6.42578125" customWidth="1"/>
    <col min="13" max="14" width="8.28515625" customWidth="1"/>
    <col min="15" max="15" width="10.42578125" customWidth="1"/>
    <col min="16" max="18" width="6.42578125" customWidth="1"/>
  </cols>
  <sheetData>
    <row r="1" spans="1:11" ht="20.25" thickBot="1" x14ac:dyDescent="0.3">
      <c r="A1" s="61" t="s">
        <v>1959</v>
      </c>
      <c r="B1" s="61"/>
      <c r="C1" s="61"/>
      <c r="D1" s="61"/>
      <c r="E1" s="152"/>
      <c r="F1" s="152"/>
      <c r="G1" s="152"/>
      <c r="H1" s="153"/>
      <c r="I1" s="155"/>
      <c r="J1" s="155"/>
      <c r="K1" s="155"/>
    </row>
    <row r="2" spans="1:11" x14ac:dyDescent="0.25">
      <c r="B2" t="s">
        <v>1960</v>
      </c>
    </row>
    <row r="3" spans="1:11" x14ac:dyDescent="0.25">
      <c r="C3" t="s">
        <v>1961</v>
      </c>
    </row>
    <row r="4" spans="1:11" x14ac:dyDescent="0.25">
      <c r="B4" t="s">
        <v>1962</v>
      </c>
    </row>
    <row r="5" spans="1:11" x14ac:dyDescent="0.25">
      <c r="B5" t="s">
        <v>1963</v>
      </c>
    </row>
    <row r="6" spans="1:11" x14ac:dyDescent="0.25">
      <c r="B6" t="s">
        <v>1964</v>
      </c>
    </row>
    <row r="7" spans="1:11" x14ac:dyDescent="0.25">
      <c r="C7" t="s">
        <v>1965</v>
      </c>
    </row>
    <row r="8" spans="1:11" x14ac:dyDescent="0.25">
      <c r="C8" t="s">
        <v>1966</v>
      </c>
    </row>
    <row r="9" spans="1:11" x14ac:dyDescent="0.25">
      <c r="D9" t="s">
        <v>1967</v>
      </c>
    </row>
    <row r="10" spans="1:11" x14ac:dyDescent="0.25">
      <c r="C10" t="s">
        <v>1968</v>
      </c>
    </row>
    <row r="11" spans="1:11" x14ac:dyDescent="0.25">
      <c r="B11" t="s">
        <v>1969</v>
      </c>
    </row>
    <row r="12" spans="1:11" x14ac:dyDescent="0.25">
      <c r="B12" t="s">
        <v>1970</v>
      </c>
    </row>
    <row r="13" spans="1:11" x14ac:dyDescent="0.25">
      <c r="B13" t="s">
        <v>1971</v>
      </c>
    </row>
    <row r="14" spans="1:11" x14ac:dyDescent="0.25">
      <c r="B14" t="s">
        <v>1972</v>
      </c>
    </row>
    <row r="15" spans="1:11" x14ac:dyDescent="0.25">
      <c r="B15" t="s">
        <v>1973</v>
      </c>
    </row>
    <row r="16" spans="1:11" x14ac:dyDescent="0.25">
      <c r="B16" t="s">
        <v>1974</v>
      </c>
    </row>
    <row r="17" spans="1:15" x14ac:dyDescent="0.25">
      <c r="C17" t="s">
        <v>1975</v>
      </c>
    </row>
    <row r="18" spans="1:15" x14ac:dyDescent="0.25">
      <c r="C18" t="s">
        <v>1976</v>
      </c>
    </row>
    <row r="19" spans="1:15" x14ac:dyDescent="0.25">
      <c r="B19" t="s">
        <v>1977</v>
      </c>
    </row>
    <row r="20" spans="1:15" x14ac:dyDescent="0.25">
      <c r="C20" t="s">
        <v>1978</v>
      </c>
    </row>
    <row r="21" spans="1:15" x14ac:dyDescent="0.25">
      <c r="C21" t="s">
        <v>1979</v>
      </c>
    </row>
    <row r="22" spans="1:15" x14ac:dyDescent="0.25">
      <c r="C22" t="s">
        <v>1980</v>
      </c>
    </row>
    <row r="23" spans="1:15" x14ac:dyDescent="0.25">
      <c r="C23" t="s">
        <v>1981</v>
      </c>
    </row>
    <row r="24" spans="1:15" ht="30" x14ac:dyDescent="0.25">
      <c r="A24" s="160"/>
      <c r="B24" s="160" t="s">
        <v>1466</v>
      </c>
      <c r="C24" s="160"/>
      <c r="D24" s="161" t="s">
        <v>1982</v>
      </c>
      <c r="E24" s="162" t="s">
        <v>1983</v>
      </c>
      <c r="F24" s="162" t="s">
        <v>1984</v>
      </c>
      <c r="G24" s="162" t="s">
        <v>1985</v>
      </c>
      <c r="H24" s="163" t="s">
        <v>1986</v>
      </c>
      <c r="I24" s="164" t="s">
        <v>1987</v>
      </c>
      <c r="J24" s="164" t="s">
        <v>1988</v>
      </c>
      <c r="K24" s="164" t="s">
        <v>1989</v>
      </c>
      <c r="L24" s="164" t="s">
        <v>1990</v>
      </c>
      <c r="M24" s="164" t="s">
        <v>1991</v>
      </c>
      <c r="N24" s="164" t="s">
        <v>1992</v>
      </c>
      <c r="O24" s="164" t="s">
        <v>1993</v>
      </c>
    </row>
    <row r="25" spans="1:15" s="159" customFormat="1" x14ac:dyDescent="0.25">
      <c r="A25" s="190" t="s">
        <v>77</v>
      </c>
      <c r="B25" s="190"/>
      <c r="C25" s="190"/>
      <c r="D25" s="190"/>
      <c r="E25" s="191"/>
      <c r="F25" s="191"/>
      <c r="G25" s="191"/>
      <c r="H25" s="192"/>
      <c r="I25" s="193"/>
      <c r="J25" s="193"/>
      <c r="K25" s="193"/>
      <c r="L25" s="193"/>
      <c r="M25" s="190"/>
      <c r="N25" s="190"/>
      <c r="O25" s="190"/>
    </row>
    <row r="26" spans="1:15" x14ac:dyDescent="0.25">
      <c r="B26" t="s">
        <v>1893</v>
      </c>
      <c r="D26">
        <v>1.3</v>
      </c>
      <c r="E26" s="154">
        <v>0.25</v>
      </c>
      <c r="F26" s="154">
        <v>0.25</v>
      </c>
      <c r="G26" s="154">
        <v>0.25</v>
      </c>
      <c r="H26" s="154">
        <v>0.25</v>
      </c>
      <c r="I26" s="156">
        <v>1200</v>
      </c>
      <c r="J26" s="39">
        <v>650</v>
      </c>
      <c r="K26" s="39">
        <v>1200</v>
      </c>
    </row>
    <row r="27" spans="1:15" x14ac:dyDescent="0.25">
      <c r="B27" t="s">
        <v>1994</v>
      </c>
      <c r="D27">
        <v>0.65</v>
      </c>
      <c r="E27" s="154">
        <v>0.25</v>
      </c>
      <c r="H27" s="154">
        <v>0.75</v>
      </c>
      <c r="I27" s="156">
        <v>1200</v>
      </c>
    </row>
    <row r="28" spans="1:15" x14ac:dyDescent="0.25">
      <c r="B28" t="s">
        <v>1995</v>
      </c>
      <c r="D28">
        <v>0.8</v>
      </c>
      <c r="E28" s="154">
        <v>0.25</v>
      </c>
      <c r="F28" s="154">
        <v>0.25</v>
      </c>
      <c r="G28" s="154">
        <v>0.25</v>
      </c>
      <c r="H28" s="154">
        <v>0.25</v>
      </c>
      <c r="I28" s="156">
        <v>1200</v>
      </c>
      <c r="J28" s="39">
        <v>650</v>
      </c>
      <c r="K28" s="39">
        <v>1200</v>
      </c>
    </row>
    <row r="29" spans="1:15" x14ac:dyDescent="0.25">
      <c r="B29" t="s">
        <v>1996</v>
      </c>
      <c r="D29">
        <v>0.46</v>
      </c>
      <c r="E29" s="154">
        <v>0.25</v>
      </c>
      <c r="H29" s="154">
        <v>0.75</v>
      </c>
      <c r="I29" s="156">
        <v>1200</v>
      </c>
    </row>
    <row r="30" spans="1:15" x14ac:dyDescent="0.25">
      <c r="B30" t="s">
        <v>1997</v>
      </c>
      <c r="D30">
        <v>0.8</v>
      </c>
      <c r="E30" s="154">
        <v>0.25</v>
      </c>
      <c r="F30" s="154">
        <v>0.25</v>
      </c>
      <c r="G30" s="154">
        <v>0.25</v>
      </c>
      <c r="H30" s="154">
        <v>0.25</v>
      </c>
      <c r="I30" s="156">
        <v>1200</v>
      </c>
      <c r="J30" s="39">
        <v>650</v>
      </c>
      <c r="K30" s="39">
        <v>1200</v>
      </c>
    </row>
    <row r="31" spans="1:15" x14ac:dyDescent="0.25">
      <c r="B31" t="s">
        <v>1998</v>
      </c>
      <c r="D31">
        <v>0.4</v>
      </c>
      <c r="E31" s="154">
        <v>0.25</v>
      </c>
      <c r="H31" s="154">
        <v>0.75</v>
      </c>
      <c r="I31" s="156">
        <v>1200</v>
      </c>
    </row>
    <row r="32" spans="1:15" x14ac:dyDescent="0.25">
      <c r="B32" t="s">
        <v>1946</v>
      </c>
      <c r="D32">
        <v>0.46</v>
      </c>
      <c r="E32" s="154">
        <v>0.25</v>
      </c>
      <c r="H32" s="154">
        <v>0.75</v>
      </c>
      <c r="I32" s="156">
        <v>1200</v>
      </c>
    </row>
    <row r="33" spans="1:15" x14ac:dyDescent="0.25">
      <c r="B33" t="s">
        <v>1999</v>
      </c>
      <c r="D33">
        <v>1.83</v>
      </c>
      <c r="E33" s="154">
        <v>0.25</v>
      </c>
      <c r="H33" s="154">
        <v>0.75</v>
      </c>
      <c r="I33" s="156">
        <v>1200</v>
      </c>
    </row>
    <row r="34" spans="1:15" x14ac:dyDescent="0.25">
      <c r="B34" t="s">
        <v>2000</v>
      </c>
      <c r="D34">
        <v>1.83</v>
      </c>
      <c r="E34" s="154">
        <v>0.25</v>
      </c>
      <c r="F34" s="154">
        <v>0.25</v>
      </c>
      <c r="G34" s="154">
        <v>0.25</v>
      </c>
      <c r="H34" s="154">
        <v>0.25</v>
      </c>
      <c r="I34" s="156">
        <v>1200</v>
      </c>
      <c r="J34" s="39">
        <v>650</v>
      </c>
      <c r="K34" s="39">
        <v>1200</v>
      </c>
    </row>
    <row r="35" spans="1:15" x14ac:dyDescent="0.25">
      <c r="B35" t="s">
        <v>2001</v>
      </c>
      <c r="D35">
        <v>1.3</v>
      </c>
      <c r="E35" s="154">
        <v>0.25</v>
      </c>
      <c r="F35" s="154">
        <v>0.25</v>
      </c>
      <c r="G35" s="154">
        <v>0.25</v>
      </c>
      <c r="H35" s="154">
        <v>0.25</v>
      </c>
      <c r="I35" s="156">
        <v>1200</v>
      </c>
      <c r="J35" s="39">
        <v>650</v>
      </c>
      <c r="K35" s="39">
        <v>1200</v>
      </c>
    </row>
    <row r="36" spans="1:15" x14ac:dyDescent="0.25">
      <c r="B36" t="s">
        <v>2002</v>
      </c>
      <c r="L36" s="157">
        <f>43560/7500*3</f>
        <v>17.423999999999999</v>
      </c>
    </row>
    <row r="37" spans="1:15" x14ac:dyDescent="0.25">
      <c r="B37" t="s">
        <v>2003</v>
      </c>
      <c r="L37" s="157">
        <f>43560/7500*3</f>
        <v>17.423999999999999</v>
      </c>
    </row>
    <row r="38" spans="1:15" x14ac:dyDescent="0.25">
      <c r="B38" t="s">
        <v>2004</v>
      </c>
      <c r="L38" s="157">
        <f>43560/7500*2</f>
        <v>11.616</v>
      </c>
    </row>
    <row r="39" spans="1:15" x14ac:dyDescent="0.25">
      <c r="B39" t="s">
        <v>2005</v>
      </c>
      <c r="L39" s="157">
        <f>43560/7500*3</f>
        <v>17.423999999999999</v>
      </c>
    </row>
    <row r="40" spans="1:15" x14ac:dyDescent="0.25">
      <c r="B40" t="s">
        <v>2006</v>
      </c>
      <c r="L40" s="157">
        <f>43560/7500*1</f>
        <v>5.8079999999999998</v>
      </c>
    </row>
    <row r="41" spans="1:15" x14ac:dyDescent="0.25">
      <c r="B41" t="s">
        <v>2007</v>
      </c>
      <c r="L41" s="157">
        <f>43560/7500*1</f>
        <v>5.8079999999999998</v>
      </c>
    </row>
    <row r="42" spans="1:15" x14ac:dyDescent="0.25">
      <c r="B42" t="s">
        <v>2008</v>
      </c>
      <c r="L42" s="157">
        <v>2</v>
      </c>
    </row>
    <row r="43" spans="1:15" x14ac:dyDescent="0.25">
      <c r="B43" t="s">
        <v>2009</v>
      </c>
      <c r="L43" s="157">
        <v>1</v>
      </c>
    </row>
    <row r="44" spans="1:15" x14ac:dyDescent="0.25">
      <c r="B44" t="s">
        <v>2010</v>
      </c>
      <c r="L44" s="157">
        <v>3.63</v>
      </c>
    </row>
    <row r="45" spans="1:15" s="159" customFormat="1" x14ac:dyDescent="0.25">
      <c r="A45" s="190" t="s">
        <v>614</v>
      </c>
      <c r="B45" s="190"/>
      <c r="C45" s="190"/>
      <c r="D45" s="190"/>
      <c r="E45" s="191"/>
      <c r="F45" s="191"/>
      <c r="G45" s="191"/>
      <c r="H45" s="192"/>
      <c r="I45" s="193"/>
      <c r="J45" s="193"/>
      <c r="K45" s="193"/>
      <c r="L45" s="193"/>
      <c r="M45" s="190"/>
      <c r="N45" s="190"/>
      <c r="O45" s="190"/>
    </row>
    <row r="46" spans="1:15" x14ac:dyDescent="0.25">
      <c r="B46" t="s">
        <v>2011</v>
      </c>
      <c r="D46">
        <v>0.35</v>
      </c>
      <c r="H46" s="154">
        <v>1</v>
      </c>
      <c r="L46" s="157">
        <v>4.16</v>
      </c>
    </row>
    <row r="47" spans="1:15" x14ac:dyDescent="0.25">
      <c r="B47" t="s">
        <v>2012</v>
      </c>
      <c r="D47">
        <v>0.35</v>
      </c>
      <c r="H47" s="154">
        <v>0.5</v>
      </c>
      <c r="L47" s="157">
        <v>9</v>
      </c>
    </row>
    <row r="48" spans="1:15" x14ac:dyDescent="0.25">
      <c r="B48" t="s">
        <v>2013</v>
      </c>
      <c r="D48" t="s">
        <v>2014</v>
      </c>
    </row>
    <row r="49" spans="1:15" x14ac:dyDescent="0.25">
      <c r="B49" t="s">
        <v>1790</v>
      </c>
      <c r="L49" s="157">
        <f>43560/7500*3</f>
        <v>17.423999999999999</v>
      </c>
    </row>
    <row r="50" spans="1:15" x14ac:dyDescent="0.25">
      <c r="B50" t="s">
        <v>1785</v>
      </c>
      <c r="L50">
        <f>1/35</f>
        <v>2.8571428571428571E-2</v>
      </c>
      <c r="M50">
        <f>3/35</f>
        <v>8.5714285714285715E-2</v>
      </c>
      <c r="N50">
        <v>49</v>
      </c>
      <c r="O50" s="85">
        <v>0.6</v>
      </c>
    </row>
    <row r="51" spans="1:15" x14ac:dyDescent="0.25">
      <c r="B51" t="s">
        <v>1817</v>
      </c>
      <c r="L51">
        <f>1/35</f>
        <v>2.8571428571428571E-2</v>
      </c>
      <c r="M51">
        <f>3/35</f>
        <v>8.5714285714285715E-2</v>
      </c>
      <c r="N51">
        <v>49</v>
      </c>
      <c r="O51" s="85">
        <v>0.4</v>
      </c>
    </row>
    <row r="52" spans="1:15" x14ac:dyDescent="0.25">
      <c r="B52" t="s">
        <v>1838</v>
      </c>
      <c r="L52">
        <f>1/35</f>
        <v>2.8571428571428571E-2</v>
      </c>
    </row>
    <row r="53" spans="1:15" x14ac:dyDescent="0.25">
      <c r="B53" t="s">
        <v>1474</v>
      </c>
      <c r="D53">
        <v>7.0000000000000001E-3</v>
      </c>
      <c r="H53" s="154">
        <v>7.0000000000000007E-2</v>
      </c>
      <c r="L53">
        <f>1/35</f>
        <v>2.8571428571428571E-2</v>
      </c>
      <c r="M53">
        <f>3/35</f>
        <v>8.5714285714285715E-2</v>
      </c>
      <c r="N53">
        <v>49</v>
      </c>
      <c r="O53" s="85">
        <v>1</v>
      </c>
    </row>
    <row r="54" spans="1:15" x14ac:dyDescent="0.25">
      <c r="B54" t="s">
        <v>2015</v>
      </c>
      <c r="D54" t="s">
        <v>2016</v>
      </c>
    </row>
    <row r="55" spans="1:15" x14ac:dyDescent="0.25">
      <c r="B55" t="s">
        <v>1485</v>
      </c>
      <c r="L55">
        <f>1/3</f>
        <v>0.33333333333333331</v>
      </c>
    </row>
    <row r="56" spans="1:15" x14ac:dyDescent="0.25">
      <c r="B56" t="s">
        <v>2017</v>
      </c>
      <c r="L56" s="157">
        <f>43560/12000</f>
        <v>3.63</v>
      </c>
    </row>
    <row r="57" spans="1:15" x14ac:dyDescent="0.25">
      <c r="B57" t="s">
        <v>2054</v>
      </c>
      <c r="L57" s="157">
        <v>0.33300000000000002</v>
      </c>
    </row>
    <row r="58" spans="1:15" x14ac:dyDescent="0.25">
      <c r="B58" t="s">
        <v>2101</v>
      </c>
      <c r="L58" s="157">
        <v>2.9000000000000001E-2</v>
      </c>
      <c r="M58">
        <f>3/35</f>
        <v>8.5714285714285715E-2</v>
      </c>
      <c r="N58">
        <v>49</v>
      </c>
      <c r="O58" s="85">
        <v>0.4</v>
      </c>
    </row>
    <row r="59" spans="1:15" s="159" customFormat="1" x14ac:dyDescent="0.25">
      <c r="A59" s="190" t="s">
        <v>2018</v>
      </c>
      <c r="B59" s="190"/>
      <c r="C59" s="190"/>
      <c r="D59" s="190"/>
      <c r="E59" s="191"/>
      <c r="F59" s="191"/>
      <c r="G59" s="191"/>
      <c r="H59" s="192"/>
      <c r="I59" s="193"/>
      <c r="J59" s="193"/>
      <c r="K59" s="193"/>
      <c r="L59" s="193"/>
      <c r="M59" s="190"/>
      <c r="N59" s="190"/>
      <c r="O59" s="190"/>
    </row>
    <row r="60" spans="1:15" x14ac:dyDescent="0.25">
      <c r="B60" t="s">
        <v>2019</v>
      </c>
      <c r="D60">
        <v>0.41</v>
      </c>
      <c r="E60" s="89">
        <v>0.105</v>
      </c>
      <c r="F60" s="154">
        <v>0</v>
      </c>
      <c r="G60" s="154">
        <v>0</v>
      </c>
      <c r="H60" s="154">
        <v>1</v>
      </c>
      <c r="I60" s="39">
        <v>600</v>
      </c>
    </row>
    <row r="61" spans="1:15" x14ac:dyDescent="0.25">
      <c r="B61" t="s">
        <v>2020</v>
      </c>
      <c r="D61" t="s">
        <v>2021</v>
      </c>
    </row>
    <row r="62" spans="1:15" x14ac:dyDescent="0.25">
      <c r="B62" t="s">
        <v>2022</v>
      </c>
      <c r="D62" t="s">
        <v>2023</v>
      </c>
    </row>
    <row r="63" spans="1:15" x14ac:dyDescent="0.25">
      <c r="B63" t="s">
        <v>1794</v>
      </c>
      <c r="D63" t="s">
        <v>2023</v>
      </c>
    </row>
    <row r="64" spans="1:15" x14ac:dyDescent="0.25">
      <c r="B64" t="s">
        <v>1481</v>
      </c>
      <c r="D64" t="s">
        <v>2024</v>
      </c>
    </row>
    <row r="65" spans="2:4" x14ac:dyDescent="0.25">
      <c r="B65" t="s">
        <v>2025</v>
      </c>
      <c r="D65" t="s">
        <v>2026</v>
      </c>
    </row>
    <row r="66" spans="2:4" ht="30" customHeight="1" x14ac:dyDescent="0.25">
      <c r="B66" s="284" t="s">
        <v>2027</v>
      </c>
      <c r="C66" s="284"/>
      <c r="D66" s="158" t="s">
        <v>2028</v>
      </c>
    </row>
  </sheetData>
  <mergeCells count="1">
    <mergeCell ref="B66:C66"/>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722A17313720D498652ED3D1F15B8E3" ma:contentTypeVersion="11" ma:contentTypeDescription="Create a new document." ma:contentTypeScope="" ma:versionID="650693eb0bfaf77fe071cc754072016d">
  <xsd:schema xmlns:xsd="http://www.w3.org/2001/XMLSchema" xmlns:xs="http://www.w3.org/2001/XMLSchema" xmlns:p="http://schemas.microsoft.com/office/2006/metadata/properties" xmlns:ns2="7a8e9bb9-fd04-47fb-9a37-2c5fdfef2401" xmlns:ns3="1c7ef77e-170a-485c-855e-b345781b6308" targetNamespace="http://schemas.microsoft.com/office/2006/metadata/properties" ma:root="true" ma:fieldsID="b3f164e4c16afcefd3d2280c9fb79ab7" ns2:_="" ns3:_="">
    <xsd:import namespace="7a8e9bb9-fd04-47fb-9a37-2c5fdfef2401"/>
    <xsd:import namespace="1c7ef77e-170a-485c-855e-b345781b630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8e9bb9-fd04-47fb-9a37-2c5fdfef24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c7ef77e-170a-485c-855e-b345781b630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3E517CF-DADC-4781-B95F-79A9E09422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8e9bb9-fd04-47fb-9a37-2c5fdfef2401"/>
    <ds:schemaRef ds:uri="1c7ef77e-170a-485c-855e-b345781b63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142F71E-1B8B-4D4F-8690-E21A0152630C}">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B1DEA64-84F2-4A52-A1DF-BCBBEC7421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69</vt:i4>
      </vt:variant>
    </vt:vector>
  </HeadingPairs>
  <TitlesOfParts>
    <vt:vector size="76" baseType="lpstr">
      <vt:lpstr>Intro</vt:lpstr>
      <vt:lpstr>Table of Contents</vt:lpstr>
      <vt:lpstr>Datasheet</vt:lpstr>
      <vt:lpstr>Indicators</vt:lpstr>
      <vt:lpstr>BuildingPermits</vt:lpstr>
      <vt:lpstr>ConsevationBuildoutTracker</vt:lpstr>
      <vt:lpstr>BuildoutAssumptions</vt:lpstr>
      <vt:lpstr>DaACSHsgChar</vt:lpstr>
      <vt:lpstr>DaACSVac</vt:lpstr>
      <vt:lpstr>DaActiveMode</vt:lpstr>
      <vt:lpstr>DaATRs</vt:lpstr>
      <vt:lpstr>DaBEAIncome</vt:lpstr>
      <vt:lpstr>DaBEAJobs</vt:lpstr>
      <vt:lpstr>DaBTNFcamp</vt:lpstr>
      <vt:lpstr>DaCoL</vt:lpstr>
      <vt:lpstr>DaCompPlan</vt:lpstr>
      <vt:lpstr>DaCTNFcamp</vt:lpstr>
      <vt:lpstr>DaEdFac</vt:lpstr>
      <vt:lpstr>DaEnplane</vt:lpstr>
      <vt:lpstr>DaGDP</vt:lpstr>
      <vt:lpstr>DaGrowthLoc</vt:lpstr>
      <vt:lpstr>DaGrowthUse</vt:lpstr>
      <vt:lpstr>DaGTNPovernight</vt:lpstr>
      <vt:lpstr>DaHHIncome</vt:lpstr>
      <vt:lpstr>DaHHsFams</vt:lpstr>
      <vt:lpstr>DaHomePrice</vt:lpstr>
      <vt:lpstr>DaHUDFMR</vt:lpstr>
      <vt:lpstr>DaHUDMFI</vt:lpstr>
      <vt:lpstr>DaHwyVMT</vt:lpstr>
      <vt:lpstr>DaJTCHDrent</vt:lpstr>
      <vt:lpstr>DaLAUS</vt:lpstr>
      <vt:lpstr>DaLdgOcc</vt:lpstr>
      <vt:lpstr>DaLEHDDest</vt:lpstr>
      <vt:lpstr>DaLEHDProfile</vt:lpstr>
      <vt:lpstr>DaLVE</vt:lpstr>
      <vt:lpstr>DaNetBuildout</vt:lpstr>
      <vt:lpstr>DaPermPop</vt:lpstr>
      <vt:lpstr>DaPipeline</vt:lpstr>
      <vt:lpstr>DaQCEW</vt:lpstr>
      <vt:lpstr>DaRestricted</vt:lpstr>
      <vt:lpstr>DaSTART</vt:lpstr>
      <vt:lpstr>DaSUBPrice</vt:lpstr>
      <vt:lpstr>DaTravelTime</vt:lpstr>
      <vt:lpstr>DaWorkersbyGeo</vt:lpstr>
      <vt:lpstr>DaWVCs</vt:lpstr>
      <vt:lpstr>DaWyDEArent</vt:lpstr>
      <vt:lpstr>DaYNPovernight</vt:lpstr>
      <vt:lpstr>InAccesstoNat</vt:lpstr>
      <vt:lpstr>InActiveShare</vt:lpstr>
      <vt:lpstr>InAirQual</vt:lpstr>
      <vt:lpstr>InAmtPotential</vt:lpstr>
      <vt:lpstr>InConsSubRA</vt:lpstr>
      <vt:lpstr>InEffPop</vt:lpstr>
      <vt:lpstr>InGHGEmissions</vt:lpstr>
      <vt:lpstr>InGrowthRate</vt:lpstr>
      <vt:lpstr>InHsgStock</vt:lpstr>
      <vt:lpstr>InITPBenchmarks</vt:lpstr>
      <vt:lpstr>InJobsbyInd</vt:lpstr>
      <vt:lpstr>InLdgOcc</vt:lpstr>
      <vt:lpstr>InLocalWF</vt:lpstr>
      <vt:lpstr>InLocGrowth</vt:lpstr>
      <vt:lpstr>InLocPotential</vt:lpstr>
      <vt:lpstr>InLOS</vt:lpstr>
      <vt:lpstr>InNatSpecHealth</vt:lpstr>
      <vt:lpstr>InSTART</vt:lpstr>
      <vt:lpstr>InTownPctg</vt:lpstr>
      <vt:lpstr>InTravelTime</vt:lpstr>
      <vt:lpstr>InWaterQual</vt:lpstr>
      <vt:lpstr>InWHPipeline</vt:lpstr>
      <vt:lpstr>InWVCs</vt:lpstr>
      <vt:lpstr>InYrlyImp</vt:lpstr>
      <vt:lpstr>RtrdAfford</vt:lpstr>
      <vt:lpstr>RtrdEffPop</vt:lpstr>
      <vt:lpstr>RtrdEnergyLoad</vt:lpstr>
      <vt:lpstr>RtrdGrowthbyUse</vt:lpstr>
      <vt:lpstr>RtrdLocalWF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dc:creator>
  <cp:keywords/>
  <dc:description/>
  <cp:lastModifiedBy>alex</cp:lastModifiedBy>
  <cp:revision/>
  <dcterms:created xsi:type="dcterms:W3CDTF">2020-05-27T00:45:29Z</dcterms:created>
  <dcterms:modified xsi:type="dcterms:W3CDTF">2023-06-08T12:51:59Z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0x0101008722A17313720D498652ED3D1F15B8E3</vt:lpwstr>
  </property>
</Properties>
</file>